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mac24h/Desktop/"/>
    </mc:Choice>
  </mc:AlternateContent>
  <xr:revisionPtr revIDLastSave="0" documentId="8_{DAB9BAD5-7346-F641-A8AA-33963F0933E5}" xr6:coauthVersionLast="47" xr6:coauthVersionMax="47" xr10:uidLastSave="{00000000-0000-0000-0000-000000000000}"/>
  <bookViews>
    <workbookView xWindow="3660" yWindow="2660" windowWidth="27640" windowHeight="16940" xr2:uid="{C7DBD83C-7D1C-8244-9BE8-F7747E96F00F}"/>
  </bookViews>
  <sheets>
    <sheet name="Sheet1" sheetId="1" r:id="rId1"/>
  </sheets>
  <externalReferences>
    <externalReference r:id="rId2"/>
  </externalReferenc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079" i="1" l="1"/>
  <c r="I7078" i="1"/>
  <c r="S7077" i="1"/>
  <c r="I7077" i="1"/>
  <c r="S7076" i="1"/>
  <c r="I7076" i="1"/>
  <c r="S7075" i="1"/>
  <c r="I7075" i="1"/>
  <c r="I7074" i="1"/>
  <c r="I7073" i="1"/>
  <c r="S7072" i="1"/>
  <c r="I7072" i="1"/>
  <c r="I7071" i="1"/>
  <c r="U7070" i="1"/>
  <c r="I7070" i="1"/>
  <c r="S7069" i="1"/>
  <c r="I7069" i="1"/>
  <c r="S7068" i="1"/>
  <c r="I7068" i="1"/>
  <c r="S7067" i="1"/>
  <c r="I7067" i="1"/>
  <c r="S7066" i="1"/>
  <c r="I7066" i="1"/>
  <c r="I7065" i="1"/>
  <c r="I7064" i="1"/>
  <c r="S7063" i="1"/>
  <c r="I7063" i="1"/>
  <c r="S7062" i="1"/>
  <c r="I7062" i="1"/>
  <c r="S7061" i="1"/>
  <c r="I7061" i="1"/>
  <c r="I7060" i="1"/>
  <c r="I7059" i="1"/>
  <c r="U7058" i="1"/>
  <c r="S7058" i="1"/>
  <c r="I7058" i="1"/>
  <c r="S7057" i="1"/>
  <c r="I7057" i="1"/>
  <c r="I7056" i="1"/>
  <c r="S7055" i="1"/>
  <c r="I7055" i="1"/>
  <c r="S7054" i="1"/>
  <c r="I7054" i="1"/>
  <c r="I7053" i="1"/>
  <c r="S7052" i="1"/>
  <c r="I7052" i="1"/>
  <c r="S7051" i="1"/>
  <c r="I7051" i="1"/>
  <c r="S7050" i="1"/>
  <c r="I7050" i="1"/>
  <c r="S7049" i="1"/>
  <c r="I7049" i="1"/>
  <c r="I7048" i="1"/>
  <c r="I7047" i="1"/>
  <c r="I7046" i="1"/>
  <c r="S7045" i="1"/>
  <c r="I7045" i="1"/>
  <c r="S7044" i="1"/>
  <c r="I7044" i="1"/>
  <c r="I7043" i="1"/>
  <c r="S7042" i="1"/>
  <c r="I7042" i="1"/>
  <c r="S7041" i="1"/>
  <c r="I7041" i="1"/>
  <c r="S7040" i="1"/>
  <c r="I7040" i="1"/>
  <c r="S7039" i="1"/>
  <c r="I7039" i="1"/>
  <c r="S7038" i="1"/>
  <c r="I7038" i="1"/>
  <c r="S7037" i="1"/>
  <c r="I7037" i="1"/>
  <c r="I7036" i="1"/>
  <c r="S7035" i="1"/>
  <c r="I7035" i="1"/>
  <c r="S7034" i="1"/>
  <c r="I7034" i="1"/>
  <c r="I7033" i="1"/>
  <c r="S7032" i="1"/>
  <c r="I7032" i="1"/>
  <c r="S7031" i="1"/>
  <c r="I7031" i="1"/>
  <c r="S7030" i="1"/>
  <c r="I7030" i="1"/>
  <c r="S7029" i="1"/>
  <c r="I7029" i="1"/>
  <c r="S7028" i="1"/>
  <c r="I7028" i="1"/>
  <c r="S7027" i="1"/>
  <c r="I7027" i="1"/>
  <c r="I7026" i="1"/>
  <c r="S7025" i="1"/>
  <c r="I7025" i="1"/>
  <c r="I7024" i="1"/>
  <c r="S7023" i="1"/>
  <c r="I7023" i="1"/>
  <c r="S7022" i="1"/>
  <c r="I7022" i="1"/>
  <c r="I7021" i="1"/>
  <c r="S7020" i="1"/>
  <c r="I7020" i="1"/>
  <c r="S7019" i="1"/>
  <c r="I7019" i="1"/>
  <c r="I7018" i="1"/>
  <c r="I7017" i="1"/>
  <c r="I7016" i="1"/>
  <c r="I7015" i="1"/>
  <c r="S7014" i="1"/>
  <c r="I7014" i="1"/>
  <c r="I7013" i="1"/>
  <c r="I7012" i="1"/>
  <c r="I7011" i="1"/>
  <c r="I7010" i="1"/>
  <c r="S7009" i="1"/>
  <c r="I7009" i="1"/>
  <c r="S7008" i="1"/>
  <c r="I7008" i="1"/>
  <c r="S7007" i="1"/>
  <c r="I7007" i="1"/>
  <c r="S7006" i="1"/>
  <c r="I7006" i="1"/>
  <c r="S7005" i="1"/>
  <c r="I7005" i="1"/>
  <c r="S7004" i="1"/>
  <c r="I7004" i="1"/>
  <c r="S7003" i="1"/>
  <c r="I7003" i="1"/>
  <c r="AJ7002" i="1"/>
  <c r="I7002" i="1"/>
  <c r="S7001" i="1"/>
  <c r="I7001" i="1"/>
  <c r="S7000" i="1"/>
  <c r="I7000" i="1"/>
  <c r="S6999" i="1"/>
  <c r="I6999" i="1"/>
  <c r="I6998" i="1"/>
  <c r="I6997" i="1"/>
  <c r="S6996" i="1"/>
  <c r="I6996" i="1"/>
  <c r="S6995" i="1"/>
  <c r="I6995" i="1"/>
  <c r="S6994" i="1"/>
  <c r="I6994" i="1"/>
  <c r="S6993" i="1"/>
  <c r="I6993" i="1"/>
  <c r="I6992" i="1"/>
  <c r="S6991" i="1"/>
  <c r="I6991" i="1"/>
  <c r="U6990" i="1"/>
  <c r="S6990" i="1"/>
  <c r="I6990" i="1"/>
  <c r="U6989" i="1"/>
  <c r="S6989" i="1"/>
  <c r="I6989" i="1"/>
  <c r="S6988" i="1"/>
  <c r="I6988" i="1"/>
  <c r="I6987" i="1"/>
  <c r="U6986" i="1"/>
  <c r="I6986" i="1"/>
  <c r="I6985" i="1"/>
  <c r="I6983" i="1"/>
  <c r="I6982" i="1"/>
  <c r="I6981" i="1"/>
  <c r="I6980" i="1"/>
  <c r="I6979" i="1"/>
  <c r="S6978" i="1"/>
  <c r="I6978" i="1"/>
  <c r="S6977" i="1"/>
  <c r="I6977" i="1"/>
  <c r="S6976" i="1"/>
  <c r="I6976" i="1"/>
  <c r="I6975" i="1"/>
  <c r="I6974" i="1"/>
  <c r="I6973" i="1"/>
  <c r="U6972" i="1"/>
  <c r="S6972" i="1"/>
  <c r="I6972" i="1"/>
  <c r="S6971" i="1"/>
  <c r="I6971" i="1"/>
  <c r="I6970" i="1"/>
  <c r="S6969" i="1"/>
  <c r="I6969" i="1"/>
  <c r="S6968" i="1"/>
  <c r="I6968" i="1"/>
  <c r="I6967" i="1"/>
  <c r="I6966" i="1"/>
  <c r="S6965" i="1"/>
  <c r="I6965" i="1"/>
  <c r="S6964" i="1"/>
  <c r="I6964" i="1"/>
  <c r="I6963" i="1"/>
  <c r="I6962" i="1"/>
  <c r="I6961" i="1"/>
  <c r="I6960" i="1"/>
  <c r="I6959" i="1"/>
  <c r="I6958" i="1"/>
  <c r="I6957" i="1"/>
  <c r="S6956" i="1"/>
  <c r="I6956" i="1"/>
  <c r="S6955" i="1"/>
  <c r="I6955" i="1"/>
  <c r="S6954" i="1"/>
  <c r="I6954" i="1"/>
  <c r="I6953" i="1"/>
  <c r="U6952" i="1"/>
  <c r="I6952" i="1"/>
  <c r="U6951" i="1"/>
  <c r="I6951" i="1"/>
  <c r="I6950" i="1"/>
  <c r="S6949" i="1"/>
  <c r="I6949" i="1"/>
  <c r="S6948" i="1"/>
  <c r="I6948" i="1"/>
  <c r="S6947" i="1"/>
  <c r="I6947" i="1"/>
  <c r="I6946" i="1"/>
  <c r="S6945" i="1"/>
  <c r="I6945" i="1"/>
  <c r="S6944" i="1"/>
  <c r="I6944" i="1"/>
  <c r="S6943" i="1"/>
  <c r="I6943" i="1"/>
  <c r="I6942" i="1"/>
  <c r="S6941" i="1"/>
  <c r="I6941" i="1"/>
  <c r="S6940" i="1"/>
  <c r="I6940" i="1"/>
  <c r="S6939" i="1"/>
  <c r="I6939" i="1"/>
  <c r="S6938" i="1"/>
  <c r="I6938" i="1"/>
  <c r="U6937" i="1"/>
  <c r="S6937" i="1"/>
  <c r="I6937" i="1"/>
  <c r="I6936" i="1"/>
  <c r="I6935" i="1"/>
  <c r="S6934" i="1"/>
  <c r="I6934" i="1"/>
  <c r="S6933" i="1"/>
  <c r="I6933" i="1"/>
  <c r="I6932" i="1"/>
  <c r="I6931" i="1"/>
  <c r="S6930" i="1"/>
  <c r="I6930" i="1"/>
  <c r="S6929" i="1"/>
  <c r="I6929" i="1"/>
  <c r="I6928" i="1"/>
  <c r="I6927" i="1"/>
  <c r="I6926" i="1"/>
  <c r="I6925" i="1"/>
  <c r="S6924" i="1"/>
  <c r="I6924" i="1"/>
  <c r="S6923" i="1"/>
  <c r="I6923" i="1"/>
  <c r="S6922" i="1"/>
  <c r="I6922" i="1"/>
  <c r="I6921" i="1"/>
  <c r="S6920" i="1"/>
  <c r="I6920" i="1"/>
  <c r="S6919" i="1"/>
  <c r="I6919" i="1"/>
  <c r="S6918" i="1"/>
  <c r="I6918" i="1"/>
  <c r="S6917" i="1"/>
  <c r="I6917" i="1"/>
  <c r="S6916" i="1"/>
  <c r="I6916" i="1"/>
  <c r="I6915" i="1"/>
  <c r="I6914" i="1"/>
  <c r="S6913" i="1"/>
  <c r="I6913" i="1"/>
  <c r="I6912" i="1"/>
  <c r="S6911" i="1"/>
  <c r="I6911" i="1"/>
  <c r="S6910" i="1"/>
  <c r="I6910" i="1"/>
  <c r="I6909" i="1"/>
  <c r="S6908" i="1"/>
  <c r="I6908" i="1"/>
  <c r="I6907" i="1"/>
  <c r="I6906" i="1"/>
  <c r="I6905" i="1"/>
  <c r="I6904" i="1"/>
  <c r="I6903" i="1"/>
  <c r="S6902" i="1"/>
  <c r="I6902" i="1"/>
  <c r="I6901" i="1"/>
  <c r="I6900" i="1"/>
  <c r="S6899" i="1"/>
  <c r="I6899" i="1"/>
  <c r="S6898" i="1"/>
  <c r="I6898" i="1"/>
  <c r="I6897" i="1"/>
  <c r="I6896" i="1"/>
  <c r="S6895" i="1"/>
  <c r="I6895" i="1"/>
  <c r="S6894" i="1"/>
  <c r="I6894" i="1"/>
  <c r="S6893" i="1"/>
  <c r="I6893" i="1"/>
  <c r="S6892" i="1"/>
  <c r="I6892" i="1"/>
  <c r="S6891" i="1"/>
  <c r="I6891" i="1"/>
  <c r="S6890" i="1"/>
  <c r="I6890" i="1"/>
  <c r="S6889" i="1"/>
  <c r="I6889" i="1"/>
  <c r="I6888" i="1"/>
  <c r="I6887" i="1"/>
  <c r="I6886" i="1"/>
  <c r="I6885" i="1"/>
  <c r="I6884" i="1"/>
  <c r="I6883" i="1"/>
  <c r="I6882" i="1"/>
  <c r="U6881" i="1"/>
  <c r="I6881" i="1"/>
  <c r="I6880" i="1"/>
  <c r="I6879" i="1"/>
  <c r="I6878" i="1"/>
  <c r="I6877" i="1"/>
  <c r="I6876" i="1"/>
  <c r="I6875" i="1"/>
  <c r="S6874" i="1"/>
  <c r="I6874" i="1"/>
  <c r="U6873" i="1"/>
  <c r="I6873" i="1"/>
  <c r="U6872" i="1"/>
  <c r="I6872" i="1"/>
  <c r="I6871" i="1"/>
  <c r="S6870" i="1"/>
  <c r="I6870" i="1"/>
  <c r="AJ6869" i="1"/>
  <c r="I6869" i="1"/>
  <c r="I6868" i="1"/>
  <c r="S6867" i="1"/>
  <c r="I6867" i="1"/>
  <c r="S6866" i="1"/>
  <c r="I6866" i="1"/>
  <c r="S6865" i="1"/>
  <c r="I6865" i="1"/>
  <c r="I6864" i="1"/>
  <c r="I6863" i="1"/>
  <c r="S6862" i="1"/>
  <c r="I6862" i="1"/>
  <c r="I6861" i="1"/>
  <c r="S6860" i="1"/>
  <c r="I6860" i="1"/>
  <c r="U6859" i="1"/>
  <c r="I6859" i="1"/>
  <c r="I6858" i="1"/>
  <c r="I6857" i="1"/>
  <c r="S6856" i="1"/>
  <c r="I6856" i="1"/>
  <c r="S6855" i="1"/>
  <c r="I6855" i="1"/>
  <c r="I6854" i="1"/>
  <c r="S6853" i="1"/>
  <c r="I6853" i="1"/>
  <c r="I6852" i="1"/>
  <c r="S6851" i="1"/>
  <c r="I6851" i="1"/>
  <c r="I6850" i="1"/>
  <c r="I6849" i="1"/>
  <c r="S6848" i="1"/>
  <c r="I6848" i="1"/>
  <c r="S6847" i="1"/>
  <c r="I6847" i="1"/>
  <c r="S6846" i="1"/>
  <c r="I6846" i="1"/>
  <c r="S6845" i="1"/>
  <c r="I6845" i="1"/>
  <c r="S6844" i="1"/>
  <c r="I6844" i="1"/>
  <c r="S6843" i="1"/>
  <c r="I6843" i="1"/>
  <c r="S6842" i="1"/>
  <c r="I6842" i="1"/>
  <c r="I6841" i="1"/>
  <c r="S6840" i="1"/>
  <c r="I6840" i="1"/>
  <c r="S6839" i="1"/>
  <c r="I6839" i="1"/>
  <c r="S6838" i="1"/>
  <c r="I6838" i="1"/>
  <c r="S6837" i="1"/>
  <c r="I6837" i="1"/>
  <c r="I6836" i="1"/>
  <c r="I6835" i="1"/>
  <c r="I6834" i="1"/>
  <c r="I6833" i="1"/>
  <c r="I6832" i="1"/>
  <c r="I6831" i="1"/>
  <c r="I6830" i="1"/>
  <c r="I6829" i="1"/>
  <c r="S6828" i="1"/>
  <c r="I6828" i="1"/>
  <c r="S6827" i="1"/>
  <c r="I6827" i="1"/>
  <c r="S6826" i="1"/>
  <c r="I6826" i="1"/>
  <c r="S6825" i="1"/>
  <c r="I6825" i="1"/>
  <c r="I6824" i="1"/>
  <c r="S6823" i="1"/>
  <c r="I6823" i="1"/>
  <c r="I6822" i="1"/>
  <c r="I6821" i="1"/>
  <c r="I6820" i="1"/>
  <c r="I6819" i="1"/>
  <c r="I6818" i="1"/>
  <c r="I6817" i="1"/>
  <c r="I6816" i="1"/>
  <c r="I6815" i="1"/>
  <c r="I6814" i="1"/>
  <c r="AJ6813" i="1"/>
  <c r="S6813" i="1"/>
  <c r="I6813" i="1"/>
  <c r="I6812" i="1"/>
  <c r="I6811" i="1"/>
  <c r="U6810" i="1"/>
  <c r="I6810" i="1"/>
  <c r="I6809" i="1"/>
  <c r="I6808" i="1"/>
  <c r="S6807" i="1"/>
  <c r="I6807" i="1"/>
  <c r="U6806" i="1"/>
  <c r="S6806" i="1"/>
  <c r="I6806" i="1"/>
  <c r="S6805" i="1"/>
  <c r="I6805" i="1"/>
  <c r="I6804" i="1"/>
  <c r="I6803" i="1"/>
  <c r="I6802" i="1"/>
  <c r="S6801" i="1"/>
  <c r="I6801" i="1"/>
  <c r="S6800" i="1"/>
  <c r="I6800" i="1"/>
  <c r="I6799" i="1"/>
  <c r="S6798" i="1"/>
  <c r="I6798" i="1"/>
  <c r="I6797" i="1"/>
  <c r="S6796" i="1"/>
  <c r="I6796" i="1"/>
  <c r="I6795" i="1"/>
  <c r="I6794" i="1"/>
  <c r="I6793" i="1"/>
  <c r="I6792" i="1"/>
  <c r="I6791" i="1"/>
  <c r="S6790" i="1"/>
  <c r="I6790" i="1"/>
  <c r="I6789" i="1"/>
  <c r="U6788" i="1"/>
  <c r="I6788" i="1"/>
  <c r="I6787" i="1"/>
  <c r="I6786" i="1"/>
  <c r="I6785" i="1"/>
  <c r="I6784" i="1"/>
  <c r="S6783" i="1"/>
  <c r="I6783" i="1"/>
  <c r="S6782" i="1"/>
  <c r="I6782" i="1"/>
  <c r="S6781" i="1"/>
  <c r="I6781" i="1"/>
  <c r="I6780" i="1"/>
  <c r="I6779" i="1"/>
  <c r="S6778" i="1"/>
  <c r="I6778" i="1"/>
  <c r="I6777" i="1"/>
  <c r="I6776" i="1"/>
  <c r="S6775" i="1"/>
  <c r="I6775" i="1"/>
  <c r="S6774" i="1"/>
  <c r="I6774" i="1"/>
  <c r="S6773" i="1"/>
  <c r="I6773" i="1"/>
  <c r="I6772" i="1"/>
  <c r="I6771" i="1"/>
  <c r="I6770" i="1"/>
  <c r="I6769" i="1"/>
  <c r="S6768" i="1"/>
  <c r="I6768" i="1"/>
  <c r="S6767" i="1"/>
  <c r="I6767" i="1"/>
  <c r="I6766" i="1"/>
  <c r="I6765" i="1"/>
  <c r="I6764" i="1"/>
  <c r="I6763" i="1"/>
  <c r="S6762" i="1"/>
  <c r="I6762" i="1"/>
  <c r="I6761" i="1"/>
  <c r="I6760" i="1"/>
  <c r="I6759" i="1"/>
  <c r="I6758" i="1"/>
  <c r="S6757" i="1"/>
  <c r="I6757" i="1"/>
  <c r="S6756" i="1"/>
  <c r="I6756" i="1"/>
  <c r="S6755" i="1"/>
  <c r="I6755" i="1"/>
  <c r="I6754" i="1"/>
  <c r="S6753" i="1"/>
  <c r="I6753" i="1"/>
  <c r="S6752" i="1"/>
  <c r="I6752" i="1"/>
  <c r="I6751" i="1"/>
  <c r="S6750" i="1"/>
  <c r="I6750" i="1"/>
  <c r="I6749" i="1"/>
  <c r="I6748" i="1"/>
  <c r="I6747" i="1"/>
  <c r="I6746" i="1"/>
  <c r="I6745" i="1"/>
  <c r="I6744" i="1"/>
  <c r="S6743" i="1"/>
  <c r="I6743" i="1"/>
  <c r="S6742" i="1"/>
  <c r="I6742" i="1"/>
  <c r="I6741" i="1"/>
  <c r="I6740" i="1"/>
  <c r="I6739" i="1"/>
  <c r="I6738" i="1"/>
  <c r="S6737" i="1"/>
  <c r="I6737" i="1"/>
  <c r="S6736" i="1"/>
  <c r="I6736" i="1"/>
  <c r="S6735" i="1"/>
  <c r="I6735" i="1"/>
  <c r="I6734" i="1"/>
  <c r="I6733" i="1"/>
  <c r="I6732" i="1"/>
  <c r="S6731" i="1"/>
  <c r="I6731" i="1"/>
  <c r="S6730" i="1"/>
  <c r="I6730" i="1"/>
  <c r="I6729" i="1"/>
  <c r="I6728" i="1"/>
  <c r="S6727" i="1"/>
  <c r="I6727" i="1"/>
  <c r="I6726" i="1"/>
  <c r="I6725" i="1"/>
  <c r="S6724" i="1"/>
  <c r="I6724" i="1"/>
  <c r="I6723" i="1"/>
  <c r="I6722" i="1"/>
  <c r="I6721" i="1"/>
  <c r="I6720" i="1"/>
  <c r="I6719" i="1"/>
  <c r="S6718" i="1"/>
  <c r="I6718" i="1"/>
  <c r="I6717" i="1"/>
  <c r="I6716" i="1"/>
  <c r="I6715" i="1"/>
  <c r="S6714" i="1"/>
  <c r="I6714" i="1"/>
  <c r="S6713" i="1"/>
  <c r="I6713" i="1"/>
  <c r="I6712" i="1"/>
  <c r="I6711" i="1"/>
  <c r="S6710" i="1"/>
  <c r="I6710" i="1"/>
  <c r="I6709" i="1"/>
  <c r="I6708" i="1"/>
  <c r="I6707" i="1"/>
  <c r="I6706" i="1"/>
  <c r="I6705" i="1"/>
  <c r="I6704" i="1"/>
  <c r="I6703" i="1"/>
  <c r="I6702" i="1"/>
  <c r="S6701" i="1"/>
  <c r="I6701" i="1"/>
  <c r="U6700" i="1"/>
  <c r="I6700" i="1"/>
  <c r="I6699" i="1"/>
  <c r="S6698" i="1"/>
  <c r="I6698" i="1"/>
  <c r="S6697" i="1"/>
  <c r="I6697" i="1"/>
  <c r="I6696" i="1"/>
  <c r="S6695" i="1"/>
  <c r="I6695" i="1"/>
  <c r="S6694" i="1"/>
  <c r="I6694" i="1"/>
  <c r="S6693" i="1"/>
  <c r="I6693" i="1"/>
  <c r="I6692" i="1"/>
  <c r="I6691" i="1"/>
  <c r="I6690" i="1"/>
  <c r="S6689" i="1"/>
  <c r="I6689" i="1"/>
  <c r="I6688" i="1"/>
  <c r="S6687" i="1"/>
  <c r="I6687" i="1"/>
  <c r="S6686" i="1"/>
  <c r="I6686" i="1"/>
  <c r="I6685" i="1"/>
  <c r="I6684" i="1"/>
  <c r="S6683" i="1"/>
  <c r="I6683" i="1"/>
  <c r="S6682" i="1"/>
  <c r="I6682" i="1"/>
  <c r="S6681" i="1"/>
  <c r="I6681" i="1"/>
  <c r="I6680" i="1"/>
  <c r="S6679" i="1"/>
  <c r="I6679" i="1"/>
  <c r="I6678" i="1"/>
  <c r="I6677" i="1"/>
  <c r="S6676" i="1"/>
  <c r="I6676" i="1"/>
  <c r="I6675" i="1"/>
  <c r="S6674" i="1"/>
  <c r="I6674" i="1"/>
  <c r="S6673" i="1"/>
  <c r="I6673" i="1"/>
  <c r="S6672" i="1"/>
  <c r="I6672" i="1"/>
  <c r="S6671" i="1"/>
  <c r="I6671" i="1"/>
  <c r="S6670" i="1"/>
  <c r="I6670" i="1"/>
  <c r="S6669" i="1"/>
  <c r="I6669" i="1"/>
  <c r="S6668" i="1"/>
  <c r="I6668" i="1"/>
  <c r="I6667" i="1"/>
  <c r="S6666" i="1"/>
  <c r="I6666" i="1"/>
  <c r="I6665" i="1"/>
  <c r="I6664" i="1"/>
  <c r="S6663" i="1"/>
  <c r="I6663" i="1"/>
  <c r="I6662" i="1"/>
  <c r="I6661" i="1"/>
  <c r="I6660" i="1"/>
  <c r="S6659" i="1"/>
  <c r="I6659" i="1"/>
  <c r="S6658" i="1"/>
  <c r="I6658" i="1"/>
  <c r="U6657" i="1"/>
  <c r="S6657" i="1"/>
  <c r="I6657" i="1"/>
  <c r="I6656" i="1"/>
  <c r="I6655" i="1"/>
  <c r="S6654" i="1"/>
  <c r="I6654" i="1"/>
  <c r="I6653" i="1"/>
  <c r="I6652" i="1"/>
  <c r="I6651" i="1"/>
  <c r="U6650" i="1"/>
  <c r="S6650" i="1"/>
  <c r="I6650" i="1"/>
  <c r="I6649" i="1"/>
  <c r="I6648" i="1"/>
  <c r="U6647" i="1"/>
  <c r="S6647" i="1"/>
  <c r="I6647" i="1"/>
  <c r="I6646" i="1"/>
  <c r="I6645" i="1"/>
  <c r="I6644" i="1"/>
  <c r="I6643" i="1"/>
  <c r="S6642" i="1"/>
  <c r="I6642" i="1"/>
  <c r="I6641" i="1"/>
  <c r="S6640" i="1"/>
  <c r="I6640" i="1"/>
  <c r="S6639" i="1"/>
  <c r="I6639" i="1"/>
  <c r="I6638" i="1"/>
  <c r="I6637" i="1"/>
  <c r="S6636" i="1"/>
  <c r="I6636" i="1"/>
  <c r="S6635" i="1"/>
  <c r="I6635" i="1"/>
  <c r="S6634" i="1"/>
  <c r="I6634" i="1"/>
  <c r="U6633" i="1"/>
  <c r="I6633" i="1"/>
  <c r="I6632" i="1"/>
  <c r="I6631" i="1"/>
  <c r="I6630" i="1"/>
  <c r="I6629" i="1"/>
  <c r="I6628" i="1"/>
  <c r="I6627" i="1"/>
  <c r="I6626" i="1"/>
  <c r="I6625" i="1"/>
  <c r="I6624" i="1"/>
  <c r="I6623" i="1"/>
  <c r="I6622" i="1"/>
  <c r="I6621" i="1"/>
  <c r="I6620" i="1"/>
  <c r="I6619" i="1"/>
  <c r="I6618" i="1"/>
  <c r="I6617" i="1"/>
  <c r="I6616" i="1"/>
  <c r="I6615" i="1"/>
  <c r="I6614" i="1"/>
  <c r="I6613" i="1"/>
  <c r="I6612" i="1"/>
  <c r="S6611" i="1"/>
  <c r="I6611" i="1"/>
  <c r="I6610" i="1"/>
  <c r="S6609" i="1"/>
  <c r="I6609" i="1"/>
  <c r="S6608" i="1"/>
  <c r="I6608" i="1"/>
  <c r="S6607" i="1"/>
  <c r="I6607" i="1"/>
  <c r="S6606" i="1"/>
  <c r="I6606" i="1"/>
  <c r="I6605" i="1"/>
  <c r="S6604" i="1"/>
  <c r="I6604" i="1"/>
  <c r="I6603" i="1"/>
  <c r="I6602" i="1"/>
  <c r="I6601" i="1"/>
  <c r="I6600" i="1"/>
  <c r="I6599" i="1"/>
  <c r="I6598" i="1"/>
  <c r="I6597" i="1"/>
  <c r="I6596" i="1"/>
  <c r="I6595" i="1"/>
  <c r="S6594" i="1"/>
  <c r="I6594" i="1"/>
  <c r="S6593" i="1"/>
  <c r="I6593" i="1"/>
  <c r="S6592" i="1"/>
  <c r="I6592" i="1"/>
  <c r="I6591" i="1"/>
  <c r="I6590" i="1"/>
  <c r="I6589" i="1"/>
  <c r="I6588" i="1"/>
  <c r="I6587" i="1"/>
  <c r="S6586" i="1"/>
  <c r="I6586" i="1"/>
  <c r="I6585" i="1"/>
  <c r="I6584" i="1"/>
  <c r="S6583" i="1"/>
  <c r="I6583" i="1"/>
  <c r="S6582" i="1"/>
  <c r="I6582" i="1"/>
  <c r="S6581" i="1"/>
  <c r="I6581" i="1"/>
  <c r="I6580" i="1"/>
  <c r="I6579" i="1"/>
  <c r="S6578" i="1"/>
  <c r="I6578" i="1"/>
  <c r="I6577" i="1"/>
  <c r="S6576" i="1"/>
  <c r="I6576" i="1"/>
  <c r="I6575" i="1"/>
  <c r="I6574" i="1"/>
  <c r="I6573" i="1"/>
  <c r="I6572" i="1"/>
  <c r="S6571" i="1"/>
  <c r="I6571" i="1"/>
  <c r="S6570" i="1"/>
  <c r="I6570" i="1"/>
  <c r="I6569" i="1"/>
  <c r="I6568" i="1"/>
  <c r="S6567" i="1"/>
  <c r="I6567" i="1"/>
  <c r="I6566" i="1"/>
  <c r="I6565" i="1"/>
  <c r="S6564" i="1"/>
  <c r="I6564" i="1"/>
  <c r="I6563" i="1"/>
  <c r="I6562" i="1"/>
  <c r="I6561" i="1"/>
  <c r="S6560" i="1"/>
  <c r="I6560" i="1"/>
  <c r="S6559" i="1"/>
  <c r="I6559" i="1"/>
  <c r="S6558" i="1"/>
  <c r="I6558" i="1"/>
  <c r="S6557" i="1"/>
  <c r="I6557" i="1"/>
  <c r="S6556" i="1"/>
  <c r="I6556" i="1"/>
  <c r="I6555" i="1"/>
  <c r="I6554" i="1"/>
  <c r="S6553" i="1"/>
  <c r="I6553" i="1"/>
  <c r="S6552" i="1"/>
  <c r="I6552" i="1"/>
  <c r="I6551" i="1"/>
  <c r="I6550" i="1"/>
  <c r="S6549" i="1"/>
  <c r="I6549" i="1"/>
  <c r="I6548" i="1"/>
  <c r="I6547" i="1"/>
  <c r="I6546" i="1"/>
  <c r="I6545" i="1"/>
  <c r="I6544" i="1"/>
  <c r="I6543" i="1"/>
  <c r="S6542" i="1"/>
  <c r="I6542" i="1"/>
  <c r="S6541" i="1"/>
  <c r="I6541" i="1"/>
  <c r="I6540" i="1"/>
  <c r="S6539" i="1"/>
  <c r="I6539" i="1"/>
  <c r="I6538" i="1"/>
  <c r="S6537" i="1"/>
  <c r="I6537" i="1"/>
  <c r="S6536" i="1"/>
  <c r="I6536" i="1"/>
  <c r="S6535" i="1"/>
  <c r="I6535" i="1"/>
  <c r="I6534" i="1"/>
  <c r="I6533" i="1"/>
  <c r="I6532" i="1"/>
  <c r="I6531" i="1"/>
  <c r="I6529" i="1"/>
  <c r="I6528" i="1"/>
  <c r="I6527" i="1"/>
  <c r="S6526" i="1"/>
  <c r="I6526" i="1"/>
  <c r="I6525" i="1"/>
  <c r="S6524" i="1"/>
  <c r="I6524" i="1"/>
  <c r="S6523" i="1"/>
  <c r="I6523" i="1"/>
  <c r="I6522" i="1"/>
  <c r="S6521" i="1"/>
  <c r="I6521" i="1"/>
  <c r="I6520" i="1"/>
  <c r="I6519" i="1"/>
  <c r="S6518" i="1"/>
  <c r="I6518" i="1"/>
  <c r="I6517" i="1"/>
  <c r="S6516" i="1"/>
  <c r="I6516" i="1"/>
  <c r="S6515" i="1"/>
  <c r="I6515" i="1"/>
  <c r="I6514" i="1"/>
  <c r="S6513" i="1"/>
  <c r="I6513" i="1"/>
  <c r="S6512" i="1"/>
  <c r="I6512" i="1"/>
  <c r="I6511" i="1"/>
  <c r="S6510" i="1"/>
  <c r="I6510" i="1"/>
  <c r="I6509" i="1"/>
  <c r="S6508" i="1"/>
  <c r="I6508" i="1"/>
  <c r="AJ6507" i="1"/>
  <c r="S6507" i="1"/>
  <c r="I6507" i="1"/>
  <c r="S6506" i="1"/>
  <c r="I6506" i="1"/>
  <c r="AJ6505" i="1"/>
  <c r="S6505" i="1"/>
  <c r="I6505" i="1"/>
  <c r="I6504" i="1"/>
  <c r="I6503" i="1"/>
  <c r="I6502" i="1"/>
  <c r="S6501" i="1"/>
  <c r="I6501" i="1"/>
  <c r="S6500" i="1"/>
  <c r="I6500" i="1"/>
  <c r="I6499" i="1"/>
  <c r="I6498" i="1"/>
  <c r="I6497" i="1"/>
  <c r="I6496" i="1"/>
  <c r="I6495" i="1"/>
  <c r="S6494" i="1"/>
  <c r="I6494" i="1"/>
  <c r="S6493" i="1"/>
  <c r="I6493" i="1"/>
  <c r="S6492" i="1"/>
  <c r="I6492" i="1"/>
  <c r="I6491" i="1"/>
  <c r="S6490" i="1"/>
  <c r="I6490" i="1"/>
  <c r="I6489" i="1"/>
  <c r="I6488" i="1"/>
  <c r="I6487" i="1"/>
  <c r="I6486" i="1"/>
  <c r="U6485" i="1"/>
  <c r="I6485" i="1"/>
  <c r="I6484" i="1"/>
  <c r="S6483" i="1"/>
  <c r="I6483" i="1"/>
  <c r="I6482" i="1"/>
  <c r="I6481" i="1"/>
  <c r="I6480" i="1"/>
  <c r="I6479" i="1"/>
  <c r="S6478" i="1"/>
  <c r="I6478" i="1"/>
  <c r="S6477" i="1"/>
  <c r="I6477" i="1"/>
  <c r="I6476" i="1"/>
  <c r="I6475" i="1"/>
  <c r="I6474" i="1"/>
  <c r="I6473" i="1"/>
  <c r="S6472" i="1"/>
  <c r="I6472" i="1"/>
  <c r="I6471" i="1"/>
  <c r="I6470" i="1"/>
  <c r="I6469" i="1"/>
  <c r="I6468" i="1"/>
  <c r="S6467" i="1"/>
  <c r="I6467" i="1"/>
  <c r="I6466" i="1"/>
  <c r="I6465" i="1"/>
  <c r="I6464" i="1"/>
  <c r="I6463" i="1"/>
  <c r="I6462" i="1"/>
  <c r="I6461" i="1"/>
  <c r="S6460" i="1"/>
  <c r="I6460" i="1"/>
  <c r="U6459" i="1"/>
  <c r="S6459" i="1"/>
  <c r="I6459" i="1"/>
  <c r="S6458" i="1"/>
  <c r="I6458" i="1"/>
  <c r="I6457" i="1"/>
  <c r="S6456" i="1"/>
  <c r="I6456" i="1"/>
  <c r="S6455" i="1"/>
  <c r="I6455" i="1"/>
  <c r="S6454" i="1"/>
  <c r="I6454" i="1"/>
  <c r="S6453" i="1"/>
  <c r="I6453" i="1"/>
  <c r="I6452" i="1"/>
  <c r="I6451" i="1"/>
  <c r="I6450" i="1"/>
  <c r="AJ6449" i="1"/>
  <c r="I6449" i="1"/>
  <c r="I6448" i="1"/>
  <c r="S6447" i="1"/>
  <c r="I6447" i="1"/>
  <c r="U6446" i="1"/>
  <c r="S6446" i="1"/>
  <c r="I6446" i="1"/>
  <c r="I6445" i="1"/>
  <c r="S6444" i="1"/>
  <c r="I6444" i="1"/>
  <c r="I6443" i="1"/>
  <c r="S6442" i="1"/>
  <c r="I6442" i="1"/>
  <c r="S6441" i="1"/>
  <c r="I6441" i="1"/>
  <c r="I6440" i="1"/>
  <c r="I6439" i="1"/>
  <c r="S6438" i="1"/>
  <c r="I6438" i="1"/>
  <c r="I6437" i="1"/>
  <c r="S6436" i="1"/>
  <c r="I6436" i="1"/>
  <c r="U6435" i="1"/>
  <c r="I6435" i="1"/>
  <c r="S6434" i="1"/>
  <c r="I6434" i="1"/>
  <c r="I6433" i="1"/>
  <c r="I6432" i="1"/>
  <c r="S6431" i="1"/>
  <c r="I6431" i="1"/>
  <c r="S6430" i="1"/>
  <c r="I6430" i="1"/>
  <c r="S6429" i="1"/>
  <c r="I6429" i="1"/>
  <c r="I6428" i="1"/>
  <c r="I6427" i="1"/>
  <c r="I6426" i="1"/>
  <c r="I6425" i="1"/>
  <c r="I6424" i="1"/>
  <c r="I6423" i="1"/>
  <c r="I6422" i="1"/>
  <c r="S6421" i="1"/>
  <c r="I6421" i="1"/>
  <c r="S6420" i="1"/>
  <c r="I6420" i="1"/>
  <c r="I6419" i="1"/>
  <c r="S6418" i="1"/>
  <c r="I6418" i="1"/>
  <c r="I6417" i="1"/>
  <c r="I6416" i="1"/>
  <c r="I6415" i="1"/>
  <c r="I6414" i="1"/>
  <c r="U6413" i="1"/>
  <c r="S6413" i="1"/>
  <c r="I6413" i="1"/>
  <c r="I6412" i="1"/>
  <c r="S6411" i="1"/>
  <c r="I6411" i="1"/>
  <c r="S6410" i="1"/>
  <c r="I6410" i="1"/>
  <c r="S6409" i="1"/>
  <c r="I6409" i="1"/>
  <c r="S6408" i="1"/>
  <c r="I6408" i="1"/>
  <c r="S6407" i="1"/>
  <c r="I6407" i="1"/>
  <c r="S6406" i="1"/>
  <c r="I6406" i="1"/>
  <c r="S6405" i="1"/>
  <c r="I6405" i="1"/>
  <c r="I6404" i="1"/>
  <c r="I6403" i="1"/>
  <c r="U6402" i="1"/>
  <c r="S6402" i="1"/>
  <c r="I6402" i="1"/>
  <c r="S6401" i="1"/>
  <c r="I6401" i="1"/>
  <c r="S6400" i="1"/>
  <c r="I6400" i="1"/>
  <c r="S6399" i="1"/>
  <c r="I6399" i="1"/>
  <c r="S6398" i="1"/>
  <c r="I6398" i="1"/>
  <c r="I6397" i="1"/>
  <c r="I6396" i="1"/>
  <c r="I6395" i="1"/>
  <c r="I6394" i="1"/>
  <c r="I6393" i="1"/>
  <c r="I6392" i="1"/>
  <c r="S6391" i="1"/>
  <c r="I6391" i="1"/>
  <c r="I6390" i="1"/>
  <c r="S6389" i="1"/>
  <c r="I6389" i="1"/>
  <c r="I6388" i="1"/>
  <c r="I6387" i="1"/>
  <c r="S6386" i="1"/>
  <c r="I6386" i="1"/>
  <c r="U6385" i="1"/>
  <c r="S6385" i="1"/>
  <c r="I6385" i="1"/>
  <c r="I6384" i="1"/>
  <c r="S6383" i="1"/>
  <c r="I6383" i="1"/>
  <c r="S6382" i="1"/>
  <c r="I6382" i="1"/>
  <c r="S6381" i="1"/>
  <c r="I6381" i="1"/>
  <c r="I6380" i="1"/>
  <c r="I6379" i="1"/>
  <c r="I6378" i="1"/>
  <c r="S6377" i="1"/>
  <c r="I6377" i="1"/>
  <c r="S6376" i="1"/>
  <c r="I6376" i="1"/>
  <c r="S6375" i="1"/>
  <c r="I6375" i="1"/>
  <c r="I6374" i="1"/>
  <c r="S6373" i="1"/>
  <c r="I6373" i="1"/>
  <c r="I6372" i="1"/>
  <c r="S6371" i="1"/>
  <c r="I6371" i="1"/>
  <c r="I6370" i="1"/>
  <c r="I6369" i="1"/>
  <c r="I6368" i="1"/>
  <c r="S6367" i="1"/>
  <c r="I6367" i="1"/>
  <c r="S6366" i="1"/>
  <c r="I6366" i="1"/>
  <c r="I6365" i="1"/>
  <c r="S6364" i="1"/>
  <c r="I6364" i="1"/>
  <c r="I6363" i="1"/>
  <c r="I6362" i="1"/>
  <c r="I6361" i="1"/>
  <c r="I6360" i="1"/>
  <c r="I6359" i="1"/>
  <c r="I6358" i="1"/>
  <c r="S6357" i="1"/>
  <c r="I6357" i="1"/>
  <c r="I6356" i="1"/>
  <c r="I6355" i="1"/>
  <c r="I6354" i="1"/>
  <c r="S6353" i="1"/>
  <c r="I6353" i="1"/>
  <c r="I6352" i="1"/>
  <c r="S6351" i="1"/>
  <c r="I6351" i="1"/>
  <c r="I6350" i="1"/>
  <c r="S6349" i="1"/>
  <c r="I6349" i="1"/>
  <c r="I6348" i="1"/>
  <c r="I6347" i="1"/>
  <c r="S6346" i="1"/>
  <c r="I6346" i="1"/>
  <c r="I6345" i="1"/>
  <c r="I6344" i="1"/>
  <c r="I6343" i="1"/>
  <c r="I6342" i="1"/>
  <c r="I6341" i="1"/>
  <c r="I6340" i="1"/>
  <c r="I6339" i="1"/>
  <c r="I6338" i="1"/>
  <c r="AJ6337" i="1"/>
  <c r="I6337" i="1"/>
  <c r="AJ6336" i="1"/>
  <c r="I6336" i="1"/>
  <c r="AJ6335" i="1"/>
  <c r="I6335" i="1"/>
  <c r="AJ6334" i="1"/>
  <c r="I6334" i="1"/>
  <c r="I6333" i="1"/>
  <c r="S6332" i="1"/>
  <c r="I6332" i="1"/>
  <c r="AJ6331" i="1"/>
  <c r="I6331" i="1"/>
  <c r="AJ6330" i="1"/>
  <c r="S6330" i="1"/>
  <c r="I6330" i="1"/>
  <c r="AJ6329" i="1"/>
  <c r="S6329" i="1"/>
  <c r="I6329" i="1"/>
  <c r="U6328" i="1"/>
  <c r="S6328" i="1"/>
  <c r="I6328" i="1"/>
  <c r="S6327" i="1"/>
  <c r="I6327" i="1"/>
  <c r="S6326" i="1"/>
  <c r="I6326" i="1"/>
  <c r="S6325" i="1"/>
  <c r="I6325" i="1"/>
  <c r="I6324" i="1"/>
  <c r="I6323" i="1"/>
  <c r="S6322" i="1"/>
  <c r="I6322" i="1"/>
  <c r="I6321" i="1"/>
  <c r="I6320" i="1"/>
  <c r="S6319" i="1"/>
  <c r="I6319" i="1"/>
  <c r="S6318" i="1"/>
  <c r="I6318" i="1"/>
  <c r="S6317" i="1"/>
  <c r="I6317" i="1"/>
  <c r="I6316" i="1"/>
  <c r="I6315" i="1"/>
  <c r="I6314" i="1"/>
  <c r="I6313" i="1"/>
  <c r="I6312" i="1"/>
  <c r="I6311" i="1"/>
  <c r="S6310" i="1"/>
  <c r="I6310" i="1"/>
  <c r="I6309" i="1"/>
  <c r="I6308" i="1"/>
  <c r="I6307" i="1"/>
  <c r="I6306" i="1"/>
  <c r="S6305" i="1"/>
  <c r="I6305" i="1"/>
  <c r="S6304" i="1"/>
  <c r="I6304" i="1"/>
  <c r="S6303" i="1"/>
  <c r="I6303" i="1"/>
  <c r="S6302" i="1"/>
  <c r="I6302" i="1"/>
  <c r="S6301" i="1"/>
  <c r="I6301" i="1"/>
  <c r="I6300" i="1"/>
  <c r="S6299" i="1"/>
  <c r="I6299" i="1"/>
  <c r="I6298" i="1"/>
  <c r="I6297" i="1"/>
  <c r="I6296" i="1"/>
  <c r="S6295" i="1"/>
  <c r="I6295" i="1"/>
  <c r="I6294" i="1"/>
  <c r="S6293" i="1"/>
  <c r="I6293" i="1"/>
  <c r="I6292" i="1"/>
  <c r="S6291" i="1"/>
  <c r="I6291" i="1"/>
  <c r="S6290" i="1"/>
  <c r="I6290" i="1"/>
  <c r="I6289" i="1"/>
  <c r="S6288" i="1"/>
  <c r="I6288" i="1"/>
  <c r="S6287" i="1"/>
  <c r="I6287" i="1"/>
  <c r="I6286" i="1"/>
  <c r="S6285" i="1"/>
  <c r="I6285" i="1"/>
  <c r="S6284" i="1"/>
  <c r="I6284" i="1"/>
  <c r="S6283" i="1"/>
  <c r="I6283" i="1"/>
  <c r="S6282" i="1"/>
  <c r="I6282" i="1"/>
  <c r="S6281" i="1"/>
  <c r="I6281" i="1"/>
  <c r="S6280" i="1"/>
  <c r="I6280" i="1"/>
  <c r="I6279" i="1"/>
  <c r="U6278" i="1"/>
  <c r="I6278" i="1"/>
  <c r="I6277" i="1"/>
  <c r="I6276" i="1"/>
  <c r="I6275" i="1"/>
  <c r="I6274" i="1"/>
  <c r="I6273" i="1"/>
  <c r="I6272" i="1"/>
  <c r="S6271" i="1"/>
  <c r="I6271" i="1"/>
  <c r="S6270" i="1"/>
  <c r="I6270" i="1"/>
  <c r="U6269" i="1"/>
  <c r="I6269" i="1"/>
  <c r="U6268" i="1"/>
  <c r="I6268" i="1"/>
  <c r="I6267" i="1"/>
  <c r="I6266" i="1"/>
  <c r="S6265" i="1"/>
  <c r="I6265" i="1"/>
  <c r="I6264" i="1"/>
  <c r="I6263" i="1"/>
  <c r="I6262" i="1"/>
  <c r="I6261" i="1"/>
  <c r="S6260" i="1"/>
  <c r="I6260" i="1"/>
  <c r="I6259" i="1"/>
  <c r="I6258" i="1"/>
  <c r="S6257" i="1"/>
  <c r="I6257" i="1"/>
  <c r="I6256" i="1"/>
  <c r="I6255" i="1"/>
  <c r="I6254" i="1"/>
  <c r="S6253" i="1"/>
  <c r="I6253" i="1"/>
  <c r="S6252" i="1"/>
  <c r="I6252" i="1"/>
  <c r="I6251" i="1"/>
  <c r="I6250" i="1"/>
  <c r="S6249" i="1"/>
  <c r="I6249" i="1"/>
  <c r="I6248" i="1"/>
  <c r="I6247" i="1"/>
  <c r="S6246" i="1"/>
  <c r="I6246" i="1"/>
  <c r="S6245" i="1"/>
  <c r="I6245" i="1"/>
  <c r="S6244" i="1"/>
  <c r="I6244" i="1"/>
  <c r="I6243" i="1"/>
  <c r="I6242" i="1"/>
  <c r="U6241" i="1"/>
  <c r="I6241" i="1"/>
  <c r="I6240" i="1"/>
  <c r="I6239" i="1"/>
  <c r="I6238" i="1"/>
  <c r="I6237" i="1"/>
  <c r="S6236" i="1"/>
  <c r="I6236" i="1"/>
  <c r="I6235" i="1"/>
  <c r="I6234" i="1"/>
  <c r="I6233" i="1"/>
  <c r="I6232" i="1"/>
  <c r="I6231" i="1"/>
  <c r="U6230" i="1"/>
  <c r="I6230" i="1"/>
  <c r="U6229" i="1"/>
  <c r="I6229" i="1"/>
  <c r="I6228" i="1"/>
  <c r="I6227" i="1"/>
  <c r="I6226" i="1"/>
  <c r="I6225" i="1"/>
  <c r="I6224" i="1"/>
  <c r="I6223" i="1"/>
  <c r="I6222" i="1"/>
  <c r="I6221" i="1"/>
  <c r="I6220" i="1"/>
  <c r="U6219" i="1"/>
  <c r="I6219" i="1"/>
  <c r="I6218" i="1"/>
  <c r="I6217" i="1"/>
  <c r="I6216" i="1"/>
  <c r="I6215" i="1"/>
  <c r="S6214" i="1"/>
  <c r="I6214" i="1"/>
  <c r="I6213" i="1"/>
  <c r="U6212" i="1"/>
  <c r="I6212" i="1"/>
  <c r="I6211" i="1"/>
  <c r="I6210" i="1"/>
  <c r="S6209" i="1"/>
  <c r="I6209" i="1"/>
  <c r="U6208" i="1"/>
  <c r="I6208" i="1"/>
  <c r="S6207" i="1"/>
  <c r="I6207" i="1"/>
  <c r="I6206" i="1"/>
  <c r="S6205" i="1"/>
  <c r="I6205" i="1"/>
  <c r="I6204" i="1"/>
  <c r="S6203" i="1"/>
  <c r="I6203" i="1"/>
  <c r="I6202" i="1"/>
  <c r="I6201" i="1"/>
  <c r="I6200" i="1"/>
  <c r="I6199" i="1"/>
  <c r="S6198" i="1"/>
  <c r="I6198" i="1"/>
  <c r="U6197" i="1"/>
  <c r="S6197" i="1"/>
  <c r="I6197" i="1"/>
  <c r="I6196" i="1"/>
  <c r="U6195" i="1"/>
  <c r="S6195" i="1"/>
  <c r="I6195" i="1"/>
  <c r="S6194" i="1"/>
  <c r="I6194" i="1"/>
  <c r="I6193" i="1"/>
  <c r="I6192" i="1"/>
  <c r="U6191" i="1"/>
  <c r="S6191" i="1"/>
  <c r="I6191" i="1"/>
  <c r="S6190" i="1"/>
  <c r="I6190" i="1"/>
  <c r="U6189" i="1"/>
  <c r="I6189" i="1"/>
  <c r="S6188" i="1"/>
  <c r="I6188" i="1"/>
  <c r="S6187" i="1"/>
  <c r="I6187" i="1"/>
  <c r="I6186" i="1"/>
  <c r="I6185" i="1"/>
  <c r="I6184" i="1"/>
  <c r="I6183" i="1"/>
  <c r="S6182" i="1"/>
  <c r="I6182" i="1"/>
  <c r="S6181" i="1"/>
  <c r="I6181" i="1"/>
  <c r="I6180" i="1"/>
  <c r="I6179" i="1"/>
  <c r="I6178" i="1"/>
  <c r="I6177" i="1"/>
  <c r="U6176" i="1"/>
  <c r="I6176" i="1"/>
  <c r="S6175" i="1"/>
  <c r="I6175" i="1"/>
  <c r="I6174" i="1"/>
  <c r="I6173" i="1"/>
  <c r="S6172" i="1"/>
  <c r="I6172" i="1"/>
  <c r="I6171" i="1"/>
  <c r="I6170" i="1"/>
  <c r="S6169" i="1"/>
  <c r="I6169" i="1"/>
  <c r="I6168" i="1"/>
  <c r="I6167" i="1"/>
  <c r="I6166" i="1"/>
  <c r="S6165" i="1"/>
  <c r="I6165" i="1"/>
  <c r="S6164" i="1"/>
  <c r="I6164" i="1"/>
  <c r="I6163" i="1"/>
  <c r="S6162" i="1"/>
  <c r="I6162" i="1"/>
  <c r="S6161" i="1"/>
  <c r="I6161" i="1"/>
  <c r="I6160" i="1"/>
  <c r="I6159" i="1"/>
  <c r="S6158" i="1"/>
  <c r="I6158" i="1"/>
  <c r="S6157" i="1"/>
  <c r="I6157" i="1"/>
  <c r="S6156" i="1"/>
  <c r="I6156" i="1"/>
  <c r="S6155" i="1"/>
  <c r="I6155" i="1"/>
  <c r="I6154" i="1"/>
  <c r="I6153" i="1"/>
  <c r="I6152" i="1"/>
  <c r="S6151" i="1"/>
  <c r="I6151" i="1"/>
  <c r="I6150" i="1"/>
  <c r="I6149" i="1"/>
  <c r="I6148" i="1"/>
  <c r="I6147" i="1"/>
  <c r="I6146" i="1"/>
  <c r="I6145" i="1"/>
  <c r="I6144" i="1"/>
  <c r="I6143" i="1"/>
  <c r="S6142" i="1"/>
  <c r="I6142" i="1"/>
  <c r="S6141" i="1"/>
  <c r="I6141" i="1"/>
  <c r="S6140" i="1"/>
  <c r="I6140" i="1"/>
  <c r="I6139" i="1"/>
  <c r="I6138" i="1"/>
  <c r="I6137" i="1"/>
  <c r="I6136" i="1"/>
  <c r="I6135" i="1"/>
  <c r="I6134" i="1"/>
  <c r="I6133" i="1"/>
  <c r="S6132" i="1"/>
  <c r="I6132" i="1"/>
  <c r="S6131" i="1"/>
  <c r="I6131" i="1"/>
  <c r="I6130" i="1"/>
  <c r="I6129" i="1"/>
  <c r="I6128" i="1"/>
  <c r="I6127" i="1"/>
  <c r="I6126" i="1"/>
  <c r="I6125" i="1"/>
  <c r="U6124" i="1"/>
  <c r="I6124" i="1"/>
  <c r="I6123" i="1"/>
  <c r="S6122" i="1"/>
  <c r="I6122" i="1"/>
  <c r="U6121" i="1"/>
  <c r="S6121" i="1"/>
  <c r="I6121" i="1"/>
  <c r="I6120" i="1"/>
  <c r="I6119" i="1"/>
  <c r="I6118" i="1"/>
  <c r="I6117" i="1"/>
  <c r="S6116" i="1"/>
  <c r="I6116" i="1"/>
  <c r="I6115" i="1"/>
  <c r="I6114" i="1"/>
  <c r="S6113" i="1"/>
  <c r="I6113" i="1"/>
  <c r="I6112" i="1"/>
  <c r="I6111" i="1"/>
  <c r="I6110" i="1"/>
  <c r="S6109" i="1"/>
  <c r="I6109" i="1"/>
  <c r="I6108" i="1"/>
  <c r="S6107" i="1"/>
  <c r="I6107" i="1"/>
  <c r="I6106" i="1"/>
  <c r="I6105" i="1"/>
  <c r="I6104" i="1"/>
  <c r="I6103" i="1"/>
  <c r="S6102" i="1"/>
  <c r="I6102" i="1"/>
  <c r="S6101" i="1"/>
  <c r="I6101" i="1"/>
  <c r="S6100" i="1"/>
  <c r="I6100" i="1"/>
  <c r="I6099" i="1"/>
  <c r="I6098" i="1"/>
  <c r="S6097" i="1"/>
  <c r="I6097" i="1"/>
  <c r="I6096" i="1"/>
  <c r="I6095" i="1"/>
  <c r="I6094" i="1"/>
  <c r="S6093" i="1"/>
  <c r="I6093" i="1"/>
  <c r="S6092" i="1"/>
  <c r="I6092" i="1"/>
  <c r="S6091" i="1"/>
  <c r="I6091" i="1"/>
  <c r="I6090" i="1"/>
  <c r="I6089" i="1"/>
  <c r="S6088" i="1"/>
  <c r="I6088" i="1"/>
  <c r="S6087" i="1"/>
  <c r="I6087" i="1"/>
  <c r="I6086" i="1"/>
  <c r="S6085" i="1"/>
  <c r="I6085" i="1"/>
  <c r="I6084" i="1"/>
  <c r="AJ6083" i="1"/>
  <c r="I6083" i="1"/>
  <c r="U6082" i="1"/>
  <c r="S6082" i="1"/>
  <c r="I6082" i="1"/>
  <c r="S6081" i="1"/>
  <c r="I6081" i="1"/>
  <c r="S6080" i="1"/>
  <c r="I6080" i="1"/>
  <c r="I6079" i="1"/>
  <c r="S6078" i="1"/>
  <c r="I6078" i="1"/>
  <c r="I6077" i="1"/>
  <c r="I6076" i="1"/>
  <c r="S6075" i="1"/>
  <c r="I6075" i="1"/>
  <c r="S6074" i="1"/>
  <c r="I6074" i="1"/>
  <c r="S6073" i="1"/>
  <c r="I6073" i="1"/>
  <c r="S6072" i="1"/>
  <c r="I6072" i="1"/>
  <c r="I6071" i="1"/>
  <c r="I6070" i="1"/>
  <c r="I6069" i="1"/>
  <c r="I6068" i="1"/>
  <c r="I6067" i="1"/>
  <c r="I6066" i="1"/>
  <c r="I6065" i="1"/>
  <c r="I6064" i="1"/>
  <c r="S6063" i="1"/>
  <c r="I6063" i="1"/>
  <c r="I6062" i="1"/>
  <c r="I6061" i="1"/>
  <c r="S6060" i="1"/>
  <c r="I6060" i="1"/>
  <c r="S6059" i="1"/>
  <c r="I6059" i="1"/>
  <c r="I6058" i="1"/>
  <c r="I6057" i="1"/>
  <c r="I6056" i="1"/>
  <c r="I6055" i="1"/>
  <c r="I6054" i="1"/>
  <c r="I6053" i="1"/>
  <c r="I6052" i="1"/>
  <c r="I6051" i="1"/>
  <c r="I6050" i="1"/>
  <c r="I6049" i="1"/>
  <c r="I6048" i="1"/>
  <c r="I6047" i="1"/>
  <c r="I6046" i="1"/>
  <c r="I6045" i="1"/>
  <c r="I6044" i="1"/>
  <c r="I6043" i="1"/>
  <c r="I6042" i="1"/>
  <c r="I6041" i="1"/>
  <c r="I6040" i="1"/>
  <c r="I6039" i="1"/>
  <c r="I6038" i="1"/>
  <c r="I6037" i="1"/>
  <c r="I6036" i="1"/>
  <c r="I6035" i="1"/>
  <c r="I6034" i="1"/>
  <c r="I6033" i="1"/>
  <c r="I6032" i="1"/>
  <c r="I6031" i="1"/>
  <c r="I6030" i="1"/>
  <c r="I6029" i="1"/>
  <c r="I6028" i="1"/>
  <c r="I6027" i="1"/>
  <c r="I6026" i="1"/>
  <c r="I6025" i="1"/>
  <c r="I6024" i="1"/>
  <c r="S6023" i="1"/>
  <c r="I6023" i="1"/>
  <c r="I6022" i="1"/>
  <c r="I6021" i="1"/>
  <c r="I6020" i="1"/>
  <c r="I6019" i="1"/>
  <c r="I6018" i="1"/>
  <c r="I6017" i="1"/>
  <c r="I6016" i="1"/>
  <c r="I6015" i="1"/>
  <c r="AJ6014" i="1"/>
  <c r="I6014" i="1"/>
  <c r="S6013" i="1"/>
  <c r="I6013" i="1"/>
  <c r="I6012" i="1"/>
  <c r="I6011" i="1"/>
  <c r="AJ6010" i="1"/>
  <c r="I6010" i="1"/>
  <c r="S6009" i="1"/>
  <c r="I6009" i="1"/>
  <c r="AJ6008" i="1"/>
  <c r="I6008" i="1"/>
  <c r="I6007" i="1"/>
  <c r="I6006" i="1"/>
  <c r="S6005" i="1"/>
  <c r="I6005" i="1"/>
  <c r="S6004" i="1"/>
  <c r="I6004" i="1"/>
  <c r="S6003" i="1"/>
  <c r="I6003" i="1"/>
  <c r="AJ6002" i="1"/>
  <c r="I6002" i="1"/>
  <c r="AJ6001" i="1"/>
  <c r="I6001" i="1"/>
  <c r="AJ6000" i="1"/>
  <c r="I6000" i="1"/>
  <c r="I5999" i="1"/>
  <c r="S5998" i="1"/>
  <c r="I5998" i="1"/>
  <c r="S5997" i="1"/>
  <c r="I5997" i="1"/>
  <c r="U5996" i="1"/>
  <c r="S5996" i="1"/>
  <c r="I5996" i="1"/>
  <c r="I5995" i="1"/>
  <c r="S5994" i="1"/>
  <c r="I5994" i="1"/>
  <c r="S5993" i="1"/>
  <c r="I5993" i="1"/>
  <c r="S5992" i="1"/>
  <c r="I5992" i="1"/>
  <c r="S5991" i="1"/>
  <c r="I5991" i="1"/>
  <c r="AJ5990" i="1"/>
  <c r="I5990" i="1"/>
  <c r="S5989" i="1"/>
  <c r="I5989" i="1"/>
  <c r="S5988" i="1"/>
  <c r="I5988" i="1"/>
  <c r="I5987" i="1"/>
  <c r="AJ5986" i="1"/>
  <c r="I5986" i="1"/>
  <c r="AJ5985" i="1"/>
  <c r="I5985" i="1"/>
  <c r="S5984" i="1"/>
  <c r="I5984" i="1"/>
  <c r="AJ5983" i="1"/>
  <c r="S5983" i="1"/>
  <c r="I5983" i="1"/>
  <c r="AJ5982" i="1"/>
  <c r="I5982" i="1"/>
  <c r="AJ5981" i="1"/>
  <c r="S5981" i="1"/>
  <c r="I5981" i="1"/>
  <c r="I5980" i="1"/>
  <c r="AJ5979" i="1"/>
  <c r="S5979" i="1"/>
  <c r="I5979" i="1"/>
  <c r="AJ5978" i="1"/>
  <c r="S5978" i="1"/>
  <c r="I5978" i="1"/>
  <c r="AJ5977" i="1"/>
  <c r="I5977" i="1"/>
  <c r="U5976" i="1"/>
  <c r="S5976" i="1"/>
  <c r="I5976" i="1"/>
  <c r="I5975" i="1"/>
  <c r="I5974" i="1"/>
  <c r="I5973" i="1"/>
  <c r="S5972" i="1"/>
  <c r="I5972" i="1"/>
  <c r="I5971" i="1"/>
  <c r="S5970" i="1"/>
  <c r="I5970" i="1"/>
  <c r="S5969" i="1"/>
  <c r="I5969" i="1"/>
  <c r="S5968" i="1"/>
  <c r="I5968" i="1"/>
  <c r="I5967" i="1"/>
  <c r="I5966" i="1"/>
  <c r="I5965" i="1"/>
  <c r="I5964" i="1"/>
  <c r="S5963" i="1"/>
  <c r="I5963" i="1"/>
  <c r="I5962" i="1"/>
  <c r="S5961" i="1"/>
  <c r="I5961" i="1"/>
  <c r="S5960" i="1"/>
  <c r="I5960" i="1"/>
  <c r="S5959" i="1"/>
  <c r="I5959" i="1"/>
  <c r="S5958" i="1"/>
  <c r="I5958" i="1"/>
  <c r="I5957" i="1"/>
  <c r="I5956" i="1"/>
  <c r="S5955" i="1"/>
  <c r="I5955" i="1"/>
  <c r="S5954" i="1"/>
  <c r="I5954" i="1"/>
  <c r="I5953" i="1"/>
  <c r="S5952" i="1"/>
  <c r="I5952" i="1"/>
  <c r="I5951" i="1"/>
  <c r="AJ5950" i="1"/>
  <c r="I5950" i="1"/>
  <c r="AJ5949" i="1"/>
  <c r="I5949" i="1"/>
  <c r="AJ5948" i="1"/>
  <c r="S5948" i="1"/>
  <c r="I5948" i="1"/>
  <c r="I5947" i="1"/>
  <c r="I5946" i="1"/>
  <c r="I5945" i="1"/>
  <c r="U5944" i="1"/>
  <c r="I5944" i="1"/>
  <c r="S5943" i="1"/>
  <c r="I5943" i="1"/>
  <c r="I5942" i="1"/>
  <c r="I5941" i="1"/>
  <c r="I5940" i="1"/>
  <c r="S5939" i="1"/>
  <c r="I5939" i="1"/>
  <c r="U5938" i="1"/>
  <c r="S5938" i="1"/>
  <c r="I5938" i="1"/>
  <c r="S5937" i="1"/>
  <c r="I5937" i="1"/>
  <c r="I5936" i="1"/>
  <c r="I5935" i="1"/>
  <c r="I5934" i="1"/>
  <c r="S5933" i="1"/>
  <c r="I5933" i="1"/>
  <c r="S5932" i="1"/>
  <c r="I5932" i="1"/>
  <c r="S5931" i="1"/>
  <c r="I5931" i="1"/>
  <c r="S5930" i="1"/>
  <c r="I5930" i="1"/>
  <c r="I5929" i="1"/>
  <c r="S5928" i="1"/>
  <c r="I5928" i="1"/>
  <c r="S5927" i="1"/>
  <c r="I5927" i="1"/>
  <c r="I5926" i="1"/>
  <c r="I5925" i="1"/>
  <c r="I5924" i="1"/>
  <c r="I5923" i="1"/>
  <c r="S5922" i="1"/>
  <c r="I5922" i="1"/>
  <c r="I5921" i="1"/>
  <c r="S5920" i="1"/>
  <c r="I5920" i="1"/>
  <c r="S5919" i="1"/>
  <c r="I5919" i="1"/>
  <c r="I5918" i="1"/>
  <c r="I5917" i="1"/>
  <c r="S5916" i="1"/>
  <c r="I5916" i="1"/>
  <c r="I5915" i="1"/>
  <c r="I5914" i="1"/>
  <c r="I5913" i="1"/>
  <c r="I5912" i="1"/>
  <c r="S5911" i="1"/>
  <c r="I5911" i="1"/>
  <c r="I5910" i="1"/>
  <c r="I5909" i="1"/>
  <c r="I5908" i="1"/>
  <c r="I5907" i="1"/>
  <c r="I5906" i="1"/>
  <c r="I5905" i="1"/>
  <c r="I5904" i="1"/>
  <c r="I5903" i="1"/>
  <c r="S5902" i="1"/>
  <c r="I5902" i="1"/>
  <c r="S5901" i="1"/>
  <c r="I5901" i="1"/>
  <c r="I5900" i="1"/>
  <c r="S5899" i="1"/>
  <c r="I5899" i="1"/>
  <c r="S5898" i="1"/>
  <c r="I5898" i="1"/>
  <c r="S5897" i="1"/>
  <c r="I5897" i="1"/>
  <c r="S5896" i="1"/>
  <c r="I5896" i="1"/>
  <c r="I5895" i="1"/>
  <c r="S5894" i="1"/>
  <c r="I5894" i="1"/>
  <c r="I5893" i="1"/>
  <c r="I5892" i="1"/>
  <c r="S5891" i="1"/>
  <c r="I5891" i="1"/>
  <c r="S5890" i="1"/>
  <c r="I5890" i="1"/>
  <c r="I5889" i="1"/>
  <c r="I5888" i="1"/>
  <c r="S5887" i="1"/>
  <c r="I5887" i="1"/>
  <c r="I5886" i="1"/>
  <c r="I5885" i="1"/>
  <c r="I5884" i="1"/>
  <c r="I5883" i="1"/>
  <c r="S5882" i="1"/>
  <c r="I5882" i="1"/>
  <c r="I5881" i="1"/>
  <c r="S5880" i="1"/>
  <c r="I5880" i="1"/>
  <c r="S5879" i="1"/>
  <c r="I5879" i="1"/>
  <c r="S5878" i="1"/>
  <c r="I5878" i="1"/>
  <c r="I5877" i="1"/>
  <c r="I5876" i="1"/>
  <c r="U5875" i="1"/>
  <c r="I5875" i="1"/>
  <c r="S5874" i="1"/>
  <c r="I5874" i="1"/>
  <c r="I5873" i="1"/>
  <c r="S5872" i="1"/>
  <c r="I5872" i="1"/>
  <c r="S5871" i="1"/>
  <c r="I5871" i="1"/>
  <c r="I5870" i="1"/>
  <c r="I5869" i="1"/>
  <c r="S5868" i="1"/>
  <c r="I5868" i="1"/>
  <c r="I5867" i="1"/>
  <c r="U5866" i="1"/>
  <c r="S5866" i="1"/>
  <c r="I5866" i="1"/>
  <c r="S5865" i="1"/>
  <c r="I5865" i="1"/>
  <c r="S5864" i="1"/>
  <c r="I5864" i="1"/>
  <c r="S5863" i="1"/>
  <c r="I5863" i="1"/>
  <c r="S5862" i="1"/>
  <c r="I5862" i="1"/>
  <c r="I5861" i="1"/>
  <c r="I5860" i="1"/>
  <c r="I5859" i="1"/>
  <c r="S5858" i="1"/>
  <c r="I5858" i="1"/>
  <c r="S5857" i="1"/>
  <c r="I5857" i="1"/>
  <c r="S5856" i="1"/>
  <c r="I5856" i="1"/>
  <c r="I5855" i="1"/>
  <c r="I5854" i="1"/>
  <c r="I5853" i="1"/>
  <c r="S5852" i="1"/>
  <c r="I5852" i="1"/>
  <c r="I5851" i="1"/>
  <c r="S5850" i="1"/>
  <c r="I5850" i="1"/>
  <c r="I5849" i="1"/>
  <c r="I5848" i="1"/>
  <c r="I5847" i="1"/>
  <c r="I5846" i="1"/>
  <c r="I5845" i="1"/>
  <c r="I5843" i="1"/>
  <c r="S5842" i="1"/>
  <c r="I5842" i="1"/>
  <c r="S5841" i="1"/>
  <c r="I5841" i="1"/>
  <c r="S5840" i="1"/>
  <c r="I5840" i="1"/>
  <c r="I5839" i="1"/>
  <c r="S5838" i="1"/>
  <c r="I5838" i="1"/>
  <c r="I5837" i="1"/>
  <c r="I5836" i="1"/>
  <c r="S5835" i="1"/>
  <c r="I5835" i="1"/>
  <c r="I5834" i="1"/>
  <c r="I5833" i="1"/>
  <c r="I5832" i="1"/>
  <c r="I5831" i="1"/>
  <c r="I5830" i="1"/>
  <c r="I5829" i="1"/>
  <c r="S5828" i="1"/>
  <c r="I5828" i="1"/>
  <c r="I5827" i="1"/>
  <c r="I5826" i="1"/>
  <c r="S5825" i="1"/>
  <c r="I5825" i="1"/>
  <c r="S5824" i="1"/>
  <c r="I5824" i="1"/>
  <c r="S5823" i="1"/>
  <c r="I5823" i="1"/>
  <c r="S5822" i="1"/>
  <c r="I5822" i="1"/>
  <c r="S5821" i="1"/>
  <c r="I5821" i="1"/>
  <c r="I5820" i="1"/>
  <c r="S5819" i="1"/>
  <c r="I5819" i="1"/>
  <c r="S5817" i="1"/>
  <c r="I5817" i="1"/>
  <c r="S5816" i="1"/>
  <c r="I5816" i="1"/>
  <c r="I5815" i="1"/>
  <c r="I5814" i="1"/>
  <c r="I5813" i="1"/>
  <c r="S5812" i="1"/>
  <c r="I5812" i="1"/>
  <c r="I5811" i="1"/>
  <c r="I5810" i="1"/>
  <c r="I5809" i="1"/>
  <c r="S5808" i="1"/>
  <c r="I5808" i="1"/>
  <c r="S5807" i="1"/>
  <c r="I5807" i="1"/>
  <c r="I5806" i="1"/>
  <c r="I5805" i="1"/>
  <c r="I5804" i="1"/>
  <c r="I5803" i="1"/>
  <c r="I5802" i="1"/>
  <c r="U5801" i="1"/>
  <c r="I5801" i="1"/>
  <c r="I5800" i="1"/>
  <c r="I5799" i="1"/>
  <c r="I5798" i="1"/>
  <c r="I5797" i="1"/>
  <c r="I5796" i="1"/>
  <c r="S5795" i="1"/>
  <c r="I5795" i="1"/>
  <c r="I5794" i="1"/>
  <c r="I5793" i="1"/>
  <c r="I5792" i="1"/>
  <c r="I5791" i="1"/>
  <c r="U5790" i="1"/>
  <c r="I5790" i="1"/>
  <c r="S5789" i="1"/>
  <c r="I5789" i="1"/>
  <c r="I5788" i="1"/>
  <c r="S5787" i="1"/>
  <c r="I5787" i="1"/>
  <c r="S5786" i="1"/>
  <c r="I5786" i="1"/>
  <c r="I5785" i="1"/>
  <c r="I5784" i="1"/>
  <c r="I5783" i="1"/>
  <c r="I5782" i="1"/>
  <c r="I5781" i="1"/>
  <c r="I5780" i="1"/>
  <c r="S5779" i="1"/>
  <c r="I5779" i="1"/>
  <c r="I5778" i="1"/>
  <c r="S5776" i="1"/>
  <c r="I5776" i="1"/>
  <c r="U5774" i="1"/>
  <c r="I5773" i="1"/>
  <c r="I5772" i="1"/>
  <c r="I5771" i="1"/>
  <c r="S5770" i="1"/>
  <c r="I5770" i="1"/>
  <c r="S5769" i="1"/>
  <c r="I5769" i="1"/>
  <c r="I5768" i="1"/>
  <c r="S5767" i="1"/>
  <c r="I5767" i="1"/>
  <c r="S5766" i="1"/>
  <c r="I5766" i="1"/>
  <c r="I5765" i="1"/>
  <c r="I5764" i="1"/>
  <c r="S5763" i="1"/>
  <c r="I5763" i="1"/>
  <c r="I5762" i="1"/>
  <c r="I5761" i="1"/>
  <c r="I5760" i="1"/>
  <c r="S5759" i="1"/>
  <c r="I5759" i="1"/>
  <c r="S5758" i="1"/>
  <c r="I5758" i="1"/>
  <c r="S5757" i="1"/>
  <c r="I5757" i="1"/>
  <c r="S5756" i="1"/>
  <c r="I5756" i="1"/>
  <c r="S5755" i="1"/>
  <c r="I5755" i="1"/>
  <c r="S5754" i="1"/>
  <c r="I5754" i="1"/>
  <c r="S5753" i="1"/>
  <c r="I5753" i="1"/>
  <c r="S5752" i="1"/>
  <c r="I5752" i="1"/>
  <c r="I5751" i="1"/>
  <c r="U5750" i="1"/>
  <c r="S5750" i="1"/>
  <c r="I5750" i="1"/>
  <c r="S5749" i="1"/>
  <c r="I5749" i="1"/>
  <c r="S5748" i="1"/>
  <c r="I5748" i="1"/>
  <c r="I5747" i="1"/>
  <c r="S5746" i="1"/>
  <c r="I5746" i="1"/>
  <c r="U5745" i="1"/>
  <c r="I5745" i="1"/>
  <c r="I5744" i="1"/>
  <c r="I5743" i="1"/>
  <c r="I5742" i="1"/>
  <c r="I5741" i="1"/>
  <c r="I5740" i="1"/>
  <c r="I5739" i="1"/>
  <c r="I5738" i="1"/>
  <c r="S5737" i="1"/>
  <c r="I5737" i="1"/>
  <c r="U5736" i="1"/>
  <c r="S5736" i="1"/>
  <c r="I5736" i="1"/>
  <c r="I5735" i="1"/>
  <c r="S5734" i="1"/>
  <c r="I5734" i="1"/>
  <c r="S5733" i="1"/>
  <c r="I5733" i="1"/>
  <c r="I5732" i="1"/>
  <c r="S5731" i="1"/>
  <c r="I5731" i="1"/>
  <c r="S5730" i="1"/>
  <c r="I5729" i="1"/>
  <c r="I5728" i="1"/>
  <c r="S5727" i="1"/>
  <c r="I5727" i="1"/>
  <c r="U5726" i="1"/>
  <c r="S5726" i="1"/>
  <c r="I5726" i="1"/>
  <c r="I5725" i="1"/>
  <c r="S5724" i="1"/>
  <c r="I5724" i="1"/>
  <c r="I5723" i="1"/>
  <c r="I5722" i="1"/>
  <c r="I5721" i="1"/>
  <c r="I5720" i="1"/>
  <c r="I5719" i="1"/>
  <c r="I5718" i="1"/>
  <c r="I5717" i="1"/>
  <c r="I5716" i="1"/>
  <c r="I5715" i="1"/>
  <c r="I5714" i="1"/>
  <c r="I5713" i="1"/>
  <c r="S5712" i="1"/>
  <c r="I5712" i="1"/>
  <c r="I5711" i="1"/>
  <c r="I5710" i="1"/>
  <c r="S5709" i="1"/>
  <c r="I5709" i="1"/>
  <c r="I5708" i="1"/>
  <c r="I5707" i="1"/>
  <c r="I5706" i="1"/>
  <c r="I5705" i="1"/>
  <c r="I5704" i="1"/>
  <c r="I5703" i="1"/>
  <c r="I5702" i="1"/>
  <c r="I5701" i="1"/>
  <c r="I5700" i="1"/>
  <c r="I5699" i="1"/>
  <c r="I5698" i="1"/>
  <c r="I5697" i="1"/>
  <c r="S5696" i="1"/>
  <c r="I5696" i="1"/>
  <c r="I5695" i="1"/>
  <c r="I5694" i="1"/>
  <c r="I5693" i="1"/>
  <c r="I5692" i="1"/>
  <c r="I5691" i="1"/>
  <c r="I5690" i="1"/>
  <c r="I5689" i="1"/>
  <c r="I5688" i="1"/>
  <c r="I5687" i="1"/>
  <c r="S5686" i="1"/>
  <c r="I5686" i="1"/>
  <c r="I5685" i="1"/>
  <c r="I5684" i="1"/>
  <c r="S5683" i="1"/>
  <c r="I5683" i="1"/>
  <c r="S5682" i="1"/>
  <c r="I5682" i="1"/>
  <c r="I5681" i="1"/>
  <c r="S5680" i="1"/>
  <c r="I5680" i="1"/>
  <c r="I5679" i="1"/>
  <c r="S5678" i="1"/>
  <c r="I5678" i="1"/>
  <c r="I5677" i="1"/>
  <c r="I5676" i="1"/>
  <c r="S5675" i="1"/>
  <c r="I5675" i="1"/>
  <c r="S5674" i="1"/>
  <c r="I5674" i="1"/>
  <c r="S5673" i="1"/>
  <c r="I5673" i="1"/>
  <c r="I5672" i="1"/>
  <c r="I5671" i="1"/>
  <c r="I5670" i="1"/>
  <c r="I5669" i="1"/>
  <c r="I5668" i="1"/>
  <c r="I5667" i="1"/>
  <c r="I5666" i="1"/>
  <c r="I5665" i="1"/>
  <c r="I5664" i="1"/>
  <c r="S5663" i="1"/>
  <c r="I5663" i="1"/>
  <c r="I5662" i="1"/>
  <c r="S5661" i="1"/>
  <c r="I5661" i="1"/>
  <c r="I5660" i="1"/>
  <c r="I5659" i="1"/>
  <c r="S5658" i="1"/>
  <c r="I5658" i="1"/>
  <c r="I5657" i="1"/>
  <c r="I5656" i="1"/>
  <c r="I5655" i="1"/>
  <c r="I5654" i="1"/>
  <c r="S5653" i="1"/>
  <c r="I5653" i="1"/>
  <c r="I5652" i="1"/>
  <c r="I5651" i="1"/>
  <c r="S5650" i="1"/>
  <c r="I5650" i="1"/>
  <c r="S5649" i="1"/>
  <c r="I5649" i="1"/>
  <c r="I5648" i="1"/>
  <c r="S5647" i="1"/>
  <c r="I5647" i="1"/>
  <c r="I5646" i="1"/>
  <c r="I5645" i="1"/>
  <c r="S5644" i="1"/>
  <c r="I5644" i="1"/>
  <c r="I5643" i="1"/>
  <c r="I5642" i="1"/>
  <c r="I5641" i="1"/>
  <c r="S5640" i="1"/>
  <c r="I5640" i="1"/>
  <c r="I5639" i="1"/>
  <c r="S5638" i="1"/>
  <c r="I5638" i="1"/>
  <c r="I5637" i="1"/>
  <c r="I5636" i="1"/>
  <c r="I5635" i="1"/>
  <c r="I5634" i="1"/>
  <c r="I5633" i="1"/>
  <c r="S5632" i="1"/>
  <c r="I5632" i="1"/>
  <c r="S5631" i="1"/>
  <c r="I5631" i="1"/>
  <c r="I5630" i="1"/>
  <c r="I5629" i="1"/>
  <c r="I5628" i="1"/>
  <c r="S5627" i="1"/>
  <c r="I5627" i="1"/>
  <c r="S5626" i="1"/>
  <c r="I5626" i="1"/>
  <c r="S5625" i="1"/>
  <c r="I5625" i="1"/>
  <c r="S5624" i="1"/>
  <c r="I5624" i="1"/>
  <c r="I5623" i="1"/>
  <c r="I5622" i="1"/>
  <c r="S5621" i="1"/>
  <c r="I5621" i="1"/>
  <c r="S5620" i="1"/>
  <c r="I5620" i="1"/>
  <c r="S5619" i="1"/>
  <c r="I5619" i="1"/>
  <c r="S5618" i="1"/>
  <c r="I5618" i="1"/>
  <c r="S5617" i="1"/>
  <c r="I5617" i="1"/>
  <c r="S5616" i="1"/>
  <c r="I5616" i="1"/>
  <c r="S5615" i="1"/>
  <c r="I5615" i="1"/>
  <c r="S5614" i="1"/>
  <c r="I5614" i="1"/>
  <c r="I5613" i="1"/>
  <c r="S5612" i="1"/>
  <c r="I5612" i="1"/>
  <c r="I5611" i="1"/>
  <c r="I5610" i="1"/>
  <c r="I5609" i="1"/>
  <c r="S5608" i="1"/>
  <c r="I5608" i="1"/>
  <c r="I5607" i="1"/>
  <c r="I5606" i="1"/>
  <c r="S5605" i="1"/>
  <c r="I5605" i="1"/>
  <c r="I5604" i="1"/>
  <c r="S5603" i="1"/>
  <c r="I5603" i="1"/>
  <c r="S5602" i="1"/>
  <c r="I5602" i="1"/>
  <c r="S5601" i="1"/>
  <c r="I5601" i="1"/>
  <c r="S5600" i="1"/>
  <c r="I5600" i="1"/>
  <c r="S5599" i="1"/>
  <c r="I5599" i="1"/>
  <c r="I5598" i="1"/>
  <c r="S5597" i="1"/>
  <c r="I5597" i="1"/>
  <c r="S5596" i="1"/>
  <c r="I5596" i="1"/>
  <c r="S5595" i="1"/>
  <c r="I5595" i="1"/>
  <c r="I5594" i="1"/>
  <c r="S5593" i="1"/>
  <c r="I5593" i="1"/>
  <c r="I5592" i="1"/>
  <c r="S5591" i="1"/>
  <c r="I5591" i="1"/>
  <c r="I5590" i="1"/>
  <c r="I5589" i="1"/>
  <c r="I5588" i="1"/>
  <c r="I5587" i="1"/>
  <c r="I5586" i="1"/>
  <c r="I5585" i="1"/>
  <c r="S5584" i="1"/>
  <c r="I5584" i="1"/>
  <c r="S5583" i="1"/>
  <c r="I5583" i="1"/>
  <c r="S5582" i="1"/>
  <c r="I5582" i="1"/>
  <c r="S5581" i="1"/>
  <c r="I5581" i="1"/>
  <c r="I5580" i="1"/>
  <c r="U5579" i="1"/>
  <c r="I5579" i="1"/>
  <c r="S5578" i="1"/>
  <c r="I5578" i="1"/>
  <c r="S5577" i="1"/>
  <c r="I5577" i="1"/>
  <c r="S5576" i="1"/>
  <c r="I5576" i="1"/>
  <c r="U5575" i="1"/>
  <c r="S5575" i="1"/>
  <c r="I5575" i="1"/>
  <c r="I5574" i="1"/>
  <c r="I5573" i="1"/>
  <c r="I5572" i="1"/>
  <c r="I5571" i="1"/>
  <c r="S5570" i="1"/>
  <c r="I5570" i="1"/>
  <c r="S5569" i="1"/>
  <c r="I5569" i="1"/>
  <c r="U5568" i="1"/>
  <c r="S5568" i="1"/>
  <c r="I5568" i="1"/>
  <c r="S5567" i="1"/>
  <c r="I5567" i="1"/>
  <c r="U5566" i="1"/>
  <c r="S5566" i="1"/>
  <c r="I5566" i="1"/>
  <c r="I5565" i="1"/>
  <c r="S5564" i="1"/>
  <c r="I5564" i="1"/>
  <c r="S5563" i="1"/>
  <c r="I5563" i="1"/>
  <c r="S5562" i="1"/>
  <c r="I5562" i="1"/>
  <c r="I5561" i="1"/>
  <c r="S5560" i="1"/>
  <c r="I5560" i="1"/>
  <c r="I5559" i="1"/>
  <c r="I5558" i="1"/>
  <c r="S5557" i="1"/>
  <c r="I5557" i="1"/>
  <c r="S5556" i="1"/>
  <c r="I5556" i="1"/>
  <c r="S5555" i="1"/>
  <c r="I5555" i="1"/>
  <c r="I5554" i="1"/>
  <c r="S5553" i="1"/>
  <c r="I5553" i="1"/>
  <c r="S5552" i="1"/>
  <c r="I5552" i="1"/>
  <c r="S5551" i="1"/>
  <c r="I5551" i="1"/>
  <c r="I5550" i="1"/>
  <c r="I5549" i="1"/>
  <c r="U5548" i="1"/>
  <c r="S5548" i="1"/>
  <c r="I5548" i="1"/>
  <c r="S5547" i="1"/>
  <c r="I5547" i="1"/>
  <c r="S5546" i="1"/>
  <c r="I5546" i="1"/>
  <c r="S5545" i="1"/>
  <c r="I5545" i="1"/>
  <c r="S5544" i="1"/>
  <c r="I5544" i="1"/>
  <c r="S5543" i="1"/>
  <c r="I5543" i="1"/>
  <c r="I5542" i="1"/>
  <c r="S5541" i="1"/>
  <c r="I5541" i="1"/>
  <c r="S5540" i="1"/>
  <c r="I5540" i="1"/>
  <c r="I5539" i="1"/>
  <c r="S5538" i="1"/>
  <c r="I5538" i="1"/>
  <c r="S5537" i="1"/>
  <c r="I5537" i="1"/>
  <c r="S5536" i="1"/>
  <c r="I5536" i="1"/>
  <c r="S5535" i="1"/>
  <c r="I5535" i="1"/>
  <c r="S5534" i="1"/>
  <c r="I5534" i="1"/>
  <c r="I5533" i="1"/>
  <c r="S5532" i="1"/>
  <c r="I5532" i="1"/>
  <c r="S5531" i="1"/>
  <c r="I5531" i="1"/>
  <c r="S5530" i="1"/>
  <c r="I5530" i="1"/>
  <c r="S5529" i="1"/>
  <c r="I5529" i="1"/>
  <c r="I5528" i="1"/>
  <c r="I5527" i="1"/>
  <c r="I5526" i="1"/>
  <c r="I5525" i="1"/>
  <c r="I5524" i="1"/>
  <c r="I5523" i="1"/>
  <c r="S5522" i="1"/>
  <c r="I5522" i="1"/>
  <c r="I5521" i="1"/>
  <c r="I5520" i="1"/>
  <c r="S5519" i="1"/>
  <c r="I5519" i="1"/>
  <c r="I5518" i="1"/>
  <c r="U5517" i="1"/>
  <c r="I5517" i="1"/>
  <c r="I5516" i="1"/>
  <c r="S5515" i="1"/>
  <c r="I5515" i="1"/>
  <c r="S5514" i="1"/>
  <c r="I5514" i="1"/>
  <c r="S5513" i="1"/>
  <c r="I5513" i="1"/>
  <c r="I5512" i="1"/>
  <c r="I5511" i="1"/>
  <c r="I5510" i="1"/>
  <c r="S5509" i="1"/>
  <c r="I5509" i="1"/>
  <c r="I5508" i="1"/>
  <c r="S5507" i="1"/>
  <c r="I5507" i="1"/>
  <c r="I5506" i="1"/>
  <c r="S5505" i="1"/>
  <c r="I5505" i="1"/>
  <c r="U5504" i="1"/>
  <c r="I5504" i="1"/>
  <c r="I5503" i="1"/>
  <c r="I5502" i="1"/>
  <c r="I5501" i="1"/>
  <c r="I5500" i="1"/>
  <c r="I5499" i="1"/>
  <c r="I5498" i="1"/>
  <c r="U5497" i="1"/>
  <c r="S5497" i="1"/>
  <c r="I5497" i="1"/>
  <c r="S5496" i="1"/>
  <c r="I5496" i="1"/>
  <c r="S5495" i="1"/>
  <c r="I5495" i="1"/>
  <c r="S5494" i="1"/>
  <c r="I5494" i="1"/>
  <c r="S5493" i="1"/>
  <c r="I5493" i="1"/>
  <c r="S5492" i="1"/>
  <c r="I5492" i="1"/>
  <c r="S5491" i="1"/>
  <c r="I5491" i="1"/>
  <c r="S5490" i="1"/>
  <c r="I5490" i="1"/>
  <c r="S5489" i="1"/>
  <c r="I5489" i="1"/>
  <c r="S5488" i="1"/>
  <c r="I5488" i="1"/>
  <c r="S5487" i="1"/>
  <c r="I5487" i="1"/>
  <c r="I5486" i="1"/>
  <c r="I5485" i="1"/>
  <c r="S5484" i="1"/>
  <c r="I5484" i="1"/>
  <c r="S5483" i="1"/>
  <c r="I5483" i="1"/>
  <c r="S5482" i="1"/>
  <c r="I5482" i="1"/>
  <c r="I5481" i="1"/>
  <c r="I5480" i="1"/>
  <c r="I5479" i="1"/>
  <c r="U5478" i="1"/>
  <c r="I5478" i="1"/>
  <c r="I5477" i="1"/>
  <c r="I5476" i="1"/>
  <c r="I5475" i="1"/>
  <c r="S5474" i="1"/>
  <c r="I5474" i="1"/>
  <c r="S5473" i="1"/>
  <c r="I5473" i="1"/>
  <c r="I5472" i="1"/>
  <c r="I5471" i="1"/>
  <c r="S5470" i="1"/>
  <c r="I5470" i="1"/>
  <c r="S5469" i="1"/>
  <c r="I5469" i="1"/>
  <c r="S5468" i="1"/>
  <c r="I5468" i="1"/>
  <c r="S5467" i="1"/>
  <c r="I5467" i="1"/>
  <c r="S5466" i="1"/>
  <c r="I5466" i="1"/>
  <c r="S5465" i="1"/>
  <c r="I5465" i="1"/>
  <c r="I5464" i="1"/>
  <c r="I5463" i="1"/>
  <c r="I5462" i="1"/>
  <c r="I5461" i="1"/>
  <c r="I5460" i="1"/>
  <c r="U5459" i="1"/>
  <c r="I5459" i="1"/>
  <c r="S5458" i="1"/>
  <c r="I5458" i="1"/>
  <c r="S5457" i="1"/>
  <c r="I5457" i="1"/>
  <c r="I5456" i="1"/>
  <c r="I5455" i="1"/>
  <c r="I5454" i="1"/>
  <c r="S5453" i="1"/>
  <c r="I5453" i="1"/>
  <c r="S5452" i="1"/>
  <c r="I5452" i="1"/>
  <c r="S5451" i="1"/>
  <c r="I5451" i="1"/>
  <c r="I5450" i="1"/>
  <c r="U5449" i="1"/>
  <c r="I5449" i="1"/>
  <c r="S5448" i="1"/>
  <c r="I5448" i="1"/>
  <c r="I5447" i="1"/>
  <c r="I5446" i="1"/>
  <c r="I5445" i="1"/>
  <c r="S5444" i="1"/>
  <c r="I5444" i="1"/>
  <c r="U5443" i="1"/>
  <c r="I5443" i="1"/>
  <c r="U5442" i="1"/>
  <c r="I5442" i="1"/>
  <c r="S5441" i="1"/>
  <c r="I5441" i="1"/>
  <c r="I5440" i="1"/>
  <c r="I5439" i="1"/>
  <c r="S5438" i="1"/>
  <c r="I5438" i="1"/>
  <c r="I5437" i="1"/>
  <c r="I5436" i="1"/>
  <c r="I5435" i="1"/>
  <c r="S5434" i="1"/>
  <c r="I5434" i="1"/>
  <c r="I5433" i="1"/>
  <c r="I5432" i="1"/>
  <c r="S5431" i="1"/>
  <c r="I5431" i="1"/>
  <c r="S5430" i="1"/>
  <c r="I5430" i="1"/>
  <c r="S5429" i="1"/>
  <c r="I5429" i="1"/>
  <c r="I5428" i="1"/>
  <c r="I5427" i="1"/>
  <c r="I5426" i="1"/>
  <c r="S5425" i="1"/>
  <c r="I5425" i="1"/>
  <c r="S5424" i="1"/>
  <c r="I5424" i="1"/>
  <c r="I5423" i="1"/>
  <c r="S5422" i="1"/>
  <c r="I5422" i="1"/>
  <c r="I5421" i="1"/>
  <c r="I5420" i="1"/>
  <c r="S5419" i="1"/>
  <c r="I5419" i="1"/>
  <c r="I5418" i="1"/>
  <c r="I5417" i="1"/>
  <c r="S5416" i="1"/>
  <c r="I5416" i="1"/>
  <c r="I5415" i="1"/>
  <c r="I5414" i="1"/>
  <c r="S5413" i="1"/>
  <c r="I5413" i="1"/>
  <c r="I5412" i="1"/>
  <c r="S5411" i="1"/>
  <c r="I5411" i="1"/>
  <c r="S5410" i="1"/>
  <c r="I5410" i="1"/>
  <c r="S5409" i="1"/>
  <c r="I5409" i="1"/>
  <c r="I5408" i="1"/>
  <c r="S5407" i="1"/>
  <c r="I5407" i="1"/>
  <c r="S5406" i="1"/>
  <c r="I5406" i="1"/>
  <c r="I5405" i="1"/>
  <c r="S5404" i="1"/>
  <c r="I5404" i="1"/>
  <c r="S5403" i="1"/>
  <c r="I5403" i="1"/>
  <c r="I5402" i="1"/>
  <c r="I5401" i="1"/>
  <c r="I5400" i="1"/>
  <c r="S5399" i="1"/>
  <c r="I5399" i="1"/>
  <c r="S5398" i="1"/>
  <c r="I5398" i="1"/>
  <c r="I5397" i="1"/>
  <c r="S5396" i="1"/>
  <c r="I5396" i="1"/>
  <c r="S5395" i="1"/>
  <c r="I5395" i="1"/>
  <c r="I5394" i="1"/>
  <c r="S5393" i="1"/>
  <c r="I5393" i="1"/>
  <c r="I5392" i="1"/>
  <c r="U5391" i="1"/>
  <c r="I5391" i="1"/>
  <c r="I5390" i="1"/>
  <c r="I5389" i="1"/>
  <c r="S5388" i="1"/>
  <c r="I5388" i="1"/>
  <c r="I5387" i="1"/>
  <c r="I5386" i="1"/>
  <c r="S5385" i="1"/>
  <c r="I5385" i="1"/>
  <c r="S5384" i="1"/>
  <c r="I5384" i="1"/>
  <c r="I5383" i="1"/>
  <c r="I5382" i="1"/>
  <c r="I5381" i="1"/>
  <c r="I5380" i="1"/>
  <c r="I5379" i="1"/>
  <c r="U5378" i="1"/>
  <c r="S5378" i="1"/>
  <c r="I5378" i="1"/>
  <c r="S5377" i="1"/>
  <c r="I5377" i="1"/>
  <c r="I5376" i="1"/>
  <c r="U5375" i="1"/>
  <c r="I5375" i="1"/>
  <c r="U5374" i="1"/>
  <c r="I5374" i="1"/>
  <c r="I5373" i="1"/>
  <c r="S5372" i="1"/>
  <c r="I5372" i="1"/>
  <c r="S5371" i="1"/>
  <c r="I5371" i="1"/>
  <c r="I5370" i="1"/>
  <c r="S5369" i="1"/>
  <c r="I5369" i="1"/>
  <c r="U5368" i="1"/>
  <c r="S5368" i="1"/>
  <c r="I5368" i="1"/>
  <c r="I5367" i="1"/>
  <c r="I5366" i="1"/>
  <c r="I5365" i="1"/>
  <c r="S5364" i="1"/>
  <c r="I5364" i="1"/>
  <c r="S5363" i="1"/>
  <c r="I5363" i="1"/>
  <c r="I5362" i="1"/>
  <c r="I5361" i="1"/>
  <c r="I5360" i="1"/>
  <c r="S5359" i="1"/>
  <c r="I5359" i="1"/>
  <c r="S5358" i="1"/>
  <c r="I5358" i="1"/>
  <c r="I5357" i="1"/>
  <c r="S5356" i="1"/>
  <c r="I5356" i="1"/>
  <c r="S5355" i="1"/>
  <c r="I5355" i="1"/>
  <c r="I5354" i="1"/>
  <c r="I5353" i="1"/>
  <c r="I5352" i="1"/>
  <c r="S5351" i="1"/>
  <c r="I5351" i="1"/>
  <c r="S5350" i="1"/>
  <c r="I5350" i="1"/>
  <c r="S5349" i="1"/>
  <c r="I5349" i="1"/>
  <c r="S5348" i="1"/>
  <c r="I5348" i="1"/>
  <c r="I5347" i="1"/>
  <c r="S5346" i="1"/>
  <c r="I5346" i="1"/>
  <c r="S5345" i="1"/>
  <c r="I5345" i="1"/>
  <c r="I5344" i="1"/>
  <c r="I5343" i="1"/>
  <c r="S5342" i="1"/>
  <c r="I5342" i="1"/>
  <c r="I5341" i="1"/>
  <c r="S5340" i="1"/>
  <c r="I5340" i="1"/>
  <c r="S5339" i="1"/>
  <c r="I5339" i="1"/>
  <c r="I5338" i="1"/>
  <c r="I5337" i="1"/>
  <c r="I5336" i="1"/>
  <c r="S5335" i="1"/>
  <c r="I5335" i="1"/>
  <c r="I5334" i="1"/>
  <c r="S5333" i="1"/>
  <c r="I5333" i="1"/>
  <c r="S5332" i="1"/>
  <c r="I5332" i="1"/>
  <c r="I5331" i="1"/>
  <c r="S5330" i="1"/>
  <c r="I5330" i="1"/>
  <c r="S5329" i="1"/>
  <c r="I5329" i="1"/>
  <c r="S5328" i="1"/>
  <c r="I5328" i="1"/>
  <c r="I5327" i="1"/>
  <c r="I5326" i="1"/>
  <c r="S5325" i="1"/>
  <c r="I5325" i="1"/>
  <c r="I5324" i="1"/>
  <c r="I5323" i="1"/>
  <c r="I5322" i="1"/>
  <c r="I5321" i="1"/>
  <c r="I5320" i="1"/>
  <c r="I5319" i="1"/>
  <c r="S5318" i="1"/>
  <c r="I5318" i="1"/>
  <c r="S5317" i="1"/>
  <c r="I5317" i="1"/>
  <c r="S5316" i="1"/>
  <c r="I5316" i="1"/>
  <c r="S5315" i="1"/>
  <c r="I5315" i="1"/>
  <c r="S5314" i="1"/>
  <c r="I5314" i="1"/>
  <c r="I5313" i="1"/>
  <c r="I5312" i="1"/>
  <c r="I5311" i="1"/>
  <c r="S5310" i="1"/>
  <c r="I5310" i="1"/>
  <c r="S5309" i="1"/>
  <c r="I5309" i="1"/>
  <c r="S5308" i="1"/>
  <c r="I5308" i="1"/>
  <c r="I5307" i="1"/>
  <c r="I5306" i="1"/>
  <c r="S5305" i="1"/>
  <c r="I5305" i="1"/>
  <c r="S5304" i="1"/>
  <c r="I5304" i="1"/>
  <c r="S5303" i="1"/>
  <c r="I5303" i="1"/>
  <c r="S5302" i="1"/>
  <c r="I5302" i="1"/>
  <c r="I5301" i="1"/>
  <c r="I5300" i="1"/>
  <c r="I5299" i="1"/>
  <c r="I5298" i="1"/>
  <c r="U5297" i="1"/>
  <c r="S5297" i="1"/>
  <c r="I5297" i="1"/>
  <c r="I5296" i="1"/>
  <c r="S5295" i="1"/>
  <c r="I5295" i="1"/>
  <c r="S5294" i="1"/>
  <c r="I5294" i="1"/>
  <c r="S5293" i="1"/>
  <c r="I5293" i="1"/>
  <c r="I5292" i="1"/>
  <c r="U5291" i="1"/>
  <c r="I5291" i="1"/>
  <c r="S5290" i="1"/>
  <c r="I5290" i="1"/>
  <c r="I5289" i="1"/>
  <c r="S5288" i="1"/>
  <c r="I5288" i="1"/>
  <c r="U5287" i="1"/>
  <c r="S5287" i="1"/>
  <c r="I5287" i="1"/>
  <c r="U5286" i="1"/>
  <c r="I5286" i="1"/>
  <c r="S5285" i="1"/>
  <c r="I5285" i="1"/>
  <c r="I5284" i="1"/>
  <c r="I5283" i="1"/>
  <c r="I5282" i="1"/>
  <c r="S5281" i="1"/>
  <c r="I5281" i="1"/>
  <c r="S5280" i="1"/>
  <c r="I5280" i="1"/>
  <c r="I5279" i="1"/>
  <c r="I5278" i="1"/>
  <c r="S5277" i="1"/>
  <c r="I5277" i="1"/>
  <c r="S5276" i="1"/>
  <c r="I5276" i="1"/>
  <c r="I5275" i="1"/>
  <c r="I5274" i="1"/>
  <c r="I5273" i="1"/>
  <c r="I5272" i="1"/>
  <c r="I5271" i="1"/>
  <c r="I5270" i="1"/>
  <c r="S5269" i="1"/>
  <c r="I5269" i="1"/>
  <c r="I5268" i="1"/>
  <c r="I5267" i="1"/>
  <c r="AJ5266" i="1"/>
  <c r="I5266" i="1"/>
  <c r="I5265" i="1"/>
  <c r="I5264" i="1"/>
  <c r="I5263" i="1"/>
  <c r="I5262" i="1"/>
  <c r="S5261" i="1"/>
  <c r="I5261" i="1"/>
  <c r="I5260" i="1"/>
  <c r="I5259" i="1"/>
  <c r="I5258" i="1"/>
  <c r="I5257" i="1"/>
  <c r="I5256" i="1"/>
  <c r="I5255" i="1"/>
  <c r="I5254" i="1"/>
  <c r="I5253" i="1"/>
  <c r="I5252" i="1"/>
  <c r="I5251" i="1"/>
  <c r="I5250" i="1"/>
  <c r="I5249" i="1"/>
  <c r="I5248" i="1"/>
  <c r="I5247" i="1"/>
  <c r="I5246" i="1"/>
  <c r="I5245" i="1"/>
  <c r="I5244" i="1"/>
  <c r="I5243" i="1"/>
  <c r="I5242" i="1"/>
  <c r="I5241" i="1"/>
  <c r="I5240" i="1"/>
  <c r="I5239" i="1"/>
  <c r="I5238" i="1"/>
  <c r="I5237" i="1"/>
  <c r="I5236" i="1"/>
  <c r="I5235" i="1"/>
  <c r="I5234" i="1"/>
  <c r="I5233" i="1"/>
  <c r="I5232" i="1"/>
  <c r="I5231" i="1"/>
  <c r="I5230" i="1"/>
  <c r="I5229" i="1"/>
  <c r="I5228" i="1"/>
  <c r="I5227" i="1"/>
  <c r="S5226" i="1"/>
  <c r="I5226" i="1"/>
  <c r="S5225" i="1"/>
  <c r="I5225" i="1"/>
  <c r="I5224" i="1"/>
  <c r="I5223" i="1"/>
  <c r="I5222" i="1"/>
  <c r="I5221" i="1"/>
  <c r="I5220" i="1"/>
  <c r="S5219" i="1"/>
  <c r="I5219" i="1"/>
  <c r="I5218" i="1"/>
  <c r="I5217" i="1"/>
  <c r="I5216" i="1"/>
  <c r="S5215" i="1"/>
  <c r="I5215" i="1"/>
  <c r="I5214" i="1"/>
  <c r="I5213" i="1"/>
  <c r="I5212" i="1"/>
  <c r="I5211" i="1"/>
  <c r="I5210" i="1"/>
  <c r="I5209" i="1"/>
  <c r="S5208" i="1"/>
  <c r="I5208" i="1"/>
  <c r="S5207" i="1"/>
  <c r="I5207" i="1"/>
  <c r="S5206" i="1"/>
  <c r="I5206" i="1"/>
  <c r="S5205" i="1"/>
  <c r="I5205" i="1"/>
  <c r="I5204" i="1"/>
  <c r="I5203" i="1"/>
  <c r="I5202" i="1"/>
  <c r="U5201" i="1"/>
  <c r="I5201" i="1"/>
  <c r="S5200" i="1"/>
  <c r="I5200" i="1"/>
  <c r="I5199" i="1"/>
  <c r="S5198" i="1"/>
  <c r="I5198" i="1"/>
  <c r="I5197" i="1"/>
  <c r="I5196" i="1"/>
  <c r="I5195" i="1"/>
  <c r="I5194" i="1"/>
  <c r="I5193" i="1"/>
  <c r="I5192" i="1"/>
  <c r="I5191" i="1"/>
  <c r="I5190" i="1"/>
  <c r="I5189" i="1"/>
  <c r="S5188" i="1"/>
  <c r="I5188" i="1"/>
  <c r="S5187" i="1"/>
  <c r="I5187" i="1"/>
  <c r="I5186" i="1"/>
  <c r="I5185" i="1"/>
  <c r="S5184" i="1"/>
  <c r="I5184" i="1"/>
  <c r="I5183" i="1"/>
  <c r="I5182" i="1"/>
  <c r="I5181" i="1"/>
  <c r="I5180" i="1"/>
  <c r="S5179" i="1"/>
  <c r="I5179" i="1"/>
  <c r="I5178" i="1"/>
  <c r="I5177" i="1"/>
  <c r="I5176" i="1"/>
  <c r="S5175" i="1"/>
  <c r="I5175" i="1"/>
  <c r="I5174" i="1"/>
  <c r="I5173" i="1"/>
  <c r="I5172" i="1"/>
  <c r="I5171" i="1"/>
  <c r="I5170" i="1"/>
  <c r="I5169" i="1"/>
  <c r="S5168" i="1"/>
  <c r="I5168" i="1"/>
  <c r="I5167" i="1"/>
  <c r="I5166" i="1"/>
  <c r="S5165" i="1"/>
  <c r="I5165" i="1"/>
  <c r="I5164" i="1"/>
  <c r="I5163" i="1"/>
  <c r="S5162" i="1"/>
  <c r="I5162" i="1"/>
  <c r="I5161" i="1"/>
  <c r="I5160" i="1"/>
  <c r="S5159" i="1"/>
  <c r="I5159" i="1"/>
  <c r="I5158" i="1"/>
  <c r="I5157" i="1"/>
  <c r="I5156" i="1"/>
  <c r="I5155" i="1"/>
  <c r="S5154" i="1"/>
  <c r="I5154" i="1"/>
  <c r="I5153" i="1"/>
  <c r="I5152" i="1"/>
  <c r="I5151" i="1"/>
  <c r="S5150" i="1"/>
  <c r="I5150" i="1"/>
  <c r="I5149" i="1"/>
  <c r="S5148" i="1"/>
  <c r="I5148" i="1"/>
  <c r="S5147" i="1"/>
  <c r="I5147" i="1"/>
  <c r="I5146" i="1"/>
  <c r="I5145" i="1"/>
  <c r="S5144" i="1"/>
  <c r="I5144" i="1"/>
  <c r="S5143" i="1"/>
  <c r="I5143" i="1"/>
  <c r="I5142" i="1"/>
  <c r="I5141" i="1"/>
  <c r="S5140" i="1"/>
  <c r="I5140" i="1"/>
  <c r="I5139" i="1"/>
  <c r="S5138" i="1"/>
  <c r="I5138" i="1"/>
  <c r="S5137" i="1"/>
  <c r="I5137" i="1"/>
  <c r="I5136" i="1"/>
  <c r="I5135" i="1"/>
  <c r="U5134" i="1"/>
  <c r="I5134" i="1"/>
  <c r="S5133" i="1"/>
  <c r="I5133" i="1"/>
  <c r="I5132" i="1"/>
  <c r="I5131" i="1"/>
  <c r="S5130" i="1"/>
  <c r="I5130" i="1"/>
  <c r="I5129" i="1"/>
  <c r="I5128" i="1"/>
  <c r="I5127" i="1"/>
  <c r="I5126" i="1"/>
  <c r="S5125" i="1"/>
  <c r="I5125" i="1"/>
  <c r="S5124" i="1"/>
  <c r="I5124" i="1"/>
  <c r="I5123" i="1"/>
  <c r="I5122" i="1"/>
  <c r="I5121" i="1"/>
  <c r="S5120" i="1"/>
  <c r="I5120" i="1"/>
  <c r="S5119" i="1"/>
  <c r="I5119" i="1"/>
  <c r="S5118" i="1"/>
  <c r="I5118" i="1"/>
  <c r="I5117" i="1"/>
  <c r="I5116" i="1"/>
  <c r="S5115" i="1"/>
  <c r="I5115" i="1"/>
  <c r="S5114" i="1"/>
  <c r="I5114" i="1"/>
  <c r="S5113" i="1"/>
  <c r="I5113" i="1"/>
  <c r="U5112" i="1"/>
  <c r="I5112" i="1"/>
  <c r="I5111" i="1"/>
  <c r="I5110" i="1"/>
  <c r="S5109" i="1"/>
  <c r="I5109" i="1"/>
  <c r="S5108" i="1"/>
  <c r="I5108" i="1"/>
  <c r="S5107" i="1"/>
  <c r="I5107" i="1"/>
  <c r="U5106" i="1"/>
  <c r="S5106" i="1"/>
  <c r="I5106" i="1"/>
  <c r="S5105" i="1"/>
  <c r="I5105" i="1"/>
  <c r="I5104" i="1"/>
  <c r="U5103" i="1"/>
  <c r="S5103" i="1"/>
  <c r="I5103" i="1"/>
  <c r="S5102" i="1"/>
  <c r="I5102" i="1"/>
  <c r="U5101" i="1"/>
  <c r="I5101" i="1"/>
  <c r="I5100" i="1"/>
  <c r="S5099" i="1"/>
  <c r="I5099" i="1"/>
  <c r="I5098" i="1"/>
  <c r="S5097" i="1"/>
  <c r="I5097" i="1"/>
  <c r="S5096" i="1"/>
  <c r="I5096" i="1"/>
  <c r="S5095" i="1"/>
  <c r="I5095" i="1"/>
  <c r="I5094" i="1"/>
  <c r="I5093" i="1"/>
  <c r="U5092" i="1"/>
  <c r="I5092" i="1"/>
  <c r="S5091" i="1"/>
  <c r="I5091" i="1"/>
  <c r="I5090" i="1"/>
  <c r="S5089" i="1"/>
  <c r="I5089" i="1"/>
  <c r="I5088" i="1"/>
  <c r="S5087" i="1"/>
  <c r="I5087" i="1"/>
  <c r="I5086" i="1"/>
  <c r="S5085" i="1"/>
  <c r="I5085" i="1"/>
  <c r="I5084" i="1"/>
  <c r="S5083" i="1"/>
  <c r="I5083" i="1"/>
  <c r="U5082" i="1"/>
  <c r="S5082" i="1"/>
  <c r="I5082" i="1"/>
  <c r="I5081" i="1"/>
  <c r="I5080" i="1"/>
  <c r="I5079" i="1"/>
  <c r="S5078" i="1"/>
  <c r="I5078" i="1"/>
  <c r="I5077" i="1"/>
  <c r="I5076" i="1"/>
  <c r="I5075" i="1"/>
  <c r="S5074" i="1"/>
  <c r="I5074" i="1"/>
  <c r="I5073" i="1"/>
  <c r="I5072" i="1"/>
  <c r="S5071" i="1"/>
  <c r="I5071" i="1"/>
  <c r="S5070" i="1"/>
  <c r="I5070" i="1"/>
  <c r="I5069" i="1"/>
  <c r="I5068" i="1"/>
  <c r="S5067" i="1"/>
  <c r="I5067" i="1"/>
  <c r="S5066" i="1"/>
  <c r="I5066" i="1"/>
  <c r="S5065" i="1"/>
  <c r="I5065" i="1"/>
  <c r="I5064" i="1"/>
  <c r="I5063" i="1"/>
  <c r="I5062" i="1"/>
  <c r="S5061" i="1"/>
  <c r="I5061" i="1"/>
  <c r="I5060" i="1"/>
  <c r="I5059" i="1"/>
  <c r="S5058" i="1"/>
  <c r="I5058" i="1"/>
  <c r="S5057" i="1"/>
  <c r="I5057" i="1"/>
  <c r="I5056" i="1"/>
  <c r="S5055" i="1"/>
  <c r="I5055" i="1"/>
  <c r="I5054" i="1"/>
  <c r="I5053" i="1"/>
  <c r="S5052" i="1"/>
  <c r="I5052" i="1"/>
  <c r="S5051" i="1"/>
  <c r="I5051" i="1"/>
  <c r="I5050" i="1"/>
  <c r="S5049" i="1"/>
  <c r="I5049" i="1"/>
  <c r="S5048" i="1"/>
  <c r="I5048" i="1"/>
  <c r="I5047" i="1"/>
  <c r="U5046" i="1"/>
  <c r="S5046" i="1"/>
  <c r="I5046" i="1"/>
  <c r="I5045" i="1"/>
  <c r="S5044" i="1"/>
  <c r="I5044" i="1"/>
  <c r="S5043" i="1"/>
  <c r="I5043" i="1"/>
  <c r="S5042" i="1"/>
  <c r="I5042" i="1"/>
  <c r="S5041" i="1"/>
  <c r="I5041" i="1"/>
  <c r="S5040" i="1"/>
  <c r="I5040" i="1"/>
  <c r="S5039" i="1"/>
  <c r="I5039" i="1"/>
  <c r="S5038" i="1"/>
  <c r="I5038" i="1"/>
  <c r="I5037" i="1"/>
  <c r="S5036" i="1"/>
  <c r="I5036" i="1"/>
  <c r="I5035" i="1"/>
  <c r="I5034" i="1"/>
  <c r="S5033" i="1"/>
  <c r="I5033" i="1"/>
  <c r="S5032" i="1"/>
  <c r="I5032" i="1"/>
  <c r="S5031" i="1"/>
  <c r="I5031" i="1"/>
  <c r="U5030" i="1"/>
  <c r="S5030" i="1"/>
  <c r="I5030" i="1"/>
  <c r="S5029" i="1"/>
  <c r="I5029" i="1"/>
  <c r="S5028" i="1"/>
  <c r="I5028" i="1"/>
  <c r="S5027" i="1"/>
  <c r="I5027" i="1"/>
  <c r="I5026" i="1"/>
  <c r="S5025" i="1"/>
  <c r="I5025" i="1"/>
  <c r="S5024" i="1"/>
  <c r="I5024" i="1"/>
  <c r="S5023" i="1"/>
  <c r="I5023" i="1"/>
  <c r="S5022" i="1"/>
  <c r="I5022" i="1"/>
  <c r="I5021" i="1"/>
  <c r="S5020" i="1"/>
  <c r="I5020" i="1"/>
  <c r="I5019" i="1"/>
  <c r="S5018" i="1"/>
  <c r="I5018" i="1"/>
  <c r="S5017" i="1"/>
  <c r="I5017" i="1"/>
  <c r="S5016" i="1"/>
  <c r="I5016" i="1"/>
  <c r="I5015" i="1"/>
  <c r="S5014" i="1"/>
  <c r="I5014" i="1"/>
  <c r="S5013" i="1"/>
  <c r="I5013" i="1"/>
  <c r="S5012" i="1"/>
  <c r="I5012" i="1"/>
  <c r="S5011" i="1"/>
  <c r="I5011" i="1"/>
  <c r="S5010" i="1"/>
  <c r="I5010" i="1"/>
  <c r="S5009" i="1"/>
  <c r="I5009" i="1"/>
  <c r="S5008" i="1"/>
  <c r="I5008" i="1"/>
  <c r="I5007" i="1"/>
  <c r="S5006" i="1"/>
  <c r="I5006" i="1"/>
  <c r="U5005" i="1"/>
  <c r="S5005" i="1"/>
  <c r="I5005" i="1"/>
  <c r="S5004" i="1"/>
  <c r="I5004" i="1"/>
  <c r="I5003" i="1"/>
  <c r="I5002" i="1"/>
  <c r="I5001" i="1"/>
  <c r="S5000" i="1"/>
  <c r="I5000" i="1"/>
  <c r="I4999" i="1"/>
  <c r="I4998" i="1"/>
  <c r="S4997" i="1"/>
  <c r="I4997" i="1"/>
  <c r="S4996" i="1"/>
  <c r="I4996" i="1"/>
  <c r="S4995" i="1"/>
  <c r="I4995" i="1"/>
  <c r="I4994" i="1"/>
  <c r="I4993" i="1"/>
  <c r="U4992" i="1"/>
  <c r="I4992" i="1"/>
  <c r="U4991" i="1"/>
  <c r="I4991" i="1"/>
  <c r="S4990" i="1"/>
  <c r="I4990" i="1"/>
  <c r="S4989" i="1"/>
  <c r="I4989" i="1"/>
  <c r="S4988" i="1"/>
  <c r="I4988" i="1"/>
  <c r="S4987" i="1"/>
  <c r="I4987" i="1"/>
  <c r="I4986" i="1"/>
  <c r="S4985" i="1"/>
  <c r="I4985" i="1"/>
  <c r="I4984" i="1"/>
  <c r="U4983" i="1"/>
  <c r="I4983" i="1"/>
  <c r="S4982" i="1"/>
  <c r="I4982" i="1"/>
  <c r="I4981" i="1"/>
  <c r="I4980" i="1"/>
  <c r="S4979" i="1"/>
  <c r="I4979" i="1"/>
  <c r="U4978" i="1"/>
  <c r="S4978" i="1"/>
  <c r="I4978" i="1"/>
  <c r="AE4977" i="1"/>
  <c r="U4977" i="1"/>
  <c r="S4977" i="1"/>
  <c r="I4977" i="1"/>
  <c r="S4976" i="1"/>
  <c r="I4976" i="1"/>
  <c r="I4975" i="1"/>
  <c r="S4974" i="1"/>
  <c r="I4974" i="1"/>
  <c r="S4973" i="1"/>
  <c r="I4973" i="1"/>
  <c r="U4972" i="1"/>
  <c r="S4972" i="1"/>
  <c r="I4972" i="1"/>
  <c r="U4971" i="1"/>
  <c r="S4971" i="1"/>
  <c r="I4971" i="1"/>
  <c r="S4970" i="1"/>
  <c r="I4970" i="1"/>
  <c r="S4969" i="1"/>
  <c r="I4969" i="1"/>
  <c r="S4968" i="1"/>
  <c r="I4968" i="1"/>
  <c r="S4967" i="1"/>
  <c r="I4967" i="1"/>
  <c r="S4966" i="1"/>
  <c r="I4966" i="1"/>
  <c r="S4965" i="1"/>
  <c r="I4965" i="1"/>
  <c r="I4964" i="1"/>
  <c r="S4963" i="1"/>
  <c r="I4963" i="1"/>
  <c r="S4962" i="1"/>
  <c r="I4962" i="1"/>
  <c r="S4961" i="1"/>
  <c r="I4961" i="1"/>
  <c r="I4960" i="1"/>
  <c r="S4959" i="1"/>
  <c r="I4959" i="1"/>
  <c r="S4958" i="1"/>
  <c r="I4958" i="1"/>
  <c r="S4957" i="1"/>
  <c r="I4957" i="1"/>
  <c r="I4956" i="1"/>
  <c r="I4955" i="1"/>
  <c r="I4954" i="1"/>
  <c r="I4953" i="1"/>
  <c r="I4952" i="1"/>
  <c r="I4951" i="1"/>
  <c r="S4950" i="1"/>
  <c r="I4950" i="1"/>
  <c r="I4949" i="1"/>
  <c r="S4948" i="1"/>
  <c r="I4948" i="1"/>
  <c r="I4947" i="1"/>
  <c r="S4946" i="1"/>
  <c r="I4946" i="1"/>
  <c r="I4945" i="1"/>
  <c r="I4944" i="1"/>
  <c r="S4943" i="1"/>
  <c r="I4943" i="1"/>
  <c r="I4942" i="1"/>
  <c r="I4941" i="1"/>
  <c r="S4940" i="1"/>
  <c r="I4940" i="1"/>
  <c r="I4939" i="1"/>
  <c r="I4938" i="1"/>
  <c r="I4937" i="1"/>
  <c r="I4936" i="1"/>
  <c r="S4935" i="1"/>
  <c r="I4935" i="1"/>
  <c r="I4934" i="1"/>
  <c r="U4933" i="1"/>
  <c r="I4933" i="1"/>
  <c r="I4932" i="1"/>
  <c r="I4931" i="1"/>
  <c r="I4930" i="1"/>
  <c r="I4929" i="1"/>
  <c r="I4928" i="1"/>
  <c r="I4927" i="1"/>
  <c r="I4926" i="1"/>
  <c r="I4925" i="1"/>
  <c r="S4924" i="1"/>
  <c r="I4924" i="1"/>
  <c r="S4923" i="1"/>
  <c r="I4923" i="1"/>
  <c r="U4922" i="1"/>
  <c r="S4922" i="1"/>
  <c r="I4922" i="1"/>
  <c r="I4921" i="1"/>
  <c r="I4920" i="1"/>
  <c r="I4919" i="1"/>
  <c r="I4918" i="1"/>
  <c r="S4917" i="1"/>
  <c r="I4917" i="1"/>
  <c r="S4916" i="1"/>
  <c r="I4916" i="1"/>
  <c r="I4915" i="1"/>
  <c r="I4914" i="1"/>
  <c r="S4913" i="1"/>
  <c r="I4913" i="1"/>
  <c r="I4912" i="1"/>
  <c r="U4911" i="1"/>
  <c r="S4911" i="1"/>
  <c r="I4911" i="1"/>
  <c r="S4910" i="1"/>
  <c r="I4910" i="1"/>
  <c r="S4909" i="1"/>
  <c r="I4909" i="1"/>
  <c r="I4908" i="1"/>
  <c r="I4907" i="1"/>
  <c r="I4906" i="1"/>
  <c r="S4905" i="1"/>
  <c r="I4905" i="1"/>
  <c r="I4904" i="1"/>
  <c r="I4903" i="1"/>
  <c r="S4902" i="1"/>
  <c r="I4902" i="1"/>
  <c r="S4901" i="1"/>
  <c r="I4901" i="1"/>
  <c r="I4900" i="1"/>
  <c r="U4899" i="1"/>
  <c r="I4899" i="1"/>
  <c r="S4898" i="1"/>
  <c r="I4898" i="1"/>
  <c r="I4897" i="1"/>
  <c r="S4896" i="1"/>
  <c r="I4896" i="1"/>
  <c r="I4895" i="1"/>
  <c r="S4894" i="1"/>
  <c r="I4894" i="1"/>
  <c r="I4893" i="1"/>
  <c r="I4892" i="1"/>
  <c r="I4891" i="1"/>
  <c r="I4890" i="1"/>
  <c r="U4889" i="1"/>
  <c r="S4889" i="1"/>
  <c r="I4889" i="1"/>
  <c r="S4888" i="1"/>
  <c r="I4888" i="1"/>
  <c r="S4887" i="1"/>
  <c r="I4887" i="1"/>
  <c r="I4886" i="1"/>
  <c r="I4885" i="1"/>
  <c r="I4884" i="1"/>
  <c r="S4883" i="1"/>
  <c r="I4883" i="1"/>
  <c r="S4882" i="1"/>
  <c r="I4882" i="1"/>
  <c r="I4881" i="1"/>
  <c r="S4880" i="1"/>
  <c r="I4880" i="1"/>
  <c r="I4879" i="1"/>
  <c r="I4878" i="1"/>
  <c r="I4877" i="1"/>
  <c r="S4876" i="1"/>
  <c r="I4876" i="1"/>
  <c r="I4875" i="1"/>
  <c r="I4874" i="1"/>
  <c r="I4873" i="1"/>
  <c r="I4872" i="1"/>
  <c r="I4871" i="1"/>
  <c r="S4870" i="1"/>
  <c r="I4870" i="1"/>
  <c r="I4869" i="1"/>
  <c r="I4868" i="1"/>
  <c r="U4867" i="1"/>
  <c r="I4867" i="1"/>
  <c r="S4866" i="1"/>
  <c r="I4866" i="1"/>
  <c r="I4865" i="1"/>
  <c r="I4864" i="1"/>
  <c r="S4863" i="1"/>
  <c r="I4863" i="1"/>
  <c r="I4862" i="1"/>
  <c r="I4861" i="1"/>
  <c r="S4860" i="1"/>
  <c r="I4860" i="1"/>
  <c r="S4859" i="1"/>
  <c r="I4859" i="1"/>
  <c r="I4858" i="1"/>
  <c r="I4857" i="1"/>
  <c r="S4856" i="1"/>
  <c r="I4856" i="1"/>
  <c r="I4855" i="1"/>
  <c r="I4854" i="1"/>
  <c r="I4853" i="1"/>
  <c r="S4852" i="1"/>
  <c r="I4852" i="1"/>
  <c r="S4851" i="1"/>
  <c r="I4851" i="1"/>
  <c r="I4850" i="1"/>
  <c r="S4849" i="1"/>
  <c r="I4849" i="1"/>
  <c r="I4848" i="1"/>
  <c r="I4847" i="1"/>
  <c r="S4846" i="1"/>
  <c r="I4846" i="1"/>
  <c r="I4845" i="1"/>
  <c r="S4844" i="1"/>
  <c r="I4844" i="1"/>
  <c r="I4843" i="1"/>
  <c r="I4842" i="1"/>
  <c r="I4841" i="1"/>
  <c r="S4840" i="1"/>
  <c r="I4840" i="1"/>
  <c r="S4839" i="1"/>
  <c r="I4839" i="1"/>
  <c r="S4838" i="1"/>
  <c r="I4838" i="1"/>
  <c r="S4837" i="1"/>
  <c r="I4837" i="1"/>
  <c r="S4836" i="1"/>
  <c r="I4836" i="1"/>
  <c r="S4835" i="1"/>
  <c r="I4835" i="1"/>
  <c r="I4834" i="1"/>
  <c r="I4833" i="1"/>
  <c r="I4832" i="1"/>
  <c r="I4831" i="1"/>
  <c r="S4830" i="1"/>
  <c r="I4830" i="1"/>
  <c r="S4829" i="1"/>
  <c r="I4829" i="1"/>
  <c r="S4828" i="1"/>
  <c r="I4828" i="1"/>
  <c r="I4827" i="1"/>
  <c r="I4826" i="1"/>
  <c r="I4825" i="1"/>
  <c r="S4824" i="1"/>
  <c r="I4824" i="1"/>
  <c r="I4823" i="1"/>
  <c r="S4822" i="1"/>
  <c r="I4822" i="1"/>
  <c r="S4821" i="1"/>
  <c r="I4821" i="1"/>
  <c r="I4820" i="1"/>
  <c r="S4819" i="1"/>
  <c r="I4819" i="1"/>
  <c r="I4818" i="1"/>
  <c r="I4817" i="1"/>
  <c r="I4816" i="1"/>
  <c r="I4815" i="1"/>
  <c r="S4814" i="1"/>
  <c r="I4814" i="1"/>
  <c r="I4813" i="1"/>
  <c r="I4812" i="1"/>
  <c r="S4811" i="1"/>
  <c r="I4811" i="1"/>
  <c r="I4810" i="1"/>
  <c r="I4809" i="1"/>
  <c r="I4808" i="1"/>
  <c r="I4807" i="1"/>
  <c r="I4806" i="1"/>
  <c r="I4805" i="1"/>
  <c r="U4804" i="1"/>
  <c r="S4804" i="1"/>
  <c r="I4804" i="1"/>
  <c r="S4803" i="1"/>
  <c r="I4803" i="1"/>
  <c r="S4802" i="1"/>
  <c r="I4802" i="1"/>
  <c r="I4801" i="1"/>
  <c r="I4800" i="1"/>
  <c r="I4799" i="1"/>
  <c r="S4798" i="1"/>
  <c r="I4798" i="1"/>
  <c r="I4797" i="1"/>
  <c r="I4796" i="1"/>
  <c r="S4795" i="1"/>
  <c r="I4795" i="1"/>
  <c r="I4794" i="1"/>
  <c r="I4793" i="1"/>
  <c r="I4792" i="1"/>
  <c r="I4791" i="1"/>
  <c r="S4790" i="1"/>
  <c r="I4790" i="1"/>
  <c r="I4789" i="1"/>
  <c r="S4788" i="1"/>
  <c r="I4788" i="1"/>
  <c r="I4787" i="1"/>
  <c r="S4786" i="1"/>
  <c r="I4786" i="1"/>
  <c r="I4785" i="1"/>
  <c r="S4784" i="1"/>
  <c r="I4784" i="1"/>
  <c r="I4783" i="1"/>
  <c r="S4782" i="1"/>
  <c r="I4782" i="1"/>
  <c r="S4781" i="1"/>
  <c r="I4781" i="1"/>
  <c r="S4780" i="1"/>
  <c r="I4780" i="1"/>
  <c r="S4779" i="1"/>
  <c r="I4779" i="1"/>
  <c r="S4778" i="1"/>
  <c r="I4778" i="1"/>
  <c r="S4777" i="1"/>
  <c r="I4777" i="1"/>
  <c r="S4776" i="1"/>
  <c r="I4776" i="1"/>
  <c r="S4775" i="1"/>
  <c r="I4775" i="1"/>
  <c r="S4774" i="1"/>
  <c r="I4774" i="1"/>
  <c r="I4773" i="1"/>
  <c r="S4772" i="1"/>
  <c r="I4772" i="1"/>
  <c r="I4771" i="1"/>
  <c r="I4770" i="1"/>
  <c r="I4769" i="1"/>
  <c r="S4768" i="1"/>
  <c r="I4768" i="1"/>
  <c r="S4767" i="1"/>
  <c r="I4767" i="1"/>
  <c r="I4766" i="1"/>
  <c r="I4765" i="1"/>
  <c r="S4764" i="1"/>
  <c r="I4764" i="1"/>
  <c r="I4763" i="1"/>
  <c r="I4762" i="1"/>
  <c r="I4761" i="1"/>
  <c r="S4760" i="1"/>
  <c r="I4760" i="1"/>
  <c r="I4759" i="1"/>
  <c r="S4758" i="1"/>
  <c r="I4758" i="1"/>
  <c r="I4757" i="1"/>
  <c r="S4756" i="1"/>
  <c r="I4756" i="1"/>
  <c r="S4755" i="1"/>
  <c r="I4755" i="1"/>
  <c r="S4754" i="1"/>
  <c r="I4754" i="1"/>
  <c r="S4753" i="1"/>
  <c r="I4753" i="1"/>
  <c r="S4752" i="1"/>
  <c r="I4752" i="1"/>
  <c r="S4751" i="1"/>
  <c r="I4751" i="1"/>
  <c r="S4750" i="1"/>
  <c r="I4750" i="1"/>
  <c r="S4749" i="1"/>
  <c r="I4749" i="1"/>
  <c r="I4748" i="1"/>
  <c r="S4747" i="1"/>
  <c r="I4747" i="1"/>
  <c r="I4746" i="1"/>
  <c r="I4745" i="1"/>
  <c r="I4744" i="1"/>
  <c r="I4743" i="1"/>
  <c r="S4742" i="1"/>
  <c r="I4742" i="1"/>
  <c r="I4741" i="1"/>
  <c r="S4740" i="1"/>
  <c r="I4740" i="1"/>
  <c r="I4739" i="1"/>
  <c r="I4738" i="1"/>
  <c r="I4737" i="1"/>
  <c r="S4736" i="1"/>
  <c r="I4736" i="1"/>
  <c r="S4735" i="1"/>
  <c r="I4735" i="1"/>
  <c r="S4734" i="1"/>
  <c r="I4734" i="1"/>
  <c r="I4733" i="1"/>
  <c r="S4732" i="1"/>
  <c r="I4732" i="1"/>
  <c r="S4731" i="1"/>
  <c r="I4731" i="1"/>
  <c r="U4730" i="1"/>
  <c r="I4730" i="1"/>
  <c r="I4729" i="1"/>
  <c r="S4728" i="1"/>
  <c r="I4728" i="1"/>
  <c r="S4727" i="1"/>
  <c r="I4727" i="1"/>
  <c r="U4726" i="1"/>
  <c r="I4726" i="1"/>
  <c r="I4725" i="1"/>
  <c r="S4724" i="1"/>
  <c r="I4724" i="1"/>
  <c r="I4723" i="1"/>
  <c r="U4722" i="1"/>
  <c r="I4722" i="1"/>
  <c r="I4721" i="1"/>
  <c r="I4720" i="1"/>
  <c r="S4719" i="1"/>
  <c r="I4719" i="1"/>
  <c r="I4718" i="1"/>
  <c r="S4717" i="1"/>
  <c r="I4717" i="1"/>
  <c r="I4716" i="1"/>
  <c r="S4715" i="1"/>
  <c r="I4715" i="1"/>
  <c r="S4714" i="1"/>
  <c r="I4714" i="1"/>
  <c r="I4713" i="1"/>
  <c r="I4712" i="1"/>
  <c r="S4711" i="1"/>
  <c r="I4711" i="1"/>
  <c r="I4710" i="1"/>
  <c r="S4709" i="1"/>
  <c r="I4709" i="1"/>
  <c r="U4708" i="1"/>
  <c r="I4708" i="1"/>
  <c r="U4707" i="1"/>
  <c r="I4707" i="1"/>
  <c r="I4706" i="1"/>
  <c r="S4705" i="1"/>
  <c r="I4705" i="1"/>
  <c r="I4704" i="1"/>
  <c r="I4703" i="1"/>
  <c r="U4702" i="1"/>
  <c r="S4702" i="1"/>
  <c r="I4702" i="1"/>
  <c r="I4701" i="1"/>
  <c r="S4700" i="1"/>
  <c r="I4700" i="1"/>
  <c r="S4699" i="1"/>
  <c r="I4699" i="1"/>
  <c r="S4698" i="1"/>
  <c r="I4698" i="1"/>
  <c r="I4697" i="1"/>
  <c r="I4696" i="1"/>
  <c r="S4695" i="1"/>
  <c r="I4695" i="1"/>
  <c r="I4694" i="1"/>
  <c r="I4693" i="1"/>
  <c r="S4692" i="1"/>
  <c r="I4692" i="1"/>
  <c r="I4691" i="1"/>
  <c r="I4690" i="1"/>
  <c r="I4689" i="1"/>
  <c r="I4688" i="1"/>
  <c r="I4687" i="1"/>
  <c r="I4686" i="1"/>
  <c r="I4685" i="1"/>
  <c r="I4684" i="1"/>
  <c r="I4683" i="1"/>
  <c r="S4682" i="1"/>
  <c r="I4682" i="1"/>
  <c r="S4681" i="1"/>
  <c r="I4681" i="1"/>
  <c r="I4680" i="1"/>
  <c r="I4679" i="1"/>
  <c r="U4678" i="1"/>
  <c r="I4678" i="1"/>
  <c r="S4677" i="1"/>
  <c r="I4677" i="1"/>
  <c r="I4676" i="1"/>
  <c r="I4675" i="1"/>
  <c r="I4674" i="1"/>
  <c r="I4673" i="1"/>
  <c r="I4672" i="1"/>
  <c r="I4671" i="1"/>
  <c r="I4670" i="1"/>
  <c r="I4669" i="1"/>
  <c r="I4668" i="1"/>
  <c r="S4667" i="1"/>
  <c r="I4667" i="1"/>
  <c r="I4666" i="1"/>
  <c r="I4665" i="1"/>
  <c r="I4664" i="1"/>
  <c r="S4663" i="1"/>
  <c r="I4663" i="1"/>
  <c r="I4662" i="1"/>
  <c r="I4661" i="1"/>
  <c r="I4660" i="1"/>
  <c r="I4659" i="1"/>
  <c r="S4658" i="1"/>
  <c r="I4658" i="1"/>
  <c r="I4657" i="1"/>
  <c r="I4656" i="1"/>
  <c r="I4655" i="1"/>
  <c r="I4654" i="1"/>
  <c r="I4653" i="1"/>
  <c r="I4652" i="1"/>
  <c r="I4651" i="1"/>
  <c r="S4650" i="1"/>
  <c r="I4650" i="1"/>
  <c r="I4649" i="1"/>
  <c r="I4648" i="1"/>
  <c r="S4647" i="1"/>
  <c r="I4647" i="1"/>
  <c r="I4646" i="1"/>
  <c r="I4645" i="1"/>
  <c r="I4644" i="1"/>
  <c r="I4643" i="1"/>
  <c r="I4642" i="1"/>
  <c r="S4641" i="1"/>
  <c r="I4641" i="1"/>
  <c r="I4640" i="1"/>
  <c r="I4639" i="1"/>
  <c r="I4638" i="1"/>
  <c r="I4637" i="1"/>
  <c r="I4636" i="1"/>
  <c r="I4635" i="1"/>
  <c r="I4634" i="1"/>
  <c r="I4633" i="1"/>
  <c r="I4632" i="1"/>
  <c r="I4631" i="1"/>
  <c r="I4630" i="1"/>
  <c r="I4629" i="1"/>
  <c r="S4628" i="1"/>
  <c r="I4628" i="1"/>
  <c r="I4627" i="1"/>
  <c r="I4626" i="1"/>
  <c r="I4625" i="1"/>
  <c r="I4624" i="1"/>
  <c r="I4623" i="1"/>
  <c r="S4622" i="1"/>
  <c r="I4622" i="1"/>
  <c r="I4621" i="1"/>
  <c r="S4620" i="1"/>
  <c r="I4620" i="1"/>
  <c r="I4619" i="1"/>
  <c r="I4618" i="1"/>
  <c r="I4617" i="1"/>
  <c r="S4616" i="1"/>
  <c r="I4616" i="1"/>
  <c r="I4615" i="1"/>
  <c r="I4614" i="1"/>
  <c r="I4613" i="1"/>
  <c r="I4612" i="1"/>
  <c r="S4611" i="1"/>
  <c r="I4611" i="1"/>
  <c r="S4610" i="1"/>
  <c r="I4610" i="1"/>
  <c r="S4609" i="1"/>
  <c r="I4609" i="1"/>
  <c r="I4608" i="1"/>
  <c r="I4607" i="1"/>
  <c r="S4606" i="1"/>
  <c r="I4606" i="1"/>
  <c r="I4605" i="1"/>
  <c r="I4604" i="1"/>
  <c r="I4603" i="1"/>
  <c r="I4602" i="1"/>
  <c r="I4601" i="1"/>
  <c r="I4600" i="1"/>
  <c r="I4599" i="1"/>
  <c r="S4598" i="1"/>
  <c r="I4598" i="1"/>
  <c r="I4597" i="1"/>
  <c r="S4596" i="1"/>
  <c r="I4596" i="1"/>
  <c r="I4595" i="1"/>
  <c r="I4594" i="1"/>
  <c r="I4593" i="1"/>
  <c r="I4592" i="1"/>
  <c r="I4591" i="1"/>
  <c r="S4590" i="1"/>
  <c r="I4590" i="1"/>
  <c r="I4589" i="1"/>
  <c r="S4588" i="1"/>
  <c r="I4588" i="1"/>
  <c r="S4587" i="1"/>
  <c r="I4587" i="1"/>
  <c r="S4586" i="1"/>
  <c r="I4586" i="1"/>
  <c r="S4585" i="1"/>
  <c r="I4585" i="1"/>
  <c r="S4584" i="1"/>
  <c r="I4584" i="1"/>
  <c r="I4583" i="1"/>
  <c r="I4582" i="1"/>
  <c r="S4581" i="1"/>
  <c r="I4581" i="1"/>
  <c r="S4580" i="1"/>
  <c r="I4580" i="1"/>
  <c r="I4579" i="1"/>
  <c r="I4578" i="1"/>
  <c r="S4577" i="1"/>
  <c r="I4577" i="1"/>
  <c r="I4576" i="1"/>
  <c r="S4575" i="1"/>
  <c r="I4575" i="1"/>
  <c r="I4574" i="1"/>
  <c r="I4573" i="1"/>
  <c r="I4572" i="1"/>
  <c r="I4571" i="1"/>
  <c r="I4570" i="1"/>
  <c r="I4569" i="1"/>
  <c r="I4568" i="1"/>
  <c r="I4567" i="1"/>
  <c r="S4566" i="1"/>
  <c r="I4566" i="1"/>
  <c r="I4565" i="1"/>
  <c r="I4564" i="1"/>
  <c r="S4563" i="1"/>
  <c r="I4563" i="1"/>
  <c r="S4562" i="1"/>
  <c r="I4562" i="1"/>
  <c r="I4561" i="1"/>
  <c r="I4560" i="1"/>
  <c r="I4559" i="1"/>
  <c r="I4558" i="1"/>
  <c r="S4557" i="1"/>
  <c r="I4557" i="1"/>
  <c r="S4556" i="1"/>
  <c r="I4556" i="1"/>
  <c r="S4555" i="1"/>
  <c r="I4555" i="1"/>
  <c r="I4554" i="1"/>
  <c r="I4553" i="1"/>
  <c r="I4552" i="1"/>
  <c r="I4551" i="1"/>
  <c r="I4550" i="1"/>
  <c r="S4549" i="1"/>
  <c r="I4549" i="1"/>
  <c r="I4548" i="1"/>
  <c r="I4547" i="1"/>
  <c r="I4546" i="1"/>
  <c r="I4545" i="1"/>
  <c r="S4544" i="1"/>
  <c r="I4544" i="1"/>
  <c r="S4543" i="1"/>
  <c r="I4543" i="1"/>
  <c r="S4542" i="1"/>
  <c r="I4542" i="1"/>
  <c r="I4541" i="1"/>
  <c r="S4540" i="1"/>
  <c r="I4540" i="1"/>
  <c r="S4539" i="1"/>
  <c r="I4539" i="1"/>
  <c r="S4538" i="1"/>
  <c r="I4538" i="1"/>
  <c r="S4537" i="1"/>
  <c r="I4537" i="1"/>
  <c r="I4536" i="1"/>
  <c r="S4535" i="1"/>
  <c r="I4535" i="1"/>
  <c r="I4534" i="1"/>
  <c r="S4533" i="1"/>
  <c r="I4533" i="1"/>
  <c r="I4532" i="1"/>
  <c r="I4531" i="1"/>
  <c r="I4530" i="1"/>
  <c r="S4529" i="1"/>
  <c r="I4529" i="1"/>
  <c r="S4528" i="1"/>
  <c r="I4528" i="1"/>
  <c r="S4527" i="1"/>
  <c r="I4527" i="1"/>
  <c r="I4526" i="1"/>
  <c r="U4525" i="1"/>
  <c r="I4525" i="1"/>
  <c r="S4524" i="1"/>
  <c r="I4524" i="1"/>
  <c r="S4523" i="1"/>
  <c r="I4523" i="1"/>
  <c r="I4522" i="1"/>
  <c r="S4521" i="1"/>
  <c r="I4521" i="1"/>
  <c r="I4520" i="1"/>
  <c r="S4519" i="1"/>
  <c r="I4519" i="1"/>
  <c r="I4518" i="1"/>
  <c r="S4517" i="1"/>
  <c r="I4517" i="1"/>
  <c r="S4516" i="1"/>
  <c r="I4516" i="1"/>
  <c r="S4515" i="1"/>
  <c r="I4515" i="1"/>
  <c r="S4514" i="1"/>
  <c r="I4514" i="1"/>
  <c r="S4513" i="1"/>
  <c r="I4513" i="1"/>
  <c r="S4512" i="1"/>
  <c r="I4512" i="1"/>
  <c r="S4511" i="1"/>
  <c r="I4511" i="1"/>
  <c r="I4510" i="1"/>
  <c r="I4509" i="1"/>
  <c r="S4508" i="1"/>
  <c r="I4508" i="1"/>
  <c r="I4507" i="1"/>
  <c r="S4506" i="1"/>
  <c r="I4506" i="1"/>
  <c r="U4505" i="1"/>
  <c r="I4505" i="1"/>
  <c r="S4504" i="1"/>
  <c r="I4504" i="1"/>
  <c r="I4503" i="1"/>
  <c r="S4502" i="1"/>
  <c r="I4502" i="1"/>
  <c r="S4501" i="1"/>
  <c r="I4501" i="1"/>
  <c r="S4500" i="1"/>
  <c r="I4500" i="1"/>
  <c r="S4499" i="1"/>
  <c r="I4499" i="1"/>
  <c r="S4498" i="1"/>
  <c r="I4498" i="1"/>
  <c r="I4497" i="1"/>
  <c r="S4496" i="1"/>
  <c r="I4496" i="1"/>
  <c r="I4495" i="1"/>
  <c r="I4494" i="1"/>
  <c r="S4493" i="1"/>
  <c r="I4493" i="1"/>
  <c r="S4492" i="1"/>
  <c r="I4492" i="1"/>
  <c r="S4491" i="1"/>
  <c r="I4491" i="1"/>
  <c r="S4490" i="1"/>
  <c r="I4490" i="1"/>
  <c r="I4489" i="1"/>
  <c r="S4488" i="1"/>
  <c r="I4488" i="1"/>
  <c r="S4487" i="1"/>
  <c r="I4487" i="1"/>
  <c r="I4486" i="1"/>
  <c r="I4485" i="1"/>
  <c r="S4484" i="1"/>
  <c r="I4484" i="1"/>
  <c r="S4483" i="1"/>
  <c r="I4483" i="1"/>
  <c r="S4482" i="1"/>
  <c r="I4482" i="1"/>
  <c r="I4481" i="1"/>
  <c r="S4480" i="1"/>
  <c r="I4480" i="1"/>
  <c r="I4479" i="1"/>
  <c r="S4478" i="1"/>
  <c r="I4478" i="1"/>
  <c r="S4477" i="1"/>
  <c r="I4477" i="1"/>
  <c r="S4476" i="1"/>
  <c r="I4476" i="1"/>
  <c r="S4475" i="1"/>
  <c r="I4475" i="1"/>
  <c r="I4474" i="1"/>
  <c r="I4473" i="1"/>
  <c r="I4472" i="1"/>
  <c r="S4471" i="1"/>
  <c r="I4471" i="1"/>
  <c r="S4470" i="1"/>
  <c r="I4470" i="1"/>
  <c r="S4469" i="1"/>
  <c r="I4469" i="1"/>
  <c r="S4468" i="1"/>
  <c r="I4468" i="1"/>
  <c r="S4467" i="1"/>
  <c r="I4467" i="1"/>
  <c r="S4466" i="1"/>
  <c r="I4466" i="1"/>
  <c r="I4465" i="1"/>
  <c r="S4464" i="1"/>
  <c r="I4464" i="1"/>
  <c r="I4463" i="1"/>
  <c r="I4462" i="1"/>
  <c r="S4461" i="1"/>
  <c r="I4461" i="1"/>
  <c r="S4460" i="1"/>
  <c r="I4460" i="1"/>
  <c r="I4459" i="1"/>
  <c r="S4458" i="1"/>
  <c r="I4458" i="1"/>
  <c r="S4457" i="1"/>
  <c r="I4457" i="1"/>
  <c r="S4456" i="1"/>
  <c r="I4456" i="1"/>
  <c r="S4455" i="1"/>
  <c r="I4455" i="1"/>
  <c r="I4454" i="1"/>
  <c r="I4453" i="1"/>
  <c r="S4452" i="1"/>
  <c r="I4452" i="1"/>
  <c r="S4451" i="1"/>
  <c r="I4451" i="1"/>
  <c r="S4450" i="1"/>
  <c r="I4450" i="1"/>
  <c r="I4449" i="1"/>
  <c r="S4448" i="1"/>
  <c r="I4448" i="1"/>
  <c r="S4447" i="1"/>
  <c r="I4447" i="1"/>
  <c r="I4446" i="1"/>
  <c r="I4445" i="1"/>
  <c r="I4444" i="1"/>
  <c r="I4443" i="1"/>
  <c r="S4442" i="1"/>
  <c r="I4442" i="1"/>
  <c r="I4441" i="1"/>
  <c r="S4440" i="1"/>
  <c r="I4440" i="1"/>
  <c r="I4439" i="1"/>
  <c r="S4438" i="1"/>
  <c r="I4438" i="1"/>
  <c r="I4437" i="1"/>
  <c r="S4436" i="1"/>
  <c r="I4436" i="1"/>
  <c r="I4435" i="1"/>
  <c r="I4434" i="1"/>
  <c r="S4433" i="1"/>
  <c r="I4433" i="1"/>
  <c r="S4432" i="1"/>
  <c r="I4432" i="1"/>
  <c r="S4431" i="1"/>
  <c r="I4431" i="1"/>
  <c r="I4430" i="1"/>
  <c r="I4429" i="1"/>
  <c r="I4428" i="1"/>
  <c r="I4427" i="1"/>
  <c r="S4426" i="1"/>
  <c r="I4426" i="1"/>
  <c r="I4425" i="1"/>
  <c r="I4424" i="1"/>
  <c r="S4423" i="1"/>
  <c r="I4423" i="1"/>
  <c r="I4422" i="1"/>
  <c r="S4421" i="1"/>
  <c r="I4421" i="1"/>
  <c r="S4420" i="1"/>
  <c r="I4420" i="1"/>
  <c r="S4419" i="1"/>
  <c r="I4419" i="1"/>
  <c r="I4418" i="1"/>
  <c r="I4417" i="1"/>
  <c r="S4416" i="1"/>
  <c r="I4416" i="1"/>
  <c r="I4415" i="1"/>
  <c r="S4414" i="1"/>
  <c r="I4414" i="1"/>
  <c r="I4413" i="1"/>
  <c r="S4412" i="1"/>
  <c r="I4412" i="1"/>
  <c r="I4411" i="1"/>
  <c r="S4410" i="1"/>
  <c r="I4410" i="1"/>
  <c r="S4409" i="1"/>
  <c r="I4409" i="1"/>
  <c r="S4408" i="1"/>
  <c r="I4408" i="1"/>
  <c r="I4407" i="1"/>
  <c r="S4406" i="1"/>
  <c r="I4406" i="1"/>
  <c r="I4405" i="1"/>
  <c r="S4404" i="1"/>
  <c r="I4404" i="1"/>
  <c r="S4403" i="1"/>
  <c r="I4403" i="1"/>
  <c r="I4402" i="1"/>
  <c r="I4401" i="1"/>
  <c r="I4400" i="1"/>
  <c r="I4399" i="1"/>
  <c r="I4398" i="1"/>
  <c r="S4397" i="1"/>
  <c r="I4397" i="1"/>
  <c r="I4396" i="1"/>
  <c r="S4395" i="1"/>
  <c r="I4395" i="1"/>
  <c r="I4394" i="1"/>
  <c r="I4393" i="1"/>
  <c r="I4392" i="1"/>
  <c r="I4391" i="1"/>
  <c r="I4390" i="1"/>
  <c r="S4389" i="1"/>
  <c r="I4389" i="1"/>
  <c r="S4388" i="1"/>
  <c r="I4388" i="1"/>
  <c r="S4387" i="1"/>
  <c r="I4387" i="1"/>
  <c r="S4386" i="1"/>
  <c r="I4386" i="1"/>
  <c r="S4385" i="1"/>
  <c r="I4385" i="1"/>
  <c r="S4384" i="1"/>
  <c r="I4384" i="1"/>
  <c r="S4383" i="1"/>
  <c r="I4383" i="1"/>
  <c r="S4382" i="1"/>
  <c r="I4382" i="1"/>
  <c r="I4381" i="1"/>
  <c r="I4380" i="1"/>
  <c r="I4379" i="1"/>
  <c r="I4378" i="1"/>
  <c r="S4377" i="1"/>
  <c r="I4377" i="1"/>
  <c r="S4376" i="1"/>
  <c r="I4376" i="1"/>
  <c r="S4375" i="1"/>
  <c r="I4375" i="1"/>
  <c r="I4374" i="1"/>
  <c r="I4373" i="1"/>
  <c r="S4372" i="1"/>
  <c r="I4372" i="1"/>
  <c r="I4371" i="1"/>
  <c r="S4370" i="1"/>
  <c r="I4370" i="1"/>
  <c r="S4369" i="1"/>
  <c r="I4369" i="1"/>
  <c r="S4368" i="1"/>
  <c r="I4368" i="1"/>
  <c r="S4367" i="1"/>
  <c r="I4367" i="1"/>
  <c r="I4366" i="1"/>
  <c r="I4365" i="1"/>
  <c r="I4364" i="1"/>
  <c r="I4363" i="1"/>
  <c r="I4362" i="1"/>
  <c r="I4361" i="1"/>
  <c r="S4360" i="1"/>
  <c r="I4360" i="1"/>
  <c r="S4359" i="1"/>
  <c r="I4359" i="1"/>
  <c r="I4358" i="1"/>
  <c r="I4357" i="1"/>
  <c r="I4356" i="1"/>
  <c r="S4355" i="1"/>
  <c r="I4355" i="1"/>
  <c r="S4354" i="1"/>
  <c r="I4354" i="1"/>
  <c r="I4353" i="1"/>
  <c r="S4352" i="1"/>
  <c r="I4352" i="1"/>
  <c r="U4351" i="1"/>
  <c r="S4351" i="1"/>
  <c r="I4351" i="1"/>
  <c r="S4350" i="1"/>
  <c r="I4350" i="1"/>
  <c r="I4349" i="1"/>
  <c r="I4348" i="1"/>
  <c r="I4347" i="1"/>
  <c r="I4346" i="1"/>
  <c r="S4345" i="1"/>
  <c r="I4345" i="1"/>
  <c r="S4344" i="1"/>
  <c r="I4344" i="1"/>
  <c r="I4343" i="1"/>
  <c r="I4342" i="1"/>
  <c r="I4341" i="1"/>
  <c r="I4340" i="1"/>
  <c r="I4339" i="1"/>
  <c r="S4338" i="1"/>
  <c r="I4338" i="1"/>
  <c r="I4337" i="1"/>
  <c r="S4336" i="1"/>
  <c r="I4336" i="1"/>
  <c r="S4335" i="1"/>
  <c r="I4335" i="1"/>
  <c r="S4334" i="1"/>
  <c r="I4334" i="1"/>
  <c r="U4333" i="1"/>
  <c r="I4333" i="1"/>
  <c r="U4332" i="1"/>
  <c r="I4332" i="1"/>
  <c r="I4331" i="1"/>
  <c r="S4330" i="1"/>
  <c r="I4330" i="1"/>
  <c r="I4329" i="1"/>
  <c r="I4328" i="1"/>
  <c r="S4327" i="1"/>
  <c r="I4327" i="1"/>
  <c r="I4326" i="1"/>
  <c r="I4325" i="1"/>
  <c r="I4324" i="1"/>
  <c r="I4323" i="1"/>
  <c r="U4322" i="1"/>
  <c r="S4322" i="1"/>
  <c r="I4322" i="1"/>
  <c r="U4321" i="1"/>
  <c r="S4321" i="1"/>
  <c r="I4321" i="1"/>
  <c r="I4320" i="1"/>
  <c r="I4319" i="1"/>
  <c r="S4318" i="1"/>
  <c r="I4318" i="1"/>
  <c r="S4317" i="1"/>
  <c r="I4317" i="1"/>
  <c r="S4316" i="1"/>
  <c r="I4316" i="1"/>
  <c r="I4315" i="1"/>
  <c r="I4314" i="1"/>
  <c r="I4313" i="1"/>
  <c r="I4312" i="1"/>
  <c r="I4311" i="1"/>
  <c r="I4310" i="1"/>
  <c r="I4309" i="1"/>
  <c r="I4308" i="1"/>
  <c r="S4307" i="1"/>
  <c r="I4307" i="1"/>
  <c r="I4306" i="1"/>
  <c r="U4305" i="1"/>
  <c r="I4305" i="1"/>
  <c r="I4304" i="1"/>
  <c r="I4303" i="1"/>
  <c r="I4302" i="1"/>
  <c r="I4301" i="1"/>
  <c r="I4300" i="1"/>
  <c r="I4299" i="1"/>
  <c r="I4298" i="1"/>
  <c r="I4297" i="1"/>
  <c r="S4296" i="1"/>
  <c r="I4296" i="1"/>
  <c r="S4295" i="1"/>
  <c r="I4295" i="1"/>
  <c r="S4294" i="1"/>
  <c r="I4294" i="1"/>
  <c r="I4293" i="1"/>
  <c r="I4292" i="1"/>
  <c r="S4291" i="1"/>
  <c r="I4291" i="1"/>
  <c r="I4290" i="1"/>
  <c r="S4289" i="1"/>
  <c r="I4289" i="1"/>
  <c r="S4288" i="1"/>
  <c r="I4288" i="1"/>
  <c r="S4287" i="1"/>
  <c r="I4287" i="1"/>
  <c r="S4286" i="1"/>
  <c r="I4286" i="1"/>
  <c r="S4285" i="1"/>
  <c r="I4285" i="1"/>
  <c r="S4284" i="1"/>
  <c r="I4284" i="1"/>
  <c r="I4283" i="1"/>
  <c r="I4282" i="1"/>
  <c r="I4281" i="1"/>
  <c r="I4280" i="1"/>
  <c r="I4279" i="1"/>
  <c r="I4278" i="1"/>
  <c r="I4277" i="1"/>
  <c r="S4276" i="1"/>
  <c r="I4276" i="1"/>
  <c r="I4275" i="1"/>
  <c r="I4274" i="1"/>
  <c r="I4273" i="1"/>
  <c r="S4272" i="1"/>
  <c r="I4272" i="1"/>
  <c r="I4271" i="1"/>
  <c r="I4270" i="1"/>
  <c r="S4269" i="1"/>
  <c r="I4269" i="1"/>
  <c r="I4268" i="1"/>
  <c r="S4267" i="1"/>
  <c r="I4267" i="1"/>
  <c r="I4266" i="1"/>
  <c r="S4265" i="1"/>
  <c r="I4265" i="1"/>
  <c r="S4264" i="1"/>
  <c r="I4264" i="1"/>
  <c r="S4263" i="1"/>
  <c r="I4263" i="1"/>
  <c r="I4262" i="1"/>
  <c r="I4261" i="1"/>
  <c r="S4260" i="1"/>
  <c r="I4260" i="1"/>
  <c r="I4259" i="1"/>
  <c r="I4258" i="1"/>
  <c r="I4257" i="1"/>
  <c r="S4256" i="1"/>
  <c r="I4256" i="1"/>
  <c r="S4255" i="1"/>
  <c r="I4255" i="1"/>
  <c r="S4254" i="1"/>
  <c r="I4254" i="1"/>
  <c r="S4253" i="1"/>
  <c r="I4253" i="1"/>
  <c r="S4252" i="1"/>
  <c r="I4252" i="1"/>
  <c r="I4251" i="1"/>
  <c r="S4250" i="1"/>
  <c r="I4250" i="1"/>
  <c r="S4249" i="1"/>
  <c r="I4249" i="1"/>
  <c r="S4248" i="1"/>
  <c r="I4248" i="1"/>
  <c r="S4247" i="1"/>
  <c r="I4247" i="1"/>
  <c r="S4246" i="1"/>
  <c r="I4246" i="1"/>
  <c r="S4245" i="1"/>
  <c r="I4245" i="1"/>
  <c r="S4244" i="1"/>
  <c r="I4244" i="1"/>
  <c r="U4243" i="1"/>
  <c r="S4243" i="1"/>
  <c r="I4243" i="1"/>
  <c r="U4242" i="1"/>
  <c r="S4242" i="1"/>
  <c r="I4242" i="1"/>
  <c r="S4241" i="1"/>
  <c r="I4241" i="1"/>
  <c r="I4240" i="1"/>
  <c r="I4239" i="1"/>
  <c r="S4238" i="1"/>
  <c r="I4238" i="1"/>
  <c r="S4237" i="1"/>
  <c r="I4237" i="1"/>
  <c r="S4236" i="1"/>
  <c r="I4236" i="1"/>
  <c r="S4235" i="1"/>
  <c r="I4235" i="1"/>
  <c r="I4234" i="1"/>
  <c r="S4233" i="1"/>
  <c r="I4233" i="1"/>
  <c r="I4232" i="1"/>
  <c r="S4231" i="1"/>
  <c r="I4231" i="1"/>
  <c r="S4230" i="1"/>
  <c r="I4230" i="1"/>
  <c r="I4229" i="1"/>
  <c r="U4228" i="1"/>
  <c r="S4228" i="1"/>
  <c r="I4228" i="1"/>
  <c r="S4227" i="1"/>
  <c r="I4227" i="1"/>
  <c r="S4226" i="1"/>
  <c r="I4226" i="1"/>
  <c r="I4225" i="1"/>
  <c r="S4224" i="1"/>
  <c r="I4224" i="1"/>
  <c r="S4223" i="1"/>
  <c r="I4223" i="1"/>
  <c r="S4222" i="1"/>
  <c r="I4222" i="1"/>
  <c r="I4221" i="1"/>
  <c r="S4220" i="1"/>
  <c r="I4220" i="1"/>
  <c r="S4219" i="1"/>
  <c r="I4219" i="1"/>
  <c r="S4218" i="1"/>
  <c r="I4218" i="1"/>
  <c r="S4217" i="1"/>
  <c r="I4217" i="1"/>
  <c r="S4216" i="1"/>
  <c r="I4216" i="1"/>
  <c r="S4215" i="1"/>
  <c r="I4215" i="1"/>
  <c r="S4214" i="1"/>
  <c r="I4214" i="1"/>
  <c r="S4213" i="1"/>
  <c r="I4213" i="1"/>
  <c r="I4212" i="1"/>
  <c r="I4211" i="1"/>
  <c r="U4210" i="1"/>
  <c r="S4210" i="1"/>
  <c r="I4210" i="1"/>
  <c r="S4209" i="1"/>
  <c r="I4209" i="1"/>
  <c r="S4208" i="1"/>
  <c r="I4208" i="1"/>
  <c r="S4207" i="1"/>
  <c r="I4207" i="1"/>
  <c r="S4206" i="1"/>
  <c r="I4206" i="1"/>
  <c r="S4205" i="1"/>
  <c r="I4205" i="1"/>
  <c r="I4204" i="1"/>
  <c r="S4203" i="1"/>
  <c r="I4203" i="1"/>
  <c r="S4202" i="1"/>
  <c r="I4202" i="1"/>
  <c r="S4201" i="1"/>
  <c r="I4201" i="1"/>
  <c r="S4200" i="1"/>
  <c r="I4200" i="1"/>
  <c r="S4199" i="1"/>
  <c r="I4199" i="1"/>
  <c r="S4198" i="1"/>
  <c r="I4198" i="1"/>
  <c r="S4197" i="1"/>
  <c r="I4197" i="1"/>
  <c r="U4196" i="1"/>
  <c r="S4196" i="1"/>
  <c r="I4196" i="1"/>
  <c r="S4195" i="1"/>
  <c r="I4195" i="1"/>
  <c r="S4194" i="1"/>
  <c r="I4194" i="1"/>
  <c r="S4193" i="1"/>
  <c r="I4193" i="1"/>
  <c r="S4192" i="1"/>
  <c r="I4192" i="1"/>
  <c r="S4191" i="1"/>
  <c r="I4191" i="1"/>
  <c r="S4190" i="1"/>
  <c r="I4190" i="1"/>
  <c r="S4189" i="1"/>
  <c r="I4189" i="1"/>
  <c r="I4188" i="1"/>
  <c r="I4187" i="1"/>
  <c r="S4186" i="1"/>
  <c r="I4186" i="1"/>
  <c r="S4185" i="1"/>
  <c r="I4185" i="1"/>
  <c r="S4184" i="1"/>
  <c r="I4184" i="1"/>
  <c r="S4183" i="1"/>
  <c r="I4183" i="1"/>
  <c r="S4182" i="1"/>
  <c r="I4182" i="1"/>
  <c r="S4181" i="1"/>
  <c r="I4181" i="1"/>
  <c r="S4180" i="1"/>
  <c r="I4180" i="1"/>
  <c r="U4179" i="1"/>
  <c r="I4179" i="1"/>
  <c r="S4178" i="1"/>
  <c r="I4178" i="1"/>
  <c r="I4177" i="1"/>
  <c r="S4176" i="1"/>
  <c r="I4176" i="1"/>
  <c r="I4175" i="1"/>
  <c r="I4174" i="1"/>
  <c r="S4173" i="1"/>
  <c r="I4173" i="1"/>
  <c r="I4172" i="1"/>
  <c r="S4171" i="1"/>
  <c r="I4171" i="1"/>
  <c r="I4170" i="1"/>
  <c r="S4169" i="1"/>
  <c r="I4169" i="1"/>
  <c r="S4168" i="1"/>
  <c r="I4168" i="1"/>
  <c r="S4167" i="1"/>
  <c r="I4167" i="1"/>
  <c r="S4166" i="1"/>
  <c r="I4166" i="1"/>
  <c r="I4165" i="1"/>
  <c r="S4164" i="1"/>
  <c r="I4164" i="1"/>
  <c r="U4163" i="1"/>
  <c r="S4163" i="1"/>
  <c r="I4163" i="1"/>
  <c r="I4162" i="1"/>
  <c r="S4161" i="1"/>
  <c r="I4161" i="1"/>
  <c r="U4160" i="1"/>
  <c r="S4160" i="1"/>
  <c r="I4160" i="1"/>
  <c r="S4159" i="1"/>
  <c r="I4159" i="1"/>
  <c r="I4158" i="1"/>
  <c r="I4157" i="1"/>
  <c r="I4156" i="1"/>
  <c r="I4155" i="1"/>
  <c r="I4154" i="1"/>
  <c r="S4153" i="1"/>
  <c r="I4153" i="1"/>
  <c r="S4152" i="1"/>
  <c r="I4152" i="1"/>
  <c r="I4151" i="1"/>
  <c r="I4150" i="1"/>
  <c r="S4149" i="1"/>
  <c r="I4149" i="1"/>
  <c r="I4148" i="1"/>
  <c r="I4147" i="1"/>
  <c r="I4146" i="1"/>
  <c r="S4145" i="1"/>
  <c r="I4145" i="1"/>
  <c r="S4144" i="1"/>
  <c r="I4144" i="1"/>
  <c r="S4143" i="1"/>
  <c r="I4143" i="1"/>
  <c r="I4142" i="1"/>
  <c r="I4141" i="1"/>
  <c r="I4140" i="1"/>
  <c r="I4139" i="1"/>
  <c r="I4138" i="1"/>
  <c r="S4137" i="1"/>
  <c r="I4137" i="1"/>
  <c r="I4136" i="1"/>
  <c r="I4135" i="1"/>
  <c r="U4134" i="1"/>
  <c r="S4134" i="1"/>
  <c r="I4134" i="1"/>
  <c r="I4133" i="1"/>
  <c r="S4132" i="1"/>
  <c r="I4132" i="1"/>
  <c r="S4131" i="1"/>
  <c r="I4131" i="1"/>
  <c r="S4130" i="1"/>
  <c r="I4130" i="1"/>
  <c r="S4129" i="1"/>
  <c r="I4129" i="1"/>
  <c r="I4128" i="1"/>
  <c r="S4127" i="1"/>
  <c r="I4127" i="1"/>
  <c r="I4126" i="1"/>
  <c r="I4125" i="1"/>
  <c r="S4124" i="1"/>
  <c r="I4124" i="1"/>
  <c r="S4123" i="1"/>
  <c r="I4123" i="1"/>
  <c r="S4122" i="1"/>
  <c r="I4122" i="1"/>
  <c r="S4121" i="1"/>
  <c r="I4121" i="1"/>
  <c r="I4120" i="1"/>
  <c r="I4119" i="1"/>
  <c r="S4118" i="1"/>
  <c r="I4118" i="1"/>
  <c r="I4117" i="1"/>
  <c r="I4116" i="1"/>
  <c r="I4115" i="1"/>
  <c r="S4114" i="1"/>
  <c r="I4114" i="1"/>
  <c r="I4113" i="1"/>
  <c r="U4112" i="1"/>
  <c r="I4112" i="1"/>
  <c r="I4111" i="1"/>
  <c r="I4110" i="1"/>
  <c r="U4109" i="1"/>
  <c r="S4109" i="1"/>
  <c r="I4109" i="1"/>
  <c r="I4108" i="1"/>
  <c r="S4107" i="1"/>
  <c r="I4107" i="1"/>
  <c r="S4106" i="1"/>
  <c r="I4106" i="1"/>
  <c r="I4105" i="1"/>
  <c r="S4104" i="1"/>
  <c r="I4104" i="1"/>
  <c r="I4103" i="1"/>
  <c r="S4102" i="1"/>
  <c r="I4102" i="1"/>
  <c r="S4101" i="1"/>
  <c r="I4101" i="1"/>
  <c r="I4100" i="1"/>
  <c r="S4099" i="1"/>
  <c r="I4099" i="1"/>
  <c r="I4098" i="1"/>
  <c r="S4097" i="1"/>
  <c r="I4097" i="1"/>
  <c r="S4096" i="1"/>
  <c r="I4096" i="1"/>
  <c r="S4095" i="1"/>
  <c r="I4095" i="1"/>
  <c r="I4094" i="1"/>
  <c r="S4093" i="1"/>
  <c r="I4093" i="1"/>
  <c r="S4092" i="1"/>
  <c r="I4092" i="1"/>
  <c r="S4091" i="1"/>
  <c r="I4091" i="1"/>
  <c r="U4090" i="1"/>
  <c r="I4090" i="1"/>
  <c r="I4089" i="1"/>
  <c r="I4088" i="1"/>
  <c r="I4087" i="1"/>
  <c r="S4086" i="1"/>
  <c r="I4086" i="1"/>
  <c r="I4085" i="1"/>
  <c r="I4084" i="1"/>
  <c r="I4083" i="1"/>
  <c r="I4082" i="1"/>
  <c r="I4081" i="1"/>
  <c r="S4080" i="1"/>
  <c r="I4080" i="1"/>
  <c r="I4079" i="1"/>
  <c r="I4078" i="1"/>
  <c r="S4077" i="1"/>
  <c r="I4077" i="1"/>
  <c r="S4076" i="1"/>
  <c r="I4076" i="1"/>
  <c r="S4075" i="1"/>
  <c r="I4075" i="1"/>
  <c r="I4074" i="1"/>
  <c r="S4073" i="1"/>
  <c r="I4073" i="1"/>
  <c r="S4072" i="1"/>
  <c r="I4072" i="1"/>
  <c r="I4071" i="1"/>
  <c r="S4070" i="1"/>
  <c r="I4070" i="1"/>
  <c r="S4069" i="1"/>
  <c r="I4069" i="1"/>
  <c r="S4068" i="1"/>
  <c r="I4068" i="1"/>
  <c r="S4067" i="1"/>
  <c r="I4067" i="1"/>
  <c r="S4066" i="1"/>
  <c r="I4066" i="1"/>
  <c r="S4065" i="1"/>
  <c r="I4065" i="1"/>
  <c r="I4064" i="1"/>
  <c r="S4063" i="1"/>
  <c r="I4063" i="1"/>
  <c r="I4062" i="1"/>
  <c r="U4061" i="1"/>
  <c r="I4061" i="1"/>
  <c r="I4060" i="1"/>
  <c r="I4059" i="1"/>
  <c r="S4058" i="1"/>
  <c r="I4058" i="1"/>
  <c r="S4057" i="1"/>
  <c r="I4057" i="1"/>
  <c r="I4056" i="1"/>
  <c r="U4055" i="1"/>
  <c r="S4055" i="1"/>
  <c r="I4055" i="1"/>
  <c r="U4054" i="1"/>
  <c r="S4054" i="1"/>
  <c r="I4054" i="1"/>
  <c r="U4053" i="1"/>
  <c r="S4053" i="1"/>
  <c r="I4053" i="1"/>
  <c r="S4052" i="1"/>
  <c r="I4052" i="1"/>
  <c r="I4051" i="1"/>
  <c r="I4050" i="1"/>
  <c r="S4049" i="1"/>
  <c r="I4049" i="1"/>
  <c r="S4048" i="1"/>
  <c r="I4048" i="1"/>
  <c r="S4047" i="1"/>
  <c r="I4047" i="1"/>
  <c r="U4046" i="1"/>
  <c r="I4046" i="1"/>
  <c r="S4045" i="1"/>
  <c r="I4045" i="1"/>
  <c r="S4044" i="1"/>
  <c r="I4044" i="1"/>
  <c r="S4043" i="1"/>
  <c r="I4043" i="1"/>
  <c r="I4042" i="1"/>
  <c r="U4041" i="1"/>
  <c r="I4041" i="1"/>
  <c r="I4040" i="1"/>
  <c r="I4039" i="1"/>
  <c r="I4038" i="1"/>
  <c r="S4037" i="1"/>
  <c r="I4037" i="1"/>
  <c r="I4036" i="1"/>
  <c r="I4035" i="1"/>
  <c r="S4034" i="1"/>
  <c r="I4034" i="1"/>
  <c r="S4033" i="1"/>
  <c r="I4033" i="1"/>
  <c r="I4032" i="1"/>
  <c r="S4031" i="1"/>
  <c r="I4031" i="1"/>
  <c r="I4030" i="1"/>
  <c r="S4029" i="1"/>
  <c r="I4029" i="1"/>
  <c r="I4028" i="1"/>
  <c r="I4027" i="1"/>
  <c r="I4026" i="1"/>
  <c r="I4025" i="1"/>
  <c r="I4024" i="1"/>
  <c r="I4023" i="1"/>
  <c r="I4022" i="1"/>
  <c r="S4021" i="1"/>
  <c r="I4021" i="1"/>
  <c r="S4020" i="1"/>
  <c r="I4020" i="1"/>
  <c r="I4019" i="1"/>
  <c r="S4018" i="1"/>
  <c r="I4018" i="1"/>
  <c r="S4017" i="1"/>
  <c r="I4017" i="1"/>
  <c r="I4016" i="1"/>
  <c r="I4015" i="1"/>
  <c r="I4014" i="1"/>
  <c r="U4013" i="1"/>
  <c r="S4013" i="1"/>
  <c r="I4013" i="1"/>
  <c r="S4012" i="1"/>
  <c r="I4012" i="1"/>
  <c r="I4011" i="1"/>
  <c r="S4010" i="1"/>
  <c r="I4010" i="1"/>
  <c r="I4009" i="1"/>
  <c r="I4008" i="1"/>
  <c r="I4007" i="1"/>
  <c r="S4006" i="1"/>
  <c r="I4006" i="1"/>
  <c r="I4005" i="1"/>
  <c r="I4004" i="1"/>
  <c r="I4003" i="1"/>
  <c r="I4002" i="1"/>
  <c r="I4001" i="1"/>
  <c r="S4000" i="1"/>
  <c r="I4000" i="1"/>
  <c r="S3999" i="1"/>
  <c r="I3999" i="1"/>
  <c r="S3998" i="1"/>
  <c r="I3998" i="1"/>
  <c r="S3997" i="1"/>
  <c r="I3997" i="1"/>
  <c r="I3996" i="1"/>
  <c r="S3995" i="1"/>
  <c r="I3995" i="1"/>
  <c r="I3994" i="1"/>
  <c r="S3993" i="1"/>
  <c r="I3993" i="1"/>
  <c r="S3992" i="1"/>
  <c r="I3992" i="1"/>
  <c r="I3991" i="1"/>
  <c r="I3990" i="1"/>
  <c r="I3989" i="1"/>
  <c r="S3988" i="1"/>
  <c r="I3988" i="1"/>
  <c r="S3987" i="1"/>
  <c r="I3987" i="1"/>
  <c r="S3986" i="1"/>
  <c r="I3986" i="1"/>
  <c r="U3985" i="1"/>
  <c r="S3985" i="1"/>
  <c r="I3985" i="1"/>
  <c r="I3984" i="1"/>
  <c r="I3983" i="1"/>
  <c r="I3982" i="1"/>
  <c r="I3981" i="1"/>
  <c r="I3980" i="1"/>
  <c r="S3979" i="1"/>
  <c r="I3979" i="1"/>
  <c r="I3978" i="1"/>
  <c r="I3977" i="1"/>
  <c r="I3976" i="1"/>
  <c r="S3975" i="1"/>
  <c r="I3975" i="1"/>
  <c r="I3974" i="1"/>
  <c r="S3973" i="1"/>
  <c r="I3973" i="1"/>
  <c r="I3972" i="1"/>
  <c r="S3971" i="1"/>
  <c r="I3971" i="1"/>
  <c r="U3970" i="1"/>
  <c r="S3970" i="1"/>
  <c r="I3970" i="1"/>
  <c r="S3969" i="1"/>
  <c r="I3969" i="1"/>
  <c r="I3968" i="1"/>
  <c r="S3967" i="1"/>
  <c r="I3967" i="1"/>
  <c r="S3966" i="1"/>
  <c r="I3966" i="1"/>
  <c r="S3965" i="1"/>
  <c r="I3965" i="1"/>
  <c r="S3964" i="1"/>
  <c r="I3964" i="1"/>
  <c r="S3963" i="1"/>
  <c r="I3963" i="1"/>
  <c r="I3962" i="1"/>
  <c r="S3961" i="1"/>
  <c r="I3961" i="1"/>
  <c r="I3960" i="1"/>
  <c r="I3959" i="1"/>
  <c r="S3958" i="1"/>
  <c r="I3958" i="1"/>
  <c r="I3957" i="1"/>
  <c r="I3956" i="1"/>
  <c r="I3955" i="1"/>
  <c r="I3954" i="1"/>
  <c r="S3953" i="1"/>
  <c r="I3953" i="1"/>
  <c r="I3952" i="1"/>
  <c r="I3951" i="1"/>
  <c r="I3950" i="1"/>
  <c r="I3949" i="1"/>
  <c r="I3948" i="1"/>
  <c r="I3947" i="1"/>
  <c r="I3946" i="1"/>
  <c r="S3945" i="1"/>
  <c r="I3945" i="1"/>
  <c r="S3944" i="1"/>
  <c r="I3944" i="1"/>
  <c r="I3943" i="1"/>
  <c r="S3942" i="1"/>
  <c r="I3942" i="1"/>
  <c r="U3941" i="1"/>
  <c r="I3941" i="1"/>
  <c r="S3940" i="1"/>
  <c r="I3940" i="1"/>
  <c r="I3939" i="1"/>
  <c r="I3938" i="1"/>
  <c r="I3937" i="1"/>
  <c r="I3936" i="1"/>
  <c r="S3935" i="1"/>
  <c r="I3935" i="1"/>
  <c r="I3934" i="1"/>
  <c r="I3933" i="1"/>
  <c r="I3932" i="1"/>
  <c r="I3931" i="1"/>
  <c r="I3930" i="1"/>
  <c r="S3929" i="1"/>
  <c r="I3929" i="1"/>
  <c r="I3928" i="1"/>
  <c r="I3927" i="1"/>
  <c r="S3926" i="1"/>
  <c r="I3926" i="1"/>
  <c r="S3925" i="1"/>
  <c r="I3925" i="1"/>
  <c r="I3924" i="1"/>
  <c r="I3923" i="1"/>
  <c r="I3922" i="1"/>
  <c r="U3921" i="1"/>
  <c r="I3921" i="1"/>
  <c r="S3920" i="1"/>
  <c r="I3920" i="1"/>
  <c r="I3919" i="1"/>
  <c r="I3918" i="1"/>
  <c r="I3917" i="1"/>
  <c r="I3916" i="1"/>
  <c r="I3915" i="1"/>
  <c r="U3914" i="1"/>
  <c r="S3914" i="1"/>
  <c r="I3914" i="1"/>
  <c r="S3913" i="1"/>
  <c r="I3913" i="1"/>
  <c r="I3912" i="1"/>
  <c r="I3911" i="1"/>
  <c r="S3910" i="1"/>
  <c r="I3910" i="1"/>
  <c r="S3909" i="1"/>
  <c r="I3909" i="1"/>
  <c r="S3908" i="1"/>
  <c r="I3908" i="1"/>
  <c r="I3907" i="1"/>
  <c r="S3906" i="1"/>
  <c r="I3906" i="1"/>
  <c r="S3905" i="1"/>
  <c r="I3905" i="1"/>
  <c r="S3904" i="1"/>
  <c r="I3904" i="1"/>
  <c r="S3903" i="1"/>
  <c r="I3903" i="1"/>
  <c r="S3902" i="1"/>
  <c r="I3902" i="1"/>
  <c r="I3901" i="1"/>
  <c r="S3900" i="1"/>
  <c r="I3900" i="1"/>
  <c r="S3899" i="1"/>
  <c r="I3899" i="1"/>
  <c r="I3898" i="1"/>
  <c r="I3897" i="1"/>
  <c r="I3896" i="1"/>
  <c r="S3895" i="1"/>
  <c r="I3895" i="1"/>
  <c r="I3894" i="1"/>
  <c r="S3893" i="1"/>
  <c r="I3893" i="1"/>
  <c r="I3892" i="1"/>
  <c r="S3891" i="1"/>
  <c r="I3891" i="1"/>
  <c r="I3890" i="1"/>
  <c r="I3889" i="1"/>
  <c r="I3888" i="1"/>
  <c r="U3887" i="1"/>
  <c r="I3887" i="1"/>
  <c r="I3886" i="1"/>
  <c r="I3885" i="1"/>
  <c r="S3884" i="1"/>
  <c r="I3884" i="1"/>
  <c r="I3883" i="1"/>
  <c r="S3882" i="1"/>
  <c r="I3882" i="1"/>
  <c r="I3881" i="1"/>
  <c r="S3880" i="1"/>
  <c r="I3880" i="1"/>
  <c r="I3879" i="1"/>
  <c r="I3878" i="1"/>
  <c r="S3877" i="1"/>
  <c r="I3877" i="1"/>
  <c r="I3876" i="1"/>
  <c r="S3875" i="1"/>
  <c r="I3875" i="1"/>
  <c r="S3874" i="1"/>
  <c r="I3874" i="1"/>
  <c r="I3873" i="1"/>
  <c r="U3872" i="1"/>
  <c r="S3872" i="1"/>
  <c r="I3872" i="1"/>
  <c r="I3871" i="1"/>
  <c r="I3870" i="1"/>
  <c r="I3869" i="1"/>
  <c r="I3868" i="1"/>
  <c r="I3867" i="1"/>
  <c r="S3866" i="1"/>
  <c r="I3866" i="1"/>
  <c r="I3865" i="1"/>
  <c r="I3864" i="1"/>
  <c r="I3863" i="1"/>
  <c r="I3862" i="1"/>
  <c r="U3861" i="1"/>
  <c r="I3861" i="1"/>
  <c r="U3860" i="1"/>
  <c r="I3860" i="1"/>
  <c r="I3859" i="1"/>
  <c r="I3858" i="1"/>
  <c r="I3857" i="1"/>
  <c r="I3856" i="1"/>
  <c r="S3855" i="1"/>
  <c r="I3855" i="1"/>
  <c r="I3854" i="1"/>
  <c r="I3853" i="1"/>
  <c r="I3852" i="1"/>
  <c r="I3851" i="1"/>
  <c r="U3850" i="1"/>
  <c r="I3850" i="1"/>
  <c r="I3849" i="1"/>
  <c r="I3848" i="1"/>
  <c r="S3847" i="1"/>
  <c r="I3847" i="1"/>
  <c r="I3846" i="1"/>
  <c r="S3845" i="1"/>
  <c r="I3845" i="1"/>
  <c r="I3844" i="1"/>
  <c r="I3843" i="1"/>
  <c r="S3842" i="1"/>
  <c r="I3842" i="1"/>
  <c r="I3841" i="1"/>
  <c r="I3840" i="1"/>
  <c r="I3839" i="1"/>
  <c r="I3838" i="1"/>
  <c r="S3837" i="1"/>
  <c r="I3837" i="1"/>
  <c r="S3836" i="1"/>
  <c r="I3836" i="1"/>
  <c r="S3835" i="1"/>
  <c r="I3835" i="1"/>
  <c r="I3834" i="1"/>
  <c r="I3833" i="1"/>
  <c r="S3832" i="1"/>
  <c r="I3832" i="1"/>
  <c r="I3831" i="1"/>
  <c r="U3830" i="1"/>
  <c r="I3830" i="1"/>
  <c r="U3829" i="1"/>
  <c r="I3829" i="1"/>
  <c r="S3828" i="1"/>
  <c r="I3828" i="1"/>
  <c r="U3827" i="1"/>
  <c r="I3827" i="1"/>
  <c r="I3826" i="1"/>
  <c r="S3825" i="1"/>
  <c r="I3825" i="1"/>
  <c r="I3824" i="1"/>
  <c r="I3823" i="1"/>
  <c r="I3822" i="1"/>
  <c r="I3821" i="1"/>
  <c r="I3820" i="1"/>
  <c r="I3819" i="1"/>
  <c r="I3818" i="1"/>
  <c r="I3817" i="1"/>
  <c r="I3816" i="1"/>
  <c r="I3815" i="1"/>
  <c r="I3814" i="1"/>
  <c r="I3813" i="1"/>
  <c r="I3812" i="1"/>
  <c r="I3811" i="1"/>
  <c r="I3810" i="1"/>
  <c r="I3809" i="1"/>
  <c r="I3808" i="1"/>
  <c r="S3807" i="1"/>
  <c r="I3807" i="1"/>
  <c r="S3806" i="1"/>
  <c r="I3806" i="1"/>
  <c r="I3805" i="1"/>
  <c r="I3804" i="1"/>
  <c r="S3803" i="1"/>
  <c r="I3803" i="1"/>
  <c r="S3802" i="1"/>
  <c r="I3802" i="1"/>
  <c r="S3801" i="1"/>
  <c r="I3801" i="1"/>
  <c r="I3800" i="1"/>
  <c r="S3799" i="1"/>
  <c r="I3799" i="1"/>
  <c r="I3798" i="1"/>
  <c r="S3797" i="1"/>
  <c r="I3797" i="1"/>
  <c r="S3796" i="1"/>
  <c r="I3796" i="1"/>
  <c r="I3795" i="1"/>
  <c r="I3794" i="1"/>
  <c r="I3793" i="1"/>
  <c r="I3792" i="1"/>
  <c r="I3791" i="1"/>
  <c r="I3790" i="1"/>
  <c r="I3789" i="1"/>
  <c r="S3788" i="1"/>
  <c r="I3788" i="1"/>
  <c r="S3787" i="1"/>
  <c r="I3787" i="1"/>
  <c r="U3786" i="1"/>
  <c r="S3786" i="1"/>
  <c r="I3786" i="1"/>
  <c r="I3785" i="1"/>
  <c r="I3784" i="1"/>
  <c r="I3783" i="1"/>
  <c r="I3782" i="1"/>
  <c r="S3781" i="1"/>
  <c r="I3781" i="1"/>
  <c r="I3780" i="1"/>
  <c r="I3779" i="1"/>
  <c r="S3778" i="1"/>
  <c r="I3778" i="1"/>
  <c r="S3777" i="1"/>
  <c r="I3777" i="1"/>
  <c r="S3776" i="1"/>
  <c r="I3776" i="1"/>
  <c r="I3775" i="1"/>
  <c r="I3774" i="1"/>
  <c r="I3773" i="1"/>
  <c r="I3772" i="1"/>
  <c r="S3771" i="1"/>
  <c r="I3771" i="1"/>
  <c r="S3770" i="1"/>
  <c r="I3770" i="1"/>
  <c r="S3769" i="1"/>
  <c r="I3769" i="1"/>
  <c r="S3768" i="1"/>
  <c r="I3768" i="1"/>
  <c r="I3767" i="1"/>
  <c r="S3766" i="1"/>
  <c r="I3766" i="1"/>
  <c r="U3765" i="1"/>
  <c r="I3765" i="1"/>
  <c r="I3764" i="1"/>
  <c r="U3763" i="1"/>
  <c r="S3763" i="1"/>
  <c r="I3763" i="1"/>
  <c r="S3762" i="1"/>
  <c r="I3762" i="1"/>
  <c r="I3761" i="1"/>
  <c r="S3760" i="1"/>
  <c r="I3760" i="1"/>
  <c r="I3759" i="1"/>
  <c r="U3758" i="1"/>
  <c r="I3758" i="1"/>
  <c r="I3757" i="1"/>
  <c r="U3756" i="1"/>
  <c r="I3756" i="1"/>
  <c r="S3755" i="1"/>
  <c r="I3755" i="1"/>
  <c r="I3754" i="1"/>
  <c r="I3753" i="1"/>
  <c r="I3752" i="1"/>
  <c r="I3751" i="1"/>
  <c r="S3750" i="1"/>
  <c r="I3750" i="1"/>
  <c r="I3749" i="1"/>
  <c r="S3748" i="1"/>
  <c r="I3748" i="1"/>
  <c r="S3747" i="1"/>
  <c r="I3747" i="1"/>
  <c r="S3746" i="1"/>
  <c r="I3746" i="1"/>
  <c r="S3745" i="1"/>
  <c r="I3745" i="1"/>
  <c r="U3744" i="1"/>
  <c r="I3744" i="1"/>
  <c r="U3743" i="1"/>
  <c r="I3743" i="1"/>
  <c r="I3742" i="1"/>
  <c r="I3741" i="1"/>
  <c r="I3740" i="1"/>
  <c r="I3739" i="1"/>
  <c r="I3738" i="1"/>
  <c r="I3737" i="1"/>
  <c r="S3736" i="1"/>
  <c r="I3736" i="1"/>
  <c r="I3735" i="1"/>
  <c r="I3734" i="1"/>
  <c r="S3733" i="1"/>
  <c r="I3733" i="1"/>
  <c r="U3732" i="1"/>
  <c r="S3732" i="1"/>
  <c r="I3732" i="1"/>
  <c r="I3731" i="1"/>
  <c r="I3730" i="1"/>
  <c r="I3729" i="1"/>
  <c r="I3728" i="1"/>
  <c r="I3727" i="1"/>
  <c r="I3726" i="1"/>
  <c r="I3725" i="1"/>
  <c r="I3724" i="1"/>
  <c r="S3723" i="1"/>
  <c r="I3723" i="1"/>
  <c r="I3722" i="1"/>
  <c r="S3721" i="1"/>
  <c r="I3721" i="1"/>
  <c r="I3720" i="1"/>
  <c r="S3719" i="1"/>
  <c r="I3719" i="1"/>
  <c r="I3718" i="1"/>
  <c r="I3717" i="1"/>
  <c r="I3716" i="1"/>
  <c r="I3715" i="1"/>
  <c r="I3714" i="1"/>
  <c r="S3713" i="1"/>
  <c r="I3713" i="1"/>
  <c r="I3712" i="1"/>
  <c r="I3711" i="1"/>
  <c r="I3710" i="1"/>
  <c r="I3709" i="1"/>
  <c r="I3708" i="1"/>
  <c r="S3707" i="1"/>
  <c r="I3707" i="1"/>
  <c r="I3706" i="1"/>
  <c r="I3705" i="1"/>
  <c r="I3704" i="1"/>
  <c r="I3703" i="1"/>
  <c r="I3702" i="1"/>
  <c r="I3701" i="1"/>
  <c r="S3700" i="1"/>
  <c r="I3700" i="1"/>
  <c r="I3699" i="1"/>
  <c r="I3698" i="1"/>
  <c r="I3697" i="1"/>
  <c r="I3696" i="1"/>
  <c r="I3695" i="1"/>
  <c r="I3694" i="1"/>
  <c r="I3693" i="1"/>
  <c r="I3692" i="1"/>
  <c r="I3691" i="1"/>
  <c r="I3690" i="1"/>
  <c r="I3689" i="1"/>
  <c r="I3688" i="1"/>
  <c r="I3687" i="1"/>
  <c r="I3686" i="1"/>
  <c r="I3685" i="1"/>
  <c r="U3684" i="1"/>
  <c r="I3684" i="1"/>
  <c r="S3683" i="1"/>
  <c r="I3683" i="1"/>
  <c r="S3682" i="1"/>
  <c r="I3682" i="1"/>
  <c r="I3681" i="1"/>
  <c r="S3680" i="1"/>
  <c r="I3680" i="1"/>
  <c r="I3679" i="1"/>
  <c r="S3678" i="1"/>
  <c r="I3678" i="1"/>
  <c r="S3677" i="1"/>
  <c r="I3677" i="1"/>
  <c r="I3676" i="1"/>
  <c r="I3675" i="1"/>
  <c r="I3674" i="1"/>
  <c r="S3673" i="1"/>
  <c r="I3673" i="1"/>
  <c r="I3672" i="1"/>
  <c r="I3671" i="1"/>
  <c r="S3670" i="1"/>
  <c r="I3670" i="1"/>
  <c r="S3669" i="1"/>
  <c r="I3669" i="1"/>
  <c r="I3668" i="1"/>
  <c r="I3667" i="1"/>
  <c r="S3666" i="1"/>
  <c r="I3666" i="1"/>
  <c r="I3665" i="1"/>
  <c r="I3664" i="1"/>
  <c r="S3663" i="1"/>
  <c r="I3663" i="1"/>
  <c r="I3662" i="1"/>
  <c r="S3661" i="1"/>
  <c r="I3661" i="1"/>
  <c r="S3660" i="1"/>
  <c r="I3660" i="1"/>
  <c r="S3659" i="1"/>
  <c r="I3659" i="1"/>
  <c r="I3658" i="1"/>
  <c r="I3657" i="1"/>
  <c r="I3656" i="1"/>
  <c r="I3655" i="1"/>
  <c r="I3654" i="1"/>
  <c r="I3653" i="1"/>
  <c r="I3652" i="1"/>
  <c r="I3651" i="1"/>
  <c r="S3650" i="1"/>
  <c r="I3650" i="1"/>
  <c r="I3649" i="1"/>
  <c r="S3648" i="1"/>
  <c r="I3648" i="1"/>
  <c r="S3647" i="1"/>
  <c r="I3647" i="1"/>
  <c r="I3646" i="1"/>
  <c r="I3645" i="1"/>
  <c r="I3644" i="1"/>
  <c r="I3643" i="1"/>
  <c r="I3642" i="1"/>
  <c r="S3641" i="1"/>
  <c r="I3641" i="1"/>
  <c r="I3640" i="1"/>
  <c r="I3639" i="1"/>
  <c r="I3638" i="1"/>
  <c r="I3637" i="1"/>
  <c r="I3636" i="1"/>
  <c r="I3635" i="1"/>
  <c r="I3634" i="1"/>
  <c r="I3633" i="1"/>
  <c r="I3632" i="1"/>
  <c r="I3631" i="1"/>
  <c r="I3630" i="1"/>
  <c r="I3629" i="1"/>
  <c r="S3628" i="1"/>
  <c r="I3628" i="1"/>
  <c r="S3627" i="1"/>
  <c r="I3627" i="1"/>
  <c r="I3626" i="1"/>
  <c r="I3625" i="1"/>
  <c r="I3624" i="1"/>
  <c r="I3623" i="1"/>
  <c r="S3622" i="1"/>
  <c r="I3622" i="1"/>
  <c r="I3621" i="1"/>
  <c r="S3620" i="1"/>
  <c r="I3620" i="1"/>
  <c r="I3619" i="1"/>
  <c r="S3618" i="1"/>
  <c r="I3618" i="1"/>
  <c r="I3617" i="1"/>
  <c r="S3616" i="1"/>
  <c r="I3616" i="1"/>
  <c r="I3615" i="1"/>
  <c r="I3614" i="1"/>
  <c r="I3613" i="1"/>
  <c r="I3612" i="1"/>
  <c r="I3611" i="1"/>
  <c r="S3610" i="1"/>
  <c r="I3610" i="1"/>
  <c r="I3609" i="1"/>
  <c r="I3608" i="1"/>
  <c r="I3607" i="1"/>
  <c r="I3606" i="1"/>
  <c r="I3605" i="1"/>
  <c r="S3604" i="1"/>
  <c r="I3604" i="1"/>
  <c r="I3603" i="1"/>
  <c r="I3602" i="1"/>
  <c r="I3601" i="1"/>
  <c r="S3600" i="1"/>
  <c r="I3600" i="1"/>
  <c r="I3599" i="1"/>
  <c r="I3598" i="1"/>
  <c r="I3597" i="1"/>
  <c r="I3596" i="1"/>
  <c r="I3595" i="1"/>
  <c r="I3594" i="1"/>
  <c r="S3593" i="1"/>
  <c r="I3593" i="1"/>
  <c r="S3592" i="1"/>
  <c r="I3592" i="1"/>
  <c r="I3591" i="1"/>
  <c r="I3590" i="1"/>
  <c r="I3589" i="1"/>
  <c r="S3588" i="1"/>
  <c r="I3588" i="1"/>
  <c r="S3587" i="1"/>
  <c r="I3587" i="1"/>
  <c r="S3586" i="1"/>
  <c r="I3586" i="1"/>
  <c r="S3585" i="1"/>
  <c r="I3585" i="1"/>
  <c r="U3584" i="1"/>
  <c r="S3584" i="1"/>
  <c r="I3584" i="1"/>
  <c r="I3583" i="1"/>
  <c r="I3582" i="1"/>
  <c r="I3581" i="1"/>
  <c r="S3580" i="1"/>
  <c r="I3580" i="1"/>
  <c r="I3579" i="1"/>
  <c r="I3578" i="1"/>
  <c r="I3577" i="1"/>
  <c r="I3576" i="1"/>
  <c r="I3575" i="1"/>
  <c r="I3574" i="1"/>
  <c r="I3573" i="1"/>
  <c r="I3572" i="1"/>
  <c r="S3571" i="1"/>
  <c r="I3571" i="1"/>
  <c r="S3570" i="1"/>
  <c r="I3570" i="1"/>
  <c r="S3569" i="1"/>
  <c r="I3569" i="1"/>
  <c r="I3568" i="1"/>
  <c r="I3567" i="1"/>
  <c r="I3566" i="1"/>
  <c r="I3565" i="1"/>
  <c r="I3564" i="1"/>
  <c r="I3563" i="1"/>
  <c r="I3562" i="1"/>
  <c r="I3561" i="1"/>
  <c r="I3560" i="1"/>
  <c r="I3559" i="1"/>
  <c r="I3558" i="1"/>
  <c r="I3557" i="1"/>
  <c r="S3556" i="1"/>
  <c r="I3556" i="1"/>
  <c r="S3555" i="1"/>
  <c r="I3555" i="1"/>
  <c r="S3554" i="1"/>
  <c r="I3554" i="1"/>
  <c r="I3553" i="1"/>
  <c r="I3552" i="1"/>
  <c r="I3551" i="1"/>
  <c r="I3550" i="1"/>
  <c r="I3549" i="1"/>
  <c r="I3548" i="1"/>
  <c r="I3547" i="1"/>
  <c r="I3546" i="1"/>
  <c r="I3545" i="1"/>
  <c r="S3544" i="1"/>
  <c r="I3544" i="1"/>
  <c r="S3543" i="1"/>
  <c r="I3543" i="1"/>
  <c r="I3542" i="1"/>
  <c r="I3541" i="1"/>
  <c r="S3540" i="1"/>
  <c r="I3540" i="1"/>
  <c r="S3539" i="1"/>
  <c r="I3539" i="1"/>
  <c r="I3538" i="1"/>
  <c r="I3537" i="1"/>
  <c r="I3536" i="1"/>
  <c r="I3535" i="1"/>
  <c r="S3534" i="1"/>
  <c r="I3534" i="1"/>
  <c r="S3533" i="1"/>
  <c r="I3533" i="1"/>
  <c r="S3532" i="1"/>
  <c r="I3532" i="1"/>
  <c r="S3531" i="1"/>
  <c r="I3531" i="1"/>
  <c r="I3530" i="1"/>
  <c r="I3529" i="1"/>
  <c r="I3528" i="1"/>
  <c r="S3527" i="1"/>
  <c r="I3527" i="1"/>
  <c r="S3526" i="1"/>
  <c r="I3526" i="1"/>
  <c r="S3525" i="1"/>
  <c r="I3525" i="1"/>
  <c r="S3524" i="1"/>
  <c r="I3524" i="1"/>
  <c r="I3523" i="1"/>
  <c r="I3522" i="1"/>
  <c r="S3521" i="1"/>
  <c r="I3521" i="1"/>
  <c r="S3520" i="1"/>
  <c r="I3520" i="1"/>
  <c r="I3519" i="1"/>
  <c r="I3518" i="1"/>
  <c r="I3517" i="1"/>
  <c r="I3516" i="1"/>
  <c r="I3515" i="1"/>
  <c r="I3514" i="1"/>
  <c r="I3513" i="1"/>
  <c r="I3512" i="1"/>
  <c r="S3511" i="1"/>
  <c r="I3511" i="1"/>
  <c r="S3510" i="1"/>
  <c r="I3510" i="1"/>
  <c r="U3509" i="1"/>
  <c r="S3509" i="1"/>
  <c r="I3509" i="1"/>
  <c r="I3508" i="1"/>
  <c r="S3507" i="1"/>
  <c r="I3507" i="1"/>
  <c r="S3506" i="1"/>
  <c r="I3506" i="1"/>
  <c r="I3505" i="1"/>
  <c r="I3504" i="1"/>
  <c r="I3503" i="1"/>
  <c r="S3502" i="1"/>
  <c r="I3502" i="1"/>
  <c r="I3501" i="1"/>
  <c r="U3500" i="1"/>
  <c r="S3500" i="1"/>
  <c r="I3500" i="1"/>
  <c r="S3499" i="1"/>
  <c r="I3499" i="1"/>
  <c r="I3498" i="1"/>
  <c r="S3497" i="1"/>
  <c r="I3497" i="1"/>
  <c r="I3496" i="1"/>
  <c r="I3495" i="1"/>
  <c r="I3494" i="1"/>
  <c r="I3493" i="1"/>
  <c r="I3492" i="1"/>
  <c r="I3491" i="1"/>
  <c r="I3490" i="1"/>
  <c r="I3489" i="1"/>
  <c r="I3488" i="1"/>
  <c r="I3487" i="1"/>
  <c r="I3486" i="1"/>
  <c r="I3485" i="1"/>
  <c r="S3484" i="1"/>
  <c r="I3484" i="1"/>
  <c r="I3483" i="1"/>
  <c r="I3482" i="1"/>
  <c r="I3481" i="1"/>
  <c r="I3480" i="1"/>
  <c r="I3479" i="1"/>
  <c r="I3478" i="1"/>
  <c r="I3477" i="1"/>
  <c r="I3476" i="1"/>
  <c r="I3475" i="1"/>
  <c r="I3474" i="1"/>
  <c r="S3473" i="1"/>
  <c r="I3473" i="1"/>
  <c r="I3472" i="1"/>
  <c r="I3471" i="1"/>
  <c r="I3470" i="1"/>
  <c r="U3469" i="1"/>
  <c r="S3469" i="1"/>
  <c r="I3469" i="1"/>
  <c r="S3468" i="1"/>
  <c r="I3468" i="1"/>
  <c r="S3467" i="1"/>
  <c r="I3467" i="1"/>
  <c r="I3466" i="1"/>
  <c r="I3465" i="1"/>
  <c r="S3464" i="1"/>
  <c r="I3464" i="1"/>
  <c r="S3463" i="1"/>
  <c r="I3463" i="1"/>
  <c r="S3462" i="1"/>
  <c r="I3462" i="1"/>
  <c r="I3461" i="1"/>
  <c r="I3460" i="1"/>
  <c r="S3459" i="1"/>
  <c r="I3459" i="1"/>
  <c r="S3458" i="1"/>
  <c r="I3458" i="1"/>
  <c r="I3457" i="1"/>
  <c r="I3456" i="1"/>
  <c r="I3455" i="1"/>
  <c r="I3454" i="1"/>
  <c r="I3453" i="1"/>
  <c r="I3452" i="1"/>
  <c r="S3451" i="1"/>
  <c r="I3451" i="1"/>
  <c r="I3450" i="1"/>
  <c r="I3449" i="1"/>
  <c r="I3448" i="1"/>
  <c r="I3447" i="1"/>
  <c r="I3446" i="1"/>
  <c r="S3445" i="1"/>
  <c r="I3445" i="1"/>
  <c r="I3444" i="1"/>
  <c r="I3443" i="1"/>
  <c r="I3442" i="1"/>
  <c r="S3441" i="1"/>
  <c r="I3441" i="1"/>
  <c r="S3440" i="1"/>
  <c r="I3440" i="1"/>
  <c r="I3439" i="1"/>
  <c r="S3438" i="1"/>
  <c r="I3438" i="1"/>
  <c r="I3437" i="1"/>
  <c r="S3436" i="1"/>
  <c r="I3436" i="1"/>
  <c r="S3435" i="1"/>
  <c r="I3435" i="1"/>
  <c r="I3434" i="1"/>
  <c r="S3433" i="1"/>
  <c r="I3433" i="1"/>
  <c r="S3432" i="1"/>
  <c r="I3432" i="1"/>
  <c r="S3431" i="1"/>
  <c r="I3431" i="1"/>
  <c r="I3430" i="1"/>
  <c r="I3429" i="1"/>
  <c r="S3428" i="1"/>
  <c r="I3428" i="1"/>
  <c r="S3427" i="1"/>
  <c r="I3427" i="1"/>
  <c r="U3426" i="1"/>
  <c r="S3426" i="1"/>
  <c r="I3426" i="1"/>
  <c r="S3425" i="1"/>
  <c r="I3425" i="1"/>
  <c r="I3424" i="1"/>
  <c r="I3423" i="1"/>
  <c r="S3422" i="1"/>
  <c r="I3422" i="1"/>
  <c r="I3421" i="1"/>
  <c r="I3420" i="1"/>
  <c r="S3419" i="1"/>
  <c r="I3419" i="1"/>
  <c r="S3418" i="1"/>
  <c r="I3418" i="1"/>
  <c r="S3417" i="1"/>
  <c r="I3417" i="1"/>
  <c r="S3416" i="1"/>
  <c r="I3416" i="1"/>
  <c r="I3415" i="1"/>
  <c r="S3414" i="1"/>
  <c r="I3414" i="1"/>
  <c r="S3413" i="1"/>
  <c r="I3413" i="1"/>
  <c r="I3412" i="1"/>
  <c r="S3411" i="1"/>
  <c r="I3411" i="1"/>
  <c r="I3410" i="1"/>
  <c r="S3409" i="1"/>
  <c r="I3409" i="1"/>
  <c r="I3408" i="1"/>
  <c r="S3407" i="1"/>
  <c r="I3407" i="1"/>
  <c r="S3406" i="1"/>
  <c r="I3406" i="1"/>
  <c r="S3405" i="1"/>
  <c r="I3405" i="1"/>
  <c r="S3404" i="1"/>
  <c r="I3404" i="1"/>
  <c r="S3403" i="1"/>
  <c r="I3403" i="1"/>
  <c r="S3402" i="1"/>
  <c r="I3402" i="1"/>
  <c r="S3401" i="1"/>
  <c r="I3401" i="1"/>
  <c r="S3400" i="1"/>
  <c r="I3400" i="1"/>
  <c r="I3399" i="1"/>
  <c r="I3398" i="1"/>
  <c r="I3397" i="1"/>
  <c r="I3396" i="1"/>
  <c r="I3395" i="1"/>
  <c r="S3394" i="1"/>
  <c r="I3394" i="1"/>
  <c r="S3393" i="1"/>
  <c r="I3393" i="1"/>
  <c r="I3392" i="1"/>
  <c r="S3391" i="1"/>
  <c r="I3391" i="1"/>
  <c r="I3390" i="1"/>
  <c r="I3389" i="1"/>
  <c r="U3388" i="1"/>
  <c r="S3388" i="1"/>
  <c r="I3388" i="1"/>
  <c r="S3387" i="1"/>
  <c r="I3387" i="1"/>
  <c r="I3386" i="1"/>
  <c r="I3385" i="1"/>
  <c r="I3384" i="1"/>
  <c r="S3383" i="1"/>
  <c r="I3383" i="1"/>
  <c r="I3382" i="1"/>
  <c r="I3381" i="1"/>
  <c r="I3380" i="1"/>
  <c r="I3379" i="1"/>
  <c r="I3378" i="1"/>
  <c r="I3377" i="1"/>
  <c r="S3376" i="1"/>
  <c r="I3376" i="1"/>
  <c r="I3375" i="1"/>
  <c r="I3374" i="1"/>
  <c r="I3373" i="1"/>
  <c r="I3372" i="1"/>
  <c r="I3371" i="1"/>
  <c r="I3370" i="1"/>
  <c r="S3369" i="1"/>
  <c r="I3369" i="1"/>
  <c r="S3368" i="1"/>
  <c r="I3368" i="1"/>
  <c r="S3367" i="1"/>
  <c r="I3367" i="1"/>
  <c r="S3366" i="1"/>
  <c r="I3366" i="1"/>
  <c r="I3365" i="1"/>
  <c r="S3364" i="1"/>
  <c r="I3364" i="1"/>
  <c r="S3363" i="1"/>
  <c r="I3363" i="1"/>
  <c r="S3362" i="1"/>
  <c r="I3362" i="1"/>
  <c r="I3361" i="1"/>
  <c r="S3360" i="1"/>
  <c r="I3360" i="1"/>
  <c r="S3359" i="1"/>
  <c r="I3359" i="1"/>
  <c r="S3358" i="1"/>
  <c r="I3358" i="1"/>
  <c r="I3357" i="1"/>
  <c r="I3356" i="1"/>
  <c r="I3355" i="1"/>
  <c r="I3354" i="1"/>
  <c r="I3353" i="1"/>
  <c r="I3352" i="1"/>
  <c r="I3351" i="1"/>
  <c r="S3350" i="1"/>
  <c r="I3350" i="1"/>
  <c r="S3349" i="1"/>
  <c r="I3349" i="1"/>
  <c r="I3348" i="1"/>
  <c r="S3347" i="1"/>
  <c r="I3347" i="1"/>
  <c r="I3346" i="1"/>
  <c r="S3345" i="1"/>
  <c r="I3345" i="1"/>
  <c r="I3344" i="1"/>
  <c r="I3343" i="1"/>
  <c r="I3342" i="1"/>
  <c r="S3341" i="1"/>
  <c r="I3341" i="1"/>
  <c r="S3340" i="1"/>
  <c r="I3340" i="1"/>
  <c r="I3339" i="1"/>
  <c r="S3338" i="1"/>
  <c r="I3338" i="1"/>
  <c r="S3337" i="1"/>
  <c r="I3337" i="1"/>
  <c r="I3336" i="1"/>
  <c r="S3335" i="1"/>
  <c r="I3335" i="1"/>
  <c r="S3334" i="1"/>
  <c r="I3334" i="1"/>
  <c r="S3333" i="1"/>
  <c r="I3333" i="1"/>
  <c r="S3332" i="1"/>
  <c r="I3332" i="1"/>
  <c r="I3331" i="1"/>
  <c r="I3330" i="1"/>
  <c r="S3329" i="1"/>
  <c r="I3329" i="1"/>
  <c r="U3328" i="1"/>
  <c r="I3328" i="1"/>
  <c r="I3327" i="1"/>
  <c r="S3326" i="1"/>
  <c r="I3326" i="1"/>
  <c r="I3325" i="1"/>
  <c r="S3324" i="1"/>
  <c r="I3324" i="1"/>
  <c r="I3323" i="1"/>
  <c r="I3322" i="1"/>
  <c r="I3321" i="1"/>
  <c r="I3320" i="1"/>
  <c r="I3319" i="1"/>
  <c r="S3318" i="1"/>
  <c r="I3318" i="1"/>
  <c r="I3317" i="1"/>
  <c r="S3316" i="1"/>
  <c r="I3316" i="1"/>
  <c r="U3315" i="1"/>
  <c r="I3315" i="1"/>
  <c r="I3314" i="1"/>
  <c r="I3313" i="1"/>
  <c r="I3312" i="1"/>
  <c r="S3311" i="1"/>
  <c r="I3311" i="1"/>
  <c r="S3310" i="1"/>
  <c r="I3310" i="1"/>
  <c r="S3309" i="1"/>
  <c r="I3309" i="1"/>
  <c r="S3308" i="1"/>
  <c r="I3308" i="1"/>
  <c r="I3307" i="1"/>
  <c r="I3306" i="1"/>
  <c r="I3305" i="1"/>
  <c r="S3304" i="1"/>
  <c r="I3304" i="1"/>
  <c r="S3303" i="1"/>
  <c r="I3303" i="1"/>
  <c r="S3302" i="1"/>
  <c r="I3302" i="1"/>
  <c r="S3301" i="1"/>
  <c r="I3301" i="1"/>
  <c r="S3300" i="1"/>
  <c r="I3300" i="1"/>
  <c r="I3299" i="1"/>
  <c r="I3298" i="1"/>
  <c r="I3297" i="1"/>
  <c r="S3296" i="1"/>
  <c r="I3296" i="1"/>
  <c r="S3295" i="1"/>
  <c r="I3295" i="1"/>
  <c r="S3294" i="1"/>
  <c r="I3294" i="1"/>
  <c r="S3293" i="1"/>
  <c r="I3293" i="1"/>
  <c r="S3292" i="1"/>
  <c r="I3292" i="1"/>
  <c r="I3291" i="1"/>
  <c r="I3290" i="1"/>
  <c r="I3289" i="1"/>
  <c r="I3288" i="1"/>
  <c r="U3287" i="1"/>
  <c r="I3287" i="1"/>
  <c r="I3286" i="1"/>
  <c r="S3285" i="1"/>
  <c r="I3285" i="1"/>
  <c r="S3284" i="1"/>
  <c r="I3284" i="1"/>
  <c r="S3283" i="1"/>
  <c r="I3283" i="1"/>
  <c r="I3282" i="1"/>
  <c r="S3281" i="1"/>
  <c r="I3281" i="1"/>
  <c r="I3280" i="1"/>
  <c r="I3279" i="1"/>
  <c r="I3278" i="1"/>
  <c r="I3277" i="1"/>
  <c r="I3276" i="1"/>
  <c r="I3275" i="1"/>
  <c r="S3274" i="1"/>
  <c r="I3274" i="1"/>
  <c r="S3273" i="1"/>
  <c r="I3273" i="1"/>
  <c r="S3272" i="1"/>
  <c r="I3272" i="1"/>
  <c r="S3271" i="1"/>
  <c r="I3271" i="1"/>
  <c r="S3270" i="1"/>
  <c r="I3270" i="1"/>
  <c r="I3269" i="1"/>
  <c r="U3268" i="1"/>
  <c r="S3268" i="1"/>
  <c r="I3268" i="1"/>
  <c r="I3267" i="1"/>
  <c r="S3266" i="1"/>
  <c r="I3266" i="1"/>
  <c r="I3265" i="1"/>
  <c r="I3264" i="1"/>
  <c r="I3263" i="1"/>
  <c r="S3262" i="1"/>
  <c r="I3262" i="1"/>
  <c r="I3261" i="1"/>
  <c r="I3260" i="1"/>
  <c r="I3259" i="1"/>
  <c r="I3258" i="1"/>
  <c r="I3257" i="1"/>
  <c r="I3256" i="1"/>
  <c r="I3255" i="1"/>
  <c r="S3254" i="1"/>
  <c r="I3254" i="1"/>
  <c r="I3253" i="1"/>
  <c r="I3252" i="1"/>
  <c r="I3251" i="1"/>
  <c r="I3250" i="1"/>
  <c r="U3249" i="1"/>
  <c r="I3249" i="1"/>
  <c r="I3248" i="1"/>
  <c r="S3247" i="1"/>
  <c r="I3247" i="1"/>
  <c r="I3246" i="1"/>
  <c r="I3245" i="1"/>
  <c r="I3244" i="1"/>
  <c r="I3243" i="1"/>
  <c r="I3242" i="1"/>
  <c r="I3241" i="1"/>
  <c r="I3240" i="1"/>
  <c r="I3239" i="1"/>
  <c r="S3238" i="1"/>
  <c r="I3238" i="1"/>
  <c r="S3237" i="1"/>
  <c r="I3237" i="1"/>
  <c r="S3236" i="1"/>
  <c r="I3236" i="1"/>
  <c r="I3235" i="1"/>
  <c r="I3234" i="1"/>
  <c r="S3233" i="1"/>
  <c r="I3233" i="1"/>
  <c r="I3232" i="1"/>
  <c r="I3231" i="1"/>
  <c r="I3230" i="1"/>
  <c r="I3229" i="1"/>
  <c r="I3228" i="1"/>
  <c r="I3227" i="1"/>
  <c r="S3226" i="1"/>
  <c r="I3226" i="1"/>
  <c r="I3225" i="1"/>
  <c r="I3224" i="1"/>
  <c r="I3223" i="1"/>
  <c r="I3222" i="1"/>
  <c r="S3221" i="1"/>
  <c r="I3221" i="1"/>
  <c r="I3220" i="1"/>
  <c r="I3219" i="1"/>
  <c r="I3218" i="1"/>
  <c r="I3217" i="1"/>
  <c r="I3216" i="1"/>
  <c r="I3215" i="1"/>
  <c r="I3214" i="1"/>
  <c r="I3213" i="1"/>
  <c r="I3212" i="1"/>
  <c r="I3211" i="1"/>
  <c r="S3210" i="1"/>
  <c r="I3210" i="1"/>
  <c r="S3209" i="1"/>
  <c r="I3209" i="1"/>
  <c r="I3208" i="1"/>
  <c r="I3207" i="1"/>
  <c r="I3206" i="1"/>
  <c r="I3205" i="1"/>
  <c r="I3204" i="1"/>
  <c r="I3203" i="1"/>
  <c r="S3202" i="1"/>
  <c r="I3202" i="1"/>
  <c r="S3201" i="1"/>
  <c r="I3201" i="1"/>
  <c r="I3200" i="1"/>
  <c r="S3199" i="1"/>
  <c r="I3199" i="1"/>
  <c r="S3198" i="1"/>
  <c r="I3198" i="1"/>
  <c r="I3197" i="1"/>
  <c r="I3196" i="1"/>
  <c r="I3195" i="1"/>
  <c r="S3194" i="1"/>
  <c r="I3194" i="1"/>
  <c r="I3193" i="1"/>
  <c r="S3192" i="1"/>
  <c r="I3192" i="1"/>
  <c r="I3191" i="1"/>
  <c r="S3190" i="1"/>
  <c r="I3190" i="1"/>
  <c r="I3189" i="1"/>
  <c r="I3188" i="1"/>
  <c r="I3187" i="1"/>
  <c r="I3186" i="1"/>
  <c r="I3185" i="1"/>
  <c r="I3184" i="1"/>
  <c r="I3183" i="1"/>
  <c r="I3182" i="1"/>
  <c r="I3181" i="1"/>
  <c r="I3180" i="1"/>
  <c r="S3179" i="1"/>
  <c r="I3179" i="1"/>
  <c r="I3178" i="1"/>
  <c r="I3177" i="1"/>
  <c r="I3176" i="1"/>
  <c r="I3175" i="1"/>
  <c r="I3174" i="1"/>
  <c r="I3173" i="1"/>
  <c r="I3172" i="1"/>
  <c r="S3171" i="1"/>
  <c r="I3171" i="1"/>
  <c r="I3170" i="1"/>
  <c r="I3169" i="1"/>
  <c r="I3168" i="1"/>
  <c r="I3167" i="1"/>
  <c r="I3166" i="1"/>
  <c r="S3165" i="1"/>
  <c r="I3165" i="1"/>
  <c r="I3164" i="1"/>
  <c r="I3163" i="1"/>
  <c r="I3162" i="1"/>
  <c r="I3161" i="1"/>
  <c r="I3160" i="1"/>
  <c r="S3159" i="1"/>
  <c r="I3159" i="1"/>
  <c r="S3158" i="1"/>
  <c r="I3158" i="1"/>
  <c r="I3157" i="1"/>
  <c r="I3156" i="1"/>
  <c r="I3155" i="1"/>
  <c r="I3154" i="1"/>
  <c r="S3153" i="1"/>
  <c r="I3153" i="1"/>
  <c r="I3152" i="1"/>
  <c r="I3151" i="1"/>
  <c r="I3150" i="1"/>
  <c r="I3149" i="1"/>
  <c r="I3148" i="1"/>
  <c r="I3147" i="1"/>
  <c r="I3146" i="1"/>
  <c r="I3145" i="1"/>
  <c r="I3144" i="1"/>
  <c r="I3143" i="1"/>
  <c r="I3142" i="1"/>
  <c r="I3141" i="1"/>
  <c r="S3140" i="1"/>
  <c r="I3140" i="1"/>
  <c r="I3139" i="1"/>
  <c r="I3138" i="1"/>
  <c r="I3137" i="1"/>
  <c r="I3136" i="1"/>
  <c r="I3135" i="1"/>
  <c r="I3134" i="1"/>
  <c r="I3133" i="1"/>
  <c r="I3132" i="1"/>
  <c r="I3131" i="1"/>
  <c r="I3130" i="1"/>
  <c r="S3129" i="1"/>
  <c r="I3129" i="1"/>
  <c r="I3128" i="1"/>
  <c r="I3127" i="1"/>
  <c r="I3126" i="1"/>
  <c r="S3125" i="1"/>
  <c r="I3125" i="1"/>
  <c r="S3124" i="1"/>
  <c r="I3124" i="1"/>
  <c r="I3123" i="1"/>
  <c r="S3122" i="1"/>
  <c r="I3122" i="1"/>
  <c r="S3121" i="1"/>
  <c r="I3121" i="1"/>
  <c r="I3120" i="1"/>
  <c r="I3119" i="1"/>
  <c r="S3118" i="1"/>
  <c r="I3118" i="1"/>
  <c r="I3117" i="1"/>
  <c r="I3116" i="1"/>
  <c r="S3115" i="1"/>
  <c r="I3115" i="1"/>
  <c r="S3114" i="1"/>
  <c r="I3114" i="1"/>
  <c r="I3113" i="1"/>
  <c r="I3112" i="1"/>
  <c r="S3111" i="1"/>
  <c r="I3111" i="1"/>
  <c r="S3110" i="1"/>
  <c r="I3110" i="1"/>
  <c r="I3109" i="1"/>
  <c r="I3108" i="1"/>
  <c r="I3107" i="1"/>
  <c r="S3106" i="1"/>
  <c r="I3106" i="1"/>
  <c r="S3105" i="1"/>
  <c r="I3105" i="1"/>
  <c r="U3104" i="1"/>
  <c r="S3104" i="1"/>
  <c r="I3104" i="1"/>
  <c r="I3103" i="1"/>
  <c r="S3102" i="1"/>
  <c r="I3102" i="1"/>
  <c r="U3101" i="1"/>
  <c r="I3101" i="1"/>
  <c r="U3100" i="1"/>
  <c r="S3100" i="1"/>
  <c r="I3100" i="1"/>
  <c r="S3099" i="1"/>
  <c r="I3099" i="1"/>
  <c r="S3098" i="1"/>
  <c r="I3098" i="1"/>
  <c r="S3097" i="1"/>
  <c r="I3097" i="1"/>
  <c r="U3096" i="1"/>
  <c r="S3096" i="1"/>
  <c r="I3096" i="1"/>
  <c r="S3095" i="1"/>
  <c r="I3095" i="1"/>
  <c r="S3094" i="1"/>
  <c r="I3094" i="1"/>
  <c r="I3093" i="1"/>
  <c r="S3092" i="1"/>
  <c r="I3092" i="1"/>
  <c r="I3091" i="1"/>
  <c r="S3090" i="1"/>
  <c r="I3090" i="1"/>
  <c r="I3089" i="1"/>
  <c r="I3088" i="1"/>
  <c r="S3087" i="1"/>
  <c r="I3087" i="1"/>
  <c r="S3086" i="1"/>
  <c r="I3086" i="1"/>
  <c r="I3085" i="1"/>
  <c r="I3084" i="1"/>
  <c r="S3083" i="1"/>
  <c r="I3083" i="1"/>
  <c r="S3082" i="1"/>
  <c r="I3082" i="1"/>
  <c r="I3081" i="1"/>
  <c r="I3080" i="1"/>
  <c r="I3079" i="1"/>
  <c r="I3078" i="1"/>
  <c r="I3077" i="1"/>
  <c r="S3076" i="1"/>
  <c r="I3076" i="1"/>
  <c r="S3075" i="1"/>
  <c r="I3075" i="1"/>
  <c r="I3074" i="1"/>
  <c r="S3073" i="1"/>
  <c r="I3073" i="1"/>
  <c r="S3072" i="1"/>
  <c r="I3072" i="1"/>
  <c r="I3071" i="1"/>
  <c r="I3070" i="1"/>
  <c r="I3069" i="1"/>
  <c r="S3068" i="1"/>
  <c r="I3068" i="1"/>
  <c r="I3067" i="1"/>
  <c r="S3066" i="1"/>
  <c r="I3066" i="1"/>
  <c r="I3065" i="1"/>
  <c r="S3064" i="1"/>
  <c r="I3064" i="1"/>
  <c r="I3063" i="1"/>
  <c r="U3062" i="1"/>
  <c r="S3062" i="1"/>
  <c r="I3062" i="1"/>
  <c r="S3061" i="1"/>
  <c r="I3061" i="1"/>
  <c r="I3060" i="1"/>
  <c r="I3059" i="1"/>
  <c r="I3058" i="1"/>
  <c r="S3057" i="1"/>
  <c r="I3057" i="1"/>
  <c r="S3056" i="1"/>
  <c r="I3056" i="1"/>
  <c r="S3055" i="1"/>
  <c r="I3055" i="1"/>
  <c r="S3054" i="1"/>
  <c r="I3054" i="1"/>
  <c r="S3053" i="1"/>
  <c r="I3053" i="1"/>
  <c r="I3052" i="1"/>
  <c r="I3051" i="1"/>
  <c r="I3050" i="1"/>
  <c r="S3049" i="1"/>
  <c r="I3049" i="1"/>
  <c r="S3048" i="1"/>
  <c r="I3048" i="1"/>
  <c r="S3047" i="1"/>
  <c r="I3047" i="1"/>
  <c r="S3046" i="1"/>
  <c r="I3046" i="1"/>
  <c r="I3045" i="1"/>
  <c r="I3044" i="1"/>
  <c r="I3043" i="1"/>
  <c r="I3042" i="1"/>
  <c r="S3041" i="1"/>
  <c r="I3041" i="1"/>
  <c r="S3040" i="1"/>
  <c r="I3040" i="1"/>
  <c r="I3039" i="1"/>
  <c r="I3038" i="1"/>
  <c r="I3037" i="1"/>
  <c r="S3036" i="1"/>
  <c r="I3036" i="1"/>
  <c r="I3035" i="1"/>
  <c r="I3034" i="1"/>
  <c r="S3033" i="1"/>
  <c r="I3033" i="1"/>
  <c r="S3032" i="1"/>
  <c r="I3032" i="1"/>
  <c r="I3031" i="1"/>
  <c r="I3030" i="1"/>
  <c r="S3029" i="1"/>
  <c r="I3029" i="1"/>
  <c r="S3028" i="1"/>
  <c r="I3028" i="1"/>
  <c r="S3027" i="1"/>
  <c r="I3027" i="1"/>
  <c r="I3026" i="1"/>
  <c r="I3025" i="1"/>
  <c r="I3024" i="1"/>
  <c r="S3023" i="1"/>
  <c r="I3023" i="1"/>
  <c r="S3022" i="1"/>
  <c r="I3022" i="1"/>
  <c r="S3021" i="1"/>
  <c r="I3021" i="1"/>
  <c r="I3020" i="1"/>
  <c r="I3019" i="1"/>
  <c r="S3018" i="1"/>
  <c r="I3018" i="1"/>
  <c r="S3017" i="1"/>
  <c r="I3017" i="1"/>
  <c r="S3016" i="1"/>
  <c r="I3016" i="1"/>
  <c r="S3015" i="1"/>
  <c r="I3015" i="1"/>
  <c r="S3014" i="1"/>
  <c r="I3014" i="1"/>
  <c r="S3013" i="1"/>
  <c r="I3013" i="1"/>
  <c r="I3012" i="1"/>
  <c r="S3011" i="1"/>
  <c r="I3011" i="1"/>
  <c r="I3010" i="1"/>
  <c r="I3009" i="1"/>
  <c r="I3008" i="1"/>
  <c r="I3007" i="1"/>
  <c r="I3006" i="1"/>
  <c r="S3005" i="1"/>
  <c r="I3005" i="1"/>
  <c r="I3004" i="1"/>
  <c r="S3003" i="1"/>
  <c r="I3003" i="1"/>
  <c r="S3002" i="1"/>
  <c r="I3002" i="1"/>
  <c r="S3001" i="1"/>
  <c r="I3001" i="1"/>
  <c r="S3000" i="1"/>
  <c r="I3000" i="1"/>
  <c r="S2999" i="1"/>
  <c r="I2999" i="1"/>
  <c r="S2998" i="1"/>
  <c r="I2998" i="1"/>
  <c r="I2997" i="1"/>
  <c r="S2996" i="1"/>
  <c r="I2996" i="1"/>
  <c r="S2995" i="1"/>
  <c r="I2995" i="1"/>
  <c r="I2994" i="1"/>
  <c r="S2993" i="1"/>
  <c r="I2993" i="1"/>
  <c r="S2992" i="1"/>
  <c r="I2992" i="1"/>
  <c r="I2991" i="1"/>
  <c r="S2990" i="1"/>
  <c r="I2990" i="1"/>
  <c r="I2989" i="1"/>
  <c r="S2988" i="1"/>
  <c r="I2988" i="1"/>
  <c r="I2987" i="1"/>
  <c r="S2986" i="1"/>
  <c r="I2986" i="1"/>
  <c r="I2985" i="1"/>
  <c r="S2984" i="1"/>
  <c r="I2984" i="1"/>
  <c r="U2983" i="1"/>
  <c r="I2983" i="1"/>
  <c r="S2982" i="1"/>
  <c r="I2982" i="1"/>
  <c r="I2981" i="1"/>
  <c r="S2980" i="1"/>
  <c r="I2980" i="1"/>
  <c r="S2979" i="1"/>
  <c r="I2979" i="1"/>
  <c r="I2978" i="1"/>
  <c r="S2977" i="1"/>
  <c r="I2977" i="1"/>
  <c r="S2976" i="1"/>
  <c r="I2976" i="1"/>
  <c r="S2975" i="1"/>
  <c r="I2975" i="1"/>
  <c r="S2974" i="1"/>
  <c r="I2974" i="1"/>
  <c r="I2973" i="1"/>
  <c r="S2972" i="1"/>
  <c r="I2972" i="1"/>
  <c r="S2971" i="1"/>
  <c r="I2971" i="1"/>
  <c r="S2970" i="1"/>
  <c r="I2970" i="1"/>
  <c r="S2969" i="1"/>
  <c r="I2969" i="1"/>
  <c r="S2968" i="1"/>
  <c r="I2968" i="1"/>
  <c r="S2967" i="1"/>
  <c r="I2967" i="1"/>
  <c r="U2966" i="1"/>
  <c r="I2966" i="1"/>
  <c r="S2965" i="1"/>
  <c r="I2965" i="1"/>
  <c r="S2964" i="1"/>
  <c r="I2964" i="1"/>
  <c r="S2963" i="1"/>
  <c r="I2963" i="1"/>
  <c r="S2962" i="1"/>
  <c r="I2962" i="1"/>
  <c r="I2961" i="1"/>
  <c r="S2960" i="1"/>
  <c r="I2960" i="1"/>
  <c r="S2959" i="1"/>
  <c r="I2959" i="1"/>
  <c r="S2958" i="1"/>
  <c r="I2958" i="1"/>
  <c r="S2957" i="1"/>
  <c r="I2957" i="1"/>
  <c r="S2956" i="1"/>
  <c r="I2956" i="1"/>
  <c r="S2955" i="1"/>
  <c r="I2955" i="1"/>
  <c r="S2954" i="1"/>
  <c r="I2954" i="1"/>
  <c r="S2953" i="1"/>
  <c r="I2953" i="1"/>
  <c r="S2952" i="1"/>
  <c r="I2952" i="1"/>
  <c r="I2951" i="1"/>
  <c r="S2950" i="1"/>
  <c r="I2950" i="1"/>
  <c r="I2949" i="1"/>
  <c r="I2948" i="1"/>
  <c r="S2947" i="1"/>
  <c r="I2947" i="1"/>
  <c r="S2946" i="1"/>
  <c r="I2946" i="1"/>
  <c r="S2945" i="1"/>
  <c r="I2945" i="1"/>
  <c r="S2944" i="1"/>
  <c r="I2944" i="1"/>
  <c r="I2943" i="1"/>
  <c r="S2942" i="1"/>
  <c r="I2942" i="1"/>
  <c r="I2941" i="1"/>
  <c r="S2940" i="1"/>
  <c r="I2940" i="1"/>
  <c r="S2939" i="1"/>
  <c r="I2939" i="1"/>
  <c r="S2938" i="1"/>
  <c r="I2938" i="1"/>
  <c r="S2937" i="1"/>
  <c r="I2937" i="1"/>
  <c r="S2936" i="1"/>
  <c r="I2936" i="1"/>
  <c r="I2935" i="1"/>
  <c r="I2934" i="1"/>
  <c r="S2933" i="1"/>
  <c r="I2933" i="1"/>
  <c r="S2932" i="1"/>
  <c r="I2932" i="1"/>
  <c r="I2931" i="1"/>
  <c r="S2930" i="1"/>
  <c r="I2930" i="1"/>
  <c r="S2929" i="1"/>
  <c r="I2929" i="1"/>
  <c r="S2928" i="1"/>
  <c r="I2928" i="1"/>
  <c r="I2927" i="1"/>
  <c r="S2926" i="1"/>
  <c r="I2926" i="1"/>
  <c r="S2925" i="1"/>
  <c r="I2925" i="1"/>
  <c r="I2924" i="1"/>
  <c r="S2923" i="1"/>
  <c r="I2923" i="1"/>
  <c r="S2922" i="1"/>
  <c r="I2922" i="1"/>
  <c r="S2921" i="1"/>
  <c r="I2921" i="1"/>
  <c r="S2920" i="1"/>
  <c r="I2920" i="1"/>
  <c r="S2919" i="1"/>
  <c r="I2919" i="1"/>
  <c r="S2918" i="1"/>
  <c r="I2918" i="1"/>
  <c r="S2917" i="1"/>
  <c r="I2917" i="1"/>
  <c r="S2916" i="1"/>
  <c r="I2916" i="1"/>
  <c r="S2915" i="1"/>
  <c r="I2915" i="1"/>
  <c r="I2914" i="1"/>
  <c r="I2913" i="1"/>
  <c r="I2912" i="1"/>
  <c r="S2911" i="1"/>
  <c r="I2911" i="1"/>
  <c r="I2910" i="1"/>
  <c r="I2909" i="1"/>
  <c r="I2908" i="1"/>
  <c r="S2907" i="1"/>
  <c r="I2907" i="1"/>
  <c r="S2906" i="1"/>
  <c r="I2906" i="1"/>
  <c r="S2905" i="1"/>
  <c r="I2905" i="1"/>
  <c r="S2904" i="1"/>
  <c r="I2904" i="1"/>
  <c r="I2903" i="1"/>
  <c r="S2902" i="1"/>
  <c r="I2902" i="1"/>
  <c r="S2901" i="1"/>
  <c r="I2901" i="1"/>
  <c r="I2900" i="1"/>
  <c r="S2899" i="1"/>
  <c r="I2899" i="1"/>
  <c r="U2898" i="1"/>
  <c r="I2898" i="1"/>
  <c r="U2897" i="1"/>
  <c r="I2897" i="1"/>
  <c r="I2896" i="1"/>
  <c r="I2895" i="1"/>
  <c r="I2894" i="1"/>
  <c r="I2893" i="1"/>
  <c r="I2892" i="1"/>
  <c r="I2891" i="1"/>
  <c r="S2890" i="1"/>
  <c r="I2890" i="1"/>
  <c r="S2889" i="1"/>
  <c r="I2889" i="1"/>
  <c r="I2888" i="1"/>
  <c r="I2887" i="1"/>
  <c r="I2886" i="1"/>
  <c r="I2885" i="1"/>
  <c r="I2884" i="1"/>
  <c r="I2883" i="1"/>
  <c r="S2882" i="1"/>
  <c r="I2882" i="1"/>
  <c r="I2881" i="1"/>
  <c r="I2880" i="1"/>
  <c r="I2879" i="1"/>
  <c r="I2878" i="1"/>
  <c r="I2877" i="1"/>
  <c r="I2876" i="1"/>
  <c r="S2875" i="1"/>
  <c r="I2875" i="1"/>
  <c r="I2874" i="1"/>
  <c r="I2873" i="1"/>
  <c r="I2872" i="1"/>
  <c r="S2871" i="1"/>
  <c r="I2871" i="1"/>
  <c r="S2870" i="1"/>
  <c r="I2870" i="1"/>
  <c r="S2869" i="1"/>
  <c r="I2869" i="1"/>
  <c r="U2868" i="1"/>
  <c r="I2868" i="1"/>
  <c r="I2867" i="1"/>
  <c r="I2866" i="1"/>
  <c r="S2865" i="1"/>
  <c r="I2865" i="1"/>
  <c r="S2864" i="1"/>
  <c r="I2864" i="1"/>
  <c r="S2863" i="1"/>
  <c r="I2863" i="1"/>
  <c r="I2862" i="1"/>
  <c r="I2861" i="1"/>
  <c r="I2860" i="1"/>
  <c r="S2859" i="1"/>
  <c r="I2859" i="1"/>
  <c r="I2858" i="1"/>
  <c r="S2857" i="1"/>
  <c r="I2857" i="1"/>
  <c r="U2856" i="1"/>
  <c r="S2856" i="1"/>
  <c r="I2856" i="1"/>
  <c r="S2855" i="1"/>
  <c r="I2855" i="1"/>
  <c r="I2854" i="1"/>
  <c r="U2853" i="1"/>
  <c r="I2853" i="1"/>
  <c r="I2852" i="1"/>
  <c r="S2851" i="1"/>
  <c r="I2851" i="1"/>
  <c r="I2850" i="1"/>
  <c r="I2849" i="1"/>
  <c r="I2848" i="1"/>
  <c r="S2847" i="1"/>
  <c r="I2847" i="1"/>
  <c r="S2846" i="1"/>
  <c r="I2846" i="1"/>
  <c r="S2845" i="1"/>
  <c r="I2845" i="1"/>
  <c r="S2844" i="1"/>
  <c r="I2844" i="1"/>
  <c r="I2843" i="1"/>
  <c r="S2842" i="1"/>
  <c r="I2842" i="1"/>
  <c r="S2841" i="1"/>
  <c r="I2841" i="1"/>
  <c r="I2840" i="1"/>
  <c r="I2839" i="1"/>
  <c r="I2838" i="1"/>
  <c r="I2837" i="1"/>
  <c r="S2836" i="1"/>
  <c r="I2836" i="1"/>
  <c r="I2835" i="1"/>
  <c r="S2834" i="1"/>
  <c r="I2834" i="1"/>
  <c r="I2833" i="1"/>
  <c r="I2832" i="1"/>
  <c r="I2831" i="1"/>
  <c r="S2830" i="1"/>
  <c r="I2830" i="1"/>
  <c r="I2829" i="1"/>
  <c r="S2828" i="1"/>
  <c r="I2828" i="1"/>
  <c r="I2827" i="1"/>
  <c r="I2826" i="1"/>
  <c r="I2825" i="1"/>
  <c r="S2824" i="1"/>
  <c r="I2824" i="1"/>
  <c r="I2823" i="1"/>
  <c r="I2822" i="1"/>
  <c r="I2821" i="1"/>
  <c r="I2820" i="1"/>
  <c r="I2819" i="1"/>
  <c r="S2818" i="1"/>
  <c r="I2818" i="1"/>
  <c r="I2817" i="1"/>
  <c r="I2816" i="1"/>
  <c r="S2815" i="1"/>
  <c r="I2815" i="1"/>
  <c r="S2814" i="1"/>
  <c r="I2814" i="1"/>
  <c r="I2813" i="1"/>
  <c r="S2812" i="1"/>
  <c r="I2812" i="1"/>
  <c r="I2811" i="1"/>
  <c r="S2810" i="1"/>
  <c r="I2810" i="1"/>
  <c r="I2809" i="1"/>
  <c r="I2808" i="1"/>
  <c r="I2807" i="1"/>
  <c r="S2806" i="1"/>
  <c r="I2806" i="1"/>
  <c r="S2805" i="1"/>
  <c r="I2805" i="1"/>
  <c r="I2804" i="1"/>
  <c r="S2803" i="1"/>
  <c r="I2803" i="1"/>
  <c r="S2802" i="1"/>
  <c r="I2802" i="1"/>
  <c r="S2801" i="1"/>
  <c r="I2801" i="1"/>
  <c r="I2800" i="1"/>
  <c r="S2799" i="1"/>
  <c r="I2799" i="1"/>
  <c r="I2798" i="1"/>
  <c r="I2797" i="1"/>
  <c r="I2796" i="1"/>
  <c r="I2795" i="1"/>
  <c r="I2794" i="1"/>
  <c r="I2793" i="1"/>
  <c r="I2792" i="1"/>
  <c r="S2791" i="1"/>
  <c r="I2791" i="1"/>
  <c r="I2790" i="1"/>
  <c r="S2789" i="1"/>
  <c r="I2789" i="1"/>
  <c r="S2788" i="1"/>
  <c r="I2788" i="1"/>
  <c r="S2787" i="1"/>
  <c r="I2787" i="1"/>
  <c r="S2786" i="1"/>
  <c r="I2786" i="1"/>
  <c r="S2785" i="1"/>
  <c r="I2785" i="1"/>
  <c r="S2784" i="1"/>
  <c r="I2784" i="1"/>
  <c r="I2783" i="1"/>
  <c r="I2782" i="1"/>
  <c r="I2781" i="1"/>
  <c r="I2780" i="1"/>
  <c r="I2779" i="1"/>
  <c r="I2778" i="1"/>
  <c r="I2777" i="1"/>
  <c r="S2775" i="1"/>
  <c r="I2775" i="1"/>
  <c r="U2774" i="1"/>
  <c r="I2774" i="1"/>
  <c r="S2773" i="1"/>
  <c r="I2773" i="1"/>
  <c r="I2772" i="1"/>
  <c r="I2771" i="1"/>
  <c r="I2770" i="1"/>
  <c r="I2769" i="1"/>
  <c r="I2768" i="1"/>
  <c r="S2767" i="1"/>
  <c r="I2767" i="1"/>
  <c r="I2766" i="1"/>
  <c r="S2765" i="1"/>
  <c r="I2765" i="1"/>
  <c r="I2764" i="1"/>
  <c r="U2763" i="1"/>
  <c r="I2763" i="1"/>
  <c r="I2762" i="1"/>
  <c r="S2761" i="1"/>
  <c r="I2761" i="1"/>
  <c r="S2760" i="1"/>
  <c r="I2760" i="1"/>
  <c r="S2759" i="1"/>
  <c r="I2759" i="1"/>
  <c r="S2758" i="1"/>
  <c r="I2758" i="1"/>
  <c r="U2757" i="1"/>
  <c r="S2757" i="1"/>
  <c r="I2757" i="1"/>
  <c r="I2756" i="1"/>
  <c r="I2755" i="1"/>
  <c r="I2754" i="1"/>
  <c r="I2753" i="1"/>
  <c r="I2752" i="1"/>
  <c r="I2751" i="1"/>
  <c r="I2750" i="1"/>
  <c r="I2749" i="1"/>
  <c r="I2748" i="1"/>
  <c r="I2747" i="1"/>
  <c r="I2746" i="1"/>
  <c r="I2745" i="1"/>
  <c r="I2744" i="1"/>
  <c r="I2743" i="1"/>
  <c r="I2742" i="1"/>
  <c r="I2741" i="1"/>
  <c r="I2740" i="1"/>
  <c r="I2739" i="1"/>
  <c r="I2738" i="1"/>
  <c r="I2737" i="1"/>
  <c r="I2736" i="1"/>
  <c r="I2735" i="1"/>
  <c r="I2734" i="1"/>
  <c r="I2733" i="1"/>
  <c r="I2732" i="1"/>
  <c r="S2731" i="1"/>
  <c r="I2731" i="1"/>
  <c r="I2730" i="1"/>
  <c r="I2729" i="1"/>
  <c r="S2728" i="1"/>
  <c r="I2728" i="1"/>
  <c r="I2727" i="1"/>
  <c r="I2726" i="1"/>
  <c r="I2725" i="1"/>
  <c r="I2724" i="1"/>
  <c r="I2723" i="1"/>
  <c r="I2722" i="1"/>
  <c r="I2721" i="1"/>
  <c r="I2720" i="1"/>
  <c r="I2719" i="1"/>
  <c r="I2718" i="1"/>
  <c r="I2717" i="1"/>
  <c r="I2716" i="1"/>
  <c r="I2715" i="1"/>
  <c r="I2714" i="1"/>
  <c r="I2713" i="1"/>
  <c r="S2712" i="1"/>
  <c r="I2712" i="1"/>
  <c r="I2711" i="1"/>
  <c r="I2710" i="1"/>
  <c r="I2709" i="1"/>
  <c r="I2708" i="1"/>
  <c r="I2707" i="1"/>
  <c r="S2706" i="1"/>
  <c r="I2706" i="1"/>
  <c r="I2705" i="1"/>
  <c r="I2704" i="1"/>
  <c r="I2703" i="1"/>
  <c r="I2702" i="1"/>
  <c r="I2701" i="1"/>
  <c r="I2700" i="1"/>
  <c r="I2699" i="1"/>
  <c r="I2698" i="1"/>
  <c r="I2697" i="1"/>
  <c r="I2696" i="1"/>
  <c r="I2695" i="1"/>
  <c r="I2694" i="1"/>
  <c r="I2693" i="1"/>
  <c r="S2692" i="1"/>
  <c r="I2692" i="1"/>
  <c r="I2691" i="1"/>
  <c r="I2690" i="1"/>
  <c r="S2689" i="1"/>
  <c r="I2689" i="1"/>
  <c r="I2688" i="1"/>
  <c r="S2687" i="1"/>
  <c r="I2687" i="1"/>
  <c r="I2686" i="1"/>
  <c r="S2685" i="1"/>
  <c r="I2685" i="1"/>
  <c r="I2684" i="1"/>
  <c r="I2683" i="1"/>
  <c r="I2682" i="1"/>
  <c r="S2681" i="1"/>
  <c r="I2681" i="1"/>
  <c r="S2680" i="1"/>
  <c r="I2680" i="1"/>
  <c r="I2679" i="1"/>
  <c r="I2678" i="1"/>
  <c r="S2677" i="1"/>
  <c r="I2677" i="1"/>
  <c r="I2676" i="1"/>
  <c r="I2675" i="1"/>
  <c r="I2674" i="1"/>
  <c r="I2673" i="1"/>
  <c r="I2672" i="1"/>
  <c r="S2671" i="1"/>
  <c r="I2671" i="1"/>
  <c r="I2670" i="1"/>
  <c r="I2669" i="1"/>
  <c r="I2668" i="1"/>
  <c r="I2667" i="1"/>
  <c r="I2666" i="1"/>
  <c r="S2665" i="1"/>
  <c r="I2665" i="1"/>
  <c r="I2664" i="1"/>
  <c r="S2663" i="1"/>
  <c r="I2663" i="1"/>
  <c r="S2662" i="1"/>
  <c r="I2662" i="1"/>
  <c r="S2661" i="1"/>
  <c r="I2661" i="1"/>
  <c r="S2660" i="1"/>
  <c r="I2660" i="1"/>
  <c r="S2659" i="1"/>
  <c r="I2659" i="1"/>
  <c r="I2658" i="1"/>
  <c r="I2657" i="1"/>
  <c r="I2656" i="1"/>
  <c r="S2655" i="1"/>
  <c r="I2655" i="1"/>
  <c r="I2654" i="1"/>
  <c r="I2653" i="1"/>
  <c r="S2652" i="1"/>
  <c r="I2652" i="1"/>
  <c r="S2651" i="1"/>
  <c r="I2651" i="1"/>
  <c r="S2650" i="1"/>
  <c r="I2650" i="1"/>
  <c r="S2649" i="1"/>
  <c r="I2649" i="1"/>
  <c r="I2648" i="1"/>
  <c r="S2647" i="1"/>
  <c r="I2647" i="1"/>
  <c r="I2646" i="1"/>
  <c r="S2645" i="1"/>
  <c r="I2645" i="1"/>
  <c r="I2644" i="1"/>
  <c r="I2643" i="1"/>
  <c r="S2642" i="1"/>
  <c r="I2642" i="1"/>
  <c r="S2641" i="1"/>
  <c r="I2641" i="1"/>
  <c r="S2640" i="1"/>
  <c r="I2640" i="1"/>
  <c r="I2639" i="1"/>
  <c r="S2638" i="1"/>
  <c r="I2638" i="1"/>
  <c r="S2637" i="1"/>
  <c r="I2637" i="1"/>
  <c r="I2636" i="1"/>
  <c r="S2635" i="1"/>
  <c r="I2635" i="1"/>
  <c r="S2634" i="1"/>
  <c r="I2634" i="1"/>
  <c r="I2633" i="1"/>
  <c r="I2632" i="1"/>
  <c r="S2631" i="1"/>
  <c r="I2631" i="1"/>
  <c r="S2630" i="1"/>
  <c r="I2630" i="1"/>
  <c r="U2629" i="1"/>
  <c r="S2629" i="1"/>
  <c r="I2629" i="1"/>
  <c r="I2628" i="1"/>
  <c r="I2627" i="1"/>
  <c r="I2626" i="1"/>
  <c r="S2625" i="1"/>
  <c r="I2625" i="1"/>
  <c r="S2624" i="1"/>
  <c r="I2624" i="1"/>
  <c r="I2623" i="1"/>
  <c r="I2622" i="1"/>
  <c r="I2621" i="1"/>
  <c r="I2620" i="1"/>
  <c r="I2619" i="1"/>
  <c r="I2618" i="1"/>
  <c r="I2617" i="1"/>
  <c r="I2616" i="1"/>
  <c r="I2615" i="1"/>
  <c r="I2614" i="1"/>
  <c r="I2613" i="1"/>
  <c r="I2612" i="1"/>
  <c r="I2611" i="1"/>
  <c r="I2610" i="1"/>
  <c r="I2609" i="1"/>
  <c r="I2608" i="1"/>
  <c r="I2607" i="1"/>
  <c r="I2606" i="1"/>
  <c r="I2605" i="1"/>
  <c r="I2604" i="1"/>
  <c r="I2603" i="1"/>
  <c r="I2602" i="1"/>
  <c r="I2601" i="1"/>
  <c r="I2600" i="1"/>
  <c r="U2599" i="1"/>
  <c r="I2599" i="1"/>
  <c r="I2598" i="1"/>
  <c r="I2597" i="1"/>
  <c r="U2596" i="1"/>
  <c r="I2596" i="1"/>
  <c r="I2595" i="1"/>
  <c r="I2594" i="1"/>
  <c r="U2593" i="1"/>
  <c r="I2593" i="1"/>
  <c r="U2592" i="1"/>
  <c r="I2592" i="1"/>
  <c r="U2591" i="1"/>
  <c r="I2591" i="1"/>
  <c r="I2590" i="1"/>
  <c r="I2589" i="1"/>
  <c r="I2588" i="1"/>
  <c r="I2587" i="1"/>
  <c r="I2586" i="1"/>
  <c r="I2585" i="1"/>
  <c r="I2584" i="1"/>
  <c r="U2583" i="1"/>
  <c r="I2583" i="1"/>
  <c r="I2582" i="1"/>
  <c r="I2581" i="1"/>
  <c r="I2580" i="1"/>
  <c r="I2579" i="1"/>
  <c r="I2578" i="1"/>
  <c r="I2577" i="1"/>
  <c r="I2576" i="1"/>
  <c r="I2575" i="1"/>
  <c r="I2574" i="1"/>
  <c r="I2573" i="1"/>
  <c r="I2572" i="1"/>
  <c r="I2571" i="1"/>
  <c r="I2570" i="1"/>
  <c r="I2569" i="1"/>
  <c r="I2568" i="1"/>
  <c r="I2567" i="1"/>
  <c r="I2566" i="1"/>
  <c r="U2565" i="1"/>
  <c r="I2565" i="1"/>
  <c r="I2564" i="1"/>
  <c r="I2563" i="1"/>
  <c r="I2562" i="1"/>
  <c r="I2561" i="1"/>
  <c r="I2560" i="1"/>
  <c r="I2559" i="1"/>
  <c r="U2558" i="1"/>
  <c r="I2558" i="1"/>
  <c r="I2557" i="1"/>
  <c r="I2556" i="1"/>
  <c r="I2555" i="1"/>
  <c r="I2554" i="1"/>
  <c r="I2553" i="1"/>
  <c r="I2552" i="1"/>
  <c r="I2551" i="1"/>
  <c r="I2550" i="1"/>
  <c r="U2549" i="1"/>
  <c r="I2549" i="1"/>
  <c r="I2548" i="1"/>
  <c r="I2547" i="1"/>
  <c r="I2546" i="1"/>
  <c r="I2545" i="1"/>
  <c r="I2544" i="1"/>
  <c r="I2543" i="1"/>
  <c r="I2542" i="1"/>
  <c r="I2541" i="1"/>
  <c r="I2540" i="1"/>
  <c r="I2539" i="1"/>
  <c r="I2538" i="1"/>
  <c r="U2537" i="1"/>
  <c r="I2537" i="1"/>
  <c r="I2536" i="1"/>
  <c r="I2535" i="1"/>
  <c r="I2534" i="1"/>
  <c r="I2533" i="1"/>
  <c r="I2532" i="1"/>
  <c r="I2531" i="1"/>
  <c r="I2530" i="1"/>
  <c r="I2529" i="1"/>
  <c r="I2528" i="1"/>
  <c r="I2527" i="1"/>
  <c r="I2526" i="1"/>
  <c r="I2525" i="1"/>
  <c r="I2524" i="1"/>
  <c r="I2523" i="1"/>
  <c r="I2522" i="1"/>
  <c r="I2521" i="1"/>
  <c r="I2520" i="1"/>
  <c r="I2519" i="1"/>
  <c r="I2518" i="1"/>
  <c r="I2517" i="1"/>
  <c r="I2516" i="1"/>
  <c r="I2515" i="1"/>
  <c r="I2514" i="1"/>
  <c r="S2513" i="1"/>
  <c r="I2513" i="1"/>
  <c r="I2512" i="1"/>
  <c r="S2511" i="1"/>
  <c r="I2511" i="1"/>
  <c r="I2510" i="1"/>
  <c r="I2509" i="1"/>
  <c r="I2508" i="1"/>
  <c r="I2507" i="1"/>
  <c r="I2506" i="1"/>
  <c r="I2505" i="1"/>
  <c r="I2504" i="1"/>
  <c r="I2503" i="1"/>
  <c r="U2502" i="1"/>
  <c r="I2502" i="1"/>
  <c r="U2501" i="1"/>
  <c r="I2501" i="1"/>
  <c r="I2500" i="1"/>
  <c r="I2499" i="1"/>
  <c r="I2498" i="1"/>
  <c r="I2497" i="1"/>
  <c r="I2496" i="1"/>
  <c r="U2495" i="1"/>
  <c r="I2495" i="1"/>
  <c r="I2494" i="1"/>
  <c r="I2493" i="1"/>
  <c r="I2492" i="1"/>
  <c r="I2491" i="1"/>
  <c r="I2490" i="1"/>
  <c r="U2489" i="1"/>
  <c r="I2489" i="1"/>
  <c r="U2488" i="1"/>
  <c r="I2488" i="1"/>
  <c r="I2487" i="1"/>
  <c r="I2486" i="1"/>
  <c r="I2485" i="1"/>
  <c r="I2484" i="1"/>
  <c r="U2483" i="1"/>
  <c r="I2483" i="1"/>
  <c r="U2482" i="1"/>
  <c r="I2482" i="1"/>
  <c r="U2481" i="1"/>
  <c r="I2481" i="1"/>
  <c r="I2480" i="1"/>
  <c r="U2479" i="1"/>
  <c r="I2479" i="1"/>
  <c r="I2478" i="1"/>
  <c r="U2477" i="1"/>
  <c r="I2477" i="1"/>
  <c r="I2476" i="1"/>
  <c r="I2474" i="1"/>
  <c r="I2473" i="1"/>
  <c r="I2472" i="1"/>
  <c r="I2471" i="1"/>
  <c r="U2470" i="1"/>
  <c r="I2470" i="1"/>
  <c r="I2469" i="1"/>
  <c r="I2468" i="1"/>
  <c r="I2467" i="1"/>
  <c r="I2466" i="1"/>
  <c r="I2465" i="1"/>
  <c r="I2464" i="1"/>
  <c r="I2463" i="1"/>
  <c r="I2462" i="1"/>
  <c r="I2461" i="1"/>
  <c r="I2460" i="1"/>
  <c r="I2459" i="1"/>
  <c r="I2458" i="1"/>
  <c r="U2457" i="1"/>
  <c r="I2457" i="1"/>
  <c r="I2456" i="1"/>
  <c r="I2455" i="1"/>
  <c r="I2454" i="1"/>
  <c r="I2453" i="1"/>
  <c r="I2452" i="1"/>
  <c r="I2451" i="1"/>
  <c r="I2450" i="1"/>
  <c r="I2449" i="1"/>
  <c r="I2448" i="1"/>
  <c r="I2447" i="1"/>
  <c r="I2446" i="1"/>
  <c r="I2445" i="1"/>
  <c r="I2444" i="1"/>
  <c r="I2443" i="1"/>
  <c r="I2442" i="1"/>
  <c r="I2441" i="1"/>
  <c r="I2440" i="1"/>
  <c r="I2439" i="1"/>
  <c r="I2438" i="1"/>
  <c r="I2437" i="1"/>
  <c r="I2436" i="1"/>
  <c r="I2435" i="1"/>
  <c r="I2434" i="1"/>
  <c r="I2433" i="1"/>
  <c r="I2432" i="1"/>
  <c r="I2431" i="1"/>
  <c r="I2430" i="1"/>
  <c r="I2429" i="1"/>
  <c r="I2428" i="1"/>
  <c r="I2427" i="1"/>
  <c r="I2426" i="1"/>
  <c r="I2425" i="1"/>
  <c r="I2424" i="1"/>
  <c r="I2423" i="1"/>
  <c r="I2422" i="1"/>
  <c r="I2421" i="1"/>
  <c r="S2420" i="1"/>
  <c r="I2420" i="1"/>
  <c r="I2419" i="1"/>
  <c r="I2418" i="1"/>
  <c r="I2417" i="1"/>
  <c r="I2416" i="1"/>
  <c r="I2415" i="1"/>
  <c r="I2414" i="1"/>
  <c r="I2413" i="1"/>
  <c r="I2412" i="1"/>
  <c r="I2411" i="1"/>
  <c r="I2410" i="1"/>
  <c r="I2409" i="1"/>
  <c r="I2408" i="1"/>
  <c r="S2407" i="1"/>
  <c r="I2407" i="1"/>
  <c r="I2406" i="1"/>
  <c r="I2405" i="1"/>
  <c r="I2404" i="1"/>
  <c r="I2403" i="1"/>
  <c r="I2402" i="1"/>
  <c r="U2401" i="1"/>
  <c r="I2401" i="1"/>
  <c r="I2400" i="1"/>
  <c r="I2399" i="1"/>
  <c r="I2398" i="1"/>
  <c r="I2397" i="1"/>
  <c r="I2396" i="1"/>
  <c r="I2395" i="1"/>
  <c r="I2394" i="1"/>
  <c r="I2393" i="1"/>
  <c r="I2392" i="1"/>
  <c r="U2391" i="1"/>
  <c r="I2391" i="1"/>
  <c r="I2390" i="1"/>
  <c r="I2389" i="1"/>
  <c r="I2388" i="1"/>
  <c r="S2387" i="1"/>
  <c r="I2387" i="1"/>
  <c r="U2386" i="1"/>
  <c r="I2386" i="1"/>
  <c r="I2385" i="1"/>
  <c r="I2384" i="1"/>
  <c r="I2383" i="1"/>
  <c r="I2382" i="1"/>
  <c r="U2381" i="1"/>
  <c r="I2381" i="1"/>
  <c r="I2380" i="1"/>
  <c r="I2379" i="1"/>
  <c r="I2378" i="1"/>
  <c r="I2377" i="1"/>
  <c r="I2376" i="1"/>
  <c r="I2375" i="1"/>
  <c r="I2374" i="1"/>
  <c r="I2373" i="1"/>
  <c r="U2372" i="1"/>
  <c r="I2372" i="1"/>
  <c r="U2371" i="1"/>
  <c r="I2371" i="1"/>
  <c r="I2370" i="1"/>
  <c r="I2369" i="1"/>
  <c r="I2368" i="1"/>
  <c r="I2367" i="1"/>
  <c r="I2366" i="1"/>
  <c r="U2365" i="1"/>
  <c r="I2365" i="1"/>
  <c r="I2364" i="1"/>
  <c r="I2363" i="1"/>
  <c r="I2362" i="1"/>
  <c r="I2361" i="1"/>
  <c r="I2360" i="1"/>
  <c r="I2359" i="1"/>
  <c r="U2358" i="1"/>
  <c r="I2358" i="1"/>
  <c r="I2357" i="1"/>
  <c r="I2356" i="1"/>
  <c r="I2355" i="1"/>
  <c r="I2354" i="1"/>
  <c r="I2353" i="1"/>
  <c r="I2352" i="1"/>
  <c r="I2351" i="1"/>
  <c r="I2350" i="1"/>
  <c r="I2349" i="1"/>
  <c r="I2348" i="1"/>
  <c r="I2347" i="1"/>
  <c r="I2346" i="1"/>
  <c r="U2345" i="1"/>
  <c r="I2345" i="1"/>
  <c r="I2344" i="1"/>
  <c r="I2343" i="1"/>
  <c r="I2342" i="1"/>
  <c r="I2341" i="1"/>
  <c r="I2340" i="1"/>
  <c r="I2339" i="1"/>
  <c r="I2338" i="1"/>
  <c r="I2337" i="1"/>
  <c r="I2336" i="1"/>
  <c r="I2335" i="1"/>
  <c r="I2334" i="1"/>
  <c r="U2333" i="1"/>
  <c r="I2333" i="1"/>
  <c r="U2332"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S2309" i="1"/>
  <c r="I2309" i="1"/>
  <c r="I2308" i="1"/>
  <c r="U2307" i="1"/>
  <c r="I2307" i="1"/>
  <c r="I2306" i="1"/>
  <c r="U2305" i="1"/>
  <c r="I2305" i="1"/>
  <c r="I2304" i="1"/>
  <c r="I2303" i="1"/>
  <c r="I2302" i="1"/>
  <c r="I2301" i="1"/>
  <c r="I2300" i="1"/>
  <c r="I2299" i="1"/>
  <c r="I2298" i="1"/>
  <c r="U2297" i="1"/>
  <c r="I2297" i="1"/>
  <c r="I2296" i="1"/>
  <c r="U2295" i="1"/>
  <c r="I2295" i="1"/>
  <c r="I2294" i="1"/>
  <c r="I2293" i="1"/>
  <c r="I2292" i="1"/>
  <c r="I2291" i="1"/>
  <c r="I2290" i="1"/>
  <c r="U2289" i="1"/>
  <c r="I2289" i="1"/>
  <c r="I2288" i="1"/>
  <c r="AE2287" i="1"/>
  <c r="I2287" i="1"/>
  <c r="S2286" i="1"/>
  <c r="I2286" i="1"/>
  <c r="S2285" i="1"/>
  <c r="I2285" i="1"/>
  <c r="I2284" i="1"/>
  <c r="I2283" i="1"/>
  <c r="I2282" i="1"/>
  <c r="I2281" i="1"/>
  <c r="I2280" i="1"/>
  <c r="I2279" i="1"/>
  <c r="I2278" i="1"/>
  <c r="I2277" i="1"/>
  <c r="I2276" i="1"/>
  <c r="I2275" i="1"/>
  <c r="I2274" i="1"/>
  <c r="U2273" i="1"/>
  <c r="I2273" i="1"/>
  <c r="I2272" i="1"/>
  <c r="I2271" i="1"/>
  <c r="I2270" i="1"/>
  <c r="I2269" i="1"/>
  <c r="I2268" i="1"/>
  <c r="I2267" i="1"/>
  <c r="I2266" i="1"/>
  <c r="I2265" i="1"/>
  <c r="I2264" i="1"/>
  <c r="I2263" i="1"/>
  <c r="I2262" i="1"/>
  <c r="I2261" i="1"/>
  <c r="I2260" i="1"/>
  <c r="I2259" i="1"/>
  <c r="I2258" i="1"/>
  <c r="I2257" i="1"/>
  <c r="I2256" i="1"/>
  <c r="I2255" i="1"/>
  <c r="I2254" i="1"/>
  <c r="I2253" i="1"/>
  <c r="I2252" i="1"/>
  <c r="I2251" i="1"/>
  <c r="I2250" i="1"/>
  <c r="I2249" i="1"/>
  <c r="I2248" i="1"/>
  <c r="I2247" i="1"/>
  <c r="U2246" i="1"/>
  <c r="I2246" i="1"/>
  <c r="I2245" i="1"/>
  <c r="I2244" i="1"/>
  <c r="I2243" i="1"/>
  <c r="U2242" i="1"/>
  <c r="I2242" i="1"/>
  <c r="I2241" i="1"/>
  <c r="I2240" i="1"/>
  <c r="I2239" i="1"/>
  <c r="I2238" i="1"/>
  <c r="I2237" i="1"/>
  <c r="I2236" i="1"/>
  <c r="I2235" i="1"/>
  <c r="I2234" i="1"/>
  <c r="I2233" i="1"/>
  <c r="I2232" i="1"/>
  <c r="I2231" i="1"/>
  <c r="I2230" i="1"/>
  <c r="I2229" i="1"/>
  <c r="I2228" i="1"/>
  <c r="I2227" i="1"/>
  <c r="I2226" i="1"/>
  <c r="I2225" i="1"/>
  <c r="I2224" i="1"/>
  <c r="I2223" i="1"/>
  <c r="I2222" i="1"/>
  <c r="I2221" i="1"/>
  <c r="I2220" i="1"/>
  <c r="I2219" i="1"/>
  <c r="I2218" i="1"/>
  <c r="I2217" i="1"/>
  <c r="I2216" i="1"/>
  <c r="I2215" i="1"/>
  <c r="I2214" i="1"/>
  <c r="I2213" i="1"/>
  <c r="I2212" i="1"/>
  <c r="I2211" i="1"/>
  <c r="I2210" i="1"/>
  <c r="I2209" i="1"/>
  <c r="I2208" i="1"/>
  <c r="I2207" i="1"/>
  <c r="I2206" i="1"/>
  <c r="I2205" i="1"/>
  <c r="I2204" i="1"/>
  <c r="I2203" i="1"/>
  <c r="I2202" i="1"/>
  <c r="I2201" i="1"/>
  <c r="I2200" i="1"/>
  <c r="I2199" i="1"/>
  <c r="I2198" i="1"/>
  <c r="I2197" i="1"/>
  <c r="I2196" i="1"/>
  <c r="U2195" i="1"/>
  <c r="I2195" i="1"/>
  <c r="I2194" i="1"/>
  <c r="I2193" i="1"/>
  <c r="I2192" i="1"/>
  <c r="U2191" i="1"/>
  <c r="I2191" i="1"/>
  <c r="U2190" i="1"/>
  <c r="I2190" i="1"/>
  <c r="I2189" i="1"/>
  <c r="I2188" i="1"/>
  <c r="U2187" i="1"/>
  <c r="I2187" i="1"/>
  <c r="I2186" i="1"/>
  <c r="I2185" i="1"/>
  <c r="U2184" i="1"/>
  <c r="I2184" i="1"/>
  <c r="I2183" i="1"/>
  <c r="I2182" i="1"/>
  <c r="I2181" i="1"/>
  <c r="I2180" i="1"/>
  <c r="I2179" i="1"/>
  <c r="I2178" i="1"/>
  <c r="I2177" i="1"/>
  <c r="I2176" i="1"/>
  <c r="I2175" i="1"/>
  <c r="I2174" i="1"/>
  <c r="I2173" i="1"/>
  <c r="I2172" i="1"/>
  <c r="I2171" i="1"/>
  <c r="S2170" i="1"/>
  <c r="I2170" i="1"/>
  <c r="I2169" i="1"/>
  <c r="U2168" i="1"/>
  <c r="I2168" i="1"/>
  <c r="U2167" i="1"/>
  <c r="I2167" i="1"/>
  <c r="I2166" i="1"/>
  <c r="I2165" i="1"/>
  <c r="I2164" i="1"/>
  <c r="I2163" i="1"/>
  <c r="I2162" i="1"/>
  <c r="I2161" i="1"/>
  <c r="I2160" i="1"/>
  <c r="I2159" i="1"/>
  <c r="I2158" i="1"/>
  <c r="I2157" i="1"/>
  <c r="I2156" i="1"/>
  <c r="I2155" i="1"/>
  <c r="I2154" i="1"/>
  <c r="I2153" i="1"/>
  <c r="U2152" i="1"/>
  <c r="I2152" i="1"/>
  <c r="I2151" i="1"/>
  <c r="U2150" i="1"/>
  <c r="I2150" i="1"/>
  <c r="U2149" i="1"/>
  <c r="I2149" i="1"/>
  <c r="I2148" i="1"/>
  <c r="I2147" i="1"/>
  <c r="I2146" i="1"/>
  <c r="I2145" i="1"/>
  <c r="U2144" i="1"/>
  <c r="I2144" i="1"/>
  <c r="I2143" i="1"/>
  <c r="I2142" i="1"/>
  <c r="U2141" i="1"/>
  <c r="I2141" i="1"/>
  <c r="I2140" i="1"/>
  <c r="I2139" i="1"/>
  <c r="U2138" i="1"/>
  <c r="I2138" i="1"/>
  <c r="U2137" i="1"/>
  <c r="I2137" i="1"/>
  <c r="U2136" i="1"/>
  <c r="I2136" i="1"/>
  <c r="I2135" i="1"/>
  <c r="S2134" i="1"/>
  <c r="I2134" i="1"/>
  <c r="I2133" i="1"/>
  <c r="I2132" i="1"/>
  <c r="I2131" i="1"/>
  <c r="I2130" i="1"/>
  <c r="U2129" i="1"/>
  <c r="I2129" i="1"/>
  <c r="I2128" i="1"/>
  <c r="I2127" i="1"/>
  <c r="I2126" i="1"/>
  <c r="I2125" i="1"/>
  <c r="I2124" i="1"/>
  <c r="I2123" i="1"/>
  <c r="I2122" i="1"/>
  <c r="I2121" i="1"/>
  <c r="I2120" i="1"/>
  <c r="I2119" i="1"/>
  <c r="I2118" i="1"/>
  <c r="U2117" i="1"/>
  <c r="I2117" i="1"/>
  <c r="I2116" i="1"/>
  <c r="I2115" i="1"/>
  <c r="I2114" i="1"/>
  <c r="I2113" i="1"/>
  <c r="I2112" i="1"/>
  <c r="I2111" i="1"/>
  <c r="I2110" i="1"/>
  <c r="I2109" i="1"/>
  <c r="U2108" i="1"/>
  <c r="I2108" i="1"/>
  <c r="I2107" i="1"/>
  <c r="I2106" i="1"/>
  <c r="I2105" i="1"/>
  <c r="I2104" i="1"/>
  <c r="I2103" i="1"/>
  <c r="I2102" i="1"/>
  <c r="I2101" i="1"/>
  <c r="I2100" i="1"/>
  <c r="I2099" i="1"/>
  <c r="I2098" i="1"/>
  <c r="I2097" i="1"/>
  <c r="I2096" i="1"/>
  <c r="I2095" i="1"/>
  <c r="I2094" i="1"/>
  <c r="I2093" i="1"/>
  <c r="U2092" i="1"/>
  <c r="I2092" i="1"/>
  <c r="I2091" i="1"/>
  <c r="I2090" i="1"/>
  <c r="I2089" i="1"/>
  <c r="I2088" i="1"/>
  <c r="I2087" i="1"/>
  <c r="I2086" i="1"/>
  <c r="I2085" i="1"/>
  <c r="I2084" i="1"/>
  <c r="I2083" i="1"/>
  <c r="I2082" i="1"/>
  <c r="U2081" i="1"/>
  <c r="I2081" i="1"/>
  <c r="I2080" i="1"/>
  <c r="I2079" i="1"/>
  <c r="I2078" i="1"/>
  <c r="I2077" i="1"/>
  <c r="I2076" i="1"/>
  <c r="I2075" i="1"/>
  <c r="I2074" i="1"/>
  <c r="I2073" i="1"/>
  <c r="I2072" i="1"/>
  <c r="I2071" i="1"/>
  <c r="I2070" i="1"/>
  <c r="I2069" i="1"/>
  <c r="I2068" i="1"/>
  <c r="I2067" i="1"/>
  <c r="I2066" i="1"/>
  <c r="I2065" i="1"/>
  <c r="I2064" i="1"/>
  <c r="I2063" i="1"/>
  <c r="I2062" i="1"/>
  <c r="I2061" i="1"/>
  <c r="I2060" i="1"/>
  <c r="I2059" i="1"/>
  <c r="I2058" i="1"/>
  <c r="I2057" i="1"/>
  <c r="I2056" i="1"/>
  <c r="U2055" i="1"/>
  <c r="I2055" i="1"/>
  <c r="I2054" i="1"/>
  <c r="I2053" i="1"/>
  <c r="I2052" i="1"/>
  <c r="I2051" i="1"/>
  <c r="I2050" i="1"/>
  <c r="I2049" i="1"/>
  <c r="I2048" i="1"/>
  <c r="I2047" i="1"/>
  <c r="I2046" i="1"/>
  <c r="I2045" i="1"/>
  <c r="I2044" i="1"/>
  <c r="I2043" i="1"/>
  <c r="I2042" i="1"/>
  <c r="I2041" i="1"/>
  <c r="I2040" i="1"/>
  <c r="I2039" i="1"/>
  <c r="I2038" i="1"/>
  <c r="I2037" i="1"/>
  <c r="I2036" i="1"/>
  <c r="I2035" i="1"/>
  <c r="I2034" i="1"/>
  <c r="I2033" i="1"/>
  <c r="I2032" i="1"/>
  <c r="I2031" i="1"/>
  <c r="I2030" i="1"/>
  <c r="I2029" i="1"/>
  <c r="I2028" i="1"/>
  <c r="I2027" i="1"/>
  <c r="I2026" i="1"/>
  <c r="U2025" i="1"/>
  <c r="I2025" i="1"/>
  <c r="I2024" i="1"/>
  <c r="I2023" i="1"/>
  <c r="I2022" i="1"/>
  <c r="I2021" i="1"/>
  <c r="U2020" i="1"/>
  <c r="I2020" i="1"/>
  <c r="U2019" i="1"/>
  <c r="I2019" i="1"/>
  <c r="I2018" i="1"/>
  <c r="I2017" i="1"/>
  <c r="I2016" i="1"/>
  <c r="I2015" i="1"/>
  <c r="I2014" i="1"/>
  <c r="I2013" i="1"/>
  <c r="I2012" i="1"/>
  <c r="I2011" i="1"/>
  <c r="I2010" i="1"/>
  <c r="U2009" i="1"/>
  <c r="I2009" i="1"/>
  <c r="U2008" i="1"/>
  <c r="I2008" i="1"/>
  <c r="I2007" i="1"/>
  <c r="U2006" i="1"/>
  <c r="I2006" i="1"/>
  <c r="I2005" i="1"/>
  <c r="I2004" i="1"/>
  <c r="I2003" i="1"/>
  <c r="U2002" i="1"/>
  <c r="I2002" i="1"/>
  <c r="I2001" i="1"/>
  <c r="I2000" i="1"/>
  <c r="U1999" i="1"/>
  <c r="I1999" i="1"/>
  <c r="I1998" i="1"/>
  <c r="I1997" i="1"/>
  <c r="I1996" i="1"/>
  <c r="U1995" i="1"/>
  <c r="I1995" i="1"/>
  <c r="U1994" i="1"/>
  <c r="S1994" i="1"/>
  <c r="I1994" i="1"/>
  <c r="I1993" i="1"/>
  <c r="I1992" i="1"/>
  <c r="U1991" i="1"/>
  <c r="I1991" i="1"/>
  <c r="I1990" i="1"/>
  <c r="I1989" i="1"/>
  <c r="I1988" i="1"/>
  <c r="I1987" i="1"/>
  <c r="I1986" i="1"/>
  <c r="I1985" i="1"/>
  <c r="I1984" i="1"/>
  <c r="I1983" i="1"/>
  <c r="I1982" i="1"/>
  <c r="I1981" i="1"/>
  <c r="I1980" i="1"/>
  <c r="I1979" i="1"/>
  <c r="I1978" i="1"/>
  <c r="I1977" i="1"/>
  <c r="I1976" i="1"/>
  <c r="U1975" i="1"/>
  <c r="I1975" i="1"/>
  <c r="I1974" i="1"/>
  <c r="I1973" i="1"/>
  <c r="I1972" i="1"/>
  <c r="U1971" i="1"/>
  <c r="I1971" i="1"/>
  <c r="I1970" i="1"/>
  <c r="I1969" i="1"/>
  <c r="I1968" i="1"/>
  <c r="I1967" i="1"/>
  <c r="I1966" i="1"/>
  <c r="I1965" i="1"/>
  <c r="I1964" i="1"/>
  <c r="I1963" i="1"/>
  <c r="I1962" i="1"/>
  <c r="I1961" i="1"/>
  <c r="I1960" i="1"/>
  <c r="I1959" i="1"/>
  <c r="I1958" i="1"/>
  <c r="I1957" i="1"/>
  <c r="I1956" i="1"/>
  <c r="I1955" i="1"/>
  <c r="I1954" i="1"/>
  <c r="I1953" i="1"/>
  <c r="I1952" i="1"/>
  <c r="U1951" i="1"/>
  <c r="I1951" i="1"/>
  <c r="I1950" i="1"/>
  <c r="U1949" i="1"/>
  <c r="I1949" i="1"/>
  <c r="U1948" i="1"/>
  <c r="I1948" i="1"/>
  <c r="I1947" i="1"/>
  <c r="U1946" i="1"/>
  <c r="I1946" i="1"/>
  <c r="U1945" i="1"/>
  <c r="I1945" i="1"/>
  <c r="I1944" i="1"/>
  <c r="I1943" i="1"/>
  <c r="I1942" i="1"/>
  <c r="I1941" i="1"/>
  <c r="I1940" i="1"/>
  <c r="I1939" i="1"/>
  <c r="I1938" i="1"/>
  <c r="I1937" i="1"/>
  <c r="I1936" i="1"/>
  <c r="I1935" i="1"/>
  <c r="I1934" i="1"/>
  <c r="U1933" i="1"/>
  <c r="I1933" i="1"/>
  <c r="I1932" i="1"/>
  <c r="I1931" i="1"/>
  <c r="I1930" i="1"/>
  <c r="I1929" i="1"/>
  <c r="U1928" i="1"/>
  <c r="I1928" i="1"/>
  <c r="I1927" i="1"/>
  <c r="I1926" i="1"/>
  <c r="I1925" i="1"/>
  <c r="I1924" i="1"/>
  <c r="I1923" i="1"/>
  <c r="S1922" i="1"/>
  <c r="I1922" i="1"/>
  <c r="I1921" i="1"/>
  <c r="I1920" i="1"/>
  <c r="I1919" i="1"/>
  <c r="I1918" i="1"/>
  <c r="I1917" i="1"/>
  <c r="I1916" i="1"/>
  <c r="I1915" i="1"/>
  <c r="I1914" i="1"/>
  <c r="I1913" i="1"/>
  <c r="I1912" i="1"/>
  <c r="I1911" i="1"/>
  <c r="I1910" i="1"/>
  <c r="I1909" i="1"/>
  <c r="I1908" i="1"/>
  <c r="I1907" i="1"/>
  <c r="I1906" i="1"/>
  <c r="I1905" i="1"/>
  <c r="I1904" i="1"/>
  <c r="I1903" i="1"/>
  <c r="I1902" i="1"/>
  <c r="I1901" i="1"/>
  <c r="U1900" i="1"/>
  <c r="I1900" i="1"/>
  <c r="U1899" i="1"/>
  <c r="I1899" i="1"/>
  <c r="U1898" i="1"/>
  <c r="I1898" i="1"/>
  <c r="I1897" i="1"/>
  <c r="I1896" i="1"/>
  <c r="I1895" i="1"/>
  <c r="I1894" i="1"/>
  <c r="I1893" i="1"/>
  <c r="I1892" i="1"/>
  <c r="I1891" i="1"/>
  <c r="I1890" i="1"/>
  <c r="I1889" i="1"/>
  <c r="U1888" i="1"/>
  <c r="S1888"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U1830" i="1"/>
  <c r="I1830" i="1"/>
  <c r="S1829" i="1"/>
  <c r="I1829" i="1"/>
  <c r="U1828" i="1"/>
  <c r="I1828" i="1"/>
  <c r="I1827" i="1"/>
  <c r="I1826" i="1"/>
  <c r="I1825" i="1"/>
  <c r="I1824" i="1"/>
  <c r="I1823" i="1"/>
  <c r="I1822" i="1"/>
  <c r="I1821" i="1"/>
  <c r="I1820" i="1"/>
  <c r="I1819" i="1"/>
  <c r="I1818" i="1"/>
  <c r="I1817" i="1"/>
  <c r="I1816" i="1"/>
  <c r="I1815" i="1"/>
  <c r="I1814" i="1"/>
  <c r="I1813" i="1"/>
  <c r="I1812" i="1"/>
  <c r="I1811" i="1"/>
  <c r="I1810" i="1"/>
  <c r="I1809" i="1"/>
  <c r="I1808" i="1"/>
  <c r="I1807" i="1"/>
  <c r="I1806" i="1"/>
  <c r="I1805" i="1"/>
  <c r="U1804" i="1"/>
  <c r="I1804" i="1"/>
  <c r="I1803" i="1"/>
  <c r="I1802" i="1"/>
  <c r="U1801" i="1"/>
  <c r="I1801" i="1"/>
  <c r="I1800" i="1"/>
  <c r="I1799" i="1"/>
  <c r="I1798" i="1"/>
  <c r="I1797" i="1"/>
  <c r="I1796" i="1"/>
  <c r="I1795" i="1"/>
  <c r="I1794" i="1"/>
  <c r="I1793" i="1"/>
  <c r="U1792" i="1"/>
  <c r="I1792" i="1"/>
  <c r="I1791" i="1"/>
  <c r="I1790" i="1"/>
  <c r="I1789" i="1"/>
  <c r="I1788" i="1"/>
  <c r="I1787" i="1"/>
  <c r="I1786" i="1"/>
  <c r="I1785" i="1"/>
  <c r="I1784" i="1"/>
  <c r="I1783" i="1"/>
  <c r="I1782" i="1"/>
  <c r="I1781" i="1"/>
  <c r="I1780" i="1"/>
  <c r="I1779" i="1"/>
  <c r="I1778" i="1"/>
  <c r="I1777" i="1"/>
  <c r="I1776" i="1"/>
  <c r="I1775" i="1"/>
  <c r="I1774" i="1"/>
  <c r="I1773" i="1"/>
  <c r="I1772" i="1"/>
  <c r="I1771" i="1"/>
  <c r="I1770" i="1"/>
  <c r="U1769" i="1"/>
  <c r="I1769" i="1"/>
  <c r="I1768" i="1"/>
  <c r="I1767" i="1"/>
  <c r="I1766" i="1"/>
  <c r="I1765" i="1"/>
  <c r="I1764" i="1"/>
  <c r="I1763" i="1"/>
  <c r="I1762" i="1"/>
  <c r="I1761" i="1"/>
  <c r="I1760" i="1"/>
  <c r="I1759" i="1"/>
  <c r="I1758" i="1"/>
  <c r="I1757" i="1"/>
  <c r="I1756" i="1"/>
  <c r="I1755" i="1"/>
  <c r="I1754" i="1"/>
  <c r="I1753" i="1"/>
  <c r="I1752" i="1"/>
  <c r="I1751" i="1"/>
  <c r="I1750" i="1"/>
  <c r="I1749" i="1"/>
  <c r="I1748" i="1"/>
  <c r="I1747" i="1"/>
  <c r="I1746" i="1"/>
  <c r="I1745" i="1"/>
  <c r="I1744" i="1"/>
  <c r="I1743" i="1"/>
  <c r="I1742" i="1"/>
  <c r="I1741" i="1"/>
  <c r="I1740" i="1"/>
  <c r="I1739" i="1"/>
  <c r="I1738" i="1"/>
  <c r="I1737" i="1"/>
  <c r="I1736" i="1"/>
  <c r="I1735" i="1"/>
  <c r="I1734" i="1"/>
  <c r="I1733" i="1"/>
  <c r="I1732" i="1"/>
  <c r="I1731" i="1"/>
  <c r="I1730" i="1"/>
  <c r="U1729" i="1"/>
  <c r="I1729" i="1"/>
  <c r="I1728" i="1"/>
  <c r="I1727" i="1"/>
  <c r="I1726" i="1"/>
  <c r="U1725" i="1"/>
  <c r="I1725" i="1"/>
  <c r="I1724" i="1"/>
  <c r="U1723" i="1"/>
  <c r="I1723" i="1"/>
  <c r="I1722" i="1"/>
  <c r="I1721" i="1"/>
  <c r="I1720" i="1"/>
  <c r="I1719" i="1"/>
  <c r="I1718" i="1"/>
  <c r="I1717" i="1"/>
  <c r="I1716" i="1"/>
  <c r="I1715" i="1"/>
  <c r="I1714" i="1"/>
  <c r="I1713" i="1"/>
  <c r="I1712" i="1"/>
  <c r="I1711" i="1"/>
  <c r="I1710" i="1"/>
  <c r="I1709" i="1"/>
  <c r="I1708" i="1"/>
  <c r="I1707" i="1"/>
  <c r="I1706"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S1677" i="1"/>
  <c r="I1677" i="1"/>
  <c r="I1676" i="1"/>
  <c r="I1675" i="1"/>
  <c r="I1674" i="1"/>
  <c r="I1673" i="1"/>
  <c r="I1672" i="1"/>
  <c r="I1671" i="1"/>
  <c r="I1670" i="1"/>
  <c r="I1669" i="1"/>
  <c r="I1668" i="1"/>
  <c r="I1667" i="1"/>
  <c r="I1666" i="1"/>
  <c r="I1665" i="1"/>
  <c r="I1664" i="1"/>
  <c r="U1663" i="1"/>
  <c r="I1663" i="1"/>
  <c r="I1662" i="1"/>
  <c r="S1661" i="1"/>
  <c r="I1661" i="1"/>
  <c r="U1660" i="1"/>
  <c r="I1660" i="1"/>
  <c r="I1659" i="1"/>
  <c r="I1658" i="1"/>
  <c r="I1657" i="1"/>
  <c r="I1656" i="1"/>
  <c r="I1655" i="1"/>
  <c r="I1654" i="1"/>
  <c r="U1653" i="1"/>
  <c r="I1653" i="1"/>
  <c r="I1652" i="1"/>
  <c r="I1651" i="1"/>
  <c r="I1650" i="1"/>
  <c r="I1649" i="1"/>
  <c r="I1648" i="1"/>
  <c r="I1647" i="1"/>
  <c r="U1646" i="1"/>
  <c r="I1646" i="1"/>
  <c r="U1645" i="1"/>
  <c r="I1645" i="1"/>
  <c r="I1644" i="1"/>
  <c r="I1643" i="1"/>
  <c r="I1642" i="1"/>
  <c r="I1641" i="1"/>
  <c r="I1640" i="1"/>
  <c r="U1639" i="1"/>
  <c r="I1639" i="1"/>
  <c r="I1638" i="1"/>
  <c r="I1637" i="1"/>
  <c r="I1636" i="1"/>
  <c r="I1635" i="1"/>
  <c r="I1634" i="1"/>
  <c r="I1633" i="1"/>
  <c r="I1632" i="1"/>
  <c r="I1631" i="1"/>
  <c r="I1630" i="1"/>
  <c r="I1629" i="1"/>
  <c r="I1628" i="1"/>
  <c r="I1627" i="1"/>
  <c r="I1626" i="1"/>
  <c r="I1625" i="1"/>
  <c r="I1624" i="1"/>
  <c r="I1623" i="1"/>
  <c r="U1622" i="1"/>
  <c r="I1622" i="1"/>
  <c r="I1621" i="1"/>
  <c r="I1620" i="1"/>
  <c r="I1619" i="1"/>
  <c r="I1618" i="1"/>
  <c r="I1617" i="1"/>
  <c r="I1616" i="1"/>
  <c r="I1615" i="1"/>
  <c r="I1614" i="1"/>
  <c r="I1613" i="1"/>
  <c r="I1612" i="1"/>
  <c r="I1611" i="1"/>
  <c r="I1610" i="1"/>
  <c r="I1609" i="1"/>
  <c r="U1608" i="1"/>
  <c r="I1608" i="1"/>
  <c r="I1607" i="1"/>
  <c r="I1606" i="1"/>
  <c r="I1605" i="1"/>
  <c r="I1604" i="1"/>
  <c r="I1603" i="1"/>
  <c r="I1602" i="1"/>
  <c r="I1601" i="1"/>
  <c r="I1600" i="1"/>
  <c r="U1599" i="1"/>
  <c r="I1599" i="1"/>
  <c r="I1598" i="1"/>
  <c r="U1597" i="1"/>
  <c r="I1597" i="1"/>
  <c r="I1596" i="1"/>
  <c r="U1595" i="1"/>
  <c r="I1595" i="1"/>
  <c r="U1594" i="1"/>
  <c r="I1594" i="1"/>
  <c r="I1593" i="1"/>
  <c r="I1592" i="1"/>
  <c r="I1591" i="1"/>
  <c r="I1590" i="1"/>
  <c r="I1589" i="1"/>
  <c r="I1588" i="1"/>
  <c r="I1587" i="1"/>
  <c r="I1586" i="1"/>
  <c r="I1585" i="1"/>
  <c r="I1584" i="1"/>
  <c r="I1583" i="1"/>
  <c r="I1582" i="1"/>
  <c r="I1581" i="1"/>
  <c r="I1580" i="1"/>
  <c r="I1579" i="1"/>
  <c r="I1578" i="1"/>
  <c r="U1577" i="1"/>
  <c r="I1577" i="1"/>
  <c r="I1576" i="1"/>
  <c r="I1575" i="1"/>
  <c r="I1574" i="1"/>
  <c r="I1573" i="1"/>
  <c r="I1572" i="1"/>
  <c r="I1571" i="1"/>
  <c r="I1570" i="1"/>
  <c r="I1569" i="1"/>
  <c r="I1568" i="1"/>
  <c r="I1567" i="1"/>
  <c r="I1566" i="1"/>
  <c r="I1565" i="1"/>
  <c r="I1564" i="1"/>
  <c r="I1563" i="1"/>
  <c r="I1562" i="1"/>
  <c r="I1561" i="1"/>
  <c r="I1560" i="1"/>
  <c r="U1559"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U1514" i="1"/>
  <c r="I1514" i="1"/>
  <c r="I1513" i="1"/>
  <c r="I1512" i="1"/>
  <c r="I1511" i="1"/>
  <c r="I1510" i="1"/>
  <c r="I1509" i="1"/>
  <c r="I1508" i="1"/>
  <c r="U1507" i="1"/>
  <c r="I1507" i="1"/>
  <c r="U1506" i="1"/>
  <c r="I1506" i="1"/>
  <c r="U1505" i="1"/>
  <c r="I1505" i="1"/>
  <c r="I1504" i="1"/>
  <c r="I1503" i="1"/>
  <c r="I1502" i="1"/>
  <c r="I1501" i="1"/>
  <c r="I1500" i="1"/>
  <c r="I1499" i="1"/>
  <c r="U1498" i="1"/>
  <c r="I1498" i="1"/>
  <c r="I1497" i="1"/>
  <c r="I1496" i="1"/>
  <c r="S1495" i="1"/>
  <c r="I1495" i="1"/>
  <c r="I1494" i="1"/>
  <c r="I1493" i="1"/>
  <c r="I1492" i="1"/>
  <c r="U1491" i="1"/>
  <c r="I1491" i="1"/>
  <c r="U1490" i="1"/>
  <c r="I1490" i="1"/>
  <c r="I1489" i="1"/>
  <c r="I1488" i="1"/>
  <c r="U1487" i="1"/>
  <c r="I1487" i="1"/>
  <c r="I1486" i="1"/>
  <c r="I1485" i="1"/>
  <c r="I1484" i="1"/>
  <c r="U1483" i="1"/>
  <c r="I1483" i="1"/>
  <c r="U1482" i="1"/>
  <c r="I1482" i="1"/>
  <c r="I1481" i="1"/>
  <c r="I1480" i="1"/>
  <c r="I1479" i="1"/>
  <c r="I1478" i="1"/>
  <c r="I1477" i="1"/>
  <c r="I1476" i="1"/>
  <c r="I1475" i="1"/>
  <c r="I1474" i="1"/>
  <c r="I1473" i="1"/>
  <c r="I1472" i="1"/>
  <c r="I1471" i="1"/>
  <c r="I1470" i="1"/>
  <c r="U1469" i="1"/>
  <c r="I1469" i="1"/>
  <c r="I1468" i="1"/>
  <c r="I1467" i="1"/>
  <c r="I1466" i="1"/>
  <c r="U1465" i="1"/>
  <c r="I1465" i="1"/>
  <c r="I1464" i="1"/>
  <c r="U1463" i="1"/>
  <c r="I1463" i="1"/>
  <c r="I1462" i="1"/>
  <c r="I1461" i="1"/>
  <c r="I1460" i="1"/>
  <c r="I1459" i="1"/>
  <c r="I1458" i="1"/>
  <c r="I1457" i="1"/>
  <c r="I1456" i="1"/>
  <c r="I1455" i="1"/>
  <c r="I1454" i="1"/>
  <c r="I1453" i="1"/>
  <c r="I1452" i="1"/>
  <c r="I1451" i="1"/>
  <c r="I1450" i="1"/>
  <c r="U1449" i="1"/>
  <c r="I1449" i="1"/>
  <c r="I1448" i="1"/>
  <c r="I1447" i="1"/>
  <c r="I1446" i="1"/>
  <c r="I1445" i="1"/>
  <c r="I1444" i="1"/>
  <c r="I1443" i="1"/>
  <c r="U1442" i="1"/>
  <c r="I1442" i="1"/>
  <c r="U1441" i="1"/>
  <c r="I1441" i="1"/>
  <c r="U1440" i="1"/>
  <c r="I1440" i="1"/>
  <c r="I1439" i="1"/>
  <c r="U1438" i="1"/>
  <c r="I1438" i="1"/>
  <c r="I1437" i="1"/>
  <c r="I1436" i="1"/>
  <c r="U1435" i="1"/>
  <c r="I1435" i="1"/>
  <c r="I1434" i="1"/>
  <c r="I1433" i="1"/>
  <c r="I1432" i="1"/>
  <c r="I1431" i="1"/>
  <c r="I1430" i="1"/>
  <c r="I1429" i="1"/>
  <c r="I1428" i="1"/>
  <c r="I1427" i="1"/>
  <c r="S1426" i="1"/>
  <c r="I1426" i="1"/>
  <c r="I1425" i="1"/>
  <c r="I1424" i="1"/>
  <c r="I1423" i="1"/>
  <c r="I1422" i="1"/>
  <c r="I1421" i="1"/>
  <c r="I1420" i="1"/>
  <c r="I1419" i="1"/>
  <c r="I1418" i="1"/>
  <c r="I1417" i="1"/>
  <c r="I1416" i="1"/>
  <c r="I1415" i="1"/>
  <c r="I1414" i="1"/>
  <c r="I1413" i="1"/>
  <c r="I1412" i="1"/>
  <c r="I1411" i="1"/>
  <c r="I1410" i="1"/>
  <c r="I1409" i="1"/>
  <c r="I1408" i="1"/>
  <c r="I1407" i="1"/>
  <c r="U1406" i="1"/>
  <c r="I1406" i="1"/>
  <c r="I1405" i="1"/>
  <c r="I1404" i="1"/>
  <c r="I1403" i="1"/>
  <c r="I1402" i="1"/>
  <c r="I1401" i="1"/>
  <c r="I1400" i="1"/>
  <c r="U1399" i="1"/>
  <c r="I1399" i="1"/>
  <c r="I1398" i="1"/>
  <c r="I1397" i="1"/>
  <c r="I1396" i="1"/>
  <c r="I1395" i="1"/>
  <c r="I1394" i="1"/>
  <c r="I1393" i="1"/>
  <c r="I1392" i="1"/>
  <c r="I1391" i="1"/>
  <c r="I1390" i="1"/>
  <c r="I1389" i="1"/>
  <c r="I1388" i="1"/>
  <c r="U1387" i="1"/>
  <c r="I1387" i="1"/>
  <c r="I1386" i="1"/>
  <c r="I1385" i="1"/>
  <c r="I1384" i="1"/>
  <c r="I1383" i="1"/>
  <c r="I1382" i="1"/>
  <c r="I1381" i="1"/>
  <c r="I1380" i="1"/>
  <c r="I1379" i="1"/>
  <c r="U1378" i="1"/>
  <c r="I1378" i="1"/>
  <c r="U1377" i="1"/>
  <c r="I1377" i="1"/>
  <c r="S1376" i="1"/>
  <c r="I1376" i="1"/>
  <c r="I1375" i="1"/>
  <c r="I1374" i="1"/>
  <c r="I1373" i="1"/>
  <c r="I1372" i="1"/>
  <c r="I1371" i="1"/>
  <c r="I1370" i="1"/>
  <c r="I1369" i="1"/>
  <c r="I1368" i="1"/>
  <c r="I1367" i="1"/>
  <c r="I1366" i="1"/>
  <c r="I1365" i="1"/>
  <c r="I1364" i="1"/>
  <c r="I1363" i="1"/>
  <c r="I1362" i="1"/>
  <c r="I1361" i="1"/>
  <c r="I1360" i="1"/>
  <c r="I1359" i="1"/>
  <c r="U1358" i="1"/>
  <c r="I1358" i="1"/>
  <c r="I1357" i="1"/>
  <c r="I1356" i="1"/>
  <c r="I1355" i="1"/>
  <c r="I1354" i="1"/>
  <c r="U1353" i="1"/>
  <c r="I1353" i="1"/>
  <c r="U1352" i="1"/>
  <c r="I1352" i="1"/>
  <c r="U1351" i="1"/>
  <c r="I1351" i="1"/>
  <c r="I1350" i="1"/>
  <c r="I1349" i="1"/>
  <c r="I1348" i="1"/>
  <c r="I1347" i="1"/>
  <c r="I1346" i="1"/>
  <c r="U1345" i="1"/>
  <c r="I1345" i="1"/>
  <c r="U1344" i="1"/>
  <c r="I1344" i="1"/>
  <c r="I1343" i="1"/>
  <c r="I1342" i="1"/>
  <c r="I1341" i="1"/>
  <c r="I1340" i="1"/>
  <c r="I1339" i="1"/>
  <c r="I1338" i="1"/>
  <c r="I1337" i="1"/>
  <c r="I1336" i="1"/>
  <c r="I1335" i="1"/>
  <c r="I1334" i="1"/>
  <c r="U1333" i="1"/>
  <c r="I1333" i="1"/>
  <c r="I1332" i="1"/>
  <c r="I1331" i="1"/>
  <c r="I1330" i="1"/>
  <c r="I1329" i="1"/>
  <c r="I1328" i="1"/>
  <c r="I1327" i="1"/>
  <c r="U1326" i="1"/>
  <c r="I1326" i="1"/>
  <c r="I1325" i="1"/>
  <c r="S1324" i="1"/>
  <c r="I1324" i="1"/>
  <c r="S1323"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U1296" i="1"/>
  <c r="I1296" i="1"/>
  <c r="U1295" i="1"/>
  <c r="I1295" i="1"/>
  <c r="I1294" i="1"/>
  <c r="U1293" i="1"/>
  <c r="I1293" i="1"/>
  <c r="I1292" i="1"/>
  <c r="U1291"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U1202" i="1"/>
  <c r="I1202" i="1"/>
  <c r="I1201" i="1"/>
  <c r="I1200" i="1"/>
  <c r="I1199" i="1"/>
  <c r="I1198" i="1"/>
  <c r="I1197" i="1"/>
  <c r="I1196" i="1"/>
  <c r="I1195" i="1"/>
  <c r="I1194" i="1"/>
  <c r="I1193" i="1"/>
  <c r="I1192" i="1"/>
  <c r="I1191" i="1"/>
  <c r="I1190" i="1"/>
  <c r="I1189" i="1"/>
  <c r="I1188" i="1"/>
  <c r="I1187" i="1"/>
  <c r="I1186" i="1"/>
  <c r="I1185" i="1"/>
  <c r="I1184" i="1"/>
  <c r="I1183" i="1"/>
  <c r="U1182" i="1"/>
  <c r="I1182" i="1"/>
  <c r="I1181" i="1"/>
  <c r="I1180" i="1"/>
  <c r="I1179" i="1"/>
  <c r="I1178" i="1"/>
  <c r="I1177" i="1"/>
  <c r="I1176" i="1"/>
  <c r="I1175" i="1"/>
  <c r="I1174" i="1"/>
  <c r="I1173" i="1"/>
  <c r="I1172" i="1"/>
  <c r="I1171" i="1"/>
  <c r="I1170" i="1"/>
  <c r="I1169" i="1"/>
  <c r="U1168" i="1"/>
  <c r="I1168" i="1"/>
  <c r="U1167" i="1"/>
  <c r="I1167" i="1"/>
  <c r="U1166" i="1"/>
  <c r="I1166" i="1"/>
  <c r="U1165" i="1"/>
  <c r="I1165" i="1"/>
  <c r="I1164" i="1"/>
  <c r="U1163" i="1"/>
  <c r="I1163" i="1"/>
  <c r="I1162" i="1"/>
  <c r="I1161" i="1"/>
  <c r="I1160" i="1"/>
  <c r="I1159" i="1"/>
  <c r="I1158" i="1"/>
  <c r="I1157" i="1"/>
  <c r="I1156" i="1"/>
  <c r="U1155" i="1"/>
  <c r="I1155" i="1"/>
  <c r="I1154" i="1"/>
  <c r="I1153" i="1"/>
  <c r="I1152" i="1"/>
  <c r="I1151" i="1"/>
  <c r="U1150" i="1"/>
  <c r="I1150" i="1"/>
  <c r="I1149" i="1"/>
  <c r="I1148" i="1"/>
  <c r="I1147" i="1"/>
  <c r="I1146" i="1"/>
  <c r="U1145" i="1"/>
  <c r="I1145" i="1"/>
  <c r="U1144" i="1"/>
  <c r="I1144" i="1"/>
  <c r="U1143" i="1"/>
  <c r="I1143" i="1"/>
  <c r="I1142" i="1"/>
  <c r="I1141" i="1"/>
  <c r="I1140" i="1"/>
  <c r="I1139" i="1"/>
  <c r="I1138" i="1"/>
  <c r="I1137" i="1"/>
  <c r="U1136" i="1"/>
  <c r="I1136" i="1"/>
  <c r="I1135" i="1"/>
  <c r="I1134" i="1"/>
  <c r="U1133" i="1"/>
  <c r="I1133" i="1"/>
  <c r="I1132" i="1"/>
  <c r="I1131" i="1"/>
  <c r="I1130" i="1"/>
  <c r="I1129" i="1"/>
  <c r="U1128" i="1"/>
  <c r="I1128" i="1"/>
  <c r="I1127" i="1"/>
  <c r="I1126" i="1"/>
  <c r="I1125" i="1"/>
  <c r="U1124" i="1"/>
  <c r="I1124" i="1"/>
  <c r="U1123" i="1"/>
  <c r="I1123" i="1"/>
  <c r="I1122" i="1"/>
  <c r="I1121" i="1"/>
  <c r="U1120"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U1081" i="1"/>
  <c r="I1081" i="1"/>
  <c r="I1080" i="1"/>
  <c r="I1079" i="1"/>
  <c r="I1078" i="1"/>
  <c r="I1077" i="1"/>
  <c r="I1076" i="1"/>
  <c r="I1075" i="1"/>
  <c r="I1074" i="1"/>
  <c r="U1073"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S1044" i="1"/>
  <c r="I1044" i="1"/>
  <c r="I1043" i="1"/>
  <c r="I1042" i="1"/>
  <c r="I1041" i="1"/>
  <c r="I1040" i="1"/>
  <c r="I1039" i="1"/>
  <c r="I1038" i="1"/>
  <c r="I1037" i="1"/>
  <c r="U1036" i="1"/>
  <c r="I1036" i="1"/>
  <c r="I1035" i="1"/>
  <c r="I1034" i="1"/>
  <c r="I1033" i="1"/>
  <c r="I1032" i="1"/>
  <c r="I1031" i="1"/>
  <c r="I1030" i="1"/>
  <c r="U1029" i="1"/>
  <c r="I1029" i="1"/>
  <c r="I1028" i="1"/>
  <c r="I1027" i="1"/>
  <c r="I1026" i="1"/>
  <c r="I1025" i="1"/>
  <c r="I1024" i="1"/>
  <c r="U1023" i="1"/>
  <c r="I1023" i="1"/>
  <c r="U1022" i="1"/>
  <c r="I1022" i="1"/>
  <c r="I1021" i="1"/>
  <c r="I1020" i="1"/>
  <c r="U1019" i="1"/>
  <c r="I1019" i="1"/>
  <c r="I1018" i="1"/>
  <c r="U1017" i="1"/>
  <c r="I1017" i="1"/>
  <c r="I1016" i="1"/>
  <c r="I1015" i="1"/>
  <c r="U1014"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U989" i="1"/>
  <c r="I989" i="1"/>
  <c r="I988" i="1"/>
  <c r="I987" i="1"/>
  <c r="I986" i="1"/>
  <c r="I985" i="1"/>
  <c r="U984" i="1"/>
  <c r="I984" i="1"/>
  <c r="I983" i="1"/>
  <c r="I982" i="1"/>
  <c r="I981" i="1"/>
  <c r="I980" i="1"/>
  <c r="I979" i="1"/>
  <c r="I978" i="1"/>
  <c r="I977" i="1"/>
  <c r="I976" i="1"/>
  <c r="I975" i="1"/>
  <c r="I974" i="1"/>
  <c r="I973" i="1"/>
  <c r="U972"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S792" i="1"/>
  <c r="I792" i="1"/>
  <c r="I791" i="1"/>
  <c r="I790" i="1"/>
  <c r="U789" i="1"/>
  <c r="I789" i="1"/>
  <c r="I788" i="1"/>
  <c r="I787" i="1"/>
  <c r="I786" i="1"/>
  <c r="I785" i="1"/>
  <c r="S784" i="1"/>
  <c r="I784" i="1"/>
  <c r="S783" i="1"/>
  <c r="I783" i="1"/>
  <c r="I782" i="1"/>
  <c r="I781" i="1"/>
  <c r="I780" i="1"/>
  <c r="I779" i="1"/>
  <c r="I778" i="1"/>
  <c r="U777" i="1"/>
  <c r="I777" i="1"/>
  <c r="U776" i="1"/>
  <c r="I776" i="1"/>
  <c r="I775" i="1"/>
  <c r="U774" i="1"/>
  <c r="I774" i="1"/>
  <c r="I773" i="1"/>
  <c r="I772" i="1"/>
  <c r="U771" i="1"/>
  <c r="I771" i="1"/>
  <c r="I770" i="1"/>
  <c r="I769" i="1"/>
  <c r="I768" i="1"/>
  <c r="I767" i="1"/>
  <c r="I766" i="1"/>
  <c r="I765" i="1"/>
  <c r="I764" i="1"/>
  <c r="I763" i="1"/>
  <c r="I762" i="1"/>
  <c r="I761" i="1"/>
  <c r="U760" i="1"/>
  <c r="I760" i="1"/>
  <c r="U759" i="1"/>
  <c r="I759" i="1"/>
  <c r="I758" i="1"/>
  <c r="U757" i="1"/>
  <c r="I757" i="1"/>
  <c r="I756" i="1"/>
  <c r="I755" i="1"/>
  <c r="I754" i="1"/>
  <c r="I753" i="1"/>
  <c r="U752" i="1"/>
  <c r="I752" i="1"/>
  <c r="I751" i="1"/>
  <c r="I750" i="1"/>
  <c r="I749" i="1"/>
  <c r="I748" i="1"/>
  <c r="I747" i="1"/>
  <c r="I746" i="1"/>
  <c r="I745" i="1"/>
  <c r="I744" i="1"/>
  <c r="I743" i="1"/>
  <c r="I742" i="1"/>
  <c r="I741" i="1"/>
  <c r="I740" i="1"/>
  <c r="I739" i="1"/>
  <c r="U738" i="1"/>
  <c r="I738" i="1"/>
  <c r="I737" i="1"/>
  <c r="I736" i="1"/>
  <c r="I735" i="1"/>
  <c r="I734" i="1"/>
  <c r="I733" i="1"/>
  <c r="I732" i="1"/>
  <c r="I731" i="1"/>
  <c r="I730" i="1"/>
  <c r="I729" i="1"/>
  <c r="I728" i="1"/>
  <c r="U727" i="1"/>
  <c r="I727" i="1"/>
  <c r="U726" i="1"/>
  <c r="I726" i="1"/>
  <c r="I725" i="1"/>
  <c r="I724" i="1"/>
  <c r="I723" i="1"/>
  <c r="I722" i="1"/>
  <c r="I721" i="1"/>
  <c r="I720" i="1"/>
  <c r="I719" i="1"/>
  <c r="I718" i="1"/>
  <c r="U717" i="1"/>
  <c r="I717" i="1"/>
  <c r="I716" i="1"/>
  <c r="I715" i="1"/>
  <c r="I714" i="1"/>
  <c r="I713" i="1"/>
  <c r="I712" i="1"/>
  <c r="I711" i="1"/>
  <c r="U710" i="1"/>
  <c r="I710" i="1"/>
  <c r="I709" i="1"/>
  <c r="U708" i="1"/>
  <c r="I708" i="1"/>
  <c r="I707" i="1"/>
  <c r="I706" i="1"/>
  <c r="I705" i="1"/>
  <c r="I704" i="1"/>
  <c r="I703" i="1"/>
  <c r="I702" i="1"/>
  <c r="I701" i="1"/>
  <c r="I700" i="1"/>
  <c r="I699" i="1"/>
  <c r="U698" i="1"/>
  <c r="I698" i="1"/>
  <c r="U697" i="1"/>
  <c r="I697" i="1"/>
  <c r="U696" i="1"/>
  <c r="I696" i="1"/>
  <c r="U695" i="1"/>
  <c r="I695" i="1"/>
  <c r="U694" i="1"/>
  <c r="I694" i="1"/>
  <c r="U693" i="1"/>
  <c r="I693" i="1"/>
  <c r="U692" i="1"/>
  <c r="I692" i="1"/>
  <c r="I691" i="1"/>
  <c r="I690" i="1"/>
  <c r="I689" i="1"/>
  <c r="I688" i="1"/>
  <c r="I687" i="1"/>
  <c r="I686" i="1"/>
  <c r="I685" i="1"/>
  <c r="U684" i="1"/>
  <c r="I684" i="1"/>
  <c r="I683" i="1"/>
  <c r="I682" i="1"/>
  <c r="I681" i="1"/>
  <c r="I680" i="1"/>
  <c r="I679" i="1"/>
  <c r="I678" i="1"/>
  <c r="I677" i="1"/>
  <c r="I676" i="1"/>
  <c r="I675" i="1"/>
  <c r="I674" i="1"/>
  <c r="I673" i="1"/>
  <c r="I672" i="1"/>
  <c r="I671" i="1"/>
  <c r="I670" i="1"/>
  <c r="I669" i="1"/>
  <c r="I668" i="1"/>
  <c r="I667" i="1"/>
  <c r="I666" i="1"/>
  <c r="I665" i="1"/>
  <c r="I664" i="1"/>
  <c r="I663" i="1"/>
  <c r="U662" i="1"/>
  <c r="I662" i="1"/>
  <c r="U661" i="1"/>
  <c r="I661" i="1"/>
  <c r="U660" i="1"/>
  <c r="I660" i="1"/>
  <c r="I659" i="1"/>
  <c r="I658" i="1"/>
  <c r="I657" i="1"/>
  <c r="U656"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U615" i="1"/>
  <c r="I615" i="1"/>
  <c r="I614" i="1"/>
  <c r="I613" i="1"/>
  <c r="I612" i="1"/>
  <c r="I611" i="1"/>
  <c r="U610"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U468" i="1"/>
  <c r="I468" i="1"/>
  <c r="I467" i="1"/>
  <c r="I466" i="1"/>
  <c r="I465" i="1"/>
  <c r="I464" i="1"/>
  <c r="I463" i="1"/>
  <c r="I462" i="1"/>
  <c r="I461" i="1"/>
  <c r="I460" i="1"/>
  <c r="I459" i="1"/>
  <c r="I458" i="1"/>
  <c r="I457" i="1"/>
  <c r="I456" i="1"/>
  <c r="U455" i="1"/>
  <c r="I455" i="1"/>
  <c r="I454" i="1"/>
  <c r="I453" i="1"/>
  <c r="I452" i="1"/>
  <c r="I451" i="1"/>
  <c r="I450" i="1"/>
  <c r="I449" i="1"/>
  <c r="I448" i="1"/>
  <c r="I447" i="1"/>
  <c r="U446" i="1"/>
  <c r="I446" i="1"/>
  <c r="I445" i="1"/>
  <c r="I444" i="1"/>
  <c r="I443" i="1"/>
  <c r="I442" i="1"/>
  <c r="U441"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S382" i="1"/>
  <c r="I382" i="1"/>
  <c r="S381"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U263" i="1"/>
  <c r="I263" i="1"/>
  <c r="I262" i="1"/>
  <c r="I261" i="1"/>
  <c r="I260" i="1"/>
  <c r="I259" i="1"/>
  <c r="I258" i="1"/>
  <c r="I257" i="1"/>
  <c r="I256" i="1"/>
  <c r="I255" i="1"/>
  <c r="I254" i="1"/>
  <c r="I253" i="1"/>
  <c r="I252" i="1"/>
  <c r="I251" i="1"/>
  <c r="I250" i="1"/>
  <c r="I249" i="1"/>
  <c r="I248" i="1"/>
  <c r="I247" i="1"/>
  <c r="U246"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U218" i="1"/>
  <c r="S218"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U184"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U158" i="1"/>
  <c r="I158" i="1"/>
  <c r="I157" i="1"/>
  <c r="I156" i="1"/>
  <c r="U155" i="1"/>
  <c r="I155" i="1"/>
  <c r="I154" i="1"/>
  <c r="I153" i="1"/>
  <c r="I152" i="1"/>
  <c r="I151" i="1"/>
  <c r="I150" i="1"/>
  <c r="I149" i="1"/>
  <c r="I148" i="1"/>
  <c r="I147" i="1"/>
  <c r="I146" i="1"/>
  <c r="I145" i="1"/>
  <c r="U144"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U67"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U22" i="1"/>
  <c r="I22" i="1"/>
  <c r="I21" i="1"/>
  <c r="I20" i="1"/>
  <c r="I19" i="1"/>
  <c r="I18" i="1"/>
  <c r="I17" i="1"/>
  <c r="I16" i="1"/>
  <c r="I15" i="1"/>
  <c r="I14" i="1"/>
  <c r="I13" i="1"/>
  <c r="I12" i="1"/>
  <c r="I11" i="1"/>
  <c r="I10" i="1"/>
  <c r="I9" i="1"/>
  <c r="I8" i="1"/>
  <c r="I7" i="1"/>
  <c r="I6" i="1"/>
  <c r="I5" i="1"/>
  <c r="I4" i="1"/>
  <c r="I3" i="1"/>
  <c r="I2" i="1"/>
  <c r="A1" i="1"/>
  <c r="B1" i="1" l="1"/>
</calcChain>
</file>

<file path=xl/sharedStrings.xml><?xml version="1.0" encoding="utf-8"?>
<sst xmlns="http://schemas.openxmlformats.org/spreadsheetml/2006/main" count="146965" uniqueCount="21801">
  <si>
    <t>Up quá trình từ</t>
  </si>
  <si>
    <t>Khoá học đăng kí</t>
  </si>
  <si>
    <t>Nguồn lớp up</t>
  </si>
  <si>
    <t>Mã lớp</t>
  </si>
  <si>
    <t>Tên lớp</t>
  </si>
  <si>
    <t>Ngày khai giảng</t>
  </si>
  <si>
    <t>Link FB</t>
  </si>
  <si>
    <t xml:space="preserve">Họ và tên </t>
  </si>
  <si>
    <t>Sđt</t>
  </si>
  <si>
    <t>Team kinh doanh</t>
  </si>
  <si>
    <t>Thành viên sale</t>
  </si>
  <si>
    <t>Email</t>
  </si>
  <si>
    <t>ĐỊA CHỈ NHẬN SÁCH</t>
  </si>
  <si>
    <t>Giá khoá học</t>
  </si>
  <si>
    <t xml:space="preserve"> DK chung</t>
  </si>
  <si>
    <t>Học phí đã nộp đợt 1</t>
  </si>
  <si>
    <t>Ngày CK đợt 1</t>
  </si>
  <si>
    <t>Học phí đã nộp đợt 2</t>
  </si>
  <si>
    <t>Ngày CK đợt 2</t>
  </si>
  <si>
    <t>Bill</t>
  </si>
  <si>
    <t>Giảm trừ</t>
  </si>
  <si>
    <t>Công nợ</t>
  </si>
  <si>
    <t>XN Kế toán</t>
  </si>
  <si>
    <t>XÁC NHẬN TRẢ LƯƠNG</t>
  </si>
  <si>
    <t>SIZE ÁO</t>
  </si>
  <si>
    <t>ĐĂNG KÝ NHẬN SÁCH</t>
  </si>
  <si>
    <t>HÌNH THỨC HỌC</t>
  </si>
  <si>
    <t>ĐIỂM TOEIC ĐẦU VÀO</t>
  </si>
  <si>
    <t>Ngày gửi sách</t>
  </si>
  <si>
    <t>Ghi chú vận đơn</t>
  </si>
  <si>
    <t>Check đã học tại Lapo</t>
  </si>
  <si>
    <t>Số đơn sau tách</t>
  </si>
  <si>
    <t>Trưởng phòng đào tạo</t>
  </si>
  <si>
    <t xml:space="preserve">địa chỉ Hà Nội </t>
  </si>
  <si>
    <t>SALE</t>
  </si>
  <si>
    <t>1</t>
  </si>
  <si>
    <t>Không</t>
  </si>
  <si>
    <t>DONE</t>
  </si>
  <si>
    <t>Mới</t>
  </si>
  <si>
    <t>Combo Pre_Toeic + Toeic Lv1</t>
  </si>
  <si>
    <t xml:space="preserve">Không </t>
  </si>
  <si>
    <t>PT</t>
  </si>
  <si>
    <t>PT20</t>
  </si>
  <si>
    <t>https://www.facebook.com/vu.nguyenhuu.148553?mibextid=LQQJ4d</t>
  </si>
  <si>
    <t>Nguyễn Hữu Vũ</t>
  </si>
  <si>
    <t>Team Đạt</t>
  </si>
  <si>
    <t xml:space="preserve">Thư </t>
  </si>
  <si>
    <t>nguyenhuuvu656@gmail.com</t>
  </si>
  <si>
    <t>Trạm bơm xã Thanh Cao- Thanh Oai- Hà Nội</t>
  </si>
  <si>
    <t>https://drive.google.com/open?id=1QX6JFvRiEhSZq-KDLqxaoFD_ivxur9d0; https://drive.google.com/open?id=1nX0ti3PsmnS4nvNJPMK3CGLonwLiHe3W</t>
  </si>
  <si>
    <t>R</t>
  </si>
  <si>
    <t>Trả lương T07.2023</t>
  </si>
  <si>
    <t>Bút Chì</t>
  </si>
  <si>
    <t>Có nhận</t>
  </si>
  <si>
    <t>ONLINE</t>
  </si>
  <si>
    <t>1,5</t>
  </si>
  <si>
    <t>Combo Pre_Toeic + Toeic Lv(1+2)</t>
  </si>
  <si>
    <t>https://www.facebook.com/trananhvukm22.vn</t>
  </si>
  <si>
    <t xml:space="preserve">Nguyễn Tuấn Anh </t>
  </si>
  <si>
    <t>Dương Meca</t>
  </si>
  <si>
    <t xml:space="preserve">Linh </t>
  </si>
  <si>
    <t>Không có</t>
  </si>
  <si>
    <t>11/45/218 Lĩnh Nam, Hoàng Mai, Hà Nội</t>
  </si>
  <si>
    <t>Áo L (51kg - 60kg)</t>
  </si>
  <si>
    <t>2,5</t>
  </si>
  <si>
    <t>PT19</t>
  </si>
  <si>
    <t>https://www.facebook.com/huyen.thuong.1605?mibextid=LQQJ4d</t>
  </si>
  <si>
    <t>Lê Thị Thúy Thương</t>
  </si>
  <si>
    <t>Dương</t>
  </si>
  <si>
    <t>51 ngõ 151 lê văn hiến, phường đức thắng, bắc từ liêm, hà nội</t>
  </si>
  <si>
    <t>Nhóm 2</t>
  </si>
  <si>
    <t>https://drive.google.com/open?id=12mCgm2zPcPvHg6t0n0ISYq6Z4H0s1soW</t>
  </si>
  <si>
    <t>Mất gốc</t>
  </si>
  <si>
    <t>https://www.facebook.com/profile.php?id=100050109202301</t>
  </si>
  <si>
    <t xml:space="preserve">Lê Thị Nguyệt </t>
  </si>
  <si>
    <t>https://drive.google.com/open?id=1cLIt6b4W2OzpsthlPmQvrrLFvUDc0uMN</t>
  </si>
  <si>
    <t>mất gốc</t>
  </si>
  <si>
    <t>Pre_Toeic</t>
  </si>
  <si>
    <t>https://www.facebook.com/profile.php?id=100093125886317&amp;mibextid=LQQJ4d</t>
  </si>
  <si>
    <t xml:space="preserve">Pham Xuan Tuan </t>
  </si>
  <si>
    <t>Ngô Đức Meca</t>
  </si>
  <si>
    <t>Diệp</t>
  </si>
  <si>
    <t>Địa chỉ nhận : Thôn Chỉ Choè , xã Đồng Lạc , Huyện Yên Thế , tỉnh Bắc Giang</t>
  </si>
  <si>
    <t>https://drive.google.com/open?id=10lS-lw9IK1UVQN_Kz35_yZ_9YYqjv8Iq</t>
  </si>
  <si>
    <t>0,5</t>
  </si>
  <si>
    <t>https://www.facebook.com/yeongmoon97?mibextid=LQQJ4d</t>
  </si>
  <si>
    <t>Nguyễn Ánh Nguyệt</t>
  </si>
  <si>
    <t>Đức</t>
  </si>
  <si>
    <t>Khu 12, xã Trưng Vương, Tp. Việt Trì, tỉnh Phú Thọ</t>
  </si>
  <si>
    <t>https://drive.google.com/open?id=1U7Q1xbvxlzl2_RbZU_Win05Z7qvbhu52</t>
  </si>
  <si>
    <t>Chờ feedback</t>
  </si>
  <si>
    <t>không</t>
  </si>
  <si>
    <t>https://www.facebook.com/ten.latu.9</t>
  </si>
  <si>
    <t>Trần Anh Tú</t>
  </si>
  <si>
    <t>Bắc Từ Liêm</t>
  </si>
  <si>
    <t>Nguyễn Thanh Huyền</t>
  </si>
  <si>
    <t>số nhà 3 136/129/8 đường Cầu Diễn, quận Bắc Từ Liêm, thành phố Hà Nội</t>
  </si>
  <si>
    <t>https://drive.google.com/open?id=1E_QLgH-NGlShX4r7jOI7Yxue2jVG5A3o</t>
  </si>
  <si>
    <t>mất gốc - không test</t>
  </si>
  <si>
    <t>https://www.facebook.com/profile.php?id=100079283899133</t>
  </si>
  <si>
    <t xml:space="preserve">Trần Thị Giang  </t>
  </si>
  <si>
    <t>gtran2617@gmail.com</t>
  </si>
  <si>
    <t>xóm Đông Lĩnh- Xã Khánh Vĩnh Yên- Can Lộc- Hà Tĩnh</t>
  </si>
  <si>
    <t>https://drive.google.com/open?id=1qWTHfQujNH4WIupoLoDovjMff6rOoLZG</t>
  </si>
  <si>
    <t>Bút chì</t>
  </si>
  <si>
    <t>Up Level</t>
  </si>
  <si>
    <t>Toeic Lv1</t>
  </si>
  <si>
    <t>PT15</t>
  </si>
  <si>
    <t>T</t>
  </si>
  <si>
    <t>T144</t>
  </si>
  <si>
    <t>https://www.facebook.com/profile.php?id=100045682095109</t>
  </si>
  <si>
    <t>Hoàng Sơn</t>
  </si>
  <si>
    <t>Team Toeic</t>
  </si>
  <si>
    <t>Khuất Huy</t>
  </si>
  <si>
    <t>Toà nhà Đa Liên, BIDV Phùng Xá, Thạch Thất, Hà Nội</t>
  </si>
  <si>
    <t>https://drive.google.com/open?id=1WhTmY6zMrC57aXEMz85iaLVahfIoJeBX</t>
  </si>
  <si>
    <t>Mũ BH</t>
  </si>
  <si>
    <t>80/100</t>
  </si>
  <si>
    <t>Đã tính lương</t>
  </si>
  <si>
    <t>Combo Toeic Lv(1+2) + Toeic (S + W) + tặng 2 khóa Ôn thi</t>
  </si>
  <si>
    <t>T147</t>
  </si>
  <si>
    <t>https://www.facebook.com/mythi.phuongthao.1</t>
  </si>
  <si>
    <t>Mỵ Thị Phương Thảo</t>
  </si>
  <si>
    <t>Hải Yến Meca</t>
  </si>
  <si>
    <t>Nguyễn Hải Yến</t>
  </si>
  <si>
    <t>chưa có</t>
  </si>
  <si>
    <t xml:space="preserve">Số nhà 06, ngách 40, ngõ 165 Dương Quảng Hàm , Cầu Giấy </t>
  </si>
  <si>
    <t>https://drive.google.com/open?id=1vFhz4UvkJREfxXukhfXhqI9qkxojxAAB, https://drive.google.com/open?id=1nCdduf3-u98HDUVtYyAMLk6FsGZJxhjr</t>
  </si>
  <si>
    <t>Áo M (44kg - 54kg)</t>
  </si>
  <si>
    <t>PT40</t>
  </si>
  <si>
    <t>T176</t>
  </si>
  <si>
    <t>https://www.facebook.com/profile.php?id=100009177409621&amp;mibextid=ZbWKwL</t>
  </si>
  <si>
    <t xml:space="preserve">Phạm Viết Hải </t>
  </si>
  <si>
    <t>Nguyễn Văn Tùng</t>
  </si>
  <si>
    <t>Chưa có</t>
  </si>
  <si>
    <t xml:space="preserve"> Tòa CT12C Kim Văn Kim Lũ Đại Kim Hoàng Mai Hà Nội</t>
  </si>
  <si>
    <t>https://drive.google.com/open?id=1h0X6LaR-oNRgZ5mBTYO6Y_ZZpUBZQtrY</t>
  </si>
  <si>
    <t>Áo L (55kg - 63kg)</t>
  </si>
  <si>
    <t>OFFLINE</t>
  </si>
  <si>
    <t>Combo Pre_Toeic + Toeic Lv(1+2) + Toeic (S + W) + tặng 02 khóa ôn thi</t>
  </si>
  <si>
    <t>https://www.facebook.com/profile.php?id=100042605533324&amp;mibextid=LQQJ4d</t>
  </si>
  <si>
    <r>
      <rPr>
        <sz val="12"/>
        <color theme="1"/>
        <rFont val="Times New Roman"/>
        <family val="1"/>
      </rPr>
      <t xml:space="preserve">Đào Minh Châu </t>
    </r>
    <r>
      <rPr>
        <sz val="12"/>
        <color rgb="FFFF0000"/>
        <rFont val="Times New Roman"/>
        <family val="1"/>
      </rPr>
      <t>(Cần hợp đồng)</t>
    </r>
  </si>
  <si>
    <t>Thu Phương</t>
  </si>
  <si>
    <t xml:space="preserve">Chưa có </t>
  </si>
  <si>
    <t>Số nhà 53 tổ 1 khu 1, Đường Đoàn Nguyên Thục, TT Quỳnh Côi, Thái Bình</t>
  </si>
  <si>
    <t>https://drive.google.com/open?id=1H-poBqY8F4UpzyQ7Z6F5uxyWaGG-6iBD</t>
  </si>
  <si>
    <t>Áo S (35kg - 43kg)</t>
  </si>
  <si>
    <t>4,5</t>
  </si>
  <si>
    <t>Combo Toeic Lv1+2</t>
  </si>
  <si>
    <t>https://www.facebook.com/messages/t/100032258626972/</t>
  </si>
  <si>
    <t xml:space="preserve">Thái Nhật Minh Khôi </t>
  </si>
  <si>
    <t>Nguyễn Quang Huy</t>
  </si>
  <si>
    <t>72 đường 17, Tân Thuận Tây, Quận 7, Hồ Chí Minh</t>
  </si>
  <si>
    <t>https://drive.google.com/open?id=1RX9tgq_IqLLPINkYWFUeGL5geQbYqXvM; https://drive.google.com/open?id=1pBNfCJUxOFxIXZkwKIBbMzvaqjmSV7oy</t>
  </si>
  <si>
    <t>Áo XL (64kg - 75kg)</t>
  </si>
  <si>
    <t>https://www.facebook.com/profile.php?id=100028728332274&amp;mibextid=LQQJ4d</t>
  </si>
  <si>
    <r>
      <rPr>
        <sz val="12"/>
        <color theme="1"/>
        <rFont val="Times New Roman"/>
        <family val="1"/>
      </rPr>
      <t xml:space="preserve">Nguyễn Bích Ngọc </t>
    </r>
    <r>
      <rPr>
        <sz val="12"/>
        <color rgb="FFFF0000"/>
        <rFont val="Times New Roman"/>
        <family val="1"/>
      </rPr>
      <t>(Cần hợp đồng)</t>
    </r>
  </si>
  <si>
    <t xml:space="preserve"> Chi Hồ- Tân Chi- Tiên Du- Bắc Ninh</t>
  </si>
  <si>
    <t>https://drive.google.com/open?id=1FP3KtqU0HfXW1enuUWR9MZBxC772BxOQ; https://drive.google.com/open?id=1SsZI4A_CDzgYAHvhTiJmzDGAp0XJtVY_</t>
  </si>
  <si>
    <t>https://www.facebook.com/profile.php?id=100031588725737&amp;mibextid=LQQJ4d</t>
  </si>
  <si>
    <r>
      <t xml:space="preserve">Đỗ Phương Hoa </t>
    </r>
    <r>
      <rPr>
        <sz val="12"/>
        <color rgb="FFFF0000"/>
        <rFont val="Times New Roman"/>
        <family val="1"/>
      </rPr>
      <t>(Cần hợp đồng)</t>
    </r>
  </si>
  <si>
    <t>Tiểu khu 1 - Thị trấn Mai Châu - Hòa Bình</t>
  </si>
  <si>
    <t>https://drive.google.com/open?id=1TTwKTxkejOmVJBH2XhDjc60L6dKeEl2y</t>
  </si>
  <si>
    <t>https://www.facebook.com/profile.php?id=100008929629915&amp;mibextid=LQQJ4d</t>
  </si>
  <si>
    <t xml:space="preserve">Trần Minh An </t>
  </si>
  <si>
    <t>7A Nghách 29/17, Ngõ 213 Giáp Nhất, Thanh Xuân, Hà Nội</t>
  </si>
  <si>
    <t>https://drive.google.com/open?id=1iz9PTP6eUILy-v2uX-pWRcb4faX0IN2i</t>
  </si>
  <si>
    <t>https://www.facebook.com/Huynieeee/</t>
  </si>
  <si>
    <t>Hoàng Gia Huy</t>
  </si>
  <si>
    <t>haihuy1009@gmail.com</t>
  </si>
  <si>
    <t>Thôn 8 - Long Hà - Phú Riềng - Bình Phước</t>
  </si>
  <si>
    <t>https://drive.google.com/open?id=1mjk56UL3GXKYG4mpw5ykx5VqVZD6z3S5</t>
  </si>
  <si>
    <t>T145</t>
  </si>
  <si>
    <t>https://www.facebook.com/profile.php?id=100046490734211</t>
  </si>
  <si>
    <r>
      <rPr>
        <sz val="12"/>
        <color theme="1"/>
        <rFont val="Times New Roman"/>
        <family val="1"/>
      </rPr>
      <t xml:space="preserve"> Đinh Minh Tâm</t>
    </r>
    <r>
      <rPr>
        <sz val="12"/>
        <color rgb="FFFF0000"/>
        <rFont val="Times New Roman"/>
        <family val="1"/>
      </rPr>
      <t xml:space="preserve"> (Cần hợp đồng)</t>
    </r>
  </si>
  <si>
    <t>minhtam07082005@gmail.com</t>
  </si>
  <si>
    <t>Bệnh viện Hữu Nghị, số 1 Trần Khánh Dư, Bạch Đằng, Hai Bà Trưng, Hà Nội</t>
  </si>
  <si>
    <t>https://drive.google.com/open?id=1iL0d0wD4MeowIt_imyiF1DeQ-6f4XNhq</t>
  </si>
  <si>
    <t>PT21</t>
  </si>
  <si>
    <t>https://www.facebook.com/phuongthao.mqnc?mibextid=LQQJ4d</t>
  </si>
  <si>
    <r>
      <rPr>
        <sz val="12"/>
        <color theme="1"/>
        <rFont val="Times New Roman"/>
        <family val="1"/>
      </rPr>
      <t xml:space="preserve">Nguyễn Phương Thảo </t>
    </r>
    <r>
      <rPr>
        <sz val="12"/>
        <color rgb="FFFF0000"/>
        <rFont val="Times New Roman"/>
        <family val="1"/>
      </rPr>
      <t>(Cần hợp đồng)</t>
    </r>
  </si>
  <si>
    <t>ngphuongthao515@gmail.com</t>
  </si>
  <si>
    <t>Chân Lạc, Dũng Liệt, Yên Phong, Bắc Ninh</t>
  </si>
  <si>
    <t>https://drive.google.com/open?id=16ztAXKMq7dMdf2txpnyXMgFGF3BGrNi0; https://drive.google.com/open?id=1VG2YeeDA8G2JCKVC_mRk2NvgjnCj0iBP</t>
  </si>
  <si>
    <t>https://www.facebook.com/profile.php?id=100032250003399&amp;mibextid=LQQJ4d</t>
  </si>
  <si>
    <t>Văn Minh Cúc</t>
  </si>
  <si>
    <t>Hà</t>
  </si>
  <si>
    <t>minhcuc6a@gmail.com</t>
  </si>
  <si>
    <t>Tổ dân phố 7, Kim Long, Tam Dương, Vĩnh Phúc</t>
  </si>
  <si>
    <t>12/07/2023; 20/07/2023</t>
  </si>
  <si>
    <t>https://drive.google.com/open?id=1sNRF_i80O_voPjdNmiJOewQuXZRCQnUD; https://drive.google.com/open?id=1tnOAqMgcKj0yJ0knckZ-WJNgdpk2zwLD; https://drive.google.com/open?id=1ag4rVsJ9QWgt0xZF4LmRtNcAujxG_tlO</t>
  </si>
  <si>
    <t>https://www.facebook.com/ana.nguyen.94651?mibextid=LQQJ4d</t>
  </si>
  <si>
    <t>Nguyễn Nga</t>
  </si>
  <si>
    <t>Cao Thị Nga</t>
  </si>
  <si>
    <t>ngabi201120@gmail.com</t>
  </si>
  <si>
    <t>Xóm 2, xã Diễn Yên, huyện Diễn Châu, tỉnh Nghệ An</t>
  </si>
  <si>
    <t>https://drive.google.com/open?id=1GanS81pDbvnKlxhNAGMyfTYh0V8Zno3g</t>
  </si>
  <si>
    <t>T153 đã xếp lớp</t>
  </si>
  <si>
    <t>https://www.facebook.com/myhuyen041203</t>
  </si>
  <si>
    <r>
      <rPr>
        <sz val="12"/>
        <color theme="1"/>
        <rFont val="Times New Roman"/>
        <family val="1"/>
      </rPr>
      <t xml:space="preserve">Khổng Thị Mỹ Huyền </t>
    </r>
    <r>
      <rPr>
        <sz val="12"/>
        <color rgb="FFFF0000"/>
        <rFont val="Times New Roman"/>
        <family val="1"/>
      </rPr>
      <t>(Đã gửi sách T121 ngày 14/01/2023) Có gửi lại sách</t>
    </r>
  </si>
  <si>
    <t>Hà Thu Hiền</t>
  </si>
  <si>
    <t>Nhà 7, Nguyên Đơn 3, Xuân Hòa, Phúc Yên, Vĩnh Phúc</t>
  </si>
  <si>
    <t>https://drive.google.com/open?id=1BxIKJDXkjZtB_hh-eZc77IirlkYrYGv9</t>
  </si>
  <si>
    <t>đã học PT</t>
  </si>
  <si>
    <t>Đã gửi sách T121 ngày 14/01/2023</t>
  </si>
  <si>
    <t>https://www.facebook.com/profile.php?id=100048679016694</t>
  </si>
  <si>
    <t>Phạm Thị Như Quỳnh</t>
  </si>
  <si>
    <t>Thu Hà</t>
  </si>
  <si>
    <t xml:space="preserve"> Cổng Đá, Xóm 2 Nam Cường, xã Khánh Cường, huyện Yên Khánh, tỉnh Ninh Bình</t>
  </si>
  <si>
    <t>https://drive.google.com/open?id=1_p--ubdbCLqKHo7gfxrs9LToj7YGf7Uk</t>
  </si>
  <si>
    <t>https://www.facebook.com/ngoc.nguyenanh.9843499?mibextid=LQQJ4d</t>
  </si>
  <si>
    <t>Nguyễn Ánh Ngọc</t>
  </si>
  <si>
    <t>Thôn Đại Phu, Liệp Tuyết, Quốc Oai, TP Hà Nội</t>
  </si>
  <si>
    <t>https://drive.google.com/open?id=1W4Iy46SILVt58N0zezI4Igj4E-V5BiBZ</t>
  </si>
  <si>
    <t>https://www.facebook.com/profile.php?id=100015460773834&amp;mibextid=LQQJ4d</t>
  </si>
  <si>
    <t>Trần Thị Mỹ Linh</t>
  </si>
  <si>
    <t>mylinhtran05072003@gmail.com</t>
  </si>
  <si>
    <t>Xóm 2, Diễn Yên, Diễn Châu, Nghệ An</t>
  </si>
  <si>
    <t>https://drive.google.com/open?id=1UARBS6CIh14vB-xdpLCXAceiBCelOAMo</t>
  </si>
  <si>
    <t>Toeic Lv2</t>
  </si>
  <si>
    <t>T133</t>
  </si>
  <si>
    <t>V</t>
  </si>
  <si>
    <t>VIP58</t>
  </si>
  <si>
    <t>https://www.facebook.com/hungbeo88</t>
  </si>
  <si>
    <t>Phan Văn Hùng</t>
  </si>
  <si>
    <t>Tòa A6 chung cư An Bình City, Phạm Văn Đồng, Bắc Từ Liêm, Hà Nội.</t>
  </si>
  <si>
    <t>https://drive.google.com/open?id=11P4gJl1MLeaMbozup3D2k_LWEj-yQmXs</t>
  </si>
  <si>
    <t>https://www.facebook.com/profile.php?id=100028923246560&amp;mibextid=LQQJ4d</t>
  </si>
  <si>
    <r>
      <rPr>
        <sz val="12"/>
        <color theme="1"/>
        <rFont val="Times New Roman"/>
        <family val="1"/>
      </rPr>
      <t xml:space="preserve"> Vũ Đức Khởi </t>
    </r>
    <r>
      <rPr>
        <sz val="12"/>
        <color rgb="FFFF0000"/>
        <rFont val="Times New Roman"/>
        <family val="1"/>
      </rPr>
      <t>(Cần hợp đồng)</t>
    </r>
  </si>
  <si>
    <t xml:space="preserve">Đường NE5 DJ9, Mỹ Phước 3, Bến Cát, Bình Dương </t>
  </si>
  <si>
    <t>https://drive.google.com/open?id=1h0E0dRCajrL-6rDCH-rv4C7dy86R5Z7Z, https://drive.google.com/open?id=1wQJqUzOP8_Wt9iVs3SZzOikH3p0qgBoO</t>
  </si>
  <si>
    <t>https://www.facebook.com/tt2511?mibextid=LQQJ4d</t>
  </si>
  <si>
    <r>
      <rPr>
        <sz val="12"/>
        <color theme="1"/>
        <rFont val="Times New Roman"/>
        <family val="1"/>
      </rPr>
      <t>Đỗ Nguyệt Thanh Thư</t>
    </r>
    <r>
      <rPr>
        <sz val="12"/>
        <color rgb="FFFF0000"/>
        <rFont val="Times New Roman"/>
        <family val="1"/>
      </rPr>
      <t xml:space="preserve"> (Cần hợp đồng)</t>
    </r>
  </si>
  <si>
    <t>Khu mới, thôn Nhơn Thuận, xã Tây Vinh, huyện Tây Sơn, tỉnh Bình Định</t>
  </si>
  <si>
    <t>https://drive.google.com/open?id=1IlwDh1AQLg0uC6ItnnVGoSPMpaXF9n2w</t>
  </si>
  <si>
    <t>https://www.facebook.com/profile.php?id=100062389046823&amp;mibextid=LQQJ4d</t>
  </si>
  <si>
    <t>Phạm Thị Ánh Sao</t>
  </si>
  <si>
    <t xml:space="preserve">anhsaopham747@gmail.com </t>
  </si>
  <si>
    <t>Nhà 29b ngách 20/15 Hồ Tùng Mậu, Mai Dịch, Cầu Giấy, Hà Nội</t>
  </si>
  <si>
    <t>https://drive.google.com/open?id=1iWwVsNKF3OpCd96pTBMd5aZH1QN2Aiwf</t>
  </si>
  <si>
    <t>Mất Gốc</t>
  </si>
  <si>
    <t>https://www.facebook.com/profile.php?id=100014919613043&amp;mibextid=ZbWKwL</t>
  </si>
  <si>
    <t>Đỗ Thanh Tùng</t>
  </si>
  <si>
    <t xml:space="preserve">dotungnl@gmail.com </t>
  </si>
  <si>
    <t>Nhà 18 ngách 14 ngõ 20 đường Hồ Tùng Mậu, Mai Dịch, Cầu Giấy, Hà Nội</t>
  </si>
  <si>
    <t>https://drive.google.com/open?id=1xCn1s18VNJ1W5yVrPUHRhYHoD4NQgKsW</t>
  </si>
  <si>
    <t>https://www.facebook.com/kido.hoangviet?mibextid=LQQJ4d</t>
  </si>
  <si>
    <t>Nguyễn Hoàng Việt</t>
  </si>
  <si>
    <t xml:space="preserve">nguyenhoangv634@gmail.com 5. </t>
  </si>
  <si>
    <t>Nhà 18 ngách 14 ngõ 20 đường Hồ Tùng Mậu, Mai Dịch, Cầu Giấy , Hà Nội.</t>
  </si>
  <si>
    <t>https://drive.google.com/open?id=1-lq2EinvZpeevMyYH0o9MNtU62iqtAto</t>
  </si>
  <si>
    <t>https://www.facebook.com/nnnn.qu.eanh?mibextid=LQQJ4d</t>
  </si>
  <si>
    <r>
      <rPr>
        <sz val="12"/>
        <color theme="1"/>
        <rFont val="Times New Roman"/>
        <family val="1"/>
      </rPr>
      <t xml:space="preserve"> Nguyễn Quế Anh </t>
    </r>
    <r>
      <rPr>
        <sz val="12"/>
        <color rgb="FFFF0000"/>
        <rFont val="Times New Roman"/>
        <family val="1"/>
      </rPr>
      <t>(Cần hợp đồng)</t>
    </r>
  </si>
  <si>
    <t>Lan</t>
  </si>
  <si>
    <t xml:space="preserve"> queanhn275@gmail.com</t>
  </si>
  <si>
    <t xml:space="preserve"> Nhân Cầu 2, thị trấn Hưng Hà, tỉnh Thái Bình</t>
  </si>
  <si>
    <t>https://drive.google.com/open?id=1XAalPaPzxnxzB1SM6N1qbwbJoehpQDIY; https://drive.google.com/open?id=1IM-3wR5BGuWeXAIn1EMxbRWP-HmfEu7Q</t>
  </si>
  <si>
    <t>PT22</t>
  </si>
  <si>
    <t>https://www.facebook.com/tranleanhthu246</t>
  </si>
  <si>
    <r>
      <rPr>
        <sz val="12"/>
        <color theme="1"/>
        <rFont val="Times New Roman"/>
        <family val="1"/>
      </rPr>
      <t xml:space="preserve">Trần Lê Anh Thư - </t>
    </r>
    <r>
      <rPr>
        <sz val="12"/>
        <color rgb="FFFF0000"/>
        <rFont val="Times New Roman"/>
        <family val="1"/>
      </rPr>
      <t>Nick "Cỏ"</t>
    </r>
  </si>
  <si>
    <t>Linh</t>
  </si>
  <si>
    <t>thutranle0604@gmail.com</t>
  </si>
  <si>
    <t>Số 11 Ngõ 201 Đinh Tiên Hoàng, Phủ Lý, Hà Nam</t>
  </si>
  <si>
    <t>https://drive.google.com/open?id=1b4qM4-bpYvozEtla9TKKqFPtEd71OpQ1; https://drive.google.com/open?id=1CYAu1iRdFI3M7qjGah1bOHKrWOpjYWTC</t>
  </si>
  <si>
    <t>mát góc</t>
  </si>
  <si>
    <t>https://www.facebook.com/profile.php?id=100031557363600</t>
  </si>
  <si>
    <t>Bùi Quang Hợp</t>
  </si>
  <si>
    <t>Phụng Tường 1, Hoà Trị, Phú Hoà, Phú Yên</t>
  </si>
  <si>
    <t>https://drive.google.com/open?id=1DaHYVfaNrmSBHu5Jli3ACGd2PU4I4ut_</t>
  </si>
  <si>
    <t>https://www.facebook.com/profile.php?id=100038271764383&amp;mibextid=LQQJ4d</t>
  </si>
  <si>
    <t>Nguyễn Phương Trà</t>
  </si>
  <si>
    <t xml:space="preserve">Xóm 8, Tô Trang. An Mỹ, Quỳnh Phụ, Thái Bình </t>
  </si>
  <si>
    <t>https://drive.google.com/open?id=1aC8eI17aQrI4UZKAt7SE5KdTlGnyKm6I</t>
  </si>
  <si>
    <t>https://www.facebook.com/profile.php?id=100027424446622&amp;mibextid=ZbWKwL</t>
  </si>
  <si>
    <t>Nguyễn Thị Thu Hà</t>
  </si>
  <si>
    <t>Vân Lan</t>
  </si>
  <si>
    <t>Kí túc xá trường đại học sư phạm Hà Nội 2, Xuân Hòa, Phúc Yên, Vĩnh Phúc</t>
  </si>
  <si>
    <t>https://drive.google.com/open?id=1S4MRxHsWU_sMIfTMVhcTU8EPTdZnYShS</t>
  </si>
  <si>
    <t>https://www.facebook.com/profile.php?id=100011830594555&amp;mibextid=LQQJ4d</t>
  </si>
  <si>
    <t>Nguyễn Thị Như Quỳnh</t>
  </si>
  <si>
    <t>nq070605@gmail.com</t>
  </si>
  <si>
    <t>Trần Xá-Yên Trung-Yên Phong-Bắc Ninh</t>
  </si>
  <si>
    <t>https://drive.google.com/open?id=1qszoT15SWL47ObEN60jsuffr7kDX9bae</t>
  </si>
  <si>
    <t>PT22 Nghỉ ngang buổi 6 (chuyển học loại hình khác). Huy báo</t>
  </si>
  <si>
    <t>https://www.facebook.com/hang.nguyenthithuy.96155?mibextid=LQQJ4d</t>
  </si>
  <si>
    <t>Nguyễn Thị Thuý Hằng</t>
  </si>
  <si>
    <t>angvuong28012005@gmail.com</t>
  </si>
  <si>
    <t>Xóm Hồng Minh, xã Nam Thái, huyện Nam Đàn, tỉnh Nghệ An</t>
  </si>
  <si>
    <t>https://drive.google.com/open?id=1Rs5wl49m0xNb-rAblAc6QXEf6HY5r3pI, https://drive.google.com/open?id=1gxzsmroLrMBEcjtLSjuYfy-hbfnIA-EJ</t>
  </si>
  <si>
    <t>PT24</t>
  </si>
  <si>
    <t>https://www.facebook.com/stel03la</t>
  </si>
  <si>
    <t>Nguyễn Thị Thùy Trang</t>
  </si>
  <si>
    <t>Team Trung</t>
  </si>
  <si>
    <t>Mỹ TR4</t>
  </si>
  <si>
    <t>jangboo04@gmail. com</t>
  </si>
  <si>
    <t>Số 28 Kênh Ngang, ấp 7 xã Vĩnh Thuận Tây, Vị Thủy, Hậu Giang</t>
  </si>
  <si>
    <t>https://drive.google.com/open?id=1U8fTcNgMqDGqSy_IF1JRTiI_um9oOa2X</t>
  </si>
  <si>
    <t>https://www.facebook.com/profile.php?id=100043678471186</t>
  </si>
  <si>
    <t xml:space="preserve">Ngô Tuấn Khanh </t>
  </si>
  <si>
    <t>Đạt</t>
  </si>
  <si>
    <t xml:space="preserve">Khanha7k55@gmail.com </t>
  </si>
  <si>
    <t xml:space="preserve">Trường An, An Khánh, Hoài Đức, Hà Nội </t>
  </si>
  <si>
    <t>https://drive.google.com/open?id=1wjGaBNXB2dy8rKY8xBb7QNP6Js_H8mHg; https://drive.google.com/open?id=1Pc0Lii6_Q5AQLRFzLZ_uvZxlcyfWSlbU</t>
  </si>
  <si>
    <t>https://www.facebook.com/profile.php?id=100037393459198&amp;mibextid=ZbWKwL</t>
  </si>
  <si>
    <r>
      <rPr>
        <sz val="12"/>
        <color theme="1"/>
        <rFont val="Times New Roman"/>
        <family val="1"/>
      </rPr>
      <t xml:space="preserve">Đoàn Thị Tâm </t>
    </r>
    <r>
      <rPr>
        <sz val="12"/>
        <color rgb="FFFF0000"/>
        <rFont val="Times New Roman"/>
        <family val="1"/>
      </rPr>
      <t>(Cần hợp đồng )</t>
    </r>
  </si>
  <si>
    <t>đội 5 Buôn Triết xã durkmăl huyện Krông ana tỉnh Đăk Lăk</t>
  </si>
  <si>
    <t>https://drive.google.com/open?id=1m6-4EhhAjpnb5Wav2nZeA2X-85FqGb4r</t>
  </si>
  <si>
    <t>KHÔNG</t>
  </si>
  <si>
    <t>https://www.facebook.com/profile.php?id=100086800088725</t>
  </si>
  <si>
    <r>
      <rPr>
        <sz val="12"/>
        <color theme="1"/>
        <rFont val="Times New Roman"/>
        <family val="1"/>
      </rPr>
      <t xml:space="preserve">Nguyễn Tú Anh </t>
    </r>
    <r>
      <rPr>
        <sz val="12"/>
        <color rgb="FFFF0000"/>
        <rFont val="Times New Roman"/>
        <family val="1"/>
      </rPr>
      <t>(Cần hợp đồng)</t>
    </r>
  </si>
  <si>
    <t>Huy</t>
  </si>
  <si>
    <t>tổ 9 ko thiên bình, tam phước, biên hoà, đồng nai</t>
  </si>
  <si>
    <t>https://drive.google.com/open?id=1YTKXBdlVMOqZ53Un11EbawWXhd3yx7xa</t>
  </si>
  <si>
    <t>https://www.facebook.com/profile.php?id=100022222849444&amp;mibextid=LQQJ4d</t>
  </si>
  <si>
    <t>Lê Thị Thu</t>
  </si>
  <si>
    <t xml:space="preserve">Hoài </t>
  </si>
  <si>
    <t>Thulethi157@gmai.com</t>
  </si>
  <si>
    <t>số nhà 15, ngõ 401/72/14 , phường Xuân Đỉnh , quận Bắc Từ Liêm ,Hà  Nội</t>
  </si>
  <si>
    <t>https://drive.google.com/open?id=1mPx-6Ee-woxARenrsJsh-ZuGT4md7TKC; https://drive.google.com/open?id=1q5qg7uGO_K4EqAr5sCyFU60NA2-aNAu_</t>
  </si>
  <si>
    <t xml:space="preserve">https://www.facebook.com/em.chien.509994 </t>
  </si>
  <si>
    <t>Lê Vinh Chiến</t>
  </si>
  <si>
    <t>levinhchien82@gmail.com</t>
  </si>
  <si>
    <t>số nhà 11 215/24 trâu quỳ gia lâm hà nội</t>
  </si>
  <si>
    <t>https://drive.google.com/open?id=1_Z9rPmjquFLiiY-S7lwCdDgLrDo9d6qM; https://drive.google.com/open?id=1YsPFkTcmbuGCGNkNtqWS1xYGTQYF44wy</t>
  </si>
  <si>
    <t>T146</t>
  </si>
  <si>
    <t>https://www.facebook.com/ngocanh10042003</t>
  </si>
  <si>
    <t xml:space="preserve">Dương Thị Ngọc Ánh </t>
  </si>
  <si>
    <t>Phương</t>
  </si>
  <si>
    <t>ngocanh10042k3@gmail.com</t>
  </si>
  <si>
    <t>Xóm Xúm xã Nhã Lộng - Phú Bình- Thái Nguyên</t>
  </si>
  <si>
    <t>https://drive.google.com/open?id=1YQV99ZG8IgYj4RKUFTeU_hg3j8wQQSV4</t>
  </si>
  <si>
    <t>https://www.facebook.com/giten.canquai.52</t>
  </si>
  <si>
    <t xml:space="preserve">Hoàng Thị Phương Uyên </t>
  </si>
  <si>
    <t>hoangthiphuonguyen04@gmail.com</t>
  </si>
  <si>
    <t>Phương Tòng- Hùng An -Kim Động- Hưng Yên</t>
  </si>
  <si>
    <t>https://drive.google.com/open?id=1FBgDv3ofjdPIkL3DjRF3W_GT-onCbRiE</t>
  </si>
  <si>
    <t xml:space="preserve">Mát gốc </t>
  </si>
  <si>
    <t>B613</t>
  </si>
  <si>
    <t>T148</t>
  </si>
  <si>
    <t>https://www.facebook.com/vi.phamha.921?mibextid=LQQJ4d</t>
  </si>
  <si>
    <t>Phạm Hà Vi</t>
  </si>
  <si>
    <t>Thanh Huyền</t>
  </si>
  <si>
    <t>hs180164phamhavi@gmail.com</t>
  </si>
  <si>
    <t>số nhà 24, nhà trọ Bà Sáu, thôn Kim Bông, xã Tân Xã, huyện Thạch Thất, Hà Nội</t>
  </si>
  <si>
    <t>https://drive.google.com/open?id=1cK6-q6cL_yH6-nplauV6-E0WD9_Eg41T</t>
  </si>
  <si>
    <t>PT23</t>
  </si>
  <si>
    <t>https://www.facebook.com/profile.php?id=100037239527588</t>
  </si>
  <si>
    <t>Trần Đắc Phong</t>
  </si>
  <si>
    <t>PAGE</t>
  </si>
  <si>
    <t>phong04122002@gmail.com</t>
  </si>
  <si>
    <t>Đồ cũ Tùng Duy, Ngã tư nhổn, đường vào Tây Tựu ,phường Tây Tựu, quận Bắc Từ Liêm ,Hà Nội</t>
  </si>
  <si>
    <t>https://drive.google.com/open?id=1EGhjkUF5mdDjapfoM2hvGuH72l9wRjhe</t>
  </si>
  <si>
    <t>https://www.facebook.com/profile.php?id=100050211093421&amp;mibextid=LQQJ4d</t>
  </si>
  <si>
    <t>Vũ Thùy Trang</t>
  </si>
  <si>
    <t>Xuân Đức Meca</t>
  </si>
  <si>
    <t>Nga</t>
  </si>
  <si>
    <t>trang290925@gmail.com</t>
  </si>
  <si>
    <t>xóm đông sơn, xã hậu thành, huyện yên thành, nghệ an</t>
  </si>
  <si>
    <t>https://drive.google.com/open?id=1P8h7mQhd-NBkvVFXOZp6E_P5w6ciuRZG</t>
  </si>
  <si>
    <t>https://www.facebook.com/moc.huy.338</t>
  </si>
  <si>
    <t xml:space="preserve"> Nguyễn Đình Huy</t>
  </si>
  <si>
    <t>huymoc959@gmail.com</t>
  </si>
  <si>
    <t>Long Khê- Ngọc Xá- Quế Võ- Bắc Ninh</t>
  </si>
  <si>
    <t>https://drive.google.com/open?id=1wH093QLsToqkXuFiGWAsxD7WilWbbjqv</t>
  </si>
  <si>
    <t>Huy báo: HV tự OUT buổi cuối PT23,. Nhài bảo để chat báo HV còn 2 khóa Toeic 1,2, Huy báo để Nga và sale chat an ủi HV. Nhài ko cần chat</t>
  </si>
  <si>
    <t>https://www.facebook.com/profile.php?id=100008900434957</t>
  </si>
  <si>
    <r>
      <rPr>
        <sz val="12"/>
        <color theme="1"/>
        <rFont val="Times New Roman"/>
        <family val="1"/>
      </rPr>
      <t>Hoàng Thị Kim Chi</t>
    </r>
    <r>
      <rPr>
        <sz val="12"/>
        <color rgb="FFFF0000"/>
        <rFont val="Times New Roman"/>
        <family val="1"/>
      </rPr>
      <t xml:space="preserve"> (Cần hợp đồng)</t>
    </r>
  </si>
  <si>
    <t>hoangthikimchi402@gmail.com</t>
  </si>
  <si>
    <t>Ngã ba khoang xanh thôn Muồng Cháu xã Vân Hoà Ba Vì Hà Nội</t>
  </si>
  <si>
    <t>https://drive.google.com/open?id=1c4HF7KRIJPGT-f-FNtBCjq3RXX2D9F1M, https://drive.google.com/open?id=1rNt20vAh7-IW6EgQ7BvHBhCQVn9Y83Lr</t>
  </si>
  <si>
    <t>https://www.facebook.com/truongson.nguyenxuan.54?mibextid=LQQJ4d</t>
  </si>
  <si>
    <t xml:space="preserve">Nguyễn Xuân Trường Sơn </t>
  </si>
  <si>
    <t>nguyenxuantruongson180805@gmail.com</t>
  </si>
  <si>
    <t>195 Phố Vũ Xuân Thiều, Phúc Lợi, Long Biên, Hà Nội</t>
  </si>
  <si>
    <t>https://drive.google.com/open?id=1pRL4NIPSlkEdsCVRw_1BbysKQyxsD9eZ</t>
  </si>
  <si>
    <t>T122</t>
  </si>
  <si>
    <t>VIP59</t>
  </si>
  <si>
    <t>https://www.facebook.com/thanhnghia.ho.5811</t>
  </si>
  <si>
    <t>Hồ Thanh Nghĩa</t>
  </si>
  <si>
    <t>Trang Nhung</t>
  </si>
  <si>
    <t xml:space="preserve">nghia.hothanh.319@gmail.com </t>
  </si>
  <si>
    <t>Chánh Khoan Nam , xã Mỹ Lợi , Phù Mỹ ,Bình Định</t>
  </si>
  <si>
    <t>https://drive.google.com/open?id=18MV4Oo6RUWq9T2mXdINQs9yPCzTef3FH</t>
  </si>
  <si>
    <t>https://www.facebook.com/profile.php?id=100028222994835&amp;mibextid=LQQJ4d</t>
  </si>
  <si>
    <r>
      <rPr>
        <sz val="12"/>
        <color theme="1"/>
        <rFont val="Times New Roman"/>
        <family val="1"/>
      </rPr>
      <t xml:space="preserve">Nguyễn Thu Hà </t>
    </r>
    <r>
      <rPr>
        <sz val="12"/>
        <color rgb="FFFF0000"/>
        <rFont val="Times New Roman"/>
        <family val="1"/>
      </rPr>
      <t>(Cần hợp đồng)</t>
    </r>
  </si>
  <si>
    <t>ntha17102005@gmail.com</t>
  </si>
  <si>
    <t>241 Phố Bóng, Xã Hồng Minh - Huyện Phú Xuyên - TP. Hà Nội</t>
  </si>
  <si>
    <t>https://drive.google.com/open?id=1OduD2gmIv9fqDYgLRD3o2Dppr9xbyO4J</t>
  </si>
  <si>
    <t>PT25</t>
  </si>
  <si>
    <t>https://www.facebook.com/profile.php?id=100094427041607</t>
  </si>
  <si>
    <r>
      <rPr>
        <sz val="12"/>
        <color theme="1"/>
        <rFont val="Times New Roman"/>
        <family val="1"/>
      </rPr>
      <t xml:space="preserve"> Cao Quỳnh Thi </t>
    </r>
    <r>
      <rPr>
        <sz val="12"/>
        <color rgb="FFFF0000"/>
        <rFont val="Times New Roman"/>
        <family val="1"/>
      </rPr>
      <t>(Nick - Nha nha)</t>
    </r>
  </si>
  <si>
    <t>Cầu Giấy 1</t>
  </si>
  <si>
    <t>Đặng Đức Độ</t>
  </si>
  <si>
    <t>quynhthi9a2@gmail.com</t>
  </si>
  <si>
    <t>Số nhà 3 , ngách 51 ngõ 155 Đường Cầu Giấy , Hà Nội</t>
  </si>
  <si>
    <t>https://drive.google.com/open?id=1iPCK5AAB3nhHMx4rAn1FEEGwiqOnSsTJ</t>
  </si>
  <si>
    <t>https://www.facebook.com/thhong02?mibextid=LQQJ4d</t>
  </si>
  <si>
    <t xml:space="preserve">Phùng Thị Thuý Hồng </t>
  </si>
  <si>
    <t>phunghong2003@gmail.com</t>
  </si>
  <si>
    <t xml:space="preserve">Số nhà 31A, Ngõ 2 Ngô Thì Nhậm, Quang Trung, Hà Đông, Hà Nội </t>
  </si>
  <si>
    <t>https://drive.google.com/open?id=1v6epRc69sseQBcsLDRAf-B2zZK7xxZCn</t>
  </si>
  <si>
    <t>https://www.facebook.com/kieuvy2695</t>
  </si>
  <si>
    <t>Nguyễn Kiều Vy</t>
  </si>
  <si>
    <t>Hường</t>
  </si>
  <si>
    <t>nguyenvi2000bd@gmail.com</t>
  </si>
  <si>
    <t>Vân Sơn -Nhơn Hậu -An Nhơn -Bình Định</t>
  </si>
  <si>
    <t>https://drive.google.com/open?id=1iprP6vsopP3ntkJaOlR3eDwb_wykJiXV; https://drive.google.com/open?id=1bDGzAvtEjxITouGvejz7R_wOPItNb9EM</t>
  </si>
  <si>
    <t>https://www.facebook.com/profile.php?id=100034927894171</t>
  </si>
  <si>
    <t xml:space="preserve">Trương Trần Ngọc Huyền </t>
  </si>
  <si>
    <t xml:space="preserve">Truongtranngochien163tp@gmail.com </t>
  </si>
  <si>
    <t>Thạnh Danh, Nhơn Hậu, An Nhơn , Bình Định</t>
  </si>
  <si>
    <t>https://drive.google.com/open?id=1zQ2GEP2FhZ1i2GwW56GEKd8HVoY_uPsq</t>
  </si>
  <si>
    <t>Combo Pre_Toeic + Toeic Lv(1+2) + Toeic S</t>
  </si>
  <si>
    <t>PT59</t>
  </si>
  <si>
    <t>https://www.facebook.com/nguyen.yenyen.20.7</t>
  </si>
  <si>
    <r>
      <rPr>
        <sz val="12"/>
        <color theme="1"/>
        <rFont val="Times New Roman"/>
        <family val="1"/>
      </rPr>
      <t xml:space="preserve">Nguyễn Bảo Yến
</t>
    </r>
    <r>
      <rPr>
        <sz val="12"/>
        <color rgb="FFFF0000"/>
        <rFont val="Times New Roman"/>
        <family val="1"/>
      </rPr>
      <t>Chuyển nhượng S cho em trai học PT Nguyễn Lâm Hùng 0393152217</t>
    </r>
  </si>
  <si>
    <t>Nguyenbaoyen200704@gmail.com</t>
  </si>
  <si>
    <t>16B ngõ 171 Đường Nguyễn Ngọc Vũ - Trung Hoà, Cầu Giấy , Hà Nội</t>
  </si>
  <si>
    <t xml:space="preserve"> chuyển Lv2 sang Toeic 2</t>
  </si>
  <si>
    <t>https://drive.google.com/open?id=1gD2lawDVw6KQsuTObAhocp5w2ydaD7NX</t>
  </si>
  <si>
    <t xml:space="preserve">mất gốc </t>
  </si>
  <si>
    <t>3,5</t>
  </si>
  <si>
    <t>B626</t>
  </si>
  <si>
    <t>PT56</t>
  </si>
  <si>
    <t>https://www.facebook.com/profile.php?id=100033329795069</t>
  </si>
  <si>
    <r>
      <rPr>
        <sz val="12"/>
        <color theme="1"/>
        <rFont val="Times New Roman"/>
        <family val="1"/>
      </rPr>
      <t xml:space="preserve">Nguyễn Hữu Nam </t>
    </r>
    <r>
      <rPr>
        <sz val="12"/>
        <color rgb="FFFF0000"/>
        <rFont val="Times New Roman"/>
        <family val="1"/>
      </rPr>
      <t>(đổi T học PT). Học phí thừa để học T</t>
    </r>
  </si>
  <si>
    <t>Phùng Thị Kiều Nga</t>
  </si>
  <si>
    <t>cập nhật sau</t>
  </si>
  <si>
    <t>Toà VPI, 167 trung kính, yên hoà, cầu giấy , hn</t>
  </si>
  <si>
    <t>https://drive.google.com/open?id=1gPO-Irer3wZIDTi6zViMQTD7AS9asYqT, https://drive.google.com/open?id=1F2ud4WXmLIQhClkwTMdYOR90rOrrQGnQ</t>
  </si>
  <si>
    <t xml:space="preserve">Mất gốc </t>
  </si>
  <si>
    <t>Đổi T học PT. Học phí thừa để học T. Nhài nhờ Hà Hiền test ko đủ điểm để học T.</t>
  </si>
  <si>
    <t>https://www.facebook.com/thach.taquang.1?mibextid=ZbWKwL</t>
  </si>
  <si>
    <r>
      <rPr>
        <sz val="12"/>
        <color theme="1"/>
        <rFont val="Times New Roman"/>
        <family val="1"/>
      </rPr>
      <t xml:space="preserve"> Tạ Quang Thạch </t>
    </r>
    <r>
      <rPr>
        <sz val="12"/>
        <color rgb="FFFF0000"/>
        <rFont val="Times New Roman"/>
        <family val="1"/>
      </rPr>
      <t>(hợp đồng)</t>
    </r>
  </si>
  <si>
    <t>số 54, ngõ 105 Doãn Kế Thiện, phường Mai Dịch, Cầu Giấy, Hà Nội</t>
  </si>
  <si>
    <t>https://drive.google.com/open?id=19oIPj5e1H584-Zf8CkIJh3TEHkU-tY_e</t>
  </si>
  <si>
    <t>https://www.facebook.com/dieulinh.mai.1004</t>
  </si>
  <si>
    <t xml:space="preserve"> Mai Thị Diệu Linh</t>
  </si>
  <si>
    <t>Giang</t>
  </si>
  <si>
    <t>linhmailinh146@gmail.com</t>
  </si>
  <si>
    <t>Số 30, 231 Chùa Bộc, Đống Đa, Hà Nội</t>
  </si>
  <si>
    <t>https://drive.google.com/open?id=1ZSd-wMQpucpm_MV_N5sLpA2MkM-WvDut; https://drive.google.com/open?id=1hvKQnDBVSc3SC_xqqCr98t20ELshVuad</t>
  </si>
  <si>
    <t>Coc 200K nên chưa gửi sách. Đã chat nhắc HV 13/7</t>
  </si>
  <si>
    <t>PT26</t>
  </si>
  <si>
    <t>https://www.facebook.com/ngmaiduyen.03</t>
  </si>
  <si>
    <t>Nguyễn Mai Duyên</t>
  </si>
  <si>
    <t>Ngô Duy Khánh</t>
  </si>
  <si>
    <t>Nhà số 9 ngõ 401, Bắc Từ Liêm, Hà Nội</t>
  </si>
  <si>
    <t>https://drive.google.com/open?id=1wdcEsJlzh2iyJctAx3WBwblsWsmF4HlN, https://drive.google.com/open?id=1SlySiS1oJQJYAKEmq-PeKUD0i4CYzVHX</t>
  </si>
  <si>
    <t xml:space="preserve">KHÔNG </t>
  </si>
  <si>
    <t>T229</t>
  </si>
  <si>
    <t>https://www.facebook.com/profile.php?id=100050124731794&amp;mibextid=ZbWKwL</t>
  </si>
  <si>
    <r>
      <rPr>
        <sz val="12"/>
        <color theme="1"/>
        <rFont val="Times New Roman"/>
        <family val="1"/>
      </rPr>
      <t>Nguyễn Trường Phúc</t>
    </r>
    <r>
      <rPr>
        <sz val="12"/>
        <color rgb="FFFF0000"/>
        <rFont val="Times New Roman"/>
        <family val="1"/>
      </rPr>
      <t xml:space="preserve"> (Combo 3)</t>
    </r>
  </si>
  <si>
    <t>THẮNG</t>
  </si>
  <si>
    <t xml:space="preserve"> phucdidntevolve@gmail.com</t>
  </si>
  <si>
    <t xml:space="preserve"> Đại Công, Tiên Cường, Tiên Lãng, Hải Phòng </t>
  </si>
  <si>
    <t>2 khóa GT - giảm trừ 376k</t>
  </si>
  <si>
    <t>https://drive.google.com/open?id=1565FsrYC1MCNfhMuXDF8SzuOLM66M5m7</t>
  </si>
  <si>
    <t>https://www.facebook.com/profile.php?id=100068901310447&amp;mibextid=LQQJ4d</t>
  </si>
  <si>
    <r>
      <rPr>
        <sz val="12"/>
        <color theme="1"/>
        <rFont val="Times New Roman"/>
        <family val="1"/>
      </rPr>
      <t xml:space="preserve">Nguyễn Huyền Trang </t>
    </r>
    <r>
      <rPr>
        <sz val="12"/>
        <color rgb="FFFF0000"/>
        <rFont val="Times New Roman"/>
        <family val="1"/>
      </rPr>
      <t>(Cần hợp đồng)</t>
    </r>
  </si>
  <si>
    <t>Ngọc Diệp</t>
  </si>
  <si>
    <t>Khu phố 1, thị trấn phố Mới, thị xã Quế Võ , tỉnh Bắc Ninh</t>
  </si>
  <si>
    <t>15/07/2023 và 28/07/2023</t>
  </si>
  <si>
    <r>
      <rPr>
        <u/>
        <sz val="12"/>
        <color rgb="FF1155CC"/>
        <rFont val="Times New Roman"/>
        <family val="1"/>
      </rPr>
      <t xml:space="preserve">https://drive.google.com/open?id=1l0a4uwS2ISueQfuOS4q3YMk9o7AlUaku; https://drive.google.com/open?id=18V12j5HU56ATkyYCZA-vXPXjve5ktrzd; </t>
    </r>
    <r>
      <rPr>
        <u/>
        <sz val="12"/>
        <color rgb="FF1155CC"/>
        <rFont val="Times New Roman"/>
        <family val="1"/>
      </rPr>
      <t>https://drive.google.com/open?id=1nTYVbBJPkllghAi6hV-LDYco5EG96tsp</t>
    </r>
  </si>
  <si>
    <t>https://www.facebook.com/lehuong203?mibextid=LQQJ4d</t>
  </si>
  <si>
    <r>
      <rPr>
        <sz val="12"/>
        <color theme="1"/>
        <rFont val="Times New Roman"/>
        <family val="1"/>
      </rPr>
      <t xml:space="preserve">Lê Thị Hương </t>
    </r>
    <r>
      <rPr>
        <sz val="12"/>
        <color rgb="FFFF0000"/>
        <rFont val="Times New Roman"/>
        <family val="1"/>
      </rPr>
      <t>(Cần hợp đồng)</t>
    </r>
  </si>
  <si>
    <t>Hồng Anh</t>
  </si>
  <si>
    <t>cua01202201305@gmail.com</t>
  </si>
  <si>
    <t>Thôn Chân Lầm, xã Dương Quan, huyện Thủy Nguyên, Hải Phòng</t>
  </si>
  <si>
    <t>https://drive.google.com/open?id=1SkkWsIWvVtuiFkcPZG_aI9w5wjlOldCo</t>
  </si>
  <si>
    <t>https://www.facebook.com/profile.php?id=100039979488343&amp;sk=friends_mutual</t>
  </si>
  <si>
    <r>
      <rPr>
        <sz val="12"/>
        <color theme="1"/>
        <rFont val="Times New Roman"/>
        <family val="1"/>
      </rPr>
      <t xml:space="preserve">Lò Thị Mỹ Linh  </t>
    </r>
    <r>
      <rPr>
        <sz val="12"/>
        <color rgb="FFFF0000"/>
        <rFont val="Times New Roman"/>
        <family val="1"/>
      </rPr>
      <t>(Cần hợp đồng)</t>
    </r>
  </si>
  <si>
    <t xml:space="preserve">my826369@gmail.com </t>
  </si>
  <si>
    <t>Nà nghịu 2, Sông Mã, Sơn La</t>
  </si>
  <si>
    <t>https://drive.google.com/open?id=1wcgYDTyh8UOZWf5Pu_KIkT9A1R0UwoWv</t>
  </si>
  <si>
    <t>https://www.facebook.com/profile.php?id=100046725370233</t>
  </si>
  <si>
    <r>
      <rPr>
        <sz val="12"/>
        <color theme="1"/>
        <rFont val="Times New Roman"/>
        <family val="1"/>
      </rPr>
      <t xml:space="preserve">Nguyễn Thu Phương </t>
    </r>
    <r>
      <rPr>
        <sz val="12"/>
        <color rgb="FFFF0000"/>
        <rFont val="Times New Roman"/>
        <family val="1"/>
      </rPr>
      <t>(Cần hợp động)</t>
    </r>
  </si>
  <si>
    <t>nguyenthuphuong1282005@gmail.com</t>
  </si>
  <si>
    <t xml:space="preserve"> Nam Phú - Thị Trấn Liễu Đề - Nghĩa Hưng - Nam Định. </t>
  </si>
  <si>
    <t>https://drive.google.com/open?id=1L1GhcWR_WtbsBGUiHSVMGb_mOVSuEnuV</t>
  </si>
  <si>
    <t>https://www.facebook.com/hailinh.phan.505?mibextid=LQQJ4d</t>
  </si>
  <si>
    <t xml:space="preserve">Phan Thị Hải Linh </t>
  </si>
  <si>
    <t>phanlinh91117@gmail.com</t>
  </si>
  <si>
    <t>tiểu khu Bản Súng, thị trấn Vân Tùng, huyện Ngân Sơn, tỉnh Bắc Kan</t>
  </si>
  <si>
    <t>https://drive.google.com/open?id=163PouyxNGKMOMV9uRb_6NxbcHoiCqVUc</t>
  </si>
  <si>
    <t>https://www.facebook.com/profile.php?id=100081645124079&amp;sk=friends_mutual</t>
  </si>
  <si>
    <t>Nguyễn Quỳnh Mai</t>
  </si>
  <si>
    <t>nguyenthiquynhmaiiphone@gamil.com</t>
  </si>
  <si>
    <t>Xóm 8 (mới), xã Nghi Lâm, huyện Nghi Lộc, tỉnh Nghệ An</t>
  </si>
  <si>
    <t>https://drive.google.com/open?id=1RCZrskQPGtImmyJFkx4AzNhSTRqGi8BO</t>
  </si>
  <si>
    <t>https://www.facebook.com/embecuaanh0901?mibextid=LQQJ4d</t>
  </si>
  <si>
    <r>
      <rPr>
        <sz val="12"/>
        <color theme="1"/>
        <rFont val="Times New Roman"/>
        <family val="1"/>
      </rPr>
      <t xml:space="preserve">Nguyễn Thị Hằng </t>
    </r>
    <r>
      <rPr>
        <sz val="12"/>
        <color rgb="FFFF0000"/>
        <rFont val="Times New Roman"/>
        <family val="1"/>
      </rPr>
      <t>(Cần hợp đồng)</t>
    </r>
  </si>
  <si>
    <t xml:space="preserve">chưa có </t>
  </si>
  <si>
    <t xml:space="preserve">Xóm Hiếu Minh, Giao Thịnh, Giao Thuỷ, Nam Định </t>
  </si>
  <si>
    <t>https://drive.google.com/open?id=1-_vcI9px2J9GTwsRl-GecR6-45hJ0PE1</t>
  </si>
  <si>
    <t>https://www.facebook.com/trinh.thuhaa25?mibextid=LQQJ4d</t>
  </si>
  <si>
    <r>
      <rPr>
        <sz val="12"/>
        <color theme="1"/>
        <rFont val="Times New Roman"/>
        <family val="1"/>
      </rPr>
      <t xml:space="preserve">Trịnh Thị Thu Hà </t>
    </r>
    <r>
      <rPr>
        <sz val="12"/>
        <color rgb="FFFF0000"/>
        <rFont val="Times New Roman"/>
        <family val="1"/>
      </rPr>
      <t>(Cần hợp đồng)</t>
    </r>
  </si>
  <si>
    <t>Xóm Địch Giáo Tây, Giao Tân, Giao Thủy, Nam Định</t>
  </si>
  <si>
    <t>https://drive.google.com/open?id=10nzS14NsW2g3v1Vo3ooanN33pheCt9gC</t>
  </si>
  <si>
    <t>https://www.facebook.com/profile.php?id=100040352595040</t>
  </si>
  <si>
    <r>
      <rPr>
        <sz val="12"/>
        <color theme="1"/>
        <rFont val="Times New Roman"/>
        <family val="1"/>
      </rPr>
      <t xml:space="preserve"> Mai Thu Hương </t>
    </r>
    <r>
      <rPr>
        <sz val="12"/>
        <color rgb="FFFF0000"/>
        <rFont val="Times New Roman"/>
        <family val="1"/>
      </rPr>
      <t>(Chat zalo. Nick bạn ko cho chat)</t>
    </r>
  </si>
  <si>
    <t>maithuhuong2907@gmail.com</t>
  </si>
  <si>
    <t>Thôn Thượng Đình 3, Quảng Định, Quảng Xương, Thanh Hóa</t>
  </si>
  <si>
    <t>https://drive.google.com/open?id=1T8Yu1PFspzT4Cosl6hEP10QHzMKE8bsj</t>
  </si>
  <si>
    <t>Mât góc</t>
  </si>
  <si>
    <t>PT29</t>
  </si>
  <si>
    <t>https://www.facebook.com/le.kimchi.10004</t>
  </si>
  <si>
    <t xml:space="preserve"> Lê Lê Kim Chi </t>
  </si>
  <si>
    <t xml:space="preserve">kimchipxdttn@gmail.com </t>
  </si>
  <si>
    <t>Nhà Trọ Kỷ Bình- số 15, xã Hà Thạch Thị Xã Phú Thọ , Phú Thọ</t>
  </si>
  <si>
    <t>https://drive.google.com/open?id=1ZTwwXpBDvR5crk2Th_EqrKnaXWCgSufw</t>
  </si>
  <si>
    <t>Đã gửi sách PT28</t>
  </si>
  <si>
    <t>PT27</t>
  </si>
  <si>
    <t>https://www.facebook.com/profile.php?id=100053790885244</t>
  </si>
  <si>
    <t>Đào Văn Nam</t>
  </si>
  <si>
    <t>daovannam10122005@gmail.com</t>
  </si>
  <si>
    <t xml:space="preserve">Đôn Thư - Đồng Quang - Gia Lộc - Hải Dương </t>
  </si>
  <si>
    <t>https://drive.google.com/open?id=1ga_M3jfUVfXCR2f3If57_YAJ1ihhmA95</t>
  </si>
  <si>
    <t>https://www.facebook.com/profile.php?id=100047576530288</t>
  </si>
  <si>
    <t>Vũ Thị Hồng Vân</t>
  </si>
  <si>
    <t>vuc586177@gmail.com</t>
  </si>
  <si>
    <t>thôn An Thành, xã Yên Phúc, Ý Yên, Nam Định</t>
  </si>
  <si>
    <t>https://drive.google.com/open?id=1vYtfZuK8zOyuzKUdPkGfITvoL1eaLg3d</t>
  </si>
  <si>
    <t>PT16</t>
  </si>
  <si>
    <t>T152</t>
  </si>
  <si>
    <t>https://www.facebook.com/buihoang.kim.583</t>
  </si>
  <si>
    <t>Bùi Hoàng Kim</t>
  </si>
  <si>
    <t>hoangkim19112004@gmail.com</t>
  </si>
  <si>
    <t>716/17, đường Lộ Vòng Cung, KV Tân Xuân, Quận Ô Môn, TPCT</t>
  </si>
  <si>
    <t>https://drive.google.com/open?id=1AiEsm2RYbuPoXxgbe8-gtrC3N_N3TEHN</t>
  </si>
  <si>
    <t>đã học PT16</t>
  </si>
  <si>
    <t>https://www.facebook.com/profile.php?id=100042101326713</t>
  </si>
  <si>
    <t>Dương Đức Huy</t>
  </si>
  <si>
    <t>huypoilkj@gmail.com</t>
  </si>
  <si>
    <t>Trường mầm non Phương Canh, Tu Hoàng, Nam Từ Liêm, Hà Nội</t>
  </si>
  <si>
    <t>https://drive.google.com/open?id=1_yls_vq-06bigIf2tymF4ay-LFPtSc_4</t>
  </si>
  <si>
    <t>https://www.facebook.com/hieu.nguyentien.944</t>
  </si>
  <si>
    <t xml:space="preserve">Nguyễn Tiến Hiếu </t>
  </si>
  <si>
    <t>hieupkhd03@gmail.com</t>
  </si>
  <si>
    <t>https://drive.google.com/open?id=1IFIypTQ1GHlc5-tp91uG1yzEujKgLb7O</t>
  </si>
  <si>
    <t>https://www.facebook.com/profile.php?id=100014203269575&amp;mibextid=LQQJ4d</t>
  </si>
  <si>
    <r>
      <rPr>
        <sz val="12"/>
        <color theme="1"/>
        <rFont val="Times New Roman"/>
        <family val="1"/>
      </rPr>
      <t xml:space="preserve">Phan Quỳnh Anh </t>
    </r>
    <r>
      <rPr>
        <sz val="12"/>
        <color rgb="FFFF0000"/>
        <rFont val="Times New Roman"/>
        <family val="1"/>
      </rPr>
      <t>(Cần hợp đồng)</t>
    </r>
  </si>
  <si>
    <t>phanquynhanh280405@gmail.com</t>
  </si>
  <si>
    <t>Ngõ 28- xóm Đáo, thôn Táo 3, xã Tam thuấn, huyện Phúc Thọ, Hà Nội</t>
  </si>
  <si>
    <t>https://drive.google.com/open?id=1BJSN4URgekYDfwAtntYaAEbrhj0gZaUs; https://drive.google.com/open?id=15f8Ol3ZK5qlwlGxtPwB0Zi01RXD163tl</t>
  </si>
  <si>
    <t>PT28</t>
  </si>
  <si>
    <t>https://www.facebook.com/phamducminh2608</t>
  </si>
  <si>
    <r>
      <rPr>
        <sz val="12"/>
        <color theme="1"/>
        <rFont val="Times New Roman"/>
        <family val="1"/>
      </rPr>
      <t>Phạm Đức Minh</t>
    </r>
    <r>
      <rPr>
        <sz val="12"/>
        <color rgb="FFFF0000"/>
        <rFont val="Times New Roman"/>
        <family val="1"/>
      </rPr>
      <t xml:space="preserve"> (Cần hợp đồng)</t>
    </r>
  </si>
  <si>
    <t>Team P. Anh</t>
  </si>
  <si>
    <t>Dũng PA</t>
  </si>
  <si>
    <t>phamducminh2608@gmail.com</t>
  </si>
  <si>
    <t>Trường mầm non tư thục Hoa Hồng - Ngũ Hiệp - Thanh Trì - Hà Nội</t>
  </si>
  <si>
    <t>giảm trừ 20k</t>
  </si>
  <si>
    <t>https://drive.google.com/open?id=1JhAgf_KzZgKbiU64oe05eIFRne2tqChN</t>
  </si>
  <si>
    <t>T149</t>
  </si>
  <si>
    <t>https://www.facebook.com/profile.php?id=100011891973959</t>
  </si>
  <si>
    <t xml:space="preserve">Nguyễn Văn Khanh </t>
  </si>
  <si>
    <t xml:space="preserve">Đức </t>
  </si>
  <si>
    <t>nguyenkhanhndtt@gmail.com</t>
  </si>
  <si>
    <t>Số 3 Ngõ 82, Đường 422, Thị Trấn Trạm Trôi, Huyện Hoài Đức, Hà Nội</t>
  </si>
  <si>
    <t>https://drive.google.com/open?id=1SHvChlqs2hQy_GVF7FLI-FaA2MoKtRFC</t>
  </si>
  <si>
    <t>280 ( xin vào lv1 và chấp nhận đk)</t>
  </si>
  <si>
    <t>T150</t>
  </si>
  <si>
    <t>https://www.facebook.com/TK21.1925?mibextid=ZbWKwL</t>
  </si>
  <si>
    <r>
      <rPr>
        <sz val="12"/>
        <color theme="1"/>
        <rFont val="Times New Roman"/>
        <family val="1"/>
      </rPr>
      <t xml:space="preserve">Nguyễn Công Quyền </t>
    </r>
    <r>
      <rPr>
        <sz val="12"/>
        <color rgb="FFFF0000"/>
        <rFont val="Times New Roman"/>
        <family val="1"/>
      </rPr>
      <t>(Cần hợp đồng)</t>
    </r>
  </si>
  <si>
    <t xml:space="preserve">Ánh </t>
  </si>
  <si>
    <t>karashahiroshi@gmail.com</t>
  </si>
  <si>
    <t>xóm chùa, thôn liễu viên, xã nghiêm xuyên, thường tín, hà nội</t>
  </si>
  <si>
    <t>https://drive.google.com/open?id=1LF1-Wn28JIN0r8YrquNWugmbv2TTzkyI</t>
  </si>
  <si>
    <t>https://www.facebook.com/quynh.nguyenmanh.10297?mibextid=ZbWKwL</t>
  </si>
  <si>
    <r>
      <rPr>
        <sz val="12"/>
        <color theme="1"/>
        <rFont val="Times New Roman"/>
        <family val="1"/>
      </rPr>
      <t xml:space="preserve">Nguyễn Mạnh Quỳnh </t>
    </r>
    <r>
      <rPr>
        <sz val="12"/>
        <color rgb="FFFF0000"/>
        <rFont val="Times New Roman"/>
        <family val="1"/>
      </rPr>
      <t xml:space="preserve">(Cần hợp đồng) </t>
    </r>
  </si>
  <si>
    <t xml:space="preserve">Quỳnh </t>
  </si>
  <si>
    <t xml:space="preserve"> manhquynhk4@gmail.com</t>
  </si>
  <si>
    <t>Nhà thi đấu xã Hạ Bằng, Thạch Thất, Hà Nội</t>
  </si>
  <si>
    <t>https://drive.google.com/open?id=15ypXxLLfx6-84oaXvq49EWbBqPqM937S</t>
  </si>
  <si>
    <t>T131</t>
  </si>
  <si>
    <t>https://www.facebook.com/profile.php?id=100027662193841&amp;mibextid=LQQJ4d</t>
  </si>
  <si>
    <t>Đạo Thị Kim Anh</t>
  </si>
  <si>
    <t>Mỹ Huyền</t>
  </si>
  <si>
    <t>kimanh3110dl@gmail.com</t>
  </si>
  <si>
    <t>Lương Tri , Nhơn Sơn, Ninh Sơn, Ninh Thuận</t>
  </si>
  <si>
    <t>https://drive.google.com/open?id=1rVvRMrVDjvc0P1aT8zp8YAlq_VdbVT3Q</t>
  </si>
  <si>
    <t>https://www.facebook.com/namson229?mibextid=LQQJ4d</t>
  </si>
  <si>
    <t>Nam Sơn</t>
  </si>
  <si>
    <t>Lê Phương</t>
  </si>
  <si>
    <t>trinhson229@gmail.com</t>
  </si>
  <si>
    <t>trực tiếp</t>
  </si>
  <si>
    <t>https://drive.google.com/open?id=1g-z9SeV6xCkpXPtHwDzyvIVzptxJm92b</t>
  </si>
  <si>
    <t>Đưa tay ở kho. HV của Phương theo Nhài ra lấy</t>
  </si>
  <si>
    <t>https://www.facebook.com/daonee131/friends_mutual/</t>
  </si>
  <si>
    <r>
      <rPr>
        <sz val="12"/>
        <color theme="1"/>
        <rFont val="Times New Roman"/>
        <family val="1"/>
      </rPr>
      <t xml:space="preserve">Hoàng Thị Đào </t>
    </r>
    <r>
      <rPr>
        <sz val="12"/>
        <color rgb="FFFF0000"/>
        <rFont val="Times New Roman"/>
        <family val="1"/>
      </rPr>
      <t>(Cần hợp đồng)</t>
    </r>
  </si>
  <si>
    <t>hd1312005@gmail.com</t>
  </si>
  <si>
    <t>Liêu Hạ, Tân Lập, Yên Mỹ, Hưng Yên</t>
  </si>
  <si>
    <t>xem hoàn chưa</t>
  </si>
  <si>
    <t>https://drive.google.com/open?id=1-p-Vvr316O6-HEMoZkB8KcWxFblPLkC-</t>
  </si>
  <si>
    <t>https://www.facebook.com/profile.php?id=100006895214841&amp;mibextid=LQQJ4d</t>
  </si>
  <si>
    <r>
      <rPr>
        <sz val="12"/>
        <color theme="1"/>
        <rFont val="Times New Roman"/>
        <family val="1"/>
      </rPr>
      <t xml:space="preserve">Hoàng Kiều Anh </t>
    </r>
    <r>
      <rPr>
        <sz val="12"/>
        <color rgb="FFFF0000"/>
        <rFont val="Times New Roman"/>
        <family val="1"/>
      </rPr>
      <t>(Cần hợp đồng)</t>
    </r>
  </si>
  <si>
    <t>ngocmaihti@gmail.com</t>
  </si>
  <si>
    <t>Nhà số 10, Ngõ 157 đường nguyễn Du, thị trấn Tiên Điền, Nghi Xuân, Hà Tĩnh</t>
  </si>
  <si>
    <t>https://drive.google.com/open?id=14ESFhQRu4bVumNNu6qSqyJB8zdRSRJGk</t>
  </si>
  <si>
    <t>https://www.facebook.com/profile.php?id=100009187367692&amp;mibextid=LQQJ4d</t>
  </si>
  <si>
    <r>
      <rPr>
        <sz val="12"/>
        <color theme="1"/>
        <rFont val="Times New Roman"/>
        <family val="1"/>
      </rPr>
      <t xml:space="preserve">Nguyễn Thị Khánh Linh </t>
    </r>
    <r>
      <rPr>
        <sz val="12"/>
        <color rgb="FFFF0000"/>
        <rFont val="Times New Roman"/>
        <family val="1"/>
      </rPr>
      <t>(Cần hợp đồng)</t>
    </r>
  </si>
  <si>
    <t xml:space="preserve"> khanhlinhthi29@gmail.com</t>
  </si>
  <si>
    <t>Xóm 2, xã Thái Sơn, huyện Đô Lương, tỉnh Nghệ An</t>
  </si>
  <si>
    <t>https://drive.google.com/open?id=1SLhLmIf1P5fSl1bUp0-ezBlk-7AGP4Mr, https://drive.google.com/open?id=17GLL3d5XRWtTUB5TLwPbufSJq2nnW2qi, https://drive.google.com/open?id=1Ogd2V-Wsa4OJkEYEnBi_-hjGGM47_ho_</t>
  </si>
  <si>
    <t>https://www.facebook.com/profile.php?id=100079699883336&amp;mibextid=ZbWKwL</t>
  </si>
  <si>
    <t>Nguyễn Văn Toàn</t>
  </si>
  <si>
    <t>toanken2005@gmail.com</t>
  </si>
  <si>
    <t>Xóm Quán, Khương Dụ, Yên Phong, Yên Mô, Ninh Bình</t>
  </si>
  <si>
    <t>https://drive.google.com/open?id=1JqAHnlj7vHcuZHvmJQU_dmN5dVeK3ic7</t>
  </si>
  <si>
    <t>https://www.facebook.com/bun.bunn.127?mibextid=LQQJ4d</t>
  </si>
  <si>
    <r>
      <rPr>
        <sz val="12"/>
        <color theme="1"/>
        <rFont val="Times New Roman"/>
        <family val="1"/>
      </rPr>
      <t xml:space="preserve">Ngiêm Thu Thuỷ </t>
    </r>
    <r>
      <rPr>
        <sz val="12"/>
        <color rgb="FFFF0000"/>
        <rFont val="Times New Roman"/>
        <family val="1"/>
      </rPr>
      <t>(Cần hợp đồng)</t>
    </r>
  </si>
  <si>
    <t xml:space="preserve"> Lục Cả- Thị Trấn Bo- Huyện Kim Bôi- Tỉnh Hoà Bình</t>
  </si>
  <si>
    <t>https://drive.google.com/open?id=1wq83kpJx-HFJjf6Jg5VyKmWfW9pd3LPT</t>
  </si>
  <si>
    <t>https://www.facebook.com/profile.php?id=100045580982334&amp;mibextid=LQQJ4d</t>
  </si>
  <si>
    <r>
      <rPr>
        <sz val="12"/>
        <color theme="1"/>
        <rFont val="Times New Roman"/>
        <family val="1"/>
      </rPr>
      <t xml:space="preserve">Phạm Thị Ngọc </t>
    </r>
    <r>
      <rPr>
        <sz val="12"/>
        <color rgb="FFFF0000"/>
        <rFont val="Times New Roman"/>
        <family val="1"/>
      </rPr>
      <t>(Cần hợp đồng)</t>
    </r>
  </si>
  <si>
    <t xml:space="preserve"> Phamngoc030105@gmail.com</t>
  </si>
  <si>
    <t xml:space="preserve"> mẫu sơn - chu điện - lục nam - bắc giang 
</t>
  </si>
  <si>
    <t>https://drive.google.com/open?id=1-pkqer4P6upITmRQT_HmAL4OQXtuD0Hu</t>
  </si>
  <si>
    <t>https://www.facebook.com/profile.php?id=100090553308626</t>
  </si>
  <si>
    <t>Cao Thuỳ Trang</t>
  </si>
  <si>
    <t>Phương Anh</t>
  </si>
  <si>
    <t>caothit203@gmail.com</t>
  </si>
  <si>
    <t>thanh hương -hoá quỳ-như xuân -thanh hóa</t>
  </si>
  <si>
    <t>https://drive.google.com/open?id=11liOOg9SRzgPGa4J4HP8IWWBzRq7YDDl</t>
  </si>
  <si>
    <t>https://www.facebook.com/chang220405</t>
  </si>
  <si>
    <t>Trịnh Đỗ Hà Trang</t>
  </si>
  <si>
    <t>trinhdohatrang@gmail.com</t>
  </si>
  <si>
    <t>Ngã Tư Chợ Bãi Sim Văn Ổ Đại Đồng Văn Lâm Hưng Yên</t>
  </si>
  <si>
    <t>https://drive.google.com/open?id=1_trW3WE2kxGKRR0aDr0xAWrw5RBi42VY</t>
  </si>
  <si>
    <t>Đã gửi sách PT29</t>
  </si>
  <si>
    <t>https://www.facebook.com/ngaos.nhos.359</t>
  </si>
  <si>
    <t>Kim Thị Mai Huyên</t>
  </si>
  <si>
    <t>Team Yến</t>
  </si>
  <si>
    <t>Anh Tuấn</t>
  </si>
  <si>
    <t>huyen200459@gmail.com</t>
  </si>
  <si>
    <t xml:space="preserve">Xóm Thượng, thôn Phú Hữu, xã Bột Xuyên, huyện Mỹ Đức, HN </t>
  </si>
  <si>
    <t>https://drive.google.com/open?id=1voym0D-Ui1UgalMNeW66t7iYDrU8KwG0</t>
  </si>
  <si>
    <t>https://www.facebook.com/profile.php?id=100034701515149&amp;mibextid=ZbWKwL</t>
  </si>
  <si>
    <r>
      <rPr>
        <sz val="12"/>
        <color theme="1"/>
        <rFont val="Times New Roman"/>
        <family val="1"/>
      </rPr>
      <t xml:space="preserve">Đặng Phương Thu </t>
    </r>
    <r>
      <rPr>
        <sz val="12"/>
        <color rgb="FFFF0000"/>
        <rFont val="Times New Roman"/>
        <family val="1"/>
      </rPr>
      <t>(Cần hợp đồng)</t>
    </r>
  </si>
  <si>
    <t>Ngõ 20 đường Tôn Đức Thắng, phường Bãi Bông, thành phố Phổ Yên, tỉnh Thái Nguyên</t>
  </si>
  <si>
    <t>https://drive.google.com/open?id=10XsBcOdARnHn38I7YlCmGwSJHluWotpt</t>
  </si>
  <si>
    <t>PT30</t>
  </si>
  <si>
    <t>https://www.facebook.com/profile.php?id=100050614066292&amp;mibextid=ZbWKwL</t>
  </si>
  <si>
    <r>
      <rPr>
        <sz val="12"/>
        <color theme="1"/>
        <rFont val="Times New Roman"/>
        <family val="1"/>
      </rPr>
      <t xml:space="preserve">Vũ Anh Đức </t>
    </r>
    <r>
      <rPr>
        <sz val="12"/>
        <color rgb="FFFF0000"/>
        <rFont val="Times New Roman"/>
        <family val="1"/>
      </rPr>
      <t>(Phiếu thu)</t>
    </r>
  </si>
  <si>
    <t xml:space="preserve">Đội 5 Mỹ Bình , Giao Châu , Giao Thủy , Nam Định  </t>
  </si>
  <si>
    <t>https://drive.google.com/open?id=1-TwysdhrVxtN1eTzKhI7AMD68zLaYwKb</t>
  </si>
  <si>
    <t>PT29 bảo lưu b4 bận việc gia đình</t>
  </si>
  <si>
    <t>https://www.facebook.com/profile.php?id=100023809663512&amp;mibextid=LQQJ4d</t>
  </si>
  <si>
    <r>
      <rPr>
        <sz val="12"/>
        <color theme="1"/>
        <rFont val="Times New Roman"/>
        <family val="1"/>
      </rPr>
      <t xml:space="preserve">Lê Tường Vi </t>
    </r>
    <r>
      <rPr>
        <sz val="12"/>
        <color rgb="FFFF0000"/>
        <rFont val="Times New Roman"/>
        <family val="1"/>
      </rPr>
      <t>(Phiếu thu)</t>
    </r>
  </si>
  <si>
    <t>khu phố 6 ,huyện giồng riềng ,tỉnh kiên giang.</t>
  </si>
  <si>
    <t>https://drive.google.com/open?id=1JVfc0Tjy3FC-PhffLGVH0dTmVExTh1bA</t>
  </si>
  <si>
    <t>PT30 nghỉ ngang b6 sang Hàn. Huy báo</t>
  </si>
  <si>
    <t>https://www.facebook.com/profile.php?id=100023802907797&amp;mibextid=LQQJ4d</t>
  </si>
  <si>
    <t>Nguyễn Anh Tuấn</t>
  </si>
  <si>
    <t>Nguyenanhtuank30@gmail.com</t>
  </si>
  <si>
    <t>thôn ba xã - xã An Sinh - thị xã Đông Triều - tỉnh Quảng Ninh</t>
  </si>
  <si>
    <t>https://drive.google.com/open?id=1DGC28Ah-IMPRvEwIehcBuw_mYd2FEg1b</t>
  </si>
  <si>
    <t>https://www.facebook.com/trongbeo67?mibextid=LQQJ4d</t>
  </si>
  <si>
    <r>
      <rPr>
        <sz val="12"/>
        <color theme="1"/>
        <rFont val="Times New Roman"/>
        <family val="1"/>
      </rPr>
      <t xml:space="preserve">Chử Đức Trọng </t>
    </r>
    <r>
      <rPr>
        <sz val="12"/>
        <color rgb="FFFF0000"/>
        <rFont val="Times New Roman"/>
        <family val="1"/>
      </rPr>
      <t>(Phiếu thu)</t>
    </r>
  </si>
  <si>
    <t>Nguyễn Thu Phương</t>
  </si>
  <si>
    <t xml:space="preserve">Thôn Liên Kết xã Ea Tân huyện Krông Năng tỉnh Đắk Lắk
</t>
  </si>
  <si>
    <t>https://drive.google.com/open?id=1XPLSRpuqf6ZweE5kfSu7e6RT4m_8-TqA</t>
  </si>
  <si>
    <t>T151 bảo lưu b11 bận d di làm</t>
  </si>
  <si>
    <t>https://www.facebook.com/profile.php?id=100010054516446</t>
  </si>
  <si>
    <t>Đặng Quốc Huy</t>
  </si>
  <si>
    <t>dangquochuy0106@gmail.com</t>
  </si>
  <si>
    <t>Số 25 ngõ 261 Phú Diễn Bắc Từ Liêm, Hà Nội</t>
  </si>
  <si>
    <t>https://drive.google.com/open?id=1dceh02_zdqmUtdqUpWAVhtz2ICizJZoa</t>
  </si>
  <si>
    <t>B623</t>
  </si>
  <si>
    <t>https://www.facebook.com/100003281448454/</t>
  </si>
  <si>
    <t xml:space="preserve">Lê Thị Thu Phượng </t>
  </si>
  <si>
    <t>Lê Văn Linh</t>
  </si>
  <si>
    <t>Tổ 1-tt quế- kim bảng -hà nam</t>
  </si>
  <si>
    <t>https://drive.google.com/open?id=1BbWgEu5S0XefqqXQvmptEFU2iVMPkCqH</t>
  </si>
  <si>
    <t>không làm được gì bài test</t>
  </si>
  <si>
    <t>Đã gửi sách PT29 ngày 25/07/2023. Hiền báo HV rút ra chờ lớp ngày 28/07/2023</t>
  </si>
  <si>
    <t>B611</t>
  </si>
  <si>
    <t>PT36</t>
  </si>
  <si>
    <t>https://www.facebook.com/100030724050819/</t>
  </si>
  <si>
    <t>Nguyễn Xuân Hải</t>
  </si>
  <si>
    <t>Sân bóng CNTT, Tổ 2, đường Z115, phường Tân Thịnh, thành phố Thái Nguyên, tỉnh Thái Nguyên</t>
  </si>
  <si>
    <t>https://drive.google.com/open?id=1oRrjpj6PqtZsKwDZ7gBwp8YNoDOL_Tbr</t>
  </si>
  <si>
    <t>https://www.facebook.com/profile.php?id=100053778558130&amp;mibextid=LQQJ4d</t>
  </si>
  <si>
    <r>
      <rPr>
        <sz val="12"/>
        <color theme="1"/>
        <rFont val="Times New Roman"/>
        <family val="1"/>
      </rPr>
      <t xml:space="preserve">Phạm Thanh Huyền </t>
    </r>
    <r>
      <rPr>
        <sz val="12"/>
        <color rgb="FFFF0000"/>
        <rFont val="Times New Roman"/>
        <family val="1"/>
      </rPr>
      <t>(Phiếu thu)</t>
    </r>
  </si>
  <si>
    <t>phamthanhhuyendaiyen2005@gmail.com</t>
  </si>
  <si>
    <t>Số nhà 118 , Cầu Trắng , Đại Yên, Tp Hạ Long , tỉnh Quảng Ninh</t>
  </si>
  <si>
    <t>https://drive.google.com/open?id=1Y1nccTKP8R6xBKnWX5swlcSyEXo-N_LG</t>
  </si>
  <si>
    <t>PT34</t>
  </si>
  <si>
    <t>https://www.facebook.com/pk.phuc.5667?mibextid=LQQJ4d</t>
  </si>
  <si>
    <r>
      <rPr>
        <sz val="12"/>
        <color theme="1"/>
        <rFont val="Times New Roman"/>
        <family val="1"/>
      </rPr>
      <t xml:space="preserve">Đặng Gia Phúc </t>
    </r>
    <r>
      <rPr>
        <sz val="12"/>
        <color rgb="FFFF0000"/>
        <rFont val="Times New Roman"/>
        <family val="1"/>
      </rPr>
      <t>867413309 sđt cũ</t>
    </r>
  </si>
  <si>
    <t>phucpk1808@gmail.com</t>
  </si>
  <si>
    <t>cổng phụ hoàng huy, xã an đồng, an dương, hải phòng</t>
  </si>
  <si>
    <t>https://drive.google.com/open?id=1mfbY5qkz460phpSPrC5XJGPaKcDAP2Jn</t>
  </si>
  <si>
    <t>PT32</t>
  </si>
  <si>
    <t>https://www.facebook.com/profile.php?id=100050075393686</t>
  </si>
  <si>
    <t xml:space="preserve">Nguyễn Văn Duy </t>
  </si>
  <si>
    <t>nguyenvanduy15548@gmail.com</t>
  </si>
  <si>
    <t xml:space="preserve"> Xa Loan Bồng lai quế võ Bắc Ninh </t>
  </si>
  <si>
    <t>https://drive.google.com/open?id=1n0O4J5rw_TVg243duToTVfSavBANhlrs</t>
  </si>
  <si>
    <t>PT29 -&gt;PT31 -&gt; Chờ -&gt;PT32</t>
  </si>
  <si>
    <t>https://www.facebook.com/profile.php?id=100004686769201</t>
  </si>
  <si>
    <t xml:space="preserve">Vũ Văn Hoàng </t>
  </si>
  <si>
    <t>vhoang35nb.ym@gmail.com</t>
  </si>
  <si>
    <t>Hà Thu Hiền lấy hộ</t>
  </si>
  <si>
    <t>https://drive.google.com/open?id=13voZhb1hzcabIHbsbutbeOkgiDVY7xVC</t>
  </si>
  <si>
    <t>Nhài đưa tay Hiền ở VP</t>
  </si>
  <si>
    <t>PT31</t>
  </si>
  <si>
    <t>https://www.facebook.com/100071916904069/</t>
  </si>
  <si>
    <r>
      <rPr>
        <sz val="12"/>
        <color theme="1"/>
        <rFont val="Times New Roman"/>
        <family val="1"/>
      </rPr>
      <t>Trần Thị Hoàng Yến-</t>
    </r>
    <r>
      <rPr>
        <sz val="12"/>
        <color rgb="FFFF0000"/>
        <rFont val="Times New Roman"/>
        <family val="1"/>
      </rPr>
      <t xml:space="preserve"> nick Ruby Trần</t>
    </r>
  </si>
  <si>
    <t>Khu 3, thôn thọ lão, xã tiến thịnh, mê linh, Hà Nội</t>
  </si>
  <si>
    <t>https://drive.google.com/open?id=1vBzmSvgfhzvvhnXRx-3k8_gTbrwK6nAa</t>
  </si>
  <si>
    <t>&lt;350</t>
  </si>
  <si>
    <t>https://www.facebook.com/profile.php?id=100009855037839&amp;mibextid=LQQJ4d</t>
  </si>
  <si>
    <t xml:space="preserve">Nguyễn Quang Hưng </t>
  </si>
  <si>
    <t xml:space="preserve">doremonnguyen126@gmail.com </t>
  </si>
  <si>
    <t xml:space="preserve">196 Phùng Chí Kiên phường Tân Bình thành phố Hải Dương </t>
  </si>
  <si>
    <t>https://drive.google.com/open?id=1SUzT2FpIVkd1T93lPVYhwe7PS_DqRa1G</t>
  </si>
  <si>
    <t>https://www.facebook.com/profile.php?id=100077426512188&amp;mibextid=ZbWKwL</t>
  </si>
  <si>
    <r>
      <rPr>
        <sz val="12"/>
        <color theme="1"/>
        <rFont val="Times New Roman"/>
        <family val="1"/>
      </rPr>
      <t xml:space="preserve">Nguyễn Thị Luyện </t>
    </r>
    <r>
      <rPr>
        <sz val="12"/>
        <color rgb="FFFF0000"/>
        <rFont val="Times New Roman"/>
        <family val="1"/>
      </rPr>
      <t>(Phiếu thu)</t>
    </r>
  </si>
  <si>
    <t>thiluyen035259@gmail.com</t>
  </si>
  <si>
    <t>Thôn Mang Tà Bể, tập đoàn 9, xã Sơn Bua, huyện Sơn Tây, Quảng Ngãi</t>
  </si>
  <si>
    <t>https://drive.google.com/open?id=1jGM84e4EepT1b6v-wpJOh6GPt0HX3h8E</t>
  </si>
  <si>
    <t>OPT1</t>
  </si>
  <si>
    <t>https://www.facebook.com/profile.php?id=100043041522190</t>
  </si>
  <si>
    <t>Nguyễn Quốc Việt</t>
  </si>
  <si>
    <t>nguyenquocviet19092004@gmail.com</t>
  </si>
  <si>
    <t>35 Sông Nhuệ, Đức Thắng,Bắc Từ Liêm, Hà Nội</t>
  </si>
  <si>
    <t>Phát sách ở lớp OFF</t>
  </si>
  <si>
    <t>https://www.facebook.com/100022489362947/</t>
  </si>
  <si>
    <t>Nguyễn Thị Minh Hiền</t>
  </si>
  <si>
    <t>hienng.wk00@gmail.com</t>
  </si>
  <si>
    <t>127 Sông Nhuệ Đức Thắng Bắc Từ Liêm</t>
  </si>
  <si>
    <t>https://drive.google.com/open?id=1-qt1tZ3Li90oha-2sPZqREdRRnHvZcvP</t>
  </si>
  <si>
    <t>Mât gốc</t>
  </si>
  <si>
    <t>https://www.facebook.com/profile.php?id=100027844110320</t>
  </si>
  <si>
    <t xml:space="preserve">Nguyễn Đình Khải </t>
  </si>
  <si>
    <t>nguyendinhkhai1145@gmail.com</t>
  </si>
  <si>
    <t>Thôn 2 - xã Liên Hiệp - huyện Phúc Thọ - tp Hà Nội</t>
  </si>
  <si>
    <t>B615</t>
  </si>
  <si>
    <t>T154</t>
  </si>
  <si>
    <t>https://www.facebook.com/profile.php?id=100011932509351</t>
  </si>
  <si>
    <t xml:space="preserve">Nguyễn Chí Quảng </t>
  </si>
  <si>
    <t>Số 12 Ngõ 279 Đường 422b, Thôn Hậu Ái, Vân Canh, Hoài Đức, Hà Nội</t>
  </si>
  <si>
    <t>https://drive.google.com/open?id=1q7H05cZRnJLH-hqGateJt0KECYOMSCBL</t>
  </si>
  <si>
    <t>B620</t>
  </si>
  <si>
    <t>PT35</t>
  </si>
  <si>
    <t>https://www.facebook.com/thanhvan.phamthi.5099?mibextid=2JQ9oc</t>
  </si>
  <si>
    <t>Phạm Thị Thanh Vân</t>
  </si>
  <si>
    <t>Cầu Giấy 2</t>
  </si>
  <si>
    <t>Thúy</t>
  </si>
  <si>
    <t>Số nhà 12, ngõ 179 ngách 187 Phố Vĩnh Hưng, Phường Vĩnh Hưng, Hoàng Mai, Hà Nội</t>
  </si>
  <si>
    <t>https://drive.google.com/open?id=1904xxXUOlE4z_QOS2N1vVZIrrtY7DmJx</t>
  </si>
  <si>
    <t>PT31 -&gt;PT35</t>
  </si>
  <si>
    <t>https://www.facebook.com/ngocdippp.23</t>
  </si>
  <si>
    <t xml:space="preserve">Ngọc Thị Điệp </t>
  </si>
  <si>
    <t>Dũng</t>
  </si>
  <si>
    <t>ngocdiep151123@gmail.com</t>
  </si>
  <si>
    <t>Số 57, ngõ 55, Mễ TRì Hạ, Nam Từ Liêm, Hà Nội</t>
  </si>
  <si>
    <t>https://drive.google.com/open?id=1s-NA_ZpxuPCanXWjp450RR3Z8LXHe28Z</t>
  </si>
  <si>
    <t>https://www.facebook.com/profile.php?id=100048078816710&amp;mibextid=LQQJ4d</t>
  </si>
  <si>
    <r>
      <rPr>
        <sz val="12"/>
        <color theme="1"/>
        <rFont val="Times New Roman"/>
        <family val="1"/>
      </rPr>
      <t xml:space="preserve">Đỗ Thị Thanh Thủy </t>
    </r>
    <r>
      <rPr>
        <sz val="12"/>
        <color rgb="FFFF0000"/>
        <rFont val="Times New Roman"/>
        <family val="1"/>
      </rPr>
      <t>(Phiếu thu)</t>
    </r>
  </si>
  <si>
    <t>505 Ngự Thiên, tổ dân phố Xuân Trúc - Kiều Thạch, thị trấn Hưng Nhân, Hưng Hà, Thái Bình</t>
  </si>
  <si>
    <t>https://drive.google.com/open?id=1UwMrlvWtjyKncsvBGJc2-hM4H_9orXOP</t>
  </si>
  <si>
    <t>C144</t>
  </si>
  <si>
    <t>T151</t>
  </si>
  <si>
    <t>https://www.facebook.com/profile.php?id=100036921366864&amp;mibextid=ZbWKwL</t>
  </si>
  <si>
    <t>Nguyễn Thị Thắm</t>
  </si>
  <si>
    <t>Hoàng Hương Trà</t>
  </si>
  <si>
    <t>nguyentham1234nb@gmail.com</t>
  </si>
  <si>
    <t>Đình Tân Khai, 139 ngõ 179 đường Vĩnh Hưng, Phường Vĩnh Hưng, quận Hoàng Mai, TP Hà Nội</t>
  </si>
  <si>
    <t>https://drive.google.com/open?id=1cHr0fbJMzfge2fN8wC_cdxf0MnXJZ_ej</t>
  </si>
  <si>
    <t>https://www.facebook.com/profile.php?id=100053094699688&amp;mibextid=LQQJ4d</t>
  </si>
  <si>
    <r>
      <rPr>
        <sz val="12"/>
        <color theme="1"/>
        <rFont val="Times New Roman"/>
        <family val="1"/>
      </rPr>
      <t xml:space="preserve">Phạm Trần Duy Hải </t>
    </r>
    <r>
      <rPr>
        <sz val="12"/>
        <color rgb="FFFF0000"/>
        <rFont val="Times New Roman"/>
        <family val="1"/>
      </rPr>
      <t>(Phiếu thu)</t>
    </r>
  </si>
  <si>
    <t xml:space="preserve">caycaulun345@gmail.com </t>
  </si>
  <si>
    <r>
      <rPr>
        <sz val="12"/>
        <color rgb="FFFF0000"/>
        <rFont val="Times New Roman"/>
        <family val="1"/>
      </rPr>
      <t>Thôn Quan Bằng</t>
    </r>
    <r>
      <rPr>
        <sz val="12"/>
        <color theme="1"/>
        <rFont val="Times New Roman"/>
        <family val="1"/>
      </rPr>
      <t>, xã Cẩm Vân, huyện Cẩm Thủy, tỉnh Thanh Hóa</t>
    </r>
  </si>
  <si>
    <t>https://drive.google.com/open?id=1GZL9pxPkWh3Em9rJsLlcUx3Z4gHIrpB1</t>
  </si>
  <si>
    <t>https://www.facebook.com/phuonghuynh.nguyen.1232?mibextid=2JQ9oc</t>
  </si>
  <si>
    <t>Nguyễn Ngọc Phương Huỳnh</t>
  </si>
  <si>
    <t>nguyenhuynhngoquyen@gmail.com</t>
  </si>
  <si>
    <t>97, khu vực Bình Thuận, Phường Trường Lạc, Quận Ô Môn, Cần Thơ</t>
  </si>
  <si>
    <t>https://drive.google.com/open?id=1JdROIqWoCs5EKexs0xM7ivMD3MTvR7qS</t>
  </si>
  <si>
    <t>https://www.facebook.com/profile.php?id=100023805314792&amp;mibextid=ZbWKwL</t>
  </si>
  <si>
    <r>
      <rPr>
        <sz val="12"/>
        <color theme="1"/>
        <rFont val="Times New Roman"/>
        <family val="1"/>
      </rPr>
      <t xml:space="preserve">Nguyễn Thị Ngọc Ánh </t>
    </r>
    <r>
      <rPr>
        <sz val="12"/>
        <color rgb="FFFF0000"/>
        <rFont val="Times New Roman"/>
        <family val="1"/>
      </rPr>
      <t>(Phiếu  thu)</t>
    </r>
  </si>
  <si>
    <t>Thịnh</t>
  </si>
  <si>
    <t>ngocanheri1725@gmail.com</t>
  </si>
  <si>
    <t>xưởng đá xẻ Quý Lương, xóm cây đề,An Nhân Tây, Thị trấn Tứ Kỳ,Hải Dương</t>
  </si>
  <si>
    <t>https://drive.google.com/open?id=1PqwFQwAV1qjBjQ06I8crFONMsre1jo5u</t>
  </si>
  <si>
    <t>PT33</t>
  </si>
  <si>
    <t>https://www.facebook.com/sweetheart.04042003</t>
  </si>
  <si>
    <t>Nguyễn Thu Thuỷ</t>
  </si>
  <si>
    <t>Thôn Đoàn Dũng- Thái Sơn- An lão- Hải Phòng</t>
  </si>
  <si>
    <t>https://drive.google.com/open?id=1NnG6Ptfu65z-pQTcrZeookDl58vWOmsA, https://drive.google.com/open?id=1LUWGSO-Hzuyp7D3Y1ux_uBvHvDa5QVdP</t>
  </si>
  <si>
    <t>https://www.facebook.com/jun.giung.3?mibextid=LQQJ4d</t>
  </si>
  <si>
    <t>Nguyễn Trịnh Phương Dung</t>
  </si>
  <si>
    <t>phuongdung20022021@gmail.com</t>
  </si>
  <si>
    <t>Xóm 6, xã Đồng Hướng, huyện Kim Sơn, tỉnh Ninh Bình</t>
  </si>
  <si>
    <t>https://drive.google.com/open?id=1xUZOS8h1NjEw2ZWfajwU2gBuXgPTzuUs</t>
  </si>
  <si>
    <t>https://www.facebook.com/profile.php?id=100037868242476&amp;mibextid=LQQJ4d</t>
  </si>
  <si>
    <t xml:space="preserve">Đặng Thùy Trang </t>
  </si>
  <si>
    <t>dangtrang0914178257@gmail.com</t>
  </si>
  <si>
    <t xml:space="preserve">Đội 6 - Bồng Lạng - Thanh Nghị - Thanh Liêm - Hà Nam </t>
  </si>
  <si>
    <t>https://drive.google.com/open?id=1GUWAJh2JQlnlTImmPmvBXI6lxU7_f9j1</t>
  </si>
  <si>
    <t>https://www.facebook.com/nhatanh.tran.39750121?mibextid=ZbWKwL</t>
  </si>
  <si>
    <r>
      <rPr>
        <sz val="12"/>
        <color theme="1"/>
        <rFont val="Times New Roman"/>
        <family val="1"/>
      </rPr>
      <t>Trần Nhật Anh</t>
    </r>
    <r>
      <rPr>
        <sz val="12"/>
        <color rgb="FFFF0000"/>
        <rFont val="Times New Roman"/>
        <family val="1"/>
      </rPr>
      <t xml:space="preserve"> (Phiếu thu)</t>
    </r>
  </si>
  <si>
    <t>Ch có</t>
  </si>
  <si>
    <t>Xóm 2 , Đà Sơn , Đô Lương, Nghệ An</t>
  </si>
  <si>
    <t>https://drive.google.com/open?id=1JyRDA3DwM-5FEfl915_flo_Me0XH8DFP</t>
  </si>
  <si>
    <t>khÔng</t>
  </si>
  <si>
    <t>https://www.facebook.com/profile.php?id=100072704288188&amp;mibextid=ZbWKwL</t>
  </si>
  <si>
    <t>Trần Đoàn Minh Anh</t>
  </si>
  <si>
    <t>tieutuenga@gmail.com</t>
  </si>
  <si>
    <t>Số 34, Trần Nhân Tông, thị trấn Vĩnh Trụ, huyện Lý Nhân, tỉnh Hà Nam</t>
  </si>
  <si>
    <t>https://drive.google.com/open?id=1bzR522KJiPkt5xUQc3r8fNJZJCRpd1CL</t>
  </si>
  <si>
    <t>A1031</t>
  </si>
  <si>
    <t>T248</t>
  </si>
  <si>
    <t>https://www.facebook.com/profile.php?id=100024012766361&amp;mibextid=ZbWKwL</t>
  </si>
  <si>
    <r>
      <rPr>
        <sz val="12"/>
        <color theme="1"/>
        <rFont val="Times New Roman"/>
        <family val="1"/>
      </rPr>
      <t xml:space="preserve">Nguyễn Thị Phương </t>
    </r>
    <r>
      <rPr>
        <sz val="12"/>
        <color rgb="FFFF0000"/>
        <rFont val="Times New Roman"/>
        <family val="1"/>
      </rPr>
      <t>- đã combo giao tiếp level 2,3 từ tháng 6, tháng 7 nộp thêm để được hưởng combo 4</t>
    </r>
  </si>
  <si>
    <t>Nguyễn Ánh</t>
  </si>
  <si>
    <t>15 ngõ 63 ngọc đại- đại mỗ - nam từ liêm - hà nội</t>
  </si>
  <si>
    <t>giảm trừ 60k</t>
  </si>
  <si>
    <t>https://drive.google.com/open?id=1fsK0KRi-GMyzeYaD_qoDm322xD1QuYML</t>
  </si>
  <si>
    <t>chưa test, học xong 3 level giao tiếp r mới test</t>
  </si>
  <si>
    <t>C155</t>
  </si>
  <si>
    <t>T190</t>
  </si>
  <si>
    <t>https://www.facebook.com/profile.php?id=100013788977735</t>
  </si>
  <si>
    <t>Phạm Phương Linh</t>
  </si>
  <si>
    <t>Thục Dung</t>
  </si>
  <si>
    <t>1. gửi sách trước 18/8:  số nhà 7 ngõ 19 đường đỗ lí khiêm, phường bồ xuyên, tp Thái bình
2. gửi sách sau 18/8: sn 46 hàn mặc tử,phường kinh bắc, tp bắc ninh</t>
  </si>
  <si>
    <t>https://drive.google.com/open?id=182-M3v1l_QkZ8CchaOVkFcPDXA7tN3yt</t>
  </si>
  <si>
    <t>T156</t>
  </si>
  <si>
    <t>https://www.facebook.com/profile.php?id=100041111582106</t>
  </si>
  <si>
    <t>Nguyễn Ngọc Thúy</t>
  </si>
  <si>
    <t>nguyenngocthuy.01012003@gmail.com</t>
  </si>
  <si>
    <t>An Phong, Ngô Mây, Phù Cát, Bình Định</t>
  </si>
  <si>
    <t>https://drive.google.com/open?id=1ZdGJ0o4pwPvcZrudbXM7tvAkZPs7KHpF, https://drive.google.com/open?id=1S3RqCK2tmUtcv-aVgWFsLDz01aCZRnIn</t>
  </si>
  <si>
    <t>T155</t>
  </si>
  <si>
    <t>https://www.facebook.com/sakurai.yuki.94</t>
  </si>
  <si>
    <t>Đào Nguyễn Quỳnh Như</t>
  </si>
  <si>
    <t>nhunhungvisao530@gmail.com</t>
  </si>
  <si>
    <t>49 Biên Cương, Nhô Mây, Quy Nhơn, Bình Định</t>
  </si>
  <si>
    <t>https://drive.google.com/open?id=1gWSMnAOZ4xC6xRmy5_cgp00yA5ozs8nw, https://drive.google.com/open?id=1EfnFMpvhSPUUkX0djm_pSTALycQcHKwE</t>
  </si>
  <si>
    <t>https://www.facebook.com/profile.php?id=100017119905197</t>
  </si>
  <si>
    <r>
      <rPr>
        <sz val="12"/>
        <color theme="1"/>
        <rFont val="Times New Roman"/>
        <family val="1"/>
      </rPr>
      <t>Phạm Thị Thanh Dung</t>
    </r>
    <r>
      <rPr>
        <sz val="12"/>
        <color rgb="FFFF0000"/>
        <rFont val="Times New Roman"/>
        <family val="1"/>
      </rPr>
      <t xml:space="preserve"> 338677954 sđt cũ</t>
    </r>
  </si>
  <si>
    <t>Mai Lan</t>
  </si>
  <si>
    <t>phamthanhdung07062005@gmail.com</t>
  </si>
  <si>
    <t xml:space="preserve"> Đội 6, thôn Kiêm Tân, xã Quảng Nghiệp, huyện Tứ Kỳ, tỉnh Hải Dương</t>
  </si>
  <si>
    <t>https://drive.google.com/open?id=1C03NGEieD8fgt5e2Tvv1z6C5xIaSgCl0, https://drive.google.com/open?id=1wqAExP8D6ZeFaHmho0YH-UdRCcxCj_Nv</t>
  </si>
  <si>
    <t>https://www.facebook.com/profile.php?id=100026283840647</t>
  </si>
  <si>
    <r>
      <rPr>
        <sz val="12"/>
        <color theme="1"/>
        <rFont val="Times New Roman"/>
        <family val="1"/>
      </rPr>
      <t xml:space="preserve"> Đoàn Thị Ngọc Anh</t>
    </r>
    <r>
      <rPr>
        <sz val="12"/>
        <color rgb="FFFF0000"/>
        <rFont val="Times New Roman"/>
        <family val="1"/>
      </rPr>
      <t xml:space="preserve"> (Phiếu thu)</t>
    </r>
  </si>
  <si>
    <t>Tùng</t>
  </si>
  <si>
    <t>Xóm 2, Giao Tân, Giao Thuỷ, Nam Định</t>
  </si>
  <si>
    <t>https://drive.google.com/open?id=1goMUJ69C6fFOrIwkU3xzo5fEMsV37QNn</t>
  </si>
  <si>
    <t>https://www.facebook.com/profile.php?id=100064179216510&amp;mibextid=ZbWKwL</t>
  </si>
  <si>
    <r>
      <rPr>
        <sz val="12"/>
        <color theme="1"/>
        <rFont val="Times New Roman"/>
        <family val="1"/>
      </rPr>
      <t xml:space="preserve">Mai Thống Bách </t>
    </r>
    <r>
      <rPr>
        <sz val="12"/>
        <color rgb="FFFF0000"/>
        <rFont val="Times New Roman"/>
        <family val="1"/>
      </rPr>
      <t>(Phiếu thu)</t>
    </r>
  </si>
  <si>
    <t>Xóm 2, Giao Tiến, Giao Thuỷ, Nam Định</t>
  </si>
  <si>
    <t>https://drive.google.com/open?id=1NC2jewKyXWYvJd7g17ZUvwwf2csE1aCC</t>
  </si>
  <si>
    <t>PT44</t>
  </si>
  <si>
    <t>https://www.facebook.com/hn0412802</t>
  </si>
  <si>
    <t>Phạm Thị Hường</t>
  </si>
  <si>
    <t>Nhatnhu3404@gmail.com</t>
  </si>
  <si>
    <t>Số nhà 7, ngách 15, ngõ 252 Tây Sơn, phường Trung Liệt, Đống Đa, Hà Nội</t>
  </si>
  <si>
    <t>https://drive.google.com/open?id=1hy563E7n5OIHiEojehSaySxfe5NZidF3</t>
  </si>
  <si>
    <t>Hết sách</t>
  </si>
  <si>
    <t>LỖI LINK FB</t>
  </si>
  <si>
    <t>Chờ lớp</t>
  </si>
  <si>
    <t>https://www.facebook.com/profile.php?id=100093554755534&amp;mibextid=LQQJ4d</t>
  </si>
  <si>
    <t xml:space="preserve">Phạm Quỳnh Mai </t>
  </si>
  <si>
    <t>Bằng giã, tân việt, bình Giang, hải dương
Hường</t>
  </si>
  <si>
    <t>https://drive.google.com/open?id=1Aae_hqOpTJ73MK0NxxDLrruYug2uyl8e</t>
  </si>
  <si>
    <t xml:space="preserve">mất </t>
  </si>
  <si>
    <t>https://www.facebook.com/profile.php?id=100042302111726</t>
  </si>
  <si>
    <t>Nguyễn Thị Kiều Anh</t>
  </si>
  <si>
    <t>kieuanh2k3333333@gmail.con</t>
  </si>
  <si>
    <t>Nhà 153, Ngõ 175/5 Định Công, Hoàng Mai, Hà Nội</t>
  </si>
  <si>
    <t>https://drive.google.com/open?id=1zRPgGz4RsWKZQXfa4M8n7jDrvoaL_Q3l</t>
  </si>
  <si>
    <t>https://www.facebook.com/profile.php?id=100012926197311</t>
  </si>
  <si>
    <t xml:space="preserve">Ngô Minh Phương </t>
  </si>
  <si>
    <t>pistar1710@gmail.com</t>
  </si>
  <si>
    <t>Số 23, Ngõ 175, Phố Định Công, Hoàng Mai, Hà Nội</t>
  </si>
  <si>
    <t>https://drive.google.com/open?id=1tI1gLwXM5kXMTaO0mBGr_5MoN7CurqVM, https://drive.google.com/open?id=1IvVxLKnHhXDgGTKWEgvYCgqoY0ZPwF5C</t>
  </si>
  <si>
    <t>B605</t>
  </si>
  <si>
    <t>T161</t>
  </si>
  <si>
    <t>https://www.facebook.com/Lekimanh204</t>
  </si>
  <si>
    <t>Kim Anh</t>
  </si>
  <si>
    <t>Thảo Linh</t>
  </si>
  <si>
    <t>Đối diện nhà thờ Đồng Du, Hợp Đồng, Chương Mỹ, Hà Nội</t>
  </si>
  <si>
    <t>https://drive.google.com/open?id=1g0V2B5-VcYHvoneevb1baioEF0pSlYmW</t>
  </si>
  <si>
    <t>PT45</t>
  </si>
  <si>
    <t>T198</t>
  </si>
  <si>
    <t>https://www.facebook.com/profile.php?id=100027078076914</t>
  </si>
  <si>
    <t>Lục Thị Vân Anh</t>
  </si>
  <si>
    <t>aluc6282@gmail.com</t>
  </si>
  <si>
    <t>Số nhà 16, hẻm 193/220/119 Phú Diễn, Bắc Từ Liêm, Hà Nội</t>
  </si>
  <si>
    <t>https://drive.google.com/open?id=1tzfAdc48S49YWib-wnsYG9GaPMx9Z4Bh, https://drive.google.com/open?id=1MJx7fNmWluKzg95bsfG6U9Uiohzgk5sl</t>
  </si>
  <si>
    <t>Nhài gửi ở nhà thuốc Phương Thảo. Đã gửi sách T160. Phương báo HV chuyển T160 sang PT45</t>
  </si>
  <si>
    <t>https://www.facebook.com/profile.php?id=100072388993506</t>
  </si>
  <si>
    <t>Nguyễn Phương Hậu</t>
  </si>
  <si>
    <t xml:space="preserve">Nguyễn Quang Huy </t>
  </si>
  <si>
    <t>xóm Hạ Vụ 1, Vạn Phái, Phổ Yên, Thái Nguyên</t>
  </si>
  <si>
    <t>https://drive.google.com/open?id=1ZCO3chDtOziTXzBuTcDM_HWlA-TNumbn; https://drive.google.com/open?id=1sbtk6UKut4-o5Dv7xkHWlDlJ15D5LgNo</t>
  </si>
  <si>
    <t>Trả lương T08.2023</t>
  </si>
  <si>
    <t>PT29 nghỉ ngang b5 gặp chuyện tâm lý. Huy báo</t>
  </si>
  <si>
    <t>https://www.facebook.com/profile.php?id=100040282274197&amp;mibextid=LQQJ4d</t>
  </si>
  <si>
    <r>
      <rPr>
        <sz val="12"/>
        <color theme="1"/>
        <rFont val="Times New Roman"/>
        <family val="1"/>
      </rPr>
      <t xml:space="preserve">Ngô Đình Sáng </t>
    </r>
    <r>
      <rPr>
        <sz val="12"/>
        <color rgb="FFFF0000"/>
        <rFont val="Times New Roman"/>
        <family val="1"/>
      </rPr>
      <t>(Sách bìa cũ)</t>
    </r>
  </si>
  <si>
    <t>Số 12 ngách 25/4 phú minh minh khai bắc từ liêm hà nội</t>
  </si>
  <si>
    <t>https://drive.google.com/open?id=1v_REH4i-vf-_6k92CD_y-PJS4YXeTroL; https://drive.google.com/open?id=1ISHeVZ0HQaL68h1IYXS754FSV7_oNvaV</t>
  </si>
  <si>
    <t xml:space="preserve">Yến báo: COMBO 4,5-&gt; 0,5 </t>
  </si>
  <si>
    <t>https://www.facebook.com/doan.trung.3538</t>
  </si>
  <si>
    <t>Doãn Quang Trung</t>
  </si>
  <si>
    <t>Thanh Nga Meca</t>
  </si>
  <si>
    <t>trungkatana27@gmail.com</t>
  </si>
  <si>
    <t>Giáp Ngói, Long Thành, Yên thành, Nghệ An</t>
  </si>
  <si>
    <t>01/08/2022 và 09/08/2023</t>
  </si>
  <si>
    <t>https://drive.google.com/open?id=1MYPh3juumdX7U9Qnvv_iowQMxLZkNDIx; https://drive.google.com/open?id=1t5HIFTKsem06ZmKcp9Pt7XX86YfL1hAg; https://drive.google.com/open?id=1P59_V9W-UyM0DjNkZE68ziAq594KPDH2</t>
  </si>
  <si>
    <t xml:space="preserve">Combo Toeic Lv2 +  Toeic (S+ W) </t>
  </si>
  <si>
    <t>https://www.facebook.com/profile.php?id=100043757194288</t>
  </si>
  <si>
    <r>
      <rPr>
        <sz val="12"/>
        <color theme="1"/>
        <rFont val="Times New Roman"/>
        <family val="1"/>
      </rPr>
      <t>Nguyễn Khải Gia</t>
    </r>
    <r>
      <rPr>
        <sz val="12"/>
        <color rgb="FFFF0000"/>
        <rFont val="Times New Roman"/>
        <family val="1"/>
      </rPr>
      <t xml:space="preserve"> - KO học S và W</t>
    </r>
  </si>
  <si>
    <t>Số 15H, Phú Thanh Đông, Yên Thanh, Uông Bí, Quảng Ninh</t>
  </si>
  <si>
    <r>
      <rPr>
        <sz val="12"/>
        <rFont val="Times New Roman"/>
        <family val="1"/>
      </rPr>
      <t xml:space="preserve">https://drive.google.com/open?id=1oKMP1W7JEABilqC9abrhoEMM1J1QQAcK, https://drive.google.com/open?id=1nO8BERgYlyppF-inr0yEE-WQniZVAvaj; </t>
    </r>
    <r>
      <rPr>
        <u/>
        <sz val="12"/>
        <color rgb="FF1155CC"/>
        <rFont val="Times New Roman"/>
        <family val="1"/>
      </rPr>
      <t>https://drive.google.com/open?id=1LtQ98IYeCunvp0iO-c6cxSARhkniqDuT</t>
    </r>
  </si>
  <si>
    <t>https://www.facebook.com/profile.php?id=100026027928814&amp;mibextid=LQQJ4d</t>
  </si>
  <si>
    <r>
      <rPr>
        <sz val="12"/>
        <color theme="1"/>
        <rFont val="Times New Roman"/>
        <family val="1"/>
      </rPr>
      <t xml:space="preserve">Nguyễn Mai Lan </t>
    </r>
    <r>
      <rPr>
        <sz val="12"/>
        <color rgb="FFFF0000"/>
        <rFont val="Times New Roman"/>
        <family val="1"/>
      </rPr>
      <t>(Cần hợp đồng)</t>
    </r>
  </si>
  <si>
    <t>lan4071982@gmail.com</t>
  </si>
  <si>
    <t>Số nhà 90, nhà thờ Rùa Hạ, Thanh Thuỳ, Thanh Oai, Hà Nội</t>
  </si>
  <si>
    <t>https://drive.google.com/open?id=1-7LmXwAiIac2oRz_E8zXEbAtK-w0OocP</t>
  </si>
  <si>
    <t>https://www.facebook.com/profile.php?id=100089598638841&amp;mibextid=ZbWKwL</t>
  </si>
  <si>
    <t xml:space="preserve">Đặng Thuỳ Linh </t>
  </si>
  <si>
    <t>Thiếsu</t>
  </si>
  <si>
    <t xml:space="preserve">Khu 1, xã Minh Tiến, huyện Đoan Hùng, tỉnh Phú Thọ </t>
  </si>
  <si>
    <t>8/11/0023</t>
  </si>
  <si>
    <t>https://drive.google.com/open?id=14Nye0D4_4So1PdpkwBqhkhaqUNfMSAu9: https://drive.google.com/open?id=1NX_Is2zIqhFcgnTLPc0ZpwkAe8wl3j66</t>
  </si>
  <si>
    <t>https://www.facebook.com/hoanghung120?mibextid=LQQJ4d</t>
  </si>
  <si>
    <r>
      <rPr>
        <sz val="12"/>
        <color theme="1"/>
        <rFont val="Times New Roman"/>
        <family val="1"/>
      </rPr>
      <t xml:space="preserve">Hoàng Hưng </t>
    </r>
    <r>
      <rPr>
        <sz val="12"/>
        <color rgb="FFFF0000"/>
        <rFont val="Times New Roman"/>
        <family val="1"/>
      </rPr>
      <t>(Cần hợp đồng)</t>
    </r>
  </si>
  <si>
    <t>nguyenhoanghung120@gmail.com</t>
  </si>
  <si>
    <t>Thôn Trung Tâm, Xã Xuân Lai, Yên Bình, Yên Bái</t>
  </si>
  <si>
    <t>https://drive.google.com/open?id=1Thxdo2Bzo8t1PwlUjbqXoB8Qm5ukg-j3</t>
  </si>
  <si>
    <t>Yến báo hạ level</t>
  </si>
  <si>
    <t xml:space="preserve">https://www.facebook.com/thanhong101?mibextid=LQQJ4d </t>
  </si>
  <si>
    <r>
      <rPr>
        <sz val="12"/>
        <color theme="1"/>
        <rFont val="Times New Roman"/>
        <family val="1"/>
      </rPr>
      <t xml:space="preserve"> Huỳnh Thị Thanh Hồng </t>
    </r>
    <r>
      <rPr>
        <sz val="12"/>
        <color rgb="FFFF0000"/>
        <rFont val="Times New Roman"/>
        <family val="1"/>
      </rPr>
      <t>(Cần hợp đồng)</t>
    </r>
  </si>
  <si>
    <t>Khu phố Tân Thuận- thị trấn Vân Canh- Huyện Vân Canh- Tỉnh Bình Định</t>
  </si>
  <si>
    <t>https://drive.google.com/open?id=1bEMuVWGrymRRCKp2E1MKhh26OYJCeD9V; https://drive.google.com/open?id=1f3GAxu_Ve5aKGMB4HsF5d7HY_rWJfqRQ</t>
  </si>
  <si>
    <t>https://www.facebook.com/minna.phamm</t>
  </si>
  <si>
    <r>
      <rPr>
        <sz val="12"/>
        <color theme="1"/>
        <rFont val="Times New Roman"/>
        <family val="1"/>
      </rPr>
      <t xml:space="preserve">Tòng Thiên Vân </t>
    </r>
    <r>
      <rPr>
        <sz val="12"/>
        <color rgb="FFFF0000"/>
        <rFont val="Times New Roman"/>
        <family val="1"/>
      </rPr>
      <t>(Cần hợp đồng )</t>
    </r>
  </si>
  <si>
    <t>Bản Ban, Xã Sốp Cộp, Huyện Sốp Cộp, Tỉnh Sơn La</t>
  </si>
  <si>
    <t>https://drive.google.com/open?id=1iXgrl_dlVC94YzMZokwYWez3IkcNQWmw; https://drive.google.com/open?id=1bf9To_qs9qs9zaQEP-Y4HaCMYX5tpvkS</t>
  </si>
  <si>
    <t>https://www.facebook.com/profile.php?id=100045655191727</t>
  </si>
  <si>
    <t>Nguyễn Đức Thuận</t>
  </si>
  <si>
    <t xml:space="preserve"> Thôn Đức Hương Quang, Lầm Trung Thủy, Đức Thọ, Hà Tĩnh</t>
  </si>
  <si>
    <t>https://drive.google.com/open?id=1-v1bXHNA53YKdZruG_qczhGnl2UANWQV; https://drive.google.com/open?id=1O-7QeAyijxmvFuQRlwqA4aMTtn9U-0VZ</t>
  </si>
  <si>
    <t>https://www.facebook.com/profile.php?id=100061915163064&amp;mibextid=ZbWKwL</t>
  </si>
  <si>
    <r>
      <rPr>
        <sz val="12"/>
        <color theme="1"/>
        <rFont val="Times New Roman"/>
        <family val="1"/>
      </rPr>
      <t xml:space="preserve">Vũ Thùy Dương </t>
    </r>
    <r>
      <rPr>
        <sz val="12"/>
        <color rgb="FFFF0000"/>
        <rFont val="Times New Roman"/>
        <family val="1"/>
      </rPr>
      <t>- Chuyển nhượng S,W
Đã nộp 300K 13/05/2026. 0364589647 Chúc Hồng học</t>
    </r>
  </si>
  <si>
    <t>thuyduong2k5.ph@gmail.com</t>
  </si>
  <si>
    <t>Đông Giao- Lương Điền- Cẩm Giàng- Hải Dương</t>
  </si>
  <si>
    <t>https://drive.google.com/open?id=17GbSobOpX2SfUQsQeNaPKPcgTFi8_qm-; https://drive.google.com/open?id=15PwuID-s_O-gAKvICrrNKpEtN7qWe5dY</t>
  </si>
  <si>
    <t>https://www.facebook.com/chinhnghia.ngo.986?mibextid=LQQJ4d</t>
  </si>
  <si>
    <r>
      <rPr>
        <sz val="12"/>
        <color theme="1"/>
        <rFont val="Times New Roman"/>
        <family val="1"/>
      </rPr>
      <t xml:space="preserve">Ngô Chính Nghĩa </t>
    </r>
    <r>
      <rPr>
        <sz val="12"/>
        <color rgb="FFFF0000"/>
        <rFont val="Times New Roman"/>
        <family val="1"/>
      </rPr>
      <t>(Cần hợp đồng)</t>
    </r>
  </si>
  <si>
    <t>Triệu phong 1 đội 10  quảng sơn ninh sơn ninh thuận</t>
  </si>
  <si>
    <t>https://drive.google.com/open?id=1GnDcNeC_2l3EapO7aL0kaIDdtmduvKpp; :https//drive.google.com/open?id=1y74U0httpsYrxaVdAU8_rnvnwAiFn7vmbuXlE</t>
  </si>
  <si>
    <t>https://www.facebook.com/profile.php?id=100054645571155&amp;mibextid=LQQJ4d</t>
  </si>
  <si>
    <t>Nguyễn Hữu Thành</t>
  </si>
  <si>
    <t>Số nhà 19 ngõ 439 tổ 9 phường Trần Hưng Đạo TP Thái Bình</t>
  </si>
  <si>
    <t>https://drive.google.com/open?id=1xlzJfJaTlJ5kfRoBVxKLb7Y6fax6sC-J; https://drive.google.com/open?id=1PlWMp1Qix_0Mh_RA1CgThaoWm3zQXEmV</t>
  </si>
  <si>
    <t>https://www.facebook.com/profile.php?id=100064891777846</t>
  </si>
  <si>
    <r>
      <rPr>
        <sz val="12"/>
        <color theme="1"/>
        <rFont val="Times New Roman"/>
        <family val="1"/>
      </rPr>
      <t xml:space="preserve">Nguyễn Thị Quỳnh </t>
    </r>
    <r>
      <rPr>
        <sz val="12"/>
        <color rgb="FFFF0000"/>
        <rFont val="Times New Roman"/>
        <family val="1"/>
      </rPr>
      <t>(Cần hợp đồng)</t>
    </r>
  </si>
  <si>
    <t>nguyenthiquynh0506bdh@gmail.com</t>
  </si>
  <si>
    <t>Thôn Phương La 4, xã Thái Phương, huyện Hưng Hà, tỉnh Thái Bình</t>
  </si>
  <si>
    <t>09/08/2023 và 14/08/2023</t>
  </si>
  <si>
    <t>https://drive.google.com/open?id=1Xs_UIjOQNR7J5ng8tDL7CxZYj0BRhYWB; https://drive.google.com/open?id=12At-MGsEQowiZ_--v-cH1Pr7AIx73xhx; https://drive.google.com/open?id=1CRiTjxxbXr7BVwM-hBADi00xSjLFjZV4</t>
  </si>
  <si>
    <t>https://www.facebook.com/profile.php?id=100078859430172&amp;mibextid=ZbWKwL</t>
  </si>
  <si>
    <r>
      <rPr>
        <sz val="12"/>
        <color theme="1"/>
        <rFont val="Times New Roman"/>
        <family val="1"/>
      </rPr>
      <t xml:space="preserve">Vũ Hoàng Lân - </t>
    </r>
    <r>
      <rPr>
        <sz val="12"/>
        <color rgb="FFFF0000"/>
        <rFont val="Times New Roman"/>
        <family val="1"/>
      </rPr>
      <t>hợp đồng</t>
    </r>
  </si>
  <si>
    <t>Lvuhoang55@gmail.com</t>
  </si>
  <si>
    <t xml:space="preserve"> ngã ba phố và -phường Hạp Lĩnh- tp bắc ninh</t>
  </si>
  <si>
    <t>https://drive.google.com/open?id=1BfXmIqv5LzEmDWpBw1u1uwASmMOf0ecp; https://drive.google.com/open?id=1cqVFwSrdCmwPBa8vbOccDxvAdYl8m_G6</t>
  </si>
  <si>
    <t>https://www.facebook.com/profile.php?id=100026555210524&amp;mibextid=LQQJ4d</t>
  </si>
  <si>
    <r>
      <rPr>
        <sz val="12"/>
        <color theme="1"/>
        <rFont val="Times New Roman"/>
        <family val="1"/>
      </rPr>
      <t xml:space="preserve">Châu Phát Thành </t>
    </r>
    <r>
      <rPr>
        <sz val="12"/>
        <color rgb="FFFF0000"/>
        <rFont val="Times New Roman"/>
        <family val="1"/>
      </rPr>
      <t>(Cần hợp đồng)</t>
    </r>
  </si>
  <si>
    <t>thanhcon877@gmail.com</t>
  </si>
  <si>
    <t>17/21F tổ 42 ấp thới tứ xã thới tam thôn huyện hóc môn , tỉnh Sóc Trăng</t>
  </si>
  <si>
    <t>còn thừa sang khóa Lv1 rồi</t>
  </si>
  <si>
    <t>https://drive.google.com/open?id=1NyzpMyypMzMiVVdWn6CZqcbcmd935tAJ</t>
  </si>
  <si>
    <t>https://www.facebook.com/profile.php?id=100039188224407&amp;mibextid=LQQJ4d</t>
  </si>
  <si>
    <r>
      <rPr>
        <sz val="12"/>
        <color theme="1"/>
        <rFont val="Times New Roman"/>
        <family val="1"/>
      </rPr>
      <t xml:space="preserve">Trần Khôi Nguyên </t>
    </r>
    <r>
      <rPr>
        <sz val="12"/>
        <color rgb="FFFF0000"/>
        <rFont val="Times New Roman"/>
        <family val="1"/>
      </rPr>
      <t>(Cần hợp đồng)
Nick face: Nguyên Trân</t>
    </r>
  </si>
  <si>
    <t>khoinguyen02022005khang@gmail.com</t>
  </si>
  <si>
    <t>thôn Lạc Nghiệp 2, Cà Ná, huyện Thuận Nam, Ninh Thuận</t>
  </si>
  <si>
    <t>17/07/2023 và 02/08/2023</t>
  </si>
  <si>
    <t xml:space="preserve">https://drive.google.com/open?id=1BkAER3vONcTXiZboii1C6PglP_Mvs4yk; https://drive.google.com/open?id=10OZ6d_0wfo9AwYwzUfwdAsVsZeO0ep55; https://drive.google.com/open?id=1LoFK5tAbbDln34NJAHukyVgPBtlOF193 </t>
  </si>
  <si>
    <t>Chưa đủ tiền khoá học nên chưa gửi sách. Đã chat nhắc HV 13/7</t>
  </si>
  <si>
    <t>https://www.facebook.com/oanh.oanhh.5895</t>
  </si>
  <si>
    <r>
      <rPr>
        <sz val="12"/>
        <color theme="1"/>
        <rFont val="Times New Roman"/>
        <family val="1"/>
      </rPr>
      <t xml:space="preserve">Đỗ Thị Phương Oanh </t>
    </r>
    <r>
      <rPr>
        <sz val="12"/>
        <color rgb="FFFF0000"/>
        <rFont val="Times New Roman"/>
        <family val="1"/>
      </rPr>
      <t>(Cần hợp đồng)</t>
    </r>
  </si>
  <si>
    <t>dophuongoanh0501@gmail.com</t>
  </si>
  <si>
    <t>Nhà văn hoá thôn Vân La -xã Gia Thắng - huyện Gia Viễn -tỉnh Ninh Bình</t>
  </si>
  <si>
    <t>https://drive.google.com/open?id=1Hu6oPxKz0k32fTCCpz9eW-UnOCP-KAlU; https://drive.google.com/open?id=1FvszqvBOjliJ3zqHuqO9dpAnuTo7kibR</t>
  </si>
  <si>
    <t>https://www.facebook.com/profile.php?id=100027051054274</t>
  </si>
  <si>
    <r>
      <rPr>
        <sz val="12"/>
        <color theme="1"/>
        <rFont val="Times New Roman"/>
        <family val="1"/>
      </rPr>
      <t xml:space="preserve">Nguyễn Thị Kim Liên </t>
    </r>
    <r>
      <rPr>
        <sz val="12"/>
        <color rgb="FFFF0000"/>
        <rFont val="Times New Roman"/>
        <family val="1"/>
      </rPr>
      <t>(Cần hợp đồng)</t>
    </r>
  </si>
  <si>
    <t>kimlien14062005@gmail.com</t>
  </si>
  <si>
    <t xml:space="preserve">Bái trung 1 -Hoà Lộc ,Hậu Lộc -Thanh Hoá </t>
  </si>
  <si>
    <t>https://drive.google.com/open?id=1Ayq6zI1lxbzXu5C7pRgOWctE6Gbw4gSs; https://drive.google.com/open?id=1Q7Xxwx3yt-EaTOvJtETzaK3XIxc840B7</t>
  </si>
  <si>
    <t>https://www.facebook.com/profile.php?id=100092587253979</t>
  </si>
  <si>
    <t xml:space="preserve">Trịnh Kim Ly </t>
  </si>
  <si>
    <t>trinhkimly1901@gmail.com</t>
  </si>
  <si>
    <t>Số 113 ngọc giang -Vĩnh Ngọc -Đông Anh-Hà Nội</t>
  </si>
  <si>
    <t>https://drive.google.com/open?id=1ooax7WN_xk_y-kEVyyIur_VHs4nX3FQd; https://drive.google.com/open?id=1pLwfVb5rCwWYhu-_SQ81hAPYCQSLGMZj</t>
  </si>
  <si>
    <t xml:space="preserve"> https://www.facebook.com/tang.luu.3979?mibextid=LQQJ4d</t>
  </si>
  <si>
    <r>
      <rPr>
        <sz val="12"/>
        <color theme="1"/>
        <rFont val="Times New Roman"/>
        <family val="1"/>
      </rPr>
      <t xml:space="preserve">Lưu Thành Tăng </t>
    </r>
    <r>
      <rPr>
        <sz val="12"/>
        <color rgb="FFFF0000"/>
        <rFont val="Times New Roman"/>
        <family val="1"/>
      </rPr>
      <t>(Cần hợp đồng)</t>
    </r>
  </si>
  <si>
    <t>luuthanhtang2005hy@gmail.com</t>
  </si>
  <si>
    <t>Cổng trường cấp 1, Thôn Tử cầu, Xã giai phạm huyện yên mĩ tỉnh hưng yên</t>
  </si>
  <si>
    <t>https://drive.google.com/open?id=11htr5r_kvvwjvbxafok-PJ4xKlXoU-et; https://drive.google.com/open?id=1Tbt8jJtRIY_vGF5cTZ6qfEDYKUMv_2aG</t>
  </si>
  <si>
    <t>https://www.facebook.com/quyen.huyen.9256?mibextid=LQQJ4d</t>
  </si>
  <si>
    <r>
      <rPr>
        <sz val="12"/>
        <color theme="1"/>
        <rFont val="Times New Roman"/>
        <family val="1"/>
      </rPr>
      <t xml:space="preserve">Khúc Thị Thanh Huyền </t>
    </r>
    <r>
      <rPr>
        <sz val="12"/>
        <color rgb="FFFF0000"/>
        <rFont val="Times New Roman"/>
        <family val="1"/>
      </rPr>
      <t>(Cần hợp đồng)</t>
    </r>
  </si>
  <si>
    <t>khucthithanhhuyen14112002@gmail.com</t>
  </si>
  <si>
    <t>Chùa Vế, xã Canh Tân, huyện Hưng Hà, tỉnh Thái Bình</t>
  </si>
  <si>
    <t>https://drive.google.com/open?id=1DlNdOZj129cUH0x6UY_shmIyO7a0YFlb</t>
  </si>
  <si>
    <t>https://www.facebook.com/VuNguyetAnhs</t>
  </si>
  <si>
    <r>
      <rPr>
        <sz val="12"/>
        <color theme="1"/>
        <rFont val="Times New Roman"/>
        <family val="1"/>
      </rPr>
      <t xml:space="preserve">Vũ Nguyệt Ánh </t>
    </r>
    <r>
      <rPr>
        <sz val="12"/>
        <color rgb="FFFF0000"/>
        <rFont val="Times New Roman"/>
        <family val="1"/>
      </rPr>
      <t>(Cần hợp đồng)</t>
    </r>
  </si>
  <si>
    <t xml:space="preserve">vunguyetanh2005@gmail.com </t>
  </si>
  <si>
    <t>Chung cư Ngọc Đông Dương 119 Bình Long -Bình Hưng Hòa A - Bình Tân- TP HCM</t>
  </si>
  <si>
    <r>
      <rPr>
        <sz val="12"/>
        <rFont val="Times New Roman"/>
        <family val="1"/>
      </rPr>
      <t xml:space="preserve">https://drive.google.com/open?id=1P_SdP3BDMwGqgsyCodkEwhIKxJbgl43Y, https://drive.google.com/open?id=1bSTYIdfCj11JATqNO1QbaqG3lwcCLx86; </t>
    </r>
    <r>
      <rPr>
        <u/>
        <sz val="12"/>
        <color rgb="FF1155CC"/>
        <rFont val="Times New Roman"/>
        <family val="1"/>
      </rPr>
      <t>https://drive.google.com/open?id=1UdkxtQekBVJiOIKmvyQKKPyLdNiEt2X4</t>
    </r>
  </si>
  <si>
    <t>PT25 nghỉ ngang b7. Huy báo</t>
  </si>
  <si>
    <t>https://www.facebook.com/meodibui012</t>
  </si>
  <si>
    <r>
      <rPr>
        <sz val="12"/>
        <color theme="1"/>
        <rFont val="Times New Roman"/>
        <family val="1"/>
      </rPr>
      <t xml:space="preserve">Đỗ Nguyên Khanh </t>
    </r>
    <r>
      <rPr>
        <sz val="12"/>
        <color rgb="FFFF0000"/>
        <rFont val="Times New Roman"/>
        <family val="1"/>
      </rPr>
      <t>(Cần hợp đồng)</t>
    </r>
  </si>
  <si>
    <t>meodibui581@gmail.com</t>
  </si>
  <si>
    <t>26, Ngõ 57 Hùng Quốc Vương, Gia Cẩm, Việt Trì, Phú Thọ</t>
  </si>
  <si>
    <t>https://drive.google.com/open?id=1k-ZXjJcVx3OgueH0nPTh-vwlkGEie4hV</t>
  </si>
  <si>
    <t>Đức chat: Combo 2,5 =&gt; Pre Toeic</t>
  </si>
  <si>
    <t>https://www.facebook.com/profile.php?id=100014612915341&amp;mibextid=LQQJ4d</t>
  </si>
  <si>
    <r>
      <rPr>
        <sz val="12"/>
        <color theme="1"/>
        <rFont val="Times New Roman"/>
        <family val="1"/>
      </rPr>
      <t xml:space="preserve">Trần Vĩnh Khang </t>
    </r>
    <r>
      <rPr>
        <sz val="12"/>
        <color rgb="FFFF0000"/>
        <rFont val="Times New Roman"/>
        <family val="1"/>
      </rPr>
      <t>(Cần hợp đồng)</t>
    </r>
  </si>
  <si>
    <t>-khangyhh@gmail.com</t>
  </si>
  <si>
    <t>Ấp 4, xã Đức Hòa Đông, Đức Hòa, Long An</t>
  </si>
  <si>
    <t>14/07/2023 và 05/08/2023</t>
  </si>
  <si>
    <t>https://drive.google.com/open?id=1r6JhSl03J7zvVpb7D3vyOgQza9kKKiXX, https://drive.google.com/open?id=1lzl_yhpXnTl2GjJZgRGC1AIeARmHQJKR; https://drive.google.com/open?id=1rITi2U_gaCEPqtuIlXfhEi6jJNlQB6-3</t>
  </si>
  <si>
    <t>https://www.facebook.com/profile.php?id=100022786640362&amp;mibextid=LQQJ4d</t>
  </si>
  <si>
    <r>
      <rPr>
        <sz val="12"/>
        <color theme="1"/>
        <rFont val="Times New Roman"/>
        <family val="1"/>
      </rPr>
      <t xml:space="preserve">Nguyễn Ngọc Linh </t>
    </r>
    <r>
      <rPr>
        <sz val="12"/>
        <color rgb="FFFF0000"/>
        <rFont val="Times New Roman"/>
        <family val="1"/>
      </rPr>
      <t>(Cần hợp đồng)</t>
    </r>
  </si>
  <si>
    <t xml:space="preserve"> linh9h1999@gmail.com</t>
  </si>
  <si>
    <t>Nhà số 7, Ngõ 14, đường Nhuệ Giang, Tân Hội, Đan Phượng, Hà Nội</t>
  </si>
  <si>
    <t>https://drive.google.com/open?id=1MlFNwlpVAsgYasHax1WOFJspPdXEQSdh; https://drive.google.com/open?id=1SGxE0IDlpwpnnA7LHXxavvWX_cb0eho7</t>
  </si>
  <si>
    <t>https://www.facebook.com/thuongthuong2501?mibextid=LQQJ4d</t>
  </si>
  <si>
    <r>
      <rPr>
        <sz val="12"/>
        <color theme="1"/>
        <rFont val="Times New Roman"/>
        <family val="1"/>
      </rPr>
      <t xml:space="preserve">Nguyễn Giang Thương </t>
    </r>
    <r>
      <rPr>
        <sz val="12"/>
        <color rgb="FFFF0000"/>
        <rFont val="Times New Roman"/>
        <family val="1"/>
      </rPr>
      <t>(Cần hợp đồng)</t>
    </r>
  </si>
  <si>
    <t>nguyengiangthuong2111@gmail.com</t>
  </si>
  <si>
    <t xml:space="preserve"> Số nhà 55, Tổ dân phố 3, đường nội thị, Thị trấn Anh sơn, huyện Anh Sơn, tỉnh Nghệ An</t>
  </si>
  <si>
    <t>https://drive.google.com/open?id=1VRUzFU6F57qWoewGEb1_3oL7dWIa7O05; https://drive.google.com/open?id=1D62susqlOiVTfX3SL-lQ0thpZaqDn5VN</t>
  </si>
  <si>
    <t>https://www.facebook.com/profile.php?id=100035082633789&amp;mibextid=LQQJ4d</t>
  </si>
  <si>
    <r>
      <rPr>
        <sz val="12"/>
        <color theme="1"/>
        <rFont val="Times New Roman"/>
        <family val="1"/>
      </rPr>
      <t xml:space="preserve">Lê Thị Ánh </t>
    </r>
    <r>
      <rPr>
        <sz val="12"/>
        <color rgb="FFFF0000"/>
        <rFont val="Times New Roman"/>
        <family val="1"/>
      </rPr>
      <t>(Cần hợp đồng)</t>
    </r>
  </si>
  <si>
    <t>TDP Thanh Nam - phường Hải Thanh - thị xã Nghi Sơn - TP Thanh Hóa</t>
  </si>
  <si>
    <t>https://drive.google.com/open?id=1z4jiYJXh1Vcfyynr2QJhtXvBHBpQILuI, https://drive.google.com/open?id=1_x6lt7Rndl6NQD6ehgOi8PhtMHwOWyJm; https://drive.google.com/open?id=1JC_tbdxnd-aOdgk6M6dEemztAlzqwf0Y</t>
  </si>
  <si>
    <t>https://www.facebook.com/profile.php?id=100021457712592&amp;mibextid=LQQJ4d</t>
  </si>
  <si>
    <r>
      <rPr>
        <sz val="12"/>
        <color theme="1"/>
        <rFont val="Times New Roman"/>
        <family val="1"/>
      </rPr>
      <t>Lò Thị Hạnh</t>
    </r>
    <r>
      <rPr>
        <sz val="12"/>
        <color rgb="FFFF0000"/>
        <rFont val="Times New Roman"/>
        <family val="1"/>
      </rPr>
      <t xml:space="preserve"> (Cần hợp đồng)</t>
    </r>
  </si>
  <si>
    <t>Ta Cơn- Chiềng Sinh- Tuần Giáo- Điện Biên</t>
  </si>
  <si>
    <t>https://drive.google.com/open?id=15c9xZzqOzwsroq6IPmMhTX9rgItFIqO0; https://drive.google.com/open?id=1JC_tbdxnd-aOdgk6M6dEemztAlzqwf0Y</t>
  </si>
  <si>
    <t>https://www.facebook.com/duongs.duongs.92372?mibextid=LQQJ4d</t>
  </si>
  <si>
    <r>
      <rPr>
        <sz val="12"/>
        <color theme="1"/>
        <rFont val="Times New Roman"/>
        <family val="1"/>
      </rPr>
      <t xml:space="preserve">Nguyễn Thị Hồng Hà </t>
    </r>
    <r>
      <rPr>
        <sz val="12"/>
        <color rgb="FFFF0000"/>
        <rFont val="Times New Roman"/>
        <family val="1"/>
      </rPr>
      <t>(Cần hợp đồng)</t>
    </r>
  </si>
  <si>
    <t>ha7153736@gmail.com</t>
  </si>
  <si>
    <t xml:space="preserve">thôn An Điền Kim- xã Cộng Hòa- huyện Nam Sách- tỉnh Hải Dương </t>
  </si>
  <si>
    <t>https://drive.google.com/open?id=1xjIZlrka-WD6NdcW_gu93twbRQRlOfQh; https://drive.google.com/open?id=1waXw4C5FwnL7ZHvf-MWB2UxvCryrEolh</t>
  </si>
  <si>
    <t>https://www.facebook.com/profile.php?id=100024223297195&amp;mibextid=LQQJ4d</t>
  </si>
  <si>
    <r>
      <rPr>
        <sz val="12"/>
        <color theme="1"/>
        <rFont val="Times New Roman"/>
        <family val="1"/>
      </rPr>
      <t xml:space="preserve">Nguyễn Minh Anh </t>
    </r>
    <r>
      <rPr>
        <sz val="12"/>
        <color rgb="FFFF0000"/>
        <rFont val="Times New Roman"/>
        <family val="1"/>
      </rPr>
      <t>(Cần hợp đồng)</t>
    </r>
  </si>
  <si>
    <t>nguyenminhanh9h@gmail.com</t>
  </si>
  <si>
    <t>Số nhà 2, ngõ 140, đường Phan Long, Tân Hội, Đan Phượng, Hà Nội</t>
  </si>
  <si>
    <t>https://drive.google.com/open?id=15Jl8dyJdnlpIP8TCXdoXok0Uh0PAW1eK</t>
  </si>
  <si>
    <t>đăng kí chung với Nguyễn Ngọc Linh 0984718447. Đức chat xuống 1 khóa. KO đk Combo nữa</t>
  </si>
  <si>
    <t>https://www.facebook.com/profile.php?id=100040366462083&amp;mibextid=ZbWKwL</t>
  </si>
  <si>
    <r>
      <rPr>
        <sz val="12"/>
        <color theme="1"/>
        <rFont val="Times New Roman"/>
        <family val="1"/>
      </rPr>
      <t xml:space="preserve">Nguyễn Thị Nhung </t>
    </r>
    <r>
      <rPr>
        <sz val="12"/>
        <color rgb="FFFF0000"/>
        <rFont val="Times New Roman"/>
        <family val="1"/>
      </rPr>
      <t>(Cần hợp đồng)</t>
    </r>
  </si>
  <si>
    <t>Khu 3, Minh Châu, Ba Vì, Hà Nội</t>
  </si>
  <si>
    <t>https://drive.google.com/open?id=1q7wAxwf9ZgEvmfnF03OyWyUMieBe4WfG; https://drive.google.com/open?id=1m7IoQMhkWDXdviLHS60TyqWmhfw82SMR</t>
  </si>
  <si>
    <t>https://www.facebook.com/nguyenthinhihhgg</t>
  </si>
  <si>
    <r>
      <rPr>
        <sz val="12"/>
        <color theme="1"/>
        <rFont val="Times New Roman"/>
        <family val="1"/>
      </rPr>
      <t>Nguyễn Thị Nhi (</t>
    </r>
    <r>
      <rPr>
        <sz val="12"/>
        <color rgb="FFFF0000"/>
        <rFont val="Times New Roman"/>
        <family val="1"/>
      </rPr>
      <t>Cần hợp đồng)</t>
    </r>
  </si>
  <si>
    <t xml:space="preserve">Thôn Long Mỹ,  Xuân Long huyện đồng Xuân tỉnh Phú yên     </t>
  </si>
  <si>
    <t>https://drive.google.com/open?id=13CZ0lLtdbJLTRvmQU5ulrqQYy8q5IDD2</t>
  </si>
  <si>
    <t>https://www.facebook.com/maianh09112004?mibextid=LQQJ4d</t>
  </si>
  <si>
    <t>Phan Thị Mai Anh</t>
  </si>
  <si>
    <t>pmaianh291@gmail.com</t>
  </si>
  <si>
    <t>Ktx Đơn Nguyên 4, Mĩ Đình, Phường Mỹ Đình 2, Quận Nam Từ Liêm, Hà Nội</t>
  </si>
  <si>
    <t>https://drive.google.com/open?id=19mlItuTuspOvjnqhqZ4X8nN6wyfIKtuH; https://drive.google.com/open?id=1j-gx8c6GfOzDSI3bENFyVDESohYeD8Kq</t>
  </si>
  <si>
    <t>https://www.facebook.com/profile.php?id=100015016457859&amp;mibextid=LQQJ4d</t>
  </si>
  <si>
    <r>
      <rPr>
        <sz val="12"/>
        <color theme="1"/>
        <rFont val="Times New Roman"/>
        <family val="1"/>
      </rPr>
      <t xml:space="preserve">Hoàng Thị Phi Yến </t>
    </r>
    <r>
      <rPr>
        <sz val="12"/>
        <color rgb="FFFF0000"/>
        <rFont val="Times New Roman"/>
        <family val="1"/>
      </rPr>
      <t>(Cần hợp đồng)</t>
    </r>
  </si>
  <si>
    <t>Thư</t>
  </si>
  <si>
    <t xml:space="preserve"> hoangthiphiyen7@gmail.com</t>
  </si>
  <si>
    <t xml:space="preserve"> Đội 4, Xóm Thạch Quy, Ninh Mỹ, Hoa Lư, Ninh Bình</t>
  </si>
  <si>
    <t>https://drive.google.com/open?id=10LOLd8NBd7evSk_PtnBw6IrO-Hu5GWvV; https://drive.google.com/open?id=1wITLM0LULWSJUxnSDKzz7auaQnLow45f</t>
  </si>
  <si>
    <t>https://www.facebook.com/profile.php?id=100018766781066&amp;mibextid=LQQJ4d</t>
  </si>
  <si>
    <r>
      <rPr>
        <sz val="12"/>
        <color theme="1"/>
        <rFont val="Times New Roman"/>
        <family val="1"/>
      </rPr>
      <t xml:space="preserve">Phạm Kim Anh </t>
    </r>
    <r>
      <rPr>
        <sz val="12"/>
        <color rgb="FFFF0000"/>
        <rFont val="Times New Roman"/>
        <family val="1"/>
      </rPr>
      <t xml:space="preserve">(Cần hợp đồng) </t>
    </r>
    <r>
      <rPr>
        <sz val="12"/>
        <color theme="1"/>
        <rFont val="Times New Roman"/>
        <family val="1"/>
      </rPr>
      <t>987173274</t>
    </r>
  </si>
  <si>
    <t xml:space="preserve"> Hoàng Thiều, Yên Minh, Ý Yên, Nam Định.</t>
  </si>
  <si>
    <t>https://drive.google.com/open?id=1_CKn2tJPGML35mSCnrAFHi0tBe64jrWc; https://drive.google.com/open?id=1-DC7etsRIFY0u9LrlpvbylCugpjmMWEu</t>
  </si>
  <si>
    <t>Ý chị là: sđt khi lên form để hoạc là: 0812944568
SĐT khi nộp học phí là: 0987173274
Nên ko biết có phải là 1 bạn ko? Yến xác nhận là 1</t>
  </si>
  <si>
    <t>https://www.facebook.com/profile.php?id=100018121942767&amp;mibextid=LQQJ4d</t>
  </si>
  <si>
    <t>Đoàn Vân Anh</t>
  </si>
  <si>
    <t>doanvananh910@gmail.com</t>
  </si>
  <si>
    <t>Bến đò An Khê, Đại Đồng, An Khê, Quỳnh Phụ, Thái Bình</t>
  </si>
  <si>
    <t>https://drive.google.com/open?id=1rlDB9y87Wg57iLVNohZpzDYU21jdJLlu; https://drive.google.com/open?id=17uzJ-9H-9DAfDzIeD2311Cfpx9HD5aGv</t>
  </si>
  <si>
    <t>https://www.facebook.com/yuzan0806?mibextid=LQQJ4d</t>
  </si>
  <si>
    <t>Võ Ngọc Trâm</t>
  </si>
  <si>
    <t>vongoctram080605@gmail.com</t>
  </si>
  <si>
    <t>Mỹ Phong, Thanh Hải, Ninh Hải, Ninh Thuận</t>
  </si>
  <si>
    <t>https://drive.google.com/open?id=1BKZRY1V1fVjzXFWzKEuJLpkkq-MdT5HD; https://drive.google.com/open?id=16ZxuXivfbJ68Dnowszv5znbg69hzfMRE</t>
  </si>
  <si>
    <t>https://www.facebook.com/profile.php?id=100052064853162&amp;mibextid=LQQJ4d</t>
  </si>
  <si>
    <t xml:space="preserve">Nguyễn Thị Thuỳ Dương </t>
  </si>
  <si>
    <t>thuyduong14082005@gmail.com</t>
  </si>
  <si>
    <t>Cầu Cau, Đại Hưng, Khoái Châu, Hưng Yên</t>
  </si>
  <si>
    <t>https://drive.google.com/open?id=1wXnTvQaBOAssnD2uYN3x2hgiWBTIZR9G; https://drive.google.com/open?id=1p4SGV4LPAoK3kAXihpC_eKM477XW0yTl</t>
  </si>
  <si>
    <t>https://www.facebook.com/profile.php?id=100041041402939&amp;mibextid=LQQJ4d</t>
  </si>
  <si>
    <t>Mai Thái Dương</t>
  </si>
  <si>
    <t>duong2005vq@gmail.com</t>
  </si>
  <si>
    <t>Thôn Chùa Dưới, Vinh Quang, Tiên Lãng, Hải Phòng</t>
  </si>
  <si>
    <t>https://drive.google.com/open?id=1hnL2FUfFl7cZxNQf6BWBJ74e1QXpcrFJ</t>
  </si>
  <si>
    <t>https://www.facebook.com/minhhangg84?mibextid=LQQJ4d</t>
  </si>
  <si>
    <t xml:space="preserve"> Tạ Minh Hằng</t>
  </si>
  <si>
    <t>minhhang_84@icloud.com</t>
  </si>
  <si>
    <t xml:space="preserve"> Số 2, xóm Chùa, thôn Thuận Thượng, xã Song Phượng, huyện Đan Phượng, Hà Nội </t>
  </si>
  <si>
    <t>Nhóm 3</t>
  </si>
  <si>
    <t>https://drive.google.com/open?id=120mJbUVeUC9XFnkixecLLhWkrJya9Xpg; https://drive.google.com/open?id=1_uSrC_Byv4vYGeGJRxz1aW2g55KzMSWu</t>
  </si>
  <si>
    <t>https://www.facebook.com/uyenn.vuongg.52?mibextid=LQQJ4d</t>
  </si>
  <si>
    <r>
      <rPr>
        <sz val="12"/>
        <color theme="1"/>
        <rFont val="Times New Roman"/>
        <family val="1"/>
      </rPr>
      <t xml:space="preserve">Phạm Thị Phương Uyên </t>
    </r>
    <r>
      <rPr>
        <sz val="12"/>
        <color rgb="FFFF0000"/>
        <rFont val="Times New Roman"/>
        <family val="1"/>
      </rPr>
      <t>(nick face- Mai Anh)</t>
    </r>
  </si>
  <si>
    <t>phamuyen1682005@gmail.com</t>
  </si>
  <si>
    <t>Xóm Đình-Thôn Quỳnh Huê-xã Thống Nhất- Gia Lộc-Hải Dương</t>
  </si>
  <si>
    <t>https://drive.google.com/open?id=10DtRVtxugI1HiCWzbKjHoc3-7L-VrUyB; https://drive.google.com/open?id=1VhcY7ZoFNqs7FMJKoWagPAIGZ0ugXZ1V</t>
  </si>
  <si>
    <t>https://www.facebook.com/profile.php?id=100054746244768&amp;mibextid=LQQJ4d</t>
  </si>
  <si>
    <r>
      <rPr>
        <sz val="12"/>
        <color theme="1"/>
        <rFont val="Times New Roman"/>
        <family val="1"/>
      </rPr>
      <t>Trịnh Công Thắng</t>
    </r>
    <r>
      <rPr>
        <sz val="12"/>
        <color rgb="FFFF0000"/>
        <rFont val="Times New Roman"/>
        <family val="1"/>
      </rPr>
      <t xml:space="preserve"> (Cần hợp đồng)</t>
    </r>
  </si>
  <si>
    <t>Tk13,khu đô thị Đông Dương, thị trấn Lương Sơn, huyện Lương Sơn, tỉnh Hoà Bình</t>
  </si>
  <si>
    <t>13/08/2023 và 14/08/2023</t>
  </si>
  <si>
    <t>https://drive.google.com/open?id=1l2_cA5fEpZkvDGYeSxw1MdI7GkZ4bW43; https://drive.google.com/open?id=1bW9eQg-P-K-Qf4S1Ft3vifCOBzrgyWgz; https://drive.google.com/open?id=1LXPxrx1pqOf9MGlvVyqrsVm1k0mdpkn8</t>
  </si>
  <si>
    <t>https://www.facebook.com/phundo.onthemicc.05?mibextid=LQQJ4d</t>
  </si>
  <si>
    <r>
      <rPr>
        <sz val="12"/>
        <color theme="1"/>
        <rFont val="Times New Roman"/>
        <family val="1"/>
      </rPr>
      <t xml:space="preserve">Phạm Toàn Đô </t>
    </r>
    <r>
      <rPr>
        <sz val="12"/>
        <color rgb="FFFF0000"/>
        <rFont val="Times New Roman"/>
        <family val="1"/>
      </rPr>
      <t>(Phiếu thu)</t>
    </r>
  </si>
  <si>
    <t>Lai Đông 1 - Trung Chính - Lương Tài - Bắc Ninhh</t>
  </si>
  <si>
    <t>https://drive.google.com/open?id=1PYlqqlf9obERcy08KAvtlx7Sjvyb3Pww; https://drive.google.com/open?id=1hTawd3jneck1EAbBjKO2ZHhckZ3iHsW0</t>
  </si>
  <si>
    <t>https://www.facebook.com/profile.php?id=100048904483883</t>
  </si>
  <si>
    <t>Ngô Thị Thanh Thu</t>
  </si>
  <si>
    <t>Bạch Đa- Kim Hoa - Mê Linh - Hà Nội</t>
  </si>
  <si>
    <t>https://drive.google.com/open?id=1UUPV0M-V0xloARoX6YPs4sRZP6jh9Y2k; https://drive.google.com/open?id=1tIGXK9bHRQM9JOFFC10euOSIM7SpbCxD</t>
  </si>
  <si>
    <t>https://www.facebook.com/profile.php?id=100090443478263&amp;mibextid=ZbWKwL</t>
  </si>
  <si>
    <t>Nguyễn Thuý Hằng</t>
  </si>
  <si>
    <t>Xóm Giải - Bảo Tháp - Kim Hoa - Mê Linh - Hà Nội</t>
  </si>
  <si>
    <t>https://drive.google.com/open?id=1jorKS_T_-9eMWoYofTngeJNyDkIS42M8; https://drive.google.com/open?id=1nczxtKOFyPTXGWSxgo3kEuDg_VbOg-NL</t>
  </si>
  <si>
    <t>https://www.facebook.com/vanhuy2050?mibextid=LQQJ4d</t>
  </si>
  <si>
    <r>
      <rPr>
        <sz val="12"/>
        <color theme="1"/>
        <rFont val="Times New Roman"/>
        <family val="1"/>
      </rPr>
      <t xml:space="preserve">Nguyễn Văn Huy </t>
    </r>
    <r>
      <rPr>
        <sz val="12"/>
        <color rgb="FFFF0000"/>
        <rFont val="Times New Roman"/>
        <family val="1"/>
      </rPr>
      <t>(Phiếu thu) 0</t>
    </r>
    <r>
      <rPr>
        <sz val="12"/>
        <color theme="1"/>
        <rFont val="Times New Roman"/>
        <family val="1"/>
      </rPr>
      <t>849379213 sđt cũ</t>
    </r>
  </si>
  <si>
    <t>1/23 đường Vĩnh Kỳ xã Tân Hội huyện Đan Phượng Hà Nội</t>
  </si>
  <si>
    <t>https://drive.google.com/open?id=1WUGz39QOEEh8-7cKdM0N6PSZW6oKcplX; https://drive.google.com/open?id=1WfxuzNCW1-_foKxR5XZuaZZd7IAgzNHJ</t>
  </si>
  <si>
    <t>https://www.facebook.com/profile.php?id=100034391682722&amp;mibextid=LQQJ4d</t>
  </si>
  <si>
    <t xml:space="preserve">Lê Phạm Việt Thắng </t>
  </si>
  <si>
    <t>le8986872@gmail.com</t>
  </si>
  <si>
    <t>446/33/13/20 tổ 31 khu phố 5A, phường Long Bình, thành phố Biên Hòa, tỉnh Đồng Nai</t>
  </si>
  <si>
    <t>https://drive.google.com/open?id=1056bse3bN0NMHmVs_HyHEi2CSx7W4juC; https://drive.google.com/open?id=12R2U0c8zBJSzLOjGBhXlZgpzehFO5rQb</t>
  </si>
  <si>
    <t>https://www.facebook.com/profile.php?id=100086279447710&amp;mibextid=LQQJ4d T151</t>
  </si>
  <si>
    <t>Phạm Nguyễn Kiều Trang</t>
  </si>
  <si>
    <t xml:space="preserve"> kieutrang11042005@gmail.com </t>
  </si>
  <si>
    <t>Đội 14 ,xã Nghĩa Phú, Nghĩa Hưng , Nam Định</t>
  </si>
  <si>
    <t>https://drive.google.com/open?id=1FAfhV6aoobwRmj0ygybG6ULHnaLWr9Vi; https://drive.google.com/open?id=1zvqGNXnw0m7oBRyQJAkDOc3SDYP_1W3a</t>
  </si>
  <si>
    <t>XL_Nữ</t>
  </si>
  <si>
    <t>PT37</t>
  </si>
  <si>
    <t>https://www.facebook.com/profile.php?id=100013860276661&amp;mibextid=LQQJ4d</t>
  </si>
  <si>
    <r>
      <rPr>
        <sz val="12"/>
        <color theme="1"/>
        <rFont val="Times New Roman"/>
        <family val="1"/>
      </rPr>
      <t xml:space="preserve">Dương Thị Trinh </t>
    </r>
    <r>
      <rPr>
        <sz val="12"/>
        <color rgb="FFFF0000"/>
        <rFont val="Times New Roman"/>
        <family val="1"/>
      </rPr>
      <t>0588626333</t>
    </r>
  </si>
  <si>
    <t>duongkieutrinh2611@gmail.com</t>
  </si>
  <si>
    <t>Thôn Thụy Hồi Trại, Xã Tân Sơn, Huyện Kim Bảng, Tỉnh Hà Nam</t>
  </si>
  <si>
    <t>https://drive.google.com/open?id=1TMBYV8PDOzoaW9C5rb4ofZCW_t26I1TO; https://drive.google.com/open?id=1Xc1oJr-CFwdEo1rTeo7ZQqulehEKae9c</t>
  </si>
  <si>
    <t>https://www.facebook.com/NhuMoVu05?mibextid=LQQJ4d</t>
  </si>
  <si>
    <r>
      <rPr>
        <sz val="12"/>
        <color theme="1"/>
        <rFont val="Times New Roman"/>
        <family val="1"/>
      </rPr>
      <t>Vũ Như Mơ</t>
    </r>
    <r>
      <rPr>
        <sz val="12"/>
        <color rgb="FFFF0000"/>
        <rFont val="Times New Roman"/>
        <family val="1"/>
      </rPr>
      <t xml:space="preserve"> (Phiếu thu)</t>
    </r>
  </si>
  <si>
    <t>Minh Phượng - Tiên Lữ - Hưng Yên</t>
  </si>
  <si>
    <t>https://drive.google.com/open?id=1dKhVtc5-DNj0mas3MObHE4L8Sid1o4bA; https://drive.google.com/open?id=13g3dz2i0O8uGJhFMmBW83j8H3ODw5ELM</t>
  </si>
  <si>
    <t>PT31 =&gt;PT32 Yến chuyển</t>
  </si>
  <si>
    <t>https://www.facebook.com/Thanhthuy562005?mibextid=LQQJ4d</t>
  </si>
  <si>
    <r>
      <rPr>
        <sz val="12"/>
        <color theme="1"/>
        <rFont val="Times New Roman"/>
        <family val="1"/>
      </rPr>
      <t xml:space="preserve">Nguyễn Thị Thanh Thủy </t>
    </r>
    <r>
      <rPr>
        <sz val="12"/>
        <color rgb="FFFF0000"/>
        <rFont val="Times New Roman"/>
        <family val="1"/>
      </rPr>
      <t>(Phiếu thu)</t>
    </r>
  </si>
  <si>
    <t>thuyy562@gmail.com</t>
  </si>
  <si>
    <t xml:space="preserve"> Bãi Ban, Nhã Nam, Tân Yên, Bắc Giang</t>
  </si>
  <si>
    <t>https://drive.google.com/open?id=1pzEaD7AVuCyUs5b229A71UE2pDwn49om; https://drive.google.com/open?id=1tYpY2nekRJrSPnncwgSJSkHXv7XuAVRt</t>
  </si>
  <si>
    <t>https://www.facebook.com/phonqg.trann?mibextid=LQQJ4d</t>
  </si>
  <si>
    <r>
      <rPr>
        <sz val="12"/>
        <color theme="1"/>
        <rFont val="Times New Roman"/>
        <family val="1"/>
      </rPr>
      <t xml:space="preserve">Cao Thị Thùy Linh </t>
    </r>
    <r>
      <rPr>
        <sz val="12"/>
        <color rgb="FFFF0000"/>
        <rFont val="Times New Roman"/>
        <family val="1"/>
      </rPr>
      <t>(Phiếu thu)</t>
    </r>
  </si>
  <si>
    <t>thôn Văn Phong, Đồng Thái, huyện An Dương, TP Hải Phòng</t>
  </si>
  <si>
    <t>https://drive.google.com/open?id=1xLZvrk0i3tSNbtf5gkCE0PFPX7OynwKQ; https://drive.google.com/open?id=1mm6KN3sjTk4BxbFHja9-yFdf7u2ZRgfU; https://drive.google.com/open?id=17GOBQkMnJT9jKIQ7jQ0G3hspGrVYH5bO</t>
  </si>
  <si>
    <t>Yến chat báo xuống Combo 2,5</t>
  </si>
  <si>
    <t>https://www.facebook.com/phuong.hoangquynh.963</t>
  </si>
  <si>
    <t>Hoàng Quỳnh Phương</t>
  </si>
  <si>
    <t>quynhphuong3116@gmail.com</t>
  </si>
  <si>
    <t>ủy ban nhân dân xã Đức Đồng, huyện Đức Thọ, tỉnh Hà Tĩnh</t>
  </si>
  <si>
    <t>https://drive.google.com/open?id=1A_4v2iGCnRNvVcIi-rTyisMTaCRz6qJ6; https://drive.google.com/open?id=1o1Gm2qgPeiTIVWhtGOzEWxy_Z-7gWv24</t>
  </si>
  <si>
    <t>https://www.facebook.com/ducwepi2302?mibextid=LQQJ4d</t>
  </si>
  <si>
    <r>
      <rPr>
        <sz val="12"/>
        <color theme="1"/>
        <rFont val="Times New Roman"/>
        <family val="1"/>
      </rPr>
      <t xml:space="preserve">Trần Việt Đức </t>
    </r>
    <r>
      <rPr>
        <sz val="12"/>
        <color rgb="FFFF0000"/>
        <rFont val="Times New Roman"/>
        <family val="1"/>
      </rPr>
      <t>(Phiếu thu)</t>
    </r>
  </si>
  <si>
    <t>150, An Nhân Đông, thị trấn Tứ Kỳ, Hải Dương</t>
  </si>
  <si>
    <t>https://drive.google.com/open?id=1RZldJqZhKdOWAnuI5x8Ha9_Cjvz2zpOe; https://drive.google.com/open?id=1UENfFW3nwpqUwDja3H4U8roBlM5_cwPI</t>
  </si>
  <si>
    <t>Yến báo tăng Combo</t>
  </si>
  <si>
    <t>T184</t>
  </si>
  <si>
    <t>https://www.facebook.com/zhou.vin.50?mibextid=LQQJ4d</t>
  </si>
  <si>
    <r>
      <rPr>
        <sz val="12"/>
        <color theme="1"/>
        <rFont val="Times New Roman"/>
        <family val="1"/>
      </rPr>
      <t xml:space="preserve">Nguyễn Hoàng Anh </t>
    </r>
    <r>
      <rPr>
        <sz val="12"/>
        <color rgb="FFFF0000"/>
        <rFont val="Times New Roman"/>
        <family val="1"/>
      </rPr>
      <t>(Phiếu thu)
T153 bảo lưu b14. Quay lại học T184 buổi 10</t>
    </r>
  </si>
  <si>
    <t>nguyenanh10905tp@gmail.com</t>
  </si>
  <si>
    <t>Khu 2B - Tân Phú - Tân Sơn - Phú Thọ</t>
  </si>
  <si>
    <t>https://drive.google.com/open?id=1pM5FDB_lqiz4fcn_JYA7nvzgU3A5btSO; https://drive.google.com/open?id=1CZHg-uHbJPG9oi9_jFn62m958yekQwLP</t>
  </si>
  <si>
    <t>Đã nộp 300K ngày 03/01/2024</t>
  </si>
  <si>
    <t>T151 nghỉ ngang ko học</t>
  </si>
  <si>
    <t>https://www.facebook.com/tuongvy.vuthi.549?mibextid=LQQJ4d</t>
  </si>
  <si>
    <r>
      <rPr>
        <sz val="12"/>
        <color theme="1"/>
        <rFont val="Times New Roman"/>
        <family val="1"/>
      </rPr>
      <t xml:space="preserve">Vũ Thị Tường Vy </t>
    </r>
    <r>
      <rPr>
        <sz val="12"/>
        <color rgb="FFFF0000"/>
        <rFont val="Times New Roman"/>
        <family val="1"/>
      </rPr>
      <t>(Phiếu thu)</t>
    </r>
  </si>
  <si>
    <t>vutuongvy29032005@gmail.com</t>
  </si>
  <si>
    <t>Ngõ 2, Trần Kim Xuyến , Yên Hoà, Cầu Giấy</t>
  </si>
  <si>
    <t>Bỏ ngang</t>
  </si>
  <si>
    <t>https://drive.google.com/open?id=1budqbuQ3CZ2UO2KHL8gp7oonjAFzYvCx, https://drive.google.com/open?id=1MLsYWCLkVgugM-K9PTzU6ewIvI5Lnia5</t>
  </si>
  <si>
    <t>Bối cảnh: Huy thêm Anh Đức vào T151 học miễn phí. Nhài thấy T151 có 9HV nên đã hỏi lại Huy. Huy báo Tường Vy ko học nữa. Nhài hỏi Vy đã báo chị tư vấn team Ngô Đức Meca là bỏ ngang ko học nữa.</t>
  </si>
  <si>
    <t>https://www.facebook.com/profile.php?id=100063893850944&amp;mibextid=LQQJ4d</t>
  </si>
  <si>
    <r>
      <rPr>
        <sz val="12"/>
        <color theme="1"/>
        <rFont val="Times New Roman"/>
        <family val="1"/>
      </rPr>
      <t>Nguyễn Thị Quỳnh Trang</t>
    </r>
    <r>
      <rPr>
        <sz val="12"/>
        <color rgb="FFFF0000"/>
        <rFont val="Times New Roman"/>
        <family val="1"/>
      </rPr>
      <t xml:space="preserve"> (Phiếu thu)</t>
    </r>
  </si>
  <si>
    <t>Cẩm La- Tự Cường- Tiên Lãng- Hải Phòng</t>
  </si>
  <si>
    <t>https://drive.google.com/open?id=1Ee2hLZLPyT-xUwn4nDLw0Yt4-vTW78kp; https://drive.google.com/open?id=1nlISYa3E9sKn1cT2As_cd59hcDTxY4ML</t>
  </si>
  <si>
    <t>PT33-&gt;PT34. YẾn báo hạ Combo</t>
  </si>
  <si>
    <t>https://www.facebook.com/ngungo.linh.902</t>
  </si>
  <si>
    <t xml:space="preserve">Hà Ngọc Linh </t>
  </si>
  <si>
    <t xml:space="preserve">Ngọc Linh </t>
  </si>
  <si>
    <t>hangoclinh2004tb@gmail.com</t>
  </si>
  <si>
    <t>Nhà thờ Hà Xá, Tân Lễ, Hưng Hà, Thái Bình</t>
  </si>
  <si>
    <t>https://drive.google.com/open?id=1hAjzZnb8Haa13uivgPbO2s3FRe2BWmDS</t>
  </si>
  <si>
    <t>https://www.facebook.com/qanhdethws1?mibextid=LQQJ4d</t>
  </si>
  <si>
    <r>
      <rPr>
        <sz val="12"/>
        <color theme="1"/>
        <rFont val="Times New Roman"/>
        <family val="1"/>
      </rPr>
      <t xml:space="preserve">Nguyễn Quỳnh Anh </t>
    </r>
    <r>
      <rPr>
        <sz val="12"/>
        <color rgb="FFFF0000"/>
        <rFont val="Times New Roman"/>
        <family val="1"/>
      </rPr>
      <t>(Phiếu thu)</t>
    </r>
  </si>
  <si>
    <t xml:space="preserve">quynhanhhs1503@gmail.com </t>
  </si>
  <si>
    <t>TDP Quyết Tiến 1, Hương Sơn, Phú Bình, Thái Nguyên</t>
  </si>
  <si>
    <t>https://drive.google.com/open?id=1Z4pDMgZI4J5VUYeVT4VIFzAXbFRfu4Di; https://drive.google.com/open?id=1QN5PFHrQLCzgj7KdnWyexK8Cfba9DdNI</t>
  </si>
  <si>
    <t>PT33-&gt; PT31</t>
  </si>
  <si>
    <t>T153</t>
  </si>
  <si>
    <t>https://www.facebook.com/anh.04.59</t>
  </si>
  <si>
    <t>Ngô Minh Ánh</t>
  </si>
  <si>
    <t>Số 61 Ngõ 54, đường Tây Tựu, phường Tây Tựu, Bắc Từ Liêm, Hà Nội</t>
  </si>
  <si>
    <t>https://drive.google.com/open?id=1x1YvOSvUCJNDqsTs4vMd9I3Xl5-g6sOF</t>
  </si>
  <si>
    <t>https://www.facebook.com/luyen.duong.353250?mibextid=D4KYlr</t>
  </si>
  <si>
    <r>
      <rPr>
        <sz val="12"/>
        <color theme="1"/>
        <rFont val="Times New Roman"/>
        <family val="1"/>
      </rPr>
      <t xml:space="preserve">Dương Thị Luyến </t>
    </r>
    <r>
      <rPr>
        <sz val="12"/>
        <color rgb="FFFF0000"/>
        <rFont val="Times New Roman"/>
        <family val="1"/>
      </rPr>
      <t>(Phiếu thu)
T152 bảo lưu b14 Huy báo. Quay lại học T184</t>
    </r>
  </si>
  <si>
    <t>duongluyen2004@icloud.com</t>
  </si>
  <si>
    <t>Số 1 Ngõ 48 Tổ 4 phường Tích Lương, tp Thái Nguyên</t>
  </si>
  <si>
    <t>https://drive.google.com/open?id=1AcsHEiXsdMUGWCvl9BJB4N-V2tqBXJN0; https://drive.google.com/open?id=1ZasXHyoSsSjmNQ2RlLwDb_4nI6je_vFS</t>
  </si>
  <si>
    <t>Đã nộp 300K 27/12/2023</t>
  </si>
  <si>
    <t>https://www.facebook.com/profile.php?id=100070587709381&amp;mibextid=ZbWKwL</t>
  </si>
  <si>
    <t>Phạm Trang</t>
  </si>
  <si>
    <t>Kim</t>
  </si>
  <si>
    <t>Nhà 12 Ngõ 179 Ngách 187, phố Vĩnh Hưng, Hoàng Mai, Hà Nội</t>
  </si>
  <si>
    <t>https://drive.google.com/open?id=1knnBq2QgCl0b11sKi-6Mz1ClLBM06_mN</t>
  </si>
  <si>
    <t>https://www.facebook.com/profile.php?id=100050086240609&amp;mibextid=ZbWKwL</t>
  </si>
  <si>
    <r>
      <rPr>
        <sz val="12"/>
        <color theme="1"/>
        <rFont val="Times New Roman"/>
        <family val="1"/>
      </rPr>
      <t xml:space="preserve"> Đinh Anh Thư </t>
    </r>
    <r>
      <rPr>
        <sz val="12"/>
        <color rgb="FFFF0000"/>
        <rFont val="Times New Roman"/>
        <family val="1"/>
      </rPr>
      <t>(Phiếu thu)</t>
    </r>
  </si>
  <si>
    <t>ch có</t>
  </si>
  <si>
    <t>Lý Thường Kiệt, thị trấn Tiên Yên, Quảng Ninh</t>
  </si>
  <si>
    <t>https://drive.google.com/open?id=1pMm09me21f3pg3Nqop1gXGOU_FMnngX9</t>
  </si>
  <si>
    <t>PT41</t>
  </si>
  <si>
    <t>https://www.facebook.com/profile.php?id=100033510517070</t>
  </si>
  <si>
    <r>
      <rPr>
        <sz val="12"/>
        <color theme="1"/>
        <rFont val="Times New Roman"/>
        <family val="1"/>
      </rPr>
      <t xml:space="preserve">Trần Công Mạnh </t>
    </r>
    <r>
      <rPr>
        <sz val="12"/>
        <color rgb="FFFF0000"/>
        <rFont val="Times New Roman"/>
        <family val="1"/>
      </rPr>
      <t>(Trung lấy sách hộ) sđt cũ 0829175689</t>
    </r>
  </si>
  <si>
    <t>Trung</t>
  </si>
  <si>
    <t>A2K51TranCongManh230504@gmail.com</t>
  </si>
  <si>
    <t>Số nhà 69,tổ 2, Tu Hoàng, Xuân phương, Nam Từ Liêm Hà Nội</t>
  </si>
  <si>
    <t>https://drive.google.com/open?id=1O9MedFHbOddJEBmxVpwX5lZnQHfEK8ci</t>
  </si>
  <si>
    <t>Nhài đưa tay Trung ở VP. OPT1 lớp OFF =&gt;PT41. Học viên có nhu cầu đổi OFF sang ON</t>
  </si>
  <si>
    <t>https://www.facebook.com/profile.php?id=100086682072967&amp;mibextid=LQQJ4d</t>
  </si>
  <si>
    <t>Lưu Thị Thùy Linh</t>
  </si>
  <si>
    <t>Thôn 4, Xã Cao Sơn, Huyện Anh Sơn, Nghệ An</t>
  </si>
  <si>
    <t>https://drive.google.com/open?id=17I9UwvjXcR2fVzduVxSvfCGNXMjV66FC</t>
  </si>
  <si>
    <t>https://www.facebook.com/thuylinh.luu.29.04</t>
  </si>
  <si>
    <t>T226</t>
  </si>
  <si>
    <t>https://www.facebook.com/chukimngan06112003?mibextid=LQQJ4d</t>
  </si>
  <si>
    <r>
      <rPr>
        <sz val="12"/>
        <color theme="1"/>
        <rFont val="Times New Roman"/>
        <family val="1"/>
      </rPr>
      <t xml:space="preserve">Nguyễn Kim Ngân </t>
    </r>
    <r>
      <rPr>
        <sz val="12"/>
        <color rgb="FFFF0000"/>
        <rFont val="Times New Roman"/>
        <family val="1"/>
      </rPr>
      <t>- nhận học</t>
    </r>
    <r>
      <rPr>
        <sz val="12"/>
        <color theme="1"/>
        <rFont val="Times New Roman"/>
        <family val="1"/>
      </rPr>
      <t xml:space="preserve">
Nguyễn Thu Hà </t>
    </r>
    <r>
      <rPr>
        <sz val="12"/>
        <color rgb="FFFF0000"/>
        <rFont val="Times New Roman"/>
        <family val="1"/>
      </rPr>
      <t>- chuyển nhượng 862121203 đã nộp 300K 07/08/24</t>
    </r>
  </si>
  <si>
    <t>Nguồn Ngoài</t>
  </si>
  <si>
    <t>Nhài</t>
  </si>
  <si>
    <t xml:space="preserve">chukimngan06112003@gmail.com </t>
  </si>
  <si>
    <t>Nhà số 5 ngách 77/28, Ngọc Trục, Đại Mỗ, Nam Từ Liêm, Hà Nội</t>
  </si>
  <si>
    <t>https://drive.google.com/open?id=1_9Esvg8XdcFD99E_6qWAdnLT9PJev69Q</t>
  </si>
  <si>
    <t xml:space="preserve">350+ </t>
  </si>
  <si>
    <t>https://www.facebook.com/profile.php?id=100053388811628&amp;mibextid=LQQJ4d</t>
  </si>
  <si>
    <t>Team Đạt, Thư</t>
  </si>
  <si>
    <t>Hn7570576@gmail.com</t>
  </si>
  <si>
    <t>https://www.facebook.com/profile.php?id=100027300275613&amp;mibextid=LQQJ4d</t>
  </si>
  <si>
    <r>
      <rPr>
        <sz val="12"/>
        <color theme="1"/>
        <rFont val="Times New Roman"/>
        <family val="1"/>
      </rPr>
      <t xml:space="preserve">Nguyễn Thùy Dương </t>
    </r>
    <r>
      <rPr>
        <sz val="12"/>
        <color rgb="FFFF0000"/>
        <rFont val="Times New Roman"/>
        <family val="1"/>
      </rPr>
      <t>(Phiếu thu)</t>
    </r>
  </si>
  <si>
    <t>nguyenduongg0105@gmail.com</t>
  </si>
  <si>
    <t>Khu 2, Ninh Dân, Thanh Ba, Phú Thọ</t>
  </si>
  <si>
    <t>https://drive.google.com/open?id=1HBE_JRWasO7CUBYa_SbmjgTQwqr89OKB</t>
  </si>
  <si>
    <t>https://www.facebook.com/luuly.le.12327608?mibextid=LQQJ4d</t>
  </si>
  <si>
    <r>
      <rPr>
        <sz val="12"/>
        <color theme="1"/>
        <rFont val="Times New Roman"/>
        <family val="1"/>
      </rPr>
      <t xml:space="preserve">Lê Lưu Ly </t>
    </r>
    <r>
      <rPr>
        <sz val="12"/>
        <color rgb="FFFF0000"/>
        <rFont val="Times New Roman"/>
        <family val="1"/>
      </rPr>
      <t>(Phiếu thu)</t>
    </r>
  </si>
  <si>
    <t xml:space="preserve"> luulyle47@gmail.com</t>
  </si>
  <si>
    <t>Thôn Đại Đồng, Xã An Khê, huyện Quỳnh Phụ, tỉnh Thái Bình</t>
  </si>
  <si>
    <t>https://drive.google.com/open?id=1CSohNMLmaYSkxTRv7cZaOY5iLjMHuih-; https://drive.google.com/open?id=11R3A8aIzDPgxlhO-23LNQWh0JUEgchz3</t>
  </si>
  <si>
    <t>https://www.facebook.com/profile.php?id=100022293270487&amp;mibextid=LQQJ4d</t>
  </si>
  <si>
    <r>
      <rPr>
        <sz val="12"/>
        <color theme="1"/>
        <rFont val="Times New Roman"/>
        <family val="1"/>
      </rPr>
      <t xml:space="preserve">Lê Nam Phương </t>
    </r>
    <r>
      <rPr>
        <sz val="12"/>
        <color rgb="FFFF0000"/>
        <rFont val="Times New Roman"/>
        <family val="1"/>
      </rPr>
      <t>(Phiếu thu)</t>
    </r>
  </si>
  <si>
    <t>Thư Đôi- Nguyệt Đức- Thuận Thành-Bắc Ninh</t>
  </si>
  <si>
    <t>https://drive.google.com/open?id=1AYZLI5oYIO4557QI96UuGr3PH3fbdZF8; tiền mặt</t>
  </si>
  <si>
    <t>https://www.facebook.com/pham.anh163</t>
  </si>
  <si>
    <r>
      <rPr>
        <sz val="12"/>
        <color theme="1"/>
        <rFont val="Times New Roman"/>
        <family val="1"/>
      </rPr>
      <t xml:space="preserve">Nguyễn Ngọc Anh </t>
    </r>
    <r>
      <rPr>
        <sz val="12"/>
        <color rgb="FFFF0000"/>
        <rFont val="Times New Roman"/>
        <family val="1"/>
      </rPr>
      <t>(Phiếu thu)</t>
    </r>
  </si>
  <si>
    <t xml:space="preserve">64 ngách 15 ngõ gốc đề, đường Minh Khai, Mai Động, Hoàng Mai, Hà Nội       </t>
  </si>
  <si>
    <t>https://drive.google.com/open?id=18Z_jtm8biXDkzNL6hxja-YhqGRHk65tT</t>
  </si>
  <si>
    <t>https://www.facebook.com/profile.php?id=100050644639455&amp;mibextid=LQQJ4d</t>
  </si>
  <si>
    <r>
      <rPr>
        <sz val="12"/>
        <color theme="1"/>
        <rFont val="Times New Roman"/>
        <family val="1"/>
      </rPr>
      <t xml:space="preserve">Lại Thị Phương Anh </t>
    </r>
    <r>
      <rPr>
        <sz val="12"/>
        <color rgb="FFFF0000"/>
        <rFont val="Times New Roman"/>
        <family val="1"/>
      </rPr>
      <t>(Phiếu thu)</t>
    </r>
  </si>
  <si>
    <t>anhanh11k5@gmail.com</t>
  </si>
  <si>
    <t>Số nhà 734, đường Lê Thánh Tông thị trấn Yên Ninh, Yên Khánh, Ninh Bình</t>
  </si>
  <si>
    <t>https://drive.google.com/open?id=12Go6FR3w8QGyBcmGZNnBPzeHSlaLGvAl</t>
  </si>
  <si>
    <t>https://www.facebook.com/nongmahonghanh?mibextid=LQQJ4d</t>
  </si>
  <si>
    <r>
      <rPr>
        <sz val="12"/>
        <color theme="1"/>
        <rFont val="Times New Roman"/>
        <family val="1"/>
      </rPr>
      <t xml:space="preserve">Nông Mã Hồng Hạnh </t>
    </r>
    <r>
      <rPr>
        <sz val="12"/>
        <color rgb="FFFF0000"/>
        <rFont val="Times New Roman"/>
        <family val="1"/>
      </rPr>
      <t>(Phiếu thu)</t>
    </r>
  </si>
  <si>
    <t>SN 071, tổ 2, phường Hòa Chung, Thành phố Cao Bằng, Tỉnh Cao Bằng</t>
  </si>
  <si>
    <t>https://drive.google.com/open?id=1Yg8WEJdnfmQPqdSSJBau7MZsTYT4bhJc; https://drive.google.com/open?id=1CX7a641iCjgZmcPH28VOrw8S5u5Kfcwj</t>
  </si>
  <si>
    <t>VIP60</t>
  </si>
  <si>
    <t>https://www.facebook.com/profile.php?id=100072863164876&amp;mibextid=LQQJ4d</t>
  </si>
  <si>
    <t>Tạ Mai</t>
  </si>
  <si>
    <t xml:space="preserve">Nhà 71A, Ngõ 105 Doãn Kế Thiện, Mai Dịch, Cầu Giấy, Hà Nội </t>
  </si>
  <si>
    <t>https://drive.google.com/open?id=1KXgMrj7u4YViBfiReiPmec0YJXxEagkM, https://drive.google.com/open?id=1GqPLj6-CQHa3QA7-9Pu1PP7nklsWcO5P, https://drive.google.com/open?id=13kxTT9jMzgO3Y3gSo0WzaNiUPua37A9j</t>
  </si>
  <si>
    <t xml:space="preserve"> https://www.facebook.com/profile.php?id=100051882647417&amp;mibextid=LQQJ4d</t>
  </si>
  <si>
    <r>
      <rPr>
        <sz val="12"/>
        <color theme="1"/>
        <rFont val="Times New Roman"/>
        <family val="1"/>
      </rPr>
      <t xml:space="preserve"> Nguyễn Thùy Linh </t>
    </r>
    <r>
      <rPr>
        <sz val="12"/>
        <color rgb="FFFF0000"/>
        <rFont val="Times New Roman"/>
        <family val="1"/>
      </rPr>
      <t>(Phiếu thu)</t>
    </r>
  </si>
  <si>
    <t>nguyenthuylinh2007bn@gmail.com</t>
  </si>
  <si>
    <t>Đường 276 thôn Chi Hồ -xã Tân Ch i- huyện Tiên Du - tỉnh Bắc Ninh</t>
  </si>
  <si>
    <t>https://drive.google.com/open?id=1f4e2MjBbYa7DbOg44rHL8O336sd4TElo, https://drive.google.com/open?id=1Oidn0AhdL267gZpFqIxCgRcwCHmlDXkH; https://drive.google.com/open?id=1Lmlj-3_k8UE--OzALaShCOVA6BdZk-Ej</t>
  </si>
  <si>
    <t>https://www.facebook.com/profile.php?id=100059547292388&amp;mibextid=ZbWKwL</t>
  </si>
  <si>
    <t>Hà Việt Chiến</t>
  </si>
  <si>
    <t xml:space="preserve">Xóm Hồ 1 - Minh Đức - TP Phổ Yên - tỉnh Thái Nguyên    </t>
  </si>
  <si>
    <t>https://drive.google.com/open?id=1jYvV0TpJhMQY_-MOgdxHWw78kNBgEmaz</t>
  </si>
  <si>
    <t>https://www.facebook.com/ngphuong28072005</t>
  </si>
  <si>
    <r>
      <rPr>
        <sz val="12"/>
        <color theme="1"/>
        <rFont val="Times New Roman"/>
        <family val="1"/>
      </rPr>
      <t xml:space="preserve">Nguyễn Minh Phương </t>
    </r>
    <r>
      <rPr>
        <sz val="12"/>
        <color rgb="FFFF0000"/>
        <rFont val="Times New Roman"/>
        <family val="1"/>
      </rPr>
      <t>(Phiếu thu)</t>
    </r>
  </si>
  <si>
    <t>Tây An, Mường So, Phong Thổ, Lai Châu</t>
  </si>
  <si>
    <t>05/08/2023 và 18/08/2023</t>
  </si>
  <si>
    <t>https://drive.google.com/open?id=1bPE5lQAeeHwI_bSm3-7uN5fpj31sTtal; https://drive.google.com/open?id=15jjzbb-5gB6OgEdDkCPWq1VX6MPWbf2m</t>
  </si>
  <si>
    <t>https://www.facebook.com/profile.php?id=100057006189538&amp;mibextid=ZbWKwL</t>
  </si>
  <si>
    <r>
      <rPr>
        <sz val="12"/>
        <color theme="1"/>
        <rFont val="Times New Roman"/>
        <family val="1"/>
      </rPr>
      <t xml:space="preserve">Nguyễn Anh Tuấn </t>
    </r>
    <r>
      <rPr>
        <sz val="12"/>
        <color rgb="FFFF0000"/>
        <rFont val="Times New Roman"/>
        <family val="1"/>
      </rPr>
      <t>(Phiếu thu)</t>
    </r>
  </si>
  <si>
    <t xml:space="preserve">Đội 18, xóm Xuân Ninh, Bạch Long                                                  </t>
  </si>
  <si>
    <t>https://drive.google.com/open?id=14Pu2GvU5qA_o6niPgFcNdlETw9N6AH06</t>
  </si>
  <si>
    <t>https://www.facebook.com/Tuan.Anh.k54a7</t>
  </si>
  <si>
    <t>Nguyễn Tuấn Anh</t>
  </si>
  <si>
    <t>Đinh Oanh</t>
  </si>
  <si>
    <t>tocotocok10@gmail.com</t>
  </si>
  <si>
    <t xml:space="preserve">Số 25, Khu tập thể H35, Minh Khai, Bắc Từ Liêm, Hà Nội </t>
  </si>
  <si>
    <t>https://drive.google.com/open?id=1KqGlXz-uMTE_3lR2VFCW1UxPzLEJZwPy</t>
  </si>
  <si>
    <t>HV vào kho lấy</t>
  </si>
  <si>
    <t>https://www.facebook.com/profile.php?id=100075529997389&amp;mibextid=LQQJ4d</t>
  </si>
  <si>
    <r>
      <rPr>
        <sz val="12"/>
        <color theme="1"/>
        <rFont val="Times New Roman"/>
        <family val="1"/>
      </rPr>
      <t>Nguyễn Ngọc Hậu</t>
    </r>
    <r>
      <rPr>
        <sz val="12"/>
        <color rgb="FFFF0000"/>
        <rFont val="Times New Roman"/>
        <family val="1"/>
      </rPr>
      <t xml:space="preserve"> (Phiếu thu)</t>
    </r>
  </si>
  <si>
    <t>Kh có</t>
  </si>
  <si>
    <t>Thu Lãng, Ngọc Liên, Cẩm Giàng, Hải Dương</t>
  </si>
  <si>
    <t>https://drive.google.com/open?id=1XwW67OcIDo7pOeq-yHLq-d-gm114yCNY</t>
  </si>
  <si>
    <t>https://www.facebook.com/profile.php?id=100052486270966&amp;mibextid=LQQJ4d</t>
  </si>
  <si>
    <t>Khuất Quang Cảnh</t>
  </si>
  <si>
    <t>canhq1753@gmail.com</t>
  </si>
  <si>
    <t>TDP6, TT Pleikần, Huyện Ngọc Hồi, Tỉnh Kon Tum</t>
  </si>
  <si>
    <t>https://drive.google.com/open?id=1IH3pU163YsSMGvhdpI524rTPumiOY_YE; https://drive.google.com/open?id=1cF-KD1sbdPPKc6pu_FSEV3Ko4Ci-D8It</t>
  </si>
  <si>
    <t>PT35 -&gt;PT36</t>
  </si>
  <si>
    <t>https://www.facebook.com/thaiquyenflower?mibextid=9R9pXO</t>
  </si>
  <si>
    <t>Nguyễn Văn Quyền</t>
  </si>
  <si>
    <t>Nguyenquyen17124@gmail.com</t>
  </si>
  <si>
    <t>Nhà số 7 ngõ 73 Tân nhuệ, Thuỵ Phương , Từ Liêm , Hà Nội</t>
  </si>
  <si>
    <t>https://drive.google.com/open?id=1Owpasr2eobU9CvUPfG6fcB8825lSQdKF</t>
  </si>
  <si>
    <t>không test</t>
  </si>
  <si>
    <t>https://www.facebook.com/profile.php?id=100074784340201&amp;mibextid=ZbWKwL</t>
  </si>
  <si>
    <r>
      <rPr>
        <sz val="12"/>
        <color theme="1"/>
        <rFont val="Times New Roman"/>
        <family val="1"/>
      </rPr>
      <t xml:space="preserve">Âu Văn Đạo </t>
    </r>
    <r>
      <rPr>
        <sz val="12"/>
        <color rgb="FFFF0000"/>
        <rFont val="Times New Roman"/>
        <family val="1"/>
      </rPr>
      <t>(Phiếu thu)</t>
    </r>
  </si>
  <si>
    <t xml:space="preserve">Đông Trước - Mai Đình - Hiệp Hoà - Bắc Giang     </t>
  </si>
  <si>
    <t>https://drive.google.com/open?id=1M-nVmeGvkf8kuQDIb_eLiEdmpH_LFihT</t>
  </si>
  <si>
    <t>PT17</t>
  </si>
  <si>
    <t>https://www.facebook.com/quan.mp.1?mibextid=LQQJ4d</t>
  </si>
  <si>
    <t>Phạm Minh Quân</t>
  </si>
  <si>
    <t>Kiều Nga</t>
  </si>
  <si>
    <t>quanpham24112004@gmail.com</t>
  </si>
  <si>
    <t>21 Ngõ 1, phố Viên, Cổ Nhuế, Bắc Từ Liêm, Hà Nội</t>
  </si>
  <si>
    <t>https://drive.google.com/open?id=1wsyG-JWvcLwCG6eniQDz9Jva11JujZ_I</t>
  </si>
  <si>
    <t>https://www.facebook.com/buiha.trang.7773</t>
  </si>
  <si>
    <t>Bùi Hà Trang</t>
  </si>
  <si>
    <t xml:space="preserve">Trangbuiha1912@gmail.com </t>
  </si>
  <si>
    <t>BT3-18, Khu Ngoại Giao Đoàn, Bắc Từ Liêm, Hà Nội</t>
  </si>
  <si>
    <t>https://drive.google.com/open?id=1pY7Rl8eUtHaT3ZJaJOP2awP98xEwSXM3</t>
  </si>
  <si>
    <t>https://www.facebook.com/ngocphuong.to.566?mibextid=LQQJ4d</t>
  </si>
  <si>
    <r>
      <rPr>
        <sz val="12"/>
        <color theme="1"/>
        <rFont val="Times New Roman"/>
        <family val="1"/>
      </rPr>
      <t xml:space="preserve">Nguyễn Thị Nhật Lan </t>
    </r>
    <r>
      <rPr>
        <sz val="12"/>
        <color rgb="FFFF0000"/>
        <rFont val="Times New Roman"/>
        <family val="1"/>
      </rPr>
      <t>(Phiếu thu)</t>
    </r>
  </si>
  <si>
    <t>nguyenduynhan764@gmail.com</t>
  </si>
  <si>
    <t>Thôn 10, An Hà, Lạng Giang, Bắc Giang</t>
  </si>
  <si>
    <t>https://drive.google.com/open?id=1pHMjjuAXBmcgNmlrPCbF1R7qGdRHZx1c</t>
  </si>
  <si>
    <t>https://www.facebook.com/profile.php?id=100069390811499&amp;mibextid=LQQJ4d</t>
  </si>
  <si>
    <t>Nguyễn Ngọc Linh</t>
  </si>
  <si>
    <t>linhyknb169@gmail.com</t>
  </si>
  <si>
    <t>Số nhà 212, Ngõ 2 Trần Phú, Xóm 9, Khánh Tiên, Yên Khánh, Ninh Bình</t>
  </si>
  <si>
    <t>https://drive.google.com/open?id=1wcdFDH_S3YzSZRXB9c-sKDFbeaIxuRPV; https://drive.google.com/open?id=1tYBmXWeTHIpPFrMPqa1LGttIvxzmAmpf</t>
  </si>
  <si>
    <t>KC38</t>
  </si>
  <si>
    <t>OPT14 đã trả tiền</t>
  </si>
  <si>
    <t>https://www.facebook.com/profile.php?id=100009610272940&amp;mibextid=ZbWKwL</t>
  </si>
  <si>
    <r>
      <rPr>
        <sz val="12"/>
        <color theme="1"/>
        <rFont val="Times New Roman"/>
        <family val="1"/>
      </rPr>
      <t>Nguyễn Phúc Bảo Hà</t>
    </r>
    <r>
      <rPr>
        <sz val="12"/>
        <color rgb="FFFF0000"/>
        <rFont val="Times New Roman"/>
        <family val="1"/>
      </rPr>
      <t xml:space="preserve"> - đã trả lại tiền Toeic 1,2 ngày 31/01/2024</t>
    </r>
  </si>
  <si>
    <t>Nguyễn Ngoan</t>
  </si>
  <si>
    <t>152, Hoa Bằng, Yên Hoà, Cầu Giấy, Hà Nội</t>
  </si>
  <si>
    <t>https://drive.google.com/open?id=1SJuUHMAKjRIjrVbRMJzwWTGhS2Mjp-D4</t>
  </si>
  <si>
    <t>Đã trả lại tiền Toeic 1,2 ngày 31/01/2024. Huy đề xuất trả lại vì hv ko học, hay phá lớp. Lớp OPT14 học 4 buổi. Bạn đi 1 buổi. Hay nói linh tinh</t>
  </si>
  <si>
    <t>Học OFF. Phát sách ở lớp</t>
  </si>
  <si>
    <t>https://www.facebook.com/profile.php?id=100026077692896</t>
  </si>
  <si>
    <t>Nguyễn Văn Tâm</t>
  </si>
  <si>
    <t>Loncon9b@gmail.con</t>
  </si>
  <si>
    <t xml:space="preserve"> Chợ Cóc, Khu 10, Đại Phúc, tp Bắc Ninh, tỉnh Bắc Ninh</t>
  </si>
  <si>
    <t>https://drive.google.com/open?id=1il8kq-gfXDe2fBSvYZlv-25HqHpSEU9d</t>
  </si>
  <si>
    <t>https://www.facebook.com/profile.php?id=100066731117959&amp;mibextid=LQQJ4d</t>
  </si>
  <si>
    <r>
      <rPr>
        <sz val="12"/>
        <color theme="1"/>
        <rFont val="Times New Roman"/>
        <family val="1"/>
      </rPr>
      <t xml:space="preserve">Lò Thị Huyền Diệu </t>
    </r>
    <r>
      <rPr>
        <sz val="12"/>
        <color rgb="FFFF0000"/>
        <rFont val="Times New Roman"/>
        <family val="1"/>
      </rPr>
      <t>(Phiếu thu)  sđt cũ 0354653374</t>
    </r>
  </si>
  <si>
    <t>dieulo.0211005@gmail.com</t>
  </si>
  <si>
    <t xml:space="preserve">Mường Pia, xã Chiềng Hoa, Mường La, Sơn La </t>
  </si>
  <si>
    <t>https://drive.google.com/open?id=1pf4iqTIhrZNmq_LAbwmSlsuhejaI-0K0; https://drive.google.com/open?id=1mNSiYPnpkfAD72QCUM2ExKJLBNIfAWt6</t>
  </si>
  <si>
    <t>https://www.facebook.com/vu.quynh.5030927?mibextid=ZbWKwL</t>
  </si>
  <si>
    <r>
      <rPr>
        <sz val="12"/>
        <color theme="1"/>
        <rFont val="Times New Roman"/>
        <family val="1"/>
      </rPr>
      <t xml:space="preserve">Vũ Thị Quỳnh Anh </t>
    </r>
    <r>
      <rPr>
        <sz val="12"/>
        <color rgb="FFFF0000"/>
        <rFont val="Times New Roman"/>
        <family val="1"/>
      </rPr>
      <t>(Phiếu thu)</t>
    </r>
  </si>
  <si>
    <t>quynhtl3012@gmail.com</t>
  </si>
  <si>
    <t>Số 104 ngõ 63/180 Lê Đức Thọ, Hà Nội</t>
  </si>
  <si>
    <t>https://drive.google.com/open?id=1jtTlHjB-Ap7QE1PLfPpxUYC-akChHhpq</t>
  </si>
  <si>
    <t>https://www.facebook.com/en.li.5243?mibextid=ZbWKwL</t>
  </si>
  <si>
    <r>
      <rPr>
        <sz val="12"/>
        <color theme="1"/>
        <rFont val="Times New Roman"/>
        <family val="1"/>
      </rPr>
      <t xml:space="preserve">Nguyễn Thị Liên </t>
    </r>
    <r>
      <rPr>
        <sz val="12"/>
        <color rgb="FFFF0000"/>
        <rFont val="Times New Roman"/>
        <family val="1"/>
      </rPr>
      <t>(Phiếu thu)</t>
    </r>
  </si>
  <si>
    <t>Số 5, Ngách 132/49, đường Cầu Diễn, Nguyên Xá, Minh Khai, Hà Nội</t>
  </si>
  <si>
    <t>https://drive.google.com/open?id=1jR_YIKiX4mwALi7_SaTqHs4SsRJrQvcm, https://drive.google.com/open?id=1iIBsx6CgLcOZZOslXNMT2KiUJ17KtkFu</t>
  </si>
  <si>
    <t>https://www.facebook.com/hang.nt.9693?mibextid=ZbWKwL</t>
  </si>
  <si>
    <r>
      <rPr>
        <sz val="12"/>
        <color theme="1"/>
        <rFont val="Times New Roman"/>
        <family val="1"/>
      </rPr>
      <t>Ngô Thu Hằng</t>
    </r>
    <r>
      <rPr>
        <sz val="12"/>
        <color rgb="FFFF0000"/>
        <rFont val="Times New Roman"/>
        <family val="1"/>
      </rPr>
      <t xml:space="preserve"> (Phiếu thu)</t>
    </r>
  </si>
  <si>
    <t>Yến</t>
  </si>
  <si>
    <t>https://drive.google.com/open?id=11UyKy51QITLVRVPybD8wDstgokeT-snz, https://drive.google.com/open?id=1Iy87k9zj5weL7c_89xpP5cOc4db8wkuI</t>
  </si>
  <si>
    <t xml:space="preserve"> https://www.facebook.com/profile.php?id=100029153340791&amp;mibextid=LQQJ4d</t>
  </si>
  <si>
    <t>Hoàng Thị Thùy</t>
  </si>
  <si>
    <t>thuy42333@gmail.com</t>
  </si>
  <si>
    <t xml:space="preserve"> thôn 5- xã Thuần Hưng- huyện Khoái Châu- tỉnh Hưng Yên</t>
  </si>
  <si>
    <t>https://drive.google.com/open?id=1fYGDpE_9b8eBA-VM-EdZUszXW58dR19H; https://drive.google.com/open?id=1ogpRSEo_pino29l4oV2U8nmUz5QKgvq-</t>
  </si>
  <si>
    <t>Đưa sách trực tiếp ở lớp</t>
  </si>
  <si>
    <t>B535</t>
  </si>
  <si>
    <t>https://www.facebook.com/profile.php?id=100069996502748</t>
  </si>
  <si>
    <t>Nguyễn Thị Thảo Linh</t>
  </si>
  <si>
    <t>Làng Đống Chanh - Xã Minh Cường - Huyện Thường Tín - Hà Nội</t>
  </si>
  <si>
    <t>https://drive.google.com/open?id=137RXq8c6CMUthFLKAvQfE57A0a9tJ4n5</t>
  </si>
  <si>
    <t>PT38</t>
  </si>
  <si>
    <t xml:space="preserve"> https://www.facebook.com/profile.php?id=100022308904824&amp;mibextid=ZbWKwL</t>
  </si>
  <si>
    <t>Nguyễn Thanh Hằng</t>
  </si>
  <si>
    <t>Huyền Luna</t>
  </si>
  <si>
    <t>317 cổ Nhuế, quận Bắc Từ Liêm, Thành phố Hà Nội</t>
  </si>
  <si>
    <t>https://drive.google.com/open?id=1Him9iaUgfr7FSOnsDyqLooM2rWYs5slV, https://drive.google.com/open?id=1_UVBfFBHfS72zkv57_O_CmmOOaoCQmB3</t>
  </si>
  <si>
    <t>PT37 =&gt;Chờ lớp</t>
  </si>
  <si>
    <t>https://www.facebook.com/profile.php?id=100058824425888</t>
  </si>
  <si>
    <t>Mai Thị Hồng Nhung</t>
  </si>
  <si>
    <t>1maithihongnhung2005@gmail.com</t>
  </si>
  <si>
    <t>Xóm Chiến Thắng- Ba Đình, huyện Nga Sơn- Thanh Hóa</t>
  </si>
  <si>
    <t>https://drive.google.com/open?id=1Rjm8tLeeWQFILOCMUOOdGyu-rnkALAwp; https://drive.google.com/open?id=1vGgHmlFheA5B8gvrIy3uMM2BtzQ9mTPx</t>
  </si>
  <si>
    <t>https://www.facebook.com/profile.php?id=100054819611066&amp;mibextid=LQQJ4d</t>
  </si>
  <si>
    <r>
      <rPr>
        <sz val="12"/>
        <color theme="1"/>
        <rFont val="Times New Roman"/>
        <family val="1"/>
      </rPr>
      <t xml:space="preserve">Nguyễn Thị Mai Liên </t>
    </r>
    <r>
      <rPr>
        <sz val="12"/>
        <color rgb="FFFF0000"/>
        <rFont val="Times New Roman"/>
        <family val="1"/>
      </rPr>
      <t>(Phiếu thu)</t>
    </r>
  </si>
  <si>
    <t>nguyenmailien24022005@gmail.com</t>
  </si>
  <si>
    <t xml:space="preserve"> Tạp hoá Xuân Minh, Bắc Thượng, Quang Tiến, huyện Sóc Sơn, Hà Nội</t>
  </si>
  <si>
    <t>https://drive.google.com/open?id=1NsrGUDgs_PqMUADfL202fLWQmdseIror</t>
  </si>
  <si>
    <t>https://www.facebook.com/chuyen.nguyenthi.3975012</t>
  </si>
  <si>
    <r>
      <rPr>
        <sz val="12"/>
        <color theme="1"/>
        <rFont val="Times New Roman"/>
        <family val="1"/>
      </rPr>
      <t xml:space="preserve">Nguyễn Thị Thùy </t>
    </r>
    <r>
      <rPr>
        <sz val="12"/>
        <color rgb="FFFF0000"/>
        <rFont val="Times New Roman"/>
        <family val="1"/>
      </rPr>
      <t>(Phiếu thu)</t>
    </r>
  </si>
  <si>
    <t>Núi Hiểu- Quang Châu- Việt Yên- Bắc Giang</t>
  </si>
  <si>
    <t>https://drive.google.com/open?id=1g4NJCianooOtshU6wlPswe3S12XoT7uK</t>
  </si>
  <si>
    <t>https://www.facebook.com/tienanh.nguyen.2812?mibextid=ZbWKwL</t>
  </si>
  <si>
    <r>
      <rPr>
        <sz val="12"/>
        <color theme="1"/>
        <rFont val="Times New Roman"/>
        <family val="1"/>
      </rPr>
      <t xml:space="preserve">Nguyễn Tiến Anh </t>
    </r>
    <r>
      <rPr>
        <sz val="12"/>
        <color rgb="FFFF0000"/>
        <rFont val="Times New Roman"/>
        <family val="1"/>
      </rPr>
      <t>(Phiếu thu)</t>
    </r>
  </si>
  <si>
    <t xml:space="preserve">Ngõ 127 đường Phú Mỹ, Mỹ Đình 2, Hà Nội </t>
  </si>
  <si>
    <t>https://drive.google.com/open?id=1uLsOU0_lKj0_UJGECriCOQEQhS7KE8HI; https://drive.google.com/open?id=1JBkO3zcjh_5q6GEEc49FJdY3nbYDJW0w</t>
  </si>
  <si>
    <t>https://www.facebook.com/profile.php?id=100025769701468</t>
  </si>
  <si>
    <t>Nguyễn Thế Ngọc</t>
  </si>
  <si>
    <t>Nguyễn Oanh</t>
  </si>
  <si>
    <t>ngoca2k18@gmail.com</t>
  </si>
  <si>
    <t>Số nhà 17, Ngõ 82, phố Phú Kiều, phường Phúc Diễn, Bắc Từ Liêm, Hà Nội</t>
  </si>
  <si>
    <t>https://drive.google.com/open?id=1MPdviwxDGnPvxz30zT77SfB97E3KQ9jf, https://drive.google.com/open?id=1q-T7d3L4CgCJ24DYvKhmyuyFEbQR0th-</t>
  </si>
  <si>
    <t>https://www.facebook.com/hallo.minhf.laf.Di.ddaay?mibextid=D4KYlr</t>
  </si>
  <si>
    <t>Trịnh Ngọc Ly</t>
  </si>
  <si>
    <t>Số 1, ngách 63/53, phố Trần Quốc Vượng, Dịch Vọng Hậu, Cầu Giấy</t>
  </si>
  <si>
    <t>https://drive.google.com/open?id=1oGFLK-IQh6Nyv1uYvxtRrW38UeNRJt1j, https://drive.google.com/open?id=1T4z2VO4dAkFNrDw41ricS85XGmIsvs4g</t>
  </si>
  <si>
    <t>https://www.facebook.com/tay.minh.7121614</t>
  </si>
  <si>
    <t>Nguyễn Thị Minh</t>
  </si>
  <si>
    <t>37/44 Trần Thái Tông, Dịch Vọng Hậu, Cầu Giấy, Hà Nội</t>
  </si>
  <si>
    <t>https://drive.google.com/open?id=1PIuhPFuAjbGhT4AxgzwEfDbXobgM9Eyj, https://drive.google.com/open?id=1f54CjD43ZTBx49aULeUi1WNNFtmto68z</t>
  </si>
  <si>
    <t>PT42</t>
  </si>
  <si>
    <t>https://www.facebook.com/profile.php?id=100054963064964</t>
  </si>
  <si>
    <t>Nguyễn Hoàng Tùng</t>
  </si>
  <si>
    <t>Ktx đại học công nghiệp Hà Nội, Minh Khai, Bắc Từ Liêm, Hà Nội</t>
  </si>
  <si>
    <t>https://drive.google.com/open?id=1xhPt9-ynJ8WQe74b3G3HOSNNP66_jB4P</t>
  </si>
  <si>
    <t>https://www.facebook.com/profile.php?id=100061160496559&amp;mibextid=LQQJ4d</t>
  </si>
  <si>
    <t>Phạm Anh Thư</t>
  </si>
  <si>
    <t>Patanhthu@gmail.com</t>
  </si>
  <si>
    <t>Bắc phong khiến thiết Tiên Lãng Hải Phòng</t>
  </si>
  <si>
    <t>24/08/2023 và 27/08/2023</t>
  </si>
  <si>
    <t>https://drive.google.com/open?id=1A3_CQiLi1acge99C9Fg3hasYZZS1z_g6; https://drive.google.com/open?id=1CFWhWDTXED6bfJiBCIGGheWKUwPPKJsA</t>
  </si>
  <si>
    <t>OPT1 =&gt;PT42. Yến báo chuyển OFF sang ONLINE</t>
  </si>
  <si>
    <t>https://www.facebook.com/profile.php?id=100026744381320</t>
  </si>
  <si>
    <t>Phạm Huy Anh Vũ</t>
  </si>
  <si>
    <t xml:space="preserve">Vân </t>
  </si>
  <si>
    <t>anhvuph2003@gmail.com</t>
  </si>
  <si>
    <t>Số 27 Ngách 146 Ngõ 467 đường Lĩnh Nam, Hoàng Mai, Hà Nội</t>
  </si>
  <si>
    <t>https://drive.google.com/open?id=10CZhQEWWxEAHDJBL2I5wzZ9PC9C4OFPX</t>
  </si>
  <si>
    <t>PT39</t>
  </si>
  <si>
    <t>https://www.facebook.com/tuz.mie48?mibextid=LQQJ4d</t>
  </si>
  <si>
    <r>
      <rPr>
        <sz val="12"/>
        <color theme="1"/>
        <rFont val="Times New Roman"/>
        <family val="1"/>
      </rPr>
      <t>Nguyễn Thị Tuyết Mai</t>
    </r>
    <r>
      <rPr>
        <sz val="12"/>
        <color rgb="FFFF0000"/>
        <rFont val="Times New Roman"/>
        <family val="1"/>
      </rPr>
      <t xml:space="preserve"> (Phiếu thu)</t>
    </r>
  </si>
  <si>
    <t>ngtuyetmai220055@gmail.com</t>
  </si>
  <si>
    <t>Đầu xóm 5- Tam Thuấn - Phúc Thọ- Hà Nội</t>
  </si>
  <si>
    <t>https://drive.google.com/open?id=1xyysQySsT4kS6QGvzTr4RcGSY0n7Ow8A; https://drive.google.com/open?id=1VuFKGvIXFify3g_9a_TMqD5G4OOb-o-t</t>
  </si>
  <si>
    <t>https://www.facebook.com/profile.php?id=100047882830686&amp;mibextid=LQQJ4d</t>
  </si>
  <si>
    <r>
      <rPr>
        <sz val="12"/>
        <color theme="1"/>
        <rFont val="Times New Roman"/>
        <family val="1"/>
      </rPr>
      <t xml:space="preserve">Nguyễn Văn Minh </t>
    </r>
    <r>
      <rPr>
        <sz val="12"/>
        <color rgb="FFFF0000"/>
        <rFont val="Times New Roman"/>
        <family val="1"/>
      </rPr>
      <t>(Phiếu thu)</t>
    </r>
  </si>
  <si>
    <t>Ngọc lậu1 - Đông Thịnh - Đông Sơn - Thanh Hoá</t>
  </si>
  <si>
    <t>https://drive.google.com/open?id=1AfC-qcG7x07f_R1yVWYSlNWJ9EMdkPW9</t>
  </si>
  <si>
    <t>https://www.facebook.com/tuanminh.truong.9461?mibextid=LQQJ4d</t>
  </si>
  <si>
    <r>
      <rPr>
        <sz val="12"/>
        <color theme="1"/>
        <rFont val="Times New Roman"/>
        <family val="1"/>
      </rPr>
      <t xml:space="preserve">Trương Tuấn Minh </t>
    </r>
    <r>
      <rPr>
        <sz val="12"/>
        <color rgb="FFFF0000"/>
        <rFont val="Times New Roman"/>
        <family val="1"/>
      </rPr>
      <t>(Phiếu thu)</t>
    </r>
  </si>
  <si>
    <t>Phanh TR0</t>
  </si>
  <si>
    <t>trtming20@gmail.com</t>
  </si>
  <si>
    <t>Tổ dân phố 2, thị trấn Tân Uyên, huyện Tân Uyên, tỉnh Lai Châu</t>
  </si>
  <si>
    <t>https://drive.google.com/open?id=1uAh1HekRHmi6sGrCgDoP7H0iK2SQnogL</t>
  </si>
  <si>
    <t>https://www.facebook.com/phamnamhykc?mibextid=ZbWKwL</t>
  </si>
  <si>
    <t>Phạm Văn Nam</t>
  </si>
  <si>
    <t>Vân</t>
  </si>
  <si>
    <t>namhykc123@gmail.com</t>
  </si>
  <si>
    <t>8/13/0023</t>
  </si>
  <si>
    <t>https://drive.google.com/open?id=1lxmoh18_P3V9zvQaseQKLjVdm3J3dae-</t>
  </si>
  <si>
    <t>https://www.facebook.com/nvan26?mibextid=ZbWKwL</t>
  </si>
  <si>
    <t>Nguyễn Thị Hồng Vân</t>
  </si>
  <si>
    <t>nthvan.dhtm15a5hn@sv.uneti.edu.vn</t>
  </si>
  <si>
    <t>Số 103 Ngõ 179 Vĩnh Hưng, Hoàng Mai, Hà Nội</t>
  </si>
  <si>
    <t>https://www.facebook.com/profile.php?id=100022746849851</t>
  </si>
  <si>
    <t xml:space="preserve"> Nguyễn Thị Hồng </t>
  </si>
  <si>
    <t>001303042403</t>
  </si>
  <si>
    <t>Thái Lai, Tiến Thắng, Mê Linh, Hà Nội</t>
  </si>
  <si>
    <t>https://drive.google.com/open?id=1Pf2Ixa-_w_P65gV51zvqaLTp8vYUQbcH</t>
  </si>
  <si>
    <t>https://www.facebook.com/htu.uienz</t>
  </si>
  <si>
    <t>Nguyễn Thị Thu Uyên</t>
  </si>
  <si>
    <t>thiếu</t>
  </si>
  <si>
    <t>Cây xăng Tân Dưỡng 1, Ninh Vân, Hoa Lư, Ninh Bình</t>
  </si>
  <si>
    <t>https://drive.google.com/open?id=1jW9w3mtunXPlLRUUhvBOSicFZf07e0II; https://drive.google.com/open?id=11iqo8Wule89OplxPCKMdQgkKii1ewwLA</t>
  </si>
  <si>
    <t>https://www.facebook.com/profile.php?id=100033332899693&amp;mibextid=D4KYlr</t>
  </si>
  <si>
    <t>Phạm Thị Bích Thương</t>
  </si>
  <si>
    <t>Thiếu</t>
  </si>
  <si>
    <r>
      <rPr>
        <sz val="12"/>
        <color theme="1"/>
        <rFont val="Times New Roman"/>
        <family val="1"/>
      </rPr>
      <t xml:space="preserve">KTB B3 Học Viện Nông Nghiệp Việt Nam, </t>
    </r>
    <r>
      <rPr>
        <sz val="12"/>
        <color rgb="FFFF0000"/>
        <rFont val="Times New Roman"/>
        <family val="1"/>
      </rPr>
      <t>thị trấn Trâu Quỳ -Gia Lâm -Hà Nội</t>
    </r>
  </si>
  <si>
    <t>https://drive.google.com/open?id=1KPK-2Ps51lZjUumS3AjWTHqCV9s1ZcJ_, https://drive.google.com/open?id=19ZkExRoenRJKRQ3x0jJW0naY-QpzxGwL</t>
  </si>
  <si>
    <t>T162</t>
  </si>
  <si>
    <t>https://www.facebook.com/profile.php?id=100086800088725&amp;mibextid=LQQJ4d</t>
  </si>
  <si>
    <r>
      <rPr>
        <sz val="12"/>
        <color theme="1"/>
        <rFont val="Times New Roman"/>
        <family val="1"/>
      </rPr>
      <t xml:space="preserve">Nguyễn Tú Anh </t>
    </r>
    <r>
      <rPr>
        <sz val="12"/>
        <color rgb="FFFF0000"/>
        <rFont val="Times New Roman"/>
        <family val="1"/>
      </rPr>
      <t>(Phiếu thu)- Nick Nguyễn Kelly</t>
    </r>
  </si>
  <si>
    <t>38 dương đức hiền ,p Tây Thạnh ,q Tân Phú, TPHCM</t>
  </si>
  <si>
    <t>https://drive.google.com/open?id=1G1opC_bcLURUWe1Bl7uSyOG6pEG212tI</t>
  </si>
  <si>
    <t>T159</t>
  </si>
  <si>
    <r>
      <rPr>
        <sz val="12"/>
        <color theme="1"/>
        <rFont val="Times New Roman"/>
        <family val="1"/>
      </rPr>
      <t xml:space="preserve">Đỗ Phương Hoa </t>
    </r>
    <r>
      <rPr>
        <sz val="12"/>
        <color rgb="FFFF0000"/>
        <rFont val="Times New Roman"/>
        <family val="1"/>
      </rPr>
      <t>(Phiếu thu)</t>
    </r>
  </si>
  <si>
    <t>https://drive.google.com/open?id=1ve2-uIhUbBHwDi6TK0eqs75h1SrwPvlS</t>
  </si>
  <si>
    <t>https://www.facebook.com/profile.php?id=100041532832959&amp;mibextid=ZbWKwL</t>
  </si>
  <si>
    <t>Đỗ Mạnh Thắng</t>
  </si>
  <si>
    <t xml:space="preserve">134 Cầu Diễn,Nguyên Xá, Minh Khai
</t>
  </si>
  <si>
    <t>https://drive.google.com/open?id=1dK2AMc61ILt7zDj6H8ghnO35n2703Z8B</t>
  </si>
  <si>
    <t>https://www.facebook.com/profile.php?id=100071312686743&amp;mibextid=ZbWKwL</t>
  </si>
  <si>
    <r>
      <rPr>
        <sz val="12"/>
        <color theme="1"/>
        <rFont val="Times New Roman"/>
        <family val="1"/>
      </rPr>
      <t xml:space="preserve">Đinh Thế Tùng </t>
    </r>
    <r>
      <rPr>
        <sz val="12"/>
        <color rgb="FFFF0000"/>
        <rFont val="Times New Roman"/>
        <family val="1"/>
      </rPr>
      <t>(Phiếu thu)</t>
    </r>
  </si>
  <si>
    <t>dinhthetung05@gmail.com</t>
  </si>
  <si>
    <t>Thôn Trung Tiến, xã Lê Lợi, huyện Kiến Xương, tỉnh Thái Bình</t>
  </si>
  <si>
    <t>https://drive.google.com/open?id=1ACGi-n5VhcX25abbZiZMAiGV67Z3U3e7</t>
  </si>
  <si>
    <t>B622</t>
  </si>
  <si>
    <t>PT43</t>
  </si>
  <si>
    <t>https://www.facebook.com/profile.php?id=100031502611148&amp;mibextid=ZbWKwL</t>
  </si>
  <si>
    <t>Nguyễn Thị Bích Ngọc</t>
  </si>
  <si>
    <t>Diệu Linh</t>
  </si>
  <si>
    <t>Nguyenthibichngoc.161003@gmail.com</t>
  </si>
  <si>
    <t>Ct3- chung cư thái hà, 43 phạm văn đồng, cổ nhuế 2, bắc từ liêm, hà nội</t>
  </si>
  <si>
    <t>https://drive.google.com/open?id=1aPIRGLwG9rFugPM5PsiC5tlaZvfjFaVF</t>
  </si>
  <si>
    <t>https://www.facebook.com/phuongg.vuthi.7?mibextid=LQQJ4d</t>
  </si>
  <si>
    <r>
      <rPr>
        <sz val="12"/>
        <color theme="1"/>
        <rFont val="Times New Roman"/>
        <family val="1"/>
      </rPr>
      <t xml:space="preserve">Vũ Thị Phương </t>
    </r>
    <r>
      <rPr>
        <sz val="12"/>
        <color rgb="FFFF0000"/>
        <rFont val="Times New Roman"/>
        <family val="1"/>
      </rPr>
      <t>(Phiếu thu)</t>
    </r>
  </si>
  <si>
    <t xml:space="preserve"> Na Bủ, Hàm Rồng, thị trấn Mường Khương, Mường Khương, Lào Cai</t>
  </si>
  <si>
    <t>https://drive.google.com/open?id=1apttfFwqpAjujWestfhvXM8sJkdeGWfg; https://drive.google.com/open?id=1_rmpWA8CJrhV95SiHuT6Ah0fy78n35V1</t>
  </si>
  <si>
    <t>https://www.facebook.com/profile.php?id=100026027928814</t>
  </si>
  <si>
    <t xml:space="preserve">Nguyễn Mai Lan </t>
  </si>
  <si>
    <t>lan407182@gmail.com</t>
  </si>
  <si>
    <t>Số nhà 90, nhà thờ Rùa Hạ, xã Thanh Thuỳ, huyện Thanh Oai, tp Hà Nội</t>
  </si>
  <si>
    <t>https://drive.google.com/open?id=1QS3Zp_SRAORhvjLV5rMWIDUNGQm1i4Oy</t>
  </si>
  <si>
    <t>https://www.facebook.com/hoang.maihuong.182</t>
  </si>
  <si>
    <t>Hoàng Mai Hương</t>
  </si>
  <si>
    <t>Khắc Đeng, Đại Đồng, Tràng Định, Lạng Sơn</t>
  </si>
  <si>
    <t>28/08/2023 và 31/08/2023</t>
  </si>
  <si>
    <t>https://drive.google.com/open?id=13Ecl5hn8sJtrge0W5DrUUgTgGaHs0LUe</t>
  </si>
  <si>
    <t>https://www.facebook.com/profile.php?id=100046149796906&amp;mibextid=LQQJ4d</t>
  </si>
  <si>
    <r>
      <rPr>
        <sz val="12"/>
        <color theme="1"/>
        <rFont val="Times New Roman"/>
        <family val="1"/>
      </rPr>
      <t xml:space="preserve">Nguyễn Thị Vân Anh </t>
    </r>
    <r>
      <rPr>
        <sz val="12"/>
        <color rgb="FFFF0000"/>
        <rFont val="Times New Roman"/>
        <family val="1"/>
      </rPr>
      <t>(Phiếu thu)</t>
    </r>
  </si>
  <si>
    <t>ngvanh0207@gmail.com</t>
  </si>
  <si>
    <t>Tiểu khu 2, thị trấn Ít Ong, huyện Mường La, tỉnh Sơn La</t>
  </si>
  <si>
    <t>https://drive.google.com/open?id=1ns8m0k7KSDasM-QTHOcq0NdibJe2EMMH</t>
  </si>
  <si>
    <t>https://www.facebook.com/profile.php?id=100014397455858&amp;mibextid=ZbWKwL</t>
  </si>
  <si>
    <r>
      <rPr>
        <sz val="12"/>
        <color theme="1"/>
        <rFont val="Times New Roman"/>
        <family val="1"/>
      </rPr>
      <t xml:space="preserve"> Vũ Hồng Quân </t>
    </r>
    <r>
      <rPr>
        <sz val="12"/>
        <color rgb="FFFF0000"/>
        <rFont val="Times New Roman"/>
        <family val="1"/>
      </rPr>
      <t>(Phiếu thu)</t>
    </r>
  </si>
  <si>
    <t>Vuquan931@gmail.com</t>
  </si>
  <si>
    <t xml:space="preserve"> Trường Tiểu học Hoàn Sơn, Hoàn Sơn, Tiên Du, Bắc Ninh</t>
  </si>
  <si>
    <t>https://drive.google.com/open?id=1THlLd-DieqfFClTSQ4xrCuIVfM0ITBli</t>
  </si>
  <si>
    <t>T157</t>
  </si>
  <si>
    <t>https://www.facebook.com/profile.php?id=100011150135785&amp;mibextid=ZbWKwL</t>
  </si>
  <si>
    <r>
      <rPr>
        <sz val="12"/>
        <color theme="1"/>
        <rFont val="Times New Roman"/>
        <family val="1"/>
      </rPr>
      <t xml:space="preserve">Nguyễn Thị Hạnh </t>
    </r>
    <r>
      <rPr>
        <sz val="12"/>
        <color rgb="FFFF0000"/>
        <rFont val="Times New Roman"/>
        <family val="1"/>
      </rPr>
      <t>(Phiếu thu)</t>
    </r>
  </si>
  <si>
    <t>Thienhanh2811@gmail.com</t>
  </si>
  <si>
    <t>Số 3 59/50 ngõ 59 Phạm Văn Đồng, Cầu Giấy, Hà Nội</t>
  </si>
  <si>
    <t>https://drive.google.com/open?id=12sv_xsf3weGmPlQEiyMUQZc6jcAW6SxW</t>
  </si>
  <si>
    <t>https://www.facebook.com/profile.php?id=100060910664844&amp;mibextid=ZbWKwL</t>
  </si>
  <si>
    <r>
      <rPr>
        <sz val="12"/>
        <color theme="1"/>
        <rFont val="Times New Roman"/>
        <family val="1"/>
      </rPr>
      <t>Nguyễn Văn Ninh</t>
    </r>
    <r>
      <rPr>
        <sz val="12"/>
        <color rgb="FFFF0000"/>
        <rFont val="Times New Roman"/>
        <family val="1"/>
      </rPr>
      <t xml:space="preserve"> (Phiếu thu)</t>
    </r>
  </si>
  <si>
    <t>vanninhnguyen53@gmail.com</t>
  </si>
  <si>
    <t>Thôn Áng Sơn, xã Thái Sơn, huyện An Lão, Hải Phòng</t>
  </si>
  <si>
    <t>https://drive.google.com/open?id=1xI0jzHeWotYaqFeTfJEYKZw38VZvgCnn</t>
  </si>
  <si>
    <t>PT18</t>
  </si>
  <si>
    <t>https://www.facebook.com/thu.chuc.1412</t>
  </si>
  <si>
    <t>Nguyễn Thị Bưởi</t>
  </si>
  <si>
    <t>Phù Lưu- Trung Nghĩa- Yên Phong- Bắc Ninh</t>
  </si>
  <si>
    <t>https://drive.google.com/open?id=1bwDLFDc7osz_ynWeJulGNZ9UpxLd_1qQ</t>
  </si>
  <si>
    <t>Đã gửi sách T155. Hạn báo HV rút khỏi lớp. T158 =&gt;T159</t>
  </si>
  <si>
    <t>https://www.facebook.com/profile.php?id=100027093331830</t>
  </si>
  <si>
    <t>Lương Thị Phương Uyên</t>
  </si>
  <si>
    <t xml:space="preserve">Số nhà 15, Ngõ 20/117 đường Mỹ Đình, Quận Mỹ Đình 2, Nam Từ Liêm, Hà Nội </t>
  </si>
  <si>
    <t>https://drive.google.com/open?id=1OX6S4ilAMqDb_ayBtJpiO3qBoiwIsUxT</t>
  </si>
  <si>
    <t>OT25</t>
  </si>
  <si>
    <t>https://www.facebook.com/do.xuanbach.7</t>
  </si>
  <si>
    <r>
      <rPr>
        <sz val="12"/>
        <color theme="1"/>
        <rFont val="Times New Roman"/>
        <family val="1"/>
      </rPr>
      <t>Đỗ Xuân Bách</t>
    </r>
    <r>
      <rPr>
        <sz val="12"/>
        <color rgb="FFFF0000"/>
        <rFont val="Times New Roman"/>
        <family val="1"/>
      </rPr>
      <t xml:space="preserve"> (Phiếu thu)</t>
    </r>
  </si>
  <si>
    <t>doxuanbachyb@gmail.com</t>
  </si>
  <si>
    <t>Tổ 4, thôn Bảo Tân- xã Minh Bảo- thành phố Yên Bái- tỉnh Yên Bái</t>
  </si>
  <si>
    <t>https://drive.google.com/open?id=1h3S6pV_KcxlIHz9nJ91VLoqOEKK1hCG8, https://drive.google.com/open?id=1E2TOdVr0D2_5Z16TtrvuCZh4NvCGUIap</t>
  </si>
  <si>
    <t>chưa có vì đang học giao tiếp</t>
  </si>
  <si>
    <t>HV học Combo 3 GT. Trung đăng ký tách form</t>
  </si>
  <si>
    <t>https://www.facebook.com/profile.php?id=100046665863780&amp;mibextid=LQQJ4d</t>
  </si>
  <si>
    <t>Nguyễn Trường</t>
  </si>
  <si>
    <t>truongnh2003@gmail.com</t>
  </si>
  <si>
    <t xml:space="preserve"> Cổng trường ĐH thương mại, 79 Đ. Hồ Tùng Mậu, Mai Dịch, Cầu Giấy, Hà Nội</t>
  </si>
  <si>
    <t>https://drive.google.com/open?id=1JPegg5BCMYFNsD4Hb02d4Be0X64e6Lqh</t>
  </si>
  <si>
    <t>https://www.facebook.com/profile.php?id=100081297048500</t>
  </si>
  <si>
    <r>
      <rPr>
        <sz val="12"/>
        <color theme="1"/>
        <rFont val="Times New Roman"/>
        <family val="1"/>
      </rPr>
      <t xml:space="preserve">Nguyễn Phương Thảo </t>
    </r>
    <r>
      <rPr>
        <sz val="12"/>
        <color rgb="FFFF0000"/>
        <rFont val="Times New Roman"/>
        <family val="1"/>
      </rPr>
      <t>(Phiếu thu)</t>
    </r>
  </si>
  <si>
    <t>Khu phố Công Cối- phường Đại Xuân- thị xã Quế Võ- tỉnh Bắc Ninh</t>
  </si>
  <si>
    <t>https://drive.google.com/open?id=14b1-G4XXSpudLt3ueF1rBkqWxPT3RiU2</t>
  </si>
  <si>
    <t>https://www.facebook.com/profile.php?id=100045312784518&amp;mibextid=LQQJ4d</t>
  </si>
  <si>
    <r>
      <rPr>
        <sz val="12"/>
        <color theme="1"/>
        <rFont val="Times New Roman"/>
        <family val="1"/>
      </rPr>
      <t xml:space="preserve">Doãn Đình Đạt </t>
    </r>
    <r>
      <rPr>
        <sz val="12"/>
        <color rgb="FFFF0000"/>
        <rFont val="Times New Roman"/>
        <family val="1"/>
      </rPr>
      <t>(Hợp đồng)</t>
    </r>
  </si>
  <si>
    <t>doandinhdat22@gmail.com</t>
  </si>
  <si>
    <t>2 Ngõ 196, phố Hoàng Sâm, phường Nghĩa Đô, Quận Cầu Giấy</t>
  </si>
  <si>
    <t>https://drive.google.com/open?id=1XYOnbkZQetMxgLmLsDhdr7pS95CwX1l1</t>
  </si>
  <si>
    <t xml:space="preserve">https://www.facebook.com/profile.php?id=100058279219156&amp;mibextid=LQQJ4d </t>
  </si>
  <si>
    <r>
      <rPr>
        <sz val="12"/>
        <color theme="1"/>
        <rFont val="Times New Roman"/>
        <family val="1"/>
      </rPr>
      <t xml:space="preserve">Nguyễn Thị Thanh Tâm </t>
    </r>
    <r>
      <rPr>
        <sz val="12"/>
        <color rgb="FFFF0000"/>
        <rFont val="Times New Roman"/>
        <family val="1"/>
      </rPr>
      <t>(Phiếu thu)</t>
    </r>
  </si>
  <si>
    <t>ntthanhtam255@gmail.com</t>
  </si>
  <si>
    <t>Số nhà 217, Tổ dân phố 4, Thị trấn Phố Châu, Huyện Hương Sơn, Tỉnh Hà Tĩnh</t>
  </si>
  <si>
    <t>https://drive.google.com/open?id=1sWttIp__jIpsqhauCYoZQPqRBkbtsle1, https://drive.google.com/open?id=1oyaPh4Y-aALjgs8pKRU04zWzk9X1M45S</t>
  </si>
  <si>
    <t>https://www.facebook.com/XxxbgdrgnNT?mibextid=ZbWKwL</t>
  </si>
  <si>
    <t>Nguyễn Thị Ngọc Diệp</t>
  </si>
  <si>
    <t xml:space="preserve">Diệp </t>
  </si>
  <si>
    <t>Nguyenthingocdiep18012004@gmail.com</t>
  </si>
  <si>
    <t>Tân An, Bố Hạ, Yên Thế, Bắc Giang</t>
  </si>
  <si>
    <t>TM 18/8/23</t>
  </si>
  <si>
    <t>https://drive.google.com/open?id=10nhPPJHXddA4V8sYl3pdZIA-EaMT1CBJ, https://drive.google.com/open?id=1JrbbTLP16JTqsKODVjcjw94dJ39gcnIe</t>
  </si>
  <si>
    <t xml:space="preserve"> https://www.facebook.com/profile.php?id=100032222719692</t>
  </si>
  <si>
    <r>
      <rPr>
        <sz val="12"/>
        <color theme="1"/>
        <rFont val="Times New Roman"/>
        <family val="1"/>
      </rPr>
      <t xml:space="preserve">Đoàn Phương Linh </t>
    </r>
    <r>
      <rPr>
        <sz val="12"/>
        <color rgb="FFFF0000"/>
        <rFont val="Times New Roman"/>
        <family val="1"/>
      </rPr>
      <t>(Phiếu thu)</t>
    </r>
  </si>
  <si>
    <t>doanphuonglinh2910@gmail.com</t>
  </si>
  <si>
    <t>C5 Giảng Võ, Ngõ 1 Trần Huy Liệu, Ba Đình, Hà Nội</t>
  </si>
  <si>
    <t>https://drive.google.com/open?id=1DwOsj11ij9kuQin0rfPFCB_BszJjDBvd</t>
  </si>
  <si>
    <t>https://www.facebook.com/profile.php?id=100030106772382&amp;mibextid=ZbWKwL</t>
  </si>
  <si>
    <t>Trịnh Đức Hiếu</t>
  </si>
  <si>
    <t xml:space="preserve">Nam </t>
  </si>
  <si>
    <t>hieudomino070803@gmail.com</t>
  </si>
  <si>
    <t>https://drive.google.com/open?id=1PcNjrbc8d4tW-ZtUGLGx-fDBHB545tbc</t>
  </si>
  <si>
    <t>https://www.facebook.com/profile.php?id=100034600184394&amp;mibextid=LQQJ4d</t>
  </si>
  <si>
    <r>
      <rPr>
        <sz val="12"/>
        <color theme="1"/>
        <rFont val="Times New Roman"/>
        <family val="1"/>
      </rPr>
      <t xml:space="preserve"> Vũ Thị Thu </t>
    </r>
    <r>
      <rPr>
        <sz val="12"/>
        <color rgb="FFFF0000"/>
        <rFont val="Times New Roman"/>
        <family val="1"/>
      </rPr>
      <t>(Phiếu thu)</t>
    </r>
  </si>
  <si>
    <t>vuthithu20041@gmail.com</t>
  </si>
  <si>
    <r>
      <rPr>
        <sz val="12"/>
        <color theme="1"/>
        <rFont val="Times New Roman"/>
        <family val="1"/>
      </rPr>
      <t xml:space="preserve">(lấy quà tại vp) </t>
    </r>
    <r>
      <rPr>
        <sz val="12"/>
        <color rgb="FFFF0000"/>
        <rFont val="Times New Roman"/>
        <family val="1"/>
      </rPr>
      <t>==&gt; Gửi Ngô Thế Đức ngày 23/08/2023</t>
    </r>
  </si>
  <si>
    <t>https://drive.google.com/open?id=1niamUVTlcdFtA8eihZV_ycCqj2SLgAve</t>
  </si>
  <si>
    <t>Đức lấy hộ học viên</t>
  </si>
  <si>
    <t>https://www.facebook.com/profile.php?id=100029625845720</t>
  </si>
  <si>
    <t xml:space="preserve">Nguyễn Thuỳ Dương </t>
  </si>
  <si>
    <t xml:space="preserve"> Email: duong.thcsta@gmail.co</t>
  </si>
  <si>
    <t>Số P3H5, ngõ 130 Xuân Thuỷ, phường Dịch Vọng Hậu, quận Cầu Giấy, Hà Nội</t>
  </si>
  <si>
    <t>https://drive.google.com/open?id=1PYjmCZ3JbXUvacUEhsItrM9YKvvtybfH</t>
  </si>
  <si>
    <t>https://www.facebook.com/profile.php?id=100045353146875</t>
  </si>
  <si>
    <r>
      <rPr>
        <sz val="12"/>
        <color theme="1"/>
        <rFont val="Times New Roman"/>
        <family val="1"/>
      </rPr>
      <t xml:space="preserve">Hà Duy Ngọc </t>
    </r>
    <r>
      <rPr>
        <sz val="12"/>
        <color rgb="FFFF0000"/>
        <rFont val="Times New Roman"/>
        <family val="1"/>
      </rPr>
      <t>(Phiếu thu)</t>
    </r>
  </si>
  <si>
    <t>Tuấn Anh PA</t>
  </si>
  <si>
    <t>haduyngoc2005@gmail.com</t>
  </si>
  <si>
    <t>Dốc cơ khí Thổ Tang, Vĩnh Tường, Vĩnh Phúc</t>
  </si>
  <si>
    <t>https://drive.google.com/open?id=1rajXbc0GjmE5NPQZWWVLRSYMqfaoj0rb</t>
  </si>
  <si>
    <t>OT14</t>
  </si>
  <si>
    <r>
      <rPr>
        <sz val="12"/>
        <color theme="1"/>
        <rFont val="Times New Roman"/>
        <family val="1"/>
      </rPr>
      <t xml:space="preserve">Ngô Tuấn Khanh </t>
    </r>
    <r>
      <rPr>
        <sz val="12"/>
        <color rgb="FFFF0000"/>
        <rFont val="Times New Roman"/>
        <family val="1"/>
      </rPr>
      <t>- Đã nộp 300K ngày 7/1/24</t>
    </r>
    <r>
      <rPr>
        <sz val="12"/>
        <color theme="1"/>
        <rFont val="Times New Roman"/>
        <family val="1"/>
      </rPr>
      <t xml:space="preserve">
</t>
    </r>
    <r>
      <rPr>
        <sz val="12"/>
        <color rgb="FFFF0000"/>
        <rFont val="Times New Roman"/>
        <family val="1"/>
      </rPr>
      <t>OT6 bảo lưu b17. Quay lại học OT14 b17</t>
    </r>
  </si>
  <si>
    <t>Trường An, An Khánh, Hoài Đức, Hà Nội</t>
  </si>
  <si>
    <t>https://drive.google.com/open?id=1Qpt-ZbeNC71NeuXO3Tx_qXAfUYwPHCKB</t>
  </si>
  <si>
    <t>đang học PT</t>
  </si>
  <si>
    <t>Lớpp OFF. Đưa sách ở lớp</t>
  </si>
  <si>
    <t>https://www.facebook.com/hongvan.trieu.9883?mibextid=LQQJ4d</t>
  </si>
  <si>
    <r>
      <rPr>
        <sz val="12"/>
        <color theme="1"/>
        <rFont val="Times New Roman"/>
        <family val="1"/>
      </rPr>
      <t xml:space="preserve">Nguyễn Thị Vân Anh </t>
    </r>
    <r>
      <rPr>
        <sz val="12"/>
        <color rgb="FFFF0000"/>
        <rFont val="Times New Roman"/>
        <family val="1"/>
      </rPr>
      <t>(Cần hợp đồng)</t>
    </r>
  </si>
  <si>
    <t>Vân Anh</t>
  </si>
  <si>
    <t>hongvant147@gmail.com</t>
  </si>
  <si>
    <t>Số nhà 14, ngõ 106, đường Cầu Giấy, phường Quan Hoa, quận Cầu Giấy, Hà Nội</t>
  </si>
  <si>
    <t>giảm trừ 76k</t>
  </si>
  <si>
    <t>https://drive.google.com/open?id=13nXEY6K-FNvxvxuSvfxhHNpqBIqlAeM2</t>
  </si>
  <si>
    <t>https://www.facebook.com/thiluong.nguyen.9400984?mibextid=ZbWKwL</t>
  </si>
  <si>
    <t>Nguyễn Thị Lương</t>
  </si>
  <si>
    <t>Tuyến</t>
  </si>
  <si>
    <t>Shop Thuý Giỏi, Khê Ngoại 5, Văn Khê, Mê Linh, Hà Nội</t>
  </si>
  <si>
    <t>https://drive.google.com/open?id=1A2gAcNAYjXXaVcDG6KSpP_jCcXgQSWNI</t>
  </si>
  <si>
    <t>https://www.facebook.com/profile.php?id=100018575206862&amp;mibextid=D4KYlr</t>
  </si>
  <si>
    <t>Nguyễn Thị Ngọc Linh</t>
  </si>
  <si>
    <t>Nhà số 3, Ngõ 846, đường 72, Ngãi Cầu, Hoài Đức, Hà Nội</t>
  </si>
  <si>
    <t>https://drive.google.com/open?id=1VL8Lkbdueh12qRnqx7deTYoLWDYoPND2</t>
  </si>
  <si>
    <t>https://www.facebook.com/profile.php?id=100077531748562</t>
  </si>
  <si>
    <r>
      <rPr>
        <sz val="12"/>
        <color theme="1"/>
        <rFont val="Times New Roman"/>
        <family val="1"/>
      </rPr>
      <t>Đặng Thị Bích</t>
    </r>
    <r>
      <rPr>
        <sz val="12"/>
        <color rgb="FFFF0000"/>
        <rFont val="Times New Roman"/>
        <family val="1"/>
      </rPr>
      <t xml:space="preserve"> (Phiếu thu) 353219246 sđt bố</t>
    </r>
  </si>
  <si>
    <t>thôn Thanh Trì, Kiến Thiết, Tiên Lãng, Hải Phòng</t>
  </si>
  <si>
    <t>https://drive.google.com/open?id=1rHPuB0cAbapWRIacUadmQ_8ZV03-YVbG</t>
  </si>
  <si>
    <t>PT40 -&gt;Chờ lớp do lớp đầy</t>
  </si>
  <si>
    <t xml:space="preserve"> Châu Phát Thành</t>
  </si>
  <si>
    <t xml:space="preserve"> thanhcon877@gmail.com</t>
  </si>
  <si>
    <t>đang lên SG ,sẽ đổi ạ. thôn Thanh Trì kiến thiết Tiên Lãng Hải Phòng</t>
  </si>
  <si>
    <t>https://drive.google.com/open?id=1Q__cBSO6um9AnhD3ahAaczVetQwadzaJ</t>
  </si>
  <si>
    <t>T158</t>
  </si>
  <si>
    <t>https://www.facebook.com/profile.php?id=100038342987488</t>
  </si>
  <si>
    <r>
      <rPr>
        <sz val="12"/>
        <color theme="1"/>
        <rFont val="Times New Roman"/>
        <family val="1"/>
      </rPr>
      <t xml:space="preserve">Vũ Lê Tường Vy </t>
    </r>
    <r>
      <rPr>
        <sz val="12"/>
        <color rgb="FFFF0000"/>
        <rFont val="Times New Roman"/>
        <family val="1"/>
      </rPr>
      <t>(đổi E3 -&gt;Toeic 2)</t>
    </r>
  </si>
  <si>
    <t>287 Hoàng Tăng Bí, Đức Thắng, Bắc Từ Liêm, Hà Nội</t>
  </si>
  <si>
    <t>https://drive.google.com/open?id=1DQZUqIutxl90MC8Nujf8QnhrDr8ZfkK7</t>
  </si>
  <si>
    <t>https://www.facebook.com/hieu.maicong.902</t>
  </si>
  <si>
    <t xml:space="preserve"> Mai Công Hiếu </t>
  </si>
  <si>
    <t>Số nhà 60, Tổ dân phố số 8, Thị trấn Diêm Điền, Thái Thuỵ, Thái Bình</t>
  </si>
  <si>
    <t>https://drive.google.com/open?id=1Fw-HaxXS9IZUsotYyJScX2-_7WB4lRkT</t>
  </si>
  <si>
    <t>VIP61</t>
  </si>
  <si>
    <t>https://www.facebook.com/profile.php?id=100026503724027</t>
  </si>
  <si>
    <t>Trần Nhật Trường</t>
  </si>
  <si>
    <t xml:space="preserve"> 55 Gốc Mít, Vị Xuyên, Tp Nam Định, Nam Định</t>
  </si>
  <si>
    <t>https://drive.google.com/open?id=1aVVaP-5jl4jFUH8wCAoImKbsFBn6tTh0</t>
  </si>
  <si>
    <t>https://www.facebook.com/profile.php?id=100016243144447</t>
  </si>
  <si>
    <t>Nguyễn Kim Liên</t>
  </si>
  <si>
    <t>Hạ</t>
  </si>
  <si>
    <t>Ngách 81 ngõ 75, Xuân Đỉnh, Xuân Tảo, Bắc Từ Liêm, Hà Nội</t>
  </si>
  <si>
    <t>https://drive.google.com/open?id=1vqT3Dy0mUypJxslO8_ZMF-G-tC2aGInU</t>
  </si>
  <si>
    <t>T158 -&gt;T159</t>
  </si>
  <si>
    <t>T138</t>
  </si>
  <si>
    <t>https://www.facebook.com/profile.php?id=100009598031917&amp;mibextid=LQQJ4d</t>
  </si>
  <si>
    <t>Nguyễn Minh Đức</t>
  </si>
  <si>
    <t>Số 4A, đường số 47, phường Thảo Điền, tp Thủ Đức, TP Hồ Chí Minh</t>
  </si>
  <si>
    <t>https://drive.google.com/open?id=1lfW3PGrVN-pnLc3nMsVlfvWKfj7l3aR8, https://drive.google.com/open?id=1uKa_GicB_SIhQ_M0UYY2TWHAQLIxEHjK</t>
  </si>
  <si>
    <t>https://www.facebook.com/Ruseehs0702?mibextid=LQQJ4d</t>
  </si>
  <si>
    <t>Nguyễn Anh Văn</t>
  </si>
  <si>
    <t>(Đối diện số 80) Thôn Trường Tiến, Xã Hải Lạng, Huyện Tiên Yên, Tỉnh Quảng Ninh</t>
  </si>
  <si>
    <t>https://drive.google.com/open?id=1O5RyrhDx_7odX0YlMkNt6iwkzSVFmTL9</t>
  </si>
  <si>
    <t>https://www.facebook.com/profile.php?id=100048067520793&amp;mibextid=ZbWKwL</t>
  </si>
  <si>
    <t xml:space="preserve">Thiệu Văn Thanh </t>
  </si>
  <si>
    <t>317 cổ nhuế, bắc từ liêm, hà nội</t>
  </si>
  <si>
    <t>https://drive.google.com/open?id=1Vbtq7fKiaV1UgsM4q9taR8wTSCU2IDAw, https://drive.google.com/open?id=1YaL_2-PAnBvliRjyVMAdEjir4fFqP5V3</t>
  </si>
  <si>
    <t>https://www.facebook.com/lee.phuonganh.125</t>
  </si>
  <si>
    <t>Lê Thị Phương Anh</t>
  </si>
  <si>
    <t>https://drive.google.com/open?id=1RNe2aeF9anS8E-OrREnTohMQfN78wO5Y, https://drive.google.com/open?id=177ho27RSh43susSjziqbPikhUpUGDGCl</t>
  </si>
  <si>
    <t xml:space="preserve"> https://www.facebook.com/profile.php?id=100068526194238&amp;mibextid=LQQJ4d</t>
  </si>
  <si>
    <t>Đàm Phương Dung</t>
  </si>
  <si>
    <t>dpdung1408@gmail.com</t>
  </si>
  <si>
    <t xml:space="preserve"> Đường tài chính, xã Trưng Trắc, Văn Lâm, Hưng Yên</t>
  </si>
  <si>
    <t>https://drive.google.com/open?id=12OUC-7PaQ5oVDE54Pe1BLws43VLdKjxV</t>
  </si>
  <si>
    <t>https://www.facebook.com/profile.php?id=100039957313114&amp;mibextid=9R9pXO</t>
  </si>
  <si>
    <t>Nguyễn Thị Bình Dương</t>
  </si>
  <si>
    <t>nguyenbinhduong2310@gmail.com</t>
  </si>
  <si>
    <t>Đông phong - Yên Phong - Bắc Ninh</t>
  </si>
  <si>
    <t>https://drive.google.com/open?id=1UtTwGT_y7xpmvGR4jkL58bD1SjWatXc-</t>
  </si>
  <si>
    <t>Đã gửi tin nhắn chờ</t>
  </si>
  <si>
    <t>Combo Toeic (S+ W)</t>
  </si>
  <si>
    <t>S</t>
  </si>
  <si>
    <t>https://drive.google.com/open?id=1dSTcUlfFZJCVud3aja1Ln8h3wQgEsohG</t>
  </si>
  <si>
    <r>
      <rPr>
        <sz val="12"/>
        <color theme="1"/>
        <rFont val="Times New Roman"/>
        <family val="1"/>
      </rPr>
      <t xml:space="preserve">Vũ Hoàng Lân </t>
    </r>
    <r>
      <rPr>
        <sz val="12"/>
        <color rgb="FFFF0000"/>
        <rFont val="Times New Roman"/>
        <family val="1"/>
      </rPr>
      <t>- đổi W học lại VIP</t>
    </r>
  </si>
  <si>
    <t>ngã ba phố và -phường Hạp Lĩnh- tp bắc ninh</t>
  </si>
  <si>
    <t>https://drive.google.com/open?id=1uX92WcVKfddK1Fuc-FEk1Ci-ypm6_WzE</t>
  </si>
  <si>
    <t>T191</t>
  </si>
  <si>
    <t>https://www.facebook.com/profile.php?id=100045912873450</t>
  </si>
  <si>
    <r>
      <rPr>
        <sz val="12"/>
        <color theme="1"/>
        <rFont val="Times New Roman"/>
        <family val="1"/>
      </rPr>
      <t>Nguyễn Văn Hiếu</t>
    </r>
    <r>
      <rPr>
        <sz val="12"/>
        <color rgb="FFFF0000"/>
        <rFont val="Times New Roman"/>
        <family val="1"/>
      </rPr>
      <t xml:space="preserve"> - Đã nộp 300K
T158 bảo lưu b4. Quay lại học T191</t>
    </r>
  </si>
  <si>
    <t>37 Ngõ 2, Văn Trì, Bắc Từ Liêm, Hà Nội</t>
  </si>
  <si>
    <t>https://drive.google.com/open?id=1RsFqzvHmVefj1yezrg2Ry1Sb-N5ubTaj</t>
  </si>
  <si>
    <t>Đã nộp 300K ngày 21/12/2023</t>
  </si>
  <si>
    <t>https://www.facebook.com/profile.php?id=100082221109776</t>
  </si>
  <si>
    <t>Nguyễn Thị Thu Hương</t>
  </si>
  <si>
    <t>nguyenthithuhuong06072k4@gmail.com</t>
  </si>
  <si>
    <t>14, 250/39/94 Kim Giang - Hoàng Mai- Hà Nội</t>
  </si>
  <si>
    <t>https://drive.google.com/open?id=1-pbYCtMNO-CN5gWIwRqqSAzSRDmBo0DW</t>
  </si>
  <si>
    <t>T160</t>
  </si>
  <si>
    <t>https://www.facebook.com/hiu.pe.144?mibextid=ZbWKwL</t>
  </si>
  <si>
    <r>
      <rPr>
        <sz val="12"/>
        <color theme="1"/>
        <rFont val="Times New Roman"/>
        <family val="1"/>
      </rPr>
      <t xml:space="preserve">Nguyễn Đức Hiếu - </t>
    </r>
    <r>
      <rPr>
        <sz val="12"/>
        <color rgb="FFFF0000"/>
        <rFont val="Times New Roman"/>
        <family val="1"/>
      </rPr>
      <t>Nick Hiu Nguyn</t>
    </r>
  </si>
  <si>
    <t>ndhieu.Dhti15a1hn@sv.uneti.edu.vn</t>
  </si>
  <si>
    <t>ố 2 ngõ 2 đội 8 xóm lan đình thôn nga my thượng xã thanh mai huyện thanh oai , thành phố hà nội</t>
  </si>
  <si>
    <t>https://drive.google.com/open?id=16gSfdpwx5NsQ5CgV-_KIzuSqGVeSvZqu</t>
  </si>
  <si>
    <t>Đạt nhập T159 có dấu cách nên ko nhận lớp</t>
  </si>
  <si>
    <t>https://www.facebook.com/Lethuha.xg</t>
  </si>
  <si>
    <t>Lê Thu Hà</t>
  </si>
  <si>
    <t>lethuha1470@gmail.com</t>
  </si>
  <si>
    <t>275 Yên Duyên - Yên Sở - Hoàng Mai - Hà Nội</t>
  </si>
  <si>
    <t>https://drive.google.com/open?id=1ghTBIH-p2pH3QggKF0hemulr8vnkNDp4</t>
  </si>
  <si>
    <t>PT63</t>
  </si>
  <si>
    <t>https://www.facebook.com/profile.php?id=100070654260752</t>
  </si>
  <si>
    <r>
      <rPr>
        <sz val="12"/>
        <color theme="1"/>
        <rFont val="Times New Roman"/>
        <family val="1"/>
      </rPr>
      <t xml:space="preserve">Nguyễn Hồng Thái </t>
    </r>
    <r>
      <rPr>
        <sz val="12"/>
        <color rgb="FFFF0000"/>
        <rFont val="Times New Roman"/>
        <family val="1"/>
      </rPr>
      <t>- đã nộp 300K ngày 7/1/24</t>
    </r>
    <r>
      <rPr>
        <sz val="12"/>
        <color theme="1"/>
        <rFont val="Times New Roman"/>
        <family val="1"/>
      </rPr>
      <t xml:space="preserve">
</t>
    </r>
    <r>
      <rPr>
        <sz val="12"/>
        <color rgb="FFFF0000"/>
        <rFont val="Times New Roman"/>
        <family val="1"/>
      </rPr>
      <t>PT41 bảo lưu b11. Quay lại học PT63 buổi 6</t>
    </r>
  </si>
  <si>
    <t>Bolathai12345678910@gmail.com</t>
  </si>
  <si>
    <t>Xóm 7- Xã Phúc Thuận- TP. Phổ Yên- Thái Nguyên</t>
  </si>
  <si>
    <t>https://drive.google.com/open?id=1sp3ExMyTo5-9teGqukDMEfGEVo_m5kK8</t>
  </si>
  <si>
    <t>Đã nộp 300K ngày 07/01/2024</t>
  </si>
  <si>
    <t>https://www.facebook.com/100049071831094/</t>
  </si>
  <si>
    <t>Đỗ Nguyệt Thanh Thư</t>
  </si>
  <si>
    <t>Thùy Linh</t>
  </si>
  <si>
    <t>donguyetthanhthutthcstv@gmail.com</t>
  </si>
  <si>
    <t>Khu mới thôn Nhơn Thuận, xã Tây Vinh, huyện Tây Sơn, tỉnh Bình Định</t>
  </si>
  <si>
    <t>https://drive.google.com/open?id=12OuH0iidoTVsB-N394PsvJ77vBKD15u4</t>
  </si>
  <si>
    <t>từ PT21 lên</t>
  </si>
  <si>
    <t>T158 =&gt;T161 Huy báo</t>
  </si>
  <si>
    <t>T164</t>
  </si>
  <si>
    <t>https://www.facebook.com/profile.php?id=100038271764383</t>
  </si>
  <si>
    <t>Nhài xếp lớp</t>
  </si>
  <si>
    <t>xóm 8 thôn tô trang xã an mỹ huyện quỳnh phụ tỉnh thái bình</t>
  </si>
  <si>
    <t>https://drive.google.com/open?id=1W3P1vkkfzgkZqPg0L1tAPE_wgDHuhsXh</t>
  </si>
  <si>
    <t>đang học PT22</t>
  </si>
  <si>
    <t>https://www.facebook.com/kieuloan.doanthi.73</t>
  </si>
  <si>
    <t>Doãn Thị Kiều Loan</t>
  </si>
  <si>
    <t>kieuloan8701@gmail.com</t>
  </si>
  <si>
    <t>LỚP OFF PHÁT SÁCH TRỰC TIẾP</t>
  </si>
  <si>
    <t>https://drive.google.com/open?id=1Ozq4KUjw_-00eTQKDusn2v0LfXtOhrr2</t>
  </si>
  <si>
    <t>https://www.facebook.com/dewlnovember</t>
  </si>
  <si>
    <t>Nguyễn Thị Mai Linh</t>
  </si>
  <si>
    <t>nguyenmailinnn2001@gmail.com</t>
  </si>
  <si>
    <t>https://drive.google.com/open?id=1oogzmR9mN1ggj7OZjvsqo9py-_yCfMC2</t>
  </si>
  <si>
    <t>https://www.facebook.com/profile.php?id=100022279866938&amp;mibextid=ZbWKwL</t>
  </si>
  <si>
    <r>
      <rPr>
        <sz val="12"/>
        <color theme="1"/>
        <rFont val="Times New Roman"/>
        <family val="1"/>
      </rPr>
      <t xml:space="preserve">Trần Thị Hà Phương </t>
    </r>
    <r>
      <rPr>
        <sz val="12"/>
        <color rgb="FFFF0000"/>
        <rFont val="Times New Roman"/>
        <family val="1"/>
      </rPr>
      <t>- đổi W học lại T</t>
    </r>
  </si>
  <si>
    <t>ihaphuong01082005@gmail.com</t>
  </si>
  <si>
    <t>Số 18 , Ngõ 10 , Đường Đinh Xuân Lâm , Tổ dân phố 7 Thị trấn Phố Châu , Hương Sơn , Hà Tĩnh</t>
  </si>
  <si>
    <t>https://drive.google.com/open?id=1Pi0EPwzaO24L81-k2nYi9tuSr1t4FZXq</t>
  </si>
  <si>
    <t>https://www.facebook.com/profile.php?id=100038113651332&amp;mibextid=LQQJ4d</t>
  </si>
  <si>
    <t xml:space="preserve"> Đỗ Lan Anh </t>
  </si>
  <si>
    <t>Team Tú</t>
  </si>
  <si>
    <t>dolananh344@gmail.com</t>
  </si>
  <si>
    <t>Điện máy xanh số 7, xã Trung Môn, huyện Yên Sơn, tỉnh Tuyên Quang</t>
  </si>
  <si>
    <t>https://drive.google.com/open?id=1EY3_ene2QhKkdlc4R2-43LUYb_wmBhHm</t>
  </si>
  <si>
    <t>PT41 đã đủ 9HV</t>
  </si>
  <si>
    <t>https://www.facebook.com/phuonganh.hoang.127648?</t>
  </si>
  <si>
    <t>Hoàng Phương Anh</t>
  </si>
  <si>
    <t>hoangphuonganh19092004@gmail.com</t>
  </si>
  <si>
    <t>ktx Học viện Báo chí và tuyên truyền, 89 nguyễn phong sắc, dịch vọng hậu, cầu giấy, HN</t>
  </si>
  <si>
    <t>https://drive.google.com/open?id=1LNblMee3gAftajwc3UtiP9PV3tmyU-_1</t>
  </si>
  <si>
    <t>C151</t>
  </si>
  <si>
    <t>T168</t>
  </si>
  <si>
    <t>https://www.facebook.com/phuong.xus.180</t>
  </si>
  <si>
    <r>
      <rPr>
        <sz val="12"/>
        <color theme="1"/>
        <rFont val="Times New Roman"/>
        <family val="1"/>
      </rPr>
      <t xml:space="preserve">Đạo Thị Kim Phương - Đã nộp 300K 21/11/2023
</t>
    </r>
    <r>
      <rPr>
        <sz val="12"/>
        <color rgb="FFFF0000"/>
        <rFont val="Times New Roman"/>
        <family val="1"/>
      </rPr>
      <t>T163 bảo lưu b9 đi quân sự. Quay lại học T168</t>
    </r>
  </si>
  <si>
    <t>kimphuong2020ntnn@gmail.com</t>
  </si>
  <si>
    <t>ktx đại học ngân hàng tphcm / đường 17/ phường linh chiểu / thành phố thủ Đức / TPCM</t>
  </si>
  <si>
    <t>https://drive.google.com/open?id=10wkYEMP61zO-57JAyixs2mH7J8rQ5r-b</t>
  </si>
  <si>
    <t>T163 bảo lưu b9 đi quân sự. Quay lại học T168. Đã nộp 300K ngày 25/11/2023</t>
  </si>
  <si>
    <t>T174</t>
  </si>
  <si>
    <t>Nguyễn Thị Hồng Hà</t>
  </si>
  <si>
    <t>https://drive.google.com/open?id=16AjLq6_QX4eZalMcCnoR6M4IQONLkCxo</t>
  </si>
  <si>
    <t>https://www.facebook.com/profile.php?id=100053649780855&amp;mibextid=LQQJ4d</t>
  </si>
  <si>
    <t>Nguyễn Thị Thu Huyền</t>
  </si>
  <si>
    <t>nthithuhuyen0@gmail.com</t>
  </si>
  <si>
    <t>10/22 , phố Chi Hòa , phường Việt Hòa , thành phố Hải Dương</t>
  </si>
  <si>
    <t>https://drive.google.com/open?id=1uyNHUTtGmget4wD4LYlarXVdLHTbVUVY</t>
  </si>
  <si>
    <t>https://www.facebook.com/profile.php?id=100094374782615&amp;mibextid=LQQJ4d</t>
  </si>
  <si>
    <t>Nguyễn Ngọc Minh Châu</t>
  </si>
  <si>
    <t xml:space="preserve">chaum5789@gmail.com </t>
  </si>
  <si>
    <t>Trạm y tế Song Hồ-Thuận Thành -Bắc Ninh</t>
  </si>
  <si>
    <t>https://drive.google.com/open?id=1ILPuy519N4uh08lccf3wIVn6a80M_Ymf</t>
  </si>
  <si>
    <t>PT42 =&gt; Chờ lớp. Yến báo</t>
  </si>
  <si>
    <t>PT42 Nghỉ ngang buổi 3. Lý do: bỏ đại học, nghỉ về quê giúp đỡ gia đình nên ko học Toeic</t>
  </si>
  <si>
    <t>https://www.facebook.com/profile.php?id=100013204750372&amp;mibextid=ZbWKwL</t>
  </si>
  <si>
    <t xml:space="preserve">Lê Trọng An </t>
  </si>
  <si>
    <t xml:space="preserve">Châu 2 , Quận Hải Châu , Thành phố Đà Nẵng    </t>
  </si>
  <si>
    <t>https://drive.google.com/open?id=1zw9T3fR86EQH88Vh_Q29-aj8C8Z8BsTV</t>
  </si>
  <si>
    <t>Nghỉ ngang buổi 3. Lý do: bỏ đại học, nghỉ về quê giúp đỡ gia đình nên ko học Toeic. Huy chat</t>
  </si>
  <si>
    <t>C159</t>
  </si>
  <si>
    <t>T166</t>
  </si>
  <si>
    <t>https://www.facebook.com/nguoibinhthuong220103?mibextid=LQQJ4d</t>
  </si>
  <si>
    <t xml:space="preserve">Nguyễn Thị Hiền </t>
  </si>
  <si>
    <t>Ngoan</t>
  </si>
  <si>
    <t>Số 3 ngõ 269 Chiến Thắng Văn Quán Hà Đông Hà Nội</t>
  </si>
  <si>
    <t>https://drive.google.com/open?id=1rfpSHD83MJMY12zPLv5_eyF7w5EyMOmJ</t>
  </si>
  <si>
    <t>Đã gửi sách T160. Hà Hiền xin hộ bạn chờ để học với nhóm 4 bạn</t>
  </si>
  <si>
    <t>https://www.facebook.com/huong.t.n.huong.t.n.5?mibextid=LQQJ4d</t>
  </si>
  <si>
    <t xml:space="preserve">Nguyễn Thị Hường </t>
  </si>
  <si>
    <t>nguyenhuong2752004@gmail.com</t>
  </si>
  <si>
    <t xml:space="preserve">108/22 Bùi Xương Trạch- Khương Đình- Thanh Xuân- Hà Nội </t>
  </si>
  <si>
    <t>8/27/0223</t>
  </si>
  <si>
    <t>https://drive.google.com/open?id=1x0MbO4WTsadH7C3ug8arMbWei4xkRqdr</t>
  </si>
  <si>
    <t>https://www.facebook.com/vu.xuan.toan.2101</t>
  </si>
  <si>
    <t>Vũ Xuân Toàn</t>
  </si>
  <si>
    <t>ở nước ngoài, dùng số Nhật</t>
  </si>
  <si>
    <t>Vuxuantoanhust@gmail.com</t>
  </si>
  <si>
    <t>ở nước ngoài</t>
  </si>
  <si>
    <t>https://drive.google.com/open?id=1ET_5azx5EjD2vUItubEPvyYP_5bLeRjQ</t>
  </si>
  <si>
    <t>Không nhận (Trừ 100K/1khoá học)</t>
  </si>
  <si>
    <t>Không gửi</t>
  </si>
  <si>
    <t>Ở nước ngoài</t>
  </si>
  <si>
    <t>https://www.facebook.com/profile.php?id=100094427041607&amp;mibextid=LQQJ4d</t>
  </si>
  <si>
    <r>
      <rPr>
        <sz val="12"/>
        <color theme="1"/>
        <rFont val="Times New Roman"/>
        <family val="1"/>
      </rPr>
      <t xml:space="preserve">Cao Quỳnh Thi </t>
    </r>
    <r>
      <rPr>
        <sz val="12"/>
        <color rgb="FFFF0000"/>
        <rFont val="Times New Roman"/>
        <family val="1"/>
      </rPr>
      <t>- nick Nha Nha</t>
    </r>
  </si>
  <si>
    <t>Hồ Thị Mỹ</t>
  </si>
  <si>
    <t>(ng nhận sách là A Trung) 
đc: Số nhà 3 ngách 51 ngõ 155 Đường Cầu Giấy , Tp Hà Nội</t>
  </si>
  <si>
    <t>https://m.facebook.com/profile.php?id=100065133608424&amp;_rdc=1&amp;_rdr&amp;paipv=0&amp;eav=AfYNyXkcX6BeO0xO8pCXEKs-D7roG4yDQ4ZY34SQttP0Sk7aDB9jsyxex5GgvmTOWeo</t>
  </si>
  <si>
    <t>Võ Hoàng Nam</t>
  </si>
  <si>
    <t>ylpnamtuoi@gmail.com</t>
  </si>
  <si>
    <t>21, đường Từ Hữu Dũng, KP5 phường Bình San, Hà Tiên, Kiên Giang</t>
  </si>
  <si>
    <t>https://drive.google.com/open?id=10WyPPNZzUW5_N9M_Mg9pumurD2-hQAJr</t>
  </si>
  <si>
    <t>PT42 bảo lưu b2 đi quân sự</t>
  </si>
  <si>
    <t>https://www.facebook.com/nguyenhuuduc05042003?mibextid=LQQJ4d</t>
  </si>
  <si>
    <t>Nguyễn Hữu Đức</t>
  </si>
  <si>
    <t>nguyenhuuduc050403@gmail.com</t>
  </si>
  <si>
    <t>ngõ 5 , đường giếng hương, thôn nhuế , xã kim chung, huyện đông anh , tp Hà nội</t>
  </si>
  <si>
    <t>https://drive.google.com/open?id=1xrTbumJP3Y2IKu0LGc8MFORY7GU_c-Wl</t>
  </si>
  <si>
    <t>https://www.facebook.com/Anhduc542003?mibextid=LQQJ4d</t>
  </si>
  <si>
    <t>W</t>
  </si>
  <si>
    <t>W14</t>
  </si>
  <si>
    <t>Cao Thị Thùy Linh</t>
  </si>
  <si>
    <t>LK2.1 khu nhà kiền kề, ngõ 124/63. vĩnh tuy, hai bà trưng, hà nội</t>
  </si>
  <si>
    <t>26/7 va 29/7</t>
  </si>
  <si>
    <t>https://drive.google.com/open?id=1Dy7iQEnS-z1uq2u0oyAjD3gESR-kDEUN</t>
  </si>
  <si>
    <t>OT3</t>
  </si>
  <si>
    <r>
      <rPr>
        <sz val="12"/>
        <color theme="1"/>
        <rFont val="Times New Roman"/>
        <family val="1"/>
      </rPr>
      <t xml:space="preserve">Nghiêm Thu Thuỷ </t>
    </r>
    <r>
      <rPr>
        <sz val="12"/>
        <color rgb="FFFF0000"/>
        <rFont val="Times New Roman"/>
        <family val="1"/>
      </rPr>
      <t>- số cũ 822037086</t>
    </r>
  </si>
  <si>
    <t>Lục Cả- Thị Trấn Bo- Huyện Kim Bôi- Tỉnh Hoà Bình</t>
  </si>
  <si>
    <t>https://drive.google.com/open?id=1tMWHaBAOAvxE__x4QbemlqtY3HzDtaQc</t>
  </si>
  <si>
    <t>https://www.facebook.com/nguyena2mk?mibextid=LQQJ4d</t>
  </si>
  <si>
    <t>Nguyễn Văn Nguyên</t>
  </si>
  <si>
    <t>OFFLINE ạ</t>
  </si>
  <si>
    <t>https://drive.google.com/open?id=1P-vOVul34TS_0PdhUWwk8PZDd2-DQoB_</t>
  </si>
  <si>
    <t>OPT2</t>
  </si>
  <si>
    <t>https://www.facebook.com/profile.php?id=100018116437438</t>
  </si>
  <si>
    <t>Hoàng Thị Hoà</t>
  </si>
  <si>
    <t>hoa734530@gmail.com</t>
  </si>
  <si>
    <t xml:space="preserve">Gia Khánh- Bình Xuyên </t>
  </si>
  <si>
    <t>https://drive.google.com/open?id=1GlykXfhTqTcm3WjUu7hqF81iuLj3Cw5f</t>
  </si>
  <si>
    <t>https://www.facebook.com/hoangdieuquynh582002?mibextid=LQQJ4d</t>
  </si>
  <si>
    <t xml:space="preserve">Hoàng Diệu Quỳnh </t>
  </si>
  <si>
    <t>Số nhà 067 Tổ 15 Phường Tân Giang, Tp Cao Bằng, Tỉnh Cao Bằng</t>
  </si>
  <si>
    <t>https://drive.google.com/open?id=1mUs_LRXhzqtZeH1GPrT48q98ZAu8t-VT</t>
  </si>
  <si>
    <t>Điền lên T08.2023</t>
  </si>
  <si>
    <t>64/100</t>
  </si>
  <si>
    <t>T144 bảo lưu b13</t>
  </si>
  <si>
    <t>https://www.facebook.com/nguytt</t>
  </si>
  <si>
    <r>
      <rPr>
        <sz val="12"/>
        <color theme="1"/>
        <rFont val="Times New Roman"/>
        <family val="1"/>
      </rPr>
      <t xml:space="preserve">Nguyễn Ánh Nguyệt </t>
    </r>
    <r>
      <rPr>
        <sz val="12"/>
        <color rgb="FFFF0000"/>
        <rFont val="Times New Roman"/>
        <family val="1"/>
      </rPr>
      <t>(nick face là Ann)</t>
    </r>
  </si>
  <si>
    <t>khu 3, Thị Trấn Thất Khê, huyện Tràng Định, Tỉnh Lạng Sơn</t>
  </si>
  <si>
    <t>52/100</t>
  </si>
  <si>
    <t>GR17</t>
  </si>
  <si>
    <t>https://www.facebook.com/profile.php?id=100050957890473</t>
  </si>
  <si>
    <t xml:space="preserve">Nguyễn Chí Hà </t>
  </si>
  <si>
    <t>Uyên</t>
  </si>
  <si>
    <t>Bill bên OFF của Phạm Tiến Đạt</t>
  </si>
  <si>
    <t>Đã tính lương bên OFF</t>
  </si>
  <si>
    <t>Em ơi, chị làm thủ tục CHUYỂN ĐỔI KHOÁ HỌC từ giao tiếp level 3 sang TOEIC level 0 cho em nhé. =&gt; Đổi sang ngang 2 khoá cho nhau em nhé. (bao gồm giá khoá học + phí chuyển nhượng)</t>
  </si>
  <si>
    <t>T127</t>
  </si>
  <si>
    <t>VIP57</t>
  </si>
  <si>
    <t>https://www.facebook.com/profile.php?id=100065390782148</t>
  </si>
  <si>
    <r>
      <rPr>
        <sz val="12"/>
        <color theme="1"/>
        <rFont val="Times New Roman"/>
        <family val="1"/>
      </rPr>
      <t xml:space="preserve">Đặng Ngọc Hân </t>
    </r>
    <r>
      <rPr>
        <sz val="12"/>
        <color rgb="FFFF0000"/>
        <rFont val="Times New Roman"/>
        <family val="1"/>
      </rPr>
      <t>(đổi E3 =&gt; Học lại VIP)</t>
    </r>
  </si>
  <si>
    <t>Tổ 4 Đa Lộc Xuân Thọ Đà Lạt Lâm Đồng</t>
  </si>
  <si>
    <t>24/01/2023 và 10/3</t>
  </si>
  <si>
    <t>https://drive.google.com/open?id=1u4B709WvpgmzQ8OjSffrGFYxrzCCL3a6, https://drive.google.com/open?id=1GLD6KXuJSJxjw1O5E14WH1gpoVUds8tg</t>
  </si>
  <si>
    <t>PT13</t>
  </si>
  <si>
    <t>https://www.facebook.com/profile.php?id=100012319530902</t>
  </si>
  <si>
    <t>Trịnh Huyền</t>
  </si>
  <si>
    <t xml:space="preserve">84A Hai Bà Trưng, Cửa Nam, Hoàn Kiếm, Hà Nội
</t>
  </si>
  <si>
    <t>51/100</t>
  </si>
  <si>
    <t>B573</t>
  </si>
  <si>
    <t>https://www.facebook.com/quynh.phamnhu.921677?mibextid=LQQJ4d</t>
  </si>
  <si>
    <t>Phạm Như Quỳnh</t>
  </si>
  <si>
    <t>Nguyễn Thúy</t>
  </si>
  <si>
    <t>Xóm 5- Hải Trung - Hải Hậu - Nam Định</t>
  </si>
  <si>
    <t>đã từng học PT1</t>
  </si>
  <si>
    <t>B583</t>
  </si>
  <si>
    <t>https://www.facebook.com/haminhphuong70322</t>
  </si>
  <si>
    <t>Hạ Quỳnh Phương</t>
  </si>
  <si>
    <t>Nhà 04 ngõ 12, Tằng My, Nam Hồng, Đông Anh, Hà Nội</t>
  </si>
  <si>
    <t>https://drive.google.com/open?id=13aluIA6Y26sx3e1q-MLYBCAp4R9VftXW</t>
  </si>
  <si>
    <t>T204 xin nghỉ từ buổi 17 do ốm, hiện ko trả lời, ko vào học. Huy báo</t>
  </si>
  <si>
    <t>https://www.facebook.com/profile.php?id=61550369713683</t>
  </si>
  <si>
    <r>
      <rPr>
        <sz val="12"/>
        <color theme="1"/>
        <rFont val="Times New Roman"/>
        <family val="1"/>
      </rPr>
      <t xml:space="preserve">Đoàn T. Hồng Tâm </t>
    </r>
    <r>
      <rPr>
        <sz val="12"/>
        <color rgb="FFFF0000"/>
        <rFont val="Times New Roman"/>
        <family val="1"/>
      </rPr>
      <t>- Đã nộp 300K 19/03/24 
HV tự rút lớp T145 đi quân sự. Quay lại T204 b1</t>
    </r>
  </si>
  <si>
    <t>GV Trà</t>
  </si>
  <si>
    <t>Số 71, Ngõ 177 Cầu Diễn, Bắc Từ Liêm, Hà Nội</t>
  </si>
  <si>
    <t>https://drive.google.com/open?id=1T6b3FEy-7GyD4FnMVCQzndWKerEoawyt, https://drive.google.com/open?id=1UT_sO480tkrt00CMK4sXFhfpRVV-e0Tb</t>
  </si>
  <si>
    <t>Đã gửi sách T145 ==&gt; chờ lớp. Huy chat: chưa tham gia buổi nào, tháng sau đi quân sự nên mong muốn học khoá khác. Lớp KG 14/7 rồi. 21/7 mới chat báo. Ngày 14/7 HV biết có lịch đi quân sự nhưng ko báo trung tâm.</t>
  </si>
  <si>
    <t xml:space="preserve"> https://www.facebook.com/linhcong2112001</t>
  </si>
  <si>
    <r>
      <rPr>
        <sz val="12"/>
        <color theme="1"/>
        <rFont val="Times New Roman"/>
        <family val="1"/>
      </rPr>
      <t xml:space="preserve">Lê Trần Diệu Linh </t>
    </r>
    <r>
      <rPr>
        <sz val="12"/>
        <color rgb="FFFF0000"/>
        <rFont val="Times New Roman"/>
        <family val="1"/>
      </rPr>
      <t>(Đã gửi sách T121 ngày 14/01/2023)</t>
    </r>
  </si>
  <si>
    <t>Trường THPT Việt Hoàng ( Đường km12 Cầu Diễn,Phúc Diễn, Bắc Từ Liêm, Hà Nội)</t>
  </si>
  <si>
    <t>63/100</t>
  </si>
  <si>
    <t>Đã gửi sách T121 ngày 14/01/23, HV học dốt, ko theo đc lớp T121. Huy chuyển xuống lớp PT15. Huy cho HV đổi Combo Toeic LV1+2 =&gt; Pre- Toeic + Toeic LV1. Đổi sang ngang. Huy báo gửi sách mới 11/08/2023</t>
  </si>
  <si>
    <t>https://www.facebook.com/profile.php?id=100052669572747</t>
  </si>
  <si>
    <t>Phạm Văn Hà</t>
  </si>
  <si>
    <t>xóm Cao Thắng, Thanh Kỳ, An Thanh, Tứ Kỳ, Hải Dương</t>
  </si>
  <si>
    <t>B515</t>
  </si>
  <si>
    <t>https://www.facebook.com/profile.php?id=100023836494007</t>
  </si>
  <si>
    <t>Khu 6, Phú Thứ, Kinh Môn, Hải Dương</t>
  </si>
  <si>
    <t>https://drive.google.com/open?id=10nTO16n1v--JP-XCSa_Rk2Ji7u1Ky9dX</t>
  </si>
  <si>
    <t>B576</t>
  </si>
  <si>
    <t>https://www.facebook.com/a.thu344</t>
  </si>
  <si>
    <t>Trần Anh Thư</t>
  </si>
  <si>
    <t>Điện máy Châu Giang, Chợ Thanh Mỹ, xã Thanh Mỹ, huyện Tháp Mười, Đồng Tháp</t>
  </si>
  <si>
    <t>https://drive.google.com/open?id=1c1lW6pmRBo5tm1bL-i_xaA2iX0hDNM5m</t>
  </si>
  <si>
    <t>https://www.facebook.com/profile.php?id=100079284081038</t>
  </si>
  <si>
    <t>Phạm Quỳnh Nhung</t>
  </si>
  <si>
    <t>HẠ</t>
  </si>
  <si>
    <t>Số 4, thôn Chung Chính, Phương Trung, Huyện Thanh Oai, Hà Nội</t>
  </si>
  <si>
    <t>T132</t>
  </si>
  <si>
    <t>VIP58 học viên báo Đức bảo lưu buổi 2</t>
  </si>
  <si>
    <t>https://www.facebook.com/nguyenhongngoc01012003?mibextid=LQQJ4d</t>
  </si>
  <si>
    <t>Nguyễn Hồng Ngọc</t>
  </si>
  <si>
    <t>Khu 3,  xã Tuy Lộc, Cẩm Khê, Phú Thọ</t>
  </si>
  <si>
    <t>https://www.facebook.com/ngan.tathi.771</t>
  </si>
  <si>
    <r>
      <rPr>
        <sz val="12"/>
        <color theme="1"/>
        <rFont val="Times New Roman"/>
        <family val="1"/>
      </rPr>
      <t xml:space="preserve">Tạ Thị Ngân </t>
    </r>
    <r>
      <rPr>
        <sz val="12"/>
        <color rgb="FFFF0000"/>
        <rFont val="Times New Roman"/>
        <family val="1"/>
      </rPr>
      <t xml:space="preserve">(P128, GR17 Lv1+2 lớp OFF) </t>
    </r>
    <r>
      <rPr>
        <sz val="12"/>
        <color theme="1"/>
        <rFont val="Times New Roman"/>
        <family val="1"/>
      </rPr>
      <t>378796097</t>
    </r>
  </si>
  <si>
    <t>Giã Bàng 2, xã Tề Lỗ, huyện Yên Lạc, tỉnh Vĩnh Phúc</t>
  </si>
  <si>
    <t>https://drive.google.com/open?id=1xS9pJSqf9u-dBbX2MbCk1Zp5caTKK7pw</t>
  </si>
  <si>
    <t>T104</t>
  </si>
  <si>
    <t>https://www.facebook.com/myngoc.truongthi.710</t>
  </si>
  <si>
    <t>Trương Thị Mỹ Ngọc</t>
  </si>
  <si>
    <t>Thôn Hội Phú Nam 1, Ninh Phú, thị xã Ninh Hòa, tỉnh Khánh Hòa</t>
  </si>
  <si>
    <t>https://www.facebook.com/profile.php?id=100027358657621</t>
  </si>
  <si>
    <t xml:space="preserve">Nguyễn Thị Thuý   </t>
  </si>
  <si>
    <t>xóm 11 thôn duyên trang đông, xã phú lương, huyện đông hưng, tỉnh thái bình</t>
  </si>
  <si>
    <t>B539</t>
  </si>
  <si>
    <t>https://www.facebook.com/profile.php?id=100093969684383&amp;mibextid=LQQJ4d</t>
  </si>
  <si>
    <r>
      <rPr>
        <sz val="12"/>
        <color theme="1"/>
        <rFont val="Times New Roman"/>
        <family val="1"/>
      </rPr>
      <t xml:space="preserve">Nguyễn Thị Minh Hằng </t>
    </r>
    <r>
      <rPr>
        <sz val="12"/>
        <color rgb="FFFF0000"/>
        <rFont val="Times New Roman"/>
        <family val="1"/>
      </rPr>
      <t>(đổi GT LV3 học PT + T) sđt cũ 379856096</t>
    </r>
  </si>
  <si>
    <t>Xóm 3, khu 4 Minh Châu Ba Vì , Hà Nội</t>
  </si>
  <si>
    <t>https://drive.google.com/open?id=12eCECRTdJwahdiDyvPzp26ctypGMD-BR</t>
  </si>
  <si>
    <t>Combo GT 1,2,3. Đã học A859, B539.
Đổi C tiền còn 3,841K sang học 2 lớp PT</t>
  </si>
  <si>
    <t>https://www.facebook.com/trankim.tuyen.31542?mibextid=LQQJ4d</t>
  </si>
  <si>
    <t>Trần Kim Tuyến</t>
  </si>
  <si>
    <t>số nhà 54, ngõ 217 Lê Đại Hành Phường kỳ bá, tp Thái Bình</t>
  </si>
  <si>
    <t>https://drive.google.com/open?id=1V0GTtsQqBJeH2ONRUOIkIwxiHNyNITST</t>
  </si>
  <si>
    <t>https://www.facebook.com/le.quy.3781?mibextid=ZbWKwL</t>
  </si>
  <si>
    <r>
      <rPr>
        <sz val="12"/>
        <color theme="1"/>
        <rFont val="Times New Roman"/>
        <family val="1"/>
      </rPr>
      <t xml:space="preserve">Lê Văn Quý </t>
    </r>
    <r>
      <rPr>
        <sz val="12"/>
        <color rgb="FFFF0000"/>
        <rFont val="Times New Roman"/>
        <family val="1"/>
      </rPr>
      <t>- học lại miễn phí</t>
    </r>
  </si>
  <si>
    <t xml:space="preserve"> Hoya. Lô A9, Khu Công Nghiệp Thăng Long II, Xã Liêu Xá, Huyện Yên Mỹ, Tỉnh Hưng Yên</t>
  </si>
  <si>
    <t>Đã học VIP50. Bích đồng ý học lại ko mất 50%</t>
  </si>
  <si>
    <t>https://www.facebook.com/profile.php?id=100017200657639</t>
  </si>
  <si>
    <t>Lan Anh</t>
  </si>
  <si>
    <t>11 ngõ 18, ngách 3, trinh lương, phú lương, hà đông, hà nội</t>
  </si>
  <si>
    <t>2/28/0022</t>
  </si>
  <si>
    <t xml:space="preserve"> https://www.facebook.com/profile.php?id=100008901673209&amp;mibextid=LQQJ4d</t>
  </si>
  <si>
    <t>Đoàn Trung Hiếu</t>
  </si>
  <si>
    <t>Kim Hồng</t>
  </si>
  <si>
    <t>Cầu Nghĩa, xã Đồn Xá, Bình Lục, Hà Nam</t>
  </si>
  <si>
    <t>https://drive.google.com/open?id=1Wo2NIZi5gW8a9JLK0R0JIMWGE7CzE5x2</t>
  </si>
  <si>
    <t>Đã gửi sách T143</t>
  </si>
  <si>
    <t>https://www.facebook.com/profile.php?id=100048370714074</t>
  </si>
  <si>
    <t>Nguyễn Thị Thùy Linh</t>
  </si>
  <si>
    <t>thuy37594@gmail.com</t>
  </si>
  <si>
    <t>Tổ dân phố Thống Nhất - Thị trấn Thanh Lãng - Bình Xuyên - Vĩnh Phúc</t>
  </si>
  <si>
    <t>https://drive.google.com/open?id=1zgHcFTYU94ZEmNUzmGvhghf3pdRUPFgp</t>
  </si>
  <si>
    <t>T134</t>
  </si>
  <si>
    <t>https://www.facebook.com/thienvi.cuuvy</t>
  </si>
  <si>
    <t>Đặng Thị Thu Phương</t>
  </si>
  <si>
    <t>A6 Khu nhà ở sinh viên Pháp Vân, Hoàng Liệt, Hoàng Mai, Hà Nội</t>
  </si>
  <si>
    <t>https://drive.google.com/open?id=1KJ7V1Acy9jr89O1c6HCq0ss3YWCF0NSA</t>
  </si>
  <si>
    <t>https://www.facebook.com/thanhh.maii.180</t>
  </si>
  <si>
    <r>
      <rPr>
        <sz val="12"/>
        <color theme="1"/>
        <rFont val="Times New Roman"/>
        <family val="1"/>
      </rPr>
      <t xml:space="preserve">Nguyễn Thị Thanh Mai </t>
    </r>
    <r>
      <rPr>
        <sz val="12"/>
        <color rgb="FFFF0000"/>
        <rFont val="Times New Roman"/>
        <family val="1"/>
      </rPr>
      <t>- Combo GT Lv1+2+3
Đã học P125, GR16. Đổi GT LV3 sang Toeic 1</t>
    </r>
  </si>
  <si>
    <t>Số 28 ngách 9/3 ngõ 9 Lê Đức Thọ, phường Mỹ đình 2, quận Nam Từ Liêm, Hà Nội</t>
  </si>
  <si>
    <t>Nhóm 5</t>
  </si>
  <si>
    <t>Combo GT Lv1+2+3 Đã học P125, GR16. Đổi GT LV3 sang Toeic 1. Ngô Đức chat đổi</t>
  </si>
  <si>
    <t>https://www.facebook.com/profile.php?id=100008814907239</t>
  </si>
  <si>
    <r>
      <rPr>
        <sz val="12"/>
        <color theme="1"/>
        <rFont val="Times New Roman"/>
        <family val="1"/>
      </rPr>
      <t>Nguyễn Minh Phương-</t>
    </r>
    <r>
      <rPr>
        <sz val="12"/>
        <color rgb="FFFF0000"/>
        <rFont val="Times New Roman"/>
        <family val="1"/>
      </rPr>
      <t xml:space="preserve"> A840 lớp ON. GR15 lớp OFF
Đổi GT LV3 sang Toeic 1</t>
    </r>
  </si>
  <si>
    <t>Thuỳ Linh</t>
  </si>
  <si>
    <t>Hương Trần</t>
  </si>
  <si>
    <t xml:space="preserve">Nhà 1 ngách 2/33/17/1, Văn Trì, Bắc Từ Liêm, Hà Nội </t>
  </si>
  <si>
    <t>https://drive.google.com/open?id=1Gkqb4rCmXMkB_OGA-lhPqV-4J0Ep1dhd</t>
  </si>
  <si>
    <t>A840 lớp ON. GR15 lớp OFF Đổi GT LV3 sang Toeic 1. THuỳ Linh chat đổi</t>
  </si>
  <si>
    <t>https://www.facebook.com/profile.php?id=100040926909600</t>
  </si>
  <si>
    <t>180 Triều Khúc, Thanh Trì, Hà Nội</t>
  </si>
  <si>
    <t>https://drive.google.com/open?id=1_q_aZRf0gJtBcoxYtsKhRS4_HRFHTzW5</t>
  </si>
  <si>
    <t>https://www.facebook.com/100062193541619/</t>
  </si>
  <si>
    <t xml:space="preserve">Tô Ngọc Giang </t>
  </si>
  <si>
    <t>tongocgiang1109@gmail.com</t>
  </si>
  <si>
    <t>hanoi homeland, Thượng Thanh, Long Biên, HN</t>
  </si>
  <si>
    <t>https://www.facebook.com/profile.php?id=100081621557135</t>
  </si>
  <si>
    <r>
      <rPr>
        <sz val="12"/>
        <color theme="1"/>
        <rFont val="Times New Roman"/>
        <family val="1"/>
      </rPr>
      <t xml:space="preserve">Nguyễn Thị Lợi </t>
    </r>
    <r>
      <rPr>
        <sz val="12"/>
        <color rgb="FFFF0000"/>
        <rFont val="Times New Roman"/>
        <family val="1"/>
      </rPr>
      <t>(Combo GT1-2-3 =&gt; Combo1+2+ Toeic 1)</t>
    </r>
  </si>
  <si>
    <t>Lê Phương chat hv đổi khoá học</t>
  </si>
  <si>
    <t>Thôn Trại, Tốt Động, Chương Mỹ, Hà Nội</t>
  </si>
  <si>
    <t>https://drive.google.com/open?id=1WBhRCrTRrohWqiCA6-Fy7LrqEY4210Ne</t>
  </si>
  <si>
    <t>Phương chat 20/7 HV đổi khoá học từ: Combo GT1-2-3 =&gt; Combo1+2+ Toeic 1)</t>
  </si>
  <si>
    <t>T202 nghỉ từ buổi 16</t>
  </si>
  <si>
    <t>https://www.facebook.com/profile.php?id=100081196431258&amp;mibextid=LQQJ4d</t>
  </si>
  <si>
    <r>
      <rPr>
        <sz val="12"/>
        <color theme="1"/>
        <rFont val="Times New Roman"/>
        <family val="1"/>
      </rPr>
      <t xml:space="preserve">Nguyễn Thị Thanh </t>
    </r>
    <r>
      <rPr>
        <sz val="12"/>
        <color rgb="FFFF0000"/>
        <rFont val="Times New Roman"/>
        <family val="1"/>
      </rPr>
      <t>- Đã nộp 300K 17/01/24
T148 bảo lưu b14 do sức khỏe và gđ. Quay lại T202 buổi 9</t>
    </r>
  </si>
  <si>
    <t>Số 10 Ngõ 94 Hồ Tùng Mậu, Mai Dịch, Cầu Giấy, Hà Nội</t>
  </si>
  <si>
    <t>https://drive.google.com/open?id=1CI3WxsxCtXDNhpvsNzAvFXUOkNxMjk5f</t>
  </si>
  <si>
    <t>T202</t>
  </si>
  <si>
    <t>T215</t>
  </si>
  <si>
    <r>
      <rPr>
        <sz val="12"/>
        <color theme="1"/>
        <rFont val="Times New Roman"/>
        <family val="1"/>
      </rPr>
      <t xml:space="preserve">Nguyễn Thị Thanh </t>
    </r>
    <r>
      <rPr>
        <sz val="12"/>
        <color rgb="FFFF0000"/>
        <rFont val="Times New Roman"/>
        <family val="1"/>
      </rPr>
      <t>- Đã nộp 300K 17/01/24
T202 bảo lưu b16. Học T215 buổi 12</t>
    </r>
  </si>
  <si>
    <t>không (hv học 2lv giao tiếp off P126 và GR15 rồi)</t>
  </si>
  <si>
    <t>https://www.facebook.com/profile.php?id=100016520492363</t>
  </si>
  <si>
    <r>
      <rPr>
        <sz val="12"/>
        <color theme="1"/>
        <rFont val="Times New Roman"/>
        <family val="1"/>
      </rPr>
      <t xml:space="preserve">Như Ngọc </t>
    </r>
    <r>
      <rPr>
        <sz val="12"/>
        <color rgb="FFFF0000"/>
        <rFont val="Times New Roman"/>
        <family val="1"/>
      </rPr>
      <t>(Chuyển khóa GT3 -&gt; toeic 1)</t>
    </r>
  </si>
  <si>
    <t>Meca team</t>
  </si>
  <si>
    <t>nhungocnguyen898@gmail.com</t>
  </si>
  <si>
    <t xml:space="preserve">154 Nguyễn Văn Giáp, Từ Liêm, Hà Nội </t>
  </si>
  <si>
    <t>Linh chat: Combo giao tiếp 3lv nhưng chuyển lv3 sang toeic 1</t>
  </si>
  <si>
    <t>https://www.facebook.com/profile.php?id=100024419641356</t>
  </si>
  <si>
    <t>Phan Minh Phương</t>
  </si>
  <si>
    <t>my3432003@gmail.com</t>
  </si>
  <si>
    <t xml:space="preserve">Số nhà 18, Ngõ 63 Trần Quốc Vượng, Cầu Giấy, Hà Nội </t>
  </si>
  <si>
    <t>https://drive.google.com/open?id=1I3Z4Zp5vfnPbBlTZAc4dURsF21R_Ok6T</t>
  </si>
  <si>
    <t>VIP73</t>
  </si>
  <si>
    <t>https://www.facebook.com/profile.php?id=100022374960663&amp;mibextid=ZbWKwL</t>
  </si>
  <si>
    <r>
      <rPr>
        <sz val="12"/>
        <color theme="1"/>
        <rFont val="Times New Roman"/>
        <family val="1"/>
      </rPr>
      <t>Đào Như Quỳnh</t>
    </r>
    <r>
      <rPr>
        <sz val="12"/>
        <color rgb="FFFF0000"/>
        <rFont val="Times New Roman"/>
        <family val="1"/>
      </rPr>
      <t xml:space="preserve"> - (gốc đa Tu Hoàng)</t>
    </r>
  </si>
  <si>
    <t>quynhk.chu@gmail.com</t>
  </si>
  <si>
    <t>Phố 35, Gốc đa Tu Hoàng, Phương Canh, Nam Từ Liêm, Hà Nội</t>
  </si>
  <si>
    <t>https://drive.google.com/open?id=185ZAuyz_oJ7SrHDqwwXUOzsjpH-iQlr2; https://drive.google.com/open?id=1TqmYpX-Ki8x74LFcxkLzBHKNLhoofkeo</t>
  </si>
  <si>
    <t>Yến sale báo. Đã nộp 300K chuyển nhượng 22/12/2023.  - Cần nộp 200K chuyển từ T sang VIP</t>
  </si>
  <si>
    <r>
      <rPr>
        <sz val="12"/>
        <color rgb="FFFF0000"/>
        <rFont val="Times New Roman"/>
        <family val="1"/>
      </rPr>
      <t xml:space="preserve">C note giúp bạn Võ Hữu Điền chuyển nhượng Toeic 2 cho bạn Quỳnh ạ Võ Hữu Điền Sđt: 03780004204 CCCD: 052203016146 Địa chỉ: làng Dande- xã IABă - Huyện IAGRai- Tỉnh Gia Lai </t>
    </r>
    <r>
      <rPr>
        <sz val="12"/>
        <color rgb="FFFF0000"/>
        <rFont val="Times New Roman"/>
        <family val="1"/>
      </rPr>
      <t>https://www.facebook.com/profile.php?id=100033723120888</t>
    </r>
    <r>
      <rPr>
        <sz val="12"/>
        <color rgb="FFFF0000"/>
        <rFont val="Times New Roman"/>
        <family val="1"/>
      </rPr>
      <t xml:space="preserve"> Họ tên : Đào Như Quỳnh Cccd: 031303006556 Sđt: 0913467433 Địa chỉ: phố 35 Tu Hoàng, Nam Từ Liêm, Hà Nội Email: quynhk.chu@gmail.com </t>
    </r>
    <r>
      <rPr>
        <sz val="12"/>
        <color rgb="FFFF0000"/>
        <rFont val="Times New Roman"/>
        <family val="1"/>
      </rPr>
      <t>https://www.facebook.com/profile.php?id=100022374960663&amp;mibextid=ZbWKwL</t>
    </r>
  </si>
  <si>
    <t>https://www.facebook.com/lephamtutrinh12</t>
  </si>
  <si>
    <r>
      <rPr>
        <sz val="12"/>
        <color theme="1"/>
        <rFont val="Times New Roman"/>
        <family val="1"/>
      </rPr>
      <t xml:space="preserve">Lê Phạm Tú Trinh </t>
    </r>
    <r>
      <rPr>
        <sz val="12"/>
        <color rgb="FFFF0000"/>
        <rFont val="Times New Roman"/>
        <family val="1"/>
      </rPr>
      <t>(đổi toeic 2 thành T149) đã học T41</t>
    </r>
  </si>
  <si>
    <t>Số nhà 34, Ngõ 316, Đê La Thành nhỏ, Ô Chợ Dừa, Đống Đa, Hà Nội</t>
  </si>
  <si>
    <t>c ơi, bạn này trước đki combo Toeic Level 1+2 Đã học Toeic level 1 lớp T41 nhưng lâu ngày rồi nên quên giờ bạn ý đổi sang học T149 c ạ. bạn có nhận sách mới c ạ, cho nó học hoà luôn cho hết.</t>
  </si>
  <si>
    <t>https://www.facebook.com/profile.php?id=100083206461555</t>
  </si>
  <si>
    <r>
      <rPr>
        <sz val="12"/>
        <color theme="1"/>
        <rFont val="Times New Roman"/>
        <family val="1"/>
      </rPr>
      <t xml:space="preserve">Lê Thị Ánh Nguyệt </t>
    </r>
    <r>
      <rPr>
        <sz val="12"/>
        <color rgb="FFFF0000"/>
        <rFont val="Times New Roman"/>
        <family val="1"/>
      </rPr>
      <t>- nick Ben Ggo</t>
    </r>
  </si>
  <si>
    <t>CT1- Khu đô thị Nam Cường- Cổ Nhuế 1- Bắc Từ Liêm - Hà Nội</t>
  </si>
  <si>
    <t>https://drive.google.com/open?id=12aajyGSzUy6jyQLqdqMcq4M8loIvB6A8</t>
  </si>
  <si>
    <t>https://www.facebook.com/profile.php?id=100081129805880</t>
  </si>
  <si>
    <t>Đăng Xuân Hải Phong</t>
  </si>
  <si>
    <t>Hàm Hy, Cộng Lạc, Tứ Kỳ, Hải Dương</t>
  </si>
  <si>
    <t>https://drive.google.com/open?id=1QtduTPmOYkVbyk2gxx0XIglDLv05lbPy, https://drive.google.com/open?id=1XoB_O-kW-7uj4Krdt9MwksKwSS2LxhaB</t>
  </si>
  <si>
    <t>Đã trả lương T2/2023</t>
  </si>
  <si>
    <t>PT12</t>
  </si>
  <si>
    <t>https://www.facebook.com/kim.teahyung.31149359?mibextid=ZbWKwL</t>
  </si>
  <si>
    <t>Bùi Thị Ngọc Minh</t>
  </si>
  <si>
    <t>ngã tư Bất Di 2 - Quang Trung - Vụ Bản - Nam Định</t>
  </si>
  <si>
    <t>https://drive.google.com/open?id=11RsUyk4p2-Pa7w3-txzRU0W8H4n8uCOD</t>
  </si>
  <si>
    <t>T205</t>
  </si>
  <si>
    <t>https://www.facebook.com/100024999947836/</t>
  </si>
  <si>
    <r>
      <rPr>
        <sz val="12"/>
        <color theme="1"/>
        <rFont val="Times New Roman"/>
        <family val="1"/>
      </rPr>
      <t xml:space="preserve">Vũ Quân </t>
    </r>
    <r>
      <rPr>
        <sz val="12"/>
        <color rgb="FFFF0000"/>
        <rFont val="Times New Roman"/>
        <family val="1"/>
      </rPr>
      <t>(Chờ lớp vì chưa muốn học luôn (chưa test đầu vào, nếu test &lt;350 học PT)</t>
    </r>
  </si>
  <si>
    <t>Vũ</t>
  </si>
  <si>
    <t>quanxz2020@gmail.com</t>
  </si>
  <si>
    <t>Honda oto mỹ đình số 2, lê đức thọ, mai dịch, cầu giấy, hà nội</t>
  </si>
  <si>
    <t>https://drive.google.com/open?id=1S4OdWa7ag6qksUfWrmInWomo_jWVISUt</t>
  </si>
  <si>
    <t>chưa test</t>
  </si>
  <si>
    <t>Linh note: Chờ lớp vì chưa muốn học luôn (chưa test đầu vào, nếu test &lt;350 học PT)</t>
  </si>
  <si>
    <t>https://www.facebook.com/100035052991685/</t>
  </si>
  <si>
    <r>
      <rPr>
        <sz val="12"/>
        <color theme="1"/>
        <rFont val="Times New Roman"/>
        <family val="1"/>
      </rPr>
      <t xml:space="preserve">Lê Quang Chiến </t>
    </r>
    <r>
      <rPr>
        <sz val="12"/>
        <color rgb="FFFF0000"/>
        <rFont val="Times New Roman"/>
        <family val="1"/>
      </rPr>
      <t>=&gt; đổi E3 học PT + T</t>
    </r>
  </si>
  <si>
    <t xml:space="preserve">Tổ 5, Ấp3, xã Bàu Cạn, Huyện Long Thành, Tỉnh Đồng Nai </t>
  </si>
  <si>
    <t>https://drive.google.com/open?id=1U8X32KsOKPoGs71MtJm90vBRjyEoPzBT</t>
  </si>
  <si>
    <t>78/100</t>
  </si>
  <si>
    <t>VIP85</t>
  </si>
  <si>
    <t>https://www.facebook.com/profile.php?id=100062193541619&amp;mibextid=LQQJ4d</t>
  </si>
  <si>
    <t>Tô Ngọc Giang</t>
  </si>
  <si>
    <t>Nhận sách trên tại văn phòng HTM</t>
  </si>
  <si>
    <t>Nhài đưa tay</t>
  </si>
  <si>
    <t>A755</t>
  </si>
  <si>
    <t>https://www.facebook.com/profile.php?id=100022494742241</t>
  </si>
  <si>
    <t>Đỗ Hải Yến</t>
  </si>
  <si>
    <t>Ngõ 7 gần cổng Honda 1A, Xuân Mai 3,phường Phúc Thắng,TP Phúc Yên, Vĩnh Phúc</t>
  </si>
  <si>
    <t>300, chịu trách nhiệm về đầu ra</t>
  </si>
  <si>
    <t>T181</t>
  </si>
  <si>
    <t>https://www.facebook.com/100028454732107/</t>
  </si>
  <si>
    <r>
      <rPr>
        <sz val="12"/>
        <color theme="1"/>
        <rFont val="Times New Roman"/>
        <family val="1"/>
      </rPr>
      <t xml:space="preserve">Khánh Huyền </t>
    </r>
    <r>
      <rPr>
        <sz val="12"/>
        <color rgb="FFFF0000"/>
        <rFont val="Times New Roman"/>
        <family val="1"/>
      </rPr>
      <t>(T179 học 1 buổi xin OUT đi quân sự</t>
    </r>
    <r>
      <rPr>
        <sz val="12"/>
        <color theme="1"/>
        <rFont val="Times New Roman"/>
        <family val="1"/>
      </rPr>
      <t>). Đã nộp 300K ngày 8/11/23</t>
    </r>
  </si>
  <si>
    <t>Trà</t>
  </si>
  <si>
    <t>khanhhuyenbui2004@gmail.com</t>
  </si>
  <si>
    <t>168 nguyễn huệ-phường Phú Nhuận-tp Huế-Thừa thiên Huế</t>
  </si>
  <si>
    <t>https://drive.google.com/open?id=1d65qXtjQh_1jSYK9ooQ6rYcGDgyu290K</t>
  </si>
  <si>
    <t>T175</t>
  </si>
  <si>
    <t>https://www.facebook.com/profile.php?id=100018297822527</t>
  </si>
  <si>
    <r>
      <rPr>
        <sz val="12"/>
        <color theme="1"/>
        <rFont val="Times New Roman"/>
        <family val="1"/>
      </rPr>
      <t xml:space="preserve">Nguyễn Thị Diệu Huyền
</t>
    </r>
    <r>
      <rPr>
        <sz val="12"/>
        <color rgb="FFFF0000"/>
        <rFont val="Times New Roman"/>
        <family val="1"/>
      </rPr>
      <t>T151 bảo lưu b11. Quay lại học T175</t>
    </r>
  </si>
  <si>
    <t>Số 06, đội 7, xã Hạ Mỗ, huyện Đan Phượng, Tp Hà Nội</t>
  </si>
  <si>
    <t>Đã nộp 300K ngày 28/11/2023</t>
  </si>
  <si>
    <t>https://www.facebook.com/myhuyen041203?mibextid=ZbWKwL</t>
  </si>
  <si>
    <r>
      <rPr>
        <sz val="12"/>
        <color theme="1"/>
        <rFont val="Times New Roman"/>
        <family val="1"/>
      </rPr>
      <t xml:space="preserve">Khổng Thị Mỹ Huyền </t>
    </r>
    <r>
      <rPr>
        <sz val="12"/>
        <color rgb="FFFF0000"/>
        <rFont val="Times New Roman"/>
        <family val="1"/>
      </rPr>
      <t>(đã gửi sách T121 ngày 14/01/2023)</t>
    </r>
  </si>
  <si>
    <t>Nhà 7, đơn nguyên 3, Xuân Hòa, Phúc Yên, Vĩnh Phúc</t>
  </si>
  <si>
    <t>https://drive.google.com/open?id=15peMy_pMe2nVWoPDV5w90Ug76zEnZOjh</t>
  </si>
  <si>
    <t>https://www.facebook.com/ha.lethithu.7204?mibextid=LQQJ4d</t>
  </si>
  <si>
    <t>Lê Thị Thu Hà</t>
  </si>
  <si>
    <t>19b, Ngách 54/328 Nguyễn Trãi, Thanh Xuân, Hà Nội</t>
  </si>
  <si>
    <t>https://drive.google.com/open?id=1qJzSvMhNxDTCDs5NZV3K6IICJGhnAODo, https://drive.google.com/open?id=1oMZvpjoImtq_36Ep2nn-6CmbLYSeYICt</t>
  </si>
  <si>
    <t xml:space="preserve"> https://www.facebook.com/nguyenthuhuog2002?mibextid=LQQJ4d</t>
  </si>
  <si>
    <r>
      <rPr>
        <sz val="12"/>
        <color theme="1"/>
        <rFont val="Times New Roman"/>
        <family val="1"/>
      </rPr>
      <t xml:space="preserve">Vũ Thị Thu Hương </t>
    </r>
    <r>
      <rPr>
        <sz val="12"/>
        <color rgb="FFFF0000"/>
        <rFont val="Times New Roman"/>
        <family val="1"/>
      </rPr>
      <t>(Đổi GT3 =&gt; Toeic 1)</t>
    </r>
  </si>
  <si>
    <t>huongthu20204@gmail.com</t>
  </si>
  <si>
    <t>167 Doãn Kế Thiện, Cầu giấy, Hà Nội</t>
  </si>
  <si>
    <t>https://drive.google.com/open?id=11OAVBcmCpIbG9efZdxscac4tCv2f8-ir, https://drive.google.com/open?id=1nPcF0iufvPm_QMnETiq6Pi_yuvi7k65J</t>
  </si>
  <si>
    <t>https://www.facebook.com/profile.php?id=100050588161587</t>
  </si>
  <si>
    <r>
      <rPr>
        <sz val="12"/>
        <color theme="1"/>
        <rFont val="Times New Roman"/>
        <family val="1"/>
      </rPr>
      <t xml:space="preserve">Phan Ngọc Linh </t>
    </r>
    <r>
      <rPr>
        <sz val="12"/>
        <color rgb="FFFF0000"/>
        <rFont val="Times New Roman"/>
        <family val="1"/>
      </rPr>
      <t>(Chuyển lv3 --&gt; lv1 toeic)</t>
    </r>
  </si>
  <si>
    <t>linhphan78thpttn@gmail.com</t>
  </si>
  <si>
    <t>Số 11, Ngách 2, Ngõ 66 Hồ Tùng Mậu, Mai Dịch, Cầu giấy, Hà Nội</t>
  </si>
  <si>
    <t>https://drive.google.com/open?id=1dFvjshTDczUfXGkwrNe2KddWhkAteKb7</t>
  </si>
  <si>
    <t>T152 nghỉ ngang b8. Huy chat</t>
  </si>
  <si>
    <t>https://www.facebook.com/profile.php?id=100048806928478</t>
  </si>
  <si>
    <t>Nguyễn Xuân Quỳnh</t>
  </si>
  <si>
    <t>32B, Ngõ 59, đường Phạm Văn Đồng, Mai Dịch, Cầu Giấy, Hà Nội</t>
  </si>
  <si>
    <t>https://drive.google.com/open?id=16RqO0BDSKy23tw7jU28RdEIJU9l1UVST</t>
  </si>
  <si>
    <t>B591</t>
  </si>
  <si>
    <t>https://www.facebook.com/profile.php?id=100078893750675</t>
  </si>
  <si>
    <t>Nguyễn Công Đức Anh</t>
  </si>
  <si>
    <t>Tuấn Anh PA2</t>
  </si>
  <si>
    <t>Thôn Đông, Hoàn Sơn, Tiên Du, Bắc Ninh</t>
  </si>
  <si>
    <t>VIP65</t>
  </si>
  <si>
    <t>https://www.facebook.com/nguyennhung.7777777</t>
  </si>
  <si>
    <r>
      <rPr>
        <sz val="12"/>
        <color theme="1"/>
        <rFont val="Times New Roman"/>
        <family val="1"/>
      </rPr>
      <t xml:space="preserve">Nguyễn Thị Nhung
</t>
    </r>
    <r>
      <rPr>
        <sz val="12"/>
        <color rgb="FFFF0000"/>
        <rFont val="Times New Roman"/>
        <family val="1"/>
      </rPr>
      <t>VIP60 bảo lưu b1. Quay lại học VIP65</t>
    </r>
  </si>
  <si>
    <t>46 Ngõ 193 Nam Dư, Hoàng Mai, Hà Nội</t>
  </si>
  <si>
    <t>1/1/0001</t>
  </si>
  <si>
    <t>https://drive.google.com/open?id=1CQd6IteC3gk-3B8sI9uKmLf4hmqTX248, https://drive.google.com/open?id=17kOdbCmdRT6vJBMkL-NrCIJazVd64Qy3</t>
  </si>
  <si>
    <t>VIP60 bảo lưu b1. Quay lại học VIP65. Đã nộp 300K ngày 13/10/2023</t>
  </si>
  <si>
    <t>T179</t>
  </si>
  <si>
    <t>https://www.facebook.com/profile.php?id=100027445922898</t>
  </si>
  <si>
    <r>
      <rPr>
        <sz val="12"/>
        <color theme="1"/>
        <rFont val="Times New Roman"/>
        <family val="1"/>
      </rPr>
      <t xml:space="preserve">Nguyễn Thị Thảo </t>
    </r>
    <r>
      <rPr>
        <sz val="12"/>
        <color rgb="FFFF0000"/>
        <rFont val="Times New Roman"/>
        <family val="1"/>
      </rPr>
      <t>(Huy cho học lại miễn phí)</t>
    </r>
  </si>
  <si>
    <t>Số 18, ngõ 80 đường Tu Hoàng, quận Nam Từ Liêm, Hà Nội</t>
  </si>
  <si>
    <t>https://drive.google.com/open?id=1veexRdPrfPam16JceZv1VlCJBLSMc0vz</t>
  </si>
  <si>
    <t>Chị ơi, chị cho bạn này vào T179 e với
học lại free ạ.
từ T153 - làm bài cuối khoá lỗi phần đọc nhưng ko muốn làm lại và mong được hỗ trợ ôn tập nên em ghép vào lớp còn trống c ạ.</t>
  </si>
  <si>
    <t>PT9</t>
  </si>
  <si>
    <t>https://www.facebook.com/profile.php?id=100008675144616</t>
  </si>
  <si>
    <t>Đặng Thị Hoa</t>
  </si>
  <si>
    <t>Trường Nguyễn Bỉnh Khiêm, phường Hà Khẩu, tp Hạ Long, Tỉnh Quảng Ninh</t>
  </si>
  <si>
    <t>https://drive.google.com/open?id=1rwsQNG3tmqM5iJII3jrcfzhLxGZBYK5w</t>
  </si>
  <si>
    <t>T155-&gt;T156</t>
  </si>
  <si>
    <t>B489</t>
  </si>
  <si>
    <t>https://www.facebook.com/profile.php?id=100047994105350</t>
  </si>
  <si>
    <t>Phạm Minh Phương</t>
  </si>
  <si>
    <t>Minh Phạm</t>
  </si>
  <si>
    <t>ko có</t>
  </si>
  <si>
    <t>Đội 5, Yên Phú, Ý Yên, Nam Định</t>
  </si>
  <si>
    <t>https://drive.google.com/open?id=1xTpLUYNkqonEfBkWAalRUtzSXzcPcxEp</t>
  </si>
  <si>
    <t>P129</t>
  </si>
  <si>
    <t>https://www.facebook.com/profile.php?id=100038989638210</t>
  </si>
  <si>
    <r>
      <rPr>
        <sz val="12"/>
        <color theme="1"/>
        <rFont val="Times New Roman"/>
        <family val="1"/>
      </rPr>
      <t xml:space="preserve">Hà Ngọc Mai </t>
    </r>
    <r>
      <rPr>
        <sz val="12"/>
        <color rgb="FFFF0000"/>
        <rFont val="Times New Roman"/>
        <family val="1"/>
      </rPr>
      <t>(P129 đổi sang học Toeic)</t>
    </r>
  </si>
  <si>
    <t>034304006938</t>
  </si>
  <si>
    <t>Ngách 42 Ngõ 66 Hồ Tùng Mậu, Mai Dịch, Cầu Giấy, Hà Nội</t>
  </si>
  <si>
    <t>09/01/2023 và 24/02/2023</t>
  </si>
  <si>
    <r>
      <rPr>
        <u/>
        <sz val="12"/>
        <color rgb="FF1155CC"/>
        <rFont val="Times New Roman"/>
        <family val="1"/>
      </rPr>
      <t xml:space="preserve">https://drive.google.com/open?id=1T2VlJClEYHA9c34jR6xlemCiIGfIGxVS, </t>
    </r>
    <r>
      <rPr>
        <u/>
        <sz val="12"/>
        <color rgb="FF1155CC"/>
        <rFont val="Times New Roman"/>
        <family val="1"/>
      </rPr>
      <t>https://drive.google.com/open?id=15SYvGbSSVH9JO2TtZ18lwt3MMnSSrg_E</t>
    </r>
  </si>
  <si>
    <t>Mai ơi, chị thấy trước đây em đăng ký khoá: Combo GT Lv(1+2+3)+Toeic Lv(1+2).
Em đã học lớp giao tiếp level 1 tên lớp P129.
Tổng học phí em đã nộp 3 lần là: 16,779K
=16,779K-3,768K khoá giao tiếp LV1 đã học
==&gt; Còn 13,011K. Nộp thêm 957K  để đổi sang Combo Toeic Lv(1+2)+ Toeic (S+W) + 02 khoá ôn thi</t>
  </si>
  <si>
    <t>https://www.facebook.com/profile.php?id=100041939258170</t>
  </si>
  <si>
    <r>
      <rPr>
        <sz val="12"/>
        <color theme="1"/>
        <rFont val="Times New Roman"/>
        <family val="1"/>
      </rPr>
      <t xml:space="preserve">Đào Thị Thu Tấm </t>
    </r>
    <r>
      <rPr>
        <sz val="12"/>
        <color rgb="FFFF0000"/>
        <rFont val="Times New Roman"/>
        <family val="1"/>
      </rPr>
      <t>(P129 đổi sang học Toeic)</t>
    </r>
  </si>
  <si>
    <t>Huyền</t>
  </si>
  <si>
    <t>034304006088</t>
  </si>
  <si>
    <t>09/01/2023 và 22/02/2023</t>
  </si>
  <si>
    <t>https://drive.google.com/open?id=1gJ8omUFhjSgEwvY64rpKQKAmKA5epGKY, https://drive.google.com/open?id=19nDFmfvMfr5U3um0smeg1pCuZbuWwEfe</t>
  </si>
  <si>
    <t>Tấm ơi, chị thấy trước đây em đăng ký khoá: Combo GT Lv(1+2+3)+Toeic Lv(1+2).
Em đã học lớp giao tiếp level 1 tên lớp P129.
Tổng học phí em đã nộp 3 lần là: 16,779K
=16,779K-3,768K khoá giao tiếp LV1 đã học
==&gt; Còn 13,011K. Nộp thêm 957K  để đổi sang Combo Toeic Lv(1+2)+ Toeic (S+W) + 02 khoá ôn thi</t>
  </si>
  <si>
    <t>T105</t>
  </si>
  <si>
    <t>T211</t>
  </si>
  <si>
    <t>https://www.facebook.com/anhnguyet.le.3323</t>
  </si>
  <si>
    <r>
      <rPr>
        <sz val="12"/>
        <color theme="1"/>
        <rFont val="Times New Roman"/>
        <family val="1"/>
      </rPr>
      <t xml:space="preserve">Lê Ánh Nguyệt </t>
    </r>
    <r>
      <rPr>
        <sz val="12"/>
        <color rgb="FFFF0000"/>
        <rFont val="Times New Roman"/>
        <family val="1"/>
      </rPr>
      <t>- Đổi VIP học T</t>
    </r>
  </si>
  <si>
    <t xml:space="preserve">Phố Neo- Nam Giang- Thọ Xuân- Thanh Hóa </t>
  </si>
  <si>
    <t>https://drive.google.com/open?id=14f3Cukcxq9toy9fxV8x7U82yZlR78sv4</t>
  </si>
  <si>
    <t>VIP60 =&gt; Chờ lớp. Huy báo</t>
  </si>
  <si>
    <t>https://www.facebook.com/hocc.haa.9</t>
  </si>
  <si>
    <t>Lê Thị Hà</t>
  </si>
  <si>
    <t>Nhà số 6- 180 Trần Duy Hưng, Trung Hoà, Cầu Giấy, Hà Nội</t>
  </si>
  <si>
    <t>https://drive.google.com/open?id=1EgbcxDm_7mZi1gYD0qbXm4tQzlzqLD27</t>
  </si>
  <si>
    <t>B627</t>
  </si>
  <si>
    <t>https://www.facebook.com/vann.nguyenn.965</t>
  </si>
  <si>
    <t>Nguyễn Thuý Vân</t>
  </si>
  <si>
    <t>PAGE DƯƠNG</t>
  </si>
  <si>
    <t xml:space="preserve">816 Kim Giang, Ngách 4/816, Nhà số 5, Thanh Liệt, Thanh Trì, Hà Nội        </t>
  </si>
  <si>
    <t>A1016</t>
  </si>
  <si>
    <t>https://www.facebook.com/chuot.linh.7140</t>
  </si>
  <si>
    <r>
      <rPr>
        <sz val="12"/>
        <color theme="1"/>
        <rFont val="Times New Roman"/>
        <family val="1"/>
      </rPr>
      <t xml:space="preserve">Vũ Thị Linh </t>
    </r>
    <r>
      <rPr>
        <sz val="12"/>
        <color rgb="FFFF0000"/>
        <rFont val="Times New Roman"/>
        <family val="1"/>
      </rPr>
      <t>(đổi GT LV2 -&gt;Toeic LV2)</t>
    </r>
  </si>
  <si>
    <t>Cổng kí túc xá C2 Trường Đại học Phenikaa, Nguyễn Trác, Yên Nghĩa, Hà Đông, Hà Nội</t>
  </si>
  <si>
    <t>https://drive.google.com/open?id=1ZEhIsB7Rjf-nU1uaubeE_G5JzRpzAs8e</t>
  </si>
  <si>
    <t>Combo GT 1,2 +Toeic 1 --&gt; Combo GT1+ Toeic1,2. Yến Meca báo
- Bạn đổi GT level 2 sang Toeic level 2 đúng ko?
- Bạn ko học GT LV2 nữa do đã chuyển sang toeic LV2
- Xếp lớp Toeic LV 1 là T154.</t>
  </si>
  <si>
    <t>B617</t>
  </si>
  <si>
    <t>https://www.facebook.com/di.men.942</t>
  </si>
  <si>
    <t>Thào Thị Dí</t>
  </si>
  <si>
    <t>dithao.220902@gmail.com</t>
  </si>
  <si>
    <t>Số 211 Trần Đại Nghĩa, Phường Đồng Tâm, Hai Bà Trưng, Hà Nội</t>
  </si>
  <si>
    <t>https://drive.google.com/open?id=1dHnjBBMLV6uXuf-MYt17l-PE1sD82syU</t>
  </si>
  <si>
    <t>GR16</t>
  </si>
  <si>
    <t>T185</t>
  </si>
  <si>
    <t>https://www.facebook.com/profile.php?id=100015247680202&amp;mibextid=LQQJ4d</t>
  </si>
  <si>
    <r>
      <rPr>
        <sz val="12"/>
        <color theme="1"/>
        <rFont val="Times New Roman"/>
        <family val="1"/>
      </rPr>
      <t xml:space="preserve">Cao Thị Thảo Vân </t>
    </r>
    <r>
      <rPr>
        <sz val="12"/>
        <color rgb="FFFF0000"/>
        <rFont val="Times New Roman"/>
        <family val="1"/>
      </rPr>
      <t>(đổi GT LV3 =&gt;Toeic LV1)</t>
    </r>
  </si>
  <si>
    <t xml:space="preserve"> KTX trường Đại Học Thương Mại số 79 Hồ Tùng Mậu, Mai Dịch, Cầu Giấy, Hà Nội</t>
  </si>
  <si>
    <t>https://drive.google.com/open?id=17C4Ow4q8Kv2BwItyhhJK-YFeL88Wpnzx</t>
  </si>
  <si>
    <t>S_Nữ</t>
  </si>
  <si>
    <t>T186 =&gt;T185</t>
  </si>
  <si>
    <t>https://www.facebook.com/ngocanhle.tm</t>
  </si>
  <si>
    <r>
      <rPr>
        <sz val="12"/>
        <color theme="1"/>
        <rFont val="Times New Roman"/>
        <family val="1"/>
      </rPr>
      <t xml:space="preserve">Lê Thị Ngọc Anh </t>
    </r>
    <r>
      <rPr>
        <sz val="12"/>
        <color rgb="FFFF0000"/>
        <rFont val="Times New Roman"/>
        <family val="1"/>
      </rPr>
      <t>(đổi GT LV3 + toeic LV1 =&gt; Toeic S+W)
Học P127 và GR17. Thiếu 330,000 vnđ đổi khoá học</t>
    </r>
  </si>
  <si>
    <t>038304024262</t>
  </si>
  <si>
    <t>Số nhà 22B, Ngõ 39 Hồ Tùng Mậu, Bắc Từ Liêm, Hà Nội</t>
  </si>
  <si>
    <t>https://drive.google.com/open?id=1lCThYDms9F3fPOBdcaAByTiq9oY-qx5y</t>
  </si>
  <si>
    <t>Em ơi, 
- Số tiền bạn đã đóng Combo GT Lv(1+2+3)+ Toeic Lv(1+2) là: 16,779,000 vnđ.
- Số tiền 3 khoá đã và sẽ học Combo GT Lv(1+2)+ Toeic Lv2 là: 10,534,000 vnđ.
- Số tiền còn dư: 6,245,000 vnđ.
- Gói học đổi sang khoá Speaking và Wriing có giá là: 7,729,000 vnđ.
==&gt; Số tiền cần đóng thêm là: 1,484,000 vnđ.
Cần hoàn thiện sớm vì tất cả các khoá học đã được tính giá Combo hưởng ưu đãi rồi.</t>
  </si>
  <si>
    <t>Combo Pre_Toeic + Toeic Lv(1+2) + Toeic (S + W)</t>
  </si>
  <si>
    <t xml:space="preserve"> https://www.facebook.com/profile.php?id=100053007592601&amp;mibextid=LQQJ4d</t>
  </si>
  <si>
    <r>
      <rPr>
        <sz val="12"/>
        <color theme="1"/>
        <rFont val="Times New Roman"/>
        <family val="1"/>
      </rPr>
      <t xml:space="preserve">Phạm Lê Khánh Huyền </t>
    </r>
    <r>
      <rPr>
        <sz val="12"/>
        <color rgb="FFFF0000"/>
        <rFont val="Times New Roman"/>
        <family val="1"/>
      </rPr>
      <t>(đổi GT LV2,3 + toeic LV1,2 =&gt; Pre-toeic + Toeic LV1,2, Toeic S+W)
Đã học level 1 P129</t>
    </r>
  </si>
  <si>
    <t>Nhài làm thủ tục đổi</t>
  </si>
  <si>
    <t>038304003890</t>
  </si>
  <si>
    <t>21/52/25 Mỹ Đình 2, Nam Từ Liêm, Hà Nội</t>
  </si>
  <si>
    <t>https://drive.google.com/open?id=1hFqrRLSW68K3xNY2QNhQUo8iWqv-RxcF, https://drive.google.com/open?id=1ZRJd0WkB1pCqmjvpdAfHDwmK77XRwPzu</t>
  </si>
  <si>
    <t>Em ơi, 
- Số tiền em đã đóng Combo GT Lv(1+2+3)+ Toeic Lv(1+2) là: 16,779,000 vnđ.
- Số tiền 1 khoá giao tiếp LV1 đã học lớp P129 là: 3,768,000 vnđ.
- Số tiền còn dư: 13,011,00 vnđ.
- Gói học đổi sang khoá Combo Toeic Lv(1+2) + Toeic (S + W) + tặng 2 khóa Ôn thi có giá là: 15,936,000 vnđ.
==&gt; Số tiền cần đóng thêm là: 2,925,000 vnđ. (15,936 - 13,011)
Em cần hoàn thiện sớm vì tất cả các khoá học đã được tính giá Combo hưởng ưu đãi rồi. (Nhài đã hỏi Mai là HV đổi ngang)</t>
  </si>
  <si>
    <t xml:space="preserve">HV đổi Combo Toeic Lv(1+2) + Toeic S để không phải đóng thêm tiền  </t>
  </si>
  <si>
    <t>B554</t>
  </si>
  <si>
    <t>https://www.facebook.com/profile.php?id=100072225052998</t>
  </si>
  <si>
    <t>Trần Nho Thị Huyền</t>
  </si>
  <si>
    <t>đã nhận sách</t>
  </si>
  <si>
    <t>https://drive.google.com/open?id=1DO8T_sxVEutc9ZguXgsmE0ryOoEWyLld</t>
  </si>
  <si>
    <t>Đã nhận</t>
  </si>
  <si>
    <t>Đã nhận sách</t>
  </si>
  <si>
    <t>B263</t>
  </si>
  <si>
    <t>https://www.facebook.com/profile.php?id=100052357243432</t>
  </si>
  <si>
    <t>Ngô Thị Thùy Trang</t>
  </si>
  <si>
    <t>số 85 đường 2 Đồng Tháp, thôn Bãi Tháp, Đan Phượng, Hà Nội</t>
  </si>
  <si>
    <t>https://drive.google.com/open?id=14KC0k8DwNu5MPPvxB8gX6MbZ7BnQ6Bz1</t>
  </si>
  <si>
    <t>A922</t>
  </si>
  <si>
    <t>https://www.facebook.com/profile.php?id=100082944153533</t>
  </si>
  <si>
    <r>
      <rPr>
        <sz val="12"/>
        <color theme="1"/>
        <rFont val="Times New Roman"/>
        <family val="1"/>
      </rPr>
      <t>Lộc Thị Sa Sa</t>
    </r>
    <r>
      <rPr>
        <sz val="12"/>
        <color rgb="FFFF0000"/>
        <rFont val="Times New Roman"/>
        <family val="1"/>
      </rPr>
      <t xml:space="preserve"> sđt 0973149507  gọi khi ship sách</t>
    </r>
  </si>
  <si>
    <t>cafe Nhung, cuối ngõ 53 Phạm Tuấn Tài, Cổ Nhuế 1, quận Bắc Từ Liêm, Hà Nội</t>
  </si>
  <si>
    <t>https://www.facebook.com/dinh.ngoc.9484941</t>
  </si>
  <si>
    <r>
      <rPr>
        <sz val="12"/>
        <color theme="1"/>
        <rFont val="Times New Roman"/>
        <family val="1"/>
      </rPr>
      <t>Đinh Thị Huyền Chang</t>
    </r>
    <r>
      <rPr>
        <sz val="12"/>
        <color rgb="FFFF0000"/>
        <rFont val="Times New Roman"/>
        <family val="1"/>
      </rPr>
      <t xml:space="preserve"> (sđt cũ 398463817)</t>
    </r>
  </si>
  <si>
    <t>Số nhà 20 Ngõ 68 Đình Quán, Bắc Từ Liêm, Hà Nội</t>
  </si>
  <si>
    <t>https://drive.google.com/open?id=16ULGV43o8GzEGmP-KYTG48MySBHCTSBB</t>
  </si>
  <si>
    <t>650 (Vẫn muốn học lv1)</t>
  </si>
  <si>
    <t>B588</t>
  </si>
  <si>
    <t>https://www.facebook.com/quantrieu.nhat</t>
  </si>
  <si>
    <r>
      <rPr>
        <sz val="12"/>
        <color theme="1"/>
        <rFont val="Times New Roman"/>
        <family val="1"/>
      </rPr>
      <t xml:space="preserve">Nguyễn Thị Trang </t>
    </r>
    <r>
      <rPr>
        <sz val="12"/>
        <color rgb="FFFF0000"/>
        <rFont val="Times New Roman"/>
        <family val="1"/>
      </rPr>
      <t>(Combo GT1,2,3 =&gt; Conbo GT1,2 + Toeic1)</t>
    </r>
  </si>
  <si>
    <t>LÊ PHƯƠNG</t>
  </si>
  <si>
    <t>CHƯA XIN</t>
  </si>
  <si>
    <t>Ngõ 54,số nhà 33,phường tây tựu, quận bắc từ liêm ,tp hà nội, Phường Tây Tựu, Quận Bắc Từ Liêm, Hà Nội</t>
  </si>
  <si>
    <t>B530</t>
  </si>
  <si>
    <t>https://www.facebook.com/profile.php?id=100015469035922</t>
  </si>
  <si>
    <r>
      <rPr>
        <sz val="12"/>
        <color theme="1"/>
        <rFont val="Times New Roman"/>
        <family val="1"/>
      </rPr>
      <t>Nguyễn Thuỳ Dương</t>
    </r>
    <r>
      <rPr>
        <sz val="12"/>
        <color rgb="FFFF0000"/>
        <rFont val="Times New Roman"/>
        <family val="1"/>
      </rPr>
      <t xml:space="preserve"> ̣̣̣̣(đổi GTLV3=&gt;Toeic LV1)</t>
    </r>
  </si>
  <si>
    <t>Trà báo Nhài Xếp lớp</t>
  </si>
  <si>
    <t>Ngách 322/76/40 Mỹ Đình 1, Nam Từ Liêm, Hà Nội</t>
  </si>
  <si>
    <t>https://drive.google.com/open?id=1zYoe6moVXN1dDd7rIABghFQdgDku_IIo</t>
  </si>
  <si>
    <t>Trà chat: C ui, bạn này ngày trc đki level 3 nhưng bây giờ muốn chuyển sang toeic 1 (em cho bạn test rồi ạ), c xếp lớp cho bạn vs ạ. Em gửi chị ttin của bạn ạ</t>
  </si>
  <si>
    <t>C ui, bạn này ngày trc đki level 3 nhưng bây giờ muốn chuyển sang toeic 1 (em cho bạn test rồi ạ), c xếp lớp cho bạn vs ạ. Em gửi chị ttin của bạn ạ</t>
  </si>
  <si>
    <t>https://www.facebook.com/Nguyenmanhcuong204</t>
  </si>
  <si>
    <t>Nguyễn Mạnh Cường</t>
  </si>
  <si>
    <t>37 Ngõ 50 Mễ Trì, Nam Từ Liêm, Hà Nội</t>
  </si>
  <si>
    <t>https://drive.google.com/open?id=1kloRko0m7tguCi64C63F5FiVc5t2NAlU</t>
  </si>
  <si>
    <t>T136</t>
  </si>
  <si>
    <t>VIP60 bảo lưu b1 do học yếu ko theo được. Huy báo</t>
  </si>
  <si>
    <t>https://www.facebook.com/profile.php?id=100045324729295</t>
  </si>
  <si>
    <t>Nguyễn Anh Đức</t>
  </si>
  <si>
    <t>Amakhe, Buôn Ma Thuột</t>
  </si>
  <si>
    <t>B438</t>
  </si>
  <si>
    <t>T188</t>
  </si>
  <si>
    <t>https://www.facebook.com/Nghia.viet1203</t>
  </si>
  <si>
    <t xml:space="preserve">Trần Viết Nghĩa </t>
  </si>
  <si>
    <t>Nhài xếp lớp. Phương báo kiểm tra</t>
  </si>
  <si>
    <t>số nhà 387 Lĩnh Nam , Hoàng Mai , Hà Nội</t>
  </si>
  <si>
    <t>https://drive.google.com/open?id=1EWueKdF6OW4f6cdCSn7lErZgQ7f4ieHK; https://drive.google.com/open?id=1Rz1r2vuyb6yuzMY5uLg5xyA4Fh36TiJX</t>
  </si>
  <si>
    <t>https://www.facebook.com/profile.php?id=100085575680283</t>
  </si>
  <si>
    <r>
      <rPr>
        <sz val="12"/>
        <color theme="1"/>
        <rFont val="Times New Roman"/>
        <family val="1"/>
      </rPr>
      <t xml:space="preserve">Phạm Huyền </t>
    </r>
    <r>
      <rPr>
        <sz val="12"/>
        <color rgb="FFFF0000"/>
        <rFont val="Times New Roman"/>
        <family val="1"/>
      </rPr>
      <t>(đổi GT LV3 =&gt;Toeic LV1) Khánh báo</t>
    </r>
  </si>
  <si>
    <t>Khánh báo đổi GTLV3 sang Toeic LV1</t>
  </si>
  <si>
    <t>Số 16, Hẻm 12/16 Ngõ 82 Phố Trần Cung, phường Nghĩa Tân, quận Cầu Giấy, Hà Nội</t>
  </si>
  <si>
    <t>https://drive.google.com/open?id=165k-gb0t7TVRPmTs4B7R9_CuIqgxvLKh</t>
  </si>
  <si>
    <t>Khánh báo: đổi GT LV3 =&gt;Toeic LV1</t>
  </si>
  <si>
    <t xml:space="preserve"> https://www.facebook.com/profile.php?id=100082805363678&amp;mibextid=LQQJ4d</t>
  </si>
  <si>
    <t>Trần Phương Thảo</t>
  </si>
  <si>
    <t>Ngô Đức</t>
  </si>
  <si>
    <t>034304002532</t>
  </si>
  <si>
    <t>Số 26 ngách 1 ngõ 1, Thiên Hiền, Mỹ Đình, Nam Từ Liêm, Hà Nội</t>
  </si>
  <si>
    <t>https://drive.google.com/open?id=1aULROURS4TjtPz03nXZgyVxjBe0aeLKJ</t>
  </si>
  <si>
    <t>Phạm Viết Hải</t>
  </si>
  <si>
    <t>CT12C Kim Văn Kim Lũ Đại Kim Hoàng Mai Hà Nội</t>
  </si>
  <si>
    <t>https://drive.google.com/open?id=1GU9BHHB44zMl3cd_bIVho-VqdOwIDbLQ</t>
  </si>
  <si>
    <t>VIP64</t>
  </si>
  <si>
    <r>
      <rPr>
        <sz val="12"/>
        <color theme="1"/>
        <rFont val="Times New Roman"/>
        <family val="1"/>
      </rPr>
      <t xml:space="preserve">Nguyễn Hồng Ngọc </t>
    </r>
    <r>
      <rPr>
        <sz val="12"/>
        <color rgb="FFFF0000"/>
        <rFont val="Times New Roman"/>
        <family val="1"/>
      </rPr>
      <t>(Đã nộp 300K bảo lưu 16/10/23)
VIP58 học viên báo Đức bảo lưu buổi 2. Học VIP64</t>
    </r>
  </si>
  <si>
    <t>119 tập thể xăng dầu phường đồng nhân hai bà trưng hà nội</t>
  </si>
  <si>
    <t>Đã gửi sách VIP58. Đã nộp 300K bảo lưu 16/10/23)</t>
  </si>
  <si>
    <t>https://www.facebook.com/thithanhnhan.le.750?mibextid=LQQJ4d</t>
  </si>
  <si>
    <t>Lê Thị Thanh Nhạn</t>
  </si>
  <si>
    <t>43d, ngõ 97 Triều Khúc, Thanh Xuân Nam, Thanh Xuân, Hà Nội</t>
  </si>
  <si>
    <t>https://drive.google.com/open?id=1mcHrvYmg_p0IJ8dmqqdVSeWfsG07yf8F</t>
  </si>
  <si>
    <t>T158 =&gt;T159</t>
  </si>
  <si>
    <t>https://www.facebook.com/profile.php?id=100010170812231</t>
  </si>
  <si>
    <r>
      <rPr>
        <sz val="12"/>
        <color theme="1"/>
        <rFont val="Times New Roman"/>
        <family val="1"/>
      </rPr>
      <t>Vũ Thị Diệu Ngọc</t>
    </r>
    <r>
      <rPr>
        <sz val="12"/>
        <color rgb="FFFF0000"/>
        <rFont val="Times New Roman"/>
        <family val="1"/>
      </rPr>
      <t xml:space="preserve"> - thiếu 168K học phí</t>
    </r>
  </si>
  <si>
    <t>Tú</t>
  </si>
  <si>
    <t>Vuthidieungoc03062002@gmail.com</t>
  </si>
  <si>
    <t>Tổ 3, Phúc Lợi, Long Biên, Hà Nội</t>
  </si>
  <si>
    <t>https://drive.google.com/open?id=1WU-fmA7-xgHbJy5WsqZsyIAKSrrKPqCM</t>
  </si>
  <si>
    <t>Ngọc + Hải cọn 2 triệu để học KA16. Hai bạn ko học KA16 nữa. Tú chuyển cho bạn học PT41. Đã gửi sách và áo KA16 ngày 19/05/2022. Tổng trừ 400K tiền sách và áo. HV báo. Đã trả lại bộ sách của người yêu cho sale. Hỏi Tú báo sale làm thất lạc</t>
  </si>
  <si>
    <t>https://www.facebook.com/profile.php?id=100023420285275</t>
  </si>
  <si>
    <r>
      <rPr>
        <sz val="12"/>
        <color theme="1"/>
        <rFont val="Times New Roman"/>
        <family val="1"/>
      </rPr>
      <t xml:space="preserve">Nguyễn Anh Tuấn </t>
    </r>
    <r>
      <rPr>
        <sz val="12"/>
        <color rgb="FFFF0000"/>
        <rFont val="Times New Roman"/>
        <family val="1"/>
      </rPr>
      <t>(P127, GR17)</t>
    </r>
  </si>
  <si>
    <t>Ngõ 161 đường Đan Khê Di trạch Hoài Đức Hà Nội</t>
  </si>
  <si>
    <t>30/10/2022 và 28/11/2022</t>
  </si>
  <si>
    <t>https://drive.google.com/open?id=1GA-7dPYVfoaQ7vIVRs2lWqFTcCE5LjP1; https://drive.google.com/open?id=1gLr4aXog6aFdYoxeX7vKQRqefSuXBgQJ; https://drive.google.com/open?id=1DA3w1jkyL0FxbMXnTofZV1OEwFHqYl7d</t>
  </si>
  <si>
    <t>Combo GT Lv(1+2)+Toeic Lv(1+2). Đã học GT1,2 lớp OFF. T158 =&gt;T159</t>
  </si>
  <si>
    <t>B636</t>
  </si>
  <si>
    <t>https://www.facebook.com/tuantom.sneaker?mibextid=ZbWKwL</t>
  </si>
  <si>
    <t>Cao Văn Tuấn</t>
  </si>
  <si>
    <t>Số 37 ngách 649/77 Lĩnh Nam, Hoàng Mai, Hà Nội</t>
  </si>
  <si>
    <t>https://drive.google.com/open?id=1NE51g0a_muS6O6Echa76gHX7wlmGEoUR</t>
  </si>
  <si>
    <t>XL_Nam</t>
  </si>
  <si>
    <t>https://www.facebook.com/profile.php?id=100013950254935&amp;mibextid=LQQJ4d</t>
  </si>
  <si>
    <r>
      <rPr>
        <sz val="12"/>
        <color theme="1"/>
        <rFont val="Times New Roman"/>
        <family val="1"/>
      </rPr>
      <t xml:space="preserve">Hoàng Văn Chung </t>
    </r>
    <r>
      <rPr>
        <sz val="12"/>
        <color rgb="FFFF0000"/>
        <rFont val="Times New Roman"/>
        <family val="1"/>
      </rPr>
      <t>(Combo GT 1,2,3 +Toeic 1,2 -&gt; Combo GT 1,2 +Toeic Pre +Toeic 1,2)</t>
    </r>
  </si>
  <si>
    <t>Hải Yến báo đổi</t>
  </si>
  <si>
    <t>205/91 xuân đỉnh, bắc từ liêm, Hà nội</t>
  </si>
  <si>
    <t>https://drive.google.com/open?id=1kdwGyWIQ_SKbBwUpC4lJexRvEsLoTSz-</t>
  </si>
  <si>
    <t>Combo GT 1,2,3 +Toeic 1,2 -&gt; Combo GT 1,2 +Toeic Pre +Toeic 1,2. Hải Yến chat đổi</t>
  </si>
  <si>
    <t>VIP170 nghỉ ngang b5. Kiến thức đã học</t>
  </si>
  <si>
    <t>https://www.facebook.com/linhh.thuy.linh.2024</t>
  </si>
  <si>
    <r>
      <rPr>
        <sz val="12"/>
        <color theme="1"/>
        <rFont val="Times New Roman"/>
        <family val="1"/>
      </rPr>
      <t xml:space="preserve">Lưu Thị Thuỳ Linh </t>
    </r>
    <r>
      <rPr>
        <sz val="12"/>
        <color rgb="FFFF0000"/>
        <rFont val="Times New Roman"/>
        <family val="1"/>
      </rPr>
      <t>(Combo GT1,2,3 =&gt; Combo GT 1,2 + Toeic 2)</t>
    </r>
  </si>
  <si>
    <t>Hà Hiền chat đổi</t>
  </si>
  <si>
    <t xml:space="preserve">170 Yên Bình, Yên Phúc, Phúc La, Hà Đông Hà Nội </t>
  </si>
  <si>
    <t>https://drive.google.com/open?id=1I1UWtPFxLOuc_O-ZY7TG2SpUlNl3PlvD</t>
  </si>
  <si>
    <t>Combo GT1,2,3 =&gt; combo GT 1,2 + Toeic 2. đã đóng riêng tiền level 1 toeic thêm ạ. Hà Hiền chat</t>
  </si>
  <si>
    <t>https://www.facebook.com/tramanh.bangtan</t>
  </si>
  <si>
    <r>
      <rPr>
        <sz val="12"/>
        <color theme="1"/>
        <rFont val="Times New Roman"/>
        <family val="1"/>
      </rPr>
      <t>Lê Trâm Anh</t>
    </r>
    <r>
      <rPr>
        <sz val="12"/>
        <color rgb="FFFF0000"/>
        <rFont val="Times New Roman"/>
        <family val="1"/>
      </rPr>
      <t xml:space="preserve"> (Combo GT1,2,3 =&gt; Combo GT2 + Toeic 1,2)</t>
    </r>
  </si>
  <si>
    <t>Chung cư Mipec Riverside, Ngọc Lâm, Long Biên, Hà Nội</t>
  </si>
  <si>
    <t>https://drive.google.com/open?id=1ymIH1hOZeFv3uiB-HfC335j9Zx0630k3</t>
  </si>
  <si>
    <t>L_Nam</t>
  </si>
  <si>
    <t>Combo GT1,2,3 =&gt; Combo GT2 + Toeic 1,2. Hà Hiền báo</t>
  </si>
  <si>
    <t>https://www.facebook.com/profile.php?id=100009326690894</t>
  </si>
  <si>
    <t>Trịnh Văn Hưng</t>
  </si>
  <si>
    <t>Tổ 4 Ngõ 2, Nhà số 4, Đình Quán, Bắc Từ Liêm, Hà Nội</t>
  </si>
  <si>
    <t>https://www.facebook.com/profile.php?id=100074041792490</t>
  </si>
  <si>
    <t>Phạm Thị Hải Yến</t>
  </si>
  <si>
    <t>Ngõ 55, Ngụy Như Kon Tum, Nhân Chính, Thanh Xuân, Hà Nội</t>
  </si>
  <si>
    <t>https://drive.google.com/open?id=1rwUqUs_Uzyqt51Skv0itinwd9lZ1Bpgr</t>
  </si>
  <si>
    <t>https://www.facebook.com/diemquynh.tranthi.374</t>
  </si>
  <si>
    <t>Trần Thị Diễm Quỳnh</t>
  </si>
  <si>
    <t>Combo GT Lv(1+2+3)+ Toeic Lv(1+2)</t>
  </si>
  <si>
    <t>B612</t>
  </si>
  <si>
    <t>https://www.facebook.com/profile.php?id=100067374817245&amp;mibextid=LQQJ4d</t>
  </si>
  <si>
    <t>Đồng Thị Thuý Hường - bạn đăng kí trước đó nên c sửa giúp em mã lớp thành T ạ, điểm test 500</t>
  </si>
  <si>
    <t>số 4, ngõ 101 Đê Tô Hoàng, Cầu Dền, Hai Bà Trưng, Hà Nội</t>
  </si>
  <si>
    <t>Lỗi</t>
  </si>
  <si>
    <t>C133</t>
  </si>
  <si>
    <t>https://www.facebook.com/lanhuong.truongthi.927</t>
  </si>
  <si>
    <t>Trương Thị Lan Hương - bạn đăng kí từ trước nên chị sửa giúp em mã lớp thành T ạ</t>
  </si>
  <si>
    <t>Phúc Xuân (Cầu đá)- Bắc Sơn -Sóc Sơn -Hà Nội</t>
  </si>
  <si>
    <t>https://drive.google.com/open?id=1RCQaEWqK_Jgi3QRPhvHQ4mjr6-b7cEXP</t>
  </si>
  <si>
    <t>https://www.facebook.com/tharo05</t>
  </si>
  <si>
    <t>Lê Thị Thanh Thảo</t>
  </si>
  <si>
    <t>GV Thanh Huyền</t>
  </si>
  <si>
    <t>31 Đình Thôn -Mỹ Đình 1- Nam Từ Liêm-  Hà Nội</t>
  </si>
  <si>
    <t>https://drive.google.com/open?id=1ewXTNrwXe64Xy3ul1DrGGjcfrMrq67Lf</t>
  </si>
  <si>
    <t>Địa chỉ nhận sách: 243 Trích Sài, phường Bưởi, Quận Tây Hồ, Hà Nội</t>
  </si>
  <si>
    <t>https://drive.google.com/open?id=1OQldqbMerL0JHjZGyDk7Y3uZ6l1tkGG7</t>
  </si>
  <si>
    <t>Trần Thị Giang</t>
  </si>
  <si>
    <t>ktx5a, ngõ 167 Tây sơn, Quang Trung, Đống Đa, Hà Nội</t>
  </si>
  <si>
    <t>https://drive.google.com/open?id=1BIj5VmNYatFv_waK2fmglyo7dsasOJvT</t>
  </si>
  <si>
    <t>Lê Thị Nguyệt</t>
  </si>
  <si>
    <t>https://drive.google.com/open?id=1a87aq1pU2FHL7_mE7xUtVNOOwaEPfi67</t>
  </si>
  <si>
    <t>Nguyễn Bích Ngọc</t>
  </si>
  <si>
    <t>khong</t>
  </si>
  <si>
    <t>Chi Hồ - Tân Chi- Tiên Du - Bắc Ninh</t>
  </si>
  <si>
    <t>https://www.facebook.com/NhiQuynh0309</t>
  </si>
  <si>
    <t>Trịnh Thị Quỳnh</t>
  </si>
  <si>
    <t>Số nhà 14 Ngách 62, Ngõ 445 Nguyễn Khang, Yên Hoà, Cầu Giấy, Hà Nội</t>
  </si>
  <si>
    <t>Nguyễn Phương Thảo</t>
  </si>
  <si>
    <t>Thôn Chân Lạc, Xã Dũng Liệt, huyện Yên Phong, tỉnh Bắc Ninh</t>
  </si>
  <si>
    <t xml:space="preserve"> Xóm Giáp Ngói, xã Long Thành, huyện Yên Thành, tỉnh Nghệ An</t>
  </si>
  <si>
    <t>https://www.facebook.com/tang.luu.3979?mibextid=LQQJ4d</t>
  </si>
  <si>
    <t>Lưu Thành Tăng</t>
  </si>
  <si>
    <t>Cổng trường tiểu học Nguyễn Văn Linh, thôn Tử Cầu, xã Giai Phạm, Yên Mỹ, Hưng Yên</t>
  </si>
  <si>
    <t>Trần Vĩnh Khang</t>
  </si>
  <si>
    <t>https://www.facebook.com/lethainghia4</t>
  </si>
  <si>
    <r>
      <rPr>
        <sz val="12"/>
        <color theme="1"/>
        <rFont val="Times New Roman"/>
        <family val="1"/>
      </rPr>
      <t xml:space="preserve">Lê Thái Nghĩa </t>
    </r>
    <r>
      <rPr>
        <sz val="12"/>
        <color rgb="FFFF0000"/>
        <rFont val="Times New Roman"/>
        <family val="1"/>
      </rPr>
      <t xml:space="preserve">(P127, GR17 học OFF) </t>
    </r>
    <r>
      <rPr>
        <sz val="12"/>
        <color theme="1"/>
        <rFont val="Times New Roman"/>
        <family val="1"/>
      </rPr>
      <t>364646248 số cũ</t>
    </r>
  </si>
  <si>
    <t>Đức MeCa</t>
  </si>
  <si>
    <t>22B Ngõ 39, Hồ Tùng Mậu, Mai Dịch, Cầu Giấy, Hà Nội</t>
  </si>
  <si>
    <t>https://drive.google.com/open?id=18y7UzaLHQIUcnto6G2TRiVj28f8VXANm</t>
  </si>
  <si>
    <t>Đức chat xếp lớp cho bạn</t>
  </si>
  <si>
    <t>T165</t>
  </si>
  <si>
    <t>Vũ Nguyệt Ánh</t>
  </si>
  <si>
    <t>Mỹ Huyền xếp lớp</t>
  </si>
  <si>
    <t>Nhà văn hóa đội 10 xã phúc thắng, huyện Nghĩa Hưng, tỉnh Nam Định</t>
  </si>
  <si>
    <t>T173</t>
  </si>
  <si>
    <r>
      <rPr>
        <sz val="12"/>
        <color theme="1"/>
        <rFont val="Times New Roman"/>
        <family val="1"/>
      </rPr>
      <t xml:space="preserve">Cao Thị Thùy Linh
</t>
    </r>
    <r>
      <rPr>
        <sz val="12"/>
        <color rgb="FFFF0000"/>
        <rFont val="Times New Roman"/>
        <family val="1"/>
      </rPr>
      <t>T169 bảo lưu b1 do trùng T2. Quay lại học T173</t>
    </r>
  </si>
  <si>
    <t>Nhài xếp lớp T</t>
  </si>
  <si>
    <t xml:space="preserve">         </t>
  </si>
  <si>
    <t>T169 bảo lưu b1 do trùng T2. Quay lại học T173. Đã nộp 300K ngày 04/10/2023</t>
  </si>
  <si>
    <t>Hải Yến xếp lớp</t>
  </si>
  <si>
    <t>340 trịnh đình trọng quận 4</t>
  </si>
  <si>
    <t>T163</t>
  </si>
  <si>
    <r>
      <rPr>
        <sz val="12"/>
        <color theme="1"/>
        <rFont val="Times New Roman"/>
        <family val="1"/>
      </rPr>
      <t xml:space="preserve"> Huỳnh Thị Thanh Hồng </t>
    </r>
    <r>
      <rPr>
        <sz val="12"/>
        <color rgb="FFFF0000"/>
        <rFont val="Times New Roman"/>
        <family val="1"/>
      </rPr>
      <t>(Cần hợp đồng) - 16/9 gửi</t>
    </r>
  </si>
  <si>
    <t>Huyền Toeic xếp lớp</t>
  </si>
  <si>
    <t xml:space="preserve"> ktx học viện chính sách và phát triển, Khu đô thị Nam An Khánh - Hoài Đức - Hà Nội</t>
  </si>
  <si>
    <t>16/9 HV ra HN thì gửi sách</t>
  </si>
  <si>
    <t>T186</t>
  </si>
  <si>
    <t>26/36/10 Cầu Diễn, 10 ngách 26/36 Cầu Diễn, Từ Liêm, Hà Nội</t>
  </si>
  <si>
    <t>T164 =&gt; Chờ lớp</t>
  </si>
  <si>
    <t>Tòng Thiên Vân</t>
  </si>
  <si>
    <t>Yến xếp lớp</t>
  </si>
  <si>
    <t>Ký túc xá ĐH GTVT , số 99 nguyễn chí thanh , láng hạ , đống đa , hà nội</t>
  </si>
  <si>
    <r>
      <rPr>
        <sz val="12"/>
        <color theme="1"/>
        <rFont val="Times New Roman"/>
        <family val="1"/>
      </rPr>
      <t>Đoàn Thị Hồng Tâm</t>
    </r>
    <r>
      <rPr>
        <sz val="12"/>
        <color rgb="FFFF0000"/>
        <rFont val="Times New Roman"/>
        <family val="1"/>
      </rPr>
      <t xml:space="preserve"> - số zalo 0919530686</t>
    </r>
  </si>
  <si>
    <t>https://www.facebook.com/profile.php?id=100034730831462&amp;mibextid=LQQJ4d</t>
  </si>
  <si>
    <t>T167</t>
  </si>
  <si>
    <t>https://www.facebook.com/bxmai09</t>
  </si>
  <si>
    <r>
      <rPr>
        <sz val="12"/>
        <color theme="1"/>
        <rFont val="Times New Roman"/>
        <family val="1"/>
      </rPr>
      <t xml:space="preserve">Bùi Xuân Mai </t>
    </r>
    <r>
      <rPr>
        <sz val="12"/>
        <color rgb="FFFF0000"/>
        <rFont val="Times New Roman"/>
        <family val="1"/>
      </rPr>
      <t>(Đổi GT LV3 =&gt; Toeic LV1)
Học P125, GR16- Ngô Đức báo đổi</t>
    </r>
  </si>
  <si>
    <t>Ngô Đức xếp lớp</t>
  </si>
  <si>
    <t>Nhà số 7 ngõ 94 hồ tùng mậu cầu giấy Hà Nội</t>
  </si>
  <si>
    <t>https://drive.google.com/open?id=1hLd8RgcYNad793H-YVt9LTJd6cOKT662</t>
  </si>
  <si>
    <t>Trả lương T10,2022</t>
  </si>
  <si>
    <t>M_Nữ</t>
  </si>
  <si>
    <r>
      <rPr>
        <sz val="12"/>
        <color theme="1"/>
        <rFont val="Times New Roman"/>
        <family val="1"/>
      </rPr>
      <t xml:space="preserve">Nguyễn Quang Hưng </t>
    </r>
    <r>
      <rPr>
        <sz val="12"/>
        <color rgb="FFFF0000"/>
        <rFont val="Times New Roman"/>
        <family val="1"/>
      </rPr>
      <t>- Đã nộp 300K 08/11/23</t>
    </r>
    <r>
      <rPr>
        <sz val="12"/>
        <color theme="1"/>
        <rFont val="Times New Roman"/>
        <family val="1"/>
      </rPr>
      <t xml:space="preserve">
</t>
    </r>
    <r>
      <rPr>
        <sz val="12"/>
        <color rgb="FFFF0000"/>
        <rFont val="Times New Roman"/>
        <family val="1"/>
      </rPr>
      <t>T168 bảo lưu b6 đi quân sự. Quay lại học T175</t>
    </r>
  </si>
  <si>
    <t>HV đk vào lớp</t>
  </si>
  <si>
    <t>47 ngách 15/18 ngõ gốc đề , hoàng mai , hà nội</t>
  </si>
  <si>
    <t>T168 bảo lưu b6 đi quân sự. Quay lại học T175</t>
  </si>
  <si>
    <t>Nguyễn Quỳnh Anh</t>
  </si>
  <si>
    <t>78 võ chí công,nghĩa đô, cầu giấy, Hà Nội</t>
  </si>
  <si>
    <t>T182</t>
  </si>
  <si>
    <t>Nguyễn Thị Luyện</t>
  </si>
  <si>
    <t>Số nhà 24/152, Nguyễn Hữu cảnh, phường An Tây, TP huế</t>
  </si>
  <si>
    <t>T168 =&gt; Chờ lớp. Yếu ko học được. Huy báo</t>
  </si>
  <si>
    <t>71 võ chí công,nghĩa đô, cầu giấy, Hà Nội</t>
  </si>
  <si>
    <t>Đỗ Thị Thanh Thủy</t>
  </si>
  <si>
    <t>T169</t>
  </si>
  <si>
    <r>
      <rPr>
        <sz val="12"/>
        <color theme="1"/>
        <rFont val="Times New Roman"/>
        <family val="1"/>
      </rPr>
      <t xml:space="preserve">Nguyễn Văn Huy </t>
    </r>
    <r>
      <rPr>
        <sz val="12"/>
        <color rgb="FFFF0000"/>
        <rFont val="Times New Roman"/>
        <family val="1"/>
      </rPr>
      <t>0849379213 sđt cũ</t>
    </r>
  </si>
  <si>
    <t xml:space="preserve">Cơ sở 3,Đại Học Công Nghiệp Hà Nội, Phù Vân, Phủ Lý, Hà Nam
</t>
  </si>
  <si>
    <t>T170</t>
  </si>
  <si>
    <t>Ngõ 331 Nguyễn Khang, Yên Hoà, Cầu Giấy, Hà Nội</t>
  </si>
  <si>
    <t>T172</t>
  </si>
  <si>
    <t>https://www.facebook.com/profile.php?id=100050905101698</t>
  </si>
  <si>
    <r>
      <rPr>
        <sz val="12"/>
        <color theme="1"/>
        <rFont val="Times New Roman"/>
        <family val="1"/>
      </rPr>
      <t xml:space="preserve">Nguyễn Văn Tú </t>
    </r>
    <r>
      <rPr>
        <sz val="12"/>
        <color rgb="FFFF0000"/>
        <rFont val="Times New Roman"/>
        <family val="1"/>
      </rPr>
      <t>(Combo GT +Toeic)</t>
    </r>
  </si>
  <si>
    <t>Nhài xếp lớp khi HV chat</t>
  </si>
  <si>
    <t>Đối diện 234 trường trung học phổ thông Hoàng Văn Thụ, Lĩnh Nam, Hoàng Mai, Hà Nội</t>
  </si>
  <si>
    <t>https://drive.google.com/open?id=1m7xd5uEcgql_v9jbWhPne9yBDchLzhQq</t>
  </si>
  <si>
    <t>Trả lương T3</t>
  </si>
  <si>
    <t>M_Nam</t>
  </si>
  <si>
    <t>T197</t>
  </si>
  <si>
    <r>
      <rPr>
        <sz val="12"/>
        <color theme="1"/>
        <rFont val="Times New Roman"/>
        <family val="1"/>
      </rPr>
      <t xml:space="preserve">Ngô Thị Thanh Thu </t>
    </r>
    <r>
      <rPr>
        <sz val="12"/>
        <color rgb="FFFF0000"/>
        <rFont val="Times New Roman"/>
        <family val="1"/>
      </rPr>
      <t>- Đã nộp 300K 08/04/2024
T174 bảo lưu b16 đi quân sự. Quay lại T197 b15</t>
    </r>
  </si>
  <si>
    <t>T198 vào học 1 buổi do trùng giờ</t>
  </si>
  <si>
    <r>
      <rPr>
        <sz val="12"/>
        <color theme="1"/>
        <rFont val="Times New Roman"/>
        <family val="1"/>
      </rPr>
      <t xml:space="preserve">Phạm Toàn Đô </t>
    </r>
    <r>
      <rPr>
        <sz val="12"/>
        <color rgb="FFFF0000"/>
        <rFont val="Times New Roman"/>
        <family val="1"/>
      </rPr>
      <t>- Đã nộp 300K 25/03/24
T174 đi quân sự bảo lưu b15. Quay lại học T198 b11</t>
    </r>
  </si>
  <si>
    <t>Quán bilards 84 - Thôn 1 - xã Phù Vân - Phủ Lý - Hà Nam</t>
  </si>
  <si>
    <t>Trịnh Công Thắng</t>
  </si>
  <si>
    <t>T194</t>
  </si>
  <si>
    <r>
      <rPr>
        <sz val="12"/>
        <color theme="1"/>
        <rFont val="Times New Roman"/>
        <family val="1"/>
      </rPr>
      <t xml:space="preserve">Dương Thị Trinh </t>
    </r>
    <r>
      <rPr>
        <sz val="12"/>
        <color rgb="FFFF0000"/>
        <rFont val="Times New Roman"/>
        <family val="1"/>
      </rPr>
      <t>0588626333 - Đã nộp 300K 04/03/24
T177 bảo lưu b10 do hay đau đầu, ko cân bằng đc việc học. Quay lại T194 buổi 11</t>
    </r>
  </si>
  <si>
    <t>36 đào nguyên a, trâu quỳ, gia lâm,hà nội</t>
  </si>
  <si>
    <t>T173 =&gt;T177</t>
  </si>
  <si>
    <t>https://www.facebook.com/profile.php?id=100024367782945&amp;mibextid=LQQJ4d</t>
  </si>
  <si>
    <r>
      <rPr>
        <sz val="12"/>
        <color theme="1"/>
        <rFont val="Times New Roman"/>
        <family val="1"/>
      </rPr>
      <t xml:space="preserve">Nguyễn Thuỳ Linh Chi </t>
    </r>
    <r>
      <rPr>
        <sz val="12"/>
        <color rgb="FFFF0000"/>
        <rFont val="Times New Roman"/>
        <family val="1"/>
      </rPr>
      <t>(Phiếu thu)
Chuyển nhượng Toeic 2 --&gt; Trịnh Quốc Triệu 0865489236</t>
    </r>
  </si>
  <si>
    <t>cheese10t11@gmail.com</t>
  </si>
  <si>
    <t>Minh Thành 1-Xuân Bái-Thọ Xuân-Thanh Hoá</t>
  </si>
  <si>
    <t>https://drive.google.com/open?id=17-V6Ar6sorwkWEY7F7iNBVvDsc6as5Pv; https://drive.google.com/open?id=1baze70mC68jOD1MHzAZLRyYoMHp9TcV7</t>
  </si>
  <si>
    <t>Trả lương T09.2023</t>
  </si>
  <si>
    <t>Đức chat bạn hạ Combo</t>
  </si>
  <si>
    <t>https://www.facebook.com/nguyenhanh.nguyenthi.902?mibextid=LQQJ4d</t>
  </si>
  <si>
    <r>
      <rPr>
        <sz val="12"/>
        <color theme="1"/>
        <rFont val="Times New Roman"/>
        <family val="1"/>
      </rPr>
      <t xml:space="preserve">Nguyễn Thị Nguyên Hạnh </t>
    </r>
    <r>
      <rPr>
        <sz val="12"/>
        <color rgb="FFFF0000"/>
        <rFont val="Times New Roman"/>
        <family val="1"/>
      </rPr>
      <t>(Phiếu thu)</t>
    </r>
  </si>
  <si>
    <t>nguyenthinguyenhanh12d1@gmail.com</t>
  </si>
  <si>
    <t>Xóm 4, xã Phúc Sơn, huyện Anh Sơn, tính Nghệ An</t>
  </si>
  <si>
    <t>https://drive.google.com/open?id=1JLJiLGpOVuOKEMhW6SyVQEQ6-Om-e-jD; https://drive.google.com/open?id=1c-G258oS5xiY13BDiGOj_gkoaZ0cI4zg</t>
  </si>
  <si>
    <t>Đức báo xuống level</t>
  </si>
  <si>
    <t>https://www.facebook.com/nguyenmy5505</t>
  </si>
  <si>
    <r>
      <rPr>
        <sz val="12"/>
        <color theme="1"/>
        <rFont val="Times New Roman"/>
        <family val="1"/>
      </rPr>
      <t xml:space="preserve">Nguyễn Thị Ngọc Mỹ </t>
    </r>
    <r>
      <rPr>
        <sz val="12"/>
        <color rgb="FFFF0000"/>
        <rFont val="Times New Roman"/>
        <family val="1"/>
      </rPr>
      <t>(Phiếu thu)</t>
    </r>
  </si>
  <si>
    <t>Tuyết</t>
  </si>
  <si>
    <t xml:space="preserve"> myngocst5505@gmail.com</t>
  </si>
  <si>
    <t>123A đường Võ Văn Kiệt, Khóm 1, Phường 7, Thành phố Sóc Trăng, tỉnh Sóc Trăng</t>
  </si>
  <si>
    <t>https://drive.google.com/open?id=1G8PBF9n3ui9IMAmlG_sycKxfKX2f_Uy0; https://drive.google.com/open?id=1nVcRn_PkM-muwWdbN9BQblJYvI5D0Zaz</t>
  </si>
  <si>
    <t>PT36 nghỉ ngang buổi  6 vì mẹ bắt học chỗ khác</t>
  </si>
  <si>
    <t>https://www.facebook.com/profile.php?id=100031028783353&amp;mibextid=LQQJ4d</t>
  </si>
  <si>
    <r>
      <rPr>
        <sz val="12"/>
        <color theme="1"/>
        <rFont val="Times New Roman"/>
        <family val="1"/>
      </rPr>
      <t xml:space="preserve">Hà Mạnh Cường </t>
    </r>
    <r>
      <rPr>
        <sz val="12"/>
        <color rgb="FFFF0000"/>
        <rFont val="Times New Roman"/>
        <family val="1"/>
      </rPr>
      <t>(Phiếu thu)</t>
    </r>
  </si>
  <si>
    <t xml:space="preserve">ch có </t>
  </si>
  <si>
    <t>Số 47, Ngõ 178, Tây Sơn, Trung Liệt, Đống Đa, Hà Nội</t>
  </si>
  <si>
    <t>https://drive.google.com/open?id=1NwYQkmt9a15zzX1ZJ0SntB4ljH_Uw6YC</t>
  </si>
  <si>
    <t>Combo Pre_Toeic + Toeic Lv(1+2) + Toeic (S + W) + tặng 02 khóa ôn thi.</t>
  </si>
  <si>
    <t>https://www.facebook.com/gnahuv?mibextid=LQQJ4d</t>
  </si>
  <si>
    <r>
      <rPr>
        <sz val="12"/>
        <color theme="1"/>
        <rFont val="Times New Roman"/>
        <family val="1"/>
      </rPr>
      <t xml:space="preserve">Vũ Thị Hằng </t>
    </r>
    <r>
      <rPr>
        <sz val="12"/>
        <color rgb="FFFF0000"/>
        <rFont val="Times New Roman"/>
        <family val="1"/>
      </rPr>
      <t>(Phiếu thu)</t>
    </r>
  </si>
  <si>
    <t xml:space="preserve">Huy </t>
  </si>
  <si>
    <t xml:space="preserve"> 117, tổ 4 phường Hoà Chung, Thành phố Cao Bằng, Cao Bằng</t>
  </si>
  <si>
    <t>https://drive.google.com/open?id=1Et8PNAJXFue_CSPwFpvC_kCVXrn2bIRa; https://drive.google.com/open?id=12whPKUk2_lLN_KRrDhKxYmG_bZS8nevr</t>
  </si>
  <si>
    <t>https://www.facebook.com/phuchieu.ho.56?mibextid=LQQJ4d</t>
  </si>
  <si>
    <r>
      <rPr>
        <sz val="12"/>
        <color theme="1"/>
        <rFont val="Times New Roman"/>
        <family val="1"/>
      </rPr>
      <t xml:space="preserve">Hồ Phúc Hiếu </t>
    </r>
    <r>
      <rPr>
        <sz val="12"/>
        <color rgb="FFFF0000"/>
        <rFont val="Times New Roman"/>
        <family val="1"/>
      </rPr>
      <t>(Phiếu thu)</t>
    </r>
  </si>
  <si>
    <t>hophuchieu94@gmail.com</t>
  </si>
  <si>
    <t>36 Nguyễn Du- thị trấn Phước An- huyện Krong Păk- tỉnh Đăk Lăk</t>
  </si>
  <si>
    <t>https://drive.google.com/open?id=1hQqUImboF4kmXSOHE3Sk17z_0Zm17xts; https://drive.google.com/open?id=13wYBYIEq3kxiVVcFNmfUApkizi2TcoKI</t>
  </si>
  <si>
    <t>https://www.facebook.com/profile.php?id=100072241211958&amp;mibextid=LQQJ4d</t>
  </si>
  <si>
    <r>
      <rPr>
        <sz val="12"/>
        <color theme="1"/>
        <rFont val="Times New Roman"/>
        <family val="1"/>
      </rPr>
      <t xml:space="preserve">Nguyễn Đỗ Lâm Quỳnh </t>
    </r>
    <r>
      <rPr>
        <sz val="12"/>
        <color rgb="FFFF0000"/>
        <rFont val="Times New Roman"/>
        <family val="1"/>
      </rPr>
      <t>(Phiếu thu)</t>
    </r>
  </si>
  <si>
    <t>61 Ngô Gia Tự, phường Đồng Tâm Thành Phố Yên Bái tỉnh Yên Bái</t>
  </si>
  <si>
    <t>https://drive.google.com/open?id=14yo76S_JV016isLo1oxOMIJs_ykwoEvc; https://drive.google.com/open?id=1Mpz1gBZeqLlJaHvuKtGaE6YR81plqZe9</t>
  </si>
  <si>
    <t>https://www.facebook.com/profile.php?id=100042160840444&amp;mibextid=LQQJ4d</t>
  </si>
  <si>
    <r>
      <rPr>
        <sz val="12"/>
        <color theme="1"/>
        <rFont val="Times New Roman"/>
        <family val="1"/>
      </rPr>
      <t xml:space="preserve">Bùi Thị Dung </t>
    </r>
    <r>
      <rPr>
        <sz val="12"/>
        <color rgb="FFFF0000"/>
        <rFont val="Times New Roman"/>
        <family val="1"/>
      </rPr>
      <t>(Phiếu thu)</t>
    </r>
  </si>
  <si>
    <t xml:space="preserve"> Bản Vóng- xã Kì Phú- huyện Nho Quan- tỉnh Ninh Bình</t>
  </si>
  <si>
    <t>18/08/2023 và 12/09/2023</t>
  </si>
  <si>
    <t>https://drive.google.com/open?id=1emg7i73UN5SX2p60yALE3WVIOJjfahEq; https://drive.google.com/open?id=1TRkm1A-HWg4JiGaHCfAr47TSv9RIM6H8; https://drive.google.com/open?id=1KEKtLmdKhF9sx-pF2LJ23-YhK_g2TYuW</t>
  </si>
  <si>
    <t>https://www.facebook.com/traungao.266</t>
  </si>
  <si>
    <r>
      <rPr>
        <sz val="12"/>
        <color theme="1"/>
        <rFont val="Times New Roman"/>
        <family val="1"/>
      </rPr>
      <t xml:space="preserve">Đinh Thị Kiều Trang </t>
    </r>
    <r>
      <rPr>
        <sz val="12"/>
        <color rgb="FFFF0000"/>
        <rFont val="Times New Roman"/>
        <family val="1"/>
      </rPr>
      <t>(Phiếu thu)</t>
    </r>
  </si>
  <si>
    <t>dinhkieutrang2005@gmail.com</t>
  </si>
  <si>
    <t>Thôn Phú An, xã Khánh Phú, huyện Yên Khánh, tỉnh Ninh Bình</t>
  </si>
  <si>
    <t>https://drive.google.com/open?id=1BFsjaeSOIq3yevlK-AxuADXeEbMIhyr6; https://drive.google.com/open?id=1rZXGqfDlXkjhZKGAw1xPIR2cswi8SA3X, https://drive.google.com/open?id=1ZdABJjSSOhmB9SoE1-krI2m5dSI9WwlS</t>
  </si>
  <si>
    <t>https://www.facebook.com/hailinh.2504?mibextid=ZbWKwL</t>
  </si>
  <si>
    <t>Bùi Thị Hải Linh</t>
  </si>
  <si>
    <t>Hailinh732837@gmail.com</t>
  </si>
  <si>
    <t>xóm 9, Yên Lộc, Kim Sơn, Ninh Bình</t>
  </si>
  <si>
    <t>https://drive.google.com/open?id=1brPBZwa-7MgwKAUlVW3fnks3As79RPqH; https://drive.google.com/open?id=19fHtHp7SAYYrrOQsHLMw4uaVoO4V2ht3</t>
  </si>
  <si>
    <t>https://www.facebook.com/profile.php?id=100024428884733&amp;mibextid=ZbWKwL</t>
  </si>
  <si>
    <r>
      <rPr>
        <sz val="12"/>
        <color theme="1"/>
        <rFont val="Times New Roman"/>
        <family val="1"/>
      </rPr>
      <t xml:space="preserve">Nguyễn Thị Ngọc Ánh </t>
    </r>
    <r>
      <rPr>
        <sz val="12"/>
        <color rgb="FFFF0000"/>
        <rFont val="Times New Roman"/>
        <family val="1"/>
      </rPr>
      <t>(Phiếu thu)</t>
    </r>
  </si>
  <si>
    <t>Nguyenthingocanh04hd@gmail.com</t>
  </si>
  <si>
    <t xml:space="preserve">Nhà 1 ngõ 84, Xuân Phương, Phương Canh, Nam Tử Liêm, Hà Nội </t>
  </si>
  <si>
    <t>https://drive.google.com/open?id=18XbTZvozeajO7l4mo8qWIf_m0J1h-Oot; https://drive.google.com/open?id=1c-G258oS5xiY13BDiGOj_gkoaZ0cI4zg</t>
  </si>
  <si>
    <t>https://www.facebook.com/profile.php?id=100084063604065&amp;mibextid=LQQJ4d</t>
  </si>
  <si>
    <r>
      <rPr>
        <sz val="12"/>
        <color theme="1"/>
        <rFont val="Times New Roman"/>
        <family val="1"/>
      </rPr>
      <t xml:space="preserve">Đặng Phương Anh </t>
    </r>
    <r>
      <rPr>
        <sz val="12"/>
        <color rgb="FFFF0000"/>
        <rFont val="Times New Roman"/>
        <family val="1"/>
      </rPr>
      <t>(Phiếu thu)</t>
    </r>
  </si>
  <si>
    <t>dangphuonganh28812@gamil.com</t>
  </si>
  <si>
    <t>Tổ 17- phường Đồng Mai- Quận Hà Đông- tp. Hà Nội</t>
  </si>
  <si>
    <t>https://drive.google.com/open?id=11fARCe61bukQLU23P5S8g-06Cy0ChAeO</t>
  </si>
  <si>
    <t>Đức báo Cobom xuống PT</t>
  </si>
  <si>
    <t>https://www.facebook.com/profile.php?id=100080484740584&amp;mibextid=ZbWKwL</t>
  </si>
  <si>
    <r>
      <rPr>
        <sz val="12"/>
        <color theme="1"/>
        <rFont val="Times New Roman"/>
        <family val="1"/>
      </rPr>
      <t xml:space="preserve">Phạm Minh Hoàng </t>
    </r>
    <r>
      <rPr>
        <sz val="12"/>
        <color rgb="FFFF0000"/>
        <rFont val="Times New Roman"/>
        <family val="1"/>
      </rPr>
      <t>(Cần hợp đồng)</t>
    </r>
  </si>
  <si>
    <t>hp613700@gmail.com</t>
  </si>
  <si>
    <t>Khu 10, thị trấn Thanh Ba, huyện Thanh Ba, tỉnh Phú Thọ</t>
  </si>
  <si>
    <t>https://drive.google.com/open?id=1f69i0EalXTP8ZmQlfc78obczBCRN038X</t>
  </si>
  <si>
    <t>PT40=&gt;Chờ lớp. Đức báo Cobom xuống PT</t>
  </si>
  <si>
    <t>https://www.facebook.com/profile.php?id=100073650213923</t>
  </si>
  <si>
    <r>
      <rPr>
        <sz val="12"/>
        <color theme="1"/>
        <rFont val="Times New Roman"/>
        <family val="1"/>
      </rPr>
      <t>Phạm Minh Hoàng</t>
    </r>
    <r>
      <rPr>
        <sz val="12"/>
        <color rgb="FFFF0000"/>
        <rFont val="Times New Roman"/>
        <family val="1"/>
      </rPr>
      <t xml:space="preserve"> (có 2 sđt: 0389097317)</t>
    </r>
  </si>
  <si>
    <t>hoang17062004@gmail.com</t>
  </si>
  <si>
    <t>Ngõ 324/33 Phương Canh, phường Phương Canh, Nam Từ Liêm, Hà Nội</t>
  </si>
  <si>
    <t>https://drive.google.com/open?id=1X8vh-zY0F0v7ZKbyvIk0_3VhQhCQBv1f; https://drive.google.com/open?id=1L76yqoCKDQ_gDR_BT8sPRO5Hs9Jwa79r</t>
  </si>
  <si>
    <t>&gt;350+</t>
  </si>
  <si>
    <t>https://www.facebook.com/profile.php?id=100047604945035</t>
  </si>
  <si>
    <t>Nguyễn Hùng Dũng</t>
  </si>
  <si>
    <t>hugdug233@gmail.com</t>
  </si>
  <si>
    <t>Ngõ 324/33 phương canh, phường phương canh, nam từ liêm</t>
  </si>
  <si>
    <t>https://drive.google.com/open?id=1zF5-Ac8slG4YT-tCK7WorVlMK6kL1Zok; https://drive.google.com/open?id=1YKt5CXAmDw9vtCdOla5qH7aw0jdunbjL</t>
  </si>
  <si>
    <t>https://www.facebook.com/hao.ki.39395</t>
  </si>
  <si>
    <t>Trần Khả Hào</t>
  </si>
  <si>
    <t>trankhahao2308@gmail.com</t>
  </si>
  <si>
    <t>:Ngõ 324/33 phương canh, phường phương canh, nam từ liêm</t>
  </si>
  <si>
    <t>https://drive.google.com/open?id=1wBVHRxfD3OC8ti1ID-8EpWcUosYJxETG; https://drive.google.com/open?id=1SGeidN77OV9myur-nBeb33SsXZZEpIE5</t>
  </si>
  <si>
    <t>https://www.facebook.com/cuong.truongngoc.144?mibextid=LQQJ4d</t>
  </si>
  <si>
    <t>Trương Ngọc Cường</t>
  </si>
  <si>
    <t>cuongtruongngoc14@gmail.com</t>
  </si>
  <si>
    <t xml:space="preserve">56 Ngõ 134 đường Cầu Diễn, Bắc Từ Liêm, Hà Nội </t>
  </si>
  <si>
    <t>https://drive.google.com/open?id=1BlKy29Qv2F7dTDJjXAB5cWLyvatbc2uI; https://drive.google.com/open?id=14fmNSOnzjbxA2vVo79xv2tkKkxgRe9WP</t>
  </si>
  <si>
    <t>Đã nhận tại VP hôm ký HĐ. HV báo lại</t>
  </si>
  <si>
    <t>https://www.facebook.com/thuminhdao123?mibextid=D4KYlr</t>
  </si>
  <si>
    <r>
      <rPr>
        <sz val="12"/>
        <color theme="1"/>
        <rFont val="Times New Roman"/>
        <family val="1"/>
      </rPr>
      <t xml:space="preserve">Đào Thị Minh Thư </t>
    </r>
    <r>
      <rPr>
        <sz val="12"/>
        <color rgb="FFFF0000"/>
        <rFont val="Times New Roman"/>
        <family val="1"/>
      </rPr>
      <t>(Cần hợp đồng)</t>
    </r>
  </si>
  <si>
    <t>dtmt04102005@gmail.com</t>
  </si>
  <si>
    <t xml:space="preserve"> Đội 2, Thủy Thành, xã Giao Châu, huyện Giao Thủy, tỉnh Nam Định</t>
  </si>
  <si>
    <t>https://drive.google.com/open?id=1bPwQszAIKbNrgXnLJXmA1gKCwhSO2tT7; https://drive.google.com/open?id=13lkzj29UzPMdwdOFKiUG8OUygWnuQR-S, https://drive.google.com/open?id=1OAl0iITIKFmrLl_OnLlC1ixDf05E_9Qr</t>
  </si>
  <si>
    <t>https://www.facebook.com/profile.php?id=100073792536605&amp;mibextid=LQQJ4d</t>
  </si>
  <si>
    <r>
      <rPr>
        <sz val="12"/>
        <color theme="1"/>
        <rFont val="Times New Roman"/>
        <family val="1"/>
      </rPr>
      <t xml:space="preserve">Chu Ngọc Minh </t>
    </r>
    <r>
      <rPr>
        <sz val="12"/>
        <color rgb="FFFF0000"/>
        <rFont val="Times New Roman"/>
        <family val="1"/>
      </rPr>
      <t>(Cần hợp đồng)</t>
    </r>
  </si>
  <si>
    <t>minhchungoc2005yb@gmail.com</t>
  </si>
  <si>
    <t xml:space="preserve">Số nhà 739, đường Yên Ninh, tp Yên Bái, Yên Bái </t>
  </si>
  <si>
    <t>https://drive.google.com/open?id=1s0LegELKgVgVF2uG5-HSeOHJ3Na94YHm; https://drive.google.com/open?id=1airwrB6xjQ1FQvmUoXKCfwjlmJIq3Fy3</t>
  </si>
  <si>
    <t>https://www.facebook.com/phongnee.050?mibextid=LQQJ4d</t>
  </si>
  <si>
    <r>
      <rPr>
        <sz val="12"/>
        <color theme="1"/>
        <rFont val="Times New Roman"/>
        <family val="1"/>
      </rPr>
      <t xml:space="preserve">Lê Hồng Phong </t>
    </r>
    <r>
      <rPr>
        <sz val="12"/>
        <color rgb="FFFF0000"/>
        <rFont val="Times New Roman"/>
        <family val="1"/>
      </rPr>
      <t>(Cần hợp đồng)</t>
    </r>
  </si>
  <si>
    <t>Thôn Tân Yên, xã Hồng Thái Đông, thị xã Đông Triều, tỉnh Quảng Ninh</t>
  </si>
  <si>
    <t>https://drive.google.com/open?id=1-QMJH8DsHcVujJXwJvEFf2hd1gj7AZYN</t>
  </si>
  <si>
    <t>Yến chat hạ Combo</t>
  </si>
  <si>
    <t>KHông</t>
  </si>
  <si>
    <t>https://www.facebook.com/profile.php?id=100021829232455</t>
  </si>
  <si>
    <t xml:space="preserve">Nguyễn Quỳnh Hương </t>
  </si>
  <si>
    <t>Thôn Do hạ - Tiền Phong - Mê Linh - Hà Nội</t>
  </si>
  <si>
    <t>25/08/2023 và 24/09/2023</t>
  </si>
  <si>
    <t>https://drive.google.com/open?id=1DLm6oZ1ErjzONcdtKkF6pPXAovhftQba, https://drive.google.com/open?id=1tZonzTWe8RbZrVo8knZLA5QbhVETZ8Po; https://drive.google.com/open?id=1uOyDqlmhxdK26QxekG4vBMQjxbH-31Et</t>
  </si>
  <si>
    <t>https://www.facebook.com/tinh.cuc.1426?mibextid=LQQJ4d</t>
  </si>
  <si>
    <t>Lê Thị Huyền Mai</t>
  </si>
  <si>
    <t>lehuyenmai04@gmail.com</t>
  </si>
  <si>
    <t>:bưu điện thành minh-thạch thành-thanh hoá</t>
  </si>
  <si>
    <t>https://drive.google.com/open?id=1a3GSOgqWilhCBpkfpoflNea3gFE6GW3C; https://drive.google.com/open?id=177yCsIbNWjXe33TDQN8Y6HBTRz3sTkKo</t>
  </si>
  <si>
    <t>https://www.facebook.com/tue.do.1485</t>
  </si>
  <si>
    <t>Nguyễn Ngọc Đoàn</t>
  </si>
  <si>
    <t>xóm 2  thôn ngoại , xã tham thuấn huyện phúc thọ hà nội</t>
  </si>
  <si>
    <t>https://drive.google.com/open?id=1lrRgdRXGJH8eAXJwIkPy6jx8yHwPG55x; https://drive.google.com/open?id=1Lyc5SAApFzlsSzL3aOjzpq_b_Pdy0hd4</t>
  </si>
  <si>
    <t>https://www.facebook.com/hoan.ga.3591267?mibextid=ZbWKwL</t>
  </si>
  <si>
    <r>
      <rPr>
        <sz val="12"/>
        <color theme="1"/>
        <rFont val="Times New Roman"/>
        <family val="1"/>
      </rPr>
      <t xml:space="preserve">Nguyễn Khánh Hoàn </t>
    </r>
    <r>
      <rPr>
        <sz val="12"/>
        <color rgb="FFFF0000"/>
        <rFont val="Times New Roman"/>
        <family val="1"/>
      </rPr>
      <t>(Cần hợp đồng)</t>
    </r>
  </si>
  <si>
    <t>hoandj2005@gmail.com</t>
  </si>
  <si>
    <t>Nhà số 5 ngõ 24 , Tân Thành, Đồng Kỵ, Từ Sơn, Bắc Ninh</t>
  </si>
  <si>
    <t>https://drive.google.com/open?id=1SJm72Vx7mb_bTZApMmivztf6PanAKXYt; https://drive.google.com/open?id=1b1htIWnBgqJ1svs1PnQHa8KFWj7YOR7j</t>
  </si>
  <si>
    <t>OPT4</t>
  </si>
  <si>
    <t>https://www.facebook.com/ienn2408</t>
  </si>
  <si>
    <r>
      <rPr>
        <sz val="12"/>
        <color theme="1"/>
        <rFont val="Times New Roman"/>
        <family val="1"/>
      </rPr>
      <t>Đỗ Hải Yến</t>
    </r>
    <r>
      <rPr>
        <sz val="12"/>
        <color rgb="FFFF0000"/>
        <rFont val="Times New Roman"/>
        <family val="1"/>
      </rPr>
      <t xml:space="preserve"> (OPT2 =&gt;OPT4)</t>
    </r>
  </si>
  <si>
    <t>dohaiyen240805@gmail.com</t>
  </si>
  <si>
    <t>Cẩm Thịnh, Cẩm Phả, Quảng Ninh</t>
  </si>
  <si>
    <t>https://drive.google.com/open?id=1WrYtp9Qov2dUWXdkkZf4RovX8ROT8iB1; https://drive.google.com/open?id=1FxDFqPt9xf_XJn18nZq4EnHv7lBE2PSr</t>
  </si>
  <si>
    <t>Đức chat hạ Combo. HV nhất quyết ko muốn nộp 300K chuyển lớp. Đã hỏi Mai chuyển miễn phí vào lớp có HV thiếu- bảo lưu đi quân sự</t>
  </si>
  <si>
    <t>https://www.facebook.com/genoussss?mibextid=LQQJ4d</t>
  </si>
  <si>
    <r>
      <rPr>
        <sz val="12"/>
        <color theme="1"/>
        <rFont val="Times New Roman"/>
        <family val="1"/>
      </rPr>
      <t xml:space="preserve">Nguyễn Thị Thắm </t>
    </r>
    <r>
      <rPr>
        <sz val="12"/>
        <color rgb="FFFF0000"/>
        <rFont val="Times New Roman"/>
        <family val="1"/>
      </rPr>
      <t>(Phiếu thu)</t>
    </r>
  </si>
  <si>
    <t>tham58763@gmail.com</t>
  </si>
  <si>
    <t>Số 11 thế hiển dân hoà thanh oai hà nội</t>
  </si>
  <si>
    <t>https://drive.google.com/open?id=1GGggCU3NKv0-8C_O3oI-mbgQIt2bBTwV</t>
  </si>
  <si>
    <t>https://www.facebook.com/nhi2005.army?mibextid=LQQJ4d</t>
  </si>
  <si>
    <t xml:space="preserve">Hà Thị Yến Nhi </t>
  </si>
  <si>
    <t>hayennhi1704@gmail.com</t>
  </si>
  <si>
    <t xml:space="preserve">trung tâm xã Quang Minh - huyện Vân Hồ - tỉnh Sơn La </t>
  </si>
  <si>
    <t>https://drive.google.com/open?id=1tobdzWuKVecUuYgTLWQw9cQgXsQvzCmg</t>
  </si>
  <si>
    <t>VIP62</t>
  </si>
  <si>
    <t>https://www.facebook.com/nam.vuquang.733?mibextid=LQQJ4d</t>
  </si>
  <si>
    <t>Vũ Quang Nam</t>
  </si>
  <si>
    <t>Số nhà 35, Ngõ 54, Tây Tựu, Bắc Từ Liêm, Hà Nội</t>
  </si>
  <si>
    <t>https://drive.google.com/open?id=1HHN1YJpohzDWG-k40j2_oQqWtSkI4Zzc</t>
  </si>
  <si>
    <t>OT1</t>
  </si>
  <si>
    <t>https://www.facebook.com/profile.php?id=100027948397360&amp;mibextid=ZbWKwL</t>
  </si>
  <si>
    <t>Mai Thị Thu Hoài</t>
  </si>
  <si>
    <t>maithuhoai1312@gmail.com</t>
  </si>
  <si>
    <t>Nhà thờ Hà Cát ,xóm 17-Hồng Thuận-Giao Thủy-Nam Định</t>
  </si>
  <si>
    <t>https://drive.google.com/open?id=1zPCDtZ7VYftbJByhqflHc5x0kuVwa1ew; https://drive.google.com/open?id=1GRFi-Rq8mFJ4mTOrEzvX_68_YHY0z3qz</t>
  </si>
  <si>
    <t>https://www.facebook.com/profile.php?id=100040574439812&amp;mibextid=ZbWKwL</t>
  </si>
  <si>
    <t>Trần Thị Hải Yến</t>
  </si>
  <si>
    <t>tranyen20102005@gmail.com</t>
  </si>
  <si>
    <t>https://drive.google.com/open?id=1t8H9OJeuwfY-7e6Wa1AsKQMxLcseoxbX; https://drive.google.com/open?id=1ZdhgA88Q7p0d3D3-lkLqgIylKT31M4Rl</t>
  </si>
  <si>
    <t>https://www.facebook.com/huyenhuyen.251003?mibextid=LQQJ4d</t>
  </si>
  <si>
    <t>Nguyễn Anh Thư Trần Thu Huyền</t>
  </si>
  <si>
    <t>tthuyen.dhkt15a10hn@sv.uneti.edu.vn</t>
  </si>
  <si>
    <t>SN 837- Đường Trần Huy Liệu- TP Nam Định</t>
  </si>
  <si>
    <t>https://drive.google.com/open?id=1a5CtzngG8cmp4hR7lcui7o6p9fl8EnTI</t>
  </si>
  <si>
    <t>https://www.facebook.com/profile.php?id=100022415686199&amp;mibextid=LQQJ4d</t>
  </si>
  <si>
    <t>Đào Thuý Quỳnh</t>
  </si>
  <si>
    <t>quynhdao010903@gmail.com</t>
  </si>
  <si>
    <t>quán Ốc Bom cổng khu đô thị Đô Nghĩa - Yên Nghĩa - Hà Đông</t>
  </si>
  <si>
    <t>https://drive.google.com/open?id=15wIH5CbpVEZbXXepCzq6oWZW0wDvt0Jg; https://drive.google.com/open?id=1X7Kf2IuZ9FIvQd1XvGRlNewh6nJ_yRye</t>
  </si>
  <si>
    <t>T140</t>
  </si>
  <si>
    <t>VIP63</t>
  </si>
  <si>
    <t>https://www.facebook.com/profile.php?id=100014606027690&amp;mibextid=LQQJ4d</t>
  </si>
  <si>
    <t>Đồng Văn Xướng</t>
  </si>
  <si>
    <t>975/14 Nguyễn Kiệm, p3, Vò Vấp, TP. Hồ Chí Minh</t>
  </si>
  <si>
    <t>https://drive.google.com/open?id=1-1jcQPOyUFLxianh_rayWfOS1HwtMNBx</t>
  </si>
  <si>
    <t>VIP62 đã gửi sách</t>
  </si>
  <si>
    <t>PT44 bảo lưu b6. Vì lý do công viêc phải đi công tác nên không tham gia cùng lơp học được</t>
  </si>
  <si>
    <t>https://www.facebook.com/hung.hong.7</t>
  </si>
  <si>
    <r>
      <rPr>
        <sz val="12"/>
        <color theme="1"/>
        <rFont val="Times New Roman"/>
        <family val="1"/>
      </rPr>
      <t xml:space="preserve">Phạm Xuân Hùng- </t>
    </r>
    <r>
      <rPr>
        <sz val="12"/>
        <color rgb="FFFF0000"/>
        <rFont val="Times New Roman"/>
        <family val="1"/>
      </rPr>
      <t>nick Hùng Hồng</t>
    </r>
  </si>
  <si>
    <t>phamxuanhung238@gmail.com</t>
  </si>
  <si>
    <t>nhà số 9, ngõ 2, đường phan cảnh quang, khối 10, phường hà huy tập, thành phố vinh</t>
  </si>
  <si>
    <t>https://drive.google.com/open?id=1BETsSVAy50yFEO7sDi3m6xZXBXXEjea_</t>
  </si>
  <si>
    <t>https://www.facebook.com/phong.phan.96995238</t>
  </si>
  <si>
    <t>Phan Thế Phong</t>
  </si>
  <si>
    <t>phanphong091103@gmail.com</t>
  </si>
  <si>
    <t>nhận offline tại văn phòng</t>
  </si>
  <si>
    <t>https://drive.google.com/open?id=1jL0hADsPN4HBrZZlpgxtzlk6FyXJi66O</t>
  </si>
  <si>
    <t>https://www.facebook.com/zittbee06hynp?mibextid=LQQJ4d</t>
  </si>
  <si>
    <t>Trần Hoàng Hải Yến</t>
  </si>
  <si>
    <t>hyen041005@gmail</t>
  </si>
  <si>
    <t xml:space="preserve">số 16 ngõ 78 ngách 78/2 võ chí công nghĩa đô cầu giấy </t>
  </si>
  <si>
    <t>https://drive.google.com/open?id=1BxnbNhAZRjCj2Cd1h-1NML4wgt-OCYIn</t>
  </si>
  <si>
    <t>https://www.facebook.com/profile.php?id=100071474766942&amp;mibextid=LQQJ4d</t>
  </si>
  <si>
    <r>
      <rPr>
        <sz val="12"/>
        <color theme="1"/>
        <rFont val="Times New Roman"/>
        <family val="1"/>
      </rPr>
      <t xml:space="preserve">Trần Thị Trang </t>
    </r>
    <r>
      <rPr>
        <sz val="12"/>
        <color rgb="FFFF0000"/>
        <rFont val="Times New Roman"/>
        <family val="1"/>
      </rPr>
      <t>(Cần hợp đồng)</t>
    </r>
  </si>
  <si>
    <t>tranthitrangg205@gmail.com</t>
  </si>
  <si>
    <t>OFF</t>
  </si>
  <si>
    <t>https://drive.google.com/open?id=1saRS4TBUNNwIlYjF4kIJhZ5w0aQZc7kY</t>
  </si>
  <si>
    <t>https://www.facebook.com/profile.php?id=100074468111491</t>
  </si>
  <si>
    <r>
      <rPr>
        <sz val="12"/>
        <color theme="1"/>
        <rFont val="Times New Roman"/>
        <family val="1"/>
      </rPr>
      <t>Đinh Thị Như Quỳnh</t>
    </r>
    <r>
      <rPr>
        <sz val="12"/>
        <color rgb="FFFF0000"/>
        <rFont val="Times New Roman"/>
        <family val="1"/>
      </rPr>
      <t>- nick Tú Quỳnh</t>
    </r>
  </si>
  <si>
    <t>Đơn nguyên 1 ,  ktx mỹ đình , hàm nghi , nam từ liêm , hà nội</t>
  </si>
  <si>
    <t>https://drive.google.com/open?id=1fN9D-4mMnNI7Qetn5A561OpUpqE3RCQI</t>
  </si>
  <si>
    <t>OPT3</t>
  </si>
  <si>
    <t>https://www.facebook.com/moctra2905?mibextid=LQQJ4d</t>
  </si>
  <si>
    <t>Nguyễn Thị Trà</t>
  </si>
  <si>
    <t>Lên CS off lấy</t>
  </si>
  <si>
    <t>https://drive.google.com/open?id=1fafQJWhF1wnavV8Lhv8-O-7E_eg8u4o8; https://drive.google.com/open?id=1yx4AnXw9eiC93nKvlY9cGtF1eF-O2MDy</t>
  </si>
  <si>
    <t>Đức mang HĐ xuống Tài Chính. Nhờ Đức mang sách</t>
  </si>
  <si>
    <t>https://www.facebook.com/qu.chi.524?mibextid=LQQJ4d</t>
  </si>
  <si>
    <t xml:space="preserve">Nguyễn Quỳnh Chi </t>
  </si>
  <si>
    <t>Lên off tại cơ sở</t>
  </si>
  <si>
    <t>https://drive.google.com/open?id=1qS8PpQettaqlxTZVAzehflcSW4mbC4Oo</t>
  </si>
  <si>
    <t>https://www.facebook.com/profile.php?id=100080364080727&amp;mibextid=LQQJ4d</t>
  </si>
  <si>
    <t xml:space="preserve">Nguyễn Thị Ngà </t>
  </si>
  <si>
    <t>Lên off học tại cs</t>
  </si>
  <si>
    <t>https://drive.google.com/open?id=1d4QtNP4Qh7zjq9xZWmaDwCxxvX31rsfQ; https://drive.google.com/open?id=1Y14pX5FT6RJLlOAgFXhMe43zmbjtaaNL</t>
  </si>
  <si>
    <t>https://www.facebook.com/profile.php?id=100039676313404</t>
  </si>
  <si>
    <t xml:space="preserve">Nguyễn Thị Huệ  </t>
  </si>
  <si>
    <t>nguyenhue50102003@gmailm com</t>
  </si>
  <si>
    <t xml:space="preserve">
Đc: số nhà 136 ngõ 296 Minh Khai, Hoàng Mai, Hà Nội</t>
  </si>
  <si>
    <t>https://drive.google.com/open?id=1eeZ-gkoWQk8A-UFtdbMtqhvkWxhbSuly</t>
  </si>
  <si>
    <t>https://www.facebook.com/profile.php?id=100076815872008</t>
  </si>
  <si>
    <t xml:space="preserve">Nguyễn Thu Trang Hoà </t>
  </si>
  <si>
    <t>nguyenthutranghoa@gmail.com</t>
  </si>
  <si>
    <t>Địa chỉ: 17/42 Xuân Đỉnh, Bắc Từ Liêm</t>
  </si>
  <si>
    <t>Mất góc</t>
  </si>
  <si>
    <t>https://www.facebook.com/profile.php?id=100017482186717&amp;mibextid=LQQJ4d</t>
  </si>
  <si>
    <r>
      <rPr>
        <sz val="12"/>
        <color theme="1"/>
        <rFont val="Times New Roman"/>
        <family val="1"/>
      </rPr>
      <t xml:space="preserve">Nguyễn Trang Huyền </t>
    </r>
    <r>
      <rPr>
        <sz val="12"/>
        <color rgb="FFFF0000"/>
        <rFont val="Times New Roman"/>
        <family val="1"/>
      </rPr>
      <t>(Cần hợp đồng)</t>
    </r>
  </si>
  <si>
    <t>Nhà số 11 ngõ 165 ngách 12 dương quảng hàm quan hoa cầu giấy hà nội</t>
  </si>
  <si>
    <t>https://drive.google.com/open?id=1yRMD9ORTHKQeJQGU5KptGIkun7-wz8NJ; https://drive.google.com/open?id=1Y9FvqzwoPCA8bQicrHcJymMUu7jeCy1H</t>
  </si>
  <si>
    <t>T160 bảo lưu b8 đi thực tập 5 tuần</t>
  </si>
  <si>
    <t>https://www.facebook.com/leeq.16.12?mibextid=nW3QTL</t>
  </si>
  <si>
    <t>Lý Đức Quang</t>
  </si>
  <si>
    <t>Số 17, ngõ 4, Đường Võ Thị Sáu,phường Xuân Hòa,thị xã Phúc Yên, tỉnh Vĩnh Phúc</t>
  </si>
  <si>
    <t>https://drive.google.com/open?id=1T8z0ydsbjyIIBKIL-uVOF3W0AlKbQTqE</t>
  </si>
  <si>
    <t xml:space="preserve">Đã nộp 300K bảo lưu </t>
  </si>
  <si>
    <t>https://www.facebook.com/profile.php?id=100071287430797&amp;mibextid=2JQ9oc</t>
  </si>
  <si>
    <r>
      <rPr>
        <sz val="12"/>
        <color theme="1"/>
        <rFont val="Times New Roman"/>
        <family val="1"/>
      </rPr>
      <t xml:space="preserve">Đặng Thị Phương Lan </t>
    </r>
    <r>
      <rPr>
        <sz val="12"/>
        <color rgb="FFFF0000"/>
        <rFont val="Times New Roman"/>
        <family val="1"/>
      </rPr>
      <t>(Phiếu thu)</t>
    </r>
  </si>
  <si>
    <t>dangthiphuonglan309@gmail.com</t>
  </si>
  <si>
    <t>20 ngõ 102 Pháo Đài Láng, Láng Thượng, Đống Đa, Hà Nội</t>
  </si>
  <si>
    <t>https://drive.google.com/open?id=1Z73GpbICwYKyHlmbf9y5okR76z0tTcw2; https://drive.google.com/open?id=1aaiksHX-Esz1H7fSAOIfi0J4QOGFdhz2</t>
  </si>
  <si>
    <t>https://www.facebook.com/profile.php?id=100015278533454</t>
  </si>
  <si>
    <t>Nguyễn Văn Mạnh</t>
  </si>
  <si>
    <t>manhvan1032001@gmail.com</t>
  </si>
  <si>
    <t>85 phan bá vành, phường cổ nhuế 1, bắc từ liêm, hà nội</t>
  </si>
  <si>
    <t>https://drive.google.com/open?id=1cc0U1ITI1mqrqRNDWReWEQGybRmJIXPh</t>
  </si>
  <si>
    <t>Huỳnh Ngân</t>
  </si>
  <si>
    <t>Số nhà 65, 570 Kim Giang, Thanh Liệt, Thanh Trì ,Hà Nội</t>
  </si>
  <si>
    <t>https://drive.google.com/open?id=1M5kkVByHkv38hP1t5wTZtSP8cZ98a520</t>
  </si>
  <si>
    <t>https://www.facebook.com/duong.phamvan.311493?mibextid=LQQJ4d</t>
  </si>
  <si>
    <r>
      <rPr>
        <sz val="12"/>
        <color rgb="FF000000"/>
        <rFont val="Times New Roman"/>
        <family val="1"/>
      </rPr>
      <t xml:space="preserve">Phạm Văn Dương </t>
    </r>
    <r>
      <rPr>
        <sz val="12"/>
        <color rgb="FFFF0000"/>
        <rFont val="Times New Roman"/>
        <family val="1"/>
      </rPr>
      <t>342549538 sđt sai gửi sách</t>
    </r>
  </si>
  <si>
    <t xml:space="preserve">Huyền </t>
  </si>
  <si>
    <t>phamduong30424@gmail.com</t>
  </si>
  <si>
    <t xml:space="preserve">Ngõ 12 chùa bộc, Quang Trung, Đống Đa, Hà Nội </t>
  </si>
  <si>
    <t>https://drive.google.com/open?id=1echULaNQMq4RPqXchnDKg5I_AQqAf4Jx</t>
  </si>
  <si>
    <t>https://www.facebook.com/profile.php?id=100035404651110&amp;mibextid=D4KYlr</t>
  </si>
  <si>
    <r>
      <rPr>
        <sz val="12"/>
        <color theme="1"/>
        <rFont val="Times New Roman"/>
        <family val="1"/>
      </rPr>
      <t xml:space="preserve">Đinh Huyền Trang </t>
    </r>
    <r>
      <rPr>
        <sz val="12"/>
        <color rgb="FFFF0000"/>
        <rFont val="Times New Roman"/>
        <family val="1"/>
      </rPr>
      <t>(Cần hợp đồng)</t>
    </r>
  </si>
  <si>
    <t>kim10081951@gmail.com size L</t>
  </si>
  <si>
    <t xml:space="preserve">Kí túc xá ngoại ngữ,2 Phạm Văn Đồng, cầu giấy, hà nội 
</t>
  </si>
  <si>
    <t>https://drive.google.com/open?id=13G-YS1rsVXwOx2GisSxjRbkSAjbyFQIt; https://drive.google.com/open?id=17yRoXagSBJFPiithrszImYUDhY0FF4VW</t>
  </si>
  <si>
    <t>400+</t>
  </si>
  <si>
    <t>https://www.facebook.com/profile.php?id=100071989111012&amp;mibextid=9R9pXO</t>
  </si>
  <si>
    <r>
      <rPr>
        <sz val="12"/>
        <color theme="1"/>
        <rFont val="Times New Roman"/>
        <family val="1"/>
      </rPr>
      <t>Lê Thị Nụ</t>
    </r>
    <r>
      <rPr>
        <sz val="12"/>
        <color rgb="FFFF0000"/>
        <rFont val="Times New Roman"/>
        <family val="1"/>
      </rPr>
      <t xml:space="preserve"> -869963184 số cũ</t>
    </r>
  </si>
  <si>
    <t>https://drive.google.com/open?id=1XuD6iXXs6abn-f9x5I293Zo5uH2DRdtn; https://drive.google.com/open?id=1R5uwFpAa_oBiQcRTGeH10GnUJsKtkrnI</t>
  </si>
  <si>
    <t>https://www.facebook.com/profile.php?id=100037393459198</t>
  </si>
  <si>
    <t>Đoàn Thị Tâm</t>
  </si>
  <si>
    <t>doanthitamdoanthitam@gmail.com</t>
  </si>
  <si>
    <t>Số nhà 40 , ngõ 159 pháo đài láng, láng thượng, đống đa, Hà Nội</t>
  </si>
  <si>
    <t>https://drive.google.com/open?id=1G4sYg2oXzbjVuN3WVk1r7kR7f3v424S4</t>
  </si>
  <si>
    <t>jangboo04@gmail.com</t>
  </si>
  <si>
    <t>KTX C, Trường Đại Học Cần Thơ, xã Hòa An, huyện Phụng Hiệp, tỉnh Hậu Giang</t>
  </si>
  <si>
    <t>https://drive.google.com/open?id=1kVSpsGNbBFUmPBfJhP-79jSmFwgznb_m</t>
  </si>
  <si>
    <t>PT47</t>
  </si>
  <si>
    <t>https://www.facebook.com/profile.php?id=100015913807767&amp;locale=vi_VN</t>
  </si>
  <si>
    <r>
      <rPr>
        <sz val="12"/>
        <color theme="1"/>
        <rFont val="Times New Roman"/>
        <family val="1"/>
      </rPr>
      <t xml:space="preserve">Trần Thị Ngọc Phương </t>
    </r>
    <r>
      <rPr>
        <sz val="12"/>
        <color rgb="FFFF0000"/>
        <rFont val="Times New Roman"/>
        <family val="1"/>
      </rPr>
      <t>(Phiếu thu)</t>
    </r>
  </si>
  <si>
    <t>Số nhà 1, ngách 11, ngõ 39 Hồ Tùng Mậu, Mai Dịch, Cầu Giấy, Hà Nội</t>
  </si>
  <si>
    <t>https://drive.google.com/open?id=1z0zEp0XsdS17nrfJH6t8MhvmjOAAvWV1</t>
  </si>
  <si>
    <t>PT179</t>
  </si>
  <si>
    <t>https://www.facebook.com/profile.php?id=100024567521696&amp;mibextid=ZbWKwL</t>
  </si>
  <si>
    <r>
      <rPr>
        <sz val="12"/>
        <color theme="1"/>
        <rFont val="Times New Roman"/>
        <family val="1"/>
      </rPr>
      <t xml:space="preserve">Nguyễn Thị Minh Ánh </t>
    </r>
    <r>
      <rPr>
        <sz val="12"/>
        <color rgb="FFFF0000"/>
        <rFont val="Times New Roman"/>
        <family val="1"/>
      </rPr>
      <t>(OPT2. Tối 18/9 khai giảng. Đêm 17/9 HV chat xin rút khỏi lớp)</t>
    </r>
  </si>
  <si>
    <t>Minhanh4804@gmail.com</t>
  </si>
  <si>
    <t>Mầm non Ngọc Ngà, Đạo Khê, TRung Hưng, Yên Mỹ, Hưng Yên</t>
  </si>
  <si>
    <t>https://drive.google.com/open?id=1jdYQShRyIFtJG6RkLpgb_6x2WOush21L</t>
  </si>
  <si>
    <t>OPT2. Tối 18/9 khai giảng. Đêm 17/9 HV chat xin rút khỏi lớp</t>
  </si>
  <si>
    <t>https://www.facebook.com/profile.php?id=100031557363600&amp;mibextid=LQQJ4d</t>
  </si>
  <si>
    <t>buiquanghop.py2020@gmail.com</t>
  </si>
  <si>
    <t xml:space="preserve">Nguyễn Văn Bảo , Phường 4 , Gò Vấp , TP HCM, tại đại học công nghiệp cs1 </t>
  </si>
  <si>
    <t>https://drive.google.com/open?id=13oTC_B8ecs-pF7zxYvYy2-GPVZeHi7rL</t>
  </si>
  <si>
    <t>74/100</t>
  </si>
  <si>
    <t>PT46</t>
  </si>
  <si>
    <t>https://www.facebook.com/profile.php?id=100054375046302&amp;mibextid=cejktS</t>
  </si>
  <si>
    <t>Nguyễn Sơn Tùng</t>
  </si>
  <si>
    <t>ch co</t>
  </si>
  <si>
    <t xml:space="preserve">86 thụy khuê- tây hồ - Hà nội
 </t>
  </si>
  <si>
    <t>https://drive.google.com/open?id=1hOP33g1noppBKTWk5HVmLO2C715REfhi</t>
  </si>
  <si>
    <t>https://www.facebook.com/profile.php?id=100010540268062</t>
  </si>
  <si>
    <t>Hoàng Trung Hiếu</t>
  </si>
  <si>
    <t>messihieu2003@gmail.com</t>
  </si>
  <si>
    <t xml:space="preserve"> số 23 ngõ 30,phùng khoang ,trung văn,nam từ liêm ,hà nội</t>
  </si>
  <si>
    <t>https://drive.google.com/open?id=1yoY8lCvbH5VNZEGXNVDkjmSrPFJRhn86</t>
  </si>
  <si>
    <t>MẤT GỐC</t>
  </si>
  <si>
    <t>https://www.facebook.com/cuong.nm.782005?mibextid=9R9pXO</t>
  </si>
  <si>
    <t>Nguyễn Mạnh Cương</t>
  </si>
  <si>
    <t>https://drive.google.com/open?id=11i3QqJWjZGmE78OEE1-fyXhe2nC0XBUk</t>
  </si>
  <si>
    <t>Đặng Thùy Trang</t>
  </si>
  <si>
    <t>29 Mạc Thái Tổ, Yên Hoà, Cầu Giấy, Hà Nội</t>
  </si>
  <si>
    <t>https://drive.google.com/open?id=1s8o58Gktc8BPVgdc6Pn_KcHk7FqHgnZq</t>
  </si>
  <si>
    <t>350+</t>
  </si>
  <si>
    <t>https://www.facebook.com/profile.php?id=100055718940633&amp;mibextid=ZbWKwL</t>
  </si>
  <si>
    <t xml:space="preserve"> Đào Anh Đức </t>
  </si>
  <si>
    <t>Team Huy Meca</t>
  </si>
  <si>
    <t>Hải Anh</t>
  </si>
  <si>
    <t>103 tăng Nhơn Phú phường Phước Long B Thành phố thủ Đức</t>
  </si>
  <si>
    <t>https://drive.google.com/open?id=18QehWCHOnxWBzeq0AlL7nq57Ne0Y7ejg</t>
  </si>
  <si>
    <t>C157</t>
  </si>
  <si>
    <t>PT49</t>
  </si>
  <si>
    <t>https://www.facebook.com/chang.phuong.984</t>
  </si>
  <si>
    <t>Nguyễn Thị Hương Mai</t>
  </si>
  <si>
    <t xml:space="preserve">Xóm 150, Vĩnh Kỳ, Tân Hội, Đan Phượng, Hà Nội </t>
  </si>
  <si>
    <t>https://drive.google.com/open?id=1gS-OdbP-6uodefnE4nLqLNOQeUKQVCo0</t>
  </si>
  <si>
    <t>https://www.facebook.com/profile.php?id=100022816041256&amp;mibextid=2JQ9oc</t>
  </si>
  <si>
    <t>Đỗ Ngọc Ánh</t>
  </si>
  <si>
    <t>Hồng Giang</t>
  </si>
  <si>
    <t xml:space="preserve"> Sân bóng đội 6 Đình Dù - Văn Lâm  xã Đình Dù huyện Văn Lâm  tỉnh Hưng Yên</t>
  </si>
  <si>
    <t>https://drive.google.com/open?id=1T5phmX5eJtGMVS52YC7AmGu3JRzzduwE</t>
  </si>
  <si>
    <t>https://www.facebook.com/profile.php?id=100061769598015&amp;mibextid=LQQJ4d</t>
  </si>
  <si>
    <t xml:space="preserve">Phạm Thành Long </t>
  </si>
  <si>
    <t>Học OFF</t>
  </si>
  <si>
    <t>https://drive.google.com/open?id=1s_dzUtrCsfju2WqsgleLrRYCGnjRvFTW</t>
  </si>
  <si>
    <t>https://www.facebook.com/profile.php?id=100014980789004</t>
  </si>
  <si>
    <t>Hoàng Thị Mận</t>
  </si>
  <si>
    <t>hoangthinam12003@gmail.com</t>
  </si>
  <si>
    <t>31c phố viên Cổ Nhuế 2, Bắc từ liêm, HN</t>
  </si>
  <si>
    <t>https://drive.google.com/open?id=1Hkq32K_LzrctVU_cZN4fzY7q2V_tax7w</t>
  </si>
  <si>
    <t>https://www.facebook.com/malong.trung</t>
  </si>
  <si>
    <t>Phạm Đức Trung</t>
  </si>
  <si>
    <t>20111138839@hunre.edu.vn</t>
  </si>
  <si>
    <t>165 Mai dịch, cầu giấy, Hà Nội</t>
  </si>
  <si>
    <t>https://drive.google.com/open?id=1kwQtP9--mnZII-W8rwhX5qmitobJCLk4</t>
  </si>
  <si>
    <t>https://www.facebook.com/thu.phuong21010</t>
  </si>
  <si>
    <t>Trần Thu Phương</t>
  </si>
  <si>
    <t>Thuphuong2101005@gmail.com</t>
  </si>
  <si>
    <t xml:space="preserve">110 mỹ đình 2 nam từ liêm hà nội. </t>
  </si>
  <si>
    <t>https://drive.google.com/open?id=1gQbD-lF7jAiBWiPXsz2X1oWh0FaDKXTD</t>
  </si>
  <si>
    <t>https://www.facebook.com/profile.php?id=100017038781929</t>
  </si>
  <si>
    <t>Nguyễn Văn Đoàn</t>
  </si>
  <si>
    <t>Nguyendoan26032000@gmail.com</t>
  </si>
  <si>
    <t>Ngõ 21-Hậu Dưỡng-Kim chung -Đông Anh -Hà Nội</t>
  </si>
  <si>
    <t>https://drive.google.com/open?id=1OYqeGz7Jiwi5CYpSvcBtZBRh4fCuseLh</t>
  </si>
  <si>
    <t>https://www.facebook.com/CHIENIRISS</t>
  </si>
  <si>
    <t>Ma Trung Chiến</t>
  </si>
  <si>
    <t>chieniris97@gmail.com</t>
  </si>
  <si>
    <t xml:space="preserve">cuối ngõ 1 xu -thôn 1 Phù Vân - Phủ Lý - Hà Nam
</t>
  </si>
  <si>
    <t>https://drive.google.com/open?id=1qweBaP0Icz_xJhtgKgM9s6TfaS87gnMN</t>
  </si>
  <si>
    <t>https://www.facebook.com/hai.thieu.96387?mibextid=ZbWKwL</t>
  </si>
  <si>
    <r>
      <rPr>
        <sz val="12"/>
        <color theme="1"/>
        <rFont val="Times New Roman"/>
        <family val="1"/>
      </rPr>
      <t xml:space="preserve">Thiều Văn Hải </t>
    </r>
    <r>
      <rPr>
        <sz val="12"/>
        <color rgb="FFFF0000"/>
        <rFont val="Times New Roman"/>
        <family val="1"/>
      </rPr>
      <t>(Cần hợp đồng)</t>
    </r>
  </si>
  <si>
    <t>thieu2062005@gmail.com</t>
  </si>
  <si>
    <t xml:space="preserve">Số 9A ngách 63/194, Mỹ Đình 2, Nam Từ Liêm, Hà Nội </t>
  </si>
  <si>
    <t>https://drive.google.com/open?id=1R6MLbhNohUbOLG9bX5-vWh98n3snAevb</t>
  </si>
  <si>
    <t>T164=&gt;T165</t>
  </si>
  <si>
    <t>https://www.facebook.com/nthankha1810?mibextid=ZbWKwL</t>
  </si>
  <si>
    <r>
      <rPr>
        <sz val="12"/>
        <color theme="1"/>
        <rFont val="Times New Roman"/>
        <family val="1"/>
      </rPr>
      <t xml:space="preserve">Nguyễn Thanh Hà </t>
    </r>
    <r>
      <rPr>
        <sz val="12"/>
        <color rgb="FFFF0000"/>
        <rFont val="Times New Roman"/>
        <family val="1"/>
      </rPr>
      <t>(Cần hợp đồng)</t>
    </r>
  </si>
  <si>
    <t>hathanhnguyen1805@gmail.com</t>
  </si>
  <si>
    <t xml:space="preserve">Nguyễn Hoàng, Mỹ Đình 2, Nam Từ Liêm, Hà Nội; </t>
  </si>
  <si>
    <t>https://drive.google.com/open?id=1IX2dbDi4oH-OeXM8w0di0phlnBPx5BFy; https://drive.google.com/open?id=1nFxSIPd94-ijzCg28KmTrlgBRiJw2VWA</t>
  </si>
  <si>
    <t>T160=&gt;T165 =&gt;OT1. Đức chat</t>
  </si>
  <si>
    <t>T160 bảo lưu b10 đi quân sự. Nếu sau này học lên 800+ thì e liên hệ lại trung tâm nhé ạ</t>
  </si>
  <si>
    <t>https://www.facebook.com/100012733303086/</t>
  </si>
  <si>
    <t>Phan Thị Hải Linh</t>
  </si>
  <si>
    <t>354, khương thượng, đống đa, hà nội</t>
  </si>
  <si>
    <t>https://drive.google.com/open?id=1gMfnIFc1l__br88zUhdrCb826bciEIMi</t>
  </si>
  <si>
    <t>67 câu</t>
  </si>
  <si>
    <t>https://www.facebook.com/duymanh.le.7587370?mibextid=ZbWKwL</t>
  </si>
  <si>
    <t>Lê Duy Mạnh</t>
  </si>
  <si>
    <t>không có</t>
  </si>
  <si>
    <t>Cổng chính cơ sở 3 đại học công nghiệp hà nội</t>
  </si>
  <si>
    <t>https://drive.google.com/open?id=1PLTsM5aSlSEj9ftoUg3zdYieLXA4aB-S</t>
  </si>
  <si>
    <t>https://www.facebook.com/nguyenbao.ngoc.35977</t>
  </si>
  <si>
    <t>Nguyễn Bảo Ngọc</t>
  </si>
  <si>
    <t>60 ngõ 48 Nguyễn Khánh toàn, Cầu Giay, Hà Nội</t>
  </si>
  <si>
    <t>https://drive.google.com/open?id=1njy85JnFxVoNSWrUUnsb057r4abhhzHY</t>
  </si>
  <si>
    <t>https://www.facebook.com/profile.php?id=100075415644518</t>
  </si>
  <si>
    <t xml:space="preserve">Nguyễn Thị Hải Yến  </t>
  </si>
  <si>
    <t>nguyenyenhn2004@icloud.com</t>
  </si>
  <si>
    <t xml:space="preserve">Số nhà 12 , ngõ 1 chi bắc , hưu trưng 7, thôn 3 , trung châu , đan phượng , hà nội </t>
  </si>
  <si>
    <t>https://drive.google.com/open?id=1gREHM3QPkWrCgyXIW0geL4pyZxqvQcHM</t>
  </si>
  <si>
    <t xml:space="preserve">Mất góc </t>
  </si>
  <si>
    <t>PT46 =&gt; PT43 thay Lan Anh rút ra học GT. Dương báo</t>
  </si>
  <si>
    <t>https://www.facebook.com/cairo.ha.12</t>
  </si>
  <si>
    <t xml:space="preserve">Cao Mạnh Hà </t>
  </si>
  <si>
    <t xml:space="preserve">Giang bé </t>
  </si>
  <si>
    <t>hacao21122005@gmail.com</t>
  </si>
  <si>
    <t>208,lê thanh nghị, phường đồng tâm quận 2 bà trưng hà nội</t>
  </si>
  <si>
    <t>https://drive.google.com/open?id=14VmrFDOhNhlmQQzwMMs7ZcM06W3jFAnF</t>
  </si>
  <si>
    <t>https://www.facebook.com/bivhhao?mibextid=7cd5pb</t>
  </si>
  <si>
    <t>Nông Thị Bích Hảo</t>
  </si>
  <si>
    <t>Hiếu</t>
  </si>
  <si>
    <t>bichhaosp2005@gmail.com</t>
  </si>
  <si>
    <t>Trường Đại Học Thương Mại</t>
  </si>
  <si>
    <t>https://drive.google.com/open?id=1JN2gDBMcdXQd72gtf9VVORha6vwBBElC</t>
  </si>
  <si>
    <t>https://www.facebook.com/huyndh1905?mibextid=LQQJ4d</t>
  </si>
  <si>
    <t xml:space="preserve">Nguyễn Đức Huy </t>
  </si>
  <si>
    <t>Quỳnh</t>
  </si>
  <si>
    <t>huyndh1905@gmail.com</t>
  </si>
  <si>
    <t xml:space="preserve"> kí túc xá A2 hvn , gia lâm - châu quỳ - hà nội</t>
  </si>
  <si>
    <t>https://drive.google.com/open?id=1C89ocsR9RQOGAnxlQpwuNP922p7iDamr, https://drive.google.com/open?id=1Zryv4YdKGPrDani3Q6ZNc4tbnQnqtYhU</t>
  </si>
  <si>
    <t xml:space="preserve">https://www.facebook.com/profile.php?id=100024816816776&amp;mibextid=ZbWKwL         </t>
  </si>
  <si>
    <r>
      <rPr>
        <sz val="12"/>
        <color theme="1"/>
        <rFont val="Times New Roman"/>
        <family val="1"/>
      </rPr>
      <t xml:space="preserve">Đoàn Thị Thảo </t>
    </r>
    <r>
      <rPr>
        <sz val="12"/>
        <color rgb="FFFF0000"/>
        <rFont val="Times New Roman"/>
        <family val="1"/>
      </rPr>
      <t>(20/9 gửi sách)</t>
    </r>
  </si>
  <si>
    <t>Số nhà 2 ngõ 130 đường An khánh, Thượng 1, Hà Nội</t>
  </si>
  <si>
    <t>https://drive.google.com/open?id=163GB4rvltHxMYdL1qh4Rnfzm90X1tEfU</t>
  </si>
  <si>
    <t>PT45 =&gt;PT46 Yến chat</t>
  </si>
  <si>
    <t>PT64</t>
  </si>
  <si>
    <t>https://www.facebook.com/profile.php?id=61551204096510&amp;mibextid=LQQJ4d</t>
  </si>
  <si>
    <r>
      <rPr>
        <sz val="12"/>
        <color theme="1"/>
        <rFont val="Times New Roman"/>
        <family val="1"/>
      </rPr>
      <t>Hoàng Thị Bình</t>
    </r>
    <r>
      <rPr>
        <sz val="12"/>
        <color rgb="FFFF0000"/>
        <rFont val="Times New Roman"/>
        <family val="1"/>
      </rPr>
      <t>- 971909245 sđt cũ - Chưa nộp 300K
PT45 bảo lưu b4. Quay lại học PT64</t>
    </r>
  </si>
  <si>
    <t>biinhhoa063@gmail.com</t>
  </si>
  <si>
    <t xml:space="preserve"> Số 15 Ngõ 12 học viện ngân hàng, ố 12, Chùa Bộc, Đống Đa, Hà Nội</t>
  </si>
  <si>
    <t>https://drive.google.com/open?id=1ydAISSK3LWCjbNLBJofxQSMB1c_HD3oj, https://drive.google.com/open?id=1KvTNrR_M2oRXLcqXmjj-aHjEBBHPR5Up</t>
  </si>
  <si>
    <t>https://www.facebook.com/profile.php?id=100081728318155</t>
  </si>
  <si>
    <t>https://www.facebook.com/profile.php?id=100035926786530</t>
  </si>
  <si>
    <r>
      <rPr>
        <sz val="12"/>
        <color theme="1"/>
        <rFont val="Times New Roman"/>
        <family val="1"/>
      </rPr>
      <t xml:space="preserve">Vũ Hải Đăng </t>
    </r>
    <r>
      <rPr>
        <sz val="12"/>
        <color rgb="FFFF0000"/>
        <rFont val="Times New Roman"/>
        <family val="1"/>
      </rPr>
      <t>(Cần hợp đồng)</t>
    </r>
  </si>
  <si>
    <t>963973205 - sđt mẹ học viên:0389191058 , sdt:0845655781(SĐT mẹ bạn nhờ để có vấn đề về học tập của học viên thì nhờ giáo viên gọi thông báo cho gia đình ạ)</t>
  </si>
  <si>
    <t>Danggvu8@gmail.com</t>
  </si>
  <si>
    <t>bản liên hà 5,xã Bảo Hà ,huyện Bảo Yên , tỉnh Lào Cai</t>
  </si>
  <si>
    <t>https://drive.google.com/open?id=1IDoyaI_SmV-kw5oTVCnEa00V4ZgdB9Kj</t>
  </si>
  <si>
    <t>https://www.facebook.com/profile.php?id=100053394561093&amp;mibextid=LQQJ4d</t>
  </si>
  <si>
    <t>Đinh Bảo Lộc</t>
  </si>
  <si>
    <t>dinhloc261205@gmail.com</t>
  </si>
  <si>
    <t>Thôn 1 Phù Vân-TP Phủ Lý Hà Nam</t>
  </si>
  <si>
    <t>https://drive.google.com/open?id=1QvKrwqgrpcpzOTQFFjGhPLt77-dMsotv</t>
  </si>
  <si>
    <t>https://www.facebook.com/mit.ngoc.56211497?mibextid=2JQ9oc</t>
  </si>
  <si>
    <r>
      <rPr>
        <sz val="12"/>
        <color theme="1"/>
        <rFont val="Times New Roman"/>
        <family val="1"/>
      </rPr>
      <t xml:space="preserve">Nguyễn Kim Ngọc </t>
    </r>
    <r>
      <rPr>
        <sz val="12"/>
        <color rgb="FFFF0000"/>
        <rFont val="Times New Roman"/>
        <family val="1"/>
      </rPr>
      <t>(Cần hợp đồng)</t>
    </r>
  </si>
  <si>
    <t>21011238@st.phenikaa-uni.edu.vn</t>
  </si>
  <si>
    <t>48 tả thanh oai- thanh trì - hà nội</t>
  </si>
  <si>
    <t>https://drive.google.com/open?id=1-Jh7opcKsxoqwDX81Y1X7Gy3N-t6UxpX</t>
  </si>
  <si>
    <t>https://www.facebook.com/profile.php?id=100035395291497</t>
  </si>
  <si>
    <r>
      <rPr>
        <sz val="12"/>
        <color theme="1"/>
        <rFont val="Times New Roman"/>
        <family val="1"/>
      </rPr>
      <t xml:space="preserve">Nguyễn Thị Thanh Tuyền
</t>
    </r>
    <r>
      <rPr>
        <sz val="12"/>
        <color rgb="FFFF0000"/>
        <rFont val="Times New Roman"/>
        <family val="1"/>
      </rPr>
      <t>Chuyển nhượng 379512182 Ngọc Ánh</t>
    </r>
  </si>
  <si>
    <t>ntttuyen874@gmail.com</t>
  </si>
  <si>
    <t>ktx toà c4 học viện ngân hàng</t>
  </si>
  <si>
    <t>https://drive.google.com/open?id=1hP76JvREh5HEjkiKgbMxsU9jkO0lK9GY</t>
  </si>
  <si>
    <t>https://www.facebook.com/thequyn28</t>
  </si>
  <si>
    <t>Nguyễn Thế Quyền</t>
  </si>
  <si>
    <t>24Lk37 Khu đô thị Vân Canh, Hoài Đức, Hà Nội</t>
  </si>
  <si>
    <t>https://drive.google.com/open?id=1KawOC4jOOw6ukt64CyU-N2TmaEuw8cGx</t>
  </si>
  <si>
    <t>68/100</t>
  </si>
  <si>
    <t>OPT5</t>
  </si>
  <si>
    <t>https://www.facebook.com/d.meyyyy</t>
  </si>
  <si>
    <t xml:space="preserve">Doãn Thị Chi Mai </t>
  </si>
  <si>
    <t>maidtcph48498@gmail.com</t>
  </si>
  <si>
    <t>A1 Vinhomes Gardenia Hà Nội, P. Hàm Nghi, Cầu Diễn, Từ Liêm, Hà Nội</t>
  </si>
  <si>
    <t>https://drive.google.com/open?id=1BBO8UXJ6f6NzP9qha2kPGrPCcXSlXUbg</t>
  </si>
  <si>
    <t>https://www.facebook.com/thanhthuy5552</t>
  </si>
  <si>
    <t xml:space="preserve">Lê Thị Thanh Thuý </t>
  </si>
  <si>
    <t>lethithanhthuy0520@gmail.com</t>
  </si>
  <si>
    <t xml:space="preserve"> số nhà 28, ngách 134/22 đường cầu diễn minh khai từ liêm hà nội</t>
  </si>
  <si>
    <t>https://drive.google.com/open?id=1xceF82Fi4yurkRRNfDKDabyTPm9AN_Do</t>
  </si>
  <si>
    <t>https://www.facebook.com/tranthithuytien232</t>
  </si>
  <si>
    <t>Trần Thị Thủy Tiên</t>
  </si>
  <si>
    <t>Số Nhà 18, Ngách 63/4, Xóm 4 , Làng Lai Xá</t>
  </si>
  <si>
    <r>
      <rPr>
        <u/>
        <sz val="12"/>
        <color rgb="FF1155CC"/>
        <rFont val="Times New Roman"/>
        <family val="1"/>
      </rPr>
      <t>https://drive.google.com/open?id=18EiZjZkkwk6Y308DNaHl6LxcxoUqhs-i</t>
    </r>
    <r>
      <rPr>
        <u/>
        <sz val="12"/>
        <color rgb="FF1155CC"/>
        <rFont val="Times New Roman"/>
        <family val="1"/>
      </rPr>
      <t>; https://drive.google.com/open?id=1w0-2-yzaZCvJfzHVcJQyAgiOlaqV96dx</t>
    </r>
  </si>
  <si>
    <t>https://www.facebook.com/profile.php?id=100079809225379&amp;mibextid=LQQJ4d</t>
  </si>
  <si>
    <t>Nguyễn Thị Thuỳ Dương</t>
  </si>
  <si>
    <t>nguyenthuyduong20042005@gmail.com</t>
  </si>
  <si>
    <t>72A Nguyễn Bỉnh Khiêm, Đằng Giang, Ngô Quyền, Hải Phòng</t>
  </si>
  <si>
    <t>https://drive.google.com/open?id=1E297dN8aerEEWpvjnPu7i67UNdorRzln</t>
  </si>
  <si>
    <t>https://www.facebook.com/quangthp.33?mibextid=D4KYlr</t>
  </si>
  <si>
    <t>Quảng Thị Bích Ngọc</t>
  </si>
  <si>
    <t>bichngochp2k5@gmail.com</t>
  </si>
  <si>
    <t>Đc: Số 73 ngách 23, ngõ 58 Trần Bình, Mai Dịch, Cầu Giấy, HN</t>
  </si>
  <si>
    <t>https://drive.google.com/open?id=1Xsa1_f-8DI85tkmY5tEnVkLAIA90uZMc; https://drive.google.com/open?id=19gjghK6i95zkhbx4OVh2KzyxFBBr6wrW, https://drive.google.com/open?id=1pL68EgEsxuGR0JJq1p8vIVmSpNJb-17w</t>
  </si>
  <si>
    <t>https://www.facebook.com/profile.php?id=100050644639455&amp;mibextid=b06tZ0</t>
  </si>
  <si>
    <t>Lại Thị Phương Anh</t>
  </si>
  <si>
    <t>0978660653</t>
  </si>
  <si>
    <t>Bích Ly + Oanh</t>
  </si>
  <si>
    <t>số 13 ngách 67 ngõ gốc đề, Minh Khai, Hoàng Mai, Hà Nội</t>
  </si>
  <si>
    <t>https://drive.google.com/open?id=1NZNH6pdeukgxRI8eHYlndAgjsmXukwHz</t>
  </si>
  <si>
    <t>B640</t>
  </si>
  <si>
    <t>PT52</t>
  </si>
  <si>
    <t>https://www.facebook.com/vum27557</t>
  </si>
  <si>
    <r>
      <rPr>
        <sz val="12"/>
        <color theme="1"/>
        <rFont val="Times New Roman"/>
        <family val="1"/>
      </rPr>
      <t xml:space="preserve">Vũ Minh Anh </t>
    </r>
    <r>
      <rPr>
        <sz val="12"/>
        <color rgb="FFFF0000"/>
        <rFont val="Times New Roman"/>
        <family val="1"/>
      </rPr>
      <t>- đổi T học KA100</t>
    </r>
  </si>
  <si>
    <t>manhv2108@gmail.com</t>
  </si>
  <si>
    <t xml:space="preserve">Trường đại học tài chính - quản trị kinh doanh - thị trấn như quỳnh - văn lâm hưng yên </t>
  </si>
  <si>
    <t>https://drive.google.com/open?id=1-7fIQ5FJe1VC_pJqeZlV1EoNXOHj7aGJ</t>
  </si>
  <si>
    <t>PT47 =&gt; Chờ lớp. Tú chat</t>
  </si>
  <si>
    <t>https://www.facebook.com/profile.php?id=100063595983104</t>
  </si>
  <si>
    <t>Đồng Thị Thái</t>
  </si>
  <si>
    <t>dongthithai0311@gmail.</t>
  </si>
  <si>
    <t>68/112 phú diễn</t>
  </si>
  <si>
    <t>https://drive.google.com/open?id=1O9w6SBAUDmHp-1gPGFz77woQt8Rmxp9Y</t>
  </si>
  <si>
    <t xml:space="preserve"> https://www.facebook.com/trinhphuonganh21?mibextid=haYZDX</t>
  </si>
  <si>
    <t>Trịnh Thị Phương Anh</t>
  </si>
  <si>
    <t>trinhthiphuonganh2005@gmail.com</t>
  </si>
  <si>
    <t>Dc: Số 21 Ngõ 402 Đình Thôn, Mỹ Đình, Hà Nội</t>
  </si>
  <si>
    <t>https://drive.google.com/open?id=1ELV0EC5FdjE99AtHS8vY7QopXN-bGSYn</t>
  </si>
  <si>
    <t>https://www.facebook.com/anhphuong.269</t>
  </si>
  <si>
    <t>Hoàng Anh Phương</t>
  </si>
  <si>
    <t>phuong269103@gmail.com</t>
  </si>
  <si>
    <t>LỚP OFF</t>
  </si>
  <si>
    <t>https://www.facebook.com/profile.php?id=100048349662044&amp;mibextid=LQQJ4d</t>
  </si>
  <si>
    <t>dongocanh2235@gmail.com</t>
  </si>
  <si>
    <t>https://drive.google.com/open?id=1eJJZtjK-7vgWedIcrmSllDKfxEHY7QV6; https://drive.google.com/open?id=1Y4X1c78JdxsjC8xdSxf2koXYf02Yn6Sv</t>
  </si>
  <si>
    <t>OT62</t>
  </si>
  <si>
    <t>https://www.facebook.com/profile.php?id=100028895446257</t>
  </si>
  <si>
    <t>Nguyễn Viết Phúc Thuyết</t>
  </si>
  <si>
    <t xml:space="preserve">Đình Linh </t>
  </si>
  <si>
    <t>nguyenvietphucthuyet@gmail.com</t>
  </si>
  <si>
    <t>Cổng Kí Túc Xá Đại Học Mỏ Địa Chất, Ngõ 85 Lê Văn Hiến, Phường Đông Ngạc, Quận Bắc Từ Liêm, Hà Nội</t>
  </si>
  <si>
    <t>giảm trừ 137k</t>
  </si>
  <si>
    <t>https://drive.google.com/open?id=18P4fI9IqLqqGy2h_TFmnA_bTYnj1VFwi</t>
  </si>
  <si>
    <t>B595</t>
  </si>
  <si>
    <t>https://drive.google.com/open?id=1KxcJTPHVwLvFnFXi1zV0AyDuFaBvDWnq</t>
  </si>
  <si>
    <t>Phương báo HV chuyển T160 sang PT45. Nhài đưa tay</t>
  </si>
  <si>
    <t>PT45 =&gt;PT47</t>
  </si>
  <si>
    <t>https://www.facebook.com/manhtai.nguyen.9216?mibextid=ZbWKwL</t>
  </si>
  <si>
    <r>
      <rPr>
        <sz val="12"/>
        <color theme="1"/>
        <rFont val="Times New Roman"/>
        <family val="1"/>
      </rPr>
      <t xml:space="preserve">Nguyễn Mạnh Tài </t>
    </r>
    <r>
      <rPr>
        <sz val="12"/>
        <color rgb="FFFF0000"/>
        <rFont val="Times New Roman"/>
        <family val="1"/>
      </rPr>
      <t>(Cần hợp đồng)</t>
    </r>
  </si>
  <si>
    <t xml:space="preserve">nmanhtai9@gmail.com </t>
  </si>
  <si>
    <t>P 2302 Khu đô thị HH1A Linh Đàm, Hoàng Mai, Hà Nội</t>
  </si>
  <si>
    <t>https://drive.google.com/open?id=1fNOPdM8U6Hq2YAHihmKTr-W7_nocOO8_; https://drive.google.com/open?id=1BRQpeFqBq16eXZbTXwMGNQrlcuC8B7og</t>
  </si>
  <si>
    <t>https://www.facebook.com/profile.php?id=100046194879510&amp;mibextid=ZbWKwL</t>
  </si>
  <si>
    <t xml:space="preserve">Phạm Minh Quang </t>
  </si>
  <si>
    <t>quangphamminh579@gmail.com</t>
  </si>
  <si>
    <t>tổ 14, phường hữu nghị, tp hoà bình, tỉnh hoà bình</t>
  </si>
  <si>
    <t>https://drive.google.com/open?id=1Bw0XEJFraPBIx_-v1iq7I_3xTXxYat06</t>
  </si>
  <si>
    <t>OPT6</t>
  </si>
  <si>
    <t>https://www.facebook.com/profile.php?id=100055356698195</t>
  </si>
  <si>
    <t>Vũ Tiến Thành</t>
  </si>
  <si>
    <t>thanh249205@gmail.com</t>
  </si>
  <si>
    <t>số 71, Lê Văn Hiến, phường Đức Thắng, Bắc Từ Liêm</t>
  </si>
  <si>
    <t>https://drive.google.com/open?id=17rW6RPWyYaI4S4I3F5rNm9tK6VISQYQL</t>
  </si>
  <si>
    <t>PT48</t>
  </si>
  <si>
    <t>https://www.facebook.com/profile.php?id=100041491178432&amp;mibextid=ZbWKwL</t>
  </si>
  <si>
    <t>Phạm Thu Huyền</t>
  </si>
  <si>
    <t>Hp856516@gmail.com</t>
  </si>
  <si>
    <t>số nhà 1b, Ngõ 37 Vĩnh Hưng, quận Hoàng Mai, Hà Nội</t>
  </si>
  <si>
    <t>https://drive.google.com/open?id=1fR_ivlkkHf6NltGHWXsz92n__AzSw2C6</t>
  </si>
  <si>
    <t>https://www.facebook.com/profile.php?id=100033370592311&amp;mibextid=LQQJ4d Pt48</t>
  </si>
  <si>
    <r>
      <rPr>
        <sz val="12"/>
        <color theme="1"/>
        <rFont val="Times New Roman"/>
        <family val="1"/>
      </rPr>
      <t xml:space="preserve">Vũ Thị Dung </t>
    </r>
    <r>
      <rPr>
        <sz val="12"/>
        <color rgb="FFFF0000"/>
        <rFont val="Times New Roman"/>
        <family val="1"/>
      </rPr>
      <t>(HV hẹn sang VP lấy)</t>
    </r>
  </si>
  <si>
    <t>dungvuthi122005@gmail.com</t>
  </si>
  <si>
    <t>Cổ Nhuế, Bắc Từ Liêm, Cầu Giấy, Hà Nội</t>
  </si>
  <si>
    <t>https://drive.google.com/open?id=1S1byQVBqvCLF5mRcc9bfrZ-OQ4PDemu8</t>
  </si>
  <si>
    <t>https://www.facebook.com/ducminn1103?mibextid=eBUYbo</t>
  </si>
  <si>
    <t xml:space="preserve">Sèn Minh Đức </t>
  </si>
  <si>
    <t>minhduchoangsuphi@gmail.com</t>
  </si>
  <si>
    <t>112 Mễ Trì Thượng, Nam Từ Liêm, Hà Nội</t>
  </si>
  <si>
    <t>https://drive.google.com/open?id=1K6MPofaee1VtZUbdMB9vH-7JOgzj7M6q</t>
  </si>
  <si>
    <t>PT50</t>
  </si>
  <si>
    <t>https://www.facebook.com/kookie.huyen.5832?mibextid=LQQJ4d</t>
  </si>
  <si>
    <t>Nguyễn Ngọc Huyền</t>
  </si>
  <si>
    <t>https://drive.google.com/open?id=1UPSv4kr0BksKfegLXVbdJuYvAX9CRbvd</t>
  </si>
  <si>
    <t>OPT5 =&gt;PT50</t>
  </si>
  <si>
    <t>https://www.facebook.com/trongg.viett.7?mibextid=nW3QTL</t>
  </si>
  <si>
    <t>Nguyễn Trọng Việt</t>
  </si>
  <si>
    <t>Liền kề 1-B10 khu đô thị splendora Bắc an Khánh - Hoài Đức - Hà Nội</t>
  </si>
  <si>
    <t>https://drive.google.com/open?id=1AvTmrf1stQy6rCgHmz91T94QQQgJzgZz</t>
  </si>
  <si>
    <t>https://www.facebook.com/profile.php?id=100078719882796</t>
  </si>
  <si>
    <t>Đặng Hồng Thanh</t>
  </si>
  <si>
    <t>thanh210477@gmail.com</t>
  </si>
  <si>
    <t>Thanh Trí-Minh Phú - Sóc Sơn- Hà Nội</t>
  </si>
  <si>
    <t>https://drive.google.com/open?id=1maSIIlDf7XZaxkrjAANr8K6GzOfbkseb</t>
  </si>
  <si>
    <t>https://www.facebook.com/trinh.giahan.3304</t>
  </si>
  <si>
    <r>
      <rPr>
        <sz val="12"/>
        <color theme="1"/>
        <rFont val="Times New Roman"/>
        <family val="1"/>
      </rPr>
      <t xml:space="preserve">Trịnh Gia Hân </t>
    </r>
    <r>
      <rPr>
        <sz val="12"/>
        <color rgb="FFFF0000"/>
        <rFont val="Times New Roman"/>
        <family val="1"/>
      </rPr>
      <t>- nhượng VIP cho Trang 0914972570</t>
    </r>
  </si>
  <si>
    <t xml:space="preserve">Giang </t>
  </si>
  <si>
    <t xml:space="preserve">giahantrinh05012005@gmail.com </t>
  </si>
  <si>
    <t xml:space="preserve">685/32 Xô Viết Nghệ Tĩnh, Bình Thạnh, TP HCM </t>
  </si>
  <si>
    <t>https://www.facebook.com/profile.php?id=100007187147773</t>
  </si>
  <si>
    <t xml:space="preserve">Trần Thị Hiền </t>
  </si>
  <si>
    <t>tranhien120598@gmail.com</t>
  </si>
  <si>
    <t>Kho NinjaVan, 386 Nguyễn Văn Linh, KCN Đài Tư, phường Sài Đồng, Long Biên, Hà Nội</t>
  </si>
  <si>
    <t>https://drive.google.com/open?id=14vLYXCJ5v1kZW0gAHRrwWxyYKZ4-ijev</t>
  </si>
  <si>
    <t>OT2</t>
  </si>
  <si>
    <t>https://www.facebook.com/profile.php?id=100047265876298&amp;mibextid=LQQJ4d</t>
  </si>
  <si>
    <r>
      <rPr>
        <sz val="12"/>
        <color theme="1"/>
        <rFont val="Times New Roman"/>
        <family val="1"/>
      </rPr>
      <t xml:space="preserve"> Lê Ngọc Hân</t>
    </r>
    <r>
      <rPr>
        <sz val="12"/>
        <color rgb="FFFF0000"/>
        <rFont val="Times New Roman"/>
        <family val="1"/>
      </rPr>
      <t xml:space="preserve"> - chuyển nhượng W, S cho</t>
    </r>
    <r>
      <rPr>
        <sz val="12"/>
        <color theme="1"/>
        <rFont val="Times New Roman"/>
        <family val="1"/>
      </rPr>
      <t xml:space="preserve"> </t>
    </r>
    <r>
      <rPr>
        <sz val="12"/>
        <color rgb="FFFF0000"/>
        <rFont val="Times New Roman"/>
        <family val="1"/>
      </rPr>
      <t>Kim Chi 973724205
Đã nộp 300K 19/06/2024</t>
    </r>
  </si>
  <si>
    <t>lengochanlnh05@gmail.com</t>
  </si>
  <si>
    <t>Số 1A ngõ 105/15 Doãn Kế Thiện, Mai Dịch, cầu giấy, Hà Nội</t>
  </si>
  <si>
    <t>https://drive.google.com/open?id=1JG1krcSM8wcrH4V9NQfnxz9U5Oeleomi, https://drive.google.com/open?id=19aLc8jky_OZ4uLCl4tNRmGxpJSoiOrK2</t>
  </si>
  <si>
    <t>https://www.facebook.com/profile.php?id=100069462744726&amp;mibextid=ZbWKwL</t>
  </si>
  <si>
    <t>Có Gứ Mờ</t>
  </si>
  <si>
    <t>bamo3520@gmail.com</t>
  </si>
  <si>
    <t>https://drive.google.com/open?id=1wu8L_qv8rvjFJzdKgN3hXpVcfOOp2woQ; https://drive.google.com/open?id=1Ie4LZt0ZOJuMZoJgJedSt_HGq8vMFmTv</t>
  </si>
  <si>
    <t>https://www.facebook.com/your.trng</t>
  </si>
  <si>
    <t>Phạm Lương Thị Thùy Trang</t>
  </si>
  <si>
    <t>cổng đại học thương mại 79 hồ tùng mậu, Mai Dịch, Cầu Giấy, Hà Nội</t>
  </si>
  <si>
    <t>https://drive.google.com/open?id=1LbIJIs9zkJsnb9O0y4q9uv-bABLHqftQ</t>
  </si>
  <si>
    <t>VIP63 bảo lưu b12. em gặp vấn đề về sức khoẻ tinh thần và cần có thời gian điều chỉnh và chữa trị</t>
  </si>
  <si>
    <t>https://www.facebook.com/luuhoanganhphuong294?mibextid=ZbWKwL</t>
  </si>
  <si>
    <t>Lưu Hoàng Anh Phương</t>
  </si>
  <si>
    <t>Số nhà 9C1B, ngõ 81, nguyễn phong sắc, CẦu Giấy, Hà Nội</t>
  </si>
  <si>
    <t>https://drive.google.com/open?id=1vSaNcxGVjWKR4dJrBSEc5ZUdaLw_8YWf</t>
  </si>
  <si>
    <t>https://www.facebook.com/quang.tran.0812</t>
  </si>
  <si>
    <t>Trần Minh Quang</t>
  </si>
  <si>
    <t>quang.82546@gmail.com</t>
  </si>
  <si>
    <t>số 03, đường 208 ấp 4 xã Hòa Phú, huyện Củ Chi, TPHCM</t>
  </si>
  <si>
    <t>https://drive.google.com/open?id=1WNnoV7QYgqduZEcimDZ7c1pJOqhfCl5Z</t>
  </si>
  <si>
    <t>https://www.facebook.com/profile.php?id=100047964951574</t>
  </si>
  <si>
    <t>Đặng Tất Phong</t>
  </si>
  <si>
    <t>dangtatphong13122005@gmail.com</t>
  </si>
  <si>
    <t xml:space="preserve">Quán BBQ Chicken số 20 đường Ngô gia tự, phường Lê Hồng phong, thành phố phủ lý, hà nam </t>
  </si>
  <si>
    <t>https://drive.google.com/open?id=1Zlw9LFyKAWmrxtn0RQhqzYyhyQWnzJxk</t>
  </si>
  <si>
    <t>https://www.facebook.com/khs.huyen</t>
  </si>
  <si>
    <r>
      <rPr>
        <sz val="12"/>
        <color theme="1"/>
        <rFont val="Times New Roman"/>
        <family val="1"/>
      </rPr>
      <t xml:space="preserve">Nguyễn Khánh Huyền </t>
    </r>
    <r>
      <rPr>
        <sz val="12"/>
        <color rgb="FFFF0000"/>
        <rFont val="Times New Roman"/>
        <family val="1"/>
      </rPr>
      <t>- nick Khánh Tép
T171 bảo lưu b14 đi quân sự. Quay lại học T185</t>
    </r>
  </si>
  <si>
    <t>Đông PA</t>
  </si>
  <si>
    <t>ngkhshuyen@gmail.com</t>
  </si>
  <si>
    <t xml:space="preserve">số nhà 298, cụm 4, thôn 3, xã thạch hoà, thạch thất, hà nội </t>
  </si>
  <si>
    <t>https://drive.google.com/open?id=18hwkkQVf556lncsh2spMdf8gOTCZrhtk</t>
  </si>
  <si>
    <t>Đã nộp 300K 28/12/2023</t>
  </si>
  <si>
    <t>https://www.facebook.com/profile.php?id=100049740908539&amp;mibextid=9R9pXO</t>
  </si>
  <si>
    <t>Vũ Thị Thảo</t>
  </si>
  <si>
    <t>vuthithao130905@gmail.com</t>
  </si>
  <si>
    <t>SN12 đường ngô gia tự tổ 3, Xã phù vân TP phủ lý , hà nam</t>
  </si>
  <si>
    <t>https://drive.google.com/open?id=1JgoR1ylY2bh-Mu2sv5MgFPJJSiweYVss</t>
  </si>
  <si>
    <t>PT49 =&gt;PT50</t>
  </si>
  <si>
    <t>https://www.facebook.com/profile.php?id=100055195807282</t>
  </si>
  <si>
    <t>học off</t>
  </si>
  <si>
    <t>https://drive.google.com/open?id=1gHR4R93S0Xh-JDFlJBlWOxnxA1Fz8KJb</t>
  </si>
  <si>
    <t>PT51</t>
  </si>
  <si>
    <t>https://www.facebook.com/ngocvinh199</t>
  </si>
  <si>
    <t>Lương Ngọc Vinh</t>
  </si>
  <si>
    <t>71 ngô gia tự - lê hồng phong - phủ lý - hà nam</t>
  </si>
  <si>
    <t>https://drive.google.com/open?id=1u_PU2uRkty3yFMYUPLYYE3HIu1yiQwL-</t>
  </si>
  <si>
    <t>https://www.facebook.com/profile.php?id=100041188943855</t>
  </si>
  <si>
    <t>Nguyễn Khương Duy</t>
  </si>
  <si>
    <t>Hùng</t>
  </si>
  <si>
    <t>nduy13006@gmail.com</t>
  </si>
  <si>
    <t xml:space="preserve">Cuối ngõ 1 xu thôn một phù vân phủ lý Hà Nam
</t>
  </si>
  <si>
    <t>https://drive.google.com/open?id=14A4BJJHOrt5D24nzEDlezY_Gt_DGqJje</t>
  </si>
  <si>
    <t>https://www.facebook.com/hoang.lanphuong.7524?mibextid=ZbWKwL</t>
  </si>
  <si>
    <t xml:space="preserve"> Hoàng Thị Lan Phương</t>
  </si>
  <si>
    <t>hoanglanphuong29012005@gmail.com</t>
  </si>
  <si>
    <t>số 12, tổ 3, đường Ngô Gia Tự,Tp Phủ Lý, Hà Nam</t>
  </si>
  <si>
    <t>https://drive.google.com/open?id=1Alx1k-eFFIPs9TbZOw3eYqQ6IqF--udz</t>
  </si>
  <si>
    <t>https://www.facebook.com/leduchuy1610?mibextid=LQQJ4d</t>
  </si>
  <si>
    <t>Lê Đức Huy</t>
  </si>
  <si>
    <t xml:space="preserve"> leduchuy148@gmail.com, </t>
  </si>
  <si>
    <t xml:space="preserve">142 Lí Thường Kiệt, Phủ Lí, Hà Nam </t>
  </si>
  <si>
    <t>https://drive.google.com/open?id=1I_lOqKaVHvp6X3Undzl3uPEx2IeyJZXi</t>
  </si>
  <si>
    <t>https://www.facebook.com/panhhh.05?mibextid=LQQJ4d</t>
  </si>
  <si>
    <t xml:space="preserve">Vũ Thị Phương Anh </t>
  </si>
  <si>
    <t>anhvtpph48422hn@gmail.com</t>
  </si>
  <si>
    <t>số nhà 74 ngõ 341 xuân phương nam từ liêm hà nội</t>
  </si>
  <si>
    <t>https://drive.google.com/open?id=1yN01sckpyy08rkV2kFZvqjkKL5w82UXv</t>
  </si>
  <si>
    <t>https://www.facebook.com/khanh.toan.Isme</t>
  </si>
  <si>
    <t xml:space="preserve">Đỗ Khánh Toàn </t>
  </si>
  <si>
    <t>dokhanhtoan2k5@gmail.com</t>
  </si>
  <si>
    <t>134 ngõ 218 chợ khâm thiên- xã đàn</t>
  </si>
  <si>
    <t>https://drive.google.com/open?id=1rC8OqZ1JWKv2v0ktMRNFM4tohD_VYPHg</t>
  </si>
  <si>
    <t>mát gốc</t>
  </si>
  <si>
    <t>PT53</t>
  </si>
  <si>
    <t>https://www.facebook.com/profile.php?id=100057443211582</t>
  </si>
  <si>
    <r>
      <rPr>
        <sz val="12"/>
        <color theme="1"/>
        <rFont val="Times New Roman"/>
        <family val="1"/>
      </rPr>
      <t xml:space="preserve">Vũ Huy Hoàng </t>
    </r>
    <r>
      <rPr>
        <sz val="12"/>
        <color rgb="FFFF0000"/>
        <rFont val="Times New Roman"/>
        <family val="1"/>
      </rPr>
      <t>- nick Hoàng Bảo
Đã chuyển nhượngThu Thảo 329307661</t>
    </r>
  </si>
  <si>
    <t>Trà chanh 12 quận, phường Lê Hồng Phong, Phủ Lý, Hà Nam</t>
  </si>
  <si>
    <t>https://drive.google.com/open?id=1yqwCT791dNrFeIS_Nj0vUIMpMsxgCQjt</t>
  </si>
  <si>
    <t>Cần gửi sách sớm</t>
  </si>
  <si>
    <t>https://www.facebook.com/profile.php?id=100013380550813&amp;mibextid=LQQJ4d</t>
  </si>
  <si>
    <r>
      <rPr>
        <sz val="12"/>
        <color theme="1"/>
        <rFont val="Times New Roman"/>
        <family val="1"/>
      </rPr>
      <t xml:space="preserve">Hoàng Thái Sơn </t>
    </r>
    <r>
      <rPr>
        <sz val="12"/>
        <color rgb="FFFF0000"/>
        <rFont val="Times New Roman"/>
        <family val="1"/>
      </rPr>
      <t>(Cần hợp đồng)</t>
    </r>
  </si>
  <si>
    <t xml:space="preserve">Thiếu </t>
  </si>
  <si>
    <t xml:space="preserve">Quán Trà sữa bin bin tổ 8 Lê Hồng Phong phủ lý hà nam
</t>
  </si>
  <si>
    <t>https://drive.google.com/open?id=1LGMHDw1pdY8YdqshJl3Swho5qCxnxcsY</t>
  </si>
  <si>
    <t>https://www.facebook.com/profile.php?id=100054984843903</t>
  </si>
  <si>
    <t xml:space="preserve">Nguyễn Ngọc Khánh  </t>
  </si>
  <si>
    <t>nnkhanhthhbg@gmail.com</t>
  </si>
  <si>
    <t xml:space="preserve"> số nhà 32b ngõ 362b Nam Dư Phường Thanh Trì quận Hoàng Mai Hà Nội</t>
  </si>
  <si>
    <t>https://drive.google.com/open?id=1Cmf24girt0jmnAqpXIwa0xkdeMlyXNvo</t>
  </si>
  <si>
    <t>https://www.facebook.com/profile.php?id=100020612886223</t>
  </si>
  <si>
    <r>
      <rPr>
        <sz val="12"/>
        <color theme="1"/>
        <rFont val="Times New Roman"/>
        <family val="1"/>
      </rPr>
      <t xml:space="preserve">Lê Văn Khánh </t>
    </r>
    <r>
      <rPr>
        <sz val="12"/>
        <color rgb="FFFF0000"/>
        <rFont val="Times New Roman"/>
        <family val="1"/>
      </rPr>
      <t>- sđt cũ 961539321</t>
    </r>
  </si>
  <si>
    <t>levankhanh770@gmail.con</t>
  </si>
  <si>
    <t>đã nhận tại văn phòng</t>
  </si>
  <si>
    <t>https://drive.google.com/open?id=1oOIF7ihRJWoKkpgy6ve7Q8T73AHSOCWK</t>
  </si>
  <si>
    <t>Nhài đưa tay Phương Anh</t>
  </si>
  <si>
    <t>OPT7</t>
  </si>
  <si>
    <t>https://www.facebook.com/profile.php?id=100053464005023</t>
  </si>
  <si>
    <t>Trần Thị Hảo</t>
  </si>
  <si>
    <t>Hương</t>
  </si>
  <si>
    <t>haotran3092005@gmail.</t>
  </si>
  <si>
    <t>tại lớp</t>
  </si>
  <si>
    <t>https://drive.google.com/open?id=1tQaCcj608ERiv58vDbk1-1UsiBE554lB</t>
  </si>
  <si>
    <t>T137</t>
  </si>
  <si>
    <t>https://www.facebook.com/profile.php?id=100027237852088</t>
  </si>
  <si>
    <t>Phạm Thị Minh Thủy</t>
  </si>
  <si>
    <t>136/296 minh khai</t>
  </si>
  <si>
    <t>https://drive.google.com/open?id=1mj7M4LK59O7N12ytBSHTFTAOV-ZlYqi8</t>
  </si>
  <si>
    <t>https://www.facebook.com/karry.trang.7311</t>
  </si>
  <si>
    <t xml:space="preserve">Bùi Thị Huyền Trang  </t>
  </si>
  <si>
    <t>Duong</t>
  </si>
  <si>
    <t>Trangkarry1892@gmail.com</t>
  </si>
  <si>
    <t>32 ngũ nhạc- thanh trì- hoàng mai, Hà Nội</t>
  </si>
  <si>
    <t>https://drive.google.com/open?id=1Wop0t7tcvtGUeQAsmBC5re6yXDh5AX5z</t>
  </si>
  <si>
    <t>Mát góc</t>
  </si>
  <si>
    <t>https://www.facebook.com/profile.php?id=100015057487165</t>
  </si>
  <si>
    <t>Dương Kin Đạt</t>
  </si>
  <si>
    <t>duongkimdat09@gmail.com</t>
  </si>
  <si>
    <t>04 TT6.1 khu Đô Thị Ao Sào - Thịnh Liệt - Hoàng Mai - Hà Nội</t>
  </si>
  <si>
    <t>https://drive.google.com/open?id=1u9X1NnlGXCrztMHRMr9CVgBNTdvLKfqL</t>
  </si>
  <si>
    <t>https://www.facebook.com/profile.php?id=100057673704717&amp;mibextid=LQQJ4d</t>
  </si>
  <si>
    <r>
      <rPr>
        <sz val="12"/>
        <color theme="1"/>
        <rFont val="Times New Roman"/>
        <family val="1"/>
      </rPr>
      <t>Nguyễn Ngọc Thiên Ân</t>
    </r>
    <r>
      <rPr>
        <sz val="12"/>
        <color rgb="FFFF0000"/>
        <rFont val="Times New Roman"/>
        <family val="1"/>
      </rPr>
      <t xml:space="preserve"> (đã gửi full sách) 0866921651 sđt mới</t>
    </r>
  </si>
  <si>
    <t xml:space="preserve">nguyenthithanhtoan.2004@gmail.com </t>
  </si>
  <si>
    <t xml:space="preserve">Hà thanh - yên nhân - yên mô - ninh bình </t>
  </si>
  <si>
    <t>https://drive.google.com/open?id=1s8wAhT2HyKRVeZux18nupVHUjzuVfpVS</t>
  </si>
  <si>
    <t>Dương báo gửi FULL sách. Bạn mang sang nước ngoài</t>
  </si>
  <si>
    <t xml:space="preserve">https://www.facebook.com/profile.php?id=100057339324135&amp;mibextid=ZbWKwL           </t>
  </si>
  <si>
    <t>Vũ Thuỷ Tiên</t>
  </si>
  <si>
    <t xml:space="preserve">175 Tây sơn , đống đa, hà nội ( cổng sau trường đh thuỷ lợi) </t>
  </si>
  <si>
    <t>https://drive.google.com/open?id=14ZTzUK19mmDt73FoFjghkbZY8Ek7RCCm, https://drive.google.com/open?id=1wdKEGy9CPoy_7431zfhapPkLiwsZY4Fd</t>
  </si>
  <si>
    <t>https://www.facebook.com/profile.php?id=100014082186994&amp;mibextid=LQQJ4d</t>
  </si>
  <si>
    <t>Đinh Hoài Thu</t>
  </si>
  <si>
    <t>dinhhoaithu205@gmail.com</t>
  </si>
  <si>
    <t>Số nhà 14 phố văn hội phường đức thắng</t>
  </si>
  <si>
    <t>https://drive.google.com/open?id=1NZ8qyax4-xxQZx2yTglyxffIbCgoqyKV</t>
  </si>
  <si>
    <t>https://www.facebook.com/superidol.hd?mibextid=LQQJ4d</t>
  </si>
  <si>
    <t>Phạm Đức Duy</t>
  </si>
  <si>
    <t>HỌC OFF</t>
  </si>
  <si>
    <t>https://drive.google.com/open?id=160yKQxu4PDyV74PBsljxfxH-Zm843cMJ, https://drive.google.com/open?id=1iOOsv8FhSIpL-W-2lP74gR1itmmBYYnx</t>
  </si>
  <si>
    <t>https://www.facebook.com/huong.phann.1</t>
  </si>
  <si>
    <t>Phạm Thị Xuân Hương</t>
  </si>
  <si>
    <t>xuanhuonghhhh@gmail.com</t>
  </si>
  <si>
    <t>tại văn phòng Hồ Tùng Mậu</t>
  </si>
  <si>
    <t>https://drive.google.com/open?id=1CKGNd0dXu60xsLWBYMxOIPi00XP-_ll0</t>
  </si>
  <si>
    <t>https://www.facebook.com/kii.ntluong</t>
  </si>
  <si>
    <t xml:space="preserve"> Nguyễn Thị Lương </t>
  </si>
  <si>
    <t>Luongthcstt1@gmail.com</t>
  </si>
  <si>
    <t>Nhà 153, ngõ 175/5 Định công, Hoàng Mai , Hà Nội</t>
  </si>
  <si>
    <t>https://drive.google.com/open?id=1-4LjSdye3SNYSmsaGAfaA8iY-x42e7kD</t>
  </si>
  <si>
    <t>https://www.facebook.com/huylu2804</t>
  </si>
  <si>
    <t xml:space="preserve"> Vũ Đức Huy </t>
  </si>
  <si>
    <t xml:space="preserve"> nhokvip004@gmail.com</t>
  </si>
  <si>
    <t xml:space="preserve">451 Trương Định, Hoàng Mai, Hà Nôi
</t>
  </si>
  <si>
    <t>https://drive.google.com/open?id=1co4UvEoFMhPTRdO7qEjaGXh7Dpt3wAAP</t>
  </si>
  <si>
    <t>Mát gốc</t>
  </si>
  <si>
    <t>https://www.facebook.com/youareonlyversion?mibextid=ZbWKwL</t>
  </si>
  <si>
    <r>
      <rPr>
        <sz val="12"/>
        <color theme="1"/>
        <rFont val="Times New Roman"/>
        <family val="1"/>
      </rPr>
      <t xml:space="preserve">Dương Ngọc Ánh </t>
    </r>
    <r>
      <rPr>
        <sz val="12"/>
        <color rgb="FFFF0000"/>
        <rFont val="Times New Roman"/>
        <family val="1"/>
      </rPr>
      <t>(Tặng áo L)</t>
    </r>
  </si>
  <si>
    <t>duongngocanh1907@gmail.com</t>
  </si>
  <si>
    <t>số 6, ngõ 12 Đào Tấn, Ba Đình, Hà Nội</t>
  </si>
  <si>
    <t>https://drive.google.com/open?id=1rMEXH16j_CPOiAeuQYaqq9GPvXU1ZEaG</t>
  </si>
  <si>
    <t>https://www.facebook.com/profile.php?id=100070201186377&amp;mibextid=LQQJ4d</t>
  </si>
  <si>
    <t>Trần Quốc Huy</t>
  </si>
  <si>
    <t>Off</t>
  </si>
  <si>
    <t>https://drive.google.com/open?id=1t5HFrFJrXxT_dGPwTpkceRiYVyIfEU5s</t>
  </si>
  <si>
    <t>Combo Toeic Lv(1+2) + Toeic S</t>
  </si>
  <si>
    <t>T183</t>
  </si>
  <si>
    <t>https://www.facebook.com/profile.php?id=100022279866938&amp;mibextid=9R9pXO</t>
  </si>
  <si>
    <r>
      <rPr>
        <sz val="12"/>
        <color theme="1"/>
        <rFont val="Times New Roman"/>
        <family val="1"/>
      </rPr>
      <t>Trần Thị Hà Phương</t>
    </r>
    <r>
      <rPr>
        <sz val="12"/>
        <color rgb="FFFF0000"/>
        <rFont val="Times New Roman"/>
        <family val="1"/>
      </rPr>
      <t xml:space="preserve"> (Cần hợp đồng)
đổi W học lại T</t>
    </r>
  </si>
  <si>
    <t>Trường đại học công nghiệp Hà nội , thôn 1 ,phường Lê Hồng Phong , Phù Vân, Phủ Lý, Hà Nam</t>
  </si>
  <si>
    <t>https://drive.google.com/open?id=1M3iSnCbH8tDiHa9Ny10EWS6-O4o9D5Lq</t>
  </si>
  <si>
    <t>đang học pt</t>
  </si>
  <si>
    <t xml:space="preserve">Chờ lớp </t>
  </si>
  <si>
    <t>https://www.facebook.com/sit.thu.7549?mibextid=LQQJ4d</t>
  </si>
  <si>
    <t>Nguyễn Minh Thu</t>
  </si>
  <si>
    <t>thuxit0812@gmail.com</t>
  </si>
  <si>
    <t>https://drive.google.com/open?id=1IvM8JtYAybRVftLCvzRJJjicSV-s4Qsf</t>
  </si>
  <si>
    <t>OPT8 =&gt; Chờ lớp</t>
  </si>
  <si>
    <t>https://www.facebook.com/chimte.trinn</t>
  </si>
  <si>
    <t xml:space="preserve">Nguyễn Thị Tuyết Trinh  </t>
  </si>
  <si>
    <t>nguyentuyettrinh249@gmail.com</t>
  </si>
  <si>
    <t xml:space="preserve">Số nhà 9a , ngõ 75 hồ tùng mậu, mai dịch, cầu giấy, hà nội </t>
  </si>
  <si>
    <t>https://drive.google.com/open?id=1izCWJo3vvheM1xeYcLzFnpbsDyA8ayP0, https://drive.google.com/open?id=1Q-hTAYU57XTlxw7shy87iuIOl5rr03we</t>
  </si>
  <si>
    <t>PT54</t>
  </si>
  <si>
    <t>https://www.facebook.com/thanh2104207?mibextid=2JQ9oc</t>
  </si>
  <si>
    <t xml:space="preserve">Đặng Hồng Thành </t>
  </si>
  <si>
    <t>thanhabcxyz207@gmail.com</t>
  </si>
  <si>
    <t>Thanh Trí -Minh Phú-Sóc Sơn-Hà Nội</t>
  </si>
  <si>
    <t>https://drive.google.com/open?id=1Ab67GovDq5hd_oGydOD3gbQu2eUD2RrH</t>
  </si>
  <si>
    <t>B630</t>
  </si>
  <si>
    <t>https://www.facebook.com/100024067505946/</t>
  </si>
  <si>
    <t>Ngô Thị Anh</t>
  </si>
  <si>
    <t>GV Thục Dung</t>
  </si>
  <si>
    <t>41 ngõ 218 lĩnh nam hoàng mai</t>
  </si>
  <si>
    <t>https://drive.google.com/open?id=1SBiyfWTZdHFxqohrfkaUyZT9R-9r2oGR, https://drive.google.com/open?id=1fwkqJQa80z7GlCuwus9tc8inEgM_EVIe</t>
  </si>
  <si>
    <t>https://www.facebook.com/100035829859949/</t>
  </si>
  <si>
    <t xml:space="preserve"> Lê Thị Thu Phương </t>
  </si>
  <si>
    <t xml:space="preserve">GV Văn Linh </t>
  </si>
  <si>
    <t>Cạnh chùa Hưng Phúc Tự Khoát Ngọc Hồi , Thanh Trì , Hà Nội</t>
  </si>
  <si>
    <t>https://drive.google.com/open?id=1xPrxI3Ep6Qgle6GnyuW2ybp03yphjYdk</t>
  </si>
  <si>
    <t>https://www.facebook.com/haoo.km?mibextid=LQQJ4d</t>
  </si>
  <si>
    <t>Đào Thị Hảo</t>
  </si>
  <si>
    <t>daohao0107@gmail.com</t>
  </si>
  <si>
    <t>https://drive.google.com/open?id=1jgpAnYWA1d4S4xyv_HfiUHeHq9ATxD7L; https://drive.google.com/open?id=1oYSmyLB8jNAAGCByenrshIHZiiO3XrpZ</t>
  </si>
  <si>
    <t>https://www.facebook.com/profile.php?id=100014689389673</t>
  </si>
  <si>
    <t>Nguyễn Văn Trung</t>
  </si>
  <si>
    <t>Chi</t>
  </si>
  <si>
    <t>Mrtrung333@gmail.com</t>
  </si>
  <si>
    <t>Thôn Phù Tải 2 - Đội 7 - Xã Kim Đính - Huyện Kim Thành - Tỉnh Hải Dương.</t>
  </si>
  <si>
    <t>https://drive.google.com/open?id=1YN7EbErIaFy1HK-GzKHkuke18_6FW8UP</t>
  </si>
  <si>
    <t>Ngõ 130 thôn an hạ xã an thượng huyện Hoài Đức Hà Nội</t>
  </si>
  <si>
    <t>https://drive.google.com/open?id=1ujeLhaB9TGbDSI7ZfOqj0fm_7ED5E8lO</t>
  </si>
  <si>
    <t>https://www.facebook.com/tranthii.kieuuly</t>
  </si>
  <si>
    <t xml:space="preserve">Trần Thị Kiều Ly </t>
  </si>
  <si>
    <t xml:space="preserve">Đ.Linh </t>
  </si>
  <si>
    <t>tly75142@gmai.com</t>
  </si>
  <si>
    <t xml:space="preserve">số nhà 52 ngõ 326 ngách 18 Bờ Tây sông Nhuệ - Cổ Nhuế 2 - Bắc Từ Liêm - Hà Nội  </t>
  </si>
  <si>
    <t>https://drive.google.com/open?id=1vIc7CJWvMxE5Yyaq1Rwd8g9QzEQw9Nmu</t>
  </si>
  <si>
    <t xml:space="preserve"> https://www.facebook.com/profile.php?id=100064236200804&amp;mibextid=LQQJ4d</t>
  </si>
  <si>
    <t xml:space="preserve">Nguyễn Thị Nhàn </t>
  </si>
  <si>
    <t>nguyenthinhan26082005@gmail.com</t>
  </si>
  <si>
    <t xml:space="preserve"> Số nhà 78 ngõ 447 Lạc long quân phường xuân la quận tây hồ tp Hà Nội
</t>
  </si>
  <si>
    <t>https://drive.google.com/open?id=1_RRIzR_UUcDxsBvP-N0ND0oto2-IjFU4</t>
  </si>
  <si>
    <t>OT4</t>
  </si>
  <si>
    <t>https://www.facebook.com/trang.vuongthi.92</t>
  </si>
  <si>
    <t>Vương Thị Trang</t>
  </si>
  <si>
    <t>Gv Thục Dung</t>
  </si>
  <si>
    <t xml:space="preserve">Nhận sách tại lớp Offline </t>
  </si>
  <si>
    <t>https://drive.google.com/open?id=1oLqsracgQ8jWUn_dEKX4UlU1Nfey6Vnt</t>
  </si>
  <si>
    <t>https://www.facebook.com/ndm.manh</t>
  </si>
  <si>
    <t xml:space="preserve">Nguyễn Đức Mạnh </t>
  </si>
  <si>
    <t xml:space="preserve"> ducmanh182005@gmail.com</t>
  </si>
  <si>
    <t xml:space="preserve">Số 14/1/23 đường văn hội, phường đức thắng
</t>
  </si>
  <si>
    <t>https://drive.google.com/open?id=1o1r6xTZwCeMMwXV_Gny5kkqPkOUeHuHs, https://drive.google.com/open?id=18fe54MMt6ffZrPQCnUo2VgVXwl133m5W</t>
  </si>
  <si>
    <t>https://www.facebook.com/an.buihuu.142?mibextid=MKOS29</t>
  </si>
  <si>
    <t>Bùi Hữu An</t>
  </si>
  <si>
    <t>kcn.daian@gmail.com</t>
  </si>
  <si>
    <t>Nhà số 7
Ngách 108 Ngõ 75 giải phóng Đồng tâm - hai bà trưng hà nội</t>
  </si>
  <si>
    <t>https://drive.google.com/open?id=1RNtGZ0LjyEveXyyTVMK7Z1ChyX2U4DnD</t>
  </si>
  <si>
    <t>https://www.facebook.com/profile.php?id=100059311505553</t>
  </si>
  <si>
    <t xml:space="preserve">Vũ Hoàng Dũng </t>
  </si>
  <si>
    <t>Vuhoangdung2003nb@gmail.com</t>
  </si>
  <si>
    <t xml:space="preserve">52/54 ngõ 168 nguyễn lân phương liệt thanh xuân
</t>
  </si>
  <si>
    <t>https://drive.google.com/open?id=11qp-hw_w6TJ8fmqbJJ10offBVJ4Li5wo, https://drive.google.com/open?id=1r7TrDtGRtSy_TmMHDgILvvHcMTCoRaeR</t>
  </si>
  <si>
    <t>https://www.facebook.com/vuxuan.hoa.3532?mibextid=LQQJ4d</t>
  </si>
  <si>
    <t xml:space="preserve">Vũ Xuân Hoà </t>
  </si>
  <si>
    <t xml:space="preserve">  Hoavu4780@gmail.com</t>
  </si>
  <si>
    <t xml:space="preserve">52/54- ngõ 168 nguyễn lân phường phương liệt quận thanh xuân Hn 
</t>
  </si>
  <si>
    <t>https://drive.google.com/open?id=13cRe50h-xL1aqXcChICLMZzjNp_hFxG6, https://drive.google.com/open?id=17D3tq-tCXtHjPA3Nhb1oG7Lso3AcYaPF</t>
  </si>
  <si>
    <t>T171</t>
  </si>
  <si>
    <t>https://www.facebook.com/phuthanh.nguyen.7146557?mibextid=LQQJ4d</t>
  </si>
  <si>
    <r>
      <rPr>
        <sz val="12"/>
        <color theme="1"/>
        <rFont val="Times New Roman"/>
        <family val="1"/>
      </rPr>
      <t xml:space="preserve">Nguyễn Phú Thành </t>
    </r>
    <r>
      <rPr>
        <sz val="12"/>
        <color rgb="FFFF0000"/>
        <rFont val="Times New Roman"/>
        <family val="1"/>
      </rPr>
      <t>- nick Thành Nguyên</t>
    </r>
  </si>
  <si>
    <t xml:space="preserve">thanhkako2k5@gmail.com </t>
  </si>
  <si>
    <t xml:space="preserve">358\trần đại nghĩa, hòa hải, ngũ hành sơn đà nẵng      </t>
  </si>
  <si>
    <t>https://drive.google.com/open?id=1M2GThCd-kexkBeChNnxed3Y08TxOLCqj</t>
  </si>
  <si>
    <t>https://www.facebook.com/khanhhuyen.nguyenthi.779642</t>
  </si>
  <si>
    <r>
      <rPr>
        <sz val="12"/>
        <color theme="1"/>
        <rFont val="Times New Roman"/>
        <family val="1"/>
      </rPr>
      <t>Nguyễn Thị Khánh Huyền</t>
    </r>
    <r>
      <rPr>
        <sz val="12"/>
        <color rgb="FFFF0000"/>
        <rFont val="Times New Roman"/>
        <family val="1"/>
      </rPr>
      <t xml:space="preserve"> - nick Huyền Đô</t>
    </r>
  </si>
  <si>
    <t>nguyenvantienchieu2000@gmail.com</t>
  </si>
  <si>
    <t xml:space="preserve"> Uỷ ban nhân dân Cổ Nhuế 1 , Cổ Nhuế, Hà Nội </t>
  </si>
  <si>
    <t>https://drive.google.com/open?id=1gR9dMyC52xe8qkCP_AfR9vOdZAIKpi_r, https://drive.google.com/open?id=1vfxXPu8dSMmgSxyVHt_17iAesgh3EeAL</t>
  </si>
  <si>
    <t>OT4 =&gt;OT3</t>
  </si>
  <si>
    <t>OT2 =&gt;OT4. Yến chat</t>
  </si>
  <si>
    <t>Vũ Thị Hằng</t>
  </si>
  <si>
    <t>113 Lê Văn Hiến Phường Đức Thắng Bắc Từ Liêm Hà Nội</t>
  </si>
  <si>
    <t>OPT15</t>
  </si>
  <si>
    <t>https://www.facebook.com/mius.mius.391?mibextid=ZbWKwL</t>
  </si>
  <si>
    <r>
      <rPr>
        <sz val="12"/>
        <color theme="1"/>
        <rFont val="Times New Roman"/>
        <family val="1"/>
      </rPr>
      <t xml:space="preserve">Đặng Thị Thảo </t>
    </r>
    <r>
      <rPr>
        <sz val="12"/>
        <color rgb="FFFF0000"/>
        <rFont val="Times New Roman"/>
        <family val="1"/>
      </rPr>
      <t>- Đã nộp 300K 15/12/2023
PT54 bảo lưu b7 trùng lịch học trên trường. Quay lại học OPT15</t>
    </r>
  </si>
  <si>
    <t>Gv Văn Linh</t>
  </si>
  <si>
    <t>Đơn Nguyên 2, ký túc xá Mỹ Đình, Nam Từ Liêm, Hà Nội</t>
  </si>
  <si>
    <t>https://drive.google.com/open?id=1ObFd7PdckttUBltT3Z49uT8JmkyetJme, https://drive.google.com/open?id=1qrhTlbMpIxloY4RghZ0VAnL0NC1g6Z2q</t>
  </si>
  <si>
    <t>OT6</t>
  </si>
  <si>
    <t>https://www.facebook.com/61551501339638/</t>
  </si>
  <si>
    <r>
      <rPr>
        <sz val="12"/>
        <color theme="1"/>
        <rFont val="Times New Roman"/>
        <family val="1"/>
      </rPr>
      <t xml:space="preserve">Đỗ Đức Hiếu </t>
    </r>
    <r>
      <rPr>
        <sz val="12"/>
        <color rgb="FFFF0000"/>
        <rFont val="Times New Roman"/>
        <family val="1"/>
      </rPr>
      <t>- nghỉ ngang học vài buổi</t>
    </r>
  </si>
  <si>
    <t>Team Hà Hiền</t>
  </si>
  <si>
    <t>Nhận sách off</t>
  </si>
  <si>
    <t>https://drive.google.com/open?id=12A76CQjVbxbyeEvFEMQ5qYvTFvk6xJwC</t>
  </si>
  <si>
    <t>Trả lương T09.2024</t>
  </si>
  <si>
    <t>OT4 =&gt;KG ko đi học</t>
  </si>
  <si>
    <t>262/20 ,phường 10 ,Lạc Long Quân,quận 11 thành phố Hồ Chí Minh</t>
  </si>
  <si>
    <r>
      <rPr>
        <sz val="12"/>
        <color theme="1"/>
        <rFont val="Times New Roman"/>
        <family val="1"/>
      </rPr>
      <t xml:space="preserve">Nguyễn Thế Ngọc </t>
    </r>
    <r>
      <rPr>
        <sz val="12"/>
        <color rgb="FFFF0000"/>
        <rFont val="Times New Roman"/>
        <family val="1"/>
      </rPr>
      <t>(OT5 =&gt;OT6)</t>
    </r>
  </si>
  <si>
    <t>T180</t>
  </si>
  <si>
    <r>
      <rPr>
        <sz val="12"/>
        <color theme="1"/>
        <rFont val="Times New Roman"/>
        <family val="1"/>
      </rPr>
      <t xml:space="preserve">Nguyễn Trường.
</t>
    </r>
    <r>
      <rPr>
        <sz val="12"/>
        <color rgb="FFFF0000"/>
        <rFont val="Times New Roman"/>
        <family val="1"/>
      </rPr>
      <t>OT8 bảo lưu b3 về quê chuyển sang học online. Huy báo. Học T180</t>
    </r>
  </si>
  <si>
    <t>Tổ Khuynh Thạch, Cải Đan, TP Sông Công, Thái Nguyên</t>
  </si>
  <si>
    <t>OT5 =&gt; OT7 =&gt;Chờ lớp</t>
  </si>
  <si>
    <t>Đã nộp 300K ngày 25/11/2023</t>
  </si>
  <si>
    <r>
      <rPr>
        <sz val="12"/>
        <color theme="1"/>
        <rFont val="Times New Roman"/>
        <family val="1"/>
      </rPr>
      <t xml:space="preserve">Nguyễn Mai Duyên </t>
    </r>
    <r>
      <rPr>
        <sz val="12"/>
        <color rgb="FFFF0000"/>
        <rFont val="Times New Roman"/>
        <family val="1"/>
      </rPr>
      <t>- Đã nộp 300K 27/02/24
T175 bảo lưu b3 bận việc cá nhân. Quay lại T202 b1</t>
    </r>
  </si>
  <si>
    <t>B614</t>
  </si>
  <si>
    <t>PT55</t>
  </si>
  <si>
    <t>https://www.facebook.com/minhphong.phong.5264</t>
  </si>
  <si>
    <r>
      <rPr>
        <sz val="12"/>
        <color theme="1"/>
        <rFont val="Times New Roman"/>
        <family val="1"/>
      </rPr>
      <t xml:space="preserve">Nguyễn Thị Lan Anh </t>
    </r>
    <r>
      <rPr>
        <sz val="12"/>
        <color rgb="FFFF0000"/>
        <rFont val="Times New Roman"/>
        <family val="1"/>
      </rPr>
      <t>(đổi GT LV3 =&gt; PT)</t>
    </r>
  </si>
  <si>
    <t>Nhà 32 ngách 123/22,ngõ 123 đường Xuân Phương, Phương Canh,Nam Từ Liêm,Hà Nội.</t>
  </si>
  <si>
    <t>https://drive.google.com/open?id=1Ev5YOXwu2-lRbTbDRMkMpjCpdPnw_ihP; https://drive.google.com/open?id=1TiY2YM_G2cNymA-hhnhVkUKPkLc7iudA</t>
  </si>
  <si>
    <t>Điền T04.2023</t>
  </si>
  <si>
    <t>VIP66</t>
  </si>
  <si>
    <t>Số nhà 9a10, ngõ 215 Trần Quốc Hoàn, Dịch Vọng Hậu, Cầu Giấy, Hà Nội</t>
  </si>
  <si>
    <t>KTX B6, Học viện Tài chính</t>
  </si>
  <si>
    <t>T175 bảo lưu b4 đi quân sự</t>
  </si>
  <si>
    <r>
      <rPr>
        <sz val="12"/>
        <color theme="1"/>
        <rFont val="Times New Roman"/>
        <family val="1"/>
      </rPr>
      <t xml:space="preserve">Nguyễn Thị Ngọc Ánh </t>
    </r>
    <r>
      <rPr>
        <sz val="12"/>
        <color rgb="FFFF0000"/>
        <rFont val="Times New Roman"/>
        <family val="1"/>
      </rPr>
      <t>(Hợp đồng)</t>
    </r>
  </si>
  <si>
    <t>P125 và GR16</t>
  </si>
  <si>
    <t>T178</t>
  </si>
  <si>
    <t>https://www.facebook.com/profile.php?id=100059375382549&amp;mibextid=LQQJ4d</t>
  </si>
  <si>
    <r>
      <rPr>
        <sz val="12"/>
        <color theme="1"/>
        <rFont val="Times New Roman"/>
        <family val="1"/>
      </rPr>
      <t xml:space="preserve">Đặng Thị Anh Thư </t>
    </r>
    <r>
      <rPr>
        <sz val="12"/>
        <color rgb="FFFF0000"/>
        <rFont val="Times New Roman"/>
        <family val="1"/>
      </rPr>
      <t>(Đức đã lấy áo hộ)</t>
    </r>
  </si>
  <si>
    <t>https://drive.google.com/open?id=13ObBIHh-r_jJOPyOcGjGNeT519gP8SFc, https://drive.google.com/open?id=1sXkeodrvAM7W5IJDB9Y8ZjZX0nzW9LZ3</t>
  </si>
  <si>
    <t>Trả lương T01.2023</t>
  </si>
  <si>
    <t>Ngô Đức lấy áo Toeic hộ trước để làm sự kiện Team Meca ở HV báo chí.</t>
  </si>
  <si>
    <t>https://www.facebook.com/profilecuazang?mibextid=LQQJ4d</t>
  </si>
  <si>
    <r>
      <rPr>
        <sz val="12"/>
        <color theme="1"/>
        <rFont val="Times New Roman"/>
        <family val="1"/>
      </rPr>
      <t>Nguyễn Thi Hương Giang</t>
    </r>
    <r>
      <rPr>
        <sz val="12"/>
        <color rgb="FFFF0000"/>
        <rFont val="Times New Roman"/>
        <family val="1"/>
      </rPr>
      <t xml:space="preserve"> (Đổi GT3 =&gt; Toeic 1)</t>
    </r>
  </si>
  <si>
    <t>Đức báo đổi GT3 sang Toeic 1</t>
  </si>
  <si>
    <t>040304005280</t>
  </si>
  <si>
    <t>89 Nguyễn Phong Sắc, Xuân Thuỷ, Cầu Giấy, Hà Nội</t>
  </si>
  <si>
    <t>đã Ck thừa</t>
  </si>
  <si>
    <t>https://drive.google.com/open?id=1MKZOWnDyh_4J-q0LA93GnQWxxSO5qoRg</t>
  </si>
  <si>
    <t>Trả lương T10.2022</t>
  </si>
  <si>
    <t>T197 chuyển dạng chờ lớp sau buổi 5 do học viên gặp vấn đề học tiếng Anh trên trường, chưa biết có tiếp tục học được không. a báo chuyển dạng chờ treo nhé e, vì bạn này ko tham gia cũng ko báo lại là có học hay nghỉ hay ntn. A có hỗ trợ và trao đổi e rồi đó</t>
  </si>
  <si>
    <r>
      <rPr>
        <sz val="12"/>
        <color theme="1"/>
        <rFont val="Times New Roman"/>
        <family val="1"/>
      </rPr>
      <t xml:space="preserve">Hà Duy Ngọc </t>
    </r>
    <r>
      <rPr>
        <sz val="12"/>
        <color rgb="FFFF0000"/>
        <rFont val="Times New Roman"/>
        <family val="1"/>
      </rPr>
      <t>- Đã nộp 300K 16/01/2024
T175 bảo lưu b1 đi quân sự. Quay lại học T197</t>
    </r>
  </si>
  <si>
    <t>Dương Huyền</t>
  </si>
  <si>
    <t>gần Siêu thị mini OHIO 2 , km15 thôn 3 thạch hòa , thạch thất, Hà Nội</t>
  </si>
  <si>
    <t>71/100</t>
  </si>
  <si>
    <r>
      <rPr>
        <sz val="12"/>
        <color theme="1"/>
        <rFont val="Times New Roman"/>
        <family val="1"/>
      </rPr>
      <t xml:space="preserve">Khuất Quang Cảnh </t>
    </r>
    <r>
      <rPr>
        <sz val="12"/>
        <color rgb="FFFF0000"/>
        <rFont val="Times New Roman"/>
        <family val="1"/>
      </rPr>
      <t>- Đã nộp 300K 18/2/24
T175 bảo lưu b10 đi quân sự. Quay lại T191 b9</t>
    </r>
  </si>
  <si>
    <t>số nhà 3, đường an đào a,  ngõ 239 đường an đào a thị trấn trâu quỳ, gia lâm, Hà Nội</t>
  </si>
  <si>
    <t>T114</t>
  </si>
  <si>
    <t>T177</t>
  </si>
  <si>
    <t>https://www.facebook.com/profile.php?id=100080268383837</t>
  </si>
  <si>
    <r>
      <rPr>
        <sz val="12"/>
        <color theme="1"/>
        <rFont val="Times New Roman"/>
        <family val="1"/>
      </rPr>
      <t xml:space="preserve">Nguyễn Thị Thanh Hoài </t>
    </r>
    <r>
      <rPr>
        <sz val="12"/>
        <color rgb="FFFF0000"/>
        <rFont val="Times New Roman"/>
        <family val="1"/>
      </rPr>
      <t>(học lại miễn phí do ko đạt đầu ra)</t>
    </r>
  </si>
  <si>
    <t>Huy cho học viên học lại do ko đạt đầu ra</t>
  </si>
  <si>
    <t>Số 6A, Ngõ 109 Quan Nhân, Nhân Chính, Thanh Xuân, Hà Nội</t>
  </si>
  <si>
    <t>https://drive.google.com/open?id=1R5wf1GokuqDjL582GnwzK3ZWvOYhf5BI</t>
  </si>
  <si>
    <t>Trả lương T11.2022</t>
  </si>
  <si>
    <t>Không đạt đầu ra. Huy cho học lại</t>
  </si>
  <si>
    <t>Đã nộp 200K mua sách ngày 19/10/2023.</t>
  </si>
  <si>
    <r>
      <rPr>
        <sz val="12"/>
        <color theme="1"/>
        <rFont val="Times New Roman"/>
        <family val="1"/>
      </rPr>
      <t xml:space="preserve">Nguyễn Thị Luyện </t>
    </r>
    <r>
      <rPr>
        <sz val="12"/>
        <color rgb="FFFF0000"/>
        <rFont val="Times New Roman"/>
        <family val="1"/>
      </rPr>
      <t>(Huy cho học lại miễn phí)</t>
    </r>
  </si>
  <si>
    <t>Đã gửi sách PT31</t>
  </si>
  <si>
    <t>P130</t>
  </si>
  <si>
    <t>B</t>
  </si>
  <si>
    <t>GR18</t>
  </si>
  <si>
    <t>https://www.facebook.com/profile.php?id=100031991585827&amp;mibextid=LQQJ4d</t>
  </si>
  <si>
    <r>
      <rPr>
        <sz val="12"/>
        <color theme="1"/>
        <rFont val="Times New Roman"/>
        <family val="1"/>
      </rPr>
      <t>Vũ Thị Hương Giang</t>
    </r>
    <r>
      <rPr>
        <sz val="12"/>
        <color rgb="FFFF0000"/>
        <rFont val="Times New Roman"/>
        <family val="1"/>
      </rPr>
      <t xml:space="preserve"> (đã học P130)</t>
    </r>
  </si>
  <si>
    <r>
      <rPr>
        <u/>
        <sz val="12"/>
        <color rgb="FF1155CC"/>
        <rFont val="Times New Roman"/>
        <family val="1"/>
      </rPr>
      <t>https://drive.google.com/open?id=1FSsyLKQSt8FJE57vpMiSr3cwT4tFVn51</t>
    </r>
    <r>
      <rPr>
        <u/>
        <sz val="12"/>
        <color rgb="FF1155CC"/>
        <rFont val="Times New Roman"/>
        <family val="1"/>
      </rPr>
      <t>, https://drive.google.com/open?id=12C7DaLq4EYRDW6QE9SFUzIJyRD45enkm</t>
    </r>
  </si>
  <si>
    <t>Combo GT Lv(1+2)+Toeic Lv(1+2)</t>
  </si>
  <si>
    <t>A905</t>
  </si>
  <si>
    <t>https://www.facebook.com/profile.php?id=100032486327563</t>
  </si>
  <si>
    <t>Ánh Tuyết</t>
  </si>
  <si>
    <t>TDP Diện - Phường Hồng Tiến - Thành phố Phổ Yên - Thái Nguyên</t>
  </si>
  <si>
    <t>https://drive.google.com/open?id=12ZLDFMottbycQ6jNyH41Fur1ixpgn-wu</t>
  </si>
  <si>
    <t>Trả lương T9</t>
  </si>
  <si>
    <t>B597</t>
  </si>
  <si>
    <t>https://www.facebook.com/bth1406</t>
  </si>
  <si>
    <r>
      <rPr>
        <sz val="12"/>
        <color theme="1"/>
        <rFont val="Times New Roman"/>
        <family val="1"/>
      </rPr>
      <t xml:space="preserve">Bùi Tuấn Hiệp </t>
    </r>
    <r>
      <rPr>
        <sz val="12"/>
        <color rgb="FFFF0000"/>
        <rFont val="Times New Roman"/>
        <family val="1"/>
      </rPr>
      <t>(đổi GT3 sang Toeic 1)</t>
    </r>
  </si>
  <si>
    <t>Toà nha mia house sân bóng Phú Hữu, Bình Yên, Thạch Thất, Hà Nội</t>
  </si>
  <si>
    <t>https://drive.google.com/open?id=1oFE6DPp2WDfjT5iSVH2Nwsljli68fSQt</t>
  </si>
  <si>
    <t>PT60</t>
  </si>
  <si>
    <t>T195</t>
  </si>
  <si>
    <t>https://www.facebook.com/profile.php?id=100014966648126</t>
  </si>
  <si>
    <r>
      <rPr>
        <sz val="12"/>
        <color theme="1"/>
        <rFont val="Times New Roman"/>
        <family val="1"/>
      </rPr>
      <t xml:space="preserve">Hoàng Thế Thắng </t>
    </r>
    <r>
      <rPr>
        <sz val="12"/>
        <color rgb="FFFF0000"/>
        <rFont val="Times New Roman"/>
        <family val="1"/>
      </rPr>
      <t>(đổi GT3 =&gt;Toeic 2)</t>
    </r>
  </si>
  <si>
    <t>Hải Yến báo đổi LV</t>
  </si>
  <si>
    <t xml:space="preserve"> 83/182 Phú Diễn, Bắc Từ Liêm, Hà Nội</t>
  </si>
  <si>
    <t>https://drive.google.com/open?id=1rzByRt3V7bp9_4ldnZ3nvUlEkqo9M3Bu; https://drive.google.com/open?id=1qjWEUuY2jLOWEIN7QgVhpHi_IYE-fM5A</t>
  </si>
  <si>
    <t>Trả lương T6.2023</t>
  </si>
  <si>
    <t>Toeic Lv(1+2) + Toeic S</t>
  </si>
  <si>
    <t>B616</t>
  </si>
  <si>
    <t>https://www.facebook.com/diemquynh.3104</t>
  </si>
  <si>
    <r>
      <rPr>
        <sz val="12"/>
        <color theme="1"/>
        <rFont val="Times New Roman"/>
        <family val="1"/>
      </rPr>
      <t>Nguyễn Vũ Diễm Quỳnh</t>
    </r>
    <r>
      <rPr>
        <sz val="12"/>
        <color rgb="FFFF0000"/>
        <rFont val="Times New Roman"/>
        <family val="1"/>
      </rPr>
      <t xml:space="preserve"> (đổi GT3 =&gt; Toeic nói)</t>
    </r>
  </si>
  <si>
    <t>Số 475 đường Cổ Nhuế, Cổ Nhuế 2, Bắc Từ Liêm, Hà Nội</t>
  </si>
  <si>
    <t>07/01/2023
21/02/2023</t>
  </si>
  <si>
    <r>
      <rPr>
        <u/>
        <sz val="12"/>
        <color rgb="FF1155CC"/>
        <rFont val="Times New Roman"/>
        <family val="1"/>
      </rPr>
      <t>https://drive.google.com/open?id=1YxCXCOdk-L8B8osFMqpXCIzRKNmuxCpE</t>
    </r>
    <r>
      <rPr>
        <u/>
        <sz val="12"/>
        <color rgb="FF1155CC"/>
        <rFont val="Times New Roman"/>
        <family val="1"/>
      </rPr>
      <t>, https://drive.google.com/file/d/1TzSdc-UBuXbatmOzaLRTm30j6cqjRT2Z/view, https://drive.google.com/file/d/1pwAeyjBrObBN3hMpRT0AMw1sGT0V4Y5A/view</t>
    </r>
  </si>
  <si>
    <t>Gửi Yến Meca</t>
  </si>
  <si>
    <t>https://www.facebook.com/profile.php?id=100041928701331&amp;mibextid=LQQJ4d</t>
  </si>
  <si>
    <r>
      <rPr>
        <sz val="12"/>
        <color theme="1"/>
        <rFont val="Times New Roman"/>
        <family val="1"/>
      </rPr>
      <t xml:space="preserve">Nguyễn Ánh Tuyết </t>
    </r>
    <r>
      <rPr>
        <sz val="12"/>
        <color rgb="FFFF0000"/>
        <rFont val="Times New Roman"/>
        <family val="1"/>
      </rPr>
      <t>(nhận chuyển nhượng của Tuyết 0965604732)
Đã nộp 300K chuyển nhượng 03/11/2023</t>
    </r>
  </si>
  <si>
    <t>Hải Yến báo</t>
  </si>
  <si>
    <t>Số nhà 74 ngõ 59 phạm văn đồng cầu giấy hà nội</t>
  </si>
  <si>
    <t>https://drive.google.com/open?id=1vQpZmo-IqMaHN6AycrTp2-wfZULo_7by</t>
  </si>
  <si>
    <t>Trả lương T7</t>
  </si>
  <si>
    <t>Chờ Yến test và báo lại</t>
  </si>
  <si>
    <t>VIP67</t>
  </si>
  <si>
    <t>Nguyễn Công Quyền</t>
  </si>
  <si>
    <t>T142</t>
  </si>
  <si>
    <t>https://www.facebook.com/lowj.will</t>
  </si>
  <si>
    <r>
      <rPr>
        <sz val="12"/>
        <color theme="1"/>
        <rFont val="Times New Roman"/>
        <family val="1"/>
      </rPr>
      <t>Nguyễn Thanh Hằng</t>
    </r>
    <r>
      <rPr>
        <sz val="12"/>
        <color rgb="FFFF0000"/>
        <rFont val="Times New Roman"/>
        <family val="1"/>
      </rPr>
      <t xml:space="preserve"> (Đổi GT3 =&gt; Toeic 2)</t>
    </r>
  </si>
  <si>
    <t>Khánh báo</t>
  </si>
  <si>
    <t>nhà trọ Dương Thùy house, đối diện nhà hàng Thanh Xuân, thôn Hòa lạc, Xã Bình Yên, Huyện Thạch Thất, Hà Nội</t>
  </si>
  <si>
    <t>https://drive.google.com/open?id=1Wz8aKpxKHy2HVEduowRQ0uc0N6UDWHx1</t>
  </si>
  <si>
    <t>Số 7 ngõ 152 đường quyết thắng - yên nghĩa - hà đông - hà nội</t>
  </si>
  <si>
    <t>OT9</t>
  </si>
  <si>
    <r>
      <rPr>
        <sz val="12"/>
        <color theme="1"/>
        <rFont val="Times New Roman"/>
        <family val="1"/>
      </rPr>
      <t xml:space="preserve">Trịnh Thị Phương Anh </t>
    </r>
    <r>
      <rPr>
        <sz val="12"/>
        <color rgb="FFFF0000"/>
        <rFont val="Times New Roman"/>
        <family val="1"/>
      </rPr>
      <t>(OT7 =&gt;Chờ lớp) HV rút ở phút 89.</t>
    </r>
  </si>
  <si>
    <t>Học OFF phát ở lớp</t>
  </si>
  <si>
    <t>T141</t>
  </si>
  <si>
    <t>https://www.facebook.com/hang.nguyet.90813</t>
  </si>
  <si>
    <t>Lê Thị Nguyệt Hằng</t>
  </si>
  <si>
    <t>HV đăng ký lớp trong nhóm</t>
  </si>
  <si>
    <t>20T Nam định tower, phường cửa bắc , tp nam định, tỉnh nam định</t>
  </si>
  <si>
    <t>https://drive.google.com/open?id=1-6sQDXXIKyd9kjeRcFw5QucGw5YjNg3S</t>
  </si>
  <si>
    <t>P128 và GR</t>
  </si>
  <si>
    <t>OT18</t>
  </si>
  <si>
    <t>https://www.facebook.com/diep.nt.17102004?mibextid=LQQJ4d</t>
  </si>
  <si>
    <r>
      <rPr>
        <sz val="12"/>
        <color theme="1"/>
        <rFont val="Times New Roman"/>
        <family val="1"/>
      </rPr>
      <t xml:space="preserve">Ngô Thị Diệp </t>
    </r>
    <r>
      <rPr>
        <sz val="12"/>
        <color rgb="FFFF0000"/>
        <rFont val="Times New Roman"/>
        <family val="1"/>
      </rPr>
      <t>(Đổi GT3 =&gt; Toeic 1)</t>
    </r>
  </si>
  <si>
    <t>Hải Yến báo đổi lớp</t>
  </si>
  <si>
    <t>số nhà 20, ngõ 2, Phố Đình Quán, Phúc Diễn, Bắc Từ Liêm, Hà Nộ</t>
  </si>
  <si>
    <t>Chung 2-5</t>
  </si>
  <si>
    <t>https://drive.google.com/open?id=1EYXDtFE3tgH8zG1v_Jt5TEJExLNR9DVX, https://drive.google.com/open?id=18nCh0bBzOxRyDJsDbnE7wks8uctlpUNW</t>
  </si>
  <si>
    <t>OPT12</t>
  </si>
  <si>
    <t>Lớp OFF phát tại lớp</t>
  </si>
  <si>
    <t>OT8</t>
  </si>
  <si>
    <t>Đơn nguyên 1 ,  ktx Mỹ Đình, Hàm Nghi, Nam Từ Liêm, Hà Nội</t>
  </si>
  <si>
    <t>OT10</t>
  </si>
  <si>
    <r>
      <rPr>
        <sz val="12"/>
        <color theme="1"/>
        <rFont val="Times New Roman"/>
        <family val="1"/>
      </rPr>
      <t xml:space="preserve">Lò Thị Huyền Diệu </t>
    </r>
    <r>
      <rPr>
        <sz val="12"/>
        <color rgb="FFFF0000"/>
        <rFont val="Times New Roman"/>
        <family val="1"/>
      </rPr>
      <t>(sđt cũ 0354653374)</t>
    </r>
  </si>
  <si>
    <t>ngõ 19 đường đa lộc ,di trạch ,hoài đức, hà nội</t>
  </si>
  <si>
    <t>L_Nữ</t>
  </si>
  <si>
    <t>C163</t>
  </si>
  <si>
    <t>https://www.facebook.com/profile.php?id=100069984714656</t>
  </si>
  <si>
    <r>
      <rPr>
        <sz val="12"/>
        <color theme="1"/>
        <rFont val="Times New Roman"/>
        <family val="1"/>
      </rPr>
      <t xml:space="preserve">Phùng Thanh Phương </t>
    </r>
    <r>
      <rPr>
        <sz val="12"/>
        <color rgb="FFFF0000"/>
        <rFont val="Times New Roman"/>
        <family val="1"/>
      </rPr>
      <t>(đổi Toeic 1 =&gt; PT). Tiền thừa để học T1</t>
    </r>
  </si>
  <si>
    <t>Thanh Huyền xếp lớp</t>
  </si>
  <si>
    <t>Xóm Chóng, Yên Bài, Ba Vì, Hà Nội</t>
  </si>
  <si>
    <t>https://drive.google.com/open?id=1WL-4QrLW0nuv_DDjx7BeQwE3O7CeHuEW</t>
  </si>
  <si>
    <t>T201 bảo lưu b20 đi thực tập</t>
  </si>
  <si>
    <r>
      <rPr>
        <sz val="12"/>
        <color theme="1"/>
        <rFont val="Times New Roman"/>
        <family val="1"/>
      </rPr>
      <t xml:space="preserve">Trịnh Gia Hân </t>
    </r>
    <r>
      <rPr>
        <sz val="12"/>
        <color rgb="FFFF0000"/>
        <rFont val="Times New Roman"/>
        <family val="1"/>
      </rPr>
      <t xml:space="preserve">- đã nộp 300K 31/05/2024
T184 bảo lưu b1. Quay lại T201
</t>
    </r>
    <r>
      <rPr>
        <sz val="12"/>
        <color theme="1"/>
        <rFont val="Times New Roman"/>
        <family val="1"/>
      </rPr>
      <t>- nhượng VIP cho Trang 0914972570</t>
    </r>
  </si>
  <si>
    <t xml:space="preserve">Cà Ná, Thuận Nam, Ninh Thuận </t>
  </si>
  <si>
    <t>Số 3, ngõ 42 Trần Bình, Mai Dịch, Cầu Giấy, Hà Nội</t>
  </si>
  <si>
    <t>HV đến văn phòng lấy</t>
  </si>
  <si>
    <r>
      <rPr>
        <sz val="12"/>
        <color theme="1"/>
        <rFont val="Times New Roman"/>
        <family val="1"/>
      </rPr>
      <t>Vũ Thị Phương Anh</t>
    </r>
    <r>
      <rPr>
        <sz val="12"/>
        <color rgb="FFFF0000"/>
        <rFont val="Times New Roman"/>
        <family val="1"/>
      </rPr>
      <t xml:space="preserve"> - Đã nộp 300K 18/2/24
OT9 bảo lưu b4 đi quân sự. Quay lại học T202 b1</t>
    </r>
  </si>
  <si>
    <t>74 Ngõ 341 Xuân Phương Nam Từ Liêm Hà Nội</t>
  </si>
  <si>
    <r>
      <rPr>
        <sz val="12"/>
        <color theme="1"/>
        <rFont val="Times New Roman"/>
        <family val="1"/>
      </rPr>
      <t xml:space="preserve">Doãn Thị Chi Mai </t>
    </r>
    <r>
      <rPr>
        <sz val="12"/>
        <color rgb="FFFF0000"/>
        <rFont val="Times New Roman"/>
        <family val="1"/>
      </rPr>
      <t>- Đã nộp 300K 18/2/24
OT9 bảo lưu b4 đi quân sự. Quay lại học T202 b1</t>
    </r>
  </si>
  <si>
    <t>OT13 xin học online T191</t>
  </si>
  <si>
    <r>
      <rPr>
        <sz val="12"/>
        <color theme="1"/>
        <rFont val="Times New Roman"/>
        <family val="1"/>
      </rPr>
      <t>Lê Thị Thanh Thuý</t>
    </r>
    <r>
      <rPr>
        <sz val="12"/>
        <color rgb="FFFF0000"/>
        <rFont val="Times New Roman"/>
        <family val="1"/>
      </rPr>
      <t xml:space="preserve"> - Đã nộp 300K 11/01/2024</t>
    </r>
    <r>
      <rPr>
        <sz val="12"/>
        <color theme="1"/>
        <rFont val="Times New Roman"/>
        <family val="1"/>
      </rPr>
      <t xml:space="preserve">
</t>
    </r>
    <r>
      <rPr>
        <sz val="12"/>
        <color rgb="FFFF0000"/>
        <rFont val="Times New Roman"/>
        <family val="1"/>
      </rPr>
      <t>OT9 bảo lưu b4 đi quân sự. Quay lại học OT13 buổi 1</t>
    </r>
  </si>
  <si>
    <t>Đã nộp 300K 11/01/2024</t>
  </si>
  <si>
    <t>OT22</t>
  </si>
  <si>
    <r>
      <rPr>
        <sz val="12"/>
        <color theme="1"/>
        <rFont val="Times New Roman"/>
        <family val="1"/>
      </rPr>
      <t xml:space="preserve">Lê Văn Khánh </t>
    </r>
    <r>
      <rPr>
        <sz val="12"/>
        <color rgb="FFFF0000"/>
        <rFont val="Times New Roman"/>
        <family val="1"/>
      </rPr>
      <t>- sđt cũ 961539321. Đã nộp 300K 22/12/23
OT9 bảo lưu b6 do căng thẳng. Quay lại OT22 b1</t>
    </r>
  </si>
  <si>
    <t>Hoà Mục Hoàn Long Yên Mỹ Hưng Yên</t>
  </si>
  <si>
    <t>B639</t>
  </si>
  <si>
    <t>https://www.facebook.com/hungw1106?mibextid=LQQJ4d</t>
  </si>
  <si>
    <r>
      <rPr>
        <sz val="12"/>
        <color theme="1"/>
        <rFont val="Times New Roman"/>
        <family val="1"/>
      </rPr>
      <t xml:space="preserve"> Tống Duy Hùng</t>
    </r>
    <r>
      <rPr>
        <sz val="12"/>
        <color rgb="FFFF0000"/>
        <rFont val="Times New Roman"/>
        <family val="1"/>
      </rPr>
      <t xml:space="preserve"> (Đổi GT3 =&gt;Toeic 1)</t>
    </r>
  </si>
  <si>
    <t>Số nhà 12 hẻm 32/48/23 Đỗ Đức Dục, Hà Nội</t>
  </si>
  <si>
    <t>https://drive.google.com/open?id=1IDvT-OE2HeBktVM9JmPCIOJSVHXsANju</t>
  </si>
  <si>
    <t>Trả lương T12.2022</t>
  </si>
  <si>
    <t>https://www.facebook.com/Candyvirusss?mibextid=ZbWKwL</t>
  </si>
  <si>
    <r>
      <rPr>
        <sz val="12"/>
        <color theme="1"/>
        <rFont val="Times New Roman"/>
        <family val="1"/>
      </rPr>
      <t xml:space="preserve"> Phạm Hùng Mạnh </t>
    </r>
    <r>
      <rPr>
        <sz val="12"/>
        <color rgb="FFFF0000"/>
        <rFont val="Times New Roman"/>
        <family val="1"/>
      </rPr>
      <t>(OPT2 =&gt;OPT4) 0705748952 số cũ</t>
    </r>
  </si>
  <si>
    <t xml:space="preserve"> lordskt176@gmail.com</t>
  </si>
  <si>
    <t xml:space="preserve"> số 6 ngõ 43 Doãn Kế Thiện, Mai Dịch, Cầu giấy</t>
  </si>
  <si>
    <t>24/09/2023 vaf 19/10/2023</t>
  </si>
  <si>
    <t>https://drive.google.com/open?id=1KGOGe-IelbWEcZxB9FkGxrrGiigcLPDz; https://drive.google.com/open?id=18TU7P7v4o-BfqfB0c6ikkzuavwsT4dy8</t>
  </si>
  <si>
    <t>Trả lương T10.2023</t>
  </si>
  <si>
    <t>OPT2 =&gt;OPT4. HV trung lịch T2 ở trường</t>
  </si>
  <si>
    <t>https://www.facebook.com/lna9825?mibextid=LQQJ4d</t>
  </si>
  <si>
    <t xml:space="preserve"> Lê Nguyệt Ánh </t>
  </si>
  <si>
    <t>beiilie9825@gmail.com</t>
  </si>
  <si>
    <t>Địa chỉ nhận sách tdp Hồng Phong 1, phường Hải Ninh, Tx Nghi Sơn, Tỉnh Thanh Hoá</t>
  </si>
  <si>
    <t>https://drive.google.com/open?id=1HwCTybTbWSnLR4JbQ5w58tHBQmAxuGkS; https://drive.google.com/open?id=1sW_iTMwN-y2GBiZq1E3ch1Ztp4S__MYD</t>
  </si>
  <si>
    <t>https://www.facebook.com/profile.php?id=100093125886317</t>
  </si>
  <si>
    <t>Phạm Xuân Tuân</t>
  </si>
  <si>
    <t>Thôn Chỉ Choè , Xã Đồng Lạc , Huyện Yên Thế , Tỉnh Bắc Giang</t>
  </si>
  <si>
    <t>check</t>
  </si>
  <si>
    <t>https://drive.google.com/open?id=1wFkMOnHerXbQmpIkwkMH3qPN-GQtVI0e</t>
  </si>
  <si>
    <t>62/100</t>
  </si>
  <si>
    <t>https://www.facebook.com/profile.php?id=100026601651747&amp;mibextid=LQQJ4d</t>
  </si>
  <si>
    <t>Đoàn Thanh Thuỷ</t>
  </si>
  <si>
    <t>doanthanhthuy10072005@gmail.com</t>
  </si>
  <si>
    <t>Trường Đại Học Thương Mại 79 Hồ Tùng Mậu, Mai Dịch, Cầu Giấy, Hà Nội</t>
  </si>
  <si>
    <t>https://drive.google.com/open?id=1-Hsu_xz7hBtjCKUYGwxjPytRFE25d-Tc; https://drive.google.com/open?id=1J1T2fOIps25vbK17BOVENj0AJNc1QFS1</t>
  </si>
  <si>
    <t>XL</t>
  </si>
  <si>
    <t>600+</t>
  </si>
  <si>
    <t>https://www.facebook.com/profile.php?id=100024345584658&amp;mibextid=LQQJ4d</t>
  </si>
  <si>
    <r>
      <rPr>
        <sz val="12"/>
        <color theme="1"/>
        <rFont val="Times New Roman"/>
        <family val="1"/>
      </rPr>
      <t xml:space="preserve">Mỵ Thu Hiền </t>
    </r>
    <r>
      <rPr>
        <sz val="12"/>
        <color rgb="FFFF0000"/>
        <rFont val="Times New Roman"/>
        <family val="1"/>
      </rPr>
      <t>- nick Khánh Hiền</t>
    </r>
  </si>
  <si>
    <t>mythuhien308@gmail.com</t>
  </si>
  <si>
    <t>: U04-L34,khu đô thị Đô Nghĩa,Yên Nghĩa,Hà Đông</t>
  </si>
  <si>
    <t>04/09/2023 và 19/10/2023</t>
  </si>
  <si>
    <t>https://drive.google.com/open?id=1nJTxxzaba5dyGU5W3Rm-48ox44OemE12, https://drive.google.com/open?id=1Zi__Y8BX9ZvZbWsJ6dlNBZ3CpLroaj2y; https://drive.google.com/open?id=1GAyHYn9fj3li3oQv4Tk1PjQr1jB84ZGX</t>
  </si>
  <si>
    <t>https://www.facebook.com/profile.php?id=100044719773594&amp;mibextid=LQQJ4d</t>
  </si>
  <si>
    <t>Nguyễn Việt Toàn</t>
  </si>
  <si>
    <t>lên học off cs nhận</t>
  </si>
  <si>
    <t>06/09/2023 và 13/10/2023</t>
  </si>
  <si>
    <t>https://drive.google.com/open?id=1BmaQx-Yy_96-U6Kfbaonzxrb5sCT1sgL; https://drive.google.com/open?id=1Y6N8S3Wf1zj_lyzgr-8reqhLBg4-zGrf</t>
  </si>
  <si>
    <t>https://www.facebook.com/chongemlaPackChanyeol?mibextid=LQQJ4d</t>
  </si>
  <si>
    <t xml:space="preserve">Đặng Thị Hà Linh </t>
  </si>
  <si>
    <t>Học off</t>
  </si>
  <si>
    <t>20/09/2023 và 04/10/2023</t>
  </si>
  <si>
    <t>https://drive.google.com/open?id=14Tkg7LqPxUk5iEz_oB49Mn425lrH5hIO; https://drive.google.com/open?id=1O-Ufy1t5Y9aWY_8dCZtp7ZbmAmby1XUc; https://drive.google.com/open?id=1Mph6NsWd1Z1cIyrDxbLnhh6J4YjRZbGG</t>
  </si>
  <si>
    <t>Combo Toeic (S+ W) + Ôn thi CT (S&amp;W)</t>
  </si>
  <si>
    <t>https://www.facebook.com/phuong.sunflower.2312?mibextid=D4KYlr</t>
  </si>
  <si>
    <r>
      <rPr>
        <sz val="12"/>
        <color theme="1"/>
        <rFont val="Times New Roman"/>
        <family val="1"/>
      </rPr>
      <t xml:space="preserve">Nguyễn Mai Phương </t>
    </r>
    <r>
      <rPr>
        <sz val="12"/>
        <color rgb="FFFF0000"/>
        <rFont val="Times New Roman"/>
        <family val="1"/>
      </rPr>
      <t>(Cần hợp đồng)</t>
    </r>
  </si>
  <si>
    <t xml:space="preserve"> nguyenphuong231204@gmail.com</t>
  </si>
  <si>
    <t xml:space="preserve">9 ngõ 176 Mai Dịch, Cầu Giấy, HN </t>
  </si>
  <si>
    <t>https://drive.google.com/open?id=1QqQC8TenqDItX8JBOdacy7Emf7rz4dm6; https://drive.google.com/open?id=1f3QozEIWVYRinvuBiiEtlfhC3ne_MAIb</t>
  </si>
  <si>
    <t>https://www.facebook.com/profile.php?id=100077194073532</t>
  </si>
  <si>
    <r>
      <rPr>
        <sz val="12"/>
        <color theme="1"/>
        <rFont val="Times New Roman"/>
        <family val="1"/>
      </rPr>
      <t>Nguyễn Thị Dịu</t>
    </r>
    <r>
      <rPr>
        <sz val="12"/>
        <color rgb="FFFF0000"/>
        <rFont val="Times New Roman"/>
        <family val="1"/>
      </rPr>
      <t xml:space="preserve"> (Cần hợp đồng) </t>
    </r>
    <r>
      <rPr>
        <sz val="12"/>
        <color theme="1"/>
        <rFont val="Times New Roman"/>
        <family val="1"/>
      </rPr>
      <t>384818851</t>
    </r>
  </si>
  <si>
    <t>Quang Huy Meca</t>
  </si>
  <si>
    <t>Đại học công nghiệp cơ sở 3</t>
  </si>
  <si>
    <t>https://drive.google.com/open?id=1L_68QdusOKJ7yLZiWQUJANwYbzXnDTG5; https://drive.google.com/open?id=1bPntAseQJd8R0oVhQiF77r9DTH083Z80</t>
  </si>
  <si>
    <t>https://www.facebook.com/tuandang2805?mibextid=LQQJ4d</t>
  </si>
  <si>
    <t>Đặng Anh Tuấn</t>
  </si>
  <si>
    <t>tuangk2005@gmail.com</t>
  </si>
  <si>
    <t>https://drive.google.com/open?id=1g7GfkG8_m_KNh6yqAXWJAsZ9_JZat35C; https://drive.google.com/open?id=1MeAbl62OBuFm7Wl8NL1_MEi3iQNhQXxE</t>
  </si>
  <si>
    <t>https://www.facebook.com/quang.buiduy.3344?mibextid=LQQJ4d</t>
  </si>
  <si>
    <t>Bùi Duy Quang</t>
  </si>
  <si>
    <t>buiduyquang357@gmail.com</t>
  </si>
  <si>
    <t>https://drive.google.com/open?id=1LrrYS8poQZmQW94FnkF1uq2VsOdkXe1a; https://drive.google.com/open?id=1nxC_qqF6SHcVtWSfVxlazpRzW3_WoR5F</t>
  </si>
  <si>
    <t>OPT4 nghỉ hẳn buổi 5. HV đi du học ở nước ngoài</t>
  </si>
  <si>
    <t>https://www.facebook.com/profile.php?id=100041031022477&amp;mibextid=LQQJ4d</t>
  </si>
  <si>
    <t>Nguyễn Nguyên Đạt</t>
  </si>
  <si>
    <t>Liên</t>
  </si>
  <si>
    <t>datmit17022005@gmail.com</t>
  </si>
  <si>
    <r>
      <rPr>
        <u/>
        <sz val="12"/>
        <color rgb="FF1155CC"/>
        <rFont val="Times New Roman"/>
        <family val="1"/>
      </rPr>
      <t xml:space="preserve">https://drive.google.com/open?id=1uO_Wk_7Xx749UdCqMXww8GZ1-Pba3pes, </t>
    </r>
    <r>
      <rPr>
        <u/>
        <sz val="12"/>
        <color rgb="FF1155CC"/>
        <rFont val="Times New Roman"/>
        <family val="1"/>
      </rPr>
      <t>https://drive.google.com/open?id=1rjcwkwE6EmqWZDFtryaDWCZGbUay7uH6</t>
    </r>
  </si>
  <si>
    <t>https://www.facebook.com/profile.php?id=100018629419886&amp;mibextid=LQQJ4d</t>
  </si>
  <si>
    <t>Lê Minh Đức</t>
  </si>
  <si>
    <t>lebronjames2005@gmail.com</t>
  </si>
  <si>
    <t>https://drive.google.com/open?id=18b4L7q0vdB5GK6RmU6oIqURlP1gcMdup; https://drive.google.com/open?id=1WviAtXQslWVP6yZcvusXsFyssjgIMSUV</t>
  </si>
  <si>
    <t>https://www.facebook.com/profile.php?id=100011895188813&amp;mibextid=LQQJ4d</t>
  </si>
  <si>
    <r>
      <rPr>
        <sz val="12"/>
        <color theme="1"/>
        <rFont val="Times New Roman"/>
        <family val="1"/>
      </rPr>
      <t xml:space="preserve">Nguyễn Phương Thảo </t>
    </r>
    <r>
      <rPr>
        <sz val="12"/>
        <color rgb="FFFF0000"/>
        <rFont val="Times New Roman"/>
        <family val="1"/>
      </rPr>
      <t>(OPT5 khai giảng 1/10 học được 6 buổi. Bạn chuyển sang PT54 KG16/10 học 1 buổi)</t>
    </r>
  </si>
  <si>
    <t>https://drive.google.com/open?id=1Y0_SGgk2gjcdgbhlcj-mQFb3GtgnFVPk; https://drive.google.com/open?id=1rcb0V2HRGiRLPfwIWko8yqiDqVRm46Ds</t>
  </si>
  <si>
    <t>(OPT5 khai giảng 1/10 học được 6 buổi. Bạn chuyển sang PT54 KG16/10 học 1 buổi). Đã nộp 300K chuyển lớp ngày 20/10/2023</t>
  </si>
  <si>
    <t>https://www.facebook.com/profile.php?id=100013248129700&amp;mibextid=LQQJ4d</t>
  </si>
  <si>
    <t>Nguyễn Duy Mạnh</t>
  </si>
  <si>
    <t>Thế Anh</t>
  </si>
  <si>
    <t>manhmoon37@gmail.com</t>
  </si>
  <si>
    <t>Số 37, Đường Phú Mỹ, Mỹ Đình 2, Nam Từ Liêm Hà Nội</t>
  </si>
  <si>
    <t>https://drive.google.com/open?id=1Jf5waJOYuic6beAiWG42cua1qDq04H0s; https://drive.google.com/open?id=1In7YEBkvX6tUrVK8XsTwEy1imPEuWTrr</t>
  </si>
  <si>
    <t>https://www.facebook.com/longphaidau</t>
  </si>
  <si>
    <t>Nguyễn Hoàng Nam</t>
  </si>
  <si>
    <t>namkupjjn@gmail.com</t>
  </si>
  <si>
    <t>https://drive.google.com/open?id=1hGxYVn9oaBu60h8qkbDp2HYwVD4BwoGF; https://drive.google.com/open?id=1GKC-bjaM2YTwThTD12BZKuN9luHbu7Bw</t>
  </si>
  <si>
    <t>HV ở nước ngoài</t>
  </si>
  <si>
    <t>OPT4 xin nghỉ ngang ngày 20/10. Lớp KG 26/9</t>
  </si>
  <si>
    <t>https://www.facebook.com/profile.php?id=100053111581186&amp;mibextid=haYZDX</t>
  </si>
  <si>
    <t>Nguyễn Khánh Huyền</t>
  </si>
  <si>
    <t>170 Mỹ Sơn phường Vĩnh Trại, TP Lạng Sơn</t>
  </si>
  <si>
    <t>https://drive.google.com/open?id=1mHowN9dNylINYY4i686KlUrU3uXGKY6t</t>
  </si>
  <si>
    <t>https://www.facebook.com/profile.php?id=100037131578308&amp;mibextid=LQQJ4d</t>
  </si>
  <si>
    <r>
      <rPr>
        <sz val="12"/>
        <color theme="1"/>
        <rFont val="Times New Roman"/>
        <family val="1"/>
      </rPr>
      <t xml:space="preserve">Lê Thị Hương </t>
    </r>
    <r>
      <rPr>
        <sz val="12"/>
        <color rgb="FFFF0000"/>
        <rFont val="Times New Roman"/>
        <family val="1"/>
      </rPr>
      <t>(OPT2 =&gt;PT44)</t>
    </r>
  </si>
  <si>
    <t>hle37811@gmail.com</t>
  </si>
  <si>
    <t>Trần thái tông cầu giấy</t>
  </si>
  <si>
    <t>https://drive.google.com/open?id=14ubSghzBj950-aLu64FkaGL1ABghdZzu</t>
  </si>
  <si>
    <t>OPT4 =&gt;OPT2. Ngô Đức chat =&gt;PT44</t>
  </si>
  <si>
    <t>https://www.facebook.com/profile.php?id=100033009053752</t>
  </si>
  <si>
    <t>Vũ Minh Thư</t>
  </si>
  <si>
    <t>Số nhà 8G, ngõ 145 Phạm Văn Đồng, Mai Dịch, Cầu Giấy, Hà Nội</t>
  </si>
  <si>
    <t>https://drive.google.com/open?id=1Yl7Yb97vSMLuCP3tp5wZ7Bzyx7nkwFVt; https://drive.google.com/open?id=1yKecCw7eFceWV6PbMh_8ALU2vHZzIx6H</t>
  </si>
  <si>
    <t>VIP63 HV xin nghỉ ngang b9 do bận học trên trường</t>
  </si>
  <si>
    <t>https://www.facebook.com/khankchii</t>
  </si>
  <si>
    <t xml:space="preserve">Nguyễn Khánh Chi </t>
  </si>
  <si>
    <t xml:space="preserve">Số 4 ngõ 149 phố khương thượng </t>
  </si>
  <si>
    <t>https://drive.google.com/open?id=19lxtdFsm8DwW7_SHxE208bLqkqGDGgTq</t>
  </si>
  <si>
    <t>500+</t>
  </si>
  <si>
    <t>https://www.facebook.com/profile.php?id=100022120253231&amp;mibextid=LQQJ4d</t>
  </si>
  <si>
    <t>Lê Thị Huyền Trang</t>
  </si>
  <si>
    <t>huyntrang208@gmail.com</t>
  </si>
  <si>
    <t>Số nhà 21, ngõ 75 Hồ Tùng Mậu, BẮc Từ Liêm, Hà Nội</t>
  </si>
  <si>
    <t>https://drive.google.com/open?id=10biakBAZjiU3zfqxv69XJO3YQGTWVqLc; https://drive.google.com/open?id=1wHZPLFi8oCa8H-vaLaa92XqiWZKqU-2h</t>
  </si>
  <si>
    <t>Đức báo lên level</t>
  </si>
  <si>
    <t>https://www.facebook.com/thanh.t.nghiep?mibextid=cejktS</t>
  </si>
  <si>
    <t>Vũ Xuân Minh</t>
  </si>
  <si>
    <t>xuanminh2804@gmail.comm</t>
  </si>
  <si>
    <t>50 đường d5, phường phú hoà, tp thủ dầu một, bình dương</t>
  </si>
  <si>
    <t>https://drive.google.com/open?id=1VzKNQ1J9ep1pOnR_anlf3K4hAitQKM5g; https://drive.google.com/open?id=1_zhC_hh051q2Pw_B6z9LxSIz6s5dM6Wk</t>
  </si>
  <si>
    <t>https://www.facebook.com/profile.php?id=100010861515403&amp;mibextid=LQQJ4d</t>
  </si>
  <si>
    <t xml:space="preserve">Vũ Nhật Anh </t>
  </si>
  <si>
    <t>Vunhatanh0705@gmail.com</t>
  </si>
  <si>
    <t>Đại học lao động - xã hội</t>
  </si>
  <si>
    <t>https://drive.google.com/open?id=1tDjk8RtOqHF4hJBvcIHaXGVnFZAmKdLd; https://drive.google.com/open?id=1xGky92eQCGu_gL03TWNBFzq_WomZhiS1</t>
  </si>
  <si>
    <t>https://www.facebook.com/profile.php?id=100070895330214&amp;mibextid=LQQJ4d</t>
  </si>
  <si>
    <r>
      <rPr>
        <sz val="12"/>
        <color theme="1"/>
        <rFont val="Times New Roman"/>
        <family val="1"/>
      </rPr>
      <t xml:space="preserve">Đinh Trà My </t>
    </r>
    <r>
      <rPr>
        <sz val="12"/>
        <color rgb="FFFF0000"/>
        <rFont val="Times New Roman"/>
        <family val="1"/>
      </rPr>
      <t>(đổi OPT3 KG 22/9 sang PT49)</t>
    </r>
  </si>
  <si>
    <t>myt254100@gmail.com</t>
  </si>
  <si>
    <t>https://drive.google.com/open?id=1En0W35OK6gjCMFhcUCn5Re8ZYq8L1nRi; https://drive.google.com/open?id=1NItf1XKeubB8LnlxTXUN1B8ogXdqEGNI</t>
  </si>
  <si>
    <t>OPT3 đã KG tối 22/9. Ngô Đức báo chuyển sang PT49</t>
  </si>
  <si>
    <t>https://www.facebook.com/hannie.park.520?mibextid=LQQJ4d</t>
  </si>
  <si>
    <r>
      <rPr>
        <sz val="12"/>
        <color theme="1"/>
        <rFont val="Times New Roman"/>
        <family val="1"/>
      </rPr>
      <t xml:space="preserve">Chu Thị Hoàn </t>
    </r>
    <r>
      <rPr>
        <sz val="12"/>
        <color rgb="FFFF0000"/>
        <rFont val="Times New Roman"/>
        <family val="1"/>
      </rPr>
      <t>(Cần hợp đồng)</t>
    </r>
  </si>
  <si>
    <t>parkhannie9@gmail.com</t>
  </si>
  <si>
    <t>1317 phố Sáo, Ngãi Cầu, An Khánh, Hoài Đức, Hà Nội</t>
  </si>
  <si>
    <t>https://drive.google.com/open?id=1MK-lGGHZb-xTx_lJxF4_gCW7mO1ajEU5; https://drive.google.com/open?id=12-CAt96IyLm2Sf0DdrdpwPU_MiF6bnip</t>
  </si>
  <si>
    <t xml:space="preserve"> https://www.facebook.com/profile.php?id=100080828614738&amp;mibextid=LQQJ4d</t>
  </si>
  <si>
    <t>Nguyễn Yến Nhi</t>
  </si>
  <si>
    <t>866026557</t>
  </si>
  <si>
    <t>nnhi975.korea@gmail.com</t>
  </si>
  <si>
    <t>https://drive.google.com/open?id=1FtA7L3ZSrDBfT_tOOgae0s39u-k2t0oI; https://drive.google.com/open?id=1diyMhcTl5p2Yn_3k3RETJkj0odRUrnHo</t>
  </si>
  <si>
    <t>Xuống Combo</t>
  </si>
  <si>
    <t>OPT4 nghỉ ngang đi chữa bệnh</t>
  </si>
  <si>
    <t>https://www.facebook.com/chau.lamm.10?mibextid=9R9pXO</t>
  </si>
  <si>
    <r>
      <rPr>
        <sz val="12"/>
        <color theme="1"/>
        <rFont val="Times New Roman"/>
        <family val="1"/>
      </rPr>
      <t>Nguyễn Lam Châu</t>
    </r>
    <r>
      <rPr>
        <sz val="12"/>
        <color rgb="FFFF0000"/>
        <rFont val="Times New Roman"/>
        <family val="1"/>
      </rPr>
      <t xml:space="preserve"> (HV và phụ huynh xin dừng). Đã gọi điện trao đổi</t>
    </r>
  </si>
  <si>
    <t>https://drive.google.com/open?id=1UD9-LLhblAufuTrDkUwKvGPmBK2Cyxw2</t>
  </si>
  <si>
    <t>https://www.facebook.com/profile.php?id=100016840446932&amp;mibextid=7cd5pb</t>
  </si>
  <si>
    <t>Đinh Trọng Kiên</t>
  </si>
  <si>
    <t>Số nhà 26, ngõ 68 Triều Khúc</t>
  </si>
  <si>
    <t>https://drive.google.com/open?id=1yhp5TbD8MKaco6Dl3YO54oQKWlMM5EoL; https://drive.google.com/open?id=1sf98JPxFG1eD7trD1DYELO1gdKV6hPlL</t>
  </si>
  <si>
    <t>https://www.facebook.com/profile.php?id=100063633332946&amp;mibextid=ZbWKwL</t>
  </si>
  <si>
    <t>Nguyễn Quang Trung</t>
  </si>
  <si>
    <t>ngõ 262- Đông Âu hotel- Vĩnh Hưng- Hoàng Mai</t>
  </si>
  <si>
    <t>17/09/2023 và 10/10/2023</t>
  </si>
  <si>
    <t>https://drive.google.com/open?id=1LkHoaEXJ45s38_Jzdry6Ye8lVUOb5_2z; https://drive.google.com/open?id=1SkvHdX6w5gbT3NxtcwSNYqeYdc0JAqdy; https://drive.google.com/open?id=1VjdU1XP2D4e0Q3ZOrdy1q9_6xpGtcTuJ</t>
  </si>
  <si>
    <t>https://www.facebook.com/profile.php?id=100035530000674&amp;mibextid=LQQJ4d</t>
  </si>
  <si>
    <t>Đinh Văn Hùng</t>
  </si>
  <si>
    <t>số nhà 56 nghách 85 ngõ 164 Vương Thừa Vũ, Thanh Xuân Hà Nội</t>
  </si>
  <si>
    <t>https://drive.google.com/open?id=1sO4fuz56A5K27uDq5YxULvmMOFpGp9Qi; https://drive.google.com/open?id=1AK-YKsOahatp_i8yT8dM2E59RZ-ptzD9</t>
  </si>
  <si>
    <t>https://www.facebook.com/minion.trieu?mibextid=ZbWKwL</t>
  </si>
  <si>
    <t>Trịnh Quốc Triệu</t>
  </si>
  <si>
    <t>Tai32225@gmail.com</t>
  </si>
  <si>
    <t>ngách 224/62- Hoàng Mai- Hà Nội</t>
  </si>
  <si>
    <t>https://drive.google.com/open?id=1wBeZ4YEPDrhZnkB2wbX7o_egS__SylKS; https://drive.google.com/open?id=1PQKsZdURshKtbMLcygmPPJLEWLQbKmJT</t>
  </si>
  <si>
    <t>https://www.facebook.com/chang912005?mibextid=ZbWKwL</t>
  </si>
  <si>
    <t>Lê Thị Kiều Chang</t>
  </si>
  <si>
    <t>kieuchang9105@gmail.com</t>
  </si>
  <si>
    <t>Ktx trường múa</t>
  </si>
  <si>
    <t>https://drive.google.com/open?id=1m7C1gf8cogNGJmzZd7NfunqeXYqAm_QC; https://drive.google.com/open?id=1JA3IB1NUC4-qBunLEuMk-h2i-fVZf7zB</t>
  </si>
  <si>
    <t>https://www.facebook.com/profile.php?id=100025333098909&amp;mibextid=ZbWKwL</t>
  </si>
  <si>
    <t>Nguyenhaiyen205tb@gmail.com</t>
  </si>
  <si>
    <t>Ngõ 212 Phú Mỹ, Từ Liêm, Hà Nội</t>
  </si>
  <si>
    <t>https://drive.google.com/open?id=1rchoq89GzUAnIKU90NZ1F5_0WNFu4fOl; https://drive.google.com/open?id=19o5t7M4hiPaVfhEEvcdmbf32lcXQTySN</t>
  </si>
  <si>
    <t>https://www.facebook.com/profile.php?id=100044599085831&amp;mibextid=LQQJ4d</t>
  </si>
  <si>
    <r>
      <rPr>
        <sz val="12"/>
        <color theme="1"/>
        <rFont val="Times New Roman"/>
        <family val="1"/>
      </rPr>
      <t xml:space="preserve">Nguyễn Bích Ngọc </t>
    </r>
    <r>
      <rPr>
        <sz val="12"/>
        <color rgb="FFFF0000"/>
        <rFont val="Times New Roman"/>
        <family val="1"/>
      </rPr>
      <t>- số cũ 855104302</t>
    </r>
  </si>
  <si>
    <t xml:space="preserve">Nhà số 2 ngõ 383 đường Lý Thường Kiệt tổ 5 - Phường Ngọc Hà </t>
  </si>
  <si>
    <t>9/16/0232</t>
  </si>
  <si>
    <t>https://drive.google.com/open?id=1Vj2aLhep87gAoK_2rWA7X6bIPamzbNtN; https://drive.google.com/open?id=1AxiUPeOWpugjMSwugzCDG6l0P8sq-Efe</t>
  </si>
  <si>
    <t>https://www.facebook.com/profile.php?id=100040869501071&amp;mibextid=LQQJ4d</t>
  </si>
  <si>
    <t xml:space="preserve">Đào Diệu Hương </t>
  </si>
  <si>
    <t xml:space="preserve">hdaodieu05@gmail.com  </t>
  </si>
  <si>
    <t>https://drive.google.com/open?id=1dXKwN0s5b8giVEQp_WnOn_cd3YTQRkKY; https://drive.google.com/open?id=1LUqAFFc3KAND-MHYl_jrzfXqhO0mfgyy</t>
  </si>
  <si>
    <t>https://www.facebook.com/profile.php?id=100081252877427</t>
  </si>
  <si>
    <t>Nguyễn Trần Trung Hiếu</t>
  </si>
  <si>
    <t>hieucauthu@gmail.com</t>
  </si>
  <si>
    <t>số nhà 04 đường Trần Đức Sắc -Hồng Hà-TP Yên Bái</t>
  </si>
  <si>
    <t>https://drive.google.com/open?id=1bm3r4jzMAxrurYlW4_YhsPKeje88WL3r; https://drive.google.com/open?id=172-4Q284xMUG7QQEu_cFtQt4ECifRq4Q</t>
  </si>
  <si>
    <t>https://www.facebook.com/MaiChi2304?mibextid=LQQJ4d</t>
  </si>
  <si>
    <t xml:space="preserve">Trần Thị Mai Chi </t>
  </si>
  <si>
    <t>15/09/2023 và 08/10/2023</t>
  </si>
  <si>
    <t>https://drive.google.com/open?id=1D-BnDm2jcSvayW5_upKl8x91HISnZjCS, https://drive.google.com/open?id=1lmp7PplN2AxvVs1om4zLBSrGMnyh1d_X</t>
  </si>
  <si>
    <t>https://www.facebook.com/tranthikimhue2110?mibextid=LQQJ4d</t>
  </si>
  <si>
    <t>Trần Thị Kim Huệ</t>
  </si>
  <si>
    <t>HỌc off</t>
  </si>
  <si>
    <t>15/09/2023 và 06/10/2023</t>
  </si>
  <si>
    <t>https://drive.google.com/open?id=1iY0jODdcvMWrCfFW06PV0eEm0ZJCwYJg, https://drive.google.com/open?id=1Lmz7AfBS-zuzV3t9hPl2qOzWTkADQUnT; https://drive.google.com/open?id=1sA0ynmtNJqC9vUtNfFLL8vuPx3jz9wlc</t>
  </si>
  <si>
    <t>https://www.facebook.com/profile.php?id=100017352134897&amp;mibextid=LQQJ4d</t>
  </si>
  <si>
    <t>Phạm Hoàng Quốc Huy</t>
  </si>
  <si>
    <t>16/09/2023 và 08/10/2023</t>
  </si>
  <si>
    <t>https://drive.google.com/open?id=1Ld0voBvnGdui_9JVra6F3odCZlWHOlVI, https://drive.google.com/open?id=1mPIO5qqHAMUSJgcqIyvW4BmjVg4hIxtC</t>
  </si>
  <si>
    <t>https://www.facebook.com/dieulinh.lo.520?mibextid=LQQJ4d</t>
  </si>
  <si>
    <t>Lò Thị Diệu Linh</t>
  </si>
  <si>
    <t>17/09/2023 và 08/10/2023</t>
  </si>
  <si>
    <t>https://drive.google.com/open?id=1Olw45V6fi3pnB2BwiT8FJ_VzOEmBGy9Z, https://drive.google.com/open?id=1kHjRu2ntN11gAicRFM6rkLU4Ow7-icTB; https://drive.google.com/open?id=1K7AdM6gRV142SAauNJb0R2WC0y7uchk4</t>
  </si>
  <si>
    <t>https://www.facebook.com/profile.php?id=100066019002870&amp;mibextid=LQQJ4d</t>
  </si>
  <si>
    <t>Đinh Thảo Linh</t>
  </si>
  <si>
    <t>20/09/2023 và 10/10/2023</t>
  </si>
  <si>
    <t>https://drive.google.com/open?id=1d0V9kOYAJJ5Df7eIPzwFAlnlt3iVeo5C; https://drive.google.com/open?id=1xyavedqSvHlo7ZOVMHasRvF2AhBdf-DL</t>
  </si>
  <si>
    <t>https://www.facebook.com/dangchauanh2207?mibextid=2JQ9oc</t>
  </si>
  <si>
    <t xml:space="preserve">Đặng Châu Anh </t>
  </si>
  <si>
    <t>20/09/2023 và 23/10/2023</t>
  </si>
  <si>
    <t>https://drive.google.com/open?id=1wfEBkTsXQhtlaZxVpqcG-4PaY3SIdARX; https://drive.google.com/open?id=15WdYkPCFH2kzgbawsLlnZc2bOMbOD1-P; https://drive.google.com/open?id=19wBs9dHTcgdvyPo6Ce9JBilAk-OSGhOe</t>
  </si>
  <si>
    <t>https://www.facebook.com/profile.php?id=100055829710316&amp;mibextid=LQQJ4d</t>
  </si>
  <si>
    <t>Nguyễn Mai Phượng</t>
  </si>
  <si>
    <t>20/09/2023 và 12/10/2023</t>
  </si>
  <si>
    <t>https://drive.google.com/open?id=1tqI6UQiD9B3MrcP1kpgEaPTqTNhvfCM0; https://drive.google.com/open?id=1gBEdmiKI9A_GrZJDoMtvt2BZWpQBbpsk; https://drive.google.com/open?id=1Dsywed7i464di9_BKIGfLOKmyODXfoH1</t>
  </si>
  <si>
    <t>https://www.facebook.com/nam.nguyenss.3?mibextid=LQQJ4d</t>
  </si>
  <si>
    <r>
      <rPr>
        <sz val="12"/>
        <color theme="1"/>
        <rFont val="Times New Roman"/>
        <family val="1"/>
      </rPr>
      <t xml:space="preserve">Nguyễn Hải Nam </t>
    </r>
    <r>
      <rPr>
        <sz val="12"/>
        <color rgb="FFFF0000"/>
        <rFont val="Times New Roman"/>
        <family val="1"/>
      </rPr>
      <t>- 559037685 số cũ</t>
    </r>
  </si>
  <si>
    <t xml:space="preserve">Hằng </t>
  </si>
  <si>
    <t>18/10/2023 và 23/09/2023</t>
  </si>
  <si>
    <t>https://drive.google.com/open?id=1GBgRaDE7wh27UKE9eFLeu7whJO6vn6vY, https://drive.google.com/open?id=118Ii2wJs0wA7tG7u7TZRbZm4-iTEnUeq</t>
  </si>
  <si>
    <t>https://www.facebook.com/aori.katoriz.3?mibextid=ZbWKwL</t>
  </si>
  <si>
    <r>
      <rPr>
        <sz val="12"/>
        <color theme="1"/>
        <rFont val="Times New Roman"/>
        <family val="1"/>
      </rPr>
      <t xml:space="preserve">Trương Quang sơn </t>
    </r>
    <r>
      <rPr>
        <sz val="12"/>
        <color rgb="FFFF0000"/>
        <rFont val="Times New Roman"/>
        <family val="1"/>
      </rPr>
      <t>- 981693756 số cũ</t>
    </r>
  </si>
  <si>
    <t>Hai Anh</t>
  </si>
  <si>
    <t>Ngõ 225- Phương Canh-Nam Từ Liêm</t>
  </si>
  <si>
    <t>https://drive.google.com/open?id=15dcm65JmO6eT1-mLzsWTpwjRZZCxBuRC; https://drive.google.com/open?id=1T_-EMcsxVmgksmrb4Tivm4o_H5H973JU</t>
  </si>
  <si>
    <t>mât gốc</t>
  </si>
  <si>
    <t>https://www.facebook.com/profile.php?id=100072489504595&amp;mibextid=LQQJ4d</t>
  </si>
  <si>
    <t>Lại Phương Trang</t>
  </si>
  <si>
    <t>số nhà 797a, Tổ dân phố 1, Phường Phố Cò, Thành phố Sông Công, Tỉnh Thái Nguyên</t>
  </si>
  <si>
    <t>https://drive.google.com/open?id=1IGws563J5oDSLjH3kNjlYv-AYreymFyR, https://drive.google.com/open?id=1uwGr3zaQBy3nlLaoDe7p7zx7l6Hb-cK5</t>
  </si>
  <si>
    <t>Yến báo xuống Combo</t>
  </si>
  <si>
    <t>https://www.facebook.com/profile.php?id=100015260144680&amp;mibextid=ZbWKwL</t>
  </si>
  <si>
    <r>
      <rPr>
        <sz val="12"/>
        <color theme="1"/>
        <rFont val="Times New Roman"/>
        <family val="1"/>
      </rPr>
      <t xml:space="preserve">Nguyễn Đắc Bắc </t>
    </r>
    <r>
      <rPr>
        <sz val="12"/>
        <color rgb="FFFF0000"/>
        <rFont val="Times New Roman"/>
        <family val="1"/>
      </rPr>
      <t>862328126 số cũ</t>
    </r>
  </si>
  <si>
    <t>số 72/38 Đường Dương Quảng Hàm, Quan Hoa, Cầu Giấy, Hà Nội</t>
  </si>
  <si>
    <t>https://drive.google.com/open?id=1MaX3DDkjL2yEY0CqjgW9LSiodJNnMGHQ; https://drive.google.com/open?id=17Al1otHV4ktko1UiOVYXhvocLXQjGfFa</t>
  </si>
  <si>
    <t>https://www.facebook.com/nhunn95?mibextid=ZbWKwL</t>
  </si>
  <si>
    <t>Đỗ Thị Nhung</t>
  </si>
  <si>
    <t>caothihanh27011984@gmail.con</t>
  </si>
  <si>
    <t xml:space="preserve">19 ngõ 21 lê đức thọ, mỹ đình, hà nội </t>
  </si>
  <si>
    <t>https://drive.google.com/open?id=1yNGVICvJz2beKsv1gaqkYr4cDVKhg3AB; https://drive.google.com/open?id=1OhULKxxiqeztp0Nn4dMFWrzZdt1xmvfv</t>
  </si>
  <si>
    <t>https://www.facebook.com/profile.php?id=100089181947573&amp;mibextid=LQQJ4d</t>
  </si>
  <si>
    <t>Vũ Thị Thùy Linh</t>
  </si>
  <si>
    <t>linhvtt1272005@gmail.com</t>
  </si>
  <si>
    <t>xóm 14 Giao Tiến Giao Thủy Nam Định</t>
  </si>
  <si>
    <t>https://drive.google.com/open?id=1jbzNlHgkPQNv-ErOxyB1LY-_SsQCRSjZ; https://drive.google.com/open?id=1kskpGouUMa7yRuAXhda4chOFnzBwReQE</t>
  </si>
  <si>
    <t xml:space="preserve"> https://www.facebook.com/profile.php?id=100044355344758&amp;mibextid=LQQJ4d</t>
  </si>
  <si>
    <t>Hoàng Thị Mỹ Linh</t>
  </si>
  <si>
    <t>hoanglinh01012005@gmail.com</t>
  </si>
  <si>
    <t>Tại lớp</t>
  </si>
  <si>
    <t>https://drive.google.com/open?id=11L8YCqrxtmiD6TTHQ1JUK4CbgZHl68Kw; https://drive.google.com/open?id=1NYCSeByuPICrvIboAiEu6cOZEmqMlmBN</t>
  </si>
  <si>
    <t>https://www.facebook.com/profile.php?id=100091950354514&amp;mibextid=LQQJ4d</t>
  </si>
  <si>
    <t xml:space="preserve">Đinh Thị Thục Oanh </t>
  </si>
  <si>
    <t>dinhoanh4717@gmail.com</t>
  </si>
  <si>
    <t>https://drive.google.com/open?id=1bpV1MuKdv0-OkaJMy65sL7Y3BbS82dgX; https://drive.google.com/open?id=1MDo-ZUtsvG5ndpT1xBbrInob30-6GGLY</t>
  </si>
  <si>
    <t>https://www.facebook.com/ntp.agnes?mibextid=LQQJ4d</t>
  </si>
  <si>
    <t>thuphuong710bdh@gmail.com</t>
  </si>
  <si>
    <t>https://drive.google.com/open?id=1jflNXmS5q-612vE-hdAN8Ibz-TGQ0VHk; https://drive.google.com/open?id=1yx_XYE35ayipFZbNDfZjLBGD4qxCsDfZ</t>
  </si>
  <si>
    <t>https://www.facebook.com/mcii05?mibextid=LQQJ4d</t>
  </si>
  <si>
    <r>
      <rPr>
        <sz val="12"/>
        <color theme="1"/>
        <rFont val="Times New Roman"/>
        <family val="1"/>
      </rPr>
      <t>Nguyễn Mai Chi</t>
    </r>
    <r>
      <rPr>
        <sz val="12"/>
        <color rgb="FFFF0000"/>
        <rFont val="Times New Roman"/>
        <family val="1"/>
      </rPr>
      <t xml:space="preserve"> - Đã nộp 300K</t>
    </r>
    <r>
      <rPr>
        <sz val="12"/>
        <color theme="1"/>
        <rFont val="Times New Roman"/>
        <family val="1"/>
      </rPr>
      <t xml:space="preserve">
</t>
    </r>
    <r>
      <rPr>
        <sz val="12"/>
        <color rgb="FFFF0000"/>
        <rFont val="Times New Roman"/>
        <family val="1"/>
      </rPr>
      <t>OT1 bảo lưu b3. Quay lại học OT2</t>
    </r>
  </si>
  <si>
    <t>Nchi22848@gmail.com</t>
  </si>
  <si>
    <t>19/09/2023 và 23/10/2023</t>
  </si>
  <si>
    <t>https://drive.google.com/open?id=1jAxRVFFBVbHCu0bjDUusQirH1b_VwGZ6; https://drive.google.com/open?id=12RZGywbDzxs_wRB7TIDdDtTTwlAgRcFv</t>
  </si>
  <si>
    <t>Lớpp OFF. Đưa sách ở lớp.  Đã nộp 300K ngày 07/10/2023,
OT1 bảo lưu b3. Quay lại học OT2</t>
  </si>
  <si>
    <t>https://www.facebook.com/tuhan.mac.1441?mibextid=LQQJ4d</t>
  </si>
  <si>
    <t>Trần Thị Minh Hằng</t>
  </si>
  <si>
    <t>minhhang114524@gmail.com</t>
  </si>
  <si>
    <t>Số 3, Lương Ngọc Quyến, Hà Đông, Hà Nội</t>
  </si>
  <si>
    <t>https://drive.google.com/open?id=11ZMhxyYXyABFgtTXuq1DMNyJ4wu-1Lnd; https://drive.google.com/open?id=1CFRWpSRiTLv4-iebn9Fg1Di0fj8wJNmR</t>
  </si>
  <si>
    <t>PT47 đã gửi sách. HV xin rút do trùng lịch ở trường</t>
  </si>
  <si>
    <t>https://www.facebook.com/miuka.takahashi?mibextid=avESrC</t>
  </si>
  <si>
    <t>Nick cũ</t>
  </si>
  <si>
    <t>https://www.facebook.com/xuyen.chu.1023?mibextid=cejktS</t>
  </si>
  <si>
    <t>Chu Thị Bảo Xuyến</t>
  </si>
  <si>
    <t>21/09/2023 và 09/10/2023</t>
  </si>
  <si>
    <t>https://drive.google.com/open?id=1IfZnPwYaWBlRL01loFJCUlQQIlsiPbdT; https://drive.google.com/open?id=1OiRu0swYW5din8ZYiNncHNcC7GfKYu8u; https://drive.google.com/open?id=1p1R2fWc778n5_5hFMxTMKnHKx1EvN7r1</t>
  </si>
  <si>
    <t>https://www.facebook.com/yns.nieexinchao?mibextid=LQQJ4d</t>
  </si>
  <si>
    <t>Đỗ Thị Yến Nhi</t>
  </si>
  <si>
    <t>machikyennhi2005@gmail.com</t>
  </si>
  <si>
    <t>Địa chỉ nhận sách: tại trung tâm</t>
  </si>
  <si>
    <t>https://drive.google.com/open?id=1VtTZVfJy1ZIn55F7Tf6JJsJdA4niuyvj; https://drive.google.com/open?id=1FcNxNRmYFi0ucOYCQFb8AMY3kuIg6R2r</t>
  </si>
  <si>
    <t>https://www.facebook.com/profile.php?id=100025190046697&amp;mibextid=haYZDX</t>
  </si>
  <si>
    <t xml:space="preserve">Vũ Đức Tâm </t>
  </si>
  <si>
    <t>Xuân Đạt Meca</t>
  </si>
  <si>
    <t>vuductam2005@gmail.com</t>
  </si>
  <si>
    <t>Doãn Kế Thiện, Mai Dịch , Cầu giấy, HÀ Nội</t>
  </si>
  <si>
    <t>https://drive.google.com/open?id=1NaaywRYT-hTFrBLjMNWbHPH7RrKFwt96; https://drive.google.com/open?id=10ynoIYa9L9WDDb9yMsNihh84D29-BpI2</t>
  </si>
  <si>
    <t>https://www.facebook.com/profile.php?id=100042705532110&amp;mibextid=2JQ9oc</t>
  </si>
  <si>
    <t>Nguyễn Thị Hồng Ngọc</t>
  </si>
  <si>
    <t>hongngocc1611@gmail.com</t>
  </si>
  <si>
    <t xml:space="preserve">Địa chỉ ns: đạo đức - bình xuyên - vĩnh phúc
</t>
  </si>
  <si>
    <t>https://drive.google.com/open?id=18Devwn-vi1duRafakbYYOiRBDYzkqd3p; https://drive.google.com/open?id=1tzT99B1908Z9TAFHxgkhqK98-cACuGGI</t>
  </si>
  <si>
    <t>https://www.facebook.com/profile.php?id=100012985931022&amp;mibextid=LQQJ4d</t>
  </si>
  <si>
    <t>Trần Phương Lan</t>
  </si>
  <si>
    <t>https://drive.google.com/open?id=1h0BEEkHJsI4mdidVGEhmtAhCdIAKWYkh, https://drive.google.com/open?id=1fMfuQNcgysYpQ5fCTMggDhRhUpCd4tug; https://drive.google.com/open?id=1j1DMcE3BsQdIH3zsukmkvrqM4FwFQPzj</t>
  </si>
  <si>
    <t>https://www.facebook.com/nguyenthuyhau205</t>
  </si>
  <si>
    <t>Nguyễn Thị Thúy Hậu</t>
  </si>
  <si>
    <t xml:space="preserve">K211/79 Đống Đa - Phường Thạch Thang - Quận Hải Châu - Tp Đà Nẵng       </t>
  </si>
  <si>
    <t>https://drive.google.com/open?id=1QXphjwe9EuTvgiQ1Y6y6xvY8va8QD55t, https://drive.google.com/open?id=1T6kCvaw4ot5W536sHuGsR_aCq4hqd_Wt</t>
  </si>
  <si>
    <t>https://www.facebook.com/dttv.12</t>
  </si>
  <si>
    <t>Đỗ Vy</t>
  </si>
  <si>
    <t>https://drive.google.com/open?id=1GBnSGEx1E6Pnl7v261HVq6XLXLdhbeoa; https://drive.google.com/open?id=1oH42fk0kNfPetvBR2zuZFulE5uHhTplv</t>
  </si>
  <si>
    <t>https://www.facebook.com/profile.php?id=100041470830739&amp;mibextid=ZbWKwL</t>
  </si>
  <si>
    <t>Phùng Khánh Duy</t>
  </si>
  <si>
    <t>Tân</t>
  </si>
  <si>
    <t>22/09/2023 và 16/10/2023</t>
  </si>
  <si>
    <t>https://drive.google.com/open?id=1Fz7jfk_w9TZpqF9MLOBmFhRLFNrdv1Hq; https://drive.google.com/open?id=1ehSbIvi0B6KhPmXDUjZ2DB6Gx829ei5z; https://drive.google.com/open?id=1eLWjs3hoe4XHy1MPHL3_GYw_4H0vzZZ8</t>
  </si>
  <si>
    <t>https://www.facebook.com/profile.php?id=100076412443603&amp;mibextid=ZbWKwL</t>
  </si>
  <si>
    <t>Mạch Văn Vương</t>
  </si>
  <si>
    <t>k có</t>
  </si>
  <si>
    <t>Đại Học Mỏ Địa Chất</t>
  </si>
  <si>
    <t>https://drive.google.com/open?id=1eWhSVD-I81ruutox18P2hM1f1M0lCnto; https://drive.google.com/open?id=10pZDmWyOKIrWuRxm8n2GhwBXE7GEF4i1</t>
  </si>
  <si>
    <t>OPT6 =&gt;OPT3</t>
  </si>
  <si>
    <t>https://www.facebook.com/profile.php?id=100030563131798&amp;mibextid=ZbWKwL</t>
  </si>
  <si>
    <t>Nguyễn Văn Trường</t>
  </si>
  <si>
    <t>Nguyệt</t>
  </si>
  <si>
    <t>Xóm Bàn Đạt, xã Bàn Đạt, huyện Phú Bình, tỉnh Thái Nguyên</t>
  </si>
  <si>
    <t>https://drive.google.com/open?id=1fzrIZS97H7oT2uddvy63kG1JBJvtM3_Q</t>
  </si>
  <si>
    <t>Xuống level</t>
  </si>
  <si>
    <t>https://www.facebook.com/profile.php?id=100088674544844</t>
  </si>
  <si>
    <t>Trịnh Hoàng Phúc</t>
  </si>
  <si>
    <t xml:space="preserve">nhận tại lớp học </t>
  </si>
  <si>
    <t>https://drive.google.com/open?id=1kXwuh0AIsn3CyOa8H2cc4h8LDOk17EE4; https://drive.google.com/open?id=1xRxXc2y6rjOdi4adA2eH4pU3d1d-gnjF</t>
  </si>
  <si>
    <t>https://www.facebook.com/profile.php?id=100026342468506&amp;mibextid=ZbWKwL</t>
  </si>
  <si>
    <t>Phạm Thanh Hằng</t>
  </si>
  <si>
    <t>Số 2 ngõ 51 Lê Văn Hiến</t>
  </si>
  <si>
    <t>https://drive.google.com/open?id=16gRNtWV17fSQLAZRVYmXSXHTnT1J60Hr; https://drive.google.com/open?id=1pcIhHxcNtVvWXmLDXZXYF8-RCzT7afB9</t>
  </si>
  <si>
    <t>https://www.facebook.com/profile.php?id=100057919225364&amp;mibextid=ZbWKwL</t>
  </si>
  <si>
    <r>
      <rPr>
        <sz val="12"/>
        <color theme="1"/>
        <rFont val="Times New Roman"/>
        <family val="1"/>
      </rPr>
      <t>Đặng Thị Lý</t>
    </r>
    <r>
      <rPr>
        <sz val="12"/>
        <color rgb="FFFF0000"/>
        <rFont val="Times New Roman"/>
        <family val="1"/>
      </rPr>
      <t xml:space="preserve"> - nick Tuyệt Thế Dưa Leo</t>
    </r>
  </si>
  <si>
    <t>duca211103@gmail.com</t>
  </si>
  <si>
    <t>182 lương thế vinh, thanh xuân, hà nội</t>
  </si>
  <si>
    <t>https://drive.google.com/open?id=10Uk4f5AR90KEReqR2BGlE0t-DZXdj67I; https://drive.google.com/open?id=10IZwI-tMAZDGW4zuI5DY1GZ6zYbyNXCf</t>
  </si>
  <si>
    <t>https://www.facebook.com/tong.dung.547?mibextid=LQQJ4d</t>
  </si>
  <si>
    <t xml:space="preserve"> Tống Thị Thuỳ Dung</t>
  </si>
  <si>
    <t>dungttt2207@gmail.com</t>
  </si>
  <si>
    <t>Số nhà 2, 105/47 Doãn Kế Thiện, cầu giấy, Hà Nội</t>
  </si>
  <si>
    <t>https://drive.google.com/open?id=10lnWcL4hA-BD2YDZK2TVmFsOxxxeT8iK, https://drive.google.com/open?id=1l242SeyUhkXiiKWWicwEyIBPR72h6nj1; https://drive.google.com/open?id=11bQO4lH9KPVS-8Ad3w03sAhAzYl-RP_6</t>
  </si>
  <si>
    <t>https://www.facebook.com/profile.php?id=100024905732733&amp;mibextid=ZbWKwL</t>
  </si>
  <si>
    <t>Nguyễn Thị Dương</t>
  </si>
  <si>
    <t>duognt2005@gmail.com</t>
  </si>
  <si>
    <t>số 345 Ngô Xuân Quảng,Trâu Quỳ,Gia Lâm</t>
  </si>
  <si>
    <t>https://drive.google.com/open?id=11L3g2y66XcKvawiKNOGUUy1cFcwE__ud; https://drive.google.com/open?id=1UthgrsXQD2HGq1D2L4y_Y-t4n_yANaOb</t>
  </si>
  <si>
    <t>https://www.facebook.com/profile.php?id=100023655230027&amp;mibextid=LQQJ4d</t>
  </si>
  <si>
    <t xml:space="preserve">Phạm Lan Phương </t>
  </si>
  <si>
    <t>pp2294400@gmail.com</t>
  </si>
  <si>
    <t>ngách 162/28/12 Khương Đình, Thanh Xuân, Hà Nội</t>
  </si>
  <si>
    <t>28/09/2023 Huy đưa</t>
  </si>
  <si>
    <t>https://drive.google.com/open?id=1B2-6Svr6E0CEu0DZfxsQO2Ls5ir_zMzY; https://drive.google.com/open?id=1-ynviU1QNGdUrwmHT1sp8xF1ywKbom6L</t>
  </si>
  <si>
    <t>https://www.facebook.com/profile.php?id=100034390011315&amp;mibextid=LQQJ4d</t>
  </si>
  <si>
    <t>Nguyễn Thùy Dương</t>
  </si>
  <si>
    <t>n.t.duong165@gmail.com</t>
  </si>
  <si>
    <t>SN 360, TDP Xuân Lộc 2, Xuân Đỉnh, Bắc Từ Liêm, Hà Nội</t>
  </si>
  <si>
    <t>22/09/2023 và 28/10/2023</t>
  </si>
  <si>
    <t>https://drive.google.com/open?id=13ytyd7J9_lO5C82phTRGdmtLlJXGCrxh, https://drive.google.com/open?id=10rcCLBE4SQqE1o22NnDtg5mQ4uRj2zvN; https://drive.google.com/open?id=1CSlJXS8RNGJ1jnNHbpyMCndina6HR-JV</t>
  </si>
  <si>
    <t>https://www.facebook.com/profile.php?id=100042279292111&amp;mibextid=LQQJ4d</t>
  </si>
  <si>
    <t>Nguyễn Ngọc Quỳnh</t>
  </si>
  <si>
    <t xml:space="preserve">Số nhà 5 426/48/52 Đường Láng Đống Đa Hà Nội
</t>
  </si>
  <si>
    <t>21/09/2023 và 12/10/2023</t>
  </si>
  <si>
    <t>https://drive.google.com/open?id=1Wlyv6njxlV-ts5cmZVlP8CdA33fNfcUL, https://drive.google.com/open?id=1txnc7AHjcGQb17BmDSvZ18mh2cYVrs64; https://drive.google.com/open?id=1XZMmkkIa65nPrq1nQarWjbJYEb_3Dasr</t>
  </si>
  <si>
    <t>https://www.facebook.com/nguyen.n.thao.16906715?mibextid=LQQJ4d</t>
  </si>
  <si>
    <t>Nguyễn Thị Thảo Nguyên</t>
  </si>
  <si>
    <t>thaonguyennguyen903@gmail.com</t>
  </si>
  <si>
    <t>Số10, ngách 141/5, Lê Văn Hiến</t>
  </si>
  <si>
    <t>https://drive.google.com/open?id=1Nq_qx2dFxA4WLNuLPNFT02L3n3cxVRAX</t>
  </si>
  <si>
    <t>https://www.facebook.com/profile.php?id=100021314841373&amp;mibextid=LQQJ4d</t>
  </si>
  <si>
    <t xml:space="preserve">Trần Việt Hải </t>
  </si>
  <si>
    <t>https://drive.google.com/open?id=1_poNS-35j0OfKAX6SMxOJRqkUjOlvjVD; https://drive.google.com/open?id=1o-ODQiNDSG8Yk0xy7-r5fZOxPUUcmi6F</t>
  </si>
  <si>
    <t>https://www.facebook.com/vodlkathai?mibextid=ZbWKwL</t>
  </si>
  <si>
    <t xml:space="preserve"> Bùi Danh Thái </t>
  </si>
  <si>
    <t>vodlkathai1612@gmail.com</t>
  </si>
  <si>
    <t xml:space="preserve"> Ngõ 16 tổ 17, Khu văn hoá nghệ thuật , phường Mai Dịch , quận Cầu Giấy</t>
  </si>
  <si>
    <t>https://drive.google.com/open?id=1JvwMteSwGI8ojnM84XBJ9nwuHS1EWYEm; https://drive.google.com/open?id=1ByQEBC9VZipH5ZBOSWYpnGm3eg3Uti8z</t>
  </si>
  <si>
    <t>https://www.facebook.com/profile.php?id=100051083227606&amp;mibextid=LQQJ4d</t>
  </si>
  <si>
    <t>Đỗ Anh Hiếu</t>
  </si>
  <si>
    <t>hieudoanh23102005@gmail.com</t>
  </si>
  <si>
    <t>45 ngõ 524 đường 3 tháng 2 phường tích lương</t>
  </si>
  <si>
    <t>https://drive.google.com/open?id=10Ohp8He6Nw2C8dAPlo-LCW4KmdkMZh-3; https://drive.google.com/open?id=1PTkRPxLZQHCibAUfl1N6A2UjeCY8gdSi</t>
  </si>
  <si>
    <t>https://www.facebook.com/profile.php?id=100022793390038</t>
  </si>
  <si>
    <t>Trịnh Thanh Thuỷ</t>
  </si>
  <si>
    <t>thanhthuy110005@gmail.com</t>
  </si>
  <si>
    <t>Nhóm 4</t>
  </si>
  <si>
    <t>https://drive.google.com/open?id=1vdGy5zIvT24VPlC1SCI3FaZ7-_Yd_u2z; https://drive.google.com/open?id=19k1meGAiniBGBK3SbDkAn8h40fr1q2zz</t>
  </si>
  <si>
    <t>https://www.facebook.com/profile.php?id=100022723895220</t>
  </si>
  <si>
    <t>Nguyễn Duy Hưng</t>
  </si>
  <si>
    <t>https://drive.google.com/open?id=1sYfmxOX5HRhB4U_DbzkkzarbDDpS_zri; https://drive.google.com/open?id=1S0UXumdFFLo0tkRkjx6nWCIOrzyxYAsS</t>
  </si>
  <si>
    <t>https://www.facebook.com/profile.php?id=100017257006542</t>
  </si>
  <si>
    <t>Vũ Thị Phương Thảo</t>
  </si>
  <si>
    <t>Thaophuonghtd@gmail.com</t>
  </si>
  <si>
    <t>https://drive.google.com/open?id=13RapzU4xmULV-3eKv4FG5uADAxjgQJ4k; https://drive.google.com/open?id=1f8Eiz-nPjRDFNLoJqLCumxjAoOekeQZM</t>
  </si>
  <si>
    <t>https://www.facebook.com/profile.php?id=100010355377269</t>
  </si>
  <si>
    <t>Vũ Ngọc Huyền</t>
  </si>
  <si>
    <t>vungochuyen28042005@gmail.com</t>
  </si>
  <si>
    <t>https://drive.google.com/open?id=1Oo8a-HkKbQ_-kDYgWgINz_MPThCV-I-K; https://drive.google.com/open?id=1b9z7Hf_7LEz-wvKXSwtXO9BJaDPGr-VT</t>
  </si>
  <si>
    <t>https://www.facebook.com/thuw.namlung</t>
  </si>
  <si>
    <t xml:space="preserve">Đạt </t>
  </si>
  <si>
    <t>pthu27072002@gmail.com</t>
  </si>
  <si>
    <t>79 Trưng Nữ Vương, phường 4 quận Gò Vấp thành phố Hồ Chí Minh</t>
  </si>
  <si>
    <t>https://drive.google.com/open?id=1F2DaWsxEty77wqzHCxAQ6dtJ-WHyhwkg; https://drive.google.com/open?id=1Zo1iz2gpFw5bjhUhkM3SurrQAWfjnnZe</t>
  </si>
  <si>
    <t>https://www.facebook.com/nguyentiendung910</t>
  </si>
  <si>
    <t>Nguyễn Tiến Dũng</t>
  </si>
  <si>
    <t>nguyentiendung09102005@gmail.com</t>
  </si>
  <si>
    <t>Địa chỉ: Nhà 19BT4, Đường Foresa 3, Phố Thị Cấm, Phường Xuân Phương, Nam Từ Liêm, Hà Nội</t>
  </si>
  <si>
    <t>https://drive.google.com/open?id=1OTRH4ZVlKXyBIouAK2ybn4D-5ab_sT4K; https://drive.google.com/open?id=1iHI_b5uV4ujAzonefgShG0iq_EEVMVGL</t>
  </si>
  <si>
    <t>https://www.facebook.com/huyenmy.nguyen.581525?mibextid=LQQJ4d</t>
  </si>
  <si>
    <t>Nguyễn Trà My</t>
  </si>
  <si>
    <t>Tramy12baongoc@gmail.com</t>
  </si>
  <si>
    <t>18/09/2023 và 30/10/2023</t>
  </si>
  <si>
    <t>https://drive.google.com/open?id=1_gx-P9aDjCSdBcLZxGlCILrxELvtormf, https://drive.google.com/open?id=1XThLZjS8rGUIBloOwO2rx_w3Mx-FSk21; https://drive.google.com/open?id=1Qdof_RwsBeLXRCONHzzkkOh7rx7BY_v-</t>
  </si>
  <si>
    <t>OT1 đã học. Đã báo Ngô Đức</t>
  </si>
  <si>
    <t>https://www.facebook.com/profile.php?id=100030047623035&amp;mibextid=LQQJ4d</t>
  </si>
  <si>
    <t>Nguyễn Hoàng Linh</t>
  </si>
  <si>
    <t>https://drive.google.com/open?id=14T91IXIxzfcBioCk4Bz8bQZQhP3jZPLD; https://drive.google.com/open?id=1RUPjl8so41ogJug3yQGv3T6eVOlUS3d4</t>
  </si>
  <si>
    <t>https://www.facebook.com/bevdly.2107?mibextid=ZbWKwL</t>
  </si>
  <si>
    <r>
      <rPr>
        <sz val="12"/>
        <color theme="1"/>
        <rFont val="Times New Roman"/>
        <family val="1"/>
      </rPr>
      <t>Vũ Diệu Ly</t>
    </r>
    <r>
      <rPr>
        <sz val="12"/>
        <color rgb="FFFF0000"/>
        <rFont val="Times New Roman"/>
        <family val="1"/>
      </rPr>
      <t xml:space="preserve"> - 989465019 số cũ</t>
    </r>
  </si>
  <si>
    <t>https://drive.google.com/open?id=162-d7pu59CNW0n9kFVrFC0B1tiiXlM6n, https://drive.google.com/open?id=1JKzXPoSBR6bA1s2188NlRYbdHtul-waU; https://drive.google.com/open?id=1Li0XkYHGK2HH9kst8k_uHzpijHSIWWNP</t>
  </si>
  <si>
    <t>https://www.facebook.com/ba.vinh.940641?mibextid=LQQJ4d</t>
  </si>
  <si>
    <t>Đoàn Bá Vinh</t>
  </si>
  <si>
    <t>https://drive.google.com/open?id=10DL8Srtbj8rmQsLWN2pO9xxJK02Oc-_E; https://drive.google.com/open?id=1kRqKqJYPSp8ebRF1yZ4zCXdImh1p7QOo</t>
  </si>
  <si>
    <t>https://www.facebook.com/profile.php?id=100033472703715</t>
  </si>
  <si>
    <r>
      <rPr>
        <sz val="12"/>
        <color theme="1"/>
        <rFont val="Times New Roman"/>
        <family val="1"/>
      </rPr>
      <t xml:space="preserve">Nguyễn Anh Quân </t>
    </r>
    <r>
      <rPr>
        <sz val="12"/>
        <color rgb="FFFF0000"/>
        <rFont val="Times New Roman"/>
        <family val="1"/>
      </rPr>
      <t>342099423 sđt chị</t>
    </r>
  </si>
  <si>
    <t>Anhquan2k45@gmail.com</t>
  </si>
  <si>
    <t>số nhà 38, Đường Anh Thơ 4, phú mỹ2, phường Dĩnh kế, tp bắc ninh</t>
  </si>
  <si>
    <t>https://drive.google.com/open?id=1UE6ZOOQCavUXMioxElIBraxBObeI8i66; https://drive.google.com/open?id=1cfjsWIV3Q6GZjol4GxC-Ha2HWna4dkZr</t>
  </si>
  <si>
    <t>https://www.facebook.com/vuvanphong.P?mibextid=LQQJ4d</t>
  </si>
  <si>
    <t>Vũ Văn Phong</t>
  </si>
  <si>
    <t xml:space="preserve">số 89, ngách 347, phố Cổ Nhuế 2, Quân Bắc Từ Liêm, Hà Nội
</t>
  </si>
  <si>
    <t>https://drive.google.com/open?id=1nZDw3NgfOOVLV6ZjLyxaCodFEai0xfcg; https://drive.google.com/open?id=1uGA3ai5WAVnZ_giLYnfF0H2E2WakaMo7</t>
  </si>
  <si>
    <t>https://www.facebook.com/profile.php?id=100073268700207&amp;mibextid=ZbWKwL</t>
  </si>
  <si>
    <t>Vi Minh Quang</t>
  </si>
  <si>
    <t>Lam</t>
  </si>
  <si>
    <t>số6- ngách 14, ngõ 218 Tây Sơn-Trung Liệt _Đống Đa-Hà Nội</t>
  </si>
  <si>
    <t>https://drive.google.com/open?id=1sUOzIFjp6kacEqRAt9I0mnukJmPfYvBd; https://drive.google.com/open?id=1XHjYbqhEaKPqrcTHURLX6mG4h1xpBGhM</t>
  </si>
  <si>
    <t>https://www.facebook.com/profile.php?id=100013044976419&amp;mibextid=ZbWKwL</t>
  </si>
  <si>
    <t>Vũ Hoàng Đức</t>
  </si>
  <si>
    <t>https://drive.google.com/open?id=1HyFNU2DNbgh6k7W8C0yg-mZEE3yaDpMs; https://drive.google.com/open?id=1UehYlpqPvEIn-gA-yv4JwZvVZSt1g3O7</t>
  </si>
  <si>
    <t>https://www.facebook.com/profile.php?id=100025022552929&amp;mibextid=ZbWKwL</t>
  </si>
  <si>
    <t>Phạm Hoa Mai</t>
  </si>
  <si>
    <t>https://drive.google.com/open?id=1TOAEQ7taRK8L4P_ywQ8NwmITtxz57yBo; https://drive.google.com/open?id=1mGipbiYJuIfb5kvoPcPoVEVCiq0mXqMQ</t>
  </si>
  <si>
    <t>https://www.facebook.com/dumpling.1206</t>
  </si>
  <si>
    <t>Triệu Thị Mỹ Tâm</t>
  </si>
  <si>
    <t>mytam120605@gmail.com</t>
  </si>
  <si>
    <t>https://drive.google.com/open?id=1cFpZ1fen-9GMw5BmF-0oCRyXqJ6OyBLh; https://drive.google.com/open?id=1QYWQD_Z9AJ30HneUeLeRZVeIA1U66LPu</t>
  </si>
  <si>
    <t>https://www.facebook.com/hoangthien.nam.5036459?mibextid=ZbWKwL</t>
  </si>
  <si>
    <t xml:space="preserve">Trần Thị Lương </t>
  </si>
  <si>
    <t>tranthiluong05072005@gmail.com</t>
  </si>
  <si>
    <t>https://drive.google.com/open?id=1l2jC8DxYWSogTanOpf3ahVq9iibL_6fg; https://drive.google.com/open?id=1PYxurrqo-MtygVF3DXTlU0-7rwXUncWF</t>
  </si>
  <si>
    <t>https://www.facebook.com/profile.php?id=100054705705342</t>
  </si>
  <si>
    <t>Trần Tuấn</t>
  </si>
  <si>
    <t>https://drive.google.com/open?id=16_Kjuhf5vL_8T72z7fTkyVYufUqazI6w</t>
  </si>
  <si>
    <t>https://www.facebook.com/profile.php?id=100039610624819&amp;mibextid=ZbWKwL</t>
  </si>
  <si>
    <t xml:space="preserve"> Điêu Thị Thanh Hường</t>
  </si>
  <si>
    <t>27/09/2023 và 01/10/2023</t>
  </si>
  <si>
    <r>
      <rPr>
        <sz val="12"/>
        <rFont val="Times New Roman"/>
        <family val="1"/>
      </rPr>
      <t xml:space="preserve">https://drive.google.com/open?id=1t9I5e4iar_VXagE2N9jaesR1S-TeexVl, </t>
    </r>
    <r>
      <rPr>
        <u/>
        <sz val="12"/>
        <color rgb="FF1155CC"/>
        <rFont val="Times New Roman"/>
        <family val="1"/>
      </rPr>
      <t>https://drive.google.com/open?id=1pEpQTj2feIBeYyNseNKBnca5BCTP7ZCS</t>
    </r>
    <r>
      <rPr>
        <sz val="12"/>
        <rFont val="Times New Roman"/>
        <family val="1"/>
      </rPr>
      <t xml:space="preserve">; </t>
    </r>
    <r>
      <rPr>
        <u/>
        <sz val="12"/>
        <color rgb="FF1155CC"/>
        <rFont val="Times New Roman"/>
        <family val="1"/>
      </rPr>
      <t>https://drive.google.com/open?id=1lbeT4AErDtDXUSaMtVkxSFnX39HJMuIGhttps://drive.google.com/open?id=1lbeT4AErDtDXUSaMtVkxSFnX39HJMuIG</t>
    </r>
  </si>
  <si>
    <t>https://drive.google.com/open?id=1lbeT4AErDtDXUSaMtVkxSFnX39HJMuIG</t>
  </si>
  <si>
    <t>OPT8</t>
  </si>
  <si>
    <t>https://www.facebook.com/kthuwwwne?mibextid=LQQJ4d</t>
  </si>
  <si>
    <t>Kiều Hà Thư</t>
  </si>
  <si>
    <t>kieuhathu2408@gmail.com</t>
  </si>
  <si>
    <t>https://drive.google.com/open?id=1-qmuW1Z1ZkcbGEMe2IM0UsovDhrAA0CW; https://drive.google.com/open?id=1Jq4t5OulbPVnepHtDFInWCWm689BHwc0</t>
  </si>
  <si>
    <t>https://www.facebook.com/haiyen.1192005</t>
  </si>
  <si>
    <t xml:space="preserve">Nguyễn Thị Hải Yến </t>
  </si>
  <si>
    <t>haiyenlop7a@gmail.com</t>
  </si>
  <si>
    <t>Kí túc xá trường cao đẳng múa</t>
  </si>
  <si>
    <t>05/10/2023 và 23/10/2023</t>
  </si>
  <si>
    <t>https://drive.google.com/open?id=1UvOc-3VXS9FcYkf0cTi42fI6A62HCqum; https://drive.google.com/open?id=1XvpZYDeE-iSysvvgUNrf4j7aSub7D5cY; https://drive.google.com/open?id=1Ez7Wpc0XqPUuroAFZ_SAp568yof3G3d0</t>
  </si>
  <si>
    <t>https://www.facebook.com/profile.php?id=100083132644891&amp;mibextid=ZbWKwL</t>
  </si>
  <si>
    <t>https://www.facebook.com/profile.php?id=100054382825090&amp;mibextid=LQQJ4d</t>
  </si>
  <si>
    <t>Nguyễn Hải Ninh</t>
  </si>
  <si>
    <t>số 5B, hèm 58/ 23/4, TRẦN BÌNH, MAI DỊCH, CẦU GIẤY, HÀ NỘI</t>
  </si>
  <si>
    <t>https://drive.google.com/open?id=1_ymZEJoNw_q-_IHVTM6ulTx7YWGSM3gE; https://drive.google.com/open?id=1b-pMPO5fYB5VKUP4wfZlz2uEDlgR2_GP</t>
  </si>
  <si>
    <t>https://www.facebook.com/danghoa.no1?mibextid=LQQJ4d</t>
  </si>
  <si>
    <t>Đặng Mai Hoa</t>
  </si>
  <si>
    <t>https://drive.google.com/open?id=1hAGFqTTdTMV81ixFtMIU_I3xLAeLT8ui; https://drive.google.com/open?id=1I74F8LFTY95H2-7af5Qs3QWHJL2nleQB</t>
  </si>
  <si>
    <t>https://www.facebook.com/profile.php?id=100018149588896&amp;mibextid=LQQJ4d</t>
  </si>
  <si>
    <t>Phạm Trần Mai Linh</t>
  </si>
  <si>
    <t>https://drive.google.com/open?id=1cRsMkTFE2WEMSzPIYzmB0ysSmQ3a0d8L; https://drive.google.com/open?id=1I2aaPivKj0m-AqEJj6B7_k6kQZPITkVP</t>
  </si>
  <si>
    <t>https://www.facebook.com/oanhlam06?mibextid=LQQJ4d</t>
  </si>
  <si>
    <t>Nguyễn Thị Lâm Oanh</t>
  </si>
  <si>
    <t>https://drive.google.com/open?id=1m7NlQHGjDWOw_56lDXs0lPwn0pZ2S0We; https://drive.google.com/open?id=1W677wLYb_Cn6mkQrZP9QKiS2DnwIGf51</t>
  </si>
  <si>
    <t>https://www.facebook.com/profile.php?id=100069456338036&amp;mibextid=LQQJ4d</t>
  </si>
  <si>
    <t>Đỗ Thị Bích Phượng</t>
  </si>
  <si>
    <t>Số nhà 25, ngách 250/100/15 Đường Kim Giang, Đại Kim, Hoàng Mai, Hà Nội</t>
  </si>
  <si>
    <t>29/09/2023 và 30/10/2023</t>
  </si>
  <si>
    <t>https://drive.google.com/open?id=1xd7vDw4UCgawbko7OMtrnnhz3Kw-siM8; https://drive.google.com/open?id=1XqQOrCTg1NBWD_yzF8fsJQoJuxEkaUUp; https://drive.google.com/open?id=1V-1as5kqRX0CyRigqj9LJPzVQJmB1Hy8</t>
  </si>
  <si>
    <t>Nộp 200K. Chưa gửi sách. HV đã nộp thêm. Tư vấn chưa cập nhật. T171 =&gt;PT Ngô Đức chat. Vào lại T171</t>
  </si>
  <si>
    <t>OPT10</t>
  </si>
  <si>
    <t>https://www.facebook.com/profile.php?id=100017660326396&amp;mibextid=LQQJ4d</t>
  </si>
  <si>
    <t>Nguyễn Trần Nam Phương</t>
  </si>
  <si>
    <t>namphuongnguyentran853@gmail.com</t>
  </si>
  <si>
    <t>89 Nguyễn Phong Sắc, Cầu Giấy, Hà Nội</t>
  </si>
  <si>
    <t>https://drive.google.com/open?id=1FY-wdT6jSzs0tVl1qq7brvkr360qJIl4; https://drive.google.com/open?id=1Eb1IoSdLGVm2cEecjgyKmHESKz4UWTba</t>
  </si>
  <si>
    <t xml:space="preserve"> https://www.facebook.com/vy.nguyet.528</t>
  </si>
  <si>
    <r>
      <rPr>
        <sz val="12"/>
        <color theme="1"/>
        <rFont val="Times New Roman"/>
        <family val="1"/>
      </rPr>
      <t>Đỗ Huyền Trang</t>
    </r>
    <r>
      <rPr>
        <sz val="12"/>
        <color rgb="FFFF0000"/>
        <rFont val="Times New Roman"/>
        <family val="1"/>
      </rPr>
      <t xml:space="preserve"> - 931354975 số cũ</t>
    </r>
  </si>
  <si>
    <t>nhận sách trên lớp</t>
  </si>
  <si>
    <t>24/10/2023 và 03/10/2023</t>
  </si>
  <si>
    <t>https://drive.google.com/open?id=1n0HvoNTZRq0AHOfKJvWGB4cmb2wirQaW; https://drive.google.com/open?id=1gfP8SGYbH6HST2h6HCSCuLADnAQ2Wv7x; https://drive.google.com/open?id=17nUt0bD81BdDfejHTJQofluWxLCgwSk5</t>
  </si>
  <si>
    <t>https://www.facebook.com/profile.php?id=100064734206219</t>
  </si>
  <si>
    <r>
      <rPr>
        <sz val="12"/>
        <color theme="1"/>
        <rFont val="Times New Roman"/>
        <family val="1"/>
      </rPr>
      <t xml:space="preserve">Lê Lương Yến Nhi </t>
    </r>
    <r>
      <rPr>
        <sz val="12"/>
        <color rgb="FFFF0000"/>
        <rFont val="Times New Roman"/>
        <family val="1"/>
      </rPr>
      <t>(Cần hợp đồng)</t>
    </r>
  </si>
  <si>
    <t>havu281998@gmail.com</t>
  </si>
  <si>
    <t>90 NG1, P. Yến Lộ, Yên Nghĩa, Hà Đông, Hà Nội</t>
  </si>
  <si>
    <t>01/10/2023 và 25/10/2023</t>
  </si>
  <si>
    <t>https://drive.google.com/open?id=1bn1T58Z7EQUCF_CTliulI_7CA0HZm1_k; https://drive.google.com/open?id=1lbeT4AErDtDXUSaMtVkxSFnX39HJMuIG; https://drive.google.com/open?id=1yp8rKPq1IfJ9p8Wj5THXw0QghCCph_l3</t>
  </si>
  <si>
    <t>11/1, ngõ 68/100, đường S, thị trấn trâu quỳ, gia lâm</t>
  </si>
  <si>
    <t>https://drive.google.com/open?id=1UehOW-XI-QhWvEbRR-RbJAXznEdpbjtY; https://drive.google.com/open?id=1fp-fL1la9IpV9T2Ob0jXJfuLeNMm9bqR</t>
  </si>
  <si>
    <t>https://www.facebook.com/profile.php?id=100027236721375&amp;mibextid=ZbWKwL</t>
  </si>
  <si>
    <t xml:space="preserve">Nguyễn Thị Thúy Hiền </t>
  </si>
  <si>
    <t>hiennguyen2005ks@gmail.com</t>
  </si>
  <si>
    <t>số 6, 58/45/1 Trần Bình, Mai Dịch, Cầu Giấy</t>
  </si>
  <si>
    <t>https://drive.google.com/open?id=13KoaLYuXRDsP6_aRoTniCJtnXc33uQAs; https://drive.google.com/open?id=1l6h-rJm8DDIaORSoVZXHT24EWIIgMk74</t>
  </si>
  <si>
    <t>https://www.facebook.com/profile.php?id=100023939925693&amp;mibextid=9R9pXO</t>
  </si>
  <si>
    <t xml:space="preserve">Bùi Thị Thanh Thảo </t>
  </si>
  <si>
    <t>bthanhthao2908@gmail.com</t>
  </si>
  <si>
    <t xml:space="preserve">79 Hồ Tùng Mậu Mai Dịch Cầu Giấy Hà Nội </t>
  </si>
  <si>
    <t>https://drive.google.com/open?id=1_RxPeE-sNNnthQDwVPNKHma_N_TuuCVl; https://drive.google.com/open?id=1ZS6-H5pp8ns5MNC4FSFSCaxVQZiQ2NkA</t>
  </si>
  <si>
    <t>Nộp 1 triệu. Chưa gửi sách. HV đã nộp thêm. Tư vấn chưa cập nhật</t>
  </si>
  <si>
    <t>https://www.facebook.com/profile.php?id=100052035953204&amp;mibextid=LQQJ4d</t>
  </si>
  <si>
    <r>
      <rPr>
        <sz val="12"/>
        <color theme="1"/>
        <rFont val="Times New Roman"/>
        <family val="1"/>
      </rPr>
      <t xml:space="preserve">Lê Minh Hoàng </t>
    </r>
    <r>
      <rPr>
        <sz val="12"/>
        <color rgb="FFFF0000"/>
        <rFont val="Times New Roman"/>
        <family val="1"/>
      </rPr>
      <t>(17/10 gửi)</t>
    </r>
  </si>
  <si>
    <t>hoangleminh170@gmail.com</t>
  </si>
  <si>
    <t>Đ/c nhận sách: ngách 26/29 phố huy du, phường cầu diễn, nam từ liêm</t>
  </si>
  <si>
    <t>https://drive.google.com/open?id=1VboYlWPo_qi28RwPNN_u_mDHxdOn3Z_A</t>
  </si>
  <si>
    <t>https://www.facebook.com/baoobinhh.gaii.3?mibextid=7cd5pb</t>
  </si>
  <si>
    <r>
      <rPr>
        <sz val="12"/>
        <color theme="1"/>
        <rFont val="Times New Roman"/>
        <family val="1"/>
      </rPr>
      <t>Trịnh Phương Hảo</t>
    </r>
    <r>
      <rPr>
        <sz val="12"/>
        <color rgb="FFFF0000"/>
        <rFont val="Times New Roman"/>
        <family val="1"/>
      </rPr>
      <t xml:space="preserve"> (đổi E1 sang PT + Toeic1)</t>
    </r>
  </si>
  <si>
    <t>Giang TR</t>
  </si>
  <si>
    <t>haophuong3004@gmail.com</t>
  </si>
  <si>
    <t>https://drive.google.com/open?id=1TwGUtn-wLOAydfg9C1pmV9RHBWB1nxbo; https://drive.google.com/open?id=1awSGrbwNmmddUNVD69N-PVW2cwSA5VA9</t>
  </si>
  <si>
    <t>Nhài đưa sách cho Trung sáng 21/09/2023. Trịnh Phương Hảo (đổi E1 sang Toeic). Cần lấy lại sách và áo từ Trung. Trung đưa lại sách 02/10/2023.</t>
  </si>
  <si>
    <t xml:space="preserve">T172 nghỉ ngang b18. 2 bạn này xin nghỉ luôn khoá học ạ.
Đã đạt mục tiêu đầu ra và thi trên trường nên xin nghỉ. </t>
  </si>
  <si>
    <t>https://www.facebook.com/tay.minh.7121614?mibextid=LQQJ4d</t>
  </si>
  <si>
    <t>Sông Hương + Cẩm Vân</t>
  </si>
  <si>
    <t>minhsui09@gmail.com</t>
  </si>
  <si>
    <t xml:space="preserve">37/44 trần thái tông ,dịch vọng hậu ,cầu giấy, HN
</t>
  </si>
  <si>
    <t>https://drive.google.com/open?id=1CGvEI4Eke4NkKluwKNNvibxW3FLSvUQM</t>
  </si>
  <si>
    <t>https://www.facebook.com/hallo.minhf.laf.Di.ddaay?mibextid=LQQJ4d</t>
  </si>
  <si>
    <t xml:space="preserve">Trịnh Ngọc Ly </t>
  </si>
  <si>
    <t>SÔNG HƯƠNG + CẨM VÂN</t>
  </si>
  <si>
    <t>Bannhodi@gmail.com</t>
  </si>
  <si>
    <t xml:space="preserve">Số 1 ngách 63/53 Phố Trần Quốc Vượng, Dịch Vọng Hậu, Cầu Giấy, Hà Nội
</t>
  </si>
  <si>
    <t>https://drive.google.com/open?id=1E73LplaDTOJpmffChtWk9i8lMxCUZeUb</t>
  </si>
  <si>
    <t>https://www.facebook.com/profile.php?id=100022308904824&amp;mibextid=LQQJ4d</t>
  </si>
  <si>
    <t>Email: thanhhang12720002@gmail.com</t>
  </si>
  <si>
    <t>317 cổ nhuế, bắc từ liêm, HN</t>
  </si>
  <si>
    <t>https://drive.google.com/open?id=1NgNPYt1BMvrmQW7wVgtr30HtG-Vnkqlo</t>
  </si>
  <si>
    <t>pt38</t>
  </si>
  <si>
    <t>https://www.facebook.com/profile.php?id=100069593241226&amp;mibextid=ZbWKwL</t>
  </si>
  <si>
    <t>Phạm Phú Bảo</t>
  </si>
  <si>
    <t>pphubao69@gmail.com</t>
  </si>
  <si>
    <t>Gốc Đề Hoàng Văn Thụ- Hoàng Mai- Hà Nội</t>
  </si>
  <si>
    <t>https://drive.google.com/open?id=1br4LDcOJQJ7hwL2lL6i9SS6QvVEdHFNq</t>
  </si>
  <si>
    <t>https://www.facebook.com/PVTLong?mibextid=ZbWKwL</t>
  </si>
  <si>
    <t xml:space="preserve"> Phạm Văn Thành Long</t>
  </si>
  <si>
    <t>Đinh Vân</t>
  </si>
  <si>
    <t>Thôn Thượng, xã Đại Thịnh, Huyện Mê Linh, Hà Nội</t>
  </si>
  <si>
    <t>https://drive.google.com/open?id=1qNJbnyDFGyPLk_LdkIRcT1Ldi4KBcVd2</t>
  </si>
  <si>
    <t>Combo Pre_Toeic + Toeic Lv(1+2) + Ôn thi CT (L&amp;R)</t>
  </si>
  <si>
    <t>https://www.facebook.com/Tam28092004?mibextid=ZbWKwL</t>
  </si>
  <si>
    <t>Nguyễn Minh Tâm</t>
  </si>
  <si>
    <t>mihtam2417@gmail.com</t>
  </si>
  <si>
    <t>10/10/2023 và 25/10/2023</t>
  </si>
  <si>
    <t>https://drive.google.com/open?id=1VI3D8gTnGSIwzZkC4nmEnlAtWJPOr6N8; https://drive.google.com/open?id=1_JxDF62ylyBimBYrdNp9ggnTjAuMSuqD; https://drive.google.com/open?id=16CHrHOHDlzxxLYsyZTdtE_Ao4ViMeaFG</t>
  </si>
  <si>
    <t>https://www.facebook.com/profile.php?id=61550987284328&amp;mibextid=ZbWKwL</t>
  </si>
  <si>
    <t>Nguyễn Vinh Oanh</t>
  </si>
  <si>
    <t xml:space="preserve">184 Nguyễn Văn Linh, Q7, TpHCM      </t>
  </si>
  <si>
    <t>https://drive.google.com/open?id=1iDz2I7ErLVG7PhrsroTqg4N3ayQor7A9, https://drive.google.com/open?id=1dtz9kNFzB-jUv-Riuz4rj4J-evEMAJ6z</t>
  </si>
  <si>
    <t xml:space="preserve">https://www.facebook.com/profile.php?id=100035275702321&amp;mibextid=ZbWKwL  </t>
  </si>
  <si>
    <t>Nguyễn Hồng Nhung</t>
  </si>
  <si>
    <t xml:space="preserve">ch </t>
  </si>
  <si>
    <t xml:space="preserve">Phố 1, Phường Tân Thuận Tây, Quận 7, TPHCM </t>
  </si>
  <si>
    <t>https://drive.google.com/open?id=1OL1psO1lvMIYF8H0RV4LSKb_yDtYK0X-, https://drive.google.com/open?id=1QZ6TkVgAe50DbEWplkpGJysPHuSRtrPz</t>
  </si>
  <si>
    <t>https://www.facebook.com/ngocc.bich.52?mibextid=LQQJ4d</t>
  </si>
  <si>
    <t>Nghiêm Thị Bích Ngọc</t>
  </si>
  <si>
    <t>bichngoc2651987@gmail.com</t>
  </si>
  <si>
    <t>03/10/2023 và 30/10/2023</t>
  </si>
  <si>
    <t>https://drive.google.com/open?id=1gzBAVNQl6psk1HcRr-YyAySEQoKSwVoH; https://drive.google.com/open?id=1vTdsoTt6dc4P7v4V76XcQ5LgPTHl9AG0; https://drive.google.com/open?id=1qaa3CY0ONtcyx6u0-D2HOX8l0fGC9QC9</t>
  </si>
  <si>
    <t>https://www.facebook.com/profile.php?id=100055156570255&amp;mibextid=LQQJ4d</t>
  </si>
  <si>
    <t xml:space="preserve">Nguyễn Thị Phương Đông </t>
  </si>
  <si>
    <t xml:space="preserve">kn261913@gmail.com </t>
  </si>
  <si>
    <t>https://drive.google.com/open?id=12K8bgEiVUX_ekMz4MA_fHB5LWwJxAOkg; https://drive.google.com/open?id=1i73yTBZBN_Z5qnUls63UeLL2NphdtHmL</t>
  </si>
  <si>
    <t>https://www.facebook.com/iammeii3003?mibextid=LQQJ4d</t>
  </si>
  <si>
    <r>
      <rPr>
        <sz val="12"/>
        <color theme="1"/>
        <rFont val="Times New Roman"/>
        <family val="1"/>
      </rPr>
      <t>Nguyễn Thị Mai</t>
    </r>
    <r>
      <rPr>
        <sz val="12"/>
        <color rgb="FFFF0000"/>
        <rFont val="Times New Roman"/>
        <family val="1"/>
      </rPr>
      <t xml:space="preserve"> - nick Meii</t>
    </r>
  </si>
  <si>
    <t xml:space="preserve">mai30032005@gmail.com </t>
  </si>
  <si>
    <t>06/10/2023 và 28/10/2023</t>
  </si>
  <si>
    <t>https://drive.google.com/open?id=1v2AARz2YtfYHnhhw4gdeKhzW8Jj0Ludr; https://drive.google.com/open?id=1T1qfnb_xfhxZAnbdrGZwEZArdSMPLS2Q; https://drive.google.com/open?id=1zpdVFUVg4NKQpAQlusxTrAo87TB6Q1yp</t>
  </si>
  <si>
    <t>https://www.facebook.com/profile.php?id=100073546531560&amp;mibextid=ZbWKwL</t>
  </si>
  <si>
    <t>Nguyễn Thanh Hiếu</t>
  </si>
  <si>
    <t xml:space="preserve">thanhhieu15125@gmail.com </t>
  </si>
  <si>
    <t>Ngõ 582 đường lĩnh nam</t>
  </si>
  <si>
    <t>27/10/2023 và 06/10/2023 tiền mặt</t>
  </si>
  <si>
    <t>https://drive.google.com/open?id=1jqUfkykqbU7SocF5Y0rZ9cAzxgfOl5sc; https://drive.google.com/open?id=1SmK9fxMJB20PAXGt6XsSOTMNhgmmULGk, https://drive.google.com/open?id=1QybSCJgSuRMipE-o1C4f_ydMs5z-R050; https://drive.google.com/open?id=1_ejhnCoqD562UJXB4RR2WBCPVFmav26l</t>
  </si>
  <si>
    <t>https://www.facebook.com/profile.php?id=100024445582090</t>
  </si>
  <si>
    <t>Bùi Thị Ngọc Ánh</t>
  </si>
  <si>
    <t>29B, ngõ 87/9 Lê Văn Hiến, Đức Thắng, Bắc Từ Liêm, Hà Nội</t>
  </si>
  <si>
    <t>https://drive.google.com/open?id=1N39nqTMSKfYQHkz91QF6-gqSdr8Pt56q; https://drive.google.com/open?id=1WnVMLUmjS_SNZ8FgufZnkKE4-00UqjgH</t>
  </si>
  <si>
    <t>https://www.facebook.com/daocute16?mibextid=LQQJ4d</t>
  </si>
  <si>
    <t>Phạm Thị Tuyết Đào</t>
  </si>
  <si>
    <t>Khu liền kề số 20 chung cư anthena, Xuân Phương, Phương Canh, Nam Từ Liêm</t>
  </si>
  <si>
    <t>https://drive.google.com/open?id=1W58v-KHjbZCVMSjluMWwN77Aoj3DMMnI; https://drive.google.com/open?id=1KjPYMb-X9aBRXMIwawrRUsJqYO0_LS-5</t>
  </si>
  <si>
    <t>https://www.facebook.com/profile.php?id=100017964186783</t>
  </si>
  <si>
    <r>
      <rPr>
        <sz val="12"/>
        <color theme="1"/>
        <rFont val="Times New Roman"/>
        <family val="1"/>
      </rPr>
      <t>Phạm Thế Nam</t>
    </r>
    <r>
      <rPr>
        <sz val="12"/>
        <color rgb="FFFF0000"/>
        <rFont val="Times New Roman"/>
        <family val="1"/>
      </rPr>
      <t xml:space="preserve"> (Cần hợp đồng)</t>
    </r>
  </si>
  <si>
    <t>phamthenam19997@gmail.com</t>
  </si>
  <si>
    <t>Số nhà 106 ngõ 1 tổ 2 Đa Sỹ Kiến Hưng Hà Đông Hà Nội</t>
  </si>
  <si>
    <t>https://drive.google.com/open?id=17con7nS0Va2Sh-Z_yka1XN4nGhzqjWA2; https://drive.google.com/open?id=1fJaW4wHZOZGGGGUxtwMmD6p_v6W_6WIN</t>
  </si>
  <si>
    <t>https://www.facebook.com/kanh.nguyen.75098364?mibextid=LQQJ4d</t>
  </si>
  <si>
    <t xml:space="preserve">Nguyễn Hà Kiều Anh </t>
  </si>
  <si>
    <t>https://drive.google.com/open?id=1CegmM74jFMdHUDWgT8v0Mab-1kGEIvSR; https://drive.google.com/open?id=1f5I74XurcRwR1UHNs5qirdBcBuHl9TJf</t>
  </si>
  <si>
    <t>https://www.facebook.com/profile.php?id=100009705362776&amp;mibextid=LQQJ4d</t>
  </si>
  <si>
    <t xml:space="preserve">Văn Mai Anh </t>
  </si>
  <si>
    <t>https://drive.google.com/open?id=1JGpunTTZyxBLGWDypY6DuaYjV3N5_5BY</t>
  </si>
  <si>
    <t>https://www.facebook.com/profile.php?id=100033627583164&amp;mibextid=LQQJ4d</t>
  </si>
  <si>
    <r>
      <rPr>
        <sz val="12"/>
        <color theme="1"/>
        <rFont val="Times New Roman"/>
        <family val="1"/>
      </rPr>
      <t>Đỗ Xuân Hoàng Anh</t>
    </r>
    <r>
      <rPr>
        <sz val="12"/>
        <color rgb="FFFF0000"/>
        <rFont val="Times New Roman"/>
        <family val="1"/>
      </rPr>
      <t xml:space="preserve"> - Đã chuyển nhượng 
Các khóa còn lại cho 0383294297 Hồng Ngọc</t>
    </r>
  </si>
  <si>
    <t>02/10/2023 và 03/10/2023</t>
  </si>
  <si>
    <t>https://drive.google.com/open?id=1psrAV47Kr3M0rYQGZkA4wwUGvdk3KX56; https://drive.google.com/open?id=1XECFoZHse7ql2vZogXBR9UvMwM36c-4g, https://drive.google.com/open?id=1-Ck1lWKmfhOgYoX2Zs7c5U5lM51lwqsX</t>
  </si>
  <si>
    <t>Đã chuyển nhượng các khóa còn lại cho 0383294297 Hồng Ngọc. Thu Hà Meca chat. Thu Hà nộp 300K chuyển nhượng 11/01/2024</t>
  </si>
  <si>
    <t>https://www.facebook.com/profile.php?id=100046410123834</t>
  </si>
  <si>
    <t>Trần Hiển</t>
  </si>
  <si>
    <t>03/10/2023 và 17/10/2023</t>
  </si>
  <si>
    <t>10/30/0223</t>
  </si>
  <si>
    <t>https://drive.google.com/open?id=194dEchkT7WW6mOkjUuYI-galNDQEeJGu; https://drive.google.com/open?id=1YAcaXsfRNKC0UrwFWsnWlUQr2kMCYmXK, https://drive.google.com/open?id=1SH_yPg9huhoOcMUAM-X79T7yBK-JJTXa</t>
  </si>
  <si>
    <t>https://www.facebook.com/profile.php?id=100080149758467</t>
  </si>
  <si>
    <t>Phạm Lê Gia Nhi</t>
  </si>
  <si>
    <t>https://drive.google.com/open?id=1eXFquAYtBmI1uxwKGvXq3xfMcEx-yDH8; https://drive.google.com/open?id=17P6WOKHsG52IxGsWtTY8OpZww3XznTcM</t>
  </si>
  <si>
    <t>https://www.facebook.com/lamhoa128?mibextid=LQQJ4d</t>
  </si>
  <si>
    <t>Bùi Hoà Lâm Hoa</t>
  </si>
  <si>
    <t>https://drive.google.com/open?id=1BaWOV5Wis2C6Ba1NUB1AaXsc6SuGX0DJ; https://drive.google.com/open?id=1ApWCkDsH8s_QYUx0ZOqaHKWi3ftrocOd</t>
  </si>
  <si>
    <t>https://www.facebook.com/profile.php?id=100036076632805</t>
  </si>
  <si>
    <t>Lương Thị Xuân Bắc</t>
  </si>
  <si>
    <t>25/10/2023 và 09/10/2023</t>
  </si>
  <si>
    <t>https://drive.google.com/open?id=1DO9g8n1Qmt-PpiKmoL81vk-s4J25eM-p; https://drive.google.com/open?id=1Y6vVjtbPnTdTO1m2jYrzWnzPHMqd1N60</t>
  </si>
  <si>
    <t>https://www.facebook.com/gas.chy.5?mibextid=LQQJ4d</t>
  </si>
  <si>
    <t>Vũ Thị Hường</t>
  </si>
  <si>
    <t>hongh3448@gmail.com</t>
  </si>
  <si>
    <t>đường Trần Quốc Vượng ,phường Dịch Vọng Hậu ,quận Cầu</t>
  </si>
  <si>
    <t>https://drive.google.com/open?id=11ibqWFEObrsCJQTZSjs-7WUGMg83HIxr</t>
  </si>
  <si>
    <t>https://www.facebook.com/profile.php?id=100035868532783&amp;mibextid=ZbWKwL</t>
  </si>
  <si>
    <r>
      <rPr>
        <sz val="12"/>
        <color theme="1"/>
        <rFont val="Times New Roman"/>
        <family val="1"/>
      </rPr>
      <t xml:space="preserve">Phạm Hải Yến </t>
    </r>
    <r>
      <rPr>
        <sz val="12"/>
        <color rgb="FFFF0000"/>
        <rFont val="Times New Roman"/>
        <family val="1"/>
      </rPr>
      <t>(Tiền mặt 2tr)</t>
    </r>
  </si>
  <si>
    <t>yenam123a@gmail.com</t>
  </si>
  <si>
    <t>291 Phan Bá Vành, Cổ Nhuế 2, Bắc Từ Liêm, Hà Nội</t>
  </si>
  <si>
    <t>11/10/2023 và 29/10/2023</t>
  </si>
  <si>
    <t>https://drive.google.com/open?id=1QUK1zxrb1najoRbxzMxx-43R-AhpEAOC; https://drive.google.com/open?id=1IpOQGymJ3ZeiO0Ch_SHSubTt_wcpJt-k; https://drive.google.com/open?id=1bOxUpAd8zVzfTQbVqFB3kKJvuQYx6A1e</t>
  </si>
  <si>
    <t>https://www.facebook.com/profile.php?id=100023101955678</t>
  </si>
  <si>
    <t>Trần Thuỷ Tiên</t>
  </si>
  <si>
    <t>Thuytien1032005@gmail.com</t>
  </si>
  <si>
    <t>https://drive.google.com/open?id=1IX3Dkr7BGhcB1Rfy_59bnNwZx5vMBfTH; https://drive.google.com/open?id=1goDO3nJcD69LASiLGa2MON70niE29WsI</t>
  </si>
  <si>
    <t>OPT17</t>
  </si>
  <si>
    <t>https://www.facebook.com/profile.php?id=100034721226509</t>
  </si>
  <si>
    <t>Ngô Gia Sâm</t>
  </si>
  <si>
    <t>kí túc xá Đại học Công Nghiệp Khu A</t>
  </si>
  <si>
    <t>https://drive.google.com/open?id=1hB1Z0Lo2JIhlmT4N2aHyz1TtU92G8vsv</t>
  </si>
  <si>
    <t>Học OFF phát tại lớp</t>
  </si>
  <si>
    <t>https://www.facebook.com/so.vu.3110</t>
  </si>
  <si>
    <t>Vũ Thị Ánh Hồng</t>
  </si>
  <si>
    <t>Ngách 59/66, đường văn tiến dũng, phúc diễn, phú diễn, bắc từ liêm, hà nội</t>
  </si>
  <si>
    <t>03/10/2023 và 07/10/2023</t>
  </si>
  <si>
    <t>https://drive.google.com/open?id=13aMMrreDMXVhUjiTPiiFvJHV8ITnp3v1; https://drive.google.com/open?id=1DxfafoaH-NK2j6uLQMtXmo-3bnwrmX5V, https://drive.google.com/open?id=19jNQOlDqBrdab5Gqi7cSSYWKylh_LaWD</t>
  </si>
  <si>
    <t>Chu Đức Trọng</t>
  </si>
  <si>
    <t xml:space="preserve">Cuối ngõ 1 xu- Phù Vân- Phủ Lý- Hà Nam
</t>
  </si>
  <si>
    <t>https://drive.google.com/open?id=137Ah3OYxYh3cf_txXTv-wAgKqLkOsuer</t>
  </si>
  <si>
    <t>https://www.facebook.com/profile.php?id=100064855133896&amp;mibextid=LQQJ4d</t>
  </si>
  <si>
    <r>
      <rPr>
        <sz val="12"/>
        <color theme="1"/>
        <rFont val="Times New Roman"/>
        <family val="1"/>
      </rPr>
      <t>Nguyễn Quỳnh Anh</t>
    </r>
    <r>
      <rPr>
        <sz val="12"/>
        <color rgb="FFFF0000"/>
        <rFont val="Times New Roman"/>
        <family val="1"/>
      </rPr>
      <t xml:space="preserve"> (Cần 2 hợp đồng)</t>
    </r>
  </si>
  <si>
    <t>đh công nghiệp -phường Lê Hồng Phong -tp Phủ Lý - Hà Nam</t>
  </si>
  <si>
    <t>https://drive.google.com/open?id=1LkpLeI2XvWI3-KDwZDbUjqjlErdN-c73, https://drive.google.com/open?id=1fU-wElwwCSogXLcO5lLYmDTWMzICZnfD</t>
  </si>
  <si>
    <t>https://www.facebook.com/profile.php?id=100050653210630&amp;mibextid=LQQJ4d</t>
  </si>
  <si>
    <t>Nguyễn Thị Ngọc Ánh</t>
  </si>
  <si>
    <t>t. Ái Quốc, x. Nam Thanh, TH-TB (gần trường Tiểu học Nam Thanh)</t>
  </si>
  <si>
    <t>https://drive.google.com/open?id=1rwXsoQsAxFi3v9rhKmLO7N58uiv8wZd_; https://drive.google.com/open?id=1kYrmKKRB8Cn3_30VVNNn10zEPGTI8nl7</t>
  </si>
  <si>
    <t>PT63 báo nghỉ ngang ko học</t>
  </si>
  <si>
    <t>https://www.facebook.com/profile.php?id=100035839054364&amp;mibextid=ZbWKwL</t>
  </si>
  <si>
    <r>
      <rPr>
        <sz val="12"/>
        <color theme="1"/>
        <rFont val="Times New Roman"/>
        <family val="1"/>
      </rPr>
      <t>Nguyễn Văn Dương</t>
    </r>
    <r>
      <rPr>
        <sz val="12"/>
        <color rgb="FFFF0000"/>
        <rFont val="Times New Roman"/>
        <family val="1"/>
      </rPr>
      <t xml:space="preserve"> (Chưa nộp 300K)
</t>
    </r>
    <r>
      <rPr>
        <sz val="12"/>
        <color theme="1"/>
        <rFont val="Times New Roman"/>
        <family val="1"/>
      </rPr>
      <t>PT53 bảo lưu b8 đi quân sự. Học PT63</t>
    </r>
  </si>
  <si>
    <t xml:space="preserve">Cơ sở 3 ĐH Công Nghiệp, Hà Nam </t>
  </si>
  <si>
    <t>https://drive.google.com/open?id=1_U1-QlX-whVqNHRmgJ5vg6NlasQTvjvv</t>
  </si>
  <si>
    <t>https://www.facebook.com/profile.php?id=100068940620275&amp;mibextid=ZbWKwL</t>
  </si>
  <si>
    <r>
      <rPr>
        <sz val="12"/>
        <color theme="1"/>
        <rFont val="Times New Roman"/>
        <family val="1"/>
      </rPr>
      <t xml:space="preserve">Nguyễn Thị Phương Loan </t>
    </r>
    <r>
      <rPr>
        <sz val="12"/>
        <color rgb="FFFF0000"/>
        <rFont val="Times New Roman"/>
        <family val="1"/>
      </rPr>
      <t>(Cần hợp đồng)</t>
    </r>
  </si>
  <si>
    <t xml:space="preserve"> Cơ Sở 3, Đại Học Công Nghiệp, Hà Nam </t>
  </si>
  <si>
    <t>https://drive.google.com/open?id=10wTFQE71B_gNIeZ3CrylSTeyWg2ApPoU</t>
  </si>
  <si>
    <t>https://www.facebook.com/profile.php?id=100078041570900&amp;mibextid=LQQJ4d</t>
  </si>
  <si>
    <r>
      <rPr>
        <sz val="12"/>
        <color theme="1"/>
        <rFont val="Times New Roman"/>
        <family val="1"/>
      </rPr>
      <t xml:space="preserve">Nguyễn Thị Minh Nguyệt </t>
    </r>
    <r>
      <rPr>
        <sz val="12"/>
        <color rgb="FFFF0000"/>
        <rFont val="Times New Roman"/>
        <family val="1"/>
      </rPr>
      <t>(Cần hợp đồng)</t>
    </r>
  </si>
  <si>
    <t>Số 26 Ngách 150/82 Tân Khai , Phường Vĩnh Hưng , Hoàng Mai , Hà Nội</t>
  </si>
  <si>
    <t>https://drive.google.com/open?id=13H5MYUHwW4pRxhiKmVdvWk3dP6HMXLMS; https://drive.google.com/open?id=1Nw4KCxy_BfdKiYlr6E9nL1BgVNLFgNtR</t>
  </si>
  <si>
    <t>https://www.facebook.com/giaa.uyenn?mibextid=LQQJ4d</t>
  </si>
  <si>
    <t>Diêm Ngọc Gia Uyên</t>
  </si>
  <si>
    <t xml:space="preserve">Thái Bảo </t>
  </si>
  <si>
    <t>giauyen1103@gmail.com</t>
  </si>
  <si>
    <t>Offline</t>
  </si>
  <si>
    <t>https://drive.google.com/open?id=1WXQxLU5fstxRTC2sIn68IPV-VRaf-2QG</t>
  </si>
  <si>
    <t>Toeic Speaking</t>
  </si>
  <si>
    <t>OPT9</t>
  </si>
  <si>
    <t>https://www.facebook.com/profile.php?id=100038666956911&amp;mibextid=LQQJ4d  Dương Quân</t>
  </si>
  <si>
    <t>Dương Văn Quân</t>
  </si>
  <si>
    <t>https://drive.google.com/open?id=1nBOXq5iQAqVKW1WApS5S4NBaA9HnoBbL</t>
  </si>
  <si>
    <t>OPT11</t>
  </si>
  <si>
    <t>https://www.facebook.com/profile.php?id=100055137439133</t>
  </si>
  <si>
    <r>
      <rPr>
        <sz val="12"/>
        <color theme="1"/>
        <rFont val="Times New Roman"/>
        <family val="1"/>
      </rPr>
      <t xml:space="preserve">Nguyễn Thị Ngọc Bích </t>
    </r>
    <r>
      <rPr>
        <sz val="12"/>
        <color rgb="FFFF0000"/>
        <rFont val="Times New Roman"/>
        <family val="1"/>
      </rPr>
      <t>- 364100538 số cũ</t>
    </r>
  </si>
  <si>
    <t>Tuấn</t>
  </si>
  <si>
    <t>nguyenngocbich27112007@gmail.com</t>
  </si>
  <si>
    <t>nhà số 7, ngõ chiến thắng, thôn đông bài, xã mai đình, huyện sóc sơn, hà nội.</t>
  </si>
  <si>
    <t>https://drive.google.com/open?id=1ZVjqM63FeXvElFbSKZkij7TjeyNZIUFV</t>
  </si>
  <si>
    <t>Thành Đạt đưa tay cho HV</t>
  </si>
  <si>
    <t>https://www.facebook.com/profile.php?id=100054959320588&amp;mibextid=ZbWKwL</t>
  </si>
  <si>
    <t>Hà Công Thành</t>
  </si>
  <si>
    <t xml:space="preserve"> số nhà 01, Ngách 19, ngõ 105, phố Doãn Kế Thiện, Mai Dịch, Cầu Giấy, Hà Nội
</t>
  </si>
  <si>
    <t>https://drive.google.com/open?id=11Cu5YjAdhbJIhPdgji99ok6sna6YTEeb; https://drive.google.com/open?id=1CWOEvnrHXS2eZ5YFAU6O5p1fCDL6hvt7</t>
  </si>
  <si>
    <t>Xuân Đức đưa tay ở VP</t>
  </si>
  <si>
    <t>https://www.facebook.com/profile.php?id=100033990849589</t>
  </si>
  <si>
    <t xml:space="preserve">Vũ Hồng Khanh  </t>
  </si>
  <si>
    <t>khanhvuicloudd@gmail.com</t>
  </si>
  <si>
    <t xml:space="preserve"> U15 L01 khu đô thị đô nghĩa phường Yên Nghĩa quận Hà Đông Hà Nộ</t>
  </si>
  <si>
    <t>https://drive.google.com/open?id=1ctMV9gkMzmS71mHomvBxR1dVs_RQy_4j</t>
  </si>
  <si>
    <t>C160</t>
  </si>
  <si>
    <t>https://www.facebook.com/profile.php?id=100089950433632&amp;mibextid=LQQJ4d</t>
  </si>
  <si>
    <t>Chu Thị Nhật Linh</t>
  </si>
  <si>
    <t>Thôn Trường Yên , xã Nam Phúc Thăng, huyện Cẩm Xuyên , Hà Tĩnh</t>
  </si>
  <si>
    <t>https://drive.google.com/open?id=1lrr5EX0t2anXjXwO5w8uDRc1FxLjXJ4H</t>
  </si>
  <si>
    <t>https://www.facebook.com/casnef215?mibextid=LQQJ4d</t>
  </si>
  <si>
    <t>Đào Thu Trang</t>
  </si>
  <si>
    <t>dttrangumc.dth@gmail.com</t>
  </si>
  <si>
    <t>OFFF</t>
  </si>
  <si>
    <t>https://drive.google.com/open?id=1LVjcTBvSoMgDAOUfjUS9hm4Z09kvHmo4, https://drive.google.com/open?id=1I-Mx5C3fDWYdQyEcBW77J7AAq1SCJ6_-</t>
  </si>
  <si>
    <t>https://www.facebook.com/profile.php?id=100078943436910</t>
  </si>
  <si>
    <t xml:space="preserve">Nguyễn Thị Phương Thảo </t>
  </si>
  <si>
    <t xml:space="preserve">Hoàng Bảo </t>
  </si>
  <si>
    <t>03nguyenthiphuongthao@gmail.com</t>
  </si>
  <si>
    <t>https://drive.google.com/open?id=1opF6uXJhoN-Z1k92VkfyGt6Uop9vPN25</t>
  </si>
  <si>
    <t>https://www.facebook.com/Oong.chamchi?mibextid=LQQJ4d</t>
  </si>
  <si>
    <r>
      <rPr>
        <sz val="12"/>
        <color theme="1"/>
        <rFont val="Times New Roman"/>
        <family val="1"/>
      </rPr>
      <t xml:space="preserve">Bùi Thị Hoà </t>
    </r>
    <r>
      <rPr>
        <sz val="12"/>
        <color rgb="FFFF0000"/>
        <rFont val="Times New Roman"/>
        <family val="1"/>
      </rPr>
      <t>-nick Angela Den</t>
    </r>
  </si>
  <si>
    <t>https://drive.google.com/open?id=1DVuKWjtm4qc8jLpzEsgIgSod4_8wL7XW</t>
  </si>
  <si>
    <t>OPT8 =&gt;OPT10</t>
  </si>
  <si>
    <t>https://www.facebook.com/ptd.42?mibextid=ZbWKwL</t>
  </si>
  <si>
    <t>Phạm Tùng Dương</t>
  </si>
  <si>
    <t>https://drive.google.com/open?id=1uj30-NJt25vP2FKqMSo4ec6YM_uOCVqh; https://drive.google.com/open?id=1d6D9kWhBI6qiFuIeg-3snrnTUYHkpPrY</t>
  </si>
  <si>
    <t>C162</t>
  </si>
  <si>
    <t>https://www.facebook.com/dodinh.dang?mibextid=LQQJ4d</t>
  </si>
  <si>
    <t>Đỗ Đinh Đẳng</t>
  </si>
  <si>
    <t>Không nhận sách</t>
  </si>
  <si>
    <t>https://drive.google.com/open?id=1FjddWEHNoK4JQCayT7zELaQHy8JU1Upw</t>
  </si>
  <si>
    <t>KO nhận sách</t>
  </si>
  <si>
    <t>https://www.facebook.com/leekymchee</t>
  </si>
  <si>
    <t>Lê Kim Chi</t>
  </si>
  <si>
    <t>Ng.1 phố viên,Cổ nhuế, bắc từ liêm</t>
  </si>
  <si>
    <t>https://drive.google.com/open?id=1nuvFOk2b4yIXB1tOqsb16H19U1N3IAI3; https://drive.google.com/open?id=1R2e-axt3HTVf9oA3QFTBANhYfzvzTCvN</t>
  </si>
  <si>
    <t>https://www.facebook.com/profile.php?id=100066183375705&amp;mibextid=LQQJ4d</t>
  </si>
  <si>
    <r>
      <rPr>
        <sz val="12"/>
        <color theme="1"/>
        <rFont val="Times New Roman"/>
        <family val="1"/>
      </rPr>
      <t xml:space="preserve">Đỗ Thùy Linh </t>
    </r>
    <r>
      <rPr>
        <sz val="12"/>
        <color rgb="FFFF0000"/>
        <rFont val="Times New Roman"/>
        <family val="1"/>
      </rPr>
      <t xml:space="preserve">(Bạn muốn đc tặng 2 móc khoá TMU ạ, chị giup e ạ, móc ở trong phòng họp ạ) </t>
    </r>
  </si>
  <si>
    <t xml:space="preserve"> linhd5337@gmail.com</t>
  </si>
  <si>
    <t>69, đường Ngô Gia Tự, tổ 3 phường Lê Hồng Phong, TP Phủ Lý tỉnh Hà Nam.</t>
  </si>
  <si>
    <t>https://drive.google.com/open?id=14ss90JnT1kL2kFZUsoWXLcDFmsfanPEx; https://drive.google.com/open?id=1_ocUCOLa4y9XSSZ-_V2cvSfljqTNcN32</t>
  </si>
  <si>
    <t>Nguyễn Văn Duy</t>
  </si>
  <si>
    <t>16A Dịch Vọng Hậu Làng Vòng Cầu Giay Hà Nội</t>
  </si>
  <si>
    <t>https://drive.google.com/open?id=1I-qggkED7Ua8czrenhzgeD_-k3BY7jCe</t>
  </si>
  <si>
    <t>59/100</t>
  </si>
  <si>
    <t>minhhang05042004@gmail.com</t>
  </si>
  <si>
    <t>Xóm3- Khu4- Minh Châu- Ba Vì- Hà Nội</t>
  </si>
  <si>
    <t>- Khóa học giao tiếp LV3 em đã đóng là: 3,842K.
- Đổi sang khóa học Toeic LV0 có giá là: 1,968K
==&gt; Số tiền còn dư là: 1,874K em nhé</t>
  </si>
  <si>
    <t>https://drive.google.com/open?id=104nHynse3RShYelRmhjEZpwHx-dxqXc9; https://drive.google.com/open?id=12eCECRTdJwahdiDyvPzp26ctypGMD-BR</t>
  </si>
  <si>
    <t>Đã học PT25</t>
  </si>
  <si>
    <t>Nguyễn Thị Minh Hằng (đổi GT LV3 học PT + T). Bill là tiền đã đóng thêm để học lớp Toeic LV1.</t>
  </si>
  <si>
    <t>Chị đưa ra 2 PA để em chọn nhé.
- PA1: mua 1 khóa Toeic LV1 cần nộp thêm: 3,768K - 1,874K =1,894K (còn thiếu).
- PA2: mua 2 khóa Toeic LV1+2  cần nộp thêm: 7,349K - 1,874K = 5,475K (còn thiếu)
==&gt; Tùy em lựa chọn PA1 hay PA2 thì chuyển tiền học phí nhé.</t>
  </si>
  <si>
    <t>https://www.facebook.com/BuiHau.Official?mibextid=LQQJ4d</t>
  </si>
  <si>
    <r>
      <rPr>
        <sz val="12"/>
        <color theme="1"/>
        <rFont val="Times New Roman"/>
        <family val="1"/>
      </rPr>
      <t xml:space="preserve">Bùi Đình Hậu </t>
    </r>
    <r>
      <rPr>
        <sz val="12"/>
        <color rgb="FFFF0000"/>
        <rFont val="Times New Roman"/>
        <family val="1"/>
      </rPr>
      <t>(nhận sách ở VP khi ký HĐ)
Đã chuyển nhượng Bùi Yến Nhi773386206</t>
    </r>
  </si>
  <si>
    <t>Tổ 3 , phường Lê Hồng Phong, TP Phủ Lý, Hà Nam</t>
  </si>
  <si>
    <t>https://drive.google.com/open?id=1Cz1pntVvkUl-hH3npLneKe6OT6Wku_2X</t>
  </si>
  <si>
    <t>HV chat: nhận sách ở VP khi ký HĐ. Đã đưa Yến sách</t>
  </si>
  <si>
    <t>https://www.facebook.com/profile.php?id=100009775327696&amp;mibextid=ZbWKwL</t>
  </si>
  <si>
    <t>Nguyễn Thị Xuân Mai</t>
  </si>
  <si>
    <t>maibiu92358@gmail.com</t>
  </si>
  <si>
    <t>56 ngách 144/2 quan nhân, Thanh xuân, Hà Nội.</t>
  </si>
  <si>
    <t>https://drive.google.com/open?id=11phz9znM2g6H_-wO4kl4bwJZndJxT3K8; https://drive.google.com/open?id=18rVzHooi541ufmjKkxXcvn_CFozvk_uL</t>
  </si>
  <si>
    <t>https://www.facebook.com/profile.php?id=100065642561551</t>
  </si>
  <si>
    <r>
      <rPr>
        <sz val="12"/>
        <color theme="1"/>
        <rFont val="Times New Roman"/>
        <family val="1"/>
      </rPr>
      <t xml:space="preserve">Bùi Thị Diệu </t>
    </r>
    <r>
      <rPr>
        <sz val="12"/>
        <color rgb="FFFF0000"/>
        <rFont val="Times New Roman"/>
        <family val="1"/>
      </rPr>
      <t>- Đã nộp 300K bảo lưu 18/01/24
PT54 bảo lưu b1 đi quân sự. Quay lại học OPT15</t>
    </r>
  </si>
  <si>
    <t>buithidieu0204@gmail.com</t>
  </si>
  <si>
    <t xml:space="preserve"> số nhà 36, ngõ 192 đường Tây Tự, Hà Nội</t>
  </si>
  <si>
    <t>https://drive.google.com/open?id=1fcjdGfTe0GnifcLi7907DRZEPPb5gNaG; https://drive.google.com/open?id=16Y4XXxxDwUm6AOUSTXbII_t9k10I75t8</t>
  </si>
  <si>
    <t>https://www.facebook.com/profile.php?id=100020864330697&amp;mibextid=LQQJ4d</t>
  </si>
  <si>
    <t>Phạm Văn Đức</t>
  </si>
  <si>
    <t>Ducphamk32@gmail.com</t>
  </si>
  <si>
    <t>Đội 8 - thôn Phương Thông - xã Phương Chiểu - TP Hưng Yên - tỉnh Hưng Yên</t>
  </si>
  <si>
    <t>https://drive.google.com/open?id=141KPlkN6MSSlyt8hNBfx7j0x4xyXps3d</t>
  </si>
  <si>
    <t>Không test</t>
  </si>
  <si>
    <t>https://www.facebook.com/profile.php?id=100046750959676</t>
  </si>
  <si>
    <r>
      <rPr>
        <sz val="12"/>
        <color theme="1"/>
        <rFont val="Times New Roman"/>
        <family val="1"/>
      </rPr>
      <t xml:space="preserve">Đỗ Thành Công </t>
    </r>
    <r>
      <rPr>
        <sz val="12"/>
        <color rgb="FFFF0000"/>
        <rFont val="Times New Roman"/>
        <family val="1"/>
      </rPr>
      <t>(Cần hợp đồng)</t>
    </r>
  </si>
  <si>
    <t>dothanhconglc191205@gmail.com</t>
  </si>
  <si>
    <t>Số nhà 18, tổ viên 7, phường Cổ Nhuế, bắc từ liêm, hà nội</t>
  </si>
  <si>
    <t>https://drive.google.com/open?id=17uZIYfq7f4GNXSPNPF0vJJDLF-gHGeIo</t>
  </si>
  <si>
    <t>https://www.facebook.com/profile.php?id=100083540146965&amp;mibextid=9R9pXO</t>
  </si>
  <si>
    <t>Lê Thế Nhật Anh</t>
  </si>
  <si>
    <t>Ngõ 66, phố Nguyễn Hoàng, Cầu Giấy, Hà Nội
Size M</t>
  </si>
  <si>
    <t>https://drive.google.com/open?id=1NoKyg6EB0DWs6GXikMx0C-L5a9LrI1h-</t>
  </si>
  <si>
    <t>https://www.facebook.com/profile.php?id=100059547292388</t>
  </si>
  <si>
    <t xml:space="preserve">Hà Việt Chiến </t>
  </si>
  <si>
    <t xml:space="preserve">cơ sở 3 Đại học Công nghiệp Hà Nội, Phù Vân, Phủ Lý, Hà Nam  </t>
  </si>
  <si>
    <t>https://drive.google.com/open?id=1jkCzdHg4Q1-8qb4v_KHSY-eKQ6Z-zPn8</t>
  </si>
  <si>
    <t>https://www.facebook.com/profile.php?id=100074784340201</t>
  </si>
  <si>
    <t>Âu Văn Đạo</t>
  </si>
  <si>
    <t>Thôn 1 - Phù Vân - Phủ Lý - Hà Nam ( trọ cô Thắm )</t>
  </si>
  <si>
    <t>https://drive.google.com/open?id=1Ek0zun3xu3b7cGoJemjPSFTWB7K_FKgh; https://drive.google.com/open?id=1STxWOoSHrTMyImVo7gd5-P0_G-lMj01Z</t>
  </si>
  <si>
    <t>https://www.facebook.com/profile.php?id=100044973280897</t>
  </si>
  <si>
    <t xml:space="preserve">Nguyễn Thị Thu Huyền </t>
  </si>
  <si>
    <t>số 10 ngách 2 ngõ 66 đường hồ tùng mậu, mai dịch, cầu giấy</t>
  </si>
  <si>
    <t>https://drive.google.com/open?id=1ZmmSM6ZAJAqBTu8Ug6o-Z0CdK2wMF9NZ</t>
  </si>
  <si>
    <t>https://www.facebook.com/profile.php?id=61550659032570</t>
  </si>
  <si>
    <t>Tải Thu Hậu</t>
  </si>
  <si>
    <t>Taithuhau@gmail.com</t>
  </si>
  <si>
    <t>Nhà số 5 ngách 23 ngõ 304 đường hồ tùng mậu , phú diễn , bắc từ liêm , hà nội</t>
  </si>
  <si>
    <t>https://drive.google.com/open?id=1t7T7rGB7Tpim8lEeqhdwaS9rAzIDHWZI</t>
  </si>
  <si>
    <t>https://www.facebook.com/thong.ngovan.7906</t>
  </si>
  <si>
    <t>Ngô Văn Thông</t>
  </si>
  <si>
    <t>Huongto661@gmail.com</t>
  </si>
  <si>
    <t>Đường Yên, Xuân Nộn, Đông Anh, Hà Nội</t>
  </si>
  <si>
    <t>https://drive.google.com/open?id=1jwMD2r9fXtQ-yR4fRpAYth4dcBCzNIRq</t>
  </si>
  <si>
    <t>https://www.facebook.com/profile.php?id=100010554601685</t>
  </si>
  <si>
    <t xml:space="preserve">Hoàng Hồng Quang </t>
  </si>
  <si>
    <t>hongquang2405@gmail.com</t>
  </si>
  <si>
    <t>Ngõ 11, xóm mới, Phường Minh Khai, Bắc Từ Liêm, HN</t>
  </si>
  <si>
    <t>https://drive.google.com/open?id=1aa9jvFmNG3KXTrkImnoU0fAQluDXPZ4l</t>
  </si>
  <si>
    <t>https://www.facebook.com/thiluong.nguyen.9400984</t>
  </si>
  <si>
    <t>luongnguyenthi606@gmail.com</t>
  </si>
  <si>
    <t xml:space="preserve"> shop thúy giỏi khê ngoại 5 văn khê mê linh hà nội</t>
  </si>
  <si>
    <t>https://drive.google.com/open?id=105XVopobO3dtPOHohs0DdkfZSiazuIGF</t>
  </si>
  <si>
    <t>A1042</t>
  </si>
  <si>
    <t>PT62</t>
  </si>
  <si>
    <t>https://www.facebook.com/profile.php?id=100034636382792&amp;locale=vi_VN</t>
  </si>
  <si>
    <t>Trần Thị Quỳnh 332981862 sđt tư vấn cập nhật</t>
  </si>
  <si>
    <t>thiquynht1807@gmail.com</t>
  </si>
  <si>
    <t>TDP Vân Nam-TT Hưng Nhân-Hưng Hà- Thái Bình</t>
  </si>
  <si>
    <t>https://drive.google.com/open?id=1LGlrChF4PD1wQV6RfRLyUy0JIFstrgyo</t>
  </si>
  <si>
    <t>https://www.facebook.com/profile.php?id=100057816013502&amp;mibextid=ZbWKwL</t>
  </si>
  <si>
    <r>
      <rPr>
        <sz val="12"/>
        <color theme="1"/>
        <rFont val="Times New Roman"/>
        <family val="1"/>
      </rPr>
      <t xml:space="preserve">Trương Xuân Đức </t>
    </r>
    <r>
      <rPr>
        <sz val="12"/>
        <color rgb="FFFF0000"/>
        <rFont val="Times New Roman"/>
        <family val="1"/>
      </rPr>
      <t>(nick Đức Trương)</t>
    </r>
  </si>
  <si>
    <t xml:space="preserve">Cơ sở 3 Công nghiệp hà nội, phủ lý, hà nam  </t>
  </si>
  <si>
    <t>https://drive.google.com/open?id=1HwvdUUPqa3JqkL8H7Ul3rERWyP36fz73</t>
  </si>
  <si>
    <t>https://www.facebook.com/profile.php?id=100050204959654</t>
  </si>
  <si>
    <r>
      <rPr>
        <sz val="12"/>
        <color theme="1"/>
        <rFont val="Times New Roman"/>
        <family val="1"/>
      </rPr>
      <t>Lê Tràng Đạt</t>
    </r>
    <r>
      <rPr>
        <sz val="12"/>
        <color rgb="FFFF0000"/>
        <rFont val="Times New Roman"/>
        <family val="1"/>
      </rPr>
      <t xml:space="preserve"> (Cần hợp đồng)</t>
    </r>
  </si>
  <si>
    <t xml:space="preserve">Đại học công nghiệp hà nội cơ sở 3
</t>
  </si>
  <si>
    <t>https://drive.google.com/open?id=1R5JoAuYJqvQlJPJChiEY9VMFotYUoarh</t>
  </si>
  <si>
    <t>OVIP1</t>
  </si>
  <si>
    <t xml:space="preserve">Nguyễn Thị Tuyết Trinh </t>
  </si>
  <si>
    <t>https://drive.google.com/open?id=17O7Uf_oUTrOp2s7iXNw90jzbV-4ZyREl</t>
  </si>
  <si>
    <t>&gt;350</t>
  </si>
  <si>
    <t>Học OFF phát sách ở lớp</t>
  </si>
  <si>
    <t>https://www.facebook.com/profile.php?id=100083198385836&amp;mibextid=LQQJ4d</t>
  </si>
  <si>
    <t>Nguyễn Hữu Đăng</t>
  </si>
  <si>
    <t>Thanh Hương</t>
  </si>
  <si>
    <t>dang36390@gmail.com</t>
  </si>
  <si>
    <t>cuối ngõ đối diện số nhà 80 an hạ an thượng hoài đức hà nội</t>
  </si>
  <si>
    <t>https://drive.google.com/open?id=10pvboRkCPKsxYHr0m0dyqXu0zQkslZfC</t>
  </si>
  <si>
    <t>https://www.facebook.com/thanhvan.phamthi.5099</t>
  </si>
  <si>
    <t>THU KIM</t>
  </si>
  <si>
    <t>Số nhà 12, ngõ 179 ngách 187 Phố Vĩnh Hưng, Phường Vĩnh Hưng, Quận Hoàng Mai, Hà Nội</t>
  </si>
  <si>
    <t>https://drive.google.com/open?id=1wkn4DAmAYlDmCTviN6FhEkRC40Brk3hf</t>
  </si>
  <si>
    <t>từ PT lên</t>
  </si>
  <si>
    <t>https://www.facebook.com/profile.php?id=100070587709381</t>
  </si>
  <si>
    <t xml:space="preserve">Phạm Thị Hà Trang  </t>
  </si>
  <si>
    <t>CHƯA CÓ</t>
  </si>
  <si>
    <t xml:space="preserve">Nhà 12 ngõ 179 ngách 187 phố vĩnh hưng hoàng mai Hà Nội </t>
  </si>
  <si>
    <t>https://drive.google.com/open?id=1M1-dFZWAeuqH3TR72paZNTQJzyBtpFOu</t>
  </si>
  <si>
    <t>TỪ PT LÊN</t>
  </si>
  <si>
    <t>https://www.facebook.com/trang.vuhuyen.7121614</t>
  </si>
  <si>
    <t>Vũ Thị Huyền Trang</t>
  </si>
  <si>
    <t xml:space="preserve">Dương </t>
  </si>
  <si>
    <t xml:space="preserve">vuhuyentrang6102004@gmail.com </t>
  </si>
  <si>
    <t xml:space="preserve">Nhận tại trung tâm </t>
  </si>
  <si>
    <t>https://drive.google.com/open?id=1apbWWg91tF9nTOIb7J_1ydhQ2-OI62LJ</t>
  </si>
  <si>
    <t>https://www.facebook.com/lans.lans.10297</t>
  </si>
  <si>
    <t xml:space="preserve">Vũ Thị Lan </t>
  </si>
  <si>
    <t>vuthilan17122005@gmail.com</t>
  </si>
  <si>
    <t>số nhà 11 , ngách 75 , ngõ 381 Nguyễn Khang , P Yên Hoà , Cầu giấy</t>
  </si>
  <si>
    <t>https://drive.google.com/open?id=1Th3EK-DXy6vpSbkktH5fiEQ_oxeZBoNf</t>
  </si>
  <si>
    <t>https://www.facebook.com/profile.php?id=100054706222073&amp;mibextid=LQQJ4d</t>
  </si>
  <si>
    <t>nguyenthihue2005bn@gmail.com</t>
  </si>
  <si>
    <t>số 2a, ngách 44/130, làng Vòng, Dịch Vọng Hậu, Cầu Giấy, Hà Nội</t>
  </si>
  <si>
    <t>https://drive.google.com/open?id=1_SPmTFn6jJmBMRN_LZhYJIRfbMKX9o37</t>
  </si>
  <si>
    <t>https://www.facebook.com/profile.php?id=100035343286998&amp;mibextid=9R9pXO</t>
  </si>
  <si>
    <t>Phan Huy</t>
  </si>
  <si>
    <t>https://drive.google.com/open?id=11NIAAem2gXg_X9OA15fkV0reJ6B4HkjG; https://drive.google.com/open?id=1fhhU15I-elMFOxVaJV9gbIN7tJ5JuXpj</t>
  </si>
  <si>
    <t>https://www.facebook.com/profile.php?id=100030349750522&amp;mibextid=9R9pXO</t>
  </si>
  <si>
    <t>Hữu Đại</t>
  </si>
  <si>
    <t>https://drive.google.com/open?id=1vTI-CVJTotL4XE8Fv3DbehkPj0hU27Ce; https://drive.google.com/open?id=17VC5R-72Jsb8jjuwrXujpXlwYtkxlSop</t>
  </si>
  <si>
    <t>https://www.facebook.com/mi.hoa.9461?mibextid=ZbWKwL</t>
  </si>
  <si>
    <t>Trịnh Thái Sơn</t>
  </si>
  <si>
    <t>https://drive.google.com/open?id=1B2eZXfucS84x0fC7ugAfHLqvX6BdcUyg</t>
  </si>
  <si>
    <t>OPT10 =&gt; OPT11</t>
  </si>
  <si>
    <t>https://www.facebook.com/profile.php?id=100010602313757&amp;mibextid=LQQJ4d</t>
  </si>
  <si>
    <t>https://drive.google.com/open?id=19uYfVCeqbaQoXRDxTRvbVMcwZzU3qW1I</t>
  </si>
  <si>
    <t>https://www.facebook.com/profile.php?id=100016000028877&amp;mibextid=LQQJ4d</t>
  </si>
  <si>
    <t>Phạm Thị Nhật Linh</t>
  </si>
  <si>
    <t>https://drive.google.com/open?id=1el3SHnXVYshmA6xKdj7UZ3SMRFUyjevz</t>
  </si>
  <si>
    <t>B655</t>
  </si>
  <si>
    <t>OT7</t>
  </si>
  <si>
    <t>https://www.facebook.com/profile.php?id=100071549422419</t>
  </si>
  <si>
    <t>Khuất Duy Tính</t>
  </si>
  <si>
    <t>khuatduytinh2k4@gmail.com</t>
  </si>
  <si>
    <t>nhận sách trên lớp or đưa Hà Hiền</t>
  </si>
  <si>
    <t>https://drive.google.com/open?id=1tb8Py3-7FsF1V86qikD1XBwnbBRaoLfE</t>
  </si>
  <si>
    <t>https://www.facebook.com/profile.php?id=100039244503444&amp;mibextid=ZbWKwL</t>
  </si>
  <si>
    <t>Nguyễn Văn Hải</t>
  </si>
  <si>
    <t>hỌC OFF</t>
  </si>
  <si>
    <t>https://drive.google.com/open?id=1hnTDAGKr2ATZ0CC7I8Hu_Obm8DWF1vr6</t>
  </si>
  <si>
    <t>https://www.facebook.com/thuhuyen.mai.02</t>
  </si>
  <si>
    <t>Mai Thu Huyền</t>
  </si>
  <si>
    <t>maithithuhuyen08092002@gmail.com</t>
  </si>
  <si>
    <t>nhận tại văn phòng</t>
  </si>
  <si>
    <t>https://drive.google.com/open?id=1joBhLsoA6aaik6ZPMdWpqK4v_ubo0qzu</t>
  </si>
  <si>
    <t>Nhài đưa Phương Anh</t>
  </si>
  <si>
    <t>https://www.facebook.com/mai.co.9406?mibextid=LQQJ4d</t>
  </si>
  <si>
    <t xml:space="preserve"> Vương Hoàng Mai </t>
  </si>
  <si>
    <t>vuongmaiyc@gmail.com</t>
  </si>
  <si>
    <t>Học viện chính sách và phát triển, khu đô thị Nam An Khánh , Hoài Đức, Hà Nội</t>
  </si>
  <si>
    <t>https://drive.google.com/open?id=1AWDOgIMA6So16Z4QL4Qz7ng3BtTIYxvu, https://drive.google.com/open?id=1jDI2Qf9__vORMhYI9ZMy1-BO1W-tHb0T</t>
  </si>
  <si>
    <t>https://www.facebook.com/messages/t/100047756716400</t>
  </si>
  <si>
    <t xml:space="preserve">Đinh Thành Vinh </t>
  </si>
  <si>
    <t>23A1001D0405@students.hou.edu.vn</t>
  </si>
  <si>
    <t xml:space="preserve">Ktx pháp vân tứ hiệp hoàng mai hà nội
You sent
</t>
  </si>
  <si>
    <t>https://drive.google.com/open?id=1SK6c5PNeS-YJjyYAMEJwrmAQNrEWeS0S; https://drive.google.com/open?id=12BPYFrk0HJ30W6L3bDqskMLkW950Ed2c</t>
  </si>
  <si>
    <t>B644</t>
  </si>
  <si>
    <t>https://www.facebook.com/profile.php?id=100012514540453</t>
  </si>
  <si>
    <t>Phùng Thị Bích Ngọc</t>
  </si>
  <si>
    <t>Duyên Trần</t>
  </si>
  <si>
    <t>KO có</t>
  </si>
  <si>
    <t>17a Nguyễn Hữu Dật, Tây Thạnh, Tân Phú, HCM</t>
  </si>
  <si>
    <t>https://drive.google.com/open?id=1J3jrQlse83FB7ogsXWOOErgNDP_2LMk_</t>
  </si>
  <si>
    <t xml:space="preserve">T181 =&gt; Chờ lớp. </t>
  </si>
  <si>
    <t>OT11</t>
  </si>
  <si>
    <t xml:space="preserve">Trần Quốc Huy </t>
  </si>
  <si>
    <t>tquochuyy05@gmail.com</t>
  </si>
  <si>
    <t>35 ngõ 58 phố Trần Bình -Mai Dịch - Cầu Giấy -HN</t>
  </si>
  <si>
    <t>https://drive.google.com/open?id=17Q7H1H5FhY6KIZgSWA-Bc7V3u2d1vRl4, https://drive.google.com/open?id=10-Se6eckSyl4DfIbMX4skSx2Xv4UypW0</t>
  </si>
  <si>
    <t>https://www.facebook.com/kien.tranduc.3745?mibextid=LQQJ4d</t>
  </si>
  <si>
    <r>
      <rPr>
        <sz val="12"/>
        <color theme="1"/>
        <rFont val="Times New Roman"/>
        <family val="1"/>
      </rPr>
      <t xml:space="preserve"> Trần Đức Kiên - </t>
    </r>
    <r>
      <rPr>
        <sz val="12"/>
        <color rgb="FFFF0000"/>
        <rFont val="Times New Roman"/>
        <family val="1"/>
      </rPr>
      <t>nick Iron Dark</t>
    </r>
  </si>
  <si>
    <t>số nhà 15 ngách 25 ngõ 296 đường Lĩnh Nam phường Hoàng Mai quận Hai Bà Trưng Hà Nội</t>
  </si>
  <si>
    <t>https://drive.google.com/open?id=1BWE7Iyth3Y-Q7NJTZXW8vtrVduEBbXKI</t>
  </si>
  <si>
    <t>PT57</t>
  </si>
  <si>
    <t>https://www.facebook.com/comai.co.31</t>
  </si>
  <si>
    <t xml:space="preserve">Hoàng Thị Mai  </t>
  </si>
  <si>
    <t>mh581380@gmail.com</t>
  </si>
  <si>
    <t>Trọ cô Vân- chú bảo, sau GK1, đại học kinh tế và quản trị kinh doanh Thái Nguyên</t>
  </si>
  <si>
    <t>https://drive.google.com/open?id=1QVP2ouxnPDpXuqC4ytrPLIvUnvKSs53o</t>
  </si>
  <si>
    <t>https://www.facebook.com/Trinh.quynhanh.37.habbit?mibextid=ZbWKwL</t>
  </si>
  <si>
    <r>
      <rPr>
        <sz val="12"/>
        <color theme="1"/>
        <rFont val="Times New Roman"/>
        <family val="1"/>
      </rPr>
      <t xml:space="preserve">Trịnh Quỳnh Anh </t>
    </r>
    <r>
      <rPr>
        <sz val="12"/>
        <color rgb="FFFF0000"/>
        <rFont val="Times New Roman"/>
        <family val="1"/>
      </rPr>
      <t>(Cần hợp đồng)</t>
    </r>
  </si>
  <si>
    <t>anhq6552@gmail.com</t>
  </si>
  <si>
    <t>khu 11-xã khải xuân-huyện thanh ba- tỉnh phú thọ</t>
  </si>
  <si>
    <t>https://drive.google.com/open?id=1oMYPi119lwJxvEMK63jdlqhIA-93DIxl</t>
  </si>
  <si>
    <t>https://www.facebook.com/profile.php?id=100071916904069</t>
  </si>
  <si>
    <r>
      <rPr>
        <sz val="12"/>
        <color theme="1"/>
        <rFont val="Times New Roman"/>
        <family val="1"/>
      </rPr>
      <t xml:space="preserve">Trần Thị Hoàng Yến </t>
    </r>
    <r>
      <rPr>
        <sz val="12"/>
        <color rgb="FFFF0000"/>
        <rFont val="Times New Roman"/>
        <family val="1"/>
      </rPr>
      <t>(sđt mới 0972558420)</t>
    </r>
  </si>
  <si>
    <t>85 lê văn hiến, phường đucs thắng ,Bắc từ liêm, hà nội</t>
  </si>
  <si>
    <t>https://drive.google.com/open?id=1v4ZQjazVfr81QZrXbq8Rmogn7LZIp-iW</t>
  </si>
  <si>
    <t>72/100</t>
  </si>
  <si>
    <t>PT72 học đến b4 mất tích. Huy chat</t>
  </si>
  <si>
    <t>https://www.facebook.com/end.heath?mibextid=LQQJ4d</t>
  </si>
  <si>
    <r>
      <rPr>
        <sz val="12"/>
        <color theme="1"/>
        <rFont val="Times New Roman"/>
        <family val="1"/>
      </rPr>
      <t xml:space="preserve">Vũ Lê Tuấn Anh </t>
    </r>
    <r>
      <rPr>
        <sz val="12"/>
        <color rgb="FFFF0000"/>
        <rFont val="Times New Roman"/>
        <family val="1"/>
      </rPr>
      <t>- Chưa nộp 300K</t>
    </r>
    <r>
      <rPr>
        <sz val="12"/>
        <color theme="1"/>
        <rFont val="Times New Roman"/>
        <family val="1"/>
      </rPr>
      <t xml:space="preserve">
</t>
    </r>
    <r>
      <rPr>
        <sz val="12"/>
        <color rgb="FFFF0000"/>
        <rFont val="Times New Roman"/>
        <family val="1"/>
      </rPr>
      <t>OPT11 nghỉ từ buổi 1 do xa ko học OFF được. Yến Meca báo</t>
    </r>
  </si>
  <si>
    <t>https://drive.google.com/open?id=1N3UuRF7nQH7TWI9z6cYERg1sX00oa6OS</t>
  </si>
  <si>
    <t>https://www.facebook.com/profile.php?id=100074317250535&amp;mibextid=ZbWKwL</t>
  </si>
  <si>
    <t>Phạm Thị Sen</t>
  </si>
  <si>
    <t>: số nhà 12, ngõ 41 xuân thủy, p Dịch vọng hậu, q Cầu giấy, Hà Nội</t>
  </si>
  <si>
    <t>https://drive.google.com/open?id=14bnwQN5fDJo34c-2tYSHB-EYX468-auM</t>
  </si>
  <si>
    <t>https://www.facebook.com/romei.chem</t>
  </si>
  <si>
    <r>
      <rPr>
        <sz val="12"/>
        <color theme="1"/>
        <rFont val="Times New Roman"/>
        <family val="1"/>
      </rPr>
      <t xml:space="preserve">Nguyễn Thị Hoa  </t>
    </r>
    <r>
      <rPr>
        <sz val="12"/>
        <color rgb="FFFF0000"/>
        <rFont val="Times New Roman"/>
        <family val="1"/>
      </rPr>
      <t>(Cần hợp đồng)</t>
    </r>
  </si>
  <si>
    <t xml:space="preserve">Tuấn </t>
  </si>
  <si>
    <t>hoanguyencp2005@gmail.com</t>
  </si>
  <si>
    <t xml:space="preserve"> số nhà 4 ngõ 479 Lĩnh Nam, phường Lĩnh Nam, quận Hoàng Mai, Hà Nội</t>
  </si>
  <si>
    <t>https://drive.google.com/open?id=1jbyXeESqz49rpUQw2vmix9mJG0jCzSk7</t>
  </si>
  <si>
    <r>
      <rPr>
        <sz val="12"/>
        <color theme="1"/>
        <rFont val="Times New Roman"/>
        <family val="1"/>
      </rPr>
      <t>Nguyễn Thị Mai Liên</t>
    </r>
    <r>
      <rPr>
        <sz val="12"/>
        <color rgb="FFFF0000"/>
        <rFont val="Times New Roman"/>
        <family val="1"/>
      </rPr>
      <t xml:space="preserve"> - Chưa nộp 300K
T177 bảo lưu b19. Quay lại học T186 buổi</t>
    </r>
  </si>
  <si>
    <t>Hằng</t>
  </si>
  <si>
    <t>Số nhà 23 Thôn Bắc Thượng xã Quang Tiến huyện Sóc Sơn tp Hà Nội</t>
  </si>
  <si>
    <t>https://drive.google.com/open?id=1G8v3FfakTMeO_g-VBmPwrdc1hwK6ueV_</t>
  </si>
  <si>
    <t>Nhài đưa Yến sale</t>
  </si>
  <si>
    <t>https://www.facebook.com/huuchien.nguyen.9469</t>
  </si>
  <si>
    <r>
      <rPr>
        <sz val="12"/>
        <color theme="1"/>
        <rFont val="Times New Roman"/>
        <family val="1"/>
      </rPr>
      <t>Nguyễn Hữu Chiến</t>
    </r>
    <r>
      <rPr>
        <sz val="12"/>
        <color rgb="FFFF0000"/>
        <rFont val="Times New Roman"/>
        <family val="1"/>
      </rPr>
      <t xml:space="preserve"> - nick Nguyễn Hữu NA</t>
    </r>
  </si>
  <si>
    <t>https://drive.google.com/open?id=1r1-sC90XlWQ3gaEJLdNts505_auo8LQq, https://drive.google.com/open?id=14uuwiKQ52ZjNscOpPtVfhiY6Jk8nC_Rg; https://drive.google.com/open?id=115nhWKKcbfEaYQwQkhdzGqRdm9LmbhmS</t>
  </si>
  <si>
    <t>PT58</t>
  </si>
  <si>
    <t>https://www.facebook.com/profile.php?id=100021701801813</t>
  </si>
  <si>
    <t>quynhanhbn1504@gmail.com</t>
  </si>
  <si>
    <t>Tư chi-Tân chi-Tiên du-Bắc ninh</t>
  </si>
  <si>
    <t>https://drive.google.com/open?id=1zNM5f8eJuCrMgQjR6MA5toK4ZA_-v-zp</t>
  </si>
  <si>
    <r>
      <rPr>
        <sz val="12"/>
        <color theme="1"/>
        <rFont val="Times New Roman"/>
        <family val="1"/>
      </rPr>
      <t xml:space="preserve">Lê Thị Phương Anh </t>
    </r>
    <r>
      <rPr>
        <sz val="12"/>
        <color rgb="FFFF0000"/>
        <rFont val="Times New Roman"/>
        <family val="1"/>
      </rPr>
      <t xml:space="preserve">cọc chung với Thiệu Văn Thanh </t>
    </r>
  </si>
  <si>
    <t xml:space="preserve">LỚP OFF chưa chọn size áo </t>
  </si>
  <si>
    <t>https://drive.google.com/open?id=1EOYH8Qmyvf7Z-W9GzjUozQ4Ek1Sx2Wo5; https://drive.google.com/open?id=1ZSY1i-HlHCWcG2tofTZ_sqUatm1AMfN4</t>
  </si>
  <si>
    <t>77/100</t>
  </si>
  <si>
    <r>
      <rPr>
        <sz val="12"/>
        <color theme="1"/>
        <rFont val="Times New Roman"/>
        <family val="1"/>
      </rPr>
      <t xml:space="preserve">Thiệu Văn Thanh </t>
    </r>
    <r>
      <rPr>
        <sz val="12"/>
        <color rgb="FFFF0000"/>
        <rFont val="Times New Roman"/>
        <family val="1"/>
      </rPr>
      <t>cọc cùng Lê Thị Phương Anh</t>
    </r>
  </si>
  <si>
    <t>LỚP OFF chưa chọn được size áo</t>
  </si>
  <si>
    <t>https://drive.google.com/open?id=1EH2oJLru2XoAzcDx6xku4jcLbiSycPp_; https://drive.google.com/open?id=1rjiyC8biP76JI3kwyLZtyTsvP4T98jDh</t>
  </si>
  <si>
    <t>LỚP OFF CHƯA CHỌN ĐC SIZE ÁO</t>
  </si>
  <si>
    <t>https://drive.google.com/open?id=1eaoKt2DAIibqUzdZp5zRjy2UxqlqHT2A</t>
  </si>
  <si>
    <t>85/100</t>
  </si>
  <si>
    <t>T213 bảo lưu buổi 18</t>
  </si>
  <si>
    <r>
      <rPr>
        <sz val="12"/>
        <color theme="1"/>
        <rFont val="Times New Roman"/>
        <family val="1"/>
      </rPr>
      <t xml:space="preserve">Lê Thu Hà </t>
    </r>
    <r>
      <rPr>
        <sz val="12"/>
        <color rgb="FFFF0000"/>
        <rFont val="Times New Roman"/>
        <family val="1"/>
      </rPr>
      <t>- nick Hà Annabelle - Đã nộp 300K 04/06/2024
T178 bảo lưu b3  đi thực tập. Học T213 b1</t>
    </r>
  </si>
  <si>
    <t>Lê Thị Hương (cần lấy size áo)</t>
  </si>
  <si>
    <t>nhà 16- ngõ 275 Yên duyên -  Yên sở - Hoàng Mai- Hà Nội</t>
  </si>
  <si>
    <t>https://drive.google.com/open?id=1M-txXFipK2VxVUqMMjBfaco9qi_Fixgi</t>
  </si>
  <si>
    <t>https://www.facebook.com/profile.php?id=100026453388749&amp;mibextid=ZbWKwL</t>
  </si>
  <si>
    <t>Vũ Phương My</t>
  </si>
  <si>
    <t>vuphuongmy1822005@gmail.com</t>
  </si>
  <si>
    <t>https://drive.google.com/open?id=1LW79qN-k4VCbH4zEnHv-9WZtOPtf6hAm</t>
  </si>
  <si>
    <t>OT5 =&gt;OT7. KO học OT7</t>
  </si>
  <si>
    <t>https://www.facebook.com/profile.php?id=100056607744461</t>
  </si>
  <si>
    <t>Hoàng Huyền Diệu</t>
  </si>
  <si>
    <t>Thôn 2, Vạn Phúc, Thanh Trì, Hà Nội</t>
  </si>
  <si>
    <t>https://drive.google.com/open?id=1pr71oESksj_tT7XQNE3ViW0TWezQ8fLJ</t>
  </si>
  <si>
    <t>https://www.facebook.com/khanhvi.nguyen.5623</t>
  </si>
  <si>
    <t>Nguyễn Thị Thu An</t>
  </si>
  <si>
    <t>Thôn 1, Vạn Phúc, Thanh Trì, Hà Nội</t>
  </si>
  <si>
    <t>https://drive.google.com/open?id=1j0jvBRMSu4hEhD7KnBpfNzv5ymLlmlQZ</t>
  </si>
  <si>
    <t>T319</t>
  </si>
  <si>
    <t>https://www.facebook.com/people/Trung-Hi%E1%BA%BFu/pfbid027riwhoWHj9aWivuogGZhhsyFs2XMhgy9k44WTnx4VXGtH6X46G1FGKTdqKkbiZS5l/</t>
  </si>
  <si>
    <r>
      <rPr>
        <sz val="12"/>
        <color theme="1"/>
        <rFont val="Times New Roman"/>
        <family val="1"/>
      </rPr>
      <t xml:space="preserve">Bùi Trung Hiếu </t>
    </r>
    <r>
      <rPr>
        <sz val="12"/>
        <color rgb="FFFF0000"/>
        <rFont val="Times New Roman"/>
        <family val="1"/>
      </rPr>
      <t>- T302 học buổi 1 không theo đc</t>
    </r>
  </si>
  <si>
    <t>hieub4590@gmail.com</t>
  </si>
  <si>
    <t>ngõ 37 dịch vọng, cầu giấy, hà nội</t>
  </si>
  <si>
    <t>giảm trừ</t>
  </si>
  <si>
    <t>https://drive.google.com/open?id=1UbDpaJPSsF-53dsa58ObBr4Edqpj4K52, https://drive.google.com/open?id=13C8eieuN65zuAMZrbEfOI7r7-1vwFvvU</t>
  </si>
  <si>
    <t>Học OFF đưa sách ở lớp</t>
  </si>
  <si>
    <t>https://www.facebook.com/nguyenthiha2403</t>
  </si>
  <si>
    <t xml:space="preserve">Nguyễn Thị Hà </t>
  </si>
  <si>
    <t>nguyenlinhha24032003@gmail.com</t>
  </si>
  <si>
    <t>24/63 Trần Quốc Vượng, Hà Nội</t>
  </si>
  <si>
    <t>https://drive.google.com/open?id=1Rf6IEp6YyGQ5n-TbtGe2vzVS_d-8ao_i</t>
  </si>
  <si>
    <t>https://www.facebook.com/minhkhoi2k3?mibextid=ZbWKwL</t>
  </si>
  <si>
    <t>Đinh Minh Khôi</t>
  </si>
  <si>
    <t>khoi0362519222@gmail.com</t>
  </si>
  <si>
    <t>161 thạch bàn, Long Biên, Hà Nội</t>
  </si>
  <si>
    <t>https://drive.google.com/open?id=17j2YxJhFmrfH8oNSp0qBwFupi2xJnz4N</t>
  </si>
  <si>
    <t>https://www.facebook.com/profile.php?id=100036099408765&amp;mibextid=ZbWKwL</t>
  </si>
  <si>
    <t>Nguyễn Doãn Dũng</t>
  </si>
  <si>
    <t>47/259, Vĩnh Hưng, Hoàng Mai, Hà Nội</t>
  </si>
  <si>
    <t>https://drive.google.com/open?id=1KLS1WH8GnR3sltHS7vlyaOtkKtuEITSd</t>
  </si>
  <si>
    <t>https://www.facebook.com/nthdao</t>
  </si>
  <si>
    <t xml:space="preserve"> Nguyễn Thị Hồng Đào</t>
  </si>
  <si>
    <t>Nguyenthihongdao96nshd@gmail.com</t>
  </si>
  <si>
    <t>Quầy thuốc Toản Thơm, thôn Uông Hạ, xã Minh Tân, huyện Nam Sách, Hải dương</t>
  </si>
  <si>
    <t>https://drive.google.com/open?id=1nBQsQmX-dUBJRWTZDk3vCc3kgIFdYJh6</t>
  </si>
  <si>
    <t>OVIP6</t>
  </si>
  <si>
    <t>Trịnh Phương Hảo</t>
  </si>
  <si>
    <t>11 ngõ 1008 đường Láng, Đống Đa, Hà Nội</t>
  </si>
  <si>
    <t>giảm trừ 23k</t>
  </si>
  <si>
    <t>https://drive.google.com/open?id=1OisS9RmOuLiB9I9Am_HArtgbWNuFhCZ1</t>
  </si>
  <si>
    <t>https://www.facebook.com/profile.php?id=100029946350055&amp;mibextid=LQQJ4d</t>
  </si>
  <si>
    <t>Mai Thị Dịu</t>
  </si>
  <si>
    <t>maidiu685@gmail.com</t>
  </si>
  <si>
    <t>Thôn An Cố Trung, xã An Tân, huyện Thái Thuỵ, tỉnh Thái Bình</t>
  </si>
  <si>
    <t>https://drive.google.com/open?id=1Pxpk7FnvpdipA1v7dwISKfyYHeUIqKwW</t>
  </si>
  <si>
    <t>https://www.facebook.com/profile.php?id=100072629540110</t>
  </si>
  <si>
    <t xml:space="preserve">Phí Công Thịnh </t>
  </si>
  <si>
    <t>phicongthinh11@gmail.com</t>
  </si>
  <si>
    <t>Tại trung tâm cơ sở Nguyễn Hoàng</t>
  </si>
  <si>
    <t>https://drive.google.com/open?id=1anDkAF9PlH-03HXq1DZA0QsxREqf35zy</t>
  </si>
  <si>
    <t>https://www.facebook.com/hai.dangvipvailon</t>
  </si>
  <si>
    <t>Nguyễn Tiến Hải Đăng</t>
  </si>
  <si>
    <t>Dang2005b@gmail.com</t>
  </si>
  <si>
    <t>https://drive.google.com/open?id=1sNLA8A7aMCEx08Yi9WODc6rkIshVP7K3</t>
  </si>
  <si>
    <t>Mất  gốc</t>
  </si>
  <si>
    <t>OPT14</t>
  </si>
  <si>
    <t>https://www.facebook.com/lamchipchip</t>
  </si>
  <si>
    <t xml:space="preserve">Bui Van Lam  </t>
  </si>
  <si>
    <t>lamchipchip2003@gmail.com</t>
  </si>
  <si>
    <t>Tại trung  tâm cơ sở Nguyễn Hoàng</t>
  </si>
  <si>
    <t>https://drive.google.com/open?id=13qxNCC5g1vBpCyGr4yijtFRnPj7ZoLgT</t>
  </si>
  <si>
    <t>https://drive.google.com/open?id=1xQpnizyuejoINDAb8rKxTe6K1tTld_zf</t>
  </si>
  <si>
    <t>https://www.facebook.com/profile.php?id=100069339530902</t>
  </si>
  <si>
    <t xml:space="preserve">Nguyễn Đình Khanh </t>
  </si>
  <si>
    <t>dinhkhanh23022005@gmail.com</t>
  </si>
  <si>
    <t>https://drive.google.com/open?id=1T59KUiQHzKtPbKQa52vhA1rvJtXXE7N6, https://drive.google.com/open?id=1OgbdWgL9x0pweQvkWAxC18-FNmn-0iPb, https://drive.google.com/open?id=1YfR5436vels2L-0jV8ouaDTHXTj82jXD</t>
  </si>
  <si>
    <t xml:space="preserve">Mất gốc  </t>
  </si>
  <si>
    <t>https://www.facebook.com/vutduythanh25?mibextid=LQQJ4d</t>
  </si>
  <si>
    <t>Vũ Duy Thành</t>
  </si>
  <si>
    <t>.</t>
  </si>
  <si>
    <t>nhan tai lop</t>
  </si>
  <si>
    <t>https://drive.google.com/open?id=1LKp38BUSX5Qp-oR6sEJk1j7VTHY67v4H</t>
  </si>
  <si>
    <t>https://www.facebook.com/tucoiss.05032005?mibextid=LQQJ4d</t>
  </si>
  <si>
    <t>Nguyễn Huy Tú</t>
  </si>
  <si>
    <t>Ngõ 102 đường trường chinh chung cư meco</t>
  </si>
  <si>
    <t>https://drive.google.com/open?id=1o3SIHs8ZXcErfge10bGlg3PEhmAAQkbJ</t>
  </si>
  <si>
    <t>https://www.facebook.com/profile.php?id=100074764418449&amp;mibextid=LQQJ4d</t>
  </si>
  <si>
    <t xml:space="preserve">Phạm Thu Thảo </t>
  </si>
  <si>
    <t xml:space="preserve">số 3 , ngõ 42 phố Trần Bình </t>
  </si>
  <si>
    <t>https://drive.google.com/open?id=1K8tf2C1WPjl9QHSr7rNSrD1DLnOzp-vp</t>
  </si>
  <si>
    <t>https://www.facebook.com/profile.php?id=100036130631600&amp;mibextid=ZbWKwL</t>
  </si>
  <si>
    <t xml:space="preserve">Nguyễn Thị Lan Hương </t>
  </si>
  <si>
    <t xml:space="preserve">Số nhà 107, tổ 8, lê hồng phong, phủ lí, Hà Nam </t>
  </si>
  <si>
    <t>https://drive.google.com/open?id=1DVBKD2iRK7fYRZ5S5k4pvvVZOGOnZzRa, https://drive.google.com/open?id=1BGzatZMS55fmlkvO7DIxj6i2P6CKfNso</t>
  </si>
  <si>
    <t>PT60 xin nghỉ ngang b11 do việc gia đình</t>
  </si>
  <si>
    <t>https://www.facebook.com/profile.php?id=100055402762819&amp;mibextid=LQQJ4d</t>
  </si>
  <si>
    <t xml:space="preserve">Đinh Thị Ngọc Ánh </t>
  </si>
  <si>
    <t>Tuyêt</t>
  </si>
  <si>
    <t>Số nhà 51- đường Phú Viên-x.Thanh Sơn- h.Kim Bảng -t.Hà Nam</t>
  </si>
  <si>
    <t>https://drive.google.com/open?id=1yt__ZhLckweEwCFzcLDyKwtPnmy6Ni60</t>
  </si>
  <si>
    <t>PT58 =&gt;PT60 Yến chat</t>
  </si>
  <si>
    <t>T189</t>
  </si>
  <si>
    <t>https://www.facebook.com/profile.php?id=100037862260918&amp;mibextid=ZbWKwL</t>
  </si>
  <si>
    <r>
      <rPr>
        <sz val="12"/>
        <color theme="1"/>
        <rFont val="Times New Roman"/>
        <family val="1"/>
      </rPr>
      <t>Nguyễn Tiến Hào</t>
    </r>
    <r>
      <rPr>
        <sz val="12"/>
        <color rgb="FFFF0000"/>
        <rFont val="Times New Roman"/>
        <family val="1"/>
      </rPr>
      <t xml:space="preserve">
T179 Yến Meca báo bạn bảo lưu b1 do trùng lịch học trên trường. </t>
    </r>
  </si>
  <si>
    <t>ngõ 7, ngách 7/6 phố nguyên xá phường minh khai quận bắc tự liêm</t>
  </si>
  <si>
    <t>https://drive.google.com/open?id=1bGUs3JLAI0rPoA7XJhjYjKSNYxN0bFgX</t>
  </si>
  <si>
    <t>Đã nộp 300K bảo lưu 22/11/23</t>
  </si>
  <si>
    <t>Vũ Hồng Quân</t>
  </si>
  <si>
    <t>Trường Tiểu học Hoàn Sơn, Hoàn sơn, tiên du, bắc ninh</t>
  </si>
  <si>
    <t>https://drive.google.com/open?id=18DRcObc6AtYfwGw6q3-dElWhfFqnF28j</t>
  </si>
  <si>
    <t>T187 =&gt; Chờ lớp =&gt;T189</t>
  </si>
  <si>
    <t>B532</t>
  </si>
  <si>
    <t>https://www.facebook.com/profile.php?id=100037406925975</t>
  </si>
  <si>
    <t>Phạm Thị Thuỳ Linh</t>
  </si>
  <si>
    <t>PHƯƠNG</t>
  </si>
  <si>
    <t>ĐÃ TÍNH LƯƠNG</t>
  </si>
  <si>
    <t xml:space="preserve">4/360 đê la thành - đống đa </t>
  </si>
  <si>
    <t>Điền lên T10.2023</t>
  </si>
  <si>
    <t>https://www.facebook.com/phuongloan.nguyenthi.3572?mibextid=LQQJ4d</t>
  </si>
  <si>
    <r>
      <rPr>
        <sz val="12"/>
        <color theme="1"/>
        <rFont val="Times New Roman"/>
        <family val="1"/>
      </rPr>
      <t xml:space="preserve">Nguyễn Thị Phương Loan </t>
    </r>
    <r>
      <rPr>
        <sz val="12"/>
        <color rgb="FFFF0000"/>
        <rFont val="Times New Roman"/>
        <family val="1"/>
      </rPr>
      <t>0981699781 sđt nhận sách</t>
    </r>
  </si>
  <si>
    <t>Thôn 3, xã Yên Bình,Thạch Thất, Hà Nội</t>
  </si>
  <si>
    <t>https://drive.google.com/open?id=1vV7g5nF8579W5mxv3wsRgIQGZmqE0ea5</t>
  </si>
  <si>
    <t>https://www.facebook.com/profile.php?id=100067139824424</t>
  </si>
  <si>
    <t>Roãn Thị Hồng Vi</t>
  </si>
  <si>
    <t>Hẻm 36, Ngách 8, Ngõ 95 phố Chùa Bộc, Đống Đa, tp Hà Nội</t>
  </si>
  <si>
    <t>https://www.facebook.com/tien.tun.2212</t>
  </si>
  <si>
    <t>Cao Thị Thủy Tiên</t>
  </si>
  <si>
    <t>Số 6, hẻm 23/72/24, Ngõ 75 đường Đức Diễn, Phúc Diễn, Bắc Từ Liêm, Hà Nội</t>
  </si>
  <si>
    <t>https://www.facebook.com/doantrang2003</t>
  </si>
  <si>
    <r>
      <rPr>
        <sz val="12"/>
        <color theme="1"/>
        <rFont val="Times New Roman"/>
        <family val="1"/>
      </rPr>
      <t>Vũ Đoan Trang</t>
    </r>
    <r>
      <rPr>
        <sz val="12"/>
        <color rgb="FFFF0000"/>
        <rFont val="Times New Roman"/>
        <family val="1"/>
      </rPr>
      <t xml:space="preserve"> (đổi VIP sang học PT và T) Huy báo</t>
    </r>
  </si>
  <si>
    <t xml:space="preserve"> số nhà 5, ngõ 345 vĩnh hưng, Thanh Trì,Hoàng Mai, Hà Nội </t>
  </si>
  <si>
    <t>https://drive.google.com/open?id=1s150wYGyE6X-BptB0MeBuK5EQX076OCg</t>
  </si>
  <si>
    <t>Huy báo học T61 được vài buổi. HV bỏ ko học và tìm người chuyển nhượng. KO tìm được ai học lớp T. Huy đồng ý bạn đổi: Combo toeic level 1 + 2 chuyển qua PT+Toeic level 1. Để ko đòi tiền lớp VIP. T160=&gt;T162</t>
  </si>
  <si>
    <t>HV báo ko học</t>
  </si>
  <si>
    <t>https://www.facebook.com/phuc.nguyensy.1675?mibextid=LQQJ4d</t>
  </si>
  <si>
    <r>
      <rPr>
        <sz val="12"/>
        <color theme="1"/>
        <rFont val="Times New Roman"/>
        <family val="1"/>
      </rPr>
      <t xml:space="preserve">Nguyễn Sỹ Phúc </t>
    </r>
    <r>
      <rPr>
        <sz val="12"/>
        <color rgb="FFFF0000"/>
        <rFont val="Times New Roman"/>
        <family val="1"/>
      </rPr>
      <t>(HV ko học)</t>
    </r>
  </si>
  <si>
    <t>bỏ k học</t>
  </si>
  <si>
    <t>https://drive.google.com/open?id=1pukysIJ-nbqyCLcbeGqUH2qUfcidTten</t>
  </si>
  <si>
    <t>OPT3 =&gt; Chờ</t>
  </si>
  <si>
    <t>PT43 Dương báo đổi sang học GT</t>
  </si>
  <si>
    <t>https://www.facebook.com/profile.php?id=100013439014984</t>
  </si>
  <si>
    <r>
      <rPr>
        <sz val="12"/>
        <color theme="1"/>
        <rFont val="Times New Roman"/>
        <family val="1"/>
      </rPr>
      <t xml:space="preserve">Bùi Thị Lan </t>
    </r>
    <r>
      <rPr>
        <sz val="12"/>
        <color rgb="FFFF0000"/>
        <rFont val="Times New Roman"/>
        <family val="1"/>
      </rPr>
      <t>- Nick Lann Anhh</t>
    </r>
  </si>
  <si>
    <t>builananh175@gmail.com</t>
  </si>
  <si>
    <t>230 nam trung , nam khê , uông bí , quảng ninh</t>
  </si>
  <si>
    <t>tính lương GT</t>
  </si>
  <si>
    <t>https://drive.google.com/open?id=1dOxt9UmoPw2Mop2NFZQ4zkQAYeGquatW; https://drive.google.com/open?id=1lFXyOUYeuq1DasMuMfezPErI4wtjeD6-</t>
  </si>
  <si>
    <t>Đã gửi sách PT43 ngày 06/09/2023</t>
  </si>
  <si>
    <t>https://www.facebook.com/mduc2489</t>
  </si>
  <si>
    <t xml:space="preserve">Đặng Quang Minh Đức </t>
  </si>
  <si>
    <t>vnam50753@gmail.com</t>
  </si>
  <si>
    <t>- Địa chỉ: Số 98, hẻm 25, ngách 49, ngõ 165 Dương Quảng Hàm, Cầu Giấy, Hà Nội</t>
  </si>
  <si>
    <t>https://drive.google.com/open?id=1L4KoSI4au9RKo3XTZKzHMtn0hnwcgWGv</t>
  </si>
  <si>
    <t>T192</t>
  </si>
  <si>
    <r>
      <rPr>
        <sz val="12"/>
        <color theme="1"/>
        <rFont val="Times New Roman"/>
        <family val="1"/>
      </rPr>
      <t xml:space="preserve">Trần Anh Tú </t>
    </r>
    <r>
      <rPr>
        <sz val="12"/>
        <color rgb="FFFF0000"/>
        <rFont val="Times New Roman"/>
        <family val="1"/>
      </rPr>
      <t>- Đã nộp 300K 17/01/2024</t>
    </r>
    <r>
      <rPr>
        <sz val="12"/>
        <color theme="1"/>
        <rFont val="Times New Roman"/>
        <family val="1"/>
      </rPr>
      <t xml:space="preserve">
</t>
    </r>
    <r>
      <rPr>
        <sz val="12"/>
        <color rgb="FFFF0000"/>
        <rFont val="Times New Roman"/>
        <family val="1"/>
      </rPr>
      <t>T160 bảo lưu b7 do trùng lịch trên trường. Quay lại học T192 buổi 5</t>
    </r>
  </si>
  <si>
    <t>136/129/8 số nhà 3 a Đường cầu diễn</t>
  </si>
  <si>
    <t>https://drive.google.com/open?id=16H_fMDmxkdEMACsPCLvSgVlpSWEEOqjq</t>
  </si>
  <si>
    <t>Đã nộp 300K 17/01/2024</t>
  </si>
  <si>
    <t>pt20</t>
  </si>
  <si>
    <t>Trần Minh An</t>
  </si>
  <si>
    <t>7a nghách 29/17 ngõ 213 Giáp Nhất , Nhân Chính, Thanh Xuân , Hà Nội</t>
  </si>
  <si>
    <t>https://drive.google.com/open?id=1Zn6BW9gbXt6XjiG19VxvUHzfPC1sgaSc</t>
  </si>
  <si>
    <t>Đào Minh Châu</t>
  </si>
  <si>
    <t>khu 1, Đoàn Nguyên Thục, thị trấn Quỳnh Côi, Quỳnh Phụ, Thái Bình</t>
  </si>
  <si>
    <t>https://drive.google.com/open?id=1sC7XujA5pW3MGKQEbneUKdHVTptipg2S</t>
  </si>
  <si>
    <r>
      <rPr>
        <sz val="12"/>
        <color theme="1"/>
        <rFont val="Times New Roman"/>
        <family val="1"/>
      </rPr>
      <t xml:space="preserve">Nguyễn Chí Hà </t>
    </r>
    <r>
      <rPr>
        <sz val="12"/>
        <color rgb="FFFF0000"/>
        <rFont val="Times New Roman"/>
        <family val="1"/>
      </rPr>
      <t>(sdt cũ là 36204007427)
Đổi E3 học PT</t>
    </r>
  </si>
  <si>
    <t>Số 1 Ngõ 108 Hòe Thị , Phương Canh , Nam Từ Liêm, Hà Nội</t>
  </si>
  <si>
    <t>B516</t>
  </si>
  <si>
    <t>https://www.facebook.com/phamthiphuong97</t>
  </si>
  <si>
    <r>
      <rPr>
        <sz val="12"/>
        <color theme="1"/>
        <rFont val="Times New Roman"/>
        <family val="1"/>
      </rPr>
      <t xml:space="preserve">Phạm Thị Phượng. </t>
    </r>
    <r>
      <rPr>
        <sz val="12"/>
        <color rgb="FFFF0000"/>
        <rFont val="Times New Roman"/>
        <family val="1"/>
      </rPr>
      <t>Đã gửi FULL sách E3, T, VIP 27/11/23</t>
    </r>
    <r>
      <rPr>
        <sz val="12"/>
        <color theme="1"/>
        <rFont val="Times New Roman"/>
        <family val="1"/>
      </rPr>
      <t xml:space="preserve"> </t>
    </r>
    <r>
      <rPr>
        <sz val="12"/>
        <color rgb="FFFF0000"/>
        <rFont val="Times New Roman"/>
        <family val="1"/>
      </rPr>
      <t>sđt mẹ 377940811
T160 bảo lưu b14. Quay lại học T192 b10.
Học T192 nghỉ 3 buổi cuối và không làm bài kiểm tra cuối khoá. Bạn đã mất cam kết đầu ra. (không đủ điều kiện lên level 2)
Chị note lại giúp em để khi bạn đăng ký khoá level 2 thì mình ko hỗ trợ và có thông tin. Huy nhắn</t>
    </r>
  </si>
  <si>
    <t>bên nhật ko nhận sách áo. 27/11/2023 HV báo gửi bổ sung do về Việt Nam chơi mang đi 1 thể</t>
  </si>
  <si>
    <t>https://drive.google.com/open?id=1mtG0KaEreoJliaXYVQ70YzKJX-by5LaY</t>
  </si>
  <si>
    <t>Học T192 nghỉ 3 buổi cuối và không làm bài kiểm tra cuối khoá. Bạn đã mất cam kết đầu ra. (không đủ điều kiện lên level 2) Chị note lại giúp em để khi bạn đăng ký khoá level 2 thì mình ko hỗ trợ và có thông tin. Huy nhắn</t>
  </si>
  <si>
    <t>Đã nộp 300K 15/02/2024</t>
  </si>
  <si>
    <t>T139</t>
  </si>
  <si>
    <t>https://www.facebook.com/profile.php?id=100023689659717</t>
  </si>
  <si>
    <t>Nguyễn Thị Ngọc Hiệp</t>
  </si>
  <si>
    <t>Thường Lệ- Đại Thịnh- Mê Linh- Hà Nội</t>
  </si>
  <si>
    <t xml:space="preserve">số nhà 15 , ngõ 401/72/14 , phường Xuân đỉnh , quận bắc từ liêm , Hà nội
</t>
  </si>
  <si>
    <t>https://www.facebook.com/em.chien.509994</t>
  </si>
  <si>
    <t>985624531</t>
  </si>
  <si>
    <t>số nhà 11 ngách 215/24 trâu quỳ gia lâm hà nội</t>
  </si>
  <si>
    <t>https://www.facebook.com/Dlyy16?mibextid=LQQJ4d</t>
  </si>
  <si>
    <r>
      <rPr>
        <sz val="12"/>
        <color theme="1"/>
        <rFont val="Times New Roman"/>
        <family val="1"/>
      </rPr>
      <t>Đỗ Thị Lý</t>
    </r>
    <r>
      <rPr>
        <sz val="12"/>
        <color rgb="FFFF0000"/>
        <rFont val="Times New Roman"/>
        <family val="1"/>
      </rPr>
      <t xml:space="preserve"> (đổi GT2,3 =&gt; Toeic 1,2) P129 học OFF</t>
    </r>
  </si>
  <si>
    <t>Khánh xếp lớp</t>
  </si>
  <si>
    <t>Số 15, ngõ 16 Hồ Tùng Mậu, Mai Dịch, Cầu Giấy, Hà Nội</t>
  </si>
  <si>
    <t>https://drive.google.com/open?id=1bIfCdcBNMrtfYuVWi6e3cKgbiJ-UpLDT, https://drive.google.com/open?id=1v_B4BeA1eqMd66D97yReaGLdxUP8DvjK</t>
  </si>
  <si>
    <t>https://www.facebook.com/profile.php?id=100033897848894</t>
  </si>
  <si>
    <r>
      <rPr>
        <sz val="12"/>
        <color theme="1"/>
        <rFont val="Times New Roman"/>
        <family val="1"/>
      </rPr>
      <t xml:space="preserve">Nông Thị Lê </t>
    </r>
    <r>
      <rPr>
        <sz val="12"/>
        <color rgb="FFFF0000"/>
        <rFont val="Times New Roman"/>
        <family val="1"/>
      </rPr>
      <t>(đổi GT2 =&gt;Toeic 1)</t>
    </r>
  </si>
  <si>
    <t>nongle243@gmail.com</t>
  </si>
  <si>
    <t>ngách 51/ 898 Đường Láng, Đống Đa, Hà Nội</t>
  </si>
  <si>
    <t>https://drive.google.com/open?id=1RQXrcbrCziPsPyMI0YeNeD4ckxr7Vkdp, https://drive.google.com/open?id=1H0YTIl1qkC2H3huvx1n5FlzDoGSkO9q2</t>
  </si>
  <si>
    <t>(đổi GT2 =&gt;Toeic 1). Hà Hiền lên form và chat</t>
  </si>
  <si>
    <t>B631</t>
  </si>
  <si>
    <t>https://www.facebook.com/trangnhung.duong.98</t>
  </si>
  <si>
    <r>
      <rPr>
        <sz val="12"/>
        <color theme="1"/>
        <rFont val="Times New Roman"/>
        <family val="1"/>
      </rPr>
      <t xml:space="preserve">Dương Trang Nhung </t>
    </r>
    <r>
      <rPr>
        <sz val="12"/>
        <color rgb="FFFF0000"/>
        <rFont val="Times New Roman"/>
        <family val="1"/>
      </rPr>
      <t>(Đổi GT3 =&gt; Toeic 2)</t>
    </r>
  </si>
  <si>
    <t>Yangtrangnhung190304@gmail.con</t>
  </si>
  <si>
    <t>Dương nội 2, ct8d, yên nghĩa hà đông hà nội</t>
  </si>
  <si>
    <t>https://drive.google.com/open?id=1lkzFKCuZfSeAxzqMEi-rZrY5bknJHiTP, https://drive.google.com/open?id=1T8IFobTsFPRDQ-rzrakbMQzRlhrMaTWg</t>
  </si>
  <si>
    <t>Hà Hiền note: chuyển chế độ đăng kí từ Combo GT1,2,3 =&gt; Combo GT1,2 + Toeic 1,2, đã học xong 2 lớp GT</t>
  </si>
  <si>
    <t>C150</t>
  </si>
  <si>
    <t>https://www.facebook.com/GarciaCurtis13</t>
  </si>
  <si>
    <t>Hoàng Quốc Việt</t>
  </si>
  <si>
    <t xml:space="preserve">Không có </t>
  </si>
  <si>
    <t>Cổ Miếu, Thuỵ Lâm, Đông anh, Hà nội ạ</t>
  </si>
  <si>
    <t>https://www.facebook.com/100065196466783/</t>
  </si>
  <si>
    <t xml:space="preserve">Trần Thị Ánh Nguyệt </t>
  </si>
  <si>
    <t>22 phố ao sen mỗ lao hà đông , Hà nội ạ</t>
  </si>
  <si>
    <r>
      <rPr>
        <sz val="12"/>
        <color theme="1"/>
        <rFont val="Times New Roman"/>
        <family val="1"/>
      </rPr>
      <t>Vũ Hoàng Lân -</t>
    </r>
    <r>
      <rPr>
        <sz val="12"/>
        <color rgb="FFFF0000"/>
        <rFont val="Times New Roman"/>
        <family val="1"/>
      </rPr>
      <t xml:space="preserve"> hợp đồng</t>
    </r>
  </si>
  <si>
    <t>Nguyễn Quang Huy xếp lớp</t>
  </si>
  <si>
    <t>T201</t>
  </si>
  <si>
    <r>
      <rPr>
        <sz val="12"/>
        <color theme="1"/>
        <rFont val="Times New Roman"/>
        <family val="1"/>
      </rPr>
      <t xml:space="preserve">Phan Thị Mai Anh </t>
    </r>
    <r>
      <rPr>
        <sz val="12"/>
        <color rgb="FFFF0000"/>
        <rFont val="Times New Roman"/>
        <family val="1"/>
      </rPr>
      <t>- Đã nộp 300K 14/03/2024</t>
    </r>
    <r>
      <rPr>
        <sz val="12"/>
        <color theme="1"/>
        <rFont val="Times New Roman"/>
        <family val="1"/>
      </rPr>
      <t xml:space="preserve">
</t>
    </r>
    <r>
      <rPr>
        <sz val="12"/>
        <color rgb="FFFF0000"/>
        <rFont val="Times New Roman"/>
        <family val="1"/>
      </rPr>
      <t>T165 bảo lưu b8 đi quân sự. Quay lại học T201</t>
    </r>
  </si>
  <si>
    <t>Phan Quỳnh Anh</t>
  </si>
  <si>
    <t>số nhà 38a, 180/48 Nam Dư, P.Lĩnh Nam, Q.Hoàng Mai, Hà Nội</t>
  </si>
  <si>
    <t>ký túc xá khu B đại học quốc gia thành phố Hồ Chí Minh</t>
  </si>
  <si>
    <t>Trương Trần Ngọc Huyền</t>
  </si>
  <si>
    <t>272/50 kp đông an , tân đông hiệp , dĩ an , bình dương</t>
  </si>
  <si>
    <t>Trịnh Kim Ly</t>
  </si>
  <si>
    <t>ngọc giang vĩnh ngọc đông anh hà nội</t>
  </si>
  <si>
    <t>Đỗ Thị Phương Oanh</t>
  </si>
  <si>
    <t>61 ngõ 109 quan nhân, nhân chính, thanh xuân, Hà Nội</t>
  </si>
  <si>
    <t>nhà số 03 ngách 52, tổ dân phố số 01 , thôn Phú Mỹ , phường Mỹ Đình , quận Nam Từ Liêm , Hà Nội</t>
  </si>
  <si>
    <t>T95</t>
  </si>
  <si>
    <t>VIP81</t>
  </si>
  <si>
    <t>https://www.facebook.com/gia.mai.7798</t>
  </si>
  <si>
    <r>
      <rPr>
        <sz val="12"/>
        <color theme="1"/>
        <rFont val="Times New Roman"/>
        <family val="1"/>
      </rPr>
      <t xml:space="preserve">Nguyễn Thị Ánh Dương </t>
    </r>
    <r>
      <rPr>
        <sz val="12"/>
        <color rgb="FFFF0000"/>
        <rFont val="Times New Roman"/>
        <family val="1"/>
      </rPr>
      <t>- Đã nộp 300K 06/03/2024
VIP63 bảo lưu b4 vướng lịch học trên trường và đi làm. Quay lại VIP81 b1</t>
    </r>
  </si>
  <si>
    <t>35/27/4 đường liên khu 4-5, phường bình hưng hoà B, quận Bình Tân, Tp.HCM</t>
  </si>
  <si>
    <t>https://drive.google.com/open?id=1ZBJ6rvt457UyRAdEamVOaEAo2OyKUgWc</t>
  </si>
  <si>
    <t>Lò Thị Hạnh</t>
  </si>
  <si>
    <t>Bản Ta Cơn- xã Chiềng Sinh- huyện Tuần Giáo- Điện Biên.</t>
  </si>
  <si>
    <t>Lê Thị Ánh</t>
  </si>
  <si>
    <t>Khu đô thị Nam An Khánh - An Thượng - Hoài Đức - Hà Nội</t>
  </si>
  <si>
    <t>https://www.facebook.com/phunphun1234</t>
  </si>
  <si>
    <r>
      <rPr>
        <sz val="12"/>
        <color theme="1"/>
        <rFont val="Times New Roman"/>
        <family val="1"/>
      </rPr>
      <t>Hoàng Phương Phương</t>
    </r>
    <r>
      <rPr>
        <sz val="12"/>
        <color rgb="FFFF0000"/>
        <rFont val="Times New Roman"/>
        <family val="1"/>
      </rPr>
      <t xml:space="preserve"> - PT128, GR18
853295793, 586629287 sđt cũ. Combo 5 khóa. Đổi E3 học lại VIP</t>
    </r>
  </si>
  <si>
    <t>vp5 khu đô thị linh đàm</t>
  </si>
  <si>
    <t xml:space="preserve"> sđt cũ 853295793</t>
  </si>
  <si>
    <t>https://www.facebook.com/profile.php?id=100016053931943</t>
  </si>
  <si>
    <r>
      <rPr>
        <sz val="12"/>
        <color theme="1"/>
        <rFont val="Times New Roman"/>
        <family val="1"/>
      </rPr>
      <t xml:space="preserve">Đỗ Bích Ngọc </t>
    </r>
    <r>
      <rPr>
        <sz val="12"/>
        <color rgb="FFFF0000"/>
        <rFont val="Times New Roman"/>
        <family val="1"/>
      </rPr>
      <t>(Đổi GT3 =&gt;Toeic 1). Phương chat</t>
    </r>
  </si>
  <si>
    <t>XIN SAU</t>
  </si>
  <si>
    <t>Uỷ ban xã Ninh dân, huyện Thanh Ba, tỉnh phú thọ</t>
  </si>
  <si>
    <t>https://www.facebook.com/tuyetmai.ngo.752?mibextid=LQQJ4d</t>
  </si>
  <si>
    <r>
      <rPr>
        <sz val="12"/>
        <color theme="1"/>
        <rFont val="Times New Roman"/>
        <family val="1"/>
      </rPr>
      <t xml:space="preserve">Ngô Thị Tuyết Mai </t>
    </r>
    <r>
      <rPr>
        <sz val="12"/>
        <color rgb="FFFF0000"/>
        <rFont val="Times New Roman"/>
        <family val="1"/>
      </rPr>
      <t>(Đổi GT LV 2+3 =&gt;Toeic 1,2). Đã học P129</t>
    </r>
  </si>
  <si>
    <t>Nhài xếp lớp khi Khánh chat</t>
  </si>
  <si>
    <t>số nhà 30 ngõ 7 phú diễn kiều mai bắc từ liêm hà nội</t>
  </si>
  <si>
    <t>https://drive.google.com/open?id=1EdczhpxdJ1loA2GC_6oYJR-C_oEPPcHp</t>
  </si>
  <si>
    <t>Đổi GT LV 2+3 =&gt;Toeic 1,2). Đã học P129. Khánh chat</t>
  </si>
  <si>
    <t>C158</t>
  </si>
  <si>
    <t>https://www.facebook.com/cua.hac.1</t>
  </si>
  <si>
    <t>Hầu A Cùa</t>
  </si>
  <si>
    <t>GV Dung</t>
  </si>
  <si>
    <t>Nhà 6B, ngõ 76, Hồng Mai, Bạch Mai, Hai Bà Trưng, Hà Nội</t>
  </si>
  <si>
    <t>https://drive.google.com/open?id=1IanUA9EXk9mTB9rWJ7K3MSrihFH4AtMl, https://drive.google.com/open?id=17fCJ41w5zYyDbvFyqqixjG_i5_IlzZtY</t>
  </si>
  <si>
    <t>https://www.facebook.com/profile.php?id=100041502606719</t>
  </si>
  <si>
    <t>Nguyễn Thị Giang</t>
  </si>
  <si>
    <t>64 Thụy Phương, Bắc Từ Liêm, Hà Nội</t>
  </si>
  <si>
    <t>https://drive.google.com/open?id=179AW8NVZlzti1UCb-WNaxu8PQOY-IVxE, https://drive.google.com/open?id=1lniPDx4gbiHgeAqEJ8HWHvvoheALrl-G</t>
  </si>
  <si>
    <t>https://www.facebook.com/conmekngungoc</t>
  </si>
  <si>
    <t xml:space="preserve">Vũ Huyền Dịu </t>
  </si>
  <si>
    <t>Gv Dung</t>
  </si>
  <si>
    <t>36A/86/296 Minh Khai, Mai Động, Hoàng Mai, Hà Nội</t>
  </si>
  <si>
    <t>https://drive.google.com/open?id=1Kyj4uY4UQAb0ZHqOm79JG2cH3ox44YEm, https://drive.google.com/open?id=1LmEnc2Lcjf7Npe5TWW2MVXJvJQPtDFLD</t>
  </si>
  <si>
    <t>https://www.facebook.com/xkha1111</t>
  </si>
  <si>
    <t>Tạ Xuân Khá</t>
  </si>
  <si>
    <t xml:space="preserve">GV Dung </t>
  </si>
  <si>
    <t>51 ngõ 205 xuân đỉnh, quận Tây Hồ, Hà Nội</t>
  </si>
  <si>
    <t>Nguyễn Thị Thanh Thủy</t>
  </si>
  <si>
    <t>số nhà 56, ngõ 250 kim Giang , hoàng mai , hà nội</t>
  </si>
  <si>
    <t>Mai Thu Hương</t>
  </si>
  <si>
    <t>số 1 ngõ 221, đường yên xá , xã tân triều ,huyện thanh trì , hà nội</t>
  </si>
  <si>
    <t>Ngô Minh Phương</t>
  </si>
  <si>
    <t>23 ngõ 175 phố Định Công, Hoàng Mai, Hà Nội</t>
  </si>
  <si>
    <t>153 ngõ 175/5 Định Công, Hoàng Mai, Hà Nội</t>
  </si>
  <si>
    <t>Ngọc Thị Điệp</t>
  </si>
  <si>
    <t>số nhà 55 ngõ 57 Mễ Trì Hạ, Nam Từ Liêm, Hà Nội</t>
  </si>
  <si>
    <t>https://drive.google.com/open?id=1tyYavLh_4z7qTF6Xp_AJ0y5JJV_h0NO9</t>
  </si>
  <si>
    <t>73/100</t>
  </si>
  <si>
    <t>T169 =&gt; Chờ lớp. HV chat bận</t>
  </si>
  <si>
    <t>https://www.facebook.com/profile.php?id=100078478845459&amp;mibextid=LQQJ4d</t>
  </si>
  <si>
    <t>Đặng Phương Thu</t>
  </si>
  <si>
    <t>số 17, ngách 41, ngõ 367, Xuân Phương, Nam Từ Liêm, Hà Nội</t>
  </si>
  <si>
    <t>Số 11 nhà 12, Khu TT ĐHTL , ngách9/95 Chùa Bộc, Đống Đa , Hà Nội</t>
  </si>
  <si>
    <t>https://www.facebook.com/100079707937410/</t>
  </si>
  <si>
    <t>Số 7 Ngõ 73 Tân Nhuệ , Thuỵ Phương, Bắc Từ Liêm, Hà Nội</t>
  </si>
  <si>
    <t>T169 =&gt;OT3. Phát sách ở lớp</t>
  </si>
  <si>
    <t>Ngõ 141, lê văn hiến, bắc từ liêm, hà nội</t>
  </si>
  <si>
    <t>https://www.facebook.com/honglinh.trieu.752</t>
  </si>
  <si>
    <r>
      <rPr>
        <sz val="12"/>
        <color theme="1"/>
        <rFont val="Times New Roman"/>
        <family val="1"/>
      </rPr>
      <t xml:space="preserve">Nguyễn Hồng Linh </t>
    </r>
    <r>
      <rPr>
        <sz val="12"/>
        <color rgb="FFFF0000"/>
        <rFont val="Times New Roman"/>
        <family val="1"/>
      </rPr>
      <t>827506292 số cũ</t>
    </r>
  </si>
  <si>
    <t xml:space="preserve">Xóm7, xã trung môn, huyện yên sơn, Tuyên quang </t>
  </si>
  <si>
    <t>https://drive.google.com/open?id=1rXl2HbXp2eVYETZMxflrp4Gns9auETqo</t>
  </si>
  <si>
    <t>https://www.facebook.com/profile.php?id=100047202201379</t>
  </si>
  <si>
    <t xml:space="preserve">Phạm Thị Thùy Trang </t>
  </si>
  <si>
    <t>Số 47D,  hẻm 58/23/41 Trần Bình, Mai Dịch, Cầu Giấy</t>
  </si>
  <si>
    <t>B587</t>
  </si>
  <si>
    <t>https://www.facebook.com/profile.php?id=100042107073747</t>
  </si>
  <si>
    <r>
      <rPr>
        <sz val="12"/>
        <color theme="1"/>
        <rFont val="Times New Roman"/>
        <family val="1"/>
      </rPr>
      <t xml:space="preserve">Trần Thị Trang </t>
    </r>
    <r>
      <rPr>
        <sz val="12"/>
        <color rgb="FFFF0000"/>
        <rFont val="Times New Roman"/>
        <family val="1"/>
      </rPr>
      <t>- Nhượng E3 cho em gái học T1</t>
    </r>
  </si>
  <si>
    <t>Khuất Huy (đã giữ chỗ)</t>
  </si>
  <si>
    <t>2/1 ngõ 267 hồ tùng mậu hà nội</t>
  </si>
  <si>
    <t>https://drive.google.com/open?id=1J7hfJL-wqIdbvymQUAHzbIzeoVbif3Sy; https://drive.google.com/open?id=1wD5tJ64itopbczIob7amBIQUyRd3yG-4</t>
  </si>
  <si>
    <t>Nguyễn Minh Phương</t>
  </si>
  <si>
    <t>106/ 44 trần thái tông, dịch vọng hậu, cầu giấy, hà nội</t>
  </si>
  <si>
    <t>Lê Lưu Ly</t>
  </si>
  <si>
    <t>Số 10, Ngách 111/59, Yên Nghĩa, Hà Đông, Hà Nội</t>
  </si>
  <si>
    <t>https://www.facebook.com/profile.php?id=61550223770652&amp;mibextid=ZbWKwL</t>
  </si>
  <si>
    <t>Nguyễn Thị Quỳnh Trang</t>
  </si>
  <si>
    <t>số 9 ngách 172/8 phú diễn bắc từ liêm</t>
  </si>
  <si>
    <t>Nông Mã Hồng Hạnh</t>
  </si>
  <si>
    <t>KTX B5, Học viện Tài chính, Số 58 Lê Văn Hiến, phường Đức Thắng, Bắc Từ Liêm, Hà Nội.</t>
  </si>
  <si>
    <t>Nguyễn Thị Thùy Dương</t>
  </si>
  <si>
    <t>Số 26, ngõ 39, Hồ Tùng Mậu, Mai Dịch, Hà Nội</t>
  </si>
  <si>
    <t>Lê Nam Phương</t>
  </si>
  <si>
    <t xml:space="preserve"> 280 Nguyễn Khoái, phường Thanh Lương, quận Hai bà trưng, Hà Nội</t>
  </si>
  <si>
    <t>Hoàng Thị Phi Yến</t>
  </si>
  <si>
    <t xml:space="preserve">đội 4 xóm Thạch Quy, xã Ninh Mỹ ,huyện Hoa Lư, tỉnh Ninh Bình
</t>
  </si>
  <si>
    <t>https://www.facebook.com/profile.php?id=100009736714629</t>
  </si>
  <si>
    <t>Nguyễn Thị Mai Ánh</t>
  </si>
  <si>
    <t>Số 30 ngõ 149 Dương Quảng Hàm, Quan Hoa, Cầu Giấy, Hà Nội</t>
  </si>
  <si>
    <t>https://drive.google.com/open?id=1pJ2F1jEAR65mfikFz_DFGr2niVAufTj6</t>
  </si>
  <si>
    <t>T115</t>
  </si>
  <si>
    <t>https://www.facebook.com/loclungtiuquynh</t>
  </si>
  <si>
    <t>Đinh Tiến Lộc</t>
  </si>
  <si>
    <t>7/47/80 Xuân Phương, Nam Từ Liên, Hà Nội</t>
  </si>
  <si>
    <t>https://drive.google.com/open?id=1gLBRlMi0oXP6_y3ZEQYhk1Z8v50-BZ5q</t>
  </si>
  <si>
    <t>T119</t>
  </si>
  <si>
    <t>https://www.facebook.com/thienbinh.tran.167189?mibextid=2JQ9oc</t>
  </si>
  <si>
    <t>Trần Trọng Tuyển</t>
  </si>
  <si>
    <t>789351110 (sdt mới 0378638255)</t>
  </si>
  <si>
    <t>Số nhà 12, tổ 2 (chợ tạm Phú Đô), phường Phú Đô, quận Nam Từ Liêm, Hà Nội</t>
  </si>
  <si>
    <t>https://www.facebook.com/profile.php?id=100022182499519</t>
  </si>
  <si>
    <r>
      <rPr>
        <sz val="12"/>
        <color theme="1"/>
        <rFont val="Times New Roman"/>
        <family val="1"/>
      </rPr>
      <t xml:space="preserve">Nguyễn Thị Quỳnh </t>
    </r>
    <r>
      <rPr>
        <sz val="12"/>
        <color rgb="FFFF0000"/>
        <rFont val="Times New Roman"/>
        <family val="1"/>
      </rPr>
      <t>(học lại do ko đạt đầu ra lớp VIP53)</t>
    </r>
  </si>
  <si>
    <t>967895212 (sdt mới 0982522094)</t>
  </si>
  <si>
    <t>Tòa N2 tập thể cục đo lường, TDP số 3, P.cổ nhuế 2, Q. Bắc từ liêm, HN</t>
  </si>
  <si>
    <t>Học lại do ko đạt đầu ra lớp VIP53. Đã có sách. HV nộp 200K mua lại sách mới 22/10/2023</t>
  </si>
  <si>
    <t>https://www.facebook.com/thuuoc.phan.271?mibextid=ZbWKwL</t>
  </si>
  <si>
    <t>Phạm Thị Thu Ước</t>
  </si>
  <si>
    <t>Khu phố Hồi Quan - phường Tương Giang - Từ Sơn - Bắc Ninh</t>
  </si>
  <si>
    <t>https://www.facebook.com/100075908071003/</t>
  </si>
  <si>
    <t>My Huyền</t>
  </si>
  <si>
    <t>23-Đặng Huyền Thông-phường Hải Tân- Thành Phố Hải Dương</t>
  </si>
  <si>
    <t>https://www.facebook.com/bao.hoanggia.946954?mibextid=LQQJ4d</t>
  </si>
  <si>
    <t>Hoàng Gia Bảo</t>
  </si>
  <si>
    <t>Chung cu thăng long victory,an khánh, hoài đức , hà nội</t>
  </si>
  <si>
    <t>https://www.facebook.com/100013465806896/</t>
  </si>
  <si>
    <t xml:space="preserve">Nguyễn Thị Bình </t>
  </si>
  <si>
    <t>Khu đô thị khai sơn, Xuân lâm, thuận thành, Bắc Ninh</t>
  </si>
  <si>
    <t>https://drive.google.com/open?id=1fuRKNk22LQ8HHiODMHmBpXI1DGV89oZJ</t>
  </si>
  <si>
    <t>144/4/16 Quan Nhân, Thanh Xuân, HN</t>
  </si>
  <si>
    <t>https://drive.google.com/open?id=1gfb7SpDYVmP9Sk0CSpjjErjyPvg5shW6</t>
  </si>
  <si>
    <t>58/100</t>
  </si>
  <si>
    <t>số nhà 8.ngõ 30 phan đình giót phương liệt thanh xuân hà nội</t>
  </si>
  <si>
    <t>https://www.facebook.com/profile.php?id=100030345557304</t>
  </si>
  <si>
    <t>Nguyễn Đặng Cẩm Trà</t>
  </si>
  <si>
    <t>Ngõ 16, Cổ Nhuế 2, Bắc Từ Liêm, Hà Nội</t>
  </si>
  <si>
    <t>https://www.facebook.com/ducwepi2302</t>
  </si>
  <si>
    <t>Trần Việt Đức</t>
  </si>
  <si>
    <t>số nhà 7- ngõ 44- tổ 4 La Khê- đường Phan Đình Giót- quận Hà Đông- Hà Nội</t>
  </si>
  <si>
    <t>https://www.facebook.com/profile.php?id=100024367782945</t>
  </si>
  <si>
    <r>
      <rPr>
        <sz val="12"/>
        <color theme="1"/>
        <rFont val="Times New Roman"/>
        <family val="1"/>
      </rPr>
      <t xml:space="preserve">Nguyễn Thùy Linh Chi - </t>
    </r>
    <r>
      <rPr>
        <sz val="12"/>
        <color rgb="FFFF0000"/>
        <rFont val="Times New Roman"/>
        <family val="1"/>
      </rPr>
      <t>Chuyển nhượng Toeic 2 Trịnh Quốc Triệu 0865489236</t>
    </r>
  </si>
  <si>
    <t>số 24 hẻm 8/11/36/59 lê quang đạo , nam từ liêm , hà nội</t>
  </si>
  <si>
    <t>PT53 chuyển sang học A1055</t>
  </si>
  <si>
    <t>https://www.facebook.com/lehuynhngochanh16?mibextid=LQQJ4d</t>
  </si>
  <si>
    <r>
      <rPr>
        <sz val="12"/>
        <color theme="1"/>
        <rFont val="Times New Roman"/>
        <family val="1"/>
      </rPr>
      <t>Lê Huỳnh Ngọc Hạnh</t>
    </r>
    <r>
      <rPr>
        <sz val="12"/>
        <color rgb="FFFF0000"/>
        <rFont val="Times New Roman"/>
        <family val="1"/>
      </rPr>
      <t xml:space="preserve"> - đổi học E1, E2</t>
    </r>
  </si>
  <si>
    <t>lehuynhngochanh1604@gmail.com</t>
  </si>
  <si>
    <t xml:space="preserve">271b Trại Mát, P11, Tp Đà Lạt </t>
  </si>
  <si>
    <t>https://drive.google.com/open?id=1oDzGdvmzIg9qDVUm1wpg4hpp3p35NC4-</t>
  </si>
  <si>
    <t>Lê Phạm Việt Thắng</t>
  </si>
  <si>
    <t>446/33/13/20 tổ 31 khu phố 5A phường Long Bình - Biên Hoà - Đồng Nai</t>
  </si>
  <si>
    <t>7/26/0203</t>
  </si>
  <si>
    <t>83/100</t>
  </si>
  <si>
    <t>https://www.facebook.com/profile.php?id=100010179973657&amp;mibextid=LQQJ4d</t>
  </si>
  <si>
    <t>Trần Thế Vinh</t>
  </si>
  <si>
    <t>Thôn Đoài , xã Việt Hùng , huyện Đông Anh , Hà Nội</t>
  </si>
  <si>
    <t>https://drive.google.com/open?id=1n8RNkCKjDQtIJpfehG3BaCuxODt0BB7y</t>
  </si>
  <si>
    <t>590 - muốn học nghe hơn</t>
  </si>
  <si>
    <t>https://www.facebook.com/profile.php?id=100090857148619</t>
  </si>
  <si>
    <t>52/25/21 Mỹ Đình 2 Nam Từ Liêm Hà Nội</t>
  </si>
  <si>
    <t>65/100</t>
  </si>
  <si>
    <t>https://www.facebook.com/profile.php?id=100053007592601</t>
  </si>
  <si>
    <t>Link cũ</t>
  </si>
  <si>
    <t>Nguyễn Tiến Anh</t>
  </si>
  <si>
    <t>Bến Đò Dấp Thôn Giáp Long xã Thống Nhất huyện Thường Tín Hà Nộ</t>
  </si>
  <si>
    <t>Nguyễn Đỗ Lâm Quỳnh</t>
  </si>
  <si>
    <t>61 Ngô Gia Tự phường Đồng Tâm, Thành phố Yên Bái, tỉnh Yên Bái</t>
  </si>
  <si>
    <t>Phạm Thị Thanh Dung</t>
  </si>
  <si>
    <t xml:space="preserve"> Số nhà 28, ngõ 133 Thái Hà, Phường Trung Liệt, Quận Đống Đa, Hà Nội</t>
  </si>
  <si>
    <t>trangg26102003@gmail.com</t>
  </si>
  <si>
    <t>85 đường 2 Đồng Tháp, thôn Bãi Tháp, xã Đồng Tháp, Đan Phượng, Hà Nội</t>
  </si>
  <si>
    <t>trả lương sale ngoài 146k cho thùy Linh 3/3/22</t>
  </si>
  <si>
    <t>https://drive.google.com/open?id=1-QCJ8Gd8Vyq1sd_addWDvoA3GfWlMki1</t>
  </si>
  <si>
    <t>Nguyenuyen0907@gmail.com</t>
  </si>
  <si>
    <t>Số nhà 13 ngõ 401 xuân đỉnh bắc từ liêm hà nội</t>
  </si>
  <si>
    <t>T176 nghỉ ngang không tham gia học, GV và TG ko liên hệ được Huy chat</t>
  </si>
  <si>
    <t>https://www.facebook.com/profile.php?id=100081645124079</t>
  </si>
  <si>
    <t>nguyenthiquynhmaiiphone@gmail.com</t>
  </si>
  <si>
    <t>xóm 8, xã nghi lâm, huyện nghi Lộc , tỉnh nghệ an</t>
  </si>
  <si>
    <t>https://www.facebook.com/profile.php?id=100013239433059&amp;mibextid=LQQJ4d</t>
  </si>
  <si>
    <t>Đinh Thị Hồng Nhung</t>
  </si>
  <si>
    <t xml:space="preserve">số 1A, ngách 19, ngõ 105 Doãn Kế Thiện, Mai Dịch, Cầu Giấy, Hà Nội </t>
  </si>
  <si>
    <t>B608</t>
  </si>
  <si>
    <t>https://www.facebook.com/profile.php?id=100043588389033</t>
  </si>
  <si>
    <t>Trần Thị Ánh Tuyết</t>
  </si>
  <si>
    <t>Trường đại học công nghiệp dệt may hà nội(trường may mới)-Lệ chị,Gia Lâm,Hà Nội</t>
  </si>
  <si>
    <t>C165</t>
  </si>
  <si>
    <t>https://www.facebook.com/profile.php?id=100033522345996</t>
  </si>
  <si>
    <t>Trần Tuấn Vũ</t>
  </si>
  <si>
    <t>Gv Ngoan Nguyễn</t>
  </si>
  <si>
    <t>Ngõ 68, phố Nhổn, Bắc Từ Liêm, Hà Nội</t>
  </si>
  <si>
    <t>https://drive.google.com/open?id=1U9fgIECHTL2JRyhD2nv8zem17hqH-dm2</t>
  </si>
  <si>
    <t>https://www.facebook.com/thuylinh.pham.589583</t>
  </si>
  <si>
    <r>
      <rPr>
        <sz val="12"/>
        <color theme="1"/>
        <rFont val="Times New Roman"/>
        <family val="1"/>
      </rPr>
      <t xml:space="preserve">Phạm Thị Thùy Linh </t>
    </r>
    <r>
      <rPr>
        <sz val="12"/>
        <color rgb="FFFF0000"/>
        <rFont val="Times New Roman"/>
        <family val="1"/>
      </rPr>
      <t>0764399127 sđt nhận sách</t>
    </r>
  </si>
  <si>
    <t>038304012691</t>
  </si>
  <si>
    <t>265 Nguyễn Trãi, Thanh Xuân, Hà Nội</t>
  </si>
  <si>
    <t>Bùi Thị Dung</t>
  </si>
  <si>
    <t>Bản Vóng xã Kỳ Phú huyện Nho Quan tỉnh Ninh Bình</t>
  </si>
  <si>
    <t>https://www.facebook.com/profile.php?id=100069390811499</t>
  </si>
  <si>
    <t xml:space="preserve">39/74 phố thành công phường Ba Đình </t>
  </si>
  <si>
    <t>52/100 (PT36)</t>
  </si>
  <si>
    <t>B586</t>
  </si>
  <si>
    <t>https://www.facebook.com/thientam.1607</t>
  </si>
  <si>
    <r>
      <rPr>
        <sz val="12"/>
        <color theme="1"/>
        <rFont val="Times New Roman"/>
        <family val="1"/>
      </rPr>
      <t xml:space="preserve">Nguyễn Thị Mỹ Tâm </t>
    </r>
    <r>
      <rPr>
        <sz val="12"/>
        <color rgb="FFFF0000"/>
        <rFont val="Times New Roman"/>
        <family val="1"/>
      </rPr>
      <t>- số cũ: 385485630</t>
    </r>
  </si>
  <si>
    <t>Số 4, ngõ 101 đê tô hoàng, cầu dền, hai bà trưng,hn</t>
  </si>
  <si>
    <t>https://drive.google.com/open?id=1wYcICh2L7VSZVup3GY3PjvWvxYb5Fjdh</t>
  </si>
  <si>
    <t>https://www.facebook.com/profile.php?id=100049926870887</t>
  </si>
  <si>
    <r>
      <rPr>
        <sz val="12"/>
        <color theme="1"/>
        <rFont val="Times New Roman"/>
        <family val="1"/>
      </rPr>
      <t xml:space="preserve">Nguyễn Thị Vân Anh </t>
    </r>
    <r>
      <rPr>
        <sz val="12"/>
        <color rgb="FFFF0000"/>
        <rFont val="Times New Roman"/>
        <family val="1"/>
      </rPr>
      <t>(Số mới 0343669202)</t>
    </r>
  </si>
  <si>
    <t>030302006702</t>
  </si>
  <si>
    <t>KTX C5 Học viện Nông nghiệp Việt Nam Trâu Quỳ, Gia Lâm, Hà Nội</t>
  </si>
  <si>
    <t>https://drive.google.com/open?id=1oTCxghLCJBa0v1pqA95bxOU4w7HdUl3n</t>
  </si>
  <si>
    <t>https://www.facebook.com/profile.php?id=100022290245494</t>
  </si>
  <si>
    <t>026304005558</t>
  </si>
  <si>
    <t xml:space="preserve"> số 2 ngõ 267/1 hồ tùng mậu, cầu diễn, nam từ liêm, hà nội</t>
  </si>
  <si>
    <t>https://drive.google.com/open?id=1VIrd7Ld22px1AlDkgKFwwSvakUTmv13F; https://drive.google.com/open?id=1LHkOeFNoI_q94P9by1OphjSshM97UEmb</t>
  </si>
  <si>
    <t>xóm hạ vụ 1 xã vạn phái tp phổ yên tỉnh thái nguyên</t>
  </si>
  <si>
    <t>https://www.facebook.com/100023836494007/</t>
  </si>
  <si>
    <t>030302000536</t>
  </si>
  <si>
    <t xml:space="preserve"> số 40, ngõ 85 xuân thuỷ, cầu giấy, Hà Nội</t>
  </si>
  <si>
    <t>Số 19, Đường Trần Phú, Tân Dân, Việt Trì, Phú Thọ</t>
  </si>
  <si>
    <t>Đinh Thế Tùng</t>
  </si>
  <si>
    <t>nhà số 5 ngõ 92 kim giang -thanh xuân - phường đại kim -quận hoàng mai -hà nội</t>
  </si>
  <si>
    <t>88/100</t>
  </si>
  <si>
    <t>C152</t>
  </si>
  <si>
    <t>https://www.facebook.com/profile.php?id=100031501542232</t>
  </si>
  <si>
    <t>Nguyễn Thị Thảo</t>
  </si>
  <si>
    <t>LE PHUONG</t>
  </si>
  <si>
    <t xml:space="preserve">trường đại học công nghiệp hà nội cơ sở 2, tây tựu, bắc từ liêm, hà nội </t>
  </si>
  <si>
    <t>https://drive.google.com/open?id=1PFu8bk6CA7sZP5jAMbOmNPGifMikvO8O; https://drive.google.com/open?id=1VWSgl6j0aU0hPWoIAbNCAu44ToIQHTuQ</t>
  </si>
  <si>
    <t>038304028159</t>
  </si>
  <si>
    <t>Số nhà 28, Ngõ 9 Đào Tấn, Ba đình, Hà nội</t>
  </si>
  <si>
    <t>OT13</t>
  </si>
  <si>
    <r>
      <rPr>
        <sz val="12"/>
        <color theme="1"/>
        <rFont val="Times New Roman"/>
        <family val="1"/>
      </rPr>
      <t xml:space="preserve">Hoàng Văn Chung </t>
    </r>
    <r>
      <rPr>
        <sz val="12"/>
        <color rgb="FFFF0000"/>
        <rFont val="Times New Roman"/>
        <family val="1"/>
      </rPr>
      <t>- Đã nộp 300K 19/02/24
OT6 bảo lưu b16. Quay lại học OT13 b8</t>
    </r>
  </si>
  <si>
    <t>Nguyễn Quỳnh Hương</t>
  </si>
  <si>
    <t>ngõ 65 đường thanh niên, thôn Vân Lũng, An Khánh, Hoài Đức, Hà Nội</t>
  </si>
  <si>
    <r>
      <rPr>
        <sz val="12"/>
        <color theme="1"/>
        <rFont val="Times New Roman"/>
        <family val="1"/>
      </rPr>
      <t>Bùi Thị Hải Linh.</t>
    </r>
    <r>
      <rPr>
        <sz val="12"/>
        <color rgb="FFFF0000"/>
        <rFont val="Times New Roman"/>
        <family val="1"/>
      </rPr>
      <t xml:space="preserve">
OT6 bảo lưu b8 trùng lịch học. Học T179</t>
    </r>
  </si>
  <si>
    <t>30 ngõ 1 Đình Thôn, Mỹ Đình, Cầu Giấy, Hà Nội</t>
  </si>
  <si>
    <t>Đã nộp 300K ngày 27/11/2023.
OT6 bảo lưu b8 trùng lịch học. Học T179</t>
  </si>
  <si>
    <t>https://www.facebook.com/llmsao</t>
  </si>
  <si>
    <r>
      <rPr>
        <sz val="12"/>
        <color theme="1"/>
        <rFont val="Times New Roman"/>
        <family val="1"/>
      </rPr>
      <t xml:space="preserve">Trần Đức Tâm </t>
    </r>
    <r>
      <rPr>
        <sz val="12"/>
        <color rgb="FFFF0000"/>
        <rFont val="Times New Roman"/>
        <family val="1"/>
      </rPr>
      <t>(P125, GR16, OT6 học 1 buổi)</t>
    </r>
  </si>
  <si>
    <t>Hải Yến</t>
  </si>
  <si>
    <t>https://drive.google.com/open?id=1THfp5Z9Rq9bj7UNXMLVTWDsHpfeqjOZx</t>
  </si>
  <si>
    <t>Hải Yến chat</t>
  </si>
  <si>
    <t>OT6 học 1 buổi xin sang học Online T175</t>
  </si>
  <si>
    <t>https://www.facebook.com/profile.php?id=100050086240609</t>
  </si>
  <si>
    <r>
      <rPr>
        <sz val="12"/>
        <color theme="1"/>
        <rFont val="Times New Roman"/>
        <family val="1"/>
      </rPr>
      <t xml:space="preserve"> Đinh Anh Thư </t>
    </r>
    <r>
      <rPr>
        <sz val="12"/>
        <color rgb="FFFF0000"/>
        <rFont val="Times New Roman"/>
        <family val="1"/>
      </rPr>
      <t>(học lại - đã nộp 50%)</t>
    </r>
  </si>
  <si>
    <t>https://drive.google.com/open?id=16qh5n9CCkR6_BIElvcTf8-EWXi7ATBNL</t>
  </si>
  <si>
    <t>44/100</t>
  </si>
  <si>
    <t>T177 xin nghỉ ngang b15 do bận ko sắp xếp đc</t>
  </si>
  <si>
    <t>Nguyễn Thị Nguyên Hạnh</t>
  </si>
  <si>
    <t>123 yên xá, tân triều, thanh trì</t>
  </si>
  <si>
    <t>https://www.facebook.com/profile.php?id=100024996890113&amp;mibextid=ZbWKwL</t>
  </si>
  <si>
    <r>
      <rPr>
        <sz val="12"/>
        <color theme="1"/>
        <rFont val="Times New Roman"/>
        <family val="1"/>
      </rPr>
      <t xml:space="preserve">Lương Hùng Toàn </t>
    </r>
    <r>
      <rPr>
        <sz val="12"/>
        <color rgb="FFFF0000"/>
        <rFont val="Times New Roman"/>
        <family val="1"/>
      </rPr>
      <t>- P129, GR18. Đổi E3 học OPT
2sđt 898943172</t>
    </r>
  </si>
  <si>
    <t>54/162 nguyên xá minh khai bắc từ liêm Hà Nội</t>
  </si>
  <si>
    <t>25,27/02/2023</t>
  </si>
  <si>
    <t>https://drive.google.com/open?id=1qwKTw7PfcQC8FslWlub0f0GpNHaWJpXa, https://drive.google.com/open?id=1lqKs4RbY2uhxqSSoUCmRQiOPYTvMeXdG</t>
  </si>
  <si>
    <t>xuân phương, nam từ Liêm, hà nội</t>
  </si>
  <si>
    <t>Nguyễn Hồng Dũng</t>
  </si>
  <si>
    <t>324/33 phương canh, xuân phương, nam từ liêm, hà nội</t>
  </si>
  <si>
    <t>127 Sông Nhuệ, Đức Thắng, Bắc Từ Liêm, Hà Nội</t>
  </si>
  <si>
    <t>89/100</t>
  </si>
  <si>
    <t>https://www.facebook.com/profile.php?id=100089598638841</t>
  </si>
  <si>
    <t>Đặng Thùy Linh</t>
  </si>
  <si>
    <t>dlinh16122005@gmail.com</t>
  </si>
  <si>
    <t>Nhà số 71, ngõ 2 Kiều Mai, Phúc Diễn, Bắc Từ Liêm, Hà Nội</t>
  </si>
  <si>
    <t>https://www.facebook.com/profile.php?id=100011830594555</t>
  </si>
  <si>
    <t>Ngõ 161 Đường Z115,Xã Quyết Thắng,Thành phố Thái Nguyên,Thái Nguyên</t>
  </si>
  <si>
    <t>B640 (Chế độ đăng kí đầu là Combo GT1,2 Toeic 1, đã học xong 2 GT)</t>
  </si>
  <si>
    <t>https://www.facebook.com/profile.php?id=100038714745574</t>
  </si>
  <si>
    <t>Đội 5, thôn Đoài, Xuy Xá, Mỹ Đức, Hà Nội.</t>
  </si>
  <si>
    <t>https://drive.google.com/open?id=1wq_4ejiR8px5F9R0PhgYYCgx7Cm7nJVr</t>
  </si>
  <si>
    <t>56 ngõ 134 đường cầu diễn từ cổng làng nguyên xá vào 100m định vị quán tóc song anh là vào tận nơi</t>
  </si>
  <si>
    <t>82/100</t>
  </si>
  <si>
    <t xml:space="preserve">không </t>
  </si>
  <si>
    <t>Nguyễn Mạnh Quỳnh</t>
  </si>
  <si>
    <t xml:space="preserve">Dương Huyền </t>
  </si>
  <si>
    <t>manhquynhk4@gmail.com</t>
  </si>
  <si>
    <t xml:space="preserve">Xóm Quán - Yên Phong - Yên Mô - Ninh Bình </t>
  </si>
  <si>
    <t>66/100</t>
  </si>
  <si>
    <t>Nguyền Huyền Trang</t>
  </si>
  <si>
    <t>Túy Huyền Plaza, Phượng Mao, Quế Võ, Bắc Ninh</t>
  </si>
  <si>
    <t>580/990</t>
  </si>
  <si>
    <t>Hồ Phúc Hiếu</t>
  </si>
  <si>
    <t>606/49/11A đường 3 Tháng 2, phường 14, quận 10, Tp HCM</t>
  </si>
  <si>
    <t>số nhà 18A ngõ 58/23 phố trần bình, mai dịch, cầu giấy hà nội</t>
  </si>
  <si>
    <t>số 37 ngõ 63 đường Phú Mỹ, Mỹ Đình 2 ,Nam Từ Liêm, Hà Nội</t>
  </si>
  <si>
    <t>Đặng Quang Minh Đức</t>
  </si>
  <si>
    <t>Số 98, hẻm 25, ngách 49, ngõ 165 Dương Quảng Hàm, Cầu Giấy, Hà Nội</t>
  </si>
  <si>
    <t>số 23 ,ngõ 30,Phùng Khoang,TDP 3, P.Trung Văn,Q.Nam Từ Liêm,Hà Nội</t>
  </si>
  <si>
    <t>số 121 , đường Mĩ Đình, Q. Nam Từ liêm,HN</t>
  </si>
  <si>
    <t>Trần Thị Trang</t>
  </si>
  <si>
    <t>ngách 381/64 đường Nguyễn Khang,Yên hoà,cầu giấy, hà nội</t>
  </si>
  <si>
    <t xml:space="preserve"> nhà số 1 322/95/29/30 mỹ đình nam từ liêm hà nội</t>
  </si>
  <si>
    <t>OT19</t>
  </si>
  <si>
    <r>
      <rPr>
        <sz val="12"/>
        <color theme="1"/>
        <rFont val="Times New Roman"/>
        <family val="1"/>
      </rPr>
      <t xml:space="preserve">Bùi Duy Quang </t>
    </r>
    <r>
      <rPr>
        <sz val="12"/>
        <color rgb="FFFF0000"/>
        <rFont val="Times New Roman"/>
        <family val="1"/>
      </rPr>
      <t>- Đã nộp 300K 23/02/24
OT7 bảo lưu b7 đi quân sự. Quay lại OT19 học b1. Các lớp OT đều qua b7</t>
    </r>
  </si>
  <si>
    <t>số nhà 18A ngõ 58/23 phố trần bình mai dịch cầu giấy hà nội</t>
  </si>
  <si>
    <t>https://www.facebook.com/profile.php?id=100034112291776</t>
  </si>
  <si>
    <r>
      <rPr>
        <sz val="12"/>
        <color theme="1"/>
        <rFont val="Times New Roman"/>
        <family val="1"/>
      </rPr>
      <t xml:space="preserve">Kiều Thị Thu Trang </t>
    </r>
    <r>
      <rPr>
        <sz val="12"/>
        <color rgb="FFFF0000"/>
        <rFont val="Times New Roman"/>
        <family val="1"/>
      </rPr>
      <t>(sdt mới 0866890703)</t>
    </r>
  </si>
  <si>
    <t>035303001504</t>
  </si>
  <si>
    <t>nhà 17c ngõ 150 Triều Khúc ,Tân triều, Hà đông,Hà nội</t>
  </si>
  <si>
    <t>T61</t>
  </si>
  <si>
    <t>https://www.facebook.com/profile.php?id=100057790480030&amp;__cft__[0]=AZWpMGXUYJ8itslvoE5XZv5KHoqN2obeHhJhZlwPe9yxho60eviTR5rQ92dgosd5lMI40CZQqiBtNllaTbUdk1ykrOZCsx1Dli11r_SNB0p4X3hHvzdS4qm6RPj1_Rcp2vqG3SNQZyg9uBeC8c87JamlOr3S19QFtN8t9eMP7dyAmg&amp;__tn__=-UC%2CP-R</t>
  </si>
  <si>
    <r>
      <rPr>
        <sz val="12"/>
        <color theme="1"/>
        <rFont val="Times New Roman"/>
        <family val="1"/>
      </rPr>
      <t>Đỗ Quang Vinh</t>
    </r>
    <r>
      <rPr>
        <sz val="12"/>
        <color rgb="FFFF0000"/>
        <rFont val="Times New Roman"/>
        <family val="1"/>
      </rPr>
      <t xml:space="preserve"> (Học lại từ T92)</t>
    </r>
  </si>
  <si>
    <t>https://drive.google.com/open?id=1tc53P_mgyj9Gd41eUNulAGnjYrTwYIf9</t>
  </si>
  <si>
    <t>T92</t>
  </si>
  <si>
    <t>https://www.facebook.com/thainhat.minhkhoi</t>
  </si>
  <si>
    <t>Thái Nhật Minh Khôi</t>
  </si>
  <si>
    <t>72 đường 17 , phường tân thuận tây , q7 . tp.hcm</t>
  </si>
  <si>
    <t>số 21 ngách 66/36 ngõ 66 Hồ Tùng Mậu, Mai Dịch, Cầu Giấy, Hà Nội</t>
  </si>
  <si>
    <r>
      <rPr>
        <sz val="12"/>
        <color theme="1"/>
        <rFont val="Times New Roman"/>
        <family val="1"/>
      </rPr>
      <t xml:space="preserve">Hoàng Thị Hòa
</t>
    </r>
    <r>
      <rPr>
        <sz val="12"/>
        <color rgb="FFFF0000"/>
        <rFont val="Times New Roman"/>
        <family val="1"/>
      </rPr>
      <t>OT7 bảo lưu b8. Quay lại học T178</t>
    </r>
  </si>
  <si>
    <t>193 Phú Diễn, Bắc Từ Liêm , Hà Nội</t>
  </si>
  <si>
    <t>Đã nộp 300K bảo lưu ngày 01/12/2023</t>
  </si>
  <si>
    <t>https://www.facebook.com/domhieu2212?mibextid=LQQJ4d</t>
  </si>
  <si>
    <r>
      <rPr>
        <sz val="12"/>
        <color theme="1"/>
        <rFont val="Times New Roman"/>
        <family val="1"/>
      </rPr>
      <t>Đỗ Thị Minh Hiếu</t>
    </r>
    <r>
      <rPr>
        <sz val="12"/>
        <color rgb="FFFF0000"/>
        <rFont val="Times New Roman"/>
        <family val="1"/>
      </rPr>
      <t xml:space="preserve"> (đổi GT3 =&gt;Toeic 1)</t>
    </r>
  </si>
  <si>
    <t>Đức xếp lớp</t>
  </si>
  <si>
    <t>16/02/2023
18/03/2023</t>
  </si>
  <si>
    <t>https://drive.google.com/open?id=1BlXQdqMvUiXdfronC0glZwV_cvrWUgh-, https://drive.google.com/open?id=1w8TQmnqAmHNeGoVJnPUchyyC9ndv8KDi</t>
  </si>
  <si>
    <t>Hết sách. Phát buổi 2</t>
  </si>
  <si>
    <r>
      <rPr>
        <sz val="12"/>
        <color theme="1"/>
        <rFont val="Times New Roman"/>
        <family val="1"/>
      </rPr>
      <t>Mạch Văn Vương</t>
    </r>
    <r>
      <rPr>
        <sz val="12"/>
        <color rgb="FFFF0000"/>
        <rFont val="Times New Roman"/>
        <family val="1"/>
      </rPr>
      <t xml:space="preserve"> - Đã nộp 300K 22/03/24</t>
    </r>
    <r>
      <rPr>
        <sz val="12"/>
        <color theme="1"/>
        <rFont val="Times New Roman"/>
        <family val="1"/>
      </rPr>
      <t xml:space="preserve">
</t>
    </r>
    <r>
      <rPr>
        <sz val="12"/>
        <color rgb="FFFF0000"/>
        <rFont val="Times New Roman"/>
        <family val="1"/>
      </rPr>
      <t>OT10 bảo lưu b9. Quay lại T201 học b5</t>
    </r>
  </si>
  <si>
    <t>HV đăng ký trong nhóm</t>
  </si>
  <si>
    <r>
      <rPr>
        <sz val="12"/>
        <color theme="1"/>
        <rFont val="Times New Roman"/>
        <family val="1"/>
      </rPr>
      <t>Đặng Châu Anh</t>
    </r>
    <r>
      <rPr>
        <sz val="12"/>
        <color rgb="FFFF0000"/>
        <rFont val="Times New Roman"/>
        <family val="1"/>
      </rPr>
      <t xml:space="preserve"> - Đã nộp 300K 03/03/24
OT10 bảo lưu b6. Quay lại T197 b7</t>
    </r>
  </si>
  <si>
    <t>T199</t>
  </si>
  <si>
    <r>
      <rPr>
        <sz val="12"/>
        <color theme="1"/>
        <rFont val="Times New Roman"/>
        <family val="1"/>
      </rPr>
      <t>Nguyễn Anh Quân</t>
    </r>
    <r>
      <rPr>
        <sz val="12"/>
        <color rgb="FFFF0000"/>
        <rFont val="Times New Roman"/>
        <family val="1"/>
      </rPr>
      <t xml:space="preserve"> - Đã nộp 300K 09/04/2024
T184 bảo lưu b18 đi quân sự. Quay lại T199 b14</t>
    </r>
  </si>
  <si>
    <t>Số nhà 38 Anh thơ 4 phú mỹ 2 phường dĩnh kế thành phố bắc giang - tỉnh bắc giang</t>
  </si>
  <si>
    <t>Số 8, ngánh 46/20/5, ngõ 168, Phan Trọng Tuệ, Tam Hiệp, Thanh Trì, Hà Nội</t>
  </si>
  <si>
    <t>ngõ 262, Đông Âu hostel, phố Vĩnh Hưng, Quận Hoàng Mai</t>
  </si>
  <si>
    <t>Xuân Lễ, xã Tân Dân,huyện Sóc Sơn,tp Hà Nội</t>
  </si>
  <si>
    <t>38 ngõ 50 Võng Thị, Bưởi, Tây Hồ, Hà Nội</t>
  </si>
  <si>
    <t>72a Nguyễn Trãi, Thanh Xuân , Hà Nội</t>
  </si>
  <si>
    <t>Số nhà 26, ngõ 68 Triều Khúc, HÀ Nội</t>
  </si>
  <si>
    <t>https://www.facebook.com/buithuyhienltpt?mibextid=ZbWKwL</t>
  </si>
  <si>
    <t>Bùi Thúy Hiền</t>
  </si>
  <si>
    <t>Buithuyhien1009@gmail.com</t>
  </si>
  <si>
    <t>Số 1A Ngách 19  Ngõ 105 Doãn Kế Thiện, Cầu Giấy, Hà Nội</t>
  </si>
  <si>
    <t>https://drive.google.com/open?id=1RMO9wAGGLCpezctXiCoGYcwAEWc5lMUG; https://drive.google.com/open?id=1ROYTpu5FrXtEHY16xFVGAtZyQLFQqN9O</t>
  </si>
  <si>
    <r>
      <rPr>
        <sz val="12"/>
        <color theme="1"/>
        <rFont val="Times New Roman"/>
        <family val="1"/>
      </rPr>
      <t>Đỗ Quang Vinh</t>
    </r>
    <r>
      <rPr>
        <sz val="12"/>
        <color rgb="FFFF0000"/>
        <rFont val="Times New Roman"/>
        <family val="1"/>
      </rPr>
      <t xml:space="preserve"> (KO theo kịp nên Huy chuyển xuống PT)</t>
    </r>
  </si>
  <si>
    <t>Đưa tay cho Huy</t>
  </si>
  <si>
    <t>T186 bảo lưu buổi 9</t>
  </si>
  <si>
    <t>U04-L34,khu đô thị Đô Nghĩa,Yên Nghĩa,Hà Đông</t>
  </si>
  <si>
    <t>Số nhà 56, Nghách 85, Ngõ 164 Vương Thừa Vũ, Thanh Xuân, Hà Nội</t>
  </si>
  <si>
    <r>
      <rPr>
        <sz val="12"/>
        <color theme="1"/>
        <rFont val="Times New Roman"/>
        <family val="1"/>
      </rPr>
      <t xml:space="preserve"> Đặng Thị Anh Thư</t>
    </r>
    <r>
      <rPr>
        <sz val="12"/>
        <color rgb="FFFF0000"/>
        <rFont val="Times New Roman"/>
        <family val="1"/>
      </rPr>
      <t xml:space="preserve"> (P125 và GR16). Đổi GT3 =&gt; Toeic nói</t>
    </r>
  </si>
  <si>
    <t>VIP</t>
  </si>
  <si>
    <t>Điêu Thị Thanh Hường</t>
  </si>
  <si>
    <t>số nhà 54, ngách 25 ngõ 52 đường Mỹ Đình, Mỹ Đình 2, Nam Từ Liêm, Hà Nội</t>
  </si>
  <si>
    <t>VIP69</t>
  </si>
  <si>
    <t>Nguyễn Giang Thương</t>
  </si>
  <si>
    <t>OT12</t>
  </si>
  <si>
    <t>Nhà số 8, hẻm 3, nghách 42,ngõ 132,cầu giấy</t>
  </si>
  <si>
    <t xml:space="preserve"> 89 Nguyễn Phong Sắc, Dịch Vọng Hậu, Cầu Giấy, Hà Nội</t>
  </si>
  <si>
    <t>99 Đường Nguyễn Chí Thanh, Láng Hạ, Đống Đa, Hà Nội</t>
  </si>
  <si>
    <t>T187</t>
  </si>
  <si>
    <t xml:space="preserve">Yên Sơn, Hoàng Thanh, Hiệp Hoà, Bắc Giang </t>
  </si>
  <si>
    <t>ktx Học viện Báo chí và Tuyên truyền 89 Nguyễn Phong Sắc, Dịch Vọng Hậu, Cầu Giấy, Hà Nội</t>
  </si>
  <si>
    <t>số 345 Ngô Xuân Quảng,Trâu Quỳ,Gia Lâm, HÀ Nội</t>
  </si>
  <si>
    <t>số 11 ngõ 53 Thiên Hiền, Đình Thôn, mỹ đình 1, Nam từ liêm</t>
  </si>
  <si>
    <t xml:space="preserve">số 30 ngõ 1/8, đình thôn, Mỹ đình 1, Nam từ liêm, hà nội </t>
  </si>
  <si>
    <t>Nhài xếp lớp HV chat trong nhóm</t>
  </si>
  <si>
    <t>An Hạ 2 - An Thượng - Hoài Đức - Hà Nội</t>
  </si>
  <si>
    <t>Phát tại lớp học OFF</t>
  </si>
  <si>
    <t xml:space="preserve">số 2A, ngách 44/130, Trần Thái Tông, Dịch Vọng Hậu, Cầu Giấy, Hà Nội </t>
  </si>
  <si>
    <t>Nhà số 2, ngõ 1142, Láng Thượng, Đống Đa, Hà Nội</t>
  </si>
  <si>
    <t>GR15</t>
  </si>
  <si>
    <t>https://www.facebook.com/hieu.hoangtrung.90410834</t>
  </si>
  <si>
    <r>
      <rPr>
        <sz val="12"/>
        <color theme="1"/>
        <rFont val="Times New Roman"/>
        <family val="1"/>
      </rPr>
      <t xml:space="preserve">Hoàng Trung Hiếu </t>
    </r>
    <r>
      <rPr>
        <sz val="12"/>
        <color rgb="FFFF0000"/>
        <rFont val="Times New Roman"/>
        <family val="1"/>
      </rPr>
      <t>(GR15, P126)</t>
    </r>
  </si>
  <si>
    <t>Nhà 52 ngõ 132 cầu diễn</t>
  </si>
  <si>
    <t>https://drive.google.com/open?id=1Uohn20e08TS3VBrjd2J8Ld9XathpAxG8</t>
  </si>
  <si>
    <r>
      <rPr>
        <sz val="12"/>
        <color theme="1"/>
        <rFont val="Times New Roman"/>
        <family val="1"/>
      </rPr>
      <t xml:space="preserve">Bùi Thị Hoà </t>
    </r>
    <r>
      <rPr>
        <sz val="12"/>
        <color rgb="FFFF0000"/>
        <rFont val="Times New Roman"/>
        <family val="1"/>
      </rPr>
      <t>-nick Angela Den
đổi VIP học T. Bớt NÓI hoặc VIẾT do học T 2 lần</t>
    </r>
  </si>
  <si>
    <t>Chung cư Bắc Hà, số 30 Phạm Văn Đồng, Phường Mai Dịch, Quận Cầu Giấy, Tp. Hà Nội.</t>
  </si>
  <si>
    <t>chung cư d’capital toà c1 Trần Duy Hưng, Phường Trung hoà ,11313 Quận Cầu giấy Hà Nội</t>
  </si>
  <si>
    <t>số nhà 26, ngõ 11 Nguyên Xá, Minh Khai, Bắc Từ Liêm, HN</t>
  </si>
  <si>
    <t>Trần Thu Huyền</t>
  </si>
  <si>
    <t>SN 827- Đường Trần Huy Liệu- TP Nam Định</t>
  </si>
  <si>
    <t>Nhận ở VP ngày 1/12/23</t>
  </si>
  <si>
    <t>Nhài đưa tay ở VP</t>
  </si>
  <si>
    <t>C182</t>
  </si>
  <si>
    <t>VIP68 HV xin nghỉ ngang buổi 6</t>
  </si>
  <si>
    <t>https://www.facebook.com/profile.php?id=100018327258203</t>
  </si>
  <si>
    <r>
      <rPr>
        <sz val="12"/>
        <color theme="1"/>
        <rFont val="Times New Roman"/>
        <family val="1"/>
      </rPr>
      <t xml:space="preserve">Nguyễn Vân Hằng </t>
    </r>
    <r>
      <rPr>
        <sz val="12"/>
        <color rgb="FFFF0000"/>
        <rFont val="Times New Roman"/>
        <family val="1"/>
      </rPr>
      <t>(đổi GT3 =&gt;Toeic 2) Phương báo</t>
    </r>
  </si>
  <si>
    <t>Lê Phương báo</t>
  </si>
  <si>
    <t>Hanoi house3, Mục Uyên 1, Tân Xã, Thạch Thất, Hà Nội</t>
  </si>
  <si>
    <t>https://drive.google.com/open?id=1cYsFrA71iLiCYscGztVADaY_wDv1lsCB</t>
  </si>
  <si>
    <t>Chờ HV trả lại sách và mũ C182 thì gửi sách Toeic, đã nhận lại 05/12/2023</t>
  </si>
  <si>
    <t>https://www.facebook.com/fanh204</t>
  </si>
  <si>
    <r>
      <rPr>
        <sz val="12"/>
        <color theme="1"/>
        <rFont val="Times New Roman"/>
        <family val="1"/>
      </rPr>
      <t xml:space="preserve"> Đỗ Phương Anh </t>
    </r>
    <r>
      <rPr>
        <sz val="12"/>
        <color rgb="FFFF0000"/>
        <rFont val="Times New Roman"/>
        <family val="1"/>
      </rPr>
      <t xml:space="preserve">(Đổi GT3 =&gt; Toeic 1) Hà Hiền báo. </t>
    </r>
    <r>
      <rPr>
        <sz val="12"/>
        <color theme="1"/>
        <rFont val="Times New Roman"/>
        <family val="1"/>
      </rPr>
      <t xml:space="preserve">Chờ HV trả lại sách và mũ </t>
    </r>
  </si>
  <si>
    <t>Hà Hiền báo</t>
  </si>
  <si>
    <t>Thôn Thái Thuần, xã An Thái, Quỳnh Phụ, Thái Bình</t>
  </si>
  <si>
    <t>Chờ HV trả lại sách và mũ C182 thì gửi sách Toeic</t>
  </si>
  <si>
    <t>OT15</t>
  </si>
  <si>
    <t>số 14 ngõ 145 Cổ Nhuế 2 Bắc Từ Liêm Hà Nội</t>
  </si>
  <si>
    <t>Lớp học online 1 tháng 12 nên gửi sách về nhà. Huy báo</t>
  </si>
  <si>
    <t>số 7, ngách 85/3, ngõ 85 Lê Văn Hiến, Đức Thắng, Bắc Từ Liêm, Hà Nội</t>
  </si>
  <si>
    <t>số 6 đường Lê Văn Hiến phường Đức Thắng Bắc Từ Liêm Hà   Nội</t>
  </si>
  <si>
    <t>Xõm Bãi Phủ, xã Đỉnh Sơn , huyện Anh Sơn, tỉnh Nghệ An</t>
  </si>
  <si>
    <t>33 ngõ 151- phố Lê Văn Hiến - Đông Ngạc - Bắc Từ Liêm - Hà Nội</t>
  </si>
  <si>
    <t>số 71, Ngõ 58- Lê Văn Hiến, phường Đức Thắng, Bắc Từ Liêm, HÀ Nội</t>
  </si>
  <si>
    <t>Xóm Đồng Giang-Mông Hoá-TP Hoà Bình-Hoà Bình</t>
  </si>
  <si>
    <t>ktx B7 hvtc- phường Đức Thắng- quận Bắc Từ Liêm- Hà Nôi</t>
  </si>
  <si>
    <t>Nhà số 9 dãy N1, tập thể công ty 2, tổ dân phố Viên 7 Cổ nhuế, Cổ nhuế, bắc từ liêm, Hà Nội</t>
  </si>
  <si>
    <t xml:space="preserve">41 Lý Thường Kiệt, phường Nguyễn Thái Học, thành phố Yên Bái, tỉnh Yên Bái </t>
  </si>
  <si>
    <t>T203</t>
  </si>
  <si>
    <r>
      <rPr>
        <sz val="12"/>
        <color theme="1"/>
        <rFont val="Times New Roman"/>
        <family val="1"/>
      </rPr>
      <t xml:space="preserve">Văn Mai Anh </t>
    </r>
    <r>
      <rPr>
        <sz val="12"/>
        <color rgb="FFFF0000"/>
        <rFont val="Times New Roman"/>
        <family val="1"/>
      </rPr>
      <t>(OT15 =&gt;Chờ lớp)</t>
    </r>
  </si>
  <si>
    <t>số nhà 25 ngõ 273/45 phường cổ nhuế 2 quận bắc từ liêm hà nội</t>
  </si>
  <si>
    <t>Số nhà 27 ngõ 582 đưỡng lĩnh nam hoàng mai hà nội</t>
  </si>
  <si>
    <t>Phạm Văn Dương</t>
  </si>
  <si>
    <t xml:space="preserve">Học viện ngân hàng, Ngõ 12 Chùa Bộc, Quang Trung, Đống Đa, Hà Nội </t>
  </si>
  <si>
    <t>Phạm Thế Nam</t>
  </si>
  <si>
    <t>Xóm 7 - Nhà Máy Z129 - Xã Đội Bình - Huyện Yên Sơn - Tỉnh Tuyên Quang</t>
  </si>
  <si>
    <r>
      <rPr>
        <sz val="12"/>
        <color theme="1"/>
        <rFont val="Times New Roman"/>
        <family val="1"/>
      </rPr>
      <t xml:space="preserve">Tải Thu Hậu </t>
    </r>
    <r>
      <rPr>
        <sz val="12"/>
        <color rgb="FFFF0000"/>
        <rFont val="Times New Roman"/>
        <family val="1"/>
      </rPr>
      <t>(Huy cho học lại do ko đạt đầu ra)</t>
    </r>
  </si>
  <si>
    <t>Khuất Huy cho học lại</t>
  </si>
  <si>
    <r>
      <rPr>
        <sz val="12"/>
        <color theme="1"/>
        <rFont val="Times New Roman"/>
        <family val="1"/>
      </rPr>
      <t>Đỗ Anh Hiếu</t>
    </r>
    <r>
      <rPr>
        <sz val="12"/>
        <color rgb="FFFF0000"/>
        <rFont val="Times New Roman"/>
        <family val="1"/>
      </rPr>
      <t xml:space="preserve"> (T190 =&gt;T191) Đã nộp 300K 08/04/2024
T191 bảo lưu b9 đi quân sự. Quay lại T201 b8</t>
    </r>
  </si>
  <si>
    <t>số nhà 37, tổ 6, phường Tích Lương, tp Thái Nguyên , tỉnh Thái Nguyên</t>
  </si>
  <si>
    <t>VIP68</t>
  </si>
  <si>
    <t>Trương Tuấn Minh</t>
  </si>
  <si>
    <t>Học viện Chính sách và Phát triển, khu đô thị Nam An Khánh, An Thượng, Hoài Đức</t>
  </si>
  <si>
    <r>
      <rPr>
        <sz val="12"/>
        <color theme="1"/>
        <rFont val="Times New Roman"/>
        <family val="1"/>
      </rPr>
      <t>Lý Đức Quang</t>
    </r>
    <r>
      <rPr>
        <sz val="12"/>
        <color rgb="FFFF0000"/>
        <rFont val="Times New Roman"/>
        <family val="1"/>
      </rPr>
      <t xml:space="preserve"> - nộp tiền học lại 8 buổi tính 50%</t>
    </r>
    <r>
      <rPr>
        <sz val="12"/>
        <color theme="1"/>
        <rFont val="Times New Roman"/>
        <family val="1"/>
      </rPr>
      <t xml:space="preserve">
</t>
    </r>
    <r>
      <rPr>
        <sz val="12"/>
        <color rgb="FFFF0000"/>
        <rFont val="Times New Roman"/>
        <family val="1"/>
      </rPr>
      <t>T160 bảo lưu b8. Quay lại học T190</t>
    </r>
  </si>
  <si>
    <t>Đã nộp 300K bảo lưu. Đã nộp tiền học lại 8 buổi tính 50% ngày 12/12/2023</t>
  </si>
  <si>
    <r>
      <rPr>
        <sz val="12"/>
        <color theme="1"/>
        <rFont val="Times New Roman"/>
        <family val="1"/>
      </rPr>
      <t>Phạm Anh Thư</t>
    </r>
    <r>
      <rPr>
        <sz val="12"/>
        <color rgb="FFFF0000"/>
        <rFont val="Times New Roman"/>
        <family val="1"/>
      </rPr>
      <t xml:space="preserve"> - Đã nộp 300K 30/05/2024
T191 bảo lưu b17 đi quân sự. Học T202 buổi 16</t>
    </r>
  </si>
  <si>
    <t>Nhà 47, Ngõ  1 Đại Đồng, Thanh Trì, Hoàng Mai, Hà Nội</t>
  </si>
  <si>
    <t>VIP70</t>
  </si>
  <si>
    <t>Đội 3- Thôn Cam Lộ-Xã Tân Việt-huyện Thanh Hà-tỉnh Hải Dương</t>
  </si>
  <si>
    <t>KTX B ĐHCT đường 3/2 phường Xuân Khánh TP Cần Thơ</t>
  </si>
  <si>
    <t>157/48 Nguyễn Gia Trí, Phường 25 , quận Bình Thạnh, tp HCM</t>
  </si>
  <si>
    <t>Doãn Đình Đạt</t>
  </si>
  <si>
    <t>Số 2, Ngõ 196, phố Hoàng Sâm, phường Nghĩa Đô, Cầu Giấy, Hà Nội</t>
  </si>
  <si>
    <t>Trường đại học công nghiệp cơ sở 3, Phù Vân, Phủ Lý, Hà Nam</t>
  </si>
  <si>
    <t>VIP77</t>
  </si>
  <si>
    <t>Số 58 Tập Thể Điện Tử Tàu Thuỷ, Láng Thượng, Đống Đa Hà Nội</t>
  </si>
  <si>
    <t>T143</t>
  </si>
  <si>
    <t>https://www.facebook.com/100027289029043/</t>
  </si>
  <si>
    <r>
      <rPr>
        <sz val="12"/>
        <color theme="1"/>
        <rFont val="Times New Roman"/>
        <family val="1"/>
      </rPr>
      <t xml:space="preserve">Ngô Thị Hằng Nga </t>
    </r>
    <r>
      <rPr>
        <sz val="12"/>
        <color rgb="FFFF0000"/>
        <rFont val="Times New Roman"/>
        <family val="1"/>
      </rPr>
      <t>sđt cũ 0981571307</t>
    </r>
  </si>
  <si>
    <t>Khu giãn dân Chấn Đông - Hoàn Long - Yên Mỹ - Hưng Yên</t>
  </si>
  <si>
    <t>https://drive.google.com/open?id=1f9ZfKnAEF049OMMyElQgAoL-bS2cI2ui</t>
  </si>
  <si>
    <t>Đã trả lương T1/2023</t>
  </si>
  <si>
    <t xml:space="preserve"> nhà số36, Đường kênh 5,Thanh Trí - Minh Phú - Sóc Sơn - Hà Nội</t>
  </si>
  <si>
    <r>
      <rPr>
        <sz val="12"/>
        <color theme="1"/>
        <rFont val="Times New Roman"/>
        <family val="1"/>
      </rPr>
      <t xml:space="preserve">Trọ cô Vân- chú bảo, sau GK1, đại học kinh tế và quản trị kinh doanh Thái Nguyên.
</t>
    </r>
    <r>
      <rPr>
        <sz val="12"/>
        <color rgb="FFFF0000"/>
        <rFont val="Times New Roman"/>
        <family val="1"/>
      </rPr>
      <t>Số 5, tổ 1, Phường Tân Thịnh - Tp Thái Nguyên, Thái Nguyên ( Sau gk1, trọ cô Vân, chú Bảo, gần tạp hóa cô Hương)</t>
    </r>
  </si>
  <si>
    <t>Nguyễn Thị Minh Nguyệt</t>
  </si>
  <si>
    <t>ngõ 10 đường Trường Chinh, tdp chùa,phường Nam Tiến, tp phổ yên ,tỉnh Thái Nguyên</t>
  </si>
  <si>
    <t>VIP71</t>
  </si>
  <si>
    <t>Số 03, đường 208 ấp 4 xã Hòa Phú, huyện Củ Chi, TP Hồ Chí Minh</t>
  </si>
  <si>
    <t>Đội 14, xã Nghĩa Phú, Nghĩa Hưng, Nam Định</t>
  </si>
  <si>
    <t xml:space="preserve">Mai Công Hiếu </t>
  </si>
  <si>
    <t>Số 2 Nguyễn Hưởng Dung, tổ dân phố số 8, Thị trấn Diêm Điền, Thái Thụy, Thái Bình</t>
  </si>
  <si>
    <t>Chu Ngọc Minh</t>
  </si>
  <si>
    <t>số nhà 34/1/199 Trần Quốc Hoàn , Hà Nội</t>
  </si>
  <si>
    <t>Chu Thị Hoàn</t>
  </si>
  <si>
    <t>1317 phố sáo, Ngãi Cầu, An Khánh, Hoài Đức, Hà Nội</t>
  </si>
  <si>
    <t>VIP78</t>
  </si>
  <si>
    <r>
      <rPr>
        <sz val="12"/>
        <color theme="1"/>
        <rFont val="Times New Roman"/>
        <family val="1"/>
      </rPr>
      <t xml:space="preserve">Đặng Phương Thu </t>
    </r>
    <r>
      <rPr>
        <sz val="12"/>
        <color rgb="FFFF0000"/>
        <rFont val="Times New Roman"/>
        <family val="1"/>
      </rPr>
      <t>(hủy VIP71)</t>
    </r>
  </si>
  <si>
    <t>Số nhà 17, ngách 41, ngõ 367, đường Xuân Phương, phường Xuân Phương, Nam Từ Liêm, Hà Nội</t>
  </si>
  <si>
    <t>VIP80</t>
  </si>
  <si>
    <t>Số nhà 27 ngõ 141 phường đức thắng bắc từ liêm hà nội</t>
  </si>
  <si>
    <r>
      <rPr>
        <sz val="12"/>
        <color theme="1"/>
        <rFont val="Times New Roman"/>
        <family val="1"/>
      </rPr>
      <t xml:space="preserve">Thào Thị Dí </t>
    </r>
    <r>
      <rPr>
        <sz val="12"/>
        <color rgb="FFFF0000"/>
        <rFont val="Times New Roman"/>
        <family val="1"/>
      </rPr>
      <t>- Học lại free. Huy báo</t>
    </r>
  </si>
  <si>
    <t>Huy chat</t>
  </si>
  <si>
    <t>Đông - Bích báo vào học</t>
  </si>
  <si>
    <t>Bích</t>
  </si>
  <si>
    <t>VIP79</t>
  </si>
  <si>
    <r>
      <rPr>
        <sz val="12"/>
        <color theme="1"/>
        <rFont val="Times New Roman"/>
        <family val="1"/>
      </rPr>
      <t xml:space="preserve">Phạm Thị Thùy Trang </t>
    </r>
    <r>
      <rPr>
        <sz val="12"/>
        <color rgb="FFFF0000"/>
        <rFont val="Times New Roman"/>
        <family val="1"/>
      </rPr>
      <t>- nick Trang Sarah
VIP71 bảo lưu buổi 2. Quay lai VIP79 b1</t>
    </r>
  </si>
  <si>
    <t>ktx đai học  Thương mại, Mai Dịch, Cầu Giấy,  Hà Nội,</t>
  </si>
  <si>
    <t>VIP87</t>
  </si>
  <si>
    <r>
      <rPr>
        <sz val="12"/>
        <color theme="1"/>
        <rFont val="Times New Roman"/>
        <family val="1"/>
      </rPr>
      <t xml:space="preserve">Nguyễn Anh Tuấn </t>
    </r>
    <r>
      <rPr>
        <sz val="12"/>
        <color rgb="FFFF0000"/>
        <rFont val="Times New Roman"/>
        <family val="1"/>
      </rPr>
      <t>(P127, GR17) - Đã nộp 300K 19/05/2024
VIP75 bảo lưu b17 đi quân sự. Quay lại VIP87 b13</t>
    </r>
  </si>
  <si>
    <t>Ngõ 163, đường Đan Khê, Di Trạch, Hoài Đức, Hà Nội</t>
  </si>
  <si>
    <t>Combo GT Lv(1+2)+Toeic Lv(1+2). Đã học GT1,2 lớp OFF.</t>
  </si>
  <si>
    <t>OT16</t>
  </si>
  <si>
    <t>Học OFF. Đưa sách ở lớp</t>
  </si>
  <si>
    <t>Đỗ Thành Công</t>
  </si>
  <si>
    <t>https://www.facebook.com/messages/t/100082895409770</t>
  </si>
  <si>
    <t>28/12/2023 Học OFF. Đưa sách ở lớp</t>
  </si>
  <si>
    <t>Số 14/1/23 đường văn hội, phường đức thắng</t>
  </si>
  <si>
    <t>OT17</t>
  </si>
  <si>
    <t>https://www.facebook.com/TruongHai.31072005</t>
  </si>
  <si>
    <r>
      <rPr>
        <sz val="12"/>
        <color theme="1"/>
        <rFont val="Times New Roman"/>
        <family val="1"/>
      </rPr>
      <t xml:space="preserve">Trương Thanh Hải </t>
    </r>
    <r>
      <rPr>
        <sz val="12"/>
        <color rgb="FFFF0000"/>
        <rFont val="Times New Roman"/>
        <family val="1"/>
      </rPr>
      <t>(Phiếu thu)</t>
    </r>
  </si>
  <si>
    <t>Truongthanhhaik90@gmail.com</t>
  </si>
  <si>
    <t>Sơn Hạ 4, Xuân Vân, Yên Sơn, Tuyên Quang</t>
  </si>
  <si>
    <t>https://drive.google.com/open?id=1ysbNtbhARV6pXUqOuUm-njaiOGicqFyQ</t>
  </si>
  <si>
    <t>Trả lương T11.2023</t>
  </si>
  <si>
    <t>Học viên chat 16/9 cho Nhài báo bỏ ko học nữa vì ko xin đc thêm tiền. Nhài báo: số tiền đủ học lớp T160 nên cứ học 1 lớp T160 cho đỡ phí 4 triệu là tiền tiết kiệm của Hải</t>
  </si>
  <si>
    <t>Nhài sửa 2 toeic xuống học 1 toeic</t>
  </si>
  <si>
    <t>Hạ Combo</t>
  </si>
  <si>
    <t>https://www.facebook.com/profile.php?id=100034381580737&amp;mibextid=LQQJ4d</t>
  </si>
  <si>
    <t>89 6143171</t>
  </si>
  <si>
    <t>nguyenthuyduong241105@gmail.com</t>
  </si>
  <si>
    <t>https://drive.google.com/open?id=1TUoC3ZmpbRhDmuXOoVoBSanl1sRZm6Qw</t>
  </si>
  <si>
    <t>https://www.facebook.com/profile.php?id=100049005006814&amp;mibextid=LQQJ4d</t>
  </si>
  <si>
    <r>
      <rPr>
        <sz val="12"/>
        <color theme="1"/>
        <rFont val="Times New Roman"/>
        <family val="1"/>
      </rPr>
      <t>Trần Thị Hồng</t>
    </r>
    <r>
      <rPr>
        <sz val="12"/>
        <color rgb="FFFF0000"/>
        <rFont val="Times New Roman"/>
        <family val="1"/>
      </rPr>
      <t xml:space="preserve"> (Cần hợp đồng)</t>
    </r>
  </si>
  <si>
    <t>lienduongx8cs@gmail.com</t>
  </si>
  <si>
    <t xml:space="preserve">  6 tiên sơn 6 , phường hoà cường nam,quận hải châu,TP Đà Nẵng</t>
  </si>
  <si>
    <t>https://drive.google.com/open?id=1iwj7WR9nIa8QPqioIIf3NKnAceY1cyRa</t>
  </si>
  <si>
    <t>https://www.facebook.com/its.louie.hilton?mibextid=V3Yony</t>
  </si>
  <si>
    <t>Phạm Trung Hiếu</t>
  </si>
  <si>
    <t>https://drive.google.com/open?id=1q3k5WfNl5gdEOsNCLo_PDdSGhiae_FCE</t>
  </si>
  <si>
    <t>https://www.facebook.com/profile.php?id=100028581101576&amp;mibextid=ZbWKwL</t>
  </si>
  <si>
    <t>Trịnh Đức Mạnh</t>
  </si>
  <si>
    <t>https://drive.google.com/open?id=1SX5UaSSi2txql-TfW5bqiXxNKP-Tm0wZ</t>
  </si>
  <si>
    <t>Hạ Combo. Đức chat</t>
  </si>
  <si>
    <t>https://www.facebook.com/nthuyentrang219?mibextid=haYZDX</t>
  </si>
  <si>
    <t>Nguyễn Thị Huyền Trang</t>
  </si>
  <si>
    <t>nthuyentrang219@gmail.com</t>
  </si>
  <si>
    <t>Số 14 Ngõ 226 Đường Cầu Giấy, Hà Nội</t>
  </si>
  <si>
    <t>https://drive.google.com/open?id=1CQrIzVbxM7fPcvr4WQGDjOv0nF9ik8HA; https://drive.google.com/open?id=1E5nYu-sMfnXZgJ9yFLJtNrnh_uO9Rla0</t>
  </si>
  <si>
    <t>OT5 =&gt;OT6</t>
  </si>
  <si>
    <t>https://www.facebook.com/mat.mit.77398?mibextid=cejktS</t>
  </si>
  <si>
    <t>Trương Ngọc Mai</t>
  </si>
  <si>
    <t>15/11/2023 và 29/10/2023</t>
  </si>
  <si>
    <t>https://drive.google.com/open?id=17nd-qRP5dfcg6siHNCuyYV_4j62cbyug; https://drive.google.com/open?id=1WTHRtDE_Oh34wRVP9VjRqfJ1CKVp5HH9; https://drive.google.com/open?id=1d9c9QZb0AC6WuukCLFwfP4jaJc1TdudR</t>
  </si>
  <si>
    <t>https://www.facebook.com/profile.php?id=100033505097108</t>
  </si>
  <si>
    <t>Giàng Thị Thu Thủy</t>
  </si>
  <si>
    <t>kí túc xá AJC</t>
  </si>
  <si>
    <t>https://drive.google.com/open?id=1c6gp55DO-eqbn1a-aGadw1cV4Z0dIik3; https://drive.google.com/open?id=1HZembXpWlL1ExMQPe-ZrDCR5Q5ZHbTeC</t>
  </si>
  <si>
    <t>https://www.facebook.com/thich.thichemm</t>
  </si>
  <si>
    <t>Bùi Nguyễn Hoàng Thao</t>
  </si>
  <si>
    <t>20 sông Nhuệ, phường Đức Thắng, quận Bắc Từ Liêm, Hà Nội</t>
  </si>
  <si>
    <t>https://drive.google.com/open?id=1BGmHAqw8YM4-e0g89ajof9T7yvWm9myY</t>
  </si>
  <si>
    <t>https://www.facebook.com/profile.php?id=100082259929779&amp;mibextid=LQQJ4d</t>
  </si>
  <si>
    <t>Trần Hồng Ngọc</t>
  </si>
  <si>
    <t>Tranhongngoc7925@gmail.com</t>
  </si>
  <si>
    <t>05/10/2023 và 04/11/2023</t>
  </si>
  <si>
    <t xml:space="preserve">https://drive.google.com/open?id=1-Bnglqh_CMLG9aYzgopxzXpkkOOl2U_Q; https://drive.google.com/open?id=1coQBJi6huxIK3AyOOn5VNTEfVWFNgfca; https://drive.google.com/open?id=1UKLfVbic-Ig4MTRDjoSKd80W_txJDTyL
</t>
  </si>
  <si>
    <t>https://www.facebook.com/profile.php?id=100042893208693&amp;mibextid=LQQJ4d</t>
  </si>
  <si>
    <t xml:space="preserve">Tăng Thị Thuý Hồng </t>
  </si>
  <si>
    <t>tangthithuyhong0703@gmail.com</t>
  </si>
  <si>
    <t>Ngõ 63 Trần Quốc Vượng, Dịch Vọng Hậu, Cầu Giấy, HN</t>
  </si>
  <si>
    <t>30/09/2023 và 04/11/2023</t>
  </si>
  <si>
    <t>https://drive.google.com/open?id=1Q4lIrtfX3MOvup5o9Qyd3olTbozUrIGW; https://drive.google.com/open?id=1uUU0Z-Y8hpH3jZGDr89DpjgJqfQrfMo7; https://drive.google.com/open?id=1elvUkKDrt4e9dqwYxMSEv9BnymkWrQ1U</t>
  </si>
  <si>
    <t>https://www.facebook.com/MayGamerVN</t>
  </si>
  <si>
    <t>Trần Minh Quân</t>
  </si>
  <si>
    <t>quanmcpe2004@gmail.com</t>
  </si>
  <si>
    <t>10A Võ Chí Công, p.Nghĩa Đô, quận Cầu Giấy, Hà Nội</t>
  </si>
  <si>
    <t>https://drive.google.com/open?id=1l8KKzNQPWvgI784188qtQdOkjojTLpuF; https://drive.google.com/open?id=1rXc_u7aJrMqMHk1SnBdqJ0u4UwWwhGmK</t>
  </si>
  <si>
    <t>OT2=&gt;OT4. Đức chat</t>
  </si>
  <si>
    <t>https://www.facebook.com/profile.php?id=100053355834062&amp;mibextid=LQQJ4d</t>
  </si>
  <si>
    <t>Bùi Thu Huệ</t>
  </si>
  <si>
    <t>monmi2182005@gmail.com</t>
  </si>
  <si>
    <t>https://drive.google.com/open?id=1fogrDOkauqn2A6M-tEGNEGT23RNhRNJ3; https://drive.google.com/open?id=1cL7KKx6y-7zbjxFD2wk3RIoTe4CQT1jN</t>
  </si>
  <si>
    <t>https://www.facebook.com/profile.php?id=100023687449541&amp;mibextid=LQQJ4d</t>
  </si>
  <si>
    <t>Đoàn Trần Tường Vy</t>
  </si>
  <si>
    <t xml:space="preserve">Vydoantrantuong@gmail.com </t>
  </si>
  <si>
    <t xml:space="preserve">Ktx học viện Báo chí và Tuyên truyền       </t>
  </si>
  <si>
    <t>https://drive.google.com/open?id=11iij34D7dUP91aM-FOLtzB7NC_kxYqiF</t>
  </si>
  <si>
    <t>https://www.facebook.com/tranthanhthu.1675?mibextid=LQQJ4d</t>
  </si>
  <si>
    <t>Trần Thị Thanh Thu</t>
  </si>
  <si>
    <t>tranthanhthu.06102000@gmail.com</t>
  </si>
  <si>
    <t>28/09/2023 và 07/11/2023</t>
  </si>
  <si>
    <t>https://drive.google.com/open?id=18OKa5ASh5RzhB9kl-O9HKjf_xUYA2ptf, https://drive.google.com/open?id=1JUuq01oF8yzSTmE1tKFuBHeWmxFx0l6_; https://drive.google.com/open?id=1FxcX831O7dlwwwy9CwMsGQuVnHYs_OAB</t>
  </si>
  <si>
    <t>Hạ combo. Đức chat</t>
  </si>
  <si>
    <t>https://www.facebook.com/t.yuhthunz?mibextid=LQQJ4d</t>
  </si>
  <si>
    <r>
      <rPr>
        <sz val="12"/>
        <color theme="1"/>
        <rFont val="Times New Roman"/>
        <family val="1"/>
      </rPr>
      <t xml:space="preserve">Nguyễn Thu Thuỷ </t>
    </r>
    <r>
      <rPr>
        <sz val="12"/>
        <color rgb="FFFF0000"/>
        <rFont val="Times New Roman"/>
        <family val="1"/>
      </rPr>
      <t>(Cần hợp đồng) 971987221 sđt cũ</t>
    </r>
  </si>
  <si>
    <t>nguyenthuthuy1010205@gmail.com</t>
  </si>
  <si>
    <t xml:space="preserve">Thôn Quang Trung, xã Hợp Thịnh, huyện Tam Dương, tỉnh Vĩnh Phúc </t>
  </si>
  <si>
    <t>https://drive.google.com/open?id=1SMb8dJ3SWEE3T5TU873HsXte6UbNYIi9; https://drive.google.com/open?id=1P9mThrPrd0EngKF_eHYYEtUZKIKiNJjt</t>
  </si>
  <si>
    <t>https://www.facebook.com/profile.php?id=100023494071905</t>
  </si>
  <si>
    <t>Trần Ngọc Mai</t>
  </si>
  <si>
    <t>kh có</t>
  </si>
  <si>
    <t>https://drive.google.com/open?id=1Rxi_3fIzH45TUtD165JNT1l7A9sV5e0q; https://drive.google.com/open?id=1c94YJ4t7jUg3FVc1eVoEaJZfhPd-MrwC</t>
  </si>
  <si>
    <t>Hạ Combo. Yến báo</t>
  </si>
  <si>
    <t>https://www.facebook.com/dinoamorebambusbaum?mibextid=ZbWKwL</t>
  </si>
  <si>
    <t>Phạm Nguyễn Hải Dương</t>
  </si>
  <si>
    <t>số 15- ngách40-ngõ39- Cầu Giấy- Hà Nội</t>
  </si>
  <si>
    <t>https://drive.google.com/open?id=1kQxKwnDpnKf5nvR2YdIWzOccb0sb4kRV; https://drive.google.com/open?id=1zFFM6TjL4APmpffPJJ07nmQ45gXsnJNf</t>
  </si>
  <si>
    <t>https://www.facebook.com/phong.hoangxuan.94?mibextid=ZbWKwL</t>
  </si>
  <si>
    <t>Hoàng Xuân Phong</t>
  </si>
  <si>
    <t>số 15- ngách 40- ngõ 79- Quan Hoa- Cầu Giấy- Hà Nội</t>
  </si>
  <si>
    <t>https://drive.google.com/open?id=1HAy2JLBPnx8NTc9oyeVjq3zvwMgrYRk0; https://drive.google.com/open?id=15TbbcY-izjGnEaqSwwYqPB49oVmXM42Z</t>
  </si>
  <si>
    <t>https://www.facebook.com/phanduyhihi?mibextid=ZbWKwL</t>
  </si>
  <si>
    <t>Phạm Hải Duy</t>
  </si>
  <si>
    <t>Số 15- Ngách40- Ngõ79- Cầu Giấy-Hà Nội</t>
  </si>
  <si>
    <t>02/11/2023 và 21/11/2023</t>
  </si>
  <si>
    <r>
      <rPr>
        <u/>
        <sz val="12"/>
        <color rgb="FF1155CC"/>
        <rFont val="Times New Roman"/>
        <family val="1"/>
      </rPr>
      <t xml:space="preserve">https://drive.google.com/open?id=1dJZxdAZouVBGLEnzlwtQJH2davmyBoZe; https://drive.google.com/open?id=19D62YZqEDJbFIvPG1lYi_LotXE-jwKhg; </t>
    </r>
    <r>
      <rPr>
        <u/>
        <sz val="12"/>
        <color rgb="FF1155CC"/>
        <rFont val="Times New Roman"/>
        <family val="1"/>
      </rPr>
      <t>https://drive.google.com/open?id=1OkNXHbPm5LJ--z5O9AbNlXj8MPNbeYE9</t>
    </r>
  </si>
  <si>
    <t>https://www.facebook.com/phanthanhthao205?mibextid=LQQJ4d</t>
  </si>
  <si>
    <t>Phan Thanh Thảo</t>
  </si>
  <si>
    <t>52 ngõ 155, đường cầu giấy, cầu giấy, Hà Nội</t>
  </si>
  <si>
    <t>https://drive.google.com/open?id=1PmAqrW3WM4MjjwiQNnqkzmu6SJijnEZP; https://drive.google.com/open?id=1j_LKrcE1TPYbBGAjbCvdFkIGELhKh7SK</t>
  </si>
  <si>
    <t>https://www.facebook.com/ngocanh.10122005?mibextid=LQQJ4d</t>
  </si>
  <si>
    <t>Nguyễn Ngọc Anh</t>
  </si>
  <si>
    <t>nanhne1012@gmail.com</t>
  </si>
  <si>
    <t>Số 4, ngách 406/51 Âu Cơ, Nhật Tân, Tây Hồ, Hà Nội</t>
  </si>
  <si>
    <t>https://drive.google.com/open?id=14l3XhxmFFr7IV6l0eSMhU69S9ciTw-Mm; https://drive.google.com/open?id=1dUdDFcc7eKBWcSeBFiK8WDcJJ2rQjyO2</t>
  </si>
  <si>
    <t>OT5 =&gt;OT7</t>
  </si>
  <si>
    <t>https://www.facebook.com/profile.php?id=100092208241207&amp;mibextid=LQQJ4d</t>
  </si>
  <si>
    <t>Đỗ Duy Khánh</t>
  </si>
  <si>
    <t>dkhanh161205@gmail.com</t>
  </si>
  <si>
    <t>03/10/2023 và 20/11/2023</t>
  </si>
  <si>
    <t>https://drive.google.com/open?id=1A3o0HhNjSpkV59wcxkbIWre9g1vT7JZC; https://drive.google.com/open?id=1-u2z7luTlhFqcKJLereFiu2EoXPw8v00; https://drive.google.com/open?id=1x6oKaoxRVUkgCGYFNM1xeKm9jCS240gh</t>
  </si>
  <si>
    <t>https://www.facebook.com/profile.php?id=100086758733211&amp;mibextid=LQQJ4d</t>
  </si>
  <si>
    <t>Nguyễn Thị Hương</t>
  </si>
  <si>
    <t>Ngõ 342/14/3 Hồ Tùng Mậu,P. Phú Diễn, Bắc Từ Liêm, Hà Nội</t>
  </si>
  <si>
    <t>https://drive.google.com/open?id=1tNWSV0xy1M6yyDfJH1Fm_Mm0EB6LkJVe; https://drive.google.com/open?id=1dqbghIa0bNZhei0WU7AtrAKfhfGIA6bi</t>
  </si>
  <si>
    <t>https://www.facebook.com/profile.php?id=61551697815631&amp;mibextid=LQQJ4d</t>
  </si>
  <si>
    <t xml:space="preserve">Đào Thị Mai Hoa </t>
  </si>
  <si>
    <t>https://drive.google.com/open?id=1n4oXtxhEVUN-nnCOf-xArzVqTr5hVv05</t>
  </si>
  <si>
    <t>https://www.facebook.com/mh22092005?mibextid=LQQJ4d</t>
  </si>
  <si>
    <t>https://www.facebook.com/tu.am.5245?mibextid=ZbWKwL</t>
  </si>
  <si>
    <t xml:space="preserve">Lý Thị Ngọc Ánh </t>
  </si>
  <si>
    <t xml:space="preserve"> anh0368685906@gmail.com</t>
  </si>
  <si>
    <t>số 23, ngõ 139 Phạm Văn Đồng , Mai Dịch , Cầu Giấy , Hà Nội</t>
  </si>
  <si>
    <t>https://drive.google.com/open?id=1niZ-wqxHDcWvN_0e8MWDO9oO2dWNVCRA; https://drive.google.com/open?id=14QbthwuEopw6t4qsIX8-bqH51p8SgNpS</t>
  </si>
  <si>
    <t>https://www.facebook.com/profile.php?id=100063547159931&amp;mibextid=LQQJ4d</t>
  </si>
  <si>
    <r>
      <rPr>
        <sz val="12"/>
        <color theme="1"/>
        <rFont val="Times New Roman"/>
        <family val="1"/>
      </rPr>
      <t>Dương Minh Ngọc</t>
    </r>
    <r>
      <rPr>
        <sz val="12"/>
        <color rgb="FFFF0000"/>
        <rFont val="Times New Roman"/>
        <family val="1"/>
      </rPr>
      <t xml:space="preserve"> - số cũ 369325202</t>
    </r>
  </si>
  <si>
    <t>minngooc19@gmail.com</t>
  </si>
  <si>
    <t>210 đường Hoàng Hoa Thám, gần dốc Tam Đa, Hà Nội</t>
  </si>
  <si>
    <t>https://drive.google.com/open?id=1g1tldlKBSdJO66--XmCKIr2t-8SG-F-g; https://drive.google.com/open?id=17zkP29HEELm_Mm20z5xFLplvottBJeYL</t>
  </si>
  <si>
    <t>https://www.facebook.com/quynhnhu.hoangthi.39?mibextid=LQQJ4d</t>
  </si>
  <si>
    <t>Hoàng Thị Quỳnh Như</t>
  </si>
  <si>
    <t>https://drive.google.com/open?id=1L_zi-915XkRIDSuADRvPMrItb4SdAa1k; https://drive.google.com/open?id=17Y6fbDTHFGBwCMFsFR-BK7NmCzlbk8fN</t>
  </si>
  <si>
    <t>https://www.facebook.com/profile.php?id=100048033708706&amp;mibextid=LQQJ4d</t>
  </si>
  <si>
    <t xml:space="preserve">Nguyễn Phương Thảo </t>
  </si>
  <si>
    <t>https://drive.google.com/open?id=1QlseTLvH7LgVuyL9Juk4P_2TM7_r8KeH; https://drive.google.com/open?id=15WIP9QnkB9Gf4MfVWJ8WhFqPckex9ewF</t>
  </si>
  <si>
    <t>https://www.facebook.com/profile.php?id=100028058356403&amp;mibextid=LQQJ4d</t>
  </si>
  <si>
    <t>Vũ Kim Ngân</t>
  </si>
  <si>
    <t xml:space="preserve">vukimngan15102005@gmail.com </t>
  </si>
  <si>
    <t>KTX học viện báo chí và tuyên truyền</t>
  </si>
  <si>
    <t>11/10/2023 và 30/11/2023</t>
  </si>
  <si>
    <t>https://drive.google.com/open?id=1ot1vFzTYobmMmfHjjTKCQdo6U8sF2UF6; https://drive.google.com/open?id=1wPdxllu9by2vKB5f47TwKk2g4lyy4bWn; https://drive.google.com/open?id=1fbyXYGv4AZsTVL3vVnvCCwPG9x31XdlS</t>
  </si>
  <si>
    <t>PT53 =&gt; Chờ lớp</t>
  </si>
  <si>
    <t>https://www.facebook.com/ngc.anh1006?mibextid=LQQJ4d</t>
  </si>
  <si>
    <t>Lương Ngọc Anh</t>
  </si>
  <si>
    <t>lgngocanh1006@gmail.com</t>
  </si>
  <si>
    <t xml:space="preserve">Kí túc xá học viện báo chí và tuyên truyền </t>
  </si>
  <si>
    <t>24/10/2023 và 17/11/2023</t>
  </si>
  <si>
    <t>https://drive.google.com/open?id=1bVGYsC5gjniYJBg1dbj4yndUS2qpJV2Y; https://drive.google.com/open?id=1sSKNYfR0MobV-jbPyQ7KsUpJFYgqGx3g; https://drive.google.com/open?id=18Xil-89WlvDRgiHnTfic4li2lZF0l436</t>
  </si>
  <si>
    <t>VIP64 =&gt; Chờ lớp. Cọc 100K nên chưa gửi sách</t>
  </si>
  <si>
    <t>https://www.facebook.com/profile.php?id=100073517382609&amp;mibextid=LQQJ4d</t>
  </si>
  <si>
    <t>Hà Diệu Linh</t>
  </si>
  <si>
    <t>08/10/2023 và 08/11/2023</t>
  </si>
  <si>
    <t>https://drive.google.com/open?id=1_IUR3s6JkzhqgOiY_uaBl_ObEGPql-FJ; https://drive.google.com/open?id=1edOdwk0le6Ej9EsDqOcZXG9Vy_9HesXd; https://drive.google.com/open?id=1-cY7JTm8aHna98UGi_x2zZ2tdWvWCS3n</t>
  </si>
  <si>
    <t>https://www.facebook.com/Leenhxingg?mibextid=LQQJ4d</t>
  </si>
  <si>
    <r>
      <rPr>
        <sz val="12"/>
        <color theme="1"/>
        <rFont val="Times New Roman"/>
        <family val="1"/>
      </rPr>
      <t>Cao Thị Linh</t>
    </r>
    <r>
      <rPr>
        <sz val="12"/>
        <color rgb="FFFF0000"/>
        <rFont val="Times New Roman"/>
        <family val="1"/>
      </rPr>
      <t xml:space="preserve"> (bảo lưu OPT5 =&gt;OPT8)</t>
    </r>
  </si>
  <si>
    <t xml:space="preserve"> linhhcao171@gmail.com</t>
  </si>
  <si>
    <t>https://drive.google.com/open?id=16e7t19jtjTMdwC6IQnzC4tQ9DjNZD8-9; https://drive.google.com/open?id=1Dt9No7aFm9AjQdmDgz2iXgmAj0MBAt_u</t>
  </si>
  <si>
    <t>(bảo lưu OPT5 đã học =&gt; OPT8). Đã nộp 300K bảo lưu 06/10/2023</t>
  </si>
  <si>
    <t>https://www.facebook.com/profile.php?id=100022723487090&amp;mibextid=LQQJ4d</t>
  </si>
  <si>
    <r>
      <rPr>
        <sz val="12"/>
        <color theme="1"/>
        <rFont val="Times New Roman"/>
        <family val="1"/>
      </rPr>
      <t xml:space="preserve">Vũ Hà Phương </t>
    </r>
    <r>
      <rPr>
        <sz val="12"/>
        <color rgb="FFFF0000"/>
        <rFont val="Times New Roman"/>
        <family val="1"/>
      </rPr>
      <t>(Cần hợp đồng)</t>
    </r>
  </si>
  <si>
    <t>02+04, tổ 14 , đường Lê Đại Hành, phường Kỳ Bá, TP Thái Bình</t>
  </si>
  <si>
    <t>https://drive.google.com/open?id=1IqIFvUftNUP29hra2Tt6_k8g0ZGyY17h; https://drive.google.com/open?id=1Oq-Hf309BAjHO6WfXgTEqtcZBOTicGw7</t>
  </si>
  <si>
    <t>https://www.facebook.com/profile.php?id=100069162640832&amp;mibextid=ZbWKwL</t>
  </si>
  <si>
    <t>Nguyễn Tiến Thuận</t>
  </si>
  <si>
    <t>3A ngõ 63/30/11 làng Phú Mỹ,Lê Đức Thọ,phường Mỹ Đình 2,Nam Từ Liêm</t>
  </si>
  <si>
    <t>https://drive.google.com/open?id=1lchrOG8gdnk4JGzGWKqEHX8Rm4saHY3T; https://drive.google.com/open?id=193DgVWVk_ZuD2D7ZxsbivkE-R2jX5OVe</t>
  </si>
  <si>
    <t>https://www.facebook.com/tranngocquyen02062005?mibextid=LQQJ4d</t>
  </si>
  <si>
    <t>Trần Ngọc Quyền</t>
  </si>
  <si>
    <t>Trang</t>
  </si>
  <si>
    <t>qt4782116@gmail.com</t>
  </si>
  <si>
    <t>https://drive.google.com/open?id=1UW3GZWJwAbhx-nboFWF-TYkvDCUlXIuY; https://drive.google.com/open?id=197_PxSD2TXE-TBnKeHFZzxl-wgwtac6F</t>
  </si>
  <si>
    <t>https://www.facebook.com/tragiang.tranthi.111?mibextid=ZbWKwL</t>
  </si>
  <si>
    <t>Trần Thị Trà Giang</t>
  </si>
  <si>
    <t>11/10/2023 và 02/11/2023</t>
  </si>
  <si>
    <t>https://drive.google.com/open?id=1EnS3-6VM_hQZFzMUvZkqFHpoUl2ylpD_; https://drive.google.com/open?id=1mXZ1memJ4s4SDHCYPozA2dwcIm7bHk76; https://drive.google.com/open?id=1zc3CmVNBn50ibUqlEWtzHj37FRg-Nzs7</t>
  </si>
  <si>
    <t>https://www.facebook.com/profile.php?id=100042320381844&amp;mibextid=ZbWKwL</t>
  </si>
  <si>
    <t>Phạm Tuấn Dương</t>
  </si>
  <si>
    <t xml:space="preserve">103-ngõ 50-phường mễ trì -quận nam từ Liêm -Hà Nội </t>
  </si>
  <si>
    <t>https://drive.google.com/open?id=1lFcQJ2qm0GD9AeO5j2LprPvQukds4iAr, https://drive.google.com/open?id=1sbVZpnpddfyk79QL_WPpQxuj3KdLbpPt</t>
  </si>
  <si>
    <t>https://www.facebook.com/profile.php?id=100046548901220&amp;mibextid=LQQJ4d</t>
  </si>
  <si>
    <t>Hà Hiếu</t>
  </si>
  <si>
    <t>https://drive.google.com/open?id=1CwShovJK2k-Mo_CzRwRyzVdrkiMhnu1M; https://drive.google.com/open?id=1MAduMoOUr9EjW66KRmudVYK88KY_sOiF</t>
  </si>
  <si>
    <t>OPT8 =&gt;OPT10 =&gt;Chờ lớp ca 2</t>
  </si>
  <si>
    <t>https://www.facebook.com/tung18032005?mibextid=ZbWKwL</t>
  </si>
  <si>
    <r>
      <rPr>
        <sz val="12"/>
        <color theme="1"/>
        <rFont val="Times New Roman"/>
        <family val="1"/>
      </rPr>
      <t>Bùi Hoàng Tùng</t>
    </r>
    <r>
      <rPr>
        <sz val="12"/>
        <color rgb="FFFF0000"/>
        <rFont val="Times New Roman"/>
        <family val="1"/>
      </rPr>
      <t xml:space="preserve"> (Cần hợp đồng)</t>
    </r>
  </si>
  <si>
    <t>Cổng chính đại học Công Nghiệp Hà Nội, Phù Vân, Phủ Lý, Hà Nam</t>
  </si>
  <si>
    <t>https://drive.google.com/open?id=1oGYq6sMIBVLWk_l2hKsvLzSxQbiMwZqw; https://drive.google.com/open?id=17tFrvZ_Db3rHbfTHAic-sgIdekxTupVm</t>
  </si>
  <si>
    <t>https://www.facebook.com/xmathee?mibextid=LQQJ4d</t>
  </si>
  <si>
    <t xml:space="preserve"> Ma Thị Xinh</t>
  </si>
  <si>
    <t>mathixinh32@gmail.com</t>
  </si>
  <si>
    <t>https://drive.google.com/open?id=1FBsN9qlpMDyBSZJW_yZuCsvNXFMtIcgw; https://drive.google.com/open?id=11e5cZu38xD_ezmc-beS7wLthllYi0xTR</t>
  </si>
  <si>
    <t>https://www.facebook.com/profile.php?id=100015391931578&amp;mibextid=LQQJ4d</t>
  </si>
  <si>
    <t xml:space="preserve">Lê Tú Anh </t>
  </si>
  <si>
    <t>tuanhh1801@gmail.com</t>
  </si>
  <si>
    <t>17/10/2023 và 06/11/2023</t>
  </si>
  <si>
    <t>https://drive.google.com/open?id=18d6PkjwdBC0SD9U6xhcrRwZcQ44Zt4dz; https://drive.google.com/open?id=16lqHufvUr9Txjgz_fXEc5wHF1DGtC_Kt</t>
  </si>
  <si>
    <t xml:space="preserve"> https://www.facebook.com/nguyenkiemphuong1732004?mibextid=LQQJ4d</t>
  </si>
  <si>
    <t>Nguyễn Kiêm Phương</t>
  </si>
  <si>
    <t>001204044067</t>
  </si>
  <si>
    <t>Thôn Minh Kha- Bình Minh - Thanh Oai - Hà Nội</t>
  </si>
  <si>
    <t>https://drive.google.com/open?id=18h0Ep8IT7Vsu2tcUNuWL7gcy3QRnPa74; https://drive.google.com/open?id=1fv9Czfs7PunZ8smIGgiyZghpZJ8MhNLx</t>
  </si>
  <si>
    <t>https://www.facebook.com/profile.php?id=100025671799135&amp;mibextid=LQQJ4d</t>
  </si>
  <si>
    <t xml:space="preserve">Nguyễn Hoài Phương </t>
  </si>
  <si>
    <t>Ánh</t>
  </si>
  <si>
    <t>nhoaiphuong94@gmail.com</t>
  </si>
  <si>
    <t xml:space="preserve">Offline </t>
  </si>
  <si>
    <t>https://drive.google.com/open?id=1aBPyMju-n2SU73W0OE8iNpCkCkBtZnAJ; https://drive.google.com/open?id=1FrxdQcjrTreiYurrmBr1U3fVqRg8Ztj6</t>
  </si>
  <si>
    <t>https://www.facebook.com/kiyoshi.haru.399?mibextid=9R9pXO</t>
  </si>
  <si>
    <t>Nguyễn Cầm Nhi</t>
  </si>
  <si>
    <t>nguyencamnhi1712@gmail.com</t>
  </si>
  <si>
    <t>89 nguyễn phong sắc, dịch vọng hậu, cầu giấy</t>
  </si>
  <si>
    <t>https://drive.google.com/open?id=1A_o1cbCMmpZ3HNDcoI31rFbfguM_11nz; https://drive.google.com/open?id=1UjR6mwxI5qvydAf0wzWIJhoNxvjU0RFb</t>
  </si>
  <si>
    <t>https://www.facebook.com/changlovebaozi?mibextid=LQQJ4d</t>
  </si>
  <si>
    <t>Hà Thị Quỳnh Trang</t>
  </si>
  <si>
    <t>shiratori2005@gmail.com</t>
  </si>
  <si>
    <t>89 nguyễn phong sắc, dịch vọng hậu, cầu giấy, Hà Nội</t>
  </si>
  <si>
    <t>https://drive.google.com/open?id=1P4v6ByllYZ0CnggTK78jHmJZNO9y7eTi, https://drive.google.com/open?id=1ohZinBKbPWoCWNhasHxfcso96K42JGVv; https://drive.google.com/open?id=1Jx11M8F-k0kv_8-YlpRm_uU0bAunfDVE</t>
  </si>
  <si>
    <t>https://www.facebook.com/khanhhuyendangiuca?mibextid=LQQJ4d</t>
  </si>
  <si>
    <t xml:space="preserve">Lê Khánh Huyền </t>
  </si>
  <si>
    <t>lehuyenv19@gmail.com</t>
  </si>
  <si>
    <t>75 Hồ Tùng Mậu, Mai Dịch, Cầu Giấy.</t>
  </si>
  <si>
    <t>https://drive.google.com/open?id=1TJXwxd5v6XfjepOtx2jJbitCfPwuKIpx; https://drive.google.com/open?id=1dUUdzS7rKrmGyWc5R9zwYGFbshOeQDLV</t>
  </si>
  <si>
    <t>https://www.facebook.com/profile.php?id=100055173304754&amp;mibextid=LQQJ4d</t>
  </si>
  <si>
    <t xml:space="preserve">Trịnh Quang Sơn </t>
  </si>
  <si>
    <t>qson205@gmail.com</t>
  </si>
  <si>
    <t>Lê Hồ - Kim Bảng- Hà Nam .</t>
  </si>
  <si>
    <t>https://drive.google.com/open?id=1jyRjWCcotLb0UmxV2bCWQJymDtl8eDZH; https://drive.google.com/open?id=10mrOKEftKyRJeolEmADL5Z68avNf3HAO</t>
  </si>
  <si>
    <t>https://www.facebook.com/profile.php?id=100033483693889&amp;mibextid=LQQJ4d</t>
  </si>
  <si>
    <t>Phạm Khánh Ly</t>
  </si>
  <si>
    <t>khanhlyy2013@gmail.com</t>
  </si>
  <si>
    <t>https://drive.google.com/open?id=1StkYt20u3dUIC_6ffjBBhQkdlBwgDs9h; https://drive.google.com/open?id=1qq7UdFbVoqBWGmFdzP_ZAqn41pGgnYQo</t>
  </si>
  <si>
    <t>https://www.facebook.com/profile.php?id=100046458185879&amp;mibextid=LQQJ4d</t>
  </si>
  <si>
    <t xml:space="preserve">Trần Anh Dũng </t>
  </si>
  <si>
    <t>18/11/2023 và 27/11/2023 và 02/11/2023</t>
  </si>
  <si>
    <t>https://drive.google.com/open?id=1qzdIUOmaKoQJwWPoBkH95reVpDoH6deM; https://drive.google.com/open?id=1voJ9JLymEtxWBWSBqrt15kyb0Dnvph2K, https://drive.google.com/open?id=1qNidQDSjylMWqNDiW68_B2hEAsvZF9gO; https://drive.google.com/open?id=1sWZd8ht4tGYxaxWQW_OUIZX9Kx2RnHbg</t>
  </si>
  <si>
    <t>https://www.facebook.com/HuyHoang3103</t>
  </si>
  <si>
    <t xml:space="preserve">Nguyễn Huy Hoàng </t>
  </si>
  <si>
    <t>10/14/0003</t>
  </si>
  <si>
    <t>https://drive.google.com/open?id=1xZdQwfofBmuAUHWUkNAn2JSrX4bjxC98; https://drive.google.com/open?id=1pZQ2aYSB8BdovGOu3B0dJIqVzqOXDR3E</t>
  </si>
  <si>
    <t>https://www.facebook.com/sonhai05dzai?mibextid=LQQJ4d</t>
  </si>
  <si>
    <r>
      <rPr>
        <sz val="12"/>
        <color theme="1"/>
        <rFont val="Times New Roman"/>
        <family val="1"/>
      </rPr>
      <t xml:space="preserve">Phạm Sơn Hải </t>
    </r>
    <r>
      <rPr>
        <sz val="12"/>
        <color rgb="FFFF0000"/>
        <rFont val="Times New Roman"/>
        <family val="1"/>
      </rPr>
      <t xml:space="preserve">(Bạn lên vp ck chung ạ) </t>
    </r>
  </si>
  <si>
    <t>phai140705@gmail.com</t>
  </si>
  <si>
    <t>13/10/2023 và 23/10/2023 và 12/11/2023</t>
  </si>
  <si>
    <t>https://drive.google.com/open?id=1pA6-54lfUoEpIllVSSdP8HX3PxcN41rB, https://drive.google.com/open?id=1ciU9gn50oJ4Sbn-V_dxkXQ7KCmWhCdn-; https://drive.google.com/open?id=108fSD7xQ7T2plegJgRV9jer2w_iQxMyU; https://drive.google.com/open?id=16HCeixwvHP6atmoGWSLLV22_G9tl9Hs1</t>
  </si>
  <si>
    <t>https://www.facebook.com/profile.php?id=100029153340791</t>
  </si>
  <si>
    <t xml:space="preserve">số nhà 14, ngõ 106 đường Cầu Giấy, phường Quan Hoa, Quận Cầu Giấy, Hà Nội </t>
  </si>
  <si>
    <t>14/11/2023 và 17/11/2023 Hạ đưa tiền mặt. Nhài lấy tiền mặt và ck trả 4 triệu</t>
  </si>
  <si>
    <t>https://drive.google.com/open?id=1Rp5eJaXxOsd0g2W0R0ik9RkB2haXfcwU; https://drive.google.com/open?id=1WwLvRlm3sPFbxIane99Tz0U-19X73Oqs; https://drive.google.com/open?id=1030b2j2-1s3gJBbtzhY6UjBhHcaniBDJ</t>
  </si>
  <si>
    <t>17/11/2023 Hạ đưa tiền mặt. Nhài lấy tiền mặt và ck trả 4 triệu 19/11/2023</t>
  </si>
  <si>
    <t>https://www.facebook.com/bac.covan.1?mibextid=ZbWKwL</t>
  </si>
  <si>
    <r>
      <rPr>
        <sz val="12"/>
        <color theme="1"/>
        <rFont val="Times New Roman"/>
        <family val="1"/>
      </rPr>
      <t xml:space="preserve">Nguyễn Duyên Huy </t>
    </r>
    <r>
      <rPr>
        <sz val="12"/>
        <color rgb="FFFF0000"/>
        <rFont val="Times New Roman"/>
        <family val="1"/>
      </rPr>
      <t>(Bạn ck chung ạ)</t>
    </r>
  </si>
  <si>
    <t xml:space="preserve">huycolonhuesuper10@gmail.com </t>
  </si>
  <si>
    <t>https://drive.google.com/open?id=1_-tP5qXTt95KlHtLm4YFyewEe-XVdlBa, https://drive.google.com/open?id=15se5hDRlsJji-4fmRNWnzKmB81AriB4z; https://drive.google.com/open?id=1TEwDQDUOyGpcs1VWkaD5mfc5DLsSAtN6; https://drive.google.com/open?id=1Tz-kPsLhZU5L1AJrgSHV8uNQnlJb-e2q</t>
  </si>
  <si>
    <t>https://www.facebook.com/thuylinhtt4?mibextid=LQQJ4d</t>
  </si>
  <si>
    <t xml:space="preserve">Nguyễn Thuỳ Linh </t>
  </si>
  <si>
    <t xml:space="preserve">số 7 ngách 32 ngõ hòa bình 4, minh khai, hai bà trưng </t>
  </si>
  <si>
    <t>10/10/2023 và 12/11/2023</t>
  </si>
  <si>
    <t>https://drive.google.com/open?id=14l6lti59eJhZW1a_OdLw_zIqJbGuj6_N, https://drive.google.com/open?id=1G5Bvs4au3GEIDQk-4_gFE-OYilfsGEPi; https://drive.google.com/open?id=1P1lpEvHOQQvuglE6E8gKL7etE-iv_W8z</t>
  </si>
  <si>
    <t>https://www.facebook.com/profile.php?id=100066362700204&amp;mibextid=LQQJ4d</t>
  </si>
  <si>
    <r>
      <rPr>
        <sz val="12"/>
        <color theme="1"/>
        <rFont val="Times New Roman"/>
        <family val="1"/>
      </rPr>
      <t xml:space="preserve">Phạm Quốc Hưng </t>
    </r>
    <r>
      <rPr>
        <sz val="12"/>
        <color rgb="FFFF0000"/>
        <rFont val="Times New Roman"/>
        <family val="1"/>
      </rPr>
      <t>(Cần hợp đồng)</t>
    </r>
  </si>
  <si>
    <t>https://drive.google.com/open?id=1qmlUQSZViPuot1h9Ob9vtuH5BvhpIzIM; https://drive.google.com/open?id=1brtghBLtwwTk1THb5fvYO-BePwDzzyi8</t>
  </si>
  <si>
    <t>https://www.facebook.com/profile.php?id=100054984527305&amp;mibextid=LQQJ4d</t>
  </si>
  <si>
    <t>Đinh Quang Huy</t>
  </si>
  <si>
    <t>huytrang1102005@gmail.com</t>
  </si>
  <si>
    <t>302-phố Cầu Giấy-phường Dịch Vọng-quận Cầu Giấy-tp.Hà Nội</t>
  </si>
  <si>
    <t>https://drive.google.com/open?id=15MW1bLVZnThqIUtcsIZt6ijHk5uPD-7d; https://drive.google.com/open?id=1K8ZZpsnWa4wiuva3O9k6Ladrls8YOImo</t>
  </si>
  <si>
    <t>https://www.facebook.com/profile.php?id=100056958707502&amp;mibextid=LQQJ4d</t>
  </si>
  <si>
    <t>Đinh Xuân Mạnh</t>
  </si>
  <si>
    <t>Thái Bảo</t>
  </si>
  <si>
    <t>manhdinh2005sgmail.com</t>
  </si>
  <si>
    <t>https://drive.google.com/open?id=1KC3ZKFr4pP01rO9REdjVtn6Q_K97Sjhb; https://drive.google.com/open?id=1PHMgDpkUod7Wdmc0BsVHF9x4Hls7G-kM</t>
  </si>
  <si>
    <t>https://www.facebook.com/nguyenhokhanhlinh2810?mibextid=ZbWKwL</t>
  </si>
  <si>
    <r>
      <rPr>
        <sz val="12"/>
        <color theme="1"/>
        <rFont val="Times New Roman"/>
        <family val="1"/>
      </rPr>
      <t xml:space="preserve">Nguyễn Hồ Khánh Linh </t>
    </r>
    <r>
      <rPr>
        <sz val="12"/>
        <color rgb="FFFF0000"/>
        <rFont val="Times New Roman"/>
        <family val="1"/>
      </rPr>
      <t>(Cần hợp đồng)</t>
    </r>
  </si>
  <si>
    <t>khanhkinhbaby@gmail.com</t>
  </si>
  <si>
    <t>Ktx2 đại học Vinh cơ sở 1</t>
  </si>
  <si>
    <t>https://drive.google.com/open?id=1TzSvL2JHPGp8Slf_av0oKiPiVh-fO4Bf; https://drive.google.com/open?id=1SSw8Fu45EaC245flHOXEdABzG783gy-t</t>
  </si>
  <si>
    <t>https://www.facebook.com/tramy30042005?mibextid=LQQJ4d</t>
  </si>
  <si>
    <t>Nguyễn Thị Trà My</t>
  </si>
  <si>
    <t>Tramynguyenthi.205@gmail.com</t>
  </si>
  <si>
    <t>Lam điền - Chương Mỹ -Hà nội</t>
  </si>
  <si>
    <t>https://drive.google.com/open?id=1m0G8TzS_NNDjU5-t_Qt4teao-jeFVQXJ; https://drive.google.com/open?id=1xWBm-KbJUWVxEwB0_32oAld4YGn1JMbY</t>
  </si>
  <si>
    <t xml:space="preserve">https://www.facebook.com/profile.php?id=100009069173989&amp;mibextid=ZbWKwL  </t>
  </si>
  <si>
    <t>Thuý Liên</t>
  </si>
  <si>
    <t>https://drive.google.com/open?id=130m_z87cnE1mZCvytA4bmj2-YWM6T4cx; https://drive.google.com/open?id=15925a3G5PSgPKLIQ2IR9eWlOyKzbyoCN</t>
  </si>
  <si>
    <t>https://www.facebook.com/profile.php?id=100064405215875&amp;mibextid=LQQJ4d</t>
  </si>
  <si>
    <t>Hà Khương Duy</t>
  </si>
  <si>
    <t>duyha3328@gmail.com</t>
  </si>
  <si>
    <t>ngõ 2 Đ xuân đỉnh ,Xuân đỉnh , Tây hồ ,Hà Nội</t>
  </si>
  <si>
    <t>https://drive.google.com/open?id=1htl-vz-QpvkMJFb59ZYVFBp3WGrZwxhq; https://drive.google.com/open?id=1BV2ZzPPS6_FAGLF3P1UPlRd4ry71Kh0O</t>
  </si>
  <si>
    <t>https://www.facebook.com/tete.duy?mibextid=ZbWKwL</t>
  </si>
  <si>
    <r>
      <rPr>
        <sz val="12"/>
        <color theme="1"/>
        <rFont val="Times New Roman"/>
        <family val="1"/>
      </rPr>
      <t xml:space="preserve">Phạm Đức Duy </t>
    </r>
    <r>
      <rPr>
        <sz val="12"/>
        <color rgb="FFFF0000"/>
        <rFont val="Times New Roman"/>
        <family val="1"/>
      </rPr>
      <t>(Cần hợp đồng)</t>
    </r>
  </si>
  <si>
    <t>kh co</t>
  </si>
  <si>
    <t xml:space="preserve">nhà trọ Hiếu Ánh, thôn 1 , xã Phù Vân, thành phố Phủ lý, Hà Nam.            </t>
  </si>
  <si>
    <t>https://drive.google.com/open?id=1M_GK6sZtbnKwYGxiWCUBtSz1z66C06Vr; https://drive.google.com/open?id=1nXmyVuwBujRhy4jq14b6J1GHRSbq2wBZ</t>
  </si>
  <si>
    <t>https://www.facebook.com/profile.php?id=100066811717767&amp;mibextid=ZbWKwL</t>
  </si>
  <si>
    <t>Đỗ Thị Trà My</t>
  </si>
  <si>
    <t xml:space="preserve"> KTX ĐH Công Nghiệp Hà Nội, cơ sở 1, Minh Khai, Bắc Từ Liêm, Hà Nội</t>
  </si>
  <si>
    <t>https://drive.google.com/open?id=1Uajwz69R9rZo3qc1BOfXq6RjX-NZPuCA, https://drive.google.com/open?id=1xAXddHi3WbHfjAQYrFHk3J8L4tIAccjs; https://drive.google.com/open?id=1aHXZfdmjQaWdSdTy8q6akV2195A2QnlR</t>
  </si>
  <si>
    <t>https://www.facebook.com/profile.php?id=100079856153816&amp;mibextid=ZbWKwL</t>
  </si>
  <si>
    <t>Phạm Thanh Nam</t>
  </si>
  <si>
    <t>https://drive.google.com/open?id=1XHYjTLeWmTvkFXspPL-FtuTXylzzEmPN; https://drive.google.com/open?id=1zxvLTzFkGzV30GDtbWfWhj_FOT97jmZT</t>
  </si>
  <si>
    <t>https://www.facebook.com/profile.php?id=100055962870577&amp;mibextid=LQQJ4d</t>
  </si>
  <si>
    <r>
      <rPr>
        <sz val="12"/>
        <color theme="1"/>
        <rFont val="Times New Roman"/>
        <family val="1"/>
      </rPr>
      <t xml:space="preserve">Nguyễn Thị Thúy </t>
    </r>
    <r>
      <rPr>
        <sz val="12"/>
        <color rgb="FFFF0000"/>
        <rFont val="Times New Roman"/>
        <family val="1"/>
      </rPr>
      <t>(Cần hợp đồng)</t>
    </r>
  </si>
  <si>
    <t>tổ 10,ngõ 31 phường yên nghĩa Hà Đông</t>
  </si>
  <si>
    <t>https://drive.google.com/open?id=1G6UlSJT88zGPoiEiZv-cIxmZPrt1tNBD; https://drive.google.com/open?id=1zRPOZ4LAgJEMHeCwTBzxehQ4MtK09NL2</t>
  </si>
  <si>
    <t>https://www.facebook.com/thanhh.tam.148?mibextid=LQQJ4d</t>
  </si>
  <si>
    <t xml:space="preserve">Nguyễn Thanh Tâm </t>
  </si>
  <si>
    <t>https://drive.google.com/open?id=1ajTlkYFc1lIEJ3-pDxMm-5GZhLS8nSvG; https://drive.google.com/open?id=1fRthv25N_VIZRLwJi2r8cLOMkmAj0TBD</t>
  </si>
  <si>
    <t>https://www.facebook.com/yennhi.phanhoang.12</t>
  </si>
  <si>
    <t>Phan Hoàng Yến Nhi</t>
  </si>
  <si>
    <t>phanhoangyennhi685@gmail.com</t>
  </si>
  <si>
    <t>https://drive.google.com/open?id=1Hul23r1Mhl6JpvCp96owT8n9TJ-ilHh0; https://drive.google.com/open?id=1psVmBuxCN779v2VBqDw4BmgJEbqFnY7A</t>
  </si>
  <si>
    <t>https://www.facebook.com/profile.php?id=100051147399166&amp;mibextid=LQQJ4d</t>
  </si>
  <si>
    <r>
      <rPr>
        <sz val="12"/>
        <color theme="1"/>
        <rFont val="Times New Roman"/>
        <family val="1"/>
      </rPr>
      <t xml:space="preserve">Dương Thị Huyền </t>
    </r>
    <r>
      <rPr>
        <sz val="12"/>
        <color rgb="FFFF0000"/>
        <rFont val="Times New Roman"/>
        <family val="1"/>
      </rPr>
      <t>(Cần hợp đồng) - nick Trang Huyen</t>
    </r>
  </si>
  <si>
    <t>số nhà 52 ngõ 530 đường Thụy Khuê, Tây Hồ</t>
  </si>
  <si>
    <t>27/10/2023 và 29/11/2023</t>
  </si>
  <si>
    <t>https://drive.google.com/open?id=1jYZQp9ArIBhssjbxNatRjV4OYu6xVdt8; https://drive.google.com/open?id=1ttQqtuuU2-T3_Pa1BHSqlcUBP9aqz5zS</t>
  </si>
  <si>
    <t>PT57 --&gt; OPT12 
Bạn học 1b đầu r ạ , mạng kh ổn định lên bạn muốn chuyển học OFF. Yến báo</t>
  </si>
  <si>
    <t>https://www.facebook.com/ThuyDung05?mibextid=ZbWKwL</t>
  </si>
  <si>
    <r>
      <rPr>
        <sz val="12"/>
        <color theme="1"/>
        <rFont val="Times New Roman"/>
        <family val="1"/>
      </rPr>
      <t>Nguyễn Thị Thuỳ Dung</t>
    </r>
    <r>
      <rPr>
        <sz val="12"/>
        <color rgb="FFFF0000"/>
        <rFont val="Times New Roman"/>
        <family val="1"/>
      </rPr>
      <t xml:space="preserve"> (OT5 =&gt;OT7)</t>
    </r>
  </si>
  <si>
    <t>Ngọc Diệp Meca</t>
  </si>
  <si>
    <t>thuydung220405@gmail.com</t>
  </si>
  <si>
    <t>43 ngõ 201 Cầu Giấy</t>
  </si>
  <si>
    <t>https://drive.google.com/open?id=1uk9ocTvJaTYzzzUB05SimfWqMGCFOe3e; https://drive.google.com/open?id=1XfDe2S-eoKoMzvKaUFuV0g49R-nnJkXO</t>
  </si>
  <si>
    <t>https://www.facebook.com/profile.php?id=100056490060170&amp;mibextid=LQQJ4d</t>
  </si>
  <si>
    <r>
      <rPr>
        <sz val="12"/>
        <color theme="1"/>
        <rFont val="Times New Roman"/>
        <family val="1"/>
      </rPr>
      <t xml:space="preserve">Vũ Thị Ngọc Linh </t>
    </r>
    <r>
      <rPr>
        <sz val="12"/>
        <color rgb="FFFF0000"/>
        <rFont val="Times New Roman"/>
        <family val="1"/>
      </rPr>
      <t>(Cần hợp đồng</t>
    </r>
  </si>
  <si>
    <t xml:space="preserve"> nhà 8 hẻm 7/99/354 trường chinh, khương thượng, đống đa, hanoi</t>
  </si>
  <si>
    <t>https://drive.google.com/open?id=1RS465BwuXY2Fz3zOMg-SSdv3JYGI4Kpx; https://drive.google.com/open?id=1XLmlpeBX8iAqUcKk-eOwwdxcspt9uYbJ</t>
  </si>
  <si>
    <t>https://www.facebook.com/profile.php?id=100048320078563&amp;mibextid=ZbWKwL</t>
  </si>
  <si>
    <r>
      <rPr>
        <sz val="12"/>
        <color theme="1"/>
        <rFont val="Times New Roman"/>
        <family val="1"/>
      </rPr>
      <t xml:space="preserve">Nguyễn Thị Ngọc Ánh </t>
    </r>
    <r>
      <rPr>
        <sz val="12"/>
        <color rgb="FFFF0000"/>
        <rFont val="Times New Roman"/>
        <family val="1"/>
      </rPr>
      <t>- KO học VIP</t>
    </r>
  </si>
  <si>
    <t>Ngocanhh0506@gmail.com</t>
  </si>
  <si>
    <t>Số 10, thôn 8, Tam Hiệp, Phúc Thọ, Hà Nội</t>
  </si>
  <si>
    <t>https://drive.google.com/open?id=17WaU-UhA0S8QI93GnZCogTnCw3n42P9k; https://drive.google.com/open?id=1BD7PucxGCiEmAVjLs6jktNVZx3aN05AP</t>
  </si>
  <si>
    <t>dạ vâng c ơi hiện tại em đang có dự định khác, nên em xin phép nghỉ luôn lv2 ạ, c nhường cho b khc hộ em  em cảm ơn c ạ</t>
  </si>
  <si>
    <t>https://www.facebook.com/profile.php?id=100024625904210</t>
  </si>
  <si>
    <r>
      <rPr>
        <sz val="12"/>
        <color theme="1"/>
        <rFont val="Times New Roman"/>
        <family val="1"/>
      </rPr>
      <t xml:space="preserve">Nguyễn Hồng Ánh </t>
    </r>
    <r>
      <rPr>
        <sz val="12"/>
        <color rgb="FFFF0000"/>
        <rFont val="Times New Roman"/>
        <family val="1"/>
      </rPr>
      <t>(Cần hợp đồng)</t>
    </r>
  </si>
  <si>
    <t xml:space="preserve">  thienthu2k5@gmail.com  </t>
  </si>
  <si>
    <t>Ngách 1, ngõ 72, Hoa Bằng, Cầu Giấy, Hà Nội</t>
  </si>
  <si>
    <t>https://drive.google.com/open?id=1lr1sSBVcNST1AOTgCKrmURc0r4eVGvRL; https://drive.google.com/open?id=1f_C70rG-rvHMn2ePa8CF29NGv1xThY5M</t>
  </si>
  <si>
    <t xml:space="preserve">https://www.facebook.com/kaly.bin.986?mibextid=ZbWKwL  </t>
  </si>
  <si>
    <t>Dương Tiến Lân</t>
  </si>
  <si>
    <t>https://drive.google.com/open?id=17gHn8vxcWDRM9GHYfCj_y93DcvCViaGo; https://drive.google.com/open?id=1xJE1QFUQYYNk5KNCVsNN4Sbul4-VZ1QO</t>
  </si>
  <si>
    <t>PT57 nghỉ ngang buổi 10 - học ielts. Huy báo</t>
  </si>
  <si>
    <t>https://www.facebook.com/duyenlonn.0?mibextid=LQQJ4d</t>
  </si>
  <si>
    <t>Nguyễn Thị Mỹ Duyên</t>
  </si>
  <si>
    <t>Dc: số nhà 224 hoàng mai, hoàng văn thụ, hoàng mai, hà nội</t>
  </si>
  <si>
    <t>https://drive.google.com/open?id=1ee6vgRKldM9n4AFVZB-2n1gmjfqMIlkV</t>
  </si>
  <si>
    <t>https://www.facebook.com/phong.cao.946954</t>
  </si>
  <si>
    <t>Lại Cao Phong</t>
  </si>
  <si>
    <t>phongtv1901@gmail.com</t>
  </si>
  <si>
    <t>https://drive.google.com/open?id=1TJit4PoAL2Mtvp9oZKVecBWqP7pJflDq; https://drive.google.com/open?id=1OsOt36SXFnXtIou4GWVqR7ctWpPb_ZZA</t>
  </si>
  <si>
    <t>https://www.facebook.com/profile.php?id=100056960747186&amp;mibextid=ZbWKwL</t>
  </si>
  <si>
    <t>Vũ Đức Đại</t>
  </si>
  <si>
    <t>Nhận tại lớp</t>
  </si>
  <si>
    <t>https://drive.google.com/open?id=1ETsx2VQJDH-b7zOIWIPC7kVEiCu6OcJH; https://drive.google.com/open?id=1HXkUtqjMuybR6izGmuk_ZMOI_OL2Bopk</t>
  </si>
  <si>
    <t>https://www.facebook.com/bile7662?mibextid=ZbWKwL</t>
  </si>
  <si>
    <t>Lê Tuấn Anh</t>
  </si>
  <si>
    <t>https://drive.google.com/open?id=1eoMFmwjJeot0oj7IkDOz0tv6I5fvoUgc; https://drive.google.com/open?id=1SKzzBnmTKn7rbuYOQ2jK0L3K1Mshm9Pp</t>
  </si>
  <si>
    <t>https://www.facebook.com/profile.php?id=100086599022392</t>
  </si>
  <si>
    <t>Lương Khánh Duy</t>
  </si>
  <si>
    <t>duyms1231@gmail.com 040205000572</t>
  </si>
  <si>
    <t>Chung cư aryana dương khuê xuân phú thành phố huế tỉnh thừa thiên huế</t>
  </si>
  <si>
    <t>https://drive.google.com/open?id=1aPOQrzAFZhOFjSAZPSwTYXyz3sR3xNtl; https://drive.google.com/open?id=1Bdb_ddpRK6uKOIfagCN8SJpfYgXMXWMe</t>
  </si>
  <si>
    <t>T193</t>
  </si>
  <si>
    <t>https://www.facebook.com/profile.php?id=100028393627954&amp;mibextid=LQQJ4d</t>
  </si>
  <si>
    <r>
      <rPr>
        <sz val="12"/>
        <color theme="1"/>
        <rFont val="Times New Roman"/>
        <family val="1"/>
      </rPr>
      <t xml:space="preserve">Hoàng Việt Mỹ </t>
    </r>
    <r>
      <rPr>
        <sz val="12"/>
        <color rgb="FFFF0000"/>
        <rFont val="Times New Roman"/>
        <family val="1"/>
      </rPr>
      <t>- Đã nộp 300K 20/02/24</t>
    </r>
    <r>
      <rPr>
        <sz val="12"/>
        <color theme="1"/>
        <rFont val="Times New Roman"/>
        <family val="1"/>
      </rPr>
      <t xml:space="preserve">
</t>
    </r>
    <r>
      <rPr>
        <sz val="12"/>
        <color rgb="FFFF0000"/>
        <rFont val="Times New Roman"/>
        <family val="1"/>
      </rPr>
      <t>T178 bảo lưu b8 đi quân sự. Quay lại học T193</t>
    </r>
  </si>
  <si>
    <t>mymyhvt226@gmail.com</t>
  </si>
  <si>
    <t>Số nhà 111 Võ Chí Công, Xuân La, Tây Hồ, Hà Nội</t>
  </si>
  <si>
    <t>https://drive.google.com/open?id=1vIXAv4pdRHttveuWaX9YJbkyRVgZCIKV; https://drive.google.com/open?id=1SO6QXKDv23tg6So7oWWOakacyRuiFTzC</t>
  </si>
  <si>
    <t>https://www.facebook.com/profile.php?id=100011778961135&amp;mibextid=LQQJ4d</t>
  </si>
  <si>
    <t>Vũ Huyền Trang</t>
  </si>
  <si>
    <t>https://drive.google.com/open?id=19Iqp9ZGUVW0JAg7ixN4zxfUekM0R6v5U; https://drive.google.com/open?id=1PXaMdxJDlRopgH_gobmIlmb5ZOjE8QhR</t>
  </si>
  <si>
    <t>https://www.facebook.com/ngthiuyn190?mibextid=ZbWKwL</t>
  </si>
  <si>
    <t>Nguyễn Thị Uyên</t>
  </si>
  <si>
    <t>uyenn4399@gmail.com</t>
  </si>
  <si>
    <t>Ngõ 99, số nhà 14, đường Cầu Diễn, phố Kiều Mai, phường Phúc Diễn, Bắc Từ Liêm, Hà Nội</t>
  </si>
  <si>
    <t>https://drive.google.com/open?id=1evdLIQrYmIpE_7nPfNwj0L9lFeBmm2tk; https://drive.google.com/open?id=1nWBCSDRSB8_0fVH7uhkHv1YKbwAv0N6g</t>
  </si>
  <si>
    <t>https://www.facebook.com/thibichngoc.ta.902?mibextid=LQQJ4d</t>
  </si>
  <si>
    <t>Tạ Thị Bích Ngọc</t>
  </si>
  <si>
    <t>bichngoc5112005@gmail.com</t>
  </si>
  <si>
    <t>số nhà 19 ngách 23 ngõ 256 - Xuân Đỉnh - Bắc Từ Liêm</t>
  </si>
  <si>
    <t>https://drive.google.com/open?id=1UEPmqMiDhbd80VHPEzgIWlTMJozGplEJ; https://drive.google.com/open?id=1ZoIc-N3DiUptFfqwWOT3ZWwuA4ZhKAjR</t>
  </si>
  <si>
    <t>https://www.facebook.com/tung.nguyenxuan.9849</t>
  </si>
  <si>
    <t xml:space="preserve">Xuân Tùng </t>
  </si>
  <si>
    <t xml:space="preserve">Chưa xin </t>
  </si>
  <si>
    <t>số 16,đối diện nhà văn hoá nguyên xá , phố nguyên xá, đường cầu diễn</t>
  </si>
  <si>
    <t>https://drive.google.com/open?id=1zoOfkTQh1n3eqELVcDxx0XL8sfgiO-O0</t>
  </si>
  <si>
    <t>https://www.facebook.com/truong.t.h.nhi1501?mibextid=LQQJ4d</t>
  </si>
  <si>
    <t>Trương Nhi</t>
  </si>
  <si>
    <t>Trgnhi.tmc@gmail.com</t>
  </si>
  <si>
    <t>Toà Intracom 33 Cầu Diễn, BTL, Hà Nội</t>
  </si>
  <si>
    <t>https://drive.google.com/open?id=1Y3sQ8KY95r8PCxgxeRnlhbbou4RJ_t17</t>
  </si>
  <si>
    <t>Gửi Cao Nga</t>
  </si>
  <si>
    <t>https://www.facebook.com/profile.php?id=100008817998433&amp;mibextid=LQQJ4d</t>
  </si>
  <si>
    <t>Bùi Thị Hoa</t>
  </si>
  <si>
    <t xml:space="preserve"> hoab255@gmail.com</t>
  </si>
  <si>
    <t>ngõ 68 cầu giấy, dịch vong, hà nội</t>
  </si>
  <si>
    <t>https://drive.google.com/open?id=1VLsOrfpZUTsET_90CrjWRe4I8rJ1TVkC; https://drive.google.com/open?id=10lLM2MGp1LbOL93CG7FhupeE2jQiGSqD</t>
  </si>
  <si>
    <t>https://www.facebook.com/profile.php?id=100085035108699</t>
  </si>
  <si>
    <t xml:space="preserve">Nguyễn Thị Ánh Ly </t>
  </si>
  <si>
    <t>Kim11220055@gmail.com</t>
  </si>
  <si>
    <t>172 triều khúc thanh xuân nam</t>
  </si>
  <si>
    <t>https://drive.google.com/open?id=1i79Maqm4CeVokb1qtOnKwb4m3t8vFHjk; https://drive.google.com/open?id=1gdMRbJMH9L5dHe1PASbCnqTF1_sQcCpQ</t>
  </si>
  <si>
    <t>https://www.facebook.com/custe.dung.5?mibextid=LQQJ4d</t>
  </si>
  <si>
    <t>Phạm Ngọc Dũng</t>
  </si>
  <si>
    <t>phamdung2429z@gmail.com</t>
  </si>
  <si>
    <t>https://drive.google.com/open?id=13YV0vuavRqGgNiCGLjNVAaQpMd1aLAOB; https://drive.google.com/open?id=1_4KpaYEykwV1KvvIpK1IRDvTQPyRoCby, https://drive.google.com/open?id=1pcnOt4oBlfbzvx9TcLSkeA_Ibof-p5oP</t>
  </si>
  <si>
    <t>https://www.facebook.com/profile.php?id=100054615952893&amp;mibextid=LQQJ4d</t>
  </si>
  <si>
    <t xml:space="preserve">Đinh Thị Mai Hiên </t>
  </si>
  <si>
    <t>Hà Nguyễn Meca</t>
  </si>
  <si>
    <t>Dinhhien18042005@gmail.com</t>
  </si>
  <si>
    <t>09/11/2023 và 24/11/2023</t>
  </si>
  <si>
    <t>https://drive.google.com/open?id=1pK_bURdjZjA9VwgKudPkUCXBsWxtOKJu; https://drive.google.com/open?id=1EJmMkYDTkHCK-O74obQHXhrr0Vbk58nB; https://drive.google.com/open?id=1gqjz3MVYruKdNJaNfcWq8sDVqaOczyc9</t>
  </si>
  <si>
    <t>https://www.facebook.com/profile.php?id=100045287026251&amp;mibextid=ZbWKwL</t>
  </si>
  <si>
    <t xml:space="preserve">Nguyễn Thu Trang  </t>
  </si>
  <si>
    <t>Thanh</t>
  </si>
  <si>
    <t>nguyenthutrang28102005@gmail.com</t>
  </si>
  <si>
    <t>Địa chỉ nhận sách:  số nhà 368 ngõ 104 đường z115 tổ ba phường  tân tịnh thành  phố thái nguyên  thái nguyên</t>
  </si>
  <si>
    <t>https://drive.google.com/open?id=1X4ex16mDgEkNov_5w7dZ5yIuiZTaQOuw</t>
  </si>
  <si>
    <t>https://www.facebook.com/lmhrosie.hanng?mibextid=LQQJ4d</t>
  </si>
  <si>
    <t>Lý Minh Hằng</t>
  </si>
  <si>
    <t>https://drive.google.com/open?id=1u5dpR0hgZVFWHJ0n9m21gw4smqHOMxj8</t>
  </si>
  <si>
    <t>https://www.facebook.com/profile.php?id=100047756716400&amp;mibextid=LQQJ4d</t>
  </si>
  <si>
    <t>Ktx pháp vân tứ hiệp hoàng mai hà nội</t>
  </si>
  <si>
    <t>https://drive.google.com/open?id=1PEzggk6h19DS_uCsFKf4P-GH7YmP0yCf</t>
  </si>
  <si>
    <t>Chuẩn bị khai giảng OPT12</t>
  </si>
  <si>
    <t>https://www.facebook.com/profile.php?id=100027434617702&amp;mibextid=ZbWKwL</t>
  </si>
  <si>
    <t>Nguyễn Mạnh Hùng</t>
  </si>
  <si>
    <t>yến</t>
  </si>
  <si>
    <t>nguyenmanhhung260303@gmail.com</t>
  </si>
  <si>
    <t>Sơn Trường, Hương Sơn, Hà Tĩnh</t>
  </si>
  <si>
    <t>https://drive.google.com/open?id=14ms8wU3NMm9ueS3SLbsZvjgtNhNk9VPG; https://drive.google.com/open?id=1VKGbEnWUmHGYQgfYA8WKwMNI-NG19Vap</t>
  </si>
  <si>
    <t>https://www.facebook.com/profile.php?id=100081059021537&amp;mibextid=ZbWKwL</t>
  </si>
  <si>
    <r>
      <rPr>
        <sz val="12"/>
        <color theme="1"/>
        <rFont val="Times New Roman"/>
        <family val="1"/>
      </rPr>
      <t xml:space="preserve">Nguyễn Tiến Cấp </t>
    </r>
    <r>
      <rPr>
        <sz val="12"/>
        <color rgb="FFFF0000"/>
        <rFont val="Times New Roman"/>
        <family val="1"/>
      </rPr>
      <t>(Cần hợp đồng)</t>
    </r>
  </si>
  <si>
    <t>149B đường sông Nhuệ phường Đức Thắng quận Bắc Từ Liêm</t>
  </si>
  <si>
    <t>https://drive.google.com/open?id=1uV8W74hMyG3uilg4e6_QCq8hDevLQ48o</t>
  </si>
  <si>
    <t>https://www.facebook.com/100075415644518/</t>
  </si>
  <si>
    <t xml:space="preserve">số 12 , ngõ 1 chi bắc , hưu trưng 7 , Trung Châu , Đan Phượng , Hà Nội </t>
  </si>
  <si>
    <t>https://drive.google.com/open?id=1q0yIIGZk9FB0wOrb9_tmcaAkoV7icCce</t>
  </si>
  <si>
    <t>https://www.facebook.com/trinh.thuthuy.961?mibextid=ZbWKwL</t>
  </si>
  <si>
    <r>
      <rPr>
        <sz val="12"/>
        <color theme="1"/>
        <rFont val="Times New Roman"/>
        <family val="1"/>
      </rPr>
      <t xml:space="preserve">Trịnh Thu Thuỳ </t>
    </r>
    <r>
      <rPr>
        <sz val="12"/>
        <color rgb="FFFF0000"/>
        <rFont val="Times New Roman"/>
        <family val="1"/>
      </rPr>
      <t>(nick: Thùy Linh)</t>
    </r>
  </si>
  <si>
    <t>https://drive.google.com/open?id=197mJ593G29C26uVg7rIAGBxrWt4A1Vny</t>
  </si>
  <si>
    <t>B642</t>
  </si>
  <si>
    <t>https://www.facebook.com/profile.php?id=100041354850670</t>
  </si>
  <si>
    <t xml:space="preserve">Lê Thị Tuyết </t>
  </si>
  <si>
    <t xml:space="preserve">71 ngõ gốc đề hoàng văn thụ hoàng mai hà nội </t>
  </si>
  <si>
    <t>https://drive.google.com/open?id=1wKW2-bV4GAvnC-Vcuiw9reY3EA_UpWRs; https://drive.google.com/open?id=1QbGLTzebAco30a7bSpzhCHrVX3ACCB8N</t>
  </si>
  <si>
    <t>https://www.facebook.com/profile.php?id=100049667761353&amp;mibextid=ZbWKwL</t>
  </si>
  <si>
    <r>
      <rPr>
        <sz val="12"/>
        <color theme="1"/>
        <rFont val="Times New Roman"/>
        <family val="1"/>
      </rPr>
      <t xml:space="preserve">Lê Anh Duy </t>
    </r>
    <r>
      <rPr>
        <sz val="12"/>
        <color rgb="FFFF0000"/>
        <rFont val="Times New Roman"/>
        <family val="1"/>
      </rPr>
      <t>(Cần hợp đồng)</t>
    </r>
  </si>
  <si>
    <t>Tùng Meca</t>
  </si>
  <si>
    <t>Hà Thiệp</t>
  </si>
  <si>
    <t>Ngõ 5, tổ 8, Quang Trung, HĐ-HN</t>
  </si>
  <si>
    <t>https://drive.google.com/open?id=1ljHmX5cRLOqIb3daHqpEo7rw5LpGP0NI, https://drive.google.com/open?id=1fLcYRR8lVPGI1GdoeAumzordZufx_fFr</t>
  </si>
  <si>
    <t>Hoàng Thế Thắng</t>
  </si>
  <si>
    <t>Yên</t>
  </si>
  <si>
    <t>Số nhà 1D ngõ 259 ngách 67 phú diễn bắc từ liêm</t>
  </si>
  <si>
    <t>https://drive.google.com/open?id=1jSUbk6CWoWxpVKgUH-Hq0Oh4vzG_R1Z9</t>
  </si>
  <si>
    <t>https://www.facebook.com/diep.nt.17102004</t>
  </si>
  <si>
    <t xml:space="preserve">Ngô Thị Diệp </t>
  </si>
  <si>
    <t>https://drive.google.com/open?id=1vRqntq954BR7poAUlR8qRb9lBhMxyCu_</t>
  </si>
  <si>
    <t>https://www.facebook.com/lananh.vuthi.16547?mibextid=LQQJ4d</t>
  </si>
  <si>
    <t>Vũ Thị Lan Anh</t>
  </si>
  <si>
    <t>https://drive.google.com/open?id=1_2V2qw1RjmyyCSU82ufiR-uaViGMvOa1</t>
  </si>
  <si>
    <t>https://www.facebook.com/profile.php?id=100030624703522&amp;mibextid=ZbWKwL</t>
  </si>
  <si>
    <r>
      <rPr>
        <sz val="12"/>
        <color theme="1"/>
        <rFont val="Times New Roman"/>
        <family val="1"/>
      </rPr>
      <t xml:space="preserve">Đào Thị Minh An </t>
    </r>
    <r>
      <rPr>
        <sz val="12"/>
        <color rgb="FFFF0000"/>
        <rFont val="Times New Roman"/>
        <family val="1"/>
      </rPr>
      <t>(Nhận tại VP)</t>
    </r>
  </si>
  <si>
    <t>Hạnh</t>
  </si>
  <si>
    <t xml:space="preserve">minhan29072005@gmail.com </t>
  </si>
  <si>
    <t xml:space="preserve">NHẬN SÁCH TẠI TRUNG TÂM </t>
  </si>
  <si>
    <t>https://drive.google.com/open?id=13onvBBR3txtsLSriSeVFszmb5lMHwySQ</t>
  </si>
  <si>
    <t>Mất gôc</t>
  </si>
  <si>
    <t>Nhận tại VP</t>
  </si>
  <si>
    <t>https://www.facebook.com/heituinanga?mibextid=LQQJ4d</t>
  </si>
  <si>
    <r>
      <rPr>
        <sz val="12"/>
        <color theme="1"/>
        <rFont val="Times New Roman"/>
        <family val="1"/>
      </rPr>
      <t xml:space="preserve">Nguyễn Thị Thúy Nga </t>
    </r>
    <r>
      <rPr>
        <sz val="12"/>
        <color rgb="FFFF0000"/>
        <rFont val="Times New Roman"/>
        <family val="1"/>
      </rPr>
      <t>(T180 =&gt;OT10)</t>
    </r>
  </si>
  <si>
    <t xml:space="preserve">Hà </t>
  </si>
  <si>
    <t>thuyngahy102@gmail.com</t>
  </si>
  <si>
    <t>Số 74 Sông Nhuệ - Phường Đức Thắng - Quận Bắc Từ Liêm - Hà Nội</t>
  </si>
  <si>
    <t>https://drive.google.com/open?id=1R3fLyrmSsyjrioVL2yc2esXP4yOCYcE_; https://drive.google.com/open?id=12r4VqE9R0c-eJJN-RgQlLTuENKfnWq9_</t>
  </si>
  <si>
    <t>Đã gửi sách T180</t>
  </si>
  <si>
    <t>https://www.facebook.com/profile.php?id=100008848980005&amp;mibextid=LQQJ4d</t>
  </si>
  <si>
    <t xml:space="preserve">Đồng Diệu Hương </t>
  </si>
  <si>
    <t>Huongemmy1@gmail.com</t>
  </si>
  <si>
    <t xml:space="preserve">Nhận sách tại lớp </t>
  </si>
  <si>
    <t>https://drive.google.com/open?id=1J66nmj9sWJalxGs02-quR3fGVy60HiSu; https://drive.google.com/open?id=1PmblGI7Xk86bKos2d_bS15rrcm2Ri5Uo</t>
  </si>
  <si>
    <t>Đã phát áo. Chưa phát sách</t>
  </si>
  <si>
    <t>https://www.facebook.com/diep.thien.75470</t>
  </si>
  <si>
    <t>nd21865@gmail.com</t>
  </si>
  <si>
    <t>số 9 ngách 53/39 ngọa long, minh khai, từ liêm, hà nội</t>
  </si>
  <si>
    <t>https://drive.google.com/open?id=1bXpGHiVrlGgFkVTT4KlfbT1zHxlLSxcK</t>
  </si>
  <si>
    <r>
      <rPr>
        <sz val="12"/>
        <color theme="1"/>
        <rFont val="Times New Roman"/>
        <family val="1"/>
      </rPr>
      <t xml:space="preserve">Đặng Thị Bích </t>
    </r>
    <r>
      <rPr>
        <sz val="12"/>
        <color rgb="FFFF0000"/>
        <rFont val="Times New Roman"/>
        <family val="1"/>
      </rPr>
      <t>(0353219246 số bố)</t>
    </r>
  </si>
  <si>
    <t>https://drive.google.com/open?id=14c5dnJlpyGos3uj1j8mtnl62gVwhVHkW</t>
  </si>
  <si>
    <t>57/100</t>
  </si>
  <si>
    <t>hieup3401@gmail.com</t>
  </si>
  <si>
    <t>LỚP OFFLINE</t>
  </si>
  <si>
    <t>https://drive.google.com/open?id=1HUDWsMSQ5MEO6fVJ0Zz5C11Y3qdLrOPh</t>
  </si>
  <si>
    <t>https://www.facebook.com/profile.php?id=100036295161082&amp;mibextid=ZbWKwL</t>
  </si>
  <si>
    <t>Hà Lê Giang Thanh</t>
  </si>
  <si>
    <t>halethanh2005@gmail.com</t>
  </si>
  <si>
    <t>https://drive.google.com/open?id=1MLKASoddHkB4vGbL-jpgz38WSKoO6Emt; https://drive.google.com/open?id=1217O3DsNq0bQutnRf5Y3x7Fd0bBbGcj-</t>
  </si>
  <si>
    <t>HV vào sau</t>
  </si>
  <si>
    <t>Đoàn Thị Thảo</t>
  </si>
  <si>
    <t xml:space="preserve">số nhà 12 ngõ 130 , Đường An Thượng - Hoài Đức </t>
  </si>
  <si>
    <t>https://drive.google.com/open?id=1L8sijSdizlb21PhidcBx6j0-LMfLVAYz</t>
  </si>
  <si>
    <t>https://drive.google.com/open?id=1fP5-UeLEzGx-TeLSLg5oZlx2RZYlPx2g</t>
  </si>
  <si>
    <t>https://www.facebook.com/profile.php?id=100054075519702&amp;mibextid=LQQJ4d</t>
  </si>
  <si>
    <r>
      <rPr>
        <sz val="12"/>
        <color theme="1"/>
        <rFont val="Times New Roman"/>
        <family val="1"/>
      </rPr>
      <t>Phạm Minh Phương</t>
    </r>
    <r>
      <rPr>
        <sz val="12"/>
        <color rgb="FFFF0000"/>
        <rFont val="Times New Roman"/>
        <family val="1"/>
      </rPr>
      <t xml:space="preserve"> (OPT14 =&gt;PT63)</t>
    </r>
  </si>
  <si>
    <t>phuongming0312@gmail.com</t>
  </si>
  <si>
    <t>9 Lê Trọng Hàm, Lộc Vượng, tp Nam Định, tỉnh Nam Định</t>
  </si>
  <si>
    <t>https://drive.google.com/open?id=1mY3Lk2MVlUSl9dD2YlMF3jWUmFZxMswm; https://drive.google.com/open?id=1NHBtOyWm5mw3TVnUYid_p9GBORvgsDHt</t>
  </si>
  <si>
    <r>
      <rPr>
        <sz val="12"/>
        <color theme="1"/>
        <rFont val="Times New Roman"/>
        <family val="1"/>
      </rPr>
      <t xml:space="preserve"> Bùi Thị Huyền Trang</t>
    </r>
    <r>
      <rPr>
        <sz val="12"/>
        <color rgb="FFFF0000"/>
        <rFont val="Times New Roman"/>
        <family val="1"/>
      </rPr>
      <t xml:space="preserve"> (nick: Dịch Thiên Trang)</t>
    </r>
  </si>
  <si>
    <t>MInh Vũ</t>
  </si>
  <si>
    <t>033303000578</t>
  </si>
  <si>
    <t>Nhà số 2, 32 ngũ nhạc- thanh trì- hoàng mai - HN</t>
  </si>
  <si>
    <t>https://drive.google.com/open?id=1a41izxQ7XjhTEhKVXR0gT7ULDRQSLrys</t>
  </si>
  <si>
    <t>https://www.facebook.com/profile.php?id=100094469951919&amp;mibextid=ZbWKwL</t>
  </si>
  <si>
    <t>Nguyễn Quyết Thắng</t>
  </si>
  <si>
    <t xml:space="preserve">Cuối ngõ 1 Xu, Thôn 1 - Phù Vân- Phủ Lý Hà Nam </t>
  </si>
  <si>
    <t>https://drive.google.com/open?id=1mu5wJFOjrmNV0hqcZVaY6v_dHWlkKSM6, https://drive.google.com/open?id=1GSaekbYfZB2fHsorJRGV5qkB1fiAJlcz</t>
  </si>
  <si>
    <t>https://www.facebook.com/profile.php?id=100071255825626&amp;mibextid=ZbWKwL</t>
  </si>
  <si>
    <t xml:space="preserve"> Bùi Nhài</t>
  </si>
  <si>
    <t>68,Đường Quyết Thắng, Yên Nghĩa,Hà Đông, Hà Nội (quán lòng chất,Khu C)</t>
  </si>
  <si>
    <t>YC3NPgOc1S6XmpY4qU1bS0flzhttps://drive.google.com/open?id=1DIcigi3hYfNq4sBt_YtGt2GOP65YT_t0, https://drive.google.com/open?id=1Nt2bFip</t>
  </si>
  <si>
    <t>https://www.facebook.com/profile.php?id=100014630508123&amp;mibextid=LQQJ4d</t>
  </si>
  <si>
    <r>
      <rPr>
        <sz val="12"/>
        <color theme="1"/>
        <rFont val="Times New Roman"/>
        <family val="1"/>
      </rPr>
      <t>Nguyễn Tiến Dũng</t>
    </r>
    <r>
      <rPr>
        <sz val="12"/>
        <color rgb="FFFF0000"/>
        <rFont val="Times New Roman"/>
        <family val="1"/>
      </rPr>
      <t xml:space="preserve"> (Cần hợp đồng)</t>
    </r>
  </si>
  <si>
    <t>58 lê văn hiến</t>
  </si>
  <si>
    <t>https://drive.google.com/open?id=1flfUh518LZgbZfZUNIvaUiQ9QjeNlC95, https://drive.google.com/open?id=1aQZ-aa1BYDwFB5A0Qpo-h4gUWMqtnZoo</t>
  </si>
  <si>
    <t>https://www.facebook.com/ah.phuong.14?mibextid=LQQJ4d</t>
  </si>
  <si>
    <r>
      <rPr>
        <sz val="12"/>
        <color theme="1"/>
        <rFont val="Times New Roman"/>
        <family val="1"/>
      </rPr>
      <t xml:space="preserve">Phạm Phương Anh </t>
    </r>
    <r>
      <rPr>
        <sz val="12"/>
        <color rgb="FFFF0000"/>
        <rFont val="Times New Roman"/>
        <family val="1"/>
      </rPr>
      <t>(OPT14 =&gt; PT63)</t>
    </r>
  </si>
  <si>
    <t>phamphuonganh1604@gmail.com</t>
  </si>
  <si>
    <t>21B, Ngõ 62, phố Đội Cấn, phường Đội Cấn, Quận Ba Đình, Hà Nội</t>
  </si>
  <si>
    <t>https://drive.google.com/open?id=1mrM3HFxHunkB5m4N6eEg6gBHte8XExsT</t>
  </si>
  <si>
    <t>OPT14 mất gốc</t>
  </si>
  <si>
    <t>https://www.facebook.com/lan.rumi</t>
  </si>
  <si>
    <r>
      <rPr>
        <sz val="12"/>
        <color theme="1"/>
        <rFont val="Times New Roman"/>
        <family val="1"/>
      </rPr>
      <t xml:space="preserve">Đoàn Thị Hương Lan </t>
    </r>
    <r>
      <rPr>
        <sz val="12"/>
        <color rgb="FFFF0000"/>
        <rFont val="Times New Roman"/>
        <family val="1"/>
      </rPr>
      <t>(Cần hợp đồng) -nick Lan Rumi</t>
    </r>
  </si>
  <si>
    <t>landoan14082005@gmail.com</t>
  </si>
  <si>
    <t>Thôn Vân Động, xã Vũ Lạc, Thành Phố Thái Bình</t>
  </si>
  <si>
    <t>https://drive.google.com/open?id=1jMP2-Lj9ooFhrpAc2CI0nsc3pCDPxWWZ</t>
  </si>
  <si>
    <t>https://www.facebook.com/profile.php?id=100023093978414&amp;mibextid=ZbWKwL</t>
  </si>
  <si>
    <t>Nguyễn Thị Bạch Dương</t>
  </si>
  <si>
    <t xml:space="preserve">bachduong2782004@gmail.com </t>
  </si>
  <si>
    <t>101 Đường Sông Nhuệ, phố Viên, phường Đức Thắng, quận Bắc Từ Liêm, Hà Nội</t>
  </si>
  <si>
    <t>https://drive.google.com/open?id=1PxfZkUSMO5iAgrcaeH9TCP2hvEA1rxp8</t>
  </si>
  <si>
    <t>PT61</t>
  </si>
  <si>
    <t>https://www.facebook.com/hac.thuy.927</t>
  </si>
  <si>
    <r>
      <rPr>
        <sz val="12"/>
        <color theme="1"/>
        <rFont val="Times New Roman"/>
        <family val="1"/>
      </rPr>
      <t xml:space="preserve">Võ Thị Ngọc Trăm </t>
    </r>
    <r>
      <rPr>
        <sz val="12"/>
        <color rgb="FFFF0000"/>
        <rFont val="Times New Roman"/>
        <family val="1"/>
      </rPr>
      <t>(Cần hợp đồng)</t>
    </r>
  </si>
  <si>
    <t xml:space="preserve">Hiệp </t>
  </si>
  <si>
    <t>tieuchan43@gmail.com</t>
  </si>
  <si>
    <t>ấp 2, xã Vĩnh Thuận Đông - Long Mỹ - Hậu Giang</t>
  </si>
  <si>
    <t>https://drive.google.com/open?id=1jxC2EhVO4cJZN89UDWfCrTgwXJRSG_Z4; https://drive.google.com/open?id=1z11W7P0qjdMsOmZUsF51VEPXcsShFzle</t>
  </si>
  <si>
    <t>https://www.facebook.com/100013747296579/</t>
  </si>
  <si>
    <t>Nguyễn Thuý Hậu</t>
  </si>
  <si>
    <t>nguyenthuyhau20505@gmail.com</t>
  </si>
  <si>
    <t xml:space="preserve"> k211/71 Đống Đa - phường Thạch Thang - quận Hải Châu - tp Đà Nẵng </t>
  </si>
  <si>
    <t>https://drive.google.com/open?id=15fBpG4tUKWvJCzMXCcum1G9-Jn_Grds5</t>
  </si>
  <si>
    <t>https://www.facebook.com/profile.php?id=100077516534975</t>
  </si>
  <si>
    <t>Cao Thùy Trang</t>
  </si>
  <si>
    <t xml:space="preserve">98/17 tân triều </t>
  </si>
  <si>
    <t>https://drive.google.com/open?id=11OqV0PMhV2ICepaThG52_MqQW68IqVVt</t>
  </si>
  <si>
    <t>OPT24</t>
  </si>
  <si>
    <t>https://www.facebook.com/profile.php?id=100070663873801</t>
  </si>
  <si>
    <r>
      <rPr>
        <sz val="12"/>
        <color theme="1"/>
        <rFont val="Times New Roman"/>
        <family val="1"/>
      </rPr>
      <t>Nguyễn Trung Kiên</t>
    </r>
    <r>
      <rPr>
        <sz val="12"/>
        <color rgb="FFFF0000"/>
        <rFont val="Times New Roman"/>
        <family val="1"/>
      </rPr>
      <t xml:space="preserve"> - OPT14, OPT18, OPT22</t>
    </r>
  </si>
  <si>
    <t>kienmat05@gmail.com</t>
  </si>
  <si>
    <t>sn 58, ngách 32/2, đường Bưởi, phường Ngọc Khách, Ba Đình, Hà Nội</t>
  </si>
  <si>
    <t>https://drive.google.com/open?id=10iUbdftpVa0AqQyv7NZnbhXM9JSTz2OE</t>
  </si>
  <si>
    <t xml:space="preserve">Mất  gốc </t>
  </si>
  <si>
    <t>https://www.facebook.com/profile.php?id=100019467037415</t>
  </si>
  <si>
    <r>
      <rPr>
        <sz val="12"/>
        <color theme="1"/>
        <rFont val="Times New Roman"/>
        <family val="1"/>
      </rPr>
      <t xml:space="preserve">Vũ Thành Trung </t>
    </r>
    <r>
      <rPr>
        <sz val="12"/>
        <color rgb="FFFF0000"/>
        <rFont val="Times New Roman"/>
        <family val="1"/>
      </rPr>
      <t>(đổi E1 =&gt; Toeic)</t>
    </r>
  </si>
  <si>
    <t>Quỳnh TR5</t>
  </si>
  <si>
    <t>vuthanhtrung211205@gmail.com</t>
  </si>
  <si>
    <t>Nhà trọ cô Hồng - Thôn 1 - Xã Phù Vân - Huyện Phủ Lý - Tỉnh Hà Nam</t>
  </si>
  <si>
    <t>https://drive.google.com/open?id=1iM59q5FHUFHvwBrYRunWplWgW8nzRebR; https://drive.google.com/open?id=13LGVj7eHp_khI_245rMqzWhyhDPLRap_</t>
  </si>
  <si>
    <t>Trung báo đổi giao tiếp sang học Toeic</t>
  </si>
  <si>
    <t>https://www.facebook.com/profile.php?id=100089268710130&amp;mibextid=kFxxJD</t>
  </si>
  <si>
    <t>Nguyễn Minh Hải</t>
  </si>
  <si>
    <t>024304001885</t>
  </si>
  <si>
    <t>Nhận trên lớp</t>
  </si>
  <si>
    <t>https://drive.google.com/open?id=1uDIr2BgdRk5XbctBSWpZ8A5KgBJDUX_c</t>
  </si>
  <si>
    <t>https://www.facebook.com/profile.php?id=100072540143242&amp;mibextid=ZbWKwL</t>
  </si>
  <si>
    <r>
      <rPr>
        <sz val="12"/>
        <color theme="1"/>
        <rFont val="Times New Roman"/>
        <family val="1"/>
      </rPr>
      <t xml:space="preserve">Dương Quốc Thịnh </t>
    </r>
    <r>
      <rPr>
        <sz val="12"/>
        <color rgb="FFFF0000"/>
        <rFont val="Times New Roman"/>
        <family val="1"/>
      </rPr>
      <t>(Cần hợp đồng)</t>
    </r>
  </si>
  <si>
    <t>ấp an khương xã an thạnh thủy huyện Chợ Gạo tỉnh Tiền Giang</t>
  </si>
  <si>
    <t>11/20/1023</t>
  </si>
  <si>
    <t>https://drive.google.com/open?id=18OB2mQXU13HbO_cTLwdQRkJIK6CzbDgt</t>
  </si>
  <si>
    <t>https://www.facebook.com/profile.php?id=100073739116806&amp;mibextid=LQQJ4d</t>
  </si>
  <si>
    <t xml:space="preserve">Nguyễn Anh Tuấn </t>
  </si>
  <si>
    <t>trường đại học công nghiệp hà nội cơ sở 3
Tổ 18 lê hồng phong, thành phố phủ lý, hà nam</t>
  </si>
  <si>
    <t>https://drive.google.com/open?id=1aYUOSQRTNOwcP1uhLtn7L9FDdrP8wjrS</t>
  </si>
  <si>
    <t>https://www.facebook.com/profile.php?id=100091912520398&amp;mibextid=LQQJ4d</t>
  </si>
  <si>
    <t>Võ Thanh Khang</t>
  </si>
  <si>
    <t>khang24102005a@gmail.com</t>
  </si>
  <si>
    <t>xóm trọ 658 cổng phụ haiu cơ sở 3, thanh sơn, kim bảng, hà nam</t>
  </si>
  <si>
    <t>https://drive.google.com/open?id=17eszdC2mrepB6HH9lVakkdfgHMv3NGB9, https://drive.google.com/open?id=1OUnKBZRCqUPY-Vp_XXxaLxQTXgjHlINJ</t>
  </si>
  <si>
    <t>https://drive.google.com/open?id=1ic7joawBvEps-lbOTRRPM-djOQWuKyzp</t>
  </si>
  <si>
    <t>https://www.facebook.com/phamthimai.huong.1205?mibextid=ZbWKwL</t>
  </si>
  <si>
    <t>Phạm Thị Mai Hương</t>
  </si>
  <si>
    <t>phạmhuong6564636261@gmail.com</t>
  </si>
  <si>
    <t>Khu đất mới Yên lạc( nhà màu vàng) xã Đồng Hóa huyện Kim Bảng tỉnh Hà Nam</t>
  </si>
  <si>
    <t>https://www.facebook.com/100004905730053/</t>
  </si>
  <si>
    <t>Dao Thu Trang</t>
  </si>
  <si>
    <t xml:space="preserve">Thuỳ Linh </t>
  </si>
  <si>
    <t>Ngõ 89 - phạm văn đồng, mai dịch, cầu giấy</t>
  </si>
  <si>
    <t>https://drive.google.com/open?id=1vxhFBNLHBJX-eFUUkf4iJN2CgtgvmkbN; https://drive.google.com/open?id=1q5fXRUSykjT5X7df0XeJQXmmhbc6s5F2</t>
  </si>
  <si>
    <t>NƯỚC NGOÀI</t>
  </si>
  <si>
    <t>Trần Nga</t>
  </si>
  <si>
    <t>KHÔNG NHẬN TRỪ 100K</t>
  </si>
  <si>
    <t>https://drive.google.com/open?id=1dn3L2zZ-f21Brjd0rNY9evahlUiJYbWu</t>
  </si>
  <si>
    <t>Ko nhận trừ 100K</t>
  </si>
  <si>
    <t>https://www.facebook.com/profile.php?id=100069149421333</t>
  </si>
  <si>
    <r>
      <rPr>
        <sz val="12"/>
        <color theme="1"/>
        <rFont val="Times New Roman"/>
        <family val="1"/>
      </rPr>
      <t>Lê Kim Oanh</t>
    </r>
    <r>
      <rPr>
        <sz val="12"/>
        <color rgb="FFFF0000"/>
        <rFont val="Times New Roman"/>
        <family val="1"/>
      </rPr>
      <t xml:space="preserve"> (đưa tay)</t>
    </r>
  </si>
  <si>
    <t>lekimoanhhsk@gmail.com</t>
  </si>
  <si>
    <t>Chung cư z157, 22đ Cầu diễn phú diễn bắc từ liêm</t>
  </si>
  <si>
    <t>https://drive.google.com/open?id=1P2WLClcbrYm3PmOcogZYI7hDKwXE90zn; https://drive.google.com/open?id=1VKN30E5lnnvLGZ5qhS_URZB3T7i-q0PI</t>
  </si>
  <si>
    <t>https://www.facebook.com/profilecuazang</t>
  </si>
  <si>
    <t>Nguyễn Thị Hương Giang</t>
  </si>
  <si>
    <t>giảm trừ 384k</t>
  </si>
  <si>
    <t>https://drive.google.com/open?id=1sHJZpDLDXLer54s6DoR5-HY3YE8Z57IP</t>
  </si>
  <si>
    <t>https://www.facebook.com/profile.php?id=100043647561347</t>
  </si>
  <si>
    <t>Lê Hiền</t>
  </si>
  <si>
    <t>ktx Đại Học Giao Thông Vận Tải</t>
  </si>
  <si>
    <t>https://drive.google.com/open?id=11BWMqt-38xv3UIwQYcT_vRDFT09N_47s; https://drive.google.com/open?id=1rRCe_BTtbTjCfP7FjXSjzHkzL2bTbU_h</t>
  </si>
  <si>
    <t xml:space="preserve"> https://www.facebook.com/minion.trieu</t>
  </si>
  <si>
    <t>Số nhà 6 , ngõ 149 , phố tân mai, hoàng mai, hà nội</t>
  </si>
  <si>
    <t>https://drive.google.com/open?id=1QTW8TDNYYquhMUwfu9nCw8c1eYb3sVGw, https://drive.google.com/open?id=10lVimLiQq1VSInbt_3RIcRwCJBcnBidy</t>
  </si>
  <si>
    <t>T212</t>
  </si>
  <si>
    <t>https://www.facebook.com/ththuneee</t>
  </si>
  <si>
    <r>
      <rPr>
        <sz val="12"/>
        <color theme="1"/>
        <rFont val="Times New Roman"/>
        <family val="1"/>
      </rPr>
      <t xml:space="preserve">Huỳnh Nguyễn Thanh Thư </t>
    </r>
    <r>
      <rPr>
        <sz val="12"/>
        <color rgb="FFFF0000"/>
        <rFont val="Times New Roman"/>
        <family val="1"/>
      </rPr>
      <t>- Đã nộp 300K ngày 15/12/2023
T185 bảo lưu b1 thi tiếng pháp. Quay lại T212 b1</t>
    </r>
  </si>
  <si>
    <t>thanhthuh24@gmail.com</t>
  </si>
  <si>
    <t>số 10 ngách 53/1 Nguyễn Ngọc Vũ, Trung Hoà, Cầu Giấy, HN</t>
  </si>
  <si>
    <t>https://www.facebook.com/profile.php?id=100035819032904&amp;mibextid=ZbWKwL</t>
  </si>
  <si>
    <t>Nguyễn Xuân Dũng</t>
  </si>
  <si>
    <t>Cao Nga</t>
  </si>
  <si>
    <t>xuandung30072k4@gmail.com</t>
  </si>
  <si>
    <t>Ngách 6 số 112/12 thôn Nguyên Xá</t>
  </si>
  <si>
    <t>https://drive.google.com/open?id=1hhvBMDOQhdZxGPABEPb7CtzhVna28w1z</t>
  </si>
  <si>
    <t>T187 bảo lưu b17 đi quân sự</t>
  </si>
  <si>
    <t>https://www.facebook.com/profile.php?id=100046194879510&amp;mibextid=LQQJ4d</t>
  </si>
  <si>
    <t>Phạm Minh Quang</t>
  </si>
  <si>
    <t xml:space="preserve">1194/141 láng thượng đống đa hà nội 
</t>
  </si>
  <si>
    <t>https://drive.google.com/open?id=1QHdQlIrY9hzmhN_frk-9AIjnrjFKg1Iw</t>
  </si>
  <si>
    <t>T189 bảo lưu b15 đi quân sự</t>
  </si>
  <si>
    <t>https://www.facebook.com/vanthuc.khuu?mibextid=LQQJ4d</t>
  </si>
  <si>
    <r>
      <rPr>
        <sz val="12"/>
        <color theme="1"/>
        <rFont val="Times New Roman"/>
        <family val="1"/>
      </rPr>
      <t>Khưu Văn Thức</t>
    </r>
    <r>
      <rPr>
        <sz val="12"/>
        <color rgb="FFFF0000"/>
        <rFont val="Times New Roman"/>
        <family val="1"/>
      </rPr>
      <t xml:space="preserve"> - HV nói ko học nữa</t>
    </r>
  </si>
  <si>
    <t>KTX khu B - ĐHQG TPHCM, Đồng Hòa, Dĩ An, Bình Dương (dạ chị gửi giúp em cổng sau với ạ</t>
  </si>
  <si>
    <t>https://drive.google.com/open?id=1ycqyxHdeiADiTnySp6c1CMjqJAszTcAX</t>
  </si>
  <si>
    <t>https://www.facebook.com/tulinh.bachhoang.18</t>
  </si>
  <si>
    <t xml:space="preserve">Lê Thị Thùy Linh </t>
  </si>
  <si>
    <t>lamkhakha84@gmail.com</t>
  </si>
  <si>
    <t>Nghách 32/43an dương yên phụ tây hồ hà nội</t>
  </si>
  <si>
    <t>https://drive.google.com/open?id=12U6UQJvsyvehR-wvHU8jqlTcezLDt0AW</t>
  </si>
  <si>
    <t>https://m.facebook.com/profile.php?id=100080615280171&amp;mibextid=LQQJ4d</t>
  </si>
  <si>
    <t>Nguyễn Tiến Thắng</t>
  </si>
  <si>
    <t xml:space="preserve"> tienthang311@gmail.com</t>
  </si>
  <si>
    <t xml:space="preserve"> 87/78 yên lộ, yên nghĩa, hà đông, Hà Nội</t>
  </si>
  <si>
    <t>https://drive.google.com/open?id=1DlGQGn9CumfD3JnrpwLbfCe3VV17_PWJ</t>
  </si>
  <si>
    <t>OT14 bảo lưu b19 Lịch họ trên trường thay đổi thời gian và tăng số lượng môn lên</t>
  </si>
  <si>
    <t>KTX Mỹ đình- Hàm Nghi -Mỹ đình-Hà Nội</t>
  </si>
  <si>
    <t>https://drive.google.com/open?id=1-C2XIGj2f4k8RCQmYkEblBdRYzosk82l</t>
  </si>
  <si>
    <t>Chuyển nhượng</t>
  </si>
  <si>
    <t>https://www.facebook.com/profile.php?id=100091339616414&amp;mibextid=LQQJ4d</t>
  </si>
  <si>
    <r>
      <rPr>
        <sz val="12"/>
        <color theme="1"/>
        <rFont val="Times New Roman"/>
        <family val="1"/>
      </rPr>
      <t xml:space="preserve">Nguyễn Hồng Trang </t>
    </r>
    <r>
      <rPr>
        <sz val="12"/>
        <color rgb="FFFF0000"/>
        <rFont val="Times New Roman"/>
        <family val="1"/>
      </rPr>
      <t>- Chuyển nhượng
Nguyễn Khánh Linh 326646383 - người học</t>
    </r>
  </si>
  <si>
    <t>K có</t>
  </si>
  <si>
    <t>Số 1, ngõ 63 Lê Đức Thọ, Mỹ Đình 2, Nam Từ Liêm</t>
  </si>
  <si>
    <t>https://drive.google.com/open?id=1Wbjb8k6HCJyQVF6JOGjCK7du_nBBFiwN</t>
  </si>
  <si>
    <t>Nga nói lên form nhầm bạn này vào bạn kia</t>
  </si>
  <si>
    <t>https://www.facebook.com/profile.php?id=100022867095357</t>
  </si>
  <si>
    <t>Nguyễn Thị Kiều Chinh</t>
  </si>
  <si>
    <t>chinhntk799@gmail.com</t>
  </si>
  <si>
    <t>Trường c2 Quang Châu- Đông Tiến-Quang Châu-Việt Yên-Bắc Giang</t>
  </si>
  <si>
    <t>https://drive.google.com/open?id=14ByZhihsvFoKHyKjstofXK-Aou_NJK4i</t>
  </si>
  <si>
    <t>S19 bảo lưu b3</t>
  </si>
  <si>
    <t>https://www.facebook.com/comai.co.31?mibextid=LQQJ4d</t>
  </si>
  <si>
    <r>
      <rPr>
        <sz val="12"/>
        <color theme="1"/>
        <rFont val="Times New Roman"/>
        <family val="1"/>
      </rPr>
      <t>Hoàng Thị Mai</t>
    </r>
    <r>
      <rPr>
        <sz val="12"/>
        <color rgb="FFFF0000"/>
        <rFont val="Times New Roman"/>
        <family val="1"/>
      </rPr>
      <t xml:space="preserve"> W19 - 0859226708 sđt nhận sách</t>
    </r>
  </si>
  <si>
    <t xml:space="preserve"> mh581380@gmail.com</t>
  </si>
  <si>
    <t>https://drive.google.com/open?id=1sw-6nOhbH63DLmrIdRPjrVkx3il2Gcza, https://drive.google.com/open?id=1BRQmdeJj4cH37BAHN-J4t5XmueSmP2v0</t>
  </si>
  <si>
    <t>https://www.facebook.com/thinhnghhnbsba?mibextid=LQQJ4d</t>
  </si>
  <si>
    <r>
      <rPr>
        <sz val="12"/>
        <color theme="1"/>
        <rFont val="Times New Roman"/>
        <family val="1"/>
      </rPr>
      <t>Trần Nguyễn Hưng Thịnh</t>
    </r>
    <r>
      <rPr>
        <sz val="12"/>
        <color rgb="FFFF0000"/>
        <rFont val="Times New Roman"/>
        <family val="1"/>
      </rPr>
      <t xml:space="preserve"> (Hợp đồng, phiếu thu)</t>
    </r>
  </si>
  <si>
    <t>ngách 1/9 Văn Hội , phường Đức Thắng , Quận Bắc Từ Liêm</t>
  </si>
  <si>
    <t>https://drive.google.com/open?id=1dtkCKQIFHpMwdyMf4ZMO1VhvWNmf4GpO, https://drive.google.com/open?id=1T3xLYKUoWNb12qvwceDb5Voaqoy3I6uM</t>
  </si>
  <si>
    <t>Điền lên T11.2023</t>
  </si>
  <si>
    <r>
      <rPr>
        <sz val="12"/>
        <color theme="1"/>
        <rFont val="Times New Roman"/>
        <family val="1"/>
      </rPr>
      <t>Nguyễn Hải Yến</t>
    </r>
    <r>
      <rPr>
        <sz val="12"/>
        <color rgb="FFFF0000"/>
        <rFont val="Times New Roman"/>
        <family val="1"/>
      </rPr>
      <t xml:space="preserve"> - Đã nộp 300K 23/02/24</t>
    </r>
    <r>
      <rPr>
        <sz val="12"/>
        <color theme="1"/>
        <rFont val="Times New Roman"/>
        <family val="1"/>
      </rPr>
      <t xml:space="preserve">
</t>
    </r>
    <r>
      <rPr>
        <sz val="12"/>
        <color rgb="FFFF0000"/>
        <rFont val="Times New Roman"/>
        <family val="1"/>
      </rPr>
      <t>OT8 bảo lưu b11 do mất động lực. Quay lại OT13 b9</t>
    </r>
  </si>
  <si>
    <r>
      <rPr>
        <sz val="12"/>
        <color theme="1"/>
        <rFont val="Times New Roman"/>
        <family val="1"/>
      </rPr>
      <t>Phạm Hùng Mạnh</t>
    </r>
    <r>
      <rPr>
        <sz val="12"/>
        <color rgb="FFFF0000"/>
        <rFont val="Times New Roman"/>
        <family val="1"/>
      </rPr>
      <t xml:space="preserve"> </t>
    </r>
    <r>
      <rPr>
        <sz val="12"/>
        <color theme="1"/>
        <rFont val="Times New Roman"/>
        <family val="1"/>
      </rPr>
      <t>705748952 số cũ</t>
    </r>
  </si>
  <si>
    <t>Số 6 ngõ 43, Doãn Kế Thiện, Mai Dịch, Cầu Giấy, Hà Nội</t>
  </si>
  <si>
    <t>OT8 =&gt; T191</t>
  </si>
  <si>
    <r>
      <rPr>
        <sz val="12"/>
        <color theme="1"/>
        <rFont val="Times New Roman"/>
        <family val="1"/>
      </rPr>
      <t xml:space="preserve">Nguyễn Thị Thanh Tuyền </t>
    </r>
    <r>
      <rPr>
        <sz val="12"/>
        <color rgb="FFFF0000"/>
        <rFont val="Times New Roman"/>
        <family val="1"/>
      </rPr>
      <t xml:space="preserve">- Đã nộp 300K 17/05/2024
OT8 bảo lưu b22 đi quân sự. Quay lại T202 b16
</t>
    </r>
    <r>
      <rPr>
        <sz val="12"/>
        <color theme="1"/>
        <rFont val="Times New Roman"/>
        <family val="1"/>
      </rPr>
      <t>Chuyển nhượng 379512182 Ngọc Ánh</t>
    </r>
  </si>
  <si>
    <t>OT8 đã chuyển nhượng từ Toeic LV1. Học OT8 1 buổi</t>
  </si>
  <si>
    <r>
      <rPr>
        <sz val="12"/>
        <color theme="1"/>
        <rFont val="Times New Roman"/>
        <family val="1"/>
      </rPr>
      <t xml:space="preserve">Nông Thị Bích Hảo </t>
    </r>
    <r>
      <rPr>
        <sz val="12"/>
        <color rgb="FFFF0000"/>
        <rFont val="Times New Roman"/>
        <family val="1"/>
      </rPr>
      <t>0866124056. Đã nộp 300K chuyển nhượng 11/12/2023</t>
    </r>
  </si>
  <si>
    <t>Vũ Nhật Anh</t>
  </si>
  <si>
    <t>off</t>
  </si>
  <si>
    <t>https://www.facebook.com/profile.php?id=100080828614738&amp;mibextid=LQQJ4d</t>
  </si>
  <si>
    <r>
      <rPr>
        <sz val="12"/>
        <color theme="1"/>
        <rFont val="Times New Roman"/>
        <family val="1"/>
      </rPr>
      <t xml:space="preserve">Nguyễn Yến Nhi </t>
    </r>
    <r>
      <rPr>
        <sz val="12"/>
        <color rgb="FFFF0000"/>
        <rFont val="Times New Roman"/>
        <family val="1"/>
      </rPr>
      <t>- Đã nộp 300K 09/05/2024
OT8 bảo lưu b22 đi quân sự. Quay lại T198 b22</t>
    </r>
  </si>
  <si>
    <t>B638</t>
  </si>
  <si>
    <t>https://www.facebook.com/profile.php?id=100039269598320&amp;mibextid=LQQJ4d</t>
  </si>
  <si>
    <r>
      <rPr>
        <sz val="12"/>
        <color theme="1"/>
        <rFont val="Times New Roman"/>
        <family val="1"/>
      </rPr>
      <t>Nguyễn Thị Thuỳ Linh -</t>
    </r>
    <r>
      <rPr>
        <sz val="12"/>
        <color rgb="FFFF0000"/>
        <rFont val="Times New Roman"/>
        <family val="1"/>
      </rPr>
      <t xml:space="preserve"> Đổi GT3 =&gt; Toeic 1 Phương chat</t>
    </r>
  </si>
  <si>
    <t>Phương báo đổi</t>
  </si>
  <si>
    <t>Số nhà 28, ngách 123/31 phường Thuỵ Phương, Quận Bắc Từ Liêm, Hà Nội</t>
  </si>
  <si>
    <t>https://drive.google.com/open?id=18Fqs3JMiVdaebTPc8IsecJJa_kjc2p5o</t>
  </si>
  <si>
    <r>
      <rPr>
        <sz val="12"/>
        <color theme="1"/>
        <rFont val="Times New Roman"/>
        <family val="1"/>
      </rPr>
      <t xml:space="preserve">Nguyễn Văn Nguyên </t>
    </r>
    <r>
      <rPr>
        <sz val="12"/>
        <color rgb="FFFF0000"/>
        <rFont val="Times New Roman"/>
        <family val="1"/>
      </rPr>
      <t>(OT7 KG ko đi)</t>
    </r>
  </si>
  <si>
    <t>81/100</t>
  </si>
  <si>
    <t xml:space="preserve">Đào Thị Minh Thư </t>
  </si>
  <si>
    <t>Số 2, Ngách 8/20 Tứ Kỳ, Phường Hoàng Liệt, Quận Hoàng Mai, Hà Nội</t>
  </si>
  <si>
    <t>https://www.facebook.com/Shahfour?mibextid=LQQJ4d</t>
  </si>
  <si>
    <t>Nguyễn Việt Anh</t>
  </si>
  <si>
    <t>Nguyenvietanh06082005@gmail.com</t>
  </si>
  <si>
    <t>Đã nhận từ Minh Thu</t>
  </si>
  <si>
    <t>https://drive.google.com/open?id=1q-n7lVn277YpJG6iavRsI0rTQbKOSrNg</t>
  </si>
  <si>
    <t>PT59 =&gt;PT60. ĐỨc note đã nhận sách</t>
  </si>
  <si>
    <t>10/22 Chi Hòa  , Việt Hòa , thành phố Hải Dương</t>
  </si>
  <si>
    <t>Xóm 2 , thôn Ngoại, Tam Thuấn, Phúc Thọ, Hà Nội</t>
  </si>
  <si>
    <t>76/100</t>
  </si>
  <si>
    <t>Nguyễn Thị Tuyết Mai</t>
  </si>
  <si>
    <t>Tam Thuấn, Phúc Thọ, Hà Nội</t>
  </si>
  <si>
    <t>70/100</t>
  </si>
  <si>
    <t>Nguyễn Khánh Hoàn</t>
  </si>
  <si>
    <t>Tân Thành, Đồng Kỵ, Từ Sơn, Bắc Ninh</t>
  </si>
  <si>
    <t>https://www.facebook.com/profile.php?id=100024704403873&amp;mibextid=LQQJ4d</t>
  </si>
  <si>
    <t>Trần Hạnh Trang</t>
  </si>
  <si>
    <t>030304004831</t>
  </si>
  <si>
    <t>số 1A, đường Đức Thắng, phường Đức Thắng, quận Bắc Từ Liêm</t>
  </si>
  <si>
    <t>https://drive.google.com/open?id=1jMJ80TA6kjF45Hw2sBbFchBjmZXcyvYW</t>
  </si>
  <si>
    <t>69/100</t>
  </si>
  <si>
    <t>Đặng Thị Phương Lan</t>
  </si>
  <si>
    <t>20 ngõ 102 Pháo Đài Láng, Láng Thượng, Đống Đa</t>
  </si>
  <si>
    <t>Ngõ 21 Hậu Dưỡng- Kim Chung-Đông Anh -Hà Nội</t>
  </si>
  <si>
    <t xml:space="preserve">Nguyễn Trang Huyền </t>
  </si>
  <si>
    <t xml:space="preserve">Ngõ 165 ngách 12 Dương Quảng Hàm-Quan Hoa-Cầu Giấy-Hà Nội </t>
  </si>
  <si>
    <t>Nguyễn Thị Hường</t>
  </si>
  <si>
    <t xml:space="preserve">Địa chỉ Ngõ 108/22 Bùi Xương Trạch - Thanh Xuân- Hà Nội </t>
  </si>
  <si>
    <t>Trần Thị Mai Chi</t>
  </si>
  <si>
    <t>Nguyễn Quỳnh Chi</t>
  </si>
  <si>
    <t>92/100</t>
  </si>
  <si>
    <r>
      <rPr>
        <sz val="12"/>
        <color theme="1"/>
        <rFont val="Times New Roman"/>
        <family val="1"/>
      </rPr>
      <t xml:space="preserve">Nguyễn Thu Trang Hoà </t>
    </r>
    <r>
      <rPr>
        <sz val="12"/>
        <color rgb="FFFF0000"/>
        <rFont val="Times New Roman"/>
        <family val="1"/>
      </rPr>
      <t>(nick Hiền Hòa)</t>
    </r>
  </si>
  <si>
    <t>56/100</t>
  </si>
  <si>
    <t>Đặng Thị Hà Linh</t>
  </si>
  <si>
    <t>https://www.facebook.com/tra012345?comment_id=Y29tbWVudDoyMzQ5ODg4MDE4NTQ1NzYyXzg5ODU0NTE2NDQ1OTMzMw%3D%3D</t>
  </si>
  <si>
    <r>
      <rPr>
        <sz val="12"/>
        <color theme="1"/>
        <rFont val="Times New Roman"/>
        <family val="1"/>
      </rPr>
      <t xml:space="preserve">Nguyễn Thị Trà - </t>
    </r>
    <r>
      <rPr>
        <sz val="12"/>
        <color rgb="FFFF0000"/>
        <rFont val="Times New Roman"/>
        <family val="1"/>
      </rPr>
      <t>Bích chat cho vào học miễn phí</t>
    </r>
  </si>
  <si>
    <t>C thêm hv này vào T175 nhé - nếu bạn muốn mua sách thì bán bt. đây là hv cũ lâu lắm r của trung tâm. h cho học lại thi để lấy bảng điểm cho trung tâm.</t>
  </si>
  <si>
    <t>Đã nộp 200K mua sách ngày 10/11/23</t>
  </si>
  <si>
    <t>https://www.facebook.com/mytam.my.37</t>
  </si>
  <si>
    <r>
      <rPr>
        <sz val="12"/>
        <color theme="1"/>
        <rFont val="Times New Roman"/>
        <family val="1"/>
      </rPr>
      <t xml:space="preserve">Trần Mỹ Tâm </t>
    </r>
    <r>
      <rPr>
        <sz val="12"/>
        <color rgb="FFFF0000"/>
        <rFont val="Times New Roman"/>
        <family val="1"/>
      </rPr>
      <t>(nhận chuyển nhượng E2 của Thọ 373483244)</t>
    </r>
  </si>
  <si>
    <t>Hà Hiền chat</t>
  </si>
  <si>
    <t>mytam282004@gmail.com</t>
  </si>
  <si>
    <t>54/28 nguyên tử lực thành phố đà Lạt , lâm đồng</t>
  </si>
  <si>
    <t>3/8 và 18/8</t>
  </si>
  <si>
    <t>https://drive.google.com/open?id=1RTpNIXVrorU7ryEYOQIzr36DF9Q7Bi8C, https://drive.google.com/open?id=19dMAduKN5rsDvPqMuFpbnM66ncYgyIkn; https://drive.google.com/open?id=1TKnyjy7ySUJ_h5A16j4JO8jzX1IClIGA</t>
  </si>
  <si>
    <t>Xin ra khỏi T181 để ôn thêm</t>
  </si>
  <si>
    <t>1. Sđt bạn bán khóa học Thọ A1042 sđt 0373483244
2. Thông tin bạn mua khóa học Trần Mỹ Tâm 0901548495
mytam282004@gmail.com
https://www.facebook.com/mytam.my.37?mibextid=LQQJ4d
54/28 nguyên tử lực thành phố đà Lạt , lâm đồng
Sz M 
Lớp cũ B644</t>
  </si>
  <si>
    <t>Hà Hiền báo: chế độ đăng kí ban đầu của Thọ là lv1,2 =&gt; bạn bán level 2 cho Tâm, Tâm dùng số tiền level 2 đó để đăng kí toeic 1 T181 ạ. Đã ck 300K chuyển nhượng ngày 09/11/2023</t>
  </si>
  <si>
    <r>
      <rPr>
        <sz val="12"/>
        <color theme="1"/>
        <rFont val="Times New Roman"/>
        <family val="1"/>
      </rPr>
      <t xml:space="preserve">Nguyễn Thị Dịu </t>
    </r>
    <r>
      <rPr>
        <sz val="12"/>
        <color rgb="FFFF0000"/>
        <rFont val="Times New Roman"/>
        <family val="1"/>
      </rPr>
      <t xml:space="preserve">(Cần hợp đồng) </t>
    </r>
    <r>
      <rPr>
        <sz val="12"/>
        <color theme="1"/>
        <rFont val="Times New Roman"/>
        <family val="1"/>
      </rPr>
      <t>384818851</t>
    </r>
  </si>
  <si>
    <t xml:space="preserve">Đại học Công Nghiệp Hà Nội cơ sở 3 </t>
  </si>
  <si>
    <t>bạn này sắp tới c gửi sách về chị gửi giúp e hợp đồng của bạn này nữa ạ Kim Thị Trà My Sđt:0962502759</t>
  </si>
  <si>
    <t xml:space="preserve">Lê Thị Huyền Trang </t>
  </si>
  <si>
    <t>số nhà 21, ngõ 75, Hồ Tùng Mậu,P.Mai Dịch,Q.Cầu Giấy,Hnoi</t>
  </si>
  <si>
    <t>https://www.facebook.com/minh.ngo.k4</t>
  </si>
  <si>
    <r>
      <rPr>
        <sz val="12"/>
        <color theme="1"/>
        <rFont val="Times New Roman"/>
        <family val="1"/>
      </rPr>
      <t xml:space="preserve">Ngô Đức Minh </t>
    </r>
    <r>
      <rPr>
        <sz val="12"/>
        <color rgb="FFFF0000"/>
        <rFont val="Times New Roman"/>
        <family val="1"/>
      </rPr>
      <t>- đổi E3 học VIP</t>
    </r>
  </si>
  <si>
    <t>030204006753</t>
  </si>
  <si>
    <t>số 325, đường Vạn Xuân, Lai Xá, Kim Chung, Hoài Đức</t>
  </si>
  <si>
    <t>https://drive.google.com/open?id=1Dn7U3lD6YFcdS3PtoRRecCu9BxGYLqAo</t>
  </si>
  <si>
    <t>Cao Mạnh Hà</t>
  </si>
  <si>
    <t>208 Lê Thanh Nghị , Đồng Tâm, Hai Bà Trưng, Hà Nội</t>
  </si>
  <si>
    <t>75/100</t>
  </si>
  <si>
    <t>VIP68 nghỉ ngang buổi 6</t>
  </si>
  <si>
    <r>
      <rPr>
        <sz val="12"/>
        <color theme="1"/>
        <rFont val="Times New Roman"/>
        <family val="1"/>
      </rPr>
      <t xml:space="preserve">Lê Thị Ánh Nguyệt </t>
    </r>
    <r>
      <rPr>
        <sz val="12"/>
        <color rgb="FFFF0000"/>
        <rFont val="Times New Roman"/>
        <family val="1"/>
      </rPr>
      <t>- nick Ben Ggo
Huy báo nghỉ ngang buổi 6. Tình hình sức khỏe không tốt, lịch học dày k sắp xếp thời gian được, không muốn bảo lưu, muốn nghỉ</t>
    </r>
  </si>
  <si>
    <t>038304012209</t>
  </si>
  <si>
    <t>Salon CK - CT1 Nam Cường - Cổ Nhuế 1 - Bắc Từ Liêm - Hà Nội</t>
  </si>
  <si>
    <t>được nhượng</t>
  </si>
  <si>
    <t>số nhà 7, ngách 15, ngõ 252 Tây Sơn, Đống Đa</t>
  </si>
  <si>
    <t>số nhà 50, đường D5, khu dân cư Phú Hoà, phường Phú Hoà, Thủ Dầu Một, Bình Dương</t>
  </si>
  <si>
    <t>036303013202</t>
  </si>
  <si>
    <t>459 Tôn Đức Thắng, Hòa Khánh Nam, Liên Chiểu, Đà Nẵng</t>
  </si>
  <si>
    <t>https://drive.google.com/open?id=1VHgOAmcXFdIdJnT7Dn6AY7-Qyv_9A-9v, https://drive.google.com/open?id=1YNuT0YhJ5rYcle5xBUqIcKtLIrA_2U1x</t>
  </si>
  <si>
    <t xml:space="preserve">B645 </t>
  </si>
  <si>
    <t>https://www.facebook.com/nguyentandauphong?mibextid=LQQJ4d</t>
  </si>
  <si>
    <t>Nguyễn Tân</t>
  </si>
  <si>
    <t>nhà 27, Hoa Sơn, Nam Sơn, Sóc Sơn, Hà Nội</t>
  </si>
  <si>
    <t>https://drive.google.com/open?id=1kzExpuP_UB1VzaZHNA-0zlsMl4I1YLCb</t>
  </si>
  <si>
    <t>Combo gt1,2, toeic 1, đã học xong gt 1,2</t>
  </si>
  <si>
    <t>https://www.facebook.com/maihoang282001?mibextid=LQQJ4d</t>
  </si>
  <si>
    <r>
      <rPr>
        <sz val="12"/>
        <color theme="1"/>
        <rFont val="Times New Roman"/>
        <family val="1"/>
      </rPr>
      <t xml:space="preserve">Hoàng Thị Thu Mai </t>
    </r>
    <r>
      <rPr>
        <sz val="12"/>
        <color rgb="FFFF0000"/>
        <rFont val="Times New Roman"/>
        <family val="1"/>
      </rPr>
      <t>(Đổi Toeic 1,2 =&gt;PT + Toeic 1)</t>
    </r>
  </si>
  <si>
    <t>ĐANG Ở NHẬT</t>
  </si>
  <si>
    <t>ĐANG Ở NHẬT. COMBO TOEIC 1+2 =&gt; PRE TOEIC + TOEIC 1
Phương báo đổi</t>
  </si>
  <si>
    <t>https://drive.google.com/open?id=1_vzpGc6hzIYlmxrfdtbAbkfNhg3G7keV</t>
  </si>
  <si>
    <t>HV ở Nhật</t>
  </si>
  <si>
    <r>
      <rPr>
        <sz val="12"/>
        <color theme="1"/>
        <rFont val="Times New Roman"/>
        <family val="1"/>
      </rPr>
      <t xml:space="preserve">Vũ Thị Thùy Linh </t>
    </r>
    <r>
      <rPr>
        <sz val="12"/>
        <color rgb="FFFF0000"/>
        <rFont val="Times New Roman"/>
        <family val="1"/>
      </rPr>
      <t>- Đã nộp 300K 01/04/23</t>
    </r>
    <r>
      <rPr>
        <sz val="12"/>
        <color theme="1"/>
        <rFont val="Times New Roman"/>
        <family val="1"/>
      </rPr>
      <t xml:space="preserve">
</t>
    </r>
    <r>
      <rPr>
        <sz val="12"/>
        <color rgb="FFFF0000"/>
        <rFont val="Times New Roman"/>
        <family val="1"/>
      </rPr>
      <t>T184 bảo lưu b11 đi quân sự. Quay lại T199 b9</t>
    </r>
  </si>
  <si>
    <t xml:space="preserve">Xóm 14, Giao Tiến, Giao Thủy, Nam Định </t>
  </si>
  <si>
    <t>79/100</t>
  </si>
  <si>
    <t>72 Trưng Nữ Vương, Phường 4, quận Gò Vấp, TP Hồ Chí Minh</t>
  </si>
  <si>
    <t>Dương Kim Đạt</t>
  </si>
  <si>
    <t>04 TT6.1 Khu đô thị Ao Sào, Thịnh Liệt, Hoàng Mai, Hà Nội</t>
  </si>
  <si>
    <t>ngõ 58/23/4 Trần Bình, Mai Dịch, Cầu Giấy, Hà Nội</t>
  </si>
  <si>
    <t>số 6 ngách 14 ngõ 218 tây sơn, trung liệt, đống đa,HN</t>
  </si>
  <si>
    <r>
      <rPr>
        <sz val="12"/>
        <color theme="1"/>
        <rFont val="Times New Roman"/>
        <family val="1"/>
      </rPr>
      <t xml:space="preserve">Trịnh Phương Hảo </t>
    </r>
    <r>
      <rPr>
        <sz val="12"/>
        <color rgb="FFFF0000"/>
        <rFont val="Times New Roman"/>
        <family val="1"/>
      </rPr>
      <t>(đổi E1 sang PT + Toeic1)</t>
    </r>
  </si>
  <si>
    <t>Trần Thị Lương</t>
  </si>
  <si>
    <t>Nguyễn Thị Hải Yến</t>
  </si>
  <si>
    <t>https://www.facebook.com/profile.php?id=100034044590012&amp;mibextid=ZbWKwL</t>
  </si>
  <si>
    <t>Nguyễn Thế Toàn</t>
  </si>
  <si>
    <t>https://drive.google.com/open?id=1Tfj9zHtzzWF5375CItdNSkdGM6ZGK7ya</t>
  </si>
  <si>
    <t>Trịnh Thanh Thủy</t>
  </si>
  <si>
    <t>Đào Thị Thu Tấm</t>
  </si>
  <si>
    <t>42 ngõ 66 Hồ Tùng Mậu- Mai Dịch- Cầu Giấy -Hà Nội</t>
  </si>
  <si>
    <t>Hà Ngọc Mai</t>
  </si>
  <si>
    <t>https://www.facebook.com/miuka.takahashi</t>
  </si>
  <si>
    <r>
      <rPr>
        <sz val="12"/>
        <color theme="1"/>
        <rFont val="Times New Roman"/>
        <family val="1"/>
      </rPr>
      <t xml:space="preserve">Trần Thị Minh Hằng </t>
    </r>
    <r>
      <rPr>
        <sz val="12"/>
        <color rgb="FFFF0000"/>
        <rFont val="Times New Roman"/>
        <family val="1"/>
      </rPr>
      <t>- Đã nộp 300K ngày 04/03/24
T186 bảo lưu b10 đi quân sự. Quay lại T203 thiếu HV và đã lùi</t>
    </r>
  </si>
  <si>
    <t>6,Nam Hải,Tiền Hải, Thái Bình</t>
  </si>
  <si>
    <t>426/48/52 Đường Láng - Đống Đa - Hà Nội</t>
  </si>
  <si>
    <t>Nguyễn Thị Mai Hương</t>
  </si>
  <si>
    <t xml:space="preserve">Ngách 150/4, xóm 150, Vĩnh Kỳ, Tân Hội, Đan Phượng, Hà Nội </t>
  </si>
  <si>
    <t>Bùi Danh Thái</t>
  </si>
  <si>
    <t>Nguyễn Thị Nhàn</t>
  </si>
  <si>
    <t>Đinh Trà My</t>
  </si>
  <si>
    <t>Thôn Kim Sơn, Xã Lê Thiện, Huyện An Dương, Hải Phòng</t>
  </si>
  <si>
    <t>https://www.facebook.com/liinxing?mibextid=PzaGJu</t>
  </si>
  <si>
    <t>Cao Thị Linh</t>
  </si>
  <si>
    <t>Áo S (35kg - 53kg)</t>
  </si>
  <si>
    <t xml:space="preserve"> ktx Học viện Báo chí và Tuyên truyền 89 Nguyễn Phong Sắc, Dịch Vọng Hậu, Cầu Giấy, Hà Nội</t>
  </si>
  <si>
    <t>ktx học viện báo chí và tuyên truyền,89 Nguyễn Phong Sắc, Dịch Vọng Hậu, Cầu Giấy, Hà Nội</t>
  </si>
  <si>
    <t>số 15 ngách 40 ngõ 79 Quan Hoa, Cầu Giấy</t>
  </si>
  <si>
    <t>Vũ Đức Huy</t>
  </si>
  <si>
    <t xml:space="preserve">451 Trương Định, Tân Mai, Hoàng  Mai, Hà Nội </t>
  </si>
  <si>
    <t>153 ngách 175/5 Định Công,Định Công,Hoàng Mai,Hà Nội</t>
  </si>
  <si>
    <t>số 15 ngách 40 ngõ 79 Quan Hoa, Cầu Giấy, Hà Nội</t>
  </si>
  <si>
    <t>https://drive.google.com/open?id=1dJZxdAZouVBGLEnzlwtQJH2davmyBoZe; https://drive.google.com/open?id=19D62YZqEDJbFIvPG1lYi_LotXE-jwKhg; https://drive.google.com/open?id=1OkNXHbPm5LJ--z5O9AbNlXj8MPNbeYE9</t>
  </si>
  <si>
    <t>số nhà 63 ngõ 139 phú diễn, bắc từ liêm</t>
  </si>
  <si>
    <t>Vũ Hoàng Dũng</t>
  </si>
  <si>
    <t>số 52 ngõ 168 Nguyễn Lân- Phương Liệt-Thanh Xuân, Hà Nội</t>
  </si>
  <si>
    <t>C170</t>
  </si>
  <si>
    <t>https://www.facebook.com/nhatxom.nguyen.7?locale=vi_VN</t>
  </si>
  <si>
    <t>Nguyễn Văn Triệu</t>
  </si>
  <si>
    <t>Số nhà 1 ngõ  226/45 đường 422B hậu ái vân canh hoài đức hà nội</t>
  </si>
  <si>
    <t>https://drive.google.com/open?id=1ow8SrZ0h5a9KzND0Zu8tUd_pv8uHJM0G, https://drive.google.com/open?id=17Y8usXlJs5hzfkLR4gW8-Ijhb5hogEkn</t>
  </si>
  <si>
    <t>Vũ Xuân Hoà</t>
  </si>
  <si>
    <t>số 52 ngách 54 ngõ 168 Nguyễn Lân-Phường Phương Liệt-Quận Thanh Xuân-HN</t>
  </si>
  <si>
    <t>Nhà số 13, ngách 58/23 Trần Bình, phường Mai Dịch, quận Cầu Giấy, Hà Nội</t>
  </si>
  <si>
    <r>
      <rPr>
        <sz val="12"/>
        <color theme="1"/>
        <rFont val="Times New Roman"/>
        <family val="1"/>
      </rPr>
      <t>Nguyễn Thị Trà My</t>
    </r>
    <r>
      <rPr>
        <sz val="12"/>
        <color rgb="FFFF0000"/>
        <rFont val="Times New Roman"/>
        <family val="1"/>
      </rPr>
      <t xml:space="preserve"> - Đã nộp 300K 16/04/2024
OT14 bảo lưu b18 đi quân sự. Quay lại OT19 b8</t>
    </r>
  </si>
  <si>
    <t>chạm bơm thôn lam điền, xã lam điền, chương mỹ, hà nội</t>
  </si>
  <si>
    <t>89 Nguyễn Phong Sắc, Dịch Vọng Hậu, Cậu Giấy, Hà Nội</t>
  </si>
  <si>
    <t>Nguyễn Duyên Huy</t>
  </si>
  <si>
    <t>số 5 tổ 36, ngõ 143 Quan Hoa, Cầu Giấy, Hà Nội</t>
  </si>
  <si>
    <t>Phạm Sơn Hải</t>
  </si>
  <si>
    <t>ngách35 ngõ 66 hồ tùng mậu, mai dịch, cầu giấy , hà nội</t>
  </si>
  <si>
    <t>OT64</t>
  </si>
  <si>
    <t>https://www.facebook.com/share/1DYGrozZLM/</t>
  </si>
  <si>
    <r>
      <rPr>
        <sz val="12"/>
        <color theme="1"/>
        <rFont val="Times New Roman"/>
        <family val="1"/>
      </rPr>
      <t xml:space="preserve">Nguyễn Minh Tâm </t>
    </r>
    <r>
      <rPr>
        <sz val="12"/>
        <color rgb="FFFF0000"/>
        <rFont val="Times New Roman"/>
        <family val="1"/>
      </rPr>
      <t>- Chưa nộp 300K
OT13 bảo lưu b6 đi viện. Học OT64 b1</t>
    </r>
  </si>
  <si>
    <t>https://www.facebook.com/profile.php/?id=100047868413787</t>
  </si>
  <si>
    <t>038304010175</t>
  </si>
  <si>
    <t>Tam Quy -Hà Tân- Hà Trung- Thanh Hoá</t>
  </si>
  <si>
    <t>https://www.facebook.com/profile.php?id=100015680591693</t>
  </si>
  <si>
    <t>Phạm Hải Yến</t>
  </si>
  <si>
    <t>035303001605</t>
  </si>
  <si>
    <t xml:space="preserve">số 5, ngõ 1002 đường Láng, Láng Thượng, Đống Đa, Hà Nội </t>
  </si>
  <si>
    <t>số nhà 45 nghách 14/31-14 pháo đài láng - láng thượng - đống đa - hà nội</t>
  </si>
  <si>
    <t>https://www.facebook.com/hoang8531?mibextid=LQQJ4d</t>
  </si>
  <si>
    <t>Nguyễn Huy Hoàng</t>
  </si>
  <si>
    <t>số nhà 55, ngõ 165 phố chợ Khâm Thiên, Trung Phụng, Đống Đa, Hà Nội</t>
  </si>
  <si>
    <t>https://drive.google.com/open?id=1czddd3zViLO_K9bDIfTzCRRF0Hdh1Xz7; https://drive.google.com/open?id=1mPIUmM9Iqx4cWex1mVJ59fH73XzLQ1k4</t>
  </si>
  <si>
    <t>Trả lương T12.2023</t>
  </si>
  <si>
    <r>
      <rPr>
        <sz val="12"/>
        <color theme="1"/>
        <rFont val="Times New Roman"/>
        <family val="1"/>
      </rPr>
      <t>Nguyễn Trần Nam Phương</t>
    </r>
    <r>
      <rPr>
        <sz val="12"/>
        <color rgb="FFFF0000"/>
        <rFont val="Times New Roman"/>
        <family val="1"/>
      </rPr>
      <t xml:space="preserve"> (OT14 =&gt;Chờ lớp)</t>
    </r>
  </si>
  <si>
    <t>89 Nguyễn Phong Sắc, Dịch vọng hậu, cầu giấy, hà nội</t>
  </si>
  <si>
    <r>
      <rPr>
        <sz val="12"/>
        <color theme="1"/>
        <rFont val="Times New Roman"/>
        <family val="1"/>
      </rPr>
      <t>Đặng Thị Lý</t>
    </r>
    <r>
      <rPr>
        <sz val="12"/>
        <color rgb="FFFF0000"/>
        <rFont val="Times New Roman"/>
        <family val="1"/>
      </rPr>
      <t xml:space="preserve"> - nick Tuyệt thế dưa leo</t>
    </r>
  </si>
  <si>
    <t>182 Lương Thế Vinh, Thanh Xuân Bắc, Thanh Xuân, Hà Nội</t>
  </si>
  <si>
    <t>Lê Trâm Anh</t>
  </si>
  <si>
    <t>001304017819</t>
  </si>
  <si>
    <t>Chung cư Mipec Riverside, phường Ngọc Lâm, quận Long Biên, Hà Nội</t>
  </si>
  <si>
    <r>
      <rPr>
        <sz val="12"/>
        <color theme="1"/>
        <rFont val="Times New Roman"/>
        <family val="1"/>
      </rPr>
      <t xml:space="preserve">Nguyễn Quỳnh Anh </t>
    </r>
    <r>
      <rPr>
        <sz val="12"/>
        <color rgb="FFFF0000"/>
        <rFont val="Times New Roman"/>
        <family val="1"/>
      </rPr>
      <t>- nick Nguyễn Quỳnh</t>
    </r>
  </si>
  <si>
    <t>đh Công Nghiệp, Tp Phủ lý, Hà Nam</t>
  </si>
  <si>
    <t>87/100</t>
  </si>
  <si>
    <t>số 7 ngách 108 ngõ 75 giải phóng , đồng tâm , Hai Bà Trưng - Hà Nội</t>
  </si>
  <si>
    <t>https://www.facebook.com/profile.php?id=100011895188813&amp;mibextid=PzaGJu</t>
  </si>
  <si>
    <t>Toà R6A Royal City, 72A Nguyễn Trãi, Thượng Đình, Thanh Xuân, Hà Nội</t>
  </si>
  <si>
    <r>
      <rPr>
        <sz val="12"/>
        <color theme="1"/>
        <rFont val="Times New Roman"/>
        <family val="1"/>
      </rPr>
      <t>Bùi Đình Hậu</t>
    </r>
    <r>
      <rPr>
        <sz val="12"/>
        <color rgb="FFFF0000"/>
        <rFont val="Times New Roman"/>
        <family val="1"/>
      </rPr>
      <t xml:space="preserve"> - Đã chuyển nhượng Bùi Yến Nhi773386206</t>
    </r>
  </si>
  <si>
    <t>Chưa</t>
  </si>
  <si>
    <t>Mầm non Elton House , Tổ 3, Phường Lê Hồng Phong , Phủ Lý , Hà Nam</t>
  </si>
  <si>
    <t>Bùi Hoàng Tùng</t>
  </si>
  <si>
    <t>Đặng Hồng Thành</t>
  </si>
  <si>
    <t>thôn Thanh Trí- xã Minh Phú- huyện Sóc Sơn- tp Hà Nội</t>
  </si>
  <si>
    <t>Đỗ Thuỳ Linh</t>
  </si>
  <si>
    <t>đường Ngô Gia Tự, tổ 3, phường Lê Hồng Phong, tp Phủ Lý, tỉnh Hà Nam</t>
  </si>
  <si>
    <t>Lý Thị Ngọc Ánh</t>
  </si>
  <si>
    <t>https://www.facebook.com/profile.php?id=100072343125393&amp;mibextid=LQQJ4d</t>
  </si>
  <si>
    <t>Nguyễn Thị Khánh Ly</t>
  </si>
  <si>
    <t>Nly18102005@gmail.com</t>
  </si>
  <si>
    <t>Số 11 ngõ 201 đường cầu giấy, Dịch Vọng, Cầu Giấy, Hà Nội</t>
  </si>
  <si>
    <t>https://drive.google.com/open?id=1LNhoGl-e6tCp9fHjYiMEL6NW8r83niQQ; https://drive.google.com/open?id=1dj4cIpdL5vkfdvyFC2y59yLzf6orhREr</t>
  </si>
  <si>
    <t>Nguyễn Thị Khánh Ly (Cần hợp đồng)        814283199
chị ghi bạn này là đã tính lương nha chị, nhận lương r chị Mai chưa note ở file. Đức chat</t>
  </si>
  <si>
    <t>https://www.facebook.com/profile.php?id=100037188972287&amp;mibextid=ZbWKwL</t>
  </si>
  <si>
    <r>
      <rPr>
        <sz val="12"/>
        <color theme="1"/>
        <rFont val="Times New Roman"/>
        <family val="1"/>
      </rPr>
      <t xml:space="preserve">Ly Seo Anh </t>
    </r>
    <r>
      <rPr>
        <sz val="12"/>
        <color rgb="FFFF0000"/>
        <rFont val="Times New Roman"/>
        <family val="1"/>
      </rPr>
      <t xml:space="preserve">- Nhận chuyển nhượng
</t>
    </r>
    <r>
      <rPr>
        <sz val="12"/>
        <color theme="1"/>
        <rFont val="Times New Roman"/>
        <family val="1"/>
      </rPr>
      <t xml:space="preserve">Nông Thị Bích Hảo </t>
    </r>
    <r>
      <rPr>
        <sz val="12"/>
        <color rgb="FFFF0000"/>
        <rFont val="Times New Roman"/>
        <family val="1"/>
      </rPr>
      <t>0866124056. Đã nộp 300K chuyển nhượng 11/12/2023</t>
    </r>
  </si>
  <si>
    <t>HV chat chuyển nhượng</t>
  </si>
  <si>
    <t>anhly0842@gmail.com</t>
  </si>
  <si>
    <t xml:space="preserve">99 Đ. Nguyễn Chí Thanh, Láng Hạ, Đống Đa, Hà Nội </t>
  </si>
  <si>
    <t>Hảo đã học 1 buổi OT8, đã nhận sách và áo. Đã nhắn HẢo đưa lại cho bạn sách và áo.</t>
  </si>
  <si>
    <t>https://www.facebook.com/100024936923350/</t>
  </si>
  <si>
    <t>Trần Thị Huyền Trang</t>
  </si>
  <si>
    <t>trangnavia@gmail.com</t>
  </si>
  <si>
    <t>Số 9, Ngõ 193/64 Phú Diễn, Bắc Từ Liêm, Hà Nội</t>
  </si>
  <si>
    <t>https://drive.google.com/open?id=1RX4AlOFXF2gjOv0rNgmq9NQVLUH7AIv6</t>
  </si>
  <si>
    <t>Khu đô thị Thanh Hà, toà HH02C, Phú Lương, Hà Đông, Hà Nội</t>
  </si>
  <si>
    <t>https://www.facebook.com/profile.php?id=100050241463752&amp;mibextid=LQQJ4d</t>
  </si>
  <si>
    <t xml:space="preserve">Nguyễn Thị Cẩm Tú </t>
  </si>
  <si>
    <t>126 phố viên phường cổ nhuế 2 bắc từ liêm</t>
  </si>
  <si>
    <t>22/10/2023 và 02/11/2023</t>
  </si>
  <si>
    <t>https://drive.google.com/open?id=1q8UJDdXGRpNXRlFX25J5r2Y7TGB-_Ir-; https://drive.google.com/open?id=1CZ2SUWFn4beRBdGO7lQszFKbttgk6Cdm, https://drive.google.com/open?id=1Ny_rzTS_6fdKfwVgXi9SEw133-caDyx0</t>
  </si>
  <si>
    <t>https://www.facebook.com/dangminh.220905?mibextid=LQQJ4d</t>
  </si>
  <si>
    <t>Nguyễn Đăng Minh</t>
  </si>
  <si>
    <t>số 5 ngõ 103/51 Cổ Nhuế, Bắc Từ Liêm, Hà Nội</t>
  </si>
  <si>
    <t>31/10/2023 và 26/11/2023</t>
  </si>
  <si>
    <t>https://drive.google.com/open?id=1A0MM1G8yGcIkSFB1yjEW9KsEBSj24Dwb, https://drive.google.com/open?id=1V4tU5eNCY7pOEAA0zpkX1R5ZIMf9EBFM; https://drive.google.com/open?id=1yn62CRmVodegS4abLHS5O5R3CR1FVGLS</t>
  </si>
  <si>
    <t xml:space="preserve">Đỗ Thị Trà My </t>
  </si>
  <si>
    <t>https://www.facebook.com/profile.php?id=100066570931154&amp;mibextid=ZbWKwL</t>
  </si>
  <si>
    <t>Nguyễn Văn Nhật</t>
  </si>
  <si>
    <t>nhận tại lớp</t>
  </si>
  <si>
    <t>https://drive.google.com/open?id=1dTYUdsX8sJjHfInumV8P9oV3JHvSgf8K; https://drive.google.com/open?id=1K8XJbQsSJy-xNBLcwCZom9gLj3Pi0jvD</t>
  </si>
  <si>
    <t>https://www.facebook.com/profile.php?id=100064492684292&amp;mibextid=LQQJ4d</t>
  </si>
  <si>
    <t>Nguyễn Anh Quân</t>
  </si>
  <si>
    <t>quankhonggiau@gmail.com</t>
  </si>
  <si>
    <t>Lô 203-2 Đồng Mới - An Khánh - Hoài Đức - Hà Nội</t>
  </si>
  <si>
    <t>https://drive.google.com/open?id=1TvKXU5j5QvLpGZ-EmoAVLhyCbqSCmmnL; https://drive.google.com/open?id=1s9x06aplahEASTpISf5NEq4gVliumLcu</t>
  </si>
  <si>
    <t xml:space="preserve"> Ngõ 9, Bình Minh - Thanh Oai - Hà Nội</t>
  </si>
  <si>
    <t>T205 nghỉ ngang. Huy báo</t>
  </si>
  <si>
    <r>
      <rPr>
        <sz val="12"/>
        <color theme="1"/>
        <rFont val="Times New Roman"/>
        <family val="1"/>
      </rPr>
      <t>Lê Tuấn Anh</t>
    </r>
    <r>
      <rPr>
        <sz val="12"/>
        <color rgb="FFFF0000"/>
        <rFont val="Times New Roman"/>
        <family val="1"/>
      </rPr>
      <t xml:space="preserve"> - Đã nộp 300K 08/04/2024 chung bill với Đại T205
OT17 bảo lưu b8. Quay lại T205 b1 do thiếu HV</t>
    </r>
  </si>
  <si>
    <t>VIP72</t>
  </si>
  <si>
    <t>https://www.facebook.com/kieutrang247.ajc?mibextid=LQQJ4d</t>
  </si>
  <si>
    <t>Đinh Thị Kiều Trang</t>
  </si>
  <si>
    <t>Đinh Huyền Trang</t>
  </si>
  <si>
    <t xml:space="preserve">Kí túc xá ngoại ngữ, Số 2 Phạm Văn Đồng, Cầu Giấy, Hà Nội 
</t>
  </si>
  <si>
    <r>
      <rPr>
        <sz val="12"/>
        <color theme="1"/>
        <rFont val="Times New Roman"/>
        <family val="1"/>
      </rPr>
      <t xml:space="preserve">Đoàn Thanh Thuỷ </t>
    </r>
    <r>
      <rPr>
        <sz val="12"/>
        <color rgb="FFFF0000"/>
        <rFont val="Times New Roman"/>
        <family val="1"/>
      </rPr>
      <t>- nick Thuy Doan</t>
    </r>
  </si>
  <si>
    <t>Nguyễn Mai Phương</t>
  </si>
  <si>
    <t>Số 9, Ngõ 176 Mai Dịch, Cầu Giấy, Hà Nội</t>
  </si>
  <si>
    <t>T192 Nghỉ ngang buổi 2. Giáo viên nhắn tin học viên xin phép nghỉ hẳn. Huy chat</t>
  </si>
  <si>
    <r>
      <rPr>
        <sz val="12"/>
        <color theme="1"/>
        <rFont val="Times New Roman"/>
        <family val="1"/>
      </rPr>
      <t xml:space="preserve">Nguyễn Văn Toàn </t>
    </r>
    <r>
      <rPr>
        <sz val="12"/>
        <color rgb="FFFF0000"/>
        <rFont val="Times New Roman"/>
        <family val="1"/>
      </rPr>
      <t>(29/12 gửi)</t>
    </r>
  </si>
  <si>
    <t>Đội 9, thôn mục uyên 1, xã tân xã, huyện thạch thất, hà nội</t>
  </si>
  <si>
    <r>
      <rPr>
        <sz val="12"/>
        <color theme="1"/>
        <rFont val="Times New Roman"/>
        <family val="1"/>
      </rPr>
      <t xml:space="preserve">Nguyễn Hữu Nam </t>
    </r>
    <r>
      <rPr>
        <sz val="12"/>
        <color rgb="FFFF0000"/>
        <rFont val="Times New Roman"/>
        <family val="1"/>
      </rPr>
      <t>(đổi T học PT). Học lại PT 50% học phí. Còn 716K tính cho khóa học Toec LV1</t>
    </r>
  </si>
  <si>
    <t xml:space="preserve">3,668K - 1,968K học PT56 còn 1,700K. 1700K -984K học lại PT = 716K tính cho khóa học Toec LV1 em nhé
</t>
  </si>
  <si>
    <r>
      <rPr>
        <sz val="12"/>
        <color theme="1"/>
        <rFont val="Times New Roman"/>
        <family val="1"/>
      </rPr>
      <t xml:space="preserve">Dương Thị Huyền </t>
    </r>
    <r>
      <rPr>
        <sz val="12"/>
        <color rgb="FFFF0000"/>
        <rFont val="Times New Roman"/>
        <family val="1"/>
      </rPr>
      <t xml:space="preserve">- nick Trang Huyen
Đã nộp 300K ngày 12/03/2024. </t>
    </r>
    <r>
      <rPr>
        <sz val="12"/>
        <color theme="1"/>
        <rFont val="Times New Roman"/>
        <family val="1"/>
      </rPr>
      <t>OT18 bảo lưu b15 đi quân sự. Quay lại OT19 b15</t>
    </r>
  </si>
  <si>
    <t xml:space="preserve">ngõ 89 , số nhà 38 , An Trai , Nam Từ Liêm ,Hà Nội </t>
  </si>
  <si>
    <t>số 2-261 Thạch Bàn, Long Biên, Hà Nội</t>
  </si>
  <si>
    <t>Số 95- thôn chàng chợ- Xã dương liễu-Huyện hoài đức-Hà nội</t>
  </si>
  <si>
    <t>Ngõ 46-văn hội- phường đông ngạc-bắc từ liêm-Hà Nội</t>
  </si>
  <si>
    <t>Nhà số 15, ngõ 488 Trần Cung, Cổ Nhuế 1, Bắc Từ Liêm, Hà Nội</t>
  </si>
  <si>
    <t>Ngõ 47/259, Vĩnh Hưng, Hoàng Mai, Hà Nội</t>
  </si>
  <si>
    <t>https://www.facebook.com/profile.php?id=100078970482415</t>
  </si>
  <si>
    <t>Nguyễn Thị Lan Anh</t>
  </si>
  <si>
    <t>Làng sv Việt Trà - Tổ 1, Phường Tân Thịnh, TP Thái Nguyên, Thái Nguyên</t>
  </si>
  <si>
    <t>https://drive.google.com/open?id=1gTUb9twAhKqKzCvYanz6OD-KnrfZ0jOS, https://drive.google.com/open?id=1EeEHOP74p2eedWfTK5qD_JfRfL09CjwQ</t>
  </si>
  <si>
    <t>Nhà 2, Ngách 1, Ngõ 267 Hồ Tùng Mậu, Bắc Từ Liêm, Hà Nội</t>
  </si>
  <si>
    <t>VIP106</t>
  </si>
  <si>
    <r>
      <rPr>
        <sz val="12"/>
        <color theme="1"/>
        <rFont val="Times New Roman"/>
        <family val="1"/>
      </rPr>
      <t xml:space="preserve">Nguyễn Quỳnh Anh </t>
    </r>
    <r>
      <rPr>
        <sz val="12"/>
        <color rgb="FFFF0000"/>
        <rFont val="Times New Roman"/>
        <family val="1"/>
      </rPr>
      <t>- đã nộp 300K 17/08/2024
VIP73 bảo lưu b7 đi quân sự. Học VIP106 b1</t>
    </r>
  </si>
  <si>
    <t>78 Võ Chí Công, Nghĩa Đô, Cầu Giấy, Hà Nội</t>
  </si>
  <si>
    <t>VIP73 đã chuyển nhượng</t>
  </si>
  <si>
    <r>
      <rPr>
        <sz val="12"/>
        <color theme="1"/>
        <rFont val="Times New Roman"/>
        <family val="1"/>
      </rPr>
      <t>Nguyễn Đình Khải</t>
    </r>
    <r>
      <rPr>
        <sz val="12"/>
        <color rgb="FFFF0000"/>
        <rFont val="Times New Roman"/>
        <family val="1"/>
      </rPr>
      <t xml:space="preserve"> - Chuyển nhượng Nguyễn Thị Thảo 0399123134
Đã nộp 300K chuyển nhượng 08/01/24</t>
    </r>
  </si>
  <si>
    <t>41 ngõ 3 Phạm Tuấn Tài, Dịch Vọng Hậu, Cầu Giấy, Hà Nội</t>
  </si>
  <si>
    <t>Đã nộp 300K chuyển nhượng 08/01/2024</t>
  </si>
  <si>
    <t>VIP84</t>
  </si>
  <si>
    <t>https://www.facebook.com/nguyenthao0125?mibextid=2JQ9oc</t>
  </si>
  <si>
    <r>
      <rPr>
        <sz val="12"/>
        <color theme="1"/>
        <rFont val="Times New Roman"/>
        <family val="1"/>
      </rPr>
      <t xml:space="preserve">Nguyễn Thị Thảo </t>
    </r>
    <r>
      <rPr>
        <sz val="12"/>
        <color rgb="FFFF0000"/>
        <rFont val="Times New Roman"/>
        <family val="1"/>
      </rPr>
      <t>- VIP73 bảo lưu b7 đi. Quay lại VIP84 b1. Đã nộp 300K 20/3/24</t>
    </r>
    <r>
      <rPr>
        <sz val="12"/>
        <color theme="1"/>
        <rFont val="Times New Roman"/>
        <family val="1"/>
      </rPr>
      <t xml:space="preserve">
</t>
    </r>
    <r>
      <rPr>
        <sz val="12"/>
        <color rgb="FFFF0000"/>
        <rFont val="Times New Roman"/>
        <family val="1"/>
      </rPr>
      <t>Nhận chuyển nhượng Nguyễn Đình Khải 969534780</t>
    </r>
  </si>
  <si>
    <t>HV Khải báo</t>
  </si>
  <si>
    <t>ngõ 72, phố Đình Quán Bắc Từ Liêm, Hà Nội</t>
  </si>
  <si>
    <t>Số nhà 11.1 105/47 doãn kế Thiện mai dịch cầu giấy hà nội</t>
  </si>
  <si>
    <t>P126</t>
  </si>
  <si>
    <t>https://www.facebook.com/huyens.nguyens.3745</t>
  </si>
  <si>
    <r>
      <rPr>
        <sz val="12"/>
        <color theme="1"/>
        <rFont val="Times New Roman"/>
        <family val="1"/>
      </rPr>
      <t>Nguyễn Thị Huyền</t>
    </r>
    <r>
      <rPr>
        <sz val="12"/>
        <color rgb="FFFF0000"/>
        <rFont val="Times New Roman"/>
        <family val="1"/>
      </rPr>
      <t xml:space="preserve"> - P126, GR15 - Yến Meca báo</t>
    </r>
  </si>
  <si>
    <t>https://drive.google.com/open?id=1hXXIUHdcxrgoRmTSmPOXl7gwiQFsUFFF</t>
  </si>
  <si>
    <t>Thổ Cốc- Tân Lập- Yên Mỹ- Hưng Yên</t>
  </si>
  <si>
    <t>Dương Nội 2, CT8D, Yên Nghĩa, Hà Đông, Hà Nội</t>
  </si>
  <si>
    <t>https://drive.google.com/open?id=1sz4e1Ut-nXLq3INV-93KDx98ODQgtPiE</t>
  </si>
  <si>
    <t>VIP74</t>
  </si>
  <si>
    <t>Phạm Thị Phương Uyên</t>
  </si>
  <si>
    <t>22/85 Xuân Thuỷ-Cầu Giấy- Hà Nội</t>
  </si>
  <si>
    <t xml:space="preserve">ngách 59/66 đường văn tiến dũng phúc diễn Bắc từ liêm Hà nội </t>
  </si>
  <si>
    <t>Nhà 19BT4, Đường Foresa 3, Phố Thị Cấm, Phường Xuân Phương, Nam Từ Liêm, Hà Nội</t>
  </si>
  <si>
    <t>https://www.facebook.com/nam.hoduy.33?mibextid=ZbWKwL</t>
  </si>
  <si>
    <r>
      <rPr>
        <sz val="12"/>
        <color theme="1"/>
        <rFont val="Times New Roman"/>
        <family val="1"/>
      </rPr>
      <t>Hồ Duy Nam</t>
    </r>
    <r>
      <rPr>
        <sz val="12"/>
        <color rgb="FFFF0000"/>
        <rFont val="Times New Roman"/>
        <family val="1"/>
      </rPr>
      <t xml:space="preserve"> (OVIP 2 =&gt; OVIP1 Ngô Đức chat)</t>
    </r>
  </si>
  <si>
    <t xml:space="preserve"> honam0944@gmail.com </t>
  </si>
  <si>
    <t>https://drive.google.com/open?id=1htkCllbuKsnxlTOfEm-2Jt0DFWn56rT5</t>
  </si>
  <si>
    <t>Trả lương T01.2024</t>
  </si>
  <si>
    <r>
      <rPr>
        <sz val="12"/>
        <color theme="1"/>
        <rFont val="Times New Roman"/>
        <family val="1"/>
      </rPr>
      <t xml:space="preserve">Nguyễn Thị Thu Hương </t>
    </r>
    <r>
      <rPr>
        <sz val="12"/>
        <color rgb="FFFF0000"/>
        <rFont val="Times New Roman"/>
        <family val="1"/>
      </rPr>
      <t>- nick Hương Hân</t>
    </r>
  </si>
  <si>
    <t>OVIP1 tạm dừng khóa học b13. Huy chat</t>
  </si>
  <si>
    <t>Nguyễn Mai Chi</t>
  </si>
  <si>
    <t>OVIP2</t>
  </si>
  <si>
    <t xml:space="preserve">89 Nguyễn Phong Sắc, Dịch Vọng Hậu, Cầu Giấy </t>
  </si>
  <si>
    <t>https://www.facebook.com/profile.php?id=61552186963643&amp;mibextid=kFxxJD</t>
  </si>
  <si>
    <t>Đinh Thị Thục Oanh</t>
  </si>
  <si>
    <t>T103</t>
  </si>
  <si>
    <t>VIP74 xin nghỉ ngang b15</t>
  </si>
  <si>
    <t>https://www.facebook.com/profile.php?id=100036033547878</t>
  </si>
  <si>
    <t>Nguyễn Thị Thanh</t>
  </si>
  <si>
    <t>38 phú minh, minh khai, bắc từ liêm, hà nội</t>
  </si>
  <si>
    <t>https://drive.google.com/open?id=1Hi71hc0T7Dtv7zXTxjd8X_q3QdsjPW04</t>
  </si>
  <si>
    <t>Trả lương T8.2022</t>
  </si>
  <si>
    <t>Nguyễn Hồ Khánh Linh</t>
  </si>
  <si>
    <t>Kí Túc Xá Số 2 Trường Đại Học Vinh Đương, Lê Duẩn, Phường Bến Thủy, Thành Phố Vinh, Nghệ An</t>
  </si>
  <si>
    <t xml:space="preserve">Kí túc xá Học viện Báo chí và Tuyên truyền, Nguyễn Phong Sắc, Dịch Vọng Hậu, Cầu Giấy, Hà Nội </t>
  </si>
  <si>
    <t>Nguyễn Thanh Hà</t>
  </si>
  <si>
    <t>Nguyễn Thị Thúy</t>
  </si>
  <si>
    <t>Nhà trọ Hiếu Ánh, thôn 1, xã Phù Vân, thành phố Phủ Lý, Hà Nam</t>
  </si>
  <si>
    <t>Vũ Hải Đăng</t>
  </si>
  <si>
    <t>Số nhà 08, ngã tư mục uyên 1 đường mục uyên, xã Tân xã, huyện Thạch Thất, Hà Nội</t>
  </si>
  <si>
    <r>
      <rPr>
        <sz val="12"/>
        <color theme="1"/>
        <rFont val="Times New Roman"/>
        <family val="1"/>
      </rPr>
      <t xml:space="preserve">Vũ Đức Đại </t>
    </r>
    <r>
      <rPr>
        <sz val="12"/>
        <color rgb="FFFF0000"/>
        <rFont val="Times New Roman"/>
        <family val="1"/>
      </rPr>
      <t>- Đã nộp 600K ngày 08/04/2024
OT17 bảo lưu b8 đi quân sự. Quay lại T205 b1 do thiếu HV</t>
    </r>
  </si>
  <si>
    <t>Đổi E3 +VIP học Stour 4</t>
  </si>
  <si>
    <r>
      <rPr>
        <sz val="12"/>
        <color theme="1"/>
        <rFont val="Times New Roman"/>
        <family val="1"/>
      </rPr>
      <t>Lê Thị Thanh Thảo</t>
    </r>
    <r>
      <rPr>
        <sz val="12"/>
        <color rgb="FFFF0000"/>
        <rFont val="Times New Roman"/>
        <family val="1"/>
      </rPr>
      <t xml:space="preserve"> (OVIP2) - đổi E3 +VIP học Stour 4</t>
    </r>
  </si>
  <si>
    <t>đổi E3 +VIP học Stour 4</t>
  </si>
  <si>
    <t>T196</t>
  </si>
  <si>
    <t xml:space="preserve"> bưu điện xã Tân Phú quốc oai hà nội</t>
  </si>
  <si>
    <t>HV ở Nhật. ĐANG Ở NHẬT. COMBO TOEIC 1+2 =&gt; PRE TOEIC + TOEIC 1
Phương báo đổi</t>
  </si>
  <si>
    <r>
      <rPr>
        <sz val="12"/>
        <color theme="1"/>
        <rFont val="Times New Roman"/>
        <family val="1"/>
      </rPr>
      <t xml:space="preserve">Ngô Chính Nghĩa </t>
    </r>
    <r>
      <rPr>
        <sz val="12"/>
        <color rgb="FFFF0000"/>
        <rFont val="Times New Roman"/>
        <family val="1"/>
      </rPr>
      <t>chị nhận hộ 0986104910</t>
    </r>
  </si>
  <si>
    <t>340 trịnh đình trọng phường hoà thạnh quận tân phú</t>
  </si>
  <si>
    <t>B520</t>
  </si>
  <si>
    <t>T482</t>
  </si>
  <si>
    <t>https://www.facebook.com/profile.php?id=100086954523874</t>
  </si>
  <si>
    <r>
      <rPr>
        <sz val="12"/>
        <color theme="1"/>
        <rFont val="Times New Roman"/>
        <family val="1"/>
      </rPr>
      <t xml:space="preserve">Phạm Thùy Linh </t>
    </r>
    <r>
      <rPr>
        <sz val="12"/>
        <color rgb="FFFF0000"/>
        <rFont val="Times New Roman"/>
        <family val="1"/>
      </rPr>
      <t>- nick Ling Thiy - Đã nộp 300K 09/06/2026
T194 bảo lưu buổi 2. Quay lại T211, T213 b1 ko học. T482 b1</t>
    </r>
  </si>
  <si>
    <t>Q&amp;Q Luxury, thôn 4, thạch thất, Hà Nội</t>
  </si>
  <si>
    <t>https://drive.google.com/open?id=1V7yKYuEHRj8TQIM_pX-0D3eotND2QYli</t>
  </si>
  <si>
    <r>
      <rPr>
        <sz val="12"/>
        <color theme="1"/>
        <rFont val="Times New Roman"/>
        <family val="1"/>
      </rPr>
      <t xml:space="preserve">Đạo Thị Kim Phương
</t>
    </r>
    <r>
      <rPr>
        <sz val="12"/>
        <color rgb="FFFF0000"/>
        <rFont val="Times New Roman"/>
        <family val="1"/>
      </rPr>
      <t>T168 ko đạt đầu ra. Học lại T185 buổi 7</t>
    </r>
  </si>
  <si>
    <t>số 18, ngách 63/4, xóm 4, Lai Xá, Kim Chung, Hoài Đức, Hà Nội</t>
  </si>
  <si>
    <t>ngõ 160- phường tây tựu - bắc từ liêm hà nôi</t>
  </si>
  <si>
    <t>32/160 Đồng me, Nam Từ Liêm</t>
  </si>
  <si>
    <t>29 ngõ 57 ngạch 63 phú mỹ, mỹ đình 2 , nam từ liêm</t>
  </si>
  <si>
    <t>089 Nguyễn Phong Sắc, Dịch Vọng Hậu, Cầu Giấy</t>
  </si>
  <si>
    <t>VIP76</t>
  </si>
  <si>
    <r>
      <rPr>
        <sz val="12"/>
        <color theme="1"/>
        <rFont val="Times New Roman"/>
        <family val="1"/>
      </rPr>
      <t xml:space="preserve">Hà Diệu Linh </t>
    </r>
    <r>
      <rPr>
        <sz val="12"/>
        <color rgb="FFFF0000"/>
        <rFont val="Times New Roman"/>
        <family val="1"/>
      </rPr>
      <t>(OVIP2)</t>
    </r>
  </si>
  <si>
    <t>97 Trần Bình, Mỹ Đình, Nam Từ Liêm, Hà Nội</t>
  </si>
  <si>
    <t>Gửi bác bảo vệ VP</t>
  </si>
  <si>
    <t>99 Nguyễn Chí Thanh , Đống Đa</t>
  </si>
  <si>
    <t>OVIP3</t>
  </si>
  <si>
    <r>
      <rPr>
        <sz val="12"/>
        <color theme="1"/>
        <rFont val="Times New Roman"/>
        <family val="1"/>
      </rPr>
      <t xml:space="preserve">Quảng Thị Bích Ngọc </t>
    </r>
    <r>
      <rPr>
        <sz val="12"/>
        <color rgb="FFFF0000"/>
        <rFont val="Times New Roman"/>
        <family val="1"/>
      </rPr>
      <t>(OVIP2)</t>
    </r>
  </si>
  <si>
    <t>Số 73 ngách 23, ngõ 58 Trần Bình, Mai Dịch, Cầu Giấy, Hà Nội</t>
  </si>
  <si>
    <t>PT65</t>
  </si>
  <si>
    <t>https://www.facebook.com/vuxlizz99?mibextid=LQQJ4d</t>
  </si>
  <si>
    <r>
      <rPr>
        <sz val="12"/>
        <color theme="1"/>
        <rFont val="Times New Roman"/>
        <family val="1"/>
      </rPr>
      <t>Nguyễn Long Vũ</t>
    </r>
    <r>
      <rPr>
        <sz val="12"/>
        <color rgb="FFFF0000"/>
        <rFont val="Times New Roman"/>
        <family val="1"/>
      </rPr>
      <t xml:space="preserve"> - thiếu 1,968K nộp khi học T, đổi T học PT 
Nhận chuyển nhượng của 705973063 Mai Văn Hiếu</t>
    </r>
  </si>
  <si>
    <t>HV chuyển nhượng</t>
  </si>
  <si>
    <t>nguyenlongvu7636@gmail.com</t>
  </si>
  <si>
    <t>nhà 32, phú kiều, kiều mai, bắc từ liêm, hà nội.</t>
  </si>
  <si>
    <t>https://drive.google.com/open?id=1u9o5kYSGYwpwZgQnAkcRWpPq8LP2kBlr</t>
  </si>
  <si>
    <t>Hà Hiền test ko đủ điểm học T</t>
  </si>
  <si>
    <t>Đã nộp 300K chuyển nhượng ngày 08/01/2024</t>
  </si>
  <si>
    <r>
      <rPr>
        <sz val="12"/>
        <color theme="1"/>
        <rFont val="Times New Roman"/>
        <family val="1"/>
      </rPr>
      <t>Bùi Thị Thanh Thảo</t>
    </r>
    <r>
      <rPr>
        <sz val="12"/>
        <color rgb="FFFF0000"/>
        <rFont val="Times New Roman"/>
        <family val="1"/>
      </rPr>
      <t xml:space="preserve"> - Huy báo học lại miễn phí do ko đạt đầu ra</t>
    </r>
  </si>
  <si>
    <t>P129 và GT2</t>
  </si>
  <si>
    <t>https://www.facebook.com/tranquangvinh1610v</t>
  </si>
  <si>
    <r>
      <rPr>
        <sz val="12"/>
        <color theme="1"/>
        <rFont val="Times New Roman"/>
        <family val="1"/>
      </rPr>
      <t xml:space="preserve">Trần Quang Vinh </t>
    </r>
    <r>
      <rPr>
        <sz val="12"/>
        <color rgb="FFFF0000"/>
        <rFont val="Times New Roman"/>
        <family val="1"/>
      </rPr>
      <t>(P129 học OFF) GT2 học Minh</t>
    </r>
  </si>
  <si>
    <t>Thiệp</t>
  </si>
  <si>
    <t>036204010066</t>
  </si>
  <si>
    <t>Hải Yến chat. Đổi GT3 sang Toeic 1</t>
  </si>
  <si>
    <t>https://drive.google.com/open?id=1k0gHcoO9GpiAz7BhIemxrcR2MwSYR5FN; https://drive.google.com/open?id=1sRJNhBoaq5Akro16kwQylByerZIFVdTJ</t>
  </si>
  <si>
    <r>
      <rPr>
        <sz val="12"/>
        <color theme="1"/>
        <rFont val="Times New Roman"/>
        <family val="1"/>
      </rPr>
      <t xml:space="preserve">Hà Khương Duy </t>
    </r>
    <r>
      <rPr>
        <sz val="12"/>
        <color rgb="FFFF0000"/>
        <rFont val="Times New Roman"/>
        <family val="1"/>
      </rPr>
      <t>- Học lại miễn phí</t>
    </r>
  </si>
  <si>
    <t>46/100</t>
  </si>
  <si>
    <t>https://www.facebook.com/bong.08102005?mibextid=LQQJ4d</t>
  </si>
  <si>
    <r>
      <rPr>
        <sz val="12"/>
        <color theme="1"/>
        <rFont val="Times New Roman"/>
        <family val="1"/>
      </rPr>
      <t xml:space="preserve">Trần Văn Hùng </t>
    </r>
    <r>
      <rPr>
        <sz val="12"/>
        <color rgb="FFFF0000"/>
        <rFont val="Times New Roman"/>
        <family val="1"/>
      </rPr>
      <t>(Cần hợp đồng)</t>
    </r>
  </si>
  <si>
    <t>hungbong8102005@gmail.com</t>
  </si>
  <si>
    <t>Số 15,Ngõ 219 Định Công Thượng, phường Định Công, quận Hoàng Mai</t>
  </si>
  <si>
    <t>https://drive.google.com/open?id=1Q8VIJgidq5XKPIXnJvQ3WiwwMOpaJavW</t>
  </si>
  <si>
    <t>địa chỉ: ngách 6 số 112/12 thôn Nguyên Xá</t>
  </si>
  <si>
    <t>https://drive.google.com/open?id=1LzF9Xa7qGxYVpVoD4AkVntUdfMEJ6ER9</t>
  </si>
  <si>
    <t>https://www.facebook.com/profile.php?id=100071811621482&amp;mibextid=LQQJ4d</t>
  </si>
  <si>
    <r>
      <rPr>
        <sz val="12"/>
        <color theme="1"/>
        <rFont val="Times New Roman"/>
        <family val="1"/>
      </rPr>
      <t>Phạm Thị Thu Thủy -</t>
    </r>
    <r>
      <rPr>
        <sz val="12"/>
        <color rgb="FFFF0000"/>
        <rFont val="Times New Roman"/>
        <family val="1"/>
      </rPr>
      <t xml:space="preserve"> nick Thuy Thuy
OPT5 bảo lưu b3. Quay lại học OPT14</t>
    </r>
  </si>
  <si>
    <t>thuthuy1512005@gmail.com</t>
  </si>
  <si>
    <t>Thôn Điền Nhi - xã Toàn Thắng - huyện Gia Lộc - tỉnh Hải Dương</t>
  </si>
  <si>
    <t>21/09/2023 và 29/12/2023</t>
  </si>
  <si>
    <t>https://drive.google.com/open?id=14lYw-zDvLVAT39_jm78j4G9jvvoC75CK, https://drive.google.com/open?id=11Dl-qLO1LG8kA-B942OamTl-KwqmW2w8; https://drive.google.com/open?id=1e2t6EEz9wnccsjEnYowwo9zgQth_k7OV</t>
  </si>
  <si>
    <t>OPT5 bảo lưu b3. Do không thể sắp xếp được lịch học phù hợp nên em xin phép được bảo lưu đến hết tháng 11 ạ</t>
  </si>
  <si>
    <t>Lớpp OFF. Đưa sách ở lớp
Đã nộp 300K ngày 06/12/2023</t>
  </si>
  <si>
    <t>https://www.facebook.com/profile.php?id=100048034382576&amp;mibextid=LQQJ4d</t>
  </si>
  <si>
    <r>
      <rPr>
        <sz val="12"/>
        <color theme="1"/>
        <rFont val="Times New Roman"/>
        <family val="1"/>
      </rPr>
      <t xml:space="preserve"> Đào Nguyễn Thu Trang</t>
    </r>
    <r>
      <rPr>
        <sz val="12"/>
        <color rgb="FFFF0000"/>
        <rFont val="Times New Roman"/>
        <family val="1"/>
      </rPr>
      <t xml:space="preserve"> - Nick Nam Cung Nguyệt Hoa</t>
    </r>
  </si>
  <si>
    <t>01/11/2023 và 07/12/2023 và 28/12/2023</t>
  </si>
  <si>
    <t>https://drive.google.com/open?id=1vLB6I8-VjhCU8LlVKWympkM1f0xCbZdo; https://drive.google.com/open?id=1zXUB-XY6CcNGKdpSXU2VaPr3UfqZ88Kw, https://drive.google.com/open?id=1kt_6rBwSSKH8nAJSvAZtq4oCuCc; https://drive.google.com/open?id=1cYS2CV1l0Vp5ns7ZbckFuPTsAzuAMp3IBEwSF</t>
  </si>
  <si>
    <t>https://drive.google.com/open?id=1j_Ovwu9shdCy1ZW6hhd34d9mwHEXVA1W; https://drive.google.com/open?id=1f9tN416okiLxI-TIZa9s3g6PquYLDWZo</t>
  </si>
  <si>
    <t>https://www.facebook.com/dieuchi.0308</t>
  </si>
  <si>
    <r>
      <rPr>
        <sz val="12"/>
        <color theme="1"/>
        <rFont val="Times New Roman"/>
        <family val="1"/>
      </rPr>
      <t>Nguyễn Thị Chi</t>
    </r>
    <r>
      <rPr>
        <sz val="12"/>
        <color rgb="FFFF0000"/>
        <rFont val="Times New Roman"/>
        <family val="1"/>
      </rPr>
      <t xml:space="preserve"> đổi VIP học T - nick Châu Chi Anh
Chuyển nhượng S, W cho Ngọc Hà học T, VIP 344686100</t>
    </r>
  </si>
  <si>
    <t>số 2A, 117 Trần Cung, Cổ Nhuế 1, Bắc Từ Liêm, HÀ Nội</t>
  </si>
  <si>
    <t>https://drive.google.com/open?id=1sjU4oTPYceKRhmLUqcklRhtk_HfDIRZh</t>
  </si>
  <si>
    <t>OPT9 =&gt;OPT8. HẠ Combo Yến báo</t>
  </si>
  <si>
    <t>https://www.facebook.com/profile.php?id=100053342861083&amp;mibextid=ZbWKwL</t>
  </si>
  <si>
    <r>
      <rPr>
        <sz val="12"/>
        <color theme="1"/>
        <rFont val="Times New Roman"/>
        <family val="1"/>
      </rPr>
      <t xml:space="preserve">Nguyễn Đăng Dương </t>
    </r>
    <r>
      <rPr>
        <sz val="12"/>
        <color rgb="FFFF0000"/>
        <rFont val="Times New Roman"/>
        <family val="1"/>
      </rPr>
      <t>0908315668 (Mẹ Lê Thị Hương nhận sách)</t>
    </r>
  </si>
  <si>
    <t>Nhôm kính Vinh Hương, Phố Mới, Vĩnh Tiến, Vĩnh Lộc, Thanh hóa ạ</t>
  </si>
  <si>
    <t>https://drive.google.com/open?id=1zoFwuVS9JLdedXF36gPh5bIlPu9GBfF7</t>
  </si>
  <si>
    <t>https://www.facebook.com/profile.php?id=100054852484773&amp;mibextid=LQQJ4d</t>
  </si>
  <si>
    <t>Nguyễn Thị Thúy Hằng</t>
  </si>
  <si>
    <t>15/11/2023 và 04/12/2023</t>
  </si>
  <si>
    <t>https://drive.google.com/open?id=1ZMOON5QW2HwprZXZycena49csKJyxR6q; https://drive.google.com/open?id=1aC5fUwYjPy5hI1DDgVGdgx5-iLPKT4cD; https://drive.google.com/open?id=1cVCAQ4a4849luY0rqI08KBZhyJ7Z093Z</t>
  </si>
  <si>
    <t>https://www.facebook.com/profile.php?id=100060720796696&amp;mibextid=LQQJ4d</t>
  </si>
  <si>
    <t>Nguyễn Thị Khánh Ngọc</t>
  </si>
  <si>
    <t>https://drive.google.com/open?id=1nAzPtenE_k4cEpyKe3wpxhnNVdysEGEd</t>
  </si>
  <si>
    <t>https://www.facebook.com/profile.php?id=100029583483959&amp;mibextid=ZbWKwL</t>
  </si>
  <si>
    <r>
      <rPr>
        <sz val="12"/>
        <color theme="1"/>
        <rFont val="Times New Roman"/>
        <family val="1"/>
      </rPr>
      <t>Phạm Đức</t>
    </r>
    <r>
      <rPr>
        <sz val="12"/>
        <color rgb="FFFF0000"/>
        <rFont val="Times New Roman"/>
        <family val="1"/>
      </rPr>
      <t xml:space="preserve"> (Cần hợp đồng)</t>
    </r>
  </si>
  <si>
    <t>phamduc4705@gmail.com</t>
  </si>
  <si>
    <t>134 Phố Viên- Cổ Nhuế2- Bắc Từ Liêm-Hà Nội</t>
  </si>
  <si>
    <t>20/10/2023 và 11/11/2023</t>
  </si>
  <si>
    <t>https://drive.google.com/open?id=1e0b5gjRsHvk0CdDtWx8lpitkpsYIa1As; https://drive.google.com/open?id=1oxYZqgRISoZCGR09EKh2x_XjD64gglqO; https://drive.google.com/open?id=1F5rx6a4eSQIAC01DX8rF2N1itmjE1izo</t>
  </si>
  <si>
    <t>Hạ Combo. Huy báo</t>
  </si>
  <si>
    <t>https://www.facebook.com/profile.php?id=100050352252518</t>
  </si>
  <si>
    <t>nguyenthithuhak95@gmail.com</t>
  </si>
  <si>
    <t>62A Tôn Đức Thắng, Hàng Bột, Đống Đa, Hà Nội</t>
  </si>
  <si>
    <t>19/10/2023 và 07/11/2023</t>
  </si>
  <si>
    <t>https://drive.google.com/open?id=1thX6dGRQmXGQx5t76UzkwlSfcfz99LK0; https://drive.google.com/open?id=1OeMdCjmU3F9k3zXlOM5c8imjeweS02vw; https://drive.google.com/open?id=17Dk6diumR1nzWa71wGcaOIHHYJEXuQ-5, https://drive.google.com/open?id=1-wEGpy2hiBFbraApnhVn0St5X62dJJZ-</t>
  </si>
  <si>
    <t>https://www.facebook.com/profile.php?id=100046745974062</t>
  </si>
  <si>
    <t>nhận sách tại lớp</t>
  </si>
  <si>
    <t>https://drive.google.com/open?id=1nZjn5noF4prQTc8rDn_H4zddP-VFZEuX; https://drive.google.com/open?id=1xqmy1qv_aC-pnE3OW14eZJxoVDX17OIk</t>
  </si>
  <si>
    <t>https://www.facebook.com/profile.php?id=100086294516767&amp;mibextid=ZbWKwL</t>
  </si>
  <si>
    <t>Bùi Việt Trường</t>
  </si>
  <si>
    <t>https://drive.google.com/open?id=1pLbfU_cTkzlVOSyCylwHz6Xfu0XGLOkN</t>
  </si>
  <si>
    <t>https://www.facebook.com/profile.php?id=100082751963513&amp;mibextid=LQQJ4d</t>
  </si>
  <si>
    <t xml:space="preserve">Đặng Thanh Vy </t>
  </si>
  <si>
    <t>vien.0101nt@gmail.com</t>
  </si>
  <si>
    <t xml:space="preserve"> 129 Ngũ Hành sơn, phường Mỹ An, quận Ngũ Hành sơn ,thành phố đà Nẵng</t>
  </si>
  <si>
    <t>https://drive.google.com/open?id=1qdqRWT0KfWZMNLGrQ1sUOPQySe3UHeij</t>
  </si>
  <si>
    <t>https://www.facebook.com/profile.php?id=100034538379360&amp;mibextid=LQQJ4d</t>
  </si>
  <si>
    <t>Nguyễn Thị Liên</t>
  </si>
  <si>
    <t>lienn9222@gmail.com</t>
  </si>
  <si>
    <t>Số nhà 5B ngõ 225 Quan Hoa Cầu Giấy</t>
  </si>
  <si>
    <t>https://drive.google.com/open?id=1jeoaD8DMjFRkZWRBoJ87zRK8cRPUJKGA; https://drive.google.com/open?id=1Yky-E0SOT_1EvSrwSBWqKA6Lnc1eC2IW, https://drive.google.com/open?id=1jpbOhvXRRlrvcl5TOrqCCS34IbBUdkay</t>
  </si>
  <si>
    <t>A1038</t>
  </si>
  <si>
    <t>https://www.facebook.com/profile.php?id=100057029438672&amp;locale=vi_VN</t>
  </si>
  <si>
    <t>Nguyễn Thị Thanh Thảo</t>
  </si>
  <si>
    <t>thanhthao11102020@gmail.com</t>
  </si>
  <si>
    <t>Sn 36 đường sau làng- thôn tuân lề- xã Tiên Dương- Đông Anh- Hà Nội</t>
  </si>
  <si>
    <t>https://drive.google.com/open?id=1mk_o3Wy_yHhsLt2FIztaXW-8ne6zqtm4; https://drive.google.com/open?id=1d_Fpc8LvwjkLjTlRs1OwrGXtGZo2LQvv</t>
  </si>
  <si>
    <t>https://www.facebook.com/profile.php?id=100078320827254&amp;mibextid=LQQJ4d</t>
  </si>
  <si>
    <t>Nguyễn Tú Linh</t>
  </si>
  <si>
    <t>tulinhnguyen2005@gmail.com</t>
  </si>
  <si>
    <t>https://drive.google.com/open?id=1uvAHDGY2-jCt5VEF4IY1fbu48jMITS5H; https://drive.google.com/open?id=1iKd29OTXbtXnOW-CmzQNHkxJpX42Bdco</t>
  </si>
  <si>
    <t>https://www.facebook.com/thanhkun.cute?mibextid=ZbWKwL</t>
  </si>
  <si>
    <r>
      <rPr>
        <sz val="12"/>
        <color theme="1"/>
        <rFont val="Times New Roman"/>
        <family val="1"/>
      </rPr>
      <t xml:space="preserve">Trần Đức Thành </t>
    </r>
    <r>
      <rPr>
        <sz val="12"/>
        <color rgb="FFFF0000"/>
        <rFont val="Times New Roman"/>
        <family val="1"/>
      </rPr>
      <t>(Cần hợp đồng)</t>
    </r>
  </si>
  <si>
    <t>Cổng phụ ĐHCN Hà Nội cơ sở 3, Phủ Lý, Hà Nam</t>
  </si>
  <si>
    <t>https://drive.google.com/open?id=1waKwZwxPZSPX7oEwEiIqZ5kP-MexZEbY; https://drive.google.com/open?id=1bZ_FeiMoZN2d9zh009Er7xDpOoEIV2Uj</t>
  </si>
  <si>
    <t>https://www.facebook.com/tong.thaonhi.0401?mibextid=LQQJ4d</t>
  </si>
  <si>
    <t>Tống Thảo Nhi</t>
  </si>
  <si>
    <t>sn 14 hẻm 8,ngách 29,ngõ 2 xuân đỉnh quận bắc từ liêm</t>
  </si>
  <si>
    <t>https://drive.google.com/open?id=1_jDlR9rkjnKarqFzyfckoKDKICNCv1LH; https://drive.google.com/open?id=1atYnczAwv-HkWA0Vu0-6Iww9m1mBELCs</t>
  </si>
  <si>
    <t>https://www.facebook.com/profile.php?id=100079541583900&amp;mibextid=LQQJ4d</t>
  </si>
  <si>
    <r>
      <rPr>
        <sz val="12"/>
        <color theme="1"/>
        <rFont val="Times New Roman"/>
        <family val="1"/>
      </rPr>
      <t xml:space="preserve">Kim Thị Trà My </t>
    </r>
    <r>
      <rPr>
        <sz val="12"/>
        <color rgb="FFFF0000"/>
        <rFont val="Times New Roman"/>
        <family val="1"/>
      </rPr>
      <t>(Nhận móc khóa)</t>
    </r>
  </si>
  <si>
    <t>Tramykim2005@gmail.com</t>
  </si>
  <si>
    <t xml:space="preserve"> số 69, đề yêm , đường Ngô Gia Tự , tổ 3 Phường Lê Hồng Phong, Phủ Lí, Hà Nam.</t>
  </si>
  <si>
    <t>https://drive.google.com/open?id=1cke2PauEr8BiAcGMRzq6XV4hpYkzjfN5; https://drive.google.com/open?id=1W6m2kIpZe6ToV0Qfl3sXtVQuw158ejvJ</t>
  </si>
  <si>
    <t>B658 - chuyển tiền level 3 =&gt; toeic 2, cần đóng thêm 3tr508k</t>
  </si>
  <si>
    <t>https://www.facebook.com/profile.php?id=100009610839948&amp;locale=vi_VN</t>
  </si>
  <si>
    <r>
      <rPr>
        <sz val="12"/>
        <color theme="1"/>
        <rFont val="Times New Roman"/>
        <family val="1"/>
      </rPr>
      <t xml:space="preserve">Nguyễn Phương Thảo </t>
    </r>
    <r>
      <rPr>
        <sz val="12"/>
        <color rgb="FFFF0000"/>
        <rFont val="Times New Roman"/>
        <family val="1"/>
      </rPr>
      <t>- Đổi E3 =&gt; VIP</t>
    </r>
  </si>
  <si>
    <t>phuongthaohytq989@gmail.com</t>
  </si>
  <si>
    <t>273 Bạch Đằng, Chương Dương, Hoàn Kiếm, Hà Nội</t>
  </si>
  <si>
    <t>23/12/2023 và 27/12/2023</t>
  </si>
  <si>
    <t>https://drive.google.com/open?id=13lpaGvje9XyxKORucFxr_py6r919SYP7; https://drive.google.com/open?id=1uTX6EwVHaoIOIrH1L6mLixbmFuy4I4vw; https://drive.google.com/open?id=1TfzO_r8SIg1UhDsEKMMWuIz21xoqWMEx</t>
  </si>
  <si>
    <t>https://www.facebook.com/callme.nhatcherry?mibextid=LQQJ4d</t>
  </si>
  <si>
    <r>
      <rPr>
        <sz val="12"/>
        <color theme="1"/>
        <rFont val="Times New Roman"/>
        <family val="1"/>
      </rPr>
      <t xml:space="preserve">Võ Minh Nhật </t>
    </r>
    <r>
      <rPr>
        <sz val="12"/>
        <color rgb="FFFF0000"/>
        <rFont val="Times New Roman"/>
        <family val="1"/>
      </rPr>
      <t>(OT13 =&gt;Chờ) - Chưa nộp 300K, đã chuyển nhượng
Lê Khánh Huyền 0912243305</t>
    </r>
  </si>
  <si>
    <t>nhatvm13@gmail.com</t>
  </si>
  <si>
    <t>08/12/2023 và 29/12/2023</t>
  </si>
  <si>
    <t>https://drive.google.com/open?id=1v6NjRvHZQL7bTHf1UwslAGVbZI8pM-XL; https://drive.google.com/open?id=1NicOLjtX66vPHdXH8t5v3LvzB5QZorHl; https://drive.google.com/open?id=1WZ6whuIwLteVbVdecdq5V5HxXnwPIMXl</t>
  </si>
  <si>
    <t>Ngô Đức chat: thế chị cứ thay cho em đi ạ. Khi nào hoàn học phí bạn đóng phí chuyển nhượng ạ.</t>
  </si>
  <si>
    <t>OT24</t>
  </si>
  <si>
    <t>https://www.facebook.com/Lkhuyen3107?mibextid=LQQJ4d</t>
  </si>
  <si>
    <r>
      <rPr>
        <sz val="12"/>
        <color theme="1"/>
        <rFont val="Times New Roman"/>
        <family val="1"/>
      </rPr>
      <t>Lê Khánh Huyền</t>
    </r>
    <r>
      <rPr>
        <sz val="12"/>
        <color rgb="FFFF0000"/>
        <rFont val="Times New Roman"/>
        <family val="1"/>
      </rPr>
      <t xml:space="preserve"> - nhận chuyển nhượng
</t>
    </r>
    <r>
      <rPr>
        <sz val="12"/>
        <color theme="1"/>
        <rFont val="Times New Roman"/>
        <family val="1"/>
      </rPr>
      <t xml:space="preserve">Võ Minh Nhật </t>
    </r>
    <r>
      <rPr>
        <sz val="12"/>
        <color rgb="FFFF0000"/>
        <rFont val="Times New Roman"/>
        <family val="1"/>
      </rPr>
      <t>(OT13 =&gt;Chờ) - đã chuyển nhượng
OT19 bảo lưu b13 đi quân sự. Học OT24 b7. Đã nộp 300K</t>
    </r>
  </si>
  <si>
    <t>11 ngõ 259 đường phú diễn, phường phú diễn, Bắc Từ Liêm, Hà Nội</t>
  </si>
  <si>
    <t>Ngô Đức chat: thế chị cứ thay cho em đi ạ. Khi nào hoàn học phí bạn đóng phí chuyển nhượng ạ. Đã có học phí từ lớp T. Đã có 300K chuyển nhượng 21/02/2024</t>
  </si>
  <si>
    <t>https://www.facebook.com/long.duongbuingoc</t>
  </si>
  <si>
    <t>Dương Bùi Ngọc Long</t>
  </si>
  <si>
    <t>longvip2k4@gmail.com</t>
  </si>
  <si>
    <t>Nhà số 2-Ngõ 1187-Đường 72-Ngãi Cầu - An Khánh- Hoài Đức-HN</t>
  </si>
  <si>
    <t>https://drive.google.com/open?id=173k_I-IYj4grAR9nDV3tpAq1UhANvoLD; https://drive.google.com/open?id=1emiLj_Xs4YE2iZZJXGAjgNAiA7En1kyr</t>
  </si>
  <si>
    <t>https://www.facebook.com/profile.php?id=100049470287690&amp;mibextid=LQQJ4d</t>
  </si>
  <si>
    <t xml:space="preserve">Nguyễn Thị Quế Hân </t>
  </si>
  <si>
    <t xml:space="preserve">han.230705@gmail.com </t>
  </si>
  <si>
    <t>Cụm 1 - xã Liên Hà - huyện Đan Phượng - Hà Nội</t>
  </si>
  <si>
    <t>https://drive.google.com/open?id=1tbD2vzg2RR5_JeNjGMFeHWlHHY4gq5CZ, https://drive.google.com/open?id=1b_igysyuGL-UIpNNANK3UO9w7RCdSoC_</t>
  </si>
  <si>
    <t>https://www.facebook.com/giang.phamthitruong.7</t>
  </si>
  <si>
    <t xml:space="preserve"> Phạm Thị Trường Giang</t>
  </si>
  <si>
    <t>050609210298@st.buh.edu.vn</t>
  </si>
  <si>
    <t>Khu nhà ở mộng tuyền, đường số 13, Linh Xuân, Thủ Đức, Tphcm</t>
  </si>
  <si>
    <t>https://drive.google.com/open?id=1A4McOLuV9gGdDGCgvdom2foMpW9dYibm; https://drive.google.com/open?id=1m2TdCxEQ_V8xF8tT10UVJ4wt2z3wj7zJ</t>
  </si>
  <si>
    <t>https://www.facebook.com/100079973891232/</t>
  </si>
  <si>
    <t xml:space="preserve">Thân Thị Ngọc Quỳnh </t>
  </si>
  <si>
    <t>quynhthan319@gmail.com</t>
  </si>
  <si>
    <t>tổ 3 Lê Hồng Phong, Phủ lý, hà nam ( gần trà chanh 12 quận)</t>
  </si>
  <si>
    <t>https://drive.google.com/open?id=1SPsQ5CBCmtg6Q7gLcIsV8RzZ-HfFCDd6</t>
  </si>
  <si>
    <t>https://www.facebook.com/lannh18?mibextid=LQQJ4d</t>
  </si>
  <si>
    <r>
      <rPr>
        <sz val="12"/>
        <color theme="1"/>
        <rFont val="Times New Roman"/>
        <family val="1"/>
      </rPr>
      <t xml:space="preserve">Đỗ Thị Lan Anh </t>
    </r>
    <r>
      <rPr>
        <sz val="12"/>
        <color rgb="FFFF0000"/>
        <rFont val="Times New Roman"/>
        <family val="1"/>
      </rPr>
      <t>- 842887096 số cũ</t>
    </r>
  </si>
  <si>
    <t xml:space="preserve">lananhdo614@gmail.com </t>
  </si>
  <si>
    <t>199 Hồ Tùng Mậu - Cầu Diễn - Nam Từ Liêm - Hà Nội</t>
  </si>
  <si>
    <t>https://drive.google.com/open?id=1RkFWry5t7XtzQnBxbCAMdL69JEZZ3AYK; https://drive.google.com/open?id=1Z3a9OBGJ9fwhTEJnLkUjQREJk_gMHzuZ</t>
  </si>
  <si>
    <t>C167</t>
  </si>
  <si>
    <t>https://www.facebook.com/profile.php?id=100025479514703&amp;locale=vi_VN</t>
  </si>
  <si>
    <t>Xóm Ao Thủy Sản (Nước Hai), Xã Quyết Thắng, Thành phố Thái Nguyên, Tỉnh Thái Nguyên.</t>
  </si>
  <si>
    <t>https://drive.google.com/open?id=1wn0mDw8yIpIPNEH3DbjvBILKEN6JCU7q; https://drive.google.com/open?id=134GYqlEf6Etc67ILHjh5aM4RJesCVILT</t>
  </si>
  <si>
    <t>https://www.facebook.com/profile.php?id=100084109511089&amp;mibextid=LQQJ4d</t>
  </si>
  <si>
    <t>Cuối ngõ 1 xu, thôn 1, phù vân, phủ lý, hà nam</t>
  </si>
  <si>
    <t>23/11/2023 và 25/12/2023</t>
  </si>
  <si>
    <t>https://drive.google.com/open?id=1OEKE2PgT8o9IDvtb9dHhQH5031UF0qmb, https://drive.google.com/open?id=1lHuPS1Y2ezYaBTeR54K6kvplhjpXORHn</t>
  </si>
  <si>
    <t>số nhà 12, 193/64/38- phường Phú Diễn-Quận Bắc Từ Liêm-Tp Hà Nội</t>
  </si>
  <si>
    <t>https://drive.google.com/open?id=1aWIYsZwJ-3GqdpbQm7pI5GDZSy4EZbeA, https://drive.google.com/open?id=1BeK4slsaLF0RhaHi9l27Zsmc32LW8_kZ</t>
  </si>
  <si>
    <t xml:space="preserve">Nguyệt </t>
  </si>
  <si>
    <t>https://drive.google.com/open?id=1TYMTcKNkQthp1Y8I3XfIhmAvVtz7DFn_; https://drive.google.com/open?id=1Zn0AynKjgswsgxTp3UbGzNufYD3KyswW</t>
  </si>
  <si>
    <t>https://www.facebook.com/profile.php?id=100082227008426</t>
  </si>
  <si>
    <t>Nguyễn Tú Quyên</t>
  </si>
  <si>
    <t>tuquyenng2005@gmail.com</t>
  </si>
  <si>
    <t>Số nhà 5B hẻm 58/23/4 Trần Bình, Mai Dịch, Cầu Giấy</t>
  </si>
  <si>
    <t>https://drive.google.com/open?id=1X1nM8jbLjjRpb9gwTaYkXgMbFL-aQvqC</t>
  </si>
  <si>
    <t>https://www.facebook.com/to.quan.180/</t>
  </si>
  <si>
    <t>Tô Minh Quân</t>
  </si>
  <si>
    <t xml:space="preserve">Ng.Linh </t>
  </si>
  <si>
    <t>toquan602@gmail.com</t>
  </si>
  <si>
    <t xml:space="preserve"> 42 Ngõ 2 Tập Thể Tăng Thiết Giáp , Cổ Nhuế 2 , Bắc Từ Liêm , Hà Nội</t>
  </si>
  <si>
    <t>https://drive.google.com/open?id=17EUmP-ZT1OzQBE777VJ49bCL-hsxWG7e</t>
  </si>
  <si>
    <t>https://www.facebook.com/profile.php?id=100054602395138&amp;mibextid=LQQJ4d</t>
  </si>
  <si>
    <t>Ngọc Ánh</t>
  </si>
  <si>
    <t xml:space="preserve">Số nhà 22b ngõ 199 Hồ Tùng Mậu , Cầu Diễn , Nam Từ Liêm </t>
  </si>
  <si>
    <t>https://drive.google.com/open?id=1dof5ZbyySaxoWC0Kz5VS8XHYd6G4vKbr; https://drive.google.com/open?id=1aEleiHuZM15YaCTdWjHtCpDEY2Y-ObOz</t>
  </si>
  <si>
    <t>https://www.facebook.com/profile.php?id=100090091488959</t>
  </si>
  <si>
    <t>Nguyễn Anh Minh</t>
  </si>
  <si>
    <t>Team Huyền</t>
  </si>
  <si>
    <t>trên lớp</t>
  </si>
  <si>
    <t>https://drive.google.com/open?id=1mfkkSHhvmkoRhiaJPSrU7lUq5S94stVY</t>
  </si>
  <si>
    <t>Lc: 240/ Rc :150 ( tổng : 390)</t>
  </si>
  <si>
    <t>https://www.facebook.com/profile.php?id=100036129136359&amp;mibextid=ZbWKwL</t>
  </si>
  <si>
    <t>nguyenthuha28061996@gmail.com</t>
  </si>
  <si>
    <t>Số nhà 152- Vân Hòa- Vân Tảo- Thường Tín- Hà Nội</t>
  </si>
  <si>
    <t>https://drive.google.com/open?id=1JAkes-ShnqFswILWvz4IaAeHngGmzsjZ</t>
  </si>
  <si>
    <t>https://www.facebook.com/profile.php?id=100030388665875&amp;mibextid=9R9pXO</t>
  </si>
  <si>
    <t>Nguyễn Minh Quân</t>
  </si>
  <si>
    <t>Xóm Suối Yên, xã Cư Yên, huyện Lương Sơn, tỉnh Hòa Bình</t>
  </si>
  <si>
    <t>https://drive.google.com/open?id=1FBAXNrW12ctY9dXn4JMNFBLrffqDcoc4, https://drive.google.com/open?id=1knjQssnxYgT091JdOJvrCZcMiniYHy8C</t>
  </si>
  <si>
    <t>https://www.facebook.com/vithao.nguyenhoang.3</t>
  </si>
  <si>
    <t>Nguyễn Hoàng Vi Thảo</t>
  </si>
  <si>
    <t>Thôn Nam Tiến-Xã Kỳ Bắc-Huyện Kỳ Anh-Tỉnh Hà Tĩnh</t>
  </si>
  <si>
    <t>https://drive.google.com/open?id=1wj602WYgnbl4v10Le32qbEJaixFFxNHz</t>
  </si>
  <si>
    <t>C174</t>
  </si>
  <si>
    <t>https://www.facebook.com/profile.php?id=100059552605876&amp;locale=vi_VN</t>
  </si>
  <si>
    <r>
      <rPr>
        <sz val="12"/>
        <color theme="1"/>
        <rFont val="Times New Roman"/>
        <family val="1"/>
      </rPr>
      <t xml:space="preserve">Nguyễn Minh Hiếu </t>
    </r>
    <r>
      <rPr>
        <sz val="12"/>
        <color rgb="FFFF0000"/>
        <rFont val="Times New Roman"/>
        <family val="1"/>
      </rPr>
      <t>(Học lại Toeic LV1 nộp 50% học phí)</t>
    </r>
  </si>
  <si>
    <t>nguyenhieu16072004@gmail.com</t>
  </si>
  <si>
    <t>Số 67A ngõ 16 , Thái Hà, Phường Trung Liệt, Quận Đống Đa, Hà Nội</t>
  </si>
  <si>
    <t>https://drive.google.com/open?id=1Cb-OARYOya04MQL8OEy8gISuvbUVoJZb</t>
  </si>
  <si>
    <t>Hiền chat: Trước học lv1 toeic chưa qua ==&gt; chuyển qua lv3 giao tiếp ==&gt; chuyển qua học lại lv1 toeic, em vẫn cứ chọn chế độ áo vì k có chỗ nào chọn là k nhận, sách thì c có thể hỏi b xem có mua lại ko ạ, em vẫn tích là có nhận ạ)</t>
  </si>
  <si>
    <t>97,khu vực Bình Thuận, Phường Trường Lạc, Quận Ô Môn, Cần Thơ</t>
  </si>
  <si>
    <t>https://drive.google.com/open?id=1wak2vBO2JBJGEQfxQ_nt4GrP7YZMzHUH</t>
  </si>
  <si>
    <t>C161</t>
  </si>
  <si>
    <t>https://www.facebook.com/thao.top.391</t>
  </si>
  <si>
    <r>
      <rPr>
        <sz val="12"/>
        <color theme="1"/>
        <rFont val="Times New Roman"/>
        <family val="1"/>
      </rPr>
      <t xml:space="preserve">Nguyễn Phương Thảo </t>
    </r>
    <r>
      <rPr>
        <sz val="12"/>
        <color rgb="FFFF0000"/>
        <rFont val="Times New Roman"/>
        <family val="1"/>
      </rPr>
      <t>- nick Thao Top</t>
    </r>
  </si>
  <si>
    <t>ko nhận sách (bên Nhật)</t>
  </si>
  <si>
    <t>https://drive.google.com/open?id=1mOX63Vxj8QQIAflaYWZftY7Jz3zK9Y7m</t>
  </si>
  <si>
    <t>OT67</t>
  </si>
  <si>
    <t>https://www.facebook.com/profile.php?id=100055805196599</t>
  </si>
  <si>
    <r>
      <rPr>
        <sz val="12"/>
        <color theme="1"/>
        <rFont val="Times New Roman"/>
        <family val="1"/>
      </rPr>
      <t xml:space="preserve">Nguyễn Bá Quang </t>
    </r>
    <r>
      <rPr>
        <sz val="12"/>
        <color rgb="FFFF0000"/>
        <rFont val="Times New Roman"/>
        <family val="1"/>
      </rPr>
      <t>(Combo 3GT +2 Toeic)</t>
    </r>
  </si>
  <si>
    <t>Cổng phụ đại học công nghiệp hn cơ sở 3 lê hồng phong phủ lý hà nam</t>
  </si>
  <si>
    <t>https://drive.google.com/open?id=1wE1VkBuAB5oG31RdxlJNvHb10Afc0yoi</t>
  </si>
  <si>
    <t>Combo 5 khóa. Tách đơn GT và Toeic riêng</t>
  </si>
  <si>
    <t>PT63 bảo lưu b7 trùng lịch học ở trường</t>
  </si>
  <si>
    <t>https://www.facebook.com/naolihtt</t>
  </si>
  <si>
    <t xml:space="preserve"> Trần Thị Loan </t>
  </si>
  <si>
    <t>naolihtt@gmail.com</t>
  </si>
  <si>
    <t>59 Nguyễn Văn Giáp, Cầu Diễn, Nam Từ Liêm</t>
  </si>
  <si>
    <t>https://drive.google.com/open?id=17E1GiGCj4lW8nLpXS0FZRA7_NHA44P0z</t>
  </si>
  <si>
    <t>https://www.facebook.com/profile.php?id=100068841038847&amp;mibextid=ZbWKwL</t>
  </si>
  <si>
    <r>
      <rPr>
        <sz val="12"/>
        <color theme="1"/>
        <rFont val="Times New Roman"/>
        <family val="1"/>
      </rPr>
      <t xml:space="preserve">Trần Thị Thùy Linh </t>
    </r>
    <r>
      <rPr>
        <sz val="12"/>
        <color rgb="FFFF0000"/>
        <rFont val="Times New Roman"/>
        <family val="1"/>
      </rPr>
      <t>- nick Thanh Tú</t>
    </r>
  </si>
  <si>
    <t>cơ sở 3 đại học công nghiệp hà nội</t>
  </si>
  <si>
    <t>https://drive.google.com/open?id=1YVdMoIDXWwF6JyWTFa2hfsE2cT6rtvbV; https://drive.google.com/open?id=1bmm7KvxEC9EuAuBriWteZnSEkCW2OE1Q</t>
  </si>
  <si>
    <t>https://www.facebook.com/4ygdyijfee7i22ufdeugde6ibvsr7j</t>
  </si>
  <si>
    <t>Phùng Thị Thu Hiền</t>
  </si>
  <si>
    <t>Chưa xin</t>
  </si>
  <si>
    <t>80 Tu Hoàng, Xuân Phương, Nam Từ Liêm, Hà Nội</t>
  </si>
  <si>
    <t>https://drive.google.com/open?id=1dJ06F1Skiyz6DPtbcsmZfnKuveGxPoaD</t>
  </si>
  <si>
    <t>KO test</t>
  </si>
  <si>
    <r>
      <rPr>
        <sz val="12"/>
        <color theme="1"/>
        <rFont val="Times New Roman"/>
        <family val="1"/>
      </rPr>
      <t>Nguyễn Mai Lan</t>
    </r>
    <r>
      <rPr>
        <sz val="12"/>
        <color rgb="FFFF0000"/>
        <rFont val="Times New Roman"/>
        <family val="1"/>
      </rPr>
      <t xml:space="preserve"> - Đã nộp 300K 21/03/2024
VIP70 bảo lưu b7 đi quân sự. Quay lại VIP85 buổi 1</t>
    </r>
  </si>
  <si>
    <t xml:space="preserve">số 10,ngõ 214,Phú diễn,Bắc từ liêm, Hà Nội </t>
  </si>
  <si>
    <t>https://drive.google.com/open?id=1dR8AxECpxJS_fKCRSl7-9KmqXMNo7cft</t>
  </si>
  <si>
    <t>Hoàng Thị Kim Chi</t>
  </si>
  <si>
    <t>https://drive.google.com/open?id=17Y8vsJ64QU0clrKueW0_mInsipw_gJif</t>
  </si>
  <si>
    <t xml:space="preserve">https://www.facebook.com/profile.php?id=100033370592311&amp;mibextid=LQQJ4d </t>
  </si>
  <si>
    <t>Vũ Thị Dung</t>
  </si>
  <si>
    <t>Tại lớp học</t>
  </si>
  <si>
    <t>https://drive.google.com/open?id=1mVat33Fjr0X5zsbCxwf2uuufvp1ABkht</t>
  </si>
  <si>
    <t xml:space="preserve">Đã qua lớp PT </t>
  </si>
  <si>
    <t>https://www.facebook.com/truongg.phamquang</t>
  </si>
  <si>
    <t>Phạm Quang Trường</t>
  </si>
  <si>
    <t>hcpqt164@gmail.com</t>
  </si>
  <si>
    <t>Tứ Hiệp Plaza- Tứ Hiệp- Thanh Trì- Hà Nội</t>
  </si>
  <si>
    <t>https://drive.google.com/open?id=17nOZLTeCfrOJUGELqMGlgcrKqIfL7YSI</t>
  </si>
  <si>
    <t>k test</t>
  </si>
  <si>
    <t>Nhà số 8, Tổ 31, Ngõ 29, Dịch Vọng, Cầu giấy, Hà Nội</t>
  </si>
  <si>
    <t>https://drive.google.com/open?id=1XSNSXsCUg3uybFE8BT3LF0uL0dblckYT</t>
  </si>
  <si>
    <t>https://www.facebook.com/xuan.bac.50999</t>
  </si>
  <si>
    <t>Trần Xuân Bắc</t>
  </si>
  <si>
    <t>Mai Phương Anh</t>
  </si>
  <si>
    <t>xuanbacliliana@gmail.com</t>
  </si>
  <si>
    <t>https://drive.google.com/open?id=16VxfryWftniWgJobyB_RcliXnH-1_seY</t>
  </si>
  <si>
    <t>Áo M (54kg - 74kg)</t>
  </si>
  <si>
    <r>
      <rPr>
        <sz val="12"/>
        <color theme="1"/>
        <rFont val="Times New Roman"/>
        <family val="1"/>
      </rPr>
      <t>Nguyễn Minh Anh</t>
    </r>
    <r>
      <rPr>
        <sz val="12"/>
        <color rgb="FFFF0000"/>
        <rFont val="Times New Roman"/>
        <family val="1"/>
      </rPr>
      <t xml:space="preserve"> (VIP72)</t>
    </r>
  </si>
  <si>
    <t>khóa Lv1 thừa 332k</t>
  </si>
  <si>
    <t>https://drive.google.com/open?id=1cN1nyTR2UxM7TJ-jWmbycEh1GjDdM3v4</t>
  </si>
  <si>
    <t>Đã nhận sách VIP72</t>
  </si>
  <si>
    <t>OVIP5</t>
  </si>
  <si>
    <t>Tại lớp off</t>
  </si>
  <si>
    <t>https://drive.google.com/open?id=1atnoJ-mPPrhbra3O74VNvipj_481HFib</t>
  </si>
  <si>
    <t>Lê Quang Chiến</t>
  </si>
  <si>
    <t>Tổ 5, Ấp3, xã Bàu Cạn, Huyện Long Thành, Tỉnh Đồng Nai</t>
  </si>
  <si>
    <t>https://www.facebook.com/lanhuonglathang1859?mibextid=kFxxJD</t>
  </si>
  <si>
    <t>Lê Trần Lan Hương</t>
  </si>
  <si>
    <t>số nhà 01, ngõ 221 , đường lê đại hành , phường kỳ bá , thành phố Thái bình</t>
  </si>
  <si>
    <t>https://drive.google.com/open?id=1vdUoAPx2rKWy3v4dWpuzgu1E9JuouBoi</t>
  </si>
  <si>
    <t>https://www.facebook.com/profile.php?id=100041722793853&amp;mibextid=LQQJ4d</t>
  </si>
  <si>
    <t xml:space="preserve">Nguyễn Đức Thắng </t>
  </si>
  <si>
    <t>ndt151205@gmail.com</t>
  </si>
  <si>
    <t xml:space="preserve">: Đội 1 Minh Tân, Minh Trí, Sóc Sơn, Hà Nội </t>
  </si>
  <si>
    <t>https://drive.google.com/open?id=10hCLel_dGsRg83o-RyUTTQHlWE9Ljv76</t>
  </si>
  <si>
    <t>https://www.facebook.com/profile.php?id=61550582665282&amp;mibextid=ZbWKwL</t>
  </si>
  <si>
    <t>Tạ Hữu Long</t>
  </si>
  <si>
    <t>tahuulong117@gmail.com</t>
  </si>
  <si>
    <t>số 20 ngõ 132/86 Nguyên Xá, Bắc Từ Liêm , Hà Nội</t>
  </si>
  <si>
    <t>https://drive.google.com/open?id=1_EQCqrwq-2QP2e6ocq-kVUIzyyfhWyB4</t>
  </si>
  <si>
    <t xml:space="preserve">https://www.facebook.com/hanhpando?mibextid=LQQJ4d	</t>
  </si>
  <si>
    <t xml:space="preserve">Đàm Hương Giang	</t>
  </si>
  <si>
    <t>Số nhà 546, Km 41, thị trấn Tân Yên, Hàm Yên, Tuyên Quang</t>
  </si>
  <si>
    <t>https://drive.google.com/open?id=1HNkm__6S7YwSg5fTEXxQogBH7NaSj96d; https://drive.google.com/open?id=1pGBEcl04QA1Q5dPa8GQobR_dxqqyOQq8</t>
  </si>
  <si>
    <t>PT66</t>
  </si>
  <si>
    <t>https://www.facebook.com/quyen.vu217?mibextid=ZbWKwL</t>
  </si>
  <si>
    <t>Vũ Tài Quyến</t>
  </si>
  <si>
    <t>103, 79 Yên Hòa, Cầu giấy</t>
  </si>
  <si>
    <t>https://drive.google.com/open?id=1bAfctRJYP1MbPUWRkJxhusujvAPebrSi; https://drive.google.com/open?id=1YlVNaCnTO8WW2mqO-QAGu1JExz-mhC-P</t>
  </si>
  <si>
    <t>https://www.facebook.com/profile.php?id=100010599102384</t>
  </si>
  <si>
    <t>Lê Đào Mi Mi</t>
  </si>
  <si>
    <t>daomi1905@gmail.com</t>
  </si>
  <si>
    <t>105/14A đường 385 phường Tăng Nhơn Phú A, quận 9 TP.HCM</t>
  </si>
  <si>
    <t>https://drive.google.com/open?id=1LuQoxDwX0i68ii4kcLghnMaw21_JjAD9</t>
  </si>
  <si>
    <t>Ngách 3/8, Dãy nhà trọ số 3, đường Phú Lãm, Quang Lãm, Hà Đông, Hà Nội</t>
  </si>
  <si>
    <t>https://drive.google.com/open?id=1rWFFacOHR81ff2N43UtY6D9AudItqRih</t>
  </si>
  <si>
    <t>https://www.facebook.com/mhctx.m?mibextid=LQQJ4d</t>
  </si>
  <si>
    <t>https://drive.google.com/open?id=1P_kxhhckNn5UmtY_gbckwBeXaPrkHbnR</t>
  </si>
  <si>
    <t>T192 nghỉ ngang buổi 8. Huy chat</t>
  </si>
  <si>
    <t>https://www.facebook.com/100050086240609/</t>
  </si>
  <si>
    <t>Đinh Thư</t>
  </si>
  <si>
    <t xml:space="preserve">Số nhà 68, phố lý thường kiệt ,huyện tiên yên, thị trấn tiên yên, quảng ninh, đối diện cổng trường tiểu học thị trấn tiên yên </t>
  </si>
  <si>
    <t>https://drive.google.com/open?id=1kHrJOIZ0Y7EYCT1I9LrOz6BJGfPWPV44</t>
  </si>
  <si>
    <t>Nguyễn Thị Hà</t>
  </si>
  <si>
    <t>24/63 Trần Quốc Vượng, Dịch Vọng Hậu,Cầu Giấy,Hà Nội</t>
  </si>
  <si>
    <t>https://www.facebook.com/profile.php?id=100024198198569</t>
  </si>
  <si>
    <r>
      <rPr>
        <sz val="12"/>
        <color theme="1"/>
        <rFont val="Times New Roman"/>
        <family val="1"/>
      </rPr>
      <t xml:space="preserve">Nguyễn Đỗ Mai Chi </t>
    </r>
    <r>
      <rPr>
        <sz val="12"/>
        <color rgb="FFFF0000"/>
        <rFont val="Times New Roman"/>
        <family val="1"/>
      </rPr>
      <t>- nick Chy Nguyễn</t>
    </r>
  </si>
  <si>
    <t>017303001066</t>
  </si>
  <si>
    <t>Nhận sách trên lớp - 47a Ngõ 110 Nam Dư, Lĩnh Nam - quận Hoàng Mai, Hà Nội</t>
  </si>
  <si>
    <t>https://drive.google.com/open?id=11yfIMz19RZT_9QUHL02noLMJ2an_0qPh</t>
  </si>
  <si>
    <t>https://www.facebook.com/le.tanh.10004?mibextid=ZbWKwL</t>
  </si>
  <si>
    <t>9/2 trung lập tri trung phú xuyên hà nội</t>
  </si>
  <si>
    <t>https://drive.google.com/open?id=14NtIae8RMFgFQp_NFSGSm5gf7choWXvt, https://drive.google.com/open?id=1H87q8__8yRjI-aOCr2t0tnUAeoU0u7QZ</t>
  </si>
  <si>
    <t>https://www.facebook.com/profile.php?id=100054677354890</t>
  </si>
  <si>
    <t>Trần Văn Lâm</t>
  </si>
  <si>
    <t>035203004691</t>
  </si>
  <si>
    <t>Xóm 3-Đồng Hóa-Kim Bảng-Hà Nam</t>
  </si>
  <si>
    <t>https://drive.google.com/open?id=154TBN44YshyR4tALFpTUCeYcrEUOUdVn</t>
  </si>
  <si>
    <t>số 2A, 117 Trần Cung, Cổ Nhuế 1, Bắc Từ Liêm, Hà Nội</t>
  </si>
  <si>
    <t>PT thừa 32k</t>
  </si>
  <si>
    <t>https://drive.google.com/open?id=1Abjzd-xJcE_VAM7TV98QgaFFaAf0_w1h</t>
  </si>
  <si>
    <t>https://www.facebook.com/profile.php?id=100033984751662&amp;mibextid=LQQJ4d</t>
  </si>
  <si>
    <t>OPT14 nghỉ ngang b. Thắng báo</t>
  </si>
  <si>
    <t>https://www.facebook.com/profile.php?id=100036136367638</t>
  </si>
  <si>
    <t xml:space="preserve">Nguyễn Thanh Ngân </t>
  </si>
  <si>
    <t>Tân Hội- Đan Phượng - Hà Nội</t>
  </si>
  <si>
    <t>nguyenthanhngan138@gmail.com</t>
  </si>
  <si>
    <t>https://drive.google.com/open?id=1M5BMFceU_DieUjwK97UdPzgs6qNSDb3w</t>
  </si>
  <si>
    <t>Dưới  350</t>
  </si>
  <si>
    <t>T200</t>
  </si>
  <si>
    <t xml:space="preserve">Lê Thị Thùy Linh  </t>
  </si>
  <si>
    <t>Nghách 32/43 An Dương, Yên Phụ, Tây Hồ, Hà Nội</t>
  </si>
  <si>
    <t>https://drive.google.com/open?id=13kPr60zme0XzvvF644jToja3uEXE-ZT5, https://drive.google.com/open?id=1NeLIVIjDGquXH0fvmX5orPyEIMCCW7Dn</t>
  </si>
  <si>
    <t>Qua  350 đ</t>
  </si>
  <si>
    <t xml:space="preserve">Nguyễn Quỳnh Anh </t>
  </si>
  <si>
    <t>Tư chi- Tân chi- Tiên du- Bắc Ninh</t>
  </si>
  <si>
    <t>https://drive.google.com/open?id=1QNhBmqLb_yP0l791mrCZeum1G0eKVqOn</t>
  </si>
  <si>
    <t>PT58 qua 350</t>
  </si>
  <si>
    <t>https://www.facebook.com/profile.php?id=100010215405266</t>
  </si>
  <si>
    <t>Nguyễn Bá Trung</t>
  </si>
  <si>
    <t>Bùi Minh Ngọc</t>
  </si>
  <si>
    <t>trung2305@gmail.com</t>
  </si>
  <si>
    <t>47 Đức Diễn, phường Phúc Diễn, quận Bắc Từ Liêm, Hà Nội</t>
  </si>
  <si>
    <t>https://drive.google.com/open?id=1IHb-r4R-pnKNh39v-i9K6iMRavxoVeKE</t>
  </si>
  <si>
    <t>Đỗ Quang Vinh</t>
  </si>
  <si>
    <t>https://drive.google.com/open?id=1EBVh4373bb-Zm_sTWJBm2u5rFmwggNgd</t>
  </si>
  <si>
    <t>https://www.facebook.com/bii.ha.566148?mibextid=9R9pXO</t>
  </si>
  <si>
    <r>
      <rPr>
        <sz val="12"/>
        <color theme="1"/>
        <rFont val="Times New Roman"/>
        <family val="1"/>
      </rPr>
      <t>Nguyễn Thị Hương Giang</t>
    </r>
    <r>
      <rPr>
        <sz val="12"/>
        <color rgb="FFFF0000"/>
        <rFont val="Times New Roman"/>
        <family val="1"/>
      </rPr>
      <t xml:space="preserve"> (OT3 b15 sang lớp online do tai nạn)</t>
    </r>
  </si>
  <si>
    <t>26/12/2023 và 29/12/2023</t>
  </si>
  <si>
    <t>https://drive.google.com/open?id=1QsLiCgQudE_hH0GFpvCqxdHhB2vqI6jR, https://drive.google.com/open?id=1SdFQCvQtQcBKVgpSIto6E3r9XR4r65E9; https://drive.google.com/open?id=1BHwhGzjtO0tm5x5mdaez7Naipdel6V5D</t>
  </si>
  <si>
    <r>
      <rPr>
        <sz val="12"/>
        <color theme="1"/>
        <rFont val="Times New Roman"/>
        <family val="1"/>
      </rPr>
      <t xml:space="preserve">Nguyễn Trần Trung Hiếu </t>
    </r>
    <r>
      <rPr>
        <sz val="12"/>
        <color rgb="FFFF0000"/>
        <rFont val="Times New Roman"/>
        <family val="1"/>
      </rPr>
      <t>(OT17 =&gt; T195)</t>
    </r>
  </si>
  <si>
    <t>SN 04 đường trần đức sắc phường hồng hà tp yên bái</t>
  </si>
  <si>
    <t>https://drive.google.com/open?id=1Y3QU_Vq9Fb4Fq96aNA8Jvmef5OQKHtWx, https://drive.google.com/open?id=1HA2a9ezyrwY82UTz_zi78sfGhxu9v02l</t>
  </si>
  <si>
    <t>Nguyễn Xuân Tùng</t>
  </si>
  <si>
    <t>https://drive.google.com/open?id=1_miPB14smaLoUthCfe0JE5NpLjzCb0ra</t>
  </si>
  <si>
    <t>https://www.facebook.com/hachi.chii7?mibextid=LQQJ4d</t>
  </si>
  <si>
    <r>
      <rPr>
        <sz val="12"/>
        <color theme="1"/>
        <rFont val="Times New Roman"/>
        <family val="1"/>
      </rPr>
      <t xml:space="preserve">Hà Chi </t>
    </r>
    <r>
      <rPr>
        <sz val="12"/>
        <color rgb="FFFF0000"/>
        <rFont val="Times New Roman"/>
        <family val="1"/>
      </rPr>
      <t>- Đã nộp 300K 10/04/2024
T194 bảo lưu buổi 8. Quay lại T203 b1 do thiếu HV và đã lùi</t>
    </r>
  </si>
  <si>
    <t>hachitry157@gmail.com</t>
  </si>
  <si>
    <t xml:space="preserve"> A7 tập thể 708 cầu 130 - Ngọc Hồi- Thanh Trì- Hà Nội</t>
  </si>
  <si>
    <t>https://drive.google.com/open?id=1W4VCtHQ5Pove3HF_kDQzmOFLRsH0Hpg8</t>
  </si>
  <si>
    <t>https://drive.google.com/open?id=1l1l7HKJTuXVyFfXL49gMvuPlnFspmkGy</t>
  </si>
  <si>
    <t>https://www.facebook.com/lee.hoang.10441?mibextid=ZbWKwL</t>
  </si>
  <si>
    <t>Trần Văn Trường</t>
  </si>
  <si>
    <t>Ngõ 2 cụm 4 thôn 3 số nhà 303,
Thạch Hoà-Thách Thất-Hà Nội</t>
  </si>
  <si>
    <t>https://drive.google.com/open?id=1iaaW1eRY3pq01kJ7LPh_wI1GQRfBcYdx</t>
  </si>
  <si>
    <t>https://www.facebook.com/profile.php?id=100083444226959&amp;mibextid=ZbWKwL</t>
  </si>
  <si>
    <t>Vũ Khánh Linh</t>
  </si>
  <si>
    <t>Số 2 hẻm 136/129/27 đường cầu diễn, tổ dân phố văn trì 4, minh khai, bắc từ liêm</t>
  </si>
  <si>
    <t>https://drive.google.com/open?id=1n2KvZSDNg8wj8oTdINz46HO8JNAaeqPO</t>
  </si>
  <si>
    <t>https://www.facebook.com/manh.pk.568?mibextid=LQQJ4d</t>
  </si>
  <si>
    <t>Phạm Khắc Mạnh</t>
  </si>
  <si>
    <t>phamkhacmanhh@gmail.com</t>
  </si>
  <si>
    <t>xóm Tây,xã Tân An- Huyện Thanh Hà- Tỉnh Hải Dương</t>
  </si>
  <si>
    <t>https://drive.google.com/open?id=1iJEZab7QZeBWBWFfwUxRfNw8jGMsXPEs</t>
  </si>
  <si>
    <t>https://www.facebook.com/100018575206862/</t>
  </si>
  <si>
    <t xml:space="preserve">Nguyễn Thị Ngọc Linh </t>
  </si>
  <si>
    <t>ngoclinh041022@gmail.com</t>
  </si>
  <si>
    <t xml:space="preserve">Nhà số 3, ngõ 846, đường 72, Ngãi Cầu, An Khánh, Hoài Đức
</t>
  </si>
  <si>
    <t>https://drive.google.com/open?id=1iy7ehSZFGHgKp12VqxAjSzt5oZnGT7Gl</t>
  </si>
  <si>
    <t>t157</t>
  </si>
  <si>
    <t>https://www.facebook.com/profile.php?id=100080482395080&amp;mibextid=ZbWKwL</t>
  </si>
  <si>
    <t>Nguyễn Văn Hường</t>
  </si>
  <si>
    <t xml:space="preserve"> 6s/21/ ngõ 23 kiệt 131 Trần Phú, phường Phước Vĩnh , thành phố Huế</t>
  </si>
  <si>
    <t>https://drive.google.com/open?id=1myzsLfu5kBBuV2E7OzkvXsCHb7X-Bj_3</t>
  </si>
  <si>
    <t>VIP90</t>
  </si>
  <si>
    <r>
      <rPr>
        <sz val="12"/>
        <color theme="1"/>
        <rFont val="Times New Roman"/>
        <family val="1"/>
      </rPr>
      <t xml:space="preserve">Đỗ Phương Hoa </t>
    </r>
    <r>
      <rPr>
        <sz val="12"/>
        <color rgb="FFFF0000"/>
        <rFont val="Times New Roman"/>
        <family val="1"/>
      </rPr>
      <t>- Đã nộp 300K 13/06/2024
VIP74 bảo lưu b10 đi quân sự. Học VIP90 b7</t>
    </r>
  </si>
  <si>
    <t xml:space="preserve">KTX B5 Học viện Tài chính, phường Đức Thắng, Quận Bắc Từ Liêm, Hà Nội
</t>
  </si>
  <si>
    <t>https://drive.google.com/open?id=1dgn3pyTML5tRMfxQqdaa7Xj6XXMTJyVa</t>
  </si>
  <si>
    <t>OPT</t>
  </si>
  <si>
    <r>
      <rPr>
        <sz val="12"/>
        <color theme="1"/>
        <rFont val="Times New Roman"/>
        <family val="1"/>
      </rPr>
      <t>Nguyễn Hữu Chiến</t>
    </r>
    <r>
      <rPr>
        <sz val="12"/>
        <color rgb="FFFF0000"/>
        <rFont val="Times New Roman"/>
        <family val="1"/>
      </rPr>
      <t>- nick Nguyễn Hữu NA</t>
    </r>
  </si>
  <si>
    <t>https://drive.google.com/open?id=1CQhvjs5PGO0mk3b3apgi2lx2zPbvDm9c</t>
  </si>
  <si>
    <t>OS1</t>
  </si>
  <si>
    <t>https://web.facebook.com/profile.php?id=100032486327563</t>
  </si>
  <si>
    <t>Cầu Vồng - Đức Thắng, Bắc Từ Liêm, Hà Nội</t>
  </si>
  <si>
    <t>https://drive.google.com/open?id=1tJuO0a9mdU2gNsRntKhzEH__wPM-WmLH</t>
  </si>
  <si>
    <t>PT155</t>
  </si>
  <si>
    <t>https://web.facebook.com/profile.php?id=100079227851276</t>
  </si>
  <si>
    <r>
      <rPr>
        <sz val="12"/>
        <color theme="1"/>
        <rFont val="Times New Roman"/>
        <family val="1"/>
      </rPr>
      <t xml:space="preserve">Nguyễn Thu Phương </t>
    </r>
    <r>
      <rPr>
        <sz val="12"/>
        <color rgb="FFFF0000"/>
        <rFont val="Times New Roman"/>
        <family val="1"/>
      </rPr>
      <t xml:space="preserve">- chuyển nhượng đã nộp 300K 9/4/25
</t>
    </r>
    <r>
      <rPr>
        <sz val="12"/>
        <color theme="1"/>
        <rFont val="Times New Roman"/>
        <family val="1"/>
      </rPr>
      <t>Trần Mạnh Hưng</t>
    </r>
    <r>
      <rPr>
        <sz val="12"/>
        <color rgb="FFFF0000"/>
        <rFont val="Times New Roman"/>
        <family val="1"/>
      </rPr>
      <t xml:space="preserve"> - nhận học </t>
    </r>
    <r>
      <rPr>
        <sz val="12"/>
        <color theme="1"/>
        <rFont val="Times New Roman"/>
        <family val="1"/>
      </rPr>
      <t>965157112</t>
    </r>
  </si>
  <si>
    <t>https://drive.google.com/open?id=1inGzVkf4NZNSfvM0iMwCeJjf5G7dcLEY</t>
  </si>
  <si>
    <t>Nhài đưa chị gái Yến</t>
  </si>
  <si>
    <t>Toeic Writing</t>
  </si>
  <si>
    <t>https://web.facebook.com/diemquynh.3104</t>
  </si>
  <si>
    <t>Nguyễn Vũ Diễm Quỳnh</t>
  </si>
  <si>
    <t>https://drive.google.com/open?id=1kr0lAab_tkL7XNyJ4qeJ_23fPQoCRHje</t>
  </si>
  <si>
    <t>https://www.facebook.com/profile.php?id=100076475740515</t>
  </si>
  <si>
    <t xml:space="preserve"> Nguyễn Thị Huyền Diệu</t>
  </si>
  <si>
    <t>hdieu2355@gmail.com</t>
  </si>
  <si>
    <t>Photo Thành Công thôn 1 Xã Phù Vân Thành phố Phủ Lý Tỉnh Hà Nam</t>
  </si>
  <si>
    <t>https://drive.google.com/open?id=1uflR-TdhHDuQ1dPsOCFYZHqzrbpOTVmt; https://drive.google.com/open?id=1l1gvkWaLRmDfDjcUwbIPtgcO1evUTEAe</t>
  </si>
  <si>
    <t>https://www.facebook.com/profile.php?id=100038512759256&amp;mibextid=LQQJ4d</t>
  </si>
  <si>
    <r>
      <rPr>
        <sz val="12"/>
        <color theme="1"/>
        <rFont val="Times New Roman"/>
        <family val="1"/>
      </rPr>
      <t xml:space="preserve">Nguyễn Thị Hiền </t>
    </r>
    <r>
      <rPr>
        <sz val="12"/>
        <color rgb="FFFF0000"/>
        <rFont val="Times New Roman"/>
        <family val="1"/>
      </rPr>
      <t>- Đã nộp 300K 21/12/2023
T184 bảo lưu b7 đi quân sự. Quay lại T199 b6</t>
    </r>
  </si>
  <si>
    <t>53 ngách 1/16 ngõ 49 Thuý lĩnh lĩnh nam hoàng mai Hà Nội</t>
  </si>
  <si>
    <t>https://drive.google.com/open?id=1JGKJPNUGV9aP5DjFOm5qnY_czevXLTtj</t>
  </si>
  <si>
    <t>Điền lên T12.2023</t>
  </si>
  <si>
    <t>https://www.facebook.com/thanhtam160904</t>
  </si>
  <si>
    <t>Đinh Thị Thanh Tâm</t>
  </si>
  <si>
    <t>Nhà số 6,  ngách 21, ngõ 197, Trần Phú,  Văn Quán, Hà đông, Hà Nội</t>
  </si>
  <si>
    <t>https://drive.google.com/open?id=1efkAbwmekCiNpfbxq-CnXw1-Vloy7IQJ</t>
  </si>
  <si>
    <r>
      <rPr>
        <sz val="12"/>
        <color theme="1"/>
        <rFont val="Times New Roman"/>
        <family val="1"/>
      </rPr>
      <t xml:space="preserve"> Đào Nguyễn Thu Tran</t>
    </r>
    <r>
      <rPr>
        <sz val="12"/>
        <color rgb="FFFF0000"/>
        <rFont val="Times New Roman"/>
        <family val="1"/>
      </rPr>
      <t>g - Nick Nam Cung Nguyệt Hoa</t>
    </r>
  </si>
  <si>
    <t>C177</t>
  </si>
  <si>
    <t>https://www.facebook.com/100012356231271/</t>
  </si>
  <si>
    <t xml:space="preserve">Phạm Mạnh Xinh </t>
  </si>
  <si>
    <t>Mầm non Tiên Động, Tiên Động, Tứ Kỳ, Hải Dương</t>
  </si>
  <si>
    <t>https://drive.google.com/open?id=1mfEsA2f-IGOuuape4YRLRYNgtoLP_Qcn</t>
  </si>
  <si>
    <t>Đã gửi sách PT64 ngày 29/12/23. Dung lên form nhầm</t>
  </si>
  <si>
    <t>Trần Đức Thành</t>
  </si>
  <si>
    <r>
      <rPr>
        <sz val="12"/>
        <color theme="1"/>
        <rFont val="Times New Roman"/>
        <family val="1"/>
      </rPr>
      <t xml:space="preserve">Tống Thảo Nhi </t>
    </r>
    <r>
      <rPr>
        <sz val="12"/>
        <color rgb="FFFF0000"/>
        <rFont val="Times New Roman"/>
        <family val="1"/>
      </rPr>
      <t>- Đã nộp 300K 02/05/2024
T193 bảo lưu b21 đi quân sự. Quay lại T197 b22</t>
    </r>
  </si>
  <si>
    <t>sn 14 hẻm 8, ngách 29, ngõ 2 xuân đỉnh quận bắc từ liêm</t>
  </si>
  <si>
    <t>B657</t>
  </si>
  <si>
    <t>https://www.facebook.com/profile.php?id=100054842181564</t>
  </si>
  <si>
    <r>
      <rPr>
        <sz val="12"/>
        <color theme="1"/>
        <rFont val="Times New Roman"/>
        <family val="1"/>
      </rPr>
      <t>Đinh Thị Thu Trang</t>
    </r>
    <r>
      <rPr>
        <sz val="12"/>
        <color rgb="FFFF0000"/>
        <rFont val="Times New Roman"/>
        <family val="1"/>
      </rPr>
      <t xml:space="preserve"> - Phương báo học miễn phí do B657 bị phá lớp</t>
    </r>
  </si>
  <si>
    <t>Phương báo</t>
  </si>
  <si>
    <t>Đã nộp 200K mua sách PT</t>
  </si>
  <si>
    <t>https://drive.google.com/open?id=1mRG6N2pELgm1SX9kDbpBAAmt7UIJLk2d</t>
  </si>
  <si>
    <t>https://www.facebook.com/profile.php?id=100055870506596&amp;mibextid=ZbWKwL</t>
  </si>
  <si>
    <r>
      <rPr>
        <sz val="12"/>
        <color theme="1"/>
        <rFont val="Times New Roman"/>
        <family val="1"/>
      </rPr>
      <t xml:space="preserve">Nguyễn Minh Quang </t>
    </r>
    <r>
      <rPr>
        <sz val="12"/>
        <color rgb="FFFF0000"/>
        <rFont val="Times New Roman"/>
        <family val="1"/>
      </rPr>
      <t>(OPT14 =&gt;PT63 =&gt;PT65)</t>
    </r>
  </si>
  <si>
    <t>Quangra123@gmail.com</t>
  </si>
  <si>
    <t>Số 8Q27B,  Ngõ 136 Nguyễn An Ninh, Tương Mai , Hoàng Mai , Hà Nội</t>
  </si>
  <si>
    <t>https://drive.google.com/open?id=1nzrzl0wjE-83tf-SVimGNL9A_ScsXfNX, https://drive.google.com/open?id=1rbtFy0eMS5Pp6vn09UNwKqptxlFqsCJO; https://drive.google.com/open?id=105Y6fJfCWsqtPxBgH_YFw5RDTRllMgek</t>
  </si>
  <si>
    <t>HV chuyển sang ca 2</t>
  </si>
  <si>
    <t>172 Triều Khúc, Thanh Xuân Nam, Thanh Xuân, Hà Nội</t>
  </si>
  <si>
    <t>Số 3, ngõ 42 , Trần Bình , Mai Dịch , Cầu Giấy, Hà Nội</t>
  </si>
  <si>
    <t>VIP75</t>
  </si>
  <si>
    <t>Số 5, ngách 29/21 Xã Đàn, Đống Đa, Hà Nội</t>
  </si>
  <si>
    <r>
      <rPr>
        <sz val="12"/>
        <color theme="1"/>
        <rFont val="Times New Roman"/>
        <family val="1"/>
      </rPr>
      <t xml:space="preserve">Vũ Hà Phương </t>
    </r>
    <r>
      <rPr>
        <sz val="12"/>
        <color rgb="FFFF0000"/>
        <rFont val="Times New Roman"/>
        <family val="1"/>
      </rPr>
      <t>(T195 =&gt; Chờ lớp)</t>
    </r>
  </si>
  <si>
    <t>SN 02/04, tổ 14, đường Lê Đại Hành, phường Kỳ Bá, TP Thái Bình, tỉnh Thái Bình</t>
  </si>
  <si>
    <r>
      <rPr>
        <sz val="12"/>
        <color theme="1"/>
        <rFont val="Times New Roman"/>
        <family val="1"/>
      </rPr>
      <t xml:space="preserve">Kim Thị Mai Huyên </t>
    </r>
    <r>
      <rPr>
        <sz val="12"/>
        <color rgb="FFFF0000"/>
        <rFont val="Times New Roman"/>
        <family val="1"/>
      </rPr>
      <t>- Đã nộp 300K 17/05/2024
VIP75 bảo lưu b17 đi quân sự. Quay lại VIP87 b13</t>
    </r>
  </si>
  <si>
    <t>Xóm Thượng, thôn Phú Hữu, xã Bột Xuyên, huyện Mỹ Đức, Hà Nội</t>
  </si>
  <si>
    <r>
      <rPr>
        <sz val="12"/>
        <color theme="1"/>
        <rFont val="Times New Roman"/>
        <family val="1"/>
      </rPr>
      <t xml:space="preserve">Nguyễn Thu Thuỷ </t>
    </r>
    <r>
      <rPr>
        <sz val="12"/>
        <color rgb="FFFF0000"/>
        <rFont val="Times New Roman"/>
        <family val="1"/>
      </rPr>
      <t>971987221 sđt cũ</t>
    </r>
  </si>
  <si>
    <t>Ngõ 454 Minh khai, Phường Vĩnh Tuy, Quận Hai Bà Trưng, Hà Nội</t>
  </si>
  <si>
    <t>Nhà 32 ngách 123/22,ngõ 123 đường Xuân Phương, Phương Canh,Nam Từ Liêm,Hà Nội</t>
  </si>
  <si>
    <t>Khu nhà ở mộng tuyền, 39 Đường số 13, Kp4, Linh Xuân, Thủ Đức, Thành phố Hồ Chí Minh</t>
  </si>
  <si>
    <t>Nhà số 10, Ngách 79/56, 445 Nguyễn Khang, Yên Hòa, Cầu Giấy, Hà Nội</t>
  </si>
  <si>
    <t>Lê Lương Yến Nhi</t>
  </si>
  <si>
    <t>83 NG1, P.Nghĩa Lộ, Yên Nghĩa, Hà Đông , Hà Nội</t>
  </si>
  <si>
    <t>Phạm Quốc Hưng</t>
  </si>
  <si>
    <t>Xóm Hưng Nhân, Xuân Lam, Hưng Nguyên, tỉnh Nghệ An</t>
  </si>
  <si>
    <r>
      <rPr>
        <sz val="12"/>
        <color theme="1"/>
        <rFont val="Times New Roman"/>
        <family val="1"/>
      </rPr>
      <t xml:space="preserve">Phạm Đức </t>
    </r>
    <r>
      <rPr>
        <sz val="12"/>
        <color rgb="FFFF0000"/>
        <rFont val="Times New Roman"/>
        <family val="1"/>
      </rPr>
      <t>- Chưa làm bảo lưu</t>
    </r>
  </si>
  <si>
    <t>Số 9, Ngõ 112 Đường Tân Phong, Phường Thụy Phương, Quận Bắc Từ Liêm, Hà Nội</t>
  </si>
  <si>
    <t>Số 10, ngách 2, ngõ 66 đường Hồ Tùng mậu, phường Mai Dịch, quận Cầu Giấy, Hà Nội</t>
  </si>
  <si>
    <t xml:space="preserve">số7, ngách32, ngõ Hoà Bình 4, Minh Khai, Hai Bà Trưng, Hà Nội </t>
  </si>
  <si>
    <r>
      <rPr>
        <sz val="12"/>
        <color theme="1"/>
        <rFont val="Times New Roman"/>
        <family val="1"/>
      </rPr>
      <t>Trần Thị Loan -</t>
    </r>
    <r>
      <rPr>
        <sz val="12"/>
        <color rgb="FFFF0000"/>
        <rFont val="Times New Roman"/>
        <family val="1"/>
      </rPr>
      <t xml:space="preserve"> Đã nộp 300K bảo lưu 14/01/24
PT63 bảo lưu. Quay lại học PT66</t>
    </r>
  </si>
  <si>
    <t>Số 6 ngách 58/23/33  Trần Bình, Mai Dịch, Cầu Giấy, Hà Nội</t>
  </si>
  <si>
    <t>VIP87 nghỉ ngang b16</t>
  </si>
  <si>
    <r>
      <rPr>
        <sz val="12"/>
        <color theme="1"/>
        <rFont val="Times New Roman"/>
        <family val="1"/>
      </rPr>
      <t xml:space="preserve">Nguyễn Văn Huy </t>
    </r>
    <r>
      <rPr>
        <sz val="12"/>
        <color rgb="FFFF0000"/>
        <rFont val="Times New Roman"/>
        <family val="1"/>
      </rPr>
      <t>- Đã nộp 300K 07/05/2024
0849379213 sđt cũ. VIP76 bảo lưu b11 đi quân sự. Quay lại VIP87 b9</t>
    </r>
  </si>
  <si>
    <t xml:space="preserve">Cổng chính đại học công nghiệp cơ sở 3, Đại Học Công Nghiệp Hà Nội, Phù Vân, Phủ Lý, Hà Nam
</t>
  </si>
  <si>
    <t>4 ngõ 23 phố nhật Tảo, Đông Ngạc, Bắc Từ Liêm, Hà Nội</t>
  </si>
  <si>
    <t>Báo Văn, Đồng Văn, Yên Lạc, Vĩnh Phúc</t>
  </si>
  <si>
    <t>T208</t>
  </si>
  <si>
    <r>
      <rPr>
        <sz val="12"/>
        <color theme="1"/>
        <rFont val="Times New Roman"/>
        <family val="1"/>
      </rPr>
      <t xml:space="preserve">Kim Thị Trà My </t>
    </r>
    <r>
      <rPr>
        <sz val="12"/>
        <color rgb="FFFF0000"/>
        <rFont val="Times New Roman"/>
        <family val="1"/>
      </rPr>
      <t>- đã nộp 300K 07/07/24
T196 bảo lưu b21 đi quân sự. Học T208 b16</t>
    </r>
  </si>
  <si>
    <t>Ngõ 71, số 69, đề yêm , đường Ngô Gia Tự , tổ 3 Phường Lê Hồng Phong, Phủ Lí, Hà Nam.</t>
  </si>
  <si>
    <t>Số 26, ngách 12/87 chính kinh, thanh Xuân, Hà Nội</t>
  </si>
  <si>
    <t>T204</t>
  </si>
  <si>
    <r>
      <rPr>
        <sz val="12"/>
        <color theme="1"/>
        <rFont val="Times New Roman"/>
        <family val="1"/>
      </rPr>
      <t>Phạm Minh Phương</t>
    </r>
    <r>
      <rPr>
        <sz val="12"/>
        <color rgb="FFFF0000"/>
        <rFont val="Times New Roman"/>
        <family val="1"/>
      </rPr>
      <t xml:space="preserve"> - Đã nộp 300K 25/05/2024
T197 bảo lưu b19 đi quân sự. Quay lại T204 b14</t>
    </r>
  </si>
  <si>
    <t>Trịnh Quỳnh Anh</t>
  </si>
  <si>
    <t>Khu 11, Khải Xuân , Thanh Ba , Phú Thọ</t>
  </si>
  <si>
    <t>https://www.facebook.com/profile.php?id=100012412156694</t>
  </si>
  <si>
    <r>
      <rPr>
        <sz val="12"/>
        <color theme="1"/>
        <rFont val="Times New Roman"/>
        <family val="1"/>
      </rPr>
      <t xml:space="preserve">Vũ Hương Quỳnh </t>
    </r>
    <r>
      <rPr>
        <sz val="12"/>
        <color rgb="FFFF0000"/>
        <rFont val="Times New Roman"/>
        <family val="1"/>
      </rPr>
      <t>(đổi E3 =&gt;Toeic 2)</t>
    </r>
  </si>
  <si>
    <t>HV chat</t>
  </si>
  <si>
    <t>12 ngõ 5 Phạm Thận Duật, Mai Dịch, Cầu Giấy, Hà Nội</t>
  </si>
  <si>
    <t>https://drive.google.com/open?id=1rmYCAExBp4OpeLrTsFh5l9HXvzuBhFeW</t>
  </si>
  <si>
    <r>
      <rPr>
        <sz val="12"/>
        <color theme="1"/>
        <rFont val="Times New Roman"/>
        <family val="1"/>
      </rPr>
      <t xml:space="preserve">Cao Thùy Trang </t>
    </r>
    <r>
      <rPr>
        <sz val="12"/>
        <color rgb="FFFF0000"/>
        <rFont val="Times New Roman"/>
        <family val="1"/>
      </rPr>
      <t>- nick Trang Cao</t>
    </r>
  </si>
  <si>
    <t>Số 3, Ngõ 98 đường Tân Triều, Xã Tân Triều, Thanh Trì, Hà Nội</t>
  </si>
  <si>
    <t xml:space="preserve"> Tòa CT12C, Kim Văn, Kim Lũ, Đại Kim, Hoàng Mai, Hà Nội</t>
  </si>
  <si>
    <t>Nhà số 1, Ngõ 130, An Hạ, An Thượng, Hoài Đức, Hà Nội</t>
  </si>
  <si>
    <r>
      <rPr>
        <sz val="12"/>
        <color theme="1"/>
        <rFont val="Times New Roman"/>
        <family val="1"/>
      </rPr>
      <t>Đinh Thị Hồng Nhung</t>
    </r>
    <r>
      <rPr>
        <sz val="12"/>
        <color rgb="FFFF0000"/>
        <rFont val="Times New Roman"/>
        <family val="1"/>
      </rPr>
      <t xml:space="preserve"> (VIP77)</t>
    </r>
  </si>
  <si>
    <t>Số nhà 1A, ngách  19/105 Doãn Kế Thiện, Mai Dịch, Cầy Giấy, Hà Nội</t>
  </si>
  <si>
    <t>VIP98</t>
  </si>
  <si>
    <t xml:space="preserve"> khu 6, Cấp Dẫn, Cẩm Khê, Phú Thọ.</t>
  </si>
  <si>
    <t xml:space="preserve">Làng Bèn, xã Đồng Thịnh, huyện Định Hóa, tỉnh Thái Nguyên  </t>
  </si>
  <si>
    <t>Thôn Đoài, xã Việt Hùng, huyện Đông Anh, Hà Nội</t>
  </si>
  <si>
    <t>Ngõ 239 xã An Thượng huyện Hoài Đức Hà Nội</t>
  </si>
  <si>
    <t>Vũ Hoàng Lân</t>
  </si>
  <si>
    <t>số 2a ngách 61 ngõ 1002 đường láng  ,láng Thượng ,Đống Đa ,Hà Nội</t>
  </si>
  <si>
    <t>số 7 ngách 324/33 phương canh, nam từ liêm, hà nội</t>
  </si>
  <si>
    <t>VIP94</t>
  </si>
  <si>
    <r>
      <rPr>
        <sz val="12"/>
        <color theme="1"/>
        <rFont val="Times New Roman"/>
        <family val="1"/>
      </rPr>
      <t xml:space="preserve">Nguyễn Ngọc Anh </t>
    </r>
    <r>
      <rPr>
        <sz val="12"/>
        <color rgb="FFFF0000"/>
        <rFont val="Times New Roman"/>
        <family val="1"/>
      </rPr>
      <t>- đã nộp 300K 18/03/2024
OVIP3 bảo lưu b6 do bận. Học VIP94 b1</t>
    </r>
  </si>
  <si>
    <t>Nguyễn Thị Thuỳ Dung</t>
  </si>
  <si>
    <t>OVIP3 bảo lưu b17 đi quân sự</t>
  </si>
  <si>
    <r>
      <rPr>
        <sz val="12"/>
        <color theme="1"/>
        <rFont val="Times New Roman"/>
        <family val="1"/>
      </rPr>
      <t xml:space="preserve">Trần Thị Trang </t>
    </r>
    <r>
      <rPr>
        <sz val="12"/>
        <color rgb="FFFF0000"/>
        <rFont val="Times New Roman"/>
        <family val="1"/>
      </rPr>
      <t>- Đã nộp 300K 02/05/2024</t>
    </r>
  </si>
  <si>
    <r>
      <rPr>
        <sz val="12"/>
        <color theme="1"/>
        <rFont val="Times New Roman"/>
        <family val="1"/>
      </rPr>
      <t xml:space="preserve">Nguyễn Hồng Ánh </t>
    </r>
    <r>
      <rPr>
        <sz val="12"/>
        <color rgb="FFFF0000"/>
        <rFont val="Times New Roman"/>
        <family val="1"/>
      </rPr>
      <t>- Đã nộp 300K 13/05/2024
Đổi OVIP sang học VIP78 b22 do về quê</t>
    </r>
  </si>
  <si>
    <r>
      <rPr>
        <sz val="12"/>
        <color theme="1"/>
        <rFont val="Times New Roman"/>
        <family val="1"/>
      </rPr>
      <t>Hoàng Thị Thùy</t>
    </r>
    <r>
      <rPr>
        <sz val="12"/>
        <color rgb="FFFF0000"/>
        <rFont val="Times New Roman"/>
        <family val="1"/>
      </rPr>
      <t xml:space="preserve"> - Học lại, ko đạt đầu ra</t>
    </r>
  </si>
  <si>
    <t>T135</t>
  </si>
  <si>
    <t>VIP78 bảo lưu b10 do bận</t>
  </si>
  <si>
    <t>https://www.facebook.com/profile.php?id=100041819386071</t>
  </si>
  <si>
    <t>Lê Thanh Phương</t>
  </si>
  <si>
    <t>Chăm sóc hỏi</t>
  </si>
  <si>
    <t>Trọ young house 8, xã Tân Xã, Huyện Thạch Thất, thành phố Hà Nội</t>
  </si>
  <si>
    <t>https://drive.google.com/open?id=1ERs5wIZ19bPDgOmP-u55-J1UuDZb-zTK</t>
  </si>
  <si>
    <t>PT69</t>
  </si>
  <si>
    <t>https://www.facebook.com/dtn0602</t>
  </si>
  <si>
    <r>
      <rPr>
        <sz val="12"/>
        <color theme="1"/>
        <rFont val="Times New Roman"/>
        <family val="1"/>
      </rPr>
      <t xml:space="preserve">Đặng Thị Nhàn </t>
    </r>
    <r>
      <rPr>
        <sz val="12"/>
        <color rgb="FFFF0000"/>
        <rFont val="Times New Roman"/>
        <family val="1"/>
      </rPr>
      <t>(đổi E3 sang PT)</t>
    </r>
  </si>
  <si>
    <t>Ngõ 79 Dương Quảng Hàm, Cầu Giấy, Hà Nội</t>
  </si>
  <si>
    <t>https://drive.google.com/open?id=1tbHmngzzTsqIHYQzQ-kBTApT9K9KOpIr</t>
  </si>
  <si>
    <t>Ko test</t>
  </si>
  <si>
    <t>Số 7, Ngách 324/33 Phương Canh, phường Phương Canh, Nam Từ Liêm, Hà Nội</t>
  </si>
  <si>
    <t>Bản Vóng, Kỳ Phú, Nho Quan, Ninh Bình</t>
  </si>
  <si>
    <t>VIP86</t>
  </si>
  <si>
    <r>
      <rPr>
        <sz val="12"/>
        <color theme="1"/>
        <rFont val="Times New Roman"/>
        <family val="1"/>
      </rPr>
      <t>Nguyễn Thị Quỳnh</t>
    </r>
    <r>
      <rPr>
        <sz val="12"/>
        <color rgb="FFFF0000"/>
        <rFont val="Times New Roman"/>
        <family val="1"/>
      </rPr>
      <t xml:space="preserve"> (hủy VIP78) sđt gửi sách </t>
    </r>
    <r>
      <rPr>
        <sz val="12"/>
        <color theme="1"/>
        <rFont val="Times New Roman"/>
        <family val="1"/>
      </rPr>
      <t>0382513362</t>
    </r>
  </si>
  <si>
    <t>Số 4 Ngõ 567 Hoàng Hoa Thám, Ba Đình, Hà Nội</t>
  </si>
  <si>
    <r>
      <rPr>
        <sz val="12"/>
        <color theme="1"/>
        <rFont val="Times New Roman"/>
        <family val="1"/>
      </rPr>
      <t xml:space="preserve">Nguyễn Thị Ngọc Ánh </t>
    </r>
    <r>
      <rPr>
        <sz val="12"/>
        <color rgb="FFFF0000"/>
        <rFont val="Times New Roman"/>
        <family val="1"/>
      </rPr>
      <t>(Đã nộp 300K bảo lưu + 300K học lại 4 buổi tính 50% 18/2/24)</t>
    </r>
  </si>
  <si>
    <t>(Đã nộp 300K bảo lưu + 300K học lại 4 buổi tính 50% 18/2/24)</t>
  </si>
  <si>
    <r>
      <rPr>
        <sz val="12"/>
        <color theme="1"/>
        <rFont val="Times New Roman"/>
        <family val="1"/>
      </rPr>
      <t>Trịnh Hoàng Phúc (</t>
    </r>
    <r>
      <rPr>
        <sz val="12"/>
        <color rgb="FFFF0000"/>
        <rFont val="Times New Roman"/>
        <family val="1"/>
      </rPr>
      <t>Học lại miễn phí, ko đạt đầu ra)</t>
    </r>
  </si>
  <si>
    <t>xóm cun xã thu phong huyện cao phong tỉnh hoà bình</t>
  </si>
  <si>
    <t>Chung cư Thăng Long Victory, An Khánh, Hoài Đức, Hà Nội</t>
  </si>
  <si>
    <t>T202 bảo lưu b14</t>
  </si>
  <si>
    <r>
      <rPr>
        <sz val="12"/>
        <color theme="1"/>
        <rFont val="Times New Roman"/>
        <family val="1"/>
      </rPr>
      <t xml:space="preserve">Đặng Tất Phong </t>
    </r>
    <r>
      <rPr>
        <sz val="12"/>
        <color rgb="FFFF0000"/>
        <rFont val="Times New Roman"/>
        <family val="1"/>
      </rPr>
      <t>(T200, T201)</t>
    </r>
  </si>
  <si>
    <t>Nhà trọ Kiên Phạm, Phù Vân, Phủ Lý, Hà Nam</t>
  </si>
  <si>
    <t>Hoàng Thị Hòa</t>
  </si>
  <si>
    <t>nhà Trại Mới- Gia Khánh- Bình Xuyên- Vĩnh Phúc</t>
  </si>
  <si>
    <r>
      <rPr>
        <sz val="12"/>
        <color theme="1"/>
        <rFont val="Times New Roman"/>
        <family val="1"/>
      </rPr>
      <t>Đỗ Thị Bích Phượng</t>
    </r>
    <r>
      <rPr>
        <sz val="12"/>
        <color rgb="FFFF0000"/>
        <rFont val="Times New Roman"/>
        <family val="1"/>
      </rPr>
      <t xml:space="preserve"> (VIP79)</t>
    </r>
  </si>
  <si>
    <t>số nhà 54A- tổ 2, khu Vĩnh Trung- phường Mạo Khê- thị xã Đông Triều- tỉnh Quảng Ninh</t>
  </si>
  <si>
    <t>Võ Thị Ngọc Trăm</t>
  </si>
  <si>
    <t>343 Phước Yên A, Phú Quới, Long Hồ, Vĩnh Long</t>
  </si>
  <si>
    <r>
      <rPr>
        <sz val="12"/>
        <color rgb="FF000000"/>
        <rFont val="Times New Roman"/>
        <family val="1"/>
      </rPr>
      <t>Vũ Thị Linh</t>
    </r>
    <r>
      <rPr>
        <sz val="12"/>
        <color rgb="FFFF0000"/>
        <rFont val="Times New Roman"/>
        <family val="1"/>
      </rPr>
      <t xml:space="preserve"> nick: Linh chuột (đổi E2 -&gt;Toeic 2)</t>
    </r>
  </si>
  <si>
    <t>41 Phạm Văn Đồng, Hồng Tiến, Phổ Yên, Thái Nguyên</t>
  </si>
  <si>
    <t>VIP79 xin bỏ ngang từ b17, số buổi còn lại xem recode</t>
  </si>
  <si>
    <t>Đồng Thị Thuý Hường</t>
  </si>
  <si>
    <t>số 4, ngõ 101 Đê Tô Hoàng, phường Cầu Dền, quận Hai Bà Trưng, Hà Nội</t>
  </si>
  <si>
    <t>VIP78 xin nghỉ ngang từ b18</t>
  </si>
  <si>
    <r>
      <rPr>
        <sz val="12"/>
        <color theme="1"/>
        <rFont val="Times New Roman"/>
        <family val="1"/>
      </rPr>
      <t xml:space="preserve">Nguyễn Thị Mỹ Tâm </t>
    </r>
    <r>
      <rPr>
        <sz val="12"/>
        <color rgb="FFFF0000"/>
        <rFont val="Times New Roman"/>
        <family val="1"/>
      </rPr>
      <t>- nick Thiên Tâm. số cũ: 385485630 VIP79</t>
    </r>
  </si>
  <si>
    <t xml:space="preserve"> số 4, ngõ 101 Đê Tô Hoàng, phường Cầu Dền, quận Hai Bà Trưng, Hà Nội</t>
  </si>
  <si>
    <t>https://www.facebook.com/profile.php?id=100025967235319&amp;mibextid=ZbWKwL</t>
  </si>
  <si>
    <t>Nguyễn Quang Khánh</t>
  </si>
  <si>
    <t>nguyenquangkhanh1a1@gmail.com</t>
  </si>
  <si>
    <t>11/12/2023 và 25/01/2024</t>
  </si>
  <si>
    <t>https://drive.google.com/open?id=1v0kKRJAJpYQ2cARka0CIzrNUpBU-eBDW; https://drive.google.com/open?id=18JuCBAzR4gHhJAvES_R9j2ANopEGvQ4F; https://drive.google.com/open?id=1LT_Lvesh0aqu3lVCTBOU67bNWgjquOmr</t>
  </si>
  <si>
    <t>Bỏ, ko học</t>
  </si>
  <si>
    <t>https://www.facebook.com/profile.php?id=100012638654680&amp;mibextid=LQQJ4d</t>
  </si>
  <si>
    <r>
      <rPr>
        <sz val="12"/>
        <color theme="1"/>
        <rFont val="Times New Roman"/>
        <family val="1"/>
      </rPr>
      <t>Lương Thị Thuỳ Linh</t>
    </r>
    <r>
      <rPr>
        <sz val="12"/>
        <color rgb="FFFF0000"/>
        <rFont val="Times New Roman"/>
        <family val="1"/>
      </rPr>
      <t xml:space="preserve"> (OT13 =&gt;Chờ)
Nhài hỏi HV KO học nữa</t>
    </r>
  </si>
  <si>
    <t>thuylinhluong.05@gmail.com</t>
  </si>
  <si>
    <t>https://drive.google.com/open?id=1qaBciMdbyF1sAOscDTok06B00rHNFliT; https://drive.google.com/open?id=1gqBzNC0MZZxR51TNDMjoKjueMG02bo_R</t>
  </si>
  <si>
    <t>Đức báo hạ level</t>
  </si>
  <si>
    <t>PT63 bảo lưu sang PT65</t>
  </si>
  <si>
    <t>https://www.facebook.com/linh.luongthuy.5249</t>
  </si>
  <si>
    <t>Hoàng Ngọc Linh</t>
  </si>
  <si>
    <t>Hoangngoclinh162110@gmail.com</t>
  </si>
  <si>
    <t xml:space="preserve">Số nhà 23 165/2 dương quảng hàm cầu giấy </t>
  </si>
  <si>
    <t>24/11/2023 và 18/01/2024</t>
  </si>
  <si>
    <t>https://drive.google.com/open?id=1u1DNHn6j5_As3Z5JKddgza6V-sbQ_3qr; https://drive.google.com/open?id=1Z1ybEk4uvMVdBpFApLBI8CXO0kFU7Cp0</t>
  </si>
  <si>
    <t>https://www.facebook.com/profile.php?id=100048014269995&amp;mibextid=LQQJ4d</t>
  </si>
  <si>
    <t>Mai Thị Phương Lan</t>
  </si>
  <si>
    <t>mplan4270@gmail.com</t>
  </si>
  <si>
    <t>tại lớp học</t>
  </si>
  <si>
    <t>https://drive.google.com/open?id=1lQ0HLwuW_HOSZM_TMO-J651WuIa0_7o3; https://drive.google.com/open?id=1pi-B5s8v0um8n6wG0MZLiGOlkBTW_l_H</t>
  </si>
  <si>
    <t>https://www.facebook.com/profile.php?id=100013974739686&amp;mibextid=REkXMA</t>
  </si>
  <si>
    <t>Hoàng Ngọc Anh</t>
  </si>
  <si>
    <t>ngocanhhoangdx@gmail.com</t>
  </si>
  <si>
    <t xml:space="preserve">9C Ngõ 181 Xuân Thủy </t>
  </si>
  <si>
    <t>https://drive.google.com/open?id=127nOyAZlkmxiLCb3iM16sOdLlAZdKADV; https://drive.google.com/open?id=1C4mlXCEM-3-4GyzD_a3z86S2i7gkWYQi</t>
  </si>
  <si>
    <t>https://www.facebook.com/lai.thai.98871</t>
  </si>
  <si>
    <t>Thái Thị Lài</t>
  </si>
  <si>
    <t>thaithilai22062000@gmail.com</t>
  </si>
  <si>
    <t>số 9 đường Văn Học, Kim Chung,Đông Anh,HN</t>
  </si>
  <si>
    <t>https://drive.google.com/open?id=1ly1nKtdayZpOk-wUp5j_jXp2GomCOrKE; https://drive.google.com/open?id=1UwH9uMWzgaOqGecTHkZBndJ24kfTMv7v</t>
  </si>
  <si>
    <t>PT64 nghỉ ngang b4. Giáo viên/trợ giảng/hỗ trợ ko liên hệ được</t>
  </si>
  <si>
    <t>https://www.facebook.com/profile.php?id=100076641697977&amp;mibextid=LQQJ4d</t>
  </si>
  <si>
    <t xml:space="preserve">Nguyễn Thị Thuý Quỳnh </t>
  </si>
  <si>
    <t>quynh309205@gmail.com</t>
  </si>
  <si>
    <t>Nhà văn hoá thôn Thạch Lỗi - xã Thanh Xuân- huyện Sóc Sơn- thành phố Hà Nội</t>
  </si>
  <si>
    <t>https://drive.google.com/open?id=1N-JrvQG_vqAG5pO6e5etsk2YBFwc2gvk</t>
  </si>
  <si>
    <t>https://www.facebook.com/profile.php?id=100057774236787</t>
  </si>
  <si>
    <t>Nguyễn Mỹ Duyên</t>
  </si>
  <si>
    <t>duyenhot235@gmail.com</t>
  </si>
  <si>
    <t>https://drive.google.com/open?id=1CfhgC0XAojL15XX2gFgoqX7N4lgZqDwm</t>
  </si>
  <si>
    <t>https://www.facebook.com/profile.php?id=100022824795575</t>
  </si>
  <si>
    <t>Nguyễn Thế Tài</t>
  </si>
  <si>
    <t xml:space="preserve"> ntai1553@gmail.com</t>
  </si>
  <si>
    <t>https://drive.google.com/open?id=1dRphuB_v6uhrr-t19g37ffpgX2QmV3aM</t>
  </si>
  <si>
    <t xml:space="preserve">Đoàn Trần Tường Vy </t>
  </si>
  <si>
    <t>https://drive.google.com/open?id=1BoRV5y8B7v7F8RRQKld635o-BTQdgfsh; https://drive.google.com/open?id=17Ey-mCEt227AwR73dUTTxgj44pLSqGa0</t>
  </si>
  <si>
    <t>theo lớp up</t>
  </si>
  <si>
    <r>
      <rPr>
        <sz val="12"/>
        <color theme="1"/>
        <rFont val="Times New Roman"/>
        <family val="1"/>
      </rPr>
      <t>Lê Thế Anh</t>
    </r>
    <r>
      <rPr>
        <sz val="12"/>
        <color rgb="FFFF0000"/>
        <rFont val="Times New Roman"/>
        <family val="1"/>
      </rPr>
      <t xml:space="preserve"> - nick Lê Thế Nanh</t>
    </r>
  </si>
  <si>
    <t>https://drive.google.com/open?id=1wFi1EAyslHe91cbgPWvyDzwARxZkAudD</t>
  </si>
  <si>
    <t>Đã qua lv1</t>
  </si>
  <si>
    <t>T193 bảo lưu buổi 2 gia đình có việc gấp</t>
  </si>
  <si>
    <t>https://www.facebook.com/tuquyen.lamm</t>
  </si>
  <si>
    <t>Lâm Tú Quyên</t>
  </si>
  <si>
    <t>tuquyenlam2005@gmail.com</t>
  </si>
  <si>
    <t xml:space="preserve"> Ngõ 19 phố Hoang Mai, Hai bà trưng, Hà Nội</t>
  </si>
  <si>
    <t>https://drive.google.com/open?id=12ZPNgxZA7HrO3acwxGLQJ2bedT0BJvwS; https://drive.google.com/open?id=1Q7VXcnFfHYCvwGgXps7hsIPTRm_gBOhF</t>
  </si>
  <si>
    <t>https://www.facebook.com/thanhtruc2206?mibextid=PlNXYD</t>
  </si>
  <si>
    <t>Bùi Thị Thanh Trúc</t>
  </si>
  <si>
    <t>bttt26122005@gmail.com</t>
  </si>
  <si>
    <t>Nhà số 2, ngách 141 ngõ 1194 Đường Láng, Láng Thượng, Đống Đa</t>
  </si>
  <si>
    <t>https://drive.google.com/open?id=1tgpl_n-wSGuAvi4Hk23iZEs34Ja-EwH8; https://drive.google.com/open?id=1hGbNcsouzz1BYkxThsSQFflqIFngSWoY</t>
  </si>
  <si>
    <t>https://drive.google.com/open?id=11cbtLgWNdsUABmQNOuOyRsvR55z43MJx</t>
  </si>
  <si>
    <t>https://www.facebook.com/100014203269575/</t>
  </si>
  <si>
    <t>https://drive.google.com/open?id=1TesqUUFpaqW_VBdV49j44LL0lWALPc8c</t>
  </si>
  <si>
    <t>https://www.facebook.com/share/ufRaz8njWmoUKFFb/?</t>
  </si>
  <si>
    <r>
      <rPr>
        <sz val="12"/>
        <color theme="1"/>
        <rFont val="Times New Roman"/>
        <family val="1"/>
      </rPr>
      <t>Bùi Thị Ngọc Ly</t>
    </r>
    <r>
      <rPr>
        <sz val="12"/>
        <color rgb="FFFF0000"/>
        <rFont val="Times New Roman"/>
        <family val="1"/>
      </rPr>
      <t xml:space="preserve"> - đã nộp 300K 14/07/24
T193 bảo lưu b20 vấn đề sức khỏe. Học T211 b15</t>
    </r>
  </si>
  <si>
    <t>lybuily19@gmail.com</t>
  </si>
  <si>
    <t xml:space="preserve">số nhà 28 - ngõ 401 - ngách 53 - phường Xuân Đỉnh - quận Bắc Từ Liêm - Hà Nội </t>
  </si>
  <si>
    <t>đã Ck lại 90k</t>
  </si>
  <si>
    <t>https://drive.google.com/open?id=1G-yRHA8DWDuzCD58OdWAVEcadxhxgfEh</t>
  </si>
  <si>
    <t>https://www.facebook.com/profile.php?id=100075587312475</t>
  </si>
  <si>
    <r>
      <rPr>
        <sz val="12"/>
        <color theme="1"/>
        <rFont val="Times New Roman"/>
        <family val="1"/>
      </rPr>
      <t xml:space="preserve">Đào Thị Minh An </t>
    </r>
    <r>
      <rPr>
        <sz val="12"/>
        <color rgb="FFFF0000"/>
        <rFont val="Times New Roman"/>
        <family val="1"/>
      </rPr>
      <t>- nick Myung Ahn</t>
    </r>
  </si>
  <si>
    <t>minhan29072005@gmail.com</t>
  </si>
  <si>
    <t>Số nhà 5A ngõ 68 ngách 91 Quan Hoa Cầu Giấy</t>
  </si>
  <si>
    <t>Đạt đăng ký nhầm 2 khóa khác. Đã chuyển về đúng Toeic 1,2. Đã trả lại 280K ngày 10/01/2024</t>
  </si>
  <si>
    <t>https://drive.google.com/open?id=143D6YpRp01I1MI4fYOTiOZ0s2ENQIjZF</t>
  </si>
  <si>
    <t>Nhài đưa sách Xuân Đạt</t>
  </si>
  <si>
    <t>https://www.facebook.com/phuonglinh20102001?mibextid=LQQJ4d</t>
  </si>
  <si>
    <t>Trương Thị Phương Linh</t>
  </si>
  <si>
    <t>linh09082018@gmail.com</t>
  </si>
  <si>
    <t xml:space="preserve">Số 25 Ngõ 2 đại lộ Thăng Long- Mễ Trì- Nam Từ Liêm- Hà Nội </t>
  </si>
  <si>
    <t>https://drive.google.com/open?id=1dvLX0eEzLyoD8HqPinmMrf8YTLD_0Cbo</t>
  </si>
  <si>
    <t>https://www.facebook.com/PhongvnTV.2005</t>
  </si>
  <si>
    <t>Trần Thanh Nghị</t>
  </si>
  <si>
    <t>037205005086</t>
  </si>
  <si>
    <t>Xóm 3-Kim Mỹ-Kim Sơn-Ninh Bình</t>
  </si>
  <si>
    <t>https://drive.google.com/open?id=1Pf4vx-EC83JkYppYPHm5ibXlJoiBsBn6</t>
  </si>
  <si>
    <t>https://www.facebook.com/profile.php?id=100078194207173&amp;mibextid=LQQJ4d</t>
  </si>
  <si>
    <t>nguyenha25042005@gmail.com</t>
  </si>
  <si>
    <t>Số 46- Ngõ 66- Hồ Tùng Mậu- Từ Liêm- Hà Nội</t>
  </si>
  <si>
    <t>https://drive.google.com/open?id=1KuWOz6N5Aj3hbJ7j_r7Ctl5RVx7TsMEg; https://drive.google.com/open?id=1hAg98gJkX-Fe5mdo7DNrhRN2E9s06Oln</t>
  </si>
  <si>
    <t>https://www.facebook.com/profile.php?id=100069746552749&amp;mibextid=zLoPMf</t>
  </si>
  <si>
    <t>Nguyễn Xuân Hoàng</t>
  </si>
  <si>
    <t>hn518633@gmail.com</t>
  </si>
  <si>
    <t>https://drive.google.com/open?id=1GHzJb6Z5f3PS6rS7H1oc8f5izdqKQ0Ec; https://drive.google.com/open?id=1aOQRfdP86qBcvMhIibZcwOEVkhj3e0al</t>
  </si>
  <si>
    <t>Nhài đưa sách Xuân Đức</t>
  </si>
  <si>
    <t>https://www.facebook.com/profile.php?id=100054409000741&amp;mibextid=LQQJ4d</t>
  </si>
  <si>
    <t xml:space="preserve">Nguyễn Thị Thu Thuỷ </t>
  </si>
  <si>
    <t>nguyenthithuthuy2621@gmail.com</t>
  </si>
  <si>
    <t xml:space="preserve">Chùa du tiên - Thôn Phú An- Xã Cao An - Huyện Cẩm Giàng - Tỉnh Hải Dương </t>
  </si>
  <si>
    <t>https://drive.google.com/open?id=1XAncOrL5jYCwzHQ44p_Pn2MFcKJToIEu; https://drive.google.com/open?id=1U-t0vTbSGiBHdkEz_zg2fnnS5PVoRisO</t>
  </si>
  <si>
    <t>B662</t>
  </si>
  <si>
    <t>https://www.facebook.com/profile.php?id=100048362952390&amp;locale=vi_VN</t>
  </si>
  <si>
    <t>Đào Ngọc Lợi</t>
  </si>
  <si>
    <t>ngocloi1082004@gmail.com</t>
  </si>
  <si>
    <t xml:space="preserve">Chung cư new city- kim chung - chung - hoài đức - hà nội </t>
  </si>
  <si>
    <t>https://drive.google.com/open?id=1DJ3AQ7s98FTue7LFYdvYyPeuTovs9xcq</t>
  </si>
  <si>
    <t>https://www.facebook.com/profile.php?id=100016663984094</t>
  </si>
  <si>
    <t>Nguyễn Tuyết Lâm Khuê</t>
  </si>
  <si>
    <t>lamkhue3012@gmail.com</t>
  </si>
  <si>
    <t>24 nguyễn cơ thạch</t>
  </si>
  <si>
    <t>https://drive.google.com/open?id=11kJhclp3UOw2gwiAmVcUY8ab-m3k7DTz; https://drive.google.com/open?id=1-hzg9vAwxr0TGTHWz4xgTYtjLHu4kLnK</t>
  </si>
  <si>
    <t>https://www.facebook.com/profile.php?id=100063494654302</t>
  </si>
  <si>
    <t>Nguyễn Hồng Thuý</t>
  </si>
  <si>
    <t>https://drive.google.com/open?id=1hrfzm8RYhyrMuWu3cNpR4O3nLnlsi3aD</t>
  </si>
  <si>
    <t>Số 15, ngõ 20/117, đường Mỹ đình, Nam Từ Liêm, Hà Nội</t>
  </si>
  <si>
    <t>https://drive.google.com/open?id=1T3dyIEq26e6dX38_Ty48GZj_XWMtIsoP; https://drive.google.com/open?id=1uRnQ7MpSj_ldzGWwfXzBX7CnUi2o4q0G</t>
  </si>
  <si>
    <t>https://www.facebook.com/nguyen.n.thao.16906715</t>
  </si>
  <si>
    <t>Số 10, Ngách 141/5, Lê Văn Hiến, Bắc Từ Liêm, Hà Nội</t>
  </si>
  <si>
    <t>https://drive.google.com/open?id=1eJvAkUb_-LCYM4cJs6ze4kafIDIm4tuK</t>
  </si>
  <si>
    <t>https://www.facebook.com/profile.php?id=100092331591591</t>
  </si>
  <si>
    <t>Phạm Hồng Nhung</t>
  </si>
  <si>
    <t>037305005660</t>
  </si>
  <si>
    <t>Nhà số 1, ngõ 84 Xuân Phương, Phương canh</t>
  </si>
  <si>
    <t>https://drive.google.com/open?id=1qWfdBqvD9o9Nv0mKUzgJaTZ8uAeOl7dB</t>
  </si>
  <si>
    <t>https://www.facebook.com/nguyenthuhuog2002</t>
  </si>
  <si>
    <t>Vũ Thị Thu Hương</t>
  </si>
  <si>
    <t xml:space="preserve">Email huongthu20204@gmail.com
</t>
  </si>
  <si>
    <t>Ngõ 66/2, Số nhà 2, đường Hồ Tùng Mậu, Bắc Từ Liêm, Hà Nội</t>
  </si>
  <si>
    <t>https://drive.google.com/open?id=1sqUE6lmmNHjswvaaKi6fKYF4O-wD6G9m</t>
  </si>
  <si>
    <t>https://www.facebook.com/ngthgiang204?mibextid=JRoKGi</t>
  </si>
  <si>
    <t>Nguyễn Thuỳ Giang</t>
  </si>
  <si>
    <t>không có email</t>
  </si>
  <si>
    <t>nhà số 7 , ngõ 60 đường Kim Bông ,thôn Kim Bông , xã Tân Xã , huyện Thạch Thất , Hà Nội</t>
  </si>
  <si>
    <t>https://drive.google.com/open?id=1vV3T1F8Nb93Y_3YxJ_2X5Aww4HPXieg4</t>
  </si>
  <si>
    <t>fb.com/Hathanh24.IT</t>
  </si>
  <si>
    <t>Số nhà 2E, Ngõ 118 Phố Hoè Thị, P. phương Canh, Q. bắc Từ Liêm, Hà Nội</t>
  </si>
  <si>
    <t>https://drive.google.com/open?id=1wGZIF8QtiHwYMqpeiN7mgNZFq5Mu_cFn</t>
  </si>
  <si>
    <t>https://www.facebook.com/100068526194238/</t>
  </si>
  <si>
    <t>Đường tài chính, xã Trưng Trắc, Văn Lâm, Hưng Yên</t>
  </si>
  <si>
    <t>https://drive.google.com/open?id=1O-TMmAZKYU0ezJUy9KK4W1kAsZ5jLnSP; https://drive.google.com/open?id=1KZgt7PneUt7Q3HfLgOJHHBmTeBUKrIyq</t>
  </si>
  <si>
    <t>PT68</t>
  </si>
  <si>
    <t>https://www.facebook.com/profile.php?id=100073300362753&amp;mibextid=LQQJ4d</t>
  </si>
  <si>
    <r>
      <rPr>
        <sz val="12"/>
        <color theme="1"/>
        <rFont val="Times New Roman"/>
        <family val="1"/>
      </rPr>
      <t xml:space="preserve">Tôn Thị Ngọc Yến </t>
    </r>
    <r>
      <rPr>
        <sz val="12"/>
        <color rgb="FFFF0000"/>
        <rFont val="Times New Roman"/>
        <family val="1"/>
      </rPr>
      <t>- nick Ngoc Ngoc</t>
    </r>
  </si>
  <si>
    <t>tonthingocyen5555@gmail.com</t>
  </si>
  <si>
    <t>5D Nguyễn Khuyến, phường Trảng Dài, TP Biên Hoà Đồng Nai</t>
  </si>
  <si>
    <t>https://drive.google.com/open?id=1UPyNbeUV3R_XKdsShw_DS8oVt31Zxpcw</t>
  </si>
  <si>
    <t>https://www.facebook.com/long.teo.549?mibextid=LQQJ4d</t>
  </si>
  <si>
    <t>Trần Hữu Long</t>
  </si>
  <si>
    <t xml:space="preserve">không có </t>
  </si>
  <si>
    <t>nhận tại lớp học</t>
  </si>
  <si>
    <t>https://drive.google.com/open?id=1GFoCHXzNu1kplFCG3QOrypYPXBegNJN3</t>
  </si>
  <si>
    <t>OVIP4</t>
  </si>
  <si>
    <t>https://www.facebook.com/kieuthichbuncha</t>
  </si>
  <si>
    <t xml:space="preserve">Hà Kiều Anh </t>
  </si>
  <si>
    <t>hakieuanh906@gmail.com</t>
  </si>
  <si>
    <t>5, ngõ 87, lê văn hiến, bắc từ liêm, hà nội</t>
  </si>
  <si>
    <t>https://drive.google.com/open?id=1ttu_LOZ5L8tQ_scXdLzlTMucpwysGfcY</t>
  </si>
  <si>
    <t>PT67</t>
  </si>
  <si>
    <t>https://www.facebook.com/nhii.trannhoai.3</t>
  </si>
  <si>
    <r>
      <rPr>
        <sz val="12"/>
        <color theme="1"/>
        <rFont val="Times New Roman"/>
        <family val="1"/>
      </rPr>
      <t xml:space="preserve">Trần Hoài Nhi </t>
    </r>
    <r>
      <rPr>
        <sz val="12"/>
        <color rgb="FFFF0000"/>
        <rFont val="Times New Roman"/>
        <family val="1"/>
      </rPr>
      <t>0559327057 nhận sách</t>
    </r>
  </si>
  <si>
    <t>xóm 11, xã Phúc Đồng, huyện Hương Khê, tỉnh Hà Tĩnh</t>
  </si>
  <si>
    <t>https://drive.google.com/open?id=1TjlHMBgpk06R-XmHSNi4rYirm-FbncQF</t>
  </si>
  <si>
    <t>https://www.facebook.com/minhtrang.vo.71</t>
  </si>
  <si>
    <t xml:space="preserve">Võ Minh Trang </t>
  </si>
  <si>
    <t>vominhtrang1908@gmail.com</t>
  </si>
  <si>
    <t xml:space="preserve">Tạp Hoá Thịnh,  ấp Phước Thọ Tiền, xã Phước Long, huyện Phước Long, TP. Bạc Liêu </t>
  </si>
  <si>
    <t>https://drive.google.com/open?id=1NuuKlVtXlVk5hPVhdJthJsi7gPSWe4ht; https://drive.google.com/open?id=1ai1qkH0nwo3aEyxNw0E2adYR0A2WyUut</t>
  </si>
  <si>
    <t>Dương báo gửi gấp. Bạn về VN</t>
  </si>
  <si>
    <t>OPT16</t>
  </si>
  <si>
    <t>https://www.facebook.com/cao.loan.52035</t>
  </si>
  <si>
    <t>Cao Thị Loan</t>
  </si>
  <si>
    <t>124 an hạ 2, an thượng, hoài đức, hà nội</t>
  </si>
  <si>
    <t>https://drive.google.com/open?id=1VuAk46TtZrar_f-5p1Cgn2leEq82_qJa</t>
  </si>
  <si>
    <t>Thiếu sách. Phát sau</t>
  </si>
  <si>
    <t>https://www.facebook.com/profile.php?id=100046119121012</t>
  </si>
  <si>
    <r>
      <rPr>
        <sz val="12"/>
        <color theme="1"/>
        <rFont val="Times New Roman"/>
        <family val="1"/>
      </rPr>
      <t>Vũ Văn Bắc</t>
    </r>
    <r>
      <rPr>
        <sz val="12"/>
        <color rgb="FFFF0000"/>
        <rFont val="Times New Roman"/>
        <family val="1"/>
      </rPr>
      <t xml:space="preserve"> (gửi lại lần 2)</t>
    </r>
  </si>
  <si>
    <t>vuvanbacbac1@gmail.com</t>
  </si>
  <si>
    <t>30 đường tân phú khương đình thanh xuân hà nội</t>
  </si>
  <si>
    <t>https://drive.google.com/open?id=1KwrCGbrSURmTPo0R4Uab5Vnx2WhTxFIf</t>
  </si>
  <si>
    <t>Ngô Đức báo gửi sách trước 23/1/24</t>
  </si>
  <si>
    <t>https://www.facebook.com/profile.php?id=100022079142748</t>
  </si>
  <si>
    <r>
      <rPr>
        <sz val="12"/>
        <color theme="1"/>
        <rFont val="Times New Roman"/>
        <family val="1"/>
      </rPr>
      <t xml:space="preserve">Nguyễn Văn Lâm </t>
    </r>
    <r>
      <rPr>
        <sz val="12"/>
        <color rgb="FFFF0000"/>
        <rFont val="Times New Roman"/>
        <family val="1"/>
      </rPr>
      <t>- nick Thái Bình Dương</t>
    </r>
  </si>
  <si>
    <t>nguyenvanlam28101997@gmail.com</t>
  </si>
  <si>
    <t xml:space="preserve">Nước Ngoài </t>
  </si>
  <si>
    <t>https://drive.google.com/open?id=1smMG8QSdMbJF_mtxfWNxLlClzmjxwbpF; https://drive.google.com/open?id=1C1YOrvkr9RJg8YXSKGzJEkKpQyoRVfX1</t>
  </si>
  <si>
    <t>W1</t>
  </si>
  <si>
    <t>https://www.facebook.com/profile.php?id=100015593532802</t>
  </si>
  <si>
    <t>Trần Thị Mỹ Duyên</t>
  </si>
  <si>
    <t xml:space="preserve"> duyentran1052003@gmail.com</t>
  </si>
  <si>
    <t>tổ 16 - Xuân Ngọc - Vĩnh Ngọc - Nha Trang - Khánh Hòa</t>
  </si>
  <si>
    <t>https://drive.google.com/open?id=1r-uma7LsK60aY1jYAENE-Uwff3_Ou2Ug</t>
  </si>
  <si>
    <t>675 ( IIG)</t>
  </si>
  <si>
    <t>https://www.facebook.com/xuanthu.dongxuanthu.0105/</t>
  </si>
  <si>
    <t xml:space="preserve">Đồng Xuân Thu </t>
  </si>
  <si>
    <t xml:space="preserve"> Chưa xin</t>
  </si>
  <si>
    <t>Kép 1 - Xã Lam Cốt - Tân Yên - Bắc Giang</t>
  </si>
  <si>
    <t>https://drive.google.com/open?id=1WMQunR8bIqO-0HNaPnP0J08FwCBoy19Q</t>
  </si>
  <si>
    <t>Quang Hợp</t>
  </si>
  <si>
    <t>Phụng tường 1, xã hoà trị , huyện phú hoà , Phú Yên</t>
  </si>
  <si>
    <t>https://drive.google.com/open?id=1aYX0cun4FZ0KVmkyJD0uCF8gT3eRetT_</t>
  </si>
  <si>
    <t>VIP83</t>
  </si>
  <si>
    <t>https://www.facebook.com/100037393459198/</t>
  </si>
  <si>
    <r>
      <rPr>
        <sz val="12"/>
        <color theme="1"/>
        <rFont val="Times New Roman"/>
        <family val="1"/>
      </rPr>
      <t xml:space="preserve">Đoàn Thị Tâm </t>
    </r>
    <r>
      <rPr>
        <sz val="12"/>
        <color rgb="FFFF0000"/>
        <rFont val="Times New Roman"/>
        <family val="1"/>
      </rPr>
      <t>- Đã nộp 300K 10/03/24
VIP78 bảo lưu b1 trùng lịch trên trường. Quay lại VIP83</t>
    </r>
  </si>
  <si>
    <t>Số nhà 40 ngõ 159 pháo đài láng phường láng thượng quận đống đa Hà Nội</t>
  </si>
  <si>
    <t>https://drive.google.com/open?id=1OEVExVjFqQ4AvUl4aJGUOB0zq0AikZfs</t>
  </si>
  <si>
    <t>https://www.facebook.com/ngphuong28072005?mibextid=LQQJ4d</t>
  </si>
  <si>
    <t>106/44 Trần Tông, Dịch Vọng Hậu, Cầu Giấy, Hà Nội</t>
  </si>
  <si>
    <t>https://drive.google.com/open?id=12_ejDwyyy4fprlC277z1EFKesdAuTCDc</t>
  </si>
  <si>
    <t>VIP92</t>
  </si>
  <si>
    <r>
      <rPr>
        <sz val="12"/>
        <color theme="1"/>
        <rFont val="Times New Roman"/>
        <family val="1"/>
      </rPr>
      <t xml:space="preserve">Đạo Thị Kim Phương </t>
    </r>
    <r>
      <rPr>
        <sz val="12"/>
        <color rgb="FFFF0000"/>
        <rFont val="Times New Roman"/>
        <family val="1"/>
      </rPr>
      <t>- VIP90</t>
    </r>
  </si>
  <si>
    <t>ktx đại học ngân hàng số 56 hoàng diệu 2 quận thủ đức TP Hồ Chí Minh</t>
  </si>
  <si>
    <t>https://drive.google.com/open?id=1FDOf_WLb0eQPAm2w0YZptAKwLPe6R6dJ</t>
  </si>
  <si>
    <t>OPT16 dừng học b7,8 ko nói gì</t>
  </si>
  <si>
    <t>https://www.facebook.com/oanhh0</t>
  </si>
  <si>
    <t>Nguyễn Thi Oanh</t>
  </si>
  <si>
    <t>oanhyp417@gmail.com</t>
  </si>
  <si>
    <t>nhà 5b ngõ 46/12 văn hội đức thắng bắc từ liêm hà nội</t>
  </si>
  <si>
    <t>https://drive.google.com/open?id=1_CtIB_WgkDJi3JYCIEhB5t0ILfzGeY19, https://drive.google.com/open?id=1c5gUqu4VQXPR9Qq5CyW9DQnnYW-w1oFH</t>
  </si>
  <si>
    <t>https://www.facebook.com/Vutrung1306</t>
  </si>
  <si>
    <t>Vũ Đức Trung</t>
  </si>
  <si>
    <t>vu07122000@gmail.com</t>
  </si>
  <si>
    <t>Nhận sách trên lớp</t>
  </si>
  <si>
    <t>https://drive.google.com/open?id=1hDFZnMi2pU-NrgosGPFF2T7iBE4eSYqd</t>
  </si>
  <si>
    <t>https://www.facebook.com/tong.thuha.56</t>
  </si>
  <si>
    <r>
      <rPr>
        <sz val="12"/>
        <color theme="1"/>
        <rFont val="Times New Roman"/>
        <family val="1"/>
      </rPr>
      <t xml:space="preserve">Tống Thị Thu Hà </t>
    </r>
    <r>
      <rPr>
        <sz val="12"/>
        <color rgb="FFFF0000"/>
        <rFont val="Times New Roman"/>
        <family val="1"/>
      </rPr>
      <t>(gửi sách trước)</t>
    </r>
  </si>
  <si>
    <t>Tống Hà</t>
  </si>
  <si>
    <t>Xóm 1 - Đông Thôn - Yên Thái - Yên Mô - Ninh Bình</t>
  </si>
  <si>
    <t>https://drive.google.com/open?id=1olNOFxKC7Cy43-DAnY9MQjJUQV46SxGW</t>
  </si>
  <si>
    <t>https://www.facebook.com/profile.php?id=100022859798710&amp;mibextid=opq0tG</t>
  </si>
  <si>
    <t>Mai Ngọc Hưng</t>
  </si>
  <si>
    <t xml:space="preserve"> Gmail</t>
  </si>
  <si>
    <t>Học viện Công nghệ Bưu chính viễn thông, Đường Trần Phú, Mộ Lao, Hà Đông, Hà Nội</t>
  </si>
  <si>
    <t>https://drive.google.com/open?id=1uR5zPyHsoHhhR77u7jTkrBP4dyvnoYmm</t>
  </si>
  <si>
    <t>https://www.facebook.com/chungoc.anh.794?mibextid=ZbWKwL</t>
  </si>
  <si>
    <t>Chu Ngọc Ánh</t>
  </si>
  <si>
    <t>chuthingocanh.lng@gmail.com</t>
  </si>
  <si>
    <t xml:space="preserve"> trường Dự bị Việt Trì, số 19, Tân Dân, Việt Trì, Phú Thọ</t>
  </si>
  <si>
    <t>https://drive.google.com/open?id=11_goa3hrL5U9QfZWS8oGlGpnv_rwiQ6O</t>
  </si>
  <si>
    <t>84 Cầu vồng, Đức Thắng, Bắc Từ Liêm</t>
  </si>
  <si>
    <t>Thôn Nam Tiến,Xã Kỳ Bắc,Huyện Kỳ Anh,Tỉnh Hà Tĩnh</t>
  </si>
  <si>
    <t>79 Hồ Tùng Mậu, Mai Dịch, Cầu Giấy, Hà Nội</t>
  </si>
  <si>
    <t>Nguyễn Hồng Thái</t>
  </si>
  <si>
    <t xml:space="preserve"> Số Nhà Lk 2.1, Ngõ 124 Vĩnh Tuy, Khu Nhà Liền Kề, Phường Vĩnh Tuy, Quận Hai Bà Trưng, Hà Nội</t>
  </si>
  <si>
    <t>T199 bảo lưu b11 đi quân sự</t>
  </si>
  <si>
    <t>Cơ sở 3 đại học công nghiệp hà nội</t>
  </si>
  <si>
    <t>OT28</t>
  </si>
  <si>
    <r>
      <rPr>
        <sz val="12"/>
        <color theme="1"/>
        <rFont val="Times New Roman"/>
        <family val="1"/>
      </rPr>
      <t xml:space="preserve"> Nguyễn Thị Huyền Diệu </t>
    </r>
    <r>
      <rPr>
        <sz val="12"/>
        <color rgb="FFFF0000"/>
        <rFont val="Times New Roman"/>
        <family val="1"/>
      </rPr>
      <t>- Đã nộp 300K 23/06/24
T199 bảo lưu b2 do trùng lịch. Quay lại T212 b1
T212 bảo lưu b3. Học OT28 b1</t>
    </r>
  </si>
  <si>
    <t>Gửi sách T199</t>
  </si>
  <si>
    <t>Thiều Văn Hải</t>
  </si>
  <si>
    <t>29/157b Chùa Láng, Láng Thượng, Đống Đa, Hà Nội</t>
  </si>
  <si>
    <t>VIP82 bảo lưu b17 đi quân sự</t>
  </si>
  <si>
    <r>
      <rPr>
        <sz val="12"/>
        <color theme="1"/>
        <rFont val="Times New Roman"/>
        <family val="1"/>
      </rPr>
      <t xml:space="preserve">Lò Thị Hạnh </t>
    </r>
    <r>
      <rPr>
        <sz val="12"/>
        <color rgb="FFFF0000"/>
        <rFont val="Times New Roman"/>
        <family val="1"/>
      </rPr>
      <t>(OVIP4) - KO quay lại học</t>
    </r>
  </si>
  <si>
    <t>KtxB6- Học viện Tài chính, Đường Sông Nhuệ, Đức Thắng, Bắc Từ Liêm, Hà Nội</t>
  </si>
  <si>
    <t>KtxB7- Học viện Tài chính, 58 Lê Văn Hiến, Đức Thắng, Bắc Từ Liêm</t>
  </si>
  <si>
    <t>Vũ Như Mơ</t>
  </si>
  <si>
    <t>KtxB6- Học viện Tài chính, 58 Lê Văn Hiến, Đức Thắng, Bắc Từ Liêm</t>
  </si>
  <si>
    <t>chung cư DN1, Kim Chung,Đông Anh, Hà Nội</t>
  </si>
  <si>
    <t xml:space="preserve"> Ngõ 85A/1 Lê Văn Hiến, Đức Thắng , Bắc Từ Liêm</t>
  </si>
  <si>
    <t>32 Lê Văn Hiến, Đức Thắng, Bắc Từ Liêm</t>
  </si>
  <si>
    <t>Số 2 ngõ 151 Lê Văn Hiến, Đức Thắng, Bắc Từ Liêm</t>
  </si>
  <si>
    <t>Ngõ 118 Mai Dịch, Cầu Giấy, Hà Nội</t>
  </si>
  <si>
    <t>VIP127</t>
  </si>
  <si>
    <r>
      <rPr>
        <sz val="12"/>
        <color theme="1"/>
        <rFont val="Times New Roman"/>
        <family val="1"/>
      </rPr>
      <t xml:space="preserve">Nguyễn Thị Tuyết Mai </t>
    </r>
    <r>
      <rPr>
        <sz val="12"/>
        <color rgb="FFFF0000"/>
        <rFont val="Times New Roman"/>
        <family val="1"/>
      </rPr>
      <t>(bổ sung hợp đồng)</t>
    </r>
  </si>
  <si>
    <t>Số 3 ngõ 277 Quan Hoa, Cầu Giấy, Hà Nội</t>
  </si>
  <si>
    <t>https://drive.google.com/open?id=1to465rzyCzkRlo7fygnjoZCmD25JDkIo; https://drive.google.com/open?id=1t7o9RffkDR--8QnfvBizJgTDnU69URLv</t>
  </si>
  <si>
    <t>https://www.facebook.com/profile.php?id=100071003629942</t>
  </si>
  <si>
    <t>Lê Trịnh Kim Anh</t>
  </si>
  <si>
    <t>kimanhtrongdinh@gmail.com</t>
  </si>
  <si>
    <t>Xóm Phong Phú, xã Nga Phú, Nga Sơn, Thanh Hóa</t>
  </si>
  <si>
    <t>https://drive.google.com/open?id=1CbKGTcTf3-V9Sl1mdEShROqvPMMveaer</t>
  </si>
  <si>
    <t xml:space="preserve">C175 </t>
  </si>
  <si>
    <t>https://www.facebook.com/anddy.hoang.94?mibextid=LQQJ4dq</t>
  </si>
  <si>
    <t>Hoàng Thanh Nhàn</t>
  </si>
  <si>
    <t>thanhnhanhoang500@gmail.com</t>
  </si>
  <si>
    <t xml:space="preserve">Thôn 2, tạp hóa Trang Toàn, Thạch hoà, Thạch thất, Hà Nội </t>
  </si>
  <si>
    <t>https://drive.google.com/open?id=18iGbD31HV64YGw8SDQ8d3toSYz_zvw8W, https://drive.google.com/open?id=1wilCmFsCiGuZAukoUEXeHawHkVjq0fXK</t>
  </si>
  <si>
    <r>
      <rPr>
        <sz val="12"/>
        <color theme="1"/>
        <rFont val="Times New Roman"/>
        <family val="1"/>
      </rPr>
      <t>Lê Khánh Huyền</t>
    </r>
    <r>
      <rPr>
        <sz val="12"/>
        <color rgb="FFFF0000"/>
        <rFont val="Times New Roman"/>
        <family val="1"/>
      </rPr>
      <t xml:space="preserve"> - nhận chuyển nhượng.
</t>
    </r>
    <r>
      <rPr>
        <sz val="12"/>
        <color theme="1"/>
        <rFont val="Times New Roman"/>
        <family val="1"/>
      </rPr>
      <t xml:space="preserve">Võ Minh Nhật </t>
    </r>
    <r>
      <rPr>
        <sz val="12"/>
        <color rgb="FFFF0000"/>
        <rFont val="Times New Roman"/>
        <family val="1"/>
      </rPr>
      <t>(OT13 =&gt;Chờ) - đã chuyển nhượng</t>
    </r>
  </si>
  <si>
    <t>https://drive.google.com/open?id=14lX_9ZNXkjsaAoWn0rK-gCQ2S8O-gDvg</t>
  </si>
  <si>
    <t>C169 - đã học xong combo 3 level giao tiếp</t>
  </si>
  <si>
    <t>https://www.facebook.com/vuongthicamtien24</t>
  </si>
  <si>
    <t>Vương Thị Cẩm Tiên</t>
  </si>
  <si>
    <t>vuongthicamtien24@gmail.com</t>
  </si>
  <si>
    <t>Số 2 ngõ 16 xóm Lai Phù Đổng Gia Lâm Hà Nội</t>
  </si>
  <si>
    <t>https://drive.google.com/open?id=1qtmeTZqXfVoW5QEVyEwb2lLbQomZLH3O</t>
  </si>
  <si>
    <t>56 ngõ 134, đường cầu diễn từ, Bắc Từ Liêm, Hà Nội</t>
  </si>
  <si>
    <t>OVIP10</t>
  </si>
  <si>
    <r>
      <rPr>
        <sz val="12"/>
        <color theme="1"/>
        <rFont val="Times New Roman"/>
        <family val="1"/>
      </rPr>
      <t>Vũ Nhật Anh</t>
    </r>
    <r>
      <rPr>
        <sz val="12"/>
        <color rgb="FFFF0000"/>
        <rFont val="Times New Roman"/>
        <family val="1"/>
      </rPr>
      <t xml:space="preserve"> - Đã nộp 300K 26/3/24
OVIP5 bảo lưu b7 đi quân sự. Quay lại OVIP10 b3</t>
    </r>
  </si>
  <si>
    <t>OVIP5 bảo lưu b14 đi quân sự, thực tập</t>
  </si>
  <si>
    <t>Lê Anh Duy</t>
  </si>
  <si>
    <t>Ngõ 5, tổ 8, Quang Trung, Hà Đông, Hà Nội</t>
  </si>
  <si>
    <t>T201 bảo lưu b1 do lịch học ở trường và thi B2</t>
  </si>
  <si>
    <t>S1</t>
  </si>
  <si>
    <r>
      <rPr>
        <sz val="12"/>
        <color theme="1"/>
        <rFont val="Times New Roman"/>
        <family val="1"/>
      </rPr>
      <t xml:space="preserve">Phạm Kim Anh </t>
    </r>
    <r>
      <rPr>
        <sz val="12"/>
        <color rgb="FFFF0000"/>
        <rFont val="Times New Roman"/>
        <family val="1"/>
      </rPr>
      <t>sđt cũ 987173274</t>
    </r>
  </si>
  <si>
    <t xml:space="preserve"> Số 14, 73/40 Hoàng Ngân, Nhân Chính, Thanh Xuân, Hà Nội</t>
  </si>
  <si>
    <t>12/78/87 yên lộ, yên nghĩa, hà đông, hà nội</t>
  </si>
  <si>
    <t>52/51 ngõ 155 đường Cầu Giấy, Cầu Giấy, Hà Nội</t>
  </si>
  <si>
    <t>145 Sông Nhuệ, Đức Thắng, Bắc Từ Liêm, Hà Nội</t>
  </si>
  <si>
    <t>VIP89</t>
  </si>
  <si>
    <r>
      <rPr>
        <sz val="12"/>
        <color theme="1"/>
        <rFont val="Times New Roman"/>
        <family val="1"/>
      </rPr>
      <t xml:space="preserve">Võ Ngọc Trâm </t>
    </r>
    <r>
      <rPr>
        <sz val="12"/>
        <color rgb="FFFF0000"/>
        <rFont val="Times New Roman"/>
        <family val="1"/>
      </rPr>
      <t>- Đã nộp 300K 08/05/2024
VIP81 bảo lưu b6 do lịch học nhiều. Quay lại VIP89 b6</t>
    </r>
  </si>
  <si>
    <t>527/1/4 Phan Văn Trị, Phường 5, Gò Vấp, TP Hồ Chí Minh</t>
  </si>
  <si>
    <r>
      <rPr>
        <sz val="12"/>
        <color theme="1"/>
        <rFont val="Times New Roman"/>
        <family val="1"/>
      </rPr>
      <t>Nguyễn Vũ Diễm Quỳnh</t>
    </r>
    <r>
      <rPr>
        <sz val="12"/>
        <color rgb="FFFF0000"/>
        <rFont val="Times New Roman"/>
        <family val="1"/>
      </rPr>
      <t xml:space="preserve"> (đổi GT3 =&gt; Toeic nói) VIP81</t>
    </r>
  </si>
  <si>
    <t>Số nhà 31e, Ngách 56 Ngõ 79 Cầu Giấy , Phường Yên Hòa, Quận cầu giấy, Hà nội</t>
  </si>
  <si>
    <t>VIP97</t>
  </si>
  <si>
    <r>
      <rPr>
        <sz val="12"/>
        <color theme="1"/>
        <rFont val="Times New Roman"/>
        <family val="1"/>
      </rPr>
      <t xml:space="preserve"> Huỳnh Thị Thanh Hồng </t>
    </r>
    <r>
      <rPr>
        <sz val="12"/>
        <color rgb="FFFF0000"/>
        <rFont val="Times New Roman"/>
        <family val="1"/>
      </rPr>
      <t>(VIP81, VIP90) - đã nộp 300K 13/07/2024
VIP91 bảo lưu b18. Học VIP97 b13</t>
    </r>
  </si>
  <si>
    <t>VIP93</t>
  </si>
  <si>
    <r>
      <rPr>
        <sz val="12"/>
        <color theme="1"/>
        <rFont val="Times New Roman"/>
        <family val="1"/>
      </rPr>
      <t xml:space="preserve">Lê Phạm Việt Thắng </t>
    </r>
    <r>
      <rPr>
        <sz val="12"/>
        <color rgb="FFFF0000"/>
        <rFont val="Times New Roman"/>
        <family val="1"/>
      </rPr>
      <t>- Đã nộp 300K 03/07/2024</t>
    </r>
    <r>
      <rPr>
        <sz val="12"/>
        <color theme="1"/>
        <rFont val="Times New Roman"/>
        <family val="1"/>
      </rPr>
      <t xml:space="preserve">
VIP81 bảo lưu b6 do bận học. Học VIP93 b4</t>
    </r>
  </si>
  <si>
    <t>https://www.facebook.com/minhduong.le.18400?mibextid=ZbWKwL</t>
  </si>
  <si>
    <t>Lê Dương Minh</t>
  </si>
  <si>
    <t>Hương Trà</t>
  </si>
  <si>
    <t>Ngõ 60, Nguyên Xá, Minh Khai, BTLiem, Hà Nội</t>
  </si>
  <si>
    <t>https://drive.google.com/open?id=1UkWvNNn_fY4LbJ3RmgXlBaTs1S8EVVfQ</t>
  </si>
  <si>
    <t>Đã trả lương T12</t>
  </si>
  <si>
    <t>Nguyễn Thị Ngọc Mỹ</t>
  </si>
  <si>
    <t>123A Võ văn Kiệt, khóm 1, phường 7, Thành phố Sóc Trăng, tỉnh Sóc Trăng</t>
  </si>
  <si>
    <t xml:space="preserve"> 4 ngõ 23 phố Nhật Tảo, Đông Ngạc, Bắc Từ Liêm, Hà Nội</t>
  </si>
  <si>
    <t>S7</t>
  </si>
  <si>
    <r>
      <rPr>
        <sz val="12"/>
        <color theme="1"/>
        <rFont val="Times New Roman"/>
        <family val="1"/>
      </rPr>
      <t xml:space="preserve">Đặng Thùy Linh </t>
    </r>
    <r>
      <rPr>
        <sz val="12"/>
        <color rgb="FFFF0000"/>
        <rFont val="Times New Roman"/>
        <family val="1"/>
      </rPr>
      <t>- Đã nộp 300K 13/01/2025
S1 bảo lưu b19 đi quân sự. Học S7 buổi 14</t>
    </r>
  </si>
  <si>
    <t>Nguyễn Thị Kim Liên</t>
  </si>
  <si>
    <t>Nhà số 6 ,22/282 Kim Giang ,Đại Kim ,Hoàng Mai ,Hà Nội</t>
  </si>
  <si>
    <t>VIP82</t>
  </si>
  <si>
    <t>KTX B5 Học viện Tài Chính, Đức Thắng, Bắc Từ Liêm, Hà Nội</t>
  </si>
  <si>
    <t xml:space="preserve"> ktx hv báo chí và tuyên truyền, dịch vọng hậu, cầu giấy, hà nội</t>
  </si>
  <si>
    <t>số 10 ngách 79/40 Dương Quảng Hàm, Quan Hoa, Cầu Giấy, Hà Nội</t>
  </si>
  <si>
    <t xml:space="preserve"> Số nhà 78 ngõ 447 Lạc long quân phường xuân la quận tây hồ tp Hà Nội</t>
  </si>
  <si>
    <t>số 5B, hẻm 58/23/4 Trần Bình, Mai Dịch, Cầu Giấy, Hà Nội</t>
  </si>
  <si>
    <t xml:space="preserve">số 78 ngõ 447 lạc long quân, phường xuân la, quận tây hồ, hà nội </t>
  </si>
  <si>
    <t xml:space="preserve">ngõ 530 đường Láng, Đống Đa, Hà Nội </t>
  </si>
  <si>
    <t>ngõ 75 Hồ Tùng Mậu, Mai Dịch, Cầu Giấy</t>
  </si>
  <si>
    <t>trường đh Thương Mại</t>
  </si>
  <si>
    <t xml:space="preserve">ngõ 26 Hồ Tùng Mậu , Mai Dịch , Cầu Giấy </t>
  </si>
  <si>
    <t>ngõ 58/43 Trần Bình, Mai Dịch, Cầu Giấy</t>
  </si>
  <si>
    <t>Ngõ 94, Hồ Tùng Mậu, Mai dịch, Cầu Giấy, Hà Nội</t>
  </si>
  <si>
    <t xml:space="preserve">khu liền kề số 20 chung cư athena Xuân Phương - Phương Canh - Nam Từ Liêm </t>
  </si>
  <si>
    <t>B571</t>
  </si>
  <si>
    <t>PT70</t>
  </si>
  <si>
    <t>https://www.facebook.com/profile.php?id=100017061139482</t>
  </si>
  <si>
    <r>
      <rPr>
        <sz val="12"/>
        <color theme="1"/>
        <rFont val="Times New Roman"/>
        <family val="1"/>
      </rPr>
      <t xml:space="preserve">Nguyễn Thị Vân Anh </t>
    </r>
    <r>
      <rPr>
        <sz val="12"/>
        <color rgb="FFFF0000"/>
        <rFont val="Times New Roman"/>
        <family val="1"/>
      </rPr>
      <t>- đổi E3 sang PT</t>
    </r>
  </si>
  <si>
    <t>93/23 Ngọc Trục Đại Mỗ, Nam Từ Liêm, Hà Nội</t>
  </si>
  <si>
    <t>https://drive.google.com/open?id=1fX1LLX-GIcf8ighhj_PFbk7bXZBUJneh; https://drive.google.com/open?id=1dWB291aQXp8V0WcKkCwmFn0qwDwXQRDc</t>
  </si>
  <si>
    <t>OVIP7</t>
  </si>
  <si>
    <t>89 nguyễn phong sắc, p.dịch vọng hậu, q.cầu giấy, Hà nội</t>
  </si>
  <si>
    <t>89 Nguyễn phong sắc, p.dịch vọng hậu,q.cầu giấy,Hà nội</t>
  </si>
  <si>
    <t>VIP103</t>
  </si>
  <si>
    <r>
      <rPr>
        <sz val="12"/>
        <color theme="1"/>
        <rFont val="Times New Roman"/>
        <family val="1"/>
      </rPr>
      <t xml:space="preserve">Nguyễn Tiến Thuận </t>
    </r>
    <r>
      <rPr>
        <sz val="12"/>
        <color rgb="FFFF0000"/>
        <rFont val="Times New Roman"/>
        <family val="1"/>
      </rPr>
      <t>(OVIP7)</t>
    </r>
  </si>
  <si>
    <t>Ngõ 80/50/3 Đường Xuân Phương, Phương Canh, Nam Từ Liêm, Hà Nội</t>
  </si>
  <si>
    <t>https://www.facebook.com/profile.php?id=100053007592601&amp;mibextid=hu50Ix</t>
  </si>
  <si>
    <t>20 ngách 5 ngõ 177 đường cầu diễn, kiều mai, phúc diễn, Bắc Từ Liêm, Hà Nội</t>
  </si>
  <si>
    <t>Trương Thị Lan Hương</t>
  </si>
  <si>
    <t xml:space="preserve">Ngõ 138 đường Thanh Bình, Hà Đông, Hà Nội </t>
  </si>
  <si>
    <t>Khánh Huyền</t>
  </si>
  <si>
    <t>OVIP14</t>
  </si>
  <si>
    <r>
      <rPr>
        <sz val="12"/>
        <color theme="1"/>
        <rFont val="Times New Roman"/>
        <family val="1"/>
      </rPr>
      <t xml:space="preserve">Lý Thị Ngọc Ánh </t>
    </r>
    <r>
      <rPr>
        <sz val="12"/>
        <color rgb="FFFF0000"/>
        <rFont val="Times New Roman"/>
        <family val="1"/>
      </rPr>
      <t>(OVIP7)</t>
    </r>
  </si>
  <si>
    <t>số 6 ngách 14 ngõ 218 tây sơn, trung liệt, đống đa, Hà Nội</t>
  </si>
  <si>
    <t>OPT20</t>
  </si>
  <si>
    <t>https://www.facebook.com/nghitran2k5/</t>
  </si>
  <si>
    <r>
      <rPr>
        <sz val="12"/>
        <color theme="1"/>
        <rFont val="Times New Roman"/>
        <family val="1"/>
      </rPr>
      <t xml:space="preserve">Trần Thanh Nghị </t>
    </r>
    <r>
      <rPr>
        <sz val="12"/>
        <color rgb="FFFF0000"/>
        <rFont val="Times New Roman"/>
        <family val="1"/>
      </rPr>
      <t>(học lại miễn phí ko đạt đầu ra) Huy chat</t>
    </r>
  </si>
  <si>
    <t>Điền lên T01.2024</t>
  </si>
  <si>
    <t>Bùi Thị Diệu</t>
  </si>
  <si>
    <t>OT23 bảo lưu b9 trùng lịch học</t>
  </si>
  <si>
    <t>024304008172</t>
  </si>
  <si>
    <t>Trường Mầm Non Minh Khai Nguyên Xá, Từ Liêm, Hà Nội</t>
  </si>
  <si>
    <t>https://drive.google.com/open?id=1Pw23xwtq_BR74mnPdvGO1hE6iAxqPMbj</t>
  </si>
  <si>
    <t>Trả lương T05.2023</t>
  </si>
  <si>
    <t>T202 bảo lưu b9 đi quân sự</t>
  </si>
  <si>
    <t>Lê Tràng Đạt</t>
  </si>
  <si>
    <t>Đại học công nghiệp hà nội cơ sở 3, Phù Vân, Phủ Lý, Hà Nam</t>
  </si>
  <si>
    <r>
      <rPr>
        <sz val="12"/>
        <color theme="1"/>
        <rFont val="Times New Roman"/>
        <family val="1"/>
      </rPr>
      <t xml:space="preserve">Nguyễn Thùy Dương </t>
    </r>
    <r>
      <rPr>
        <sz val="12"/>
        <color rgb="FFFF0000"/>
        <rFont val="Times New Roman"/>
        <family val="1"/>
      </rPr>
      <t>(VIP81, VIP84) - 928492072 sđt nhận sách</t>
    </r>
  </si>
  <si>
    <t>280 Cổ Bi, Gia Lâm, Hà Nội</t>
  </si>
  <si>
    <t>Số nhà 03, Cổng hoa làng Phú Mỹ, Mỹ Đình 2, Nam Từ Liêm, Hà Nội</t>
  </si>
  <si>
    <t>https://www.facebook.com/otori.kirino?mibextid=ZbWKwL</t>
  </si>
  <si>
    <r>
      <rPr>
        <sz val="12"/>
        <color theme="1"/>
        <rFont val="Times New Roman"/>
        <family val="1"/>
      </rPr>
      <t xml:space="preserve">Trịnh Kim Ly </t>
    </r>
    <r>
      <rPr>
        <sz val="12"/>
        <color rgb="FFFF0000"/>
        <rFont val="Times New Roman"/>
        <family val="1"/>
      </rPr>
      <t>- đã nộp 300K
VIP81 bảo lưu b9 đi thực tập. Học VIP94 b9</t>
    </r>
  </si>
  <si>
    <t>Số 113, Ngọc Giang, Vĩnh Ngọc, Đông Anh, Hà Nội</t>
  </si>
  <si>
    <t>Combo GT Lv(1+2+3)+ Toeic Lv1</t>
  </si>
  <si>
    <t>C178</t>
  </si>
  <si>
    <t>T202 nghỉ ngang buổi 6 chuẩn bị đi nước ngoài ko cần tiếng Anh và ko thu xếp được thời gian. Huy báo</t>
  </si>
  <si>
    <t>https://www.facebook.com/huyen.toan.731572</t>
  </si>
  <si>
    <r>
      <rPr>
        <sz val="12"/>
        <color theme="1"/>
        <rFont val="Times New Roman"/>
        <family val="1"/>
      </rPr>
      <t xml:space="preserve">Nguyễn Thị Thu Huyền </t>
    </r>
    <r>
      <rPr>
        <sz val="12"/>
        <color rgb="FFFF0000"/>
        <rFont val="Times New Roman"/>
        <family val="1"/>
      </rPr>
      <t>- Nick Quả Quất Cam Cam</t>
    </r>
  </si>
  <si>
    <t>Khánh</t>
  </si>
  <si>
    <t>27 ngõ 157 chùa láng, láng thượng, đống đa, hà nội</t>
  </si>
  <si>
    <t>https://drive.google.com/open?id=1jcWlo3IhR2eqEBJTElwm1jwvvTbpRvXh, https://drive.google.com/open?id=1DEGZpQ5UrMbyjWUg1JGyGuk9-ZRHyl-5</t>
  </si>
  <si>
    <t>GT Lv1</t>
  </si>
  <si>
    <t>https://www.facebook.com/huynn0504</t>
  </si>
  <si>
    <t xml:space="preserve">Nguyễn Thanh Huyền </t>
  </si>
  <si>
    <t>Thanh Huyền đk học</t>
  </si>
  <si>
    <t>035304004810</t>
  </si>
  <si>
    <t>19 Ngách 32/6 Phố Viên, Tổ 8, Phường Đức Thắng, Quận Bắc Từ Liêm, Hà Nội</t>
  </si>
  <si>
    <t>https://drive.google.com/open?id=1lXEbpQTxeTG3P7i7zqC8VaENkmr3X0Q2, https://drive.google.com/file/d/1TDSit5idDM_FaK-wxLZ5I0y-X0R5iZp9/view</t>
  </si>
  <si>
    <r>
      <rPr>
        <sz val="12"/>
        <color theme="1"/>
        <rFont val="Times New Roman"/>
        <family val="1"/>
      </rPr>
      <t xml:space="preserve">Tạ Thị Ngân </t>
    </r>
    <r>
      <rPr>
        <sz val="12"/>
        <color rgb="FFFF0000"/>
        <rFont val="Times New Roman"/>
        <family val="1"/>
      </rPr>
      <t>( sđt cũ 378796097)</t>
    </r>
  </si>
  <si>
    <t>(tiệm may Hà Hóa) Giã Bàng 2, xã Tề Lỗ, huyện Yên Lạc, tỉnh Vĩnh Phúc</t>
  </si>
  <si>
    <t>B543</t>
  </si>
  <si>
    <t>https://www.facebook.com/profile.php?id=100038943090855</t>
  </si>
  <si>
    <t>Nguyễn Việt Hưng</t>
  </si>
  <si>
    <t>ngõ 310 ngách 12 cổ nhuế 2 bắc từ liêm Hà Nội</t>
  </si>
  <si>
    <t>https://drive.google.com/open?id=1HNHELLQ-5Yf1lsBlqymuHpVyfkldrCls</t>
  </si>
  <si>
    <t>0934496573</t>
  </si>
  <si>
    <r>
      <rPr>
        <sz val="12"/>
        <color theme="1"/>
        <rFont val="Times New Roman"/>
        <family val="1"/>
      </rPr>
      <t xml:space="preserve">Vũ Thị Hương Giang </t>
    </r>
    <r>
      <rPr>
        <sz val="12"/>
        <color rgb="FFFF0000"/>
        <rFont val="Times New Roman"/>
        <family val="1"/>
      </rPr>
      <t>(đổi E3 sang PT)</t>
    </r>
  </si>
  <si>
    <t>Số 27, ngõ 56 Phú Kiều, Kiều Mai, Phúc Diễn, Quận Bắc Từ Liêm, Hà Nội</t>
  </si>
  <si>
    <t>https://drive.google.com/open?id=1FSsyLKQSt8FJE57vpMiSr3cwT4tFVn51, https://drive.google.com/open?id=12C7DaLq4EYRDW6QE9SFUzIJyRD45enkm</t>
  </si>
  <si>
    <t>số nhà 30 ngõ 7 Phú Kiều, Kiều Mai Bắc Từ Liêm Hà Nội</t>
  </si>
  <si>
    <t>https://www.facebook.com/bui.hoa.98871174?mibextid=LQQJ4d</t>
  </si>
  <si>
    <t>Bùi Thị Thanh</t>
  </si>
  <si>
    <t>phuongthanh120905@gmail.com</t>
  </si>
  <si>
    <t>https://drive.google.com/open?id=1txdJVoa-Fkg816aWX1rUnmoBacXwmDW8</t>
  </si>
  <si>
    <t>Trả lương T02.2024</t>
  </si>
  <si>
    <t>Hạ combo</t>
  </si>
  <si>
    <t>Đạt báo hạ level</t>
  </si>
  <si>
    <t>https://www.facebook.com/profile.php?id=100022486800398&amp;mibextid=LQQJ4d</t>
  </si>
  <si>
    <t>thuylinh30082000@gmail.com</t>
  </si>
  <si>
    <t>5/182 phú diễn bắc từ liêm hà nội</t>
  </si>
  <si>
    <t>https://drive.google.com/open?id=1oh941fCUeaDKDT9_YnnWnSst6rOFzEbh</t>
  </si>
  <si>
    <t>Dương báo hạ Combo</t>
  </si>
  <si>
    <t>https://www.facebook.com/lanmgv0611?mibextid=LQQJ4d</t>
  </si>
  <si>
    <r>
      <rPr>
        <sz val="12"/>
        <color theme="1"/>
        <rFont val="Times New Roman"/>
        <family val="1"/>
      </rPr>
      <t xml:space="preserve">Phạm Thị Tâm Lan - </t>
    </r>
    <r>
      <rPr>
        <sz val="12"/>
        <color rgb="FFFF0000"/>
        <rFont val="Times New Roman"/>
        <family val="1"/>
      </rPr>
      <t>nick Lan Mgv</t>
    </r>
  </si>
  <si>
    <t>tlanmgv06@gmail.com</t>
  </si>
  <si>
    <t>thôn Bùi Việt, Xã Duyên      Hải, huyện Hưng Hà, tỉnh Thái Bình</t>
  </si>
  <si>
    <t>02/01/2024 và 27/02/2024</t>
  </si>
  <si>
    <t>https://drive.google.com/open?id=1M2pgKn29Zztu_NZqduEzbXXt_Q0-c0ue, https://drive.google.com/open?id=1wIwmvVw8hjXpJPDlBAOiBZHxeAcspXbK; https://drive.google.com/open?id=1lkb-sti1xZdVXzsIia4IVVYkqS8nmMMi</t>
  </si>
  <si>
    <t>https://www.facebook.com/trang.ng.39501789?mibextid=eHce3h</t>
  </si>
  <si>
    <t>Nguyễn Thị Trang</t>
  </si>
  <si>
    <t>26/12/2023 vaf 15/01/2024 vaf 11/02/2024</t>
  </si>
  <si>
    <t>https://drive.google.com/open?id=1kFFT3anrVxYDuvwRUeVprz6h3gh9lIee; https://drive.google.com/open?id=1iNujhe6hy27BQ-eGP6uckYaQPD9yqstl, https://drive.google.com/open?id=17zwiWHcnfinsuof9RTOJ0OR5VCHqh-vs</t>
  </si>
  <si>
    <t>https://www.facebook.com/profile.php?id=100075717146213&amp;mibextid=ZbWKwL</t>
  </si>
  <si>
    <r>
      <rPr>
        <sz val="12"/>
        <color theme="1"/>
        <rFont val="Times New Roman"/>
        <family val="1"/>
      </rPr>
      <t xml:space="preserve">Nguyễn Thị Vi Linh </t>
    </r>
    <r>
      <rPr>
        <sz val="12"/>
        <color rgb="FFFF0000"/>
        <rFont val="Times New Roman"/>
        <family val="1"/>
      </rPr>
      <t>- nick Linh Vy</t>
    </r>
  </si>
  <si>
    <t>31 ngõ 35 lê đức thọ mỹ đình 2 nam từ liêm</t>
  </si>
  <si>
    <t>11/02/2024 và 14/01/2024</t>
  </si>
  <si>
    <t>https://drive.google.com/open?id=1MFpJowTjaVgBqIXU9NYavsQeb417BxjU; https://drive.google.com/open?id=1M2DuczcyBg99NFCz4XWGhvaMyiAWyVPt; https://drive.google.com/open?id=1ZBk9e3SIrwgiJ4IhWEQLucRdNJBvW6ea</t>
  </si>
  <si>
    <t>https://www.facebook.com/profile.php?id=100057159154700&amp;mibextid=LQQJ4d</t>
  </si>
  <si>
    <t>Hoàng Bình Mạnh</t>
  </si>
  <si>
    <t>https://drive.google.com/open?id=1ivB-7S01zcMMr09LToka4YQgreQRoyMB, https://drive.google.com/open?id=1STYz3Hvplrs39zuep4EfwqRnTK1OQ9fJ</t>
  </si>
  <si>
    <t>OPT18</t>
  </si>
  <si>
    <t>https://www.facebook.com/share/4hJa6vtvuTqF7MTZ/?</t>
  </si>
  <si>
    <r>
      <rPr>
        <sz val="12"/>
        <color theme="1"/>
        <rFont val="Times New Roman"/>
        <family val="1"/>
      </rPr>
      <t>Lâm Thị Thuỳ Dung</t>
    </r>
    <r>
      <rPr>
        <sz val="12"/>
        <color rgb="FFFF0000"/>
        <rFont val="Times New Roman"/>
        <family val="1"/>
      </rPr>
      <t xml:space="preserve"> - Đã nộp 300K 18/03/24</t>
    </r>
    <r>
      <rPr>
        <sz val="12"/>
        <color theme="1"/>
        <rFont val="Times New Roman"/>
        <family val="1"/>
      </rPr>
      <t xml:space="preserve">
</t>
    </r>
    <r>
      <rPr>
        <sz val="12"/>
        <color rgb="FFFF0000"/>
        <rFont val="Times New Roman"/>
        <family val="1"/>
      </rPr>
      <t>OPT15 bảo lưu b5 đi quân sự. Quay lại học OPT18 b1</t>
    </r>
  </si>
  <si>
    <t>lamthithuydung11122005@gmail.com</t>
  </si>
  <si>
    <t xml:space="preserve">Tại lớp học </t>
  </si>
  <si>
    <t>https://drive.google.com/open?id=1B54ku8uNiiDPvU6a_4g-T8xP2w73wWVi</t>
  </si>
  <si>
    <t>https://www.facebook.com/share/mVNqBXZN2izXKoyH/?</t>
  </si>
  <si>
    <t>phamnhuquynh0224@gmail.com</t>
  </si>
  <si>
    <t>https://drive.google.com/open?id=1Iu_nmbZxqF9POkTLQ5I3VZ-Qch1XQxmk</t>
  </si>
  <si>
    <t>PT72</t>
  </si>
  <si>
    <t>https://www.facebook.com/profile.php?id=100037452787584</t>
  </si>
  <si>
    <r>
      <rPr>
        <sz val="12"/>
        <color theme="1"/>
        <rFont val="Times New Roman"/>
        <family val="1"/>
      </rPr>
      <t>Nguyễn Thái Bình Hương</t>
    </r>
    <r>
      <rPr>
        <sz val="12"/>
        <color rgb="FFFF0000"/>
        <rFont val="Times New Roman"/>
        <family val="1"/>
      </rPr>
      <t xml:space="preserve"> - PT66 bảo lưu b10. Quay lại PT72 buổi 4
Nick face: Nguyễn Lan Hương. </t>
    </r>
    <r>
      <rPr>
        <sz val="12"/>
        <color theme="1"/>
        <rFont val="Times New Roman"/>
        <family val="1"/>
      </rPr>
      <t>Đã nộp 300K ngày 10/04/2024</t>
    </r>
  </si>
  <si>
    <t>số 6 ngách 40 ngõ 165 dương quảng hàm cầu giấy hà nội</t>
  </si>
  <si>
    <t>https://drive.google.com/open?id=1PD8yml_KsDQ68mAsvyggL56FtdoFVR2I; https://drive.google.com/open?id=1AhIBNM9SJ32iKIbwUBO31_9jnfg0dwIF</t>
  </si>
  <si>
    <t>https://www.facebook.com/profile.php?id=100017987207049</t>
  </si>
  <si>
    <t xml:space="preserve">Nguyễn Thuý Hạnh </t>
  </si>
  <si>
    <t>behanh06205@gmail.com</t>
  </si>
  <si>
    <t>SN 16-hẻm 25/41/184 hoa bằng- cầu giấy-hà nội</t>
  </si>
  <si>
    <t>https://drive.google.com/open?id=1kyfiNywkLHhg3SNAkwm10b8Xl6mWWrVh</t>
  </si>
  <si>
    <t>https://www.facebook.com/profile.php?id=100073001694750&amp;mibextid=ZbWKwL</t>
  </si>
  <si>
    <r>
      <rPr>
        <sz val="12"/>
        <color theme="1"/>
        <rFont val="Times New Roman"/>
        <family val="1"/>
      </rPr>
      <t>Trần Thị Thu Hoài</t>
    </r>
    <r>
      <rPr>
        <sz val="12"/>
        <color rgb="FFFF0000"/>
        <rFont val="Times New Roman"/>
        <family val="1"/>
      </rPr>
      <t xml:space="preserve"> (Cần hợp đồng)</t>
    </r>
  </si>
  <si>
    <t>hoaiv3012@gmail.com</t>
  </si>
  <si>
    <t>Thôn Trung Lập 1 – Xã Xuân Lập – Huyện Thọ Xuân – Tỉnh Thanh Hóa</t>
  </si>
  <si>
    <t>https://drive.google.com/open?id=1FVpURyeJxHbfWj5Jkm6JmgTjpN9H__wk; https://drive.google.com/open?id=1dCnAPTjKRlxC3dx0R9BLXsrde7KNyrsU</t>
  </si>
  <si>
    <t>nguyenan04062005@gmail.com</t>
  </si>
  <si>
    <t>Trường THCS Vạn Phúc, Thanh Trì, Hà Nội</t>
  </si>
  <si>
    <t>https://drive.google.com/open?id=1JShiFxdQyjrBdz9W6jLQ4ZfbTdmNgInF</t>
  </si>
  <si>
    <t>https://www.facebook.com/habaotrang.nguyen.9?mibextid=nwBsNb</t>
  </si>
  <si>
    <t xml:space="preserve">Nguyễn Thị Ngọc Trang </t>
  </si>
  <si>
    <t>Lớp OFF phát sách tại lớp</t>
  </si>
  <si>
    <t>https://www.facebook.com/codai89</t>
  </si>
  <si>
    <t>Vũ Thị Việt Trinh</t>
  </si>
  <si>
    <t>số 18 ngõ 99 Nguyễn Khang, Yên Hòa, Cầu Giấy</t>
  </si>
  <si>
    <t>https://drive.google.com/open?id=1NDGCUnXxgo_o593jh77db_PI0et9No5z</t>
  </si>
  <si>
    <t>https://www.facebook.com/profile.php?id=100015138136258</t>
  </si>
  <si>
    <t>Nguyễn Thị Huyền</t>
  </si>
  <si>
    <t>Số nhà 12, Ngõ 412, Ngọc Thụy, Long Biên, Hà Nội</t>
  </si>
  <si>
    <t>https://drive.google.com/open?id=1gZwJ52l4vZ6to1B3HrSz3QVsiJ-aLgcI</t>
  </si>
  <si>
    <t>https://www.facebook.com/profile.php?id=100090309125596</t>
  </si>
  <si>
    <t>Tạ Tuyết Nhi</t>
  </si>
  <si>
    <t xml:space="preserve"> tuyetnhi20105@gmail.com</t>
  </si>
  <si>
    <t>Số 3 , ngõ 462/10 đường Bưởi - phường Vĩnh Phúc - quận Ba Đình - Hà Nội</t>
  </si>
  <si>
    <t>https://drive.google.com/open?id=173njptM3S0zzXhIfdAMiwtUFMqwtL3w1</t>
  </si>
  <si>
    <t>https://drive.google.com/open?id=1lg4rZggUmwEUmczdEtL-Dv6VsB1dba0z</t>
  </si>
  <si>
    <t>https://www.facebook.com/profile.php?id=100072225052998&amp;mibextid=LQQJ4d</t>
  </si>
  <si>
    <t>trannhothihuyen2004@gmail.com</t>
  </si>
  <si>
    <t>Số nhà 10-ngách 367/11- Ngô Xuân Quảng- Trâu Quỳ</t>
  </si>
  <si>
    <t>https://drive.google.com/open?id=1DknLqO3hY1482fhqD4axIBQ0m6gjmw3w</t>
  </si>
  <si>
    <t>https://www.facebook.com/profile.php?id=100030599120237&amp;mibextid=ZbWKwL</t>
  </si>
  <si>
    <t>Đỗ Thị Nhật Linh</t>
  </si>
  <si>
    <t>Nguyệt Hằng</t>
  </si>
  <si>
    <t xml:space="preserve">thịnh kim xã văn phú, huyện Sơn Dương tỉnh Tuyên Quang </t>
  </si>
  <si>
    <t>https://drive.google.com/open?id=1kVGown-ZQcs8o0jt7ogRo5PnpqafA6EI, https://drive.google.com/open?id=17RY7zmKbYeagw3K9hDHn8O0OCn-VrVPY</t>
  </si>
  <si>
    <t xml:space="preserve"> https://www.facebook.com/profile.php?id=100047116779792&amp;mibextid=LQQJ4d</t>
  </si>
  <si>
    <t>Nguyễn Thị Nguyệt Ánh</t>
  </si>
  <si>
    <t>https://drive.google.com/open?id=1IWIF5j_Jhg9a3fdN9qTWPTBSJS9aE3Ap, https://drive.google.com/open?id=1aZmxFNIsJ9X6CYVC4gKE4_fHX9IpNLTH</t>
  </si>
  <si>
    <t>https://www.facebook.com/quoc.nguyenkien.904?mibextid=LQQJ4</t>
  </si>
  <si>
    <t>Nguyễn Kiến Quốc</t>
  </si>
  <si>
    <t>https://drive.google.com/open?id=1Ug-si_91un0B2tmNvFZAxUXVqVE0_8ph; https://drive.google.com/open?id=1UdKM0ws2s-Sd3W5ZB3cIaKGxQDbdJ31_, https://drive.google.com/open?id=1uwTf2zG_nvBhCKg3s7Twux550JDBYG9b</t>
  </si>
  <si>
    <t>https://www.facebook.com/nt.ngan.7311?mibextid=LQQJ4d</t>
  </si>
  <si>
    <t>Nguyễn Thị Ngân</t>
  </si>
  <si>
    <t>Cổng phụ đại học công nghiệp hà nội- huyện kim bảng - thành phố phủ lý - Hà Nam</t>
  </si>
  <si>
    <t>https://drive.google.com/open?id=1uS1FyavSNT7Ol5Tc3TaVrcW8TeHDMGzo</t>
  </si>
  <si>
    <t>https://www.facebook.com/ibrahisonvic11</t>
  </si>
  <si>
    <t xml:space="preserve">Đặng Minh Sơn  </t>
  </si>
  <si>
    <t>dangminhson05@gmail.com</t>
  </si>
  <si>
    <t xml:space="preserve">Ding tea 1194 đường Láng, Láng Thượng, Đống Đa, Hà Nội </t>
  </si>
  <si>
    <t>https://drive.google.com/open?id=1nYYfmo4XGdOTIFNd9I68t7nKu5Rmz7i5</t>
  </si>
  <si>
    <t>https://www.facebook.com/nguyen.quoctrung.98096</t>
  </si>
  <si>
    <t>Nguyễn Quốc Trung</t>
  </si>
  <si>
    <t>trungnguyen060702@gmail.com</t>
  </si>
  <si>
    <t>Số nhà 23 - Xóm Đình - Thôn Thu Quế - Song Phượng - Đan Phượng - Hà Nội</t>
  </si>
  <si>
    <t>https://drive.google.com/open?id=1x28imMCn3m66Bwn633l0tKTgwhZ_mPoe</t>
  </si>
  <si>
    <t>https://www.facebook.com/len.nguyenthi.37625843</t>
  </si>
  <si>
    <t>Nguyễn Thị Len</t>
  </si>
  <si>
    <t>số 5, ngõ 163, Đường Sông Nhuệ, phường Đức Thắng, Bắc Từ Liêm</t>
  </si>
  <si>
    <t>https://drive.google.com/open?id=1L7C4LCDbaBuOTzPuVJu68CwePwSnksF8</t>
  </si>
  <si>
    <t>https://www.facebook.com/quynhnga.ta.186?mibextid=ZbWKwL</t>
  </si>
  <si>
    <t>Tạ Quỳnh Nga</t>
  </si>
  <si>
    <t xml:space="preserve"> Số nhà 39, ngách 23/12a, ngõ 23 Xuân La, Tây Hồ, Hà Nội.</t>
  </si>
  <si>
    <t>https://drive.google.com/open?id=1czF3F0JIvDWYymy8iZ1EYmTQTkSoLeVJ</t>
  </si>
  <si>
    <t>https://www.facebook.com/profile.php?id=100023530050638</t>
  </si>
  <si>
    <t>Đỗ Xuân Hùng</t>
  </si>
  <si>
    <t>278 đường lam sơn ,phường đồng tâm thành phố vĩnh yên , Tỉnh vĩnh phúc</t>
  </si>
  <si>
    <t>https://drive.google.com/open?id=1s_iokdGu9aDDeGH1FRwMILY02BB3OcUG</t>
  </si>
  <si>
    <t>KA71</t>
  </si>
  <si>
    <t>https://www.facebook.com/thinhedard</t>
  </si>
  <si>
    <t>Phạm Hưng Thịnh</t>
  </si>
  <si>
    <t>17 ngõ 1 Lê Lai, phường Hoàng Văn Thụ, Thành phố Lạng Sơn, tỉnh Lạng Sơn</t>
  </si>
  <si>
    <t>https://drive.google.com/open?id=1eyqXrbOf5aObr9_lrYdSxjmwbUhhe3a_</t>
  </si>
  <si>
    <t>https://www.facebook.com/quynh.nguyenmanh.10297</t>
  </si>
  <si>
    <t xml:space="preserve">Nguyễn Mạnh Quỳnh </t>
  </si>
  <si>
    <t>quynhnmhe186400@gmail.com</t>
  </si>
  <si>
    <t>Eco hostel- Tân Xã- Thạch Thất- Hà Nội</t>
  </si>
  <si>
    <t>https://drive.google.com/open?id=1hJWkXhQWdSDdXgbZ5OZoCp94E2wMpPFX</t>
  </si>
  <si>
    <t>https://www.facebook.com/profile.php?id=61550985276689&amp;mibextid=LQQJ4d</t>
  </si>
  <si>
    <t>Cù Nguyễn Thảo Vy</t>
  </si>
  <si>
    <t>thaovy011123@gmail.com</t>
  </si>
  <si>
    <t xml:space="preserve">Trường đại học kiểm sát hà nội, phương dương nội, quận hà đông, thành phố hà nội </t>
  </si>
  <si>
    <t>https://drive.google.com/open?id=1biPZjreaXhytYk-6PMkBQ7_tXjN0X2ic</t>
  </si>
  <si>
    <t>C185</t>
  </si>
  <si>
    <t>T241</t>
  </si>
  <si>
    <t>https://www.facebook.com/profile.php?id=100018658693222&amp;mibextid=kFxxJD</t>
  </si>
  <si>
    <r>
      <rPr>
        <sz val="12"/>
        <color theme="1"/>
        <rFont val="Times New Roman"/>
        <family val="1"/>
      </rPr>
      <t>Bùi Thị Ngọc Ánh</t>
    </r>
    <r>
      <rPr>
        <sz val="12"/>
        <color rgb="FFFF0000"/>
        <rFont val="Times New Roman"/>
        <family val="1"/>
      </rPr>
      <t xml:space="preserve"> - nick Ánh Kim</t>
    </r>
  </si>
  <si>
    <t>037305002829</t>
  </si>
  <si>
    <t>số 9 ngõ 364/146/3 đường giải phóng, phường Thịnh Liệt quận Hoàng Mai, Hà Nội</t>
  </si>
  <si>
    <t>https://drive.google.com/open?id=1OF_JZp0lmhX-X8SwSqb2P1M8V-MrB5Y3; https://drive.google.com/open?id=1ePSwTqsJTaUbCY-Xi-j4cdfHyh7K1fk0</t>
  </si>
  <si>
    <t>Thu</t>
  </si>
  <si>
    <t>https://drive.google.com/open?id=1DHm9r21Rmflw8-BpX2muhLD1BEoW12KU</t>
  </si>
  <si>
    <t>Đã qua level 1</t>
  </si>
  <si>
    <t>B659</t>
  </si>
  <si>
    <t>https://www.facebook.com/huog.1204?locale=vi_VN</t>
  </si>
  <si>
    <t>Trịnh Thu Hương</t>
  </si>
  <si>
    <t>thhuog421@gmail.com</t>
  </si>
  <si>
    <t>31 Ngách 1 Ngõ 2 Lê Hữu Trác, Phường Phúc La, Quận Hà Đông, Hà Nội</t>
  </si>
  <si>
    <t>https://drive.google.com/open?id=1UjHiopVF5DgSFfWjtHIqbtLbZEH1wz9Y</t>
  </si>
  <si>
    <t>https://www.facebook.com/khuctuan.vu?mibextid=LQQJ4d</t>
  </si>
  <si>
    <t>Khúc Tuấn Vũ</t>
  </si>
  <si>
    <t>công ty panasonic, KCN Thăng Long 2, Yên Mỹ, Hưng Yên</t>
  </si>
  <si>
    <t>https://drive.google.com/open?id=1yaXkdbPwDcfY3KDK8gHK8lfjEy4KRIJ3</t>
  </si>
  <si>
    <t>https://www.facebook.com/profile.php?id=100006846613832&amp;mibextid=LQQJ4d</t>
  </si>
  <si>
    <t>Nguyễn Quốc Thượng</t>
  </si>
  <si>
    <t>https://drive.google.com/open?id=1ZOaaeG7nveKq70t0jprKy6nxDySzUE28</t>
  </si>
  <si>
    <t>B663</t>
  </si>
  <si>
    <t>https://www.facebook.com/trangg.thuy.7758235?locale=vi_VN</t>
  </si>
  <si>
    <t>Nguyễn Thuỳ Trang</t>
  </si>
  <si>
    <t>nguyenthuytrangg550@gmail.com</t>
  </si>
  <si>
    <t>63 ngõ 53, Ngoạ Long, Minh Khai, Từ Liêm</t>
  </si>
  <si>
    <t>https://drive.google.com/open?id=1P0Il6VM0VoWx7aHzmOAkrhOUvfSEgla4</t>
  </si>
  <si>
    <t>Không đạt 350</t>
  </si>
  <si>
    <t>https://www.facebook.com/profile.php?id=100054256994032</t>
  </si>
  <si>
    <t xml:space="preserve">Nguyễn Phương Nguyên </t>
  </si>
  <si>
    <t>hanna12122005@gmail.com</t>
  </si>
  <si>
    <t>thôn Bến - xã Tốt Động- huyện Chương Mỹ - TP Hà Nội</t>
  </si>
  <si>
    <t>https://drive.google.com/open?id=1ugsWaK_ISvIxVh3hyyaoNj5LEhNp6VX1</t>
  </si>
  <si>
    <t>https://www.facebook.com/profile.php?id=100041481080562</t>
  </si>
  <si>
    <t>Nguyễn Thị Hằng</t>
  </si>
  <si>
    <t>nguyenthihangvp04@gmail.com</t>
  </si>
  <si>
    <t>nhà 28A ngách 90, ngõ 1194 đường láng</t>
  </si>
  <si>
    <t>https://drive.google.com/open?id=1uQGn-I9T8W9PVPLpksT9N6i7n_iyizzh</t>
  </si>
  <si>
    <r>
      <rPr>
        <sz val="12"/>
        <color theme="1"/>
        <rFont val="Times New Roman"/>
        <family val="1"/>
      </rPr>
      <t xml:space="preserve"> Trần Thị Ngọc Phương </t>
    </r>
    <r>
      <rPr>
        <sz val="12"/>
        <color rgb="FFFF0000"/>
        <rFont val="Times New Roman"/>
        <family val="1"/>
      </rPr>
      <t>- Đã nộp 300K 22/07/24
T199 bảo lưu b6 trùng lịch học. Học T215 b1</t>
    </r>
  </si>
  <si>
    <t>tranngocphuong23102004@gmail.com</t>
  </si>
  <si>
    <t>số nhà 1, ngách 11, ngõ 39 Hồ Tùng Mậu, Mai Dịch, Cầu Giấy</t>
  </si>
  <si>
    <t>https://drive.google.com/open?id=1mpv86ob3eTDUEgwI2_DHVl3gmQKcsrD-</t>
  </si>
  <si>
    <t>https://www.facebook.com/vlu.05</t>
  </si>
  <si>
    <t>Lù Thị Vân</t>
  </si>
  <si>
    <t>luthivan0022@gmail.com</t>
  </si>
  <si>
    <t>ktx Học viện Báo chí và Tuyên truyền, 89 Nguyễn Phong Sắc, phường Dịch Vọng Hậu, Tp Hà Nội</t>
  </si>
  <si>
    <t>25/02/2024 và 28/2</t>
  </si>
  <si>
    <t>https://drive.google.com/open?id=1mJ4AD5LZ3iiGR9zh_e2Z6sWT1P232txI, https://drive.google.com/open?id=1h8s4lr7rVy8xjqpwSUQMmI7hBfNUPUwr, https://drive.google.com/open?id=1RyWacS0lseN5XN_RkqPkwDWDyib3Re_n</t>
  </si>
  <si>
    <t>T120</t>
  </si>
  <si>
    <t>https://www.facebook.com/profile.php?id=100016725184628</t>
  </si>
  <si>
    <t>Phạm Minh Tuấn</t>
  </si>
  <si>
    <t>70, Ngõ 26, đ Hoàng Quốc Việt, Nghĩa Đô, Cầu Giấy, Hà Nội</t>
  </si>
  <si>
    <t>https://drive.google.com/open?id=1c_OBh3KX4fMSP1-hyV5BPAwwCTPwBX2B</t>
  </si>
  <si>
    <t>https://www.facebook.com/linh.tranthi.5209000</t>
  </si>
  <si>
    <t xml:space="preserve">Trần Thị Linh  </t>
  </si>
  <si>
    <t>Tranthilinhhh17@gmail.com</t>
  </si>
  <si>
    <t>Xuân phương - nam từ liêm</t>
  </si>
  <si>
    <t>https://drive.google.com/open?id=1v2m3KDtI27xSw_-xUIW2caCZiZuy3QWf</t>
  </si>
  <si>
    <t>https://www.facebook.com/phu.phamvan.35513</t>
  </si>
  <si>
    <t xml:space="preserve">Phạm Văn Phú  </t>
  </si>
  <si>
    <t>phamphu17111@gmail.com</t>
  </si>
  <si>
    <t xml:space="preserve">nam từ liêm - hà nội </t>
  </si>
  <si>
    <t>https://drive.google.com/open?id=1VhfTVpUK01d1FF0-UQbUQ1fu5VT466Zn</t>
  </si>
  <si>
    <t>https://www.facebook.com/profile.php?id=100068306131000&amp;mibextid=ZbWKwL</t>
  </si>
  <si>
    <t>Đặng Thị Thu Hằng</t>
  </si>
  <si>
    <t>dangthithuhang261102.cam@gmail.com</t>
  </si>
  <si>
    <t>Ktx 11 tầng - trường đại học lâm nghiệp - xuân mai - chương mỹ - hà nội</t>
  </si>
  <si>
    <t>https://drive.google.com/open?id=1WTiJV88ue57ezw7xSrcFcZeId07_G3Dd</t>
  </si>
  <si>
    <t>PT71</t>
  </si>
  <si>
    <t>https://www.facebook.com/lucyly.thao.357?mibextid=LQQJ4d</t>
  </si>
  <si>
    <t>Phạm Thị Thanh Thảo</t>
  </si>
  <si>
    <t>phamthaoo1509@gmail.com</t>
  </si>
  <si>
    <t>Số 2, Ngách 63/74 Trần Quốc Vượng, Dịch Vọng Hậu, Cầu Giấy, Hà Nội</t>
  </si>
  <si>
    <t>https://drive.google.com/open?id=1qkC0Kmub1gpj891SsZdelWB0cefFN0wX</t>
  </si>
  <si>
    <t>https://www.facebook.com/profile.php?id=100020353726446&amp;locale=vi_VN</t>
  </si>
  <si>
    <r>
      <rPr>
        <sz val="12"/>
        <color theme="1"/>
        <rFont val="Times New Roman"/>
        <family val="1"/>
      </rPr>
      <t xml:space="preserve">Trịnh Thị Trang </t>
    </r>
    <r>
      <rPr>
        <sz val="12"/>
        <color rgb="FFFF0000"/>
        <rFont val="Times New Roman"/>
        <family val="1"/>
      </rPr>
      <t>- Bạn đổi giao tiếp lv2 sang toeic 2 và đóng thêm tiền lv1 ạ, c chuyển giúp em qua chế độ combo 1,2 toeic ạ</t>
    </r>
  </si>
  <si>
    <t>toanquynhsang@gmail.com</t>
  </si>
  <si>
    <t>50 ngõ 381 phố bạch mai, hai bà trưng hn</t>
  </si>
  <si>
    <t>https://drive.google.com/open?id=1N3xTyI8_Xm4_HTjcRIYTLSg5VvVDbhQf</t>
  </si>
  <si>
    <t>https://www.facebook.com/linh.trieu.104418</t>
  </si>
  <si>
    <t>Triệu Khánh Linh</t>
  </si>
  <si>
    <t xml:space="preserve">KTX trường đại học giao thông vận tải </t>
  </si>
  <si>
    <t>https://drive.google.com/open?id=1Yd7I1rCaKCmSKCxGpgjenaxietGPDtxe</t>
  </si>
  <si>
    <t>https://www.facebook.com/profile.php?id=100022040521712</t>
  </si>
  <si>
    <t>Lưu Thị Hương Giang</t>
  </si>
  <si>
    <t xml:space="preserve">Ký túc xá đại học giao thông vận tải </t>
  </si>
  <si>
    <t>https://drive.google.com/open?id=1N14rybyWRpCvhYrWUjxxh7NyY5_LO4es</t>
  </si>
  <si>
    <t>https://www.facebook.com/Hieuanh060817</t>
  </si>
  <si>
    <t xml:space="preserve">Hoàng Hiệu  </t>
  </si>
  <si>
    <t>Hieuhoang060817@gmail.com</t>
  </si>
  <si>
    <t>https://drive.google.com/open?id=1hO40OOCX8CktiRrPTzQUwe5S2VmZd8q6</t>
  </si>
  <si>
    <t>T204 bảo lưu b13 đi quân sự</t>
  </si>
  <si>
    <t xml:space="preserve">Hoàng Huyền Diệu </t>
  </si>
  <si>
    <t xml:space="preserve">Diệu </t>
  </si>
  <si>
    <t>Hoangdieu062005@gmail.com</t>
  </si>
  <si>
    <t>Sân Chơi Quyết Tiến Thôn 2 Vạn Phúc Thanh Trì Hà Nội</t>
  </si>
  <si>
    <t>https://drive.google.com/open?id=14xR_45uJfHy9JrZIWpuQ_VC2-DKXKGdV</t>
  </si>
  <si>
    <t>https://www.facebook.com/dieuu.hoangg.39589</t>
  </si>
  <si>
    <t>https://www.facebook.com/profile.php?id=100031459809254</t>
  </si>
  <si>
    <t>Diệu</t>
  </si>
  <si>
    <t>tung021412@gmail.com</t>
  </si>
  <si>
    <t>số 45 ngõ 59/93 mễ trì</t>
  </si>
  <si>
    <t>https://drive.google.com/open?id=1UtFNUE9eVOLfniPlylNWO4-CzkZd7RxR</t>
  </si>
  <si>
    <t>https://www.facebook.com/linh.bibi.54922</t>
  </si>
  <si>
    <t xml:space="preserve">Nông Thị Phương Linh </t>
  </si>
  <si>
    <t xml:space="preserve">Mất </t>
  </si>
  <si>
    <t>số nhà 22b ngách 53 ngõ 68 cầu giấy</t>
  </si>
  <si>
    <t>https://drive.google.com/open?id=11gU9AJ7iOnxUSLR6lFfIK7yGirrzbHEV</t>
  </si>
  <si>
    <t>PT73</t>
  </si>
  <si>
    <t>https://www.facebook.com/profile.php?id=100028621913331</t>
  </si>
  <si>
    <t>Nguyễn Đình Lam</t>
  </si>
  <si>
    <t xml:space="preserve">Hường </t>
  </si>
  <si>
    <t>nguyendinhlam205@gmail.com</t>
  </si>
  <si>
    <t>số nhà 115/18 đường phú cường phường Lê Hồng Phong Phủ Lý Hà Nam</t>
  </si>
  <si>
    <t>https://drive.google.com/open?id=1QsVDE9Hiv2R4enhC-7zt8th5aXtAMakq</t>
  </si>
  <si>
    <t>https://www.facebook.com/hung.chaico</t>
  </si>
  <si>
    <r>
      <rPr>
        <sz val="12"/>
        <color theme="1"/>
        <rFont val="Times New Roman"/>
        <family val="1"/>
      </rPr>
      <t xml:space="preserve">Trịnh Đức Hùng </t>
    </r>
    <r>
      <rPr>
        <sz val="12"/>
        <color rgb="FFFF0000"/>
        <rFont val="Times New Roman"/>
        <family val="1"/>
      </rPr>
      <t>- đã chuyển nhượng S,W cho 394248471</t>
    </r>
  </si>
  <si>
    <t>trinhhung14022005@gmail.com</t>
  </si>
  <si>
    <t>số nhà 15 đường Phú Cường xã Phù Vân thành phố Phủ Lý, Hà Nam</t>
  </si>
  <si>
    <t>https://drive.google.com/open?id=1PmY3s9PXuctQBARS8aVqwBwPrxUwDRtU, https://drive.google.com/open?id=1fEvtsxV3bu7VQEH4qrcHxXwqWaI76Qkz</t>
  </si>
  <si>
    <t>https://www.facebook.com/profile.php?id=100029308454860</t>
  </si>
  <si>
    <t xml:space="preserve"> Vũ Thị Yến Nhi  </t>
  </si>
  <si>
    <t>nhiv49343@gmail.com</t>
  </si>
  <si>
    <t>26 ngõ 32 Phùng Khoang, phường Trung Văn, quận Nam Từ Liêm, Hà Nội</t>
  </si>
  <si>
    <t>https://drive.google.com/open?id=1pIOYmmW5LG3iijcwz8fc_vb4jXQT-QSu</t>
  </si>
  <si>
    <t>OPT22</t>
  </si>
  <si>
    <t>https://www.facebook.com/HariKayn002?mibextid=ZbWKwL</t>
  </si>
  <si>
    <t>Dương Phát Đạt</t>
  </si>
  <si>
    <t>lapuvip002@gmail.com</t>
  </si>
  <si>
    <t>Phú Đô - Mỹ Đình - Nam Từ Liêm - Hà Nội</t>
  </si>
  <si>
    <t>https://drive.google.com/open?id=1bs7e6EbzpSgVebqjvsVqFZRo6N3Q8BWJ</t>
  </si>
  <si>
    <t>https://www.facebook.com/khongphaihoangg</t>
  </si>
  <si>
    <t xml:space="preserve">Bùi Duy Hoàng  </t>
  </si>
  <si>
    <t>Duyhoang130104@gmail.com</t>
  </si>
  <si>
    <t>Hậu Ái, Vân Canh, Hoài Đức, Hà Nội</t>
  </si>
  <si>
    <r>
      <rPr>
        <sz val="12"/>
        <rFont val="Times New Roman"/>
        <family val="1"/>
      </rPr>
      <t xml:space="preserve">https://drive.google.com/open?id=12EeLdYpA1RzVeZl1mvYwoM8LqHSgH_rS, </t>
    </r>
    <r>
      <rPr>
        <u/>
        <sz val="12"/>
        <color rgb="FF1155CC"/>
        <rFont val="Times New Roman"/>
        <family val="1"/>
      </rPr>
      <t>https://drive.google.com/open?id=1-v9vIbtAVss4Gmhd0cyUr5cNDAs2sJMi</t>
    </r>
  </si>
  <si>
    <t>Hồ Duy Nam</t>
  </si>
  <si>
    <t>https://drive.google.com/open?id=1WjICfhB7TIuqDu59FYvDjYc1KffGzNXp; https://drive.google.com/open?id=1sUWz6zgilXqwLt9sTBvfGpoV8oJEhR5b</t>
  </si>
  <si>
    <t>OPT15 đã xếp lớp</t>
  </si>
  <si>
    <r>
      <rPr>
        <sz val="12"/>
        <color theme="1"/>
        <rFont val="Times New Roman"/>
        <family val="1"/>
      </rPr>
      <t xml:space="preserve">Lê Khánh Huyền </t>
    </r>
    <r>
      <rPr>
        <sz val="12"/>
        <color rgb="FFFF0000"/>
        <rFont val="Times New Roman"/>
        <family val="1"/>
      </rPr>
      <t>- Đức lên form để tính lương</t>
    </r>
  </si>
  <si>
    <t>https://drive.google.com/open?id=1WHieiVJNYW5_3cIHebR7FozcZ5QIyzpw</t>
  </si>
  <si>
    <r>
      <rPr>
        <sz val="12"/>
        <color theme="1"/>
        <rFont val="Times New Roman"/>
        <family val="1"/>
      </rPr>
      <t>Nguyễn Thị Khánh Ly</t>
    </r>
    <r>
      <rPr>
        <sz val="12"/>
        <color rgb="FFFF0000"/>
        <rFont val="Times New Roman"/>
        <family val="1"/>
      </rPr>
      <t xml:space="preserve"> (Cần hợp đồng)</t>
    </r>
  </si>
  <si>
    <t>Số 11 ngõ 201 đường cầu giấy phường dịch vọng</t>
  </si>
  <si>
    <t>Điền lên T02.2024</t>
  </si>
  <si>
    <t>C165 - đã học xong 3 giao tiếp</t>
  </si>
  <si>
    <t>https://www.facebook.com/profile.php?id=100040160680689&amp;mibextid=LQQJ4d</t>
  </si>
  <si>
    <t xml:space="preserve">Phạm Trung Kiên </t>
  </si>
  <si>
    <t>phamtrungkien18092004gb@gmail.com</t>
  </si>
  <si>
    <t>Đan Khê - Di Trạch - Hoài Đức - HN</t>
  </si>
  <si>
    <t>https://drive.google.com/open?id=1-EZAvJU3KxoHA1fQYyBmVReTUBR90_AM</t>
  </si>
  <si>
    <t>OT23</t>
  </si>
  <si>
    <t>https://www.facebook.com/profile.php?id=100090338867100&amp;mibextid=LQQJ4d</t>
  </si>
  <si>
    <r>
      <rPr>
        <sz val="12"/>
        <color theme="1"/>
        <rFont val="Times New Roman"/>
        <family val="1"/>
      </rPr>
      <t xml:space="preserve">Lê Văn Minh </t>
    </r>
    <r>
      <rPr>
        <sz val="12"/>
        <color rgb="FFFF0000"/>
        <rFont val="Times New Roman"/>
        <family val="1"/>
      </rPr>
      <t>- Đã nộp 300K 08/05/2024
OT19 bảo lưu b13 đi quân sự. Học OT23 b8</t>
    </r>
  </si>
  <si>
    <t>03/01/2023 và 05/01/2023</t>
  </si>
  <si>
    <t>27/02/2024 và 29/03/2024</t>
  </si>
  <si>
    <t xml:space="preserve">https://drive.google.com/open?id=1iRn20X5DMwLxR9lB4_iG4hO7pnkgIszb; https://drive.google.com/open?id=12Lzjp36W2-lQZTYp3lvG6QkZ733h5_xl; </t>
  </si>
  <si>
    <t>Trả lương T03.2024</t>
  </si>
  <si>
    <t>Nguyễn Mạnh Tài</t>
  </si>
  <si>
    <t>tổ 22 p.Yên nghãi , Hà Đông, Hà Nội</t>
  </si>
  <si>
    <t>sn 26, ngõ 172, đường Phú Diễn, quận Bắc Từ Liêm, Hà Nội</t>
  </si>
  <si>
    <t>T213</t>
  </si>
  <si>
    <r>
      <rPr>
        <sz val="12"/>
        <color theme="1"/>
        <rFont val="Times New Roman"/>
        <family val="1"/>
      </rPr>
      <t>Nguyễn Thị Hà</t>
    </r>
    <r>
      <rPr>
        <sz val="12"/>
        <color rgb="FFFF0000"/>
        <rFont val="Times New Roman"/>
        <family val="1"/>
      </rPr>
      <t xml:space="preserve"> - Đã nộp 300K 08/08/24</t>
    </r>
    <r>
      <rPr>
        <sz val="12"/>
        <color theme="1"/>
        <rFont val="Times New Roman"/>
        <family val="1"/>
      </rPr>
      <t xml:space="preserve">
</t>
    </r>
    <r>
      <rPr>
        <sz val="12"/>
        <color rgb="FFFF0000"/>
        <rFont val="Times New Roman"/>
        <family val="1"/>
      </rPr>
      <t>OT20 bảo lưu b18 đi quân sự. Học T213 b14</t>
    </r>
  </si>
  <si>
    <t>OVIP8</t>
  </si>
  <si>
    <t>Nguyễn Thị Thúy Nga</t>
  </si>
  <si>
    <t>Trần Nguyễn Hưng Thịnh</t>
  </si>
  <si>
    <t>Số nhà 7, Ngách 454/81 Minh Khai, Vĩnh Tuy, Hai BÀ Trưng, Hà Nội</t>
  </si>
  <si>
    <t>1B ngách 46/12 ngõ 44 Hào Nam , Ô Chợ Dừa , Đống Đa , Hà Nội</t>
  </si>
  <si>
    <t>https://www.facebook.com/profile.php?id=100011511100795&amp;mibextid=LQQJ4d</t>
  </si>
  <si>
    <r>
      <rPr>
        <sz val="12"/>
        <color theme="1"/>
        <rFont val="Times New Roman"/>
        <family val="1"/>
      </rPr>
      <t>Lê Đại Thế</t>
    </r>
    <r>
      <rPr>
        <sz val="12"/>
        <color rgb="FFFF0000"/>
        <rFont val="Times New Roman"/>
        <family val="1"/>
      </rPr>
      <t xml:space="preserve"> - đã nộp 300K 08/07/24
OT21 bảo lưu b16 người nhà mất. Học OT25 b14</t>
    </r>
  </si>
  <si>
    <t>Số nhà 24, Ngõ 217, Phạm Văn Đồng, Bắc Từ Liêm, Hà Nội</t>
  </si>
  <si>
    <t>https://drive.google.com/open?id=1D_xUex04jpjtSvlMWN_kslTcxRPQI5lv</t>
  </si>
  <si>
    <t>https://www.facebook.com/hanh.enduring</t>
  </si>
  <si>
    <r>
      <rPr>
        <sz val="12"/>
        <color theme="1"/>
        <rFont val="Times New Roman"/>
        <family val="1"/>
      </rPr>
      <t>Nguyễn Thị Hồng Hạnh</t>
    </r>
    <r>
      <rPr>
        <sz val="12"/>
        <color rgb="FFFF0000"/>
        <rFont val="Times New Roman"/>
        <family val="1"/>
      </rPr>
      <t xml:space="preserve"> (đổi E3 =&gt;PT) </t>
    </r>
    <r>
      <rPr>
        <sz val="12"/>
        <color theme="1"/>
        <rFont val="Times New Roman"/>
        <family val="1"/>
      </rPr>
      <t>868363242</t>
    </r>
  </si>
  <si>
    <t>Đối diện nhà số 10 ngõ 46 nhân hòa nhan chính thanh xuân hà nội</t>
  </si>
  <si>
    <t>https://drive.google.com/open?id=1cqITzbvRBaWNxaHLMRHWMTKsGOFC2FcJ</t>
  </si>
  <si>
    <r>
      <rPr>
        <sz val="12"/>
        <color theme="1"/>
        <rFont val="Times New Roman"/>
        <family val="1"/>
      </rPr>
      <t xml:space="preserve">Trần Văn Trường </t>
    </r>
    <r>
      <rPr>
        <sz val="12"/>
        <color rgb="FFFF0000"/>
        <rFont val="Times New Roman"/>
        <family val="1"/>
      </rPr>
      <t>(hợp đồng)</t>
    </r>
  </si>
  <si>
    <t>ngõ 2 cụm 4 thôn 3 số nhà 3 Thạch Hoà-Thạch Thất-Hà Nội</t>
  </si>
  <si>
    <t>Số 35, ngách 39 Ngõ Mai Hương, Bạch Mai, Q.Hai bà Trưng,  Hà Nội</t>
  </si>
  <si>
    <t>Phố Viên 3- Cổ Nhuế 2- Bắc Từ Liêm, Hà Nội</t>
  </si>
  <si>
    <t>Đối diện Thành Chuyên store, Hoạch Trạch, Thái Học, Bình Giang, Hải Dương</t>
  </si>
  <si>
    <t>https://www.facebook.com/ledangduc083?mibextid=LQQJ4d</t>
  </si>
  <si>
    <t>Lê Đăng Đức</t>
  </si>
  <si>
    <t>Văn Linh</t>
  </si>
  <si>
    <t>Nhà số 34, Ngõ 66, Hồ Tùng Mậu, Mai Dịch, Cầu Giấy, Hà Nội</t>
  </si>
  <si>
    <t>https://drive.google.com/open?id=1bvRicFHrZWOVCLCwOrQF3AF35uZX_9B8</t>
  </si>
  <si>
    <t>0336742261</t>
  </si>
  <si>
    <t>Combo GT Lv1+2+3</t>
  </si>
  <si>
    <t>B584</t>
  </si>
  <si>
    <t>https://www.facebook.com/nguyet.vuminh.589583</t>
  </si>
  <si>
    <r>
      <rPr>
        <sz val="12"/>
        <color theme="1"/>
        <rFont val="Times New Roman"/>
        <family val="1"/>
      </rPr>
      <t xml:space="preserve">Vũ Minh Nguyệt </t>
    </r>
    <r>
      <rPr>
        <sz val="12"/>
        <color rgb="FFFF0000"/>
        <rFont val="Times New Roman"/>
        <family val="1"/>
      </rPr>
      <t>- Đổi E3 sang Toeic 1</t>
    </r>
  </si>
  <si>
    <t>HV đăng ký</t>
  </si>
  <si>
    <t>Ngõ 62 Văn Hội, Đức Thắng, Bắc Từ Liêm, Hà Nội</t>
  </si>
  <si>
    <t>https://drive.google.com/open?id=1GhF2k5opLPKe5DrF3uC8Z03_RI_VRuKC</t>
  </si>
  <si>
    <t>460 Hà Hiền cho test hộ</t>
  </si>
  <si>
    <t>https://www.facebook.com/profile.php?id=100082847074343&amp;mibextid=LQQJ4d</t>
  </si>
  <si>
    <r>
      <rPr>
        <sz val="12"/>
        <color theme="1"/>
        <rFont val="Times New Roman"/>
        <family val="1"/>
      </rPr>
      <t xml:space="preserve">Đàm Thị Duyên </t>
    </r>
    <r>
      <rPr>
        <sz val="12"/>
        <color rgb="FFFF0000"/>
        <rFont val="Times New Roman"/>
        <family val="1"/>
      </rPr>
      <t>- Đã nộp 300K 16/05/2024
OT20 bảo lưu b13. Học OT23 b10</t>
    </r>
  </si>
  <si>
    <t xml:space="preserve">duyendam.0406@gmail.com </t>
  </si>
  <si>
    <t>https://drive.google.com/open?id=1EHuIL8GVwLgx22rTmwT-BJr5ZJ7BP0zc; https://drive.google.com/open?id=1VU7LrbwuAaWiOGeky4YohK3AoQftse2M</t>
  </si>
  <si>
    <t>OT20</t>
  </si>
  <si>
    <t>https://www.facebook.com/profile.php?id=100090091488959&amp;mibextid=LQQJ4d</t>
  </si>
  <si>
    <r>
      <rPr>
        <sz val="12"/>
        <color theme="1"/>
        <rFont val="Times New Roman"/>
        <family val="1"/>
      </rPr>
      <t xml:space="preserve">Nguyễn Anh Minh </t>
    </r>
    <r>
      <rPr>
        <sz val="12"/>
        <color rgb="FFFF0000"/>
        <rFont val="Times New Roman"/>
        <family val="1"/>
      </rPr>
      <t>(đổi E3 =&gt;T1)</t>
    </r>
  </si>
  <si>
    <t>Huyền Luna báo</t>
  </si>
  <si>
    <t>038204019993</t>
  </si>
  <si>
    <t>Nhà trọ cô Thắm, Thôn 1, Phù Vân, TP Phủ Lý, Hà Nam</t>
  </si>
  <si>
    <t>https://drive.google.com/open?id=1X5nY20aYxIAm3_eYeumuihkFKKwNmqcx</t>
  </si>
  <si>
    <r>
      <rPr>
        <sz val="12"/>
        <color theme="1"/>
        <rFont val="Times New Roman"/>
        <family val="1"/>
      </rPr>
      <t xml:space="preserve">Nguyễn Thị Trang </t>
    </r>
    <r>
      <rPr>
        <sz val="12"/>
        <color rgb="FFFF0000"/>
        <rFont val="Times New Roman"/>
        <family val="1"/>
      </rPr>
      <t>- Đã nộp 300K 01/08/24
OT20 bảo lưu b14 đi quân sự. Học OT24 b4</t>
    </r>
  </si>
  <si>
    <r>
      <rPr>
        <sz val="12"/>
        <color theme="1"/>
        <rFont val="Times New Roman"/>
        <family val="1"/>
      </rPr>
      <t xml:space="preserve">Nguyễn Mỹ Duyên </t>
    </r>
    <r>
      <rPr>
        <sz val="12"/>
        <color rgb="FFFF0000"/>
        <rFont val="Times New Roman"/>
        <family val="1"/>
      </rPr>
      <t>- đã nộp 300K
OT20 bảo lưu b14 đi quân sự. Học OT25 b5</t>
    </r>
  </si>
  <si>
    <r>
      <rPr>
        <sz val="12"/>
        <color theme="1"/>
        <rFont val="Times New Roman"/>
        <family val="1"/>
      </rPr>
      <t>Nguyễn Thế Tài</t>
    </r>
    <r>
      <rPr>
        <sz val="12"/>
        <color rgb="FFFF0000"/>
        <rFont val="Times New Roman"/>
        <family val="1"/>
      </rPr>
      <t xml:space="preserve"> - đã nộp 300K</t>
    </r>
    <r>
      <rPr>
        <sz val="12"/>
        <color theme="1"/>
        <rFont val="Times New Roman"/>
        <family val="1"/>
      </rPr>
      <t xml:space="preserve">
</t>
    </r>
    <r>
      <rPr>
        <sz val="12"/>
        <color rgb="FFFF0000"/>
        <rFont val="Times New Roman"/>
        <family val="1"/>
      </rPr>
      <t>OT20 bảo lưu b14 đi quân sự. Học OT25 b5</t>
    </r>
  </si>
  <si>
    <t>OVIP9</t>
  </si>
  <si>
    <t>Team Hoàng</t>
  </si>
  <si>
    <t>Ngọc Ánh-CĐ</t>
  </si>
  <si>
    <t xml:space="preserve">ngõ 210b võ chí công , xuân la , tây hồ , hà nội </t>
  </si>
  <si>
    <t>https://drive.google.com/open?id=1gGAUhrUKAlnhIsHVSET0AYLRqm4v3BVB</t>
  </si>
  <si>
    <t>https://www.facebook.com/profile.php?id=100065606925920</t>
  </si>
  <si>
    <t>T198 bảo lưu b7 bận năm cuối</t>
  </si>
  <si>
    <t>https://www.facebook.com/vananh22082003?mibextid=LQQJ4d</t>
  </si>
  <si>
    <t>Phạm Thị Vân Anh</t>
  </si>
  <si>
    <t>Lê Linh</t>
  </si>
  <si>
    <t>thị trấn Như Quỳnh, Văn Lâm, Hưng Yên</t>
  </si>
  <si>
    <t>https://drive.google.com/open?id=1lpQ8hIfYcuonpJTkgfysP4vMFxXhPbwd</t>
  </si>
  <si>
    <t>Huy chat T171 =&gt;Chờ lớp</t>
  </si>
  <si>
    <t>0936966491</t>
  </si>
  <si>
    <t>so nha 42 ngách 396/7 Cổ Nhuế 2,bắc từ liêm,Hà Nội</t>
  </si>
  <si>
    <r>
      <rPr>
        <sz val="12"/>
        <color theme="1"/>
        <rFont val="Times New Roman"/>
        <family val="1"/>
      </rPr>
      <t>Đặng Thị Phương Lan</t>
    </r>
    <r>
      <rPr>
        <sz val="12"/>
        <color rgb="FFFF0000"/>
        <rFont val="Times New Roman"/>
        <family val="1"/>
      </rPr>
      <t xml:space="preserve"> (hủy VIP84)</t>
    </r>
  </si>
  <si>
    <r>
      <rPr>
        <sz val="12"/>
        <color theme="1"/>
        <rFont val="Times New Roman"/>
        <family val="1"/>
      </rPr>
      <t>Nguyễn Thị Hường</t>
    </r>
    <r>
      <rPr>
        <sz val="12"/>
        <color rgb="FFFF0000"/>
        <rFont val="Times New Roman"/>
        <family val="1"/>
      </rPr>
      <t xml:space="preserve"> (hủy VIP84)</t>
    </r>
  </si>
  <si>
    <t>20B ngõ 267 Khương Trung, Thanh Xuân, Hà Nội</t>
  </si>
  <si>
    <t>đội 4, xóm Thạch Quy, xã Ninh Mỹ, Hoa Lư, Ninh Bình</t>
  </si>
  <si>
    <t>Phạm Thị Thu Thủy</t>
  </si>
  <si>
    <t>số nhà 59a, ngõ 243 Nam Dư, Lĩnh Nam</t>
  </si>
  <si>
    <r>
      <rPr>
        <sz val="12"/>
        <color theme="1"/>
        <rFont val="Times New Roman"/>
        <family val="1"/>
      </rPr>
      <t xml:space="preserve">Đinh Xuân Mạnh </t>
    </r>
    <r>
      <rPr>
        <sz val="12"/>
        <color rgb="FFFF0000"/>
        <rFont val="Times New Roman"/>
        <family val="1"/>
      </rPr>
      <t>- Đã nộp 300K 04/06/2024</t>
    </r>
    <r>
      <rPr>
        <sz val="12"/>
        <color theme="1"/>
        <rFont val="Times New Roman"/>
        <family val="1"/>
      </rPr>
      <t xml:space="preserve">
</t>
    </r>
    <r>
      <rPr>
        <sz val="12"/>
        <color rgb="FFFF0000"/>
        <rFont val="Times New Roman"/>
        <family val="1"/>
      </rPr>
      <t>OVIP9 bảo lưu b10 đi quân sự. Học VIP89 b11</t>
    </r>
  </si>
  <si>
    <r>
      <rPr>
        <sz val="12"/>
        <color theme="1"/>
        <rFont val="Times New Roman"/>
        <family val="1"/>
      </rPr>
      <t xml:space="preserve">Nguyễn Ngọc Huyền </t>
    </r>
    <r>
      <rPr>
        <sz val="12"/>
        <color rgb="FFFF0000"/>
        <rFont val="Times New Roman"/>
        <family val="1"/>
      </rPr>
      <t>(hủy VIP84)</t>
    </r>
  </si>
  <si>
    <r>
      <rPr>
        <sz val="12"/>
        <color theme="1"/>
        <rFont val="Times New Roman"/>
        <family val="1"/>
      </rPr>
      <t xml:space="preserve">Trần Hạnh Trang </t>
    </r>
    <r>
      <rPr>
        <sz val="12"/>
        <color rgb="FFFF0000"/>
        <rFont val="Times New Roman"/>
        <family val="1"/>
      </rPr>
      <t>(hủy VIP84)</t>
    </r>
  </si>
  <si>
    <t>Số 1A Đức Thắng, phường Đức Thắng, quận Bắc Từ Liêm, Hà Nội</t>
  </si>
  <si>
    <t>C136</t>
  </si>
  <si>
    <t>https://www.facebook.com/ngangiang.nongthi.9</t>
  </si>
  <si>
    <t>Nông Thị Ngân Giang</t>
  </si>
  <si>
    <t>Ngõ 105/9 Doãn Kế Thiện, Mai Dịch , Cầu Giấy, Hà Nội</t>
  </si>
  <si>
    <t>https://drive.google.com/open?id=1KEf6jm2lXWUsRzMgrlt-lGrsO1XFCLR2</t>
  </si>
  <si>
    <r>
      <rPr>
        <sz val="12"/>
        <color theme="1"/>
        <rFont val="Times New Roman"/>
        <family val="1"/>
      </rPr>
      <t xml:space="preserve">Cao Mạnh Hà </t>
    </r>
    <r>
      <rPr>
        <sz val="12"/>
        <color rgb="FFFF0000"/>
        <rFont val="Times New Roman"/>
        <family val="1"/>
      </rPr>
      <t>- đã nộp 300K 07/05/2024
VIP87 bảo lưu b4 đi quân sự. Quay lại VIP89 b5</t>
    </r>
  </si>
  <si>
    <t>Số Nhà 5, Ngách 7 Ngõ 260 Phố Chợ Khâm Thiên, Phường Trung Phụng, Quận Đống Đa, Hà Nội</t>
  </si>
  <si>
    <t>https://www.facebook.com/messages/t/100039920566539</t>
  </si>
  <si>
    <t xml:space="preserve">Hoàng Yến Nhi </t>
  </si>
  <si>
    <t>Dương xép lớp</t>
  </si>
  <si>
    <t>152 ngõ 165 Chùa Bộc, Trung Liệt, Đống Đa, Hà Nội</t>
  </si>
  <si>
    <t>https://drive.google.com/open?id=16r9x0E_QFrmv1k1HVsjQm2UiwBcMYzFd</t>
  </si>
  <si>
    <t>Trả lương T11</t>
  </si>
  <si>
    <t>0919187618</t>
  </si>
  <si>
    <t>VIP86 bảo lưu b10 đi quân sự</t>
  </si>
  <si>
    <t>Số 9, ngách 23, ngõ 408 Trần Cung, Cổ Nhuế 1, Bắc Từ Liêm, Hà Nội</t>
  </si>
  <si>
    <t>VIP91</t>
  </si>
  <si>
    <t>https://www.facebook.com/profile.php?id=61554088962578</t>
  </si>
  <si>
    <r>
      <rPr>
        <sz val="12"/>
        <color theme="1"/>
        <rFont val="Times New Roman"/>
        <family val="1"/>
      </rPr>
      <t>Nguyễn Thị Dịu</t>
    </r>
    <r>
      <rPr>
        <sz val="12"/>
        <color rgb="FFFF0000"/>
        <rFont val="Times New Roman"/>
        <family val="1"/>
      </rPr>
      <t>. Đã nộp 300K 14/06/24 - 384818851 số cũ
VIP87 bảo lưu b12 đi quân sự. Học VIP91 b12</t>
    </r>
  </si>
  <si>
    <t>Số 69 đường Ngô Gia Tự tổ 3 phường Lê Hồng Phong Phủ Lý Hà Nam</t>
  </si>
  <si>
    <t>Nguyễn Hoàng Anh</t>
  </si>
  <si>
    <t>Số 33 ngõ 2 Tam Khương, Khương Thượng, Đống Đa, Hà Nội</t>
  </si>
  <si>
    <t>VIP89 xin chuyển lớp</t>
  </si>
  <si>
    <r>
      <rPr>
        <sz val="12"/>
        <color theme="1"/>
        <rFont val="Times New Roman"/>
        <family val="1"/>
      </rPr>
      <t xml:space="preserve">Phạm Thị Hường </t>
    </r>
    <r>
      <rPr>
        <sz val="12"/>
        <color rgb="FFFF0000"/>
        <rFont val="Times New Roman"/>
        <family val="1"/>
      </rPr>
      <t>(VIP87)</t>
    </r>
  </si>
  <si>
    <t>số nhà 7, ngách 15, ngõ 252 Tây Sơn, Đống Đa, Hà Nội</t>
  </si>
  <si>
    <t>số nhà 32b ngõ 362b Nam Dư Thanh Trì Hoàng Mai Hà Nội</t>
  </si>
  <si>
    <t>VIP84 nghỉ ngang buổi 14. HV chat</t>
  </si>
  <si>
    <r>
      <rPr>
        <sz val="12"/>
        <color theme="1"/>
        <rFont val="Times New Roman"/>
        <family val="1"/>
      </rPr>
      <t xml:space="preserve">Phạm Minh Quân </t>
    </r>
    <r>
      <rPr>
        <sz val="12"/>
        <color rgb="FFFF0000"/>
        <rFont val="Times New Roman"/>
        <family val="1"/>
      </rPr>
      <t>- Đã nộp 150K 14/06/24 + 150K 19/08/2024
VIP87 bảo lưu b12. Ko ai nói. Học VIP90 b7</t>
    </r>
  </si>
  <si>
    <t>Ngách 1/23 Văn Hội , Bắc Từ Liêm, Hà Nội</t>
  </si>
  <si>
    <t>VIP84 gửi nhầm sách về nhà bạn chuyển nhượng</t>
  </si>
  <si>
    <t>https://www.facebook.com/minion.trieu?mibextid=LQQJ4d</t>
  </si>
  <si>
    <r>
      <rPr>
        <sz val="12"/>
        <color theme="1"/>
        <rFont val="Times New Roman"/>
        <family val="1"/>
      </rPr>
      <t xml:space="preserve">Trịnh Quốc Triệu </t>
    </r>
    <r>
      <rPr>
        <sz val="12"/>
        <color rgb="FFFF0000"/>
        <rFont val="Times New Roman"/>
        <family val="1"/>
      </rPr>
      <t xml:space="preserve">- mua lại Toeic 2. Đã nộp 300K 24/03/24
</t>
    </r>
    <r>
      <rPr>
        <sz val="12"/>
        <color theme="1"/>
        <rFont val="Times New Roman"/>
        <family val="1"/>
      </rPr>
      <t xml:space="preserve">Nguyễn Thùy Linh Chi - </t>
    </r>
    <r>
      <rPr>
        <sz val="12"/>
        <color rgb="FFFF0000"/>
        <rFont val="Times New Roman"/>
        <family val="1"/>
      </rPr>
      <t xml:space="preserve">Chuyển nhượng </t>
    </r>
  </si>
  <si>
    <t>Trịnh Quốc Triệu 0865489236</t>
  </si>
  <si>
    <t>chị ơi giúp em chuyển nhượng khoá lv2 của bạn Chi qua bạn Triệu ạ. em có trao đổi với anh Hoàng Đức và được đồng ý r ạ. bạn Chi sẽ đóng 300k tiền phí chuyển nhượng</t>
  </si>
  <si>
    <r>
      <rPr>
        <sz val="12"/>
        <color theme="1"/>
        <rFont val="Times New Roman"/>
        <family val="1"/>
      </rPr>
      <t xml:space="preserve">Nguyễn Khánh Huyền </t>
    </r>
    <r>
      <rPr>
        <sz val="12"/>
        <color rgb="FFFF0000"/>
        <rFont val="Times New Roman"/>
        <family val="1"/>
      </rPr>
      <t>- nick Khánh Tép</t>
    </r>
  </si>
  <si>
    <t>Số 71, cụm 1, thôn 3, xã thạch hoà, huyện thạch thất, hà nội</t>
  </si>
  <si>
    <t>VIP87 bảo lưu b12 đi quân sự</t>
  </si>
  <si>
    <t>số 12 , ngõ 1 chi bắc , hưu trưng 7 , thôn 3, Trung Châu , Đan Phượng , Hà Nội</t>
  </si>
  <si>
    <t>số nhà 32-đường kênh5-đội 3 thanh trí-minh phú-sóc sơn-hà nội</t>
  </si>
  <si>
    <t>VIP101</t>
  </si>
  <si>
    <r>
      <rPr>
        <sz val="12"/>
        <color theme="1"/>
        <rFont val="Times New Roman"/>
        <family val="1"/>
      </rPr>
      <t>Hà Công Thành</t>
    </r>
    <r>
      <rPr>
        <sz val="12"/>
        <color rgb="FFFF0000"/>
        <rFont val="Times New Roman"/>
        <family val="1"/>
      </rPr>
      <t xml:space="preserve"> (rút VIP84) bảo lưu VIP90 ko thu 300K
VIP90 bảo lưu b4 đi quân sự. Học VIP101 b1</t>
    </r>
  </si>
  <si>
    <t>Nhận sách ở văn phòng</t>
  </si>
  <si>
    <t>số nhà 02 đường Âu Cơ phường Tiền An thành phố Bắc Ninh</t>
  </si>
  <si>
    <t>VIP123</t>
  </si>
  <si>
    <r>
      <rPr>
        <sz val="12"/>
        <color theme="1"/>
        <rFont val="Times New Roman"/>
        <family val="1"/>
      </rPr>
      <t>Nguyễn Tiến Dũng</t>
    </r>
    <r>
      <rPr>
        <sz val="12"/>
        <color rgb="FFFF0000"/>
        <rFont val="Times New Roman"/>
        <family val="1"/>
      </rPr>
      <t xml:space="preserve"> - Đã nộp 300K 19/12/24
VIP87 bảo lưu b6 ôn thi. Học VIP123 b1</t>
    </r>
  </si>
  <si>
    <t>T205 học = xem recode</t>
  </si>
  <si>
    <r>
      <rPr>
        <sz val="12"/>
        <color theme="1"/>
        <rFont val="Times New Roman"/>
        <family val="1"/>
      </rPr>
      <t>Hoàng Gia Huy</t>
    </r>
    <r>
      <rPr>
        <sz val="12"/>
        <color rgb="FFFF0000"/>
        <rFont val="Times New Roman"/>
        <family val="1"/>
      </rPr>
      <t xml:space="preserve"> - Thời gian nhận: 11:45
Lưu ý: học gián tiếp qua xem record, ko làm BTVN 
Muốn pass khoá học không được nên học tiếp. Huy báo</t>
    </r>
  </si>
  <si>
    <t>Cổng 3 , đường D6, Đại Học Cảnh Sát Nhân Dân, Phường Tân Phong, Quận 7, TP. Hồ Chí Minh</t>
  </si>
  <si>
    <t>T310</t>
  </si>
  <si>
    <t>https://www.facebook.com/lethithuphuong200503?mibextid=ZbWKwL</t>
  </si>
  <si>
    <r>
      <rPr>
        <sz val="12"/>
        <color theme="1"/>
        <rFont val="Times New Roman"/>
        <family val="1"/>
      </rPr>
      <t xml:space="preserve">Lê Thị Thu Phương </t>
    </r>
    <r>
      <rPr>
        <sz val="12"/>
        <color rgb="FFFF0000"/>
        <rFont val="Times New Roman"/>
        <family val="1"/>
      </rPr>
      <t>- đổi E3 sang T1</t>
    </r>
  </si>
  <si>
    <t>Chùa Hưng Phúc, Tự Khoát, Ngũ Hiệp, Thanh Trì, Hà Nội</t>
  </si>
  <si>
    <t>https://drive.google.com/open?id=1Qie6cv4JLyHdlfPHG6vc4VMCK_IcBpWA, https://drive.google.com/open?id=1vvgzK8n_7UovefzYVYnyC94SqVe__-lR</t>
  </si>
  <si>
    <t>OT13 đã học b18</t>
  </si>
  <si>
    <r>
      <rPr>
        <sz val="12"/>
        <color theme="1"/>
        <rFont val="Times New Roman"/>
        <family val="1"/>
      </rPr>
      <t xml:space="preserve">Lê Thị Thanh Thuý
</t>
    </r>
    <r>
      <rPr>
        <sz val="12"/>
        <color rgb="FFFF0000"/>
        <rFont val="Times New Roman"/>
        <family val="1"/>
      </rPr>
      <t>OT13 b18 xin chuyển T191 b20</t>
    </r>
  </si>
  <si>
    <t>2/27 Ngõ 221, Phố Vĩnh Hưng, phường Vĩnh Hưng, Hoàng Mai, Hà Nội</t>
  </si>
  <si>
    <t>https://www.facebook.com/profile.php?id=100087405245902</t>
  </si>
  <si>
    <r>
      <rPr>
        <sz val="12"/>
        <color theme="1"/>
        <rFont val="Times New Roman"/>
        <family val="1"/>
      </rPr>
      <t xml:space="preserve">Trần Thị Thiên Thiên </t>
    </r>
    <r>
      <rPr>
        <sz val="12"/>
        <color rgb="FFFF0000"/>
        <rFont val="Times New Roman"/>
        <family val="1"/>
      </rPr>
      <t>- Học của chị Trang 865265463</t>
    </r>
    <r>
      <rPr>
        <sz val="12"/>
        <color theme="1"/>
        <rFont val="Times New Roman"/>
        <family val="1"/>
      </rPr>
      <t xml:space="preserve">
Trần Thị Trang </t>
    </r>
    <r>
      <rPr>
        <sz val="12"/>
        <color rgb="FFFF0000"/>
        <rFont val="Times New Roman"/>
        <family val="1"/>
      </rPr>
      <t>- Nhượng E3 cho em gái học T1</t>
    </r>
  </si>
  <si>
    <t>số nhà 86, phố Lê Hiến, phường Hội Hợp, thành phố Vĩnh Yên, tỉnh  Vĩnh Phúc</t>
  </si>
  <si>
    <t>PT77</t>
  </si>
  <si>
    <t>T310 bảo lưu b10</t>
  </si>
  <si>
    <t>https://www.facebook.com/ngocanh.nguyen.042004</t>
  </si>
  <si>
    <r>
      <rPr>
        <sz val="12"/>
        <color theme="1"/>
        <rFont val="Times New Roman"/>
        <family val="1"/>
      </rPr>
      <t xml:space="preserve">Trịnh Thị Ánh </t>
    </r>
    <r>
      <rPr>
        <sz val="12"/>
        <color rgb="FFFF0000"/>
        <rFont val="Times New Roman"/>
        <family val="1"/>
      </rPr>
      <t xml:space="preserve"> - Đổi VIP học T. T298 xin ra
Ko đủ điểm học T211. 4 buổi vắng 2, out sớm, tắt mic</t>
    </r>
  </si>
  <si>
    <t>025304003884</t>
  </si>
  <si>
    <t>Số nhà 33, Ngõ 294 đường Lĩnh Nam, Hoàng Mai, Hà Nội</t>
  </si>
  <si>
    <t>https://drive.google.com/open?id=1piE9lXO44TZaaNmO7qOahLJg3gCYxRF6</t>
  </si>
  <si>
    <t>23/05/2024 sách cũ</t>
  </si>
  <si>
    <r>
      <rPr>
        <sz val="12"/>
        <color theme="1"/>
        <rFont val="Times New Roman"/>
        <family val="1"/>
      </rPr>
      <t>Nguyễn Ngọc Thiên Ân</t>
    </r>
    <r>
      <rPr>
        <sz val="12"/>
        <color rgb="FFFF0000"/>
        <rFont val="Times New Roman"/>
        <family val="1"/>
      </rPr>
      <t xml:space="preserve"> (đã gửi full sách) 0866921651 sđt mới
T186 ko đạt đầu ra. Học lại T203 miễn phí</t>
    </r>
  </si>
  <si>
    <t>PT74</t>
  </si>
  <si>
    <t>https://www.facebook.com/share/K4e4kdqGJSWQBaxC/?mibextid=LQQJ4d</t>
  </si>
  <si>
    <r>
      <rPr>
        <sz val="12"/>
        <color theme="1"/>
        <rFont val="Times New Roman"/>
        <family val="1"/>
      </rPr>
      <t xml:space="preserve">Hoàng Anh Tú </t>
    </r>
    <r>
      <rPr>
        <sz val="12"/>
        <color rgb="FFFF0000"/>
        <rFont val="Times New Roman"/>
        <family val="1"/>
      </rPr>
      <t>(đổi T sang PT)
T95 bảo lưu buổi 10. Đổi 15 buổi T sang PT</t>
    </r>
  </si>
  <si>
    <t>Hiền</t>
  </si>
  <si>
    <t>038204004846</t>
  </si>
  <si>
    <t>Thôn Thái Tượng xã Tượng Sơn , Nông Cống , Thanh Hoá</t>
  </si>
  <si>
    <t>https://drive.google.com/open?id=1Gl6dM9Ih6B-b5LHlHXJk69sx70QQAT6c</t>
  </si>
  <si>
    <t>VIP84 xin học recode từ b15</t>
  </si>
  <si>
    <t xml:space="preserve"> bãi ban ,nhã nam,tân yên ,bắc giang</t>
  </si>
  <si>
    <t>Thuỷ trong lớp đấy xin học qua record từ buổi 15 , em đã báo anh Huy rồi. Em sợ anh Huy bận chưa cập nhật. Em báo chị luôn, sĩ số hiện tại là 6 nhé ạ.</t>
  </si>
  <si>
    <r>
      <rPr>
        <sz val="12"/>
        <color theme="1"/>
        <rFont val="Times New Roman"/>
        <family val="1"/>
      </rPr>
      <t xml:space="preserve">Nguyễn Văn Đoàn </t>
    </r>
    <r>
      <rPr>
        <sz val="12"/>
        <color rgb="FFFF0000"/>
        <rFont val="Times New Roman"/>
        <family val="1"/>
      </rPr>
      <t>- KO đạt đầu ra
Học lại miễn phí. HV nói - đã hỏi Huy</t>
    </r>
  </si>
  <si>
    <r>
      <rPr>
        <sz val="12"/>
        <color theme="1"/>
        <rFont val="Times New Roman"/>
        <family val="1"/>
      </rPr>
      <t xml:space="preserve">Nguyễn Tuyết Lâm Khuê </t>
    </r>
    <r>
      <rPr>
        <sz val="12"/>
        <color rgb="FFFF0000"/>
        <rFont val="Times New Roman"/>
        <family val="1"/>
      </rPr>
      <t>- Dương báo học lại miễn phí
Đã hỏi Huy cho học lại để ko đòi học phí</t>
    </r>
  </si>
  <si>
    <t>OB20</t>
  </si>
  <si>
    <t>T237</t>
  </si>
  <si>
    <t>https://www.facebook.com/lyyiiy</t>
  </si>
  <si>
    <r>
      <rPr>
        <sz val="12"/>
        <color theme="1"/>
        <rFont val="Times New Roman"/>
        <family val="1"/>
      </rPr>
      <t xml:space="preserve">Nguyễn Thị Cẩm Ly </t>
    </r>
    <r>
      <rPr>
        <sz val="12"/>
        <color rgb="FFFF0000"/>
        <rFont val="Times New Roman"/>
        <family val="1"/>
      </rPr>
      <t>- Đổi E3 sang T1</t>
    </r>
  </si>
  <si>
    <t>Số 12, ngách 1/23, văn hội đức thắng bắc từ liêm, hà nội</t>
  </si>
  <si>
    <t>https://drive.google.com/open?id=1I9_-iOb_7SaSV_tgdMbF9-v9iN5E__Nh</t>
  </si>
  <si>
    <t>T227</t>
  </si>
  <si>
    <t>https://www.facebook.com/profile.php?id=100012278056703&amp;mibextid=gik2fB</t>
  </si>
  <si>
    <r>
      <rPr>
        <sz val="12"/>
        <color theme="1"/>
        <rFont val="Times New Roman"/>
        <family val="1"/>
      </rPr>
      <t xml:space="preserve">Nguyễn Hồng Hạnh </t>
    </r>
    <r>
      <rPr>
        <sz val="12"/>
        <color rgb="FFFF0000"/>
        <rFont val="Times New Roman"/>
        <family val="1"/>
      </rPr>
      <t>- đổi E3 sang T1</t>
    </r>
  </si>
  <si>
    <t>nghghanh186@gmail.com</t>
  </si>
  <si>
    <t>Nhà 12, ngách 1/23 phố Văn Hội, Đức Thắng, Bắc Từ Liêm, Hà Nội</t>
  </si>
  <si>
    <t>https://drive.google.com/open?id=1GC1gZJlriLDj0jISb7XhML0tYtroWrm7</t>
  </si>
  <si>
    <t>https://www.facebook.com/duong.thuyy.5439?mibextid=LQQJ4d</t>
  </si>
  <si>
    <t>Đỗ Thuỳ Dương</t>
  </si>
  <si>
    <t>49 Cầu Đơ 4- Hồ Cầu- Hà Đông- Hà Nội</t>
  </si>
  <si>
    <t>https://drive.google.com/open?id=1izAmVCZuzpvrk7MWgpM_YGRJfDRCZMYS; https://drive.google.com/open?id=1YFg62v7n1Zy_0WLEIC386IA_KZJgX1Tj</t>
  </si>
  <si>
    <t>OPT14 =&gt;Chờ =&gt;OPT17</t>
  </si>
  <si>
    <t>https://www.facebook.com/profile.php?id=100087957833842&amp;mibextid=LQQJ4d</t>
  </si>
  <si>
    <r>
      <rPr>
        <sz val="12"/>
        <color theme="1"/>
        <rFont val="Times New Roman"/>
        <family val="1"/>
      </rPr>
      <t xml:space="preserve">Trần Phương Thảo </t>
    </r>
    <r>
      <rPr>
        <sz val="12"/>
        <color rgb="FFFF0000"/>
        <rFont val="Times New Roman"/>
        <family val="1"/>
      </rPr>
      <t>(sđt cũ 0975933305)</t>
    </r>
  </si>
  <si>
    <t>thaotran842605@gmail.com</t>
  </si>
  <si>
    <t>26 Xuân Diệu, phường Quảng An, quận Tây Hồ, Hà Nội</t>
  </si>
  <si>
    <t>27/11/2023 và 08/01/2024 và 07/03/2024</t>
  </si>
  <si>
    <t>https://drive.google.com/open?id=1sWFMnrQ_FLamUn5K2zJww6V5vaCWyUcp; https://drive.google.com/open?id=1qVTr7OyE7hK7MoJYVwx6XybB9Q9JH9Dw; https://drive.google.com/open?id=1FyqIoksxMFIcpszM2l-sW6bLzn5IO7BI; https://drive.google.com/open?id=1R10EzZOp0GaRyT8nBZV0c1OxjwJT6Dvh; https://drive.google.com/open?id=1896r49J3n8F2lYnJmn3Xd0PTEno7-TMM</t>
  </si>
  <si>
    <t xml:space="preserve">Đàm Thị Duyên </t>
  </si>
  <si>
    <t>OPT15 hủy lớp. Học OFF. Phát sách ở lớp</t>
  </si>
  <si>
    <t>https://www.facebook.com/profile.php?id=100047081933532</t>
  </si>
  <si>
    <r>
      <rPr>
        <sz val="12"/>
        <color theme="1"/>
        <rFont val="Times New Roman"/>
        <family val="1"/>
      </rPr>
      <t xml:space="preserve">Bùi Thị Thanh Mai </t>
    </r>
    <r>
      <rPr>
        <sz val="12"/>
        <color rgb="FFFF0000"/>
        <rFont val="Times New Roman"/>
        <family val="1"/>
      </rPr>
      <t>- nick Ngọc Mai</t>
    </r>
  </si>
  <si>
    <t>Ngõ 192 tây tựu bắc từ liêm hà nội</t>
  </si>
  <si>
    <t>https://drive.google.com/open?id=1gGZ-fTXrbvE1KEzOYkIYizMJsK7bxp2i, https://drive.google.com/open?id=1moWkVi3r9lv7H5rEq5Lr8R9ZQz_tDfAb; https://drive.google.com/open?id=1Pz4rzAQ8aty5EK_KWTUUcYA72mV2s4Ik</t>
  </si>
  <si>
    <t>Lê Văn Minh</t>
  </si>
  <si>
    <t>https://www.facebook.com/profile.php?id=100046955887548</t>
  </si>
  <si>
    <t>Nguyễn Quang Đông</t>
  </si>
  <si>
    <t>Gia Bảo</t>
  </si>
  <si>
    <t>dongnq2108@gmail.com</t>
  </si>
  <si>
    <t>Nhà số 3 43 doãn kế thiện</t>
  </si>
  <si>
    <t>08/03/2024 và 22/03/2024</t>
  </si>
  <si>
    <t>https://drive.google.com/open?id=1Y-57oIUudiZl4saLV-rkr4rR0FYBWpIy; https://drive.google.com/open?id=1HhHeGy4_E9UOSJoE4qDjeRXvsZvvNYeA; https://drive.google.com/open?id=1tQ45zBZlB0yBqu3_aYyYOUrV_jKlU_it</t>
  </si>
  <si>
    <t>https://www.facebook.com/profile.php?id=100017626177322&amp;mibextid=LQQJ4d</t>
  </si>
  <si>
    <t>Nông Bế Bảo Châu</t>
  </si>
  <si>
    <t>https://drive.google.com/open?id=1OZpPAb-8f1lhoN21P6LggEfc3hIeu4Gw; https://drive.google.com/open?id=1HzJMcHfnUBP-ygzyaSw1S8uwILMy-l9_</t>
  </si>
  <si>
    <t>https://www.facebook.com/thanhxuandey?mibextid=LQQJ4d</t>
  </si>
  <si>
    <t xml:space="preserve"> Lục Thị Thanh Xuân </t>
  </si>
  <si>
    <t>https://drive.google.com/open?id=1VVWJc-EoOJ7eqnOqHLmhXSy3zeHTMXtp; https://drive.google.com/open?id=1rbRsQKkXHPMG3PREIhm0X6AOsm18uuus</t>
  </si>
  <si>
    <t>https://www.facebook.com/profile.php?id=100078345468225&amp;mibextid=LQQJ4d</t>
  </si>
  <si>
    <t>Đinh Đỗ Đạt</t>
  </si>
  <si>
    <t>https://drive.google.com/open?id=1RHVoSTwA3ouubziqeEnthfwemleR1Vkx</t>
  </si>
  <si>
    <t>Huy báo hạ level</t>
  </si>
  <si>
    <t>https://www.facebook.com/profile.php?id=100046494195453&amp;mibextid=LQQJ4d</t>
  </si>
  <si>
    <r>
      <rPr>
        <sz val="12"/>
        <color theme="1"/>
        <rFont val="Times New Roman"/>
        <family val="1"/>
      </rPr>
      <t>Phan Thị Minh Thư</t>
    </r>
    <r>
      <rPr>
        <sz val="12"/>
        <color rgb="FFFF0000"/>
        <rFont val="Times New Roman"/>
        <family val="1"/>
      </rPr>
      <t xml:space="preserve"> </t>
    </r>
  </si>
  <si>
    <t>phanthiminhthu485@gmail.com</t>
  </si>
  <si>
    <t>ngõ 38 khu phố Lễ Xuyên Đồng Nguyên Từ Sơn Bắc Ninh</t>
  </si>
  <si>
    <t>24/02/2024 và 17/03/2024</t>
  </si>
  <si>
    <t>https://drive.google.com/open?id=1FbPYrhgPy-vcnip14EaeZc0j008QKJKa; https://drive.google.com/open?id=1JucoKa71YFkCalXs6MMMyt_l26t35C87; https://drive.google.com/open?id=1IOFxj4mXIOpkww8Q64dXmxDS9JmufhbU</t>
  </si>
  <si>
    <t>https://www.facebook.com/hanghuehuy?mibextid=hu50Ix</t>
  </si>
  <si>
    <t>Nguyễn Thị Huệ</t>
  </si>
  <si>
    <t xml:space="preserve">thụy Phương Bắc Từ Liêm Hà Nội
</t>
  </si>
  <si>
    <t>https://drive.google.com/open?id=1V23VIsbrxzqUaWI9UD3J66p_iJueXanu; https://drive.google.com/open?id=19JgfW6cItcrVJY70FFmIzpywnkPz7szg</t>
  </si>
  <si>
    <t>Yến báo hạ Combo</t>
  </si>
  <si>
    <t>https://www.facebook.com/ngocha.nhu.507</t>
  </si>
  <si>
    <t>Nguyễn Thị Ngọc Mai</t>
  </si>
  <si>
    <t>Đại học công nghiệp Hà Nội cơ sở 3 Hà Nam</t>
  </si>
  <si>
    <t>https://drive.google.com/open?id=1y2uFfMEqY6W3jJ51cidxKQtGIB1NoTq1; https://drive.google.com/open?id=1bWRDOepw_sOnwKnLzcVMClGcVJgMkmcs</t>
  </si>
  <si>
    <t>https://www.facebook.com/profile.php?id=100084881501545</t>
  </si>
  <si>
    <r>
      <rPr>
        <sz val="12"/>
        <color theme="1"/>
        <rFont val="Times New Roman"/>
        <family val="1"/>
      </rPr>
      <t xml:space="preserve">Trần Thị Nhi </t>
    </r>
    <r>
      <rPr>
        <sz val="12"/>
        <color rgb="FFFF0000"/>
        <rFont val="Times New Roman"/>
        <family val="1"/>
      </rPr>
      <t>(Cần hợp đồng)</t>
    </r>
  </si>
  <si>
    <t>nhithao1403@gmail.com</t>
  </si>
  <si>
    <t>Đội 2- Nghĩa Hồng -Nghĩa Hưng -Nam Định</t>
  </si>
  <si>
    <t>20/01/2024 và 01/03/2024</t>
  </si>
  <si>
    <t>https://drive.google.com/open?id=1NzaqDCRPF-okSDrMaz_mCos4tl8qAaAB, https://drive.google.com/open?id=1isyVbXA4SbbC0_-aGozoaKYOzZt2RnB7; https://drive.google.com/open?id=1hudm5vULhGaF5UXn5Tsm7NzcjapEusvb</t>
  </si>
  <si>
    <t>OV</t>
  </si>
  <si>
    <t>https://www.facebook.com/profile.php?id=61553967831189&amp;mibextid=PtKPJ9</t>
  </si>
  <si>
    <t>Vũ Tú Linh</t>
  </si>
  <si>
    <t>linhvt3103@gmail.com</t>
  </si>
  <si>
    <t>số nhà 48, ngõ 7 phố Phùng Chi Kiên, Nghĩa Đô, Cầu Giấy</t>
  </si>
  <si>
    <t>https://drive.google.com/open?id=1a1wliQcYzWs3ePFVAV2E9WAlYOiItTmS; https://drive.google.com/open?id=1f96p9oyb051wvuX4P4KMTM7w_j8ntANL</t>
  </si>
  <si>
    <t>Phat o lop</t>
  </si>
  <si>
    <t>https://www.facebook.com/profile.php?id=100013109224813&amp;mibextid=LQQJ4d</t>
  </si>
  <si>
    <t>Vương Thị Thu Thảo</t>
  </si>
  <si>
    <t>Ha</t>
  </si>
  <si>
    <t>khu đô thị đô nghĩa hà đông hà nội</t>
  </si>
  <si>
    <t>https://drive.google.com/open?id=1kcNkEpDn6SWCrenztdlbzaCw568O5-sz; https://drive.google.com/open?id=137CHF77JImsY7LS2WEYuj2fdhwEEoK6F</t>
  </si>
  <si>
    <t>Yến báo hạ combo</t>
  </si>
  <si>
    <t>https://www.facebook.com/profile.php?id=100053764063741&amp;mibextid=ZbWKwL</t>
  </si>
  <si>
    <t>Hà Thái Tú</t>
  </si>
  <si>
    <t>Trọ đối diện số nhà 17, ngõ 25, đường 24/8, lê hồng phong, phủ lý, hà nam</t>
  </si>
  <si>
    <t>https://drive.google.com/open?id=1xkwmXpsgoiPHdlSwnjAvzsx_3TAg0ayR; https://drive.google.com/open?id=1B3uIzw3Rp9gKSxgVCedg5MLXm7PAkQTL</t>
  </si>
  <si>
    <t>https://www.facebook.com/ot.be.963?mibextid=ZbWKwL</t>
  </si>
  <si>
    <r>
      <rPr>
        <sz val="12"/>
        <color theme="1"/>
        <rFont val="Times New Roman"/>
        <family val="1"/>
      </rPr>
      <t xml:space="preserve">Trịnh Thị Phương Anh </t>
    </r>
    <r>
      <rPr>
        <sz val="12"/>
        <color rgb="FFFF0000"/>
        <rFont val="Times New Roman"/>
        <family val="1"/>
      </rPr>
      <t>(Cần hợp đồng)</t>
    </r>
  </si>
  <si>
    <t>trinhthiphuonganh2310@gmail.com</t>
  </si>
  <si>
    <t>Địa chỉ thôn Đông Mai - xã Chỉ Đạo - huyện Văn Lâm - tỉnh Hưng Yên</t>
  </si>
  <si>
    <t>14/03/2024 và 18/02/2024</t>
  </si>
  <si>
    <t>https://drive.google.com/open?id=1LC6yFDy94WsaiSxU0YCnIUcYQBDpcGkB, https://drive.google.com/open?id=1Rjg9bRtw7-wknNEt_cUxqOBCAov3JEEP; https://drive.google.com/open?id=1v5ncZXLvQkQGzzm9w_KjkL47BFAKRXtl</t>
  </si>
  <si>
    <t>https://www.facebook.com/100056734222796/</t>
  </si>
  <si>
    <t xml:space="preserve">Phạm Sơn </t>
  </si>
  <si>
    <t xml:space="preserve"> pson91720@gmail.com</t>
  </si>
  <si>
    <t>Số nhà 2B ngõ 880 đường Nguyễn Công Trứ, Bắc Thịnh, Ninh Sơn, Thành phố Ninh Bình</t>
  </si>
  <si>
    <t>https://drive.google.com/open?id=1erM-oIzXJWQNzkLRdGrI93ZJI7uunQhA; https://drive.google.com/open?id=1L9RIqmUf5Vxajz_Rv7W2CCqj36RqAcZN</t>
  </si>
  <si>
    <t>https://www.facebook.com/profile.php?id=100033652637820&amp;mibextid=ZbWKwL</t>
  </si>
  <si>
    <t>Đào Xuân Trường</t>
  </si>
  <si>
    <t xml:space="preserve"> Số 6 ngõ 149 Phố Tân Mai, Hoàng Mai, Hà Nội, </t>
  </si>
  <si>
    <t>17/02/2024 và 08/03/2024</t>
  </si>
  <si>
    <t>https://drive.google.com/open?id=1SzosECIFfUKGtr6ra-gtqXOv6rMAWSjr, https://drive.google.com/open?id=1L9LRLzzZJLiLcq3QLau8sFf5qzIkQXQ-; https://drive.google.com/open?id=13p9MdKACs0dsg0IcMSEBFQ8mfayHK2u-</t>
  </si>
  <si>
    <t>https://www.facebook.com/luong.ngoc.1466126?mibextid=PlNXYD</t>
  </si>
  <si>
    <t>Tạ Thị Ngọc Lương</t>
  </si>
  <si>
    <t xml:space="preserve">taquangvuong01968@gmail.com </t>
  </si>
  <si>
    <t>nhà 23, ngách 1, ngõ 105, phố Doãn Kế Thiện, p. Mai Dịch, q.Cầu Giấy</t>
  </si>
  <si>
    <t>21/02/2024 và 02/03/2024</t>
  </si>
  <si>
    <t>https://drive.google.com/open?id=1emS-XpGgroRKwkD15OToBc1SxkVC0kAR</t>
  </si>
  <si>
    <t>https://www.facebook.com/profile.php?id=100048372600127</t>
  </si>
  <si>
    <t>Lê Thị Thanh Hoa</t>
  </si>
  <si>
    <t>lethithanhhoa050@gmail.com</t>
  </si>
  <si>
    <t>https://drive.google.com/open?id=1SgPUfUKq9rGS4_YQkMMFLGupaX6iajDz; https://drive.google.com/open?id=1GZlYCc_omuGhAcsYxRvA2WtQ98vawn-c</t>
  </si>
  <si>
    <t>OT</t>
  </si>
  <si>
    <t>https://www.facebook.com/profile.php?id=100012785173295&amp;mibextid=LQQJ4d</t>
  </si>
  <si>
    <r>
      <rPr>
        <sz val="12"/>
        <color theme="1"/>
        <rFont val="Times New Roman"/>
        <family val="1"/>
      </rPr>
      <t xml:space="preserve">Bùi Thị Hồng Nhung </t>
    </r>
    <r>
      <rPr>
        <sz val="12"/>
        <color rgb="FFFF0000"/>
        <rFont val="Times New Roman"/>
        <family val="1"/>
      </rPr>
      <t>- 395625504 số cũ</t>
    </r>
  </si>
  <si>
    <t>nhung15072005@gmail.com</t>
  </si>
  <si>
    <t>65A Tân Nhuệ, Thuỵ Phương, Bắc Từ Liêm, Hà Nội</t>
  </si>
  <si>
    <t>https://drive.google.com/open?id=1VDXYBTAYt5G7-PixtTNypTxO71v6TvTI; https://drive.google.com/open?id=1HGqMQ-GM8OVUljeUkm1ZhBS_5losPeYZ</t>
  </si>
  <si>
    <t>https://www.facebook.com/nguyen.thicham.1088?mibextid=PtKPJ9</t>
  </si>
  <si>
    <t>Nguyễn Thị Thuỳ Châm</t>
  </si>
  <si>
    <t xml:space="preserve">thiếu </t>
  </si>
  <si>
    <t>https://drive.google.com/open?id=1nyPb2OGASoeYWIvwfh8Pwnr59E0y_CAS; https://drive.google.com/open?id=1VClAkQl9N1jcUcviirBfrwLuNXVDTms4</t>
  </si>
  <si>
    <t>https://www.facebook.com/profile.php?id=100067456938605</t>
  </si>
  <si>
    <t>Nông Thị Hồng Hạnh</t>
  </si>
  <si>
    <t>hanhnong476@gmail.com</t>
  </si>
  <si>
    <t xml:space="preserve"> Cổng Chính Cơ Sở 3 Đại Học Công Nghiệp Hà Nội - Phù Vân - Phủ Lý - Hà Nam </t>
  </si>
  <si>
    <t>https://drive.google.com/open?id=1YRsJnpwp3jSJTskt8GSal2WjP8fVpq3a; https://drive.google.com/open?id=1hCklBkTQrEDyMf4eyHEJUkThRnRFf2xv</t>
  </si>
  <si>
    <t>https://www.facebook.com/profile.php?id=100038469549957</t>
  </si>
  <si>
    <r>
      <rPr>
        <sz val="12"/>
        <color theme="1"/>
        <rFont val="Times New Roman"/>
        <family val="1"/>
      </rPr>
      <t>Dương Thị Thanh Phương</t>
    </r>
    <r>
      <rPr>
        <sz val="12"/>
        <color rgb="FFFF0000"/>
        <rFont val="Times New Roman"/>
        <family val="1"/>
      </rPr>
      <t xml:space="preserve"> - nick Sữa Dừa Pha Nước</t>
    </r>
  </si>
  <si>
    <t>Nhà 38 ngõ 69 Nguyễn Phúc Lai - Ô Chợ Dừa - Đống Đa - Hà Nội</t>
  </si>
  <si>
    <t>https://drive.google.com/open?id=1FZ3y_V-m3J0Rw2c8fYIcIJ6ez_RWB7yu; https://drive.google.com/open?id=1q1dy9iOLcY8MgWQyKxE6OcFC9Hb0AgJp</t>
  </si>
  <si>
    <t>https://www.facebook.com/profile.php?id=100026686776406&amp;mibextid=LQQJ4d</t>
  </si>
  <si>
    <t>Tại Lớp</t>
  </si>
  <si>
    <t>https://drive.google.com/open?id=1EKLeRj5vpM81HJ8H0ZLHmI-6u_i4oIUl; https://drive.google.com/open?id=1U4vdTTMMXFqjX675MLEoGXfaSpQIiQCZ</t>
  </si>
  <si>
    <t>https://www.facebook.com/profile.php?id=100037018003487&amp;mibextid=ZbWKwL</t>
  </si>
  <si>
    <r>
      <rPr>
        <sz val="12"/>
        <color theme="1"/>
        <rFont val="Times New Roman"/>
        <family val="1"/>
      </rPr>
      <t xml:space="preserve">Bùi Ngọc Quỳnh </t>
    </r>
    <r>
      <rPr>
        <sz val="12"/>
        <color rgb="FFFF0000"/>
        <rFont val="Times New Roman"/>
        <family val="1"/>
      </rPr>
      <t>(Cần hợp đồng)</t>
    </r>
  </si>
  <si>
    <t>buingocquynh680@gmail.com</t>
  </si>
  <si>
    <t>Xóm 8, xã Giao Hương, huyện Giao Thuỷ, tỉnh Nam Định</t>
  </si>
  <si>
    <t>https://drive.google.com/open?id=1Gh3LjSNQsSkfRyS4Uz5KlbqGfn73wE7J; https://drive.google.com/open?id=1d2uv2XGfy6PpO0mwdisV_kFrH5KQgxSO</t>
  </si>
  <si>
    <t>https://www.facebook.com/khacnguyen.le.777?mibextid=LQQJ4d</t>
  </si>
  <si>
    <t xml:space="preserve">Lê Khắc Nguyên </t>
  </si>
  <si>
    <t xml:space="preserve">chung cư 51 ngõ đại đồng khâm thiên </t>
  </si>
  <si>
    <t>https://drive.google.com/open?id=1669rNWr6xlsopUxP1SR54A4DJzs04OtZ; https://drive.google.com/open?id=1gMCxrVmZ6ccuy0abirnpzYoDJItReKDH</t>
  </si>
  <si>
    <t>https://www.facebook.com/profile.php?id=100025100658519&amp;mibextid=opq0tG</t>
  </si>
  <si>
    <t>Vương Thị Ngọc Ánh</t>
  </si>
  <si>
    <t>vươngthingocanh2005fc@gmail.com</t>
  </si>
  <si>
    <t>Tổ 9 nhân trạch - phú lương - hà đông - hà nội</t>
  </si>
  <si>
    <t>https://drive.google.com/open?id=1sxXVeVlXga4bCKxufSNentdigvDpQF6o; https://drive.google.com/open?id=1sNbsPeXRUluz1uGSxbsTBXBpKf99shS3</t>
  </si>
  <si>
    <t>https://www.facebook.com/profile.php?id=100059167544127</t>
  </si>
  <si>
    <t>Đỗ Diệu Linh</t>
  </si>
  <si>
    <t>ngõ 185 phố chùa láng</t>
  </si>
  <si>
    <t>25/02/2024 và 24/03/2024</t>
  </si>
  <si>
    <r>
      <rPr>
        <sz val="12"/>
        <rFont val="Times New Roman"/>
        <family val="1"/>
      </rPr>
      <t xml:space="preserve">https://drive.google.com/open?id=1wEyQXwcRaoQuev4R8iSUqSAXLaUDilns, https://drive.google.com/open?id=1RrKXt_d04bvgwDytG3vobYwYNny4NgvA; </t>
    </r>
    <r>
      <rPr>
        <u/>
        <sz val="12"/>
        <color rgb="FF1155CC"/>
        <rFont val="Times New Roman"/>
        <family val="1"/>
      </rPr>
      <t>https://drive.google.com/open?id=1riFMG4tPE0ANaFDgliKgvzUVnKMKDYiX</t>
    </r>
  </si>
  <si>
    <t>https://www.facebook.com/profile.php?id=100065465332377</t>
  </si>
  <si>
    <t>Đỗ Mạnh Hùng</t>
  </si>
  <si>
    <t>26/02/2024 và 24/03/2024</t>
  </si>
  <si>
    <t>https://drive.google.com/open?id=1RbnhSMxijtgUyWZzysnWHSb6JN3_5c18, https://drive.google.com/open?id=188LklXDS_lG5jitaToike4u3gcixEVWg; https://drive.google.com/open?id=10VAtBAhZde9y8iOgN5QBGS7yKLn4UwbQ</t>
  </si>
  <si>
    <t>https://www.facebook.com/100050375943846/</t>
  </si>
  <si>
    <t>Nguyễn Thị Hoài</t>
  </si>
  <si>
    <t xml:space="preserve"> hoai118824@gmail.com</t>
  </si>
  <si>
    <t>9A/7 Ngõ 39, Hồ Tùng Mậu, Từ Liêm, Hà Nội</t>
  </si>
  <si>
    <t>https://drive.google.com/open?id=1c_g-1O0cr6a9LqUR3Cqach2DIFLNvjzD; https://drive.google.com/open?id=1lnPBXTmK2XqUTvd6eDOMk8MPopDT094e</t>
  </si>
  <si>
    <t>https://www.facebook.com/profile.php?id=100041789941116&amp;mibextid=PtKPJ9</t>
  </si>
  <si>
    <t>Lã Quang Hiến</t>
  </si>
  <si>
    <t>https://drive.google.com/open?id=1nCr6gwVHe1b0ZOskK0mzabmfRUB_2i9s; https://drive.google.com/open?id=17_JBqN9pawLj1eRctAiLh1kVgQzd67x0</t>
  </si>
  <si>
    <t>https://drive.google.com/open?id=14dQlIXkuMbEqlb1A9ypF0ePAqVHx65t1</t>
  </si>
  <si>
    <t>https://www.facebook.com/bi.sin.1654</t>
  </si>
  <si>
    <r>
      <rPr>
        <sz val="12"/>
        <color theme="1"/>
        <rFont val="Times New Roman"/>
        <family val="1"/>
      </rPr>
      <t xml:space="preserve">Bisin </t>
    </r>
    <r>
      <rPr>
        <sz val="12"/>
        <color rgb="FFFF0000"/>
        <rFont val="Times New Roman"/>
        <family val="1"/>
      </rPr>
      <t>- nick Sin Robert</t>
    </r>
  </si>
  <si>
    <t xml:space="preserve">alroh, iapet, Đăk Đoa,Gia Lai
</t>
  </si>
  <si>
    <t>https://drive.google.com/open?id=1ZyIx9i0cRdS-Ga-IPg-vAkF_kTvix3iU</t>
  </si>
  <si>
    <t>https://www.facebook.com/profile.php?id=100026960076425&amp;mibextid=LQQJ4d</t>
  </si>
  <si>
    <t>Lê Minh Hoàng</t>
  </si>
  <si>
    <t>19/02/2024 và 21/03/2024</t>
  </si>
  <si>
    <t>https://drive.google.com/open?id=1zNpic_8JYcBm7PLks5l1_sSD1r9DQWaa, https://drive.google.com/open?id=1bvn1Hkzh0TB0oNOOgfYPO4mBnFT0FU48; https://drive.google.com/open?id=1ExmbNqsfZqiBZVlICPOH23Tc_rzzXZ3y</t>
  </si>
  <si>
    <t>https://www.facebook.com/profile.php?id=100015570667027&amp;mibextid=LQQJ4d</t>
  </si>
  <si>
    <t>Võ Thu Thuỷ</t>
  </si>
  <si>
    <t>Số 27 - Ngõ 70 - Ngọc Động - Đa Tốn - Gia Lâm - Hà Nội</t>
  </si>
  <si>
    <t>https://drive.google.com/open?id=1ubkvk7gDBIy5Pof5fYEbreTB7eXjn7hj</t>
  </si>
  <si>
    <t>https://www.facebook.com/pppppp.05</t>
  </si>
  <si>
    <t>Phạm Kim Phượng</t>
  </si>
  <si>
    <t>kimphuong10012005@gmail.com</t>
  </si>
  <si>
    <t xml:space="preserve"> 63a ngách 58/12 Nguyễn Khánh Toàn, Quan Hoa, Cầu Giấy</t>
  </si>
  <si>
    <t>28/02/2024 và 02/03/2024</t>
  </si>
  <si>
    <t>https://drive.google.com/open?id=1sdyhM1J3AVpMAU-IRj1zTPbX8iAMt62e, https://drive.google.com/open?id=1XHD16hxEssbqyZxeROff0dpQkDcbS4cA, https://drive.google.com/open?id=1-cVOQhLoYnSuQz0WYFTRfM6-1hYDcaz2</t>
  </si>
  <si>
    <t>https://www.facebook.com/profile.php?id=100036072453080</t>
  </si>
  <si>
    <r>
      <rPr>
        <sz val="12"/>
        <color theme="1"/>
        <rFont val="Times New Roman"/>
        <family val="1"/>
      </rPr>
      <t>Đào Thị Linh Chi</t>
    </r>
    <r>
      <rPr>
        <sz val="12"/>
        <color rgb="FFFF0000"/>
        <rFont val="Times New Roman"/>
        <family val="1"/>
      </rPr>
      <t xml:space="preserve"> - đã nộp 300K 06/07/2024
OT19 bảo lưu b18 đi quân sự, Học OT22</t>
    </r>
  </si>
  <si>
    <t>daolinhchi415@gmail.com</t>
  </si>
  <si>
    <t xml:space="preserve">8b ngách 66/43 ngõ 110 trần duy Hưng </t>
  </si>
  <si>
    <t>https://drive.google.com/open?id=1HDWDEmm3BEZEUHAdDQOJewpv6UvzbHaV, https://drive.google.com/open?id=1QnmM1i2PdfTyTzbme9zvpiMNyDCvvY1e, https://drive.google.com/open?id=1dpIdUhimYgGTZONMJK3DmW3M1vl7Z_fL</t>
  </si>
  <si>
    <t>https://www.facebook.com/profile.php?id=100029565101296</t>
  </si>
  <si>
    <t>Nguyễn Thị Thu Hằng</t>
  </si>
  <si>
    <t>hang48043@gmail.com</t>
  </si>
  <si>
    <t>Trường Đại học công nghiệp Hà Nội cs2, Tây Tựu, BTL</t>
  </si>
  <si>
    <t>https://drive.google.com/open?id=1-RL7CRXuidzSeCzQ8nV99OTwVCqAerbg</t>
  </si>
  <si>
    <t>https://www.facebook.com/profile.php?id=100013988956601</t>
  </si>
  <si>
    <t>Đỗ Kim Dung</t>
  </si>
  <si>
    <t>az2573150@gmail.com</t>
  </si>
  <si>
    <t>0985364593 Trương Hồng Quy - Đại học FPT, Thạch Hoà, Thạch Thất, Hà Nội</t>
  </si>
  <si>
    <t>https://drive.google.com/open?id=1P8Ea_x0o00i-_7G4mE94yeAbDy1vcYC7</t>
  </si>
  <si>
    <t>T207</t>
  </si>
  <si>
    <t>https://www.facebook.com/profile.php?id=100051692146426</t>
  </si>
  <si>
    <t>Tòa A2, 99 Nguyễn Chí Thanh, Láng Hạ, Đống Đa, Hà Nội</t>
  </si>
  <si>
    <t>https://drive.google.com/open?id=1Fxzgz-BzIRbrm9je9K-LIXBblJitw7tb</t>
  </si>
  <si>
    <t>Nhài ký hợp đồng và đưa sách tại VP</t>
  </si>
  <si>
    <t>https://www.facebook.com/le.dao.30</t>
  </si>
  <si>
    <t>Đào Nhật Lệ</t>
  </si>
  <si>
    <t>https://drive.google.com/open?id=11dRzsTqxYrx7oSkgVj19NMmQcgoN7NlK</t>
  </si>
  <si>
    <t>https://www.facebook.com/profile.php?id=100014998389791&amp;locale=vi_VN</t>
  </si>
  <si>
    <t>Nguyễn Vũ Minh</t>
  </si>
  <si>
    <t>nguyenvuminh37@gmail.com</t>
  </si>
  <si>
    <t>Số nhà 6 hẻm 80/101/5 đường Xuân Phương, Phường Phương Canh, Quận Nam Từ Liêm, Hà Nội</t>
  </si>
  <si>
    <t>https://drive.google.com/open?id=1rpDJtZiWI_uIAbJDwTDRm60gy_jn0Sep, https://drive.google.com/open?id=1jgWzyeKkMojB3VrZ3CdB5gfiGfOsxvUK</t>
  </si>
  <si>
    <t>https://www.facebook.com/profile.php?id=100011725952880</t>
  </si>
  <si>
    <t>Nguyễn Viết Cương</t>
  </si>
  <si>
    <t>cuong2k411@gmail.com</t>
  </si>
  <si>
    <t>https://drive.google.com/open?id=1jPfaslhmCJhev2KITs5JAT1QX5kIVAgH; https://drive.google.com/open?id=1YxHYMLrui_nnEdLnP9crqzCgykemLVER</t>
  </si>
  <si>
    <t>https://www.facebook.com/hngocxinhdep?mibextid=LQQJ4d</t>
  </si>
  <si>
    <t>https://drive.google.com/open?id=18A1T5q6vYei4TmUZ7iqr8NeGHbac2mrT, https://drive.google.com/open?id=1CBigHERMxYLozl7mExk0aoiCoI0cL7rS</t>
  </si>
  <si>
    <t>https://www.facebook.com/share/vgumdzJaND5zPaWH/?mibextid=dGKdO6</t>
  </si>
  <si>
    <t xml:space="preserve">Thảo Tâm  </t>
  </si>
  <si>
    <t xml:space="preserve">hoangthitam2002@gmail.com </t>
  </si>
  <si>
    <t>Quán bia phương nam thôn đông kim nỗ đông anh hà nội</t>
  </si>
  <si>
    <t>https://drive.google.com/open?id=1ilAUtx26OtHUqR0kmw8x10iW6h1DlaUF</t>
  </si>
  <si>
    <t>https://www.facebook.com/profile.php?id=100037460615955&amp;mibextid=LQQJ4d</t>
  </si>
  <si>
    <t xml:space="preserve">Nguyễn Tiến Đạt </t>
  </si>
  <si>
    <t xml:space="preserve"> https://www.facebook.com/profile.php?id=100037460615955&amp;mibextid=LQQJ4d</t>
  </si>
  <si>
    <t xml:space="preserve">Tại lớp </t>
  </si>
  <si>
    <t>https://drive.google.com/open?id=1B9txwRF0qOKwzzqJTGAOLm1tPhwAE75A</t>
  </si>
  <si>
    <t>https://www.facebook.com/duyen.nguyenthimy.16718?mibextid=LQQJ4d</t>
  </si>
  <si>
    <t xml:space="preserve">Nguyễn Thị Mỹ Duyên </t>
  </si>
  <si>
    <t xml:space="preserve">duyennguyen281024@gmail.com </t>
  </si>
  <si>
    <t>https://drive.google.com/open?id=1jQ_KaNr6P_468LTkJ8aDhWIrYmLxSNX2</t>
  </si>
  <si>
    <t>https://www.facebook.com/profile.php?id=100040114420336</t>
  </si>
  <si>
    <t>Khúc Tuấn Thành</t>
  </si>
  <si>
    <t>tuanthanh23022004@gmail.com</t>
  </si>
  <si>
    <t>Sn 17 ngách 58/23 phố trần bình hà nội</t>
  </si>
  <si>
    <t>https://drive.google.com/open?id=1e8w2fioGmNEnIeOESloknrE4DbrHStjT</t>
  </si>
  <si>
    <t>https://www.facebook.com/khaideptraiv?mibextid=ZbWKwL</t>
  </si>
  <si>
    <t>Chu Quang Khải</t>
  </si>
  <si>
    <t>0977280105</t>
  </si>
  <si>
    <t>https://drive.google.com/open?id=1Peo0qdlxUXJwtHlZuPclLf7kUgKAoDxR</t>
  </si>
  <si>
    <t>https://www.facebook.com/profile.php?id=100021873186776&amp;locale=vi_VN</t>
  </si>
  <si>
    <t xml:space="preserve">Đinh Trần Khánh Linh </t>
  </si>
  <si>
    <t>khanhlinh2652004@gmail.com</t>
  </si>
  <si>
    <t xml:space="preserve">15 ngách 39/75 Hồ Tùng Mậu, Mai Dịch, Cầu Giấy </t>
  </si>
  <si>
    <t>https://drive.google.com/open?id=1pjEK6QIoL1nHCS_WVdpApL7LkEicluh7</t>
  </si>
  <si>
    <r>
      <rPr>
        <sz val="12"/>
        <color theme="1"/>
        <rFont val="Times New Roman"/>
        <family val="1"/>
      </rPr>
      <t xml:space="preserve">Nguyễn Hồng Thuý </t>
    </r>
    <r>
      <rPr>
        <sz val="12"/>
        <color rgb="FFFF0000"/>
        <rFont val="Times New Roman"/>
        <family val="1"/>
      </rPr>
      <t>- Đã nộp 300K 13/05/2024
OT19 bảo lưu b12 đi quân sự. Học OT24 b7</t>
    </r>
  </si>
  <si>
    <t>https://drive.google.com/open?id=1q6iDNuhX1EUbF_oR1sEzitDUrKvf5E_L</t>
  </si>
  <si>
    <t>https://www.facebook.com/nvlinhbry2811</t>
  </si>
  <si>
    <t xml:space="preserve">Nguyễn Văn Linh </t>
  </si>
  <si>
    <t>nguyenvanlinhlechi@gmail. com</t>
  </si>
  <si>
    <t>Gia Lâm - Lệ Chi - Gia Lâm - Hà Nội</t>
  </si>
  <si>
    <t>https://drive.google.com/open?id=1PdaulM2rd7j-LvzZ0tK6ycrC6I1n6FhX</t>
  </si>
  <si>
    <t>https://www.facebook.com/ken.pham.52206</t>
  </si>
  <si>
    <r>
      <rPr>
        <sz val="12"/>
        <color theme="1"/>
        <rFont val="Times New Roman"/>
        <family val="1"/>
      </rPr>
      <t xml:space="preserve">Nguyễn Thị Lý  </t>
    </r>
    <r>
      <rPr>
        <sz val="12"/>
        <color rgb="FFFF0000"/>
        <rFont val="Times New Roman"/>
        <family val="1"/>
      </rPr>
      <t>- nick Lê Ly Lu</t>
    </r>
  </si>
  <si>
    <t xml:space="preserve">   nly189207@gmail.com</t>
  </si>
  <si>
    <t xml:space="preserve">Nhà bà Ba -Thôn Tuyền -Đông Xuân -Sóc Sơn -Hà Nội 
</t>
  </si>
  <si>
    <t>https://drive.google.com/open?id=18NnDJAb012h1d-EDcGQee0NV5VHnL1UD</t>
  </si>
  <si>
    <t>https://www.facebook.com/profile.php?id=100051755737603</t>
  </si>
  <si>
    <r>
      <rPr>
        <sz val="12"/>
        <color theme="1"/>
        <rFont val="Times New Roman"/>
        <family val="1"/>
      </rPr>
      <t xml:space="preserve">Trần Thị Thùy Linh </t>
    </r>
    <r>
      <rPr>
        <sz val="12"/>
        <color rgb="FFFF0000"/>
        <rFont val="Times New Roman"/>
        <family val="1"/>
      </rPr>
      <t>- nick Đây Linh</t>
    </r>
  </si>
  <si>
    <t>tranlinh542694@gmail.com</t>
  </si>
  <si>
    <t>ngõ 4, phố Kiều Mai, Phúc Diễn, Bắc Từ Liêm</t>
  </si>
  <si>
    <t>https://drive.google.com/open?id=1ckzgHUnFqnKl1tF8HmwY7kOrII6-HaH-</t>
  </si>
  <si>
    <t>https://www.facebook.com/maihuyen0101</t>
  </si>
  <si>
    <t xml:space="preserve">Mai Thị Thu Huyền </t>
  </si>
  <si>
    <t>thuhuyen1125@gmail.com</t>
  </si>
  <si>
    <t>Hiếu Thiện, Vũ Hội, Vũ Thư, Thái Bình</t>
  </si>
  <si>
    <t>https://drive.google.com/open?id=1k_LDoH7oWPCLtCg9FmRNlaD5uRrXFIFb</t>
  </si>
  <si>
    <t>https://www.facebook.com/profile.php?id=100079541132396</t>
  </si>
  <si>
    <r>
      <rPr>
        <sz val="12"/>
        <color theme="1"/>
        <rFont val="Times New Roman"/>
        <family val="1"/>
      </rPr>
      <t xml:space="preserve">Nguyễn Trung Hiếu </t>
    </r>
    <r>
      <rPr>
        <sz val="12"/>
        <color rgb="FFFF0000"/>
        <rFont val="Times New Roman"/>
        <family val="1"/>
      </rPr>
      <t>(Cần hợp đồng)</t>
    </r>
    <r>
      <rPr>
        <sz val="12"/>
        <color theme="1"/>
        <rFont val="Times New Roman"/>
        <family val="1"/>
      </rPr>
      <t xml:space="preserve"> </t>
    </r>
  </si>
  <si>
    <t xml:space="preserve"> hieutrungnguyen0507@gmail.com </t>
  </si>
  <si>
    <t>Trường PT Vùng Cao Việt Bắc Đường Z115 xã quyết thắng tp Thái Nguyên</t>
  </si>
  <si>
    <t>https://drive.google.com/open?id=1LT1DOpygab0u_2mTKl76U5EvbHkYbioj; https://drive.google.com/open?id=1Mmi0ckKqeifXz5TfDmRmKvl-MFy18cNO</t>
  </si>
  <si>
    <t xml:space="preserve"> tung021412@gmail.com</t>
  </si>
  <si>
    <t xml:space="preserve">số 45 ngõ 59/93 mễ trì
</t>
  </si>
  <si>
    <t>https://drive.google.com/open?id=1aAgv_Fm6NKRADd7xHMtZ4Lb3xeKNFaAj</t>
  </si>
  <si>
    <t>Tạm khóa</t>
  </si>
  <si>
    <t>Số nhà 22b ngách 53 ngõ 68 cầu giấy</t>
  </si>
  <si>
    <t>https://drive.google.com/open?id=1H_aophVqEhJEHoxH1lzDeQ6_OouMQ9lN</t>
  </si>
  <si>
    <t>https://www.facebook.com/profile.php?id=100079550400649</t>
  </si>
  <si>
    <t>Đinh Thị Mai</t>
  </si>
  <si>
    <t>Xóm 9, Giao Hương, Giao Thuỷ, Nam Định</t>
  </si>
  <si>
    <t>Đk 8/3 dc giảm</t>
  </si>
  <si>
    <t>https://drive.google.com/open?id=1BD7zL95x_dXS4JrM-l2XJyAIUYyiZ2xI</t>
  </si>
  <si>
    <t>Đức báo hạ Combo</t>
  </si>
  <si>
    <t>https://www.facebook.com/profile.php?id=100016924980098&amp;mibextid=PlNXYD</t>
  </si>
  <si>
    <r>
      <rPr>
        <sz val="12"/>
        <color theme="1"/>
        <rFont val="Times New Roman"/>
        <family val="1"/>
      </rPr>
      <t xml:space="preserve">Phạm Mỹ Lệ </t>
    </r>
    <r>
      <rPr>
        <sz val="12"/>
        <color rgb="FFFF0000"/>
        <rFont val="Times New Roman"/>
        <family val="1"/>
      </rPr>
      <t>- đã nộp 300K 09/08/2024</t>
    </r>
    <r>
      <rPr>
        <sz val="12"/>
        <color theme="1"/>
        <rFont val="Times New Roman"/>
        <family val="1"/>
      </rPr>
      <t xml:space="preserve">
</t>
    </r>
    <r>
      <rPr>
        <sz val="12"/>
        <color rgb="FFFF0000"/>
        <rFont val="Times New Roman"/>
        <family val="1"/>
      </rPr>
      <t>T204 bảo lưu b14 đi thực tập. Học T213 b14</t>
    </r>
  </si>
  <si>
    <t>Phammyle15@gmail.com</t>
  </si>
  <si>
    <t>Thôn Phù Ủng- xã Phù Ủng- huyện Ân Thi- tỉnh Hưng Yên</t>
  </si>
  <si>
    <t>https://drive.google.com/open?id=1R22uyDFplsarcU8BUqww23Av7LywiOCp; https://drive.google.com/open?id=1BYsmmBUjJ6Wkn8JRHhVGlsYkptwcAfLc</t>
  </si>
  <si>
    <t>https://www.facebook.com/connhohoNghieu?mibextid=PlNXYD</t>
  </si>
  <si>
    <r>
      <rPr>
        <sz val="12"/>
        <color theme="1"/>
        <rFont val="Times New Roman"/>
        <family val="1"/>
      </rPr>
      <t xml:space="preserve">Nguyễn Hồng Nhung </t>
    </r>
    <r>
      <rPr>
        <sz val="12"/>
        <color rgb="FFFF0000"/>
        <rFont val="Times New Roman"/>
        <family val="1"/>
      </rPr>
      <t>- đã nộp 300K 09/08/2024
T204 bảo lưu b14 đi thực tập. Học T213 b14</t>
    </r>
  </si>
  <si>
    <t>hongnhung773700@gmail.com</t>
  </si>
  <si>
    <t>x2 xã Mỹ Thành huyện Mỹ Lộc tỉnh Nam Định</t>
  </si>
  <si>
    <t>https://drive.google.com/open?id=1NIsdGajy4pbATLoSS4bAxCJTwx1YT9D1; https://drive.google.com/open?id=1Ob6lEaGNtBWG6pvYFSNsNgzZJ_zk_Loy</t>
  </si>
  <si>
    <t>https://www.facebook.com/100049276033676/</t>
  </si>
  <si>
    <t xml:space="preserve">Vũ Thị Diễm Hương </t>
  </si>
  <si>
    <t xml:space="preserve">Ng.Anh </t>
  </si>
  <si>
    <t>huongvu16072005@gmail.com</t>
  </si>
  <si>
    <t>Số 8 Ngõ 79 đường Cầu Giấy, Cầu Giấy, Hà Nội</t>
  </si>
  <si>
    <t>https://drive.google.com/open?id=1TVWG9PDSPQQzdzHKsnGlr6qNR_g92Jrt</t>
  </si>
  <si>
    <t>https://www.facebook.com/100049110434383/</t>
  </si>
  <si>
    <t>Trần Huyền Trang</t>
  </si>
  <si>
    <t>tranhuyentrang22052005@gmail.com</t>
  </si>
  <si>
    <t>https://drive.google.com/open?id=119EIrSz29ayLsjmo5bX9HDu49twGpCR-; https://drive.google.com/open?id=1R_XHoT_s5ghZN3BFlu6hb6XkeWgE9Cqr</t>
  </si>
  <si>
    <t>https://www.facebook.com/100014616018087/</t>
  </si>
  <si>
    <r>
      <rPr>
        <sz val="12"/>
        <color theme="1"/>
        <rFont val="Times New Roman"/>
        <family val="1"/>
      </rPr>
      <t xml:space="preserve">Lê Thị Thanh Hiền </t>
    </r>
    <r>
      <rPr>
        <sz val="12"/>
        <color rgb="FFFF0000"/>
        <rFont val="Times New Roman"/>
        <family val="1"/>
      </rPr>
      <t>- nick Nhím Nè
Đã chuyển nhượng S, W</t>
    </r>
  </si>
  <si>
    <t>lethithanhhien1209@gmail.com</t>
  </si>
  <si>
    <t xml:space="preserve"> Xóm ngoài liên phương, yên nhân, yên mô, Ninh Bình</t>
  </si>
  <si>
    <t>21/03/2024 và 30/03/2024</t>
  </si>
  <si>
    <t>https://drive.google.com/open?id=1pURLGvsq0YBvbbEhUCdKIJdUHCevQ0Mg; https://drive.google.com/open?id=1lzOmtHJHb9NfrVRpKf6ZzJZT4j4EZYnh; https://drive.google.com/open?id=1BbzQLt4JwpVJZZxTVl9yURE2v7mwjxuE</t>
  </si>
  <si>
    <t>https://www.facebook.com/profile.php?id=100053568683783</t>
  </si>
  <si>
    <t>Lê Hồng Loan</t>
  </si>
  <si>
    <t>lehongloanmx@gmail.com</t>
  </si>
  <si>
    <t>điểm thu tiền điện, ngã ba mỹ xuân, thị vãi, phú mỹ, bà rịa vũng tàu</t>
  </si>
  <si>
    <t>https://drive.google.com/open?id=1T4PCzEo8bDaEb0ilsWdjCCtlbSxE8zRP; https://drive.google.com/open?id=1cgfhGK2040YcBnN9R0AFB18J6rR6m33F</t>
  </si>
  <si>
    <t>Ko</t>
  </si>
  <si>
    <r>
      <rPr>
        <sz val="12"/>
        <color theme="1"/>
        <rFont val="Times New Roman"/>
        <family val="1"/>
      </rPr>
      <t xml:space="preserve">Nguyễn Quốc Việt </t>
    </r>
    <r>
      <rPr>
        <sz val="12"/>
        <color rgb="FFFF0000"/>
        <rFont val="Times New Roman"/>
        <family val="1"/>
      </rPr>
      <t>(Ck chung bill)</t>
    </r>
  </si>
  <si>
    <t>Ck chung bill</t>
  </si>
  <si>
    <r>
      <rPr>
        <sz val="12"/>
        <color theme="1"/>
        <rFont val="Times New Roman"/>
        <family val="1"/>
      </rPr>
      <t xml:space="preserve">Nguyễn Thị Minh Hiền </t>
    </r>
    <r>
      <rPr>
        <sz val="12"/>
        <color rgb="FFFF0000"/>
        <rFont val="Times New Roman"/>
        <family val="1"/>
      </rPr>
      <t>(Ck chung bill)</t>
    </r>
  </si>
  <si>
    <t>https://www.facebook.com/profile.php?id=100025512622295&amp;mibextid=ZbWKwL</t>
  </si>
  <si>
    <t>Nguyễn Thị Phương Anh</t>
  </si>
  <si>
    <t>https://drive.google.com/open?id=1J4ZJEcMvmf0TS3X3wPEIW7PsSM1evFPn; https://drive.google.com/open?id=1violSXNZsmKrpbpqozN_C5ix9eO3qHla</t>
  </si>
  <si>
    <t>Học OFF phát sách tại lớp</t>
  </si>
  <si>
    <t>https://drive.google.com/open?id=1rg1PLFIhmKv8JylA3WDDr7xYjyH175DQ</t>
  </si>
  <si>
    <t>-thaovy011123@gmail.com</t>
  </si>
  <si>
    <t>Trường đại học Kiểm sát Hà Nội, Dương Nội, Hà Đông, Hà Nội</t>
  </si>
  <si>
    <t>https://drive.google.com/open?id=1NRvVspllkTBJRuOkJW4a6Jg8OEiConVK</t>
  </si>
  <si>
    <t>https://www.facebook.com/profile.php?id=100048871915296</t>
  </si>
  <si>
    <t>Nguyễn Văn Đạt</t>
  </si>
  <si>
    <t>Phát tại lớp</t>
  </si>
  <si>
    <t>08/03 và 16/03/2024</t>
  </si>
  <si>
    <t>https://drive.google.com/open?id=1etY4ROEZmTirR_xWIHVjqqaVCEiWAcg7, https://drive.google.com/open?id=18TzvIrcjtIg1aiYusL-pDvVe28DAbPES; https://drive.google.com/open?id=1ot7NI3P3KGR1FRIleeLjBFksabH16i37</t>
  </si>
  <si>
    <r>
      <rPr>
        <sz val="12"/>
        <color theme="1"/>
        <rFont val="Times New Roman"/>
        <family val="1"/>
      </rPr>
      <t>Đỗ Thị Minh Hiếu</t>
    </r>
    <r>
      <rPr>
        <sz val="12"/>
        <color rgb="FFFF0000"/>
        <rFont val="Times New Roman"/>
        <family val="1"/>
      </rPr>
      <t xml:space="preserve"> (VIP85)</t>
    </r>
  </si>
  <si>
    <t>Số nhà 12, Ngách 111, Ngõ 68, Cầu Giấy, Hà Nội</t>
  </si>
  <si>
    <t>https://drive.google.com/open?id=1Bt4xVR7AqdMCqHg-FgxZxzZ3duQ2S9Te</t>
  </si>
  <si>
    <t>thừa 32k lớp PT sang</t>
  </si>
  <si>
    <t>https://drive.google.com/open?id=1xIamG0Y2KhCPc_q9Dl8yUNdS7TXvaH1Q</t>
  </si>
  <si>
    <t>Thừa 32K lớp PT chuyển sang</t>
  </si>
  <si>
    <t>https://www.facebook.com/nam.khuc.7792</t>
  </si>
  <si>
    <t>Khúc Hà Nam</t>
  </si>
  <si>
    <t>Khu dân cư xen ghép Mậu Lâm, đường Hà Nhậm Đại, phường Khai Quang, thành phố Vĩnh Yên, tỉnh Vĩnh Phúc.</t>
  </si>
  <si>
    <t>https://drive.google.com/open?id=1HkY6iRCHPtpuYTEUt0NsDVXkV_rXD7Rc</t>
  </si>
  <si>
    <t>C181</t>
  </si>
  <si>
    <t>VIP84 nghỉ từ b22</t>
  </si>
  <si>
    <t>https://www.facebook.com/profile.php?id=100026819957669</t>
  </si>
  <si>
    <t>Phạm Huệ - Chị ơi bạn Huệ Vip84 đi quân sự nghỉ từ buổi 22, em đã cho test cuối khoá và đạt chị nhé. Ngân Huỳnh báo</t>
  </si>
  <si>
    <t>phamhue14cvp@gmail.com</t>
  </si>
  <si>
    <t>Số 64 ngõ 66 Hồ Tùng Mậu, Cầu Giấy, Hà Nội</t>
  </si>
  <si>
    <t>https://drive.google.com/open?id=130H5C6urx4ok8dVY4Apc46fydgOsMj1U</t>
  </si>
  <si>
    <t>https://www.facebook.com/phong.nguyentrung.798</t>
  </si>
  <si>
    <t>Nguyễn Trung Phong</t>
  </si>
  <si>
    <t>số 4 ngách 44 ngõ 460 Khương Đình, Thanh Xuân, Hà Nội</t>
  </si>
  <si>
    <t>https://drive.google.com/open?id=1sX_wN9Ah5aGv4FTOmkSK8vYXbRZcESqT</t>
  </si>
  <si>
    <t>OT21</t>
  </si>
  <si>
    <t>xuân phương - nam từ liêm</t>
  </si>
  <si>
    <t>https://drive.google.com/open?id=1KSXcqRz-RcMXDydI0prYvmFkkm5LvWtR</t>
  </si>
  <si>
    <t>Chưa học xong lv pre</t>
  </si>
  <si>
    <t>https://www.facebook.com/profile.php?id=100052899632503</t>
  </si>
  <si>
    <t>Lê Diễm Quỳnh</t>
  </si>
  <si>
    <t>bequynh0812@gmail.com</t>
  </si>
  <si>
    <t>Số 7 ngõ 73, Tân Nhuệ ,Đông Ngạc, Thụy Phương, Bắc Từ Liêm, Ha Noi</t>
  </si>
  <si>
    <t>https://drive.google.com/open?id=1h2RTNSjqpNz3dAyY7pazkMzHkEqP-IcY</t>
  </si>
  <si>
    <t>Mất goc</t>
  </si>
  <si>
    <t>https://www.facebook.com/profile.php?id=100085530074169&amp;mibextid=ibOpuV</t>
  </si>
  <si>
    <t>Lê Hoàng Hà</t>
  </si>
  <si>
    <t>hha452005@gmail.com</t>
  </si>
  <si>
    <t>https://drive.google.com/open?id=1tTPy4jrEBzX3lDJfNbh5YkF0LH-nhdjo</t>
  </si>
  <si>
    <t>https://www.facebook.com/profile.php?id=100075766762403&amp;mibextid=ibOpuV</t>
  </si>
  <si>
    <t>nguyenminhd660@gmail.com</t>
  </si>
  <si>
    <t>https://drive.google.com/open?id=1GROaG86s8yP323xLKRNLaVOs0S_on5at</t>
  </si>
  <si>
    <t>https://www.facebook.com/100051994800082/</t>
  </si>
  <si>
    <t xml:space="preserve">Nguyễn Quốc Đạt </t>
  </si>
  <si>
    <t>datquoc2610@gmail.com</t>
  </si>
  <si>
    <t>https://drive.google.com/open?id=12xvWi2oRs3yA4KJXAyQ9DVPM2YxXio0G</t>
  </si>
  <si>
    <t>https://www.facebook.com/100058530712335/</t>
  </si>
  <si>
    <t>Lê Anh Đức</t>
  </si>
  <si>
    <t>cybthemeo@gmail.com</t>
  </si>
  <si>
    <t>https://drive.google.com/open?id=1tqbVMG9avdVJXHvCeeOOioQQI7QzqniR</t>
  </si>
  <si>
    <t>https://www.facebook.com/profile.php?id=100038028320905&amp;mibextid=LQQJ4d</t>
  </si>
  <si>
    <t>Nguyễn Thị Hiền</t>
  </si>
  <si>
    <t>nguyenthihien24092003@gmail.com</t>
  </si>
  <si>
    <t>Nhà trọ Hoa Sơn, xóm Núi, khu Bồ Sơn, phường Võ Cường, Bắc Ninh</t>
  </si>
  <si>
    <t>https://drive.google.com/open?id=1awXynJrF-h5jKyuitbC6gFjhgOKfdA5l, https://drive.google.com/open?id=1V1mU0vynrykC8Yl_rwaB4gQoZ-xEqOhz</t>
  </si>
  <si>
    <t>42/50 nghe + 19/50 đọc</t>
  </si>
  <si>
    <t>https://www.facebook.com/pess.trang.77</t>
  </si>
  <si>
    <t>Mai Thu Huyền 0916946860</t>
  </si>
  <si>
    <t>maihuyenyb9916@gmail.com</t>
  </si>
  <si>
    <t xml:space="preserve"> Số 4, Ngõ 23,Phố Nhật Tảo,P.Đông Ngạc,Quận Bắc Từ Liêm</t>
  </si>
  <si>
    <t>https://drive.google.com/open?id=1n2WOVviSHSbu1VOMnuMotQkK2IfO_pOU</t>
  </si>
  <si>
    <t xml:space="preserve">Đào Ngọc Lợi </t>
  </si>
  <si>
    <t>Chung cư new city -Kim Chung - Hoài Đức - Hà Nội</t>
  </si>
  <si>
    <t>Hoàn 100k KHTT</t>
  </si>
  <si>
    <t>https://drive.google.com/open?id=1RMGjvb6dxifkoA7QKKmZPcBRpyf6yDK2</t>
  </si>
  <si>
    <t>đã qua PT</t>
  </si>
  <si>
    <t>https://drive.google.com/open?id=1JiArNjjdnhLA1s6t6vT3QXVP5FfwQ3w5</t>
  </si>
  <si>
    <t>https://www.facebook.com/WhyRU.0</t>
  </si>
  <si>
    <t xml:space="preserve">Ngọ Thị Thanh Tâm </t>
  </si>
  <si>
    <t>Thanhtamm077@gmail.com</t>
  </si>
  <si>
    <t>57, Ngõ 124, Vĩnh Tuy, Hai Bà Trưng, Hà Nội</t>
  </si>
  <si>
    <t>https://drive.google.com/open?id=1AA2gRu22xZ0qKDRi79HdyLm3tCJlJ05N</t>
  </si>
  <si>
    <t>T206</t>
  </si>
  <si>
    <t>https://www.facebook.com/profile.php?id=100016075486300</t>
  </si>
  <si>
    <t xml:space="preserve"> Long Thị Ngọc Lê</t>
  </si>
  <si>
    <t xml:space="preserve"> longthingocle2004@icloud.com</t>
  </si>
  <si>
    <t xml:space="preserve">50/2/135, Dương Quảng Hàm, Phường 5, Gò Vấp, Hồ Chí Minh </t>
  </si>
  <si>
    <t>https://drive.google.com/open?id=16O5v8eNH-9E_fFngM_Z_3e7hDYbvOz6G</t>
  </si>
  <si>
    <t>https://www.facebook.com/minh.panda.12</t>
  </si>
  <si>
    <t xml:space="preserve">Phạm Lê Minh </t>
  </si>
  <si>
    <t xml:space="preserve">24 ngõ 2A đường Cầu Vồng - P Đức Thắng - Bắc Từ Liêm - Hà Nội </t>
  </si>
  <si>
    <t>https://drive.google.com/open?id=141Sr3JyIvYNty3aBPQ81JZtrDlxpncBX</t>
  </si>
  <si>
    <t>Điền lên T03.2024</t>
  </si>
  <si>
    <t>https://drive.google.com/open?id=190jZDvABUv0rQZ-b0m45qPYJwLnJXIPj</t>
  </si>
  <si>
    <t>https://www.facebook.com/100069984714656/</t>
  </si>
  <si>
    <t>12 ngách 26/38 đường Cầu Diễn phường Phú Diễn quận Bắc Từ Liêm Hà Nội ạ</t>
  </si>
  <si>
    <t>https://drive.google.com/open?id=1Q-P0zo1sSO1-RBWwK-N1HQuq-p6ej1aD</t>
  </si>
  <si>
    <t xml:space="preserve">1968k (đóng thêm tiền học khóa Lv1 toeic) </t>
  </si>
  <si>
    <r>
      <rPr>
        <sz val="12"/>
        <color theme="1"/>
        <rFont val="Times New Roman"/>
        <family val="1"/>
      </rPr>
      <t>Lý Thị Ngọc Ánh</t>
    </r>
    <r>
      <rPr>
        <sz val="12"/>
        <color rgb="FFFF0000"/>
        <rFont val="Times New Roman"/>
        <family val="1"/>
      </rPr>
      <t xml:space="preserve"> (đã học OT12)</t>
    </r>
  </si>
  <si>
    <t>https://drive.google.com/open?id=1sXSr2dAP_SQQLdLHsaeJRcbU_kxpzVWd</t>
  </si>
  <si>
    <t>Học lại nộp 50% học phí</t>
  </si>
  <si>
    <r>
      <rPr>
        <sz val="12"/>
        <color theme="1"/>
        <rFont val="Times New Roman"/>
        <family val="1"/>
      </rPr>
      <t xml:space="preserve">Nguyễn Tiến Thuận </t>
    </r>
    <r>
      <rPr>
        <sz val="12"/>
        <color rgb="FFFF0000"/>
        <rFont val="Times New Roman"/>
        <family val="1"/>
      </rPr>
      <t>(đã học OT12)</t>
    </r>
  </si>
  <si>
    <t>https://drive.google.com/open?id=1WSGWqKQUrrVM3pXClf505fbxJQdOa0We</t>
  </si>
  <si>
    <t>số 2 ngách 4 ngõ 48 Nguyễn Khánh Toàn, Cầu Giấy, Hà Nội</t>
  </si>
  <si>
    <t>Vũ Thị Ngọc Linh</t>
  </si>
  <si>
    <t>Nhà 8 hẻm 354/99/7 đường Trường Chinh, Khương Thượng, Đống Đa, Hà Nội</t>
  </si>
  <si>
    <t>Trần Thị Thu Hoài</t>
  </si>
  <si>
    <t>ngã tư đường đôi Lê hoàn, Trung Lập 1, Xuân Lập, Thọ Xuân, Thanh Hóa</t>
  </si>
  <si>
    <t>VIP88</t>
  </si>
  <si>
    <t>Lê Thị Thanh Thuý</t>
  </si>
  <si>
    <t>Thôn 10, xã Ngọc Lĩnh, thị xã Nghi Sơn, tỉnh Thanh Hoá</t>
  </si>
  <si>
    <r>
      <rPr>
        <sz val="12"/>
        <color theme="1"/>
        <rFont val="Times New Roman"/>
        <family val="1"/>
      </rPr>
      <t>Đinh Trà My</t>
    </r>
    <r>
      <rPr>
        <sz val="12"/>
        <color rgb="FFFF0000"/>
        <rFont val="Times New Roman"/>
        <family val="1"/>
      </rPr>
      <t xml:space="preserve"> - Đã nộp 300K 05/07/2024
VIP88 bảo lưu b5 đi quân sự. Học VIP97 b1</t>
    </r>
  </si>
  <si>
    <t>418 Đê La Thành, Đống Đa, Hà Nội (Đại học Văn hóa Hà Nội</t>
  </si>
  <si>
    <t>94 sông Nhuệ, Bắc Từ Liêm Hà Nội ( Học viện Tài Chính)</t>
  </si>
  <si>
    <t>Lò Thị Diệu Linh 0348719078 sđt nhận sách</t>
  </si>
  <si>
    <t>ngõ 1 ngách 49 phố Văn Hội, P. Đức Thắng, Q. Bắc Từ Liêm, Hà Nội</t>
  </si>
  <si>
    <t>số 134- ngõ 218-phố chợ khâm thiên, trung phụng, đống đa, Hà Nội</t>
  </si>
  <si>
    <t>chợ Đường Cái, xã Trưng Trắc, huyện Văn Lâm, Hưng Yên</t>
  </si>
  <si>
    <t>Nhài chat hỏi</t>
  </si>
  <si>
    <r>
      <rPr>
        <sz val="12"/>
        <color theme="1"/>
        <rFont val="Times New Roman"/>
        <family val="1"/>
      </rPr>
      <t xml:space="preserve">Đoàn Thị Hương Lan </t>
    </r>
    <r>
      <rPr>
        <sz val="12"/>
        <color rgb="FFFF0000"/>
        <rFont val="Times New Roman"/>
        <family val="1"/>
      </rPr>
      <t>-nick Lan Rumi</t>
    </r>
  </si>
  <si>
    <t>Đình làng Vân Động - Xã Vũ Lạc - Tp Thái Bình - Tỉnh Thái Bình</t>
  </si>
  <si>
    <r>
      <rPr>
        <sz val="12"/>
        <color theme="1"/>
        <rFont val="Times New Roman"/>
        <family val="1"/>
      </rPr>
      <t xml:space="preserve">Nguyễn Mai Phượng </t>
    </r>
    <r>
      <rPr>
        <sz val="12"/>
        <color rgb="FFFF0000"/>
        <rFont val="Times New Roman"/>
        <family val="1"/>
      </rPr>
      <t>(VIP89)</t>
    </r>
  </si>
  <si>
    <t>ngách 1/49 phố văn hội phường Đức Thắng quận Bắc Từ Liêm Hà Nội</t>
  </si>
  <si>
    <t>Nguyễn Minh Hiếu</t>
  </si>
  <si>
    <t xml:space="preserve">Số 02 ngách 80 ngõ 82 Yên Lãng phường Láng Hạ quận Đống Đa Hà Nội </t>
  </si>
  <si>
    <t>VIP89 xin bảo lưu b3</t>
  </si>
  <si>
    <t>số nhà 38 tổ 4, khu đồng vai, thị trấn xuân mai, chương mỹ , hà nội</t>
  </si>
  <si>
    <r>
      <rPr>
        <sz val="12"/>
        <color theme="1"/>
        <rFont val="Times New Roman"/>
        <family val="1"/>
      </rPr>
      <t>Bùi Thúy Hiền</t>
    </r>
    <r>
      <rPr>
        <sz val="12"/>
        <color rgb="FFFF0000"/>
        <rFont val="Times New Roman"/>
        <family val="1"/>
      </rPr>
      <t xml:space="preserve"> - đã nộp 300K</t>
    </r>
    <r>
      <rPr>
        <sz val="12"/>
        <color theme="1"/>
        <rFont val="Times New Roman"/>
        <family val="1"/>
      </rPr>
      <t xml:space="preserve">
</t>
    </r>
    <r>
      <rPr>
        <sz val="12"/>
        <color rgb="FFFF0000"/>
        <rFont val="Times New Roman"/>
        <family val="1"/>
      </rPr>
      <t>VIP89 bảo lưu b8 đi quân sự. Học VIP106 b1</t>
    </r>
  </si>
  <si>
    <t>Số 45c ngõ 75 đường Hồ Tùng Mậu  phường Mai Dịch quận Cầu Giấy, Hà Nội</t>
  </si>
  <si>
    <t>Combo GT Lv3+ Toeic Lv(1+2)</t>
  </si>
  <si>
    <t>https://www.facebook.com/bien.bot.7547031</t>
  </si>
  <si>
    <r>
      <rPr>
        <sz val="12"/>
        <color theme="1"/>
        <rFont val="Times New Roman"/>
        <family val="1"/>
      </rPr>
      <t xml:space="preserve">Nguyễn Kim Chi </t>
    </r>
    <r>
      <rPr>
        <sz val="12"/>
        <color rgb="FFFF0000"/>
        <rFont val="Times New Roman"/>
        <family val="1"/>
      </rPr>
      <t>- P126, GR15</t>
    </r>
  </si>
  <si>
    <t>Tuệ Nga chat</t>
  </si>
  <si>
    <t>kimchi25102004@gmail.com</t>
  </si>
  <si>
    <t>Số 11, ngách 25/2, đường Phú Minh B, Minh Khai, Bắc Từ Liêm, Hà Nội</t>
  </si>
  <si>
    <t>https://drive.google.com/open?id=12z62GbTprbaTBMX2MBx-5zstLqxjPV69, https://drive.google.com/open?id=1ZZWvkU-39XP42w3WVMYw5w9D8J5I2ACB</t>
  </si>
  <si>
    <r>
      <rPr>
        <sz val="12"/>
        <color theme="1"/>
        <rFont val="Times New Roman"/>
        <family val="1"/>
      </rPr>
      <t>Nguyễn Thi Oanh</t>
    </r>
    <r>
      <rPr>
        <sz val="12"/>
        <color rgb="FFFF0000"/>
        <rFont val="Times New Roman"/>
        <family val="1"/>
      </rPr>
      <t xml:space="preserve"> - Đã nộp 300K 24/04/2024
OPT16 tự nghỉ b8. Quay lại PT74 b1</t>
    </r>
  </si>
  <si>
    <t>T207 bảo lưu b8 việc gia đình</t>
  </si>
  <si>
    <t>Trần Thị Loan</t>
  </si>
  <si>
    <t>64, Thuỵ Lôi, Thuỵ Lâm, Đông Anh, Hà Nội</t>
  </si>
  <si>
    <t>18 ngõ 35 Văn Hội , phường Đức Thắng , quận Bắc Từ Liêm , Hà Nội</t>
  </si>
  <si>
    <t>B660</t>
  </si>
  <si>
    <t>https://www.facebook.com/100011697546738/</t>
  </si>
  <si>
    <t>Nguyễn Phương Anh</t>
  </si>
  <si>
    <t xml:space="preserve"> 145 sông Nhuệ, phường Đức Thắng, Bắc Từ Liêm, Hà Nội</t>
  </si>
  <si>
    <t>08/02/2023
01/03/2023</t>
  </si>
  <si>
    <t>https://drive.google.com/open?id=1vzqRbJ9gTOFsjGwvBq9EOtNI4PR6w0qP, https://drive.google.com/open?id=1rg3da7ClL-6TB72VlNR7y9KPNkOtoL-j</t>
  </si>
  <si>
    <t>0587006178</t>
  </si>
  <si>
    <t>VIP90 bảo lưu buổi 7</t>
  </si>
  <si>
    <t>28A ngách 90 ngõ 1194 đường láng, Láng Thượng, Đống Đa, Hà Nội</t>
  </si>
  <si>
    <r>
      <rPr>
        <sz val="12"/>
        <color theme="1"/>
        <rFont val="Times New Roman"/>
        <family val="1"/>
      </rPr>
      <t xml:space="preserve">Nguyễn Thị Thảo </t>
    </r>
    <r>
      <rPr>
        <sz val="12"/>
        <color rgb="FFFF0000"/>
        <rFont val="Times New Roman"/>
        <family val="1"/>
      </rPr>
      <t>- VIP90</t>
    </r>
  </si>
  <si>
    <r>
      <rPr>
        <sz val="12"/>
        <color theme="1"/>
        <rFont val="Times New Roman"/>
        <family val="1"/>
      </rPr>
      <t xml:space="preserve">Nguyễn Hoàng Tùng </t>
    </r>
    <r>
      <rPr>
        <sz val="12"/>
        <color rgb="FFFF0000"/>
        <rFont val="Times New Roman"/>
        <family val="1"/>
      </rPr>
      <t>- Học lại miễn phí</t>
    </r>
  </si>
  <si>
    <t>VIP90 bảo lưu b10 bận ôn thi</t>
  </si>
  <si>
    <t xml:space="preserve">Quán tạp hoá chị Hoa ngõ 68 phố nhổn </t>
  </si>
  <si>
    <r>
      <rPr>
        <sz val="12"/>
        <color theme="1"/>
        <rFont val="Times New Roman"/>
        <family val="1"/>
      </rPr>
      <t xml:space="preserve">Phạm Toàn Đô </t>
    </r>
    <r>
      <rPr>
        <sz val="12"/>
        <color rgb="FFFF0000"/>
        <rFont val="Times New Roman"/>
        <family val="1"/>
      </rPr>
      <t>- Đã nộp 300K 25/03/24
T174 đi quân sự bảo lưu b15. Quay lại học T202 b12</t>
    </r>
  </si>
  <si>
    <t>VIP91 bảo lưu b12</t>
  </si>
  <si>
    <t>Dương Thị Trinh</t>
  </si>
  <si>
    <t>36 Đào Nguyên a, Trâu Quỳ, Gia Lâm, Hà Nội</t>
  </si>
  <si>
    <t>17A Nguyễn Hữu Dật, Tây Thạnh, Tân Phú, TPHCM</t>
  </si>
  <si>
    <t>https://www.facebook.com/profile.php?id=100009610839948&amp;mibextid=LQQJ4d</t>
  </si>
  <si>
    <t xml:space="preserve">Lê Phương </t>
  </si>
  <si>
    <t xml:space="preserve">94 Bạch Đằng, Chương Dương, Hoàn Kiếm, Hà Nội </t>
  </si>
  <si>
    <t>https://drive.google.com/open?id=1dJbKX1UTuSQ4imBn_bGsDPOvxhdZqs7U; https://drive.google.com/open?id=1YdrT4w8qT6MnpQQ7GxvNiDgPuYafhDO_</t>
  </si>
  <si>
    <r>
      <rPr>
        <sz val="12"/>
        <color theme="1"/>
        <rFont val="Times New Roman"/>
        <family val="1"/>
      </rPr>
      <t xml:space="preserve">Nguyễn Hồ Khánh Linh </t>
    </r>
    <r>
      <rPr>
        <sz val="12"/>
        <color rgb="FFFF0000"/>
        <rFont val="Times New Roman"/>
        <family val="1"/>
      </rPr>
      <t>- VIP91</t>
    </r>
  </si>
  <si>
    <r>
      <rPr>
        <sz val="12"/>
        <color theme="1"/>
        <rFont val="Times New Roman"/>
        <family val="1"/>
      </rPr>
      <t>Trần Mỹ Tâm</t>
    </r>
    <r>
      <rPr>
        <sz val="12"/>
        <color rgb="FFFF0000"/>
        <rFont val="Times New Roman"/>
        <family val="1"/>
      </rPr>
      <t xml:space="preserve"> - đổi E3 =&gt;VIP</t>
    </r>
  </si>
  <si>
    <t>54/28Nguyên Tử Lực, phường 8, thành phố Đà Lạt, Lâm Đồng</t>
  </si>
  <si>
    <t>https://drive.google.com/open?id=14vsOe1W1-HoUJ4NlPHlBCODW7RGu25WJ</t>
  </si>
  <si>
    <r>
      <rPr>
        <sz val="12"/>
        <color theme="1"/>
        <rFont val="Times New Roman"/>
        <family val="1"/>
      </rPr>
      <t xml:space="preserve">Phùng Thanh Phương </t>
    </r>
    <r>
      <rPr>
        <sz val="12"/>
        <color rgb="FFFF0000"/>
        <rFont val="Times New Roman"/>
        <family val="1"/>
      </rPr>
      <t>- VIP91</t>
    </r>
  </si>
  <si>
    <t>Số nhà 12, ngách 26/38 đường Cầu Diễn, Phú Diễn, Bắc Từ Liêm, Hà Nội</t>
  </si>
  <si>
    <t>Nhài đưa tay ở ĐH TNMT Hà Nội</t>
  </si>
  <si>
    <r>
      <rPr>
        <sz val="12"/>
        <color theme="1"/>
        <rFont val="Times New Roman"/>
        <family val="1"/>
      </rPr>
      <t>Nguyễn Bảo Yến</t>
    </r>
    <r>
      <rPr>
        <sz val="12"/>
        <color rgb="FFFF0000"/>
        <rFont val="Times New Roman"/>
        <family val="1"/>
      </rPr>
      <t xml:space="preserve"> - VIP91
Chuyển nhượng S cho em trai học PT Nguyễn Lâm Hùng 0393152217</t>
    </r>
  </si>
  <si>
    <t>16B, Ngõ 171 Đường Nguyễn Ngọc Vũ, Trung Hoà, Cầu Giấy, Hà Nội</t>
  </si>
  <si>
    <t>R2A Royal City, Thanh Xuân, Hà Nội</t>
  </si>
  <si>
    <t>Bản liên hà 5- Bảo Hà - Bảo Yên- Lào Cai</t>
  </si>
  <si>
    <r>
      <rPr>
        <sz val="12"/>
        <color theme="1"/>
        <rFont val="Times New Roman"/>
        <family val="1"/>
      </rPr>
      <t>Hoàng Ngọc Linh</t>
    </r>
    <r>
      <rPr>
        <sz val="12"/>
        <color rgb="FFFF0000"/>
        <rFont val="Times New Roman"/>
        <family val="1"/>
      </rPr>
      <t xml:space="preserve"> - đã nộp 300K 07/07/24
OVIP10 bảo lưu b14. Học VIP90 b14</t>
    </r>
  </si>
  <si>
    <t>số nhà 23 ngách 165/2 Dương Quảng Hàm Cầu Giấy, Hà Nội</t>
  </si>
  <si>
    <t>số nhà 146 đường Hoàng Mai Hà Nội</t>
  </si>
  <si>
    <t>OVIP10 nghỉ ngang b15</t>
  </si>
  <si>
    <t>https://www.facebook.com/100057055399735/</t>
  </si>
  <si>
    <r>
      <rPr>
        <sz val="12"/>
        <color theme="1"/>
        <rFont val="Times New Roman"/>
        <family val="1"/>
      </rPr>
      <t xml:space="preserve">Vũ Thị Thúy Duyên </t>
    </r>
    <r>
      <rPr>
        <sz val="12"/>
        <color rgb="FFFF0000"/>
        <rFont val="Times New Roman"/>
        <family val="1"/>
      </rPr>
      <t>- P126, GR15</t>
    </r>
  </si>
  <si>
    <t>thuyduyen695@gmail.com</t>
  </si>
  <si>
    <t>số nhà 8 ngõ 36 đường Hồ Tùng Mậu, Cầu Giấy, Hà Nội</t>
  </si>
  <si>
    <t>https://drive.google.com/open?id=1crf0k3QdYtXa2zu66mJLAPzLGOuYVB3l; https://drive.google.com/open?id=1bJb6iTxK_c_89YXwYSx5xtU-Tqw-3KNt</t>
  </si>
  <si>
    <r>
      <rPr>
        <sz val="12"/>
        <color theme="1"/>
        <rFont val="Times New Roman"/>
        <family val="1"/>
      </rPr>
      <t>Nguyễn Thị Huyền</t>
    </r>
    <r>
      <rPr>
        <sz val="12"/>
        <color rgb="FFFF0000"/>
        <rFont val="Times New Roman"/>
        <family val="1"/>
      </rPr>
      <t xml:space="preserve"> - P126, GR15</t>
    </r>
  </si>
  <si>
    <t>ngõ 9 Lê Đức Thọ</t>
  </si>
  <si>
    <t>OVIP10 bảo lưu b24 do chưa sẵn sàng thi cuối khóa</t>
  </si>
  <si>
    <r>
      <rPr>
        <sz val="12"/>
        <color theme="1"/>
        <rFont val="Times New Roman"/>
        <family val="1"/>
      </rPr>
      <t xml:space="preserve">Đào Thị Minh An </t>
    </r>
    <r>
      <rPr>
        <sz val="12"/>
        <color rgb="FFFF0000"/>
        <rFont val="Times New Roman"/>
        <family val="1"/>
      </rPr>
      <t>- nick Minhh An</t>
    </r>
  </si>
  <si>
    <t>kí túc xá Học Viện Ngân Hàng</t>
  </si>
  <si>
    <r>
      <rPr>
        <sz val="12"/>
        <color theme="1"/>
        <rFont val="Times New Roman"/>
        <family val="1"/>
      </rPr>
      <t xml:space="preserve">Nguyễn Trần Nam Phương </t>
    </r>
    <r>
      <rPr>
        <sz val="12"/>
        <color rgb="FFFF0000"/>
        <rFont val="Times New Roman"/>
        <family val="1"/>
      </rPr>
      <t>OVIP10 học 17 buôi
Sang VIP91 miễn phí</t>
    </r>
  </si>
  <si>
    <t>số nhà 7B, 337 Phạm Văn Đồng, Bắc Từ Liêm, Hà Nội</t>
  </si>
  <si>
    <t>OVIP11</t>
  </si>
  <si>
    <r>
      <rPr>
        <sz val="12"/>
        <color theme="1"/>
        <rFont val="Times New Roman"/>
        <family val="1"/>
      </rPr>
      <t>Hoàng Thị Thùy</t>
    </r>
    <r>
      <rPr>
        <sz val="12"/>
        <color rgb="FFFF0000"/>
        <rFont val="Times New Roman"/>
        <family val="1"/>
      </rPr>
      <t xml:space="preserve"> (OT6, T194) - đã nộp 800K bảo lưu, học lại
OVIP10 bảo lưu b14. Học OVIP11 b4</t>
    </r>
  </si>
  <si>
    <t>số nhà 14, ngõ 106 đường Cầu Giấy, phường Quan Hoa, Cầu Giấy, Hà Nội</t>
  </si>
  <si>
    <t>OT6, T194</t>
  </si>
  <si>
    <r>
      <rPr>
        <sz val="12"/>
        <color theme="1"/>
        <rFont val="Times New Roman"/>
        <family val="1"/>
      </rPr>
      <t xml:space="preserve">Phùng Khánh Duy </t>
    </r>
    <r>
      <rPr>
        <sz val="12"/>
        <color rgb="FFFF0000"/>
        <rFont val="Times New Roman"/>
        <family val="1"/>
      </rPr>
      <t>- Đã nộp 300K 13/08/2024
OVIP10 bảo lưu b17. Học OVIP11 b7</t>
    </r>
  </si>
  <si>
    <t>47a Ngõ 110 Nam Dư, Lĩnh Nam - quận Hoàng Mai, Hà Nội</t>
  </si>
  <si>
    <t>Cổng Chính Trường Đại Học Công Nghiệp Hà Nội Cơ Sở Hà Nam, Ngô Gia Tự, Phường Lê Hồng Phong, Thành Phố Phủ Lý, Hà Nam</t>
  </si>
  <si>
    <r>
      <rPr>
        <sz val="12"/>
        <color theme="1"/>
        <rFont val="Times New Roman"/>
        <family val="1"/>
      </rPr>
      <t xml:space="preserve">Nguyễn Thị Thu Hà </t>
    </r>
    <r>
      <rPr>
        <sz val="12"/>
        <color rgb="FFFF0000"/>
        <rFont val="Times New Roman"/>
        <family val="1"/>
      </rPr>
      <t>- Cần hợp đồng</t>
    </r>
  </si>
  <si>
    <t xml:space="preserve">53 Dương Văn Bé, Vĩnh Tuy. Hai Bà Trưng, Hà Nội
</t>
  </si>
  <si>
    <r>
      <rPr>
        <sz val="12"/>
        <color theme="1"/>
        <rFont val="Times New Roman"/>
        <family val="1"/>
      </rPr>
      <t>Nguyễn Thị Hồng Ngọc</t>
    </r>
    <r>
      <rPr>
        <sz val="12"/>
        <color rgb="FFFF0000"/>
        <rFont val="Times New Roman"/>
        <family val="1"/>
      </rPr>
      <t xml:space="preserve"> - Đã nộp 300K 06/07/2024
OVIP10 bảo lưu b8 đi quân sự. Học OVIP11 b1</t>
    </r>
  </si>
  <si>
    <r>
      <rPr>
        <sz val="12"/>
        <color theme="1"/>
        <rFont val="Times New Roman"/>
        <family val="1"/>
      </rPr>
      <t>Lại Cao Phong</t>
    </r>
    <r>
      <rPr>
        <sz val="12"/>
        <color rgb="FFFF0000"/>
        <rFont val="Times New Roman"/>
        <family val="1"/>
      </rPr>
      <t xml:space="preserve"> - đã nộp 300K
OVIP10 bảo lưu b1 bận ôn thi. Học VIP103 b1</t>
    </r>
  </si>
  <si>
    <t>số 9 Phố Đình Quán, Phường Phúc Diễn, Quận Nam Từ Liêm, Thành Phố Hà Nội</t>
  </si>
  <si>
    <r>
      <rPr>
        <sz val="12"/>
        <color theme="1"/>
        <rFont val="Times New Roman"/>
        <family val="1"/>
      </rPr>
      <t xml:space="preserve">Đỗ Quang Vinh </t>
    </r>
    <r>
      <rPr>
        <sz val="12"/>
        <color rgb="FFFF0000"/>
        <rFont val="Times New Roman"/>
        <family val="1"/>
      </rPr>
      <t>- học lại miễn phí ko đạt đầu ra
Đã nộp 300K 26/04/2024 - phát lại sách</t>
    </r>
  </si>
  <si>
    <r>
      <rPr>
        <sz val="12"/>
        <color theme="1"/>
        <rFont val="Times New Roman"/>
        <family val="1"/>
      </rPr>
      <t xml:space="preserve">Trần Xuân Bắc </t>
    </r>
    <r>
      <rPr>
        <sz val="12"/>
        <color rgb="FFFF0000"/>
        <rFont val="Times New Roman"/>
        <family val="1"/>
      </rPr>
      <t>- Đã nộp 300K 14/06/24
OVIP10 bảo lưu b13 trùng lịch. Học VIP90 b7</t>
    </r>
  </si>
  <si>
    <t>T208 nghỉ ngang buổi 7, giáo viên trợ giảng ko liên hệ được. Huy chat</t>
  </si>
  <si>
    <r>
      <rPr>
        <sz val="12"/>
        <color theme="1"/>
        <rFont val="Times New Roman"/>
        <family val="1"/>
      </rPr>
      <t xml:space="preserve">Bùi Thị Thanh Mai </t>
    </r>
    <r>
      <rPr>
        <sz val="12"/>
        <color rgb="FFFF0000"/>
        <rFont val="Times New Roman"/>
        <family val="1"/>
      </rPr>
      <t>- nick Ngọc Mai OT21 =&gt;T208</t>
    </r>
  </si>
  <si>
    <r>
      <rPr>
        <sz val="12"/>
        <color theme="1"/>
        <rFont val="Times New Roman"/>
        <family val="1"/>
      </rPr>
      <t xml:space="preserve">Phạm Thị Hường </t>
    </r>
    <r>
      <rPr>
        <sz val="12"/>
        <color rgb="FFFF0000"/>
        <rFont val="Times New Roman"/>
        <family val="1"/>
      </rPr>
      <t>(VIP87, VIP89)
Đã nộp 300K chuyển lớp 03/05/2024</t>
    </r>
  </si>
  <si>
    <t>T182, VIP89</t>
  </si>
  <si>
    <t>T207 nghỉ ngang buổi 13</t>
  </si>
  <si>
    <r>
      <rPr>
        <sz val="12"/>
        <color theme="1"/>
        <rFont val="Times New Roman"/>
        <family val="1"/>
      </rPr>
      <t xml:space="preserve">Bùi Đình Hậu </t>
    </r>
    <r>
      <rPr>
        <sz val="12"/>
        <color rgb="FFFF0000"/>
        <rFont val="Times New Roman"/>
        <family val="1"/>
      </rPr>
      <t>- học lại miễn phí ko đạt đầu ra. Huy chat
Đã chuyển nhượng Bùi Yến Nhi773386206</t>
    </r>
  </si>
  <si>
    <t>https://www.facebook.com/dainam.lam555?mibextid=LQQJ4d</t>
  </si>
  <si>
    <t>Lâm Đại Nam</t>
  </si>
  <si>
    <t>038203004486</t>
  </si>
  <si>
    <t>449 Đường Cổ Nhuế, Cổ Nhuế 2, Bắc Từ Liêm, Hà Nội</t>
  </si>
  <si>
    <t>https://drive.google.com/open?id=1JTb7i7Nst4lsW9u0Pf-llzWr9Vg0_Vnj, https://drive.google.com/open?id=1Ay3-TDb93czKXYjke2_ThIzqI4q5KG9e</t>
  </si>
  <si>
    <t>Chờ lớp. Chưa nộp học phí học lại</t>
  </si>
  <si>
    <r>
      <rPr>
        <sz val="12"/>
        <color theme="1"/>
        <rFont val="Times New Roman"/>
        <family val="1"/>
      </rPr>
      <t>Lê Thế Anh</t>
    </r>
    <r>
      <rPr>
        <sz val="12"/>
        <color rgb="FFFF0000"/>
        <rFont val="Times New Roman"/>
        <family val="1"/>
      </rPr>
      <t xml:space="preserve"> - nick Lê Thế Nanh
Học lại nộp 50% học phí. Chưa nộp</t>
    </r>
  </si>
  <si>
    <t>T208 nghỉ không phép và ko liên hệ được từ buổi số 7. Huy chat</t>
  </si>
  <si>
    <r>
      <rPr>
        <sz val="12"/>
        <color theme="1"/>
        <rFont val="Times New Roman"/>
        <family val="1"/>
      </rPr>
      <t xml:space="preserve">Vũ Khánh Linh </t>
    </r>
    <r>
      <rPr>
        <sz val="12"/>
        <color rgb="FFFF0000"/>
        <rFont val="Times New Roman"/>
        <family val="1"/>
      </rPr>
      <t>- OT21 đổi học online T208</t>
    </r>
  </si>
  <si>
    <t>lớp off</t>
  </si>
  <si>
    <t>Ngõ 8/151/1 Lê Quang Đạo, Phú Đô, Mỹ Đình, Hà Nội</t>
  </si>
  <si>
    <t>VIP91 bảo lưu b4 do bận các môn</t>
  </si>
  <si>
    <t>https://www.facebook.com/hung.nguyenlam.1614</t>
  </si>
  <si>
    <r>
      <rPr>
        <sz val="12"/>
        <color theme="1"/>
        <rFont val="Times New Roman"/>
        <family val="1"/>
      </rPr>
      <t xml:space="preserve">Nguyễn Lâm Hùng </t>
    </r>
    <r>
      <rPr>
        <sz val="12"/>
        <color rgb="FFFF0000"/>
        <rFont val="Times New Roman"/>
        <family val="1"/>
      </rPr>
      <t>- Đã nộp 500K bảo lưu + mua sách 17/5/24</t>
    </r>
    <r>
      <rPr>
        <sz val="12"/>
        <color theme="1"/>
        <rFont val="Times New Roman"/>
        <family val="1"/>
      </rPr>
      <t xml:space="preserve">
</t>
    </r>
    <r>
      <rPr>
        <sz val="12"/>
        <color rgb="FFFF0000"/>
        <rFont val="Times New Roman"/>
        <family val="1"/>
      </rPr>
      <t>T108 bảo lưu b13. Quay lại OT21 b1. Huy chat</t>
    </r>
  </si>
  <si>
    <t>ngõ 66 đường Hồ Tùng Mậu, Cầu Giấy, Hà Nội</t>
  </si>
  <si>
    <t>https://drive.google.com/open?id=1TS6R9Sp2oF7X8-FpgGkko4IQJeWb9aYp</t>
  </si>
  <si>
    <t>T108 bảo lưu b13</t>
  </si>
  <si>
    <t>OVIP15</t>
  </si>
  <si>
    <t>Nguyễn Lâm Hùng</t>
  </si>
  <si>
    <t>https://drive.google.com/open?id=1Y-vGHXohKhMNb-qLLio7mPa4hY9AmEuu</t>
  </si>
  <si>
    <t>T224</t>
  </si>
  <si>
    <r>
      <rPr>
        <sz val="12"/>
        <color theme="1"/>
        <rFont val="Times New Roman"/>
        <family val="1"/>
      </rPr>
      <t>Nguyễn Thị Tuyết Mai</t>
    </r>
    <r>
      <rPr>
        <sz val="12"/>
        <color rgb="FFFF0000"/>
        <rFont val="Times New Roman"/>
        <family val="1"/>
      </rPr>
      <t xml:space="preserve"> - học lại miễn phí ko đạt đầu ra
T206 bảo lưu b10 đi quân sự. Đã nộp 300K</t>
    </r>
  </si>
  <si>
    <t>C175</t>
  </si>
  <si>
    <t>https://www.facebook.com/profile.php?id=100028837680095</t>
  </si>
  <si>
    <t>Đoàn Thế Anh</t>
  </si>
  <si>
    <t>253 Xuân Phương, Phương Canh. Nam Từ Liêm, Hà Nội</t>
  </si>
  <si>
    <t>https://drive.google.com/open?id=12HOy0_KjMMg7AViYVKV2jsE0zwggt2_2</t>
  </si>
  <si>
    <t>áo cưới Hóa Loan- Đông Mai - Chỉ Đạo- Văn Lâm- Hưng Yên</t>
  </si>
  <si>
    <t>T209</t>
  </si>
  <si>
    <t>Thắng đưa tay</t>
  </si>
  <si>
    <r>
      <rPr>
        <sz val="12"/>
        <color theme="1"/>
        <rFont val="Times New Roman"/>
        <family val="1"/>
      </rPr>
      <t>Nguyễn Hồng Ngọc</t>
    </r>
    <r>
      <rPr>
        <sz val="12"/>
        <color rgb="FFFF0000"/>
        <rFont val="Times New Roman"/>
        <family val="1"/>
      </rPr>
      <t xml:space="preserve"> - nhận chuyển nhượng
</t>
    </r>
    <r>
      <rPr>
        <sz val="12"/>
        <color theme="1"/>
        <rFont val="Times New Roman"/>
        <family val="1"/>
      </rPr>
      <t xml:space="preserve">Đỗ Xuân Hoàng Anh </t>
    </r>
    <r>
      <rPr>
        <sz val="12"/>
        <color rgb="FFFF0000"/>
        <rFont val="Times New Roman"/>
        <family val="1"/>
      </rPr>
      <t>-335997728 Đã chuyển nhượng</t>
    </r>
  </si>
  <si>
    <t>https://www.facebook.com/abeno.seimei.50?mibextid=ZbWKwL</t>
  </si>
  <si>
    <r>
      <rPr>
        <sz val="12"/>
        <color theme="1"/>
        <rFont val="Times New Roman"/>
        <family val="1"/>
      </rPr>
      <t xml:space="preserve">Phạn Hồng Đạt </t>
    </r>
    <r>
      <rPr>
        <sz val="12"/>
        <color rgb="FFFF0000"/>
        <rFont val="Times New Roman"/>
        <family val="1"/>
      </rPr>
      <t>- nhận chuyển nhượng. 
Đã nộp 500K 07/05/24. 200K đổi T1 sang VIP</t>
    </r>
  </si>
  <si>
    <t>036303008444</t>
  </si>
  <si>
    <t>Số nhà 18 Ngõ 1 Phố Viên, Bắc Từ Liêm, Hà Nội</t>
  </si>
  <si>
    <t>https://drive.google.com/open?id=19piBKZiDLIOq-SD-qov3jGJ44eoVoSZx; https://drive.google.com/open?id=1G1ohOIxtrT3FsJoSXwJ0WzTzm9kHwM3r</t>
  </si>
  <si>
    <t>Trả lương T6</t>
  </si>
  <si>
    <t>Trần Thị Bình Nhi - Chuyển nhượng E3 và T1 856642428. https://www.facebook.com/profile.php?id=100034434882237</t>
  </si>
  <si>
    <r>
      <rPr>
        <sz val="12"/>
        <color theme="1"/>
        <rFont val="Times New Roman"/>
        <family val="1"/>
      </rPr>
      <t xml:space="preserve">Nguyễn Xuân Hoàng </t>
    </r>
    <r>
      <rPr>
        <sz val="12"/>
        <color rgb="FFFF0000"/>
        <rFont val="Times New Roman"/>
        <family val="1"/>
      </rPr>
      <t>- Đã nộp 300K 18/08/2024</t>
    </r>
    <r>
      <rPr>
        <sz val="12"/>
        <color theme="1"/>
        <rFont val="Times New Roman"/>
        <family val="1"/>
      </rPr>
      <t xml:space="preserve">
</t>
    </r>
    <r>
      <rPr>
        <sz val="12"/>
        <color rgb="FFFF0000"/>
        <rFont val="Times New Roman"/>
        <family val="1"/>
      </rPr>
      <t>OVIP10 bảo lưu b10 đi quân sự. Học OVIP11 b10</t>
    </r>
  </si>
  <si>
    <t>Quân Toeic báo</t>
  </si>
  <si>
    <t>Gửi Minh Phạm</t>
  </si>
  <si>
    <t>Lâm Thị Thuỳ Dung</t>
  </si>
  <si>
    <t>OT41</t>
  </si>
  <si>
    <r>
      <rPr>
        <sz val="12"/>
        <color theme="1"/>
        <rFont val="Times New Roman"/>
        <family val="1"/>
      </rPr>
      <t xml:space="preserve">Trần Huyền Trang </t>
    </r>
    <r>
      <rPr>
        <sz val="12"/>
        <color rgb="FFFF0000"/>
        <rFont val="Times New Roman"/>
        <family val="1"/>
      </rPr>
      <t>- đã nộp 300K 10/11/2024
OT22 bảo lưu b8 đi công tác. Học OT41 b1</t>
    </r>
  </si>
  <si>
    <r>
      <rPr>
        <sz val="12"/>
        <color theme="1"/>
        <rFont val="Times New Roman"/>
        <family val="1"/>
      </rPr>
      <t xml:space="preserve">Vũ Thị Diễm Hương </t>
    </r>
    <r>
      <rPr>
        <sz val="12"/>
        <color rgb="FFFF0000"/>
        <rFont val="Times New Roman"/>
        <family val="1"/>
      </rPr>
      <t xml:space="preserve"> - đã nộp 300K 10/11/2024
OT22 bảo lưu b8 đi công tác. Học OT41 b1</t>
    </r>
  </si>
  <si>
    <t>VIP102</t>
  </si>
  <si>
    <r>
      <rPr>
        <sz val="12"/>
        <color theme="1"/>
        <rFont val="Times New Roman"/>
        <family val="1"/>
      </rPr>
      <t>Phạm Mạnh Xinh</t>
    </r>
    <r>
      <rPr>
        <sz val="12"/>
        <color rgb="FFFF0000"/>
        <rFont val="Times New Roman"/>
        <family val="1"/>
      </rPr>
      <t xml:space="preserve"> - Đã nộp 300K 16/09/2024</t>
    </r>
    <r>
      <rPr>
        <sz val="12"/>
        <color theme="1"/>
        <rFont val="Times New Roman"/>
        <family val="1"/>
      </rPr>
      <t xml:space="preserve">
</t>
    </r>
    <r>
      <rPr>
        <sz val="12"/>
        <color rgb="FFFF0000"/>
        <rFont val="Times New Roman"/>
        <family val="1"/>
      </rPr>
      <t>VIP90 bảo lưu b14 do sức khỏe. Học VIP102 b8</t>
    </r>
  </si>
  <si>
    <t>T210</t>
  </si>
  <si>
    <t>Tạp hoá Tiến Thủy, Xóm ngoài, Yên Mô, Yên Nhân, Ninh Bình</t>
  </si>
  <si>
    <t>kí túc xá đại học giao thông vận tải, 99 nguyễn chí thanh, láng hạ, quận đống đa, Hà Nội</t>
  </si>
  <si>
    <t>https://www.facebook.com/profile.php?id=100017344118210&amp;mibextid=zLoPMf</t>
  </si>
  <si>
    <t>Nguyễn Thị Linh Huệ</t>
  </si>
  <si>
    <t>nguyengiahuy30062008@gmail.com</t>
  </si>
  <si>
    <t>số nhà 1 ngõ 66/35/22 Hồ Tùng Mậu - Mai Dịch - Cầu Giấy - Hà Nội.</t>
  </si>
  <si>
    <t>15/03/2024 và 18/04/2024</t>
  </si>
  <si>
    <t>https://drive.google.com/open?id=1G7xT0BlHXLMjk3mXbdfw2PKhXHaL0GUN; https://drive.google.com/open?id=1hNcdN3FaLpzM56PsgjBXP_fulpbl2PGV; https://drive.google.com/open?id=1uP9edQ5qsDoNhh_ENA004djWtmG0_ZX-</t>
  </si>
  <si>
    <t>Trả lương T04.2024</t>
  </si>
  <si>
    <t>https://www.facebook.com/profile.php?id=100066889153310&amp;mibextid=LQQJ4d</t>
  </si>
  <si>
    <t>Hoàng Tùng Dương</t>
  </si>
  <si>
    <t>duonghcx06@gmail.com</t>
  </si>
  <si>
    <t>https://drive.google.com/open?id=1a77vmwueRnxtJv8w3V9lzJtmCW8t7EnK; https://drive.google.com/open?id=1u3MMO5rHiGuSOQ9avW3Pa_bdK688JrwE</t>
  </si>
  <si>
    <t>https://www.facebook.com/profile.php?id=100033523038621</t>
  </si>
  <si>
    <r>
      <rPr>
        <sz val="12"/>
        <color theme="1"/>
        <rFont val="Times New Roman"/>
        <family val="1"/>
      </rPr>
      <t xml:space="preserve">Vương Thị Thanh Trúc </t>
    </r>
    <r>
      <rPr>
        <sz val="12"/>
        <color rgb="FFFF0000"/>
        <rFont val="Times New Roman"/>
        <family val="1"/>
      </rPr>
      <t>(OT19) - đã nộp 300K 01/07/2024
OT20 bảo lưu b19 đi chữa bệnh. Học T208 buổi 15</t>
    </r>
  </si>
  <si>
    <t xml:space="preserve">Vuongthithanhtruc2209@gmail.com </t>
  </si>
  <si>
    <t>Thanh Am, Tổ 26, Ngõ 21, Số nhà 1, Thượng Thanh, Long Biên, Hà Nội</t>
  </si>
  <si>
    <t>https://drive.google.com/open?id=1nQBqyTqyJ16Js-z0lV6TmklOunNAspeD; https://drive.google.com/open?id=1j5NPijla4v8O_b-UrNB7CDc95RiEHIYY</t>
  </si>
  <si>
    <t>https://www.facebook.com/profile.php?id=100091269283564&amp;mibextid=ZbWKwL</t>
  </si>
  <si>
    <t>Vũ Thúy Ngân</t>
  </si>
  <si>
    <t>nganv3999@gmail.com</t>
  </si>
  <si>
    <t>05/04/2024 và 23/04/2024</t>
  </si>
  <si>
    <t>https://drive.google.com/open?id=1a1cjZkaiuVlucMPVMUO57V8PQW0oG49-; https://drive.google.com/open?id=18GKElksyQ6AiT2bICnerQZdcIlWKohBN; https://drive.google.com/open?id=1q5TdCpfLKMrdpXoLtRNMZaoUpwqwCRQI</t>
  </si>
  <si>
    <t>https://www.facebook.com/nguyen.nhung005?mibextid=opq0tG</t>
  </si>
  <si>
    <r>
      <rPr>
        <sz val="12"/>
        <color theme="1"/>
        <rFont val="Times New Roman"/>
        <family val="1"/>
      </rPr>
      <t xml:space="preserve">Nguyễn Trang Nhung </t>
    </r>
    <r>
      <rPr>
        <sz val="12"/>
        <color rgb="FFFF0000"/>
        <rFont val="Times New Roman"/>
        <family val="1"/>
      </rPr>
      <t>- Đã nộp 300K 11/04/2024
OPT16 bảo lưu b2 đi quân sự. Quay lại OPT20 buổi 3</t>
    </r>
  </si>
  <si>
    <t>nguyennhung151005@gmail.com</t>
  </si>
  <si>
    <t>Lớp off</t>
  </si>
  <si>
    <t>25/02/2024 và 23/04/2024 và 25/04/2024</t>
  </si>
  <si>
    <t>https://drive.google.com/open?id=1Ge2U9NTPbcbsZzkkUYkzlL52GoB52-1R; https://drive.google.com/open?id=1dJ0eTBGkuYzEnb2KrGwyqShInQl2vYgc; https://drive.google.com/open?id=1BsaR8XKPJfPUaNlXbs_T1H0wj2kQ2EMx; https://drive.google.com/open?id=1s_vXXP57sCranEw-nzEmnR9DUmRDGtrp</t>
  </si>
  <si>
    <t>https://www.facebook.com/profile.php?id=100082769193918&amp;mibextid=opq0tG</t>
  </si>
  <si>
    <r>
      <rPr>
        <sz val="12"/>
        <color theme="1"/>
        <rFont val="Times New Roman"/>
        <family val="1"/>
      </rPr>
      <t>Phùng Thị Khánh Huyền</t>
    </r>
    <r>
      <rPr>
        <sz val="12"/>
        <color rgb="FFFF0000"/>
        <rFont val="Times New Roman"/>
        <family val="1"/>
      </rPr>
      <t xml:space="preserve"> - Đã nộp 300K 11/04/2024
OPT16 bảo lưu b2 đi quân sự. Quay lại OPT20 buổi 3</t>
    </r>
  </si>
  <si>
    <t>https://drive.google.com/open?id=1cKexXXqsQv_IkGysJn761Q_lOt6Ffgq2; https://drive.google.com/open?id=1cKjBa9RdMBXFpscTvJpdfb4QQNX0girr</t>
  </si>
  <si>
    <t>https://www.facebook.com/mai.lyna.5203?mibextid=hu50Ix</t>
  </si>
  <si>
    <r>
      <rPr>
        <sz val="12"/>
        <color theme="1"/>
        <rFont val="Times New Roman"/>
        <family val="1"/>
      </rPr>
      <t xml:space="preserve">Mai Hạnh Hồng Phúc </t>
    </r>
    <r>
      <rPr>
        <sz val="12"/>
        <color rgb="FFFF0000"/>
        <rFont val="Times New Roman"/>
        <family val="1"/>
      </rPr>
      <t>- nick Mai Lyna</t>
    </r>
  </si>
  <si>
    <t>mailyna186@gmail.com</t>
  </si>
  <si>
    <t>https://drive.google.com/open?id=1OxvvDcFKh0IvkKe6IUzAQyVkUDnZUU8v; https://drive.google.com/open?id=1DmqpPsjzMHqTVm5uvx2tkrnFawsgaDqB</t>
  </si>
  <si>
    <t>PT70 nghỉ ngang b7</t>
  </si>
  <si>
    <t>https://www.facebook.com/profile.php?id=100076342573933&amp;mibextid=LQQJ4d</t>
  </si>
  <si>
    <r>
      <rPr>
        <sz val="12"/>
        <color theme="1"/>
        <rFont val="Times New Roman"/>
        <family val="1"/>
      </rPr>
      <t xml:space="preserve">Nguyễn Trường Sơn </t>
    </r>
    <r>
      <rPr>
        <sz val="12"/>
        <color rgb="FFFF0000"/>
        <rFont val="Times New Roman"/>
        <family val="1"/>
      </rPr>
      <t>- PT70 nghỉ ngang buổi 7 
Lý do: hỏng máy tính - nghỉ không phép từ B7-B10
Giáo viên và bộ phận sale nhắn tin hỗ trợ nhưng không thiện chí trả lời</t>
    </r>
  </si>
  <si>
    <t>Truongsonnguyen2512005@gmail.com</t>
  </si>
  <si>
    <t>106 - nguyễn văn linh -  thành phố hải dương - tỉnh hải dương</t>
  </si>
  <si>
    <t>https://drive.google.com/open?id=1KDrCn31B_wAJtUwDwP3TQeRA7vY1yMCK</t>
  </si>
  <si>
    <t>https://www.facebook.com/profile.php?id=100029544200002&amp;mibextid=LQQJ4d</t>
  </si>
  <si>
    <t>Tạ Gia Long</t>
  </si>
  <si>
    <t>25/02/2024 và 29/03/2024 và 30/04/2024</t>
  </si>
  <si>
    <t>https://drive.google.com/open?id=1JDQvx43wsoWZjS3xN86Xnaa4XoOvZJLy, https://drive.google.com/open?id=1IW9fpvkZsLMQGS_ECWzbdEQgmeYvqGAA; https://drive.google.com/open?id=1kTq5vedKcWQgSOZixwPIbHT_hz1TPuBI, https://drive.google.com/open?id=11WlUy-ze9mIXFk-MgnD8sc-_LZIRa9cr</t>
  </si>
  <si>
    <t>..</t>
  </si>
  <si>
    <t>https://www.facebook.com/profile.php?id=100053103499604&amp;mibextid=LQQJ4d</t>
  </si>
  <si>
    <t>Bùi Thị Hiệp</t>
  </si>
  <si>
    <t>Số nhà 7 ngách 71a,ngõ 116,nguyễn xiển,thanh xuân hà nội ạ</t>
  </si>
  <si>
    <t>https://drive.google.com/open?id=1qOI-G07NqlWkr66EICLFPIBSm5tQNhCo; https://drive.google.com/open?id=1sXv_hw-5LDgM8NJws3EJNB3_jXA004-P</t>
  </si>
  <si>
    <t>https://www.facebook.com/hi.phuong.3975?mibextid=ZbWKwL</t>
  </si>
  <si>
    <t>Nguyễn Thị Hà Phương</t>
  </si>
  <si>
    <t>https://drive.google.com/open?id=1WmzM28YAGWGK2vkToomTheZP191pEUn_; https://drive.google.com/open?id=1IgTPj_yB-UYu9fb5SoIJ4gu6TFK6Y2VK</t>
  </si>
  <si>
    <t>https://www.facebook.com/viet.khang.9404?mibextid=LQQJ4d</t>
  </si>
  <si>
    <t>Đinh Thảo Ngân</t>
  </si>
  <si>
    <t>,</t>
  </si>
  <si>
    <t>https://drive.google.com/open?id=1EbwVCDWGsHipgcabcKakQLvZ5IiMWKEe; https://drive.google.com/open?id=1vq_AMlCs0eRizdeXNNW9pMCC7OftYabW</t>
  </si>
  <si>
    <t>https://www.facebook.com/Mityubi16?mibextid=PtKPJ9</t>
  </si>
  <si>
    <t>Nguyễn Thị Thuý</t>
  </si>
  <si>
    <t>nguyenthithuy2003bn@gmail.com</t>
  </si>
  <si>
    <t xml:space="preserve">19H Nguyễn Khang Trung Hoà Cầu Giấy </t>
  </si>
  <si>
    <t>https://drive.google.com/open?id=1_iFm2tdr-46Pt1MAZC5LgjZrML7Q-sdT; https://drive.google.com/open?id=1V12KILbiXRIj4dIwcdui8JSrqVJ3qilq</t>
  </si>
  <si>
    <t>https://www.facebook.com/vuive.thienyet.9</t>
  </si>
  <si>
    <t>Nguyễn Phương Oanh</t>
  </si>
  <si>
    <t>npo29102005@gmail.com</t>
  </si>
  <si>
    <t xml:space="preserve">Số 10, 72 Đường Phúc Diễn, P. Phúc Diễn, Q. Bắc Từ Liêm, Hà Nội </t>
  </si>
  <si>
    <t>https://drive.google.com/open?id=1huFr-FPxXD_eIlgy59bpZ2bBOEERVwfX; https://drive.google.com/open?id=1txsGB4ma4rUqG8jZN8pFPrv3flVdYsNn</t>
  </si>
  <si>
    <t>https://www.facebook.com/profile.php?id=100037804692501&amp;mibextid=uzlsIk</t>
  </si>
  <si>
    <t>Lê Duy Long</t>
  </si>
  <si>
    <t>Hồ vân sơn, Tổ 3, lê hồng phong, phủ lí, hà nam, đối diện Lý spa.</t>
  </si>
  <si>
    <t>https://drive.google.com/open?id=1W-NLMdsEmYSeaSadG0Wy5UJwHfJkqjl1</t>
  </si>
  <si>
    <t>Hạ Combo. Tùng chat</t>
  </si>
  <si>
    <t>https://www.facebook.com/profile.php?id=100055021920921&amp;mibextid=LQQJ4d</t>
  </si>
  <si>
    <r>
      <rPr>
        <sz val="12"/>
        <color theme="1"/>
        <rFont val="Times New Roman"/>
        <family val="1"/>
      </rPr>
      <t>Nguyễn Khánh An</t>
    </r>
    <r>
      <rPr>
        <sz val="12"/>
        <color rgb="FFFF0000"/>
        <rFont val="Times New Roman"/>
        <family val="1"/>
      </rPr>
      <t xml:space="preserve"> - 356825868 sđt cũ</t>
    </r>
  </si>
  <si>
    <t>Số 6, Ngõ 9 đường xóm quán- Kim Bông- Tân Xã- Thạch Thất- Hà Nội (trọ Nhật Anh)</t>
  </si>
  <si>
    <t>https://drive.google.com/open?id=1mjxUb1Ffa9hBnlxbwAS9wdUwGC8X9UiH; https://drive.google.com/open?id=1T1ydrljcmrhrBbxHOUvWWuc7wpiubeDp</t>
  </si>
  <si>
    <t>https://www.facebook.com/profile.php?id=100053375477011&amp;mibextid=PlNXYD</t>
  </si>
  <si>
    <t>Lê Đỗ Kim Oanh</t>
  </si>
  <si>
    <t>le1310719@gmail.com</t>
  </si>
  <si>
    <t>Nguyễn phong sắc, Dịch Vọng Hậu, Cầu Giấy, Hà Nội</t>
  </si>
  <si>
    <t>https://drive.google.com/open?id=1nlRAcfHEe9RoHIgSHM9qUsFYeps2bWnI; https://drive.google.com/open?id=1FLyoEv7kuORHsGa1RHjSsdvntgzflnqA</t>
  </si>
  <si>
    <t>https://www.facebook.com/profile.php?id=100023732472955&amp;mibextid=LQQJ4d</t>
  </si>
  <si>
    <t>Vũ Hồng Đăng</t>
  </si>
  <si>
    <t>https://drive.google.com/open?id=1sFDKs0PSHGShcBVwUwxQrPGkpPCaTKxy; https://drive.google.com/open?id=1lkWuiNqKPckJJySzAedyjOAbz8C9PcbL</t>
  </si>
  <si>
    <t>https://www.facebook.com/profile.php?id=100047018533763&amp;mibextid=ZbWKwL</t>
  </si>
  <si>
    <t xml:space="preserve">Bùi Văn Minh Huấn </t>
  </si>
  <si>
    <t>08/03 và 17/03/2024</t>
  </si>
  <si>
    <t>https://drive.google.com/open?id=1uLeFq2qmUj57gU4jVuq0gGZuQ_7I-LpQ, https://drive.google.com/open?id=1bhnP1-g4HyxIn4fjcuLTadu2ZuEGDEdl; https://drive.google.com/open?id=1MWioFhagD_j27-yqAfArEXv8hdyrROQk</t>
  </si>
  <si>
    <t>https://www.facebook.com/profile.php?id=100022124713905&amp;mibextid=JRoKGi</t>
  </si>
  <si>
    <t>Nguyễn Xuân Đạt</t>
  </si>
  <si>
    <t>https://drive.google.com/open?id=11pGvG3JzyTkiJxVyS00scPma3p2DvgL-, https://drive.google.com/open?id=1rubdUgW00L_G8E2PJ2uJfBWvIN2tzcKf; https://drive.google.com/open?id=11obpANulPGaFGZ2BQaJhJZ1Mi5GtTn5_</t>
  </si>
  <si>
    <t>https://www.facebook.com/vhopng1904?mibextid=eQY6cl</t>
  </si>
  <si>
    <t>Hà Văn Phong</t>
  </si>
  <si>
    <t>162 Cổ Nhuế, Bắc Từ Liêm, Hà Nội</t>
  </si>
  <si>
    <t>https://drive.google.com/open?id=18PIHW0Te3Aym7PPIvFRf92EWJJbJDyiV; https://drive.google.com/open?id=11l_Ki1rX2IysCFaTrvAw3W4BfTdOikzV</t>
  </si>
  <si>
    <t>https://www.facebook.com/profile.php?id=100083703557658&amp;mibextid=ZbWKwL</t>
  </si>
  <si>
    <t>Nguyễn Kim Ngân</t>
  </si>
  <si>
    <t>https://drive.google.com/open?id=1Znt0fyhMjBmTKgwqEaDXibEOnJ8EjwIH; https://drive.google.com/open?id=1vyLCgrCGwhBHRQ7DA1U8A2CWZR8tTulR</t>
  </si>
  <si>
    <t>Nhài đưa Minh</t>
  </si>
  <si>
    <t>https://www.facebook.com/laosphats.gias</t>
  </si>
  <si>
    <t>Phan Thị Ngọc Bích</t>
  </si>
  <si>
    <t>bichp4053@gmail.com</t>
  </si>
  <si>
    <t xml:space="preserve">Ngách 32/6 Phố Viên , phường Đức thắng , Bắc từ liêm ,Hn </t>
  </si>
  <si>
    <t>https://drive.google.com/open?id=11CMvC8wPAx5czIv31hkpzkrIPC0TewI4; https://drive.google.com/open?id=1fGo1d5VBDWVDUeirqck6vPV0wh5ptma3</t>
  </si>
  <si>
    <t>https://www.facebook.com/profile.php?id=100037006024924&amp;mibextid=LQQJ4d</t>
  </si>
  <si>
    <t xml:space="preserve">nguyenngoclinh2422@gmail.com </t>
  </si>
  <si>
    <t>Số 6 ngõ 132 đường cầu giấy , quan hoa , cầu giấy</t>
  </si>
  <si>
    <t>https://drive.google.com/open?id=1GgUTD-1HArlGkI4dPqPml3VKf-sWzR4y; https://drive.google.com/open?id=10bBauw9GqjWW-Zw6tqqUH5HCH-ZB7hGZ</t>
  </si>
  <si>
    <t xml:space="preserve"> https://www.facebook.com/huongthom.vuthi.98?mibextid=LQQJ4d</t>
  </si>
  <si>
    <t>Vũ Thị Hương Thơm</t>
  </si>
  <si>
    <t>Yen</t>
  </si>
  <si>
    <t xml:space="preserve">Nhà số 10 ngõ 155/37 cầu giấy
</t>
  </si>
  <si>
    <t>https://drive.google.com/open?id=1d7EjoXf1FU7tUC-dEPkffwJ15yYpgb36</t>
  </si>
  <si>
    <t>https://www.facebook.com/lethang.skt</t>
  </si>
  <si>
    <t>Lê Văn Thắng</t>
  </si>
  <si>
    <t>huythang21072003123@gmail.com</t>
  </si>
  <si>
    <t xml:space="preserve">Đạt nhận hộ </t>
  </si>
  <si>
    <t>https://drive.google.com/open?id=1h035zd0Pw6YxaohNfBQl9UlzB1FpqX8H</t>
  </si>
  <si>
    <t>Nhài đưa tay Đạt</t>
  </si>
  <si>
    <t>https://www.facebook.com/sjd19</t>
  </si>
  <si>
    <t>Thiều Đức Hùng</t>
  </si>
  <si>
    <t>https://drive.google.com/open?id=1M_R5qpYlV55C9inv0KPfaI3SBi2Osbgj</t>
  </si>
  <si>
    <t>LỚp học OFF</t>
  </si>
  <si>
    <t>https://www.facebook.com/profile.php?id=100055203019297&amp;mibextid=LQQJ4d</t>
  </si>
  <si>
    <t>Chu Thị Thuỷ</t>
  </si>
  <si>
    <t>https://drive.google.com/open?id=1mdxC_r_3cGHbNlNJpbDvNbEiNKe6neVy; https://drive.google.com/open?id=1Os4xfwq7yq9nv6wpEbRaKZeOSby1OE4C</t>
  </si>
  <si>
    <t>https://www.facebook.com/profile.php?id=100049003191055</t>
  </si>
  <si>
    <t>Nguyễn Đức Tuấn</t>
  </si>
  <si>
    <t>https://drive.google.com/open?id=1Y7oaEXzbqYhgdgfaFnKk5WruIG11mmh2</t>
  </si>
  <si>
    <t>https://www.facebook.com/hamie02?mibextid=dGKdO6&amp;paipv=0&amp;eav=Afbc8l1XjQn6QF1tUx8cg6xSNXoKSnCMUCxFHnkyOFny5Omwg-8pqWtzDChkHMEGiZE&amp;_rdr</t>
  </si>
  <si>
    <t>Đinh Thị Hà My</t>
  </si>
  <si>
    <t>K3/39 Hà Thị Thân, An Hải Tây, Sơn Trà, Đà Nẵng</t>
  </si>
  <si>
    <t>https://drive.google.com/open?id=1L1yNHuc5p85xSAh9t1Z1LaH9yLC-S750</t>
  </si>
  <si>
    <t>https://www.facebook.com/dngh05?mibextid=kFxxJD</t>
  </si>
  <si>
    <t>Đặng Ngọc Hạnh</t>
  </si>
  <si>
    <t xml:space="preserve">đường 31, khu thái sơn, xã Long Hậu, Cần Giuộc, Long An </t>
  </si>
  <si>
    <t>https://drive.google.com/open?id=1sdnMPTI9hcwzn25zvTMEfNQr3-CVrOxG</t>
  </si>
  <si>
    <t>https://www.facebook.com/100080139341439/</t>
  </si>
  <si>
    <r>
      <rPr>
        <sz val="12"/>
        <color theme="1"/>
        <rFont val="Times New Roman"/>
        <family val="1"/>
      </rPr>
      <t>Đào Linh Chi</t>
    </r>
    <r>
      <rPr>
        <sz val="12"/>
        <color rgb="FFFF0000"/>
        <rFont val="Times New Roman"/>
        <family val="1"/>
      </rPr>
      <t xml:space="preserve"> - Đã nộp 300K 06/07/2024</t>
    </r>
    <r>
      <rPr>
        <sz val="12"/>
        <color theme="1"/>
        <rFont val="Times New Roman"/>
        <family val="1"/>
      </rPr>
      <t xml:space="preserve">
</t>
    </r>
    <r>
      <rPr>
        <sz val="12"/>
        <color rgb="FFFF0000"/>
        <rFont val="Times New Roman"/>
        <family val="1"/>
      </rPr>
      <t>T205 bảo lưu b13 đi quân sự. Học T211 b13</t>
    </r>
  </si>
  <si>
    <t>daolinhchi095@gmail.com</t>
  </si>
  <si>
    <t>Kí túc xá trường cao đẳng múa, Hồ Tùng Mậu, Mai Dịch, Cầu Giấy, Hà Nội</t>
  </si>
  <si>
    <t>https://drive.google.com/open?id=1K7SN8hQI4Eh2uardG6lnDqL0_ojbroK2; https://drive.google.com/open?id=1ofwQpXugFtxkqHSQyCYjFJak9QDtp_G6</t>
  </si>
  <si>
    <t>Nhài đưa tay cho Đạt</t>
  </si>
  <si>
    <t>T214</t>
  </si>
  <si>
    <t>https://www.facebook.com/tumilitarydoctor</t>
  </si>
  <si>
    <t>Hoàng Anh Tú - 972803251</t>
  </si>
  <si>
    <t>tuhoanganh2017@gmail.com</t>
  </si>
  <si>
    <t>số nhà 500 đường Đ512B , thôn Thái Tượng, xã Tượng Sơn, huyện Nông Cống , tỉnh Thanh Hoá</t>
  </si>
  <si>
    <t>https://drive.google.com/open?id=1ZdYyOF9ClYRrsQeZD27jAdbmeXiSXMwS</t>
  </si>
  <si>
    <t>đã học lớp PT</t>
  </si>
  <si>
    <t>https://www.facebook.com/tranhuong6323</t>
  </si>
  <si>
    <r>
      <rPr>
        <sz val="12"/>
        <color theme="1"/>
        <rFont val="Times New Roman"/>
        <family val="1"/>
      </rPr>
      <t xml:space="preserve">Trần Thị Hương  </t>
    </r>
    <r>
      <rPr>
        <sz val="12"/>
        <color rgb="FFFF0000"/>
        <rFont val="Times New Roman"/>
        <family val="1"/>
      </rPr>
      <t>- Gửi chung</t>
    </r>
  </si>
  <si>
    <t xml:space="preserve">Tranhuongyentri@gmail.com </t>
  </si>
  <si>
    <t xml:space="preserve"> tòa oct5a, kđt Handiresco, Cổ Nhuế 2, Bắc Từ Liêm</t>
  </si>
  <si>
    <t>https://drive.google.com/open?id=1SWimVVx36h9L7qTGR9U8sxqGVS8sRaC_</t>
  </si>
  <si>
    <t>https://www.facebook.com/profile.php?id=100028863792167</t>
  </si>
  <si>
    <r>
      <rPr>
        <sz val="12"/>
        <color theme="1"/>
        <rFont val="Times New Roman"/>
        <family val="1"/>
      </rPr>
      <t>Trần Thị Linh</t>
    </r>
    <r>
      <rPr>
        <sz val="12"/>
        <color rgb="FFFF0000"/>
        <rFont val="Times New Roman"/>
        <family val="1"/>
      </rPr>
      <t xml:space="preserve"> - Gửi chung Linh nhận</t>
    </r>
  </si>
  <si>
    <t>Linhtran11032003@gmail.com</t>
  </si>
  <si>
    <t>tòa oct5a,kđt Handiresco, Cổ Nhuế 2, Bắc Từ Liêm</t>
  </si>
  <si>
    <t>https://drive.google.com/open?id=1C-qBgeDX1sRLt7ytxRa84BNNfev-IOm3</t>
  </si>
  <si>
    <t>https://www.facebook.com/profile.php?id=100011574829401</t>
  </si>
  <si>
    <t>Lê Ngọc Huy</t>
  </si>
  <si>
    <t>lehuya3k73lnq@gmail.com</t>
  </si>
  <si>
    <t xml:space="preserve">ngõ 16 phố Tây Kết, Bạch Đằng, Hai Bà Trưng, Hà Nội </t>
  </si>
  <si>
    <t>https://drive.google.com/open?id=1ar7A9YXkF2NYfsDsORARkX7AulktYcU6</t>
  </si>
  <si>
    <t>https://www.facebook.com/mthang.hosint</t>
  </si>
  <si>
    <t>Nguyễn Lê Minh Thắng</t>
  </si>
  <si>
    <t>https://drive.google.com/open?id=1gMow9yBzWAow6rT49TwW3ysD68h3M6Sx; https://drive.google.com/open?id=1bllvDVa_nVC51k6_v4UFizXWw4RMhn6F</t>
  </si>
  <si>
    <t>Huy báo hạ Combo</t>
  </si>
  <si>
    <t>https://drive.google.com/open?id=1wPgRXcxAoE0_Fn0woZj6-jNoS7vdNcmv</t>
  </si>
  <si>
    <t>https://www.facebook.com/xuu.thuongg.3?mibextid=LQQJ4d</t>
  </si>
  <si>
    <t>Hoàng Thị Thương</t>
  </si>
  <si>
    <t>thuonghoang1409@gmail.com</t>
  </si>
  <si>
    <t>82 hậu ái vân canh, Hoài Đức , Hà Nội</t>
  </si>
  <si>
    <t>https://drive.google.com/open?id=1bfKEOr4upOmJ01pB-cj1S4Wc40oYreqN</t>
  </si>
  <si>
    <t>https://www.facebook.com/huongg.huong.792</t>
  </si>
  <si>
    <t>thuhuong23082003@gmail.com</t>
  </si>
  <si>
    <t>ngõ 39 tuyến 6 - xóm 1 - thôn Ngọc Chi - xã Vĩnh Ngọc - huyện Đông Anh - thành phố Hà Nội</t>
  </si>
  <si>
    <t>https://drive.google.com/open?id=1-UTbV-Ofy9rBYnmoVGAjDY-GVhhYP3BK</t>
  </si>
  <si>
    <t>https://www.facebook.com/profile.php?id=100030473256433</t>
  </si>
  <si>
    <t>nguyenthuhuyennt2003@gmail.com</t>
  </si>
  <si>
    <t>Thôn 10, xã Ngọc Tảo, huyện Phúc Thọ, Hà Nội</t>
  </si>
  <si>
    <t>https://drive.google.com/open?id=1bxkAj4cz5Ptog9GmXjMSog0_jlElHDyj</t>
  </si>
  <si>
    <t>Ngõ 85 Lê Văn Hiến, Đức Thắng, Bắc Từ Liêm, Hà Nội</t>
  </si>
  <si>
    <t>https://drive.google.com/open?id=1WQI-BifzmFiwL_L0TpqeulD1RUXneQo5</t>
  </si>
  <si>
    <t>https://www.facebook.com/thieuthi.bich.96</t>
  </si>
  <si>
    <r>
      <rPr>
        <sz val="12"/>
        <color theme="1"/>
        <rFont val="Times New Roman"/>
        <family val="1"/>
      </rPr>
      <t xml:space="preserve">Thiều Thị Bích  </t>
    </r>
    <r>
      <rPr>
        <sz val="12"/>
        <color rgb="FFFF0000"/>
        <rFont val="Times New Roman"/>
        <family val="1"/>
      </rPr>
      <t>- 868609253 sđt cũ</t>
    </r>
  </si>
  <si>
    <t>Thôn 10 - Trung Châu - Đan Phượng  -HN</t>
  </si>
  <si>
    <t>https://drive.google.com/open?id=1eXfsmqL0pCimv0zByn3dvN-VfNnnInd9</t>
  </si>
  <si>
    <t>https://www.facebook.com/profile.php?id=100051930849905</t>
  </si>
  <si>
    <t>Trần Thị Thu Huyền</t>
  </si>
  <si>
    <t>Thôn Ngò xã Tân Tiến thành phố Bắc Giang</t>
  </si>
  <si>
    <t>https://drive.google.com/open?id=1ATTq-aIM35Tv8O_fVpy_fBlTrv7_k8VB</t>
  </si>
  <si>
    <t>https://www.facebook.com/profile.php?id=100031890683917</t>
  </si>
  <si>
    <t>Đỗ Thị Minh Phúc</t>
  </si>
  <si>
    <t>ngõ 210, Hoàng Quốc Việt, Cổ Nhuế 1, quận Bắc Từ Liêm, Hà Nội</t>
  </si>
  <si>
    <t>https://drive.google.com/open?id=1bFGCru7XWO8JMi6vS0EUSl3kZAICN9ft</t>
  </si>
  <si>
    <t>https://www.facebook.com/phamhong.ngat203</t>
  </si>
  <si>
    <t>Phạm Thị Hồng Ngát</t>
  </si>
  <si>
    <t>phamngat151003@gmail.com</t>
  </si>
  <si>
    <t>số 5, ngõ 1002 đường Láng, Láng Thượng, Đống Đa, Hà Nội</t>
  </si>
  <si>
    <t>https://drive.google.com/open?id=1xTvKFwGG3ZDa_QaxDN6ef8Y3K9PmuLLz; https://drive.google.com/open?id=1L62_lYEbYpp-YlJPNNccRlIz-hOqCJRZ</t>
  </si>
  <si>
    <t>https://www.facebook.com/nhoks2tjt</t>
  </si>
  <si>
    <t>Nguyễn Thành Tâm</t>
  </si>
  <si>
    <t>Nguyenthanhtam1208@gmail.com</t>
  </si>
  <si>
    <t>Công ty sản xuất và thương mại NIPLAS (gần toyota ninh bình)
Khu công nghiệp phúc sơn- ninh phúc - ninh bình.</t>
  </si>
  <si>
    <t>https://drive.google.com/open?id=1Zyv2oA5i0GyzObF2I0Ktl030FFRbkyJP; https://drive.google.com/open?id=1LVFWzxsFCOMnsP2cMtrv-A1c5QDmUdzp</t>
  </si>
  <si>
    <t>PT75</t>
  </si>
  <si>
    <t>https://www.facebook.com/duongthianh.huyen.9?mibextid=LQQJ4d</t>
  </si>
  <si>
    <t>Dương Thị Ánh Huyền</t>
  </si>
  <si>
    <t>duongthianhhuyen65@gmail.com</t>
  </si>
  <si>
    <t>Khu Đỉnh Đồng, xã Quảng Yên, huyện Thanh Ba, tỉnh Phú Thọ</t>
  </si>
  <si>
    <t>https://drive.google.com/open?id=1LfTklu_GReX-b9PCRQQcK__Sltgwemwe</t>
  </si>
  <si>
    <t>https://drive.google.com/open?id=1KzZgqI2N5QrFS2olqvD7LHrcry2rH7nV</t>
  </si>
  <si>
    <t>https://www.facebook.com/profile.php?id=100019168627478&amp;mibextid=PlNXYD</t>
  </si>
  <si>
    <t>Lê Hải Hà</t>
  </si>
  <si>
    <t>haabanhkeo@gmail.com</t>
  </si>
  <si>
    <t>https://drive.google.com/open?id=13mA6qDvdPUGrdlFFZDD-ammxYEGbe7tP, https://drive.google.com/open?id=1T4TzuR0IZxxr9FPqwNkY-aK4EPNP2JYs</t>
  </si>
  <si>
    <t>https://www.facebook.com/tuongan.tieu.7</t>
  </si>
  <si>
    <t>Đinh Công Sáng</t>
  </si>
  <si>
    <t>45A 281 Trương Định, Tương Mai, Hoàng Mai, Hà Nội</t>
  </si>
  <si>
    <t>https://drive.google.com/open?id=1GsFRRWaSPq92-DmyR27QN3vlqklis__-</t>
  </si>
  <si>
    <t>Điền T04.2024</t>
  </si>
  <si>
    <t>0389655685</t>
  </si>
  <si>
    <t>Thôn Sâm, Hoà Tiến, Hưng Hà, Thái Bình</t>
  </si>
  <si>
    <t>0373237882</t>
  </si>
  <si>
    <t>Bùi Ngọc Quỳnh</t>
  </si>
  <si>
    <t>Hoàng Văn Chung</t>
  </si>
  <si>
    <t>Gửi Minh mang tới lớp. Bạn vào học sau</t>
  </si>
  <si>
    <r>
      <rPr>
        <sz val="12"/>
        <color theme="1"/>
        <rFont val="Times New Roman"/>
        <family val="1"/>
      </rPr>
      <t xml:space="preserve">Nguyễn Trung Hiếu </t>
    </r>
    <r>
      <rPr>
        <sz val="12"/>
        <color rgb="FFFF0000"/>
        <rFont val="Times New Roman"/>
        <family val="1"/>
      </rPr>
      <t>- Chưa nộp học lại PT
Học lại nộp 50% do chưa đạt đầu ra</t>
    </r>
  </si>
  <si>
    <t>Trường PT Vùng Cao Việt Bắc, đường Z115 xã quyết thắng, thành phố thái nguyên, tỉnh thái nguyên</t>
  </si>
  <si>
    <t>Nhà bà Ba -Thôn Tuyền -Đông Xuân -Sóc Sơn -Hà Nội</t>
  </si>
  <si>
    <t>Số nhà 9 ngõ 1/35/347 Cổ Nhuế, Bắc Từ Liêm, Hà Nội</t>
  </si>
  <si>
    <r>
      <rPr>
        <sz val="12"/>
        <color theme="1"/>
        <rFont val="Times New Roman"/>
        <family val="1"/>
      </rPr>
      <t xml:space="preserve">Nguyễn Thị Thanh Thảo </t>
    </r>
    <r>
      <rPr>
        <sz val="12"/>
        <color rgb="FFFF0000"/>
        <rFont val="Times New Roman"/>
        <family val="1"/>
      </rPr>
      <t>- Học lại miễn phí ko đạt đầu ra</t>
    </r>
  </si>
  <si>
    <t>https://www.facebook.com/profile.php?id=100052715798257&amp;mibextid=ZbWKwL</t>
  </si>
  <si>
    <r>
      <rPr>
        <sz val="12"/>
        <color theme="1"/>
        <rFont val="Times New Roman"/>
        <family val="1"/>
      </rPr>
      <t xml:space="preserve">Trần Thị Khánh Vân </t>
    </r>
    <r>
      <rPr>
        <sz val="12"/>
        <color rgb="FFFF0000"/>
        <rFont val="Times New Roman"/>
        <family val="1"/>
      </rPr>
      <t>- Học lại miễn phí nộp 300K 25/4/24
Hà Hiền và Huy báo</t>
    </r>
  </si>
  <si>
    <t>Hà Hiền</t>
  </si>
  <si>
    <t>Xóm C3, xã thanh Đức , huyện thanh chương, tỉnh nghệ an</t>
  </si>
  <si>
    <t>https://drive.google.com/open?id=1VQEgWARWI3gawPg-sSMErwcU9PLsboCz, https://drive.google.com/open?id=14jxh7fmh1_lWwZwPFLR3Uiryv6sUYRI7</t>
  </si>
  <si>
    <t>Trả lương T3.2023</t>
  </si>
  <si>
    <t>0363745203</t>
  </si>
  <si>
    <t>T211 bảo lưu b3 bận đi làm</t>
  </si>
  <si>
    <t>Số nhà 7, Ngách 71A, Ngõ 116, Nguyễn Xiển, Thanh Xuân, Hà Nội</t>
  </si>
  <si>
    <t>W2</t>
  </si>
  <si>
    <t>cụm 9, liễu viên, nghiêm xuyên, thường tín hà nội</t>
  </si>
  <si>
    <t>Đức báo đã tính lương</t>
  </si>
  <si>
    <t>Bùi Thúy Hiền 963789993 bạn này cunnxg nhận lương r ạ, trên file đang xếp thiếu ạ^^. Đức chat</t>
  </si>
  <si>
    <t>Mai</t>
  </si>
  <si>
    <t>W7</t>
  </si>
  <si>
    <r>
      <rPr>
        <sz val="12"/>
        <color theme="1"/>
        <rFont val="Times New Roman"/>
        <family val="1"/>
      </rPr>
      <t xml:space="preserve">Nguyền Huyền Trang </t>
    </r>
    <r>
      <rPr>
        <sz val="12"/>
        <color rgb="FFFF0000"/>
        <rFont val="Times New Roman"/>
        <family val="1"/>
      </rPr>
      <t>- Đã nộp 300K 15/09/2024
W2 bảo lưu b13 đi quân sự. Học W7 b1</t>
    </r>
  </si>
  <si>
    <t>Số 2 khu E1, tt 128C Đại La, Đồng Tâm, Hai Bà Trưng, Hà Nội</t>
  </si>
  <si>
    <t>Ktx Đại học Phenikaa, phố Nguyễn Trác,phường Yên Nghĩa, Hà Đông Hà Nội</t>
  </si>
  <si>
    <t>nhà số 7, ngõ 44 đường Phan Đình Giót, tổ dân phố 4, phường La Khê, Hà Đông</t>
  </si>
  <si>
    <t>B585</t>
  </si>
  <si>
    <t>https://www.facebook.com/hangxinhxan102</t>
  </si>
  <si>
    <r>
      <rPr>
        <sz val="12"/>
        <color theme="1"/>
        <rFont val="Times New Roman"/>
        <family val="1"/>
      </rPr>
      <t xml:space="preserve">Trần Thị Hằng </t>
    </r>
    <r>
      <rPr>
        <sz val="12"/>
        <color rgb="FFFF0000"/>
        <rFont val="Times New Roman"/>
        <family val="1"/>
      </rPr>
      <t>- đổi E3 sang VIP</t>
    </r>
  </si>
  <si>
    <t>Toà A3, An Bình City, Cổ Nhuế 1, Bắc Từ Liêm, Hà Nội</t>
  </si>
  <si>
    <t>https://drive.google.com/open?id=1gofdQ0xa4U4C3HneieKBuWRqsdXz9Pkn</t>
  </si>
  <si>
    <t>680 (340+340)</t>
  </si>
  <si>
    <t>số 5A, ngách 43/49 Trung Kính, Trung Hoà, Cầu Giấy, Hà Nội</t>
  </si>
  <si>
    <t>VIP92 nghỉ từ buổi 8. GV trợ giảng ko liên hệ đc. Huy chat</t>
  </si>
  <si>
    <t>SN 04 đường Trần Đức Sắc, phường Hồng Hà, tp Yên Bái</t>
  </si>
  <si>
    <r>
      <rPr>
        <sz val="12"/>
        <color theme="1"/>
        <rFont val="Times New Roman"/>
        <family val="1"/>
      </rPr>
      <t xml:space="preserve">Đỗ Thuỳ Linh </t>
    </r>
    <r>
      <rPr>
        <sz val="12"/>
        <color rgb="FFFF0000"/>
        <rFont val="Times New Roman"/>
        <family val="1"/>
      </rPr>
      <t>- đã nộp 300K
VIP93 bảo lưu b1. Học VIP103 b1</t>
    </r>
  </si>
  <si>
    <t>Số 69, Đường Ngô Gia Tự, Tổ 3, Lê Hồng Phong, Phủ Lý, Hà Nam</t>
  </si>
  <si>
    <t>Khu nhà ở Mộng Tuyền, 39 Đường số 13, Kp4, Linh Xuân, Thủ Đức, Thành phố Hồ Chí Minh</t>
  </si>
  <si>
    <r>
      <rPr>
        <sz val="12"/>
        <color theme="1"/>
        <rFont val="Times New Roman"/>
        <family val="1"/>
      </rPr>
      <t>Nguyễn Thái Bình Hương</t>
    </r>
    <r>
      <rPr>
        <sz val="12"/>
        <color rgb="FFFF0000"/>
        <rFont val="Times New Roman"/>
        <family val="1"/>
      </rPr>
      <t xml:space="preserve">
Nick face: Nguyễn Lan Hương</t>
    </r>
  </si>
  <si>
    <t xml:space="preserve">Số 6 ngách 40 ngõ 165 dương quảng hàm quan hoa quận cầu giấy hà nội </t>
  </si>
  <si>
    <t>104 - 106 Phạm Như Xương - Hoà Khánh Nam - Liên Chiểu - Đà Nẵng</t>
  </si>
  <si>
    <t>Cơ sở 3 đh công nghiệp Hà Nội ( Phù Vân, Tp Phủ Lý, Hà Nam)</t>
  </si>
  <si>
    <t>T348 bảo lưu b2</t>
  </si>
  <si>
    <r>
      <rPr>
        <sz val="12"/>
        <color theme="1"/>
        <rFont val="Times New Roman"/>
        <family val="1"/>
      </rPr>
      <t xml:space="preserve">Trần Thanh Nghị </t>
    </r>
    <r>
      <rPr>
        <sz val="12"/>
        <color rgb="FFFF0000"/>
        <rFont val="Times New Roman"/>
        <family val="1"/>
      </rPr>
      <t>- Đã nộp 300K 13/08/2025
OT23 bảo lưu b7. Học T348 buổi 1</t>
    </r>
  </si>
  <si>
    <t>Sách cũ</t>
  </si>
  <si>
    <t>số 42 ngõ 66 Hồ Tùng Mậu, phường Mai Dịch, quận Cầu giấy, Hà Nội</t>
  </si>
  <si>
    <t>OT115</t>
  </si>
  <si>
    <t>https://www.facebook.com/profile.php?id=100031617202989&amp;mibextid=JRoKGi</t>
  </si>
  <si>
    <r>
      <rPr>
        <sz val="12"/>
        <color theme="1"/>
        <rFont val="Times New Roman"/>
        <family val="1"/>
      </rPr>
      <t>Khổng Thị Thu Thảo</t>
    </r>
    <r>
      <rPr>
        <sz val="12"/>
        <color rgb="FFFF0000"/>
        <rFont val="Times New Roman"/>
        <family val="1"/>
      </rPr>
      <t xml:space="preserve"> - nhận học Đã nộp 600K, bảo lưu + chuyển nhượng 14/01/2026</t>
    </r>
    <r>
      <rPr>
        <sz val="12"/>
        <color theme="1"/>
        <rFont val="Times New Roman"/>
        <family val="1"/>
      </rPr>
      <t xml:space="preserve">
Vũ Huy Hoàng </t>
    </r>
    <r>
      <rPr>
        <sz val="12"/>
        <color rgb="FFFF0000"/>
        <rFont val="Times New Roman"/>
        <family val="1"/>
      </rPr>
      <t>- nick Hoàng Bảo 964541848</t>
    </r>
  </si>
  <si>
    <t>thaokhong1304@gmail.com</t>
  </si>
  <si>
    <t>Số 19 ngách 2 ngõ 66 Hồ Tùng Mậu, Mai Dịch Hà Nội</t>
  </si>
  <si>
    <t>Theo quy định chị cắt ảnh ở trên thì:
- Phí bảo lưu vào lớp toeic level 1 là 300K
- Phí chuyển nhượng toeic level 2 là 300K
Tổng là 600K em nhé</t>
  </si>
  <si>
    <t>https://www.facebook.com/profile.php?id=100043872978064</t>
  </si>
  <si>
    <t>Nguyễn Chí Cường</t>
  </si>
  <si>
    <t>Số nhà 40, đường số 1, khu nhà thương mại phú hồng thịnh, Phường Tân Đông Hiệp, Thành Phố Dĩ An, Bình Dương</t>
  </si>
  <si>
    <t>500 (310+190)</t>
  </si>
  <si>
    <t>0968003420</t>
  </si>
  <si>
    <t>T212 bảo lưu b19 do bận</t>
  </si>
  <si>
    <t>https://www.facebook.com/hao.henry.739?mibextid=LQQJ4d</t>
  </si>
  <si>
    <r>
      <rPr>
        <sz val="12"/>
        <color theme="1"/>
        <rFont val="Times New Roman"/>
        <family val="1"/>
      </rPr>
      <t>Hoàng Thị Ngọc Hoa -</t>
    </r>
    <r>
      <rPr>
        <sz val="12"/>
        <color rgb="FFFF0000"/>
        <rFont val="Times New Roman"/>
        <family val="1"/>
      </rPr>
      <t xml:space="preserve"> nick Thanh Hoa
T212 bảo lưu b19 do bận. Học lại 19 buổi đóng 50% là 1,500K</t>
    </r>
  </si>
  <si>
    <t xml:space="preserve">thanhhoa250205@gmail.com </t>
  </si>
  <si>
    <t xml:space="preserve">Số 9 ngách 49/294 Lĩnh Nam Hoàng Mai Hà Nội </t>
  </si>
  <si>
    <t>https://drive.google.com/open?id=1_p-VCHJivR5Soazk80oxjCQJQB535VGT</t>
  </si>
  <si>
    <t>05/06/2024 sách cũ. Nộp 100K mua sách 17/02/2025</t>
  </si>
  <si>
    <t>VIP93 bảo lưu buổi 6</t>
  </si>
  <si>
    <t>Nhà số 10, ngõ 322/76/40, Nhân Mỹ, Mỹ Đình 1, Nam Từ Liêm, Hà Nội</t>
  </si>
  <si>
    <r>
      <rPr>
        <sz val="12"/>
        <color theme="1"/>
        <rFont val="Times New Roman"/>
        <family val="1"/>
      </rPr>
      <t>Mai Thị Dịu</t>
    </r>
    <r>
      <rPr>
        <sz val="12"/>
        <color rgb="FFFF0000"/>
        <rFont val="Times New Roman"/>
        <family val="1"/>
      </rPr>
      <t xml:space="preserve"> - Học lại miễn phí ko đạt đầu ra</t>
    </r>
  </si>
  <si>
    <t>https://www.facebook.com/Chanh227</t>
  </si>
  <si>
    <r>
      <rPr>
        <sz val="12"/>
        <color theme="1"/>
        <rFont val="Times New Roman"/>
        <family val="1"/>
      </rPr>
      <t>Đặng Châu Anh</t>
    </r>
    <r>
      <rPr>
        <sz val="12"/>
        <color rgb="FFFF0000"/>
        <rFont val="Times New Roman"/>
        <family val="1"/>
      </rPr>
      <t xml:space="preserve"> - 13/6 giao sách</t>
    </r>
  </si>
  <si>
    <t>KTX B7 Học viện Tài chính, Lê Văn Hiến, Bắc Từ Liêm, Hà Nội</t>
  </si>
  <si>
    <t>PT118</t>
  </si>
  <si>
    <t>https://www.facebook.com/profile.php?id=100025732269796</t>
  </si>
  <si>
    <r>
      <rPr>
        <sz val="12"/>
        <color theme="1"/>
        <rFont val="Times New Roman"/>
        <family val="1"/>
      </rPr>
      <t>Bùi Yến Nhi</t>
    </r>
    <r>
      <rPr>
        <sz val="12"/>
        <color rgb="FFFF0000"/>
        <rFont val="Times New Roman"/>
        <family val="1"/>
      </rPr>
      <t xml:space="preserve"> - Bạn học thay
</t>
    </r>
    <r>
      <rPr>
        <sz val="12"/>
        <color theme="1"/>
        <rFont val="Times New Roman"/>
        <family val="1"/>
      </rPr>
      <t xml:space="preserve">Bùi Đình Hậu </t>
    </r>
    <r>
      <rPr>
        <sz val="12"/>
        <color rgb="FFFF0000"/>
        <rFont val="Times New Roman"/>
        <family val="1"/>
      </rPr>
      <t xml:space="preserve">- chuyển nhượng đã đóng 300K </t>
    </r>
    <r>
      <rPr>
        <sz val="12"/>
        <color theme="1"/>
        <rFont val="Times New Roman"/>
        <family val="1"/>
      </rPr>
      <t xml:space="preserve">896516273
</t>
    </r>
    <r>
      <rPr>
        <sz val="12"/>
        <color rgb="FFFF0000"/>
        <rFont val="Times New Roman"/>
        <family val="1"/>
      </rPr>
      <t>Đổi toeic 1,2 +S sang PT,1, 2</t>
    </r>
  </si>
  <si>
    <t>buiminhhang090414@gmail.com</t>
  </si>
  <si>
    <t>Ktx Học Viện Chính Sách và Phát triển, Xã An Khánh, Huyện Hoài Đức, Hà Nội</t>
  </si>
  <si>
    <t>Em còn 3 khóa chưa học: toeic level 2, toeic nói, toeic viết
Đổi sang: toeic level 1, toeic 2, toeic nói
Toeic viết thay = toeic 1</t>
  </si>
  <si>
    <t>VIP94 bảo lưu b6 sang học W3</t>
  </si>
  <si>
    <t>Số 340 đường Mỹ Đình, phường Mỹ Đình 1, quận Nam Từ Liêm, Hà Nội</t>
  </si>
  <si>
    <t>OVIP27</t>
  </si>
  <si>
    <r>
      <rPr>
        <sz val="12"/>
        <color theme="1"/>
        <rFont val="Times New Roman"/>
        <family val="1"/>
      </rPr>
      <t xml:space="preserve">Trần Thị Hà Phương </t>
    </r>
    <r>
      <rPr>
        <sz val="12"/>
        <color rgb="FFFF0000"/>
        <rFont val="Times New Roman"/>
        <family val="1"/>
      </rPr>
      <t>- đổi W học lại T. Đã nộp 300K 27/09/2024
VIP94 bảo lưu b3 bận việc gia đình. Học OVIP27 buổi 1</t>
    </r>
  </si>
  <si>
    <t>Số 27, ngõ 7 Nguyên Xá, P. Minh Khai, Q. Bắc Từ Liêm, Hà Nội</t>
  </si>
  <si>
    <t>OW1</t>
  </si>
  <si>
    <t>https://www.facebook.com/profile.php?id=100064236200804&amp;mibextid=LQQJ4d</t>
  </si>
  <si>
    <r>
      <rPr>
        <sz val="12"/>
        <color theme="1"/>
        <rFont val="Times New Roman"/>
        <family val="1"/>
      </rPr>
      <t>Nguyễn Thị Nhàn</t>
    </r>
    <r>
      <rPr>
        <sz val="12"/>
        <color rgb="FFFF0000"/>
        <rFont val="Times New Roman"/>
        <family val="1"/>
      </rPr>
      <t xml:space="preserve"> - W2</t>
    </r>
  </si>
  <si>
    <t>VIP99</t>
  </si>
  <si>
    <r>
      <rPr>
        <sz val="12"/>
        <color theme="1"/>
        <rFont val="Times New Roman"/>
        <family val="1"/>
      </rPr>
      <t>Hà Việt Chiến</t>
    </r>
    <r>
      <rPr>
        <sz val="12"/>
        <color rgb="FFFF0000"/>
        <rFont val="Times New Roman"/>
        <family val="1"/>
      </rPr>
      <t xml:space="preserve"> - Đã nộp 300K 13/06/24.  
Chiến ck tiền khóa học cho Bưởi. Bưởi 386217760 chuyển nhượng.
VIP93 bảo lưu b1, Học VIP99 b1. Đã nộp 300K 30/07/24</t>
    </r>
  </si>
  <si>
    <t>Xóm Hồ 1 - Xã Minh Đức - Thành phố Phổ Yên - Tỉnh Thái Nguyên</t>
  </si>
  <si>
    <t>https://drive.google.com/open?id=12n2d3J5SB_TpcF8x23cFQQ53s7zSjJkk</t>
  </si>
  <si>
    <t>Trả lương T05.2024</t>
  </si>
  <si>
    <t>Bưởi đã nhận sách và chuyển lại sách cho Chiến</t>
  </si>
  <si>
    <t>Tống Thị Thu Hà</t>
  </si>
  <si>
    <t>457 Tôn Đức Thắng, phường Hoà Khánh Nam, quận Liên Chiểu, thành phố Đà Nẵng</t>
  </si>
  <si>
    <t>https://www.facebook.com/profile.php?id=100054794198790&amp;mibextid=LQQJ4d</t>
  </si>
  <si>
    <t xml:space="preserve"> ngách 20/3 ,ngõ 20 ,Lê Văn Hiến , Đức Thắng, Bắc Từ Liêm</t>
  </si>
  <si>
    <t>31/03/2024 và 01/05/2024</t>
  </si>
  <si>
    <t>https://drive.google.com/open?id=1BoY5Sif-NiahwP_3q8oSjNSa7N7gWnBD; https://drive.google.com/open?id=1UwnZEmOzgRasSH8D2QZEAcZ1Jq53YPqw; https://drive.google.com/open?id=1EXVL8KUswUx5mQhqsrXkA7aQ3Jsa69Dt</t>
  </si>
  <si>
    <t>https://www.facebook.com/100051171642389/</t>
  </si>
  <si>
    <t>Lại Văn Tuấn</t>
  </si>
  <si>
    <t>Ng.Anh</t>
  </si>
  <si>
    <t xml:space="preserve">  laituan18102003@gmail.com</t>
  </si>
  <si>
    <t>gần ủy ban nhân dân xã yên đồng- xã yên đồng- huyện yên mô- tỉnh ninh bình</t>
  </si>
  <si>
    <t>https://drive.google.com/open?id=15Qk5MMnM_RTgdLqYauy0pia6qqbBMqfR; https://drive.google.com/open?id=1kVKFiRiWAHiZoIojbvByVjAEmk_pYqN6</t>
  </si>
  <si>
    <t>https://www.facebook.com/profile.php?id=100042072127874&amp;mibextid=hu50Ix</t>
  </si>
  <si>
    <t>Trịnh Thị Quỳnh Anh</t>
  </si>
  <si>
    <t>quynhanh05lvt@gmail.com</t>
  </si>
  <si>
    <t>Phú tân- khánh phú- yên khánh - ninh bình</t>
  </si>
  <si>
    <t>28/04/2024 và 30/05/2024</t>
  </si>
  <si>
    <t>https://drive.google.com/open?id=1Q48Q7u855rPB1Y2rQCZuXOewN0a0leDo, https://drive.google.com/open?id=1E4DHIWK50KcFIM5hJahoPuQTOkofQ8tz; https://drive.google.com/open?id=1OVV8soSqsqAafVd69GVgAF_me7e7Xf-p</t>
  </si>
  <si>
    <t>https://www.facebook.com/habaotrang.nguyen.9</t>
  </si>
  <si>
    <t>Nguyễn Thị Ngọc Trang</t>
  </si>
  <si>
    <t>Sn 59 phố văn hội, phường Đức Thắng, quận bắc từ liêm, hà Nội</t>
  </si>
  <si>
    <t>https://drive.google.com/open?id=1AOp0stg1Qv_CWFlRlLapDsS8CQZXbtxc</t>
  </si>
  <si>
    <t>Sách đưa tay Thắng 8 bộ. Lớp OFF chuyển sang học ONLINE</t>
  </si>
  <si>
    <t>https://www.facebook.com/profile.php?id=100065471689035&amp;mibextid=LQQJ4d</t>
  </si>
  <si>
    <t xml:space="preserve">Ninh Thị Hạnh Nguyên </t>
  </si>
  <si>
    <t>ngõ 199 Trần quốc hoàn, dịch vọng hậu, cầu giấy, hà nội</t>
  </si>
  <si>
    <t>04/03/2024 và 26/04/2024 và 31/05/2024</t>
  </si>
  <si>
    <r>
      <rPr>
        <u/>
        <sz val="12"/>
        <color rgb="FF1155CC"/>
        <rFont val="Times New Roman"/>
        <family val="1"/>
      </rPr>
      <t xml:space="preserve">https://drive.google.com/open?id=1493Oca2MNsNYYyALy_Jge3RTL09xokZR; </t>
    </r>
    <r>
      <rPr>
        <u/>
        <sz val="12"/>
        <color rgb="FF1155CC"/>
        <rFont val="Times New Roman"/>
        <family val="1"/>
      </rPr>
      <t>https://drive.google.com/open?id=10dEH9XEZK-wPgL14u8zsdHzxTe2kEO5K</t>
    </r>
  </si>
  <si>
    <t>tuyetnhi20105@gmail.com</t>
  </si>
  <si>
    <t>Số 3 , ngõ 462/10 đường Bưởi , phường Vĩnh Phúc , quận Ba Đình , Hà Nội</t>
  </si>
  <si>
    <t>https://drive.google.com/open?id=1NJ_tyXDgIHH032Ap9jzD2fJAkEBIH0y3</t>
  </si>
  <si>
    <t>Phạm Văn Phú</t>
  </si>
  <si>
    <t>https://drive.google.com/open?id=15lFms2kh0szp1DyVyfFkzVZeO_barAaA</t>
  </si>
  <si>
    <t>https://www.facebook.com/canh.nv.543</t>
  </si>
  <si>
    <t>Nguyễn Văn Cảnh</t>
  </si>
  <si>
    <t>canhnguyen2902@gmail.com</t>
  </si>
  <si>
    <t>https://drive.google.com/open?id=1Hd8B3GLl2M0y0USbxrHMJfhlQd3imIyI; https://drive.google.com/open?id=1jyy_JAtqpxuTa80e-J0_upVOWNFcn4R6</t>
  </si>
  <si>
    <t>https://www.facebook.com/100041755752966/</t>
  </si>
  <si>
    <t xml:space="preserve">Nguyễn Thị Thuận </t>
  </si>
  <si>
    <t>nguyenthuanpt21@gmail.com</t>
  </si>
  <si>
    <t>132 An Dương Vương, Trường Đại học Quy Nhơn Bình Định Quy Nhơn</t>
  </si>
  <si>
    <t>https://drive.google.com/open?id=1pnLZOO-Z_F6bxO0Hye4sPYbR4CLHRcjp; https://drive.google.com/open?id=1X6cbOMkH7_aJa8vBJ7Fnh10HOaeACo6I</t>
  </si>
  <si>
    <t>https://www.facebook.com/phamtu.info</t>
  </si>
  <si>
    <r>
      <rPr>
        <sz val="12"/>
        <color theme="1"/>
        <rFont val="Times New Roman"/>
        <family val="1"/>
      </rPr>
      <t xml:space="preserve">Phạm Thanh Tú </t>
    </r>
    <r>
      <rPr>
        <sz val="12"/>
        <color rgb="FFFF0000"/>
        <rFont val="Times New Roman"/>
        <family val="1"/>
      </rPr>
      <t>(Cần hợp đồng)</t>
    </r>
  </si>
  <si>
    <t>phamtu.info@gmail.com</t>
  </si>
  <si>
    <t>55 Lê Thanh Nghị - Hai Bà Trưng - Hà Nội</t>
  </si>
  <si>
    <t>https://drive.google.com/open?id=1sNgRakOe2dzhmEtbUb3BGQIvVZV9PxMV</t>
  </si>
  <si>
    <t>https://www.facebook.com/100024453649476/</t>
  </si>
  <si>
    <r>
      <rPr>
        <sz val="12"/>
        <color theme="1"/>
        <rFont val="Times New Roman"/>
        <family val="1"/>
      </rPr>
      <t xml:space="preserve">Nguyễn Mạnh Đức </t>
    </r>
    <r>
      <rPr>
        <sz val="12"/>
        <color rgb="FFFF0000"/>
        <rFont val="Times New Roman"/>
        <family val="1"/>
      </rPr>
      <t xml:space="preserve">(tặng mũ + móc khóa) </t>
    </r>
  </si>
  <si>
    <t>ducnb2710@gmail.com i</t>
  </si>
  <si>
    <t>Số nhà 12 hẻm 2/9 ngõ 105 Xuân La, Xuân Tảo, Hà Nội</t>
  </si>
  <si>
    <t>https://drive.google.com/open?id=12ZCgDPAKOVKeX3zvwASQPA5c73gsrEdJ</t>
  </si>
  <si>
    <t>https://www.facebook.com/100043773935614/</t>
  </si>
  <si>
    <t>Hồ Sỹ Hoàng</t>
  </si>
  <si>
    <t>hho19032005@gmail.com</t>
  </si>
  <si>
    <t>11 ngõ 145 Vĩnh Hưng Hoàng Mai Hà Nội</t>
  </si>
  <si>
    <t>https://drive.google.com/open?id=1_o3iIqDPHlb3dbMcOs_L1QJXN0tZEGaF</t>
  </si>
  <si>
    <t>https://www.facebook.com/sun.hin.37</t>
  </si>
  <si>
    <t>Thanh Bình</t>
  </si>
  <si>
    <t>thanhbinh08092004@gmail.com</t>
  </si>
  <si>
    <t>số nhà 25 ngõ 199/59 hồ tùng mậu, phú diễn, hà nội</t>
  </si>
  <si>
    <t>https://drive.google.com/open?id=1E5I7V_g-vF8t104f5b2y6Jow6vdJdWj-</t>
  </si>
  <si>
    <t>Tạ Quỳnh Nga: Số nhà 39, ngách 23/12a, ngõ 23 Xuân La, Tây Hồ, Hà Nội.</t>
  </si>
  <si>
    <t>https://drive.google.com/open?id=1KrO23bc0dYyoS4hvOKQHBOjj4c5IUoh8</t>
  </si>
  <si>
    <t>https://m.facebook.com/len.nguyenthi.37625843?mibextid=LQQJ4d</t>
  </si>
  <si>
    <t>Nguyễn Len: số 5, ngõ 163, Đường Sông Nhuệ, phường Đức Thắng, Bắc Từ Liêm</t>
  </si>
  <si>
    <t>https://drive.google.com/open?id=1_Rq6l2G0ZvRgL9rcTzlhe2R-V8AuCMhU</t>
  </si>
  <si>
    <t>PT76</t>
  </si>
  <si>
    <t>https://www.facebook.com/profile.php?id=100085675103238&amp;mibextid=LQQJ4d</t>
  </si>
  <si>
    <r>
      <rPr>
        <sz val="12"/>
        <color theme="1"/>
        <rFont val="Times New Roman"/>
        <family val="1"/>
      </rPr>
      <t>Nguyễn Văn Sơn</t>
    </r>
    <r>
      <rPr>
        <sz val="12"/>
        <color rgb="FFFF0000"/>
        <rFont val="Times New Roman"/>
        <family val="1"/>
      </rPr>
      <t xml:space="preserve"> - nhận học đã nộp 300K 30/05/24
Nguyễn Thị Huệ 353574283 - đã chuyển nhượng</t>
    </r>
  </si>
  <si>
    <t>sonhanam2004@gmail.com</t>
  </si>
  <si>
    <t>Số nhà 12, Ngách 112/2 Nguyên Xá, Minh Khai, Bắc Từ Liêm, Hà Nội</t>
  </si>
  <si>
    <t>https://drive.google.com/open?id=1SY1_JJRFOV1PelELRMYJT7Tf7WcR3UJO</t>
  </si>
  <si>
    <t>https://www.facebook.com/profile.php?id=100050515533143&amp;mibextid=LQQJ4d</t>
  </si>
  <si>
    <t>https://www.facebook.com/ngocchuyenh</t>
  </si>
  <si>
    <t xml:space="preserve">Nguyễn Thị Ngọc Huyền  </t>
  </si>
  <si>
    <t xml:space="preserve"> ngocchuyenh10@gmail.com</t>
  </si>
  <si>
    <t>An Khánh, Hoài Đức, Hà Nội</t>
  </si>
  <si>
    <t>https://drive.google.com/open?id=1TUY8QoxKyBPhkNGqDmjm--SQNPJApzdq; https://drive.google.com/open?id=1FXO6ieol8KN8fOGENUkqWOG4IL5cXI2W</t>
  </si>
  <si>
    <t>Gửi Minh. Bạn học từ buổi 2</t>
  </si>
  <si>
    <t>https://www.facebook.com/profile.php?id=100054904665711</t>
  </si>
  <si>
    <r>
      <rPr>
        <sz val="12"/>
        <color theme="1"/>
        <rFont val="Times New Roman"/>
        <family val="1"/>
      </rPr>
      <t xml:space="preserve">Lâm Thị Tươi </t>
    </r>
    <r>
      <rPr>
        <sz val="12"/>
        <color rgb="FFFF0000"/>
        <rFont val="Times New Roman"/>
        <family val="1"/>
      </rPr>
      <t>- Cam kết đầu ra gửi học T</t>
    </r>
  </si>
  <si>
    <t>lamthituoi0402@gmail.com</t>
  </si>
  <si>
    <t>Ktx trường Đại học Sư phạm Hà Nội (cổng A5) - 136 Xuân Thủy - Dịch Vọng Hậu - Cầu Giấy - Hà Nội</t>
  </si>
  <si>
    <t>https://drive.google.com/open?id=1JiuEXzU2qOHiRcfRkBjsJNANwk6egHCc</t>
  </si>
  <si>
    <t>https://www.facebook.com/100055143096630/</t>
  </si>
  <si>
    <r>
      <rPr>
        <sz val="12"/>
        <color theme="1"/>
        <rFont val="Times New Roman"/>
        <family val="1"/>
      </rPr>
      <t>Nguyễn Thị Nhung</t>
    </r>
    <r>
      <rPr>
        <sz val="12"/>
        <color rgb="FFFF0000"/>
        <rFont val="Times New Roman"/>
        <family val="1"/>
      </rPr>
      <t xml:space="preserve"> (Cần hợp đồng + cam kết đầu ra) </t>
    </r>
  </si>
  <si>
    <t xml:space="preserve">Phanh </t>
  </si>
  <si>
    <t>nhung0393233477@gmail.com</t>
  </si>
  <si>
    <t xml:space="preserve"> xóm Trung B Đông Mai Xã Khánh Hải Huyện Yên Khánh tỉnh Ninh Bình.</t>
  </si>
  <si>
    <t>https://drive.google.com/open?id=1LYQewBNTT4Nlo8oRmRq6sB-vEdfUysP9</t>
  </si>
  <si>
    <t>https://www.facebook.com/vanhvanh8502?mibextid=LQQJ4d</t>
  </si>
  <si>
    <t>Lê Thị Vân Anh</t>
  </si>
  <si>
    <t>levananh8522@gmail.com</t>
  </si>
  <si>
    <t>ngách 1/92 văn hội,Đức thắng ,quận Bắc từ liêm Hà Nội</t>
  </si>
  <si>
    <t>https://drive.google.com/open?id=1eGnD6iEVT3icv_CqgAuRX-ov9Vmji3VT</t>
  </si>
  <si>
    <t>VIP93 đã chuyển nhượng Chiến 325286428</t>
  </si>
  <si>
    <r>
      <rPr>
        <sz val="12"/>
        <color theme="1"/>
        <rFont val="Times New Roman"/>
        <family val="1"/>
      </rPr>
      <t xml:space="preserve">Nguyễn Thị Bưởi </t>
    </r>
    <r>
      <rPr>
        <sz val="12"/>
        <color rgb="FFFF0000"/>
        <rFont val="Times New Roman"/>
        <family val="1"/>
      </rPr>
      <t xml:space="preserve">- rút VIP93, học viên xin lại học phí
</t>
    </r>
    <r>
      <rPr>
        <sz val="12"/>
        <color theme="1"/>
        <rFont val="Times New Roman"/>
        <family val="1"/>
      </rPr>
      <t xml:space="preserve">Hà Việt Chiến </t>
    </r>
    <r>
      <rPr>
        <sz val="12"/>
        <color rgb="FFFF0000"/>
        <rFont val="Times New Roman"/>
        <family val="1"/>
      </rPr>
      <t>- nhận học thay. Chiến ck cho Bưởi</t>
    </r>
  </si>
  <si>
    <t>Phù Lưu- Trung Nghĩa - Yên Phong - Bắc Ninh</t>
  </si>
  <si>
    <t>T159 -500 (310 +190)</t>
  </si>
  <si>
    <t>https://www.facebook.com/nhinhnguyen.nhinhnguyen.5</t>
  </si>
  <si>
    <t>Nguyễn Thị Nhinh</t>
  </si>
  <si>
    <t xml:space="preserve"> Cột loa - Đồng công - Hương Lâm - Hiệp Hoà - Bắc Giang </t>
  </si>
  <si>
    <t>https://drive.google.com/open?id=1Dp85i7KSwapPdecL9MGheckgNAqYE14j</t>
  </si>
  <si>
    <t>https://www.facebook.com/pham.kay.750</t>
  </si>
  <si>
    <t>Phạm Văn Hậu</t>
  </si>
  <si>
    <t xml:space="preserve">Ph.Anh </t>
  </si>
  <si>
    <t>hau252005@gmail.com</t>
  </si>
  <si>
    <t>Ngách 101/19 ngõ gốc đề, Minh Khai, Hoàng Mai</t>
  </si>
  <si>
    <t>https://drive.google.com/open?id=1iRUFrXAgOBOxydIDDtPNIRY8HE6cd_Tj</t>
  </si>
  <si>
    <t>PT8</t>
  </si>
  <si>
    <t>https://www.facebook.com/crila.sunflower</t>
  </si>
  <si>
    <t>Khuất Mạnh Hùng</t>
  </si>
  <si>
    <t>https://drive.google.com/open?id=1pMucb37jljDStdHZT1b8F6RDEVlBGgY4</t>
  </si>
  <si>
    <t>https://www.facebook.com/profile.php?id=100011306165100&amp;mibextid=LQQJ4d</t>
  </si>
  <si>
    <t>Nguyễn Xuân Bắc</t>
  </si>
  <si>
    <t>thôn Mục Uyên 1, Tẫn Xã, Thạch Thất, Hà Nội</t>
  </si>
  <si>
    <t>https://drive.google.com/open?id=1Naf7liX8eq-5cX7KvX7k36mNVFXDp39S</t>
  </si>
  <si>
    <t>https://www.facebook.com/profile.php?id=100013554614322&amp;mibextid=ZbWKwL</t>
  </si>
  <si>
    <r>
      <rPr>
        <sz val="12"/>
        <color theme="1"/>
        <rFont val="Times New Roman"/>
        <family val="1"/>
      </rPr>
      <t xml:space="preserve">Đỗ Hồng Linh </t>
    </r>
    <r>
      <rPr>
        <sz val="12"/>
        <color rgb="FFFF0000"/>
        <rFont val="Times New Roman"/>
        <family val="1"/>
      </rPr>
      <t>(Cần hợp đồng) - đã nhận sách T1</t>
    </r>
  </si>
  <si>
    <t>haictcui@gmail.com</t>
  </si>
  <si>
    <t>Số 3, Ngách 18/6, Ngõ 18, Kiều Mai, Phúc Diễn, Bắc Từ Liêm, Hà Nội</t>
  </si>
  <si>
    <t>https://drive.google.com/open?id=1lTuEIC2-l6GgaLbSeWbjca_b9OP34TBP</t>
  </si>
  <si>
    <t>Nhài gửi bác bảo vệ</t>
  </si>
  <si>
    <t>VIP110</t>
  </si>
  <si>
    <t>https://www.facebook.com/buinhai0211</t>
  </si>
  <si>
    <t>Bùi Thị Nhài</t>
  </si>
  <si>
    <t>Quán Ăn Vặt bé nốc khu C, Yên nghĩa, Hà Đông</t>
  </si>
  <si>
    <t>https://drive.google.com/open?id=1dNT3HIGVI03LXdzjqRg7WJ9Pq2SkQAES</t>
  </si>
  <si>
    <t>OT30</t>
  </si>
  <si>
    <t>https://www.facebook.com/profile.php?id=100077087346539</t>
  </si>
  <si>
    <r>
      <rPr>
        <sz val="12"/>
        <color theme="1"/>
        <rFont val="Times New Roman"/>
        <family val="1"/>
      </rPr>
      <t xml:space="preserve">Nguyễn Thế Tuấn </t>
    </r>
    <r>
      <rPr>
        <sz val="12"/>
        <color rgb="FFFF0000"/>
        <rFont val="Times New Roman"/>
        <family val="1"/>
      </rPr>
      <t xml:space="preserve">- nhận học, đã nộp 300K 10/10/2024
</t>
    </r>
    <r>
      <rPr>
        <sz val="12"/>
        <color theme="1"/>
        <rFont val="Times New Roman"/>
        <family val="1"/>
      </rPr>
      <t xml:space="preserve">Vương Thị Lan </t>
    </r>
    <r>
      <rPr>
        <sz val="12"/>
        <color rgb="FFFF0000"/>
        <rFont val="Times New Roman"/>
        <family val="1"/>
      </rPr>
      <t>- 0964894057, 964894059 chuyển nhượng</t>
    </r>
  </si>
  <si>
    <t xml:space="preserve">bạn sẽ gửi lại sau khi lấy lại được nick </t>
  </si>
  <si>
    <t xml:space="preserve">Ba lăng xã dũng tiến huyện thường Tín Hà Nội </t>
  </si>
  <si>
    <t>31/05/2024 và 10/10/2024</t>
  </si>
  <si>
    <t>https://drive.google.com/open?id=1Sa-nuq9YiA5PCd5jgOaZU0wLuzuEIsEm</t>
  </si>
  <si>
    <t>Tuấn nộp thêm 1,613 10/10/24 để học T + VIP</t>
  </si>
  <si>
    <t>https://www.facebook.com/hinni.lan.5?mibextidLQQJ4</t>
  </si>
  <si>
    <t>https://www.facebook.com/profile.php?id=100067619229825</t>
  </si>
  <si>
    <r>
      <rPr>
        <sz val="12"/>
        <color theme="1"/>
        <rFont val="Times New Roman"/>
        <family val="1"/>
      </rPr>
      <t xml:space="preserve">Dương Văn Phong </t>
    </r>
    <r>
      <rPr>
        <sz val="12"/>
        <color rgb="FFFF0000"/>
        <rFont val="Times New Roman"/>
        <family val="1"/>
      </rPr>
      <t>- đổi E3 sang PT + T
Đã nộp 2,281K ngày 06/05/2024</t>
    </r>
  </si>
  <si>
    <t>7/22/147 đường Phương Canh Xuân Phương Nam Từ Liêm, Hà Nội</t>
  </si>
  <si>
    <t>08/09/2023 và 06/05/2024</t>
  </si>
  <si>
    <r>
      <rPr>
        <u/>
        <sz val="12"/>
        <color rgb="FF1155CC"/>
        <rFont val="Times New Roman"/>
        <family val="1"/>
      </rPr>
      <t xml:space="preserve">https://drive.google.com/open?id=1LlWix1SHzawNvInUlU-NfdjDwkp4ti0r; https://drive.google.com/open?id=1bfVB8MCLXw_atAI_mnAKizhkOO517_SM; </t>
    </r>
    <r>
      <rPr>
        <u/>
        <sz val="12"/>
        <color rgb="FF1155CC"/>
        <rFont val="Times New Roman"/>
        <family val="1"/>
      </rPr>
      <t>https://drive.google.com/open?id=14-zx-xu8uymIn5AC8nhN7fSo9vLEO1z_</t>
    </r>
  </si>
  <si>
    <t>Tính lương sale 2,281K</t>
  </si>
  <si>
    <t>10,804K - 7,349K = 3,455,000 vnđ tiền dư. =5,736K - 3,455K = 2,281K em nhé</t>
  </si>
  <si>
    <r>
      <rPr>
        <sz val="12"/>
        <color theme="1"/>
        <rFont val="Times New Roman"/>
        <family val="1"/>
      </rPr>
      <t>Nguyễn Long Vũ</t>
    </r>
    <r>
      <rPr>
        <sz val="12"/>
        <color rgb="FFFF0000"/>
        <rFont val="Times New Roman"/>
        <family val="1"/>
      </rPr>
      <t xml:space="preserve"> - đổi T học PT + T. Đã nộp 1,968K 04/05/2024
Nhận chuyển nhượng của 705973063 Mai Văn Hiếu</t>
    </r>
  </si>
  <si>
    <t>https://drive.google.com/open?id=1u9o5kYSGYwpwZgQnAkcRWpPq8LP2kBlr; https://drive.google.com/open?id=1PLMZ4Ct24IIyT-6dQLekVu22azIE7x8D</t>
  </si>
  <si>
    <t>Tính lương sale 1,968K</t>
  </si>
  <si>
    <r>
      <rPr>
        <sz val="12"/>
        <color theme="1"/>
        <rFont val="Times New Roman"/>
        <family val="1"/>
      </rPr>
      <t xml:space="preserve">Phạm Lê Minh </t>
    </r>
    <r>
      <rPr>
        <sz val="12"/>
        <color rgb="FFFF0000"/>
        <rFont val="Times New Roman"/>
        <family val="1"/>
      </rPr>
      <t>- P129. Đổi E2 sang VIP</t>
    </r>
  </si>
  <si>
    <t>Nhài hỏi học phí T1 học viên báo</t>
  </si>
  <si>
    <t>08/02/2023
28/02/2023</t>
  </si>
  <si>
    <t>https://drive.google.com/open?id=1f6TpwJKwJIqEY05-nlLu46cQAa5T5NIv, https://drive.google.com/open?id=1UZFgZnDZ5E99QkgZ_RNdrr_Yjo5H4byD, https://drive.google.com/open?id=1K22rBuB8ivDZSac7_u3cQ6iQo96m2NQH</t>
  </si>
  <si>
    <t>Thắng đưa tay. Combo GT Lv(1+2)+Toeic Lv1. Đã học P129. Đổi E2 sang VIP</t>
  </si>
  <si>
    <r>
      <rPr>
        <sz val="12"/>
        <color theme="1"/>
        <rFont val="Times New Roman"/>
        <family val="1"/>
      </rPr>
      <t xml:space="preserve">Nguyễn Thị Vân Anh </t>
    </r>
    <r>
      <rPr>
        <sz val="12"/>
        <color rgb="FFFF0000"/>
        <rFont val="Times New Roman"/>
        <family val="1"/>
      </rPr>
      <t>- đổi E3 sang PT + T
Đã nộp 2,181K 19/05/2024</t>
    </r>
  </si>
  <si>
    <t>Tính lương sale 2,181K</t>
  </si>
  <si>
    <t>https://www.facebook.com/100041937482319/</t>
  </si>
  <si>
    <r>
      <rPr>
        <sz val="12"/>
        <color theme="1"/>
        <rFont val="Times New Roman"/>
        <family val="1"/>
      </rPr>
      <t>Kim Chi</t>
    </r>
    <r>
      <rPr>
        <sz val="12"/>
        <color rgb="FFFF0000"/>
        <rFont val="Times New Roman"/>
        <family val="1"/>
      </rPr>
      <t xml:space="preserve"> - P126, GR15 học off</t>
    </r>
  </si>
  <si>
    <t xml:space="preserve">Diệp Meca </t>
  </si>
  <si>
    <t>Số 76, ngõ 205 Phú Diễn, Bắc Từ Liêm, Hà Nội</t>
  </si>
  <si>
    <t>https://drive.google.com/open?id=1ppkboeeumHqN23UAlzZNxvzYtqnCfnhw</t>
  </si>
  <si>
    <t>T194 - 640</t>
  </si>
  <si>
    <r>
      <rPr>
        <sz val="12"/>
        <color theme="1"/>
        <rFont val="Times New Roman"/>
        <family val="1"/>
      </rPr>
      <t xml:space="preserve">Trần Thế Vinh </t>
    </r>
    <r>
      <rPr>
        <sz val="12"/>
        <color rgb="FFFF0000"/>
        <rFont val="Times New Roman"/>
        <family val="1"/>
      </rPr>
      <t>- đổi E3 sang W2
P129, GR18 học OFF</t>
    </r>
  </si>
  <si>
    <t>Số 2 Ngõ 9, Đường Cổng Đồn, Minh Kha, Bình Minh, Hà Nội</t>
  </si>
  <si>
    <t>Thôn 8, Thiên Hương, Thuỷ Nguyên, Hải Phòng</t>
  </si>
  <si>
    <t>số nhà 15 nghách 39 ngõ, 64 Vu Trọng Phụng, Thanh Xuân, Hà Nội</t>
  </si>
  <si>
    <t>T214 bảo lưu b5. Hạ báo</t>
  </si>
  <si>
    <t>Toeic (S + W) + tặng 2 khóa Ôn thi</t>
  </si>
  <si>
    <r>
      <rPr>
        <sz val="12"/>
        <color theme="1"/>
        <rFont val="Times New Roman"/>
        <family val="1"/>
      </rPr>
      <t xml:space="preserve">Hoàng Thị Kim Chi </t>
    </r>
    <r>
      <rPr>
        <sz val="12"/>
        <color rgb="FFFF0000"/>
        <rFont val="Times New Roman"/>
        <family val="1"/>
      </rPr>
      <t>- nhận học của Lê Ngọc Hân 976953605
Đã nộp 300K 19/06/2024</t>
    </r>
  </si>
  <si>
    <t>Ngõ 7, đường Phú Kiều, Phúc Diễn, Bắc Từ Liêm, Hà Nội</t>
  </si>
  <si>
    <t>VIP96</t>
  </si>
  <si>
    <t>Nhà 8A,  Ngách 43/9, Ngõ 14  Quang Trung, Hà Đông, Hà Nội</t>
  </si>
  <si>
    <t>Trần Thị Nhi</t>
  </si>
  <si>
    <t xml:space="preserve">Tạp hóa Trang Toàn, Thôn 2, Thạch hoà, Thạch thất, Hà Nội </t>
  </si>
  <si>
    <t>https://www.facebook.com/profile.php?id=100021873186776&amp;mibextid=LQQJ4d</t>
  </si>
  <si>
    <t>Đinh Trần Khánh Linh</t>
  </si>
  <si>
    <t>040304010728</t>
  </si>
  <si>
    <t>Số 15 ngõ 75 Hồ Tùng Mậu, Mai Dịch, Cầu giấy, Hà Nội</t>
  </si>
  <si>
    <t>https://drive.google.com/open?id=1kB3-U0frXWszngrdepB2uFxVJp1Oy_RZ</t>
  </si>
  <si>
    <t>https://www.facebook.com/profile.php?id=100035360863892&amp;mibextid=ZbWKwL</t>
  </si>
  <si>
    <t xml:space="preserve">Nguyễn Tiến Hùng </t>
  </si>
  <si>
    <t>Sáng TR2</t>
  </si>
  <si>
    <t>Số nhà 60, Thượng Thụy, Đức Thượng, Hoài Đức, Hà Nội</t>
  </si>
  <si>
    <t>https://drive.google.com/open?id=1eil6BtFUa6xCdwWMdMOzrjOiGI4p5IGQ</t>
  </si>
  <si>
    <t>127 phố Bùi Thị Cúc-TT Ân Thi - Hưng Yên</t>
  </si>
  <si>
    <r>
      <rPr>
        <sz val="12"/>
        <color theme="1"/>
        <rFont val="Times New Roman"/>
        <family val="1"/>
      </rPr>
      <t xml:space="preserve">Lã Quang Hiến </t>
    </r>
    <r>
      <rPr>
        <sz val="12"/>
        <color rgb="FFFF0000"/>
        <rFont val="Times New Roman"/>
        <family val="1"/>
      </rPr>
      <t>OT24</t>
    </r>
  </si>
  <si>
    <t xml:space="preserve"> Đức Diễn- Phúc Diễn- Bắc Từ Niêm- Hà Nội</t>
  </si>
  <si>
    <t>Đặng Thị Thảo</t>
  </si>
  <si>
    <t>Ngõ 1132, SN1140, Đường Yên Ninh, TP Yên Bái, Yên Bái</t>
  </si>
  <si>
    <t>OT19 ko đạt đầu ra</t>
  </si>
  <si>
    <r>
      <rPr>
        <sz val="12"/>
        <color theme="1"/>
        <rFont val="Times New Roman"/>
        <family val="1"/>
      </rPr>
      <t>Phạm Hồng Nhung</t>
    </r>
    <r>
      <rPr>
        <sz val="12"/>
        <color rgb="FFFF0000"/>
        <rFont val="Times New Roman"/>
        <family val="1"/>
      </rPr>
      <t xml:space="preserve"> - học lại do ko đạt đầu ra</t>
    </r>
  </si>
  <si>
    <t>T217</t>
  </si>
  <si>
    <r>
      <rPr>
        <sz val="12"/>
        <color theme="1"/>
        <rFont val="Times New Roman"/>
        <family val="1"/>
      </rPr>
      <t xml:space="preserve">Lê Khắc Nguyên </t>
    </r>
    <r>
      <rPr>
        <sz val="12"/>
        <color rgb="FFFF0000"/>
        <rFont val="Times New Roman"/>
        <family val="1"/>
      </rPr>
      <t>OT24</t>
    </r>
  </si>
  <si>
    <t>Thôn 5 - Thiệu lí - Thiệu Hoá - Thanh Hoá</t>
  </si>
  <si>
    <t>Số 18a ngách 23/58 Phố Trần Bình Mai Dịch Cầu Giấy</t>
  </si>
  <si>
    <r>
      <rPr>
        <sz val="12"/>
        <color theme="1"/>
        <rFont val="Times New Roman"/>
        <family val="1"/>
      </rPr>
      <t xml:space="preserve">Dương Thị Huyền </t>
    </r>
    <r>
      <rPr>
        <sz val="12"/>
        <color rgb="FFFF0000"/>
        <rFont val="Times New Roman"/>
        <family val="1"/>
      </rPr>
      <t>- nick Trang Huyen</t>
    </r>
  </si>
  <si>
    <t>Số nhà 52 Ngõ 530 đường Thụy Khuê, Tây Hồ, Hà Nội</t>
  </si>
  <si>
    <t>VIP104</t>
  </si>
  <si>
    <t>https://www.facebook.com/profile.php?id=61553358308895&amp;mibextid=LQQJ4d</t>
  </si>
  <si>
    <r>
      <rPr>
        <sz val="12"/>
        <color theme="1"/>
        <rFont val="Times New Roman"/>
        <family val="1"/>
      </rPr>
      <t>Trịnh Quỳnh Anh</t>
    </r>
    <r>
      <rPr>
        <sz val="12"/>
        <color rgb="FFFF0000"/>
        <rFont val="Times New Roman"/>
        <family val="1"/>
      </rPr>
      <t xml:space="preserve"> - OVIP11. Đã nộp 300K 08/10/2024
VIP99 bảo lưu b11. Học VIP104 b14</t>
    </r>
  </si>
  <si>
    <t>51/92 ngõ Linh Quang, Văn Chương, Đống Đa, Hà Nội</t>
  </si>
  <si>
    <t>ngoc 1096 đường láng láng thượng đống đa hà nội</t>
  </si>
  <si>
    <t>KO học nữa</t>
  </si>
  <si>
    <r>
      <rPr>
        <sz val="12"/>
        <color theme="1"/>
        <rFont val="Times New Roman"/>
        <family val="1"/>
      </rPr>
      <t xml:space="preserve">Hoàng Thế Thắng </t>
    </r>
    <r>
      <rPr>
        <sz val="12"/>
        <color rgb="FFFF0000"/>
        <rFont val="Times New Roman"/>
        <family val="1"/>
      </rPr>
      <t>(đổi GT3 =&gt;Toeic 2)
Chăm sóc hỏi HV báo KO học nữa</t>
    </r>
  </si>
  <si>
    <t>C172</t>
  </si>
  <si>
    <t>T215 học viên ko vào học 2 buổi liền, giáo viên liên hệ ko có phản hồi</t>
  </si>
  <si>
    <t>https://www.facebook.com/profile.php?id=100031429534644&amp;mibextid=LQQJ4d</t>
  </si>
  <si>
    <t>Xin Vy Khanh</t>
  </si>
  <si>
    <t>KLinh PB1</t>
  </si>
  <si>
    <t>xinvykhanh@gmail.com</t>
  </si>
  <si>
    <t>75 Chu Văn An, Long Khánh, Đồng Nai</t>
  </si>
  <si>
    <t>https://drive.google.com/open?id=1GRgAtK93TMbQ8Qp0dfrd7vohA_LtBgj0</t>
  </si>
  <si>
    <t>https://www.facebook.com/profile.php?id=100020353726446</t>
  </si>
  <si>
    <r>
      <rPr>
        <sz val="12"/>
        <color theme="1"/>
        <rFont val="Times New Roman"/>
        <family val="1"/>
      </rPr>
      <t xml:space="preserve">Trịnh Thị Trang </t>
    </r>
    <r>
      <rPr>
        <sz val="12"/>
        <color rgb="FFFF0000"/>
        <rFont val="Times New Roman"/>
        <family val="1"/>
      </rPr>
      <t>(đổi E2 học VIP)</t>
    </r>
  </si>
  <si>
    <t>50 Ng. 381 P. Bạch Mai, Hai Bà Trưng, Hà Nội</t>
  </si>
  <si>
    <t>https://drive.google.com/open?id=10VBDGcv2fX7emK2vRwmJK0YmIhEQy4aa; https://drive.google.com/open?id=1RkN3DoNi_p5l6Bi4WaOJ4VszDOaeVyio</t>
  </si>
  <si>
    <t>https://www.facebook.com/profile.php?id=100055973930908</t>
  </si>
  <si>
    <r>
      <rPr>
        <sz val="12"/>
        <color theme="1"/>
        <rFont val="Times New Roman"/>
        <family val="1"/>
      </rPr>
      <t xml:space="preserve">Lê Thị Quỳnh Nga - </t>
    </r>
    <r>
      <rPr>
        <sz val="12"/>
        <color rgb="FFFF0000"/>
        <rFont val="Times New Roman"/>
        <family val="1"/>
      </rPr>
      <t>đổi VIP học T lần 2</t>
    </r>
  </si>
  <si>
    <t>17/745 Trường Chinh - Phường Hạ Long - TP Nam Định</t>
  </si>
  <si>
    <t>https://drive.google.com/open?id=1d-tWbtNt8QsSghAVkBP6bnoE3TCSy-Wa</t>
  </si>
  <si>
    <t>0988142473</t>
  </si>
  <si>
    <t>Nguyễn Trang Nhung</t>
  </si>
  <si>
    <t>21 nghách 38/24 đường Xuân La, Phường Xuân La, Tây Hồ, Hà Nội</t>
  </si>
  <si>
    <t>OB21</t>
  </si>
  <si>
    <t>OPT21</t>
  </si>
  <si>
    <t>https://www.facebook.com/profile.php?id=100023215820848</t>
  </si>
  <si>
    <r>
      <rPr>
        <sz val="12"/>
        <color theme="1"/>
        <rFont val="Times New Roman"/>
        <family val="1"/>
      </rPr>
      <t xml:space="preserve">Nguyễn Anh Tài </t>
    </r>
    <r>
      <rPr>
        <sz val="12"/>
        <color rgb="FFFF0000"/>
        <rFont val="Times New Roman"/>
        <family val="1"/>
      </rPr>
      <t>- đổi Thọc PT
Học lên T đóng thêm 1,968K</t>
    </r>
  </si>
  <si>
    <t>ở lớp</t>
  </si>
  <si>
    <t>https://drive.google.com/open?id=1avZh20wy5_lZNx2agDfkgo6RbsumAhDj; https://drive.google.com/open?id=1T6YiDZdYjfgdsI_7glfm3bV71V0uukuU</t>
  </si>
  <si>
    <r>
      <rPr>
        <sz val="12"/>
        <color theme="1"/>
        <rFont val="Times New Roman"/>
        <family val="1"/>
      </rPr>
      <t>Nguyễn Đức Mạnh</t>
    </r>
    <r>
      <rPr>
        <sz val="12"/>
        <color rgb="FFFF0000"/>
        <rFont val="Times New Roman"/>
        <family val="1"/>
      </rPr>
      <t xml:space="preserve"> - học lại ko đạt đầu ra</t>
    </r>
  </si>
  <si>
    <t>Số 14,Ngách 1/23 Văn Hội, phường Đức Thắng, Quận Bắc Từ Liêm</t>
  </si>
  <si>
    <t>B681</t>
  </si>
  <si>
    <t>https://www.facebook.com/profile.php?id=100091737784803</t>
  </si>
  <si>
    <r>
      <rPr>
        <sz val="12"/>
        <color theme="1"/>
        <rFont val="Times New Roman"/>
        <family val="1"/>
      </rPr>
      <t xml:space="preserve">Đinh Thùy Dương </t>
    </r>
    <r>
      <rPr>
        <sz val="12"/>
        <color rgb="FFFF0000"/>
        <rFont val="Times New Roman"/>
        <family val="1"/>
      </rPr>
      <t>- đổi E3 học T</t>
    </r>
  </si>
  <si>
    <t>dinhthuyduong299@gmail.com</t>
  </si>
  <si>
    <t>Số nhà 5, ngõ 103/51 cổ nhuế 2, bắc từ liêm ,tp hà nội</t>
  </si>
  <si>
    <t>https://drive.google.com/open?id=13B_JLj2qUmnhKu4kI7UaAwiKFlRV-e0A; https://drive.google.com/open?id=1HdF-JLwZ0iHfvog45mPtrjQt-UWufVKA</t>
  </si>
  <si>
    <t>Ngách 3/85 Lê Văn Hiến, phường Đức Thắng, Quận Bắc Từ Liêm, Hà Nội</t>
  </si>
  <si>
    <t>Nhà 2A-ngách22-ngõ 134 Đ. Cầu Diễn, Minh Khai, Bắc Từ Liêm, Hà Nội</t>
  </si>
  <si>
    <t>W3</t>
  </si>
  <si>
    <t>Nhà Kiên Hường - Thôn 1 - Minh Tân - Thuỷ Nguyên - Hải Phòng</t>
  </si>
  <si>
    <t>Phùng Thị Khánh Huyền</t>
  </si>
  <si>
    <t>Ngõ 2, Xuân Đỉnh, Bắc Từ Liêm, Hà Nội</t>
  </si>
  <si>
    <t>Số 1 Ngõ 199 Hồ Tùng Mậu, Nam Từ Liêm, Hà Nội</t>
  </si>
  <si>
    <t>S2</t>
  </si>
  <si>
    <t>Số 7, Ngách 324/33 Phương Canh, Phương Canh, Nam Từ Liêm, Hà Nội</t>
  </si>
  <si>
    <r>
      <rPr>
        <sz val="12"/>
        <color theme="1"/>
        <rFont val="Times New Roman"/>
        <family val="1"/>
      </rPr>
      <t xml:space="preserve">Bùi Thị Hồng Nhung </t>
    </r>
    <r>
      <rPr>
        <sz val="12"/>
        <color rgb="FFFF0000"/>
        <rFont val="Times New Roman"/>
        <family val="1"/>
      </rPr>
      <t>- học lại ko đạt đầu ra</t>
    </r>
  </si>
  <si>
    <t xml:space="preserve">số nhà 005/004 Phạm Ngọc Thạch, Tổ dân phố 2 thị trấn Tân Uyên, huyện Tân Uyên, tỉnh Lai Châu </t>
  </si>
  <si>
    <t>VIP122 nghỉ ngang b13. hỏi Hạ</t>
  </si>
  <si>
    <r>
      <rPr>
        <sz val="12"/>
        <color theme="1"/>
        <rFont val="Times New Roman"/>
        <family val="1"/>
      </rPr>
      <t>Nguyễn Ngọc Quỳnh</t>
    </r>
    <r>
      <rPr>
        <sz val="12"/>
        <color rgb="FFFF0000"/>
        <rFont val="Times New Roman"/>
        <family val="1"/>
      </rPr>
      <t xml:space="preserve"> - đã nộp 300K 05/08/2024</t>
    </r>
    <r>
      <rPr>
        <sz val="12"/>
        <color theme="1"/>
        <rFont val="Times New Roman"/>
        <family val="1"/>
      </rPr>
      <t xml:space="preserve">
</t>
    </r>
    <r>
      <rPr>
        <sz val="12"/>
        <color rgb="FFFF0000"/>
        <rFont val="Times New Roman"/>
        <family val="1"/>
      </rPr>
      <t>VIP96 bảo lưu b2 đi quân sự. Học VIP122 b1</t>
    </r>
  </si>
  <si>
    <t>Số nhà 14B, Ngõ 144 ngách 4 hẻm 16 Quan Nhân - Nhân Chính - Q.Thanh Xuân - Hà Nội</t>
  </si>
  <si>
    <t>T230</t>
  </si>
  <si>
    <r>
      <rPr>
        <sz val="12"/>
        <color theme="1"/>
        <rFont val="Times New Roman"/>
        <family val="1"/>
      </rPr>
      <t xml:space="preserve">Trịnh Hoàng Phúc </t>
    </r>
    <r>
      <rPr>
        <sz val="12"/>
        <color rgb="FFFF0000"/>
        <rFont val="Times New Roman"/>
        <family val="1"/>
      </rPr>
      <t>T216</t>
    </r>
  </si>
  <si>
    <t>Số nhà 45 ngõ 260 cầu giấy quan hoa cầu giấy hà nội</t>
  </si>
  <si>
    <t>Hạ Vụ 1, Vạn Phái, Phổ Yên, Thái Nguyên</t>
  </si>
  <si>
    <t>Số nhà 98, hẻm 165/49/25 Dương Quảng Hàm, Quan Hoa, Cầu Giấy, Hà Nội</t>
  </si>
  <si>
    <t>Số 9 đường Văn Học, Kim Chung,Đông Anh,Hà Nội</t>
  </si>
  <si>
    <t>T218</t>
  </si>
  <si>
    <t xml:space="preserve">Số 7/22/147 đường Phương Canh - Xuân Phương - Nam Từ Liêm - Hà Nội </t>
  </si>
  <si>
    <t>Ngõ 199, Trần Quốc Hoàn, P. Dịch Vọng Hậu, Q. Cầu Giấy, Tp. Hà Nội</t>
  </si>
  <si>
    <t>Xóm Hoàng La Trung, Diễn Hoàng, Diễn Châu, Nghệ An</t>
  </si>
  <si>
    <t>VIP102 bảo lưu b10 chưa nộp 300K</t>
  </si>
  <si>
    <r>
      <rPr>
        <sz val="12"/>
        <color theme="1"/>
        <rFont val="Times New Roman"/>
        <family val="1"/>
      </rPr>
      <t xml:space="preserve">Trần Văn Lâm </t>
    </r>
    <r>
      <rPr>
        <sz val="12"/>
        <color rgb="FFFF0000"/>
        <rFont val="Times New Roman"/>
        <family val="1"/>
      </rPr>
      <t>- đã nộp 300K 02/08/24
OVIP11 học 4 buổi. Học VIP102 b1</t>
    </r>
  </si>
  <si>
    <t>22/173-phương canh -Nam Từ Liêm - Hà Nội</t>
  </si>
  <si>
    <r>
      <rPr>
        <sz val="12"/>
        <color theme="1"/>
        <rFont val="Times New Roman"/>
        <family val="1"/>
      </rPr>
      <t>Phạm Thanh Tú</t>
    </r>
    <r>
      <rPr>
        <sz val="12"/>
        <color rgb="FFFF0000"/>
        <rFont val="Times New Roman"/>
        <family val="1"/>
      </rPr>
      <t xml:space="preserve"> - sáng thứ 6 nhận</t>
    </r>
  </si>
  <si>
    <t>55 Lê Thanh Nghị - Bách Khoa - Hai Bà Trưng - Hà Nội</t>
  </si>
  <si>
    <t>Phú Tân- Khánh Phú- Yên Khánh- Ninh Bình</t>
  </si>
  <si>
    <t>Nhà 8 tổ 5 phường Đồng Quang - TP Thái Nguyên - Tỉnh Thái Nguyên</t>
  </si>
  <si>
    <t>https://www.facebook.com/profile.php?id=100024067505946</t>
  </si>
  <si>
    <r>
      <rPr>
        <sz val="12"/>
        <color theme="1"/>
        <rFont val="Times New Roman"/>
        <family val="1"/>
      </rPr>
      <t xml:space="preserve">Ngô Thị Anh </t>
    </r>
    <r>
      <rPr>
        <sz val="12"/>
        <color rgb="FFFF0000"/>
        <rFont val="Times New Roman"/>
        <family val="1"/>
      </rPr>
      <t>(đổi E3 =&gt;Toeic 1)</t>
    </r>
  </si>
  <si>
    <t>Trịnh Luyến</t>
  </si>
  <si>
    <t>28b ngách 159 ngõ 13, Lĩnh Nam, Hoàng Mai, Hà Nội</t>
  </si>
  <si>
    <t>https://drive.google.com/open?id=1K_xrZ-es2EMNC_8i9ZrOqTAFwivS7vD_</t>
  </si>
  <si>
    <t>0866862110</t>
  </si>
  <si>
    <r>
      <rPr>
        <sz val="12"/>
        <color theme="1"/>
        <rFont val="Times New Roman"/>
        <family val="1"/>
      </rPr>
      <t xml:space="preserve">Nguyễn Đình Lam </t>
    </r>
    <r>
      <rPr>
        <sz val="12"/>
        <color rgb="FFFF0000"/>
        <rFont val="Times New Roman"/>
        <family val="1"/>
      </rPr>
      <t>- 10/7 gửi sách</t>
    </r>
  </si>
  <si>
    <r>
      <rPr>
        <sz val="12"/>
        <color theme="1"/>
        <rFont val="Times New Roman"/>
        <family val="1"/>
      </rPr>
      <t xml:space="preserve">Đặng Anh Tuấn </t>
    </r>
    <r>
      <rPr>
        <sz val="12"/>
        <color rgb="FFFF0000"/>
        <rFont val="Times New Roman"/>
        <family val="1"/>
      </rPr>
      <t>- trước 14/7 đưa sách tay</t>
    </r>
  </si>
  <si>
    <t>Ngõ 62, Đặng Tiến Đông, tổ 7 phường Tây Sơn, TP Tam Điệp, tỉnh Ninh Bình</t>
  </si>
  <si>
    <r>
      <rPr>
        <sz val="12"/>
        <color theme="1"/>
        <rFont val="Times New Roman"/>
        <family val="1"/>
      </rPr>
      <t xml:space="preserve">Vũ Thị Hằng </t>
    </r>
    <r>
      <rPr>
        <sz val="12"/>
        <color rgb="FFFF0000"/>
        <rFont val="Times New Roman"/>
        <family val="1"/>
      </rPr>
      <t>- học lại miễn phí</t>
    </r>
  </si>
  <si>
    <t>Số 1317 phố Sáo, Ngãi Cầu, An Khánh, Hoài Đức, Hà Nội</t>
  </si>
  <si>
    <r>
      <rPr>
        <sz val="12"/>
        <color theme="1"/>
        <rFont val="Times New Roman"/>
        <family val="1"/>
      </rPr>
      <t xml:space="preserve">Nguyễn Thị Huyền </t>
    </r>
    <r>
      <rPr>
        <sz val="12"/>
        <color rgb="FFFF0000"/>
        <rFont val="Times New Roman"/>
        <family val="1"/>
      </rPr>
      <t>- S2</t>
    </r>
  </si>
  <si>
    <t>T220</t>
  </si>
  <si>
    <r>
      <rPr>
        <sz val="12"/>
        <color theme="1"/>
        <rFont val="Times New Roman"/>
        <family val="1"/>
      </rPr>
      <t xml:space="preserve">Dương Thị Ánh Huyền </t>
    </r>
    <r>
      <rPr>
        <sz val="12"/>
        <color rgb="FFFF0000"/>
        <rFont val="Times New Roman"/>
        <family val="1"/>
      </rPr>
      <t>0868147180 sđt nhận sách</t>
    </r>
  </si>
  <si>
    <t>Khu Đỉnh Đồng, xã Quảng Yên, Thanh Ba, Phú Thọ</t>
  </si>
  <si>
    <t>Xóm7-Khánh Thủy- Yên Khánh- Ninh Bình</t>
  </si>
  <si>
    <t>Thôn Lũng Quý, xã Kiến Quốc, huyện Ninh Giang, tỉnh Hải Dương</t>
  </si>
  <si>
    <t>Đức Meca chat xếp lớp</t>
  </si>
  <si>
    <t>xóm 1- xã Nghĩa Tiến - thị xã Thái Hoà- tỉnh Nghệ An</t>
  </si>
  <si>
    <t>https://www.facebook.com/vhopng.194?mibextid=ZbWKwL</t>
  </si>
  <si>
    <r>
      <rPr>
        <sz val="12"/>
        <color theme="1"/>
        <rFont val="Times New Roman"/>
        <family val="1"/>
      </rPr>
      <t xml:space="preserve">Nguyễn Thanh Tâm </t>
    </r>
    <r>
      <rPr>
        <sz val="12"/>
        <color rgb="FFFF0000"/>
        <rFont val="Times New Roman"/>
        <family val="1"/>
      </rPr>
      <t>- học lại miễn phí ko đạt đầu ra</t>
    </r>
  </si>
  <si>
    <r>
      <rPr>
        <sz val="12"/>
        <color theme="1"/>
        <rFont val="Times New Roman"/>
        <family val="1"/>
      </rPr>
      <t>Tạ Thị Bích Ngọc</t>
    </r>
    <r>
      <rPr>
        <sz val="12"/>
        <color rgb="FFFF0000"/>
        <rFont val="Times New Roman"/>
        <family val="1"/>
      </rPr>
      <t xml:space="preserve"> - học lại miễn phí ko đạt đầu ra</t>
    </r>
  </si>
  <si>
    <t>OT16, OT25</t>
  </si>
  <si>
    <t>OT42</t>
  </si>
  <si>
    <r>
      <rPr>
        <sz val="12"/>
        <color theme="1"/>
        <rFont val="Times New Roman"/>
        <family val="1"/>
      </rPr>
      <t xml:space="preserve">Vũ Duy Thành </t>
    </r>
    <r>
      <rPr>
        <sz val="12"/>
        <color rgb="FFFF0000"/>
        <rFont val="Times New Roman"/>
        <family val="1"/>
      </rPr>
      <t>- học lại miễn phí ko đạt đầu ra
OT25 bảo lưu b7. Học OT42 buổi 1. Đã nộp 300K 18/11/24</t>
    </r>
  </si>
  <si>
    <t>T219</t>
  </si>
  <si>
    <r>
      <rPr>
        <sz val="12"/>
        <color theme="1"/>
        <rFont val="Times New Roman"/>
        <family val="1"/>
      </rPr>
      <t>Nguyễn Thị Cẩm Tú</t>
    </r>
    <r>
      <rPr>
        <sz val="12"/>
        <color rgb="FFFF0000"/>
        <rFont val="Times New Roman"/>
        <family val="1"/>
      </rPr>
      <t xml:space="preserve"> - học lại miễn phí ko đạt đầu ra, MUA SÁCH</t>
    </r>
  </si>
  <si>
    <t>TDP Nhập Thành TT Chũ ,Huyện Lục Ngạn , Bắc Giang</t>
  </si>
  <si>
    <t>28/12/2023 mua sách</t>
  </si>
  <si>
    <t>T221</t>
  </si>
  <si>
    <t xml:space="preserve">Số 10, Ngõ 72 Phúc Diễn, P. Phúc Diễn, Q. Bắc Từ Liêm Hà Nội </t>
  </si>
  <si>
    <r>
      <rPr>
        <sz val="12"/>
        <color theme="1"/>
        <rFont val="Times New Roman"/>
        <family val="1"/>
      </rPr>
      <t>Dương Minh Ngọc</t>
    </r>
    <r>
      <rPr>
        <sz val="12"/>
        <color rgb="FFFF0000"/>
        <rFont val="Times New Roman"/>
        <family val="1"/>
      </rPr>
      <t xml:space="preserve"> - học lại miễn phí ko đạt đầu ra</t>
    </r>
  </si>
  <si>
    <t>Văn Mai Anh</t>
  </si>
  <si>
    <t>Xóm Đông, thôn Uông Hạ, xã Minh Tân, huyện Nam Sách, Hải Dương</t>
  </si>
  <si>
    <t>Cầu Đồng 10, xã Ngọc Lý, huyện Tân Yên, tỉnh Bắc Giang</t>
  </si>
  <si>
    <t>Số nhà 1A ngách 19 ngõ 184 Hoa bằng,Yên hoà,Cầu giấy,Hà Nội</t>
  </si>
  <si>
    <t>Trường trung cấp nghề công trình 1, Tân Dân, Sóc Sơn, Hà Nội</t>
  </si>
  <si>
    <t>https://www.facebook.com/profile.php?id=100093379563353&amp;mibextid=LQQJ4d</t>
  </si>
  <si>
    <r>
      <rPr>
        <sz val="12"/>
        <color theme="1"/>
        <rFont val="Times New Roman"/>
        <family val="1"/>
      </rPr>
      <t>Lê Thu Trang</t>
    </r>
    <r>
      <rPr>
        <sz val="12"/>
        <color rgb="FFFF0000"/>
        <rFont val="Times New Roman"/>
        <family val="1"/>
      </rPr>
      <t xml:space="preserve"> -  Đã nộp 150K 10/04/2024
PT72 bảo lưu b1 do trùng lịch. Quay lại PT73.</t>
    </r>
  </si>
  <si>
    <t>lethutrang383@gmail.com</t>
  </si>
  <si>
    <t>Ngõ 1 ngách 4, Định Công, Hoàng Mai, Hà Nội</t>
  </si>
  <si>
    <t>https://drive.google.com/open?id=1qmpMGDAg1ZIQ1tH8EA-WZE2Tdb8xxFEF</t>
  </si>
  <si>
    <t>Trả lương T06.2024</t>
  </si>
  <si>
    <t>HV báo hạ Combo</t>
  </si>
  <si>
    <t>https://www.facebook.com/duonghung7825?mibextid=LQQJ4d</t>
  </si>
  <si>
    <t>Ngô Dương Hùng</t>
  </si>
  <si>
    <t>Bảo</t>
  </si>
  <si>
    <t>ngoduonghung2810@gmail.com</t>
  </si>
  <si>
    <t>Tổ 3- TT Quang Minh-Mê Linh- Hà Nội</t>
  </si>
  <si>
    <t>https://drive.google.com/open?id=1hV7cQhST9HsNySMFV5-WD9O9Swj-8FsI; https://drive.google.com/open?id=1ucRrAN4D8qo3Frpe8JEHUeLmeLH4xlig</t>
  </si>
  <si>
    <t>https://www.facebook.com/huyntrng.ea.2813</t>
  </si>
  <si>
    <t>Trần Lê Huyền Trang</t>
  </si>
  <si>
    <t>tranlhtrang2813@gmail.com</t>
  </si>
  <si>
    <t xml:space="preserve">Xóm Cầu, thạch khoán, thanh sơn, phú thọ </t>
  </si>
  <si>
    <t>https://drive.google.com/open?id=11lcD74rNZfzEfxz8sJ4iyC53EQDW9l-6; https://drive.google.com/open?id=15rourU3TU3XYu0JTlzlhCMxzughMyQtd</t>
  </si>
  <si>
    <t>https://www.facebook.com/tzanghuongnoi</t>
  </si>
  <si>
    <t xml:space="preserve">Vũ Trường Giang </t>
  </si>
  <si>
    <t>vtzang7504@gmail.com</t>
  </si>
  <si>
    <t>03/06/2024 và 09/06/2024</t>
  </si>
  <si>
    <t>https://drive.google.com/open?id=1ZgCcVGhfl-Bh1GR9zAlZKyXB5KZgoIEK; https://drive.google.com/open?id=1UVFZR6ExBvtzUFPihrZKwG0x4vB2nBA2</t>
  </si>
  <si>
    <t>C183</t>
  </si>
  <si>
    <t>https://www.facebook.com/an.duonghieu.7</t>
  </si>
  <si>
    <t>Mỹ Hạnh</t>
  </si>
  <si>
    <t>Số nhà 12 - tổ 17 ( cạnh binh đoàn 12-BQP)- yên nghĩa, Phường Yên Nghĩa, Quận Hà Đông, Hà Nội</t>
  </si>
  <si>
    <t>https://drive.google.com/open?id=19gTDAJoiHmYUZxYJuvSS5CUbKNAktH-0, https://drive.google.com/open?id=1LFx8xWftftlkx1dvFo6RkiWWttM6KUJU</t>
  </si>
  <si>
    <t>https://www.facebook.com/profile.php?id=100028176672530</t>
  </si>
  <si>
    <r>
      <rPr>
        <sz val="12"/>
        <color theme="1"/>
        <rFont val="Times New Roman"/>
        <family val="1"/>
      </rPr>
      <t>Trần Anh Tuấn</t>
    </r>
    <r>
      <rPr>
        <sz val="12"/>
        <color rgb="FFFF0000"/>
        <rFont val="Times New Roman"/>
        <family val="1"/>
      </rPr>
      <t xml:space="preserve"> (Cần hợp đồng</t>
    </r>
    <r>
      <rPr>
        <sz val="12"/>
        <color theme="1"/>
        <rFont val="Times New Roman"/>
        <family val="1"/>
      </rPr>
      <t xml:space="preserve">) </t>
    </r>
  </si>
  <si>
    <t xml:space="preserve"> trananhtuan26082004@gmail.com</t>
  </si>
  <si>
    <t xml:space="preserve">Số nhà 3, ngách 149/3, ngõ 149, phường khương thượng, quận Đống Đa, Hà Nội </t>
  </si>
  <si>
    <t>https://drive.google.com/open?id=11NHqzHt4P3h-gLvV775cVcGo8RAMyMP_</t>
  </si>
  <si>
    <t>https://www.facebook.com/profile.php?id=100090526551169</t>
  </si>
  <si>
    <r>
      <rPr>
        <sz val="12"/>
        <color theme="1"/>
        <rFont val="Times New Roman"/>
        <family val="1"/>
      </rPr>
      <t>Cao Nhật Minh</t>
    </r>
    <r>
      <rPr>
        <sz val="12"/>
        <color rgb="FFFF0000"/>
        <rFont val="Times New Roman"/>
        <family val="1"/>
      </rPr>
      <t xml:space="preserve"> 914432554 sđt mẹ</t>
    </r>
  </si>
  <si>
    <t>cnmmen33207@gmail.com</t>
  </si>
  <si>
    <t>Liêng Trang 2, Đạ Tông, Đam Rông, Lâm Đồng</t>
  </si>
  <si>
    <t>https://drive.google.com/open?id=1i7nxrdpzyiIOanP-4zBHMwjtMqvX9xis</t>
  </si>
  <si>
    <t>https://www.facebook.com/profile.php?id=100022686696836&amp;mibextid=LQQJ4d</t>
  </si>
  <si>
    <t xml:space="preserve">Trần Văn Tài </t>
  </si>
  <si>
    <t xml:space="preserve">havu2018.2207@gmail.com  </t>
  </si>
  <si>
    <t>C405 Eco city, Đào Duy Tập, Việt Hưng, Long Biên, Hà Nội</t>
  </si>
  <si>
    <t>https://drive.google.com/open?id=1dKOXJOJ2GEGeS0C8X7IPj1-A5mBeBG-g; https://drive.google.com/open?id=1wcleEFteHcHTjTXt1yaId51Mr333dbZz</t>
  </si>
  <si>
    <t>https://www.facebook.com/Bichtae3012</t>
  </si>
  <si>
    <t>Đoàn Thị Bích</t>
  </si>
  <si>
    <t>nước ngoài</t>
  </si>
  <si>
    <t>https://drive.google.com/open?id=1c5qOvynCK5RHv9gfzPtCjZoNEa-jc729; https://drive.google.com/open?id=1WzmyePKdf3fUdaeJ-TAvsGU0Ptm1NX76</t>
  </si>
  <si>
    <t>PT78</t>
  </si>
  <si>
    <t>https://www.facebook.com/ciivediamo?mibextid=LQQJ4d</t>
  </si>
  <si>
    <t xml:space="preserve">Phạm Trang </t>
  </si>
  <si>
    <t>94 Bạch Đằng, Chương Dương, Hoàn Kiếm, Hà Nội</t>
  </si>
  <si>
    <t>https://drive.google.com/open?id=1dQB_6byLFuQwGT-nqfy_nAiEnPZ7wHkm</t>
  </si>
  <si>
    <t xml:space="preserve">Lê Ngọc Huy </t>
  </si>
  <si>
    <t>Số 4 đường Hoàng Hoa Thám, TP Thái Nguyên, Thái Nguyên</t>
  </si>
  <si>
    <t>https://drive.google.com/open?id=1LWj7EHkAM1C1sNjt0tZFDmCygzwZG0R8; https://drive.google.com/open?id=141U3UV3ReniPs3nb_46iNtSq5tTe7RlM</t>
  </si>
  <si>
    <t>PT79</t>
  </si>
  <si>
    <t>https://www.facebook.com/hung.haxuan.1407</t>
  </si>
  <si>
    <r>
      <rPr>
        <sz val="12"/>
        <color theme="1"/>
        <rFont val="Times New Roman"/>
        <family val="1"/>
      </rPr>
      <t xml:space="preserve">Hà Xuân Hùng </t>
    </r>
    <r>
      <rPr>
        <sz val="12"/>
        <color rgb="FFFF0000"/>
        <rFont val="Times New Roman"/>
        <family val="1"/>
      </rPr>
      <t>- Tiến Vào Màn Đêm</t>
    </r>
  </si>
  <si>
    <t>hung0989302599@gmail.com</t>
  </si>
  <si>
    <t>kim tiền-kim hoa-mê linh-hà nội</t>
  </si>
  <si>
    <t>https://drive.google.com/open?id=1e8eIvmwi55ktPnQdd25AbJvcS_E_qVgq</t>
  </si>
  <si>
    <t>https://www.facebook.com/profile.php?id=100080622621474</t>
  </si>
  <si>
    <t>Nguyễn Văn Hiếu</t>
  </si>
  <si>
    <t>hieunguyenvan2444@gmail.com</t>
  </si>
  <si>
    <t>https://drive.google.com/open?id=1FNDZRxa172sRY0zc6h4JoSvpq1bQkvxX</t>
  </si>
  <si>
    <t>&lt; 350</t>
  </si>
  <si>
    <t>Trung đưa tay</t>
  </si>
  <si>
    <t>https://www.facebook.com/nhanlinkbayacc?mibextid=kFxxJ</t>
  </si>
  <si>
    <t>Vũ Thị Diễm Quỳnh</t>
  </si>
  <si>
    <t>Én</t>
  </si>
  <si>
    <t>vudiemquynh0910@gmail.com</t>
  </si>
  <si>
    <t>Nhận trên vp</t>
  </si>
  <si>
    <t>https://drive.google.com/open?id=1V9Odi7oW44Mtx2K0spPMm8NmqpcyczcQ; https://drive.google.com/open?id=13OynjIDbkppwijmb4FtMx6EhrH71qdkz</t>
  </si>
  <si>
    <t>82 Hậu Ái, Vân Canh, Hoài Đức , Hà Nội</t>
  </si>
  <si>
    <t>https://drive.google.com/open?id=1PEyDqLSegr3ubmEL5Lz4gXb39_Z59DeR</t>
  </si>
  <si>
    <t>https://www.facebook.com/profile.php?id=100025241209305</t>
  </si>
  <si>
    <t>Nguyễn Hữu Duy</t>
  </si>
  <si>
    <t>nguyenhuuduy2018hl@gmail.com</t>
  </si>
  <si>
    <t>Tổ 52G khu 4A Cao Xanh Hạ Long Quảng Ninh</t>
  </si>
  <si>
    <t>https://drive.google.com/open?id=1A_y-d5GhUWKG8aZ1wZQyuuMhqm-jVbU5</t>
  </si>
  <si>
    <t>https://www.facebook.com/profile.php?id=100044395065651</t>
  </si>
  <si>
    <t>Vũ Thị Trà My</t>
  </si>
  <si>
    <t>Huyền LuNa</t>
  </si>
  <si>
    <t>Thôn An Lạc, xã Trưng Trắc, Văn Lâm, Hưng Yên</t>
  </si>
  <si>
    <t>https://drive.google.com/open?id=19JLEEOUtyfXuh99VuCKN3T-ojFVPfdaW</t>
  </si>
  <si>
    <t>PT81</t>
  </si>
  <si>
    <t>https://www.facebook.com/profile.php?id=100070143866097&amp;mibextid=ZbWKwL</t>
  </si>
  <si>
    <t>Phạm Hồng Anh</t>
  </si>
  <si>
    <t>honganhpham12345678@gmail.com</t>
  </si>
  <si>
    <t>9/55 đường phạm Hồng Thái phường Bà Triệu thành phố Nam Định tỉnh Nam Định</t>
  </si>
  <si>
    <t>https://drive.google.com/open?id=1YxGJvwjFoiGsPCbeaTbBRSXoecAQ_jEB</t>
  </si>
  <si>
    <t>Thôn Ngò, xã Tân Tiến, thành phố Bắc Giang, Bắc Giang</t>
  </si>
  <si>
    <t>https://drive.google.com/open?id=15-HxZOspGa2g5-6xoHV23OC54mkhYmUt</t>
  </si>
  <si>
    <t>https://www.facebook.com/profile.php?id=100037810461808&amp;mibextid=LQQJ4d</t>
  </si>
  <si>
    <t>Nguyễn Vân Lê Khánh Linh</t>
  </si>
  <si>
    <t>yunogasai601@gmail.com</t>
  </si>
  <si>
    <t>40 phú xá phú thượng tây hồ hà nội</t>
  </si>
  <si>
    <t>https://drive.google.com/open?id=1lwxGKMIgHRoigzjjxWZ9gwK4ZG5pzO9A, https://drive.google.com/open?id=1qs1EMEmftIJpU58G4MQvD9hboJW_bqic</t>
  </si>
  <si>
    <t>nguyenthanhtam1208@gmail.com</t>
  </si>
  <si>
    <t>Công ty sản xuất và thương mại NIPLAS (gần toyota ninh bình) Khu công nghiệp phúc sơn- ninh phúc - ninh bình.</t>
  </si>
  <si>
    <t>https://drive.google.com/open?id=15nEnuirSfdteRp623CS6psCtZOHk7jQv</t>
  </si>
  <si>
    <t>https://www.facebook.com/profile.php?id=100043200883237&amp;mibextid=kFxxJD</t>
  </si>
  <si>
    <t>Phùng Lê Ngọc Trâm</t>
  </si>
  <si>
    <t>Trên lớp</t>
  </si>
  <si>
    <t>https://drive.google.com/open?id=1j7qWZmR8KgK9msvtGGV88yg5upm8BJL5</t>
  </si>
  <si>
    <t>https://www.facebook.com/profile.php?id=100072341902443&amp;mibextid=kFxxJD</t>
  </si>
  <si>
    <t>Nguyễn Thị Hằng Hoa</t>
  </si>
  <si>
    <t>https://drive.google.com/open?id=1bI2yWeTccfZEGpU-DNHRSWDsxKxckMP2</t>
  </si>
  <si>
    <t>PT82</t>
  </si>
  <si>
    <t>https://www.facebook.com/profile.php?id=100068214031099</t>
  </si>
  <si>
    <t xml:space="preserve"> Nguyễn Mai Anh</t>
  </si>
  <si>
    <t>k</t>
  </si>
  <si>
    <t>số nhà 01, tổ 10, khu Vĩnh Tuy 2, Mạo Khê, Đông Triều, Quảng Ninh</t>
  </si>
  <si>
    <t>https://drive.google.com/open?id=1LDMkArLnIj_soFpzn70PQnGftE4jgg_A</t>
  </si>
  <si>
    <t>PT80</t>
  </si>
  <si>
    <t>https://www.facebook.com/profile.php?id=61550109591741&amp;mibextid=ZbWKwL</t>
  </si>
  <si>
    <r>
      <rPr>
        <sz val="12"/>
        <color theme="1"/>
        <rFont val="Times New Roman"/>
        <family val="1"/>
      </rPr>
      <t xml:space="preserve">Kim Anh Kiên </t>
    </r>
    <r>
      <rPr>
        <sz val="12"/>
        <color rgb="FFFF0000"/>
        <rFont val="Times New Roman"/>
        <family val="1"/>
      </rPr>
      <t>- nick Chí Kiên</t>
    </r>
  </si>
  <si>
    <t>Gv Thanh Huyền</t>
  </si>
  <si>
    <t xml:space="preserve">gần bưu điện Hợp Tiến, Xã Hợp Tiến, Mỹ Đức, Hà Nội </t>
  </si>
  <si>
    <t>https://drive.google.com/open?id=1_BB13EPfe9lOANST2BcFAtw8G1oa3kuI</t>
  </si>
  <si>
    <t>C189</t>
  </si>
  <si>
    <t>https://www.facebook.com/black.kieu.71</t>
  </si>
  <si>
    <t>Lê Thị Kiều</t>
  </si>
  <si>
    <t>lek65793@gmail.com</t>
  </si>
  <si>
    <t>https://drive.google.com/open?id=1Aom08Oq7eOcjEj4BWgTaDQNY7SMmWPrr</t>
  </si>
  <si>
    <t>https://www.facebook.com/quang.nguyentrong.7370013?locale=vi_VN</t>
  </si>
  <si>
    <t>Nguyễn Trọng Quang</t>
  </si>
  <si>
    <t>https://drive.google.com/open?id=1JlJE51ECAeyLuE95o6U5c9GRLUxl68E9</t>
  </si>
  <si>
    <t>T256</t>
  </si>
  <si>
    <t>https://www.facebook.com/profile.php?id=100055558790977&amp;mibextid=LQQJ4d</t>
  </si>
  <si>
    <r>
      <rPr>
        <sz val="12"/>
        <color theme="1"/>
        <rFont val="Times New Roman"/>
        <family val="1"/>
      </rPr>
      <t xml:space="preserve">Đào Thị Thùy Linh </t>
    </r>
    <r>
      <rPr>
        <sz val="12"/>
        <color rgb="FFFF0000"/>
        <rFont val="Times New Roman"/>
        <family val="1"/>
      </rPr>
      <t>- đã nộp 300K 13/08/24
T216 bảo lưu b6 do bận. Học T256 b1</t>
    </r>
  </si>
  <si>
    <t>daothithuylinh103003@gmail.com</t>
  </si>
  <si>
    <t>Số nhà 15, ngõ 71 Đại Đồng, Thanh Trì, Hoàng Mai, Hà Nội</t>
  </si>
  <si>
    <t>https://drive.google.com/open?id=1LaED5UlxjWQku4N15_moX0HKIHjhPIRw</t>
  </si>
  <si>
    <t>https://www.facebook.com/profile.php?id=61559556230755</t>
  </si>
  <si>
    <t xml:space="preserve">Nguyễn Hồng Quân </t>
  </si>
  <si>
    <t>qnguyenhong597@gmail.com</t>
  </si>
  <si>
    <t>https://drive.google.com/open?id=1n3MpQVOnQg9v6e3ZEOyY0UGZV3FjCdy7</t>
  </si>
  <si>
    <t xml:space="preserve">Chùa Du Tiên Phú An , xã Cao An , huyện Cẩm Giàng, tỉnh Hải Dương </t>
  </si>
  <si>
    <t>khu B, đại học Công nghiệp Hà Nội, Bắc Từ Liêm, Hà Nội</t>
  </si>
  <si>
    <t>Nguyễn Thị Vân Anh</t>
  </si>
  <si>
    <t>số 14 ngõ 106 đường Cầu Giấy, phường Quan Hoa, quận Cầu Giấy, Hà Nội</t>
  </si>
  <si>
    <r>
      <rPr>
        <sz val="12"/>
        <color theme="1"/>
        <rFont val="Times New Roman"/>
        <family val="1"/>
      </rPr>
      <t xml:space="preserve">Phạm Thanh Nam </t>
    </r>
    <r>
      <rPr>
        <sz val="12"/>
        <color rgb="FFFF0000"/>
        <rFont val="Times New Roman"/>
        <family val="1"/>
      </rPr>
      <t>- học lại miễn phí</t>
    </r>
  </si>
  <si>
    <t>Cường Toeic báo</t>
  </si>
  <si>
    <t>nhà số 3 ngách 16, ngõ 20 Hồ Tùng Mậu, Mai Dịch, Cầu Giấy, Hà Nội</t>
  </si>
  <si>
    <r>
      <rPr>
        <sz val="12"/>
        <color theme="1"/>
        <rFont val="Times New Roman"/>
        <family val="1"/>
      </rPr>
      <t>Nguyễn Ngọc Đoàn</t>
    </r>
    <r>
      <rPr>
        <sz val="12"/>
        <color rgb="FFFF0000"/>
        <rFont val="Times New Roman"/>
        <family val="1"/>
      </rPr>
      <t xml:space="preserve"> - học lại miễn phí mua sách</t>
    </r>
  </si>
  <si>
    <t>Huy báo</t>
  </si>
  <si>
    <t>Ngô Chính Nghĩa</t>
  </si>
  <si>
    <t xml:space="preserve"> hẻm 350 tôn hiến thành phường 14 quận 10 tp hcm</t>
  </si>
  <si>
    <t>Số 2, xóm Chùa, thôn Thuận Thượng, xã Song Phượng, huyện Đan Phượng, Hà Nội</t>
  </si>
  <si>
    <t>SN 071 tổ 2 phường Hòa Chung TP Cao Bằng tỉnh Cao Bằng</t>
  </si>
  <si>
    <t>T222</t>
  </si>
  <si>
    <t>Số 2 Ngách 27 Ngõ 211 Vĩnh Hưng, Hoàng Mai, Hà Nội</t>
  </si>
  <si>
    <t>C184</t>
  </si>
  <si>
    <r>
      <rPr>
        <sz val="12"/>
        <color theme="1"/>
        <rFont val="Times New Roman"/>
        <family val="1"/>
      </rPr>
      <t xml:space="preserve">Trịnh Thị Ánh </t>
    </r>
    <r>
      <rPr>
        <sz val="12"/>
        <color rgb="FFFF0000"/>
        <rFont val="Times New Roman"/>
        <family val="1"/>
      </rPr>
      <t>- Đổi T học PT
Ko đủ điểm học T211. 4 buổi vắng 2, out sớm, tắt mic</t>
    </r>
  </si>
  <si>
    <t>Số nhà 42 Ngõ 296 đường Lĩnh Nam, Hoàng Mai, Hà Nội</t>
  </si>
  <si>
    <t>C184 (150+170)</t>
  </si>
  <si>
    <t>https://www.facebook.com/Thowm99?mibextid=ZbWKwL</t>
  </si>
  <si>
    <r>
      <rPr>
        <sz val="12"/>
        <color theme="1"/>
        <rFont val="Times New Roman"/>
        <family val="1"/>
      </rPr>
      <t xml:space="preserve">Nguyễn Thị Thơm </t>
    </r>
    <r>
      <rPr>
        <sz val="12"/>
        <color rgb="FFFF0000"/>
        <rFont val="Times New Roman"/>
        <family val="1"/>
      </rPr>
      <t>- đổi E3 học PT. số cũ 869922051
Thừa 3,455K - 1968K còn 1,487K học T</t>
    </r>
  </si>
  <si>
    <t>195 Trần Cung, Cổ Nhuế 1, Bắc Từ Liêm, Hà Nội</t>
  </si>
  <si>
    <t>https://drive.google.com/open?id=1MYY2xkz5hW-UAjJgXUkcbCLVHHxXpkcD</t>
  </si>
  <si>
    <r>
      <rPr>
        <sz val="12"/>
        <color theme="1"/>
        <rFont val="Times New Roman"/>
        <family val="1"/>
      </rPr>
      <t xml:space="preserve">Tống Thảo Nhi </t>
    </r>
    <r>
      <rPr>
        <sz val="12"/>
        <color rgb="FFFF0000"/>
        <rFont val="Times New Roman"/>
        <family val="1"/>
      </rPr>
      <t>- đã nộp 300K 15/08/2024
VIP99 bảo lưu b1. Học VIP101 b1 do quen học cô Ngân</t>
    </r>
  </si>
  <si>
    <t>sn 14 hẻm 8, ngách 29, ngõ 2 Xuân Đỉnh- Bắc Từ Liêm- Hà Nội</t>
  </si>
  <si>
    <t>Combo GT Lv(1+2)+Toeic Lv1</t>
  </si>
  <si>
    <t>B671</t>
  </si>
  <si>
    <t>T224 bảo lưu buổi 6</t>
  </si>
  <si>
    <t>https://www.facebook.com/profile.php?id=100067593487910&amp;mibextid=ZbWKwL</t>
  </si>
  <si>
    <t>Phạm Thị Thu Trang</t>
  </si>
  <si>
    <t>HV đăng trong nhóm</t>
  </si>
  <si>
    <t>526 Kim Giang,  Thanh Liệt , Thanh Trì, Hà Nội</t>
  </si>
  <si>
    <t>https://drive.google.com/open?id=1oQpj2pM3v_Pu3DoIN_vWMlpz2O4ucDCP</t>
  </si>
  <si>
    <t>0349223214</t>
  </si>
  <si>
    <t>Số 2 ngách 6/7 tổ 4 Trần Hưng Đạo - phú lãm - hà đông hà nội</t>
  </si>
  <si>
    <t>W17</t>
  </si>
  <si>
    <r>
      <rPr>
        <sz val="12"/>
        <color theme="1"/>
        <rFont val="Times New Roman"/>
        <family val="1"/>
      </rPr>
      <t xml:space="preserve">Nguyễn Khánh Hoàn </t>
    </r>
    <r>
      <rPr>
        <sz val="12"/>
        <color rgb="FFFF0000"/>
        <rFont val="Times New Roman"/>
        <family val="1"/>
      </rPr>
      <t>- Chưa nộp 300K
W3 bảo lưu b3. Học W17 buổi 1</t>
    </r>
  </si>
  <si>
    <t>274 Nguyễn Văn Giáp, k2 Cầu Diễn, Nam Từ Liêm, Hà Nội</t>
  </si>
  <si>
    <t>https://www.facebook.com/profile.php?id=61553005190466&amp;mibextid=LQQJ4d</t>
  </si>
  <si>
    <t>B667</t>
  </si>
  <si>
    <t xml:space="preserve">https://www.facebook.com/hoangthien.01556	</t>
  </si>
  <si>
    <r>
      <rPr>
        <sz val="12"/>
        <color theme="1"/>
        <rFont val="Times New Roman"/>
        <family val="1"/>
      </rPr>
      <t xml:space="preserve">Trịnh Thanh Hậu </t>
    </r>
    <r>
      <rPr>
        <sz val="12"/>
        <color rgb="FFFF0000"/>
        <rFont val="Times New Roman"/>
        <family val="1"/>
      </rPr>
      <t>- nick Hạt Đậu - nhận học
Xuân Anh 866048028 đã ck 300K 14/07/24 - chuyển nhượng</t>
    </r>
  </si>
  <si>
    <t>Học viên</t>
  </si>
  <si>
    <t>69/1 Lê Lợi Phường 4, Gò Vấp, Tp Hồ Chí Minh</t>
  </si>
  <si>
    <t>https://drive.google.com/open?id=12eYOzduZtRXH0_F98aZc7BIz9W3IByML; https://drive.google.com/open?id=1oIm4LsDBYh8PmK_uj2RnWBdwsPfQGBV3</t>
  </si>
  <si>
    <t>Hiền ck thêm 313K để đủ tiên học T và VIP</t>
  </si>
  <si>
    <t>https://www.facebook.com/profile.php?id=100077442223974</t>
  </si>
  <si>
    <r>
      <rPr>
        <sz val="12"/>
        <color theme="1"/>
        <rFont val="Times New Roman"/>
        <family val="1"/>
      </rPr>
      <t>Trần Thị Mai Chi</t>
    </r>
    <r>
      <rPr>
        <sz val="12"/>
        <color rgb="FFFF0000"/>
        <rFont val="Times New Roman"/>
        <family val="1"/>
      </rPr>
      <t xml:space="preserve"> - học lại miễn phí</t>
    </r>
  </si>
  <si>
    <t>Ngõ 20 Lê Văn Hiến, Đức Thắng, Bắc Từ Liêm, Hà Nội</t>
  </si>
  <si>
    <r>
      <rPr>
        <sz val="12"/>
        <color theme="1"/>
        <rFont val="Times New Roman"/>
        <family val="1"/>
      </rPr>
      <t>Ngô Thị Thùy Trang</t>
    </r>
    <r>
      <rPr>
        <sz val="12"/>
        <color rgb="FFFF0000"/>
        <rFont val="Times New Roman"/>
        <family val="1"/>
      </rPr>
      <t xml:space="preserve"> VIP99</t>
    </r>
  </si>
  <si>
    <t>Số nhà 9, ngách 52, ngõ 80 Xuân phương, Nam từ liêm, Hà Nội</t>
  </si>
  <si>
    <t>VIP100</t>
  </si>
  <si>
    <r>
      <rPr>
        <sz val="12"/>
        <color theme="1"/>
        <rFont val="Times New Roman"/>
        <family val="1"/>
      </rPr>
      <t xml:space="preserve">Nguyễn Thị Thu Huyền </t>
    </r>
    <r>
      <rPr>
        <sz val="12"/>
        <color rgb="FFFF0000"/>
        <rFont val="Times New Roman"/>
        <family val="1"/>
      </rPr>
      <t>- VIP99</t>
    </r>
  </si>
  <si>
    <t>Thôn Hậu, xã Minh Đức, Việt Yên, Bắc Giang22:18/-heart1/-heart/-strong/-heart:&gt;:o:-((:-h</t>
  </si>
  <si>
    <r>
      <rPr>
        <sz val="12"/>
        <color theme="1"/>
        <rFont val="Times New Roman"/>
        <family val="1"/>
      </rPr>
      <t>Phạm Quốc Hưng</t>
    </r>
    <r>
      <rPr>
        <sz val="12"/>
        <color rgb="FFFF0000"/>
        <rFont val="Times New Roman"/>
        <family val="1"/>
      </rPr>
      <t xml:space="preserve"> - VIP99</t>
    </r>
  </si>
  <si>
    <t>U02-L25, kdt đô nghĩa, yên nghĩa, hà đông</t>
  </si>
  <si>
    <t>Hair salon Thành Tôn, thôn Tướng Loát, xã Yên Trị, huyện Ý Yên, tỉnh Nam Định</t>
  </si>
  <si>
    <t>Thôn Quang Trung, xã Hợp Thịnh, huyện Tam Dương, tỉnh Vĩnh Phúc</t>
  </si>
  <si>
    <t>S10</t>
  </si>
  <si>
    <r>
      <rPr>
        <sz val="12"/>
        <color theme="1"/>
        <rFont val="Times New Roman"/>
        <family val="1"/>
      </rPr>
      <t>Nguyễn Thị Thúy</t>
    </r>
    <r>
      <rPr>
        <sz val="12"/>
        <color rgb="FFFF0000"/>
        <rFont val="Times New Roman"/>
        <family val="1"/>
      </rPr>
      <t xml:space="preserve"> - S3</t>
    </r>
  </si>
  <si>
    <t>Ngõ 204 Tổ 8 Yên Nghĩa Hà Đông, Hà Nội</t>
  </si>
  <si>
    <t>S3</t>
  </si>
  <si>
    <t>Nhài đưa tay Dung.Thi làm TG Toeic</t>
  </si>
  <si>
    <t>W4</t>
  </si>
  <si>
    <t xml:space="preserve"> ktx b6 học viện tài chính phường Đức Thắng- quận Bắc Từ Liêm- Hà Nôi</t>
  </si>
  <si>
    <t xml:space="preserve"> 48 Văn Hội, Đức Thắng, Bắc Từ Liêm</t>
  </si>
  <si>
    <t>127 sông nhuệ, Đức thắng, Bắc Từ Liêm</t>
  </si>
  <si>
    <t>W5</t>
  </si>
  <si>
    <t>số 73, tổ 3, Văn Hội, Đức Thắng, Bắc Từ Liêm</t>
  </si>
  <si>
    <t>số 9 ngách 20/14 Hồ Tùng Mậu-Mai Dịch-Cầu Giấy- Hà Nội</t>
  </si>
  <si>
    <t>33 ngõ gốc đề- minh khai-hai bà trưng-  Hà Nội</t>
  </si>
  <si>
    <t>Ngõ 671, Hoàng Hoa Thám, Ba Đình, Hà Nội</t>
  </si>
  <si>
    <r>
      <rPr>
        <sz val="12"/>
        <color theme="1"/>
        <rFont val="Times New Roman"/>
        <family val="1"/>
      </rPr>
      <t>Phạm Thị Tuyết Đào</t>
    </r>
    <r>
      <rPr>
        <sz val="12"/>
        <color rgb="FFFF0000"/>
        <rFont val="Times New Roman"/>
        <family val="1"/>
      </rPr>
      <t xml:space="preserve"> - S3</t>
    </r>
  </si>
  <si>
    <t>S5</t>
  </si>
  <si>
    <r>
      <rPr>
        <sz val="12"/>
        <color theme="1"/>
        <rFont val="Times New Roman"/>
        <family val="1"/>
      </rPr>
      <t>Đỗ Vy</t>
    </r>
    <r>
      <rPr>
        <sz val="12"/>
        <color rgb="FFFF0000"/>
        <rFont val="Times New Roman"/>
        <family val="1"/>
      </rPr>
      <t xml:space="preserve"> - S3</t>
    </r>
  </si>
  <si>
    <t>Số 8, số 47 ngõ 294 lĩnh nam hoàng mai, Hà Nội</t>
  </si>
  <si>
    <t>5 ngõ 87 lê văn hiến, đức thắng, bắc từ liêm, Hà Nội</t>
  </si>
  <si>
    <t>T225</t>
  </si>
  <si>
    <r>
      <rPr>
        <sz val="12"/>
        <color theme="1"/>
        <rFont val="Times New Roman"/>
        <family val="1"/>
      </rPr>
      <t>Nguyễn Văn Sơn</t>
    </r>
    <r>
      <rPr>
        <sz val="12"/>
        <color rgb="FFFF0000"/>
        <rFont val="Times New Roman"/>
        <family val="1"/>
      </rPr>
      <t xml:space="preserve"> </t>
    </r>
  </si>
  <si>
    <t>340 đường Mỹ Đình, Mỹ Đình 1, Nam Từ Liêm, Hà Nội</t>
  </si>
  <si>
    <t>C186</t>
  </si>
  <si>
    <t>T243</t>
  </si>
  <si>
    <t>https://www.facebook.com/profile.php?id=100049606880781&amp;mibextid=LQQJ4d</t>
  </si>
  <si>
    <r>
      <rPr>
        <sz val="12"/>
        <color theme="1"/>
        <rFont val="Times New Roman"/>
        <family val="1"/>
      </rPr>
      <t>Nguyễn Thị Thu Tâm</t>
    </r>
    <r>
      <rPr>
        <sz val="12"/>
        <color rgb="FFFF0000"/>
        <rFont val="Times New Roman"/>
        <family val="1"/>
      </rPr>
      <t xml:space="preserve"> - OT26</t>
    </r>
  </si>
  <si>
    <t>nguyentam05052004@gmail.com</t>
  </si>
  <si>
    <t>số nhà 20 ngõ 201 đường 422b thôn hậu ái xã vân canh hoài đức hà nội</t>
  </si>
  <si>
    <t>https://drive.google.com/open?id=1PZC9QrR16vVWphruV0VfqRFRtkNNWAyG</t>
  </si>
  <si>
    <t>650 (310+340)</t>
  </si>
  <si>
    <t>18/16 ngõ 75 Hồ Tùng Mậu, Mai Dịch, Cầu Giấy, Hà Nội</t>
  </si>
  <si>
    <t>18D Ngõ 1132 Đường Láng- Láng Hạ- Đống Đa- Hà Nội</t>
  </si>
  <si>
    <t>Ngõ 139 Đường Phạm Văn Đồng, Mai Dịch, Cầu Giấy, Hà Nội</t>
  </si>
  <si>
    <t>18A, ngách 58/23, Trần Bình, Mai Dịch, Cầu Giấy, Hà Nội</t>
  </si>
  <si>
    <r>
      <rPr>
        <sz val="12"/>
        <color theme="1"/>
        <rFont val="Times New Roman"/>
        <family val="1"/>
      </rPr>
      <t>Nguyễn Văn Quyền</t>
    </r>
    <r>
      <rPr>
        <sz val="12"/>
        <color rgb="FFFF0000"/>
        <rFont val="Times New Roman"/>
        <family val="1"/>
      </rPr>
      <t xml:space="preserve"> - Đã nộp 300K 28/07/24
OVIP4 tự nghỉ b4 do ốm. Học VIP100 b1</t>
    </r>
  </si>
  <si>
    <r>
      <rPr>
        <sz val="12"/>
        <color theme="1"/>
        <rFont val="Times New Roman"/>
        <family val="1"/>
      </rPr>
      <t>Nguyễn Thị Bình</t>
    </r>
    <r>
      <rPr>
        <sz val="12"/>
        <color rgb="FFFF0000"/>
        <rFont val="Times New Roman"/>
        <family val="1"/>
      </rPr>
      <t xml:space="preserve"> - Đã nộp 300K 30/07/24
VIP89 xin bảo lưu b3. Học VIP100 b1</t>
    </r>
  </si>
  <si>
    <r>
      <rPr>
        <sz val="12"/>
        <color theme="1"/>
        <rFont val="Times New Roman"/>
        <family val="1"/>
      </rPr>
      <t xml:space="preserve">Đỗ Hồng Linh </t>
    </r>
    <r>
      <rPr>
        <sz val="12"/>
        <color rgb="FFFF0000"/>
        <rFont val="Times New Roman"/>
        <family val="1"/>
      </rPr>
      <t>(hợp đồng) - đã nhận sách T1</t>
    </r>
  </si>
  <si>
    <t>ktx trường Đại học Sư phạm Hà Nội, ngõ 199 Trần Quốc Hoàn, phường Dịch Vọng Hậu, Cầu Giấy</t>
  </si>
  <si>
    <t>https://www.facebook.com/do.phuong.thao.278?mibextid=LQQJ4d</t>
  </si>
  <si>
    <t xml:space="preserve">Đỗ Phương Thảo </t>
  </si>
  <si>
    <t>dophuongthao278@gmail.com</t>
  </si>
  <si>
    <t>Tân Thắng, Vinh Quang 2, Tiên Lãng, Hải Phòng</t>
  </si>
  <si>
    <t>16/05/2024 và 06/06/2024</t>
  </si>
  <si>
    <r>
      <rPr>
        <u/>
        <sz val="12"/>
        <color rgb="FF1155CC"/>
        <rFont val="Times New Roman"/>
        <family val="1"/>
      </rPr>
      <t xml:space="preserve">https://drive.google.com/open?id=1rO6L34t9emDqwj8HolV04FG3VitkElBb; https://drive.google.com/open?id=1KF-WkkI_ZVBOa9zKlBTUoczAo358WW8D; </t>
    </r>
    <r>
      <rPr>
        <u/>
        <sz val="12"/>
        <color rgb="FF1155CC"/>
        <rFont val="Times New Roman"/>
        <family val="1"/>
      </rPr>
      <t>https://drive.google.com/open?id=1NDSX8wZwZtTy6ghyzhUJXiRHkpZOJ3tb</t>
    </r>
  </si>
  <si>
    <t>https://www.facebook.com/vietquang.doan.75?mibextid=LQQJ4d</t>
  </si>
  <si>
    <r>
      <rPr>
        <sz val="12"/>
        <color theme="1"/>
        <rFont val="Times New Roman"/>
        <family val="1"/>
      </rPr>
      <t>Doãn Việt Quang</t>
    </r>
    <r>
      <rPr>
        <sz val="12"/>
        <color rgb="FFFF0000"/>
        <rFont val="Times New Roman"/>
        <family val="1"/>
      </rPr>
      <t xml:space="preserve"> - đổi E2, E3 học toeic
Thiếu 8,900K. Đã nộp 30/07/2024</t>
    </r>
  </si>
  <si>
    <t>vietquang10c1@gmail.com</t>
  </si>
  <si>
    <t>Xóm 5, Kỳ Sơn, Thuỷ Nguyên, Hải Phòng</t>
  </si>
  <si>
    <t>13/10/2023 và 01/11/2023</t>
  </si>
  <si>
    <t>https://drive.google.com/open?id=1OCUZ2duDbNKdBUrsGW_CQUImQv-TrbpK' https://drive.google.com/open?id=1EPOYRFbdg0x7-bxAwRo_6SYhE64aeQMr; https://drive.google.com/open?id=1SuG0pYAbOaj8gqgciFmzZj95S_8YaiMB</t>
  </si>
  <si>
    <t>Tính lương 8,900K. Quy định: HV dừng sau 2 tháng quay lại học được tính là đơn mới.</t>
  </si>
  <si>
    <t>Số tiền phải đóng thêm sau khi đổi khóa học là:
15,936K - 7,036K tiền dư 2 khóa chưa học = 8,900K</t>
  </si>
  <si>
    <r>
      <rPr>
        <sz val="12"/>
        <color theme="1"/>
        <rFont val="Times New Roman"/>
        <family val="1"/>
      </rPr>
      <t xml:space="preserve">Nguyễn Thị Thu Uyên </t>
    </r>
    <r>
      <rPr>
        <sz val="12"/>
        <color rgb="FFFF0000"/>
        <rFont val="Times New Roman"/>
        <family val="1"/>
      </rPr>
      <t>- Đã nộp 300K 30/07/24
VIP86 bảo lưu b10 đi quân sự. Học VIP96 b7</t>
    </r>
  </si>
  <si>
    <t>Hồ Tùng Mậu,Mai Dịch,Cầu Giấy,Hà Nội</t>
  </si>
  <si>
    <t>Ngõ 165 ngách 12 Dương Quảng Hàm, Quan Hoa, Cầu Giấy, Hà Nội</t>
  </si>
  <si>
    <t>TDP11, thị trấn Phố Châu , Hương Sơn, Hà Tĩnh</t>
  </si>
  <si>
    <t>41/11 lê lợi, phường 4, quận Gò Vấp, thành phố Hồ Chí Minh</t>
  </si>
  <si>
    <t>số nhà 266 Phố Khánh, thị trấn Thanh Sơn, tỉnh Phú Thọ</t>
  </si>
  <si>
    <r>
      <rPr>
        <sz val="12"/>
        <color theme="1"/>
        <rFont val="Times New Roman"/>
        <family val="1"/>
      </rPr>
      <t>Phạm Minh Phương</t>
    </r>
    <r>
      <rPr>
        <sz val="12"/>
        <color rgb="FFFF0000"/>
        <rFont val="Times New Roman"/>
        <family val="1"/>
      </rPr>
      <t xml:space="preserve"> - 12/8 gửi</t>
    </r>
  </si>
  <si>
    <t>công chào thôn giữa , lạc đạo văn lâm hưng yên</t>
  </si>
  <si>
    <t>VIP119</t>
  </si>
  <si>
    <r>
      <rPr>
        <sz val="12"/>
        <color theme="1"/>
        <rFont val="Times New Roman"/>
        <family val="1"/>
      </rPr>
      <t>Hoàng Thị Mai</t>
    </r>
    <r>
      <rPr>
        <sz val="12"/>
        <color rgb="FFFF0000"/>
        <rFont val="Times New Roman"/>
        <family val="1"/>
      </rPr>
      <t xml:space="preserve">  - Chưa nộp 300K
VIP102 bảo lưu buổi 5. Học VIP119 buổi 6, GV kèm bù</t>
    </r>
  </si>
  <si>
    <t xml:space="preserve"> Ngã 3 Giã Thù - P.Tiên Phong- Tp.Phổ Yên- Thái Nguyên</t>
  </si>
  <si>
    <t>Số 5, Ngõ 1002 đường Láng, Láng Thượng, Đống Đa, Hà Nội</t>
  </si>
  <si>
    <t>63a ngách 58/12, Nguyễn Khánh Toàn, Quan Hoa, Cầu Giấy, Hà Nội</t>
  </si>
  <si>
    <t>T129</t>
  </si>
  <si>
    <t>https://www.facebook.com/profile.php?id=100013597984848&amp;mibextid=LQQJ4d</t>
  </si>
  <si>
    <r>
      <rPr>
        <sz val="12"/>
        <color theme="1"/>
        <rFont val="Times New Roman"/>
        <family val="1"/>
      </rPr>
      <t xml:space="preserve">Trần Thị Phương Anh
</t>
    </r>
    <r>
      <rPr>
        <sz val="12"/>
        <color rgb="FFFF0000"/>
        <rFont val="Times New Roman"/>
        <family val="1"/>
      </rPr>
      <t>T129 bảo lưu báo trợ giảng. Nhài ko đc ai báo</t>
    </r>
  </si>
  <si>
    <t>Hiệu</t>
  </si>
  <si>
    <t>010303008364</t>
  </si>
  <si>
    <t>Toà NO3, Chung cư Ecohome 3, Tân Xuân, Đông Ngạc, Bắc Từ Liêm, Hà Nội</t>
  </si>
  <si>
    <t>https://drive.google.com/open?id=1b2fRH_GfgINcLx3LVIt2Yq3tzz0bJCQz, https://drive.google.com/open?id=1qJA7k4l2d_8JAGqgfSKxq2ZwzTVr1-3U</t>
  </si>
  <si>
    <t>0337896160</t>
  </si>
  <si>
    <t>19H Nguyễn Khang, Trung Hoà, Cầu Giấy, Hà Nội</t>
  </si>
  <si>
    <t>T228</t>
  </si>
  <si>
    <r>
      <rPr>
        <sz val="12"/>
        <color theme="1"/>
        <rFont val="Times New Roman"/>
        <family val="1"/>
      </rPr>
      <t xml:space="preserve">Khúc Tuấn Thành </t>
    </r>
    <r>
      <rPr>
        <sz val="12"/>
        <color rgb="FFFF0000"/>
        <rFont val="Times New Roman"/>
        <family val="1"/>
      </rPr>
      <t>- 19/8 gửi</t>
    </r>
  </si>
  <si>
    <r>
      <rPr>
        <sz val="12"/>
        <color theme="1"/>
        <rFont val="Times New Roman"/>
        <family val="1"/>
      </rPr>
      <t xml:space="preserve">Trần Văn Tài </t>
    </r>
    <r>
      <rPr>
        <sz val="12"/>
        <color rgb="FFFF0000"/>
        <rFont val="Times New Roman"/>
        <family val="1"/>
      </rPr>
      <t>- KO học lại miễn phí</t>
    </r>
  </si>
  <si>
    <r>
      <rPr>
        <sz val="12"/>
        <color theme="1"/>
        <rFont val="Times New Roman"/>
        <family val="1"/>
      </rPr>
      <t xml:space="preserve">Vương Thị Thanh Trúc </t>
    </r>
    <r>
      <rPr>
        <sz val="12"/>
        <color rgb="FFFF0000"/>
        <rFont val="Times New Roman"/>
        <family val="1"/>
      </rPr>
      <t>VIP103 rút phút 89</t>
    </r>
  </si>
  <si>
    <t>Thanh Am, Tổ 26, Ngõ 21, số nhà 1, Thượng Thanh, Long Biên, Hà Nội</t>
  </si>
  <si>
    <t>VIP137</t>
  </si>
  <si>
    <r>
      <rPr>
        <sz val="12"/>
        <color theme="1"/>
        <rFont val="Times New Roman"/>
        <family val="1"/>
      </rPr>
      <t>Trần Thuỷ Tiên</t>
    </r>
    <r>
      <rPr>
        <sz val="12"/>
        <color rgb="FFFF0000"/>
        <rFont val="Times New Roman"/>
        <family val="1"/>
      </rPr>
      <t xml:space="preserve"> - đã nộp 300K 11/04/2025
VIP104 bảo lưu b12. Học VIP137 buổi 11</t>
    </r>
  </si>
  <si>
    <t>19/14/25/322 Mỹ Đình 1, Nam Từ Liên, Hà Nội</t>
  </si>
  <si>
    <t>Kim Thị Trà My</t>
  </si>
  <si>
    <t>Tam Đa , Lãng Công , Sông Lô , Vĩnh Phúc</t>
  </si>
  <si>
    <t>Số 12A, Ngõ 8/151/1 Lê Quang Đạo, Phú Đô, Nam Từ Liêm, Hà Nội</t>
  </si>
  <si>
    <t>OVIP12</t>
  </si>
  <si>
    <t>OS3</t>
  </si>
  <si>
    <r>
      <rPr>
        <sz val="12"/>
        <color theme="1"/>
        <rFont val="Times New Roman"/>
        <family val="1"/>
      </rPr>
      <t xml:space="preserve"> Tống Thị Thuỳ Dung</t>
    </r>
    <r>
      <rPr>
        <sz val="12"/>
        <color rgb="FFFF0000"/>
        <rFont val="Times New Roman"/>
        <family val="1"/>
      </rPr>
      <t xml:space="preserve"> - OS1</t>
    </r>
  </si>
  <si>
    <t>Số số nhà 1A, ngõ 26 Chùa Hà, Quan Hoa, Cầu Giấy, Hà Nội</t>
  </si>
  <si>
    <t>Nguyễn Mạnh Đức</t>
  </si>
  <si>
    <t>số nhà 12 hẻm 2/9 ngõ 105 Xuân La, Xuân Tảo, Tây Hồ, Hà Nội</t>
  </si>
  <si>
    <t>Nhà số 5, ngõ 163, đường Sông Nhuệ, phường Đức Thắng, quận Bắc Từ Liêm, Hà Nội</t>
  </si>
  <si>
    <t>OT22; OVIP17</t>
  </si>
  <si>
    <t>OVIP21</t>
  </si>
  <si>
    <r>
      <rPr>
        <sz val="12"/>
        <color theme="1"/>
        <rFont val="Times New Roman"/>
        <family val="1"/>
      </rPr>
      <t>Nguyễn Thị Ngọc Huyền</t>
    </r>
    <r>
      <rPr>
        <sz val="12"/>
        <color rgb="FFFF0000"/>
        <rFont val="Times New Roman"/>
        <family val="1"/>
      </rPr>
      <t xml:space="preserve"> - Đã nộp 300K 10/02/2025</t>
    </r>
    <r>
      <rPr>
        <sz val="12"/>
        <color theme="1"/>
        <rFont val="Times New Roman"/>
        <family val="1"/>
      </rPr>
      <t xml:space="preserve">
</t>
    </r>
    <r>
      <rPr>
        <sz val="12"/>
        <color rgb="FFFF0000"/>
        <rFont val="Times New Roman"/>
        <family val="1"/>
      </rPr>
      <t>OVIP12 bảo lưu b5 trùng lịch học.Học OVIP17 b1
OVIP17 bảo lưu b6. Học OVIP21 - đã nộp 300K 03/03/25</t>
    </r>
  </si>
  <si>
    <t>Phạm Toàn Đô</t>
  </si>
  <si>
    <t>Số 1, Ngách 53/59 Phố Ngoạ Long , Minh Khai , Bắc Từ Liêm , Hà Nội</t>
  </si>
  <si>
    <t>https://www.facebook.com/thu.trangg.1293575?locale=vi_VN</t>
  </si>
  <si>
    <t xml:space="preserve"> Đoàn Thu Trang</t>
  </si>
  <si>
    <t>Ở Nhật</t>
  </si>
  <si>
    <t>https://drive.google.com/open?id=16kYDArP4YHnk8GVP9Lvopm2ebrOdmydH</t>
  </si>
  <si>
    <t>Số nhà 5, ngõ 43/2 Doãn Kế Thiện- Mai Dịch- Cầu Giấy- Hà Nội.</t>
  </si>
  <si>
    <r>
      <rPr>
        <sz val="12"/>
        <color theme="1"/>
        <rFont val="Times New Roman"/>
        <family val="1"/>
      </rPr>
      <t>Nguyễn Hữu Chiến</t>
    </r>
    <r>
      <rPr>
        <sz val="12"/>
        <color rgb="FFFF0000"/>
        <rFont val="Times New Roman"/>
        <family val="1"/>
      </rPr>
      <t>- học lại miễn phí
Huy báo thu 300K. Đã nộp 300K 12/08/2024</t>
    </r>
  </si>
  <si>
    <t>số nhà 12 2/33 phố văn trì , minh khai, bắc từ liêm , hà nội</t>
  </si>
  <si>
    <t>155 Sông Nhuệ, Đức Thắng, Bắc Từ Liêm, Hà Nội</t>
  </si>
  <si>
    <r>
      <rPr>
        <sz val="12"/>
        <color theme="1"/>
        <rFont val="Times New Roman"/>
        <family val="1"/>
      </rPr>
      <t>Hồ Duy Nam -</t>
    </r>
    <r>
      <rPr>
        <sz val="12"/>
        <color rgb="FFFF0000"/>
        <rFont val="Times New Roman"/>
        <family val="1"/>
      </rPr>
      <t xml:space="preserve"> KO có học phí. Kiểm tra
Nhắc nhiều lần lắm mới nộp</t>
    </r>
  </si>
  <si>
    <t>DT422B, Yên Bệ, Kim Chung, Hoài Đức, Hà Nội</t>
  </si>
  <si>
    <t>89 Nguyễn Phong Sắc, Dịch Vọng Hậu, Cầu Giấy, Hà Nội</t>
  </si>
  <si>
    <r>
      <rPr>
        <sz val="12"/>
        <color theme="1"/>
        <rFont val="Times New Roman"/>
        <family val="1"/>
      </rPr>
      <t>Nguyễn Minh Phương</t>
    </r>
    <r>
      <rPr>
        <sz val="12"/>
        <color rgb="FFFF0000"/>
        <rFont val="Times New Roman"/>
        <family val="1"/>
      </rPr>
      <t xml:space="preserve"> - học lại miễn phí
Chưa đạt đầu ra</t>
    </r>
  </si>
  <si>
    <t>W6</t>
  </si>
  <si>
    <t>Số 94 ngõ 63 Lê Đức Thọ, Mỹ Đình 2, Nam Từ Liêm, Hà Nội</t>
  </si>
  <si>
    <t>Số 1 ngõ 69 thôn Quang Trung xã Dương Quang, Gia Lâm, Hà Nội</t>
  </si>
  <si>
    <t>127 sông nhuệ, đức thắng, bắc từ liêm</t>
  </si>
  <si>
    <t>T110</t>
  </si>
  <si>
    <t>https://www.facebook.com/profile.php?id=100069041005724</t>
  </si>
  <si>
    <r>
      <rPr>
        <sz val="12"/>
        <color theme="1"/>
        <rFont val="Times New Roman"/>
        <family val="1"/>
      </rPr>
      <t xml:space="preserve">Lê Thị Đào </t>
    </r>
    <r>
      <rPr>
        <sz val="12"/>
        <color rgb="FFFF0000"/>
        <rFont val="Times New Roman"/>
        <family val="1"/>
      </rPr>
      <t>- đổi E3 học lại T</t>
    </r>
  </si>
  <si>
    <t>001303019322</t>
  </si>
  <si>
    <t>Số 6, Thôn Chợ, Bình Minh, Thanh Oai, Hà Nội</t>
  </si>
  <si>
    <t>https://drive.google.com/open?id=1AGpCGs0ZvWxCWCGYlgi2Qf-3PIJtPRww</t>
  </si>
  <si>
    <t>VIP105</t>
  </si>
  <si>
    <t>OVIP13</t>
  </si>
  <si>
    <t>VIP107 bảo lưu buổi 9</t>
  </si>
  <si>
    <t>Ngõ 51 Đường Phú Minh, Tổ Dân Phố Văn Trì, Phường Minh Khai, Quận Bắc Từ Liêm, Hà Nội</t>
  </si>
  <si>
    <r>
      <rPr>
        <sz val="12"/>
        <color theme="1"/>
        <rFont val="Times New Roman"/>
        <family val="1"/>
      </rPr>
      <t>Nguyễn Hữu Thành</t>
    </r>
    <r>
      <rPr>
        <sz val="12"/>
        <color rgb="FFFF0000"/>
        <rFont val="Times New Roman"/>
        <family val="1"/>
      </rPr>
      <t xml:space="preserve"> - Đã nộp 300K 02/10/24
OVIP13 bảo lưu b5 Yến báo. Học VIP119 b7 nhờ GV kèm buổi thiếu</t>
    </r>
  </si>
  <si>
    <t>VIP131</t>
  </si>
  <si>
    <r>
      <rPr>
        <sz val="12"/>
        <color theme="1"/>
        <rFont val="Times New Roman"/>
        <family val="1"/>
      </rPr>
      <t>Nguyễn Bá Trung</t>
    </r>
    <r>
      <rPr>
        <sz val="12"/>
        <color rgb="FFFF0000"/>
        <rFont val="Times New Roman"/>
        <family val="1"/>
      </rPr>
      <t xml:space="preserve"> - đã nộp 300K 18/02/2025
OVIP13 bảo lưu buổi 10 tự nghỉ. Học VIP131 b3</t>
    </r>
  </si>
  <si>
    <t xml:space="preserve"> Đào Nguyễn Thu Trang</t>
  </si>
  <si>
    <r>
      <rPr>
        <sz val="12"/>
        <color theme="1"/>
        <rFont val="Times New Roman"/>
        <family val="1"/>
      </rPr>
      <t xml:space="preserve">Nguyễn Hoài Phương </t>
    </r>
    <r>
      <rPr>
        <sz val="12"/>
        <color rgb="FFFF0000"/>
        <rFont val="Times New Roman"/>
        <family val="1"/>
      </rPr>
      <t>- học lại miễn phí
Mua sách ck 100K 20/08/2024</t>
    </r>
  </si>
  <si>
    <t>20/15 Đường Hồ Tùng Mậu, Mai Dịch, Cầu Giấy</t>
  </si>
  <si>
    <t>S9</t>
  </si>
  <si>
    <r>
      <rPr>
        <sz val="12"/>
        <color theme="1"/>
        <rFont val="Times New Roman"/>
        <family val="1"/>
      </rPr>
      <t xml:space="preserve">Đặng Mai Hoa </t>
    </r>
    <r>
      <rPr>
        <sz val="12"/>
        <color rgb="FFFF0000"/>
        <rFont val="Times New Roman"/>
        <family val="1"/>
      </rPr>
      <t>OW1</t>
    </r>
  </si>
  <si>
    <t>21/25 Ngõ 75, Hồ Tùng Mậu, Mai dịch, Cầu Giấy, Hà Nội</t>
  </si>
  <si>
    <t>W8</t>
  </si>
  <si>
    <r>
      <rPr>
        <sz val="12"/>
        <color theme="1"/>
        <rFont val="Times New Roman"/>
        <family val="1"/>
      </rPr>
      <t>Diêm Ngọc Gia Uyên</t>
    </r>
    <r>
      <rPr>
        <sz val="12"/>
        <color rgb="FFFF0000"/>
        <rFont val="Times New Roman"/>
        <family val="1"/>
      </rPr>
      <t xml:space="preserve"> - Đã nộp 300K</t>
    </r>
    <r>
      <rPr>
        <sz val="12"/>
        <color theme="1"/>
        <rFont val="Times New Roman"/>
        <family val="1"/>
      </rPr>
      <t xml:space="preserve">
</t>
    </r>
    <r>
      <rPr>
        <sz val="12"/>
        <color rgb="FFFF0000"/>
        <rFont val="Times New Roman"/>
        <family val="1"/>
      </rPr>
      <t>OW1 bảo lưu b2. Học W8 buổi 1</t>
    </r>
  </si>
  <si>
    <t>12B Lý Nam Đế, Hàng Mã, Hoàn Kiếm,Hà Nội</t>
  </si>
  <si>
    <t>OVIP9, VIP89</t>
  </si>
  <si>
    <t>14/35 ngõ 66 hồ tùng mậu, mai dịch , cầu giấy, hà nội</t>
  </si>
  <si>
    <t>99 Nguyễn Chí Thanh, Láng Hạ, Đống Đa, Hà Nội</t>
  </si>
  <si>
    <t>OW2</t>
  </si>
  <si>
    <r>
      <rPr>
        <sz val="12"/>
        <color theme="1"/>
        <rFont val="Times New Roman"/>
        <family val="1"/>
      </rPr>
      <t xml:space="preserve">Hoàng Quỳnh Phương </t>
    </r>
    <r>
      <rPr>
        <sz val="12"/>
        <color rgb="FFFF0000"/>
        <rFont val="Times New Roman"/>
        <family val="1"/>
      </rPr>
      <t>OW1</t>
    </r>
  </si>
  <si>
    <t>38 ngõ 61 Yên Hoà, Cầu Giấy</t>
  </si>
  <si>
    <t>Thiếu sách</t>
  </si>
  <si>
    <r>
      <rPr>
        <sz val="12"/>
        <color theme="1"/>
        <rFont val="Times New Roman"/>
        <family val="1"/>
      </rPr>
      <t xml:space="preserve">Lê Khánh Huyền - </t>
    </r>
    <r>
      <rPr>
        <sz val="12"/>
        <color rgb="FFFF0000"/>
        <rFont val="Times New Roman"/>
        <family val="1"/>
      </rPr>
      <t>OW1</t>
    </r>
  </si>
  <si>
    <t>VIP150</t>
  </si>
  <si>
    <r>
      <rPr>
        <sz val="12"/>
        <color theme="1"/>
        <rFont val="Times New Roman"/>
        <family val="1"/>
      </rPr>
      <t xml:space="preserve">Phạm Lê Gia Nhi </t>
    </r>
    <r>
      <rPr>
        <sz val="12"/>
        <color rgb="FFFF0000"/>
        <rFont val="Times New Roman"/>
        <family val="1"/>
      </rPr>
      <t>VIP105</t>
    </r>
  </si>
  <si>
    <t>https://www.facebook.com/profile.php?id=100050197142581</t>
  </si>
  <si>
    <r>
      <rPr>
        <sz val="12"/>
        <color theme="1"/>
        <rFont val="Times New Roman"/>
        <family val="1"/>
      </rPr>
      <t>Đặng Thu Trà</t>
    </r>
    <r>
      <rPr>
        <sz val="12"/>
        <color rgb="FFFF0000"/>
        <rFont val="Times New Roman"/>
        <family val="1"/>
      </rPr>
      <t xml:space="preserve"> - đổi E1 học T1</t>
    </r>
  </si>
  <si>
    <t>Dương chat</t>
  </si>
  <si>
    <t>033303002839</t>
  </si>
  <si>
    <t>121 Văn Hội, Đức Thắng, Bắc Từ Liêm, Hà Nội</t>
  </si>
  <si>
    <t>https://drive.google.com/open?id=1fy1u8NF_OKZq0dtkZmyVUH7yJcnLO3o3, https://drive.google.com/open?id=1Ut-dmD8ZHQEjKSsgAf0zkIQBsH9Kt5ZV; https://drive.google.com/open?id=1sTnv4d4AgntI7CRb59kGXO2fC46KGTkF</t>
  </si>
  <si>
    <t>Trả lương T5</t>
  </si>
  <si>
    <t>https://www.facebook.com/hoang.thucdung</t>
  </si>
  <si>
    <t>Hoàng Thục Dung</t>
  </si>
  <si>
    <t>Nguyễn Minh Quang</t>
  </si>
  <si>
    <t>120 Đường Hoàng Mai- Hoàng Văn Thụ-Hoàng Mai-Hà Nội</t>
  </si>
  <si>
    <t>B675</t>
  </si>
  <si>
    <t>kí túc xá Dom A Đại học FPT Hà Nội , Thạch hòa, thạch thất , Hà Nội</t>
  </si>
  <si>
    <t>Trả lương T07.2024</t>
  </si>
  <si>
    <t xml:space="preserve">Thôn Tân Thắng, xã Vinh Quang 2 , huyện Tiên Lãng ,Hải Phòng </t>
  </si>
  <si>
    <t>https://www.facebook.com/profile.php?id=100034925930087&amp;mibextid=LQQJ4d</t>
  </si>
  <si>
    <t>Đàm Thị Khánh Ly</t>
  </si>
  <si>
    <t>damthikhanhly29042005@gmail.com</t>
  </si>
  <si>
    <t>Số 17 ngách 52/25/43 ngõ 52 Mỹ Đình 2</t>
  </si>
  <si>
    <t>14/06/2024 và 17/06/2024</t>
  </si>
  <si>
    <t>https://drive.google.com/open?id=1O_29MgehyOeZWP6_IkJzOpmUN0GYHzlg, https://drive.google.com/open?id=1zNOxQ5v5NEHIYcuU4YI-Rvx0iea2J5QW; https://drive.google.com/open?id=1e7I6Q1dpeLAeUK2iY3M_Qs5rjpiWBApL</t>
  </si>
  <si>
    <t>xóm Trước xã Tân Tiến tp Bắc Giang tỉnh Bắc Giang</t>
  </si>
  <si>
    <t>https://drive.google.com/open?id=1IuV2UJRnzxsOzCwDjJEc5xbIvkBCjqMD</t>
  </si>
  <si>
    <t>https://www.facebook.com/profile.php?id=61557904851058&amp;mibextid=LQQJ4d</t>
  </si>
  <si>
    <t>Trần Thị Thu Phương</t>
  </si>
  <si>
    <t>Xóm 4, Nga Điền, Nga Sơn, Thanh Hoá</t>
  </si>
  <si>
    <t>https://drive.google.com/open?id=1NIm2ADEiwtmDNNltrLUqXmOjNqWHvr7L, https://drive.google.com/open?id=1soHZcz9us9Gl_PfeoFLXsGK369Qo2YnI</t>
  </si>
  <si>
    <t>Ngô Đức đưa tay. Đức báo hạ combo</t>
  </si>
  <si>
    <t>https://www.facebook.com/phuong.uyen.367?mibextid=LQQJ4d</t>
  </si>
  <si>
    <r>
      <rPr>
        <sz val="12"/>
        <color theme="1"/>
        <rFont val="Times New Roman"/>
        <family val="1"/>
      </rPr>
      <t xml:space="preserve">Lê Thị Phương Uyên </t>
    </r>
    <r>
      <rPr>
        <sz val="12"/>
        <color rgb="FFFF0000"/>
        <rFont val="Times New Roman"/>
        <family val="1"/>
      </rPr>
      <t>(hợp đồng)</t>
    </r>
  </si>
  <si>
    <t>phuonguyen72006@gmail.com</t>
  </si>
  <si>
    <t>Sân cầu lông đường đôi, đội 3, Mạch Lũng, Đại Mạch, Đông Anh, Hà Nội</t>
  </si>
  <si>
    <t>https://drive.google.com/open?id=1xO2-EXdJZ9Z1n7vYbCtb2wDU1-bY6gXw' ; https://drive.google.com/open?id=16JwL_HNvJ4TBfEsHgfdsTSjN4uuGHAyV</t>
  </si>
  <si>
    <t>https://www.facebook.com/ngocmy.le.9231712?mibextid=LQQJ4d</t>
  </si>
  <si>
    <r>
      <rPr>
        <sz val="12"/>
        <color theme="1"/>
        <rFont val="Times New Roman"/>
        <family val="1"/>
      </rPr>
      <t xml:space="preserve">Lê Ngọc Mỹ </t>
    </r>
    <r>
      <rPr>
        <sz val="12"/>
        <color rgb="FFFF0000"/>
        <rFont val="Times New Roman"/>
        <family val="1"/>
      </rPr>
      <t>(hợp đồng)</t>
    </r>
  </si>
  <si>
    <t>ngocmy20061309@gmail.com</t>
  </si>
  <si>
    <t>số 13, ngách 129/2, Nguyễn Trãi, Thượng Đình, Thanh Xuân, HN</t>
  </si>
  <si>
    <t>21/06/2024 và 30/06/2024</t>
  </si>
  <si>
    <t>https://drive.google.com/open?id=1j7HtoxAk1FA7S_tXvNJVOWdec8f7DbzT; https://drive.google.com/open?id=1XQ-8PkfuowdsvCNZypXpCk4z1dhxNiG_; https://drive.google.com/open?id=1pDHlcLgKR5opbd5_OkmHsYr9Ioncu3b-, https://drive.google.com/open?id=15aBSdwSqkcHpQV3Y-rtBoS7_Iz-N28Wx</t>
  </si>
  <si>
    <t>https://www.facebook.com/profile.php?id=100083721160600&amp;mibextid=ZbWKwL</t>
  </si>
  <si>
    <r>
      <rPr>
        <sz val="12"/>
        <color theme="1"/>
        <rFont val="Times New Roman"/>
        <family val="1"/>
      </rPr>
      <t xml:space="preserve">Lưu Hoàng Đức </t>
    </r>
    <r>
      <rPr>
        <sz val="12"/>
        <color rgb="FFFF0000"/>
        <rFont val="Times New Roman"/>
        <family val="1"/>
      </rPr>
      <t>(hợp đồng)</t>
    </r>
  </si>
  <si>
    <t xml:space="preserve">hoangduc36ak62@gmail.com  </t>
  </si>
  <si>
    <t xml:space="preserve">thôn Thái Hòa xã Hà Thái huyện Hà Trung tỉnh Thanh Hóa  </t>
  </si>
  <si>
    <t>19/06/2024 và 03/07/2024</t>
  </si>
  <si>
    <t>https://drive.google.com/open?id=1n7WMW-_JkKYzwji47Hd_HdjegsF2PGQm; https://drive.google.com/open?id=16kEWplDm6tRMxW14gj9SX5HTbPe0RZTD; https://drive.google.com/open?id=1j45ZHLGVE0o3yKxflxVqNEjUCqoPm5dw</t>
  </si>
  <si>
    <t>https://www.facebook.com/ngockhanh.nguyenthi.5855?mibextid=LQQJ4d</t>
  </si>
  <si>
    <r>
      <rPr>
        <sz val="12"/>
        <color theme="1"/>
        <rFont val="Times New Roman"/>
        <family val="1"/>
      </rPr>
      <t>Nguyễn Thị Ngọc Khánh</t>
    </r>
    <r>
      <rPr>
        <sz val="12"/>
        <color rgb="FFFF0000"/>
        <rFont val="Times New Roman"/>
        <family val="1"/>
      </rPr>
      <t xml:space="preserve"> (hợp đồng)</t>
    </r>
  </si>
  <si>
    <t>ngockhanhsky19@gmail.com</t>
  </si>
  <si>
    <t>Thôn Quế Ổ , xã Chi Lăng, thị xã Quế Võ, Bắc Ninh ạ</t>
  </si>
  <si>
    <t>23/06/2024 và 04/07/2024</t>
  </si>
  <si>
    <t>https://drive.google.com/open?id=1EL900oeD8u6KJJ2c6TwQJCvnSOA-AD9R; https://drive.google.com/open?id=1VfHXvBrP33DpBm_HbCreU_Eb_ueEZVca; https://drive.google.com/open?id=15-67sdDDh64Mw3T7FSZKnwP793VWHg0V</t>
  </si>
  <si>
    <t>https://www.facebook.com/chipxigiu?mibextid=LQQJ4d</t>
  </si>
  <si>
    <r>
      <rPr>
        <sz val="12"/>
        <color theme="1"/>
        <rFont val="Times New Roman"/>
        <family val="1"/>
      </rPr>
      <t xml:space="preserve">Tống Minh Duyên </t>
    </r>
    <r>
      <rPr>
        <sz val="12"/>
        <color rgb="FFFF0000"/>
        <rFont val="Times New Roman"/>
        <family val="1"/>
      </rPr>
      <t>(hợp đồng)</t>
    </r>
  </si>
  <si>
    <t>minhduyeen0406@gmail.com</t>
  </si>
  <si>
    <t>số 40, đường 9 tháng 5, thị trấn Krong Kmar, Krong Bong, Dăk Lăk</t>
  </si>
  <si>
    <t>https://drive.google.com/open?id=1l7-fkxBHYW9EkLZRMCUo_yhXjG1bQD7C; https://drive.google.com/open?id=1pbfdjv4fm3QDcSwt9tVSHpWp5Jcfdxkb</t>
  </si>
  <si>
    <t>https://www.facebook.com/itstramy676?mibextid=LQQJ4d</t>
  </si>
  <si>
    <r>
      <rPr>
        <sz val="12"/>
        <color theme="1"/>
        <rFont val="Times New Roman"/>
        <family val="1"/>
      </rPr>
      <t xml:space="preserve">Nguyễn Phùng Trà My </t>
    </r>
    <r>
      <rPr>
        <sz val="12"/>
        <color rgb="FFFF0000"/>
        <rFont val="Times New Roman"/>
        <family val="1"/>
      </rPr>
      <t>(hợp đồng)</t>
    </r>
  </si>
  <si>
    <t>nguyenphungtramy08@gmail.com</t>
  </si>
  <si>
    <t>Số 19 Vườn Cây - thôn Vệ - Nam Hồng - Đông Anh - HN</t>
  </si>
  <si>
    <t>29/06/2024 và 03/07/2024</t>
  </si>
  <si>
    <t>https://drive.google.com/open?id=1xYyaIn6y4erKbkHYTJKTThfumbWMnigT</t>
  </si>
  <si>
    <t>Đức báo hạ combo</t>
  </si>
  <si>
    <t>https://www.facebook.com/nhims.29?mibextid=LQQJ4d</t>
  </si>
  <si>
    <r>
      <rPr>
        <sz val="12"/>
        <color theme="1"/>
        <rFont val="Times New Roman"/>
        <family val="1"/>
      </rPr>
      <t xml:space="preserve">Lê Kim Ngân </t>
    </r>
    <r>
      <rPr>
        <sz val="12"/>
        <color rgb="FFFF0000"/>
        <rFont val="Times New Roman"/>
        <family val="1"/>
      </rPr>
      <t>(hợp đồng)</t>
    </r>
  </si>
  <si>
    <t>lekimngan5201314@gmail.com</t>
  </si>
  <si>
    <t xml:space="preserve"> Số 43K65 Lê Lợi - Sơn Tây - Hà Nội</t>
  </si>
  <si>
    <t>29/06/2024 và 02/07/2024</t>
  </si>
  <si>
    <t>https://drive.google.com/open?id=1urRw5S1QdJYsphkLqChbAQcuyJdDq4kE; https://drive.google.com/open?id=1CHvqTTbhHknZdaScDA-OJL-DEGuhnad7; https://drive.google.com/open?id=12_BE6ek69jADq8dxMXCkTwCBij1FsmNR</t>
  </si>
  <si>
    <t>PT83</t>
  </si>
  <si>
    <t xml:space="preserve"> https://www.facebook.com/profile.php?id=100094035241863&amp;mibextid=LQQJ4d</t>
  </si>
  <si>
    <r>
      <rPr>
        <sz val="12"/>
        <color theme="1"/>
        <rFont val="Times New Roman"/>
        <family val="1"/>
      </rPr>
      <t xml:space="preserve">Lưu Hoài Nam </t>
    </r>
    <r>
      <rPr>
        <sz val="12"/>
        <color rgb="FFFF0000"/>
        <rFont val="Times New Roman"/>
        <family val="1"/>
      </rPr>
      <t>(hợp đồng) 0934530742 số dự phòng
Nick của mẹ Nguyễn Hường</t>
    </r>
  </si>
  <si>
    <t>luunam2604@gmail.com</t>
  </si>
  <si>
    <t>Cổng Bát Mã- Kim Thiều -Hương Mạc- Từ Sơn-Bắc Ninh</t>
  </si>
  <si>
    <t>https://drive.google.com/open?id=1fI4xUpFQ_B6T7qWUbjhA2u7Nko7dAuIB; https://drive.google.com/open?id=1Ul_BoGs3LPtLcHv3my7Edu0oYpIabkPs; https://drive.google.com/open?id=1j6ZWPYnO8JJmBN4DYS9tL6VQgNVFd1y6</t>
  </si>
  <si>
    <t>T216</t>
  </si>
  <si>
    <t>https://www.facebook.com/profile.php?id=100083478494806&amp;mibextid=ZbWKwL</t>
  </si>
  <si>
    <t>Bùi Phúc Lâm</t>
  </si>
  <si>
    <t>lameo2006@gmail.com</t>
  </si>
  <si>
    <t xml:space="preserve">số 12 ngõ 16 đường Nguyễn Khánh Toàn - Cầu Giấy - Hà Nội </t>
  </si>
  <si>
    <t>30/06/2024 và 09/07/2024</t>
  </si>
  <si>
    <t xml:space="preserve">https://drive.google.com/open?id=1lh9M94g2hqdOCkb9SztCXLkQ9GJhGIoT; https://drive.google.com/open?id=1filqyW82LXABHYVcVG6ZMBeOpO5hUwtZ; </t>
  </si>
  <si>
    <t>Cần hợp đồng - số cccd: 001206026272</t>
  </si>
  <si>
    <t>https://www.facebook.com/ongtho.sua.73345?mibextid=LQQJ4d</t>
  </si>
  <si>
    <r>
      <rPr>
        <sz val="12"/>
        <color theme="1"/>
        <rFont val="Times New Roman"/>
        <family val="1"/>
      </rPr>
      <t>Nguyễn Hoàng Khôi (</t>
    </r>
    <r>
      <rPr>
        <sz val="12"/>
        <color rgb="FFFF0000"/>
        <rFont val="Times New Roman"/>
        <family val="1"/>
      </rPr>
      <t>hợp đồng)</t>
    </r>
  </si>
  <si>
    <t>hoangkhoi1223@gmail.com</t>
  </si>
  <si>
    <t>30 Nguyễn Hới, phường Phạm Ngũ Lão, thành phố Hải Dương, tỉnh Hải Dương</t>
  </si>
  <si>
    <t>22/06/2024 và 02/07/2024</t>
  </si>
  <si>
    <t>https://drive.google.com/open?id=1EfYqFoKUgHOoW11hnUrKdUcZlIEbIypP; https://drive.google.com/open?id=19uBWqEd7jX8STOwBCITRHYOBQtT9x34B; https://drive.google.com/open?id=1dd6dNfyfOGb7ioB4mB3t6aMPgnHguhrC</t>
  </si>
  <si>
    <t>https://www.facebook.com/thanh.phanthi.5602728?mibextid=LQQJ4d</t>
  </si>
  <si>
    <r>
      <rPr>
        <sz val="12"/>
        <color theme="1"/>
        <rFont val="Times New Roman"/>
        <family val="1"/>
      </rPr>
      <t xml:space="preserve">Phan Thị Thanh </t>
    </r>
    <r>
      <rPr>
        <sz val="12"/>
        <color rgb="FFFF0000"/>
        <rFont val="Times New Roman"/>
        <family val="1"/>
      </rPr>
      <t>(hợp đồng)</t>
    </r>
  </si>
  <si>
    <t>thanh05092006123@gmail.com</t>
  </si>
  <si>
    <t>Đền thái yên, xã thanh bình thịnh, huyện đức thọ, tỉnh Hà tĩnh</t>
  </si>
  <si>
    <t>https://drive.google.com/open?id=1P4J1m50RT3qqX8XmqNE_1adxZvEDOPLH; https://drive.google.com/open?id=1K7XW5BQ1oBC-l4Kbpzy2sE9sv1H8gi0C</t>
  </si>
  <si>
    <t>https://www.facebook.com/profile.php?id=100091451267088&amp;mibextid=LQQJ4d</t>
  </si>
  <si>
    <t>Nguyễn Thị Huế</t>
  </si>
  <si>
    <t>nhue50394@gmail.com</t>
  </si>
  <si>
    <t>trung bạn thị trấn chờ yên phong bắc ninh</t>
  </si>
  <si>
    <t>30/06/2024 và 05/07/2024</t>
  </si>
  <si>
    <t>https://drive.google.com/open?id=1ISBPrl2W--di3F0N1tiMWu1NFmcYtlD6; https://drive.google.com/open?id=1bgSU4vSjl7plQ1R-DYiPX-72ObSVJVSv; https://drive.google.com/open?id=1KmR21kgSJaqgW9OHXF68Vvw5sz41MDqm</t>
  </si>
  <si>
    <t>https://www.facebook.com/tran.sarah.1238292?mibextid=LQQJ4d</t>
  </si>
  <si>
    <r>
      <rPr>
        <sz val="12"/>
        <color theme="1"/>
        <rFont val="Times New Roman"/>
        <family val="1"/>
      </rPr>
      <t xml:space="preserve">Trần Hoàng Nhi </t>
    </r>
    <r>
      <rPr>
        <sz val="12"/>
        <color rgb="FFFF0000"/>
        <rFont val="Times New Roman"/>
        <family val="1"/>
      </rPr>
      <t>(hợp đồng)</t>
    </r>
  </si>
  <si>
    <t>tranhoangnhi2006nd@gmail.com</t>
  </si>
  <si>
    <t>142 Nguyễn Văn Trỗi, phường Trần Quang Khải, TP Nam Định, tỉnh Nam Định</t>
  </si>
  <si>
    <t>30/06/2024 và 04/07/2024</t>
  </si>
  <si>
    <t>https://drive.google.com/open?id=1A8of_Ov1LW2dHPbn99JbKHL3KvhKo5Cl; https://drive.google.com/open?id=1-vVJu-3sXEHphIhUnf7z92cDk8g3QsUG; https://drive.google.com/open?id=1YXZ6Ro1nVMESwd7mSE_FEpf9Nh8i1Tw_</t>
  </si>
  <si>
    <t>PT89</t>
  </si>
  <si>
    <t>https://www.facebook.com/profile.php?id=100073975956413&amp;mibextid=LQQJ4d</t>
  </si>
  <si>
    <r>
      <rPr>
        <sz val="12"/>
        <color theme="1"/>
        <rFont val="Times New Roman"/>
        <family val="1"/>
      </rPr>
      <t xml:space="preserve">Hoàng Mai Trang </t>
    </r>
    <r>
      <rPr>
        <sz val="12"/>
        <color rgb="FFFF0000"/>
        <rFont val="Times New Roman"/>
        <family val="1"/>
      </rPr>
      <t>(hợp đồng)</t>
    </r>
    <r>
      <rPr>
        <sz val="12"/>
        <color theme="1"/>
        <rFont val="Times New Roman"/>
        <family val="1"/>
      </rPr>
      <t>- 828106066 số cũ</t>
    </r>
  </si>
  <si>
    <t xml:space="preserve">Khánh </t>
  </si>
  <si>
    <t>hoangmaitrangt06@gmail.com</t>
  </si>
  <si>
    <t>Tổ 14 - Đường Ngô Sĩ Liên - phường đồng tâm - thành phố Yên Bái</t>
  </si>
  <si>
    <t>30/06/2024 và 07/07/2024</t>
  </si>
  <si>
    <t>https://drive.google.com/open?id=1OIfqnBZKvFJ323HY0kpGCkHiznnslaWb, https://drive.google.com/open?id=1KivicfnvvzIXR0UrnTiDqYecQvjTpL-a; https://drive.google.com/open?id=14mnX5GRP48qh1bw4V9cGYaS-wzvTUvfB, https://drive.google.com/open?id=1-qsVnQH4IkVQHDVYI3qAG8x42-2h8AHS</t>
  </si>
  <si>
    <t>T252</t>
  </si>
  <si>
    <t>https://www.facebook.com/profile.php?id=100050870228043</t>
  </si>
  <si>
    <r>
      <rPr>
        <sz val="12"/>
        <color theme="1"/>
        <rFont val="Times New Roman"/>
        <family val="1"/>
      </rPr>
      <t xml:space="preserve">Sơn </t>
    </r>
    <r>
      <rPr>
        <sz val="12"/>
        <color rgb="FFFF0000"/>
        <rFont val="Times New Roman"/>
        <family val="1"/>
      </rPr>
      <t>- nick Dương Dương T245
 Đã nộp 300K 05/09/2024. T215 nghỉ ngang Huy báo</t>
    </r>
  </si>
  <si>
    <t>dhson.75@gmail.com</t>
  </si>
  <si>
    <t>Số 102 tổ 5 khu 1, Hồng Hà, Hạ Long, Quảng Ninh</t>
  </si>
  <si>
    <t>https://drive.google.com/open?id=1ZKSH_IZ3v6D8eDieD8d94SWams5_B_BX</t>
  </si>
  <si>
    <t>PT86</t>
  </si>
  <si>
    <t>https://www.facebook.com/profile.php?id=100043338184769&amp;mibextid=LQQJ4d</t>
  </si>
  <si>
    <r>
      <rPr>
        <sz val="12"/>
        <color theme="1"/>
        <rFont val="Times New Roman"/>
        <family val="1"/>
      </rPr>
      <t xml:space="preserve">Vũ Thị Tố Uyên </t>
    </r>
    <r>
      <rPr>
        <sz val="12"/>
        <color rgb="FFFF0000"/>
        <rFont val="Times New Roman"/>
        <family val="1"/>
      </rPr>
      <t xml:space="preserve">(hợp đồng) </t>
    </r>
  </si>
  <si>
    <t xml:space="preserve">Hùng </t>
  </si>
  <si>
    <t>035306000650</t>
  </si>
  <si>
    <t>Tam Giáp - Duy Hải - Duy Tiên - Hà Nam</t>
  </si>
  <si>
    <t>https://drive.google.com/open?id=1vk_gJ6cPs7EIDpJeZorfVfNwopvgnNGk; https://drive.google.com/open?id=1SoM251J7PseU8qkn0HifQbx43tHouuPV</t>
  </si>
  <si>
    <t>https://www.facebook.com/profile.php?id=100024645811244&amp;mibextid=LQQJ4d</t>
  </si>
  <si>
    <r>
      <rPr>
        <sz val="12"/>
        <color theme="1"/>
        <rFont val="Times New Roman"/>
        <family val="1"/>
      </rPr>
      <t xml:space="preserve">Phạm Minh Cường </t>
    </r>
    <r>
      <rPr>
        <sz val="12"/>
        <color rgb="FFFF0000"/>
        <rFont val="Times New Roman"/>
        <family val="1"/>
      </rPr>
      <t>- hợp đồng</t>
    </r>
  </si>
  <si>
    <t xml:space="preserve">Ngọc Anh </t>
  </si>
  <si>
    <t>phamminhcuonggl@gmail.com</t>
  </si>
  <si>
    <t>Số nhà 08, Thôn Đồng Xá 1, Đường 3, Xã Đồng Tiến, Huyện Triệu Sơn, Tỉnh Thanh Hoá</t>
  </si>
  <si>
    <t xml:space="preserve">01/07/2024 và 04/07/2024 </t>
  </si>
  <si>
    <t>https://drive.google.com/open?id=17nKHUZS35yyLL4GzT3KnkjpJErKYZt6w; https://drive.google.com/open?id=10Pu6lXFwS_PXR7rXKB3k78xrcmSg_K1x; https://drive.google.com/open?id=1FLpXSy1k3RAWFv6FQ5Sb_yw5-2nr_riS</t>
  </si>
  <si>
    <t>Gửi kèm hợp đồng - số cccd: 064206000745</t>
  </si>
  <si>
    <t>https://www.facebook.com/vuthi.maiphuong.2606?mibextid=LQQJ4d</t>
  </si>
  <si>
    <r>
      <rPr>
        <sz val="12"/>
        <color theme="1"/>
        <rFont val="Times New Roman"/>
        <family val="1"/>
      </rPr>
      <t xml:space="preserve">Vũ Thị Mai Phương </t>
    </r>
    <r>
      <rPr>
        <sz val="12"/>
        <color rgb="FFFF0000"/>
        <rFont val="Times New Roman"/>
        <family val="1"/>
      </rPr>
      <t>(hợp đồng)</t>
    </r>
  </si>
  <si>
    <t>maiphuong260606@gmail.com</t>
  </si>
  <si>
    <t>81 Trần Hưng Đạo 2, Thị Trấn Nam Sách, Nam Sách, Hải Dương</t>
  </si>
  <si>
    <t>https://drive.google.com/open?id=1IJht-G-PCAQa1-ZtSQexOnsUTPMdc7up; https://drive.google.com/open?id=1zyihNG8Vo6z3pOll7BQh1hQDQi4fnKM5</t>
  </si>
  <si>
    <t>https://www.facebook.com/nguyentoquyennn?mibextid=LQQJ4d</t>
  </si>
  <si>
    <r>
      <rPr>
        <sz val="12"/>
        <color theme="1"/>
        <rFont val="Times New Roman"/>
        <family val="1"/>
      </rPr>
      <t xml:space="preserve">Nguyễn Hoàng Tố Quyên </t>
    </r>
    <r>
      <rPr>
        <sz val="12"/>
        <color rgb="FFFF0000"/>
        <rFont val="Times New Roman"/>
        <family val="1"/>
      </rPr>
      <t>(hợp đồng) T217</t>
    </r>
  </si>
  <si>
    <t xml:space="preserve">quyento006@gmail.com </t>
  </si>
  <si>
    <t>Số 25 Ngõ 34 Phường Xuân La Quận Tây Hồ Hà Nội</t>
  </si>
  <si>
    <t>01/07/2024 và 10/07/2024</t>
  </si>
  <si>
    <t>https://drive.google.com/open?id=16PJ18opUs1QhpePwDcPaHseQvhDcE8R5; https://drive.google.com/open?id=1u6yL6_Peajie4MZV7SUZx1EA5qDYRfol; https://drive.google.com/open?id=15dVBJxNdQvuBjGEH7dElVZvySqQDUYQO</t>
  </si>
  <si>
    <t>https://www.facebook.com/kieu.hanh.3386585</t>
  </si>
  <si>
    <t>Kiều Hạnh</t>
  </si>
  <si>
    <t>10 ngõ 45 trần thái tông cầu giấy hà nội</t>
  </si>
  <si>
    <t>https://drive.google.com/open?id=1tSyksWXkQZHFnRTE22ZBpxlYBnI2bqHA</t>
  </si>
  <si>
    <t>https://www.facebook.com/profile.php?id=100023773683772&amp;mibextid=LQQJ4d</t>
  </si>
  <si>
    <r>
      <rPr>
        <sz val="12"/>
        <color theme="1"/>
        <rFont val="Times New Roman"/>
        <family val="1"/>
      </rPr>
      <t xml:space="preserve">Lê Thu Huyền </t>
    </r>
    <r>
      <rPr>
        <sz val="12"/>
        <color rgb="FFFF0000"/>
        <rFont val="Times New Roman"/>
        <family val="1"/>
      </rPr>
      <t>(hợp đồng)</t>
    </r>
  </si>
  <si>
    <t>huyenthule2006@gmail.com</t>
  </si>
  <si>
    <t>số 8 166/1/50 Linh Quy Bắc -Kim Sơn -Gia Lâm -Hà Nội</t>
  </si>
  <si>
    <t>01/07/2024 và 03/07/2024</t>
  </si>
  <si>
    <t>https://drive.google.com/open?id=1jKG8cV1oWltdg7K6Nqs5LKk4C8JmhnHQ; https://drive.google.com/open?id=1rlKKeaLojm539J2SyqTXgN5-vMfHOu-2; https://drive.google.com/open?id=1uqHaY5FZ7hXth0bufm3q3dI28qJzjXj1</t>
  </si>
  <si>
    <t>https://www.facebook.com/5nabii?mibextid=LQQJ4d</t>
  </si>
  <si>
    <r>
      <rPr>
        <sz val="12"/>
        <color theme="1"/>
        <rFont val="Times New Roman"/>
        <family val="1"/>
      </rPr>
      <t xml:space="preserve"> Nguyễn Thị Yến Nhi </t>
    </r>
    <r>
      <rPr>
        <sz val="12"/>
        <color rgb="FFFF0000"/>
        <rFont val="Times New Roman"/>
        <family val="1"/>
      </rPr>
      <t>(hợp đồng)</t>
    </r>
  </si>
  <si>
    <t xml:space="preserve">nguyenngocuyennhi05@gmail.com </t>
  </si>
  <si>
    <t xml:space="preserve">Địa chỉ nhận sách: xóm Đông - thôn Phượng Luật - xã Đồng Lạc - Chương Mỹ - Hà Nội </t>
  </si>
  <si>
    <t>01/07/2024 và 07/07/2024</t>
  </si>
  <si>
    <t>https://drive.google.com/open?id=1PLpdHB0KktR-_AYbhQhCIqwVlxfricPd; https://drive.google.com/open?id=1AhG6U3GC_EEAs62Itoc_Epm015W20Qe-; https://drive.google.com/open?id=1GPdvX9TcEw24CIckfSq6eISr_CvJHOFG</t>
  </si>
  <si>
    <t>https://www.facebook.com/tha.ngu.3720</t>
  </si>
  <si>
    <t xml:space="preserve">Nguyễn Tiến Thắng </t>
  </si>
  <si>
    <t>nguyentienthang112k5@ gmail.com</t>
  </si>
  <si>
    <t>Sale nhận hộ</t>
  </si>
  <si>
    <t>01/07/2024 và 16/07/2024</t>
  </si>
  <si>
    <t>https://drive.google.com/open?id=1vxQiD-CzX1zuXehzzYtRVMmZRlbyK_cz; https://drive.google.com/open?id=1oc-8fk2ktzxEjNuZAI9ZpAipMJ6eZAR-; https://drive.google.com/open?id=1wt-mhqB75joH8jPEgz0CAojOTEmaLuuF</t>
  </si>
  <si>
    <t>Nhài đưa tay Trung</t>
  </si>
  <si>
    <t>https://www.facebook.com/share/4FZfNAxa4bokTj6H/?mibextid=qi2Omg</t>
  </si>
  <si>
    <r>
      <rPr>
        <sz val="12"/>
        <color theme="1"/>
        <rFont val="Times New Roman"/>
        <family val="1"/>
      </rPr>
      <t xml:space="preserve">Trần Ngọc Anh </t>
    </r>
    <r>
      <rPr>
        <sz val="12"/>
        <color rgb="FFFF0000"/>
        <rFont val="Times New Roman"/>
        <family val="1"/>
      </rPr>
      <t>(gửi hợp đồng khi học LV2)</t>
    </r>
  </si>
  <si>
    <t xml:space="preserve">tna01506@gmail.com </t>
  </si>
  <si>
    <t xml:space="preserve">Dốc đê Thích Thổ, Xóm Đông, Thôn Hoà Mỹ, Xã Hồng Minh, Huyện Phú Xuyên, TP Hà Nội. </t>
  </si>
  <si>
    <t>02/07/2024 và 08/07/2024</t>
  </si>
  <si>
    <t>https://drive.google.com/open?id=1R51CILtt8EJY-KRlJ2Jm2ATlgUfyxx73; https://drive.google.com/open?id=1RUj0WhKQ63Lp38wbizajIWc8_OcOQ4G0; https://drive.google.com/open?id=1QTGoLy_JTPYcQ00aXDfZ-Jy4PNLazwIF</t>
  </si>
  <si>
    <t>Cần hợp đồng - cccd: 001306057083</t>
  </si>
  <si>
    <t>https://www.facebook.com/pham.kelvin.733</t>
  </si>
  <si>
    <t xml:space="preserve">Phạm Đức Mạnh </t>
  </si>
  <si>
    <t xml:space="preserve">. </t>
  </si>
  <si>
    <t xml:space="preserve">Khối 3- Thị chấn Diễm Châu, Diễm Châu, Nghệ An </t>
  </si>
  <si>
    <t>https://drive.google.com/open?id=1Qti0Oq9RsOJddPIepzjkaop6a6V5VwnI</t>
  </si>
  <si>
    <t>Đạt đưa tay</t>
  </si>
  <si>
    <t>https://www.facebook.com/mphwng.1</t>
  </si>
  <si>
    <t>https://drive.google.com/open?id=1-bvjq1iSvmbdDchnQdNf7-67kXjuiOke</t>
  </si>
  <si>
    <t>PT88</t>
  </si>
  <si>
    <t>https://www.facebook.com/profile.php?id=100042311855995&amp;mibextid=LQQJ4d</t>
  </si>
  <si>
    <r>
      <rPr>
        <sz val="12"/>
        <color theme="1"/>
        <rFont val="Times New Roman"/>
        <family val="1"/>
      </rPr>
      <t xml:space="preserve">Vũ Khánh Ngọc </t>
    </r>
    <r>
      <rPr>
        <sz val="12"/>
        <color rgb="FFFF0000"/>
        <rFont val="Times New Roman"/>
        <family val="1"/>
      </rPr>
      <t>(hợp đồng)</t>
    </r>
  </si>
  <si>
    <t>vungocnd7@gmail.com</t>
  </si>
  <si>
    <t>7/106 - Nguyễn Văn Trỗi - tp Nam Định</t>
  </si>
  <si>
    <t>02/07/2024 và 24/07/2024</t>
  </si>
  <si>
    <r>
      <rPr>
        <u/>
        <sz val="12"/>
        <color rgb="FF1155CC"/>
        <rFont val="Times New Roman"/>
        <family val="1"/>
      </rPr>
      <t xml:space="preserve">https://drive.google.com/open?id=1S_2PwPV31KsLr2cazQuHku6YQhY3OwpF; </t>
    </r>
    <r>
      <rPr>
        <u/>
        <sz val="12"/>
        <color rgb="FF1155CC"/>
        <rFont val="Times New Roman"/>
        <family val="1"/>
      </rPr>
      <t>https://drive.google.com/open?id=1GFSO3hIwWvk8Ah9q90AybPQDvZrxF5MX</t>
    </r>
  </si>
  <si>
    <t>PT87</t>
  </si>
  <si>
    <t>https://www.facebook.com/profile.php?id=100039716587982&amp;mibextid=LQQJ4d</t>
  </si>
  <si>
    <r>
      <rPr>
        <sz val="12"/>
        <color theme="1"/>
        <rFont val="Times New Roman"/>
        <family val="1"/>
      </rPr>
      <t xml:space="preserve">Vũ Thị Oanh </t>
    </r>
    <r>
      <rPr>
        <sz val="12"/>
        <color rgb="FFFF0000"/>
        <rFont val="Times New Roman"/>
        <family val="1"/>
      </rPr>
      <t>(hợp đồng)</t>
    </r>
  </si>
  <si>
    <t xml:space="preserve">Dũng </t>
  </si>
  <si>
    <t>ngõ 35 nhà số 8 ; Trung Hòa - Tân Hồng - Từ Sơn -Bắc Ninh</t>
  </si>
  <si>
    <t>https://drive.google.com/open?id=1cq_Kcuit9t7P9eNJQ8tFvgbV0Mffqxgz; https://drive.google.com/open?id=1oEWZPQP1Zd9BmlcXHT16HnIwObQiB050</t>
  </si>
  <si>
    <t>https://www.facebook.com/quynhanh.phamthi.16752?mibextid=LQQJ4d</t>
  </si>
  <si>
    <r>
      <rPr>
        <sz val="12"/>
        <color theme="1"/>
        <rFont val="Times New Roman"/>
        <family val="1"/>
      </rPr>
      <t xml:space="preserve">Phạm Thị Quỳnh Anh </t>
    </r>
    <r>
      <rPr>
        <sz val="12"/>
        <color rgb="FFFF0000"/>
        <rFont val="Times New Roman"/>
        <family val="1"/>
      </rPr>
      <t>(hợp đồng)</t>
    </r>
  </si>
  <si>
    <t>phamthiquynhanh0206@gmail.com</t>
  </si>
  <si>
    <t xml:space="preserve">Thôn Trường Thanh, Xã Kỳ Thư-Huyện Kỳ Anh- Tĩnh Hà Tĩnh </t>
  </si>
  <si>
    <t>https://drive.google.com/open?id=1HpvUs8ucG3HjJAjy4YBmBQV6qjbgkfvT; https://drive.google.com/open?id=12OlRhJoxJMKR5bruXoXTFKCJq8ofxMtl, https://drive.google.com/open?id=1-li8uk4LnxVIpwxr2_chTvjrOrL6zpt0</t>
  </si>
  <si>
    <t>VIP97 bảo lưu b12</t>
  </si>
  <si>
    <t>Số nhà 20 Ngõ 113, Cửu Việt 2, Trâu Quỳ, Gia Lâm, Hà Nội</t>
  </si>
  <si>
    <t>https://drive.google.com/open?id=10WtTFjXZz7JaIDLRcGMzab-JodBgC-Ni</t>
  </si>
  <si>
    <t>https://www.facebook.com/copylinkfbtaolamgi0w0?mibextid=LQQJ4d</t>
  </si>
  <si>
    <t>Nguyễn Quốc Đạt</t>
  </si>
  <si>
    <t>Khu 15 đông phong tiên phong ba vì hà nội</t>
  </si>
  <si>
    <t>03/07/2024 và 20/07/2024</t>
  </si>
  <si>
    <r>
      <rPr>
        <u/>
        <sz val="12"/>
        <color rgb="FF1155CC"/>
        <rFont val="Times New Roman"/>
        <family val="1"/>
      </rPr>
      <t xml:space="preserve">https://drive.google.com/open?id=13HCeI_5NHBVsN3TjenIjVdHHWCujLocU; </t>
    </r>
    <r>
      <rPr>
        <u/>
        <sz val="12"/>
        <color rgb="FF1155CC"/>
        <rFont val="Times New Roman"/>
        <family val="1"/>
      </rPr>
      <t>https://drive.google.com/open?id=1zQs03RC3YngWckNTmPBfurbZeCbyN82-</t>
    </r>
  </si>
  <si>
    <t>https://www.facebook.com/profile.php?id=100033659448836&amp;mibextid=LQQJ4d</t>
  </si>
  <si>
    <t>Trần Ngọc Duy</t>
  </si>
  <si>
    <t>anhdaylata@gmail.com</t>
  </si>
  <si>
    <t>Quán Cầm Đồ đối diện cửa hàng Lâm Yến TDP Cửa Hà-Thị trấn Phong Sơn - huyện Cẩm Thủy - tỉnh Thanh Hóa</t>
  </si>
  <si>
    <t>03/07/2024 và 06/07/2024</t>
  </si>
  <si>
    <t>https://drive.google.com/open?id=1XfrlLLzSoQV9Kqr-Xi4DUVU3cr9WE_Eb; https://drive.google.com/open?id=10gKIb8JSUmvs_xv9DKA2RbUDfkk-PnSe</t>
  </si>
  <si>
    <t>PT85</t>
  </si>
  <si>
    <t>https://www.facebook.com/xuankhoa2905?mibextid=LQQJ4d</t>
  </si>
  <si>
    <r>
      <rPr>
        <sz val="12"/>
        <color theme="1"/>
        <rFont val="Times New Roman"/>
        <family val="1"/>
      </rPr>
      <t xml:space="preserve">Nguyễn Xuân Khoa </t>
    </r>
    <r>
      <rPr>
        <sz val="12"/>
        <color rgb="FFFF0000"/>
        <rFont val="Times New Roman"/>
        <family val="1"/>
      </rPr>
      <t xml:space="preserve">(hợp đồng) </t>
    </r>
    <r>
      <rPr>
        <sz val="12"/>
        <color theme="1"/>
        <rFont val="Times New Roman"/>
        <family val="1"/>
      </rPr>
      <t>- Sách cũ</t>
    </r>
  </si>
  <si>
    <t>Nguyenxuankhoa29052006QN@gmail.com</t>
  </si>
  <si>
    <t xml:space="preserve">Số nhà 60-tổ 45B-khu 12- Quang Trung - Uông Bí - Quảng Ninh </t>
  </si>
  <si>
    <t>https://drive.google.com/open?id=1PMS8bBHdvFI4R80DyCGnL2izShUYC3T9; https://drive.google.com/open?id=1lU-YZlG2s-4xbp6CkuDQr4GavL0h0Xjc; https://drive.google.com/open?id=1abY7E0z12Bvuew9-MKyCJu3F5t-KoJrX</t>
  </si>
  <si>
    <t>https://www.facebook.com/btnaaaa?mibextid=LQQJ4d</t>
  </si>
  <si>
    <r>
      <rPr>
        <sz val="12"/>
        <color theme="1"/>
        <rFont val="Times New Roman"/>
        <family val="1"/>
      </rPr>
      <t xml:space="preserve">Bùi Thị Ngọc Ánh </t>
    </r>
    <r>
      <rPr>
        <sz val="12"/>
        <color rgb="FFFF0000"/>
        <rFont val="Times New Roman"/>
        <family val="1"/>
      </rPr>
      <t>(hợp đồng)</t>
    </r>
  </si>
  <si>
    <t xml:space="preserve">anhngocbui0987@gmail.com </t>
  </si>
  <si>
    <t>Địa chỉ nhận sách: Số nhà 14- Ngách 54/2- Cầu Đăm- Tổ dân phố Thượng 1- Tây Tựu- Bắc Từ Liêm- Hà Nội</t>
  </si>
  <si>
    <t>03/07/2024 và 10/07/2024</t>
  </si>
  <si>
    <t>https://drive.google.com/open?id=17TK18b5rY667K1sHSce40cEov_9aAw22; https://drive.google.com/open?id=1vkYI3x51hypZUnqTPtvShvjGR_Or_zV9; https://drive.google.com/open?id=10JkjAIGr7BqXt9lJFP7XVlOcFRFHldwG</t>
  </si>
  <si>
    <t>https://www.facebook.com/yuno1226</t>
  </si>
  <si>
    <t>Trần Trung Hiếu</t>
  </si>
  <si>
    <t xml:space="preserve">An </t>
  </si>
  <si>
    <t xml:space="preserve"> trunghieu2022006@gmail.com</t>
  </si>
  <si>
    <t>Salon tóc Mr Hùng, Thôn Cốc Ngang, Xã Phạm Ngũ Lão, Huyện Kim Động, Tỉnh Hưng Yên</t>
  </si>
  <si>
    <t>03/07/2024 và 31/07/2024</t>
  </si>
  <si>
    <t>https://drive.google.com/open?id=1mmoRELIKcw7XsBivdB4iHgCiH35iTERP; https://drive.google.com/open?id=1_IklnmKQabai0K59qkOvxVT8OtBAJDmk</t>
  </si>
  <si>
    <t>https://www.facebook.com/ann.phamxuan.56</t>
  </si>
  <si>
    <t xml:space="preserve">Phạm Xuân An </t>
  </si>
  <si>
    <t xml:space="preserve">Ngọc </t>
  </si>
  <si>
    <t xml:space="preserve"> Xuanannriot@gmail.com</t>
  </si>
  <si>
    <t>Gemek 1 - An Khánh Hoài Đức Hà Nội</t>
  </si>
  <si>
    <t>29/06/2024 và 01/07/2024</t>
  </si>
  <si>
    <t>https://drive.google.com/open?id=1s58fzsiqqmketiSN-VH5Qbr3inW3Y_Rp, https://drive.google.com/open?id=1HewL5D8jDFvswiHZgYMsz-rXUINO14r7; https://drive.google.com/open?id=19ueoqGlZwtto7EJ4pbn2Ro70VBki9mU8</t>
  </si>
  <si>
    <t>https://www.facebook.com/phuongnga.01245</t>
  </si>
  <si>
    <t xml:space="preserve">Nguyễn Thị Nga </t>
  </si>
  <si>
    <t>An</t>
  </si>
  <si>
    <t xml:space="preserve">ngthinga1220@gmail.com </t>
  </si>
  <si>
    <t>108 đường Đông Vân, Vân La, Hồng Vân, Thường Tín, Hà Nội</t>
  </si>
  <si>
    <t>23/06/2024 và 01/07/2024</t>
  </si>
  <si>
    <t>https://drive.google.com/open?id=1QK07t6WX-K7suO_4q72tNvOr8r8B03sl, https://drive.google.com/open?id=10lrYUIxKwJ3oqyImCIlj0Tyfo-J7Vkll</t>
  </si>
  <si>
    <t>https://www.facebook.com/profile.php?id=100019941062582</t>
  </si>
  <si>
    <t xml:space="preserve">Phạm Khánh Huyền </t>
  </si>
  <si>
    <t xml:space="preserve"> phamkhanhhuyen542005@gmail.com</t>
  </si>
  <si>
    <t>Sn 8, ngõ 140 phú diễn bắc từ liêm hnoi</t>
  </si>
  <si>
    <t>https://drive.google.com/open?id=16-uwKq9hv28fvVNtN1jVMVZ7AatRlH6J</t>
  </si>
  <si>
    <t>https://www.facebook.com/vuthi.quynhtrang.10</t>
  </si>
  <si>
    <r>
      <rPr>
        <sz val="12"/>
        <color theme="1"/>
        <rFont val="Times New Roman"/>
        <family val="1"/>
      </rPr>
      <t xml:space="preserve">Vũ Thị Quỳnh Trang </t>
    </r>
    <r>
      <rPr>
        <sz val="12"/>
        <color rgb="FFFF0000"/>
        <rFont val="Times New Roman"/>
        <family val="1"/>
      </rPr>
      <t>OPT21</t>
    </r>
  </si>
  <si>
    <t xml:space="preserve"> vtrang1802@gmail.com</t>
  </si>
  <si>
    <t>Thôn tân long xã trung đông huyện trực ninh tỉnh nam định</t>
  </si>
  <si>
    <t>https://drive.google.com/open?id=1LWnYok6JanFH7ss4u08xDyFT7-x6KWYF</t>
  </si>
  <si>
    <t>Mấtg gốc</t>
  </si>
  <si>
    <t>https://www.facebook.com/profile.php?id=100051807124056</t>
  </si>
  <si>
    <r>
      <rPr>
        <sz val="12"/>
        <color theme="1"/>
        <rFont val="Times New Roman"/>
        <family val="1"/>
      </rPr>
      <t xml:space="preserve">Huỳnh Ngô Quốc Bảo </t>
    </r>
    <r>
      <rPr>
        <sz val="12"/>
        <color rgb="FFFF0000"/>
        <rFont val="Times New Roman"/>
        <family val="1"/>
      </rPr>
      <t>(hợp đồng)</t>
    </r>
  </si>
  <si>
    <t>Quocbaopc01@gmail.com</t>
  </si>
  <si>
    <t>480 Phạm Văn Đồng, Bình định-an nhơn-nhơn thành</t>
  </si>
  <si>
    <r>
      <rPr>
        <sz val="12"/>
        <rFont val="Times New Roman"/>
        <family val="1"/>
      </rPr>
      <t xml:space="preserve">https://drive.google.com/open?id=1juzCE1i1nWtMrgbhbhVUsp4NdIMxdmAf, https://drive.google.com/open?id=1ox4JrFOIrBciZu7gWx4gFvVOF8jctV3q; </t>
    </r>
    <r>
      <rPr>
        <u/>
        <sz val="12"/>
        <color rgb="FF1155CC"/>
        <rFont val="Times New Roman"/>
        <family val="1"/>
      </rPr>
      <t>https://drive.google.com/open?id=1-_vMWFUK0EOxLT-7Llh92ZdJc3RoJhZh</t>
    </r>
  </si>
  <si>
    <t>https://www.facebook.com/my.nguyentrayen.7</t>
  </si>
  <si>
    <r>
      <rPr>
        <sz val="12"/>
        <color theme="1"/>
        <rFont val="Times New Roman"/>
        <family val="1"/>
      </rPr>
      <t xml:space="preserve">Nguyễn Trà Yến My </t>
    </r>
    <r>
      <rPr>
        <sz val="12"/>
        <color rgb="FFFF0000"/>
        <rFont val="Times New Roman"/>
        <family val="1"/>
      </rPr>
      <t>(hợp đồng)</t>
    </r>
  </si>
  <si>
    <t>mykhongmap@gmail.com</t>
  </si>
  <si>
    <t>Tỉnh Đồng Nai, huyện Trảng Bom, ấp Trường An, xã Thanh Bình, đường Trường An số 6, số nhà 301/16</t>
  </si>
  <si>
    <r>
      <rPr>
        <sz val="12"/>
        <rFont val="Times New Roman"/>
        <family val="1"/>
      </rPr>
      <t xml:space="preserve">https://drive.google.com/open?id=1fr4rRGDUTNNoyLhdi6aMI0ePhjgWPLnv, </t>
    </r>
    <r>
      <rPr>
        <u/>
        <sz val="12"/>
        <color rgb="FF1155CC"/>
        <rFont val="Times New Roman"/>
        <family val="1"/>
      </rPr>
      <t>https://drive.google.com/open?id=19RwH93H62R0O12ZSzZ1jBdsqcPQDjUrV</t>
    </r>
  </si>
  <si>
    <t>https://www.facebook.com/nhu1204?mibextid=LQQJ4d</t>
  </si>
  <si>
    <r>
      <rPr>
        <sz val="12"/>
        <color theme="1"/>
        <rFont val="Times New Roman"/>
        <family val="1"/>
      </rPr>
      <t xml:space="preserve">Nguyễn Quỳnh Hải Như </t>
    </r>
    <r>
      <rPr>
        <sz val="12"/>
        <color rgb="FFFF0000"/>
        <rFont val="Times New Roman"/>
        <family val="1"/>
      </rPr>
      <t xml:space="preserve">(hợp đồng) </t>
    </r>
  </si>
  <si>
    <t xml:space="preserve"> nhà hàng thuấn mơ, xóm tân thành, xã nhân mỹ, huyện tân lạc, tỉnh hoà bình</t>
  </si>
  <si>
    <t>https://drive.google.com/open?id=1W-TM1ZgUfNuyUdCHzQZVrE3f-4rTpa2V</t>
  </si>
  <si>
    <t>https://www.facebook.com/BachPhjLong</t>
  </si>
  <si>
    <r>
      <rPr>
        <sz val="12"/>
        <color theme="1"/>
        <rFont val="Times New Roman"/>
        <family val="1"/>
      </rPr>
      <t xml:space="preserve">Đỗ Việt Hùng </t>
    </r>
    <r>
      <rPr>
        <sz val="12"/>
        <color rgb="FFFF0000"/>
        <rFont val="Times New Roman"/>
        <family val="1"/>
      </rPr>
      <t>PT81, PT87, PT88 (hợp đồng)</t>
    </r>
  </si>
  <si>
    <t>doviethungkta@gmail.com</t>
  </si>
  <si>
    <t>Số 41, Văn Hội, Đức Thắng, Bắc Từ Liêm, Hà Nội</t>
  </si>
  <si>
    <t>25/06/2024 và 03/07/2024</t>
  </si>
  <si>
    <t>https://drive.google.com/open?id=1O4aHMp9UQRVN4hkY2vsRzLKfDUi6iGIx, https://drive.google.com/open?id=1p2jH3SpHlCBkMkUy7R0znhGfDb_jAc3p</t>
  </si>
  <si>
    <t>https://www.facebook.com/profile.php?id=100009454617574</t>
  </si>
  <si>
    <t>Nguyễn Trang Linh</t>
  </si>
  <si>
    <t>toà B udic Hoàng Đạo Thuý, Trung Hoà, Cầu Giấy, Hà Nội</t>
  </si>
  <si>
    <t>https://drive.google.com/open?id=1tys6JfdBzOftH6dBsmvEFLoj00uZJBEh</t>
  </si>
  <si>
    <t>đã học Toeic 1,2 ở trung tâm lapo</t>
  </si>
  <si>
    <t>https://www.facebook.com/chis.hoang.1</t>
  </si>
  <si>
    <r>
      <rPr>
        <sz val="12"/>
        <color theme="1"/>
        <rFont val="Times New Roman"/>
        <family val="1"/>
      </rPr>
      <t>Hoàng Quỳnh Chi</t>
    </r>
    <r>
      <rPr>
        <sz val="12"/>
        <color rgb="FFFF0000"/>
        <rFont val="Times New Roman"/>
        <family val="1"/>
      </rPr>
      <t xml:space="preserve"> (hợp đồng)</t>
    </r>
  </si>
  <si>
    <t>Thùy Dương</t>
  </si>
  <si>
    <t>Đồng Tác-Tràng Xá-Võ Nhai -Thái Nguyên</t>
  </si>
  <si>
    <t>https://drive.google.com/open?id=1qGo0FCpKRvynbh0mnAGSFXE_7_AU_y3L</t>
  </si>
  <si>
    <t>https://www.facebook.com/share/kVWTteMwQCFY4bD4/?mibextid=qi2Omg</t>
  </si>
  <si>
    <r>
      <rPr>
        <sz val="12"/>
        <color theme="1"/>
        <rFont val="Times New Roman"/>
        <family val="1"/>
      </rPr>
      <t xml:space="preserve">Cao Ngân Hà </t>
    </r>
    <r>
      <rPr>
        <sz val="12"/>
        <color rgb="FFFF0000"/>
        <rFont val="Times New Roman"/>
        <family val="1"/>
      </rPr>
      <t xml:space="preserve">(hợp đồng) </t>
    </r>
  </si>
  <si>
    <t>caonganha2018@gmail.com</t>
  </si>
  <si>
    <t xml:space="preserve"> 27, Tân Mỹ, Tân Thuận Tây, Quận 7, Hồ Chí Minh</t>
  </si>
  <si>
    <t>https://drive.google.com/open?id=1mWw5DQZk69B6kdivntiCBCSr2JYyTcAz</t>
  </si>
  <si>
    <t>Quán cafe Mộc thôn 5 -xã Tân Xã - huyện Thạch Thất - Hà Nội</t>
  </si>
  <si>
    <t>https://drive.google.com/open?id=1OIkdBlkVcZAsYN_kNqnBtgyaQvB2MI-9</t>
  </si>
  <si>
    <t>PT85 nghỉ ngang b4 học thầy do bố mẹ tìm</t>
  </si>
  <si>
    <t>https://www.facebook.com/nhtt2766?mibextid=LQQJ4d</t>
  </si>
  <si>
    <r>
      <rPr>
        <sz val="12"/>
        <color theme="1"/>
        <rFont val="Times New Roman"/>
        <family val="1"/>
      </rPr>
      <t>Nguyễn Hoàng Thanh Tú</t>
    </r>
    <r>
      <rPr>
        <sz val="12"/>
        <color rgb="FFFF0000"/>
        <rFont val="Times New Roman"/>
        <family val="1"/>
      </rPr>
      <t xml:space="preserve"> - hạ combo</t>
    </r>
  </si>
  <si>
    <t>nhtt2766@gmail.com</t>
  </si>
  <si>
    <t xml:space="preserve">3/1000 đường Tân Thới Nhì 26 ấp Nhị Tân 1 xã Tân Thới Nhì huyện Hóc Môn </t>
  </si>
  <si>
    <t>https://drive.google.com/open?id=1ljANHxipP2MkUW4bHA7JZnNl1OcjkEUO</t>
  </si>
  <si>
    <t>PT84</t>
  </si>
  <si>
    <t>https://www.facebook.com/loai.lac.7568?mibextid=LQQJ4d</t>
  </si>
  <si>
    <r>
      <rPr>
        <sz val="12"/>
        <color theme="1"/>
        <rFont val="Times New Roman"/>
        <family val="1"/>
      </rPr>
      <t xml:space="preserve">Nguyễn Việt Mai Linh </t>
    </r>
    <r>
      <rPr>
        <sz val="12"/>
        <color rgb="FFFF0000"/>
        <rFont val="Times New Roman"/>
        <family val="1"/>
      </rPr>
      <t>(hợp đồng)</t>
    </r>
  </si>
  <si>
    <t>thaoranhnguyeenx@gmail.com</t>
  </si>
  <si>
    <t>THPT Bắc Duyên Hà, huyện Hưng Hà, tỉnh Thái Bình</t>
  </si>
  <si>
    <t>05/07/2024 và 12/07/2024</t>
  </si>
  <si>
    <t>https://drive.google.com/open?id=1MXnIzGuocrpNwRLwc7PZ5MmCe8IWBVlm; https://drive.google.com/open?id=1sXTPsCo5qzfu-D_UJklZ1h-pp7n3RjFS; https://drive.google.com/open?id=10kqZI1Pgh5IDlHBWHkDK96RwjDHJs4YP</t>
  </si>
  <si>
    <t>PT90</t>
  </si>
  <si>
    <t>https://www.facebook.com/quang1997</t>
  </si>
  <si>
    <r>
      <rPr>
        <sz val="12"/>
        <color theme="1"/>
        <rFont val="Times New Roman"/>
        <family val="1"/>
      </rPr>
      <t xml:space="preserve">Lê Ngọc Quang </t>
    </r>
    <r>
      <rPr>
        <sz val="12"/>
        <color rgb="FFFF0000"/>
        <rFont val="Times New Roman"/>
        <family val="1"/>
      </rPr>
      <t>(hợp đồng)</t>
    </r>
  </si>
  <si>
    <t>quang241197@gmail.com</t>
  </si>
  <si>
    <t>Số 25 ngách 25/22 phú minh, Minh Khai - Bắc Từ Liêm</t>
  </si>
  <si>
    <t>https://drive.google.com/open?id=1tpPF41FUb4s1uTbt3TZqH_Ne113vzR4z</t>
  </si>
  <si>
    <t>https://www.facebook.com/lephuonglinh.06</t>
  </si>
  <si>
    <t xml:space="preserve">Lê Phương Linh </t>
  </si>
  <si>
    <t>leplinh4@gmail.com</t>
  </si>
  <si>
    <t>Xưởng gỗ Hoà Nga, Lựu Khê, Yên trường, Yên Định,Thanh Hoá</t>
  </si>
  <si>
    <t>https://drive.google.com/open?id=1Jaq4iOZmAe39hoUfFoDtLVE6ZIzTOjt2</t>
  </si>
  <si>
    <t>https://www.facebook.com/hara.san.524?mibextid=LQQJ4d</t>
  </si>
  <si>
    <r>
      <rPr>
        <sz val="12"/>
        <color theme="1"/>
        <rFont val="Times New Roman"/>
        <family val="1"/>
      </rPr>
      <t xml:space="preserve"> Nguyễn Thị Dương Đoài</t>
    </r>
    <r>
      <rPr>
        <sz val="12"/>
        <color rgb="FFFF0000"/>
        <rFont val="Times New Roman"/>
        <family val="1"/>
      </rPr>
      <t xml:space="preserve"> (hợp đồng)</t>
    </r>
  </si>
  <si>
    <t>duongdoai24022006@gmail.com</t>
  </si>
  <si>
    <t>Yên Phú-Nhật Tựu-Kim Bảng-Hà Nam</t>
  </si>
  <si>
    <t>06/07/2024 và 07/07/2024</t>
  </si>
  <si>
    <t>https://drive.google.com/open?id=1tPuC49Hlg_-WaUp9ZukLjprUay8YM5yT; https://drive.google.com/open?id=1LV74aH39S_Rtlgjm2rLN5OQIHFcomwiw; https://drive.google.com/open?id=1A6-7C-sAhjb4VACqYnLDjpYjQd3FoesA</t>
  </si>
  <si>
    <t>https://www.facebook.com/profile.php?id=100043015757469&amp;mibextid=LQQJ4d</t>
  </si>
  <si>
    <r>
      <rPr>
        <sz val="12"/>
        <color theme="1"/>
        <rFont val="Times New Roman"/>
        <family val="1"/>
      </rPr>
      <t xml:space="preserve">Nguyễn Thi Uyển Nhi </t>
    </r>
    <r>
      <rPr>
        <sz val="12"/>
        <color rgb="FFFF0000"/>
        <rFont val="Times New Roman"/>
        <family val="1"/>
      </rPr>
      <t>(hợp đồng)</t>
    </r>
  </si>
  <si>
    <t>Trúc</t>
  </si>
  <si>
    <t>Thôn Tiến Thành - xã Hợp Lý ) huyện Triệu Sơn -tỉnh Thanh Hoá</t>
  </si>
  <si>
    <t>06/07/2024 và 10/07/2024</t>
  </si>
  <si>
    <t>https://drive.google.com/open?id=1CwCfrxZEr7XLVqux8v88VLQCLNfq9HGS; https://drive.google.com/open?id=12__IFE3XzGGjoLboKFu5ns8HasMafIBU</t>
  </si>
  <si>
    <t>T109</t>
  </si>
  <si>
    <t>https://www.facebook.com/tranthingocnhung.2003?mibextid=LQQJ4d</t>
  </si>
  <si>
    <t>Trần Thị Ngọc Nhung</t>
  </si>
  <si>
    <t>tranthihongnhungpy2003@gmail.com</t>
  </si>
  <si>
    <t>số nhà 81 Tiểu khu 4 - Thị trấn Phù Yên- huyện Phù Yên - tỉnh Sơn La</t>
  </si>
  <si>
    <t>https://drive.google.com/open?id=1CL2bY3_lhfKXjbJLW5kIgvTC_NFUW3HB</t>
  </si>
  <si>
    <t>https://www.facebook.com/profile.php?id=100063891177033&amp;mibextid=LQQJ4d</t>
  </si>
  <si>
    <t>Thiphanh3006@gmail.com</t>
  </si>
  <si>
    <t xml:space="preserve">Đơn 4 xã đàn đống đa nam đồng hà nội </t>
  </si>
  <si>
    <t>https://drive.google.com/open?id=1wj5z_uefs2_sBIZ1Gt51MWZxu1cYrscJ; https://drive.google.com/open?id=13lu6WaQ9fyVLREksg603ZRl6r1hMxjnU</t>
  </si>
  <si>
    <t>https://www.facebook.com/profile.php?id=100069894230057&amp;mibextid=LQQJ4d</t>
  </si>
  <si>
    <r>
      <rPr>
        <sz val="12"/>
        <color theme="1"/>
        <rFont val="Times New Roman"/>
        <family val="1"/>
      </rPr>
      <t xml:space="preserve">Nguyễn Thị Ngọc Anh </t>
    </r>
    <r>
      <rPr>
        <sz val="12"/>
        <color rgb="FFFF0000"/>
        <rFont val="Times New Roman"/>
        <family val="1"/>
      </rPr>
      <t>(hợp đồng) - Đã nộp 300K 15/09/2024
T216 bảo lưu b18 đi quân sự. Học T230 buổi 14</t>
    </r>
  </si>
  <si>
    <t>nguyenthingocanh2006hd@gmail.com</t>
  </si>
  <si>
    <t xml:space="preserve"> thôn Đại Lã - xã Hiệp Cát - huyện Nam Sách - tỉnh Hải Dươn</t>
  </si>
  <si>
    <t>https://drive.google.com/open?id=1ovV-3NVnGk1_7_u_ZnQbN2WPMiqN7-DD; https://drive.google.com/open?id=1V6DdG93r9qWLpqC1H0OQ7SWbbax_zchs, https://drive.google.com/open?id=18wEGg_608SQwHCPsz7n4Tqj886YtUwLu</t>
  </si>
  <si>
    <t>PT91</t>
  </si>
  <si>
    <t>https://www.facebook.com/profile.php?id=100040795310732&amp;mibextid=LQQJ4d</t>
  </si>
  <si>
    <r>
      <rPr>
        <sz val="12"/>
        <color theme="1"/>
        <rFont val="Times New Roman"/>
        <family val="1"/>
      </rPr>
      <t xml:space="preserve">Trương Văn Linh </t>
    </r>
    <r>
      <rPr>
        <sz val="12"/>
        <color rgb="FFFF0000"/>
        <rFont val="Times New Roman"/>
        <family val="1"/>
      </rPr>
      <t xml:space="preserve"> (hợp đồng)</t>
    </r>
  </si>
  <si>
    <t>truongvanlinh2162006@gmail.com</t>
  </si>
  <si>
    <t>Thôn Quyền xã Thượng Hoá,huyện Minh Hoá,tỉnh Quảng Bình</t>
  </si>
  <si>
    <t>08/07/2024 và 09/07/2024 và 22/07/2024</t>
  </si>
  <si>
    <t>https://drive.google.com/open?id=1hAiBlQy8bbDHBOjOfijhkfPZUqwZIdWf; https://drive.google.com/open?id=1XZG-VNdm8IVuCm-gZ8b1lclZK-WwLvtR; https://drive.google.com/open?id=1hdHAsLMYUt4XgpIDu1BqnkHvilBrJzCh</t>
  </si>
  <si>
    <t>https://www.facebook.com/profile.php?id=100086408348537</t>
  </si>
  <si>
    <t>nguyenthithanhhuyen200419@gmail.com</t>
  </si>
  <si>
    <t>số 19 Ngõ 487/7 Cổ nhuế 2 Bắc từ liêm Hà Nội</t>
  </si>
  <si>
    <t>https://drive.google.com/open?id=1np4RM6ckeMGzGLfvIzwwXM5ebyrJvJSi</t>
  </si>
  <si>
    <t>https://www.facebook.com/superstartiuttbinhs1tg?locale=vi_VN</t>
  </si>
  <si>
    <t>Bùi Thị Diệp Linh</t>
  </si>
  <si>
    <t>https://drive.google.com/open?id=15KLdqmVrN4sBPKKM_R2tGu3B99AGKn3k; https://drive.google.com/open?id=1o3rbZAydjTNk7k9pa9v2TYEexcQFi-kP</t>
  </si>
  <si>
    <t>PT92</t>
  </si>
  <si>
    <t>https://www.facebook.com/profile.php?id=100029597259116&amp;mibextid=LQQJ4d</t>
  </si>
  <si>
    <t>Phạm Đức Anh Minh</t>
  </si>
  <si>
    <t>Team Phương</t>
  </si>
  <si>
    <t>Ngã tư An Để- Hiệp Hoà- Vũ Thư- Thái Bình</t>
  </si>
  <si>
    <t>https://drive.google.com/open?id=1lMPdhciNP7DX0NkR4F1D-tOlnsnkWFyB</t>
  </si>
  <si>
    <t>https://www.facebook.com/ducviet.206?mibextid=LQQJ4d</t>
  </si>
  <si>
    <r>
      <rPr>
        <sz val="12"/>
        <color theme="1"/>
        <rFont val="Times New Roman"/>
        <family val="1"/>
      </rPr>
      <t xml:space="preserve">Cao Đức Việt </t>
    </r>
    <r>
      <rPr>
        <sz val="12"/>
        <color rgb="FFFF0000"/>
        <rFont val="Times New Roman"/>
        <family val="1"/>
      </rPr>
      <t>(hợp đồng)</t>
    </r>
  </si>
  <si>
    <t>ducviet08092006@gmail.com</t>
  </si>
  <si>
    <t>Xóm 5 , Diễn Thọ , Diễn Châu , Nghệ An</t>
  </si>
  <si>
    <t>09/07/2024 và 27/07/2024</t>
  </si>
  <si>
    <t>https://drive.google.com/open?id=1oLUUzs_NsYv-IcUslnlypL6r2wT54okN; https://drive.google.com/open?id=1OtOovtouPVTm-ton4jj3dU32yOqFXMIW</t>
  </si>
  <si>
    <t>https://www.facebook.com/profile.php?id=100029063256562</t>
  </si>
  <si>
    <t>Dương Thị Phương Thảo</t>
  </si>
  <si>
    <t>Kim Ánh</t>
  </si>
  <si>
    <t>TDP thích chung-thị trấn bá hiến- huyện bình xuyên-tỉnh vĩnh phúc</t>
  </si>
  <si>
    <t>https://drive.google.com/open?id=1DXhLXiWC9OnXfhL7JgMivxSfZFwgPfc0</t>
  </si>
  <si>
    <t>Huyền đưa tay</t>
  </si>
  <si>
    <t>https://www.facebook.com/profile.php?id=100080183169311&amp;mibextid=ZbWKwL</t>
  </si>
  <si>
    <t>Nguyễn Tiến Đạt</t>
  </si>
  <si>
    <t>datdope16@gmail.com</t>
  </si>
  <si>
    <t>Thôn Hữu Phúc xã Bắc Bình huyện Lập Thạch tỉnh Vĩnh Phúc</t>
  </si>
  <si>
    <t>https://drive.google.com/open?id=1Mw8sRBbT7_8GnMltyFNbFqwRcljIaL0G</t>
  </si>
  <si>
    <t>https://www.facebook.com/profile.php?id=100057481457095&amp;mibextid=ZbWKwL</t>
  </si>
  <si>
    <r>
      <rPr>
        <sz val="12"/>
        <color theme="1"/>
        <rFont val="Times New Roman"/>
        <family val="1"/>
      </rPr>
      <t xml:space="preserve">Hà Thùy Dương </t>
    </r>
    <r>
      <rPr>
        <sz val="12"/>
        <color rgb="FFFF0000"/>
        <rFont val="Times New Roman"/>
        <family val="1"/>
      </rPr>
      <t>(hợp đồng)</t>
    </r>
  </si>
  <si>
    <t>bongcute692000@gmail.com</t>
  </si>
  <si>
    <t>130 Ngọc Khánh - Giảng Võ -Ba Đình -Hà Nội</t>
  </si>
  <si>
    <t>09/07/2024 và 10/07/2024</t>
  </si>
  <si>
    <t>https://drive.google.com/open?id=1ZCqj3KslJrJlKf0HfZ-jHHCphm5yRoyQ; https://drive.google.com/open?id=1Ef-uu4QQU13N21olATJtPBnrFtPio7lJ</t>
  </si>
  <si>
    <t>PT93</t>
  </si>
  <si>
    <t>https://www.facebook.com/profile.php?id=100048658095353</t>
  </si>
  <si>
    <t xml:space="preserve">Nguyễn Cát Phượng </t>
  </si>
  <si>
    <t>catphuong29102006@gmail.com</t>
  </si>
  <si>
    <t>Đội 3,thôn Lạc Thị, xã Ngọc Hồi,Thanh Trì,Hà Nội</t>
  </si>
  <si>
    <t>https://drive.google.com/open?id=1a67u9naQ7IU2PfwngNweaeGcrQhDIjmQ</t>
  </si>
  <si>
    <t>https://www.facebook.com/profile.php?id=100018664126511&amp;mibextid=LQQJ4d</t>
  </si>
  <si>
    <t>Doãn Hoàng Hải</t>
  </si>
  <si>
    <t>thôn ba-song lãng-vũ thư- thái bình</t>
  </si>
  <si>
    <t>https://drive.google.com/open?id=1IG697tnTgWcdcmeZ5Ne5_W2V06T-9zqa</t>
  </si>
  <si>
    <t>https://www.facebook.com/profile.php?id=100057589418916&amp;mibextid=LQQJ4d</t>
  </si>
  <si>
    <r>
      <rPr>
        <sz val="12"/>
        <color theme="1"/>
        <rFont val="Times New Roman"/>
        <family val="1"/>
      </rPr>
      <t xml:space="preserve">Nguyễn Minh Đức </t>
    </r>
    <r>
      <rPr>
        <sz val="12"/>
        <color rgb="FFFF0000"/>
        <rFont val="Times New Roman"/>
        <family val="1"/>
      </rPr>
      <t>- 338492557 số mẹ</t>
    </r>
  </si>
  <si>
    <t>nguyenminhduc102006@gmail.com</t>
  </si>
  <si>
    <t>Số nhà 667, thị trấn Yên Ninh, Yên Khánh, Ninh Bình</t>
  </si>
  <si>
    <t>https://drive.google.com/open?id=1Eo3IIE4Kfiu9jPHFmOjDD5EPIZjHOROY</t>
  </si>
  <si>
    <t>https://www.facebook.com/senorita310801?mibextid=ZbWKwL</t>
  </si>
  <si>
    <t>Hoàng Thị Thanh Thảo</t>
  </si>
  <si>
    <t>Hoangthithanhthao31082001@gmail.com</t>
  </si>
  <si>
    <t>Trọ chiến sự- thôn 3- thạch hoà- thạch thất- hà nội</t>
  </si>
  <si>
    <t>https://drive.google.com/open?id=1lQj-WpW5ftjTcBoPIu8Fy9WC4PZtqTiZ</t>
  </si>
  <si>
    <t>https://www.facebook.com/Trangg2602</t>
  </si>
  <si>
    <t xml:space="preserve"> Nguyễn Thuỳ Trang Trang</t>
  </si>
  <si>
    <t>Trangnstt05@gmail.com</t>
  </si>
  <si>
    <t>Tdp trong hạ - Tt Cao Thượng - huyện Tân Yên , tỉnh Bắc Giang</t>
  </si>
  <si>
    <t>https://drive.google.com/open?id=1ybMmknOBo9VTjOJpCmUI8ibiiOaH8w0f</t>
  </si>
  <si>
    <t>https://www.facebook.com/profile.php?id=100077531748562&amp;mibextid=LQQJ4d</t>
  </si>
  <si>
    <t>Đặng Thành Tuyên thôn Thanh Trì xã kiến thiết Tiên Lãng Hải Phòng</t>
  </si>
  <si>
    <t>https://drive.google.com/open?id=1dLefZke0HSWD5SOVhlafOzew9_wU9owu</t>
  </si>
  <si>
    <t>https://www.facebook.com/wppupy</t>
  </si>
  <si>
    <t>Nguyễn Thị Thanh Huyên</t>
  </si>
  <si>
    <t>Dung</t>
  </si>
  <si>
    <t>nguyenthanhhuyen2006hp@gmail.com</t>
  </si>
  <si>
    <t>Thôn Giáo, Xã Quyết Tiến, huyện Tiên Lãng, thành phố Hải Phòng</t>
  </si>
  <si>
    <t>https://drive.google.com/open?id=1Q8bMbszvmkJXfMWqeIpxDoxB0h8UUCDl</t>
  </si>
  <si>
    <t>https://www.facebook.com/profile.php?id=100078222559444</t>
  </si>
  <si>
    <r>
      <rPr>
        <sz val="12"/>
        <color theme="1"/>
        <rFont val="Times New Roman"/>
        <family val="1"/>
      </rPr>
      <t xml:space="preserve">Triệu Ngọc Hân </t>
    </r>
    <r>
      <rPr>
        <sz val="12"/>
        <color rgb="FFFF0000"/>
        <rFont val="Times New Roman"/>
        <family val="1"/>
      </rPr>
      <t>(hợp đồng)</t>
    </r>
  </si>
  <si>
    <t>trieungochan25082009@gmail.com</t>
  </si>
  <si>
    <t>Số 78 đường văn vỉ tp lạng sơn (đường ngoài)</t>
  </si>
  <si>
    <t>https://drive.google.com/open?id=11mAHxso13CbL0paubYRdTQjvRmJfAevY</t>
  </si>
  <si>
    <t>https://www.facebook.com/profile.php?id=100060470957137</t>
  </si>
  <si>
    <r>
      <rPr>
        <sz val="12"/>
        <color theme="1"/>
        <rFont val="Times New Roman"/>
        <family val="1"/>
      </rPr>
      <t xml:space="preserve">Đỗ Thu Hiền </t>
    </r>
    <r>
      <rPr>
        <sz val="12"/>
        <color rgb="FFFF0000"/>
        <rFont val="Times New Roman"/>
        <family val="1"/>
      </rPr>
      <t>- chuyển nhượng VIP cho Sơn 0833593325.
Dương chat. Đã nộp 300K 13/04/2025</t>
    </r>
  </si>
  <si>
    <t>thuhien08674498@gmail.com</t>
  </si>
  <si>
    <t xml:space="preserve">  Ngõ đình thôn Hiệp Lộc 3 xã Hiệp Thuận huyện Phúc Thọ tp Hà Nội</t>
  </si>
  <si>
    <t>https://drive.google.com/open?id=1W0j-KOM8HsFKWe3Djh3yPt1N4VxCUC0s</t>
  </si>
  <si>
    <t>https://www.facebook.com/maii.anhh.9256</t>
  </si>
  <si>
    <r>
      <rPr>
        <sz val="12"/>
        <color theme="1"/>
        <rFont val="Times New Roman"/>
        <family val="1"/>
      </rPr>
      <t xml:space="preserve">Phạm Hương Mai </t>
    </r>
    <r>
      <rPr>
        <sz val="12"/>
        <color rgb="FFFF0000"/>
        <rFont val="Times New Roman"/>
        <family val="1"/>
      </rPr>
      <t>OPT21</t>
    </r>
  </si>
  <si>
    <t xml:space="preserve"> phamhuongmai05@gmail.com </t>
  </si>
  <si>
    <t>Thôn Đình - Yên Bình - Vĩnh Tường - Vĩnh Phúc</t>
  </si>
  <si>
    <t>https://drive.google.com/open?id=1idxYyUGqoVezjgPQw-eL9ItUHFUcjlra</t>
  </si>
  <si>
    <t>https://www.facebook.com/tragiang.nguyen.372019?mibextid=JRoKGi</t>
  </si>
  <si>
    <t>Nguyễn Trà Giang</t>
  </si>
  <si>
    <t>nguyentragiang039@gmail.com</t>
  </si>
  <si>
    <t>thôn Cửu Yên xã Trường Sơn huyện Đức Thọ tỉnh Hà Tĩnh</t>
  </si>
  <si>
    <t>https://drive.google.com/open?id=1zOcLZn-sSepsue3pe5ziPGRdKveA551u</t>
  </si>
  <si>
    <t>PT94</t>
  </si>
  <si>
    <t>https://www.facebook.com/chung.ta.da.quen.nhau?mibextid=ZbWKwL</t>
  </si>
  <si>
    <r>
      <rPr>
        <sz val="12"/>
        <color theme="1"/>
        <rFont val="Times New Roman"/>
        <family val="1"/>
      </rPr>
      <t xml:space="preserve">Nguyễn Thanh Tuân </t>
    </r>
    <r>
      <rPr>
        <sz val="12"/>
        <color rgb="FFFF0000"/>
        <rFont val="Times New Roman"/>
        <family val="1"/>
      </rPr>
      <t>(hợp đồng)</t>
    </r>
  </si>
  <si>
    <t>Cầu Rèm, An Ry, Hồng Bạch, Đông Hưng, Thái Bình</t>
  </si>
  <si>
    <t>https://drive.google.com/open?id=11jFIWSAgmoRE8q4wTB4F9uD4GJi75KdJ</t>
  </si>
  <si>
    <t>https://www.facebook.com/profile.php?id=100026583215875&amp;mibextid=LQQJ4d</t>
  </si>
  <si>
    <r>
      <rPr>
        <sz val="12"/>
        <color theme="1"/>
        <rFont val="Times New Roman"/>
        <family val="1"/>
      </rPr>
      <t>Bùi Thị Ngọc Bích</t>
    </r>
    <r>
      <rPr>
        <sz val="12"/>
        <color rgb="FFFF0000"/>
        <rFont val="Times New Roman"/>
        <family val="1"/>
      </rPr>
      <t xml:space="preserve"> (hợp đồng) </t>
    </r>
    <r>
      <rPr>
        <sz val="12"/>
        <color theme="1"/>
        <rFont val="Times New Roman"/>
        <family val="1"/>
      </rPr>
      <t>976196750 số mẹ</t>
    </r>
  </si>
  <si>
    <t xml:space="preserve"> bichb9703@gmail.com</t>
  </si>
  <si>
    <t>Xóm 6 thôn Hồng Phong xã An Tràng huyện Quỳnh phụ Thái Bình</t>
  </si>
  <si>
    <t>https://drive.google.com/open?id=18fjgaXVm0yYg5-0Wsz8NUofLtH8vD33Q, https://drive.google.com/open?id=1yQ0iPnY8uXGsOM6WWLlpdg-cREsK1Ua2</t>
  </si>
  <si>
    <t>https://www.facebook.com/profile.php?id=100071852317246&amp;mibextid=ZbWKwL</t>
  </si>
  <si>
    <r>
      <rPr>
        <sz val="12"/>
        <color theme="1"/>
        <rFont val="Times New Roman"/>
        <family val="1"/>
      </rPr>
      <t xml:space="preserve">Trần Thị Ánh Phương </t>
    </r>
    <r>
      <rPr>
        <sz val="12"/>
        <color rgb="FFFF0000"/>
        <rFont val="Times New Roman"/>
        <family val="1"/>
      </rPr>
      <t>(hợp đồng)</t>
    </r>
  </si>
  <si>
    <t>trananhphuong2006tb@icloud.com</t>
  </si>
  <si>
    <t>Số nhà 01 - đường Phạm Công Thế - tổ dân phố Hổ Đội 3- thị trấn Diêm Điền - huyện Thái Thuỵ - tỉnh Thái Bình</t>
  </si>
  <si>
    <t>https://drive.google.com/open?id=1vBx-Zjx3tBuVex5Zzw_-O9XqzfXhEdHH; https://drive.google.com/open?id=1aSjc646s9OWfEeUY86Rj57jFpr9VHQXB</t>
  </si>
  <si>
    <t>https://www.facebook.com/anh.tran.942145?mibextid=ZbWKwL</t>
  </si>
  <si>
    <r>
      <rPr>
        <sz val="12"/>
        <color theme="1"/>
        <rFont val="Times New Roman"/>
        <family val="1"/>
      </rPr>
      <t>Trần Thế Anh</t>
    </r>
    <r>
      <rPr>
        <sz val="12"/>
        <color rgb="FFFF0000"/>
        <rFont val="Times New Roman"/>
        <family val="1"/>
      </rPr>
      <t xml:space="preserve"> - nick Vịt Om Sấu</t>
    </r>
  </si>
  <si>
    <t>anhtt70@gmail.com</t>
  </si>
  <si>
    <t>Khu giãn dân, thôn Chấn Đông, xã Hoàn Long, huyện Yên Mỹ, tỉnh Hưng Yên</t>
  </si>
  <si>
    <t>https://drive.google.com/open?id=1OT77g__6ZrjGsWumEpgKdTKwnBy0LH_4</t>
  </si>
  <si>
    <t>https://www.facebook.com/profile.php?id=100022311231609</t>
  </si>
  <si>
    <t xml:space="preserve">  bonggggiu94@gmail.com</t>
  </si>
  <si>
    <t>https://drive.google.com/open?id=1t9BmT9J9lgHRtlF8e6nBV6EQkAPH4kY8</t>
  </si>
  <si>
    <t>https://www.facebook.com/people/Nguy%E1%BB%85n-Anh-%C4%90%E1%BB%A9c/pfbid0kAV3x5a11YSXWtgqeCCh3hZ9NteMm5Cz5EbFGSfLJocoeydMT5gdF838bcgXvHJYl/</t>
  </si>
  <si>
    <t xml:space="preserve">Nguyễn Anh Đức </t>
  </si>
  <si>
    <t xml:space="preserve"> nguyenanhduc061105@gmail.com</t>
  </si>
  <si>
    <t xml:space="preserve">Nhận tại lớp </t>
  </si>
  <si>
    <t>https://drive.google.com/open?id=11He35-nEpM2330YaUO28iUFEgUOCj9O2</t>
  </si>
  <si>
    <t>Dương đưa tay</t>
  </si>
  <si>
    <t>PT95</t>
  </si>
  <si>
    <t>https://www.facebook.com/profile.php?id=100024689478778&amp;mibextid=LQQJ4d</t>
  </si>
  <si>
    <r>
      <rPr>
        <sz val="12"/>
        <color theme="1"/>
        <rFont val="Times New Roman"/>
        <family val="1"/>
      </rPr>
      <t xml:space="preserve">Vũ Thị Quỳnh Trang </t>
    </r>
    <r>
      <rPr>
        <sz val="12"/>
        <color rgb="FFFF0000"/>
        <rFont val="Times New Roman"/>
        <family val="1"/>
      </rPr>
      <t>(hợp đồng)</t>
    </r>
  </si>
  <si>
    <t>vut01479@gmail.com</t>
  </si>
  <si>
    <t>Trường mầm non Ánh Dương-An Giải-Đồng Kỵ-Từ Sơn-Bắc Ninh</t>
  </si>
  <si>
    <t>https://drive.google.com/open?id=1W6R941J0Plo9YC3v4lvNeKb-brO33wWr</t>
  </si>
  <si>
    <t>https://www.facebook.com/phuongthao.nl?mibextid=LQQJ4d</t>
  </si>
  <si>
    <t>Nguyễn Lê Phương Thảo</t>
  </si>
  <si>
    <t>thao8b190206072003@gmail.com</t>
  </si>
  <si>
    <t>460A đường Xuân Đỉnh, Bắc Từ Liêm, Hà Nội</t>
  </si>
  <si>
    <t>https://drive.google.com/open?id=1v3GgAtcLQBc_mu8I12qN7_4DQezke4ID</t>
  </si>
  <si>
    <t>https://www.facebook.com/profile.php?id=100023814316104</t>
  </si>
  <si>
    <t>Vinh Nguyễn</t>
  </si>
  <si>
    <t>Luna</t>
  </si>
  <si>
    <t>nhận sách ở lớp</t>
  </si>
  <si>
    <t>https://drive.google.com/open?id=1WtzqXUrzCkugIfiES6Kcpf6UqHAdwGI-; https://drive.google.com/open?id=1xIZuH96XkpAyE58IY_NX0rY5pzwmWbCf</t>
  </si>
  <si>
    <t>PT97</t>
  </si>
  <si>
    <t>https://www.facebook.com/lt.hoaa?mibextid=LQQJ4d</t>
  </si>
  <si>
    <r>
      <rPr>
        <sz val="12"/>
        <color theme="1"/>
        <rFont val="Times New Roman"/>
        <family val="1"/>
      </rPr>
      <t xml:space="preserve">Lý Thị Hoa </t>
    </r>
    <r>
      <rPr>
        <sz val="12"/>
        <color rgb="FFFF0000"/>
        <rFont val="Times New Roman"/>
        <family val="1"/>
      </rPr>
      <t>(hợp đồng)</t>
    </r>
  </si>
  <si>
    <t>hoah6440@gmail.com</t>
  </si>
  <si>
    <t>UBND Xã Tràng Các, Tràng Các, Văn Quan, Lạng Sơn</t>
  </si>
  <si>
    <t>https://drive.google.com/open?id=1L5NF9zLlConwW_40jDSmERpCyppCRXju</t>
  </si>
  <si>
    <t>T223</t>
  </si>
  <si>
    <t>https://www.facebook.com/profile.php?id=100052837290679&amp;mibextid=ZbWKwL</t>
  </si>
  <si>
    <t>Nguyễn Thị Yến Chi</t>
  </si>
  <si>
    <t>ngthiyenchi27@gmail.com</t>
  </si>
  <si>
    <t>U01-L50 Khu đô thị đô nghĩa, yên nghĩa, hà đông</t>
  </si>
  <si>
    <t>https://drive.google.com/open?id=1-sHXyCFlAilahOaMMx-XBjrZojb8fgpa</t>
  </si>
  <si>
    <t>Nhài đưa tay ở văn phòng</t>
  </si>
  <si>
    <t>PT98</t>
  </si>
  <si>
    <t>https://www.facebook.com/profile.php?id=100069483699122&amp;mibextid=kFxxJD</t>
  </si>
  <si>
    <r>
      <rPr>
        <sz val="12"/>
        <color theme="1"/>
        <rFont val="Times New Roman"/>
        <family val="1"/>
      </rPr>
      <t xml:space="preserve">Nguyễn Hoàng Tùng </t>
    </r>
    <r>
      <rPr>
        <sz val="12"/>
        <color rgb="FFFF0000"/>
        <rFont val="Times New Roman"/>
        <family val="1"/>
      </rPr>
      <t>(hợp đồng)</t>
    </r>
  </si>
  <si>
    <t>Hồ Thị Mai, khối sỹ Tân, phường quỳnh dị, thị xã Hoàng Mai, tỉnh Nghệ an</t>
  </si>
  <si>
    <t>https://drive.google.com/open?id=1nUg9_ZGI9-H1WOSZvkbV3HvWXZCpj8tN</t>
  </si>
  <si>
    <t>PT99</t>
  </si>
  <si>
    <t>https://www.facebook.com/profile.php?id=100045577670584</t>
  </si>
  <si>
    <r>
      <rPr>
        <sz val="12"/>
        <color theme="1"/>
        <rFont val="Times New Roman"/>
        <family val="1"/>
      </rPr>
      <t xml:space="preserve">Nguyễn Đức Mạnh </t>
    </r>
    <r>
      <rPr>
        <sz val="12"/>
        <color rgb="FFFF0000"/>
        <rFont val="Times New Roman"/>
        <family val="1"/>
      </rPr>
      <t>(hợp đồng)</t>
    </r>
  </si>
  <si>
    <t>Trang Nguyên</t>
  </si>
  <si>
    <t>Tổ 7, Phố Bảo Đà, Phường Dữu Lâu, Thành phố Việt Trì, Tỉnh Phú Thọ</t>
  </si>
  <si>
    <t>https://drive.google.com/open?id=1PP6Xrot5vCROvSDfp9kDHW3JzqWxmZX_</t>
  </si>
  <si>
    <t>https://www.facebook.com/profile.php?id=100079971592980</t>
  </si>
  <si>
    <t>Trương Hồng Giang</t>
  </si>
  <si>
    <t>giangduongtien80@gmail.com</t>
  </si>
  <si>
    <t>Xóm 2, Diễn trường, Diễn Châu, Nghệ An</t>
  </si>
  <si>
    <t>https://drive.google.com/open?id=1KMI5FVuujRAr9a6SHGf1WoGPshALKvem</t>
  </si>
  <si>
    <t>https://www.facebook.com/profile.php?id=100067756221489</t>
  </si>
  <si>
    <t xml:space="preserve">Bùi Phúc Thịnh </t>
  </si>
  <si>
    <t xml:space="preserve"> bpthinh2k5@gmail.com</t>
  </si>
  <si>
    <t>số nhà 30, ngõ 99, đường Cầu Diễn, Phúc Diễn, Nam Từ Liêm</t>
  </si>
  <si>
    <t>https://drive.google.com/open?id=1Ghu19tNzYWuI6AwUNzwYi7YWPo7VmEuX</t>
  </si>
  <si>
    <t>PT100</t>
  </si>
  <si>
    <t>https://www.facebook.com/profile.php?id=100025568838096</t>
  </si>
  <si>
    <t xml:space="preserve">Đỗ Thị Hương Giang  </t>
  </si>
  <si>
    <t>dthg312@gmail.com</t>
  </si>
  <si>
    <t>thôn Táo 2, Tam Thuấn, Phúc Thọ, Hà Nội</t>
  </si>
  <si>
    <t>https://drive.google.com/open?id=1mVB8FeUjkDtHST_hVdnl5T28YnebEfEr</t>
  </si>
  <si>
    <t>https://www.facebook.com/profile.php?id=100078115046747&amp;mibextid=LQQJ4d</t>
  </si>
  <si>
    <r>
      <rPr>
        <sz val="12"/>
        <color theme="1"/>
        <rFont val="Times New Roman"/>
        <family val="1"/>
      </rPr>
      <t xml:space="preserve">Đoàn Thị Ngọc </t>
    </r>
    <r>
      <rPr>
        <sz val="12"/>
        <color rgb="FFFF0000"/>
        <rFont val="Times New Roman"/>
        <family val="1"/>
      </rPr>
      <t>(hợp đồng)</t>
    </r>
  </si>
  <si>
    <t>doanngoc12261998@gmail.com</t>
  </si>
  <si>
    <t>Đội 1 - Tứ Giáp - Liên Minh - Vụ Bản - Nam Định</t>
  </si>
  <si>
    <t>https://drive.google.com/open?id=1y_FGNs_U6SsJt8ovYKiAUz5eIFd1ZZdY</t>
  </si>
  <si>
    <t>https://www.facebook.com/profile.php?id=100069678736298&amp;mibextid=LQQJ4d</t>
  </si>
  <si>
    <r>
      <rPr>
        <sz val="12"/>
        <color theme="1"/>
        <rFont val="Times New Roman"/>
        <family val="1"/>
      </rPr>
      <t>Trần Đình Nhân Kiệt</t>
    </r>
    <r>
      <rPr>
        <sz val="12"/>
        <color rgb="FFFF0000"/>
        <rFont val="Times New Roman"/>
        <family val="1"/>
      </rPr>
      <t xml:space="preserve"> (hợp đồng)</t>
    </r>
  </si>
  <si>
    <t>kiet8429@gmail.com</t>
  </si>
  <si>
    <t>Toà nhà: N0-3T1,khu ngoại giao đoàn,phường xuân tảo,quận bắc từ liêm,hà nôi</t>
  </si>
  <si>
    <t>https://drive.google.com/open?id=1LPYehVS8imD7A4w9l5orMHcvKfZ0dyTk; https://drive.google.com/open?id=1AxBAsxRNtqZLd7L5BbtOtOnxwAqK40qt</t>
  </si>
  <si>
    <t>640 (380+260)</t>
  </si>
  <si>
    <t>https://www.facebook.com/profile.php?id=100087730050715&amp;mibextid=LQQJ4d</t>
  </si>
  <si>
    <t xml:space="preserve"> Nguyễn Thị Thuỳ Linh</t>
  </si>
  <si>
    <t xml:space="preserve">Quân </t>
  </si>
  <si>
    <t>nhucu012@gmail.com</t>
  </si>
  <si>
    <t xml:space="preserve"> Quán nướng Bảy Lộc 2, Tổ 1, kp Ông Đông, Tân Hiệp, Tân Uyên, Bình Dương</t>
  </si>
  <si>
    <t>https://drive.google.com/open?id=1LbRKDOX1CRhzyJXlDXR57rrm_Gb4cAVP</t>
  </si>
  <si>
    <t>https://www.facebook.com/profile.php?id=100058357764562</t>
  </si>
  <si>
    <t>Trần Thị Hồng</t>
  </si>
  <si>
    <t>tranthihongkt@gmail.com</t>
  </si>
  <si>
    <t>Thôn măng tôn, xã pờ y ngọc hồi Kon Tum</t>
  </si>
  <si>
    <t>https://drive.google.com/open?id=1vffNzQhGX8SgilJ5LQi-noUhxEKFoAmB; https://drive.google.com/open?id=1qkBCnHTXa8KxyjUQa97FLTANbWD_88OP</t>
  </si>
  <si>
    <t>https://www.facebook.com/maihoang282001</t>
  </si>
  <si>
    <t>Hoàng Thị Thu Mai</t>
  </si>
  <si>
    <t>hoangthithumai28102001@gmail.com</t>
  </si>
  <si>
    <t>trường mầm non Tân Phú, Quốc Oai, Hà Nội</t>
  </si>
  <si>
    <t>https://drive.google.com/open?id=1_cfgVZjiby8ONAbRnWciIBZrFxsBQSOp</t>
  </si>
  <si>
    <t>PT128</t>
  </si>
  <si>
    <t>https://www.facebook.com/profile.php?id=100015083231541</t>
  </si>
  <si>
    <t xml:space="preserve">Lê Thị Mai  </t>
  </si>
  <si>
    <t xml:space="preserve"> mle186646@gmail.com</t>
  </si>
  <si>
    <t xml:space="preserve">Số nhà 97 , ngõ 4 , thôn 3 , Dân Lý , Triệu Sơn , Thanh hóa </t>
  </si>
  <si>
    <t>https://drive.google.com/open?id=10r-GcXglw9TiyfJU_w0FoKtBzm63kZgf</t>
  </si>
  <si>
    <t>Dương nhắn gửi trước cho sale của Dương</t>
  </si>
  <si>
    <t>https://www.facebook.com/profile.php?id=100038374334359</t>
  </si>
  <si>
    <t xml:space="preserve">Đinh Thị Thanh Hảo </t>
  </si>
  <si>
    <t xml:space="preserve"> dinhthithanhhao1608@gmail.com</t>
  </si>
  <si>
    <t>số 10, thôn 9 Liên Hiệp, Phúc Thọ, Hà Nội</t>
  </si>
  <si>
    <t>https://drive.google.com/open?id=1y56sNOjW7FfknsyJw-7YAwHEJnqm2UrK</t>
  </si>
  <si>
    <t>OPT26</t>
  </si>
  <si>
    <t>https://www.facebook.com/phuong.nguyenba.16718</t>
  </si>
  <si>
    <r>
      <rPr>
        <sz val="12"/>
        <color theme="1"/>
        <rFont val="Times New Roman"/>
        <family val="1"/>
      </rPr>
      <t xml:space="preserve">Nguyễn Bá Phượng </t>
    </r>
    <r>
      <rPr>
        <sz val="12"/>
        <color rgb="FFFF0000"/>
        <rFont val="Times New Roman"/>
        <family val="1"/>
      </rPr>
      <t>OPT22 Dương rút</t>
    </r>
  </si>
  <si>
    <t xml:space="preserve"> nguyenbaphuong03072003@gmail.com </t>
  </si>
  <si>
    <t>32 ngõ 79 Mễ Trì Thượng</t>
  </si>
  <si>
    <t>https://drive.google.com/open?id=14-gpMEY-IO3_AJfvbEXqtYH45-f3LCUm</t>
  </si>
  <si>
    <t>https://www.facebook.com/ndlambinh30706?mibextid=LQQJ4d</t>
  </si>
  <si>
    <r>
      <rPr>
        <sz val="12"/>
        <color theme="1"/>
        <rFont val="Times New Roman"/>
        <family val="1"/>
      </rPr>
      <t xml:space="preserve">Nguyễn Đỗ Lâm Bình </t>
    </r>
    <r>
      <rPr>
        <sz val="12"/>
        <color rgb="FFFF0000"/>
        <rFont val="Times New Roman"/>
        <family val="1"/>
      </rPr>
      <t>(hợp đồng)</t>
    </r>
  </si>
  <si>
    <t>nguyendolambinh@gmail.com</t>
  </si>
  <si>
    <t>số nhà 16, ngách 18, ngõ 42, đường Trần Bình Trọng, khối 19, Phường Đông Vĩnh, Thành phố Vinh, Tỉnh Nghệ An</t>
  </si>
  <si>
    <t>23/07/2024 và 24/07/2024</t>
  </si>
  <si>
    <t>https://drive.google.com/open?id=1rA6_AxQlK4MqYYH3oCKAE46VL-M5qwNQ; https://drive.google.com/open?id=1OudsMGVkUld3k82ffUmqaxhFCEnxCDh0</t>
  </si>
  <si>
    <t>https://www.facebook.com/lee.xunhuongw589</t>
  </si>
  <si>
    <t>Lê Thị Xuân Hương</t>
  </si>
  <si>
    <t>Quân</t>
  </si>
  <si>
    <t>lethixuanhuong050806@gmail.com</t>
  </si>
  <si>
    <t>Cầu Cháy Vĩnh Thành, xã Cát Tài, huyện Phù Cát, tỉnh Bình Định ạ</t>
  </si>
  <si>
    <t>https://drive.google.com/open?id=1l9fMky_Mhe7ea5ewIffUmgW_diNYrgYw</t>
  </si>
  <si>
    <t>https://www.facebook.com/profile.php?id=100053662267933</t>
  </si>
  <si>
    <t>Nguyễn Khánh Ly</t>
  </si>
  <si>
    <t>https://drive.google.com/open?id=1UkV7lhqf5I39310uvk4vvXJviYHe9kuj</t>
  </si>
  <si>
    <t>https://www.facebook.com/nguyen.haanh24?mibextid=LQQJ4d</t>
  </si>
  <si>
    <t>Nguyễn Hà Anh</t>
  </si>
  <si>
    <t>Ko có</t>
  </si>
  <si>
    <t>Xóm 1, thôn Lương Quy, xã Xuân Nộn, huyện Đông Anh Hà Nội</t>
  </si>
  <si>
    <t>https://drive.google.com/open?id=1iCkId3m95aLU3r488rH-8U-E1xfw7PMX, https://drive.google.com/open?id=18QcLA_DamNCeg8Zn_f6F14d8PRMQSlE8</t>
  </si>
  <si>
    <t>Hỏi Bích</t>
  </si>
  <si>
    <t>https://www.facebook.com/sweet.heart.04122004?mibextid=ZbWKwL</t>
  </si>
  <si>
    <t>Nguyễn Thu Thủy</t>
  </si>
  <si>
    <t xml:space="preserve">xin sau </t>
  </si>
  <si>
    <t xml:space="preserve">Thiện xưởng thêu, đoàn dũng, thái sơn, an lão, hải phòng </t>
  </si>
  <si>
    <t>https://drive.google.com/open?id=1mY2Xj4VKDls-D35vq6hbuvT0F9tyR_zN</t>
  </si>
  <si>
    <t>https://www.facebook.com/profile.php?id=100087926605746</t>
  </si>
  <si>
    <t>Phí Mạnh Dũng</t>
  </si>
  <si>
    <t>Ngọc</t>
  </si>
  <si>
    <t>phimanhdung1608@gmail.com</t>
  </si>
  <si>
    <t>Thôn 3 xã ngọc tảo huyện phúc thọ thành phố hà nội</t>
  </si>
  <si>
    <t>https://drive.google.com/open?id=1rVrmbw53dw9XZXmMNlqwQFJybDgvvSbh</t>
  </si>
  <si>
    <t>Dương báo gửi sách về nhà</t>
  </si>
  <si>
    <t>https://www.facebook.com/profile.php?id=100091139509093&amp;mibextid=ZbWKwL</t>
  </si>
  <si>
    <r>
      <rPr>
        <sz val="12"/>
        <color theme="1"/>
        <rFont val="Times New Roman"/>
        <family val="1"/>
      </rPr>
      <t>Trần Phú Quý</t>
    </r>
    <r>
      <rPr>
        <sz val="12"/>
        <color rgb="FFFF0000"/>
        <rFont val="Times New Roman"/>
        <family val="1"/>
      </rPr>
      <t xml:space="preserve"> (hợp đồng)</t>
    </r>
  </si>
  <si>
    <t>phuquykesach@gmail.com</t>
  </si>
  <si>
    <t>ấp An Thành, thị trấn Kế Sách, tỉnh Sóc Trăng</t>
  </si>
  <si>
    <t>https://drive.google.com/open?id=1Pxero2aLSW0HVQDJR2tnD9x_oPjyR_VF</t>
  </si>
  <si>
    <t>https://www.facebook.com/thuuhienn25</t>
  </si>
  <si>
    <t xml:space="preserve">Lê Thị Thu Hiền </t>
  </si>
  <si>
    <t xml:space="preserve"> lethuhien1365@gmail.com</t>
  </si>
  <si>
    <t>Đường ngõ Ruông (đối diện cổng chợ Kim Bài), Tổ 1, TT Kim Bài, Thanh Oai, Hà Nội</t>
  </si>
  <si>
    <t>https://drive.google.com/open?id=1RAk3rpH-zbNU3A_QPQLcDi0q4Q9MVYx0</t>
  </si>
  <si>
    <t>PT104</t>
  </si>
  <si>
    <t>https://www.facebook.com/profile.php?id=100078507665971</t>
  </si>
  <si>
    <t xml:space="preserve">Phó Hữu Phúc  </t>
  </si>
  <si>
    <t xml:space="preserve"> phucpho2912@gmail.com </t>
  </si>
  <si>
    <t>38 ngõ 132 cầu diễn bắc từ liêm</t>
  </si>
  <si>
    <t>https://drive.google.com/open?id=1aPQxFylXYlbfHkZldyrGt89OgmPsED1v</t>
  </si>
  <si>
    <t>A1067</t>
  </si>
  <si>
    <t>PT102</t>
  </si>
  <si>
    <t>https://www.facebook.com/profile.php?id=100014157721549</t>
  </si>
  <si>
    <t>Nguyễn Đức Khôi</t>
  </si>
  <si>
    <t>Khoituko@gmail.com</t>
  </si>
  <si>
    <t>Hoàng Lại, Thanh Vân- Hiệp Hoà- Bắc Giang</t>
  </si>
  <si>
    <t>https://drive.google.com/open?id=1Z3zp_SoDnjNVy39xNTjBQwcWy0K8mnEs, https://drive.google.com/open?id=1uqu53Vl4uCtRR49EYaidEfAOFpKXpMXp</t>
  </si>
  <si>
    <t>https://www.facebook.com/profile.php?id=100045859323172</t>
  </si>
  <si>
    <t xml:space="preserve"> Phạm Thị Hải Yến</t>
  </si>
  <si>
    <t xml:space="preserve"> phamthihaiyen36@gmail.com </t>
  </si>
  <si>
    <t>Số 42 ngõ 162, đường cầu diễn, nguyên xá</t>
  </si>
  <si>
    <t>https://drive.google.com/open?id=17BPg6eMeG77aAvkWirRKMNQSaqtwz8VR</t>
  </si>
  <si>
    <t>PT105</t>
  </si>
  <si>
    <t>https://www.facebook.com/share/4JaysMkut8mSCkpE/?mibextid=qi2Omg</t>
  </si>
  <si>
    <r>
      <rPr>
        <sz val="12"/>
        <color theme="1"/>
        <rFont val="Times New Roman"/>
        <family val="1"/>
      </rPr>
      <t>Nguyễn Ánh Dương</t>
    </r>
    <r>
      <rPr>
        <sz val="12"/>
        <color rgb="FFFF0000"/>
        <rFont val="Times New Roman"/>
        <family val="1"/>
      </rPr>
      <t xml:space="preserve"> (hợp đồng)</t>
    </r>
  </si>
  <si>
    <t>aduong29102006@gmail.com</t>
  </si>
  <si>
    <t>thôn Cd quán trạch, xã liên nghĩa,huyện văn giang, tỉnh hưng yên</t>
  </si>
  <si>
    <t>https://drive.google.com/open?id=1A7Sqqf5D1jKuYyWeOYfsPtpd0hvO7X3L</t>
  </si>
  <si>
    <t>https://www.facebook.com/profile.php?id=100006448081533</t>
  </si>
  <si>
    <t xml:space="preserve"> Đặng Khánh Ly</t>
  </si>
  <si>
    <t>7/26/0007</t>
  </si>
  <si>
    <t>https://drive.google.com/open?id=17r9F2QSZLxtpOBv28ObLCEuCXiMyNA5n</t>
  </si>
  <si>
    <t>https://www.facebook.com/profile.php?id=100053314312379</t>
  </si>
  <si>
    <t>Đào Phương Huệ</t>
  </si>
  <si>
    <t>Khu 3, Văn Lang, Hạ Hoà, Phú Thọ</t>
  </si>
  <si>
    <t>https://drive.google.com/open?id=1dvoswfERKCO2nguoxRRLSvonqBSn0dTQ</t>
  </si>
  <si>
    <t>https://www.facebook.com/profile.php?id=100064927868555&amp;mibextid=ZbWKwL</t>
  </si>
  <si>
    <r>
      <rPr>
        <sz val="12"/>
        <color theme="1"/>
        <rFont val="Times New Roman"/>
        <family val="1"/>
      </rPr>
      <t xml:space="preserve">Nguyễn Quang Tùng </t>
    </r>
    <r>
      <rPr>
        <sz val="12"/>
        <color rgb="FFFF0000"/>
        <rFont val="Times New Roman"/>
        <family val="1"/>
      </rPr>
      <t>(hợp đồng)</t>
    </r>
  </si>
  <si>
    <t>tungnguyenquang2005@gmail.com.</t>
  </si>
  <si>
    <t>Số nhà 1, Nghách 132/12, đường Cầu Diễn, Minh Khai, Bắc Từ Liêm, Hà Nội</t>
  </si>
  <si>
    <t>https://drive.google.com/open?id=12mF1Mfc6qg_I61oorzOZNIRlHx-mm355</t>
  </si>
  <si>
    <t>https://www.facebook.com/ThTPZ?mibextid=LQQJ4d</t>
  </si>
  <si>
    <r>
      <rPr>
        <sz val="12"/>
        <color theme="1"/>
        <rFont val="Times New Roman"/>
        <family val="1"/>
      </rPr>
      <t>Ninh Vũ Nam</t>
    </r>
    <r>
      <rPr>
        <sz val="12"/>
        <color rgb="FFFF0000"/>
        <rFont val="Times New Roman"/>
        <family val="1"/>
      </rPr>
      <t xml:space="preserve"> (hợp đồng)</t>
    </r>
  </si>
  <si>
    <t>chị Mai sở giao thông vận tải ninh bình - đường Nguyễn bặc - phường ninh Khánh - TP Ninh bình - tỉnh ninh bình .</t>
  </si>
  <si>
    <t>https://drive.google.com/open?id=1sOk7eLuh9rM4gEPPvUCCVIHkzSdnVNCC</t>
  </si>
  <si>
    <t>T307 GV ko liên lạc đc vắng 7-8 buổi. 2 buổi em học, 3 buổi nghỉ có phép, 4 buổi nghỉ không phép</t>
  </si>
  <si>
    <t>https://www.facebook.com/vu.ngoc.bich.464159?mibextid=LQQJ4d</t>
  </si>
  <si>
    <r>
      <rPr>
        <sz val="12"/>
        <color theme="1"/>
        <rFont val="Times New Roman"/>
        <family val="1"/>
      </rPr>
      <t>Bùi Minh Phượng</t>
    </r>
    <r>
      <rPr>
        <sz val="12"/>
        <color rgb="FFFF0000"/>
        <rFont val="Times New Roman"/>
        <family val="1"/>
      </rPr>
      <t xml:space="preserve"> - Đã nộp 300K 11/04/25
T224 bảo lưu b1 ko sắp xếp đc. Học T307 b1</t>
    </r>
  </si>
  <si>
    <t xml:space="preserve"> myphuong301319@gmail.com</t>
  </si>
  <si>
    <t>Minh Tiến, xóm Hoà Bình, xã Đồng Cẩm, huyện Kim Thành, tỉnh Hải Dương</t>
  </si>
  <si>
    <t>https://drive.google.com/open?id=12n0uoIu0QGw9shlUwwMSspfgUdn00E-j</t>
  </si>
  <si>
    <t>https://www.facebook.com/profile.php?id=100036216728283&amp;comment_id=Y29tbWVudDoxNjY0ODkxMzA0MjU5NjgzXzgyNTQ1OTM4OTEyNDAzNTc%3D</t>
  </si>
  <si>
    <r>
      <rPr>
        <sz val="12"/>
        <color theme="1"/>
        <rFont val="Times New Roman"/>
        <family val="1"/>
      </rPr>
      <t xml:space="preserve">Vũ Minh Ngọc </t>
    </r>
    <r>
      <rPr>
        <sz val="12"/>
        <color rgb="FFFF0000"/>
        <rFont val="Times New Roman"/>
        <family val="1"/>
      </rPr>
      <t>số mẹ 942635466 PT116 rút phút 89</t>
    </r>
  </si>
  <si>
    <t xml:space="preserve"> minhhngoc54@gmail.com</t>
  </si>
  <si>
    <t>Số nhà 11, Ngách 33/16, Chi Đông, Lệ Chi, Gia Lâm, Hà Nội</t>
  </si>
  <si>
    <t>https://drive.google.com/open?id=1JZXNxlOADz0qzzwQNogRUGqSZL5IpKow, https://drive.google.com/open?id=1U2P7qiDKENvg7g_5WPoSbMTmueQRA4U9</t>
  </si>
  <si>
    <t>Có</t>
  </si>
  <si>
    <t>OS</t>
  </si>
  <si>
    <t xml:space="preserve"> 33 ngõ 66 Nguyễn Hoàng, Mai Dịch, Cầu Giấy, Hà Nội</t>
  </si>
  <si>
    <t>https://drive.google.com/open?id=1j6WLtw2EuFRgRxVJT-7s565tUc84eGUA</t>
  </si>
  <si>
    <t>600+ LR</t>
  </si>
  <si>
    <t>https://www.facebook.com/thuhaa.206</t>
  </si>
  <si>
    <t xml:space="preserve">Nguyễn Thị Thu Hà </t>
  </si>
  <si>
    <t xml:space="preserve"> hathanhfc37@gmail.com</t>
  </si>
  <si>
    <t>xóm 2 xã Lam Sơn huyện Đô Lương tỉnh Nghệ An</t>
  </si>
  <si>
    <t>https://drive.google.com/open?id=14j8eBrHlKERC-aRH6LdXXNyVd0nE39eS</t>
  </si>
  <si>
    <t>https://www.facebook.com/profile.php?id=100048227416551</t>
  </si>
  <si>
    <t xml:space="preserve">Đỗ Ngọc Ánh </t>
  </si>
  <si>
    <t>anhd97575@gmail.com</t>
  </si>
  <si>
    <t>Đường Đa Minh Nguyên, khu phố Long Điền 1, phường Long Phước, thị xã Phước Long, tỉnh Bình Phước.</t>
  </si>
  <si>
    <t>https://drive.google.com/open?id=1MueXmAg2CqWx1ZkGs2ZS7_hLGy05xeoa</t>
  </si>
  <si>
    <t>https://www.facebook.com/phuong.hee.9</t>
  </si>
  <si>
    <t xml:space="preserve">Nguyễn Thị Mai Phương  </t>
  </si>
  <si>
    <t xml:space="preserve">maiphuong2692005@gmail.com </t>
  </si>
  <si>
    <t>Số 10 ngõ 75 cổ nhuế 2 bắc từ liêm hà nội</t>
  </si>
  <si>
    <t>https://drive.google.com/open?id=1IR1Ohtb9ec0hvF7CrgYB5EFKeHkK0HFF</t>
  </si>
  <si>
    <t>PT106 bảo lưu buổi 5</t>
  </si>
  <si>
    <t>https://www.facebook.com/profile.php?id=100091223334263&amp;mibextid=LQQJ4d</t>
  </si>
  <si>
    <t>Vi Thị Hồng Ly</t>
  </si>
  <si>
    <t>Thu Thủy</t>
  </si>
  <si>
    <t>lyvithihong@gmail.com</t>
  </si>
  <si>
    <t>xóm bản phảy ,xã châu hồng , huyện quỳ hợp tỉnh nghệ an</t>
  </si>
  <si>
    <t>https://drive.google.com/open?id=1i3UBpmp6gyVHvvPegzd5fgM38DCQyfY5</t>
  </si>
  <si>
    <t>https://www.facebook.com/profile.php?id=100034720028349</t>
  </si>
  <si>
    <r>
      <rPr>
        <sz val="12"/>
        <color theme="1"/>
        <rFont val="Times New Roman"/>
        <family val="1"/>
      </rPr>
      <t>Ngô Thị Xuân Thương</t>
    </r>
    <r>
      <rPr>
        <sz val="12"/>
        <color rgb="FFFF0000"/>
        <rFont val="Times New Roman"/>
        <family val="1"/>
      </rPr>
      <t xml:space="preserve"> </t>
    </r>
  </si>
  <si>
    <t>Tổ 3, thôn Hà Ra, thị trấn Thạnh Mỹ, huyện Nam Giang, tỉnh Quảng Nam</t>
  </si>
  <si>
    <t>https://drive.google.com/open?id=14jvvO8IZPAA3YKvAcKrAQHe1-DeYMsbv</t>
  </si>
  <si>
    <t>https://www.facebook.com/profile.php?id=100081831721895</t>
  </si>
  <si>
    <t>Trần Thanh Thảo</t>
  </si>
  <si>
    <t>thanhthaotran206pt@gmail.com</t>
  </si>
  <si>
    <t>Tổ 14, ấp 3, Lạc An, Bắc Tân Uyên, Bình Dương</t>
  </si>
  <si>
    <t>https://drive.google.com/open?id=1UeXwKd4YKPbBvMGl-wogxwbi4_7O7y9W</t>
  </si>
  <si>
    <t>PT107</t>
  </si>
  <si>
    <t>https://www.facebook.com/profile.php?id=100070534600835&amp;mibextid=LQQJ4d</t>
  </si>
  <si>
    <t>Phạm Thị Hòa</t>
  </si>
  <si>
    <t>Đội 13, thôn Tân Thắng, xã Thái Tân, huyện Nam Sách, tỉnh Hải Dương</t>
  </si>
  <si>
    <t>https://drive.google.com/open?id=1g83VKrXhI1TTY6W0vFGhUMvDjZxS9bVO</t>
  </si>
  <si>
    <t>OT27</t>
  </si>
  <si>
    <t>https://www.facebook.com/anhdangiuso1tg?mibextid=LQQJ4d</t>
  </si>
  <si>
    <t>Đỗ Ngọc Anh</t>
  </si>
  <si>
    <t>:dothingocanh03032005@gmail.com</t>
  </si>
  <si>
    <t>nhận sách  tạo lớp</t>
  </si>
  <si>
    <t>https://drive.google.com/open?id=1gYkP28lkHGxBB24iY0eZvXL3VVFp7me6</t>
  </si>
  <si>
    <t>Gửi Yến sách</t>
  </si>
  <si>
    <t>https://www.facebook.com/hosu.bae.1?mibextid=ZbWKwL</t>
  </si>
  <si>
    <t>Hồ Lê Phương Thảo</t>
  </si>
  <si>
    <t>holephuongthao1305@gmail.com</t>
  </si>
  <si>
    <t>Tạp hoá Hải Nga - Bình Minh - Lạc Hồng - Văn Lâm - Hưng Yên</t>
  </si>
  <si>
    <t>https://drive.google.com/open?id=1GfktBgMDeoK9NYnZ1ZrD1n1EfEUWj17m</t>
  </si>
  <si>
    <t>&gt; 350</t>
  </si>
  <si>
    <t>T231</t>
  </si>
  <si>
    <t>Lê Ngọc Mỹ</t>
  </si>
  <si>
    <t>số 13, ngách 129/2, Nguyễn Trãi, Thượng Đình, Thanh Xuân, Hà Nội</t>
  </si>
  <si>
    <t>Lưu Hoàng Đức</t>
  </si>
  <si>
    <t>T255</t>
  </si>
  <si>
    <t>https://www.facebook.com/profile.php?id=100072222349866&amp;mibextid=JRoKGi</t>
  </si>
  <si>
    <r>
      <rPr>
        <sz val="12"/>
        <color theme="1"/>
        <rFont val="Times New Roman"/>
        <family val="1"/>
      </rPr>
      <t xml:space="preserve">Kim Đình Hải </t>
    </r>
    <r>
      <rPr>
        <sz val="12"/>
        <color rgb="FFFF0000"/>
        <rFont val="Times New Roman"/>
        <family val="1"/>
      </rPr>
      <t>T231</t>
    </r>
  </si>
  <si>
    <t>Xóm cây da,thôn Yên Lạc 4,Đồng Văn ,Yên Lạc,Vĩnh Phúc</t>
  </si>
  <si>
    <t>03/07/2024 và 07/08/2024</t>
  </si>
  <si>
    <t>https://drive.google.com/open?id=1OsQTQNbUYk1Mxcf3GKXMqrYPICkLHqLN; https://drive.google.com/open?id=1KRDzvTg5t8d3yIO4uwyeZ94sS3YuIoJ-</t>
  </si>
  <si>
    <t>https://www.facebook.com/nguyen.giabao.52643821?mibextid=LQQJ4d</t>
  </si>
  <si>
    <t>Nguyễn Gia Bảo</t>
  </si>
  <si>
    <t>Bbeobao@gmail.com</t>
  </si>
  <si>
    <t>Núi Đông Hoàn Sơn Tiên Du Bắc Ninh</t>
  </si>
  <si>
    <t>21/06/2024 và 03/07/2024</t>
  </si>
  <si>
    <t>https://drive.google.com/open?id=1OM94A0n6qkFyeA4fXi1KcVD6VnqWuT2q; https://drive.google.com/open?id=199HIdWL1EFe8JsNPs0Y7UvekOcVXbF3t; https://drive.google.com/open?id=1_TEyuq-I2ajFZG36Lfs1lDaA_pQbTRga</t>
  </si>
  <si>
    <t>https://www.facebook.com/profile.php?id=100071978934465&amp;mibextid=LQQJ4d</t>
  </si>
  <si>
    <t>Nguyễn Trọng Hiếu</t>
  </si>
  <si>
    <t>hieu53388@gmail.com</t>
  </si>
  <si>
    <t>33 Đường Đồng Cuốn, Phố Thành Tráng, Phường Quảng Thành, TP Thanh Hoá</t>
  </si>
  <si>
    <t>21/06/2024 và 04/07/2024</t>
  </si>
  <si>
    <t>https://drive.google.com/open?id=1y-awLYYGuCBrr3rowxvoLXx0iDY_jllr; https://drive.google.com/open?id=1325St4WhF1UdVsi6hYeTrHCYjTQn_8_X; https://drive.google.com/open?id=1-W3QcR_2Gt-E1EYeTxq6O8qBatvGvays</t>
  </si>
  <si>
    <t>Số nhà 12, ngõ 105/9 Doãn Kế Thiện,  Mai Dịch, Cầu Giấy, Hà Nội</t>
  </si>
  <si>
    <t xml:space="preserve"> Số 8, Ngõ 92, Hậu Ái, Vân Canh, Hoài Đức, Hà Nội</t>
  </si>
  <si>
    <t>https://www.facebook.com/profile.php?id=100023733975113&amp;mibextid=LQQJ4d</t>
  </si>
  <si>
    <r>
      <rPr>
        <sz val="12"/>
        <color theme="1"/>
        <rFont val="Times New Roman"/>
        <family val="1"/>
      </rPr>
      <t>Nguyễn Thị Phương Anh</t>
    </r>
    <r>
      <rPr>
        <sz val="12"/>
        <color rgb="FFFF0000"/>
        <rFont val="Times New Roman"/>
        <family val="1"/>
      </rPr>
      <t xml:space="preserve"> - 362415366 số zalo</t>
    </r>
  </si>
  <si>
    <t>phuonganh191105@gmail.com</t>
  </si>
  <si>
    <t>Nhà văn hoá thôn Đại Sơn, Hoàn Sơn, Tiên Du, Bắc Ninh</t>
  </si>
  <si>
    <t>https://drive.google.com/open?id=16i4OYSBHeClT0OZddKNPlG2p5x_MHhB7; https://drive.google.com/open?id=17pnjFXQCDCu07RE9pn8BZVsrpFfHEgKT; https://drive.google.com/open?id=1xAoBqroZxdfe5NWDRUQ__CkmwR4LXXo4</t>
  </si>
  <si>
    <t>ngách 63 ngõ 145 quan nhân phường nhân chính , quận thanh xuân , Hà nội</t>
  </si>
  <si>
    <t>https://www.facebook.com/profile.php?id=100077729891888&amp;mibextid=LQQJ4d</t>
  </si>
  <si>
    <t>Nguyễn Thị Quỳnh Hoa</t>
  </si>
  <si>
    <t>nguyethiquynhhoa254205@gmail.com</t>
  </si>
  <si>
    <t>Bưu điện xã Quang Tiến, huyện Tân Yên, tỉnh Bắc Giang</t>
  </si>
  <si>
    <t>30/06/2024 và 02/07/2024</t>
  </si>
  <si>
    <t>https://drive.google.com/open?id=11_zJ8rrgpjn4wH99HKtZ2QFD1sp-sK6s; https://drive.google.com/open?id=1RB_ikAtlYnnQfZ-yYHGgJAcYrCyoWkLR; https://drive.google.com/open?id=1ieWD9pGv95K2niCP_DxcTTjAa4XqAUkv, https://drive.google.com/open?id=1uL_LJgqA7wv2jQlKR_XqkTlbXl3ov3AY</t>
  </si>
  <si>
    <t>ngõ 53 Lê Văn Hiến- Đức Thắng- Bắc Từ Liêm- Hà Nội</t>
  </si>
  <si>
    <t>ngách 56/34 Lê Văn Hiến- Đức Thắng- Bắc Từ Liêm- Hà Nội</t>
  </si>
  <si>
    <t>12 Chính Kinh, Nhân Chính, Thanh Xuân, Hà Nội</t>
  </si>
  <si>
    <t>VIP111</t>
  </si>
  <si>
    <t>https://www.facebook.com/baonhi.vu.75491856?mibextid=LQQJ4d</t>
  </si>
  <si>
    <r>
      <rPr>
        <sz val="12"/>
        <color theme="1"/>
        <rFont val="Times New Roman"/>
        <family val="1"/>
      </rPr>
      <t>Vũ Ngọc Ánh</t>
    </r>
    <r>
      <rPr>
        <sz val="12"/>
        <color rgb="FFFF0000"/>
        <rFont val="Times New Roman"/>
        <family val="1"/>
      </rPr>
      <t xml:space="preserve"> - nhận học. Chưa nộp 300K</t>
    </r>
    <r>
      <rPr>
        <sz val="12"/>
        <color theme="1"/>
        <rFont val="Times New Roman"/>
        <family val="1"/>
      </rPr>
      <t xml:space="preserve">
Nguyễn Thị Thanh Tuyền 819609803 </t>
    </r>
    <r>
      <rPr>
        <sz val="12"/>
        <color rgb="FFFF0000"/>
        <rFont val="Times New Roman"/>
        <family val="1"/>
      </rPr>
      <t>- chuyển nhượng</t>
    </r>
  </si>
  <si>
    <r>
      <rPr>
        <sz val="12"/>
        <color rgb="FF050505"/>
        <rFont val="Times New Roman"/>
        <family val="1"/>
      </rPr>
      <t>ngocanhvu22012005@gmail.com</t>
    </r>
  </si>
  <si>
    <t>Nhà số 7, Ngõ 136 Tây Sơn, Quang Trung, Đống Đa, Hà Nội</t>
  </si>
  <si>
    <t>OT26</t>
  </si>
  <si>
    <t>Tổ 52G, khu 4A, Cao Xanh, Hạ Long, Quảng Ninh, 09B12</t>
  </si>
  <si>
    <t>T247</t>
  </si>
  <si>
    <t>https://www.facebook.com/profile.php?id=100065353545032&amp;mibextid=LQQJ4d</t>
  </si>
  <si>
    <r>
      <rPr>
        <sz val="12"/>
        <color theme="1"/>
        <rFont val="Times New Roman"/>
        <family val="1"/>
      </rPr>
      <t xml:space="preserve">Trần Kim Ngân - </t>
    </r>
    <r>
      <rPr>
        <sz val="12"/>
        <color rgb="FFFF0000"/>
        <rFont val="Times New Roman"/>
        <family val="1"/>
      </rPr>
      <t>T232</t>
    </r>
  </si>
  <si>
    <t>trankimngan0907@gmail.com</t>
  </si>
  <si>
    <t>Hạ Vĩnh- Thanh Quang- Thanh Hà- Hải Dương</t>
  </si>
  <si>
    <t>14/07/2024 và 15/07/2024 và 02/08/2024</t>
  </si>
  <si>
    <t>https://drive.google.com/open?id=1Kb_E-3l3byfAlVNgjsrvIAJim4kCSkrm; https://drive.google.com/open?id=1J_wt4kkUD4gxVIQ-hk_-S7xOw3c2-GB7; https://drive.google.com/open?id=13m3KD9-b3X6mBcFzo6qi118QMRUaWMqE</t>
  </si>
  <si>
    <r>
      <rPr>
        <sz val="12"/>
        <color theme="1"/>
        <rFont val="Times New Roman"/>
        <family val="1"/>
      </rPr>
      <t>Phạm Anh Thư</t>
    </r>
    <r>
      <rPr>
        <sz val="12"/>
        <color rgb="FFFF0000"/>
        <rFont val="Times New Roman"/>
        <family val="1"/>
      </rPr>
      <t xml:space="preserve"> </t>
    </r>
  </si>
  <si>
    <t>số 4 ngõ 39/14 Đại Đồng- Thanh Trì - Hoàng Mai -Hà Nội</t>
  </si>
  <si>
    <t>T233</t>
  </si>
  <si>
    <t>https://www.facebook.com/profile.php?id=100071130908559</t>
  </si>
  <si>
    <t>Lê Thị Thiều</t>
  </si>
  <si>
    <t>Thôn Thịnh Lai , xã Đức Long , Thị Xã Quế Võ, tỉnh Bắc Ninh</t>
  </si>
  <si>
    <t>04/07/2024 và 07/07/2024</t>
  </si>
  <si>
    <t>https://drive.google.com/open?id=1wi4yxHSm0LIIDMg8llO5qSK0kGLK2Lm6; https://drive.google.com/open?id=1Q6TUVECAwdHMDHJOfmwMPyP_s5QEgvb9; https://drive.google.com/open?id=1DqxhRjDoBHfXzyg9Bt6lZy1HlTquWagd, https://drive.google.com/open?id=1VOHU55gdhIccfx226kqiQ2W3m2o_9nnZ</t>
  </si>
  <si>
    <r>
      <rPr>
        <sz val="12"/>
        <color theme="1"/>
        <rFont val="Times New Roman"/>
        <family val="1"/>
      </rPr>
      <t xml:space="preserve">Lê Thị Kiều Chang </t>
    </r>
    <r>
      <rPr>
        <sz val="12"/>
        <color rgb="FFFF0000"/>
        <rFont val="Times New Roman"/>
        <family val="1"/>
      </rPr>
      <t>- Đã nộp 300K 24/01/2025
S4 bảo lưu buổi 9. Học S10 buổi 1</t>
    </r>
  </si>
  <si>
    <t>169 Doãn Kế Thiện - Mai Dịch - Cầu Giấy - Hà Nội</t>
  </si>
  <si>
    <t>Xóm Bến Đò,Trung Hà,Thuỷ Nguyên,Hải Phòng</t>
  </si>
  <si>
    <t>S4</t>
  </si>
  <si>
    <t>https://www.facebook.com/profile.php?id=100013287166595</t>
  </si>
  <si>
    <r>
      <rPr>
        <sz val="12"/>
        <color theme="1"/>
        <rFont val="Times New Roman"/>
        <family val="1"/>
      </rPr>
      <t xml:space="preserve">Vũ Thị Thủy Tiên </t>
    </r>
    <r>
      <rPr>
        <sz val="12"/>
        <color rgb="FFFF0000"/>
        <rFont val="Times New Roman"/>
        <family val="1"/>
      </rPr>
      <t>364161415 số cũ</t>
    </r>
  </si>
  <si>
    <t>Team Năm</t>
  </si>
  <si>
    <t>Phượng TN2</t>
  </si>
  <si>
    <t>033303001287</t>
  </si>
  <si>
    <t xml:space="preserve">số 20e, ngách 40, ngõ 110, nam dư,lĩnh nam,hoàng mai,hà nội </t>
  </si>
  <si>
    <t>https://drive.google.com/open?id=15rMV2QhD5FahEiNyMnD2YSPXK-UAKJcs</t>
  </si>
  <si>
    <t>390 (140, 250)</t>
  </si>
  <si>
    <t>0364161415</t>
  </si>
  <si>
    <t>Số 5 ngách 38 ngõ 68 Đường Phú Diễn - Bắc Từ Liêm - Hà Nội</t>
  </si>
  <si>
    <t>T232</t>
  </si>
  <si>
    <t>https://www.facebook.com/chang.phamthithu.9?mibextid=LQQJ4d</t>
  </si>
  <si>
    <t>Phạm Thị Thu Chang</t>
  </si>
  <si>
    <t>changpham40@gmail.com</t>
  </si>
  <si>
    <t>Nhà bà Vinh, thôn Xuân la, xã Độc Lập, huyện Hưng Hà, tỉnh Thái Bình</t>
  </si>
  <si>
    <t>05/07/2024 và 09/07/2024</t>
  </si>
  <si>
    <t>https://drive.google.com/open?id=1mMYVLAk72bC2_qBZetbz1yz45WDMBM1o; https://drive.google.com/open?id=1RZeh1sNXQcJQxjODqP6WTuIeESPYjMWU; https://drive.google.com/open?id=1iP2lLnn4_vg6w-Ojl6h_ocUU9b5QnUAm</t>
  </si>
  <si>
    <t xml:space="preserve"> Nguyễn Thị Dương Đoài</t>
  </si>
  <si>
    <t>Yên Phú, Nhật Tựu, Kim Bảng, Hà Nam</t>
  </si>
  <si>
    <t>T234</t>
  </si>
  <si>
    <r>
      <rPr>
        <sz val="12"/>
        <color theme="1"/>
        <rFont val="Times New Roman"/>
        <family val="1"/>
      </rPr>
      <t>Nguyễn Xuân Khoa</t>
    </r>
    <r>
      <rPr>
        <sz val="12"/>
        <color rgb="FFFF0000"/>
        <rFont val="Times New Roman"/>
        <family val="1"/>
      </rPr>
      <t xml:space="preserve"> - đã nộp 300K 21/11/2024
T234 bảo lưu b15 đi quân sự. Học T243 b14</t>
    </r>
  </si>
  <si>
    <t>SN60, tổ 45B, khu 12, Quang Trung, Uông Bí, Quảng Ninh</t>
  </si>
  <si>
    <t>https://www.facebook.com/profile.php?id=100013439325840</t>
  </si>
  <si>
    <r>
      <rPr>
        <sz val="12"/>
        <color theme="1"/>
        <rFont val="Times New Roman"/>
        <family val="1"/>
      </rPr>
      <t xml:space="preserve">Trần Lan Anh </t>
    </r>
    <r>
      <rPr>
        <sz val="12"/>
        <color rgb="FFFF0000"/>
        <rFont val="Times New Roman"/>
        <family val="1"/>
      </rPr>
      <t>- 0348843620 số cũ</t>
    </r>
  </si>
  <si>
    <t>anhanhtran675@gmail.com</t>
  </si>
  <si>
    <t>Cổng bát mã-kim thiều-hương mạc-từ sơn-bắc ninh</t>
  </si>
  <si>
    <t>04/07/2024 và 05/07/2024</t>
  </si>
  <si>
    <t>https://drive.google.com/open?id=1IuzKlJ0uQTL-sZSxLqH9n144korsT9Su; https://drive.google.com/open?id=1ttWkFih2E01hUM_8kD8Zperqx9BqHS-B; https://drive.google.com/open?id=1PO2ZQNK-tHwq_FdPpVYceIva5eGM-VU6</t>
  </si>
  <si>
    <t>https://www.facebook.com/profile.php?id=100053191901444&amp;mibextid=LQQJ4d</t>
  </si>
  <si>
    <t>Lê Mạnh Trường</t>
  </si>
  <si>
    <t>truonglemanh2006@gmail.com</t>
  </si>
  <si>
    <t>148 Nguyễn Đình Hoàn, Cầu Giấy, Hà nội</t>
  </si>
  <si>
    <t>03/07/2024 và 07/07/2024</t>
  </si>
  <si>
    <t>https://drive.google.com/open?id=1_dxHkOUCfjF66byV6l5nYv7N00XnEnsC; https://drive.google.com/open?id=1fbdZm8E2zoPkvk0aT8VMbSGtV-E1LLN4; https://drive.google.com/open?id=1kxoL8ezVsxJW09rD_6AbJ5CQXiD4t5gk</t>
  </si>
  <si>
    <t>https://www.facebook.com/profile.php?id=61561831156050</t>
  </si>
  <si>
    <t>Đào Nhật Huy</t>
  </si>
  <si>
    <t>daonhathuy21@gmail.com</t>
  </si>
  <si>
    <t>chưng cư Mipec Xuân Thuỷ</t>
  </si>
  <si>
    <t>https://drive.google.com/open?id=1ZjRey4KdHtHx8Zj-C0lzrMXWLRDdpiRj; https://drive.google.com/open?id=13fhL_BQphkx8K6_obsga-xDJ6LOwVrGV</t>
  </si>
  <si>
    <t>https://www.facebook.com/cut.cuc.750331?mibextid=LQQJ4d</t>
  </si>
  <si>
    <t>Mai Xuân Phú</t>
  </si>
  <si>
    <t>phumai0908@gmail.com</t>
  </si>
  <si>
    <t>Số nhà 20 ngõ 18 đường Nguyễn Viết Xuân, Phủ Lý, Hà Nam</t>
  </si>
  <si>
    <t>05/07/2024 và 08/07/2024</t>
  </si>
  <si>
    <t>https://drive.google.com/open?id=1VZjihfFQHKGAJO0fKB1I39YEqW3C7nky; https://drive.google.com/open?id=1oROacGwtnEv6sIfMZCQ-T13aD27myxeV; https://drive.google.com/open?id=10FqR-zqr4oXsx8zTDWRQYdFAG_nRtcmL</t>
  </si>
  <si>
    <t>https://www.facebook.com/iamQuangHung?mibextid=ZbWKwL</t>
  </si>
  <si>
    <t>Đường Quang Hưng</t>
  </si>
  <si>
    <t>hungk6pdl@gmail.com</t>
  </si>
  <si>
    <t>Khối 3 Thị Trấn Yên Thành Nghệ An</t>
  </si>
  <si>
    <t>https://drive.google.com/open?id=14z0zCoDMr9I90sb8fPn43MbbfJa1aE29; https://drive.google.com/open?id=1yvfBTZCPM3k6bSS0dGmIxs_4i5BxCpR2</t>
  </si>
  <si>
    <t>T235</t>
  </si>
  <si>
    <t>T245</t>
  </si>
  <si>
    <r>
      <rPr>
        <sz val="12"/>
        <color theme="1"/>
        <rFont val="Times New Roman"/>
        <family val="1"/>
      </rPr>
      <t>Vũ Thị Tố Uyên</t>
    </r>
    <r>
      <rPr>
        <sz val="12"/>
        <color rgb="FFFF0000"/>
        <rFont val="Times New Roman"/>
        <family val="1"/>
      </rPr>
      <t xml:space="preserve"> OT28, OT26</t>
    </r>
  </si>
  <si>
    <t>Ngõ 70 Văn Trì, Minh Khai Bắc  Từ Liêm, Hà Nội</t>
  </si>
  <si>
    <t>T249</t>
  </si>
  <si>
    <t>https://www.facebook.com/profile.php?id=100055194502788&amp;mibextid=LQQJ4d</t>
  </si>
  <si>
    <r>
      <rPr>
        <sz val="12"/>
        <color theme="1"/>
        <rFont val="Times New Roman"/>
        <family val="1"/>
      </rPr>
      <t xml:space="preserve">Tạ Vũ Nam - </t>
    </r>
    <r>
      <rPr>
        <sz val="12"/>
        <color rgb="FFFF0000"/>
        <rFont val="Times New Roman"/>
        <family val="1"/>
      </rPr>
      <t xml:space="preserve">912690863 số bố - đã nộp 300K 16/10/24
T232 bảo lưu buổi 13. Học T249 buổi 13
</t>
    </r>
    <r>
      <rPr>
        <sz val="12"/>
        <color theme="1"/>
        <rFont val="Times New Roman"/>
        <family val="1"/>
      </rPr>
      <t>T249 mất cam kết đầu ra. Nghỉ không phép 2 buổi. Huy chat</t>
    </r>
  </si>
  <si>
    <t>namta090406@gmail.com PT79</t>
  </si>
  <si>
    <t>Thôn Chợ Nội, Tam Hợp, Bình Xuyên, Vĩnh Phúc</t>
  </si>
  <si>
    <t>Trả lương T10.2024</t>
  </si>
  <si>
    <t>T236</t>
  </si>
  <si>
    <t>https://www.facebook.com/profile.php?id=100034373992828&amp;locale=vi_VN</t>
  </si>
  <si>
    <t>thehungyahoo1234@gmail.com</t>
  </si>
  <si>
    <t>số nhà 31 ngõ 93 tổ 1 thị trấn Chi Đông-Mê Linh-Hà Nội</t>
  </si>
  <si>
    <t>30/06/2024 và 08/07/2024</t>
  </si>
  <si>
    <t>https://drive.google.com/open?id=1lyWqqPkAiLuE1f6d9Ja_glGjf7slCNHO; https://drive.google.com/open?id=1zUWb46k0FJF8LvNn1OifP6x55K5sklF4; https://drive.google.com/open?id=14O_TMIZ4AdyjP0EYfP1VQLgJ7yYuggP2</t>
  </si>
  <si>
    <t>Số nhà 01, tổ 10 khu Vĩnh Tuy 2, Mạo Khê, Đông Triều, Quảng Ninh</t>
  </si>
  <si>
    <t>https://www.facebook.com/profile.php?id=100074026626767</t>
  </si>
  <si>
    <t>Nguyễn Hoàng Xuân Giao</t>
  </si>
  <si>
    <t>xuangiao3103@gmail.com</t>
  </si>
  <si>
    <t>310/15/47 Dương Quảng Hàm, tổ 57, phường 5, Gò Vấp, thành phố Hồ Chí Minh</t>
  </si>
  <si>
    <t>01/07/2024 và 08/07/2024 và 30/07/2024</t>
  </si>
  <si>
    <r>
      <rPr>
        <u/>
        <sz val="12"/>
        <color rgb="FF1155CC"/>
        <rFont val="Times New Roman"/>
        <family val="1"/>
      </rPr>
      <t xml:space="preserve">https://drive.google.com/open?id=1074LjdK98uvqOPXaQoSL-YcRb_u9Bc6o; https://drive.google.com/open?id=1iF1yfUXlXtyFD9WDUjD46zbyvr3xdpgi; https://drive.google.com/open?id=1zhBWqo0UZ0rgQw2j6BQzHY22p-Qzxh69, </t>
    </r>
    <r>
      <rPr>
        <u/>
        <sz val="12"/>
        <color rgb="FF1155CC"/>
        <rFont val="Times New Roman"/>
        <family val="1"/>
      </rPr>
      <t>https://drive.google.com/open?id=1mrgOND4hsjmuyuo1X0DMCi9W3BjlJ9Yf</t>
    </r>
  </si>
  <si>
    <t>https://www.facebook.com/profile.php?id=100035784653136&amp;locale=vi_VN</t>
  </si>
  <si>
    <t>Trịnh Việt Hoàng</t>
  </si>
  <si>
    <t>Thôn 3 xã hoà bình huyện thủy nguyên - hải phòng</t>
  </si>
  <si>
    <t>01/07/2024 và 09/07/2024</t>
  </si>
  <si>
    <t>https://drive.google.com/open?id=18nA05UwrRU2dBgBUdloLeYWvFTQe-1B3; https://drive.google.com/open?id=1_pZax7OcXy8dHq65dwPzfdhpf4nJNc74; https://drive.google.com/open?id=1WUuFFtFDf2lqeAM-5bMdw72obW2oYtwj</t>
  </si>
  <si>
    <t>https://www.facebook.com/truongthanhha986?mibextid=LQQJ4d</t>
  </si>
  <si>
    <t>Trương Thị Thanh Hà</t>
  </si>
  <si>
    <t>hathanhtruong986@gmail.com</t>
  </si>
  <si>
    <t>Cống cao đồng thôn - Đông Tiến - Yên Phong - Bắc Ninh</t>
  </si>
  <si>
    <t>02/07/2024 và 03/07/2024</t>
  </si>
  <si>
    <t>https://drive.google.com/open?id=1v4FQXHnqSHMGoAIwkd5a3ZpPjQxDRac8; https://drive.google.com/open?id=1Ld_HwqX1ziig3T-heTDgCttYU7PXW67m; https://drive.google.com/open?id=1f3GSGdw8xXRtrHY_d96jRXOOXzUzt2ow</t>
  </si>
  <si>
    <t>https://www.facebook.com/profile.php?id=100055646770369</t>
  </si>
  <si>
    <r>
      <rPr>
        <sz val="12"/>
        <color theme="1"/>
        <rFont val="Times New Roman"/>
        <family val="1"/>
      </rPr>
      <t xml:space="preserve">Nguyễn Thị Trang </t>
    </r>
    <r>
      <rPr>
        <sz val="12"/>
        <color rgb="FFFF0000"/>
        <rFont val="Times New Roman"/>
        <family val="1"/>
      </rPr>
      <t>(T235 người thứ 10)</t>
    </r>
  </si>
  <si>
    <t>kooltrang2k6@gmail.com</t>
  </si>
  <si>
    <t>Cao Đoài - Nhật Tân - Tiên Lữ - Hưng Yên</t>
  </si>
  <si>
    <t>https://drive.google.com/open?id=1Qput7vnlImfcFmqe9Y26ShUpWfyshF8w; https://drive.google.com/open?id=1dnnfHMFhNc-K7S1XjtNEPwYr2fgnwy2G</t>
  </si>
  <si>
    <t>https://www.facebook.com/profile.php?id=100047727480025&amp;mibextid=LQQJ4d</t>
  </si>
  <si>
    <t>Lê Thị Thơm</t>
  </si>
  <si>
    <t>letthom13112006@gmail.com</t>
  </si>
  <si>
    <t>Thôn 7, xã Xuân Sinh, huyện Thọ Xuân, tỉnh Thanh Hóa</t>
  </si>
  <si>
    <t>https://drive.google.com/open?id=1D07Wqf7D4cC4opdSf4DlVyhSSmfuIpmU; https://drive.google.com/open?id=1LhnWpeu26oj4Yis3qYvV-qEO8QLZdc6n; https://drive.google.com/open?id=1Kr-PFADvcXdZ6KT6hq2QaAEePDkSZyNc</t>
  </si>
  <si>
    <t>Lê Kim Ngân</t>
  </si>
  <si>
    <t>VIP107</t>
  </si>
  <si>
    <r>
      <rPr>
        <sz val="12"/>
        <color theme="1"/>
        <rFont val="Times New Roman"/>
        <family val="1"/>
      </rPr>
      <t>Đào Linh Chi</t>
    </r>
    <r>
      <rPr>
        <sz val="12"/>
        <color rgb="FFFF0000"/>
        <rFont val="Times New Roman"/>
        <family val="1"/>
      </rPr>
      <t xml:space="preserve"> - người thứ 10 VIP105</t>
    </r>
  </si>
  <si>
    <t>số nhà 21 ngõ 25 Doãn Kế Thiện- Mai Dịch- Cầu Giấy, Hà Nội</t>
  </si>
  <si>
    <t>VIP169</t>
  </si>
  <si>
    <r>
      <rPr>
        <sz val="12"/>
        <color theme="1"/>
        <rFont val="Times New Roman"/>
        <family val="1"/>
      </rPr>
      <t>Nguyễn Thị Trà My</t>
    </r>
    <r>
      <rPr>
        <sz val="12"/>
        <color rgb="FFFF0000"/>
        <rFont val="Times New Roman"/>
        <family val="1"/>
      </rPr>
      <t xml:space="preserve"> - Đã nộp 500K bảo lưu, mua sách 29/05/25
OVIP14 bảo lưu b3 đi quân sự. Học VIP169 b1</t>
    </r>
  </si>
  <si>
    <t>Sách cũ 22/09/2024</t>
  </si>
  <si>
    <t>Phạm Minh Cường</t>
  </si>
  <si>
    <t>https://www.facebook.com/profile.php?id=100011360961349&amp;mibextid=kFxxJD</t>
  </si>
  <si>
    <t>Nguyễn Thị Thanh Huyền</t>
  </si>
  <si>
    <t>Kí túc xá trường Đại học Sư phạm Hà nội 2, đường Nguyễn Văn Linh, phường Xuân Hoà, Thành phố Phúc Yên, Vĩnh Phúc</t>
  </si>
  <si>
    <t>https://drive.google.com/open?id=18GkI1bNaxjhBezFc9T_0yzd_ETBNjnyU; https://drive.google.com/open?id=1F2eGlyzynbj_hiPFUn_u7pmxBPsG4XZz</t>
  </si>
  <si>
    <t>https://www.facebook.com/profile.php?id=100053472249308</t>
  </si>
  <si>
    <t>Phan Thị Thảo</t>
  </si>
  <si>
    <t>phanthithao11082006@gmail.com</t>
  </si>
  <si>
    <t>đội 2 - thôn Châu Xá - Xã Mai Thủy - Huyện Lệ Thủy - tỉnh Quảng Bình</t>
  </si>
  <si>
    <t>04/07/2024 và 08/07/2024</t>
  </si>
  <si>
    <t>https://drive.google.com/open?id=1JMo2gIu8Z6tqx6daN8lPRPg1Qt6t6XdP; https://drive.google.com/open?id=1S6-CYArMP3SiJPoR2IfD1hU-bAd24akN; https://drive.google.com/open?id=12pO3yndm5jBYchV8yaSPk9Xu6FFOf2FT</t>
  </si>
  <si>
    <t>Số 8a ngách 78, ngõ 38, xuân la, Tây Hồ ,Hà Nội</t>
  </si>
  <si>
    <t>https://www.facebook.com/vukhanhlinh226?mibextid=LQQJ4d</t>
  </si>
  <si>
    <r>
      <rPr>
        <sz val="12"/>
        <color theme="1"/>
        <rFont val="Times New Roman"/>
        <family val="1"/>
      </rPr>
      <t xml:space="preserve">Vũ Khánh Linh </t>
    </r>
    <r>
      <rPr>
        <sz val="12"/>
        <color rgb="FFFF0000"/>
        <rFont val="Times New Roman"/>
        <family val="1"/>
      </rPr>
      <t>3/9 gửi tặng móc khóa</t>
    </r>
  </si>
  <si>
    <t>khnlinh36@gmail.com</t>
  </si>
  <si>
    <t>Chung cư N02, Trần Quý Kiên, P.Dịch Vọng Hậu, Q.Cầu Giấy, Hà Nội</t>
  </si>
  <si>
    <t>https://drive.google.com/open?id=1nn5Ha24UKYjtegIPQyQrKzLZqp80Fdae; https://drive.google.com/open?id=1dTrgU8cC3rF1z4osmpOs3TS0_vQ1zlvG; https://drive.google.com/open?id=1vbrNTjiyTF4Nr-CFkVJgCDq6vCxW1rPC</t>
  </si>
  <si>
    <t>https://www.facebook.com/profile.php?id=100046289793298</t>
  </si>
  <si>
    <t xml:space="preserve">Dương Ngọc Huyền 379870179 số bố </t>
  </si>
  <si>
    <t>duongnghuyn99@gmail.com</t>
  </si>
  <si>
    <t>Khu 3, Vân Phú, Việt Trì, Tỉnh Phú Thọ</t>
  </si>
  <si>
    <t>07/07/2024 và 10/07/2024</t>
  </si>
  <si>
    <t>https://drive.google.com/open?id=1mtNeU3rPtbu1kQ9QnwcbRi0AqTu2n-Gw; https://drive.google.com/open?id=1A4z4ewRXH-9BJ_X8ktty54kzOGMSDUP3</t>
  </si>
  <si>
    <t>T286</t>
  </si>
  <si>
    <t>https://www.facebook.com/share/15NDFXJ3dP/?mibextid=wwXIfr</t>
  </si>
  <si>
    <r>
      <rPr>
        <sz val="12"/>
        <color theme="1"/>
        <rFont val="Times New Roman"/>
        <family val="1"/>
      </rPr>
      <t>Tống Minh Duyên</t>
    </r>
    <r>
      <rPr>
        <sz val="12"/>
        <color rgb="FFFF0000"/>
        <rFont val="Times New Roman"/>
        <family val="1"/>
      </rPr>
      <t xml:space="preserve"> - Đã nộp 300K 14/02/2025
T238 bảo lưu b7 đi quân sự. Học T286 b1</t>
    </r>
  </si>
  <si>
    <t>T238</t>
  </si>
  <si>
    <t>https://www.facebook.com/nhunhu.pham.777?mibextid=ZbWKwL</t>
  </si>
  <si>
    <t>Phạm Trần Ý Như</t>
  </si>
  <si>
    <t>Thôn 1 sông lũy bắc bình bình thuận đường vào trạm bơm nước sông lũy ngay quán hoàn linh</t>
  </si>
  <si>
    <t>18/06/2023 và 04/07/2024 và 20/08/2024</t>
  </si>
  <si>
    <t>https://drive.google.com/open?id=1WaXrOpIgNfTR9y_UsGkaj5M0y83gQEzi; https://drive.google.com/open?id=1_XctMuVwc3zrPvVnTwEn1Monf5D-R74U; https://drive.google.com/open?id=1Ao0f6fLI1I-r5YjQ4Cd3l-6jwYa9xHlF</t>
  </si>
  <si>
    <t>https://www.facebook.com/profile.php?id=100049637704551&amp;mibextid=LQQJ4d</t>
  </si>
  <si>
    <t>Chu Đức Thông</t>
  </si>
  <si>
    <t>Yên lã 1 - Tân Hồng - Từ Sơn - Bắc Ninh</t>
  </si>
  <si>
    <r>
      <rPr>
        <u/>
        <sz val="12"/>
        <color rgb="FF1155CC"/>
        <rFont val="Times New Roman"/>
        <family val="1"/>
      </rPr>
      <t xml:space="preserve">https://drive.google.com/open?id=1AYQ8wBDh06tX-O9DCoRtQ6IceFG1pP_n; </t>
    </r>
    <r>
      <rPr>
        <u/>
        <sz val="12"/>
        <color rgb="FF1155CC"/>
        <rFont val="Times New Roman"/>
        <family val="1"/>
      </rPr>
      <t>https://drive.google.com/open?id=123dxorE8m5Rq_5jNKdVg5HkuRThTZMzd</t>
    </r>
  </si>
  <si>
    <t>Vũ Thị Oanh</t>
  </si>
  <si>
    <t>Vũ Thị Mai Phương</t>
  </si>
  <si>
    <t>Số nhà 17, ngõ 81, đường Đào Nguyên2, Hoài Đức, Hà Nội</t>
  </si>
  <si>
    <t>https://www.facebook.com/profile.php?id=100094035241863&amp;mibextid=LQQJ4d</t>
  </si>
  <si>
    <t>Phan Thị Thanh</t>
  </si>
  <si>
    <t>Số nhà 33, Ngách 5, Ngõ 204 Trần Duy Hưng, Trung Hoà, Cầu Giấy, Hà Nội</t>
  </si>
  <si>
    <t>Lê Thu Huyền</t>
  </si>
  <si>
    <t>Phạm Thị Quỳnh Anh</t>
  </si>
  <si>
    <t>118 Trần Hữu Trang, Phường 10, Phú Nhuận, Hồ Chí Minh</t>
  </si>
  <si>
    <t>Huỳnh Ngô Quốc Bảo</t>
  </si>
  <si>
    <t>hẻm 62/14-Ngô Chí Quốc-Bình Chiểu-Thủ Đức-Tphcm</t>
  </si>
  <si>
    <t>PT124</t>
  </si>
  <si>
    <t>https://www.facebook.com/profile.php?id=100026390200113</t>
  </si>
  <si>
    <r>
      <rPr>
        <sz val="12"/>
        <color theme="1"/>
        <rFont val="Times New Roman"/>
        <family val="1"/>
      </rPr>
      <t xml:space="preserve">Đinh Đức Bảo Duy </t>
    </r>
    <r>
      <rPr>
        <sz val="12"/>
        <color rgb="FFFF0000"/>
        <rFont val="Times New Roman"/>
        <family val="1"/>
      </rPr>
      <t>- học lại miễn phí
Ko đạt đầu ra. Huy báo</t>
    </r>
  </si>
  <si>
    <t xml:space="preserve">Dung </t>
  </si>
  <si>
    <t xml:space="preserve">duy004960@gmail.com </t>
  </si>
  <si>
    <t xml:space="preserve">18t1 ĐN1 Cc The golden - An Khánh - Hoài Đức - Hà Nội </t>
  </si>
  <si>
    <t>https://drive.google.com/open?id=1pqf5NTzbyYJ4GnTm2TjTj8kn6ERgl8SJ; https://drive.google.com/open?id=1z5yC7jIbeTrYXBG1uH7YLEXW2kw47UmX</t>
  </si>
  <si>
    <t>https://www.facebook.com/profile.php?id=100050065650756&amp;mibextid=LQQJ4d</t>
  </si>
  <si>
    <r>
      <rPr>
        <sz val="12"/>
        <color theme="1"/>
        <rFont val="Times New Roman"/>
        <family val="1"/>
      </rPr>
      <t>Tạ Ngọc Mai</t>
    </r>
    <r>
      <rPr>
        <sz val="12"/>
        <color rgb="FFFF0000"/>
        <rFont val="Times New Roman"/>
        <family val="1"/>
      </rPr>
      <t xml:space="preserve"> 876033376 số cũ</t>
    </r>
  </si>
  <si>
    <t>ngocmai221026@gmail.com</t>
  </si>
  <si>
    <t>số nhà 18/đường bờ sông/xóm chùa/thôn quảng minh/xã mỹ hưng/huyện thanh oai/hà nội</t>
  </si>
  <si>
    <t>04/07/2024 và 11/07/2024</t>
  </si>
  <si>
    <t>https://drive.google.com/open?id=1VkvA_D87uC7qVcXfDt6MCwZxaerlUOJP; https://drive.google.com/open?id=1g7-1SzX2FKUlpk5zYozfnPxXF_2MHH34; https://drive.google.com/open?id=1hw7Q_A5_stjFwCnKMhRAO-_oA3xRIYad</t>
  </si>
  <si>
    <t>C191</t>
  </si>
  <si>
    <t>https://www.facebook.com/profile.php?id=100041284066252</t>
  </si>
  <si>
    <t>Nguyễn Khánh Linh</t>
  </si>
  <si>
    <t>linhtrau2004@gmail.com</t>
  </si>
  <si>
    <t>Đội 10, xóm Giêng, Phù Trì, Kim Hoa, Mê Linh, Hà Nội</t>
  </si>
  <si>
    <t>https://drive.google.com/open?id=1OVxi8yRVSRCa70rkoZjocrkSXftm6EK2</t>
  </si>
  <si>
    <t>Không nhận - Nếu học viên KO có nhu cầu.</t>
  </si>
  <si>
    <t>T239</t>
  </si>
  <si>
    <t>Nguyễn Việt Mai Linh</t>
  </si>
  <si>
    <t>công phụ ktx đại học sp thái nguyên, thành phố thái nguyên, tỉnh thái nguyên</t>
  </si>
  <si>
    <t>https://www.facebook.com/lgtihjtuhhaf?mibextid=kFxxJD</t>
  </si>
  <si>
    <t>Lương Thị Thu Hà</t>
  </si>
  <si>
    <t>142 Lý Thường Kiệt, Phù Vân, Phủ Lý, Hà Nam</t>
  </si>
  <si>
    <t>https://drive.google.com/open?id=1qaOe23Tp__KslGaxwWHsQpfKClldtsjP; https://drive.google.com/open?id=1AtwJbuC9V4DgPq1SfFJOuAx6U7wcDCer</t>
  </si>
  <si>
    <t>PT96</t>
  </si>
  <si>
    <t>https://www.facebook.com/vuduongtrunghieu?mibextid=JRoKGi</t>
  </si>
  <si>
    <t>Dương Vũ Trung Hiếu</t>
  </si>
  <si>
    <t>142 Lý Thường Kiệt, Phù Vân, Phủ Lý, Hà Nam
nhà trọ 4.0</t>
  </si>
  <si>
    <t>05/08/2024 và 05/09/2026</t>
  </si>
  <si>
    <t>https://drive.google.com/open?id=1B_q3fKnpn-vcyezXOGEkz6Kdx1mQod4p; https://drive.google.com/open?id=1L2yvfiRK7NY7cCEINtRmwzbSxSLjY9Zo; https://drive.google.com/open?id=1NFvHZsD3A5KWBC_DvfQe8wM8_FUNeCYR</t>
  </si>
  <si>
    <t>C166</t>
  </si>
  <si>
    <t>OT29</t>
  </si>
  <si>
    <t>https://www.facebook.com/profile.php?id=100081908287230</t>
  </si>
  <si>
    <r>
      <rPr>
        <sz val="12"/>
        <color theme="1"/>
        <rFont val="Times New Roman"/>
        <family val="1"/>
      </rPr>
      <t xml:space="preserve">Dương Thanh Hoan </t>
    </r>
    <r>
      <rPr>
        <sz val="12"/>
        <color rgb="FFFF0000"/>
        <rFont val="Times New Roman"/>
        <family val="1"/>
      </rPr>
      <t>OT28</t>
    </r>
  </si>
  <si>
    <t>129 Tân Xuân, Xuân Đỉnh, Bắc Từ Liêm, Hà Nội</t>
  </si>
  <si>
    <t>https://drive.google.com/open?id=1YYmecsnNrhnr4TyEz01jJMOx1vv_jE5K, https://drive.google.com/open?id=1MlsBF44cmN4HppMCtBNnpc9jyGXVOtS; https://drive.google.com/open?id=11lkExtjlKJ1iH663N7l0Rq9Tt28AeyrG</t>
  </si>
  <si>
    <t>T283</t>
  </si>
  <si>
    <t>https://www.facebook.com/profile.php?id=100078657773888&amp;mibextid=LQQJ4d</t>
  </si>
  <si>
    <r>
      <rPr>
        <sz val="12"/>
        <color theme="1"/>
        <rFont val="Times New Roman"/>
        <family val="1"/>
      </rPr>
      <t xml:space="preserve">Nguyễn Mạnh Hà </t>
    </r>
    <r>
      <rPr>
        <sz val="12"/>
        <color rgb="FFFF0000"/>
        <rFont val="Times New Roman"/>
        <family val="1"/>
      </rPr>
      <t>- đã nộp 300K 23/09/2024
T239 bảo lưu b1. Học T283 b1</t>
    </r>
  </si>
  <si>
    <t>Ngõ 165  P.Chùa Bộc Trung liệt Đống Đa Hà Nội</t>
  </si>
  <si>
    <t>https://drive.google.com/open?id=1RAXa67yFV9t5IW9hZ2vou2d-W-Bvbwsq; https://drive.google.com/open?id=1k_iKtzhBXAShJIqH_gkHSVI5EikFyw1o; https://drive.google.com/open?id=1UgtkjLaDTdiNZhK8zShz8wuNBeKqN3xc</t>
  </si>
  <si>
    <t>T240</t>
  </si>
  <si>
    <t>89 Đ. Nguyễn Phong Sắc, Dịch Vọng Hậu, Cầu Giấy, Hà Nội</t>
  </si>
  <si>
    <t>OVIP14 bảo lưu b7 đổi sang lớp online</t>
  </si>
  <si>
    <r>
      <rPr>
        <sz val="12"/>
        <color theme="1"/>
        <rFont val="Times New Roman"/>
        <family val="1"/>
      </rPr>
      <t xml:space="preserve">Lê Diễm Quỳnh </t>
    </r>
    <r>
      <rPr>
        <sz val="12"/>
        <color rgb="FFFF0000"/>
        <rFont val="Times New Roman"/>
        <family val="1"/>
      </rPr>
      <t>- Đã nộp 300K 19/12/24</t>
    </r>
    <r>
      <rPr>
        <sz val="12"/>
        <color theme="1"/>
        <rFont val="Times New Roman"/>
        <family val="1"/>
      </rPr>
      <t xml:space="preserve">
</t>
    </r>
    <r>
      <rPr>
        <sz val="12"/>
        <color rgb="FFFF0000"/>
        <rFont val="Times New Roman"/>
        <family val="1"/>
      </rPr>
      <t>OVIP14 bảo lưu buổi 9. Học VIP119 b7</t>
    </r>
  </si>
  <si>
    <t>https://www.facebook.com/lam.oanh.524?mibextid=ZbWKwL</t>
  </si>
  <si>
    <r>
      <rPr>
        <sz val="12"/>
        <color theme="1"/>
        <rFont val="Times New Roman"/>
        <family val="1"/>
      </rPr>
      <t>Nguyễn Thị Thùy Trang</t>
    </r>
    <r>
      <rPr>
        <sz val="12"/>
        <color rgb="FFFF0000"/>
        <rFont val="Times New Roman"/>
        <family val="1"/>
      </rPr>
      <t xml:space="preserve"> (hợp đồng)</t>
    </r>
  </si>
  <si>
    <t>Ngõ 296 Lĩnh Nam, Lĩnh Nam, Hoàng Mai, Hà Nội</t>
  </si>
  <si>
    <t>01/07/2024 và 08/07/2024</t>
  </si>
  <si>
    <t>https://drive.google.com/open?id=1HLDDtQyCQS96X_XU1wFY44o9sRZKS8F2; https://drive.google.com/open?id=1NTJOtxqLeHNli7rOG9HVasnP_EaPY8D8; https://drive.google.com/open?id=1CVWfnnJ-JDwHHH7dpv-F1KuFMggIB4t2</t>
  </si>
  <si>
    <t>https://www.facebook.com/profile.php?id=100069532695562&amp;mibextid=LQQJ4d</t>
  </si>
  <si>
    <r>
      <rPr>
        <sz val="12"/>
        <color theme="1"/>
        <rFont val="Times New Roman"/>
        <family val="1"/>
      </rPr>
      <t>Trịnh Thị Phương Thảo</t>
    </r>
    <r>
      <rPr>
        <sz val="12"/>
        <color rgb="FFFF0000"/>
        <rFont val="Times New Roman"/>
        <family val="1"/>
      </rPr>
      <t xml:space="preserve"> (hợp đồng)</t>
    </r>
  </si>
  <si>
    <t>trinhthaohy2006@gmail.com</t>
  </si>
  <si>
    <t>Đội 5 thôn Trà Lâm xã Hiệp Cường huyện Kim Động tỉnh Hưng Yên</t>
  </si>
  <si>
    <t>08/07/2024 và 26/07/2024</t>
  </si>
  <si>
    <t>https://drive.google.com/open?id=1Jcjd8npudogpj9fUA54UtHX244uXBKmq; https://drive.google.com/open?id=1DNj3QzHYBzGxVUbd0YhK5qLKME2YqXYm; https://drive.google.com/open?id=1Ygfn_3E7vFuYpWXu7lIRX68UiOyrvzsC</t>
  </si>
  <si>
    <t>https://www.facebook.com/profile.php?id=61550518141920&amp;mibextid=LQQJ4d</t>
  </si>
  <si>
    <t>Nguyễn Thế Hiếu</t>
  </si>
  <si>
    <t>Số 79 đường 422 xã tân lập- huyện đan phượng- Hà Nội</t>
  </si>
  <si>
    <t>https://drive.google.com/open?id=1WKcfH6Y-ps8MQ22REGQj3xvKvrR_Qy70; https://drive.google.com/open?id=1HP85DvOGf2rOM4nn3koxEevoVC--Ilvs</t>
  </si>
  <si>
    <t>https://www.facebook.com/bthvan20?mibextid=ZbWKwL</t>
  </si>
  <si>
    <r>
      <rPr>
        <sz val="12"/>
        <color theme="1"/>
        <rFont val="Times New Roman"/>
        <family val="1"/>
      </rPr>
      <t>Bùi Thảo Vân</t>
    </r>
    <r>
      <rPr>
        <sz val="12"/>
        <color rgb="FFFF0000"/>
        <rFont val="Times New Roman"/>
        <family val="1"/>
      </rPr>
      <t xml:space="preserve"> - OT28</t>
    </r>
  </si>
  <si>
    <t>toà nhà 5a, 5 Lê Đức Thọ, Mai Dịch, Hà Nội</t>
  </si>
  <si>
    <t>12/07/2024 và 16/07/2024</t>
  </si>
  <si>
    <t>09/08/2024va 12/8</t>
  </si>
  <si>
    <t>https://drive.google.com/open?id=1e9GZkiOEguKHkTOeWKZulN0ToBnvfJi2; https://drive.google.com/open?id=1UD8-PEpeYYS76vtsJqiW2QiV4foKuqnU; https://drive.google.com/open?id=1NAykhWkYgSd4xcnG6lT-FWCDRlgTzQ9I</t>
  </si>
  <si>
    <t>https://www.facebook.com/hngberry28?mibextid=LQQJ4d</t>
  </si>
  <si>
    <t>Trần Huy Hoàng</t>
  </si>
  <si>
    <t>huyhoangfc28gmail.com</t>
  </si>
  <si>
    <t>toà nhà B2, Hàm Nghi, phường Cầu Diễn, thành phố Hà Nội</t>
  </si>
  <si>
    <t>01/07/2024 và 11/07/2024</t>
  </si>
  <si>
    <t>https://drive.google.com/open?id=1gMOKfPqGVjfUFO5megPiq2q5r17cnpLr; https://drive.google.com/open?id=1LlemiwpusWDUIm4mxsICxJcivKiKmWXQ; https://drive.google.com/open?id=1JyBzR74Rm_S6RfQ5uqYLiSCfwTGzcSKa</t>
  </si>
  <si>
    <t>https://www.facebook.com/profile.php?id=100030286573099&amp;mibextid=LQQJ4d</t>
  </si>
  <si>
    <t>Lê Đức Anh</t>
  </si>
  <si>
    <t>leducanh799266@gmail.com</t>
  </si>
  <si>
    <t>ngõ 45 thôn An Trai, xã Vân Canh, huyện Hoài Đức, thành phố Hà Nội</t>
  </si>
  <si>
    <t>01/07/2024 và 21/07/2024</t>
  </si>
  <si>
    <t>https://drive.google.com/open?id=1UL6qz1HDL8rAB8tLxQ72gHpEj7Dc_ReY; https://drive.google.com/open?id=1ro11eeucNXnqeGYvCwHLJAInrM8GC67e; https://drive.google.com/open?id=1L1bgVm6u2XelJ8QPRI4_rKasQfAV6Ugw</t>
  </si>
  <si>
    <t>https://www.facebook.com/thanhthao081105?locale=vi_VNhttps://www.facebook.com/thanhthao081105?locale=vi_VN</t>
  </si>
  <si>
    <t xml:space="preserve">Trần Thanh Thảo </t>
  </si>
  <si>
    <t>133 Xuân Thủy, Dịch Vọng Hậu, Cầu Giấy, TP Hà Nội</t>
  </si>
  <si>
    <t>03/05/2024 và 18/07/2024</t>
  </si>
  <si>
    <t>https://drive.google.com/open?id=1k2DHMEzQUCNt6oROEoB8Wd4VyXMSe1t7; https://drive.google.com/open?id=1Hu7F7Rm8sJfMqWMApyFEyy5TSSa134ST; https://drive.google.com/open?id=1v7nCatubCsI5TCcFbptb9bG7_22FLMGE</t>
  </si>
  <si>
    <t>sông nhuệ, phường đức thắng, quận bắc từ liêm, hà nội</t>
  </si>
  <si>
    <r>
      <rPr>
        <sz val="12"/>
        <color theme="1"/>
        <rFont val="Times New Roman"/>
        <family val="1"/>
      </rPr>
      <t>Phạm Minh Phương</t>
    </r>
    <r>
      <rPr>
        <sz val="12"/>
        <color rgb="FFFF0000"/>
        <rFont val="Times New Roman"/>
        <family val="1"/>
      </rPr>
      <t xml:space="preserve"> - đã nộp 300K 01/11/2024</t>
    </r>
    <r>
      <rPr>
        <sz val="12"/>
        <color theme="1"/>
        <rFont val="Times New Roman"/>
        <family val="1"/>
      </rPr>
      <t xml:space="preserve">
</t>
    </r>
    <r>
      <rPr>
        <sz val="12"/>
        <color rgb="FFFF0000"/>
        <rFont val="Times New Roman"/>
        <family val="1"/>
      </rPr>
      <t>OT28 bảo lưu b13 do chuyển trọ đi xa. Học T239 b14</t>
    </r>
  </si>
  <si>
    <t>514 trần cung, Cổ Nhuế 1, Bắc Từ Liêm, Hà Nội</t>
  </si>
  <si>
    <t>https://www.facebook.com/na.ngan.5249?mibextid=LQQJ4d</t>
  </si>
  <si>
    <r>
      <rPr>
        <sz val="12"/>
        <color theme="1"/>
        <rFont val="Times New Roman"/>
        <family val="1"/>
      </rPr>
      <t>Ngô Thuỳ Ngân</t>
    </r>
    <r>
      <rPr>
        <sz val="12"/>
        <color rgb="FFFF0000"/>
        <rFont val="Times New Roman"/>
        <family val="1"/>
      </rPr>
      <t xml:space="preserve"> - KO học S,W nữa</t>
    </r>
  </si>
  <si>
    <t>ngothuyngan2202@gmail.com</t>
  </si>
  <si>
    <t>nhà số 5 ngõ 53 Thiên Hiền</t>
  </si>
  <si>
    <t>https://drive.google.com/open?id=1kTDIfn31I0dmBPgQSDfZ7xL-Zx1FFmoJ; https://drive.google.com/open?id=1J2TI4X4XQZz83jgm-5qNliIsLch3CCJp; https://drive.google.com/open?id=1ZcbRiPwzCCP8TJefLPzzwpkDp9aMKwn8, https://drive.google.com/open?id=102m5hPnzcjA_dot9kz-oLSNjZr0rVikj</t>
  </si>
  <si>
    <r>
      <rPr>
        <sz val="12"/>
        <color theme="1"/>
        <rFont val="Times New Roman"/>
        <family val="1"/>
      </rPr>
      <t xml:space="preserve">Nguyễn Tiến Đạt </t>
    </r>
    <r>
      <rPr>
        <sz val="12"/>
        <color rgb="FFFF0000"/>
        <rFont val="Times New Roman"/>
        <family val="1"/>
      </rPr>
      <t>- OT27 rút phút 85, OT30</t>
    </r>
  </si>
  <si>
    <t>Ngõ 4 ,P.Đặng Văn Ngữ ,Trung Tự ,Đống Đa ,Hà Nội</t>
  </si>
  <si>
    <t>https://www.facebook.com/hoa.phanhuyen.7?locale=vi_VN</t>
  </si>
  <si>
    <t>Phan Diệu Huyền Hoa</t>
  </si>
  <si>
    <t>Hợp Nhất- thanh Tân - như thanh- thanh hoá</t>
  </si>
  <si>
    <t>https://drive.google.com/open?id=1hdCYUHtrlqrTxqaEB8fCR2MOPB_lkbXQ; https://drive.google.com/open?id=1rsV1gm70kaMbgxc0KkL9f73PWnMJ6vCt, https://drive.google.com/open?id=15agvNclP1-Y0vXmbQzs24sJE3wS3Zppw</t>
  </si>
  <si>
    <t>nguyên xá phường Minh Khai quận Bắc Từ Liêm, Hà Nội</t>
  </si>
  <si>
    <t>https://www.facebook.com/dieplinhcuakemm?mibextid=ZbWKwL</t>
  </si>
  <si>
    <t>số 104 đường Cầu Vòng, phố Văn Hội, Đức Thắng, quận Bắc Từ Liêm, Hà Nội</t>
  </si>
  <si>
    <t>ngõ 210 hoàng quốc việt</t>
  </si>
  <si>
    <t>OT49</t>
  </si>
  <si>
    <t>https://www.facebook.com/iues.10?mibextid=LQQJ4d</t>
  </si>
  <si>
    <r>
      <rPr>
        <sz val="12"/>
        <color theme="1"/>
        <rFont val="Times New Roman"/>
        <family val="1"/>
      </rPr>
      <t xml:space="preserve">Nguyễn Thị Thủy </t>
    </r>
    <r>
      <rPr>
        <sz val="12"/>
        <color rgb="FFFF0000"/>
        <rFont val="Times New Roman"/>
        <family val="1"/>
      </rPr>
      <t>- OT27</t>
    </r>
  </si>
  <si>
    <t>số 84 ngõ 100 Tây Sơn, Đống Đa, Hà Nội</t>
  </si>
  <si>
    <t>28/06/2024 và 05/07/2024</t>
  </si>
  <si>
    <t>https://drive.google.com/open?id=1QpSzb7mbwMz3RafHKd61QJwcPwR2T6J1; https://drive.google.com/open?id=1co0MC0ayRcDoXI3-wvIKPlQ_heLiXhgy; https://drive.google.com/open?id=1aqBggdqymVeWidalTvS9-hd5hzIa_tCF</t>
  </si>
  <si>
    <t>B672</t>
  </si>
  <si>
    <t>https://www.facebook.com/100063891177033/</t>
  </si>
  <si>
    <r>
      <rPr>
        <sz val="12"/>
        <color theme="1"/>
        <rFont val="Times New Roman"/>
        <family val="1"/>
      </rPr>
      <t>Nguyễn Thị Phương Anh</t>
    </r>
    <r>
      <rPr>
        <sz val="12"/>
        <color rgb="FFFF0000"/>
        <rFont val="Times New Roman"/>
        <family val="1"/>
      </rPr>
      <t xml:space="preserve"> - đổi E3 học T1</t>
    </r>
  </si>
  <si>
    <t>165 Xã Đàn, Nam Đồng, Đống Đa, Hà Nội</t>
  </si>
  <si>
    <t>https://drive.google.com/open?id=1VWiG9lG_6FoCKTQGkr6T-yeMZ4xOvw8S</t>
  </si>
  <si>
    <t>https://www.facebook.com/doremon.mui.5?mibextid=ZbWKwL</t>
  </si>
  <si>
    <t xml:space="preserve"> al820316@gmail.com </t>
  </si>
  <si>
    <t>22/27d, Đường Trần Thị Điệu, Phước Long B, quận 9, thành phố Hồ Chí Minh</t>
  </si>
  <si>
    <t>08/07/2024 và 09/07/2024</t>
  </si>
  <si>
    <t>https://drive.google.com/open?id=1oZAN_LQ8WjvPFJiCng6Pbo9fVPTRVXn5; https://drive.google.com/open?id=1ObeKlBNa3q-ByyRfeVX0peJHrSZOfj4z; https://drive.google.com/open?id=19mxdEWiQ4xvvIC6xFZ3jRXtj1ZbP2hgg</t>
  </si>
  <si>
    <t>https://www.facebook.com/pham.ngoc.anh240623</t>
  </si>
  <si>
    <t>Phạm Ngọc Anh</t>
  </si>
  <si>
    <t>pngocanh569@gmail.com</t>
  </si>
  <si>
    <t>Số 2, hẻm 2/5, ngách 5, ngõ 4, đường Phan Trọng Tuệ, xã Tả Thanh Oai, huyện Thanh Trì, Hà Nội</t>
  </si>
  <si>
    <t>https://drive.google.com/open?id=1_HifzrOP14Dq94yU8cDZFI2zRLVnP0gx; https://drive.google.com/open?id=1_sYXEO1USN5BDXzfkTjwFOQGWr-9mlCJ</t>
  </si>
  <si>
    <t>https://www.facebook.com/profile.php?id=100043512092162&amp;mib</t>
  </si>
  <si>
    <t>Nguyễn Thị Thảo Hương</t>
  </si>
  <si>
    <t>Nhi</t>
  </si>
  <si>
    <t>thaohuong20310@gmail.com</t>
  </si>
  <si>
    <t>Số nhà 27,đường đồng tâm ,thôn minh hoà 4,xã Minh Khai,huyện Hoài Đức,thành phố Hà Nội</t>
  </si>
  <si>
    <t>https://drive.google.com/open?id=1zAYEt-otn07tWafA3WkgrxGOV0S1thH2; https://drive.google.com/open?id=11jN1DVJW29vfcwtJHlKSq3PhR1V_m52I</t>
  </si>
  <si>
    <t>Nguyễn Thị Nhung</t>
  </si>
  <si>
    <t>số 23 ngõ 479 Lĩnh Nam Hoàng Mai Hà Nội</t>
  </si>
  <si>
    <t>https://www.facebook.com/profile.php?id=100068878085657&amp;mibextid=LQQJ4d</t>
  </si>
  <si>
    <t>Phạm Thị Loan</t>
  </si>
  <si>
    <t>loan73400@gmail.com</t>
  </si>
  <si>
    <t>số 418 La Thành, phường Ô Chợ Dừa, quận Đống Đa, thành phố Hà Nội “ Trường Đại Học Văn Hoá Hà Nội “</t>
  </si>
  <si>
    <t>08/07/2024 và 11/07/2024</t>
  </si>
  <si>
    <t>https://drive.google.com/open?id=14TQU4y0CNWD_Ft3Cuhkx-RNX-WDvau2g; https://drive.google.com/open?id=1g63BWsC8T108PrzeGqj8m05cYZ3V-RS_; https://drive.google.com/open?id=1ET6C3SGG_9jiZJG0NjWCjpO8iPUAjbIW, https://drive.google.com/open?id=17fDAWT_PXZ9RXGJ7rbQaYNiRa30Mg5TK</t>
  </si>
  <si>
    <t>https://www.facebook.com/profile.php?id=100054415896885&amp;mibextid=LQQJ4d</t>
  </si>
  <si>
    <r>
      <rPr>
        <sz val="12"/>
        <color theme="1"/>
        <rFont val="Times New Roman"/>
        <family val="1"/>
      </rPr>
      <t xml:space="preserve">Nguyễn Thị Như Quỳnh </t>
    </r>
    <r>
      <rPr>
        <sz val="12"/>
        <color rgb="FFFF0000"/>
        <rFont val="Times New Roman"/>
        <family val="1"/>
      </rPr>
      <t>- 0949604233 số cũ
Bảo lưu buôi 19. Mất cam kết, Huy chát. Đầu ra 485</t>
    </r>
  </si>
  <si>
    <t>Nguyenthinhuquynh22032006@gmail.com</t>
  </si>
  <si>
    <t>Ngã ba ngặt kéo Nam Hồng, Nam Trực, Nam Định</t>
  </si>
  <si>
    <t>10/07/2024 và 13/07/2024</t>
  </si>
  <si>
    <t>https://drive.google.com/open?id=1U45x7ZlP5CfZ3HuU1zwxaEEZeW7KS5gI; https://drive.google.com/open?id=1AOozbtIM77eYz5nZlPm0TXy13boAn2pu; https://drive.google.com/open?id=1nxIaO3AcRUMfJOOwB3KBJL_qxFzL44P6</t>
  </si>
  <si>
    <t>https://www.facebook.com/profile.php?id=100051070864960&amp;mibextid=LQQJ4d</t>
  </si>
  <si>
    <t>Vũ Mai Trang</t>
  </si>
  <si>
    <t>Văn Ngoài- Phú Hòa - Lương Tài- Bắc Ninh</t>
  </si>
  <si>
    <t>08/07/2024 và 16/07/2024</t>
  </si>
  <si>
    <t>https://drive.google.com/open?id=1CFLSK1-tf7VSrQN6ysYu17Hqp0ut9Ts8; https://drive.google.com/open?id=1kuAB6rzmcTlqRmyadrdK8Re41hq6etWe; https://drive.google.com/open?id=1HtXlkMU9feP_I2DbpKNBvnlGX4GwRAS_</t>
  </si>
  <si>
    <t>OT34</t>
  </si>
  <si>
    <t>https://www.facebook.com/haanh.nguyenngoc.1029</t>
  </si>
  <si>
    <r>
      <rPr>
        <sz val="12"/>
        <color theme="1"/>
        <rFont val="Times New Roman"/>
        <family val="1"/>
      </rPr>
      <t>Nguyễn Ngọc Hà Anh</t>
    </r>
    <r>
      <rPr>
        <sz val="12"/>
        <color rgb="FFFF0000"/>
        <rFont val="Times New Roman"/>
        <family val="1"/>
      </rPr>
      <t xml:space="preserve"> - đã nộp 300K 10/12/24
T240 bảo lưu b14 đi quân sự. Học OT34 b14</t>
    </r>
  </si>
  <si>
    <t>nguyenngochaanh1234@gmail.com</t>
  </si>
  <si>
    <t>số nhà 27, Yên Lã ,Tân Hồng, Từ Sơn, Bắc Ninh</t>
  </si>
  <si>
    <t>https://drive.google.com/open?id=1gcSQTvxdizemhYI_fLgViAjXh-1ZToA9; https://drive.google.com/open?id=1iS9B1iokaPJ4LjbUTd1OnCnGJh8m_6v2</t>
  </si>
  <si>
    <t>https://www.facebook.com/profile.php?id=100071178555248&amp;mibextid=LQQJ4d</t>
  </si>
  <si>
    <r>
      <rPr>
        <sz val="12"/>
        <color theme="1"/>
        <rFont val="Times New Roman"/>
        <family val="1"/>
      </rPr>
      <t>Phạm Đăng Khoa</t>
    </r>
    <r>
      <rPr>
        <sz val="12"/>
        <color rgb="FFFF0000"/>
        <rFont val="Times New Roman"/>
        <family val="1"/>
      </rPr>
      <t xml:space="preserve"> 0963875305 sđt mẹ</t>
    </r>
  </si>
  <si>
    <t xml:space="preserve">2006phamnguyendangkhoa@gmail.com </t>
  </si>
  <si>
    <t>Chung cư Mỹ Đức (220 Xô Viết Nghệ Tĩnh, phường 21, quận Bình Thạnh, Tp.Hồ Chí Minh)</t>
  </si>
  <si>
    <t>02/07/2024 và 10/07/2024</t>
  </si>
  <si>
    <r>
      <rPr>
        <u/>
        <sz val="12"/>
        <color rgb="FF1155CC"/>
        <rFont val="Times New Roman"/>
        <family val="1"/>
      </rPr>
      <t xml:space="preserve">https://drive.google.com/open?id=1egj0VJpdyY55Gjxf_QdsYRJFxkQYAcYa; https://drive.google.com/open?id=1IDthLP57ztSgLSYWkgh_baQteOX8gunu; </t>
    </r>
    <r>
      <rPr>
        <u/>
        <sz val="12"/>
        <color rgb="FF1155CC"/>
        <rFont val="Times New Roman"/>
        <family val="1"/>
      </rPr>
      <t>https://drive.google.com/open?id=1j8zZKvv95zd89nVreDpbKNInXdzwC5IK</t>
    </r>
  </si>
  <si>
    <t>Trương Văn Linh</t>
  </si>
  <si>
    <t>https://www.facebook.com/profile.php?id=100083491641273&amp;mibextid=LQQJ4d</t>
  </si>
  <si>
    <t xml:space="preserve">Nguyễn Thị Trà My </t>
  </si>
  <si>
    <t>Ngõ 38-thôn Phú An-xã Thanh Đa-huyện Phúc Thọ-Hà Nội</t>
  </si>
  <si>
    <t>08/07/2024 và 13/07/2024 và 31/07/2024</t>
  </si>
  <si>
    <t>https://drive.google.com/open?id=1zSW6mjcuk1StsI6iHETTilkhmszWnz3g; https://drive.google.com/open?id=1DtafOY0lApIGvhQzXQ-oNhPp86j_4m1C; https://drive.google.com/open?id=11kbBhvvJNucto4d-TossXvbygCULlvyK, https://drive.google.com/open?id=1SFvBZfnusiTNCKt7cMOfJUTvCtpeEOgR</t>
  </si>
  <si>
    <t>https://www.facebook.com/profile.php?id=100060308176763&amp;mibextid=ZbWKwL</t>
  </si>
  <si>
    <t>lvu421791@gmail.com</t>
  </si>
  <si>
    <t>Số nhà 14, ngõ 394/16/24 đường Mỹ Đình 1, quận Nam Từ Liêm, Hà Nội</t>
  </si>
  <si>
    <t>https://drive.google.com/open?id=1t5GvA_AMB29rdUS7Q-QESgGebMrj1NCs; https://drive.google.com/open?id=1fMeR1_wSnO_uWwsjh-lmcsPSnM5xFW2t</t>
  </si>
  <si>
    <t>https://www.facebook.com/loc.vuquoc.54?mibextid=LQQJ4d</t>
  </si>
  <si>
    <t>Doãn Anh Khoa</t>
  </si>
  <si>
    <t>Ngõ 415/2/7 nhà số 8 -Đổng Viên -Phù Đổng -Gia Lâm -Hà Nội</t>
  </si>
  <si>
    <t>https://drive.google.com/open?id=1oEq8DxOPPn0AGJubcgL1hDia2IvePQ5D, https://drive.google.com/open?id=112l7iiaUKNKLHqdP0VasZV7WNX7_llqh; https://drive.google.com/open?id=1jwkRcmVDEILeSTuDLNXgvIKmVmAQimFr</t>
  </si>
  <si>
    <t>số 16e2, ngõ 332 Hoàng Công Chất, Khu đô thị Cầu Diễn, Phú diễn, bắc từ liêm, Hà Nội</t>
  </si>
  <si>
    <t>https://www.facebook.com/profile.php?id=100076625193438&amp;mibextid=LQQJ4d</t>
  </si>
  <si>
    <t>U Thuý An</t>
  </si>
  <si>
    <t>uthuyan2006@gmail.com</t>
  </si>
  <si>
    <t>Tổ 13 Km 23 Thị trấn Vị Xuyên Huyện Vị Xuyên Tỉnh Hà Giang</t>
  </si>
  <si>
    <t>08/07/2024 và 15/07/2024</t>
  </si>
  <si>
    <t>https://drive.google.com/open?id=1LSaAkkVACWGhIbcDery9_Re3urUruMm-; https://drive.google.com/open?id=1q49tAV3noi3tlqqae8MLQ3yLL2dSlYis; https://drive.google.com/open?id=1uVMMwSbUx6xuki1wwiRkPcsIFYcIhPz5</t>
  </si>
  <si>
    <r>
      <rPr>
        <sz val="12"/>
        <color theme="1"/>
        <rFont val="Times New Roman"/>
        <family val="1"/>
      </rPr>
      <t>Nguyễn Hồng Dũng</t>
    </r>
    <r>
      <rPr>
        <sz val="12"/>
        <color rgb="FFFF0000"/>
        <rFont val="Times New Roman"/>
        <family val="1"/>
      </rPr>
      <t xml:space="preserve"> </t>
    </r>
  </si>
  <si>
    <t>Số nhà 57 ngõ 201 đường Cầu Giấy, phường Dịch Vọng, quận Cầu Giấy, Hà Nội</t>
  </si>
  <si>
    <t>Số 60 Ngõ 58 Trần Bình, Mai Dịch, Cầu Giấy, Hà Nội</t>
  </si>
  <si>
    <t>https://www.facebook.com/profile.php?id=100043481324600&amp;mibextid=LQQJ4d</t>
  </si>
  <si>
    <t>Nguyễn Thị Yến</t>
  </si>
  <si>
    <t>yenhang206@gmail.com</t>
  </si>
  <si>
    <t>Số nhà C6-60 ,Đô Tân -Bắc Sơn -Sóc Sơn -Hà Nội</t>
  </si>
  <si>
    <t>https://drive.google.com/open?id=1rjnCqLam2QKfv9wzEAO5W3uBGbZt8Eli; https://drive.google.com/open?id=16LT4h3fQKZgyokB8b_g29Z2aE_gEafMi</t>
  </si>
  <si>
    <r>
      <rPr>
        <sz val="12"/>
        <color theme="1"/>
        <rFont val="Times New Roman"/>
        <family val="1"/>
      </rPr>
      <t>Bùi Thị Ngọc Bích</t>
    </r>
    <r>
      <rPr>
        <sz val="12"/>
        <color rgb="FFFF0000"/>
        <rFont val="Times New Roman"/>
        <family val="1"/>
      </rPr>
      <t xml:space="preserve"> 976196750 số mẹ</t>
    </r>
  </si>
  <si>
    <t>số 37 ngách 23 ngõ 210 Đội Cấn Ba Đình Hà Nội</t>
  </si>
  <si>
    <t>https://www.facebook.com/alice.uyen.73?mibextid=ZbWKwL</t>
  </si>
  <si>
    <t>Nguyễn Phương Uyên</t>
  </si>
  <si>
    <t>phuonguyen202006@gmail.com</t>
  </si>
  <si>
    <t>Đằng sau hội trường thôn Bài Lễ -xã Châu Can-huyện Phú Xuyên- Hà Nội</t>
  </si>
  <si>
    <t>23/06/2024 và 03/07/2024 và 20/08/2024</t>
  </si>
  <si>
    <t>https://drive.google.com/open?id=1k072SzO3ehe_hPEK2aaObiL6rqqXXvCZ; https://drive.google.com/open?id=1DoJQOgr1z4FUL9m22QpVKmCj552hihiT; https://drive.google.com/open?id=1P5vEdMPJl2OzYDjPnc9m_yc_iLgt3ZJP; https://drive.google.com/open?id=14LWF4WP7rNwdWyU5cCXuApLEAGAztjM2</t>
  </si>
  <si>
    <t>T242</t>
  </si>
  <si>
    <t>https://www.facebook.com/trangtran.0407?mibextid=LQQJ4d</t>
  </si>
  <si>
    <r>
      <rPr>
        <sz val="12"/>
        <color theme="1"/>
        <rFont val="Times New Roman"/>
        <family val="1"/>
      </rPr>
      <t xml:space="preserve">Trần Minh Trang </t>
    </r>
    <r>
      <rPr>
        <sz val="12"/>
        <color rgb="FFFF0000"/>
        <rFont val="Times New Roman"/>
        <family val="1"/>
      </rPr>
      <t>- 913008724 số cũ</t>
    </r>
  </si>
  <si>
    <t>minhtrangtran272@gmail.com</t>
  </si>
  <si>
    <t>hoài thượng liên bão tiên du bắc ninh</t>
  </si>
  <si>
    <t>https://drive.google.com/open?id=1h1g7ru9HQNweM_kLWGAwyIPrhV1sr0J7; https://drive.google.com/open?id=1BByJq4Kmma5M1JoS-sU47tmqXUPgts2m</t>
  </si>
  <si>
    <t>T258</t>
  </si>
  <si>
    <t>https://www.facebook.com/nph0306</t>
  </si>
  <si>
    <r>
      <rPr>
        <sz val="12"/>
        <color theme="1"/>
        <rFont val="Times New Roman"/>
        <family val="1"/>
      </rPr>
      <t xml:space="preserve">Nguyễn Phương Hà </t>
    </r>
    <r>
      <rPr>
        <sz val="12"/>
        <color rgb="FFFF0000"/>
        <rFont val="Times New Roman"/>
        <family val="1"/>
      </rPr>
      <t>- đã nộp 300K 01/12/2024
T242 bảo lưu b13 xin GV Sơn. Học T258 b9</t>
    </r>
  </si>
  <si>
    <t>nphuongha0306@gmail.com</t>
  </si>
  <si>
    <t>2 chùa bộc phường quang trung đống đa</t>
  </si>
  <si>
    <t>https://drive.google.com/open?id=1aGutVYs0f-yJ2Q9aYrFLn99Gi3Fttakr; https://drive.google.com/open?id=19j9goYcPcU-ZBPYmrc3bQqJL76fVLcvr</t>
  </si>
  <si>
    <t>T254</t>
  </si>
  <si>
    <t>https://www.facebook.com/profile.php?id=100074940558707&amp;mibextid=ZbWKwL</t>
  </si>
  <si>
    <r>
      <rPr>
        <sz val="12"/>
        <color theme="1"/>
        <rFont val="Times New Roman"/>
        <family val="1"/>
      </rPr>
      <t>Phùng Đức Hà</t>
    </r>
    <r>
      <rPr>
        <sz val="12"/>
        <color rgb="FFFF0000"/>
        <rFont val="Times New Roman"/>
        <family val="1"/>
      </rPr>
      <t xml:space="preserve"> - T242. Đã nộp 300K chuyển nhượng
Bùi Hoàng Cương 913178103 học VIP, S, W</t>
    </r>
  </si>
  <si>
    <t>haphung9926@gmail.com</t>
  </si>
  <si>
    <t>175Tây Sơn, Trung Liệt, Đống Đa,Hà Nội cổng sau đại học Thủy Lợi</t>
  </si>
  <si>
    <t>https://drive.google.com/open?id=1p16Dd4jSJaLeksVAqQcXCjmokEFiRcWD; https://drive.google.com/open?id=1oMWx_3tKPwexbiaBdOlao7kSab85K2WP, https://drive.google.com/open?id=1wcsWrpxWuK7uoTUwsPB7Tk5wcIWa5ISj</t>
  </si>
  <si>
    <t>89, Nguyễn Phong sắc, ký túc xá học viện báo chí và tuyên truyền</t>
  </si>
  <si>
    <t>https://www.facebook.com/profile.php?id=100093135186160&amp;mibextid=LQQJ4d</t>
  </si>
  <si>
    <r>
      <rPr>
        <sz val="12"/>
        <color theme="1"/>
        <rFont val="Times New Roman"/>
        <family val="1"/>
      </rPr>
      <t xml:space="preserve">Nguyễn Thị Thủy Tiên </t>
    </r>
    <r>
      <rPr>
        <sz val="12"/>
        <color rgb="FFFF0000"/>
        <rFont val="Times New Roman"/>
        <family val="1"/>
      </rPr>
      <t>- 394110953 số zalo cũ</t>
    </r>
  </si>
  <si>
    <t xml:space="preserve">ktx A ĐHQG HCM. khu phố 6, Linh Trung, Thủ Đức, HCM
</t>
  </si>
  <si>
    <t>08/07/2023 và 12/07/2024</t>
  </si>
  <si>
    <t>https://drive.google.com/open?id=10mh8jdnE7xrjonweTFkgNCXLj2Qx_jcV; https://drive.google.com/open?id=1EqhvxzbR7Vmy4jFHl8a2kN6iFw4u0jjC; https://drive.google.com/open?id=1pJn9kx-ucxvawA5qxTv5WtXNyd20q2x-</t>
  </si>
  <si>
    <t xml:space="preserve"> https://www.facebook.com/u.chaniw</t>
  </si>
  <si>
    <r>
      <rPr>
        <sz val="12"/>
        <color theme="1"/>
        <rFont val="Times New Roman"/>
        <family val="1"/>
      </rPr>
      <t>Uông Thị Thuỳ Trang</t>
    </r>
    <r>
      <rPr>
        <sz val="12"/>
        <color rgb="FFFF0000"/>
        <rFont val="Times New Roman"/>
        <family val="1"/>
      </rPr>
      <t xml:space="preserve"> T242</t>
    </r>
  </si>
  <si>
    <t>trang141106@gmail.com</t>
  </si>
  <si>
    <t>Số 03 nhà 03 ngõ 04 thôn 3 xã quảng thái huyện quảng xương tỉnh thanh hoá</t>
  </si>
  <si>
    <t>02/07/2024 và 07/07/2024</t>
  </si>
  <si>
    <t>https://drive.google.com/open?id=1TsgpvizRU7-k9APuzAAypPLE9v_AT8gG; https://drive.google.com/open?id=1nb0bm5RbvoRqF4oJ4ZZjYLulOtOgtrwr; https://drive.google.com/open?id=1827JUd5RoOWQMBmbGOSWLIYHrSao-inW</t>
  </si>
  <si>
    <t>OT31</t>
  </si>
  <si>
    <t>https://www.facebook.com/hongg.nhungg.2910?mibextid=ZbWKwL</t>
  </si>
  <si>
    <r>
      <rPr>
        <sz val="12"/>
        <color theme="1"/>
        <rFont val="Times New Roman"/>
        <family val="1"/>
      </rPr>
      <t>Nguyễn Thị Hồng Nhung</t>
    </r>
    <r>
      <rPr>
        <sz val="12"/>
        <color rgb="FFFF0000"/>
        <rFont val="Times New Roman"/>
        <family val="1"/>
      </rPr>
      <t xml:space="preserve"> OT29</t>
    </r>
  </si>
  <si>
    <t>honggnhungg2906@gmail.com</t>
  </si>
  <si>
    <t>Số 53f, Ngách 23 Ngõ 58 Trần Bình, Phường Mai Dịch, Quận Cầu Giấy, Hà Nội</t>
  </si>
  <si>
    <t>https://drive.google.com/open?id=1ppaxbtutUgm7R6DNhqltWNBA0mCoo6w7; https://drive.google.com/open?id=1004fz6NSVJGhA7_EgG5wY8ZTIdbRVFQK</t>
  </si>
  <si>
    <t>Gửi Cường Sách</t>
  </si>
  <si>
    <t>https://www.facebook.com/profile.php?id=100047520251921&amp;mibextid=LQQJ4d</t>
  </si>
  <si>
    <t>Trần Tuấn Hưng</t>
  </si>
  <si>
    <t>hzdemon1243@gmail.com</t>
  </si>
  <si>
    <t>61 ngõ An Phong đường Quang Trung Thành phố Nam Định tỉnh Nam Định</t>
  </si>
  <si>
    <t>https://drive.google.com/open?id=1eumRlm02BKZl_Y2mvMsPbuwPwTdPQgbF; https://drive.google.com/open?id=16TLGzaQQOeWBJnV0frMP9TnCvV6h3T0w</t>
  </si>
  <si>
    <t>https://www.facebook.com/dungdepchaiquadiiii?mibextid=LQQJ4d</t>
  </si>
  <si>
    <t>Ninh Tiến Dũng</t>
  </si>
  <si>
    <t>Trần Quốc Vượng, Dịch Vọng Hậu, Cầu Giấy, Hà Nội</t>
  </si>
  <si>
    <t>https://drive.google.com/open?id=14HV0uyAXQv0AYYs8Kwh9kSqXyhGrrOWz</t>
  </si>
  <si>
    <t>https://www.facebook.com/quochinhhyhy.0202?mibextid=LQQJ4d</t>
  </si>
  <si>
    <t>Phạm Quốc Hinh</t>
  </si>
  <si>
    <t>quochinhhyhy@gmail.com</t>
  </si>
  <si>
    <t>Xóm 5,Kim Hải,Kim Sơn,Ninh Bình</t>
  </si>
  <si>
    <t>8/22/0024</t>
  </si>
  <si>
    <t>https://drive.google.com/open?id=1BQ42ZspSUdlSuOhBWpOE2h06JtFm_Zcf; https://drive.google.com/open?id=1bxhWHNNXC4sDczMp8jOu3mgG9EPhjP8D</t>
  </si>
  <si>
    <t>GÕ 35/7 , PHỐ TU HOÀNG ,PHƯỜNG PHƯƠNG CANH , NAM TỪ lIÊM</t>
  </si>
  <si>
    <t>T295</t>
  </si>
  <si>
    <t>https://www.facebook.com/profile.php?id=100092486949896</t>
  </si>
  <si>
    <r>
      <rPr>
        <sz val="12"/>
        <color theme="1"/>
        <rFont val="Times New Roman"/>
        <family val="1"/>
      </rPr>
      <t>Nguyễn Quang Huy</t>
    </r>
    <r>
      <rPr>
        <sz val="12"/>
        <color rgb="FFFF0000"/>
        <rFont val="Times New Roman"/>
        <family val="1"/>
      </rPr>
      <t xml:space="preserve"> - Đã nộp 400K 03/04/2025
T243 bảo lưu b13 đi quân sự. Học T300 b11</t>
    </r>
  </si>
  <si>
    <t>huytb240206@gmail.com</t>
  </si>
  <si>
    <t>175 p. Tây Sơn, Trung Liệt , Đống Đa , Hà Nội</t>
  </si>
  <si>
    <t>https://drive.google.com/open?id=1X1OUyMpdQ5ExbI4vRyKRY9OdmgDgytjT; https://drive.google.com/open?id=1BBvVkIMwWTM5YqrFNfxeT8VLMraXxC6O</t>
  </si>
  <si>
    <t>18/09/2024 sách cũ</t>
  </si>
  <si>
    <t>nhà 47 ngách 102/20 pháo đài láng, phường láng thượng, quận đống đa, hà nội</t>
  </si>
  <si>
    <t>Số 1, ngõ 1, đường 800A, Nghĩa Đô, Cầu Giấy, Hà Nội</t>
  </si>
  <si>
    <t>T418</t>
  </si>
  <si>
    <t>https://www.facebook.com/profile.php?id=100057215297908</t>
  </si>
  <si>
    <r>
      <rPr>
        <sz val="12"/>
        <color theme="1"/>
        <rFont val="Times New Roman"/>
        <family val="1"/>
      </rPr>
      <t xml:space="preserve">Nguyễn Tiến Hoàng </t>
    </r>
    <r>
      <rPr>
        <sz val="12"/>
        <color rgb="FFFF0000"/>
        <rFont val="Times New Roman"/>
        <family val="1"/>
      </rPr>
      <t>- đã nộp 300K 05/02/2025
T244 bảo lưu buổi 14. Học T291 b1.
T291 bảo lưu buổi 4. mạng kém chưa nộp 300K bảo lưu T lần 2</t>
    </r>
  </si>
  <si>
    <t>Đại học công nghiệp Hà Nội cơ sở 3</t>
  </si>
  <si>
    <t>02/07/2024 và 09/07/2024</t>
  </si>
  <si>
    <t>https://drive.google.com/open?id=1sL2wx77H7GZeo_dC7FmoEUtv4GWk5JF6; https://drive.google.com/open?id=1a4-fm15ZKaSgWgHNU8dlzRseQyRZQUcV; https://drive.google.com/open?id=1aWdZhlEcWE0w-U1CFMVmZO4vsoKRPNL3</t>
  </si>
  <si>
    <t>https://www.facebook.com/profile.php?id=100064553701831&amp;mibextid=LQQJ4d</t>
  </si>
  <si>
    <r>
      <rPr>
        <sz val="12"/>
        <color theme="1"/>
        <rFont val="Times New Roman"/>
        <family val="1"/>
      </rPr>
      <t>Khánh Huyền</t>
    </r>
    <r>
      <rPr>
        <sz val="12"/>
        <color rgb="FFFF0000"/>
        <rFont val="Times New Roman"/>
        <family val="1"/>
      </rPr>
      <t xml:space="preserve"> - Đã nộp 300K 03/12/2024</t>
    </r>
    <r>
      <rPr>
        <sz val="12"/>
        <color theme="1"/>
        <rFont val="Times New Roman"/>
        <family val="1"/>
      </rPr>
      <t xml:space="preserve">
</t>
    </r>
    <r>
      <rPr>
        <sz val="12"/>
        <color rgb="FFFF0000"/>
        <rFont val="Times New Roman"/>
        <family val="1"/>
      </rPr>
      <t>T242 bảo lưu buổi 13 đi quân sự. Học T252 b13</t>
    </r>
  </si>
  <si>
    <t>Sn27, hồng thái, Hoàng Xá, Vân Đình, Ứng Hoà, Hà Nội</t>
  </si>
  <si>
    <t>https://drive.google.com/open?id=1k4dxSYiMpx2Az6DfFKi9-YOl9ltyf7NX; https://drive.google.com/open?id=1WlueqGu1x05X6p2iqz_WyUKCFQy3oMzU</t>
  </si>
  <si>
    <t>https://www.facebook.com/Tt.ngaan.tt?mibextid=ZbWKwL</t>
  </si>
  <si>
    <t>Trần Thị Thu Ngân</t>
  </si>
  <si>
    <t xml:space="preserve">thungan1712006@gmail.com </t>
  </si>
  <si>
    <t>62 Tân Xuân, Phường Đông Ngạc, Quận Bắc Từ Liêm, Hà Nội</t>
  </si>
  <si>
    <t>18/07/2024 và 26/07/2024 và 23/08/2024</t>
  </si>
  <si>
    <r>
      <rPr>
        <u/>
        <sz val="12"/>
        <color rgb="FF1155CC"/>
        <rFont val="Times New Roman"/>
        <family val="1"/>
      </rPr>
      <t xml:space="preserve">https://drive.google.com/open?id=1gDkKJTN-WyeMTflISQ6yN2kIq2KZk5ZR; </t>
    </r>
    <r>
      <rPr>
        <u/>
        <sz val="12"/>
        <color rgb="FF1155CC"/>
        <rFont val="Times New Roman"/>
        <family val="1"/>
      </rPr>
      <t>https://drive.google.com/open?id=1_OpdQj35AzqgEf700IcRkK1cB-7_iP_G; https://drive.google.com/open?id=1mrmhQlTMJ5Sp58B3I1n5ObWyrgTkA5wK</t>
    </r>
  </si>
  <si>
    <t>https://www.facebook.com/profile.php?id=100053903194742&amp;mibextid=LQQJ4d</t>
  </si>
  <si>
    <t>Đỗ Thị Thu Hà</t>
  </si>
  <si>
    <t>dothithuha05082006@gmail.com</t>
  </si>
  <si>
    <t>cổng phụ dhoc thành đô, lai xá, kim chung, hoài đức, hà nội</t>
  </si>
  <si>
    <t>20/07/2024 và 27/07/2024</t>
  </si>
  <si>
    <t>https://drive.google.com/open?id=1Z_2fVH9uTu5u2S7QG58GZ9pqevRfUDf2; https://drive.google.com/open?id=1rSqEuNNYCJT1mSDz7p_yXtrJ_vwE6vHD; https://drive.google.com/open?id=1AvReueh-h24e9in6gUxgTI0eiDAcL3Em</t>
  </si>
  <si>
    <t>https://web.facebook.com/profile.php?id=100041128033638</t>
  </si>
  <si>
    <t>huyentrangj785@gmail.com</t>
  </si>
  <si>
    <t xml:space="preserve"> Khu đất dịch vụ đối diện trường Học viện Chính sách và Phát triển An Thượng- Hoài Đức- Hà Nội </t>
  </si>
  <si>
    <t>20/08/2024 và 29/08/2024</t>
  </si>
  <si>
    <t>https://drive.google.com/open?id=1SXxu_QO8obbSVgUw_dkLviTZJGi3Telr; https://drive.google.com/open?id=1aebur_MddP9w3hJC1r0cgxqDmSEiHBgO, https://drive.google.com/open?id=1znpys6WTwWn_D48lo4ZGURybM7ELe22N</t>
  </si>
  <si>
    <t>T244</t>
  </si>
  <si>
    <t>https://www.facebook.com/bphuongn.92465?mibextid=LQQJ4d</t>
  </si>
  <si>
    <r>
      <rPr>
        <sz val="12"/>
        <color theme="1"/>
        <rFont val="Times New Roman"/>
        <family val="1"/>
      </rPr>
      <t>Bùi Phương Ngân</t>
    </r>
    <r>
      <rPr>
        <sz val="12"/>
        <color rgb="FFFF0000"/>
        <rFont val="Times New Roman"/>
        <family val="1"/>
      </rPr>
      <t xml:space="preserve"> </t>
    </r>
    <r>
      <rPr>
        <sz val="12"/>
        <color theme="1"/>
        <rFont val="Times New Roman"/>
        <family val="1"/>
      </rPr>
      <t>0913156665</t>
    </r>
  </si>
  <si>
    <t>buiphuongngan06@gmail.com</t>
  </si>
  <si>
    <t>Số nhà 13 - Tổ 35G - Khu Quang Trung - Phường Gia Cẩm - Việt Trì - Phú Thọ</t>
  </si>
  <si>
    <t>04/07/2024 và 12/07/2024</t>
  </si>
  <si>
    <t>https://drive.google.com/open?id=1WEyrv5__FyDow5BfSPjuzJeRvuXPkG7C; https://drive.google.com/open?id=1jtB4Pnqap_AjBJDx5kAeqwsecnvPoFbl; https://drive.google.com/open?id=1co6u-hA4qRyiEDFj1XCIjvEvNnvh8tYY</t>
  </si>
  <si>
    <t>https://www.facebook.com/profile.php?id=100040485382059</t>
  </si>
  <si>
    <t xml:space="preserve"> Nguyễn Việt Thắng</t>
  </si>
  <si>
    <t>thangvietnguyen1211@gmail.com</t>
  </si>
  <si>
    <t>số 30 ngõ 210A Đ. Võ Chí Công, Xuân La, Tây Hồ, Hà Nội</t>
  </si>
  <si>
    <r>
      <rPr>
        <u/>
        <sz val="12"/>
        <color rgb="FF1155CC"/>
        <rFont val="Times New Roman"/>
        <family val="1"/>
      </rPr>
      <t xml:space="preserve">https://drive.google.com/open?id=1IZUgHtIzifXVi7iopxdJ4zMnm7pwvIpr; https://drive.google.com/open?id=1qW4OHNW1c7n3jQxLFbPVdnmwhC_7EgEw; </t>
    </r>
    <r>
      <rPr>
        <u/>
        <sz val="12"/>
        <color rgb="FF1155CC"/>
        <rFont val="Times New Roman"/>
        <family val="1"/>
      </rPr>
      <t>https://drive.google.com/open?id=1VD_5yyibP_tNrhpwYM5t09-9g_IAYli0</t>
    </r>
  </si>
  <si>
    <r>
      <rPr>
        <sz val="12"/>
        <color theme="1"/>
        <rFont val="Times New Roman"/>
        <family val="1"/>
      </rPr>
      <t>Hoàng Mai Trang</t>
    </r>
    <r>
      <rPr>
        <sz val="12"/>
        <color rgb="FFFF0000"/>
        <rFont val="Times New Roman"/>
        <family val="1"/>
      </rPr>
      <t xml:space="preserve"> - 828106066 số cũ</t>
    </r>
  </si>
  <si>
    <t>Số 3 phố Viên phường Đức Thắng quận Bắc Từ Liêm, Hà Nội</t>
  </si>
  <si>
    <t>CT1B HATECO APOLO XUÂN PHƯƠNG, PHƯƠNG CANH, NAM TỪ LIÊM, HÀ NỘI</t>
  </si>
  <si>
    <t>T296</t>
  </si>
  <si>
    <t>https://www.facebook.com/nong.phu.7505</t>
  </si>
  <si>
    <r>
      <rPr>
        <sz val="12"/>
        <color theme="1"/>
        <rFont val="Times New Roman"/>
        <family val="1"/>
      </rPr>
      <t>Nông Minh Phú</t>
    </r>
    <r>
      <rPr>
        <sz val="12"/>
        <color rgb="FFFF0000"/>
        <rFont val="Times New Roman"/>
        <family val="1"/>
      </rPr>
      <t xml:space="preserve"> - đã nộp 300K 19/11/2024
T243 bảo lưu buổi 12. Học T296 b5</t>
    </r>
  </si>
  <si>
    <t xml:space="preserve">k có </t>
  </si>
  <si>
    <t>số 232, thôn 4, xã thạch hòa, huyện thạch thất</t>
  </si>
  <si>
    <t>https://drive.google.com/open?id=1Gw08eUfntDHWjBEcamv3MqIX5GQbbZdI; https://drive.google.com/open?id=1SkmP65mf5LK_is46eesSjqf2SazisYFN</t>
  </si>
  <si>
    <t>60 Văn Hội, Đức Thắng, Bắc Từ Liêm, Hà Nội</t>
  </si>
  <si>
    <t>PT101</t>
  </si>
  <si>
    <t>https://www.facebook.com/trangnguyen.nguyentran.7?mibextid=LQQJ4d</t>
  </si>
  <si>
    <r>
      <rPr>
        <sz val="12"/>
        <color theme="1"/>
        <rFont val="Times New Roman"/>
        <family val="1"/>
      </rPr>
      <t xml:space="preserve">Nguyễn Thu Trang - </t>
    </r>
    <r>
      <rPr>
        <sz val="12"/>
        <color rgb="FFFF0000"/>
        <rFont val="Times New Roman"/>
        <family val="1"/>
      </rPr>
      <t>Trang Nguyễn T243 học viên thứ 10)</t>
    </r>
  </si>
  <si>
    <t>số 7 văn hội Đức Thắng Bắc Từ Liêm Hà Nội</t>
  </si>
  <si>
    <t>https://drive.google.com/open?id=1b3B7D635QnQ-D3kSUV2ZkFDoW26hN64H; https://drive.google.com/open?id=1WxY-wefTgWswwC5F1ezcDSVzPMs-sOHn, https://drive.google.com/open?id=1ebRw5Qy-TPYhIIplbkUMKDJsUdTBLRpf</t>
  </si>
  <si>
    <t>https://www.facebook.com/profile.php?id=100052427267459</t>
  </si>
  <si>
    <t>Trần Thị Lan Anh</t>
  </si>
  <si>
    <t>anh971218@gmail.com</t>
  </si>
  <si>
    <t>ngách 57 ngõ 59 Mễ Trì Hạ, Nam Từ Liêm, Hà Nội</t>
  </si>
  <si>
    <t>https://drive.google.com/open?id=1Duj0VjQy-RihgLdKItNwHsNYserByZe8; https://drive.google.com/open?id=1KV2kAcdsZZjGjyAoaIjR8tCCF7sOfAXZ</t>
  </si>
  <si>
    <t>Trả lương T08.2024</t>
  </si>
  <si>
    <t>https://www.facebook.com/profile.php?id=100078749571126</t>
  </si>
  <si>
    <t>Vũ Phạm Mai Quyên</t>
  </si>
  <si>
    <t>phố An Thượng, phường An Tảo, TP Hưng Yên, tỉnh Hưng Yên</t>
  </si>
  <si>
    <t>https://drive.google.com/open?id=1xYR_dnhuMavJR_aVu60cSZdGDLmqtK0G</t>
  </si>
  <si>
    <r>
      <rPr>
        <sz val="12"/>
        <color theme="1"/>
        <rFont val="Times New Roman"/>
        <family val="1"/>
      </rPr>
      <t xml:space="preserve">Nguyễn Thị Trang </t>
    </r>
    <r>
      <rPr>
        <sz val="12"/>
        <color rgb="FFFF0000"/>
        <rFont val="Times New Roman"/>
        <family val="1"/>
      </rPr>
      <t>(hợp đồng)</t>
    </r>
  </si>
  <si>
    <t>Nhà văn hoá thôn Đại Sơn - Hoàn Sơn - Tiên Du - Bắc Ninh</t>
  </si>
  <si>
    <t>Núi đông Hoàn sơn Tiên du Bắc ninh</t>
  </si>
  <si>
    <t>https://www.facebook.com/ohmycat173?mibextid=LQQJ4d</t>
  </si>
  <si>
    <t>Nguyễn Đăng Quân</t>
  </si>
  <si>
    <t>dangquan20061701@gmail.com</t>
  </si>
  <si>
    <t>Nhà văn hóa thôn Đại Sơn - Hoàn Sơn - Tiên Du - Bắc Ninh</t>
  </si>
  <si>
    <t>https://drive.google.com/open?id=1bKWHs0ir-CclYSJ1Nxl7o2ZeztIXmDtW; https://drive.google.com/open?id=1Czap93EvoA5EjxJQ7q8TcpmTWTqYGHlA</t>
  </si>
  <si>
    <t>Hạ combo Đạt báo</t>
  </si>
  <si>
    <t>33 Đường Đồng Cuốn, Phố Thành Tráng, Phường Quảng Thành,TP Thanh Hoá</t>
  </si>
  <si>
    <t>https://www.facebook.com/selina.nguyen.2507</t>
  </si>
  <si>
    <r>
      <rPr>
        <sz val="12"/>
        <color theme="1"/>
        <rFont val="Times New Roman"/>
        <family val="1"/>
      </rPr>
      <t>Nguyễn Thị Thu Yến</t>
    </r>
    <r>
      <rPr>
        <sz val="12"/>
        <color rgb="FFFF0000"/>
        <rFont val="Times New Roman"/>
        <family val="1"/>
      </rPr>
      <t xml:space="preserve"> - Selina Nguyễn (Cần hợp đồng)
PT78 =&gt; PT80 sđt ít dùng </t>
    </r>
    <r>
      <rPr>
        <sz val="12"/>
        <color theme="1"/>
        <rFont val="Times New Roman"/>
        <family val="1"/>
      </rPr>
      <t>0945675397</t>
    </r>
  </si>
  <si>
    <t>yennguyen25072006@gmail.com</t>
  </si>
  <si>
    <t xml:space="preserve">Nhà số 1-xóm Chùa Càn Nguyên -khu phố Dương Lôi- phường Tân Hồng -thị xã Từ Sơn - tỉnh Bắc Ninh </t>
  </si>
  <si>
    <t>22/06/2024 và 29/06/2024</t>
  </si>
  <si>
    <r>
      <rPr>
        <u/>
        <sz val="12"/>
        <color rgb="FF1155CC"/>
        <rFont val="Times New Roman"/>
        <family val="1"/>
      </rPr>
      <t xml:space="preserve">https://drive.google.com/open?id=1iqjCdRMB8-bxb9fwQMDePtRgNgrhSbue; https://drive.google.com/open?id=1zbC0FoT63nuaiahUnO9dPybF-cSHBub6; </t>
    </r>
    <r>
      <rPr>
        <u/>
        <sz val="12"/>
        <color rgb="FF1155CC"/>
        <rFont val="Times New Roman"/>
        <family val="1"/>
      </rPr>
      <t>https://drive.google.com/open?id=1I-mY9aRSE4Uw79iBNFC18GN-C_CpcImd</t>
    </r>
  </si>
  <si>
    <t>https://www.facebook.com/profile.php?id=100049793138721</t>
  </si>
  <si>
    <t xml:space="preserve">Triệu Đức Hiếu </t>
  </si>
  <si>
    <t>hieutrieu2k5@gmail.com</t>
  </si>
  <si>
    <t>24/06/2024 và 22/07/2024</t>
  </si>
  <si>
    <t>https://drive.google.com/open?id=1tK236dDcHlSpRuAfYkwL5dJsG-Q38JKH; https://drive.google.com/open?id=1rypjuAUH3aLlzJRv6fMXeI2pzhkzOzzo; https://drive.google.com/open?id=1eMzMzKP2Qd2D9PB8grmWVG7zrM7q2DjB</t>
  </si>
  <si>
    <t>https://www.facebook.com/profile.php?id=100031652410059</t>
  </si>
  <si>
    <t xml:space="preserve">Hoàng Trường Giang </t>
  </si>
  <si>
    <t>giangk11td@gmail.com</t>
  </si>
  <si>
    <t>https://drive.google.com/open?id=19KUPQh6NHfzuKP7R3uneLDP0AbYlurDv; https://drive.google.com/open?id=1yMoi3cf_Si3OwyWzIamjZTuqzY8_f32H; https://drive.google.com/open?id=1qhi7kw9PHBJKniUCG4OwPJ2wEQ5Rg0EB</t>
  </si>
  <si>
    <t>https://www.facebook.com/profile.php?id=100083022805316</t>
  </si>
  <si>
    <t xml:space="preserve">Bùi Quang Linh </t>
  </si>
  <si>
    <t>builinh1115@gmail.com</t>
  </si>
  <si>
    <t>25/06/2024 và 22/07/2024</t>
  </si>
  <si>
    <t>https://drive.google.com/open?id=1xitaLW751SEVFLrdrp_B9i4motS_lyPY; https://drive.google.com/open?id=15oy9Ziu5seNJjy2vNqOHhXjMGYshfjGi; https://drive.google.com/open?id=1xJBZ1iNP7pzvoQy-COJknhn_qgkXCeZJ</t>
  </si>
  <si>
    <t>https://www.facebook.com/dung.chuhung.7</t>
  </si>
  <si>
    <t xml:space="preserve">Chử Hùng Dũng </t>
  </si>
  <si>
    <t>chdptx0@gmail.com</t>
  </si>
  <si>
    <t>https://drive.google.com/open?id=1JyzFnbliTF4GEViY9to2Qcl_ZDxdK-06; https://drive.google.com/open?id=1b0I-bPavP0nCUXHeuinamb_I7TfxeyUM; https://drive.google.com/open?id=16T1iEeY4rZ_ImHLRWu9Cib6tnT2LmBHA</t>
  </si>
  <si>
    <t>https://www.facebook.com/share/jeYVz5kuk52a6DEw/?mibextid=LQQJ4d</t>
  </si>
  <si>
    <t>Kiệt 4B Nguyễn Chí Thanh, Thạch Thang Hải Châu Đà Nẵng</t>
  </si>
  <si>
    <t>https://drive.google.com/open?id=1phfM_S_MX1uFlKhSUsATd7vOr6-hIwBW; https://drive.google.com/open?id=1aBHPjBJHAVFbuNcSkfRg3z-jEiAMGsr6</t>
  </si>
  <si>
    <t>https://www.facebook.com/hamie02?mibextid=LQQJ4d</t>
  </si>
  <si>
    <r>
      <rPr>
        <sz val="12"/>
        <color theme="1"/>
        <rFont val="Times New Roman"/>
        <family val="1"/>
      </rPr>
      <t xml:space="preserve">Nguyễn Thị Thủy </t>
    </r>
    <r>
      <rPr>
        <sz val="12"/>
        <color rgb="FFFF0000"/>
        <rFont val="Times New Roman"/>
        <family val="1"/>
      </rPr>
      <t>(hợp đồng)</t>
    </r>
  </si>
  <si>
    <t>Số 1- Ngõ 12, thôn Xuân Dục, xã Tân Minh, huyện Sóc Sơn, Hà Nội</t>
  </si>
  <si>
    <r>
      <rPr>
        <sz val="12"/>
        <color theme="1"/>
        <rFont val="Times New Roman"/>
        <family val="1"/>
      </rPr>
      <t xml:space="preserve">Vũ Khánh Linh </t>
    </r>
    <r>
      <rPr>
        <sz val="12"/>
        <color rgb="FFFF0000"/>
        <rFont val="Times New Roman"/>
        <family val="1"/>
      </rPr>
      <t>(hợp đồng)</t>
    </r>
  </si>
  <si>
    <t>26A, Phú Xá, phường Đông Hải 1, quận Hải An, tp. Hải Phòng</t>
  </si>
  <si>
    <t>https://www.facebook.com/profile.php?id=100095281517967&amp;mibextid=LQQJ4d</t>
  </si>
  <si>
    <r>
      <rPr>
        <sz val="12"/>
        <color theme="1"/>
        <rFont val="Times New Roman"/>
        <family val="1"/>
      </rPr>
      <t>Nguyễn Thị Liên</t>
    </r>
    <r>
      <rPr>
        <sz val="12"/>
        <color rgb="FFFF0000"/>
        <rFont val="Times New Roman"/>
        <family val="1"/>
      </rPr>
      <t xml:space="preserve"> (hợp đồng)</t>
    </r>
  </si>
  <si>
    <t>nlien28092006@gmail.com</t>
  </si>
  <si>
    <t>Thanh Lương - Hoàng Lương - Hiệp Hoà - Bắc Giang</t>
  </si>
  <si>
    <t>https://drive.google.com/open?id=1iWENSdRAOmno5eENzTVJyUZbrKdsktDj</t>
  </si>
  <si>
    <r>
      <rPr>
        <sz val="12"/>
        <color theme="1"/>
        <rFont val="Times New Roman"/>
        <family val="1"/>
      </rPr>
      <t>Nguyễn Thị Quỳnh Hoa</t>
    </r>
    <r>
      <rPr>
        <sz val="12"/>
        <color rgb="FFFF0000"/>
        <rFont val="Times New Roman"/>
        <family val="1"/>
      </rPr>
      <t xml:space="preserve"> (hợp đồng)</t>
    </r>
  </si>
  <si>
    <t>30/06/2024 VÀ 02/07/2024</t>
  </si>
  <si>
    <r>
      <rPr>
        <sz val="12"/>
        <color theme="1"/>
        <rFont val="Times New Roman"/>
        <family val="1"/>
      </rPr>
      <t xml:space="preserve">Nguyễn Tuấn Anh </t>
    </r>
    <r>
      <rPr>
        <sz val="12"/>
        <color rgb="FFFF0000"/>
        <rFont val="Times New Roman"/>
        <family val="1"/>
      </rPr>
      <t>(hợp đồng)</t>
    </r>
  </si>
  <si>
    <t>https://www.facebook.com/touocbanthanlamnenvaidieukidieu?mibextid=LQQJ4d</t>
  </si>
  <si>
    <t>Hoàng Yến Nhi</t>
  </si>
  <si>
    <t>Nhienhi2006@gmail.com</t>
  </si>
  <si>
    <t>Khối hồng hải, phường Quỳnh phương, Thị xã Hoàng Mai-Nghệ An</t>
  </si>
  <si>
    <t>https://drive.google.com/open?id=1VCQpHAfyKChGFVckAid_Upm-IOYIWAAB; https://drive.google.com/open?id=1oHXq2j_SxKy7RieP5xt6RmStjyD1RZSs; https://drive.google.com/open?id=1MruybZnGKjOAzMUWeATzYFmYFpvyKe5n</t>
  </si>
  <si>
    <t>https://www.facebook.com/teo.ruby.1?mibextid=ZbWKwL</t>
  </si>
  <si>
    <r>
      <rPr>
        <sz val="12"/>
        <color theme="1"/>
        <rFont val="Times New Roman"/>
        <family val="1"/>
      </rPr>
      <t xml:space="preserve">Nguyễn Thành Công </t>
    </r>
    <r>
      <rPr>
        <sz val="12"/>
        <color rgb="FFFF0000"/>
        <rFont val="Times New Roman"/>
        <family val="1"/>
      </rPr>
      <t>(hợp đồng) PT81</t>
    </r>
  </si>
  <si>
    <t>accff0000@gmail.com</t>
  </si>
  <si>
    <t xml:space="preserve"> Phả Lại/ Đức Long/ Quế Võ/ Bắc Ninh</t>
  </si>
  <si>
    <t>https://drive.google.com/open?id=1pp9lnp86MNXy6LJgFqpK44ssQ_To00d1; https://drive.google.com/open?id=1TNlBLNJf84y4nLJtXszOFpgQ0rqSzIpL</t>
  </si>
  <si>
    <t>https://www.facebook.com/profile.php?id=100076726632806&amp;mibextid=LQQJ4d</t>
  </si>
  <si>
    <r>
      <rPr>
        <sz val="12"/>
        <color theme="1"/>
        <rFont val="Times New Roman"/>
        <family val="1"/>
      </rPr>
      <t xml:space="preserve">Nguyễn Xuân Sỹ </t>
    </r>
    <r>
      <rPr>
        <sz val="12"/>
        <color rgb="FFFF0000"/>
        <rFont val="Times New Roman"/>
        <family val="1"/>
      </rPr>
      <t>(hợp đồng)</t>
    </r>
  </si>
  <si>
    <t xml:space="preserve">Hồng hồ thanh lãng bình xuyên vĩnh phúc </t>
  </si>
  <si>
    <t>https://drive.google.com/open?id=1sLJa7LaOKBKMSddThU7LAg58CwXqSfhs; https://drive.google.com/open?id=1bzVQW-ni8WPr1PQCcCj7spx3eFJcdWF1</t>
  </si>
  <si>
    <t>https://www.facebook.com/hienn.nguyennthuu.56</t>
  </si>
  <si>
    <r>
      <rPr>
        <sz val="12"/>
        <color theme="1"/>
        <rFont val="Times New Roman"/>
        <family val="1"/>
      </rPr>
      <t xml:space="preserve">Nguyễn Thị Thu Hiền </t>
    </r>
    <r>
      <rPr>
        <sz val="12"/>
        <color rgb="FFFF0000"/>
        <rFont val="Times New Roman"/>
        <family val="1"/>
      </rPr>
      <t>(hợp đồng)</t>
    </r>
  </si>
  <si>
    <t>hien03032006@gmail.com</t>
  </si>
  <si>
    <t>Khu 10 thị trấn Tứ Trưng, Vĩnh Tường, Vĩnh Phúc</t>
  </si>
  <si>
    <t>30/06/2024 và 01/07/2024</t>
  </si>
  <si>
    <t>https://drive.google.com/open?id=1il0lxYwRr58-KAxbaO-Xx6BVUHPnhcik; https://drive.google.com/open?id=1a5lCviSFL2Fm1-GGasn9hTbcyyw7FBH4</t>
  </si>
  <si>
    <t>https://www.facebook.com/myoanh.vu.58?mibextid=LQQJ4d</t>
  </si>
  <si>
    <r>
      <rPr>
        <sz val="12"/>
        <color theme="1"/>
        <rFont val="Times New Roman"/>
        <family val="1"/>
      </rPr>
      <t>Vũ Thị Mỹ -</t>
    </r>
    <r>
      <rPr>
        <sz val="12"/>
        <color rgb="FFFF0000"/>
        <rFont val="Times New Roman"/>
        <family val="1"/>
      </rPr>
      <t xml:space="preserve"> nick Oanh Mỹ</t>
    </r>
  </si>
  <si>
    <t>mvu28750@gmail.com</t>
  </si>
  <si>
    <t xml:space="preserve">Tk3, phường Hải Hòa, thị xã Nghi Sơn, tỉnh Thanh Hóa </t>
  </si>
  <si>
    <t>https://drive.google.com/open?id=1N6zIypjRnM3v_mbpUntMYcB0CWBwBlq-</t>
  </si>
  <si>
    <r>
      <rPr>
        <sz val="12"/>
        <color theme="1"/>
        <rFont val="Times New Roman"/>
        <family val="1"/>
      </rPr>
      <t xml:space="preserve">Nguyễn Thị Thanh Huyền </t>
    </r>
    <r>
      <rPr>
        <sz val="12"/>
        <color rgb="FFFF0000"/>
        <rFont val="Times New Roman"/>
        <family val="1"/>
      </rPr>
      <t>(hợp đồng)</t>
    </r>
  </si>
  <si>
    <t>Số nhà 8 Ngõ 8 Nguyễn Văn Linh Xuân Hoà Phúc Yên Vĩnh Phúc</t>
  </si>
  <si>
    <r>
      <rPr>
        <sz val="12"/>
        <color theme="1"/>
        <rFont val="Times New Roman"/>
        <family val="1"/>
      </rPr>
      <t xml:space="preserve">Lê Thị Thơm </t>
    </r>
    <r>
      <rPr>
        <sz val="12"/>
        <color rgb="FFFF0000"/>
        <rFont val="Times New Roman"/>
        <family val="1"/>
      </rPr>
      <t>(hợp đồng)</t>
    </r>
  </si>
  <si>
    <t>https://www.facebook.com/profile.php?id=100033196391979</t>
  </si>
  <si>
    <r>
      <rPr>
        <sz val="12"/>
        <color theme="1"/>
        <rFont val="Times New Roman"/>
        <family val="1"/>
      </rPr>
      <t>Nguyễn Thị Trang</t>
    </r>
    <r>
      <rPr>
        <sz val="12"/>
        <color rgb="FFFF0000"/>
        <rFont val="Times New Roman"/>
        <family val="1"/>
      </rPr>
      <t xml:space="preserve"> (hợp đồng)</t>
    </r>
  </si>
  <si>
    <t xml:space="preserve"> Số nhà 3, ngõ 12, xóm Giông, thôn Xuân Dục, xã Tân Minh, Sóc Sơn Hà Nội</t>
  </si>
  <si>
    <t>01/07/2024 và 05/07/2024</t>
  </si>
  <si>
    <t>https://drive.google.com/open?id=1G7kC-S7aq9k9b08rUUsN_ihJj3W9boa_; https://drive.google.com/open?id=1JWbmKBLjulOSheBGgVafJe9F55r01mod; https://drive.google.com/open?id=184FQLiucooXz4uYZ5RSLupRQsSKRokBN</t>
  </si>
  <si>
    <r>
      <rPr>
        <sz val="12"/>
        <color theme="1"/>
        <rFont val="Times New Roman"/>
        <family val="1"/>
      </rPr>
      <t xml:space="preserve">Nguyễn Hoàng Xuân Giao </t>
    </r>
    <r>
      <rPr>
        <sz val="12"/>
        <color rgb="FFFF0000"/>
        <rFont val="Times New Roman"/>
        <family val="1"/>
      </rPr>
      <t>(thêm hợp đồng)</t>
    </r>
  </si>
  <si>
    <t>58/1 Minh Mạng, khu 5, phường Đô Vinh, thành phố Phan Rang - Tháp Chàm, tỉnh Ninh Thuận</t>
  </si>
  <si>
    <t>https://www.facebook.com/chippi.151?mibextid=ZbWKwL</t>
  </si>
  <si>
    <r>
      <rPr>
        <sz val="12"/>
        <color theme="1"/>
        <rFont val="Times New Roman"/>
        <family val="1"/>
      </rPr>
      <t>Bùi Hoàng Yến</t>
    </r>
    <r>
      <rPr>
        <sz val="12"/>
        <color rgb="FFFF0000"/>
        <rFont val="Times New Roman"/>
        <family val="1"/>
      </rPr>
      <t xml:space="preserve"> (hợp đồng) PT81</t>
    </r>
  </si>
  <si>
    <t>buiyen2k6hpvn@gmail.com</t>
  </si>
  <si>
    <t xml:space="preserve"> 6B ngách 1 Nguyễn Sơn Hà, Vĩnh Niệm, Lê Chân, Hải Phòng</t>
  </si>
  <si>
    <t>https://drive.google.com/open?id=1Bj8_DA8bQwKs-IbBNEOCl4fw_F07KrHA; https://drive.google.com/open?id=1jO8jolXUFdIvR26Pk689JwKDn5EPd0BI; https://drive.google.com/open?id=1pAdD4usaZ-8YX7D1jQdJkG64K8446AEc</t>
  </si>
  <si>
    <t xml:space="preserve">Nguyễn Thị Thùy Trang </t>
  </si>
  <si>
    <t>Xóm Hồng Hoàng - Thôn Thượng Hải - Xã Bình Lãng - Huyện Tứ Kỳ - Tỉnh Hải Dương</t>
  </si>
  <si>
    <t xml:space="preserve">Đinh Đức Bảo Duy </t>
  </si>
  <si>
    <t>https://www.facebook.com/nguyen.dp.792?mibextid=LQQJ4d</t>
  </si>
  <si>
    <t xml:space="preserve">Nguyễn Thị Thùy Dung </t>
  </si>
  <si>
    <t>nguyenthithuydung950@gmail.com</t>
  </si>
  <si>
    <t xml:space="preserve">3322, xóm Thượng, Cổ Loa, Đông Anh, Hà Nội </t>
  </si>
  <si>
    <t>01/07/2024 và 26/07/2024</t>
  </si>
  <si>
    <t>https://drive.google.com/open?id=1WjuA4w_GWDdnWHXCxdGxDXMt5GfRH8ZV; https://drive.google.com/open?id=1r1QKij_G3L-1g6XNN6iEO7IoUdyGOxXM; https://drive.google.com/open?id=1zAiiSJ2dotguoFGcgCsLWrRqnyNfUbOZ</t>
  </si>
  <si>
    <t>https://www.facebook.com/profile.php?id=100034944344140&amp;_rdc=1&amp;_rdr</t>
  </si>
  <si>
    <r>
      <rPr>
        <sz val="12"/>
        <color theme="1"/>
        <rFont val="Times New Roman"/>
        <family val="1"/>
      </rPr>
      <t>Nguyễn Đức Cần</t>
    </r>
    <r>
      <rPr>
        <sz val="12"/>
        <color rgb="FFFF0000"/>
        <rFont val="Times New Roman"/>
        <family val="1"/>
      </rPr>
      <t xml:space="preserve"> (hợp đồng)</t>
    </r>
  </si>
  <si>
    <t>hôn Tiền Thôn - Xã Văn môn - huyện Yên Phong - tỉnh Bắc Ninh</t>
  </si>
  <si>
    <t>https://drive.google.com/open?id=1heMQI_t22i98rpdvj6UD8Z_bLSlMdINN</t>
  </si>
  <si>
    <t>Đức đưa tay</t>
  </si>
  <si>
    <t>Toà B2, Hàm Nghi, Cầu Diễn</t>
  </si>
  <si>
    <t>Ngõ 45 An Trai Xuân Phương Hà Nội</t>
  </si>
  <si>
    <r>
      <rPr>
        <sz val="12"/>
        <color theme="1"/>
        <rFont val="Times New Roman"/>
        <family val="1"/>
      </rPr>
      <t xml:space="preserve">Phạm Đăng Khoa </t>
    </r>
    <r>
      <rPr>
        <sz val="12"/>
        <color rgb="FFFF0000"/>
        <rFont val="Times New Roman"/>
        <family val="1"/>
      </rPr>
      <t>(hợp đồng) 0963875305 sđt mẹ</t>
    </r>
  </si>
  <si>
    <t xml:space="preserve"> BT 12-14, Đường N, Khu đô Thị Phước Long A, phường Phước Long, Nha Trang - Khánh Hòa</t>
  </si>
  <si>
    <t xml:space="preserve">https://www.facebook.com/profile.php?id=100064288518401  </t>
  </si>
  <si>
    <t>Nguyễn Việt Hoàng</t>
  </si>
  <si>
    <t>hoangdollaminhtri@gmail.com</t>
  </si>
  <si>
    <t>Số nhà 353, Thắng Trí, Sóc Sơn, Hà Nộ</t>
  </si>
  <si>
    <r>
      <rPr>
        <u/>
        <sz val="12"/>
        <color rgb="FF1155CC"/>
        <rFont val="Times New Roman"/>
        <family val="1"/>
      </rPr>
      <t xml:space="preserve">https://drive.google.com/open?id=1anECWrtj648KepLX40QNOHqGavb7-Pgp; </t>
    </r>
    <r>
      <rPr>
        <u/>
        <sz val="12"/>
        <color rgb="FF1155CC"/>
        <rFont val="Times New Roman"/>
        <family val="1"/>
      </rPr>
      <t>https://drive.google.com/open?id=1pCBvd6mN2a-SLoilPNQEuDYocypon_aa</t>
    </r>
  </si>
  <si>
    <r>
      <rPr>
        <sz val="12"/>
        <color theme="1"/>
        <rFont val="Times New Roman"/>
        <family val="1"/>
      </rPr>
      <t xml:space="preserve">Chu Đức Thông </t>
    </r>
    <r>
      <rPr>
        <sz val="12"/>
        <color rgb="FFFF0000"/>
        <rFont val="Times New Roman"/>
        <family val="1"/>
      </rPr>
      <t xml:space="preserve">(hợp đồng) </t>
    </r>
  </si>
  <si>
    <t>https://www.facebook.com/profile.php?id=100054674450583&amp;mibextid=ZbWKwL</t>
  </si>
  <si>
    <t xml:space="preserve">Nguyễn Trà My </t>
  </si>
  <si>
    <t>mynguyen1992006@gmail.com</t>
  </si>
  <si>
    <t>Số nhà 35, ngõ 401, Đường Cổ Nhuế, Phường Cổ Nhuế 2, Quận Bắc Từ Liêm, Hà Nội</t>
  </si>
  <si>
    <t>02/07/2024 và 15/07/2024</t>
  </si>
  <si>
    <t>https://drive.google.com/open?id=126zXzfFJmGUo5Tq5HKJ7JYFC5U-r9ray; https://drive.google.com/open?id=1qibnu_r4ksusJNoaYTon26_oKkXgN4nS; https://drive.google.com/open?id=1mRAPKYKc8fhDXFZP26UfQbESYoXuEG_P</t>
  </si>
  <si>
    <t>https://www.facebook.com/avery.taijun?mibextid=LQQJ4d</t>
  </si>
  <si>
    <t>Trần Thái Tuấn</t>
  </si>
  <si>
    <t xml:space="preserve">tuan11.haiphong@gmai.com </t>
  </si>
  <si>
    <t>88, Phố Bến Vua, Khu 1, Thị Trấn Tiên Lãng, huyện Tiên Lãng, Hải Phòng</t>
  </si>
  <si>
    <t>https://drive.google.com/open?id=1pKLgVs-9jUKC0Hoa_YB4k0fLUztAe6Fw</t>
  </si>
  <si>
    <t>PT108</t>
  </si>
  <si>
    <t>https://www.facebook.com/profile.php?id=100047155059301</t>
  </si>
  <si>
    <r>
      <rPr>
        <sz val="12"/>
        <color theme="1"/>
        <rFont val="Times New Roman"/>
        <family val="1"/>
      </rPr>
      <t xml:space="preserve">Cao Thanh Mai </t>
    </r>
    <r>
      <rPr>
        <sz val="12"/>
        <color rgb="FFFF0000"/>
        <rFont val="Times New Roman"/>
        <family val="1"/>
      </rPr>
      <t>PT86</t>
    </r>
  </si>
  <si>
    <t>mai849270@gmail.com</t>
  </si>
  <si>
    <t>số nhà 2 -ngõ 93 tây trà -trần phú -hoàng mai -hà nội</t>
  </si>
  <si>
    <t>02/07/2024 và 08/08/2024</t>
  </si>
  <si>
    <t>https://drive.google.com/open?id=1FPdEjXudnrHcV8JuV4Kr-FeTjFczwfsD; https://drive.google.com/open?id=1c6ugCeFrZnMrrkviV8CZuf93WlVYmL62</t>
  </si>
  <si>
    <t xml:space="preserve">Nguyễn Tiến Hoàng </t>
  </si>
  <si>
    <t>Thộn đội 3 Xã Xuân Phú huyện Thọ Xuân tỉnh Thanh Hoá</t>
  </si>
  <si>
    <t>https://www.facebook.com/manhcuonglovefamily?mibextid=LQQJ4d</t>
  </si>
  <si>
    <r>
      <rPr>
        <sz val="12"/>
        <color theme="1"/>
        <rFont val="Times New Roman"/>
        <family val="1"/>
      </rPr>
      <t>Trần Mạnh Cường</t>
    </r>
    <r>
      <rPr>
        <sz val="12"/>
        <color rgb="FFFF0000"/>
        <rFont val="Times New Roman"/>
        <family val="1"/>
      </rPr>
      <t xml:space="preserve"> - T216 sau cùng</t>
    </r>
  </si>
  <si>
    <t>cuongtranvan609@gmail.com</t>
  </si>
  <si>
    <t xml:space="preserve">Xóm 6 thôn Bình Minh xã Bách Thuận huyện Vũ Thư tỉnh Thái Bình </t>
  </si>
  <si>
    <t>02/07/2024 và 13/07/2024</t>
  </si>
  <si>
    <t>https://drive.google.com/open?id=1TNp5A0H2QOlDViY92Aizv9hwGNHIpDS-; https://drive.google.com/open?id=1JDNICuKMj5IAhpd4KQa0qZy_meN-0zSI; https://drive.google.com/open?id=1kNXeMIruCTNBnu4nX7ANT0Hh7w2ncuRK</t>
  </si>
  <si>
    <r>
      <rPr>
        <sz val="12"/>
        <color theme="1"/>
        <rFont val="Times New Roman"/>
        <family val="1"/>
      </rPr>
      <t xml:space="preserve">Trương Thị Thanh Hà </t>
    </r>
    <r>
      <rPr>
        <sz val="12"/>
        <color rgb="FFFF0000"/>
        <rFont val="Times New Roman"/>
        <family val="1"/>
      </rPr>
      <t>(hợp đồng)</t>
    </r>
  </si>
  <si>
    <r>
      <rPr>
        <sz val="12"/>
        <color theme="1"/>
        <rFont val="Times New Roman"/>
        <family val="1"/>
      </rPr>
      <t xml:space="preserve">Uông Thị Thuỳ Trang </t>
    </r>
    <r>
      <rPr>
        <sz val="12"/>
        <color rgb="FFFF0000"/>
        <rFont val="Times New Roman"/>
        <family val="1"/>
      </rPr>
      <t>(hợp đồng)</t>
    </r>
  </si>
  <si>
    <t>https://www.facebook.com/profile.php?id=100073043361013</t>
  </si>
  <si>
    <t>nguyenthihien06bn@gmail.com</t>
  </si>
  <si>
    <t>Bưu Điện xã tri phương (thôn lương -tri phương-tiên du-Bắc ninh)</t>
  </si>
  <si>
    <t>02/07/2024 và 05/07/2024</t>
  </si>
  <si>
    <t>https://drive.google.com/open?id=1A9iiOjgddmB1GAnXC0b8Q_-QdXNpM5l-; https://drive.google.com/open?id=1_Fn1yAncbGo6xLUVWpKIsOsltWUEeXvW</t>
  </si>
  <si>
    <t>https://www.facebook.com/profile.php?id=100075454326909&amp;mibextid=LQQJ4d</t>
  </si>
  <si>
    <t>Đậu Huy Anh</t>
  </si>
  <si>
    <t>huya8962@gmail.com</t>
  </si>
  <si>
    <t>354 khối 4 quỳnh thiện thị xã hoàng mai nghệ an</t>
  </si>
  <si>
    <t>03/07/2024 và 12/07/2024</t>
  </si>
  <si>
    <t>https://drive.google.com/open?id=1Od4LA7vFpnGsWXy8V4ljBI7ppeSXUCvL; https://drive.google.com/open?id=1ukmQe14iYjpzYUU_FH7UjTTUK7YZjK44; https://drive.google.com/open?id=12GYF8tK_9o0V0Ifh_9fC9l28T1xNiteS</t>
  </si>
  <si>
    <t>https://www.facebook.com/le.vanphong.12914216</t>
  </si>
  <si>
    <r>
      <rPr>
        <sz val="12"/>
        <color theme="1"/>
        <rFont val="Times New Roman"/>
        <family val="1"/>
      </rPr>
      <t>Lê Văn Phong</t>
    </r>
    <r>
      <rPr>
        <sz val="12"/>
        <color rgb="FFFF0000"/>
        <rFont val="Times New Roman"/>
        <family val="1"/>
      </rPr>
      <t xml:space="preserve"> (hợp đồng) </t>
    </r>
  </si>
  <si>
    <t>số nhà 36, đường 03, Thôn Phú Thượng 1, Xã Hoằng Phú, huyện Hoằng Hoá, Tỉnh Thanh Hóa.</t>
  </si>
  <si>
    <t>https://drive.google.com/open?id=1XVYEW6J8lHvmkJOWZxCismO_187a9h5K; https://drive.google.com/open?id=1n5SVLbWDuXHh88aRIquUIdVtrTGW9g6X, https://drive.google.com/open?id=105JDYWWWyjLu2WcE16ULDCg_8E3dkg0N</t>
  </si>
  <si>
    <r>
      <rPr>
        <sz val="12"/>
        <color theme="1"/>
        <rFont val="Times New Roman"/>
        <family val="1"/>
      </rPr>
      <t xml:space="preserve">Kim Đình Hải </t>
    </r>
    <r>
      <rPr>
        <sz val="12"/>
        <color rgb="FFFF0000"/>
        <rFont val="Times New Roman"/>
        <family val="1"/>
      </rPr>
      <t>(2 hợp đồng) - chụp ảnh</t>
    </r>
  </si>
  <si>
    <t>https://drive.google.com/open?id=1OsQTQNbUYk1Mxcf3GKXMqrYPICkLHqLN; https://drive.google.com/open?id=1KRDzvTg5t8d3yIO4uwyeZ94sS3YuIoJ-; https://drive.google.com/open?id=12XL3ORQCw_x22lTJRaQ7zdE6xK_ujUk2</t>
  </si>
  <si>
    <t>https://www.facebook.com/ngocoanh.nguyenthi.359778</t>
  </si>
  <si>
    <t>Nguyễn Thị Ngọc Oanh</t>
  </si>
  <si>
    <t>ngocoanh240106@gmail.com</t>
  </si>
  <si>
    <t xml:space="preserve">nhà số 6-Dương Lôi-Tân Hồng-Từ Sơn-Bắc Ninh </t>
  </si>
  <si>
    <t>https://drive.google.com/open?id=1S-AiE1BPzaSc4AjG78OQKTPorYfu_qCm; https://drive.google.com/open?id=1N3u8nzlxYkuY5e3DKKfNAAnk-gmgnni_</t>
  </si>
  <si>
    <r>
      <rPr>
        <sz val="12"/>
        <color theme="1"/>
        <rFont val="Times New Roman"/>
        <family val="1"/>
      </rPr>
      <t xml:space="preserve">Lê Mạnh Trường </t>
    </r>
    <r>
      <rPr>
        <sz val="12"/>
        <color rgb="FFFF0000"/>
        <rFont val="Times New Roman"/>
        <family val="1"/>
      </rPr>
      <t>(hợp đồng)  - Sách cũ</t>
    </r>
  </si>
  <si>
    <t xml:space="preserve">Số 1 ngõ 57 Tổ 4b khu2 quang trung uông bí quảng ninh </t>
  </si>
  <si>
    <t>https://www.facebook.com/profile.php?id=100045980970295&amp;mibextid=LQQJ4d</t>
  </si>
  <si>
    <r>
      <rPr>
        <sz val="12"/>
        <color theme="1"/>
        <rFont val="Times New Roman"/>
        <family val="1"/>
      </rPr>
      <t xml:space="preserve">Phạm Khánh Hằng </t>
    </r>
    <r>
      <rPr>
        <sz val="12"/>
        <color rgb="FFFF0000"/>
        <rFont val="Times New Roman"/>
        <family val="1"/>
      </rPr>
      <t>(hợp đồng) T217</t>
    </r>
  </si>
  <si>
    <t>phamkhanhhang206@gmail.com</t>
  </si>
  <si>
    <t>Bùi Xá - Ninh Xá- Thuận Thành - Bắc Ninh</t>
  </si>
  <si>
    <t>https://drive.google.com/open?id=1HddFux0Xz6agr9-iQi1oZu5n8pCEPVUd; https://drive.google.com/open?id=1BftVro7K6sLBPsf4HG3bYcVdhh0KNFPb</t>
  </si>
  <si>
    <t>Hạ level</t>
  </si>
  <si>
    <t>Nguyễn Mạnh Hà</t>
  </si>
  <si>
    <t>Địa chỉ: Số nhà 12 Tổ 4 Khu 2A Phường Cẩm Trung TP Cẩm Phả Tỉnh Quảng Ninh</t>
  </si>
  <si>
    <r>
      <rPr>
        <sz val="12"/>
        <color theme="1"/>
        <rFont val="Times New Roman"/>
        <family val="1"/>
      </rPr>
      <t>Phan Diệu Huyền Hoa</t>
    </r>
    <r>
      <rPr>
        <sz val="12"/>
        <color rgb="FFFF0000"/>
        <rFont val="Times New Roman"/>
        <family val="1"/>
      </rPr>
      <t xml:space="preserve"> (hợp đồng) </t>
    </r>
  </si>
  <si>
    <t>PT79 nghỉ ngang từ buổi 10. Yến Meca báo</t>
  </si>
  <si>
    <t>https://www.facebook.com/profile.php?id=100075426403262&amp;mibextid=LQQJ4d</t>
  </si>
  <si>
    <r>
      <rPr>
        <sz val="12"/>
        <color theme="1"/>
        <rFont val="Times New Roman"/>
        <family val="1"/>
      </rPr>
      <t xml:space="preserve">Nguyễn Trọng Du </t>
    </r>
    <r>
      <rPr>
        <sz val="12"/>
        <color rgb="FFFF0000"/>
        <rFont val="Times New Roman"/>
        <family val="1"/>
      </rPr>
      <t xml:space="preserve">(hợp đồng) </t>
    </r>
  </si>
  <si>
    <t>Lô A4, B5, B6, cụm công nghiệp, Xã Trực Hùng, Huyện Trực Ninh, Tỉnh Nam Định</t>
  </si>
  <si>
    <t>22/06/2024 và 03/07/2024</t>
  </si>
  <si>
    <t>https://drive.google.com/open?id=1nkyM5AbRLCzkTHjNIUztE7vsxk0ds5w-, https://drive.google.com/open?id=1IylPo5ouy0mkePIO8n8b6TJ7Tf-NsE4E</t>
  </si>
  <si>
    <r>
      <rPr>
        <sz val="12"/>
        <color theme="1"/>
        <rFont val="Times New Roman"/>
        <family val="1"/>
      </rPr>
      <t xml:space="preserve">Trịnh Việt Hoàng </t>
    </r>
    <r>
      <rPr>
        <sz val="12"/>
        <color rgb="FFFF0000"/>
        <rFont val="Times New Roman"/>
        <family val="1"/>
      </rPr>
      <t xml:space="preserve">(hợp đồng) </t>
    </r>
  </si>
  <si>
    <r>
      <rPr>
        <sz val="12"/>
        <color theme="1"/>
        <rFont val="Times New Roman"/>
        <family val="1"/>
      </rPr>
      <t>Phan Thị Thảo</t>
    </r>
    <r>
      <rPr>
        <sz val="12"/>
        <color rgb="FFFF0000"/>
        <rFont val="Times New Roman"/>
        <family val="1"/>
      </rPr>
      <t xml:space="preserve"> (hợp đồng) </t>
    </r>
  </si>
  <si>
    <t>https://www.facebook.com/caovan.tran.9028?mibextid=LQQJ4d</t>
  </si>
  <si>
    <t>Trần Cao Văn</t>
  </si>
  <si>
    <t>caovantran2006@gmail.com</t>
  </si>
  <si>
    <t>56 Ngách 6/12 Phố Đội Nhân, Vĩnh Phúc, Ba Đình, Hà Nội</t>
  </si>
  <si>
    <t>04/07/2024 và 10/07/2024</t>
  </si>
  <si>
    <t>https://drive.google.com/open?id=1PokeWhzq7aChh2MjKCzMYV2SwrXpE1BB; https://drive.google.com/open?id=1xNrQRITkryUMVrihXmLweF8-NRaj_GwU</t>
  </si>
  <si>
    <t>https://www.facebook.com/khanh.phan.29?mibextid=ZbWKwL</t>
  </si>
  <si>
    <t>Phan Bá Khánh</t>
  </si>
  <si>
    <t>phankhanhba@gmail.com</t>
  </si>
  <si>
    <t>https://drive.google.com/open?id=1sbqRAB8wQKAT8sme2iqDYGHeQ__C0nbb; https://drive.google.com/open?id=1QIh_ThI8iaxP6GC4X8Xi9b-wT8EHUerz</t>
  </si>
  <si>
    <r>
      <rPr>
        <sz val="12"/>
        <color theme="1"/>
        <rFont val="Times New Roman"/>
        <family val="1"/>
      </rPr>
      <t xml:space="preserve">Trần Lan Anh </t>
    </r>
    <r>
      <rPr>
        <sz val="12"/>
        <color rgb="FFFF0000"/>
        <rFont val="Times New Roman"/>
        <family val="1"/>
      </rPr>
      <t>(hợp đồng) - 0348843620 số cũ</t>
    </r>
  </si>
  <si>
    <r>
      <rPr>
        <sz val="12"/>
        <color theme="1"/>
        <rFont val="Times New Roman"/>
        <family val="1"/>
      </rPr>
      <t xml:space="preserve">Bùi Phương Ngân </t>
    </r>
    <r>
      <rPr>
        <sz val="12"/>
        <color rgb="FFFF0000"/>
        <rFont val="Times New Roman"/>
        <family val="1"/>
      </rPr>
      <t xml:space="preserve">(hợp đồng)  </t>
    </r>
    <r>
      <rPr>
        <sz val="12"/>
        <color theme="1"/>
        <rFont val="Times New Roman"/>
        <family val="1"/>
      </rPr>
      <t>0913156665</t>
    </r>
  </si>
  <si>
    <t>Số nhà 13 - Tổ 35G - Khu Quang Trung - Phường Gia Cẩm - Thành phố Việt Trì - Tỉnh Phú Thọ</t>
  </si>
  <si>
    <t>27 Trần Phú-Phúc Thắng-Phúc Yên-Vĩnh Phúc</t>
  </si>
  <si>
    <r>
      <rPr>
        <sz val="12"/>
        <color theme="1"/>
        <rFont val="Times New Roman"/>
        <family val="1"/>
      </rPr>
      <t xml:space="preserve">Phạm Thị Thu Chang </t>
    </r>
    <r>
      <rPr>
        <sz val="12"/>
        <color rgb="FFFF0000"/>
        <rFont val="Times New Roman"/>
        <family val="1"/>
      </rPr>
      <t xml:space="preserve">(hợp đồng) </t>
    </r>
  </si>
  <si>
    <t>https://www.facebook.com/profile.php?id=100022100826681&amp;mibextid=LQQJ4d</t>
  </si>
  <si>
    <t>Mai Phương Trang</t>
  </si>
  <si>
    <t>maichang6468468@gmail.com</t>
  </si>
  <si>
    <t>Tổ 6, thôn Ngọc Sơn Tây,xã Bình Phục,huyện Thăng Bình ,tỉnh Quảng Nam</t>
  </si>
  <si>
    <t>https://drive.google.com/open?id=15pJmi87eV-Z5fadDGjyWb287G_t6EFiW; https://drive.google.com/open?id=1Z_PlP37R0XKtYl-0gkgcbgdVyqnaDSgY</t>
  </si>
  <si>
    <r>
      <rPr>
        <sz val="12"/>
        <color theme="1"/>
        <rFont val="Times New Roman"/>
        <family val="1"/>
      </rPr>
      <t xml:space="preserve">Mai Xuân Phú </t>
    </r>
    <r>
      <rPr>
        <sz val="12"/>
        <color rgb="FFFF0000"/>
        <rFont val="Times New Roman"/>
        <family val="1"/>
      </rPr>
      <t xml:space="preserve">(hợp đồng) </t>
    </r>
    <r>
      <rPr>
        <sz val="12"/>
        <color theme="1"/>
        <rFont val="Times New Roman"/>
        <family val="1"/>
      </rPr>
      <t xml:space="preserve"> - Sách cũ</t>
    </r>
  </si>
  <si>
    <t>https://www.facebook.com/vulucky.nhat?mibextid=LQQJ4d</t>
  </si>
  <si>
    <r>
      <rPr>
        <sz val="12"/>
        <color theme="1"/>
        <rFont val="Times New Roman"/>
        <family val="1"/>
      </rPr>
      <t xml:space="preserve">Nguyễn Nhật Vũ </t>
    </r>
    <r>
      <rPr>
        <sz val="12"/>
        <color rgb="FFFF0000"/>
        <rFont val="Times New Roman"/>
        <family val="1"/>
      </rPr>
      <t>(hợp đồng)</t>
    </r>
  </si>
  <si>
    <t>nguyennhatvu18102006@gmail.com</t>
  </si>
  <si>
    <t xml:space="preserve">thôn Gia Lộc Xã Văn tố Huyện Tứ Kỳ Tỉnh Hải Dương </t>
  </si>
  <si>
    <t>05/07/2024 và 15/07/2024</t>
  </si>
  <si>
    <t>https://drive.google.com/open?id=1qaIJCN5qeMcHD4r2ZHZTYprDI-lCKTPs; https://drive.google.com/open?id=1qiTb9Pw6pOyKIbNGFuCUhhMhKxvl3oOX</t>
  </si>
  <si>
    <r>
      <rPr>
        <sz val="12"/>
        <color theme="1"/>
        <rFont val="Times New Roman"/>
        <family val="1"/>
      </rPr>
      <t>Lương Thị Thu Hà</t>
    </r>
    <r>
      <rPr>
        <sz val="12"/>
        <color rgb="FFFF0000"/>
        <rFont val="Times New Roman"/>
        <family val="1"/>
      </rPr>
      <t xml:space="preserve"> (hợp đồng)</t>
    </r>
  </si>
  <si>
    <t xml:space="preserve">thôn Tân Hoà, xã Hợp Đức, huyện Tân Yên, tỉnh Bắc Giang </t>
  </si>
  <si>
    <r>
      <rPr>
        <sz val="12"/>
        <color theme="1"/>
        <rFont val="Times New Roman"/>
        <family val="1"/>
      </rPr>
      <t>Nguyễn Thị Huyền Trang</t>
    </r>
    <r>
      <rPr>
        <sz val="12"/>
        <color rgb="FFFF0000"/>
        <rFont val="Times New Roman"/>
        <family val="1"/>
      </rPr>
      <t xml:space="preserve"> (hợp đồng)</t>
    </r>
  </si>
  <si>
    <t>Nghĩa trang Trường Thành - Phù Tinh -Thanh Quang - Thanh Hà - Hải Dương</t>
  </si>
  <si>
    <t>https://www.facebook.com/Ngatdang11</t>
  </si>
  <si>
    <r>
      <rPr>
        <sz val="12"/>
        <color theme="1"/>
        <rFont val="Times New Roman"/>
        <family val="1"/>
      </rPr>
      <t xml:space="preserve">Đặng Thanh Ngát </t>
    </r>
    <r>
      <rPr>
        <sz val="12"/>
        <color rgb="FFFF0000"/>
        <rFont val="Times New Roman"/>
        <family val="1"/>
      </rPr>
      <t>- hợp đồng</t>
    </r>
  </si>
  <si>
    <t>dangngat2006@gmail.com</t>
  </si>
  <si>
    <t xml:space="preserve">Đội 8-xã Vĩnh Khúc-huyện Văn Giang-tỉnh hưng Yên </t>
  </si>
  <si>
    <t>13/08/2024 và 14/08/2024</t>
  </si>
  <si>
    <t>https://drive.google.com/open?id=17Tf9tKUBB_D3247gVppX9k1oY-TuHe2X</t>
  </si>
  <si>
    <t>https://www.facebook.com/ngphuonglinh.26?mibextid=LQQJ4d</t>
  </si>
  <si>
    <r>
      <rPr>
        <sz val="12"/>
        <color theme="1"/>
        <rFont val="Times New Roman"/>
        <family val="1"/>
      </rPr>
      <t xml:space="preserve">Nguyễn Phương Linh </t>
    </r>
    <r>
      <rPr>
        <sz val="12"/>
        <color rgb="FFFF0000"/>
        <rFont val="Times New Roman"/>
        <family val="1"/>
      </rPr>
      <t>(hợp đồng) T220</t>
    </r>
  </si>
  <si>
    <t>ngphuonglinh26@gmail.com</t>
  </si>
  <si>
    <t>Địa chỉ nhận sách: Salon Thanh Hiền, ngang Nội, Hiên Vân, Tiên Du, Bắc Ninh</t>
  </si>
  <si>
    <t>05/07/2024 và 17/07/2024</t>
  </si>
  <si>
    <t>https://drive.google.com/open?id=14u7vshGcbWDrQhQG62rqFJ7qzAcvXl_i; https://drive.google.com/open?id=1J64fkujiitman8DEJl88GFFvIRx1QPXG; https://drive.google.com/open?id=1-iV9WK13gY-hS9uIvvHy2SR0dtbTKo2S; https://drive.google.com/open?id=1EXo7EBk92qfLG8cfkJgvFexWPK_kaIxN</t>
  </si>
  <si>
    <t>https://www.facebook.com/hoangphuc.le.35912672?mibextid=LQQJ4d</t>
  </si>
  <si>
    <r>
      <rPr>
        <sz val="12"/>
        <color theme="1"/>
        <rFont val="Times New Roman"/>
        <family val="1"/>
      </rPr>
      <t>Lê Hoàng Phúc</t>
    </r>
    <r>
      <rPr>
        <sz val="12"/>
        <color rgb="FFFF0000"/>
        <rFont val="Times New Roman"/>
        <family val="1"/>
      </rPr>
      <t xml:space="preserve"> (hợp đồng)</t>
    </r>
  </si>
  <si>
    <t>Thôn Kiều Tiến, xã Hoằng Đại thành phố thanh Hoá</t>
  </si>
  <si>
    <t>https://drive.google.com/open?id=1OJLrpQoydk64QQLBlIXD2qkJWA8y3CNI</t>
  </si>
  <si>
    <t>https://www.facebook.com/profile.php?id=100034363549687&amp;mibextid=LQQJ4d</t>
  </si>
  <si>
    <r>
      <rPr>
        <sz val="12"/>
        <color theme="1"/>
        <rFont val="Times New Roman"/>
        <family val="1"/>
      </rPr>
      <t>Nguyễn Duy Phúc</t>
    </r>
    <r>
      <rPr>
        <sz val="12"/>
        <color rgb="FFFF0000"/>
        <rFont val="Times New Roman"/>
        <family val="1"/>
      </rPr>
      <t xml:space="preserve"> (hợp đồng)</t>
    </r>
  </si>
  <si>
    <t>phucbeo2230@gmail.com</t>
  </si>
  <si>
    <t>đchi: số 35, tổ 3 phường Đức Xuân, thành phố Bắc Kạn, tỉnh Bắc Kạn</t>
  </si>
  <si>
    <t>https://drive.google.com/open?id=1-EMeWMgmetRppmOh83FTYYQITNveFTwO; https://drive.google.com/open?id=1E8dT1M_hwxLmSLF08DNevoU8KfPssLeR</t>
  </si>
  <si>
    <t>https://www.facebook.com/profile.php?id=100073274993724&amp;locale=vi_VN</t>
  </si>
  <si>
    <t xml:space="preserve"> Số 12, ngõ 1, đường Cao Lỗ, phường Lê Mao, TP Vinh, tỉnh Nghệ An</t>
  </si>
  <si>
    <t>https://facebook.com/profile.php?id=100070096759831</t>
  </si>
  <si>
    <r>
      <rPr>
        <sz val="12"/>
        <color theme="1"/>
        <rFont val="Times New Roman"/>
        <family val="1"/>
      </rPr>
      <t xml:space="preserve">Nguyễn Trung Hiếu </t>
    </r>
    <r>
      <rPr>
        <sz val="12"/>
        <color rgb="FFFF0000"/>
        <rFont val="Times New Roman"/>
        <family val="1"/>
      </rPr>
      <t>(hợp đồng)</t>
    </r>
  </si>
  <si>
    <t>ng.hieuvp@gmail.com</t>
  </si>
  <si>
    <t xml:space="preserve">trường tiểu học Đạo Đức B, tdp Trại Trong, Bảo Đức - Đạo Đức - Bình Xuyên - Vĩnh Phúc </t>
  </si>
  <si>
    <t>06/07/2024 và 30/07/2024</t>
  </si>
  <si>
    <t>https://drive.google.com/open?id=1Yes_Gjr1b9f-xTHQuGT_BXeYGoBo9MTV; https://drive.google.com/open?id=1lZNkunK274xCbHUj7HR9ZErnp2uytjwl; https://drive.google.com/open?id=10jEAK9RvhNt2kucBb9Vk8hdOI4SHeVhl</t>
  </si>
  <si>
    <t>https://www.facebook.com/profile.php?id=100073660903422&amp;mibextid=ZbWKwL</t>
  </si>
  <si>
    <r>
      <rPr>
        <sz val="12"/>
        <color theme="1"/>
        <rFont val="Times New Roman"/>
        <family val="1"/>
      </rPr>
      <t xml:space="preserve">Đỗ Anh Quân </t>
    </r>
    <r>
      <rPr>
        <sz val="12"/>
        <color rgb="FFFF0000"/>
        <rFont val="Times New Roman"/>
        <family val="1"/>
      </rPr>
      <t>(hợp đồng)</t>
    </r>
  </si>
  <si>
    <t xml:space="preserve">Ngõ 62, thôn Nhân Trai, xã Đông Lỗ, Ứng Hòa, Hà Nội </t>
  </si>
  <si>
    <t>https://drive.google.com/open?id=1pz3rPtiqSsA_68G1ZlKwmRoMXqa64EGe, https://drive.google.com/open?id=1ugXIGwIoE7LnBK853n6qP2hOSdF2AKnL; https://drive.google.com/open?id=1pvD39y5nGHuwZorFS-Bk72tvoirPfN7U</t>
  </si>
  <si>
    <t>https://www.facebook.com/profile.php?id=100078920353180&amp;mibextid=LQQJ4d</t>
  </si>
  <si>
    <r>
      <rPr>
        <sz val="12"/>
        <color theme="1"/>
        <rFont val="Times New Roman"/>
        <family val="1"/>
      </rPr>
      <t xml:space="preserve">Nguyễn Khắc Trường </t>
    </r>
    <r>
      <rPr>
        <sz val="12"/>
        <color rgb="FFFF0000"/>
        <rFont val="Times New Roman"/>
        <family val="1"/>
      </rPr>
      <t>(hợp đồng)</t>
    </r>
  </si>
  <si>
    <t>nkt02022006@gmail.com</t>
  </si>
  <si>
    <t>Lẽ Đông Côi - Phường Hồ - Thuận Thành - Bắc Ninh</t>
  </si>
  <si>
    <t>07/07/2024 và 08/07/2024</t>
  </si>
  <si>
    <t>https://drive.google.com/open?id=1PNMg94z2ta7KDuMMWtFSqjUwkRv1Fqxl; https://drive.google.com/open?id=1Z1KC_B1uHX1GTm0lEIQTSLlsmEb669W1</t>
  </si>
  <si>
    <t>https://www.facebook.com/minhhaile206?mibextid=LQQJ4d</t>
  </si>
  <si>
    <t>Lê Hải Minh</t>
  </si>
  <si>
    <t>lehaiminh92006@gmail.com</t>
  </si>
  <si>
    <t>Quán Lào - Yên Định - Thanh Hoá</t>
  </si>
  <si>
    <t>https://drive.google.com/open?id=1a3O41jLKeUNaHBvTgOgOoANmriHZxi3q; https://drive.google.com/open?id=1fH7Em_x43ASaeupn67azgAtY1agXsnvN</t>
  </si>
  <si>
    <t>https://www.facebook.com/profile.php?id=100067181405777&amp;mibextid=ZbWKwL</t>
  </si>
  <si>
    <r>
      <rPr>
        <sz val="12"/>
        <color theme="1"/>
        <rFont val="Times New Roman"/>
        <family val="1"/>
      </rPr>
      <t xml:space="preserve">Trần Việt Dũng </t>
    </r>
    <r>
      <rPr>
        <sz val="12"/>
        <color rgb="FFFF0000"/>
        <rFont val="Times New Roman"/>
        <family val="1"/>
      </rPr>
      <t>(hợp đồng)</t>
    </r>
  </si>
  <si>
    <t>xóm 5 thôn Tài Giá xã Quỳnh Hưng huyện Quỳnh Phụ tỉnh Thái Bình</t>
  </si>
  <si>
    <t>07/07/2024 và 11/07/2024</t>
  </si>
  <si>
    <t>https://drive.google.com/open?id=1F1AkfbhqWzQo1GyjucBRHqV7XxTiURM5; https://drive.google.com/open?id=1_II5zW8CzsQTQ4IWCD6QuV51PNhAveI1</t>
  </si>
  <si>
    <t xml:space="preserve">Minh Dương, Hoài Đức, Lâm Hà, Lâm Đồng
</t>
  </si>
  <si>
    <t>https://www.facebook.com/profile.php?id=100055516715457&amp;mibextid=LQQJ4d</t>
  </si>
  <si>
    <r>
      <rPr>
        <sz val="12"/>
        <color theme="1"/>
        <rFont val="Times New Roman"/>
        <family val="1"/>
      </rPr>
      <t xml:space="preserve">Bùi Quang Huy </t>
    </r>
    <r>
      <rPr>
        <sz val="12"/>
        <color rgb="FFFF0000"/>
        <rFont val="Times New Roman"/>
        <family val="1"/>
      </rPr>
      <t>(hợp đồng)</t>
    </r>
  </si>
  <si>
    <t>buiquanghuytd0512@gmail.com</t>
  </si>
  <si>
    <t>Cổng chào xóm 6 cũ,xã Thanh Lương, huyện Thanh Chương, tỉnh Nghệ An</t>
  </si>
  <si>
    <t>https://drive.google.com/open?id=1BQiwl8pWG6rfhjH6DrYzo4GWGVoiQ_HB; https://drive.google.com/open?id=1XvPyGcyZEGbrLCw1ABiQ2hnVE6rxW0lM, https://drive.google.com/open?id=1BV4_hgr1Vm8OUisX7KOCqisgnFT0ijgU, https://drive.google.com/open?id=1ELY45gwXdVxby8TX1LsSVAnOz2YZSA6x</t>
  </si>
  <si>
    <t>https://www.facebook.com/duong.nguyenthien.775?mibextid=JRoKGi</t>
  </si>
  <si>
    <r>
      <rPr>
        <sz val="12"/>
        <color theme="1"/>
        <rFont val="Times New Roman"/>
        <family val="1"/>
      </rPr>
      <t xml:space="preserve">Nguyễn Thiên Dương </t>
    </r>
    <r>
      <rPr>
        <sz val="12"/>
        <color rgb="FFFF0000"/>
        <rFont val="Times New Roman"/>
        <family val="1"/>
      </rPr>
      <t>(hợp đồng)</t>
    </r>
  </si>
  <si>
    <t>nguyenthienduong21092006@gmail.com</t>
  </si>
  <si>
    <t xml:space="preserve">Khu phố 2 Thị Trấn Bến Sung Như Thanh Thanh Hoá </t>
  </si>
  <si>
    <t>https://drive.google.com/open?id=1uJmcdWJgNKgVqQmlarFHISANVJpL_9KE, https://drive.google.com/open?id=1QEG1DrKdCp7rdpjEhWYL7KscGlhgCdOi</t>
  </si>
  <si>
    <t>Trịnh Thị Phương Thảo</t>
  </si>
  <si>
    <t>đội 5 thôn trà lâm xã hiệp cường huyện kim động tỉnh hưng yên</t>
  </si>
  <si>
    <t>https://www.facebook.com/profile.php?id=100042510983495</t>
  </si>
  <si>
    <r>
      <rPr>
        <sz val="12"/>
        <color theme="1"/>
        <rFont val="Times New Roman"/>
        <family val="1"/>
      </rPr>
      <t xml:space="preserve">Trần Nữ Bích Tuyền </t>
    </r>
    <r>
      <rPr>
        <sz val="12"/>
        <color rgb="FFFF0000"/>
        <rFont val="Times New Roman"/>
        <family val="1"/>
      </rPr>
      <t>036899663 và 373407195</t>
    </r>
  </si>
  <si>
    <t>tuyentran190306@gmail.com</t>
  </si>
  <si>
    <t xml:space="preserve">Thôn Vĩnh Thành, Xã Cát Tài, Huyện Phù Cát, Tỉnh Bình Định </t>
  </si>
  <si>
    <t>https://drive.google.com/open?id=1IgWsmH3H1Jlt-VbhJVYCX6MarnCmmm75; https://drive.google.com/open?id=1ga76NZ7RLA7dtSbW-Y0zi1d1XWkrCv2d</t>
  </si>
  <si>
    <r>
      <rPr>
        <sz val="12"/>
        <color theme="1"/>
        <rFont val="Times New Roman"/>
        <family val="1"/>
      </rPr>
      <t xml:space="preserve">U Thuý An </t>
    </r>
    <r>
      <rPr>
        <sz val="12"/>
        <color rgb="FFFF0000"/>
        <rFont val="Times New Roman"/>
        <family val="1"/>
      </rPr>
      <t>(hợp đồng)</t>
    </r>
  </si>
  <si>
    <t>https://www.facebook.com/profile.php?id=100076003883858</t>
  </si>
  <si>
    <r>
      <rPr>
        <sz val="12"/>
        <color theme="1"/>
        <rFont val="Times New Roman"/>
        <family val="1"/>
      </rPr>
      <t xml:space="preserve">Kiều Thị Hà Anh </t>
    </r>
    <r>
      <rPr>
        <sz val="12"/>
        <color rgb="FFFF0000"/>
        <rFont val="Times New Roman"/>
        <family val="1"/>
      </rPr>
      <t>(hợp đồng)</t>
    </r>
  </si>
  <si>
    <t xml:space="preserve">kieuhaanh2006@gmail.com </t>
  </si>
  <si>
    <t xml:space="preserve">Nhà số 3, BT9, Khu đô thị HUD Vân Canh, xã Vân Canh, huyện Hoài Đức, Hà Nội </t>
  </si>
  <si>
    <t>03/07/2024 và 19/07/2024</t>
  </si>
  <si>
    <t>https://drive.google.com/open?id=1tWxQzG4PgQVXabQepc6oH7RCLuIEp04_; https://drive.google.com/open?id=1UoyeIHOifr6_D_EukFfRxjYKFqiupIRh; https://drive.google.com/open?id=1Yc5-Q0h_Liz7yNnpDNpECPxpo6pEjCbb</t>
  </si>
  <si>
    <t>https://www.facebook.com/phu.nguyenmanh.370515?mibextid=LQQJ4d</t>
  </si>
  <si>
    <r>
      <rPr>
        <sz val="12"/>
        <color theme="1"/>
        <rFont val="Times New Roman"/>
        <family val="1"/>
      </rPr>
      <t>Nguyễn Mạnh Phú</t>
    </r>
    <r>
      <rPr>
        <sz val="12"/>
        <color rgb="FFFF0000"/>
        <rFont val="Times New Roman"/>
        <family val="1"/>
      </rPr>
      <t xml:space="preserve"> - (hợp đồng)</t>
    </r>
  </si>
  <si>
    <t>08, ngách 2, ngõ 14, đường Nguyễn Trung Thiên, thành phố Hà Tĩnh, tỉnh Hà Tĩnh</t>
  </si>
  <si>
    <t>08/07/2024 và 10/07/2024</t>
  </si>
  <si>
    <t>https://drive.google.com/open?id=1qgzU-pFW5ph0U0WeGRYLyyQF4pSXiVlG; https://drive.google.com/open?id=1EUHgXo_-3eJ4MKrDKDJ5tbjL5tNYr3CL; https://drive.google.com/open?id=1ANUW5-o8HJcdcbiRxYD2NQ2UOwiWDmkb</t>
  </si>
  <si>
    <r>
      <rPr>
        <sz val="12"/>
        <color theme="1"/>
        <rFont val="Times New Roman"/>
        <family val="1"/>
      </rPr>
      <t xml:space="preserve">Vũ Mai Trang </t>
    </r>
    <r>
      <rPr>
        <sz val="12"/>
        <color rgb="FFFF0000"/>
        <rFont val="Times New Roman"/>
        <family val="1"/>
      </rPr>
      <t>(hợp đồng) T220</t>
    </r>
  </si>
  <si>
    <t>số nhà 21, ngõ 94 Ngọc Hà , Phường Đội Cấn, Ba Đình Hà Nội</t>
  </si>
  <si>
    <r>
      <rPr>
        <sz val="12"/>
        <color theme="1"/>
        <rFont val="Times New Roman"/>
        <family val="1"/>
      </rPr>
      <t xml:space="preserve">Nguyễn Thị Lan Anh </t>
    </r>
    <r>
      <rPr>
        <sz val="12"/>
        <color rgb="FFFF0000"/>
        <rFont val="Times New Roman"/>
        <family val="1"/>
      </rPr>
      <t>(hợp đồng)</t>
    </r>
  </si>
  <si>
    <t xml:space="preserve">Tổ Dân Phố 3-Thị Trấn Kbang-Huyện Kbang-Tỉnh Gia Lai </t>
  </si>
  <si>
    <r>
      <rPr>
        <sz val="12"/>
        <color theme="1"/>
        <rFont val="Times New Roman"/>
        <family val="1"/>
      </rPr>
      <t xml:space="preserve">Phạm Thị Loan </t>
    </r>
    <r>
      <rPr>
        <sz val="12"/>
        <color rgb="FFFF0000"/>
        <rFont val="Times New Roman"/>
        <family val="1"/>
      </rPr>
      <t>(hợp đồng)</t>
    </r>
  </si>
  <si>
    <t xml:space="preserve"> Làng Hố Bông - Thôn Mỏ Sẻ - Xã Vô Tranh - Huyện Lục Nam - Tỉnh Bắc Giang</t>
  </si>
  <si>
    <t>https://www.facebook.com/nnp1712?mibextid=LQQJ4d</t>
  </si>
  <si>
    <r>
      <rPr>
        <sz val="12"/>
        <color theme="1"/>
        <rFont val="Times New Roman"/>
        <family val="1"/>
      </rPr>
      <t xml:space="preserve">Nguyễn Nguyên Phi </t>
    </r>
    <r>
      <rPr>
        <sz val="12"/>
        <color rgb="FFFF0000"/>
        <rFont val="Times New Roman"/>
        <family val="1"/>
      </rPr>
      <t>(hợp đồng)</t>
    </r>
  </si>
  <si>
    <t>hinguyennguyen87@gmail.com</t>
  </si>
  <si>
    <t>Làng Móng-xã Hoàn Sơn-huyện Tiên Du-tỉnh Bắc Ninh</t>
  </si>
  <si>
    <t>https://drive.google.com/open?id=12tJNMJvWbePIOIiOklUfOeyLmNCHzCMU; https://drive.google.com/open?id=19DaAEg1C3HqRoZPq0W6UET1lY7FOlbaz</t>
  </si>
  <si>
    <t>https://www.facebook.com/profile.php?id=100059169914982</t>
  </si>
  <si>
    <t>Huỳnh Hoàng Phúc</t>
  </si>
  <si>
    <t xml:space="preserve">phuchuynh200694@gmail.com </t>
  </si>
  <si>
    <t xml:space="preserve">Ấp 4 Phong Thạnh Tây- Giá Rai - Bạc Liêu </t>
  </si>
  <si>
    <t>09/07/2024 và 14/07/2024</t>
  </si>
  <si>
    <t>https://drive.google.com/open?id=1JAFRvsbRZ07zKab8IrDUGbyxHpAKTviU; https://drive.google.com/open?id=1xTJ4untEdwNQ-RqvDloW9ttP4lZ-ADYF</t>
  </si>
  <si>
    <t>https://www.facebook.com/ngocnhine846?mibextid=LQQJ4d</t>
  </si>
  <si>
    <r>
      <rPr>
        <sz val="12"/>
        <color theme="1"/>
        <rFont val="Times New Roman"/>
        <family val="1"/>
      </rPr>
      <t xml:space="preserve">Hà Ngọc Nhi </t>
    </r>
    <r>
      <rPr>
        <sz val="12"/>
        <color rgb="FFFF0000"/>
        <rFont val="Times New Roman"/>
        <family val="1"/>
      </rPr>
      <t>(hợp đồng)</t>
    </r>
  </si>
  <si>
    <t>Ngocnhi.contact@gmail.com</t>
  </si>
  <si>
    <t>2/45 Cầu Cáp, Lam Sơn, Lê Chân, HP</t>
  </si>
  <si>
    <t>https://drive.google.com/open?id=1YlN5t5jj9LWTr7MZbDYtX-5x14SQBjSI; https://drive.google.com/open?id=1JIQmc0B92uC2JoaVF5w8Au8oYKa5Qui3</t>
  </si>
  <si>
    <r>
      <rPr>
        <sz val="12"/>
        <color theme="1"/>
        <rFont val="Times New Roman"/>
        <family val="1"/>
      </rPr>
      <t xml:space="preserve">Phạm Quốc Hinh </t>
    </r>
    <r>
      <rPr>
        <sz val="12"/>
        <color rgb="FFFF0000"/>
        <rFont val="Times New Roman"/>
        <family val="1"/>
      </rPr>
      <t>(hợp đồng)</t>
    </r>
  </si>
  <si>
    <t>Xóm 5,Kim Hải,Kim Sơn,NB</t>
  </si>
  <si>
    <t>https://www.facebook.com/profile.php?id=100083379643598</t>
  </si>
  <si>
    <r>
      <rPr>
        <sz val="12"/>
        <color theme="1"/>
        <rFont val="Times New Roman"/>
        <family val="1"/>
      </rPr>
      <t xml:space="preserve">Dương Thị Hạnh </t>
    </r>
    <r>
      <rPr>
        <sz val="12"/>
        <color rgb="FFFF0000"/>
        <rFont val="Times New Roman"/>
        <family val="1"/>
      </rPr>
      <t>(hợp đồng)</t>
    </r>
  </si>
  <si>
    <t>Tư Thế - Trí Quả - Thuận Thành - Bắc Ninh</t>
  </si>
  <si>
    <t>https://drive.google.com/open?id=1cVEjlAR7-GmGAg_azL8Tj5Gp-kPvQStD; https://drive.google.com/open?id=1v8zlY0OG0pUSNyk_Gs7F_R8xoWXZkrBw</t>
  </si>
  <si>
    <t>https://www.facebook.com/profile.php?id=100063559850743&amp;mibextid=ZbWKwL</t>
  </si>
  <si>
    <r>
      <rPr>
        <sz val="12"/>
        <color theme="1"/>
        <rFont val="Times New Roman"/>
        <family val="1"/>
      </rPr>
      <t xml:space="preserve">Nguyễn Thùy Trang </t>
    </r>
    <r>
      <rPr>
        <sz val="12"/>
        <color rgb="FFFF0000"/>
        <rFont val="Times New Roman"/>
        <family val="1"/>
      </rPr>
      <t>(hợp đồng)</t>
    </r>
  </si>
  <si>
    <t>trangnghm345@gmail.com</t>
  </si>
  <si>
    <t>số nhà 37, ngõ 1, đường 4c, thôn 4, Hát Môn, Phúc Thọ, Hà Nội</t>
  </si>
  <si>
    <t>https://drive.google.com/open?id=1-ldHCyaBgbvBezS7AyjHnHJGcFQdq8eE</t>
  </si>
  <si>
    <r>
      <rPr>
        <sz val="12"/>
        <color theme="1"/>
        <rFont val="Times New Roman"/>
        <family val="1"/>
      </rPr>
      <t xml:space="preserve">Nguyễn Ngọc Hà Anh </t>
    </r>
    <r>
      <rPr>
        <sz val="12"/>
        <color rgb="FFFF0000"/>
        <rFont val="Times New Roman"/>
        <family val="1"/>
      </rPr>
      <t>(hợp đồng)</t>
    </r>
  </si>
  <si>
    <t>số nhà 27 - Yên Lã - Tân Hồng - Từ Sơn - Bắc Ninh</t>
  </si>
  <si>
    <r>
      <rPr>
        <sz val="12"/>
        <color theme="1"/>
        <rFont val="Times New Roman"/>
        <family val="1"/>
      </rPr>
      <t xml:space="preserve">Nguyễn Thị Như Quỳnh </t>
    </r>
    <r>
      <rPr>
        <sz val="12"/>
        <color rgb="FFFF0000"/>
        <rFont val="Times New Roman"/>
        <family val="1"/>
      </rPr>
      <t>- 0949604233 số cũ</t>
    </r>
  </si>
  <si>
    <t>Ngã 3 ngặt kéo nam hồng nam trực nam định</t>
  </si>
  <si>
    <r>
      <rPr>
        <sz val="12"/>
        <color theme="1"/>
        <rFont val="Times New Roman"/>
        <family val="1"/>
      </rPr>
      <t xml:space="preserve">Nguyễn Thị Thảo Hương </t>
    </r>
    <r>
      <rPr>
        <sz val="12"/>
        <color rgb="FFFF0000"/>
        <rFont val="Times New Roman"/>
        <family val="1"/>
      </rPr>
      <t>(hợp đồng)</t>
    </r>
  </si>
  <si>
    <t>https://www.facebook.com/profile.php?id=100038496949033&amp;mibextid=LQQJ4d</t>
  </si>
  <si>
    <r>
      <rPr>
        <sz val="12"/>
        <color theme="1"/>
        <rFont val="Times New Roman"/>
        <family val="1"/>
      </rPr>
      <t xml:space="preserve">Ngô Như Ý </t>
    </r>
    <r>
      <rPr>
        <sz val="12"/>
        <color rgb="FFFF0000"/>
        <rFont val="Times New Roman"/>
        <family val="1"/>
      </rPr>
      <t>(hợp đồng)</t>
    </r>
  </si>
  <si>
    <t>nny25012006@gmail.com</t>
  </si>
  <si>
    <t>Số 328, Hoàng Công Khanh, Lãm Hà, Kiến An, Hải Phòng</t>
  </si>
  <si>
    <t>10/07/2024 và 12/07/2024 và 09/08/2024</t>
  </si>
  <si>
    <t>https://drive.google.com/open?id=1b1pdIYjcaVZzvRWUokcGfvMqwx0zRKeP; https://drive.google.com/open?id=15Q9AzagyPiZo4mkbaXGPl0En390dxHHS; https://drive.google.com/open?id=1lcVpCf2muVxwCIZjBKanmyc88pPU70nj; https://drive.google.com/open?id=1MLNgSSDu7thQyDggQCAaEU-uC1V8VUlC</t>
  </si>
  <si>
    <t>https://www.facebook.com/profile.php?id=100061145917880&amp;mibextid=ZbWKwL</t>
  </si>
  <si>
    <r>
      <rPr>
        <sz val="12"/>
        <color theme="1"/>
        <rFont val="Times New Roman"/>
        <family val="1"/>
      </rPr>
      <t xml:space="preserve">Dương Tuấn Vũ </t>
    </r>
    <r>
      <rPr>
        <sz val="12"/>
        <color rgb="FFFF0000"/>
        <rFont val="Times New Roman"/>
        <family val="1"/>
      </rPr>
      <t>(hợp đồng)</t>
    </r>
  </si>
  <si>
    <t xml:space="preserve">lokfaire90@gmail.com </t>
  </si>
  <si>
    <t xml:space="preserve">Số 108/253, đường Hưng Yên, phường Lộc Vượng, TP. Nam Định - tỉnh Nam Định </t>
  </si>
  <si>
    <t>11/07/2024 và 16/07/2024</t>
  </si>
  <si>
    <t>https://drive.google.com/open?id=1_qPHd0UZ0D7F6kjaiDFaa6-1i3CzBl1d; https://drive.google.com/open?id=1PbrEoSR5pXy0KkV04hpt2BObTw38v4nG; https://drive.google.com/open?id=1isqbVLBs23fV06KBWFAPBtRW5Uwi9wLw</t>
  </si>
  <si>
    <t>https://www.facebook.com/thichnhungmakonoidau</t>
  </si>
  <si>
    <r>
      <rPr>
        <sz val="12"/>
        <color theme="1"/>
        <rFont val="Times New Roman"/>
        <family val="1"/>
      </rPr>
      <t xml:space="preserve">Kim Thị Ngọc Thanh </t>
    </r>
    <r>
      <rPr>
        <sz val="12"/>
        <color rgb="FFFF0000"/>
        <rFont val="Times New Roman"/>
        <family val="1"/>
      </rPr>
      <t xml:space="preserve"> (hợp đồng)</t>
    </r>
  </si>
  <si>
    <t xml:space="preserve">ktnthanh285@gmail.com </t>
  </si>
  <si>
    <t>Xóm Thượng, thôn Phú Hữu, xã Bột Xuyên, huyện Mỹ Đức, thành phố Hà Nội</t>
  </si>
  <si>
    <t>https://drive.google.com/open?id=1r8j7FkK7ywdkWXVMJxCiftS1V-hJ1VEM; https://drive.google.com/open?id=1WHxrzDTw2rQEtdNi1ch-C4rWZYnaHuhr; https://drive.google.com/open?id=1j-GOmNcEqJ82viwk6XKhcnhWneKzU6n5</t>
  </si>
  <si>
    <t>https://www.facebook.com/kophaidinhkien</t>
  </si>
  <si>
    <r>
      <rPr>
        <sz val="12"/>
        <color theme="1"/>
        <rFont val="Times New Roman"/>
        <family val="1"/>
      </rPr>
      <t xml:space="preserve">Đinh Văn Kiên </t>
    </r>
    <r>
      <rPr>
        <sz val="12"/>
        <color rgb="FFFF0000"/>
        <rFont val="Times New Roman"/>
        <family val="1"/>
      </rPr>
      <t>(hợp đồng) 0382355206 số cũ</t>
    </r>
  </si>
  <si>
    <t>trantienphuc37@gmail.com</t>
  </si>
  <si>
    <t>15 Trần Khắc Chung, phường Cẩm Thượng, Tp Hải Dương</t>
  </si>
  <si>
    <r>
      <rPr>
        <u/>
        <sz val="12"/>
        <color rgb="FF1155CC"/>
        <rFont val="Times New Roman"/>
        <family val="1"/>
      </rPr>
      <t xml:space="preserve">https://drive.google.com/open?id=1fArzfS5K0GcNJ4YwysKwNVhyTJ5H7EZU; https://drive.google.com/open?id=1rrDFdkuWgwv9EVw4DOfYXO6Gt0LYPC8W; https://drive.google.com/open?id=1x86K1ap9yS6pe53W52Beu8EWV5Zhle21, </t>
    </r>
    <r>
      <rPr>
        <u/>
        <sz val="12"/>
        <color rgb="FF1155CC"/>
        <rFont val="Times New Roman"/>
        <family val="1"/>
      </rPr>
      <t>https://drive.google.com/open?id=1YBLCsVf6LWs3qZCcplXRlpS9Yt6Z8kGv</t>
    </r>
  </si>
  <si>
    <t>https://www.facebook.com/profile.php?id=100030565608851&amp;mibextid=LQQJ4d</t>
  </si>
  <si>
    <r>
      <rPr>
        <sz val="12"/>
        <color theme="1"/>
        <rFont val="Times New Roman"/>
        <family val="1"/>
      </rPr>
      <t>Nguyễn Đăng Hưng Tùng</t>
    </r>
    <r>
      <rPr>
        <sz val="12"/>
        <color rgb="FFFF0000"/>
        <rFont val="Times New Roman"/>
        <family val="1"/>
      </rPr>
      <t xml:space="preserve"> (hợp đồng) OT24</t>
    </r>
  </si>
  <si>
    <t xml:space="preserve"> tunghung333@gmail.com</t>
  </si>
  <si>
    <t>158, ngõ 8 đường Lê Quang Đạo, phường Phú Đô, Nam Từ Liêm</t>
  </si>
  <si>
    <t>11/07/2024 và 01/08/2024</t>
  </si>
  <si>
    <t>https://drive.google.com/open?id=1qUfiMCFRuWUGSn2w33En8IK7Fi6lekiE; https://drive.google.com/open?id=1OjtdbW3vpnKEweUH2MmZknCHO2DSUgKs</t>
  </si>
  <si>
    <t>Đỗ Xuyên - Quang Minh - Gia Lộc - Hải Dương</t>
  </si>
  <si>
    <t>https://www.facebook.com/profile.php?id=100057485294762</t>
  </si>
  <si>
    <r>
      <rPr>
        <sz val="12"/>
        <color theme="1"/>
        <rFont val="Times New Roman"/>
        <family val="1"/>
      </rPr>
      <t xml:space="preserve">Nguyễn Thị Hoài Anh </t>
    </r>
    <r>
      <rPr>
        <sz val="12"/>
        <color rgb="FFFF0000"/>
        <rFont val="Times New Roman"/>
        <family val="1"/>
      </rPr>
      <t>(hợp đồng)</t>
    </r>
  </si>
  <si>
    <t>xoaixankongoq4@gmail.com</t>
  </si>
  <si>
    <t>ki ốt 83,84 chợ thanh bình gần cổng 4 chợ thanh bình</t>
  </si>
  <si>
    <t>https://drive.google.com/open?id=1di3MEMmfEIK8crviVsI6ejKMt3LIF40_; https://drive.google.com/open?id=1Bvur9fuAH3xSdvfHbfsFMmuwM3LXXfmJ</t>
  </si>
  <si>
    <t>https://www.facebook.com/profile.php?id=100069689043114&amp;mibextid=LQQJ4d</t>
  </si>
  <si>
    <r>
      <rPr>
        <sz val="12"/>
        <color theme="1"/>
        <rFont val="Times New Roman"/>
        <family val="1"/>
      </rPr>
      <t xml:space="preserve">Nguyễn Thiện Bảo Nhi </t>
    </r>
    <r>
      <rPr>
        <sz val="12"/>
        <color rgb="FFFF0000"/>
        <rFont val="Times New Roman"/>
        <family val="1"/>
      </rPr>
      <t>(hợp đồng)</t>
    </r>
  </si>
  <si>
    <t xml:space="preserve">nhin38211@gmail.com </t>
  </si>
  <si>
    <t xml:space="preserve"> FPT plaza 2, Hào Hải, quận Ngũ Hành Sơn, Tp. Đà Nẵng </t>
  </si>
  <si>
    <t>11/07/2024 và 18/07/2024</t>
  </si>
  <si>
    <t>https://drive.google.com/open?id=1qMvazGuSzeBw-ZxQGZO6Ov1t0ozMuTJb; https://drive.google.com/open?id=1R-fi9XEhEnItNtTKlqEBIzmVK_gtqx34; https://drive.google.com/open?id=1b7fLzZV4DNoinnWTLIGwrrhVAtPlWX5N</t>
  </si>
  <si>
    <t>https://www.facebook.com/profile.php?id=100027632799025&amp;mibextid=ZbWKwL</t>
  </si>
  <si>
    <r>
      <rPr>
        <sz val="12"/>
        <color theme="1"/>
        <rFont val="Times New Roman"/>
        <family val="1"/>
      </rPr>
      <t xml:space="preserve">Bùi Hải Lý </t>
    </r>
    <r>
      <rPr>
        <sz val="12"/>
        <color rgb="FFFF0000"/>
        <rFont val="Times New Roman"/>
        <family val="1"/>
      </rPr>
      <t>(hợp đồng)</t>
    </r>
  </si>
  <si>
    <t xml:space="preserve">Buiduongbn1981@gmail.com </t>
  </si>
  <si>
    <t>Cáp Trại-Trung Kênh-Lương Tài-Bắc Ninh</t>
  </si>
  <si>
    <t>12/07/2024 và 19/07/2024</t>
  </si>
  <si>
    <t>https://drive.google.com/open?id=1_i5I7LyDLFK83L8J2vJ4ntTnRY82_uEt; https://drive.google.com/open?id=1w-7zCwsE96N1-QtKSN43dD_UArsCknT8; https://drive.google.com/open?id=12p2YA7ZsSIHTxMzWzlWmHEYV8O96GX1y, https://drive.google.com/open?id=1Jj1WFzf_wte6hrp6l-XG26Z7N5TFTdwZ</t>
  </si>
  <si>
    <t>https://www.facebook.com/profile.php?id=100041898588152&amp;mibextid=ZbWKwL</t>
  </si>
  <si>
    <r>
      <rPr>
        <sz val="12"/>
        <color theme="1"/>
        <rFont val="Times New Roman"/>
        <family val="1"/>
      </rPr>
      <t xml:space="preserve">Vũ Thị Hạnh </t>
    </r>
    <r>
      <rPr>
        <sz val="12"/>
        <color rgb="FFFF0000"/>
        <rFont val="Times New Roman"/>
        <family val="1"/>
      </rPr>
      <t>- hợp đồng</t>
    </r>
  </si>
  <si>
    <t>Ngọc Anh</t>
  </si>
  <si>
    <t>hanhvu2006nd@gmail.com</t>
  </si>
  <si>
    <t>Xóm15, thôn Tây Lạc, xã Đồng Sơn, huyện Nam Trực, tỉnh Nam Định</t>
  </si>
  <si>
    <t>https://drive.google.com/open?id=1SR_1aPFoVn9GLBDzvlZZAOMcw1izVbPP; https://drive.google.com/open?id=1ZgJKA3ATaJPkRHLcrDa1yCcJOS9ef0mh; https://drive.google.com/open?id=1WPqW5pJncshOu6bYu3roIGJdGFr8-Ka5</t>
  </si>
  <si>
    <t>https://www.facebook.com/share/5K3u3L2inJeZnmtC/?mibextid=qi2Omg</t>
  </si>
  <si>
    <t>Nguyễn Cẩm Ly</t>
  </si>
  <si>
    <t>lynguyencam1102@gmail.com</t>
  </si>
  <si>
    <t>ố nhà 52- xóm Ven Đê- thôn Lực Canh- xã Xuân Canh- huyện Đông Anh- thành phố Hà Nội</t>
  </si>
  <si>
    <t>https://drive.google.com/open?id=1kXXEwEVGVJCSdchwyB1I_xZRskZIZ5hV</t>
  </si>
  <si>
    <t>https://www.facebook.com/profile.php?id=100065490800509&amp;mibextid=ZbWKwL</t>
  </si>
  <si>
    <r>
      <rPr>
        <sz val="12"/>
        <color theme="1"/>
        <rFont val="Times New Roman"/>
        <family val="1"/>
      </rPr>
      <t xml:space="preserve">Ngô Thị Ngọc Linh </t>
    </r>
    <r>
      <rPr>
        <sz val="12"/>
        <color rgb="FFFF0000"/>
        <rFont val="Times New Roman"/>
        <family val="1"/>
      </rPr>
      <t>(hợp đồng)</t>
    </r>
  </si>
  <si>
    <t>ngoclinh2372006@gmail.com</t>
  </si>
  <si>
    <t>Lý Viên, Bắc Lý, Hiệp Hoà, Bắc Giang</t>
  </si>
  <si>
    <t>https://drive.google.com/open?id=1gv2kfh0PmqiGkFUCqhM15CRt_Apg3h_H; https://drive.google.com/open?id=1XH6CXwf2zObIFkatgLNBo33xVBVWEYqk</t>
  </si>
  <si>
    <r>
      <rPr>
        <sz val="12"/>
        <color theme="1"/>
        <rFont val="Times New Roman"/>
        <family val="1"/>
      </rPr>
      <t xml:space="preserve">Nguyễn Phương Hà </t>
    </r>
    <r>
      <rPr>
        <sz val="12"/>
        <color rgb="FFFF0000"/>
        <rFont val="Times New Roman"/>
        <family val="1"/>
      </rPr>
      <t>(hợp đồng)</t>
    </r>
  </si>
  <si>
    <t>SN 141 tổ 9 phường Quỳnh Lâm, tp Hoà Bình, tỉnh Hoà Bình</t>
  </si>
  <si>
    <t>https://www.facebook.com/ptpthao0311?mibextid=LQQJ4d</t>
  </si>
  <si>
    <r>
      <rPr>
        <sz val="12"/>
        <color theme="1"/>
        <rFont val="Times New Roman"/>
        <family val="1"/>
      </rPr>
      <t>Phùng Thị Phương Thảo</t>
    </r>
    <r>
      <rPr>
        <sz val="12"/>
        <color rgb="FFFF0000"/>
        <rFont val="Times New Roman"/>
        <family val="1"/>
      </rPr>
      <t xml:space="preserve"> (hợp đồng) Sách cũ</t>
    </r>
  </si>
  <si>
    <t>phungphuongthao.2006@gmai.com</t>
  </si>
  <si>
    <t xml:space="preserve">Số nhà 31 ngách 2 ngõ 76 Vĩnh Hưng, Hoàng Mai, Hà Nội </t>
  </si>
  <si>
    <t>12/07/2024 và 15/07/2024</t>
  </si>
  <si>
    <t>https://drive.google.com/open?id=1NV2TgBdcRlufwVD4ObwH-pNQExojvO45; https://drive.google.com/open?id=1wMegiTJUTbw6V_Si7LZs9_x21ElcfM9y; https://drive.google.com/open?id=1nz7SiODgYwQNtMlrGM7SHa5oPxlHz04F</t>
  </si>
  <si>
    <t>https://www.facebook.com/zz.hhaiuwu?mibextid=LQQJ4d</t>
  </si>
  <si>
    <r>
      <rPr>
        <sz val="12"/>
        <color theme="1"/>
        <rFont val="Times New Roman"/>
        <family val="1"/>
      </rPr>
      <t xml:space="preserve">Cù Thị Hồng Hải </t>
    </r>
    <r>
      <rPr>
        <sz val="12"/>
        <color rgb="FFFF0000"/>
        <rFont val="Times New Roman"/>
        <family val="1"/>
      </rPr>
      <t>(hợp đồng) PT90</t>
    </r>
  </si>
  <si>
    <t>hghaii2006@gmail.com</t>
  </si>
  <si>
    <t>Địa chỉ nhận sách: Số nhà 3, Ngõ 2 Đường Khe Vàng, Hoa Sơn, Nam Sơn, Sóc Sơn, Hà Nội</t>
  </si>
  <si>
    <t>12/07/2024 và 14/07/2024</t>
  </si>
  <si>
    <t>https://drive.google.com/open?id=1FtvgoVRUOZWmU0L_5BidRwMDnBn2xjwT; https://drive.google.com/open?id=1Tpl7brGVfRttJT7yshU-M348moP6Nph1</t>
  </si>
  <si>
    <t>Bùi Thảo Vân</t>
  </si>
  <si>
    <t>https://www.facebook.com/Hoasen.212?mibextid=kFxxJD</t>
  </si>
  <si>
    <r>
      <rPr>
        <sz val="12"/>
        <color theme="1"/>
        <rFont val="Times New Roman"/>
        <family val="1"/>
      </rPr>
      <t xml:space="preserve">Nguyễn Thùy Diễm </t>
    </r>
    <r>
      <rPr>
        <sz val="12"/>
        <color rgb="FFFF0000"/>
        <rFont val="Times New Roman"/>
        <family val="1"/>
      </rPr>
      <t>(hợp đồng)</t>
    </r>
  </si>
  <si>
    <t>35 Trần Phú Hai Riêng Sông Hinh Phú Yên</t>
  </si>
  <si>
    <t>https://drive.google.com/open?id=15PhF0LwZ-DbhFWFvgml0kYU08OtFBCke; https://drive.google.com/open?id=1zgm81JAvz0dsY7-29iMykfROvFQKxyRk</t>
  </si>
  <si>
    <t>https://www.facebook.com/profile.php?id=100069681955399</t>
  </si>
  <si>
    <r>
      <rPr>
        <sz val="12"/>
        <color theme="1"/>
        <rFont val="Times New Roman"/>
        <family val="1"/>
      </rPr>
      <t xml:space="preserve">Nguyễn Đức Hiệp </t>
    </r>
    <r>
      <rPr>
        <sz val="12"/>
        <color rgb="FFFF0000"/>
        <rFont val="Times New Roman"/>
        <family val="1"/>
      </rPr>
      <t>- hợp đồng</t>
    </r>
  </si>
  <si>
    <t>nghiep9apc@gmail.com</t>
  </si>
  <si>
    <t>đội 10, thôn Bến, xã Phụng Công, huyện Văn Giang, tỉnh Hưng Yên.</t>
  </si>
  <si>
    <t>https://drive.google.com/open?id=1bjOmsMdOMKhdFB2fMX7ZgBi-sC-hWJZl;https://drive.google.com/open?id=1A4bRqGDxQB2Ny1VEpdIDGMGIDIJOJRBO</t>
  </si>
  <si>
    <t>OT25 bảo lưu b7</t>
  </si>
  <si>
    <t>https://www.facebook.com/profile.php?id=100037133753499&amp;locale=vi_VN</t>
  </si>
  <si>
    <r>
      <rPr>
        <sz val="12"/>
        <color theme="1"/>
        <rFont val="Times New Roman"/>
        <family val="1"/>
      </rPr>
      <t>Dương Thu Trang</t>
    </r>
    <r>
      <rPr>
        <sz val="12"/>
        <color rgb="FFFF0000"/>
        <rFont val="Times New Roman"/>
        <family val="1"/>
      </rPr>
      <t xml:space="preserve"> (hợp đồng) T222 - KO học nữa</t>
    </r>
  </si>
  <si>
    <t>dtrang0209@gmail.com</t>
  </si>
  <si>
    <t>thôn đại độ xã võng la huyện đông anh tp hà nội</t>
  </si>
  <si>
    <t>13/07/2024 và 20/07/2024</t>
  </si>
  <si>
    <t>https://drive.google.com/open?id=1orT1ULMAG9ARQcl5E6gZmxCTIrG3bSf0; https://drive.google.com/open?id=1WXgjT7afZFjrsN-lgxMcyQnkXt1dXzMO</t>
  </si>
  <si>
    <t>https://www.facebook.com/profile.php?id=100035885253504&amp;mibextid=ZbWKwL</t>
  </si>
  <si>
    <r>
      <rPr>
        <sz val="12"/>
        <color theme="1"/>
        <rFont val="Times New Roman"/>
        <family val="1"/>
      </rPr>
      <t xml:space="preserve">Đinh Thị Hiền </t>
    </r>
    <r>
      <rPr>
        <sz val="12"/>
        <color rgb="FFFF0000"/>
        <rFont val="Times New Roman"/>
        <family val="1"/>
      </rPr>
      <t>(hợp đồng)</t>
    </r>
  </si>
  <si>
    <t xml:space="preserve">sn 14 ngách 72/73/40 hoàng ngân nhân chính, thanh xuân </t>
  </si>
  <si>
    <t>10/07/2024 và 15/07/2024</t>
  </si>
  <si>
    <t>https://drive.google.com/open?id=1n8gI-aNXRmnJ8fieELuAF2WhkG1uMeoB; https://drive.google.com/open?id=1JXThu8loZPXHktj1mIJoFdbVAKM4KC45</t>
  </si>
  <si>
    <r>
      <rPr>
        <sz val="12"/>
        <color theme="1"/>
        <rFont val="Times New Roman"/>
        <family val="1"/>
      </rPr>
      <t xml:space="preserve">Trần Kim Ngân </t>
    </r>
    <r>
      <rPr>
        <sz val="12"/>
        <color rgb="FFFF0000"/>
        <rFont val="Times New Roman"/>
        <family val="1"/>
      </rPr>
      <t>(hợp đồng) PT92</t>
    </r>
  </si>
  <si>
    <t>Sn27, hồng thái,Hoàng Xá, Vân Đình, Ứng Hoà, Hà Nội</t>
  </si>
  <si>
    <r>
      <rPr>
        <sz val="12"/>
        <color theme="1"/>
        <rFont val="Times New Roman"/>
        <family val="1"/>
      </rPr>
      <t xml:space="preserve">Nguyễn Thị Yến </t>
    </r>
    <r>
      <rPr>
        <sz val="12"/>
        <color rgb="FFFF0000"/>
        <rFont val="Times New Roman"/>
        <family val="1"/>
      </rPr>
      <t xml:space="preserve">(hợp đồng ) </t>
    </r>
  </si>
  <si>
    <t xml:space="preserve">Đô Tân -Bắc Sơn -Sóc Sơn -Hà Nội </t>
  </si>
  <si>
    <r>
      <rPr>
        <sz val="12"/>
        <color theme="1"/>
        <rFont val="Times New Roman"/>
        <family val="1"/>
      </rPr>
      <t xml:space="preserve">Phùng Đức Hà </t>
    </r>
    <r>
      <rPr>
        <sz val="12"/>
        <color rgb="FFFF0000"/>
        <rFont val="Times New Roman"/>
        <family val="1"/>
      </rPr>
      <t>(hợp đồng)</t>
    </r>
  </si>
  <si>
    <t>tổ 1 TTNT Việt Lâm, Vị Xuyên, Hà Giang</t>
  </si>
  <si>
    <t>https://www.facebook.com/profile.php?id=100072704288188</t>
  </si>
  <si>
    <t>trandoanminhanh7@gmail.com</t>
  </si>
  <si>
    <t>Số 354, đường Mỹ Đình, phường Mỹ Đình 1, quận Nam Từ Liêm, Hà Nội</t>
  </si>
  <si>
    <t>15/07/2024 và 20/07/2024</t>
  </si>
  <si>
    <t>https://drive.google.com/open?id=1qAZKihbrpPsG359aJSKMQFlRBJlsVEv0; https://drive.google.com/open?id=1wfVs6koznmd3i_VGcLdkNATrWVr8n_5-; https://drive.google.com/open?id=17W-kLTAxLvunnFjvpaOIzbU4mz8sekkX</t>
  </si>
  <si>
    <t>https://www.facebook.com/profile.php?id=100026136255631</t>
  </si>
  <si>
    <t xml:space="preserve">Ngô Yến Chi </t>
  </si>
  <si>
    <t>anhtinh21052001@gmail.com</t>
  </si>
  <si>
    <t xml:space="preserve"> nhà 17 ngõ 401/99 xuân đỉnh, bắc từ liêm, hà nội</t>
  </si>
  <si>
    <t>13/07/2024 và 31/08/2024</t>
  </si>
  <si>
    <t>https://drive.google.com/open?id=1lPkVa68Px1dwEuKC3gctQ33lcfFwevOR; https://drive.google.com/open?id=1WDLnvRxfCaoZl54HbcMfVXydSW1iPWET</t>
  </si>
  <si>
    <t>https://www.facebook.com/profile.php?id=100049968621747</t>
  </si>
  <si>
    <r>
      <rPr>
        <sz val="12"/>
        <color theme="1"/>
        <rFont val="Times New Roman"/>
        <family val="1"/>
      </rPr>
      <t xml:space="preserve">Vương Thùy Dương  </t>
    </r>
    <r>
      <rPr>
        <sz val="12"/>
        <color rgb="FFFF0000"/>
        <rFont val="Times New Roman"/>
        <family val="1"/>
      </rPr>
      <t>(hợp đồng)</t>
    </r>
  </si>
  <si>
    <t xml:space="preserve">Hòa </t>
  </si>
  <si>
    <t>thuyduongz281126@gmail.com</t>
  </si>
  <si>
    <t>thượng lao - nam thanh - nam trực - nam định</t>
  </si>
  <si>
    <t>https://drive.google.com/open?id=1G_F1oW_7lJ-phO2QV6KT1nxlOJrRoJy5</t>
  </si>
  <si>
    <t>https://www.facebook.com/profile.php?id=100073241498766&amp;mibextid=LQQJ4d</t>
  </si>
  <si>
    <t>Nguyễn Đắc Bình</t>
  </si>
  <si>
    <t>Nhà 30, xóm Ngò, An Hạ, An Thương, Hoài Đức, Hà Nội</t>
  </si>
  <si>
    <t>https://drive.google.com/open?id=1ih_OOV8D2v2d-xF4JSqvwS1hdTZnCerA; https://drive.google.com/open?id=1NXDV4cHB06zzAQvHPq73l28ngJ5C0F8o</t>
  </si>
  <si>
    <t>https://www.facebook.com/profile.php?id=100049677888134&amp;mibextid=LQQJ4d</t>
  </si>
  <si>
    <t xml:space="preserve">Trịnh Thị Phương Thảo </t>
  </si>
  <si>
    <t>Thôn Tiến Thành -Hợp Lý- Triệu Sơn- Thanh Hóa</t>
  </si>
  <si>
    <t>https://drive.google.com/open?id=1HM9Mzm5yThnTzGOAO0kuVMQYiEbhj0b4</t>
  </si>
  <si>
    <t>https://www.facebook.com/nynhbong.cutevcll.888?mibextid=LQQJ4d</t>
  </si>
  <si>
    <r>
      <rPr>
        <sz val="12"/>
        <color theme="1"/>
        <rFont val="Times New Roman"/>
        <family val="1"/>
      </rPr>
      <t xml:space="preserve">Dương Khánh Linh </t>
    </r>
    <r>
      <rPr>
        <sz val="12"/>
        <color rgb="FFFF0000"/>
        <rFont val="Times New Roman"/>
        <family val="1"/>
      </rPr>
      <t>(hợp đồng)</t>
    </r>
  </si>
  <si>
    <t>Đối diện cổng trường tiểu học Hiệp Cường , xã Hiệp Cường , huyện Kim Động , tỉnh Hưng Yên</t>
  </si>
  <si>
    <t>https://drive.google.com/open?id=1IRgOv1MrwXot_rUClamKGWZ8HWwfSmML; https://drive.google.com/open?id=1-vUqq1ETuN6ayZY4hM0HHuoHfRZCcpvO, https://drive.google.com/open?id=1jbl6REOcVhAo1iCl9SpxldoBpxw_JJ_G</t>
  </si>
  <si>
    <t>https://www.facebook.com/profile.php?id=100056802892619&amp;mibextid=LQQJ4d</t>
  </si>
  <si>
    <t>Đỗ Đức Khoa</t>
  </si>
  <si>
    <t>dokhoa2111@gmail.com</t>
  </si>
  <si>
    <t>Nhà văn hoá thôn Lương Trạch, xã Thanh Lương, huyện Vĩnh Bảo, Hải Phòng</t>
  </si>
  <si>
    <t>16/07/2024 và 18/07/2024</t>
  </si>
  <si>
    <t>https://drive.google.com/open?id=1w_xfwTh2U5GfyXIoSX8zntmmuzks9BtP; https://drive.google.com/open?id=1k9ee9dE3kNAnlxDiEmBHT1mNZuvqEKQD; https://drive.google.com/open?id=1jao2cnB_Y26xiO26pKeWjY0eB49AkUw1</t>
  </si>
  <si>
    <t>https://www.facebook.com/profile.php?id=100078348354304</t>
  </si>
  <si>
    <r>
      <rPr>
        <sz val="12"/>
        <color theme="1"/>
        <rFont val="Times New Roman"/>
        <family val="1"/>
      </rPr>
      <t>Tô Minh Quang</t>
    </r>
    <r>
      <rPr>
        <sz val="12"/>
        <color rgb="FFFF0000"/>
        <rFont val="Times New Roman"/>
        <family val="1"/>
      </rPr>
      <t xml:space="preserve"> - đã nộp 300K 19/09/2024
T219 bảo lưu b17. Học T229 b16</t>
    </r>
  </si>
  <si>
    <t>tmqdzvcl@gmail.com</t>
  </si>
  <si>
    <t>Thôn Hoàng Xá-xã Lại Thượng-huyện Thạch Thất-Hà Nội</t>
  </si>
  <si>
    <t>30/06/2024 và 22/07/2024</t>
  </si>
  <si>
    <t>https://drive.google.com/open?id=17jwNIP7bUFZ4hiJE2p_WKlsaUjmHoroE; https://drive.google.com/open?id=1SsJ2YrErCGNmfTfFWKwx_6kzgSWd1Rx9; https://drive.google.com/open?id=1OEkC0N0Qg1yMv0xMGQSZruiplELdlLIW</t>
  </si>
  <si>
    <t>https://www.facebook.com/VTHMadridistaChicken2006?mibextid=LQQJ4d</t>
  </si>
  <si>
    <t>Vũ Thanh Hà</t>
  </si>
  <si>
    <t>jamesmichaelha@gmail.com</t>
  </si>
  <si>
    <t>số nhà 29 ngách 9 ngõ 381, Bạch Mai, quận Hai Bà Trưng, TP Hà Nội</t>
  </si>
  <si>
    <t>14/07/2024 và 20/07/2024</t>
  </si>
  <si>
    <t>https://drive.google.com/open?id=1fHVEwNx9gv1Po-NXeGyHbM0RLPN1NYIH; https://drive.google.com/open?id=1-MQXt1xHA8NrtBHGnPRfyPx1SzdAgPWA; https://drive.google.com/open?id=18f-CDJXQbrs8FK12wWP8PDRGQMxQLzc3, https://drive.google.com/open?id=1aSlgQw_Omju7cP7-cdXoSLrI7g8w07GM</t>
  </si>
  <si>
    <t>https://www.facebook.com/kozoumaru?mibextid=LQQJ4d</t>
  </si>
  <si>
    <r>
      <rPr>
        <sz val="12"/>
        <color theme="1"/>
        <rFont val="Times New Roman"/>
        <family val="1"/>
      </rPr>
      <t>Nguyễn Minh Hiệu</t>
    </r>
    <r>
      <rPr>
        <sz val="12"/>
        <color rgb="FFFF0000"/>
        <rFont val="Times New Roman"/>
        <family val="1"/>
      </rPr>
      <t xml:space="preserve"> - số cũ 976484705</t>
    </r>
  </si>
  <si>
    <t>vutuanhunghalai@gmail.com</t>
  </si>
  <si>
    <t>Mậu Yên 1, Hà Lai, Hà Trung, Thanh Hoá</t>
  </si>
  <si>
    <t>18/07/2024 và 20/07/2024</t>
  </si>
  <si>
    <t>https://drive.google.com/open?id=1Rz3ymlGWoLsez6F3WR-A96EYS_SvgbAG; https://drive.google.com/open?id=1dbv8Qb4cDjYAEu6XQZkzoAPSEkF7lB2W; https://drive.google.com/open?id=1QtjMJII66hPCJaQ36u74i87aUeqruFmP</t>
  </si>
  <si>
    <t>https://www.facebook.com/profile.php?id=100052806093629&amp;mibextid=LQQJ4d</t>
  </si>
  <si>
    <r>
      <rPr>
        <sz val="12"/>
        <color theme="1"/>
        <rFont val="Times New Roman"/>
        <family val="1"/>
      </rPr>
      <t xml:space="preserve">Trần Quang Huy </t>
    </r>
    <r>
      <rPr>
        <sz val="12"/>
        <color rgb="FFFF0000"/>
        <rFont val="Times New Roman"/>
        <family val="1"/>
      </rPr>
      <t>(hợp đồng)</t>
    </r>
  </si>
  <si>
    <t>Trhuy612@gmail.com</t>
  </si>
  <si>
    <t>Cây xăng Đại Thái - Đại Trà Đức - Đông Phương - Kiến Thuỵ - Hải Phòng</t>
  </si>
  <si>
    <t>https://drive.google.com/open?id=1szSv4RATWW4pDsAbpcd7hdUy8biErPwQ; https://drive.google.com/open?id=1YixlYF8BG7c9LaOLRq-n8ZxDbfabHT85, https://drive.google.com/open?id=1qVThTZfkDxCsU1EqzJvpdVLp5wrGggCn</t>
  </si>
  <si>
    <t>https://www.facebook.com/profile.php?id=100032381684683</t>
  </si>
  <si>
    <t>Phạm Tiến Đạt</t>
  </si>
  <si>
    <t>https://drive.google.com/open?id=1vf8WIzqyOK1mlvZCiTCQ3bGwMZYmLyx8; https://drive.google.com/open?id=1LKj5LxsAOaQ_U5L8CE5bewZGfUbKAmEu</t>
  </si>
  <si>
    <t>https://www.facebook.com/phuong.chi.18294053</t>
  </si>
  <si>
    <t>Nguyễn Phương Chi</t>
  </si>
  <si>
    <t>https://drive.google.com/open?id=1rKnevqzbHjbg_Pai5demsYt2EGAMzXf5; https://drive.google.com/open?id=1tj3ZYBGWjkCpZSB1AStOC3aTga81XpgV</t>
  </si>
  <si>
    <t>https://www.facebook.com/huz.huzq.06?mibextid=LQQJ4d</t>
  </si>
  <si>
    <r>
      <rPr>
        <sz val="12"/>
        <color theme="1"/>
        <rFont val="Times New Roman"/>
        <family val="1"/>
      </rPr>
      <t>Cao Huy Hùng</t>
    </r>
    <r>
      <rPr>
        <sz val="12"/>
        <color rgb="FFFF0000"/>
        <rFont val="Times New Roman"/>
        <family val="1"/>
      </rPr>
      <t xml:space="preserve"> (hợp đồng)</t>
    </r>
  </si>
  <si>
    <t>caohuyhung22@gmail.com</t>
  </si>
  <si>
    <t>Xóm 8 xã Giao Tiến huyện Giao Thủy tỉnh Nam Định</t>
  </si>
  <si>
    <t>18/07/2024 và 29/07/2024</t>
  </si>
  <si>
    <t>https://drive.google.com/open?id=10QODoNvjIyte2WGehyVHmn7EcmbAz0lI; https://drive.google.com/open?id=1HrTloP28QvZHzbfAMeMhXoIjxc6EtIUU; https://drive.google.com/open?id=1Z-4ukmwbzUx8ASxcjD7-D3sVDhWTj00t</t>
  </si>
  <si>
    <t>https://www.facebook.com/profile.php?id=100021535482052</t>
  </si>
  <si>
    <r>
      <rPr>
        <sz val="12"/>
        <color theme="1"/>
        <rFont val="Times New Roman"/>
        <family val="1"/>
      </rPr>
      <t xml:space="preserve">Đỗ Mai Nhung </t>
    </r>
    <r>
      <rPr>
        <sz val="12"/>
        <color rgb="FFFF0000"/>
        <rFont val="Times New Roman"/>
        <family val="1"/>
      </rPr>
      <t>(hợp đồng)</t>
    </r>
  </si>
  <si>
    <t>donhung15072006@gmail.com</t>
  </si>
  <si>
    <t>số nhà 224, tổ 9a , khu thanh xuân , phường gia cẩm , tp việt trì , tỉnh phú thọ</t>
  </si>
  <si>
    <t>18/07/2024 và 19/07/2024</t>
  </si>
  <si>
    <t>https://drive.google.com/open?id=14gqS3-vDNw4S90HELbwHzQwb2HgZdx8w; https://drive.google.com/open?id=1JnWPT38TqO4N48FBD3x8RZo4i_moMdXs; https://drive.google.com/open?id=1eWoQ0s1aZbBftqzBrMlr1xPKYx2o69yA</t>
  </si>
  <si>
    <r>
      <rPr>
        <sz val="12"/>
        <color theme="1"/>
        <rFont val="Times New Roman"/>
        <family val="1"/>
      </rPr>
      <t xml:space="preserve">Trần Thị Thu Ngân </t>
    </r>
    <r>
      <rPr>
        <sz val="12"/>
        <color rgb="FFFF0000"/>
        <rFont val="Times New Roman"/>
        <family val="1"/>
      </rPr>
      <t>(hợp đồng)</t>
    </r>
  </si>
  <si>
    <t>62-63 Tân Xuân, Phường Đông Ngạc, Quận Bắc Từ Liêm, Hà Nội</t>
  </si>
  <si>
    <t>https://www.facebook.com/profile.php?id=100037798292019&amp;mibextid=LQQJ4d</t>
  </si>
  <si>
    <r>
      <rPr>
        <sz val="12"/>
        <color theme="1"/>
        <rFont val="Times New Roman"/>
        <family val="1"/>
      </rPr>
      <t>Nguyễn Thị Ngân</t>
    </r>
    <r>
      <rPr>
        <sz val="12"/>
        <color rgb="FFFF0000"/>
        <rFont val="Times New Roman"/>
        <family val="1"/>
      </rPr>
      <t xml:space="preserve"> (hợp đồng)</t>
    </r>
  </si>
  <si>
    <t xml:space="preserve"> ngngann286@gmail.com</t>
  </si>
  <si>
    <t>Ngô Xá- Long Châu- Yên Phong- Bắc Ninh</t>
  </si>
  <si>
    <t>https://drive.google.com/open?id=1X4_w-qY-J-4sCvKpkDP6PRqujvhK-rwP; https://drive.google.com/open?id=1wZgSyF6mM0GzzsAry0qrELcscj7XgAEu; https://drive.google.com/open?id=1kN94lE-riHjfdG_ini0kQP3RlSa6UqWe</t>
  </si>
  <si>
    <t>https://www.facebook.com/profile.php?id=100047600375011&amp;mibextid=LQQJ4d</t>
  </si>
  <si>
    <r>
      <rPr>
        <sz val="12"/>
        <color theme="1"/>
        <rFont val="Times New Roman"/>
        <family val="1"/>
      </rPr>
      <t xml:space="preserve">Bùi Thị Sao Mai </t>
    </r>
    <r>
      <rPr>
        <sz val="12"/>
        <color rgb="FFFF0000"/>
        <rFont val="Times New Roman"/>
        <family val="1"/>
      </rPr>
      <t>(hợp đồng) -Huyền Mai</t>
    </r>
  </si>
  <si>
    <t>buithisaomai0505@gmail.com</t>
  </si>
  <si>
    <t>Số nhà 12, đường cựu quán 2, Đức Thượng, Hoài Đức, Hà Nội</t>
  </si>
  <si>
    <t>19/07/2024 và 28/07/2024 và 17/08/2024</t>
  </si>
  <si>
    <t>https://drive.google.com/open?id=17qBIerVDXpzkDy0Ga6Iv_AFrY-bSUOwr; https://drive.google.com/open?id=1O14I5k27TeljWJF61yn60GjZo-sLdyHq; https://drive.google.com/open?id=1W5ibFNVdu4-LnQLt8g5Da6XqQtWh7XPb</t>
  </si>
  <si>
    <t>VIP116</t>
  </si>
  <si>
    <t>https://www.facebook.com/profile.php?id=100049667761353&amp;mibextid=LQQJ4d</t>
  </si>
  <si>
    <r>
      <rPr>
        <sz val="12"/>
        <color theme="1"/>
        <rFont val="Times New Roman"/>
        <family val="1"/>
      </rPr>
      <t>Lê Anh Duy</t>
    </r>
    <r>
      <rPr>
        <sz val="12"/>
        <color rgb="FFFF0000"/>
        <rFont val="Times New Roman"/>
        <family val="1"/>
      </rPr>
      <t xml:space="preserve"> - đã nộp 300K 24/09/2024
VIP100 bảo lưu buổi 13. Học VIP116 b9</t>
    </r>
  </si>
  <si>
    <t>Số 63, ngõ 5, tổ 8, Quang Trung, Hà Đông, Hà Nội.</t>
  </si>
  <si>
    <t>https://drive.google.com/open?id=1iGaiPHeO9U7FnYMHvJRyrKvuJepzr4tP</t>
  </si>
  <si>
    <t>Xóm 3 -Đổng viên - Phù đổng gia lâm hà nội</t>
  </si>
  <si>
    <t>https://www.facebook.com/profile.php?id=100075285229568&amp;mibextid=ZbWKwL</t>
  </si>
  <si>
    <t>Nguyễn Trọng Đạt</t>
  </si>
  <si>
    <t>https://drive.google.com/open?id=1SK2x-xTeYcwee8V34BOS1yo8vywh0E-7</t>
  </si>
  <si>
    <t>https://www.facebook.com/profile.php?id=100040290976241</t>
  </si>
  <si>
    <r>
      <rPr>
        <sz val="12"/>
        <color theme="1"/>
        <rFont val="Times New Roman"/>
        <family val="1"/>
      </rPr>
      <t xml:space="preserve">Nguyễn Đức Vinh </t>
    </r>
    <r>
      <rPr>
        <sz val="12"/>
        <color rgb="FFFF0000"/>
        <rFont val="Times New Roman"/>
        <family val="1"/>
      </rPr>
      <t>(hợp đồng)</t>
    </r>
  </si>
  <si>
    <t>nducvinhh29@gmail.com</t>
  </si>
  <si>
    <t>Quán bia Long chùa - Xuân Đài - Đình Bảng - Từ Sơn - Bắc Ninh</t>
  </si>
  <si>
    <t>19/07/2024 và 21/07/2024</t>
  </si>
  <si>
    <t>https://drive.google.com/open?id=1xoEB3nM9sc7yMl5yhUzxpn2mza19dHK6; https://drive.google.com/open?id=1Mzf88Dl2ea8uFckY4dpS3sdtE6iK6eT-; https://drive.google.com/open?id=1XZPkzvqGYVChkMDL2qkdrUQNq6nAtnPK</t>
  </si>
  <si>
    <t>https://www.facebook.com/profile.php?id=61562944382128&amp;locale=vi_VN</t>
  </si>
  <si>
    <r>
      <rPr>
        <sz val="12"/>
        <color theme="1"/>
        <rFont val="Times New Roman"/>
        <family val="1"/>
      </rPr>
      <t>Đỗ Thị Linh Chi</t>
    </r>
    <r>
      <rPr>
        <sz val="12"/>
        <color rgb="FFFF0000"/>
        <rFont val="Times New Roman"/>
        <family val="1"/>
      </rPr>
      <t xml:space="preserve"> (hợp đồng)</t>
    </r>
  </si>
  <si>
    <t xml:space="preserve"> chido9879@gmail.com</t>
  </si>
  <si>
    <t xml:space="preserve"> tiểu khu Phú Mỹ- thị trấn Phú Xuyên -Hà Nội</t>
  </si>
  <si>
    <t>19/07/2024 và 22/07/2024</t>
  </si>
  <si>
    <t>29/08/2024 và 02/09/2024</t>
  </si>
  <si>
    <r>
      <rPr>
        <u/>
        <sz val="12"/>
        <color rgb="FF1155CC"/>
        <rFont val="Times New Roman"/>
        <family val="1"/>
      </rPr>
      <t xml:space="preserve">https://drive.google.com/open?id=1gXSO8PgBnSOaW1CXkl8mr8SLVSoGoYvn; https://drive.google.com/open?id=1D10SY2w1D082-V8UL0Z6XYLB3bUt5D-0; </t>
    </r>
    <r>
      <rPr>
        <u/>
        <sz val="12"/>
        <color rgb="FF1155CC"/>
        <rFont val="Times New Roman"/>
        <family val="1"/>
      </rPr>
      <t>https://drive.google.com/open?id=1Khf4xYVEbOz-n8SuX1nny3oStsHPuTch</t>
    </r>
    <r>
      <rPr>
        <u/>
        <sz val="12"/>
        <color rgb="FF1155CC"/>
        <rFont val="Times New Roman"/>
        <family val="1"/>
      </rPr>
      <t xml:space="preserve">; </t>
    </r>
    <r>
      <rPr>
        <u/>
        <sz val="12"/>
        <color rgb="FF1155CC"/>
        <rFont val="Times New Roman"/>
        <family val="1"/>
      </rPr>
      <t>https://drive.google.com/open?id=1zlYh9z6XajbSQ_O24DQGLaYKp4stNWJU</t>
    </r>
  </si>
  <si>
    <r>
      <rPr>
        <sz val="12"/>
        <color theme="1"/>
        <rFont val="Times New Roman"/>
        <family val="1"/>
      </rPr>
      <t xml:space="preserve">Trần Tuấn Hưng </t>
    </r>
    <r>
      <rPr>
        <sz val="12"/>
        <color rgb="FFFF0000"/>
        <rFont val="Times New Roman"/>
        <family val="1"/>
      </rPr>
      <t>(hợp đồng)</t>
    </r>
  </si>
  <si>
    <t>https://www.facebook.com/profile.php?id=100076996936454&amp;mibextid=LQQJ4d</t>
  </si>
  <si>
    <r>
      <rPr>
        <sz val="12"/>
        <color theme="1"/>
        <rFont val="Times New Roman"/>
        <family val="1"/>
      </rPr>
      <t>Hà Phương Thảo</t>
    </r>
    <r>
      <rPr>
        <sz val="12"/>
        <color rgb="FFFF0000"/>
        <rFont val="Times New Roman"/>
        <family val="1"/>
      </rPr>
      <t xml:space="preserve"> (hợp đồng)</t>
    </r>
  </si>
  <si>
    <t>Gmail: Phuongtharo676@gmail.com</t>
  </si>
  <si>
    <t>Uỷ Ban Nhân Dân Xã Hương Mạc-Từ Sơn - Bắc Ninh</t>
  </si>
  <si>
    <t>19/07/2024 và 25/07/2024</t>
  </si>
  <si>
    <t>https://drive.google.com/open?id=17Bxu7hINOZuljyfzSj7UQLpdtLeKps2E; https://drive.google.com/open?id=1Lt3myfYMTwDWK-C6vZ4kTyHAw4X6St1M; https://drive.google.com/open?id=1o42ptcHcscJYr8LYAFGGh3k1btGSBHWa</t>
  </si>
  <si>
    <t>https://www.facebook.com/d.hien.798/about</t>
  </si>
  <si>
    <r>
      <rPr>
        <sz val="12"/>
        <color theme="1"/>
        <rFont val="Times New Roman"/>
        <family val="1"/>
      </rPr>
      <t>Đinh Văn Hiến</t>
    </r>
    <r>
      <rPr>
        <sz val="12"/>
        <color rgb="FFFF0000"/>
        <rFont val="Times New Roman"/>
        <family val="1"/>
      </rPr>
      <t xml:space="preserve"> - hợp đồng</t>
    </r>
  </si>
  <si>
    <t>hien20061906@gmail.com</t>
  </si>
  <si>
    <t xml:space="preserve">Nhà văn hoá xóm Nam- xã Xuân Phương -huyện Xuân Trường- tỉnh Nam Định </t>
  </si>
  <si>
    <t>https://drive.google.com/open?id=1SNHr591rekmJgt8bYgsQNAci4QyzeA2d; https://drive.google.com/open?id=1I1nRTu2TNl8UtQ_dJFl38KjUfx6SO3PM</t>
  </si>
  <si>
    <r>
      <rPr>
        <sz val="12"/>
        <color theme="1"/>
        <rFont val="Times New Roman"/>
        <family val="1"/>
      </rPr>
      <t xml:space="preserve">Đỗ Thị Thu Hà </t>
    </r>
    <r>
      <rPr>
        <sz val="12"/>
        <color rgb="FFFF0000"/>
        <rFont val="Times New Roman"/>
        <family val="1"/>
      </rPr>
      <t>(hợp đồng)</t>
    </r>
  </si>
  <si>
    <t>cây xăng mỹ lộc, xã thanh lâm, huyện mê linh, thành phố hà nội</t>
  </si>
  <si>
    <t>https://www.facebook.com/profile.php?id=100052895930101&amp;mibextid=LQQJ4d</t>
  </si>
  <si>
    <r>
      <rPr>
        <sz val="12"/>
        <color theme="1"/>
        <rFont val="Times New Roman"/>
        <family val="1"/>
      </rPr>
      <t>Nguyễn Thị Tâm Mai</t>
    </r>
    <r>
      <rPr>
        <sz val="12"/>
        <color rgb="FFFF0000"/>
        <rFont val="Times New Roman"/>
        <family val="1"/>
      </rPr>
      <t xml:space="preserve"> (hợp đồng)</t>
    </r>
  </si>
  <si>
    <t>nguyenmai180611@gmail.com</t>
  </si>
  <si>
    <t xml:space="preserve"> khu dân cư Cẩm Lý, An Lâm, Nam Sách, Hải Dương</t>
  </si>
  <si>
    <t>https://drive.google.com/open?id=12HgNReq6uIIVDDfmg6qp38ykpW2WOPcU; https://drive.google.com/open?id=1rv75Fez0BsZvCqu5IKHk02GZxmc_z7Sp</t>
  </si>
  <si>
    <t>https://www.facebook.com/uyngc?mibextid=LQQJ4d</t>
  </si>
  <si>
    <r>
      <rPr>
        <sz val="12"/>
        <color theme="1"/>
        <rFont val="Times New Roman"/>
        <family val="1"/>
      </rPr>
      <t xml:space="preserve">Đỗ Ngọc Uyên </t>
    </r>
    <r>
      <rPr>
        <sz val="12"/>
        <color rgb="FFFF0000"/>
        <rFont val="Times New Roman"/>
        <family val="1"/>
      </rPr>
      <t>(hợp đồng)</t>
    </r>
  </si>
  <si>
    <t>ngocuyen0806@gmail.com</t>
  </si>
  <si>
    <t>số 14 ngõ 189/1 Hoàng Hoa Thám, Ba Đình, Hà nội</t>
  </si>
  <si>
    <t>20/07/2024 và 21/07/2024</t>
  </si>
  <si>
    <t>https://drive.google.com/open?id=1tvGdAviMd_ycDEJZK8jtu6s60MaDoAQl; https://drive.google.com/open?id=1CBGMOo7nlm93XmD2zYHcImfXDC3ptm_O</t>
  </si>
  <si>
    <t>Đức đưa tay. Hạ combo</t>
  </si>
  <si>
    <t>https://www.facebook.com/profile.php?id=100057192910782&amp;mibextid=ZbWKwL</t>
  </si>
  <si>
    <t>Phạm Minh Dương</t>
  </si>
  <si>
    <t>Gas ngát hoài địa chỉ ở đội 4 xã Yên Phú huyện Ý Yên tỉnh Nam Định</t>
  </si>
  <si>
    <t>https://drive.google.com/open?id=1vbuystPiMhvxQgdLULqP4mb5fna6amP5, https://drive.google.com/open?id=1eCe48DGXt-sh2BIVFQQ1ssUsACMksgy_</t>
  </si>
  <si>
    <r>
      <rPr>
        <sz val="12"/>
        <color theme="1"/>
        <rFont val="Times New Roman"/>
        <family val="1"/>
      </rPr>
      <t>Nguyễn Quang Huy</t>
    </r>
    <r>
      <rPr>
        <sz val="12"/>
        <color rgb="FFFF0000"/>
        <rFont val="Times New Roman"/>
        <family val="1"/>
      </rPr>
      <t xml:space="preserve"> (hợp đồng)</t>
    </r>
  </si>
  <si>
    <t>Số nhà 02, khu 5, thị trấn Quán Lào , Yên Định , Thanh Hóa</t>
  </si>
  <si>
    <t>https://www.facebook.com/profile.php?id=100015782592389&amp;mibextid=LQQJ4d</t>
  </si>
  <si>
    <r>
      <rPr>
        <sz val="12"/>
        <color theme="1"/>
        <rFont val="Times New Roman"/>
        <family val="1"/>
      </rPr>
      <t xml:space="preserve">Vũ Đăng Hiệp </t>
    </r>
    <r>
      <rPr>
        <sz val="12"/>
        <color rgb="FFFF0000"/>
        <rFont val="Times New Roman"/>
        <family val="1"/>
      </rPr>
      <t>(hợp đồng)</t>
    </r>
  </si>
  <si>
    <t>vudanghiep09@gmail.con</t>
  </si>
  <si>
    <t>07 Lò Bát-Trần Phú -Móng Cái -Quảng Ninh</t>
  </si>
  <si>
    <t>https://drive.google.com/open?id=1CWXCPesHs4EqSuiSd1mJ2ptmXHjHdSJ4; https://drive.google.com/open?id=1tfu_MvPZidFfSgWgdyDdH0HDsNWm4WCD</t>
  </si>
  <si>
    <r>
      <rPr>
        <sz val="12"/>
        <color theme="1"/>
        <rFont val="Times New Roman"/>
        <family val="1"/>
      </rPr>
      <t xml:space="preserve">Nguyễn Thu Trang </t>
    </r>
    <r>
      <rPr>
        <sz val="12"/>
        <color rgb="FFFF0000"/>
        <rFont val="Times New Roman"/>
        <family val="1"/>
      </rPr>
      <t>(hợp đồng)</t>
    </r>
  </si>
  <si>
    <t xml:space="preserve">xóm Cầu Giao xã Minh Đức thành phố Phổ Yên Tỉnh Thái Nguyên </t>
  </si>
  <si>
    <t>https://www.facebook.com/dangducdangiu?mibextid=LQQJ4d</t>
  </si>
  <si>
    <r>
      <rPr>
        <sz val="12"/>
        <color theme="1"/>
        <rFont val="Times New Roman"/>
        <family val="1"/>
      </rPr>
      <t>Đặng Minh Đức</t>
    </r>
    <r>
      <rPr>
        <sz val="12"/>
        <color rgb="FFFF0000"/>
        <rFont val="Times New Roman"/>
        <family val="1"/>
      </rPr>
      <t xml:space="preserve"> (hợp đồng)</t>
    </r>
  </si>
  <si>
    <t>63 đường Phù Nghĩa, phường Hạ Long, thành phố Nam Định</t>
  </si>
  <si>
    <t>20/07/2024 và 23/07/2024</t>
  </si>
  <si>
    <t>https://drive.google.com/open?id=1N6BLLll5OMFPoES_IgluVr2W1XHhrmPw; https://drive.google.com/open?id=1MXAYDZdoojQBKBh_lRGa_G0eiwOV3TNu, https://drive.google.com/open?id=1oJPfwkqczDAA1wPb4HjarejJYC523VdU</t>
  </si>
  <si>
    <t>https://www.facebook.com/profile.php?id=61555581805079&amp;mibextid=ZbWKwL</t>
  </si>
  <si>
    <r>
      <rPr>
        <sz val="12"/>
        <color theme="1"/>
        <rFont val="Times New Roman"/>
        <family val="1"/>
      </rPr>
      <t xml:space="preserve">Đặng Nguyễn Phương Hà </t>
    </r>
    <r>
      <rPr>
        <sz val="12"/>
        <color rgb="FFFF0000"/>
        <rFont val="Times New Roman"/>
        <family val="1"/>
      </rPr>
      <t>(hợp đồng)</t>
    </r>
  </si>
  <si>
    <t>momo05ph@gmail.com</t>
  </si>
  <si>
    <t>Tổ 52, khu 5, phường hà trung, tp hạ long, quảng ninh</t>
  </si>
  <si>
    <t>https://drive.google.com/open?id=1czCChyhoTiqTksD3s3ZTPAIdqL3Ywx1W; https://drive.google.com/open?id=1wKzoQEtRrh0O6nWCnYHZEqS3vIv4R8Vv</t>
  </si>
  <si>
    <t>https://www.facebook.com/nuoi.congai.7?locale=vi_VN</t>
  </si>
  <si>
    <r>
      <rPr>
        <sz val="12"/>
        <color theme="1"/>
        <rFont val="Times New Roman"/>
        <family val="1"/>
      </rPr>
      <t xml:space="preserve">Phạm Thị Thanh Hằng </t>
    </r>
    <r>
      <rPr>
        <sz val="12"/>
        <color rgb="FFFF0000"/>
        <rFont val="Times New Roman"/>
        <family val="1"/>
      </rPr>
      <t xml:space="preserve">(hợp đồng) </t>
    </r>
  </si>
  <si>
    <t>phamhang21012006@gmail.com</t>
  </si>
  <si>
    <t>Cửa hàng Chinh Bưởi xóm 11 thôn, xã Thụy Sơn, huyện Thái Thụy, tỉnh Thái Bình</t>
  </si>
  <si>
    <t>20/07/2024 và 23/07/2024 và 27/08/2024</t>
  </si>
  <si>
    <r>
      <rPr>
        <u/>
        <sz val="12"/>
        <color rgb="FF1155CC"/>
        <rFont val="Times New Roman"/>
        <family val="1"/>
      </rPr>
      <t xml:space="preserve">https://drive.google.com/open?id=1polJKCKOy-sWD7cNmZCXFqBUhwFv2Mk7; </t>
    </r>
    <r>
      <rPr>
        <u/>
        <sz val="12"/>
        <color rgb="FF1155CC"/>
        <rFont val="Times New Roman"/>
        <family val="1"/>
      </rPr>
      <t>https://drive.google.com/open?id=1ruLFwRFar7H9l80da1aTtPueOycp24aU</t>
    </r>
    <r>
      <rPr>
        <u/>
        <sz val="12"/>
        <color rgb="FF1155CC"/>
        <rFont val="Times New Roman"/>
        <family val="1"/>
      </rPr>
      <t xml:space="preserve">; </t>
    </r>
    <r>
      <rPr>
        <u/>
        <sz val="12"/>
        <color rgb="FF1155CC"/>
        <rFont val="Times New Roman"/>
        <family val="1"/>
      </rPr>
      <t>https://drive.google.com/open?id=1BKVw2VwhsnGbBLwUNzS6yV5Os2ccak5u</t>
    </r>
  </si>
  <si>
    <t>https://www.facebook.com/profile.php?id=100086381330945&amp;mibextid=LQQJ4d</t>
  </si>
  <si>
    <r>
      <rPr>
        <sz val="12"/>
        <color theme="1"/>
        <rFont val="Times New Roman"/>
        <family val="1"/>
      </rPr>
      <t xml:space="preserve">Hồ Thị Huyền </t>
    </r>
    <r>
      <rPr>
        <sz val="12"/>
        <color rgb="FFFF0000"/>
        <rFont val="Times New Roman"/>
        <family val="1"/>
      </rPr>
      <t>(hợp đồng)</t>
    </r>
  </si>
  <si>
    <t>hothihuyeen2006@gmail.com</t>
  </si>
  <si>
    <t>Thôn Thượng Lâm xã Ca Thành huyện Cam Lộ tỉnh Quảng
Trị</t>
  </si>
  <si>
    <t>20/07/2024 và 24/07/2024</t>
  </si>
  <si>
    <t>https://drive.google.com/open?id=17Bs6N8Q6UyQTkiJkxL1z-OeJF9WWhba1; https://drive.google.com/open?id=14sNQldyoC5FVLoSwai_ui2FvQcSjitBB; https://drive.google.com/open?id=1w3RAs_6IojYqKCchVi71UvP1XWww2UGk</t>
  </si>
  <si>
    <t>https://www.facebook.com/thuhien.ha.56808</t>
  </si>
  <si>
    <t xml:space="preserve">Hà Thu Hiền </t>
  </si>
  <si>
    <t xml:space="preserve"> hathu6035@gmail.com</t>
  </si>
  <si>
    <t>tt2,xuân ái,văn yên,yên bái</t>
  </si>
  <si>
    <t>https://drive.google.com/open?id=1ZPocA7h30PGUYReegl50AdbwNVZgCY1H</t>
  </si>
  <si>
    <t>https://www.facebook.com/quynhnhu.nt.39982?mibextid=LQQJ4d</t>
  </si>
  <si>
    <r>
      <rPr>
        <sz val="12"/>
        <color theme="1"/>
        <rFont val="Times New Roman"/>
        <family val="1"/>
      </rPr>
      <t xml:space="preserve">Nguyễn Thị Quỳnh Như </t>
    </r>
    <r>
      <rPr>
        <sz val="12"/>
        <color rgb="FFFF0000"/>
        <rFont val="Times New Roman"/>
        <family val="1"/>
      </rPr>
      <t>(hợp đồng)</t>
    </r>
  </si>
  <si>
    <t>wuynhnhu1726@gmail.com</t>
  </si>
  <si>
    <t xml:space="preserve">Thôn 4 Thanh Tân xã Thanh Thuỷ huyện Lệ Thuỷ tỉnh Quảng Bình </t>
  </si>
  <si>
    <t>https://drive.google.com/open?id=17nzp4Z_jgJCmC4OTcrwRcUnnJ8uy6p-J; https://drive.google.com/open?id=1Zhr_eaVTLZFg4x7PYQwosWJQVXBji7n4, https://drive.google.com/open?id=1FvXHATgt6QCQQ5i14y0rvWKuvDQkLAl2</t>
  </si>
  <si>
    <t>https://www.facebook.com/profile.php?id=100081162254665</t>
  </si>
  <si>
    <t>Lưu Thị Huyền Trang</t>
  </si>
  <si>
    <t>Thôn Vân Lũng - xã An Khánh - Hoài Đức - Hà Nội</t>
  </si>
  <si>
    <t>https://drive.google.com/open?id=1s3rm3AgmhpA6BsIIzJM7KJevGo4thrau</t>
  </si>
  <si>
    <t>https://www.facebook.com/koy.vanh.5</t>
  </si>
  <si>
    <r>
      <rPr>
        <sz val="12"/>
        <color theme="1"/>
        <rFont val="Times New Roman"/>
        <family val="1"/>
      </rPr>
      <t xml:space="preserve">Phùng Thị Vân Anh </t>
    </r>
    <r>
      <rPr>
        <sz val="12"/>
        <color rgb="FFFF0000"/>
        <rFont val="Times New Roman"/>
        <family val="1"/>
      </rPr>
      <t>(hợp đồng)</t>
    </r>
  </si>
  <si>
    <t>vananh10122006@icloud.com</t>
  </si>
  <si>
    <t>Thôn Vật Yên - Xã Vật Lại - Huyện Ba Vì - TP hà Nội</t>
  </si>
  <si>
    <t>https://drive.google.com/open?id=1vLZSVoxe5E5X9cacrsmk1plFjKWtHTEQ</t>
  </si>
  <si>
    <t>https://www.facebook.com/cuatoi.hoi.7</t>
  </si>
  <si>
    <t>Nguyễn Đức Tiến</t>
  </si>
  <si>
    <t xml:space="preserve">Mai </t>
  </si>
  <si>
    <t>Số nhà 27, ngõ 14 , mễ trì hạ, quận nam từ liêm ,hà nội</t>
  </si>
  <si>
    <t>https://drive.google.com/open?id=1Kl5VZl2N8DLlUAItWHSykGzpulMvnPRM; https://drive.google.com/open?id=1epPCqA0eQCMneywV7egNFEWxAa0HMv3A</t>
  </si>
  <si>
    <t>https://www.facebook.com/nguyennklin</t>
  </si>
  <si>
    <r>
      <rPr>
        <sz val="12"/>
        <color theme="1"/>
        <rFont val="Times New Roman"/>
        <family val="1"/>
      </rPr>
      <t xml:space="preserve"> Nguyễn Thị Khánh Linh </t>
    </r>
    <r>
      <rPr>
        <sz val="12"/>
        <color rgb="FFFF0000"/>
        <rFont val="Times New Roman"/>
        <family val="1"/>
      </rPr>
      <t>(hợp đồng)</t>
    </r>
  </si>
  <si>
    <t>Gmail: nvieekth@gmail.com</t>
  </si>
  <si>
    <t>Khu 2- Xã Thạch Sơn- Huyện Lâm Thao- Tỉnh Phú Thọ</t>
  </si>
  <si>
    <t>22/07/2024 và 24/07/2024</t>
  </si>
  <si>
    <r>
      <rPr>
        <u/>
        <sz val="12"/>
        <color rgb="FF1155CC"/>
        <rFont val="Times New Roman"/>
        <family val="1"/>
      </rPr>
      <t xml:space="preserve">https://drive.google.com/open?id=1fhbPrhbxGmGUWUIYYxaUUhegVHm-a1D_; https://drive.google.com/open?id=1y_KyejTPM0acAamWOVYzf2BdMfhboRkV; </t>
    </r>
    <r>
      <rPr>
        <u/>
        <sz val="12"/>
        <color rgb="FF1155CC"/>
        <rFont val="Times New Roman"/>
        <family val="1"/>
      </rPr>
      <t>https://drive.google.com/open?id=1m1aywb6IiiMDio2c0p3O1nhVzVLyKA43</t>
    </r>
    <r>
      <rPr>
        <u/>
        <sz val="12"/>
        <color rgb="FF1155CC"/>
        <rFont val="Times New Roman"/>
        <family val="1"/>
      </rPr>
      <t>, https://drive.google.com/open?id=1kPbBCzpVTFEhOfU2UIAPTWE_MlVGar_1</t>
    </r>
  </si>
  <si>
    <t>https://www.facebook.com/profile.php?id=100032637979147</t>
  </si>
  <si>
    <r>
      <rPr>
        <sz val="12"/>
        <color theme="1"/>
        <rFont val="Times New Roman"/>
        <family val="1"/>
      </rPr>
      <t xml:space="preserve">Nguyễn Thị Huyền </t>
    </r>
    <r>
      <rPr>
        <sz val="12"/>
        <color rgb="FFFF0000"/>
        <rFont val="Times New Roman"/>
        <family val="1"/>
      </rPr>
      <t>(hợp đồng) PT103</t>
    </r>
  </si>
  <si>
    <t>nguyenhuyenpl9@gmail.com</t>
  </si>
  <si>
    <t>Hà Liễu- Phương Liễu- Quế Võ - Bắc Ninh</t>
  </si>
  <si>
    <t>22/07/2024 và 31/07/2024</t>
  </si>
  <si>
    <t>https://drive.google.com/open?id=1bWAjTuRfmJe1WEf7v8uorKgbVzW7tzLO; https://drive.google.com/open?id=1Yp7Obb7Gaf2nD0jPKfv6vXfJ6lMhXXhM; https://drive.google.com/open?id=1s-_sRAUnZLkCTnI1fN8H9IKSDDfWfdTD</t>
  </si>
  <si>
    <t>https://www.facebook.com/haianh.cutexiu</t>
  </si>
  <si>
    <r>
      <rPr>
        <sz val="12"/>
        <color theme="1"/>
        <rFont val="Times New Roman"/>
        <family val="1"/>
      </rPr>
      <t xml:space="preserve">Chu Thị Hải Anh </t>
    </r>
    <r>
      <rPr>
        <sz val="12"/>
        <color rgb="FFFF0000"/>
        <rFont val="Times New Roman"/>
        <family val="1"/>
      </rPr>
      <t>(hợp đồng)</t>
    </r>
  </si>
  <si>
    <t xml:space="preserve">nhobanhbao2808@gmail.com </t>
  </si>
  <si>
    <t>Nhà 70, đường giáp hải, TDP Cầu, Tự lạn, Thị xã Việt Yên, Bắc Giang</t>
  </si>
  <si>
    <t>https://drive.google.com/open?id=1PfXPFlV1ldh6mAEzuqX9BnYvqa4wTdkd; https://drive.google.com/open?id=16pajBC6-CBiIiCN14yz3JAsbulZ0KAnD</t>
  </si>
  <si>
    <t>https://www.facebook.com/vuyenthanhh0908?mibextid=ZbWKwL</t>
  </si>
  <si>
    <r>
      <rPr>
        <sz val="12"/>
        <color theme="1"/>
        <rFont val="Times New Roman"/>
        <family val="1"/>
      </rPr>
      <t>Vũ Yến Thanh</t>
    </r>
    <r>
      <rPr>
        <sz val="12"/>
        <color rgb="FFFF0000"/>
        <rFont val="Times New Roman"/>
        <family val="1"/>
      </rPr>
      <t xml:space="preserve"> (hợp đồng)</t>
    </r>
  </si>
  <si>
    <t xml:space="preserve">vuyenthanh6@gmail.com </t>
  </si>
  <si>
    <t>110A - đường Vinh Quang - TT Cẩm Giang - huyện Cẩm Giàng - tỉnh Hải Dương</t>
  </si>
  <si>
    <t>https://drive.google.com/open?id=1ugmMvw9RpRZEE_A9NrkWhaI9BVPPZKf0; https://drive.google.com/open?id=15p0YX9j_RdLUJsS33JQKw9orf2F2g4uq</t>
  </si>
  <si>
    <t>https://www.facebook.com/nguyentunglnq?mibextid=LQQJ4d</t>
  </si>
  <si>
    <r>
      <rPr>
        <sz val="12"/>
        <color theme="1"/>
        <rFont val="Times New Roman"/>
        <family val="1"/>
      </rPr>
      <t xml:space="preserve"> Nguyễn Tùng</t>
    </r>
    <r>
      <rPr>
        <sz val="12"/>
        <color rgb="FFFF0000"/>
        <rFont val="Times New Roman"/>
        <family val="1"/>
      </rPr>
      <t xml:space="preserve"> - gửi hợp đồngkhi học S</t>
    </r>
  </si>
  <si>
    <t>nguyentunglnq@gmail.com</t>
  </si>
  <si>
    <t>35 ngõ 521/167 Trương Định, Hoàng Mai</t>
  </si>
  <si>
    <t>https://drive.google.com/open?id=1rxsdOufu_JhS8M15San4rfXXGWqiEcCe; https://drive.google.com/open?id=1jmx_TF4T-RccImBWeHmxWpu4kN2SOtUB; https://drive.google.com/open?id=1eO7-zeFXcy3CXsS6MUQh6kjLcQDPN6FQ</t>
  </si>
  <si>
    <t>https://www.facebook.com/jerry.dat.3</t>
  </si>
  <si>
    <t xml:space="preserve"> Bùi Quốc Đạt </t>
  </si>
  <si>
    <t xml:space="preserve"> hongv6187@gmail.com</t>
  </si>
  <si>
    <t xml:space="preserve"> 69b hoàng văn thái</t>
  </si>
  <si>
    <t>06/07/2024 và 15/07/2024</t>
  </si>
  <si>
    <t>https://drive.google.com/open?id=16uhLC6vZ8z3NrmHts-B3p-ODmcMEXNWi, https://drive.google.com/open?id=1etK8a1gJ182ATTmILw8Nuf3xrOcYU6kD; https://drive.google.com/open?id=1_BMPEkSYsNJiqVz1k87bUAIMru26JLeu</t>
  </si>
  <si>
    <t>https://www.facebook.com/profile.php?id=100043973596052</t>
  </si>
  <si>
    <r>
      <rPr>
        <sz val="12"/>
        <color theme="1"/>
        <rFont val="Times New Roman"/>
        <family val="1"/>
      </rPr>
      <t>Trịnh Lâm Hưng</t>
    </r>
    <r>
      <rPr>
        <sz val="12"/>
        <color rgb="FFFF0000"/>
        <rFont val="Times New Roman"/>
        <family val="1"/>
      </rPr>
      <t xml:space="preserve"> (hợp Đồng)</t>
    </r>
  </si>
  <si>
    <t>Cầu Đá, Thôn Chiến Thắng xã Bách thuận huyện Vũ thư tỉnh Thái Bình</t>
  </si>
  <si>
    <t>https://drive.google.com/open?id=18Wqpur4KhTdHp4HbMHw94B3IlSnnC6Ov; https://drive.google.com/open?id=1_hy6djZlSPwZ-3sBOfDajg6BYWcIPvck</t>
  </si>
  <si>
    <t>https://www.facebook.com/truc.nguyet.5680?mibextid=LQQJ4d</t>
  </si>
  <si>
    <r>
      <rPr>
        <sz val="12"/>
        <color theme="1"/>
        <rFont val="Times New Roman"/>
        <family val="1"/>
      </rPr>
      <t xml:space="preserve">Nguyễn Thị Như Quỳnh </t>
    </r>
    <r>
      <rPr>
        <sz val="12"/>
        <color rgb="FFFF0000"/>
        <rFont val="Times New Roman"/>
        <family val="1"/>
      </rPr>
      <t>- Nguyệt Trúc hợp đồng</t>
    </r>
  </si>
  <si>
    <t xml:space="preserve">nguynhanna@gmail.com </t>
  </si>
  <si>
    <t xml:space="preserve">Đối diện Đồ gỗ Ký Hằng, thôn Ngô Phần, xã Bình Định, huyện Lương Tài, tỉnh Bắc Ninh </t>
  </si>
  <si>
    <t>https://drive.google.com/open?id=1rccJ5Re5biuhScGg_0mjD96KAw50u27h; https://drive.google.com/open?id=150UlIQDL9liKD5shjS9S5M6-_6EWbed2</t>
  </si>
  <si>
    <t>PT140</t>
  </si>
  <si>
    <t>https://www.facebook.com/harehare.ta?mibextid=ZbWKwL</t>
  </si>
  <si>
    <r>
      <rPr>
        <sz val="12"/>
        <color theme="1"/>
        <rFont val="Times New Roman"/>
        <family val="1"/>
      </rPr>
      <t>Nguyễn Khánh Phong</t>
    </r>
    <r>
      <rPr>
        <sz val="12"/>
        <color rgb="FFFF0000"/>
        <rFont val="Times New Roman"/>
        <family val="1"/>
      </rPr>
      <t xml:space="preserve"> (hợp đồng) đã nộp 300K 31/08/2024
PT103 bảo lưu b8. Học PT140 buổi 7</t>
    </r>
  </si>
  <si>
    <t xml:space="preserve">phongnguyen2006iu@gmail.com </t>
  </si>
  <si>
    <t xml:space="preserve"> đình Đầu thôn Đầu Bến xã Hợp Tiến huyện Nam Sách tỉnh Hải Dương</t>
  </si>
  <si>
    <t>23/07/2024 và 29/07/2024</t>
  </si>
  <si>
    <t>https://drive.google.com/open?id=1Qd8wmPrINJmlFKelua_7do90EzuqMW4j; https://drive.google.com/open?id=1dwQ2E9_pQtcT7jDQ2H9o7fJWmVnKgdCi; https://drive.google.com/open?id=1vl5sPw0gT2ualccNcyGL5Jl9FVQlQEPc</t>
  </si>
  <si>
    <t>PT103</t>
  </si>
  <si>
    <t>https://www.facebook.com/profile.php?id=100053817425059&amp;mibextid=LQQJ4d</t>
  </si>
  <si>
    <t>Vũ Thị Loan</t>
  </si>
  <si>
    <t>lvu170406@gmail.com</t>
  </si>
  <si>
    <t>xóm bùng - Ba Lăng - Dũng Tiễn - Thường Tín - Hà Nội</t>
  </si>
  <si>
    <t>https://drive.google.com/open?id=1j1NFflxsCLB8Bi49ie8FZ7YqbABi90-E; https://drive.google.com/open?id=1lwP_Dfpq7c-1d1pN7-2n_PMmLsKGlAv8</t>
  </si>
  <si>
    <t>https://www.facebook.com/profile.php?id=100036410897743&amp;mibextid=LQQJ4d</t>
  </si>
  <si>
    <r>
      <rPr>
        <sz val="12"/>
        <color theme="1"/>
        <rFont val="Times New Roman"/>
        <family val="1"/>
      </rPr>
      <t xml:space="preserve">Đỗ Thị Thanh Phương </t>
    </r>
    <r>
      <rPr>
        <sz val="12"/>
        <color rgb="FFFF0000"/>
        <rFont val="Times New Roman"/>
        <family val="1"/>
      </rPr>
      <t>(hợp đồng)</t>
    </r>
  </si>
  <si>
    <t>Đông Tiến, Phương Tảo 2, Xuân Hòa, Vũ Thư, Thái Bình</t>
  </si>
  <si>
    <t>24/07/2024 và 26/07/2024</t>
  </si>
  <si>
    <t>https://drive.google.com/open?id=1U7R0X2CZ-Ms_yKJfOKFSQPjUIXfJB4hO; https://drive.google.com/open?id=1xDYxRR82JZ-OUWZqZ0pUtn8J_sx6mHFu</t>
  </si>
  <si>
    <t>https://www.facebook.com/profile.php?id=100024447983410</t>
  </si>
  <si>
    <r>
      <rPr>
        <sz val="12"/>
        <color theme="1"/>
        <rFont val="Times New Roman"/>
        <family val="1"/>
      </rPr>
      <t>Đoàn Nguyên Vũ</t>
    </r>
    <r>
      <rPr>
        <sz val="12"/>
        <color rgb="FFFF0000"/>
        <rFont val="Times New Roman"/>
        <family val="1"/>
      </rPr>
      <t xml:space="preserve"> (hợp đồng)</t>
    </r>
  </si>
  <si>
    <t>doannguyenvu89@gmail.com</t>
  </si>
  <si>
    <t>thôn triều dương, xã Hải Triều, huyện Tiên Lữ, Tỉnh Hưng Yên</t>
  </si>
  <si>
    <t>https://drive.google.com/open?id=1Slvj5sXfH_SKy6xvZ2xnfAabd93P1mrj; https://drive.google.com/open?id=1dYZ631GXhFp3SsVuBduVgn-gp1RFOjHi</t>
  </si>
  <si>
    <t>PT110</t>
  </si>
  <si>
    <t>https://www.facebook.com/profile.php?id=100035726622234&amp;mibextid=LQQJ4d</t>
  </si>
  <si>
    <r>
      <rPr>
        <sz val="12"/>
        <color theme="1"/>
        <rFont val="Times New Roman"/>
        <family val="1"/>
      </rPr>
      <t xml:space="preserve">Nguyễn Xuân Hùng </t>
    </r>
    <r>
      <rPr>
        <sz val="12"/>
        <color rgb="FFFF0000"/>
        <rFont val="Times New Roman"/>
        <family val="1"/>
      </rPr>
      <t xml:space="preserve">(hợp đồng) PT103
</t>
    </r>
    <r>
      <rPr>
        <sz val="12"/>
        <color theme="1"/>
        <rFont val="Times New Roman"/>
        <family val="1"/>
      </rPr>
      <t>0392921523 sđt cũ</t>
    </r>
  </si>
  <si>
    <t>nguyenhungg3107@gmail.com</t>
  </si>
  <si>
    <t>Sân bóng thông Vĩnh lại- Cẩm đông- Cẩm giàng- Hải Dương</t>
  </si>
  <si>
    <t>24/07/2024 và 25/07/2024</t>
  </si>
  <si>
    <t>https://drive.google.com/open?id=1vhZqWGYRbJldXZ2U1d8GofoSS_MYIvLg; https://drive.google.com/open?id=1y47xXCE6gQnapf7WyDup0UJsdkzV1tb6; https://drive.google.com/open?id=1YTvM2SgAEE3AZi-AigMjnO3JeluMq7bX</t>
  </si>
  <si>
    <t>https://www.facebook.com/profile.php?id=100052674230901&amp;mibextid=LQQJ4d</t>
  </si>
  <si>
    <r>
      <rPr>
        <sz val="12"/>
        <color theme="1"/>
        <rFont val="Times New Roman"/>
        <family val="1"/>
      </rPr>
      <t xml:space="preserve">Lương Gia Linh </t>
    </r>
    <r>
      <rPr>
        <sz val="12"/>
        <color rgb="FFFF0000"/>
        <rFont val="Times New Roman"/>
        <family val="1"/>
      </rPr>
      <t>(hợp đồng) - Carni Linh</t>
    </r>
  </si>
  <si>
    <t>linhcarni206@gmail.com</t>
  </si>
  <si>
    <t>số nhà 38, ngõ 1008 đường Láng, phường Láng Thượng, quận Đống Đa, Hà Nội</t>
  </si>
  <si>
    <t>24/07/2024 và 27/07/2024</t>
  </si>
  <si>
    <t>https://drive.google.com/open?id=1_IDRjyZpy5HBe_B_vHt1oP1Lt3yQENjI; https://drive.google.com/open?id=1pTF1ZPiI5VsV3nsmZLRELcfJQdmrMNUI; https://drive.google.com/open?id=1RYtTD3Q9lVuea1UDx4z68YVQVvbZ3gWq</t>
  </si>
  <si>
    <t>https://www.facebook.com/tranthanh.van.50999405?mibextid=LQQJ4d</t>
  </si>
  <si>
    <r>
      <rPr>
        <sz val="12"/>
        <color theme="1"/>
        <rFont val="Times New Roman"/>
        <family val="1"/>
      </rPr>
      <t>Trần Vân Hậu</t>
    </r>
    <r>
      <rPr>
        <sz val="12"/>
        <color rgb="FFFF0000"/>
        <rFont val="Times New Roman"/>
        <family val="1"/>
      </rPr>
      <t xml:space="preserve"> (hợp đồng)</t>
    </r>
  </si>
  <si>
    <t>Tvanhau187@gmail.com</t>
  </si>
  <si>
    <t>9/144 Hùng Vương, Tp. Nam Định</t>
  </si>
  <si>
    <t>23/07/2024 và 26/07/2024</t>
  </si>
  <si>
    <t>25/08/2024 va 04/09/2024</t>
  </si>
  <si>
    <r>
      <rPr>
        <u/>
        <sz val="12"/>
        <color rgb="FF1155CC"/>
        <rFont val="Times New Roman"/>
        <family val="1"/>
      </rPr>
      <t xml:space="preserve">https://drive.google.com/open?id=1Ux3ooGvhH5VUI6Du86qpJCZdYxPq4Ts_; https://drive.google.com/open?id=1rTz5CTqI1IFNuxrP5G10tkdADXvYr4jl; https://drive.google.com/open?id=1QCSWol153omySUEVmWLaF8mnl5gdrR5V; </t>
    </r>
    <r>
      <rPr>
        <u/>
        <sz val="12"/>
        <color rgb="FF1155CC"/>
        <rFont val="Times New Roman"/>
        <family val="1"/>
      </rPr>
      <t>https://drive.google.com/open?id=14hpA1xgUjq7ggxHbh1DDPHryAMyB0ybI</t>
    </r>
  </si>
  <si>
    <t>https://www.facebook.com/Minah2611</t>
  </si>
  <si>
    <r>
      <rPr>
        <sz val="12"/>
        <color theme="1"/>
        <rFont val="Times New Roman"/>
        <family val="1"/>
      </rPr>
      <t xml:space="preserve">Lương Thị Minh Anh </t>
    </r>
    <r>
      <rPr>
        <sz val="12"/>
        <color rgb="FFFF0000"/>
        <rFont val="Times New Roman"/>
        <family val="1"/>
      </rPr>
      <t>(hợp đồng)</t>
    </r>
  </si>
  <si>
    <t>minhanhluong197@gmail.com</t>
  </si>
  <si>
    <t>Địa chỉ thôn Tân hoa xã đào Mỹ huyện Lạng Giang Bắc Giang</t>
  </si>
  <si>
    <t>22/07/2024 và 26/07/2027</t>
  </si>
  <si>
    <t>https://drive.google.com/open?id=11yx0GmsDCrJNUo-m0TJ_73OWuFbJ-tkL; https://drive.google.com/open?id=15wODXxtD1KEoUHY11B-g0O13YBHUuD3T; https://drive.google.com/open?id=1eLuwERJr6pEkDNadHDnRaojrTLviK_i8</t>
  </si>
  <si>
    <t>https://www.facebook.com/profile.php?id=100082997329944&amp;mibextid=LQQJ4d</t>
  </si>
  <si>
    <r>
      <rPr>
        <sz val="12"/>
        <color theme="1"/>
        <rFont val="Times New Roman"/>
        <family val="1"/>
      </rPr>
      <t xml:space="preserve">Đặng Khánh Linh </t>
    </r>
    <r>
      <rPr>
        <sz val="12"/>
        <color rgb="FFFF0000"/>
        <rFont val="Times New Roman"/>
        <family val="1"/>
      </rPr>
      <t>(hợp đồng)</t>
    </r>
  </si>
  <si>
    <t>dangkhanhlinh2005.pck@gmail.com</t>
  </si>
  <si>
    <t>407 Giải Phóng, phường Trường Thi TP Nam Định</t>
  </si>
  <si>
    <t>24/07/2024 và 29/07/2024 và 30/07/2024</t>
  </si>
  <si>
    <t>https://drive.google.com/open?id=1d9i1GQMg4j9DaieSzl9lidfgCJbC1ksd; https://drive.google.com/open?id=1jE60BVYJLqqDxL7WFp9LZW3nxJViPBPG; https://drive.google.com/open?id=1Qk7u_A-Rx-p4vljJMcZRW6QogfN-0asW; https://drive.google.com/open?id=1jMDDbU_-YTaiZusQ1wfGAIFjQWdL28IQ</t>
  </si>
  <si>
    <t>https://www.facebook.com/profile.php?id=100087006656747&amp;mibextid=LQQJ4d</t>
  </si>
  <si>
    <r>
      <rPr>
        <sz val="12"/>
        <color theme="1"/>
        <rFont val="Times New Roman"/>
        <family val="1"/>
      </rPr>
      <t>Trần Viết Chiết</t>
    </r>
    <r>
      <rPr>
        <sz val="12"/>
        <color rgb="FFFF0000"/>
        <rFont val="Times New Roman"/>
        <family val="1"/>
      </rPr>
      <t xml:space="preserve"> (hợp đồng)</t>
    </r>
  </si>
  <si>
    <t>tranvietchiet@gmail.com</t>
  </si>
  <si>
    <t xml:space="preserve">Đội 12, thôn Đào Đặng, xã Trung Nghĩa, thành phố Hưng Yên </t>
  </si>
  <si>
    <t>25/07/2024 và 31/08/2024</t>
  </si>
  <si>
    <t>https://drive.google.com/open?id=12nSYy9h5dkWNJRiRuvwk74vCinUab8Hj; https://drive.google.com/open?id=1UQeKSJbUEYaIvF3EX-R-9WN5LUl89qLC; https://drive.google.com/open?id=1ic6UAGglrbl109JpbMh4Qa7fHTeP7LTy</t>
  </si>
  <si>
    <t>https://www.facebook.com/profile.php?id=100068083747091&amp;mibextid=LQQJ4d</t>
  </si>
  <si>
    <r>
      <rPr>
        <sz val="12"/>
        <color theme="1"/>
        <rFont val="Times New Roman"/>
        <family val="1"/>
      </rPr>
      <t xml:space="preserve">Lê Nguyễn Hà Trang </t>
    </r>
    <r>
      <rPr>
        <sz val="12"/>
        <color rgb="FFFF0000"/>
        <rFont val="Times New Roman"/>
        <family val="1"/>
      </rPr>
      <t>(hợp đồng) 989494136 ZALO</t>
    </r>
  </si>
  <si>
    <t>lnht271206@gmail.com</t>
  </si>
  <si>
    <t xml:space="preserve"> xóm vinh viên- xã ninh mỹ- huyện hoa lư- tỉnh ninh bình</t>
  </si>
  <si>
    <t>25/07/2024 và 30/07/2024</t>
  </si>
  <si>
    <t>20/08/2024 và 31/08/2024</t>
  </si>
  <si>
    <r>
      <rPr>
        <u/>
        <sz val="12"/>
        <color rgb="FF1155CC"/>
        <rFont val="Times New Roman"/>
        <family val="1"/>
      </rPr>
      <t xml:space="preserve">https://drive.google.com/open?id=1cRDZHAHxLuJ5BBYrtm2vpH53L7SZkciE; https://drive.google.com/open?id=1RggNWqdbGSQq5KUjA3IGdXRX0qVKD3Aa; </t>
    </r>
    <r>
      <rPr>
        <u/>
        <sz val="12"/>
        <color rgb="FF1155CC"/>
        <rFont val="Times New Roman"/>
        <family val="1"/>
      </rPr>
      <t>https://drive.google.com/open?id=1-pe1EF-n4H9mJjklA_cqVPbATS3SUF4k</t>
    </r>
    <r>
      <rPr>
        <u/>
        <sz val="12"/>
        <color rgb="FF1155CC"/>
        <rFont val="Times New Roman"/>
        <family val="1"/>
      </rPr>
      <t xml:space="preserve">; </t>
    </r>
    <r>
      <rPr>
        <u/>
        <sz val="12"/>
        <color rgb="FF1155CC"/>
        <rFont val="Times New Roman"/>
        <family val="1"/>
      </rPr>
      <t>https://drive.google.com/open?id=1c3NUyubddbYb6LXBoXelSkxI0iNKT5mK</t>
    </r>
  </si>
  <si>
    <t xml:space="preserve"> https://www.facebook.com/share/jLdeDuaS6Yek3tcj/?mibextid=LQQJ4d</t>
  </si>
  <si>
    <r>
      <rPr>
        <sz val="12"/>
        <color theme="1"/>
        <rFont val="Times New Roman"/>
        <family val="1"/>
      </rPr>
      <t xml:space="preserve">Đào Duy Tuấn </t>
    </r>
    <r>
      <rPr>
        <sz val="12"/>
        <color rgb="FFFF0000"/>
        <rFont val="Times New Roman"/>
        <family val="1"/>
      </rPr>
      <t xml:space="preserve">(hợp đồng) </t>
    </r>
  </si>
  <si>
    <t>Xóm Chợ,Cổ Loa,Đông Anh,Hà Nội</t>
  </si>
  <si>
    <t>https://drive.google.com/open?id=1VsveDVqtvLO-FazOdlhBxqB6GZcyLNnb; https://drive.google.com/open?id=1MdIGYhBalajmiQaaIkIrqpv2kHPs3U4n, https://drive.google.com/open?id=1jRnqYaz2enLrhECK47uUgL7RcRvIFIJF</t>
  </si>
  <si>
    <t>https://www.facebook.com/profile.php?id=100004358086165</t>
  </si>
  <si>
    <r>
      <rPr>
        <sz val="12"/>
        <color theme="1"/>
        <rFont val="Times New Roman"/>
        <family val="1"/>
      </rPr>
      <t xml:space="preserve">Nguyễn Nhật Minh </t>
    </r>
    <r>
      <rPr>
        <sz val="12"/>
        <color rgb="FFFF0000"/>
        <rFont val="Times New Roman"/>
        <family val="1"/>
      </rPr>
      <t xml:space="preserve">(hợp đồng) </t>
    </r>
    <r>
      <rPr>
        <sz val="12"/>
        <color theme="1"/>
        <rFont val="Times New Roman"/>
        <family val="1"/>
      </rPr>
      <t>366523155 số cũ</t>
    </r>
  </si>
  <si>
    <t>canhcutminh@gmail.com</t>
  </si>
  <si>
    <t>Khu Bình Quyền, thị trấn Bình Liêu,huyện Bình Liêu, tỉnh Quảng Ninh</t>
  </si>
  <si>
    <t>26/07/2024 và 30/07/2024</t>
  </si>
  <si>
    <t>https://drive.google.com/open?id=1AI-rW5l8j038X-WAzHb3HZyjAud_fbKy; https://drive.google.com/open?id=1u0DCJG4AQG8oCk0cj9Xcxh-D7pAEnT3M; https://drive.google.com/open?id=1cNcxUiBiN6gIeAUNLi6mRH5eZ8idwZVe</t>
  </si>
  <si>
    <t>https://www.facebook.com/hung09122006?mibextid=LQQJ4d</t>
  </si>
  <si>
    <r>
      <rPr>
        <sz val="12"/>
        <color theme="1"/>
        <rFont val="Times New Roman"/>
        <family val="1"/>
      </rPr>
      <t xml:space="preserve">Nguyễn Tuấn Hưng </t>
    </r>
    <r>
      <rPr>
        <sz val="12"/>
        <color rgb="FFFF0000"/>
        <rFont val="Times New Roman"/>
        <family val="1"/>
      </rPr>
      <t>(hợp đồng)</t>
    </r>
  </si>
  <si>
    <t>ngõ 2 , xóm trại, thôn lương nỗ, xã tiên dương, đông anh, hà nội</t>
  </si>
  <si>
    <t>https://drive.google.com/open?id=1nE7tbLTQeE3XPbT3P5mfIawa5RJ0z6lX, https://drive.google.com/open?id=1vW_RWyd2Mn55qby-TxAIWJrVIFu_a3gu; https://drive.google.com/open?id=1izRMia5sa7tpRBax09cJRIeESIIp-FrK</t>
  </si>
  <si>
    <t>https://www.facebook.com/profile.php?id=100043885262717&amp;mibextid=LQQJ4d</t>
  </si>
  <si>
    <r>
      <rPr>
        <sz val="12"/>
        <color theme="1"/>
        <rFont val="Times New Roman"/>
        <family val="1"/>
      </rPr>
      <t xml:space="preserve">Vũ Thu Linh </t>
    </r>
    <r>
      <rPr>
        <sz val="12"/>
        <color rgb="FFFF0000"/>
        <rFont val="Times New Roman"/>
        <family val="1"/>
      </rPr>
      <t>(hợp đồng)</t>
    </r>
  </si>
  <si>
    <t>Gmail: iuvtlnhat@gmail.com</t>
  </si>
  <si>
    <t>Nhà cuối cùng, ngõ 6, đường Đê, Tổ 5, phường Vạn Hương, quận Đồ Sơn, TP Hải Phòng</t>
  </si>
  <si>
    <t>24/07/2024 và 28/07/2024</t>
  </si>
  <si>
    <t>26/08/2024 và 27/08/2024</t>
  </si>
  <si>
    <t>https://drive.google.com/open?id=1b3-ZSJfr1uSUolqVll8Gkb6bdPb755ay; https://drive.google.com/open?id=1UXLDK_rg4BqS4Q2OoOJx8OYFHozbGUvw; https://drive.google.com/open?id=14QehVnp9xdxa5GsF701H9flLLL1oM8hs; https://drive.google.com/open?id=1keAyQeEL0yRZ78NvTZwn0I_neHhzNev5</t>
  </si>
  <si>
    <t>https://www.facebook.com/profile.php?id=100044647252027&amp;mibextid=LQQJ4d</t>
  </si>
  <si>
    <r>
      <rPr>
        <sz val="12"/>
        <color theme="1"/>
        <rFont val="Times New Roman"/>
        <family val="1"/>
      </rPr>
      <t xml:space="preserve">Hồ Thị Thanh Mai </t>
    </r>
    <r>
      <rPr>
        <sz val="12"/>
        <color rgb="FFFF0000"/>
        <rFont val="Times New Roman"/>
        <family val="1"/>
      </rPr>
      <t>(hợp đồng)</t>
    </r>
  </si>
  <si>
    <t>Gmail: Hothanhmai1504@gmail.com</t>
  </si>
  <si>
    <t>Xóm 3, xã Quỳnh Lâm, huyện Quỳnh Lưu, tỉnh Nghệ An</t>
  </si>
  <si>
    <t>25/07/2024 và 29/07/2024</t>
  </si>
  <si>
    <t>https://drive.google.com/open?id=1_kceqyavEdfyxy9jM3xnTOhbEhqN43Wn; https://drive.google.com/open?id=1KX_uMbPZF2kDlAXne58A8fgp26s0qdIw; https://drive.google.com/open?id=1fsaZMYyFiejrbXVXjA_oPdFD2yKjY0AM</t>
  </si>
  <si>
    <t>https://www.facebook.com/profile.php?id=100060503630929&amp;mibextid=ZbWKwL</t>
  </si>
  <si>
    <r>
      <rPr>
        <sz val="12"/>
        <color theme="1"/>
        <rFont val="Times New Roman"/>
        <family val="1"/>
      </rPr>
      <t xml:space="preserve">Nguyễn Minh Hằng </t>
    </r>
    <r>
      <rPr>
        <sz val="12"/>
        <color rgb="FFFF0000"/>
        <rFont val="Times New Roman"/>
        <family val="1"/>
      </rPr>
      <t>(hợp đồng) - nick Kieuu Anh 328128183 ZALO</t>
    </r>
  </si>
  <si>
    <t xml:space="preserve">Gmail: lykieu206@gmail.com </t>
  </si>
  <si>
    <t>Cụm 2 , Trường mầm non Hồng Hà , xã Hồng Hà, huyện Đan Phương , Hà nội</t>
  </si>
  <si>
    <t>25/07/2024 và 28/07/2024</t>
  </si>
  <si>
    <t>https://drive.google.com/open?id=1RvCOPHlH5TTAqT69PmNKbk1pEQZOSU8G; https://drive.google.com/open?id=1x2RNKdr7gKSy7fRf-Ej3DnMN4wSiKRyM; https://drive.google.com/open?id=1boEb0_yV3kDXTDzoQHeyg4LjGV0uPAzw</t>
  </si>
  <si>
    <t>https://www.facebook.com/profile.php?id=100050539413642&amp;mibextid=ZbWKwL</t>
  </si>
  <si>
    <r>
      <rPr>
        <sz val="12"/>
        <color theme="1"/>
        <rFont val="Times New Roman"/>
        <family val="1"/>
      </rPr>
      <t xml:space="preserve">Đặng Minh Quang </t>
    </r>
    <r>
      <rPr>
        <sz val="12"/>
        <color rgb="FFFF0000"/>
        <rFont val="Times New Roman"/>
        <family val="1"/>
      </rPr>
      <t>(hợp đồng)</t>
    </r>
  </si>
  <si>
    <t xml:space="preserve">Yến </t>
  </si>
  <si>
    <t xml:space="preserve">An Động - Lạc Vệ - Tiên Du - Bắc Ninh </t>
  </si>
  <si>
    <t>https://drive.google.com/open?id=10QI-chXbQJxvhWA8E9WR4Zs_7IVQzzy0; https://drive.google.com/open?id=1GpW1F5swQvzKAUPy4IyYDiIZk8rykjJA, https://drive.google.com/open?id=1D14qC9291x16slmfD-19OBYNhw4GwqYc</t>
  </si>
  <si>
    <t>https://www.facebook.com/profile.php?id=100016771843639&amp;mibextid=LQQJ4d</t>
  </si>
  <si>
    <r>
      <rPr>
        <sz val="12"/>
        <color theme="1"/>
        <rFont val="Times New Roman"/>
        <family val="1"/>
      </rPr>
      <t>Lê Thị Ánh Duyên</t>
    </r>
    <r>
      <rPr>
        <sz val="12"/>
        <color rgb="FFFF0000"/>
        <rFont val="Times New Roman"/>
        <family val="1"/>
      </rPr>
      <t xml:space="preserve"> (hợp đồng)</t>
    </r>
  </si>
  <si>
    <t>tnaduyen2311@gmail.com</t>
  </si>
  <si>
    <t>sn 283 khúc toại khúc xuyên TP. Bắc ninh</t>
  </si>
  <si>
    <t>https://drive.google.com/open?id=1QL7LZxfg9z_xW_bh_nVaT7X9yZCSTx1_; https://drive.google.com/open?id=1EiGtByIVry1wXYJxKBt1xS1c6L2RJfpg</t>
  </si>
  <si>
    <t>https://www.facebook.com/profile.php?id=100071335046475&amp;mibextid=LQQJ4d</t>
  </si>
  <si>
    <r>
      <rPr>
        <sz val="12"/>
        <color theme="1"/>
        <rFont val="Times New Roman"/>
        <family val="1"/>
      </rPr>
      <t xml:space="preserve">Nguyễn Duyên </t>
    </r>
    <r>
      <rPr>
        <sz val="12"/>
        <color rgb="FFFF0000"/>
        <rFont val="Times New Roman"/>
        <family val="1"/>
      </rPr>
      <t>(hợp đồng)</t>
    </r>
  </si>
  <si>
    <t>xóm Lác Môn 2, xã Trực Hùng, huyện Trực Ninh, tỉnh Nam Định</t>
  </si>
  <si>
    <t>https://drive.google.com/open?id=1v6c_a22l5D8pi5h8phU1WkM1Gu8XVjVz</t>
  </si>
  <si>
    <t>https://www.facebook.com/profile.php?id=100049327514504&amp;mibextid=LQQJ4d</t>
  </si>
  <si>
    <r>
      <rPr>
        <sz val="12"/>
        <color theme="1"/>
        <rFont val="Times New Roman"/>
        <family val="1"/>
      </rPr>
      <t>Nguyễn Thị Nhung</t>
    </r>
    <r>
      <rPr>
        <sz val="12"/>
        <color rgb="FFFF0000"/>
        <rFont val="Times New Roman"/>
        <family val="1"/>
      </rPr>
      <t xml:space="preserve"> (hợp đồng) - gửi chung với Mai</t>
    </r>
  </si>
  <si>
    <t>nhungthinguyen1502@gmail.com</t>
  </si>
  <si>
    <t>Thôn Yên Thích, xã Bắc Bình, Lập Thạch, Vĩnh Phúc</t>
  </si>
  <si>
    <t>28/07/2024 và 30/07/2024</t>
  </si>
  <si>
    <t>https://drive.google.com/open?id=1PUkQt5NTxzaZRRjwoafU8JDaEf6-96db; https://drive.google.com/open?id=1C7_NlHa5S8a_aFC5Fa8i4G2edJJJVkrK; https://drive.google.com/open?id=1V17Glt7AYtMKto4K2GyC8viHpx3kA3XI</t>
  </si>
  <si>
    <t>https://www.facebook.com/profile.php?id=100034196131502</t>
  </si>
  <si>
    <r>
      <rPr>
        <sz val="12"/>
        <color theme="1"/>
        <rFont val="Times New Roman"/>
        <family val="1"/>
      </rPr>
      <t xml:space="preserve">Nguyễn Văn Đạt </t>
    </r>
    <r>
      <rPr>
        <sz val="12"/>
        <color rgb="FFFF0000"/>
        <rFont val="Times New Roman"/>
        <family val="1"/>
      </rPr>
      <t>(hợp đồng)</t>
    </r>
  </si>
  <si>
    <t>66 Hạ Thái, Duyên Thái, Thường Tín, Hà Nội</t>
  </si>
  <si>
    <t>22/07/2024 và 29/07/2024</t>
  </si>
  <si>
    <t>https://drive.google.com/open?id=17jXvb9tdJdKx2NaK8VIQGN8rbPofjKrl, https://drive.google.com/open?id=1qbxKHYbcmYWveUmmuqRNyM5EVBf3xFBP; https://drive.google.com/open?id=1VOLMXGcFzY_11v2R8X7XzNJ0YezD54zM</t>
  </si>
  <si>
    <t>https://www.facebook.com/minh.phannhat.3954</t>
  </si>
  <si>
    <t>Phan Nhật Minh</t>
  </si>
  <si>
    <t>Phannhatminh2k5@gmail.com</t>
  </si>
  <si>
    <t>Số 17, Ngách 128/43 Cổ Nhuế, Phường Cổ Nhuế 2, Quận Bắc Từ Liêm, Hà Nội</t>
  </si>
  <si>
    <t>https://drive.google.com/open?id=1nnpOycTpUCCFQbapJXOWvBTETQinf62K; https://drive.google.com/open?id=1SaIVoOjzMryQW6Z4rU3w8bsaY050P4wj</t>
  </si>
  <si>
    <t>Nông Minh Phú</t>
  </si>
  <si>
    <t xml:space="preserve">Nhận sách trên văn phòng </t>
  </si>
  <si>
    <t>https://www.facebook.com/profile.php?id=100050049226034</t>
  </si>
  <si>
    <r>
      <rPr>
        <sz val="12"/>
        <color theme="1"/>
        <rFont val="Times New Roman"/>
        <family val="1"/>
      </rPr>
      <t xml:space="preserve">Trịnh Huyền Trang </t>
    </r>
    <r>
      <rPr>
        <sz val="12"/>
        <color rgb="FFFF0000"/>
        <rFont val="Times New Roman"/>
        <family val="1"/>
      </rPr>
      <t>(hợp đồng)</t>
    </r>
  </si>
  <si>
    <t>trinhtrang9116@gmail.com</t>
  </si>
  <si>
    <t>Nhà văn hóa thôn vàng ngọc xã trường yên huyện hoa lư tỉnh ninh bình</t>
  </si>
  <si>
    <t>27/07/2024 và 29/07/2024</t>
  </si>
  <si>
    <t>https://drive.google.com/open?id=1IQb062RY_5EXZ-lAjRYtfOtgtN4Q2Xl5, https://drive.google.com/open?id=1GOkWbrjIhGsG3vikaYHUexCcM0W85h2-</t>
  </si>
  <si>
    <t>https://www.facebook.com/profile.php?id=100031038654221&amp;mibextid=LQQJ4d</t>
  </si>
  <si>
    <r>
      <rPr>
        <sz val="12"/>
        <color theme="1"/>
        <rFont val="Times New Roman"/>
        <family val="1"/>
      </rPr>
      <t xml:space="preserve">Nguyễn Thị Mai </t>
    </r>
    <r>
      <rPr>
        <sz val="12"/>
        <color rgb="FFFF0000"/>
        <rFont val="Times New Roman"/>
        <family val="1"/>
      </rPr>
      <t>(hợp đồng) - gửi chung với Nhung</t>
    </r>
  </si>
  <si>
    <t xml:space="preserve">nguyenmai240806@gmail.com </t>
  </si>
  <si>
    <t>Thôn Yên Thích -xã Bắc Bình -huyện Lập Thạch-VP</t>
  </si>
  <si>
    <t>29/07/2024 và 30/07/2024</t>
  </si>
  <si>
    <t>https://drive.google.com/open?id=1QOkVHg9VvwKyV1Wwh3N7SM4OmNfUkl-E, https://drive.google.com/open?id=1dRVRGjJuW8Ja4fKcwcrNbSklrDy_-8NH</t>
  </si>
  <si>
    <t>https://www.facebook.com/profile.php?id=100028349718300&amp;mibextid=LQQJ4d</t>
  </si>
  <si>
    <t>Nguyễn Thị Hương Linh</t>
  </si>
  <si>
    <t>nguyenthilinh112006@gmail.com</t>
  </si>
  <si>
    <t>thôn Lai Tê, Xã Trung Chính, huyện Lương Tài, tỉnh Bắc Ninh</t>
  </si>
  <si>
    <t>https://drive.google.com/open?id=1-_akLwmJr1YmaCki3NEd5ojU61OCoBPm; https://drive.google.com/open?id=1C-sa1_ZPMahVrL67kP7jYfkVd2yXnX0W, https://drive.google.com/open?id=1mEsjIFNdVLxgL3Bn25EGl5eLyZWZBwDT</t>
  </si>
  <si>
    <t>Đường 31, khu Thái Sơn,ấp 2/5, xã Long Hậu, Cần Giuộc, Long An</t>
  </si>
  <si>
    <t>https://drive.google.com/open?id=1zXU_Px9uMzNNi1Vs4tgswsVB95CCV1Ti</t>
  </si>
  <si>
    <t>PT112</t>
  </si>
  <si>
    <t>https://www.facebook.com/profile.php?id=100048138592987</t>
  </si>
  <si>
    <r>
      <rPr>
        <sz val="12"/>
        <color theme="1"/>
        <rFont val="Times New Roman"/>
        <family val="1"/>
      </rPr>
      <t xml:space="preserve">Nguyễn Thùy Phương </t>
    </r>
    <r>
      <rPr>
        <sz val="12"/>
        <color rgb="FFFF0000"/>
        <rFont val="Times New Roman"/>
        <family val="1"/>
      </rPr>
      <t>(hợp đồng) PT107</t>
    </r>
  </si>
  <si>
    <t>thuyphuongnguyen851@gmail.com</t>
  </si>
  <si>
    <t>Số nhà 15, Ngõ 4, Khối 10, Hồng Sơn, đường Văn Thánh-TP Vinh- tỉnh Nghệ An</t>
  </si>
  <si>
    <t>01/08/2024 và 17/08/2024</t>
  </si>
  <si>
    <t>https://drive.google.com/open?id=1f2cRho82K69tltsHRlU_LU2ll5sZXfUh; https://drive.google.com/open?id=1rckVCj9RHqJe3xSmILouE3Rmlulea7iq</t>
  </si>
  <si>
    <t>PT106</t>
  </si>
  <si>
    <t>https://www.facebook.com/khanh.thaihoang.96</t>
  </si>
  <si>
    <r>
      <rPr>
        <sz val="12"/>
        <color theme="1"/>
        <rFont val="Times New Roman"/>
        <family val="1"/>
      </rPr>
      <t>Thái Hoàng Khanh</t>
    </r>
    <r>
      <rPr>
        <sz val="12"/>
        <color rgb="FFFF0000"/>
        <rFont val="Times New Roman"/>
        <family val="1"/>
      </rPr>
      <t xml:space="preserve"> (hợp đồng) 328431627 sđt mẹ</t>
    </r>
  </si>
  <si>
    <t>thaihoangkhanh06@gmail.com</t>
  </si>
  <si>
    <t>ấp Tân Hoà, xã Xuân Đông, huyện Chợ Gạo, tỉnh Tiền Giang</t>
  </si>
  <si>
    <t>https://drive.google.com/open?id=1HHraJeMz0ycx8NzAHzTs_heLk6ID1S7o</t>
  </si>
  <si>
    <t>https://www.facebook.com/trancong.vinh.31924?mibextid=LQQJ4d</t>
  </si>
  <si>
    <r>
      <rPr>
        <sz val="12"/>
        <color theme="1"/>
        <rFont val="Times New Roman"/>
        <family val="1"/>
      </rPr>
      <t xml:space="preserve">Trần Công Vinh </t>
    </r>
    <r>
      <rPr>
        <sz val="12"/>
        <color rgb="FFFF0000"/>
        <rFont val="Times New Roman"/>
        <family val="1"/>
      </rPr>
      <t>(hợp đồng)</t>
    </r>
  </si>
  <si>
    <t xml:space="preserve">congvinh1408vp@gmail.com </t>
  </si>
  <si>
    <t>Phú Hậu Thượng, Sơn Đông, Lập Thạch, Vĩnh Phúc</t>
  </si>
  <si>
    <t>https://drive.google.com/open?id=1dp_qMBxxE4gEg9lYYQtP6Hur5GMGQqvh</t>
  </si>
  <si>
    <t>https://www.facebook.com/profile.php?id=100047180812864&amp;mibextid=ZbWKwL</t>
  </si>
  <si>
    <r>
      <rPr>
        <sz val="12"/>
        <color theme="1"/>
        <rFont val="Times New Roman"/>
        <family val="1"/>
      </rPr>
      <t>Đồng Thị Ngọc Ánh</t>
    </r>
    <r>
      <rPr>
        <sz val="12"/>
        <color rgb="FFFF0000"/>
        <rFont val="Times New Roman"/>
        <family val="1"/>
      </rPr>
      <t xml:space="preserve"> (hợp đồng)</t>
    </r>
  </si>
  <si>
    <t>anhngocdong2301@gmail.com</t>
  </si>
  <si>
    <t>Đồ Gỗ Đức Thọ, Cầu mới, Xóm 2A, Hải Anh, Hải Hậu, Nam Định</t>
  </si>
  <si>
    <t>01/08/2024 và 05/08/2024</t>
  </si>
  <si>
    <t>https://www.facebook.com/profile.php?id=100073124824731&amp;mibextid=LQQJ4d</t>
  </si>
  <si>
    <t>Nguyễn Thị Thu Diệu</t>
  </si>
  <si>
    <t>nguyendieu24052006@gmail.com</t>
  </si>
  <si>
    <t>Xóm 10, Hải Long, Hải Hậu, Nam Định</t>
  </si>
  <si>
    <t>https://drive.google.com/open?id=1RjK5uAvwxuVVqS0Ya0D8d5dFKxQ0a3wA; https://drive.google.com/open?id=14a5ljMZpLPPG7ivlh8LvBz6aJNrBd2ZC</t>
  </si>
  <si>
    <t>https://www.facebook.com/profile.php?id=100014980324102&amp;mibextid=LQQJ4d</t>
  </si>
  <si>
    <r>
      <rPr>
        <sz val="12"/>
        <color theme="1"/>
        <rFont val="Times New Roman"/>
        <family val="1"/>
      </rPr>
      <t xml:space="preserve">Đinh Lan </t>
    </r>
    <r>
      <rPr>
        <sz val="12"/>
        <color rgb="FFFF0000"/>
        <rFont val="Times New Roman"/>
        <family val="1"/>
      </rPr>
      <t>(hợp đồng) 973536259 sđt mẹ</t>
    </r>
  </si>
  <si>
    <t>landinh1404@gmail.com</t>
  </si>
  <si>
    <t>Khu Khuê Liễu,Phường Tân Hưng-TP Hải Dương ạ</t>
  </si>
  <si>
    <t>https://drive.google.com/open?id=1UqutuRkZYT1qQHUZ1-evBNOUePexlhxi; https://drive.google.com/open?id=1nirhr8qoH4lJbGnPPik-hS3LPEgUWwFx</t>
  </si>
  <si>
    <t>https://www.facebook.com/nhiss.bangss.54?mibextid=LQQJ4d</t>
  </si>
  <si>
    <r>
      <rPr>
        <sz val="12"/>
        <color theme="1"/>
        <rFont val="Times New Roman"/>
        <family val="1"/>
      </rPr>
      <t xml:space="preserve">Đỗ Minh Huyền </t>
    </r>
    <r>
      <rPr>
        <sz val="12"/>
        <color rgb="FFFF0000"/>
        <rFont val="Times New Roman"/>
        <family val="1"/>
      </rPr>
      <t>(hợp đồng)</t>
    </r>
  </si>
  <si>
    <t>dmhuyen7@gmail.com</t>
  </si>
  <si>
    <t>Bản Tân Bắc, xã Pắc Ta,huyện Tân Uyên,tỉnh Lai Châu</t>
  </si>
  <si>
    <t>01/08/2024 và 03/08/2024</t>
  </si>
  <si>
    <t xml:space="preserve">https://drive.google.com/open?id=1caQW5a3OypIrlc3wbXmm3au8DAbD0L5v; https://drive.google.com/open?id=1mDXBRhVoZMhW5MEvPYnT0o5hNnUer1bi; 
100%
10
J1885
</t>
  </si>
  <si>
    <t>OPT25</t>
  </si>
  <si>
    <t>https://www.facebook.com/profile.php?id=100069946414457&amp;mibextid=LQQJ4d</t>
  </si>
  <si>
    <r>
      <rPr>
        <sz val="12"/>
        <color theme="1"/>
        <rFont val="Times New Roman"/>
        <family val="1"/>
      </rPr>
      <t xml:space="preserve">Nguyễn Hương Giang </t>
    </r>
    <r>
      <rPr>
        <sz val="12"/>
        <color rgb="FFFF0000"/>
        <rFont val="Times New Roman"/>
        <family val="1"/>
      </rPr>
      <t>(hợp đồng</t>
    </r>
    <r>
      <rPr>
        <sz val="12"/>
        <color theme="1"/>
        <rFont val="Times New Roman"/>
        <family val="1"/>
      </rPr>
      <t>)</t>
    </r>
  </si>
  <si>
    <t>ghuong066@gmail.com</t>
  </si>
  <si>
    <t>Số nhà 12, ngõ 66 đường Yên Bình, Yên Nghĩa, Hà Đông, Hà Nội</t>
  </si>
  <si>
    <t>01/08/2024 và 31/08/2024</t>
  </si>
  <si>
    <t>https://drive.google.com/open?id=1eyaLr13kyqvlMDqFXZgmlb3KbICMnSvG; https://drive.google.com/open?id=1nQYMEIRtkU0yhCKqqBbnr2Gp7xm27m4T</t>
  </si>
  <si>
    <t>https://www.facebook.com/profile.php?id=100075708604086&amp;mibextid=ZbWKwL</t>
  </si>
  <si>
    <t xml:space="preserve">Nguyễn Thị Phương Thanh </t>
  </si>
  <si>
    <t xml:space="preserve">nguyenthiphuongthanhlqd1304@gmail.com </t>
  </si>
  <si>
    <t>đội 5 TDP Tây Kênh, Cổ Lễ, Trực Ninh, Nam Định</t>
  </si>
  <si>
    <t>https://drive.google.com/open?id=1MxNNKNKcJLJnLppR3eVKBPoyFiv4F441; https://drive.google.com/open?id=1PoMNsLxon2aJhUSNZSdJS1oJhvAmeJcq</t>
  </si>
  <si>
    <t>PT107 nghỉ ngang b4, trường học tiếng trung</t>
  </si>
  <si>
    <t>https://www.facebook.com/khanh.lenam.9634</t>
  </si>
  <si>
    <t>Lê Nam Khánh</t>
  </si>
  <si>
    <t>224 Trần Nhân Tông-Xã Hải Xuân-Thành phố Móng Cái</t>
  </si>
  <si>
    <t>https://drive.google.com/open?id=1AF2A47DhwSulszS-ITf-I3jU-CcTLl6C</t>
  </si>
  <si>
    <t>https://www.facebook.com/tai.nguyenhoang.731</t>
  </si>
  <si>
    <r>
      <rPr>
        <sz val="12"/>
        <color theme="1"/>
        <rFont val="Times New Roman"/>
        <family val="1"/>
      </rPr>
      <t>Nguyễn Hoàng Tài</t>
    </r>
    <r>
      <rPr>
        <sz val="12"/>
        <color rgb="FFFF0000"/>
        <rFont val="Times New Roman"/>
        <family val="1"/>
      </rPr>
      <t xml:space="preserve"> (hợp đồng) </t>
    </r>
  </si>
  <si>
    <t>phattai01472356@gmail.com</t>
  </si>
  <si>
    <t>K97/72 Nguyễn Lương Bằng, Hoà Khánh, Liên Chiểu, Đà Nẵng</t>
  </si>
  <si>
    <t>https://drive.google.com/open?id=1yBrBQSz11LcYacMKFo-MOHN-7fO-SLua, https://drive.google.com/open?id=1S565CBhyAc0BHswciP8oBsXQTe6NXuMC</t>
  </si>
  <si>
    <t>https://www.facebook.com/huy.nguyenviet.3954546?mibextid=kFxxJD</t>
  </si>
  <si>
    <r>
      <rPr>
        <sz val="12"/>
        <color theme="1"/>
        <rFont val="Times New Roman"/>
        <family val="1"/>
      </rPr>
      <t xml:space="preserve">Nguyễn Việt Huy </t>
    </r>
    <r>
      <rPr>
        <sz val="12"/>
        <color rgb="FFFF0000"/>
        <rFont val="Times New Roman"/>
        <family val="1"/>
      </rPr>
      <t>(hợp đồng)</t>
    </r>
  </si>
  <si>
    <t>Nguyenviethuy21022006@gmail.com</t>
  </si>
  <si>
    <t>Số nhà 21, đường 36, phường Trần Hưng Đạo, thành phố Thái Bình</t>
  </si>
  <si>
    <t>30/07/2024 và 03/08/2024</t>
  </si>
  <si>
    <t>https://drive.google.com/open?id=1ZP3RD1_vv92LtOqPiogFV9toJTN2mKmD, https://drive.google.com/open?id=1w2I6QS8_HWQkusQ4Prk2ksZO1E4HIMya</t>
  </si>
  <si>
    <t>PT109</t>
  </si>
  <si>
    <t>https://www.facebook.com/profile.php?id=100015192751574&amp;mibextid=ZbWKwL</t>
  </si>
  <si>
    <r>
      <rPr>
        <sz val="12"/>
        <color theme="1"/>
        <rFont val="Times New Roman"/>
        <family val="1"/>
      </rPr>
      <t xml:space="preserve"> Lê Thị Yến Nhi </t>
    </r>
    <r>
      <rPr>
        <sz val="12"/>
        <color rgb="FFFF0000"/>
        <rFont val="Times New Roman"/>
        <family val="1"/>
      </rPr>
      <t>(hợp đồng)</t>
    </r>
  </si>
  <si>
    <t>Lenhithi170@gmail.com</t>
  </si>
  <si>
    <t>Cạnh bưu điện Lộc Hà, Dục Tú, Đông Anh, Hà Nội</t>
  </si>
  <si>
    <r>
      <rPr>
        <sz val="12"/>
        <rFont val="Times New Roman"/>
        <family val="1"/>
      </rPr>
      <t xml:space="preserve">https://drive.google.com/open?id=1YN_vnOo63WTbj1VaWPnJsU92p68fgBNe, https://drive.google.com/open?id=1nxPzFL8EgWJrO5hRgyGJCEKZ2aKMLral; </t>
    </r>
    <r>
      <rPr>
        <u/>
        <sz val="12"/>
        <color rgb="FF1155CC"/>
        <rFont val="Times New Roman"/>
        <family val="1"/>
      </rPr>
      <t>https://drive.google.com/open?id=1dfPvjK6YtkLY0dvcZhBex-QVzywQqzbN</t>
    </r>
  </si>
  <si>
    <t>PT105 bỏ ngang buổi 2</t>
  </si>
  <si>
    <t>https://www.facebook.com/lam.vutunglam.14?mibextid=LQQJ4d</t>
  </si>
  <si>
    <r>
      <rPr>
        <sz val="12"/>
        <color theme="1"/>
        <rFont val="Times New Roman"/>
        <family val="1"/>
      </rPr>
      <t xml:space="preserve">Vũ Tùng Lâm </t>
    </r>
    <r>
      <rPr>
        <sz val="12"/>
        <color rgb="FFFF0000"/>
        <rFont val="Times New Roman"/>
        <family val="1"/>
      </rPr>
      <t>(hợp đồng)</t>
    </r>
  </si>
  <si>
    <t>Khu 1 phường phong cốc thị xã quảng yên tỉnh quảng ninh</t>
  </si>
  <si>
    <t>https://drive.google.com/open?id=1FnI4pm4UM_iRpP33Cs54LN7h8TQtJHdz</t>
  </si>
  <si>
    <t>https://www.facebook.com/baolinh.nguyenle.31</t>
  </si>
  <si>
    <r>
      <rPr>
        <sz val="12"/>
        <color theme="1"/>
        <rFont val="Times New Roman"/>
        <family val="1"/>
      </rPr>
      <t>Nguyễn Lê Bảo Linh</t>
    </r>
    <r>
      <rPr>
        <sz val="12"/>
        <color rgb="FFFF0000"/>
        <rFont val="Times New Roman"/>
        <family val="1"/>
      </rPr>
      <t xml:space="preserve"> (hợp đồng)</t>
    </r>
  </si>
  <si>
    <t>nlblinh475@gmail.com 001306000121</t>
  </si>
  <si>
    <t>số nhà 12 dãy N5F 202 Võ Chí Công, Xuân La, Tây Hồ, Hà Nội</t>
  </si>
  <si>
    <t>https://drive.google.com/open?id=1pzKsK7cSjuPxtHsKvSv8OoLt8UNNVGFZ; https://drive.google.com/open?id=1FskqwSj9uIW3zGC821jYMZ64EKwxFd5P</t>
  </si>
  <si>
    <t>https://www.facebook.com/nguyenlinh.edu.abc</t>
  </si>
  <si>
    <r>
      <rPr>
        <sz val="12"/>
        <color theme="1"/>
        <rFont val="Times New Roman"/>
        <family val="1"/>
      </rPr>
      <t xml:space="preserve">Nguyễn Tuấn Linh </t>
    </r>
    <r>
      <rPr>
        <sz val="12"/>
        <color rgb="FFFF0000"/>
        <rFont val="Times New Roman"/>
        <family val="1"/>
      </rPr>
      <t>(hợp đồng)</t>
    </r>
  </si>
  <si>
    <t xml:space="preserve">nguyenlinhk59hh1@gmail.com </t>
  </si>
  <si>
    <t>trọ bà Huê - cây xăng 39 - Thạch Hoà - Thạch Thất - Hà Nội.</t>
  </si>
  <si>
    <t>https://drive.google.com/open?id=1kFIOqjwIrs8c5QxnJh3M1K2ikn81sUfO</t>
  </si>
  <si>
    <t>https://www.facebook.com/trong.phamxuan.522</t>
  </si>
  <si>
    <r>
      <rPr>
        <sz val="12"/>
        <color theme="1"/>
        <rFont val="Times New Roman"/>
        <family val="1"/>
      </rPr>
      <t xml:space="preserve">Phạm Xuân Trọng </t>
    </r>
    <r>
      <rPr>
        <sz val="12"/>
        <color rgb="FFFF0000"/>
        <rFont val="Times New Roman"/>
        <family val="1"/>
      </rPr>
      <t>(hợp đồng)</t>
    </r>
  </si>
  <si>
    <t>trongphamxuan054@gmail.com</t>
  </si>
  <si>
    <t>Cầu Đập Thân-Thanh Kỳ-An Thanh-Tứ Kỳ-Hải Dương</t>
  </si>
  <si>
    <t>https://drive.google.com/open?id=1ZrHV2Jh6w56SDy35grQlZKDGMqckxIwf; https://drive.google.com/open?id=1rICWfv88uv7w6BB_Fm-y7PMr0-beHiJ4</t>
  </si>
  <si>
    <t>https://www.facebook.com/profile.php?id=100083726784472&amp;mibextid=ZbWKwL</t>
  </si>
  <si>
    <t>Nguyễn Đức Toàn</t>
  </si>
  <si>
    <t>toantaptanh911@gmail.com</t>
  </si>
  <si>
    <t>Phương đưa tay</t>
  </si>
  <si>
    <t>https://drive.google.com/open?id=1Lo9M5jdBR2rV9SKN04sZuol8GNRhmRxm; https://drive.google.com/open?id=1scfM-lC1ezN2qBcui-4c-xHMhsb9H5Kg</t>
  </si>
  <si>
    <t>https://www.facebook.com/ngaa295</t>
  </si>
  <si>
    <t>Lê Thanh Nga</t>
  </si>
  <si>
    <t>lethanhnga2004hd@gmail.com</t>
  </si>
  <si>
    <t xml:space="preserve">Gửi Hiền </t>
  </si>
  <si>
    <t>https://drive.google.com/open?id=1ABHGutO5Pq9dVO4gqbFtfnSMeiy8wb5W; https://drive.google.com/open?id=1PS8ttMPj0SohJafvVApcizelJeaWFQsy</t>
  </si>
  <si>
    <t>VIP104 nghỉ ngang b18 bận ko theo đc. Huy chat</t>
  </si>
  <si>
    <t>Số nhà 3 , ngõ 462/10 đường Bưởi , phường Vĩnh Phúc , quận Ba Đình , Hà Nội</t>
  </si>
  <si>
    <t>https://drive.google.com/open?id=1I5qmEHreT7JVUQwiQJURevXl-ovPt2XT</t>
  </si>
  <si>
    <t>https://www.facebook.com/bachlam2209?mibextid=ZbWKwL</t>
  </si>
  <si>
    <t xml:space="preserve">Trần Hải Đăng </t>
  </si>
  <si>
    <t>Team Đinh Oanh</t>
  </si>
  <si>
    <t>Khu 21, Thịnh Long, Hải Hậu, Nam Định</t>
  </si>
  <si>
    <t>https://drive.google.com/open?id=1cZlU6RkuhgKy8Fidpu-GvnJVuIKyIbEF; https://drive.google.com/open?id=1N7ApP6nRUdOSvQU87Y37kN_VZov7_jz8</t>
  </si>
  <si>
    <t>https://www.facebook.com/jinyoung.bae.39750</t>
  </si>
  <si>
    <t>Võ Thị Bích</t>
  </si>
  <si>
    <t>vobich467@gmail.com</t>
  </si>
  <si>
    <t xml:space="preserve">Thôn Thượng - Thái Tân - Nam Sách - Hải Dương </t>
  </si>
  <si>
    <t>https://drive.google.com/open?id=1bxDu9ZHc7KGxtoIZYCvWgjvhy8ERn0a_; https://drive.google.com/open?id=1nudofuMQElYTNuvi6OpS-OZAusR-QOVG</t>
  </si>
  <si>
    <t>Nhài tư vấn</t>
  </si>
  <si>
    <t>https://drive.google.com/open?id=1FzDfZCzpo3UefxmBX6NZPisk7Mb5abCu; https://drive.google.com/open?id=1dbl9uhlxHP5wwKGSIAqlgW9MMjiaaJ6k</t>
  </si>
  <si>
    <t>https://www.facebook.com/profile.php?id=100038051739051</t>
  </si>
  <si>
    <t>Hương Linh</t>
  </si>
  <si>
    <t>Số 8 đường trung tâm thôn Phan Xá, Uy Nỗ, Đông Anh, Hà Nội</t>
  </si>
  <si>
    <t>https://drive.google.com/open?id=1H1Q5YkHznvlsA_w9iHQhTPbDuKdrnJmD</t>
  </si>
  <si>
    <t>https://www.facebook.com/htp14.06.205</t>
  </si>
  <si>
    <t>Hà Thị Phương</t>
  </si>
  <si>
    <t xml:space="preserve"> phuonghath1406@gmail.com</t>
  </si>
  <si>
    <t xml:space="preserve">Tại văn phòng </t>
  </si>
  <si>
    <t>https://drive.google.com/open?id=1keMUbWDz8wN9ewSOOyIIuuYB_JHb7HFF, https://drive.google.com/open?id=1c14O9XtteTjaan14ck_MDV1eLXwnxYbv</t>
  </si>
  <si>
    <r>
      <rPr>
        <sz val="12"/>
        <color theme="1"/>
        <rFont val="Times New Roman"/>
        <family val="1"/>
      </rPr>
      <t xml:space="preserve">Bùi Ngọc Quỳnh </t>
    </r>
    <r>
      <rPr>
        <sz val="12"/>
        <color rgb="FFFF0000"/>
        <rFont val="Times New Roman"/>
        <family val="1"/>
      </rPr>
      <t>(hợp đồng)</t>
    </r>
  </si>
  <si>
    <t>Gạo Ngon 3 Miền, DG 09-32, Kđt Kiến Hưng, Phường Kiến Hưng, Quận Hà Đông, Hà Nội</t>
  </si>
  <si>
    <t>https://drive.google.com/open?id=1BKfOKYy9JQzakWXaITNEONQlIPftaOcq</t>
  </si>
  <si>
    <t>https://www.facebook.com/profile.php?id=100054995033274&amp;mibextid=LQQJ4d</t>
  </si>
  <si>
    <t xml:space="preserve"> Bichngocnt2003@gmail.com </t>
  </si>
  <si>
    <t>156 Tam Trinh, Hoàng Mai, Hà Nội</t>
  </si>
  <si>
    <t>https://drive.google.com/open?id=1Qh7sr0q6Kcrehz8Xos3keL_icAs5-cOP</t>
  </si>
  <si>
    <t>https://www.facebook.com/profile.php?id=100036929378539&amp;mibextid=ZbWKwL</t>
  </si>
  <si>
    <r>
      <rPr>
        <sz val="12"/>
        <color theme="1"/>
        <rFont val="Times New Roman"/>
        <family val="1"/>
      </rPr>
      <t xml:space="preserve">Khánh Linh </t>
    </r>
    <r>
      <rPr>
        <sz val="12"/>
        <color rgb="FFFF0000"/>
        <rFont val="Times New Roman"/>
        <family val="1"/>
      </rPr>
      <t>(hợp đồng)</t>
    </r>
  </si>
  <si>
    <t>11D, ngõ 192, Yên Hòa, Cầu Giấy,HN</t>
  </si>
  <si>
    <t>https://drive.google.com/open?id=1_SJnqp1PZSkAvVz2ARKp3QwCl2BUV4U6; https://drive.google.com/open?id=1ljMSGoqrpVzxve2BUEa2blqmm7CsM1Z0</t>
  </si>
  <si>
    <t>https://www.facebook.com/profile.php?id=100074365172832&amp;mibextid=LQQJ4d</t>
  </si>
  <si>
    <t>Phan Thư Kỳ</t>
  </si>
  <si>
    <t>phanthuky2006@gmail.com</t>
  </si>
  <si>
    <t>https://drive.google.com/open?id=1ZifniNsCzbtSK1yUSNFTS8zgzZ9Nqp7_; https://drive.google.com/open?id=1oRfISIGN3bRtL2RgmRkH61Zhap8Fw1KC</t>
  </si>
  <si>
    <t>https://www.facebook.com/profile.php?id=100075440863082</t>
  </si>
  <si>
    <t xml:space="preserve">Nguyễn Thanh Sang </t>
  </si>
  <si>
    <t>nguyenthanhsang1309206@gmail.com</t>
  </si>
  <si>
    <t>ấp Hiệp Thành, xã Quảng Thành, Châu Đức, Bà Rịa Vũng Tàu</t>
  </si>
  <si>
    <t>https://drive.google.com/open?id=1KyTPwi_Wuztd4QAMhd6_13xa7Ruy4rId</t>
  </si>
  <si>
    <t>https://www.facebook.com/profile.php?id=100015365976285&amp;mibextid=LQQJ4d</t>
  </si>
  <si>
    <t>Nguyễn Thị Mai Anh</t>
  </si>
  <si>
    <t>nmaianh0710@gmail.com</t>
  </si>
  <si>
    <t>Nhà số 4-Ngõ 126-phường Hồ-Thuận Thành-Bắc Ninh</t>
  </si>
  <si>
    <t>https://drive.google.com/open?id=1VxvoTqcr41zlIbKkWrQFZHsYTP9qhEjC</t>
  </si>
  <si>
    <t>https://www.facebook.com/phanh0660101122003?mibextid=LQQJ4d</t>
  </si>
  <si>
    <t xml:space="preserve">Nguyễn Thị Phương Anh </t>
  </si>
  <si>
    <t>217140217039@hpu2.edu.vn</t>
  </si>
  <si>
    <t xml:space="preserve">Số nhà 79 Võ Thị Sáu - Xuân Hoà - Phúc Yên - Vĩnh Phúc </t>
  </si>
  <si>
    <t>https://drive.google.com/open?id=1m5n716FYTm8YWPXltE1AG3k9LztHq0go</t>
  </si>
  <si>
    <t>https://www.facebook.com/100051853902568/</t>
  </si>
  <si>
    <t xml:space="preserve">Nguyễn Anh Dũng </t>
  </si>
  <si>
    <t xml:space="preserve">nanhdung2006@gmail.com </t>
  </si>
  <si>
    <t>Ngã ba nhà thờ thôn Phúc Hải - xã Cẩm Nhượng - huyện Cẩm Xuyên - tỉnh Hà Tĩnh</t>
  </si>
  <si>
    <t>https://drive.google.com/open?id=1XMoBrcByCnu1EkznK7HTNlCLNYTzqtAA</t>
  </si>
  <si>
    <t>https://www.facebook.com/profile.php?id=100089075710185&amp;mibextid=LQQJ4d</t>
  </si>
  <si>
    <t>Đỗ Minh Khải</t>
  </si>
  <si>
    <t>minhkhaism@gmail.com</t>
  </si>
  <si>
    <t>Số nhà 844, đường Hoàng Hoa Thám, xã Song Mai, thành phố Bắc Giang, tỉnh Bắc Giang</t>
  </si>
  <si>
    <t>https://drive.google.com/open?id=1hqzXCOUY1_SsizggPTQmYsuHf1YnvtS8</t>
  </si>
  <si>
    <t>https://www.facebook.com/profile.php?id=100029988300003&amp;mibextid=LQQJ4d</t>
  </si>
  <si>
    <r>
      <rPr>
        <sz val="12"/>
        <color theme="1"/>
        <rFont val="Times New Roman"/>
        <family val="1"/>
      </rPr>
      <t xml:space="preserve">Cao Thị Hạnh </t>
    </r>
    <r>
      <rPr>
        <sz val="12"/>
        <color rgb="FFFF0000"/>
        <rFont val="Times New Roman"/>
        <family val="1"/>
      </rPr>
      <t>(hợp đồng)</t>
    </r>
  </si>
  <si>
    <t>hanhkao14122006@gmail.com</t>
  </si>
  <si>
    <t>Khu đô thị Phúc sơn - Thị trấn Thổ Tang - Vĩnh Tường - Vĩnh Phúc</t>
  </si>
  <si>
    <t>https://drive.google.com/open?id=1bfRCXUI3R7XTOGYOs4OX27A1VRDTuSg8</t>
  </si>
  <si>
    <t>https://www.facebook.com/profile.php?id=100009719767989&amp;_rdc=1&amp;_rdr</t>
  </si>
  <si>
    <t xml:space="preserve">Ngô Thị Duyên </t>
  </si>
  <si>
    <t xml:space="preserve"> ngotduyen23@gmail.com</t>
  </si>
  <si>
    <t>Công ty nhựa thành đạt vĩnh Hưng hoàng mai Hà Nội</t>
  </si>
  <si>
    <t>05/08/2024 và 10/08/2024</t>
  </si>
  <si>
    <t>https://drive.google.com/open?id=1MrRRYbR3ASSIQwmKWiozvizJt2xdaIL-; https://drive.google.com/open?id=10F541BBV2AUQl99pYpf1HrccfPdDGWMK</t>
  </si>
  <si>
    <t>https://drive.google.com/open?id=1BH1DAqbeQh1qXXoO2Bqhe9tscy3ED4Tj</t>
  </si>
  <si>
    <r>
      <rPr>
        <sz val="12"/>
        <color theme="1"/>
        <rFont val="Times New Roman"/>
        <family val="1"/>
      </rPr>
      <t xml:space="preserve">Nguyễn Thị Thơm </t>
    </r>
    <r>
      <rPr>
        <sz val="12"/>
        <color rgb="FFFF0000"/>
        <rFont val="Times New Roman"/>
        <family val="1"/>
      </rPr>
      <t xml:space="preserve">- đổi E3 học PT. Tiền thừa học T
Đã nộp 2,281K 16/08/2024. </t>
    </r>
    <r>
      <rPr>
        <sz val="12"/>
        <color theme="1"/>
        <rFont val="Times New Roman"/>
        <family val="1"/>
      </rPr>
      <t>số cũ 869922051</t>
    </r>
  </si>
  <si>
    <t>https://drive.google.com/open?id=1xGSxUJihth-AOZSukqvDtCCjQCj1Gtqy</t>
  </si>
  <si>
    <t>Thừa 3,455K - 1968K còn 1,487K học T. Đã nộp 2,281K 16/08/24</t>
  </si>
  <si>
    <t>https://www.facebook.com/nhungkiu5211</t>
  </si>
  <si>
    <t xml:space="preserve">Nguyễn Thị Hồng Nhung </t>
  </si>
  <si>
    <t>nhungkiu521@gmail.com</t>
  </si>
  <si>
    <t>Số 25 ngõ 320/5 Khương Đình - Thanh Xuân Hà Nội</t>
  </si>
  <si>
    <t>https://drive.google.com/open?id=1oKEnF2ZuIU0idjZ8LWasd4OUa17SR1VC</t>
  </si>
  <si>
    <t>https://www.facebook.com/HuynhChipp</t>
  </si>
  <si>
    <t>Trần Quang Huỳnh</t>
  </si>
  <si>
    <t>Huynhchip.cute@gmail.com</t>
  </si>
  <si>
    <t>17 Tông Đản, Hoàn Kiếm, Hà Nội</t>
  </si>
  <si>
    <t>https://drive.google.com/open?id=132Plo_KCIXvhbb0GYfDNofE5fUGRZrKo</t>
  </si>
  <si>
    <t xml:space="preserve">https://www.facebook.com/profile.php?id=100085514019698&amp;mibextid=LQQJ4d </t>
  </si>
  <si>
    <r>
      <rPr>
        <sz val="12"/>
        <color theme="1"/>
        <rFont val="Times New Roman"/>
        <family val="1"/>
      </rPr>
      <t xml:space="preserve">Nguyễn Văn Mạnh </t>
    </r>
    <r>
      <rPr>
        <sz val="12"/>
        <color rgb="FFFF0000"/>
        <rFont val="Times New Roman"/>
        <family val="1"/>
      </rPr>
      <t>(hợp đồng)</t>
    </r>
  </si>
  <si>
    <t>số nhà 34 đường 38 thôn trung quảng thạch quảng xương Thanh Hoá</t>
  </si>
  <si>
    <t>https://drive.google.com/open?id=1dOCH4N4MV6CxQ-TyOpm6yNIO0ZpBMoDO, https://drive.google.com/open?id=1hVTCE54lhcDxATdGo_oZmpIQeZiSQN9s</t>
  </si>
  <si>
    <t>https://www.facebook.com/profile.php?id=100078905902262&amp;mibextid=LQQJ4d</t>
  </si>
  <si>
    <r>
      <rPr>
        <sz val="12"/>
        <color theme="1"/>
        <rFont val="Times New Roman"/>
        <family val="1"/>
      </rPr>
      <t xml:space="preserve">Bùi Thị Minh Tuyết </t>
    </r>
    <r>
      <rPr>
        <sz val="12"/>
        <color rgb="FFFF0000"/>
        <rFont val="Times New Roman"/>
        <family val="1"/>
      </rPr>
      <t>(hợp đồng)</t>
    </r>
  </si>
  <si>
    <t>Thôn Hiền Tây- Quảng Lưu -Quảng Xương-Thanh Hoá</t>
  </si>
  <si>
    <t>https://drive.google.com/open?id=1msv5_2yvYMkwJaZHgTT2za9xt-TU8rEK, https://drive.google.com/open?id=1-TqGFJH8aDHJ33kvVsTm6rpMvrlR0j9F</t>
  </si>
  <si>
    <t>https://www.facebook.com/lananh.trinh.5095</t>
  </si>
  <si>
    <r>
      <rPr>
        <sz val="12"/>
        <color theme="1"/>
        <rFont val="Times New Roman"/>
        <family val="1"/>
      </rPr>
      <t>Trịnh Lan Anh</t>
    </r>
    <r>
      <rPr>
        <sz val="12"/>
        <color rgb="FFFF0000"/>
        <rFont val="Times New Roman"/>
        <family val="1"/>
      </rPr>
      <t xml:space="preserve"> (hợp đồng)</t>
    </r>
  </si>
  <si>
    <t>https://drive.google.com/open?id=1UpGKyZ6zCpZLo9QttG8irOImSEHJqiiU; https://drive.google.com/open?id=157sPIbKw2KglIEztsFVLzUzUddAH6mDJ</t>
  </si>
  <si>
    <t>OPT29</t>
  </si>
  <si>
    <t>https://www.facebook.com/profile.php?id=100039459440751&amp;mibextid=LQQJ4d</t>
  </si>
  <si>
    <r>
      <rPr>
        <sz val="12"/>
        <color theme="1"/>
        <rFont val="Times New Roman"/>
        <family val="1"/>
      </rPr>
      <t xml:space="preserve">Lã Hoàng Long </t>
    </r>
    <r>
      <rPr>
        <sz val="12"/>
        <color rgb="FFFF0000"/>
        <rFont val="Times New Roman"/>
        <family val="1"/>
      </rPr>
      <t>OPT23</t>
    </r>
  </si>
  <si>
    <t>https://drive.google.com/open?id=1S85LmtyQZys5BbyJHy3VZiKJkDx82vTW; https://drive.google.com/open?id=1W3z_F_v8Jl6nlODucSG25avlrpWMLYtH</t>
  </si>
  <si>
    <t>https://www.facebook.com/profile.php?id=100013199598491</t>
  </si>
  <si>
    <t xml:space="preserve">Thu Hường </t>
  </si>
  <si>
    <t>thuhuong636960@gmail.com</t>
  </si>
  <si>
    <t xml:space="preserve">3B Lý Thị Chừng xã Phú Hòa Đông huyện Củ Chi, TpHCM </t>
  </si>
  <si>
    <t>https://drive.google.com/open?id=1XxrQhbYMMpRJcivaxsylY85OMBNSMcU6</t>
  </si>
  <si>
    <t>https://www.facebook.com/daishinkan1043?mibextid=LQQJ4d</t>
  </si>
  <si>
    <r>
      <rPr>
        <sz val="12"/>
        <color theme="1"/>
        <rFont val="Times New Roman"/>
        <family val="1"/>
      </rPr>
      <t xml:space="preserve">Phan Quang Vinh </t>
    </r>
    <r>
      <rPr>
        <sz val="12"/>
        <color rgb="FFFF0000"/>
        <rFont val="Times New Roman"/>
        <family val="1"/>
      </rPr>
      <t>(hợp đồng)</t>
    </r>
  </si>
  <si>
    <t>https://drive.google.com/open?id=1fw8gsa3wL4FbQL1KyAUJO3JOj_O3zLF9; https://drive.google.com/open?id=1h6DhYcEq1K_tWYhKt6chclgQHxEh2nuF</t>
  </si>
  <si>
    <t>https://www.facebook.com/profile.php?id=100050264077049</t>
  </si>
  <si>
    <t>Trần Thị Mơ</t>
  </si>
  <si>
    <t>Thôn Bắc Tiến xã Kỳ Thượng huyện Kỳ Anh tỉnh Hà Tĩnh</t>
  </si>
  <si>
    <t>https://drive.google.com/open?id=1s16v4PusVwJjhFlmmOwBWk98yzGseFJR; https://drive.google.com/open?id=1f-P2ekyOAIbHxGpDd-u9SmTcj0ab8tAe</t>
  </si>
  <si>
    <t>https://www.facebook.com/profile.php?id=100044314365627</t>
  </si>
  <si>
    <t xml:space="preserve">Trịnh Thị Minh Thư </t>
  </si>
  <si>
    <t>minhthu2912211@gmail.com</t>
  </si>
  <si>
    <t xml:space="preserve">Ấp Long Hòa, xã Long Thuận, Huyện Hồng Ngự, Đồng Tháp, Tổ 4 </t>
  </si>
  <si>
    <t>06/08/2024 và 19/08/2024</t>
  </si>
  <si>
    <r>
      <rPr>
        <u/>
        <sz val="12"/>
        <color rgb="FF1155CC"/>
        <rFont val="Times New Roman"/>
        <family val="1"/>
      </rPr>
      <t xml:space="preserve">https://drive.google.com/open?id=1-rfUfNNWXkhafmHoI4Bu0Q-6meSoTxvy; https://drive.google.com/open?id=1g8rlFKqIxs7EGvOR9R0elpYqRqdAJoju; </t>
    </r>
    <r>
      <rPr>
        <u/>
        <sz val="12"/>
        <color rgb="FF1155CC"/>
        <rFont val="Times New Roman"/>
        <family val="1"/>
      </rPr>
      <t>https://drive.google.com/open?id=1kv8KrwdGZjnw9rUjk6dPFJh_rnYSa__Z</t>
    </r>
  </si>
  <si>
    <t>https://www.facebook.com/profile.php?id=100037545203337&amp;mibextid=ZbWKwL</t>
  </si>
  <si>
    <t xml:space="preserve">Nguyễn Ngọc Kim Tiền </t>
  </si>
  <si>
    <t>nguyenngockimtien2006@gmail.com</t>
  </si>
  <si>
    <t xml:space="preserve">39 Hùng Cẩm Hoà, Long thị D, Phường Long Thạnh, Thị xã Tân Châu, An Giang </t>
  </si>
  <si>
    <t>https://drive.google.com/open?id=1ksnjxFcgn5_Z-c-XsYrH11X9xi79oQ6r; https://drive.google.com/open?id=1nr3mSGOhviEDSQ1yTqjz-wztRf1Hbo_j</t>
  </si>
  <si>
    <t>https://www.facebook.com/taeguk.kim.144?mibextid=LQQJ4d</t>
  </si>
  <si>
    <r>
      <rPr>
        <sz val="12"/>
        <color theme="1"/>
        <rFont val="Times New Roman"/>
        <family val="1"/>
      </rPr>
      <t xml:space="preserve">Nguyễn Tường Vi </t>
    </r>
    <r>
      <rPr>
        <sz val="12"/>
        <color rgb="FFFF0000"/>
        <rFont val="Times New Roman"/>
        <family val="1"/>
      </rPr>
      <t>(hợp đồng)</t>
    </r>
  </si>
  <si>
    <t>kangmina351@gmail.com</t>
  </si>
  <si>
    <t xml:space="preserve"> thôn Dương Húc - xã Đại Đồng - huyện Tiên Du - tỉnh Bắc Ninh</t>
  </si>
  <si>
    <t>https://drive.google.com/open?id=1VO29SUIsr40tnexd4GX1RKT2bEJP_Jdk</t>
  </si>
  <si>
    <t>https://www.facebook.com/manh5208</t>
  </si>
  <si>
    <t xml:space="preserve">Tạ Minh Anh </t>
  </si>
  <si>
    <t xml:space="preserve"> Minhanh23cv@gmail.com ạ</t>
  </si>
  <si>
    <t>2/25 thọ tháp- Cầu giấy-Hà Nội</t>
  </si>
  <si>
    <t>https://drive.google.com/open?id=1aDxsOJQ_BtXu8ENZQACQmyCrIzrGYnsd</t>
  </si>
  <si>
    <t>https://www.facebook.com/khoinguyen.huynh.50596</t>
  </si>
  <si>
    <t xml:space="preserve">Huỳnh Khôi Nguyên </t>
  </si>
  <si>
    <t xml:space="preserve"> huynhkhoinguyen206@gmail.com</t>
  </si>
  <si>
    <t xml:space="preserve"> 69, Lý Tự Trọng, Khu Tài Lộc, Thành phố Cà Mau, Cà Mau</t>
  </si>
  <si>
    <t>https://drive.google.com/open?id=1GR4SwT_tjm4CN_YMRtMv-aphrqxPV-be</t>
  </si>
  <si>
    <t>https://www.facebook.com/profile.php?id=100004416879075</t>
  </si>
  <si>
    <t>KHÔNG NHẬN</t>
  </si>
  <si>
    <t>https://drive.google.com/open?id=1GvaqxgEV-AytWwMNEd2nJDthRWiKKtog</t>
  </si>
  <si>
    <t>PT119</t>
  </si>
  <si>
    <t>https://www.facebook.com/hieu.mam.758</t>
  </si>
  <si>
    <r>
      <rPr>
        <sz val="12"/>
        <color theme="1"/>
        <rFont val="Times New Roman"/>
        <family val="1"/>
      </rPr>
      <t xml:space="preserve">Phan Bùi Trung Hiếu </t>
    </r>
    <r>
      <rPr>
        <sz val="12"/>
        <color rgb="FFFF0000"/>
        <rFont val="Times New Roman"/>
        <family val="1"/>
      </rPr>
      <t>OPT25</t>
    </r>
  </si>
  <si>
    <t>phanhieu07121207@gmail.com</t>
  </si>
  <si>
    <t>Số 82 Phố Triều Khúc, Tân Triều, Thanh Trì, Hà Nội</t>
  </si>
  <si>
    <t>https://drive.google.com/open?id=1n1dXBlTYUgbTHEI-QZECSSGKl0w7epn0; https://drive.google.com/open?id=1CThK3i9T00-0mDe8qA1W9ts3vg56kGkP</t>
  </si>
  <si>
    <t>Ngọ Thị Thanh Tâm</t>
  </si>
  <si>
    <t>Mất</t>
  </si>
  <si>
    <t>57, ngõ 124 Vĩnh Tuy, Hai Bà Trưng, Hà Nội</t>
  </si>
  <si>
    <t>https://drive.google.com/open?id=1bMuiktAGYmtbKopWcOzNFBzacY0optIy</t>
  </si>
  <si>
    <t>https://www.facebook.com/profile.php?id=100041092247906&amp;mibextid=LQQJ4d</t>
  </si>
  <si>
    <t xml:space="preserve">Nguyễn Trà Giang </t>
  </si>
  <si>
    <t>Quán sky game Ngõ 53 Phố Lê Văn Hiến, Phường Đức Thắng, Quận Bắc Từ Liêm, Hà Nội</t>
  </si>
  <si>
    <t>https://drive.google.com/open?id=19GOgu2rLLkt7SUqO7ZHdqOTyBseTmxVU</t>
  </si>
  <si>
    <t>https://www.facebook.com/profile.php?id=100068516730192&amp;mibextid=LQQJ4d</t>
  </si>
  <si>
    <r>
      <rPr>
        <sz val="12"/>
        <color theme="1"/>
        <rFont val="Times New Roman"/>
        <family val="1"/>
      </rPr>
      <t xml:space="preserve">Ngô Thị Vân Anh </t>
    </r>
    <r>
      <rPr>
        <sz val="12"/>
        <color rgb="FFFF0000"/>
        <rFont val="Times New Roman"/>
        <family val="1"/>
      </rPr>
      <t xml:space="preserve">(hợp đồng) </t>
    </r>
  </si>
  <si>
    <t xml:space="preserve">ntvantva052006@gmail.com </t>
  </si>
  <si>
    <t>Đội 17, Làng Lân,  iao,  iagrai, Gia Lai</t>
  </si>
  <si>
    <t>https://drive.google.com/open?id=1kcvG_85Sp3-WvZHTLAEXcJ_dKKL4XZoc</t>
  </si>
  <si>
    <t>https://www.facebook.com/leekhoi6905/?locale=vi_VN</t>
  </si>
  <si>
    <r>
      <rPr>
        <sz val="12"/>
        <color theme="1"/>
        <rFont val="Times New Roman"/>
        <family val="1"/>
      </rPr>
      <t xml:space="preserve">Lê Văn Khởi </t>
    </r>
    <r>
      <rPr>
        <sz val="12"/>
        <color rgb="FFFF0000"/>
        <rFont val="Times New Roman"/>
        <family val="1"/>
      </rPr>
      <t>(hợp đồng)</t>
    </r>
  </si>
  <si>
    <t>Nguồn ngoài</t>
  </si>
  <si>
    <t>levankhoi692005@gmail.com</t>
  </si>
  <si>
    <t>C10-16, Khu C Geleximco, Dương Nội, Hà Đông</t>
  </si>
  <si>
    <t>https://drive.google.com/open?id=11ilvquSiCnfytR3GXi5RLPBmkdyTOzrf; https://drive.google.com/open?id=11CraPGG1vBFJjOeVQ_xpdaHnuw6dC2is</t>
  </si>
  <si>
    <t>https://www.facebook.com/profile.php?id=100029906709604</t>
  </si>
  <si>
    <t>Đào Thị Mỹ Linh</t>
  </si>
  <si>
    <t xml:space="preserve">linhmyat680@gmail.com </t>
  </si>
  <si>
    <t>Thanh Mai, An Thanh, Quỳnh Phụ, Thái Bình</t>
  </si>
  <si>
    <t>Nhóm 6</t>
  </si>
  <si>
    <t>https://drive.google.com/open?id=1V6KcI3u3KtEYJeu4n69kc1F39vH9ZM-D</t>
  </si>
  <si>
    <t>https://www.facebook.com/share/QhbsBLn7uJEogJ2J/?mibextid=qi2Omg</t>
  </si>
  <si>
    <t xml:space="preserve"> Phạm Thị Xuân Hương</t>
  </si>
  <si>
    <t>Xuanhuonghhhh@gmail.com</t>
  </si>
  <si>
    <t>Mộ Lao, Hà Đông</t>
  </si>
  <si>
    <t>https://drive.google.com/open?id=1IiiOK0CKJSrMVNCQP-qa-yt-XWaTQfat</t>
  </si>
  <si>
    <t>PT113</t>
  </si>
  <si>
    <t>https://www.facebook.com/HuongPeo.26?mibextid=LQQJ4d</t>
  </si>
  <si>
    <t>nguyenthilanhuong59@icloud.com</t>
  </si>
  <si>
    <t>China Shop, Số 4, My Điền 1, Thị Trấn Nếnh, Huyện Việt Yên, Bắc Giang</t>
  </si>
  <si>
    <t>https://drive.google.com/open?id=1kw9YrAvbr0hHUxgv3QlSiT0Mr4u1kgR3; https://drive.google.com/open?id=1Z9y8QDvVneuc-8f2UcJckx3w-G6f-8KD</t>
  </si>
  <si>
    <t xml:space="preserve"> Tạ Quang Thạch</t>
  </si>
  <si>
    <t>Nhà 234, đường Kim Thìa, xã Di Trạch, Hoài Đức</t>
  </si>
  <si>
    <t>https://drive.google.com/open?id=1Y72xtq5n8taG5ecSMpEpBXxbhfFSIhLl</t>
  </si>
  <si>
    <t>VIP118</t>
  </si>
  <si>
    <t>https://drive.google.com/open?id=1ChVfLtp4CkctlKxtwzSYRA5yFpNjFU0P, https://drive.google.com/open?id=1s_0DtANJLwYrCHzoJQH0_snhCPQjZG7s</t>
  </si>
  <si>
    <t>OW</t>
  </si>
  <si>
    <t>Vũ Thị Lan</t>
  </si>
  <si>
    <t>14/4 Ngõ 125 Trương Định, Hai Bà Trưng, Hà Nội</t>
  </si>
  <si>
    <t>https://drive.google.com/open?id=1wTezdJifAP-6Pha_dh_NCklVuOAr3jV3</t>
  </si>
  <si>
    <t>https://drive.google.com/open?id=1k5WczGMotvKtrH31dAGsK1RkvH2P1n45</t>
  </si>
  <si>
    <t>https://www.facebook.com/profile.php?id=100070317535477</t>
  </si>
  <si>
    <t>Trần Thị Bích Thảo</t>
  </si>
  <si>
    <t>https://drive.google.com/open?id=1sA0QywaIkUEnr17aswTNBbxg96W7vuC9</t>
  </si>
  <si>
    <t>PT114</t>
  </si>
  <si>
    <t>https://www.facebook.com/tai.bui.96780671</t>
  </si>
  <si>
    <t xml:space="preserve">Bùi Đình Tài  </t>
  </si>
  <si>
    <t>dinhtai20092003@gmail.com</t>
  </si>
  <si>
    <t>Tổ 4 ,Ấp 1 ,Sông Trầu ,Trảng Bom ,Đồng Nai</t>
  </si>
  <si>
    <t>https://drive.google.com/open?id=1xAkan_te2fCm26LF7jmhn9TpCCrdx3qi</t>
  </si>
  <si>
    <t>https://www.facebook.com/maixuan.nguyen.39982</t>
  </si>
  <si>
    <t>Nguyễn Thị Mai Xuân</t>
  </si>
  <si>
    <t>Số nhà 25 ngõ 351/81 Thụy Phương Bắc Từ Liêm HN</t>
  </si>
  <si>
    <t>https://drive.google.com/open?id=1TTkp1q8qMl76H2y1msPxh2nMUAf6XyO6</t>
  </si>
  <si>
    <t>https://www.facebook.com/profile.php?id=100026139698127&amp;mibextid=LQQJ4d</t>
  </si>
  <si>
    <r>
      <rPr>
        <sz val="12"/>
        <color theme="1"/>
        <rFont val="Times New Roman"/>
        <family val="1"/>
      </rPr>
      <t xml:space="preserve">Lê Thị Cẩm Vân </t>
    </r>
    <r>
      <rPr>
        <sz val="12"/>
        <color rgb="FFFF0000"/>
        <rFont val="Times New Roman"/>
        <family val="1"/>
      </rPr>
      <t>(hợp đồng)</t>
    </r>
  </si>
  <si>
    <t xml:space="preserve">Gmail: levan10112005@gmail.com </t>
  </si>
  <si>
    <t>89 Nguyễn Phong Sắc- Dịch Vọng Hậu- Cầu Giấy</t>
  </si>
  <si>
    <t>https://drive.google.com/open?id=1YYAgTVEucGguVLeeUxz8OUqUb9dCNV2k, https://drive.google.com/open?id=1eF313RDhkk8igfBWu-ZXPuQn6UfVRvmE</t>
  </si>
  <si>
    <t>https://www.facebook.com/profile.php?id=100093332287452</t>
  </si>
  <si>
    <r>
      <rPr>
        <sz val="12"/>
        <color theme="1"/>
        <rFont val="Times New Roman"/>
        <family val="1"/>
      </rPr>
      <t>Phan Thu Hà</t>
    </r>
    <r>
      <rPr>
        <sz val="12"/>
        <color rgb="FFFF0000"/>
        <rFont val="Times New Roman"/>
        <family val="1"/>
      </rPr>
      <t xml:space="preserve"> (hợp đồng)</t>
    </r>
  </si>
  <si>
    <t>https://drive.google.com/open?id=1RlXLV5vqPH7q1bdkhZ0-sqdEHDEDEm6d</t>
  </si>
  <si>
    <t>ko test</t>
  </si>
  <si>
    <t>https://www.facebook.com/ntkc772003</t>
  </si>
  <si>
    <r>
      <rPr>
        <sz val="12"/>
        <color theme="1"/>
        <rFont val="Times New Roman"/>
        <family val="1"/>
      </rPr>
      <t>Nguyễn Thị Kim Chi</t>
    </r>
    <r>
      <rPr>
        <sz val="12"/>
        <color rgb="FFFF0000"/>
        <rFont val="Times New Roman"/>
        <family val="1"/>
      </rPr>
      <t xml:space="preserve"> (hợp đồng)</t>
    </r>
  </si>
  <si>
    <t>https://drive.google.com/open?id=1N4wkQZ4JHnVi0litzIOAzKrJPpoy-iPX; https://drive.google.com/open?id=15zReoWZL-Uaoi5ESGyTu3mXWwIW-JOZb, https://drive.google.com/open?id=1L6GlRw5EI00nkWQzAnrv8splM9_F6l8_</t>
  </si>
  <si>
    <t>test dưới 350</t>
  </si>
  <si>
    <t>https://www.facebook.com/profile.php?id=100050123523408</t>
  </si>
  <si>
    <t xml:space="preserve"> Đào Thị Thuỳ Trang </t>
  </si>
  <si>
    <t xml:space="preserve"> daothuytrang1001@gmail.com</t>
  </si>
  <si>
    <t>14 ngách 90 ngõ 1194 đường Láng</t>
  </si>
  <si>
    <t>https://drive.google.com/open?id=1G7Dj2LcC8mzj2MTwAU9fQ6AgL-fhbAMn</t>
  </si>
  <si>
    <t>https://www.facebook.com/profile.php?id=100070207608596</t>
  </si>
  <si>
    <t xml:space="preserve">Nguyễn Thị Quỳnh Chi </t>
  </si>
  <si>
    <t>Ly</t>
  </si>
  <si>
    <t>nguyenthiquynhchi221006@gmail.com</t>
  </si>
  <si>
    <t>Nhà số 3, ngõ 74, đường Phan Văn Chí, xóm Mỹ Thượng, xã Hưng Lộc, thành phố Vinh, Nghệ An</t>
  </si>
  <si>
    <t>17/08/2024 và 30/08/2024</t>
  </si>
  <si>
    <t>https://drive.google.com/open?id=14ahtb_ETQPR5YGaV6ZIlJ8PmIr7V0Z7Z; https://drive.google.com/open?id=1eTjuNDwUhzCd5syMsxnj9FQKOUSRhFoT</t>
  </si>
  <si>
    <t>https://www.facebook.com/ThuHien311023</t>
  </si>
  <si>
    <t>Nguyễn Thị Thu Hiền</t>
  </si>
  <si>
    <t xml:space="preserve"> thuhien111103@gmail.com </t>
  </si>
  <si>
    <t>Số 75 ngõ 205 Xuân Đỉnh băc từ liêm, Hà nội</t>
  </si>
  <si>
    <t>https://drive.google.com/open?id=1STqE1gqOBtTRHREOUNvwYyHYB6LDJCtB; https://drive.google.com/open?id=1_oc9CJQLPba5uNtQUIZXUBZCbskgf4yv</t>
  </si>
  <si>
    <t>https://www.facebook.com/nhan.nguyentho.90?mibextid=ZbWKwL</t>
  </si>
  <si>
    <r>
      <rPr>
        <sz val="12"/>
        <color theme="1"/>
        <rFont val="Times New Roman"/>
        <family val="1"/>
      </rPr>
      <t xml:space="preserve">Nguyễn Thọ Nhân </t>
    </r>
    <r>
      <rPr>
        <sz val="12"/>
        <color rgb="FFFF0000"/>
        <rFont val="Times New Roman"/>
        <family val="1"/>
      </rPr>
      <t>(hợp đồng)</t>
    </r>
  </si>
  <si>
    <t>,.</t>
  </si>
  <si>
    <t>14 - Ngõ 1 Phú Cường- Phú Lương - Hà Đông - Hà Nội</t>
  </si>
  <si>
    <t>17/08/2024 và 18/08/2024</t>
  </si>
  <si>
    <t>https://drive.google.com/open?id=1kvgmC_J9BTQmfqt7zUaHitsMTGjW4vK0, https://drive.google.com/open?id=1Q1irOeo6KoGb6t1Mqvmb3jnP-AxNK6pu</t>
  </si>
  <si>
    <t>https://www.facebook.com/profile.php?id=100026558622526</t>
  </si>
  <si>
    <t>Lê Trần Minh Quân</t>
  </si>
  <si>
    <t xml:space="preserve"> ltmquanhvtc@gmail.com</t>
  </si>
  <si>
    <t>64 Sông Nhuệ Đức Thắng, Bắc Từ Liêm, Hà Nội</t>
  </si>
  <si>
    <t>https://drive.google.com/open?id=1evvSTvmYV5uzLtllkSqWhg7HJ6S307RZ</t>
  </si>
  <si>
    <t>PT115</t>
  </si>
  <si>
    <t>https://www.facebook.com/profile.php?id=61553435384633</t>
  </si>
  <si>
    <r>
      <rPr>
        <sz val="12"/>
        <color theme="1"/>
        <rFont val="Times New Roman"/>
        <family val="1"/>
      </rPr>
      <t xml:space="preserve">Lê Thị Thu Huyền </t>
    </r>
    <r>
      <rPr>
        <sz val="12"/>
        <color rgb="FFFF0000"/>
        <rFont val="Times New Roman"/>
        <family val="1"/>
      </rPr>
      <t>(hợp đồng)</t>
    </r>
  </si>
  <si>
    <t xml:space="preserve"> cổng trường mầm non chương xá - chương xá - cẩm khê - phú thọ</t>
  </si>
  <si>
    <t>https://drive.google.com/open?id=1_yw8i-75d8VYrRFyqAQ3ajng_2OPjFkn, https://drive.google.com/open?id=1XS0OQdEP7_IbBycLgqYZoDjlde7kynb6</t>
  </si>
  <si>
    <r>
      <rPr>
        <sz val="12"/>
        <color theme="1"/>
        <rFont val="Times New Roman"/>
        <family val="1"/>
      </rPr>
      <t xml:space="preserve">Vũ Thị Quỳnh Trang </t>
    </r>
    <r>
      <rPr>
        <sz val="12"/>
        <color rgb="FFFF0000"/>
        <rFont val="Times New Roman"/>
        <family val="1"/>
      </rPr>
      <t>(hợp đồng) - Vũu Changg</t>
    </r>
  </si>
  <si>
    <t xml:space="preserve"> ktx Học viện Báo chí và Tuyên truyền-Đường Nguyễn Phong Sắc</t>
  </si>
  <si>
    <t>https://drive.google.com/open?id=1ir29OGRx2iWSFXHId1T6Ua4969rGb4D-</t>
  </si>
  <si>
    <t>https://www.facebook.com/linhnam.tran.568?mibextid=ZbWKwL</t>
  </si>
  <si>
    <t xml:space="preserve">Trần Thị Thùy Linh </t>
  </si>
  <si>
    <t>tranlinhnam2k3@gmail.com</t>
  </si>
  <si>
    <t>Số nhà 24/367/100 Ngô xuân quảng , trâu quỳ ,gia lâm ,hà nội</t>
  </si>
  <si>
    <t>https://drive.google.com/open?id=1iuwET60Jn2wLU2_cZSCxHmYAbRYzmzWB</t>
  </si>
  <si>
    <t>https://www.facebook.com/harley1808</t>
  </si>
  <si>
    <t xml:space="preserve">Trịnh Trần Đức Anh </t>
  </si>
  <si>
    <t xml:space="preserve"> anhtrinhtran3@gmail.com </t>
  </si>
  <si>
    <t>Số nhà 13- ngõ Việt Tiến - đường 16 - xã Phù Lỗ - huyện Sóc Sơn - Hà Nội</t>
  </si>
  <si>
    <t>https://drive.google.com/open?id=1UUlxiaDhWSBtwqcjuNQAyeLC7E2CjYZ-</t>
  </si>
  <si>
    <t>https://www.facebook.com/profile.php?id=100025328475546</t>
  </si>
  <si>
    <t xml:space="preserve"> Nguyễn Đức Khôi </t>
  </si>
  <si>
    <t xml:space="preserve"> nguyenduckhoi01082006@gmail.com</t>
  </si>
  <si>
    <t xml:space="preserve">Nhận tại  lớp </t>
  </si>
  <si>
    <t>20/08/2024 và 28/08/2024</t>
  </si>
  <si>
    <t>https://drive.google.com/open?id=1Y0ZOkf6XfJlGiCrxeXI6MBoP9kaokDFe; https://drive.google.com/open?id=1yO9LYMqSTC-XypcwC0Vg1Ddog2nivMGF</t>
  </si>
  <si>
    <t>https://www.facebook.com/bach.thien.7127</t>
  </si>
  <si>
    <r>
      <rPr>
        <sz val="12"/>
        <color theme="1"/>
        <rFont val="Times New Roman"/>
        <family val="1"/>
      </rPr>
      <t xml:space="preserve"> Lê Thị Dinh </t>
    </r>
    <r>
      <rPr>
        <sz val="12"/>
        <color rgb="FFFF0000"/>
        <rFont val="Times New Roman"/>
        <family val="1"/>
      </rPr>
      <t>- nick Tỷ Tỷ</t>
    </r>
  </si>
  <si>
    <t>lethidinh30072003@gmail.com</t>
  </si>
  <si>
    <t>Chung cư F4, Đơn nguyên 2, ngõ 112 Trung Kính, Yên Hoà, Cầu Giấy, Hà Nội</t>
  </si>
  <si>
    <t>20/08/2024 và 21/08/2024</t>
  </si>
  <si>
    <t>https://drive.google.com/open?id=1l7GKYO9vIaC1czVd8xNSeYXPOnlukuf9, https://drive.google.com/open?id=1H9eYPycpJHy6e7CsBIJZrtYQAGxsM_NA</t>
  </si>
  <si>
    <t>PT117</t>
  </si>
  <si>
    <t>https://www.facebook.com/yeens12?mibextid=ZbWKwL</t>
  </si>
  <si>
    <t>Đoàn Thị Hải Yến</t>
  </si>
  <si>
    <t>haiyen10122006@gmail.com</t>
  </si>
  <si>
    <t>KDC Vũ Thượng, phường Ái Quốc, tp Hải Dương, tỉnh Hải Dương</t>
  </si>
  <si>
    <t>https://drive.google.com/open?id=1CJYLVun-JrfNV9fJ4ClZ_IwV3HMZwFVo</t>
  </si>
  <si>
    <t>https://www.facebook.com/maychalchan?mibextid=LQQJ4d</t>
  </si>
  <si>
    <r>
      <rPr>
        <sz val="12"/>
        <color theme="1"/>
        <rFont val="Times New Roman"/>
        <family val="1"/>
      </rPr>
      <t xml:space="preserve">Dương Lê Huyền Trang </t>
    </r>
    <r>
      <rPr>
        <sz val="12"/>
        <color rgb="FFFF0000"/>
        <rFont val="Times New Roman"/>
        <family val="1"/>
      </rPr>
      <t>(hợp đồng)</t>
    </r>
  </si>
  <si>
    <t>trangduong1158@gmail.com</t>
  </si>
  <si>
    <t>TDP Nguộn - Thị trấn Cao Thượng - Tân Yên - Bắc Giang</t>
  </si>
  <si>
    <t>21/08/2024 và 24/08/2024</t>
  </si>
  <si>
    <t>https://drive.google.com/open?id=1bQ6rQF_GRVDsKJkYMvKtHjUUlTwcjdfT; https://drive.google.com/open?id=176BDeMrQMHRh4JBvqV2hZZB3O017z-cy</t>
  </si>
  <si>
    <t>https://www.facebook.com/thuyduongnut.nguyen</t>
  </si>
  <si>
    <r>
      <rPr>
        <sz val="12"/>
        <color theme="1"/>
        <rFont val="Times New Roman"/>
        <family val="1"/>
      </rPr>
      <t>Nguyễn Thuỳ Dương</t>
    </r>
    <r>
      <rPr>
        <sz val="12"/>
        <color rgb="FFFF0000"/>
        <rFont val="Times New Roman"/>
        <family val="1"/>
      </rPr>
      <t xml:space="preserve"> (hợp đồng)</t>
    </r>
  </si>
  <si>
    <t>Hakkenryoumeo@gmail.com</t>
  </si>
  <si>
    <t>Xóm Dưới, thôn Lại Hoàng, xã Yên Thường, huyện Gia Lâm, Hà Nội</t>
  </si>
  <si>
    <t>21/08/2024 và 25/08/2024</t>
  </si>
  <si>
    <t>https://drive.google.com/open?id=1YPGevHRbobAyrMleGd98Qn2QwqwNrFoY; https://drive.google.com/open?id=1csTsxPkOHigMEdwm3cdvvcLsbj6zKYxa</t>
  </si>
  <si>
    <t>PT116</t>
  </si>
  <si>
    <t>https://www.facebook.com/kubinn.phuong?mibextid=LQQJ4d</t>
  </si>
  <si>
    <r>
      <rPr>
        <sz val="12"/>
        <color theme="1"/>
        <rFont val="Times New Roman"/>
        <family val="1"/>
      </rPr>
      <t xml:space="preserve">Nguyễn Anh Phương </t>
    </r>
    <r>
      <rPr>
        <sz val="12"/>
        <color rgb="FFFF0000"/>
        <rFont val="Times New Roman"/>
        <family val="1"/>
      </rPr>
      <t>- Phương KuBinn</t>
    </r>
  </si>
  <si>
    <t>kubinn42@gmail.com</t>
  </si>
  <si>
    <t>57A ngõ 104 Nguyễn An Ninh, Tương Mai, Hoàng Mai, Hà Nội</t>
  </si>
  <si>
    <t>https://drive.google.com/open?id=18dg_9idQnkv00ZIVy5itLwbG7RyjtBSs</t>
  </si>
  <si>
    <t>https://www.facebook.com/profile.php?id=100023873380037</t>
  </si>
  <si>
    <r>
      <rPr>
        <sz val="12"/>
        <color theme="1"/>
        <rFont val="Times New Roman"/>
        <family val="1"/>
      </rPr>
      <t>Nguyễn Nhất Trọng</t>
    </r>
    <r>
      <rPr>
        <sz val="12"/>
        <color rgb="FFFF0000"/>
        <rFont val="Times New Roman"/>
        <family val="1"/>
      </rPr>
      <t xml:space="preserve"> - PT116</t>
    </r>
  </si>
  <si>
    <t xml:space="preserve"> nntrong1209@gmail.com</t>
  </si>
  <si>
    <t>11/23 Đường Số 13, Khu phố Thống Nhất, Dĩ An, Bình Dương</t>
  </si>
  <si>
    <t>https://drive.google.com/open?id=1LDjdX7BhTdvxsOZ0_vjl2yEmRGtF2927</t>
  </si>
  <si>
    <t>https://www.facebook.com/linh.lybee.52</t>
  </si>
  <si>
    <t>Đào Thị Phương Linh</t>
  </si>
  <si>
    <t>linhphuong0327@gmail.com</t>
  </si>
  <si>
    <t xml:space="preserve">Nhận  tại  lớp </t>
  </si>
  <si>
    <t>https://drive.google.com/open?id=19fL1R0qfHI-5qlwKZxu1WIpksvDJgnRC</t>
  </si>
  <si>
    <t>mất góc</t>
  </si>
  <si>
    <t>https://www.facebook.com/giaophan1223?mibextid=JRoKGi&amp;rdid=hXFKtaSLb1uqWcG7&amp;share_url=https%3A%2F%2Fwww.facebook.com%2Fshare%2FbS9oFsfQxTnUrtS9%2F%3Fmibextid%3DJRoKGi</t>
  </si>
  <si>
    <r>
      <rPr>
        <sz val="12"/>
        <color theme="1"/>
        <rFont val="Times New Roman"/>
        <family val="1"/>
      </rPr>
      <t xml:space="preserve">Phan Thị Giao </t>
    </r>
    <r>
      <rPr>
        <sz val="12"/>
        <color rgb="FFFF0000"/>
        <rFont val="Times New Roman"/>
        <family val="1"/>
      </rPr>
      <t>359403798 số cũ</t>
    </r>
  </si>
  <si>
    <t>https://drive.google.com/open?id=1M6ZAawMNOetkn1eTeLBFyZTraZuB2Mz3</t>
  </si>
  <si>
    <t>https://www.facebook.com/profile.php?id=100051257117626</t>
  </si>
  <si>
    <t xml:space="preserve">Nguyễn Ngọc Trâm  </t>
  </si>
  <si>
    <t>Ấp phước lý xã Đại Phước huyện Nhơn Trạch tỉnh Đồng Nai ( khu tái định cư cuối đường đ10 , quẹo phải)</t>
  </si>
  <si>
    <t>https://drive.google.com/open?id=1fO-sv0P1tTz8MroR5RRCaLIUe4bLjUM7</t>
  </si>
  <si>
    <t>https://www.facebook.com/profile.php?id=100024672163796&amp;mibextid=ZbWKwL</t>
  </si>
  <si>
    <r>
      <rPr>
        <sz val="12"/>
        <color theme="1"/>
        <rFont val="Times New Roman"/>
        <family val="1"/>
      </rPr>
      <t>Phạm Xuân Hương</t>
    </r>
    <r>
      <rPr>
        <sz val="12"/>
        <color rgb="FFFF0000"/>
        <rFont val="Times New Roman"/>
        <family val="1"/>
      </rPr>
      <t xml:space="preserve"> (hợp đồng)</t>
    </r>
  </si>
  <si>
    <t>phamxuanhuong1306@gmail.com</t>
  </si>
  <si>
    <t xml:space="preserve"> xóm Thượng 2, xã Khánh Hoà, huyện Yên Khánh, tỉnh Ninh Bình</t>
  </si>
  <si>
    <t>https://drive.google.com/open?id=11ec6uDpsRk-oLAH7mk2v0XwapWyvRTWO</t>
  </si>
  <si>
    <t>https://www.facebook.com/profile.php?id=100042450857812&amp;mibextid=LQQJ4d</t>
  </si>
  <si>
    <t xml:space="preserve">Nguyễn Tuệ Minh  </t>
  </si>
  <si>
    <t>tueminh332005@gmail.com</t>
  </si>
  <si>
    <t>68 Nguyễn Chí Thanh ,   Láng Thượng , Đống Đa , Hà Nội</t>
  </si>
  <si>
    <t>https://drive.google.com/open?id=13iWZUDOAxP5LSEF_2hydMxJVrS-VTrcv, https://drive.google.com/open?id=1jdQdHksB3b9i8XXo8DTTNLMuEBCkPV1y</t>
  </si>
  <si>
    <t>https://www.facebook.com/profile.php?id=100034150181265</t>
  </si>
  <si>
    <r>
      <rPr>
        <sz val="12"/>
        <color theme="1"/>
        <rFont val="Times New Roman"/>
        <family val="1"/>
      </rPr>
      <t xml:space="preserve">Lương Thị Linh </t>
    </r>
    <r>
      <rPr>
        <sz val="12"/>
        <color rgb="FFFF0000"/>
        <rFont val="Times New Roman"/>
        <family val="1"/>
      </rPr>
      <t>(hợp đồng)</t>
    </r>
  </si>
  <si>
    <t>xóm 2 liên huy gia thịnh gia viễn ninh bình</t>
  </si>
  <si>
    <t>19/08/2024 và 23/08/2024</t>
  </si>
  <si>
    <t>https://drive.google.com/open?id=1URwzm60pH7UDK7mt6-ZdhwyE3w1TV8FB, https://drive.google.com/open?id=1XY9U-uPCOChLNVY1WDoUB8nifDlgnJ9M</t>
  </si>
  <si>
    <t>https://www.facebook.com/profile.php?id=100031268655971&amp;mibextid=LQQJ4d</t>
  </si>
  <si>
    <r>
      <rPr>
        <sz val="12"/>
        <color theme="1"/>
        <rFont val="Times New Roman"/>
        <family val="1"/>
      </rPr>
      <t xml:space="preserve">Bùi Lan Nhi </t>
    </r>
    <r>
      <rPr>
        <sz val="12"/>
        <color rgb="FFFF0000"/>
        <rFont val="Times New Roman"/>
        <family val="1"/>
      </rPr>
      <t>(hợp đồng)</t>
    </r>
  </si>
  <si>
    <t>lannhi16092005@gmail.com</t>
  </si>
  <si>
    <t>Số 12 Ngách 21/80/3, Yên Xá, Tân Triều, Thanh Trì, Hà Nội</t>
  </si>
  <si>
    <t>https://drive.google.com/open?id=1INGzvb6FipfyFWR7mbF6rlAg0TEIkG13; https://drive.google.com/open?id=1bh0_XM5K65YLQ22Dw2_w7Bh0g49azMS4</t>
  </si>
  <si>
    <t>PT120</t>
  </si>
  <si>
    <t>https://www.facebook.com/share/5ydzNFqtar4Z5pwZ/?mibextid=qi2Omg</t>
  </si>
  <si>
    <r>
      <rPr>
        <sz val="12"/>
        <color theme="1"/>
        <rFont val="Times New Roman"/>
        <family val="1"/>
      </rPr>
      <t>Đào Khánh Hòa</t>
    </r>
    <r>
      <rPr>
        <sz val="12"/>
        <color rgb="FFFF0000"/>
        <rFont val="Times New Roman"/>
        <family val="1"/>
      </rPr>
      <t xml:space="preserve"> (hợp đồng) PT118</t>
    </r>
  </si>
  <si>
    <t>Hoakhanh2608@gmail.com</t>
  </si>
  <si>
    <t>Xóm 2, Cây xăng Khánh Hồng, Yên Khánh, Ninh Bình</t>
  </si>
  <si>
    <t>https://drive.google.com/open?id=1mFD9jz9bdBbDuALkFfntFxAmC4Atg2s4</t>
  </si>
  <si>
    <t>OPT27</t>
  </si>
  <si>
    <t>https://www.facebook.com/profile.php?id=100015146614910&amp;mibextid=ZbWKwL</t>
  </si>
  <si>
    <t xml:space="preserve">Trần Thị Thuận </t>
  </si>
  <si>
    <t xml:space="preserve">tranthithuan26051998@gmail.com </t>
  </si>
  <si>
    <t>41 ngõ 36 Nguyễn Đạo An, Phú Diễn, BTL</t>
  </si>
  <si>
    <t>https://drive.google.com/open?id=17SVe3BeR7touDBuywTiZUJzeSApg81Cd</t>
  </si>
  <si>
    <t>https://www.facebook.com/profile.php?id=100017807978827&amp;mibextid=LQQJ4d</t>
  </si>
  <si>
    <t xml:space="preserve">Phạm Trường Sơn </t>
  </si>
  <si>
    <t>Son2k4pro@gmail.com</t>
  </si>
  <si>
    <t>https://drive.google.com/open?id=1JdW-h9i_PJJzw_dBFZgJVdF-VDwAQEIR</t>
  </si>
  <si>
    <t>https://www.facebook.com/sailinh15?mibextid=2JQ9oc</t>
  </si>
  <si>
    <t>Sái Thị Linh</t>
  </si>
  <si>
    <t>K</t>
  </si>
  <si>
    <t>TẠI LỚP</t>
  </si>
  <si>
    <t>https://drive.google.com/open?id=1Afx9p_Dglgs8UQw-ef6A-bvTnN5AtPG0; https://drive.google.com/open?id=1hFOQLUTpHQjVx4C3O0yeDkfAvh2wFFAv</t>
  </si>
  <si>
    <t>OPT23</t>
  </si>
  <si>
    <t>https://www.facebook.com/profile.php?id=100059509046999</t>
  </si>
  <si>
    <r>
      <rPr>
        <sz val="12"/>
        <color theme="1"/>
        <rFont val="Times New Roman"/>
        <family val="1"/>
      </rPr>
      <t>Nguyễn Quỳnh Anh</t>
    </r>
    <r>
      <rPr>
        <sz val="12"/>
        <color rgb="FFFF0000"/>
        <rFont val="Times New Roman"/>
        <family val="1"/>
      </rPr>
      <t xml:space="preserve"> (hợp đồng)</t>
    </r>
  </si>
  <si>
    <t>nguyenanh271106@gmail.com</t>
  </si>
  <si>
    <t>B22 Kim Liên, Đống Đa, Hà Nội</t>
  </si>
  <si>
    <t>https://drive.google.com/open?id=1YdpTcqVBuBo3AejAGtFGPySV06d-sZmC</t>
  </si>
  <si>
    <t>https://www.facebook.com/ngocs.bich.77</t>
  </si>
  <si>
    <t>Phạm Thị Mỹ Linh</t>
  </si>
  <si>
    <t>địa chỉ chung cư k35 tân mai toàn N02, Hoàng Mai, Hà Nội</t>
  </si>
  <si>
    <t>https://drive.google.com/open?id=1__6FaXOTO0N3UtT9n4_bFIPuw6-mQnhQ; https://drive.google.com/open?id=1yyjA8OpO0Dp2uBtp5TN1nqo4NqHYKsu5</t>
  </si>
  <si>
    <t>https://www.facebook.com/profile.php?id=100033473475296</t>
  </si>
  <si>
    <t>Phạm Thị Liên</t>
  </si>
  <si>
    <t>https://drive.google.com/open?id=1LSl-K45gUjMcKuxfJNircC1aoJbZvv99; https://drive.google.com/open?id=1RTw8xVM1JSYAlNa6d4XgV3Pp9H3nb1J4</t>
  </si>
  <si>
    <t xml:space="preserve">Trần Thị Linh </t>
  </si>
  <si>
    <t>https://drive.google.com/open?id=1zfjS6TqPefPzdAzlgIsGBt7yGAGgY0De; https://drive.google.com/open?id=1zlBSzMOigEra7G-1sndpbJpw1lIQ_4QY</t>
  </si>
  <si>
    <t>https://www.facebook.com/quynh.kudo.3</t>
  </si>
  <si>
    <t xml:space="preserve">Nguyễn Như Quỳnh </t>
  </si>
  <si>
    <t xml:space="preserve"> nhuquynh2122006@gmail.com</t>
  </si>
  <si>
    <t>Thôn Trung Bắc-xã Lâm Trung Thuỷ-huyện Đức Thọ-tỉnh Hà Tĩnh</t>
  </si>
  <si>
    <t>https://drive.google.com/open?id=1Dv8NpjQHMQuCMms9zxE6DR1GlgxGR0-y, https://drive.google.com/open?id=1JmUBDd78kh0EvCo4usQz3AyT75JvbpC3</t>
  </si>
  <si>
    <t>https://www.facebook.com/profile.php?id=100054580623119</t>
  </si>
  <si>
    <t xml:space="preserve">Phạm Thị Thùy Dương </t>
  </si>
  <si>
    <t>phamthithuyduong26102006@gmail.com</t>
  </si>
  <si>
    <t xml:space="preserve">Thôn Đông An Hà Lạng Giang Bắc Giang </t>
  </si>
  <si>
    <t>https://drive.google.com/open?id=1M43qYe2QAfB6iRgWMHmfxcITfjIeq8xR, https://drive.google.com/open?id=1V2LHJBSTgz5Z5oLX9xjkGms6ha3EHx0F</t>
  </si>
  <si>
    <t>https://www.facebook.com/anh.cheery.94</t>
  </si>
  <si>
    <t xml:space="preserve">Nguyễn Ngọc Ánh </t>
  </si>
  <si>
    <t xml:space="preserve">  anh185996@gmail.com</t>
  </si>
  <si>
    <t xml:space="preserve"> Trường mầm non xóm đường, xã mê linh, huyện mê linh, thành phố hà nội</t>
  </si>
  <si>
    <t>https://drive.google.com/open?id=1KbitNHA7r-soNliEt85GvFwLDQs3gUkr</t>
  </si>
  <si>
    <t>OPT56</t>
  </si>
  <si>
    <t>https://www.facebook.com/profile.php?id=100046651876097&amp;mibextid=LQQJ4d</t>
  </si>
  <si>
    <r>
      <rPr>
        <sz val="12"/>
        <color theme="1"/>
        <rFont val="Times New Roman"/>
        <family val="1"/>
      </rPr>
      <t xml:space="preserve">Trương Thị Lan Anh </t>
    </r>
    <r>
      <rPr>
        <sz val="12"/>
        <color rgb="FFFF0000"/>
        <rFont val="Times New Roman"/>
        <family val="1"/>
      </rPr>
      <t>(hợp đồng) OPT23</t>
    </r>
  </si>
  <si>
    <t>nanaacbn2@gmail.com</t>
  </si>
  <si>
    <t>Trung tâm</t>
  </si>
  <si>
    <t>https://drive.google.com/open?id=1T_lGIPneNTdZPlGTcs_ZMdW_7PUO85sc, https://drive.google.com/open?id=1P0PvuHOkwZ-qDNIXDZfxEOrGXE-MPyCn</t>
  </si>
  <si>
    <t>https://www.facebook.com/penowtifxelpec</t>
  </si>
  <si>
    <t xml:space="preserve">Huỳnh Cao Minh Đăng </t>
  </si>
  <si>
    <t xml:space="preserve"> Huynhcaominhdang@gmail.com</t>
  </si>
  <si>
    <t>Ấp 3, xã Khánh Thuận, huyện U Minh, tỉnh Cà Mau</t>
  </si>
  <si>
    <t>https://drive.google.com/open?id=14cRWziEHmvjCIgOaOiYknqaXYTc7Qrfb</t>
  </si>
  <si>
    <t>https://www.facebook.com/profile.php?id=100011644993468</t>
  </si>
  <si>
    <t xml:space="preserve"> Trần Văn Quãng</t>
  </si>
  <si>
    <t>tvanquang7a3@gmail.com</t>
  </si>
  <si>
    <t xml:space="preserve">k nhận sách </t>
  </si>
  <si>
    <t>https://drive.google.com/open?id=1jLh4tB9_dlepvfJXFIWcGrJYSxexftpd</t>
  </si>
  <si>
    <t>https://www.facebook.com/profile.php?id=61555899834826</t>
  </si>
  <si>
    <r>
      <rPr>
        <sz val="12"/>
        <color theme="1"/>
        <rFont val="Times New Roman"/>
        <family val="1"/>
      </rPr>
      <t xml:space="preserve">Lê Văn Phong </t>
    </r>
    <r>
      <rPr>
        <sz val="12"/>
        <color rgb="FFFF0000"/>
        <rFont val="Times New Roman"/>
        <family val="1"/>
      </rPr>
      <t>OPT26</t>
    </r>
  </si>
  <si>
    <t xml:space="preserve"> lephong61079@gmail.com</t>
  </si>
  <si>
    <t xml:space="preserve">Phố sao đỏ, thị trấn thống nhất, yên định, Thanh Hoá </t>
  </si>
  <si>
    <t>https://drive.google.com/open?id=1RovrXPHcCJFjYsZvtXeCmHGwPAnbru1P, https://drive.google.com/open?id=1MX3ayuqvV--3ZHrNVpXC2O_ddrnui5_o</t>
  </si>
  <si>
    <t>https://www.facebook.com/thuytinh.hoa.58173?mibextid=LQQJ4d</t>
  </si>
  <si>
    <t xml:space="preserve">Phạm Thị Đào </t>
  </si>
  <si>
    <t>phamthidao0209@gmail.com</t>
  </si>
  <si>
    <t>Đã nhận sách tại văn phòng</t>
  </si>
  <si>
    <t>https://drive.google.com/open?id=1qtPIIVYFgAomvgawbiF0QsvA61bEucSS</t>
  </si>
  <si>
    <t>https://www.facebook.com/daongocyeumoinguoi</t>
  </si>
  <si>
    <t>Đào Bích Ngọc</t>
  </si>
  <si>
    <t>daobichngoc9ac2pc@gmail.com</t>
  </si>
  <si>
    <t>Thôn khúc , xã phụng công , huyện văn giang , tỉnh hưng yên</t>
  </si>
  <si>
    <t>https://drive.google.com/open?id=1RPU5-JTRf6hdUI83GHnja3A42RBOYBle, https://drive.google.com/open?id=14MxxHkyok5LSrN2ytB0-s8Qie1NRPEvp</t>
  </si>
  <si>
    <t>PT120 nghỉ ngang. Huy báo</t>
  </si>
  <si>
    <t>https://www.facebook.com/profile.php?id=100077656863126&amp;mibextid=LQQJ4d</t>
  </si>
  <si>
    <t>thôn2, Phú Sơn, Nho Quan, Ninh Bình</t>
  </si>
  <si>
    <t>https://drive.google.com/open?id=1XF1o5zYoD53isaTCcnq9rvFODV18WJhE</t>
  </si>
  <si>
    <t>https://web.facebook.com/profile.php?id=100078714356556&amp;mibextid=LQQJ4d&amp;_rdc=1&amp;_rdr</t>
  </si>
  <si>
    <r>
      <rPr>
        <sz val="12"/>
        <color theme="1"/>
        <rFont val="Times New Roman"/>
        <family val="1"/>
      </rPr>
      <t>Trần Thị Thùy Linh</t>
    </r>
    <r>
      <rPr>
        <sz val="12"/>
        <color rgb="FFFF0000"/>
        <rFont val="Times New Roman"/>
        <family val="1"/>
      </rPr>
      <t xml:space="preserve"> - chưa nộp 300K
T233 bảo lưu b8 sang lớp OFF Phương báo. Học OT30 buổi 1</t>
    </r>
  </si>
  <si>
    <t>thuylinhtranthi2812@gmail.com</t>
  </si>
  <si>
    <t xml:space="preserve">BÁO SAU </t>
  </si>
  <si>
    <t>https://drive.google.com/open?id=1jiCaL8eTJRj2irEZiJIJ7g5tfpL_nQ-j</t>
  </si>
  <si>
    <t>https://www.facebook.com/profile.php?id=100064195123792&amp;mibextid=ZbWKwL</t>
  </si>
  <si>
    <t>Đặng Ngọc Anh</t>
  </si>
  <si>
    <t>ngocanhphailin@gmail.com.</t>
  </si>
  <si>
    <t>Thôn Tranh Khúc, Duyên Hà, Thanh Trì, Hà Nội</t>
  </si>
  <si>
    <t>https://drive.google.com/open?id=15J8DFM44H5PET7bmQ_znLmOZW2TeJHKo</t>
  </si>
  <si>
    <t>300 (180 và 120)</t>
  </si>
  <si>
    <t>https://www.facebook.com/profile.php?id=100073844290160&amp;mibextid=ZbWKwL</t>
  </si>
  <si>
    <r>
      <rPr>
        <sz val="12"/>
        <color theme="1"/>
        <rFont val="Times New Roman"/>
        <family val="1"/>
      </rPr>
      <t xml:space="preserve">Nguyễn Khánh Vy </t>
    </r>
    <r>
      <rPr>
        <sz val="12"/>
        <color rgb="FFFF0000"/>
        <rFont val="Times New Roman"/>
        <family val="1"/>
      </rPr>
      <t>(hợp đồng)</t>
    </r>
  </si>
  <si>
    <t xml:space="preserve">Thế Anh </t>
  </si>
  <si>
    <t>69/68 Đặng Thùy Trâm, P.13, Q. Bình Thạnh, Tp.HCM</t>
  </si>
  <si>
    <t>https://drive.google.com/open?id=1OqpW0rXbQuCLpp1Ct78e7TJBf7ev7Q2Q</t>
  </si>
  <si>
    <t>https://www.facebook.com/peoscaca26?mibextid=JRoKGi</t>
  </si>
  <si>
    <r>
      <rPr>
        <sz val="12"/>
        <color theme="1"/>
        <rFont val="Times New Roman"/>
        <family val="1"/>
      </rPr>
      <t>Phan Tuấn Minh</t>
    </r>
    <r>
      <rPr>
        <sz val="12"/>
        <color rgb="FFFF0000"/>
        <rFont val="Times New Roman"/>
        <family val="1"/>
      </rPr>
      <t xml:space="preserve"> (hợp đồng)</t>
    </r>
  </si>
  <si>
    <t xml:space="preserve">Quốc lộ 3, Vĩnh Thanh, Vĩnh Ngọc, Đông Anh,Hà Nội </t>
  </si>
  <si>
    <t>https://drive.google.com/open?id=1jqh_t6rtW24RIo2vVvAK6p4DVVpXVu-v, https://drive.google.com/open?id=1yEaE_kCjnwqv4TPJ7P1Rn4TvWSpU4Yy8</t>
  </si>
  <si>
    <t>https://www.facebook.com/hongg.bichh12345?mibextid=LQQJ4d</t>
  </si>
  <si>
    <t>Đặng Thị Hồng Bích</t>
  </si>
  <si>
    <t>Nhà Số 203, đường Louis 1, phường Hoàng Văn Thụ, Quận Hoàng Mai , Hà Nội</t>
  </si>
  <si>
    <r>
      <rPr>
        <sz val="12"/>
        <rFont val="Times New Roman"/>
        <family val="1"/>
      </rPr>
      <t xml:space="preserve">https://drive.google.com/open?id=1VSa0-jq_NW9uVE245xgWRYbzz-ZK6lPg, </t>
    </r>
    <r>
      <rPr>
        <u/>
        <sz val="12"/>
        <color rgb="FF1155CC"/>
        <rFont val="Times New Roman"/>
        <family val="1"/>
      </rPr>
      <t>https://drive.google.com/open?id=1PobuFpP-WfC0kgJhJJhFLmMQbGuspFi8</t>
    </r>
  </si>
  <si>
    <t>nhà hàng thuấn mơ, xóm tân thành, xã nhân mỹ, huyện tân lạc, tỉnh hoà bình</t>
  </si>
  <si>
    <t>https://drive.google.com/open?id=16dJ21xvXESdKZkJrRbmjKRavZ_-l8NvC</t>
  </si>
  <si>
    <t>https://www.facebook.com/profile.php?id=100022730001454</t>
  </si>
  <si>
    <r>
      <rPr>
        <sz val="12"/>
        <color theme="1"/>
        <rFont val="Times New Roman"/>
        <family val="1"/>
      </rPr>
      <t>Phạm Yến Nhi</t>
    </r>
    <r>
      <rPr>
        <sz val="12"/>
        <color rgb="FFFF0000"/>
        <rFont val="Times New Roman"/>
        <family val="1"/>
      </rPr>
      <t xml:space="preserve"> (hợp đồng)</t>
    </r>
  </si>
  <si>
    <t xml:space="preserve">Đạt H </t>
  </si>
  <si>
    <t xml:space="preserve">npham0921@gmail.com </t>
  </si>
  <si>
    <t>23/56 Phương Lưu, Vạn Mỹ, Ngô Quyền, Hải Phòng</t>
  </si>
  <si>
    <t>https://drive.google.com/open?id=1w5EuRJCHyVqDq4Fg4Q6uFWIAYRHoeQBc, https://drive.google.com/open?id=1Q9bXsNJCVGJBA9P0rgm_W_phWOSpvxKj</t>
  </si>
  <si>
    <t>OPT28</t>
  </si>
  <si>
    <t>https://www.facebook.com/profile.php?id=100057335313733&amp;mibextid=ZbWKwL</t>
  </si>
  <si>
    <r>
      <rPr>
        <sz val="12"/>
        <color theme="1"/>
        <rFont val="Times New Roman"/>
        <family val="1"/>
      </rPr>
      <t>Dương Thế Tùng</t>
    </r>
    <r>
      <rPr>
        <sz val="12"/>
        <color rgb="FFFF0000"/>
        <rFont val="Times New Roman"/>
        <family val="1"/>
      </rPr>
      <t xml:space="preserve"> - Tùng Dương</t>
    </r>
  </si>
  <si>
    <t>ankdbadao@gmail.com</t>
  </si>
  <si>
    <t>Số 68, ngõ 36/1, phố An Hoà, Mộ Lao, Hà Đông</t>
  </si>
  <si>
    <t>29/08/2024 và 30/08/2024</t>
  </si>
  <si>
    <t>https://drive.google.com/open?id=198rMSOAA1og4FxqgeBP6-pCrAWPrGD6i; https://drive.google.com/open?id=1TBlFyXbblQl_yVrRUzzHpWrw7zcGo4yc</t>
  </si>
  <si>
    <t>https://www.facebook.com/sown.715</t>
  </si>
  <si>
    <t>Dương Tuấn Sơn</t>
  </si>
  <si>
    <t xml:space="preserve"> sonbinhbg@gmail.com</t>
  </si>
  <si>
    <t>https://drive.google.com/open?id=1EVW2IVlIK4yMNCdmjRYX7QjARovLOGAO; https://drive.google.com/open?id=1EZPYkGWDUvLF3wrtzFPwa420BqDsg8te</t>
  </si>
  <si>
    <t>PT122</t>
  </si>
  <si>
    <t>https://www.facebook.com/pham.linhlinh.1441</t>
  </si>
  <si>
    <r>
      <rPr>
        <sz val="12"/>
        <color theme="1"/>
        <rFont val="Times New Roman"/>
        <family val="1"/>
      </rPr>
      <t>Phạm Linh</t>
    </r>
    <r>
      <rPr>
        <sz val="12"/>
        <color rgb="FFFF0000"/>
        <rFont val="Times New Roman"/>
        <family val="1"/>
      </rPr>
      <t xml:space="preserve"> - nick Phngph Linh</t>
    </r>
  </si>
  <si>
    <t>98 phai vệ phường đông kinh tp lạng sơn</t>
  </si>
  <si>
    <t>https://drive.google.com/open?id=1jodxQ8yoVzMsVornhmZMKYXAcziiDuP0</t>
  </si>
  <si>
    <t>PT121</t>
  </si>
  <si>
    <t>https://www.facebook.com/hongngoc.tranthi.5623</t>
  </si>
  <si>
    <t xml:space="preserve">Trần Thị Hồng Ngọc </t>
  </si>
  <si>
    <t xml:space="preserve"> hvna2330@gmail.com</t>
  </si>
  <si>
    <t>nhà 9B ngõ 66 nguyễn phúc lai , ô chợ dừa, đống đa , hà nội</t>
  </si>
  <si>
    <t>https://drive.google.com/open?id=1-ji1T-_zdhbPjfc_4cumHbNuiSLOj-UA</t>
  </si>
  <si>
    <t xml:space="preserve">Không  </t>
  </si>
  <si>
    <t>https://www.facebook.com/khhuyen257</t>
  </si>
  <si>
    <t>Hà Khánh Huyền</t>
  </si>
  <si>
    <t xml:space="preserve"> khhuyen257@gmail.com</t>
  </si>
  <si>
    <t>Cổng sau kí túc xá khu B, ĐHQG TP Hồ Chí Minh</t>
  </si>
  <si>
    <t>https://drive.google.com/open?id=12VlQzjm1L6zCsWjQl_gz-l-7ZAbxqj3d</t>
  </si>
  <si>
    <t>OPT30</t>
  </si>
  <si>
    <t>https://www.facebook.com/trong.ngoc.79827803</t>
  </si>
  <si>
    <t>Phạm Vũ Ngọc Trọng</t>
  </si>
  <si>
    <t xml:space="preserve"> trongpvn2211@gmail.com</t>
  </si>
  <si>
    <t xml:space="preserve">Ct1 chung cư viện 103, Văn Quán, Hà Đông </t>
  </si>
  <si>
    <t>https://drive.google.com/open?id=1_Bp1xe2J5aSo2WUlffZSwyaLS__8Unly</t>
  </si>
  <si>
    <t>Mât  gốc</t>
  </si>
  <si>
    <t>https://www.facebook.com/profile.php?id=100009241086429&amp;mibextid=LQQJ4d</t>
  </si>
  <si>
    <t>Hoàng Phương Dương</t>
  </si>
  <si>
    <t xml:space="preserve"> duonghoanggg0811@gmail.com</t>
  </si>
  <si>
    <t>Ngách 76, ngõ 14, Phố Mễ Trì Hạ, Mễ Trì, Nam Từ Liêm, Hà Nội</t>
  </si>
  <si>
    <t>https://drive.google.com/open?id=1gWsjlBGLhbdVQMoR-MLM_Ay8PujEohFb</t>
  </si>
  <si>
    <t>OPT33</t>
  </si>
  <si>
    <t>https://www.facebook.com/profile.php?id=100064334715846</t>
  </si>
  <si>
    <r>
      <rPr>
        <sz val="12"/>
        <color theme="1"/>
        <rFont val="Times New Roman"/>
        <family val="1"/>
      </rPr>
      <t xml:space="preserve">Nguyễn Phương Thảo Uyên </t>
    </r>
    <r>
      <rPr>
        <sz val="12"/>
        <color rgb="FFFF0000"/>
        <rFont val="Times New Roman"/>
        <family val="1"/>
      </rPr>
      <t>OPT28</t>
    </r>
  </si>
  <si>
    <t>Thaouyen31106@gmail.com</t>
  </si>
  <si>
    <t>66 phùng hưng, hà đông, hà nội</t>
  </si>
  <si>
    <t>https://drive.google.com/open?id=1KA3x8zFWDE86i5StZye9M73Qnqd9xVCZ</t>
  </si>
  <si>
    <t>https://www.facebook.com/profile.php?id=100071986992255</t>
  </si>
  <si>
    <t>Lương Hoàng Hải</t>
  </si>
  <si>
    <t xml:space="preserve"> Chipmiu0610@gmail.com</t>
  </si>
  <si>
    <t>Tiệm vàng Hoàng Oanh, Lô U4/246B, chợ Cầu tre, đường Đà Nẵng, quận Ngô Quyền, Hải Phòng (không có số nhà)</t>
  </si>
  <si>
    <t>https://drive.google.com/open?id=185TnKy6vw8hVe4ibm98GhpfTcfmCLv78</t>
  </si>
  <si>
    <t>PT123</t>
  </si>
  <si>
    <t>https://www.facebook.com/profile.php?id=100069497659761&amp;mibextid=LQQJ4d</t>
  </si>
  <si>
    <t>Phạm Hiền Trang</t>
  </si>
  <si>
    <t>117/184 Đê Trần Khát Chân , Hai Bà Trưng, Hà Nội</t>
  </si>
  <si>
    <t>https://drive.google.com/open?id=1ZMRIMJf5sRVBWVOjEz4BZ-U0MijfEpPs</t>
  </si>
  <si>
    <t>Ngô Như Ý</t>
  </si>
  <si>
    <t>SSố 9A/89/508 Đường Láng, Đống Đa, Hà Nội</t>
  </si>
  <si>
    <r>
      <rPr>
        <sz val="12"/>
        <color theme="1"/>
        <rFont val="Times New Roman"/>
        <family val="1"/>
      </rPr>
      <t>Đặng Minh Quang</t>
    </r>
    <r>
      <rPr>
        <sz val="12"/>
        <color rgb="FFFF0000"/>
        <rFont val="Times New Roman"/>
        <family val="1"/>
      </rPr>
      <t xml:space="preserve"> - đã nộp 300K 19/10/2024
OT29 bảo lưu buổi 7. Học T256 buổi 1</t>
    </r>
  </si>
  <si>
    <t>số nhà 91, ngõ 59, Dương Khuê, Mai Dịch, Cầu Giấy, Hà Nội</t>
  </si>
  <si>
    <t>https://www.facebook.com/profile.php?id=61565446552977&amp;mibextid=LQQJ4d</t>
  </si>
  <si>
    <t>Đặng Thanh Ngát</t>
  </si>
  <si>
    <t>Số 9, Ngõ 16, Văn Hội, Đức Thắng, Bắc Từ Liêm, Hà Nội</t>
  </si>
  <si>
    <t>Nguyễn Thị Tâm Mai</t>
  </si>
  <si>
    <t>Nguyễn Đức Hiệp</t>
  </si>
  <si>
    <t>đội 10, thôn Bến, xã Phụng Công, huyện Văn Giang, tỉnh Hưng Yên</t>
  </si>
  <si>
    <t>Số nhà 48, ngõ 7 Phùng Chí Kiên, Nghĩa Đô, Cầu Giấy, Hà Nội</t>
  </si>
  <si>
    <t>VIP108</t>
  </si>
  <si>
    <t>hẻm101/19 ngõ Gốc Đề, Minh Khai, Hai Bà Trưng, Hà Nội</t>
  </si>
  <si>
    <t>Số nhà 39, ngách 23/12a, ngõ 23 Xuân La, Tây Hồ, Hà Nội</t>
  </si>
  <si>
    <t>T253</t>
  </si>
  <si>
    <r>
      <rPr>
        <sz val="12"/>
        <color theme="1"/>
        <rFont val="Times New Roman"/>
        <family val="1"/>
      </rPr>
      <t xml:space="preserve">Trần Công Vinh </t>
    </r>
    <r>
      <rPr>
        <sz val="12"/>
        <color rgb="FFFF0000"/>
        <rFont val="Times New Roman"/>
        <family val="1"/>
      </rPr>
      <t>- Đã nộp 300K 21/10/2024
OT29 bảo lưu buổi 6 đi quân sự. Học T253 b1</t>
    </r>
  </si>
  <si>
    <r>
      <rPr>
        <sz val="12"/>
        <color theme="1"/>
        <rFont val="Times New Roman"/>
        <family val="1"/>
      </rPr>
      <t xml:space="preserve">Bùi Thị Ngọc Ly </t>
    </r>
    <r>
      <rPr>
        <sz val="12"/>
        <color rgb="FFFF0000"/>
        <rFont val="Times New Roman"/>
        <family val="1"/>
      </rPr>
      <t>- Li Li</t>
    </r>
  </si>
  <si>
    <t>Bùi Hoàng Yến</t>
  </si>
  <si>
    <t>T302 học buổi 1 ko theo được</t>
  </si>
  <si>
    <t>https://www.facebook.com/profile.php?id=100049445720902</t>
  </si>
  <si>
    <r>
      <rPr>
        <sz val="12"/>
        <color theme="1"/>
        <rFont val="Times New Roman"/>
        <family val="1"/>
      </rPr>
      <t xml:space="preserve">Nguyễn Thị Lan Anh </t>
    </r>
    <r>
      <rPr>
        <sz val="12"/>
        <color rgb="FFFF0000"/>
        <rFont val="Times New Roman"/>
        <family val="1"/>
      </rPr>
      <t xml:space="preserve">- học thay đã nộp 300K 23/09/24
</t>
    </r>
    <r>
      <rPr>
        <sz val="12"/>
        <color theme="1"/>
        <rFont val="Times New Roman"/>
        <family val="1"/>
      </rPr>
      <t xml:space="preserve">Hoàng Lan Anh </t>
    </r>
    <r>
      <rPr>
        <sz val="12"/>
        <color rgb="FFFF0000"/>
        <rFont val="Times New Roman"/>
        <family val="1"/>
      </rPr>
      <t xml:space="preserve">- chuyển nhượng </t>
    </r>
    <r>
      <rPr>
        <sz val="12"/>
        <color theme="1"/>
        <rFont val="Times New Roman"/>
        <family val="1"/>
      </rPr>
      <t>837894789</t>
    </r>
  </si>
  <si>
    <t>Hlananh1997@gmail.com</t>
  </si>
  <si>
    <t>Tòa gelex, 52 Lê đại hành, hai bà trưng, hà nội</t>
  </si>
  <si>
    <t>https://drive.google.com/open?id=1r9iCzjvONqQbCMxUw9v8oCBFcXIFQJst</t>
  </si>
  <si>
    <t>Chờ Hiền test, qua rồi</t>
  </si>
  <si>
    <t>https://www.facebook.com/hoanglananh23022016</t>
  </si>
  <si>
    <t>Đặng Nguyễn Phương Hà</t>
  </si>
  <si>
    <t xml:space="preserve">Hồ Thị Huyền </t>
  </si>
  <si>
    <t>https://www.facebook.com/vansieusao</t>
  </si>
  <si>
    <r>
      <rPr>
        <sz val="12"/>
        <color rgb="FF000000"/>
        <rFont val="Times New Roman"/>
        <family val="1"/>
      </rPr>
      <t>Nguyễn Đình Văn</t>
    </r>
    <r>
      <rPr>
        <sz val="12"/>
        <color rgb="FFFF0000"/>
        <rFont val="Times New Roman"/>
        <family val="1"/>
      </rPr>
      <t xml:space="preserve"> - nhận học
E2, E3 của Hồng Việt 945688592</t>
    </r>
  </si>
  <si>
    <t>Đạt báo</t>
  </si>
  <si>
    <t>vanluffyfun333@gmail.com</t>
  </si>
  <si>
    <t>Tân trung - Trung cao- Trung hoà - Chương Mỹ - Hà Nội</t>
  </si>
  <si>
    <t>https://drive.google.com/open?id=1CfO7zdRQrutUlubnxEpRGt9zaC8vdDRO</t>
  </si>
  <si>
    <t>Chị tóm tắt lại như sau:
- Việt đã nộp COMBO 3 giao tiếp
- ĐÃ học 1 giao tiếp
- Đổi 2 giao tiếp sang Toeic
- Việt KO học toeic nữa
- Chuyển nhượng cho bạn học toeic
- Bạn cũng đóng tiền toeic rồi
- Việt xin lại tiền giao tiếp
=&gt; COMBO 3 giao tiếp - 1 giao tiếp - 300K chuyển nhượng
=&gt; Bạn kia học 2 TOEIC. Tiền trả lại lấy từ TOEIC của bạn chuyển nhượng đã nộp</t>
  </si>
  <si>
    <t>Bạn kia học 2 TOEIC đã nộp tiền. 
Tiền trả lại Việt lấy từ TOEIC của bạn nhận học đã nộp</t>
  </si>
  <si>
    <r>
      <rPr>
        <sz val="12"/>
        <color theme="1"/>
        <rFont val="Times New Roman"/>
        <family val="1"/>
      </rPr>
      <t>Lê Nguyễn Hà Trang</t>
    </r>
    <r>
      <rPr>
        <sz val="12"/>
        <color rgb="FFFF0000"/>
        <rFont val="Times New Roman"/>
        <family val="1"/>
      </rPr>
      <t xml:space="preserve"> 989494136 ZALO</t>
    </r>
  </si>
  <si>
    <t>hẻm 31 ngách 100 ngõ 250 Kim Giang, Đại Kim, Hoàng Mai, Hà Nội</t>
  </si>
  <si>
    <t>phường Hoà Minh,quận Liên Chiểu,số 101 Hồ Quý Ly Đà Nẵng</t>
  </si>
  <si>
    <t>T246</t>
  </si>
  <si>
    <r>
      <rPr>
        <sz val="12"/>
        <color theme="1"/>
        <rFont val="Times New Roman"/>
        <family val="1"/>
      </rPr>
      <t>Bùi Thị Sao Mai</t>
    </r>
    <r>
      <rPr>
        <sz val="12"/>
        <color rgb="FFFF0000"/>
        <rFont val="Times New Roman"/>
        <family val="1"/>
      </rPr>
      <t xml:space="preserve"> - Huyền Mai</t>
    </r>
  </si>
  <si>
    <t>ngõ 36 Xuân La, quận tây hồ, Hà Nội</t>
  </si>
  <si>
    <r>
      <rPr>
        <sz val="12"/>
        <color theme="1"/>
        <rFont val="Times New Roman"/>
        <family val="1"/>
      </rPr>
      <t>Nguyễn Thị Khánh Linh</t>
    </r>
    <r>
      <rPr>
        <sz val="12"/>
        <color rgb="FFFF0000"/>
        <rFont val="Times New Roman"/>
        <family val="1"/>
      </rPr>
      <t xml:space="preserve"> - mất cam kết đầu ra
Không làm btvn đạt yêu cầu quá quy định (13 lần). Huy chat</t>
    </r>
  </si>
  <si>
    <t>Toà L, chung cư xuân mai complex- yên nghĩa- hà đông- hà nội</t>
  </si>
  <si>
    <r>
      <rPr>
        <sz val="12"/>
        <color theme="1"/>
        <rFont val="Times New Roman"/>
        <family val="1"/>
      </rPr>
      <t>Nguyễn Nhật Minh</t>
    </r>
    <r>
      <rPr>
        <sz val="12"/>
        <color rgb="FFFF0000"/>
        <rFont val="Times New Roman"/>
        <family val="1"/>
      </rPr>
      <t xml:space="preserve"> </t>
    </r>
    <r>
      <rPr>
        <sz val="12"/>
        <color theme="1"/>
        <rFont val="Times New Roman"/>
        <family val="1"/>
      </rPr>
      <t>366523155 số cũ</t>
    </r>
  </si>
  <si>
    <t>OT32</t>
  </si>
  <si>
    <t>Cao Huy Hùng</t>
  </si>
  <si>
    <t>số 17 ngõ 185 phố Chùa Láng , phường Láng Thượng , quận Đống Đa , Hà Nội</t>
  </si>
  <si>
    <t>Hồ Thị Thanh Mai</t>
  </si>
  <si>
    <t>Số 89, Nguyễn Phong Sắc, Dịch Vọng Hậu, Cầu Giấy, Hà Nội</t>
  </si>
  <si>
    <t>https://www.facebook.com/profile.php?id=100040122104753&amp;mibextid=LQQJ4d</t>
  </si>
  <si>
    <t>Tòa nhà SunSquare Lê Đức Thọ, Nam Từ Liêm, Hà Nội</t>
  </si>
  <si>
    <t>https://drive.google.com/open?id=1BOXyxs5iMAgeprMylYDZ53Yg1WWAfJdK; https://drive.google.com/open?id=1M2I6yULS8PWe3IokNqCMl3PDHbx3Pt7l</t>
  </si>
  <si>
    <t>https://www.facebook.com/diemquynh.pn.9?mibextid=LQQJ4d</t>
  </si>
  <si>
    <r>
      <rPr>
        <sz val="12"/>
        <color theme="1"/>
        <rFont val="Times New Roman"/>
        <family val="1"/>
      </rPr>
      <t>Diễm Quỳnh</t>
    </r>
    <r>
      <rPr>
        <sz val="12"/>
        <color rgb="FFFF0000"/>
        <rFont val="Times New Roman"/>
        <family val="1"/>
      </rPr>
      <t xml:space="preserve"> - đổi E3 sang T1 - đã nộp 613K 26/09/24
Phạm Tiến Bình 968437905 - cho em Quỳnh</t>
    </r>
  </si>
  <si>
    <t>Nhài làm thủ tục</t>
  </si>
  <si>
    <t>pndiemquynh2k@gmail.com</t>
  </si>
  <si>
    <t>Ngõ 28 - Phố Thanh Đàm - Phường Thanh Trì - Hoàng Mai - Hà Nội</t>
  </si>
  <si>
    <t>https://drive.google.com/open?id=1aAERdJTYPblvYy6Xmpa2hUpO1KrpD9Um</t>
  </si>
  <si>
    <r>
      <rPr>
        <sz val="12"/>
        <color theme="1"/>
        <rFont val="Times New Roman"/>
        <family val="1"/>
      </rPr>
      <t xml:space="preserve">Phạm Tiến Bình 968437905 </t>
    </r>
    <r>
      <rPr>
        <sz val="12"/>
        <color rgb="FFFF0000"/>
        <rFont val="Times New Roman"/>
        <family val="1"/>
      </rPr>
      <t>- đổi E3 sang T1 
Cho em Diễm Quỳnh 399303134 học</t>
    </r>
  </si>
  <si>
    <t>https://www.facebook.com/Coldboy2004</t>
  </si>
  <si>
    <t>3,768K - 3,455K tiền dư còn: 313K
Tổng 300K chuyển nhượng + 313K học phí thiếu toeic level 1
Tổng 613K em nhé
Để Quỳnh vào học toeic level 1</t>
  </si>
  <si>
    <t>Trần Quang Huy</t>
  </si>
  <si>
    <t>Nguyễn Thùy Diễm</t>
  </si>
  <si>
    <t>K97/32/33 Nguyễn Lương Bằng, Hoà Khánh Bắc, Liên Chiểu, Đà Nẵng</t>
  </si>
  <si>
    <t>https://www.facebook.com/profile.php?id=100048324272670&amp;mibextid=LQQJ4d</t>
  </si>
  <si>
    <t>Nguyễn Thảo Linh</t>
  </si>
  <si>
    <t>Thaolinh.hungan@gmail.com</t>
  </si>
  <si>
    <t>Nhà 6+ ngõ 2 Tân Triều Thanh Trì Hà Nội</t>
  </si>
  <si>
    <t>https://drive.google.com/open?id=1XeaKFWTEB4-8XUojxYSO7P6EmBHyxYJ2; https://drive.google.com/open?id=1vGDYJRJcC1KbPxZGX9pidLYOKYkeZrlW</t>
  </si>
  <si>
    <t>T300 bỏ ngang</t>
  </si>
  <si>
    <r>
      <rPr>
        <sz val="12"/>
        <color theme="1"/>
        <rFont val="Times New Roman"/>
        <family val="1"/>
      </rPr>
      <t xml:space="preserve">Nguyễn Nguyên Phi </t>
    </r>
    <r>
      <rPr>
        <sz val="12"/>
        <color rgb="FFFF0000"/>
        <rFont val="Times New Roman"/>
        <family val="1"/>
      </rPr>
      <t>- Đã nộp 300K + 980K học lại 13/03/25
T247 bảo lưu b13 đi quân sự. Học T300 b1
Đã trả 3 triệu 23/09/2025 HV ko học VIP, S, W nữa</t>
    </r>
  </si>
  <si>
    <t>Số nhà 20,Ngõ 66,Phố Hoàng Ngân,Cầu Giấy,Hà Nội</t>
  </si>
  <si>
    <t>26/09/2024 sách cũ</t>
  </si>
  <si>
    <t>https://www.facebook.com/profile.php?id=100040570543477&amp;mibextid=LQQJ4d</t>
  </si>
  <si>
    <r>
      <rPr>
        <sz val="12"/>
        <color theme="1"/>
        <rFont val="Times New Roman"/>
        <family val="1"/>
      </rPr>
      <t>Tạ Minh Thư.</t>
    </r>
    <r>
      <rPr>
        <sz val="12"/>
        <color rgb="FFFF0000"/>
        <rFont val="Times New Roman"/>
        <family val="1"/>
      </rPr>
      <t xml:space="preserve"> Đã nộp 300K 20/01/25
T247 bảo lưu b6. Học T283 b4</t>
    </r>
  </si>
  <si>
    <t>taminhthu4326@gmail.com</t>
  </si>
  <si>
    <t>Số 1, Ngõ 53, Tân Triều, Thanh Trì, Hà Nội</t>
  </si>
  <si>
    <t>https://drive.google.com/open?id=1s2lPYz3Kk3BiZQC5SgJHkKKB9Jy4CeFY; https://drive.google.com/open?id=1E-yU_eeXDOnytGui4uHvKxae4GvAjNuR; https://drive.google.com/open?id=1ihFg6A-x5h7PCk_f1AMHEcM9T55ADy_E, https://drive.google.com/open?id=1m7wPwvRnXLQ2VHBb53sbQYo2S_TI4UX0</t>
  </si>
  <si>
    <t>số 15, Đường Vào Ga Hà Đông, Tổ 10, Phường Phú La, Hà Đông, Hà Nội</t>
  </si>
  <si>
    <t>Nguyễn Đức Vinh</t>
  </si>
  <si>
    <t xml:space="preserve"> xóm 5 Hà Liễu- Phương Liễu- Quế Võ - Bắc Ninh</t>
  </si>
  <si>
    <t>OPT34</t>
  </si>
  <si>
    <t>PT130</t>
  </si>
  <si>
    <t>https://www.facebook.com/profile.php?id=100032078971048&amp;mibextid=nW3QTL</t>
  </si>
  <si>
    <r>
      <rPr>
        <sz val="12"/>
        <color theme="1"/>
        <rFont val="Times New Roman"/>
        <family val="1"/>
      </rPr>
      <t>Phan Hà Vi</t>
    </r>
    <r>
      <rPr>
        <sz val="12"/>
        <color rgb="FFFF0000"/>
        <rFont val="Times New Roman"/>
        <family val="1"/>
      </rPr>
      <t xml:space="preserve"> - Đã nộp 150K 27/09/2024
OPT34 bảo lưu buổi 3. Học PT130 b2</t>
    </r>
  </si>
  <si>
    <t>havyphan683@gmail.com</t>
  </si>
  <si>
    <t>số 76, ngô đức kế , khối hoàng diệu , phường hồng sơn , thành phố vinh , tỉnh nghệ an</t>
  </si>
  <si>
    <t>01/08/2024 và 03/09/2024</t>
  </si>
  <si>
    <t>https://drive.google.com/open?id=1r8H61o-04zyfe-MlA0SlnGJIk6kJLj7o; https://drive.google.com/open?id=1ut_ugYaoNg8LpfQyLv8e60RkzpUe9i6e</t>
  </si>
  <si>
    <r>
      <rPr>
        <sz val="12"/>
        <color theme="1"/>
        <rFont val="Times New Roman"/>
        <family val="1"/>
      </rPr>
      <t>Trần Thị Hà Phương</t>
    </r>
    <r>
      <rPr>
        <sz val="12"/>
        <color rgb="FFFF0000"/>
        <rFont val="Times New Roman"/>
        <family val="1"/>
      </rPr>
      <t xml:space="preserve">
đổi W học lại T</t>
    </r>
  </si>
  <si>
    <t>25/31 Doãn Kế Thiện,Cầu Giấy, Hà Nội</t>
  </si>
  <si>
    <t>Lê Khánh Linh</t>
  </si>
  <si>
    <t>https://www.facebook.com/profile.php?id=100057245475877</t>
  </si>
  <si>
    <t>Nguyễn Thanh Vân</t>
  </si>
  <si>
    <t>tv569145@gmail.com</t>
  </si>
  <si>
    <t>Ngõ 43 - Ngách 154 - Bắc Từ Liêm - Hà Nội</t>
  </si>
  <si>
    <t>https://drive.google.com/open?id=1O8raPLXguwZpNY6QgmQLbMLB2s18qADV; https://drive.google.com/open?id=1XWAjxnp82Wf1aGb0ius1OV1nwiwF118f</t>
  </si>
  <si>
    <t>https://www.facebook.com/profile.php?id=100083278200920</t>
  </si>
  <si>
    <r>
      <rPr>
        <sz val="12"/>
        <color theme="1"/>
        <rFont val="Times New Roman"/>
        <family val="1"/>
      </rPr>
      <t>Nguyễn Bá Duy</t>
    </r>
    <r>
      <rPr>
        <sz val="12"/>
        <color rgb="FFFF0000"/>
        <rFont val="Times New Roman"/>
        <family val="1"/>
      </rPr>
      <t xml:space="preserve"> (hợp đồng)</t>
    </r>
    <r>
      <rPr>
        <sz val="12"/>
        <color theme="1"/>
        <rFont val="Times New Roman"/>
        <family val="1"/>
      </rPr>
      <t xml:space="preserve"> </t>
    </r>
    <r>
      <rPr>
        <sz val="12"/>
        <color rgb="FFFF0000"/>
        <rFont val="Times New Roman"/>
        <family val="1"/>
      </rPr>
      <t>- PT78 rút phút 89</t>
    </r>
  </si>
  <si>
    <t>nguyenbaduy25102005@gmail.com</t>
  </si>
  <si>
    <t>Số nhà 21 phố đặng dung quận ba đình hà nội</t>
  </si>
  <si>
    <t>22/06/2024 và 31/08/2024</t>
  </si>
  <si>
    <t>https://drive.google.com/open?id=1vkKwYtUPtanqAMcSUcyHdP_XMX8rP1CP; https://drive.google.com/open?id=1DVmN0HuNpv4ea1kjETuXB_dnG_nuqEVn</t>
  </si>
  <si>
    <r>
      <rPr>
        <sz val="12"/>
        <color theme="1"/>
        <rFont val="Times New Roman"/>
        <family val="1"/>
      </rPr>
      <t xml:space="preserve">Phạm Trần Ý Như </t>
    </r>
    <r>
      <rPr>
        <sz val="12"/>
        <color rgb="FFFF0000"/>
        <rFont val="Times New Roman"/>
        <family val="1"/>
      </rPr>
      <t>(hợp đồng) Phạm NhưNhư</t>
    </r>
  </si>
  <si>
    <t>300A nguyễn tất thành phường 13 quận 4</t>
  </si>
  <si>
    <r>
      <rPr>
        <sz val="12"/>
        <color theme="1"/>
        <rFont val="Times New Roman"/>
        <family val="1"/>
      </rPr>
      <t xml:space="preserve">Nguyễn Phương Uyên </t>
    </r>
    <r>
      <rPr>
        <sz val="12"/>
        <color rgb="FFFF0000"/>
        <rFont val="Times New Roman"/>
        <family val="1"/>
      </rPr>
      <t>(hợp đồng)</t>
    </r>
  </si>
  <si>
    <t>https://www.facebook.com/phu.nguyenthien.509994?mibextid=LQQJ4d</t>
  </si>
  <si>
    <r>
      <rPr>
        <sz val="12"/>
        <color theme="1"/>
        <rFont val="Times New Roman"/>
        <family val="1"/>
      </rPr>
      <t xml:space="preserve"> Nguyễn Thiện Phú </t>
    </r>
    <r>
      <rPr>
        <sz val="12"/>
        <color rgb="FFFF0000"/>
        <rFont val="Times New Roman"/>
        <family val="1"/>
      </rPr>
      <t>(hợp đồng)</t>
    </r>
  </si>
  <si>
    <t>thienphunt.cmg@gmail.com</t>
  </si>
  <si>
    <t>Trung tâm GDNN-GDTX CưM’gar (Số 04 Phù Đổng - Quảng Phú - CưM’gar - Đắk Lắk)</t>
  </si>
  <si>
    <t>https://drive.google.com/open?id=17vmOhUjFBTOriSj8qle29DYxsC690HEj; https://drive.google.com/open?id=1BLgxAZiGbuFgkaZkpxGhTKUmJevnY4mL</t>
  </si>
  <si>
    <t>https://www.facebook.com/ruykhanhxtrai?mibextid=LQQJ4d</t>
  </si>
  <si>
    <t>Đào Duy Khánh</t>
  </si>
  <si>
    <t>Thôn Tịnh Xuyên-Hồng Minh-Hưng Hà-Thái Bình</t>
  </si>
  <si>
    <t>https://drive.google.com/open?id=1J0BoZIkuktwbpBu3LOtJYSLs6Ix14L8D; https://drive.google.com/open?id=1WPdLWb63wGbZ7WoN-dIS35QEfBD7QgFP</t>
  </si>
  <si>
    <t>https://www.facebook.com/profile.php?id=100037629764291&amp;mibextid=LQQJ4d</t>
  </si>
  <si>
    <r>
      <rPr>
        <sz val="12"/>
        <color theme="1"/>
        <rFont val="Times New Roman"/>
        <family val="1"/>
      </rPr>
      <t xml:space="preserve">Dương Ngọc Mai </t>
    </r>
    <r>
      <rPr>
        <sz val="12"/>
        <color rgb="FFFF0000"/>
        <rFont val="Times New Roman"/>
        <family val="1"/>
      </rPr>
      <t>(hợp đồng)</t>
    </r>
  </si>
  <si>
    <t>duongngocmai8126@gmail.com</t>
  </si>
  <si>
    <t>Ngã tư Vũ Ninh- huyện Kiến Xương- tỉnh Thái Bình</t>
  </si>
  <si>
    <t>https://drive.google.com/open?id=1jFjj_PSeJ-73Ju5wb2cZEtR83MRuzZxj</t>
  </si>
  <si>
    <t>https://www.facebook.com/maivietha2006?mibextid=ZbWKwL</t>
  </si>
  <si>
    <r>
      <rPr>
        <sz val="12"/>
        <color theme="1"/>
        <rFont val="Times New Roman"/>
        <family val="1"/>
      </rPr>
      <t xml:space="preserve">Mai Việt Hà </t>
    </r>
    <r>
      <rPr>
        <sz val="12"/>
        <color rgb="FFFF0000"/>
        <rFont val="Times New Roman"/>
        <family val="1"/>
      </rPr>
      <t>(hợp đồng)</t>
    </r>
  </si>
  <si>
    <t>maivietha0109@gmail.com</t>
  </si>
  <si>
    <t>thôn Minh Hùng xã Minh Lộc huyện Hậu Lộc tỉnh Thanh Hóa</t>
  </si>
  <si>
    <t>https://drive.google.com/open?id=1Sth4yeRvgfIpp9JWjKQtl6Z_3NEkVY6D</t>
  </si>
  <si>
    <t>https://www.facebook.com/profile.php?id=100058157228520&amp;mibextid=LQQJ4d</t>
  </si>
  <si>
    <r>
      <rPr>
        <sz val="12"/>
        <color theme="1"/>
        <rFont val="Times New Roman"/>
        <family val="1"/>
      </rPr>
      <t>Nguyễn Đình Thuận</t>
    </r>
    <r>
      <rPr>
        <sz val="12"/>
        <color rgb="FFFF0000"/>
        <rFont val="Times New Roman"/>
        <family val="1"/>
      </rPr>
      <t xml:space="preserve"> (hợp đồng) - Sách cũ</t>
    </r>
  </si>
  <si>
    <t>Thuannguyendinh0107@gmail.com</t>
  </si>
  <si>
    <t>Cung kiệm nhân hoà quế võ bắc ninh</t>
  </si>
  <si>
    <t>03/07/2024 và 08/07/2024</t>
  </si>
  <si>
    <t>https://drive.google.com/open?id=15MrReCvEoxafc259lQLCM880LUiwMimz; https://drive.google.com/open?id=1vaitOJW2R0fGDsLViP82it7dFOX7Jnh1</t>
  </si>
  <si>
    <t>https://www.facebook.com/profile.php?id=100075192219793&amp;locale=vi_VN</t>
  </si>
  <si>
    <r>
      <rPr>
        <sz val="12"/>
        <color theme="1"/>
        <rFont val="Times New Roman"/>
        <family val="1"/>
      </rPr>
      <t>Vi Thị Quỳnh Nga</t>
    </r>
    <r>
      <rPr>
        <sz val="12"/>
        <color rgb="FFFF0000"/>
        <rFont val="Times New Roman"/>
        <family val="1"/>
      </rPr>
      <t xml:space="preserve"> (hợp đồng)</t>
    </r>
  </si>
  <si>
    <t>Xóm Hạ Đông xã Châu Cường huyện Quỳ Hợp tỉnh Nghệ An ạ</t>
  </si>
  <si>
    <t>03/07/2024 và 15/07/2024</t>
  </si>
  <si>
    <t>https://drive.google.com/open?id=1QFEMAilacRyO3t-3UT18YzOn9UIuzkEe, https://drive.google.com/open?id=1vy_QZacLG7fOXf3WZx-c5UXOGmoC2dCQ; https://drive.google.com/open?id=1NtufGtFMlFEr5WBQu0kTw1PVV3kksxtk</t>
  </si>
  <si>
    <t>https://www.facebook.com/profile.php?id=100075963546253&amp;mibextid=ZbWKwL</t>
  </si>
  <si>
    <r>
      <rPr>
        <sz val="12"/>
        <color theme="1"/>
        <rFont val="Times New Roman"/>
        <family val="1"/>
      </rPr>
      <t xml:space="preserve">Ngô Đức Thắng </t>
    </r>
    <r>
      <rPr>
        <sz val="12"/>
        <color rgb="FFFF0000"/>
        <rFont val="Times New Roman"/>
        <family val="1"/>
      </rPr>
      <t>(hợp đồng)</t>
    </r>
  </si>
  <si>
    <t xml:space="preserve">thangngo05102006@gmail.com </t>
  </si>
  <si>
    <t>số nhà 58 đường chiêu Chinh phường Nam Sơn quận Kiến An thành phố Hải Phòng</t>
  </si>
  <si>
    <t xml:space="preserve">https://drive.google.com/open?id=1MtscLSjJ0N0F0NdiM5iU0uWDcT4cUgxa; </t>
  </si>
  <si>
    <t>https://www.facebook.com/profile.php?id=100074170814327&amp;mibextid=LQQJ4d</t>
  </si>
  <si>
    <r>
      <rPr>
        <sz val="12"/>
        <color theme="1"/>
        <rFont val="Times New Roman"/>
        <family val="1"/>
      </rPr>
      <t xml:space="preserve">Phan Tuấn Sơn </t>
    </r>
    <r>
      <rPr>
        <sz val="12"/>
        <color rgb="FFFF0000"/>
        <rFont val="Times New Roman"/>
        <family val="1"/>
      </rPr>
      <t>(hợp đồng)</t>
    </r>
  </si>
  <si>
    <t>pson31503@gmail.com</t>
  </si>
  <si>
    <t>147 đốc den, trần lãm, thái bình</t>
  </si>
  <si>
    <t>04/07/2024 và 01/08/2024</t>
  </si>
  <si>
    <r>
      <rPr>
        <u/>
        <sz val="12"/>
        <color rgb="FF1155CC"/>
        <rFont val="Times New Roman"/>
        <family val="1"/>
      </rPr>
      <t xml:space="preserve">https://drive.google.com/open?id=1b1PGr9zjBiFccZBkNT_tA89oo295pTGu; https://drive.google.com/open?id=16Eglo8pzFcTc2NiPhquYeHaa02cqCMRO; https://drive.google.com/open?id=1D73mwig5GEkAF2sZHry5_W-FxscOIPDb; </t>
    </r>
    <r>
      <rPr>
        <u/>
        <sz val="12"/>
        <color rgb="FF1155CC"/>
        <rFont val="Times New Roman"/>
        <family val="1"/>
      </rPr>
      <t>https://drive.google.com/open?id=1OlOuCY-Dl8HbKwopKzSMENUIuiS6xzsD</t>
    </r>
  </si>
  <si>
    <t>PT89 bảo lưu b9 đi ctac</t>
  </si>
  <si>
    <t>https://www.facebook.com/profile.php?id=100082995225366&amp;mibextid=LQQJ4d</t>
  </si>
  <si>
    <t>Dương Quang Huy</t>
  </si>
  <si>
    <t>123duongquanghuy@gmail.com</t>
  </si>
  <si>
    <t>Thôn 2, Xã Nga Thạch, huyện Nga Sơn</t>
  </si>
  <si>
    <t>05/07/2024 và 10/07/2024</t>
  </si>
  <si>
    <t>https://drive.google.com/open?id=1ZsNOqK9ZSbLd3vWNypqmA5sgoAvNl6AB; https://drive.google.com/open?id=15X79A09i7AuSKfs33oiIf3LvFjn8D6MU</t>
  </si>
  <si>
    <r>
      <rPr>
        <sz val="12"/>
        <color theme="1"/>
        <rFont val="Times New Roman"/>
        <family val="1"/>
      </rPr>
      <t xml:space="preserve">Đường Quang Hưng </t>
    </r>
    <r>
      <rPr>
        <sz val="12"/>
        <color rgb="FFFF0000"/>
        <rFont val="Times New Roman"/>
        <family val="1"/>
      </rPr>
      <t xml:space="preserve">(hợp đồng) </t>
    </r>
    <r>
      <rPr>
        <sz val="12"/>
        <color theme="1"/>
        <rFont val="Times New Roman"/>
        <family val="1"/>
      </rPr>
      <t>- Sách cũ</t>
    </r>
  </si>
  <si>
    <t>https://www.facebook.com/01thg12.03?mibextid=LQQJ4d</t>
  </si>
  <si>
    <r>
      <rPr>
        <sz val="12"/>
        <color theme="1"/>
        <rFont val="Times New Roman"/>
        <family val="1"/>
      </rPr>
      <t xml:space="preserve">Nguyễn Vũ Phương </t>
    </r>
    <r>
      <rPr>
        <sz val="12"/>
        <color rgb="FFFF0000"/>
        <rFont val="Times New Roman"/>
        <family val="1"/>
      </rPr>
      <t>(hợp đồng)</t>
    </r>
  </si>
  <si>
    <t>nvphuong1203@gmail.com</t>
  </si>
  <si>
    <t>khu 3, xã Đồng Trung, huyện Thanh Thuỷ, tỉnh Phú Thọ</t>
  </si>
  <si>
    <t>https://drive.google.com/open?id=1-sx2jrkhwK1rTthDAJHHKXDL0hGCTUoZ</t>
  </si>
  <si>
    <t>https://www.facebook.com/profile.php?id=100070806355160&amp;mibextid=LQQJ4d</t>
  </si>
  <si>
    <r>
      <rPr>
        <sz val="12"/>
        <color theme="1"/>
        <rFont val="Times New Roman"/>
        <family val="1"/>
      </rPr>
      <t xml:space="preserve">Đinh Thu Trang </t>
    </r>
    <r>
      <rPr>
        <sz val="12"/>
        <color rgb="FFFF0000"/>
        <rFont val="Times New Roman"/>
        <family val="1"/>
      </rPr>
      <t>(hợp đồng)</t>
    </r>
    <r>
      <rPr>
        <sz val="12"/>
        <color theme="1"/>
        <rFont val="Times New Roman"/>
        <family val="1"/>
      </rPr>
      <t xml:space="preserve"> - Sách cũ</t>
    </r>
  </si>
  <si>
    <t>thutrang12t6@gmail.com</t>
  </si>
  <si>
    <t>Số nhà 29-Ngõ 12-Thôn Viên Đình-Xã Đông Lỗ-Huyện Ứng Hoà-Thành phố Hà Nội</t>
  </si>
  <si>
    <t>https://drive.google.com/open?id=1RkQg3sROei292SuaMyRUR4ALY7kWuzgu, https://drive.google.com/open?id=1NrVcv0BOvlddvLzkg-mIdsP8d_SUe6NP</t>
  </si>
  <si>
    <t>https://www.facebook.com/jenius345?mibextid=ZbWKwL</t>
  </si>
  <si>
    <r>
      <rPr>
        <sz val="12"/>
        <color theme="1"/>
        <rFont val="Times New Roman"/>
        <family val="1"/>
      </rPr>
      <t xml:space="preserve"> Đỗ Văn Sơn </t>
    </r>
    <r>
      <rPr>
        <sz val="12"/>
        <color rgb="FFFF0000"/>
        <rFont val="Times New Roman"/>
        <family val="1"/>
      </rPr>
      <t>(hợp đồng) OT24</t>
    </r>
  </si>
  <si>
    <t>nhà số 5 ngõ 12 đường Mậu Hòa, thôn minh hòa 4, xã Minh Khai, Hoài Đức, Hà Nội</t>
  </si>
  <si>
    <t>07/07/2024 và 18/07/2024</t>
  </si>
  <si>
    <r>
      <rPr>
        <u/>
        <sz val="12"/>
        <color rgb="FF1155CC"/>
        <rFont val="Times New Roman"/>
        <family val="1"/>
      </rPr>
      <t xml:space="preserve">https://drive.google.com/open?id=1z643FasRQbo_Yn3h2wVeXsQ5HNsEaLPc; https://drive.google.com/open?id=1ZYmg_n0zoxlp6YxX9S27orpTYusSVPSE; https://drive.google.com/open?id=1F0fhQrgY2KBh9DXOgNEPEp5VMes4yVlj, </t>
    </r>
    <r>
      <rPr>
        <u/>
        <sz val="12"/>
        <color rgb="FF1155CC"/>
        <rFont val="Times New Roman"/>
        <family val="1"/>
      </rPr>
      <t>https://drive.google.com/open?id=1mBsqwX3PADRU6MSe1PNmESQQK15kUPGA</t>
    </r>
  </si>
  <si>
    <r>
      <rPr>
        <sz val="12"/>
        <color theme="1"/>
        <rFont val="Times New Roman"/>
        <family val="1"/>
      </rPr>
      <t xml:space="preserve">Dương Ngọc Huyền </t>
    </r>
    <r>
      <rPr>
        <sz val="12"/>
        <color rgb="FFFF0000"/>
        <rFont val="Times New Roman"/>
        <family val="1"/>
      </rPr>
      <t>(hợp đồng)</t>
    </r>
  </si>
  <si>
    <t>Khu 3 Vân Phú Việt Trì Tỉnh Phú Thọ</t>
  </si>
  <si>
    <t>https://drive.google.com/open?id=1mtNeU3rPtbu1kQ9QnwcbRi0AqTu2n-Gw; https://drive.google.com/open?id=1A4z4ewRXH-9BJ_X8ktty54kzOGMSDUP3; https://drive.google.com/open?id=1SXIj-NgJxLFGT2VE-GXQNNdOScH-ST86</t>
  </si>
  <si>
    <t>https://www.facebook.com/profile.php?id=100034866668305&amp;mibextid=LQQJ4d</t>
  </si>
  <si>
    <r>
      <rPr>
        <sz val="12"/>
        <color theme="1"/>
        <rFont val="Times New Roman"/>
        <family val="1"/>
      </rPr>
      <t xml:space="preserve">Nguyễn Vũ Linh Uyên </t>
    </r>
    <r>
      <rPr>
        <sz val="12"/>
        <color rgb="FFFF0000"/>
        <rFont val="Times New Roman"/>
        <family val="1"/>
      </rPr>
      <t>(hợp đồng)</t>
    </r>
  </si>
  <si>
    <t>anhk15229@gmail.com</t>
  </si>
  <si>
    <t>nhận sách Quả-Trung sơn -Việt yên -Bắc giang</t>
  </si>
  <si>
    <t>10/07/2024 va 11/07/2024</t>
  </si>
  <si>
    <t>https://drive.google.com/open?id=1cZuSL_VOw8Fzv3dRrl92nduIg5-EjHQN; https://drive.google.com/open?id=1Hd_Jud2TX8oEvGa6hmGyJPTJvyVwuXpv</t>
  </si>
  <si>
    <r>
      <rPr>
        <sz val="12"/>
        <color theme="1"/>
        <rFont val="Times New Roman"/>
        <family val="1"/>
      </rPr>
      <t xml:space="preserve">Tạ Minh Thư </t>
    </r>
    <r>
      <rPr>
        <sz val="12"/>
        <color rgb="FFFF0000"/>
        <rFont val="Times New Roman"/>
        <family val="1"/>
      </rPr>
      <t xml:space="preserve">(hợp đồng) - số cũ </t>
    </r>
    <r>
      <rPr>
        <sz val="12"/>
        <color theme="1"/>
        <rFont val="Times New Roman"/>
        <family val="1"/>
      </rPr>
      <t>565607079</t>
    </r>
  </si>
  <si>
    <t>Số nhà 6, Ngõ 9, Đường Kiều Hạ, Phường Đông Hải 2, Quận Hải An, TP Hải Phòng</t>
  </si>
  <si>
    <r>
      <rPr>
        <sz val="12"/>
        <color theme="1"/>
        <rFont val="Times New Roman"/>
        <family val="1"/>
      </rPr>
      <t xml:space="preserve">Nguyễn Thảo Linh </t>
    </r>
    <r>
      <rPr>
        <sz val="12"/>
        <color rgb="FFFF0000"/>
        <rFont val="Times New Roman"/>
        <family val="1"/>
      </rPr>
      <t>(hợp đồng)</t>
    </r>
  </si>
  <si>
    <t>Thạch Bàn / Hùng An / Bắc Quang / Hà Giang</t>
  </si>
  <si>
    <t>https://www.facebook.com/nhan.ninh.1232?mibextid=ZbWKwL</t>
  </si>
  <si>
    <r>
      <rPr>
        <sz val="12"/>
        <color theme="1"/>
        <rFont val="Times New Roman"/>
        <family val="1"/>
      </rPr>
      <t xml:space="preserve">Ninh Văn Nhân </t>
    </r>
    <r>
      <rPr>
        <sz val="12"/>
        <color rgb="FFFF0000"/>
        <rFont val="Times New Roman"/>
        <family val="1"/>
      </rPr>
      <t>(hợp đồng)</t>
    </r>
  </si>
  <si>
    <t>ngã 3 nga trung, thôn 1, nga trung, nga sơn, thanh hoá</t>
  </si>
  <si>
    <t>https://drive.google.com/open?id=12nzyur590kvpI3bYzySxFHQwcIzMlZ_U</t>
  </si>
  <si>
    <t>https://www.facebook.com/profile.php?id=100040427482835&amp;mibextid=LQQJ4d</t>
  </si>
  <si>
    <r>
      <rPr>
        <sz val="12"/>
        <color theme="1"/>
        <rFont val="Times New Roman"/>
        <family val="1"/>
      </rPr>
      <t>Phạm Thuỳ Linh</t>
    </r>
    <r>
      <rPr>
        <sz val="12"/>
        <color rgb="FFFF0000"/>
        <rFont val="Times New Roman"/>
        <family val="1"/>
      </rPr>
      <t xml:space="preserve"> (hợp đồng)</t>
    </r>
  </si>
  <si>
    <t>Số 32 - Ngõ 5 - Hòa Bình - Trung Giã - Sóc Sơn - Hà Nội</t>
  </si>
  <si>
    <t>https://drive.google.com/open?id=14xOf5ptdvdA14gmqWjwXjwDD4IABayZW</t>
  </si>
  <si>
    <r>
      <rPr>
        <sz val="12"/>
        <color theme="1"/>
        <rFont val="Times New Roman"/>
        <family val="1"/>
      </rPr>
      <t xml:space="preserve">Dương Vũ Trung Hiếu </t>
    </r>
    <r>
      <rPr>
        <sz val="12"/>
        <color rgb="FFFF0000"/>
        <rFont val="Times New Roman"/>
        <family val="1"/>
      </rPr>
      <t>(hợp đồng)</t>
    </r>
  </si>
  <si>
    <t>số nhà 87, hoàng long tản lĩnh ba vì hà nội</t>
  </si>
  <si>
    <t>https://www.facebook.com/kicm.jack.9235</t>
  </si>
  <si>
    <t>Nguyễn Trọng Quỳnh</t>
  </si>
  <si>
    <t>trongquynh2k6@gmail.com</t>
  </si>
  <si>
    <t xml:space="preserve">Thôn Nghĩa Chỉ-Xã Minh Đạo-Huyện Tiên Du-Tỉnh Bắc Ninh </t>
  </si>
  <si>
    <t>09/07/2024 và 03/09/2024</t>
  </si>
  <si>
    <t>https://drive.google.com/open?id=1nE87av2AgeYSJy2oK289N6csT_-w4DEr; https://drive.google.com/open?id=12gemFcg5JPtuZLWII6zZOuCkY1LxufKN; https://drive.google.com/open?id=1I6nPa-4Q2wH4HpQOofvBPx70F4fxoZNR</t>
  </si>
  <si>
    <t>https://www.facebook.com/trang17ngo</t>
  </si>
  <si>
    <r>
      <rPr>
        <sz val="12"/>
        <color theme="1"/>
        <rFont val="Times New Roman"/>
        <family val="1"/>
      </rPr>
      <t>Ngô Quỳnh Trang</t>
    </r>
    <r>
      <rPr>
        <sz val="12"/>
        <color rgb="FFFF0000"/>
        <rFont val="Times New Roman"/>
        <family val="1"/>
      </rPr>
      <t xml:space="preserve"> (hợp đồng)</t>
    </r>
  </si>
  <si>
    <t>xóm 1, thôn Riêm Trì, xã Tây Phong, huyện Tiền Hải, tỉnh Thái Bình</t>
  </si>
  <si>
    <t>https://drive.google.com/open?id=1j9NUegW0pn04_NzHfzT2tJ_iVT25KshU</t>
  </si>
  <si>
    <t>https://www.facebook.com/profile.php?id=100070943771955&amp;mibextid=LQQJ4d</t>
  </si>
  <si>
    <t>Phạm Minh Vũ</t>
  </si>
  <si>
    <t>trunghieum94@gmail.com</t>
  </si>
  <si>
    <t>Số nhà D28 Khu Chung Cư An Nhân Đông Thị Trấn Tứ Kỳ</t>
  </si>
  <si>
    <t>18/07/2024 và 21/07/2024</t>
  </si>
  <si>
    <t>https://drive.google.com/open?id=1pN4_HpV6w10IFvX-bT2Lc269NBDwrCgE; https://drive.google.com/open?id=1L-SngrjI7dPj41pUWTNurZjAtKJD8ZR2</t>
  </si>
  <si>
    <t>https://www.facebook.com/profile.php?id=100042432930016&amp;mibextid=LQQJ4d</t>
  </si>
  <si>
    <t xml:space="preserve">Nguyễn Tiến Quyết </t>
  </si>
  <si>
    <t>số nhà 39 - ngõ 43 - khu phố Vĩnh Kiều 1 -Đồng Nguyên -Từ Sơn -Bắc Ninh</t>
  </si>
  <si>
    <t>https://drive.google.com/open?id=1eYwAhXEQFThZAi0bNrrrKiW5ebNw9phe</t>
  </si>
  <si>
    <r>
      <rPr>
        <sz val="12"/>
        <color theme="1"/>
        <rFont val="Times New Roman"/>
        <family val="1"/>
      </rPr>
      <t xml:space="preserve">Nguyễn Thị Hồng Nhung </t>
    </r>
    <r>
      <rPr>
        <sz val="12"/>
        <color rgb="FFFF0000"/>
        <rFont val="Times New Roman"/>
        <family val="1"/>
      </rPr>
      <t>(hợp đồng)</t>
    </r>
  </si>
  <si>
    <t>Ngõ 12 hàng ngang tổ dân phố Đào Du phường Phùng Chí Kiên thị xã Mỹ Hào tỉnh Hưng Yên</t>
  </si>
  <si>
    <t>https://www.facebook.com/lonngthanhday?mibextid=LQQJ4d</t>
  </si>
  <si>
    <r>
      <rPr>
        <sz val="12"/>
        <color theme="1"/>
        <rFont val="Times New Roman"/>
        <family val="1"/>
      </rPr>
      <t>Lý Thành Long</t>
    </r>
    <r>
      <rPr>
        <sz val="12"/>
        <color rgb="FFFF0000"/>
        <rFont val="Times New Roman"/>
        <family val="1"/>
      </rPr>
      <t xml:space="preserve"> (hợp đồng)</t>
    </r>
  </si>
  <si>
    <t>long006008@gmail.com</t>
  </si>
  <si>
    <t>thôn lý nhân xã dục tú đông anh hà nội</t>
  </si>
  <si>
    <t>https://drive.google.com/open?id=1KUsEht7MO1WXmNASlN07LFpGO86mp8G3</t>
  </si>
  <si>
    <t>https://www.facebook.com/anhh.nguyenn.391?mibextid=LQQJ4d</t>
  </si>
  <si>
    <r>
      <rPr>
        <sz val="12"/>
        <color theme="1"/>
        <rFont val="Times New Roman"/>
        <family val="1"/>
      </rPr>
      <t xml:space="preserve"> Nguyễn Thị Châu Anh </t>
    </r>
    <r>
      <rPr>
        <sz val="12"/>
        <color rgb="FFFF0000"/>
        <rFont val="Times New Roman"/>
        <family val="1"/>
      </rPr>
      <t>(hợp đồng)</t>
    </r>
  </si>
  <si>
    <t>Gmail: anh32408@gmail.com</t>
  </si>
  <si>
    <t>xóm Giữa, thôn Cán Khê, xã Nguyên Khê, huyện Đông Anh, TP Hà Nội</t>
  </si>
  <si>
    <t>https://drive.google.com/open?id=10UkqQge66dy3S0A0LfI1aey2rp_SkcPN</t>
  </si>
  <si>
    <t>https://www.facebook.com/profile.php?id=100058929063027&amp;mibextid=LQQJ4d</t>
  </si>
  <si>
    <t>Đỗ Thị Hà</t>
  </si>
  <si>
    <t>394 Cầu Giấy Hà Nội</t>
  </si>
  <si>
    <t>https://drive.google.com/open?id=11xm_vSZhheiEj6fJhNn49UlTib2Uhk4S; https://drive.google.com/open?id=1vqYcbKH9VLOpeK1okG5vi-8tFKoNH_4Z</t>
  </si>
  <si>
    <t>https://www.facebook.com/thuhang.2286?mibextid=LQQJ4d</t>
  </si>
  <si>
    <r>
      <rPr>
        <sz val="12"/>
        <color theme="1"/>
        <rFont val="Times New Roman"/>
        <family val="1"/>
      </rPr>
      <t xml:space="preserve">Nguyễn Thu Hằng </t>
    </r>
    <r>
      <rPr>
        <sz val="12"/>
        <color rgb="FFFF0000"/>
        <rFont val="Times New Roman"/>
        <family val="1"/>
      </rPr>
      <t>(hợp đồng)</t>
    </r>
  </si>
  <si>
    <t>thuhang2282006@gmail.com</t>
  </si>
  <si>
    <t>thôn Chùa Đại Lương- xã Thái Hoà- huyện Lập Thạch- tỉnh Vĩnh Phúc</t>
  </si>
  <si>
    <t>20/07/2024 và 23/08/2024</t>
  </si>
  <si>
    <t>https://drive.google.com/open?id=1XJQCxyZ2Fg3jpOObzgSxqeZSXpGDRsls; https://drive.google.com/open?id=1z2AjUUdoNGlGKAwZQdyzHsztDodJxco6; https://drive.google.com/open?id=1FDRB49M-N0MVPXMQU40hfNzE84VNLDEA</t>
  </si>
  <si>
    <t>https://www.facebook.com/loan.tranthithanh.370?mibextid=LQQJ4d</t>
  </si>
  <si>
    <r>
      <rPr>
        <sz val="12"/>
        <color theme="1"/>
        <rFont val="Times New Roman"/>
        <family val="1"/>
      </rPr>
      <t>Trần Thị Thanh Loan</t>
    </r>
    <r>
      <rPr>
        <sz val="12"/>
        <color rgb="FFFF0000"/>
        <rFont val="Times New Roman"/>
        <family val="1"/>
      </rPr>
      <t xml:space="preserve"> (hợp đồng)</t>
    </r>
  </si>
  <si>
    <t xml:space="preserve"> thanhloan20082006@gmail.com</t>
  </si>
  <si>
    <t>Cao Xá  - Hùng Cường - Tp Hưng Yên</t>
  </si>
  <si>
    <t>https://drive.google.com/open?id=1UI2Xvh3j_xj8KNOd2p4GKAdQB5xfMozX</t>
  </si>
  <si>
    <t>https://www.facebook.com/profile.php?id=100044840352324</t>
  </si>
  <si>
    <r>
      <rPr>
        <sz val="12"/>
        <color theme="1"/>
        <rFont val="Times New Roman"/>
        <family val="1"/>
      </rPr>
      <t xml:space="preserve">Nguyễn Đức Long </t>
    </r>
    <r>
      <rPr>
        <sz val="12"/>
        <color rgb="FFFF0000"/>
        <rFont val="Times New Roman"/>
        <family val="1"/>
      </rPr>
      <t>(hợp đồng)</t>
    </r>
  </si>
  <si>
    <t>ducl2639@gmail.com</t>
  </si>
  <si>
    <t>vĩnh kiều - đồng nguyên - từ sơn - bắc ninh</t>
  </si>
  <si>
    <t>21/07/2024 và 26/07/2024</t>
  </si>
  <si>
    <t>https://drive.google.com/open?id=1dslf6Mmd7jmNxSAaJ4S3JSPXTq2KCXAv; https://drive.google.com/open?id=1jHFLuufgkPcmAHhrM-n-lb6DH5Zu3it3</t>
  </si>
  <si>
    <r>
      <rPr>
        <sz val="12"/>
        <color theme="1"/>
        <rFont val="Times New Roman"/>
        <family val="1"/>
      </rPr>
      <t xml:space="preserve">Nguyễn Anh Tuấn </t>
    </r>
    <r>
      <rPr>
        <sz val="12"/>
        <color rgb="FFFF0000"/>
        <rFont val="Times New Roman"/>
        <family val="1"/>
      </rPr>
      <t>(hợp đồng)</t>
    </r>
  </si>
  <si>
    <t>tổ 5 ngõ 26 phố Bế Văn Đàn, thị trấn Việt Quang, huyện Bắc Quang, tỉnh Hà Giang</t>
  </si>
  <si>
    <t>https://www.facebook.com/yun.bao.188?mibextid=ZbWKwL</t>
  </si>
  <si>
    <r>
      <rPr>
        <sz val="12"/>
        <color theme="1"/>
        <rFont val="Times New Roman"/>
        <family val="1"/>
      </rPr>
      <t xml:space="preserve">Trần Khánh Ngân </t>
    </r>
    <r>
      <rPr>
        <sz val="12"/>
        <color rgb="FFFF0000"/>
        <rFont val="Times New Roman"/>
        <family val="1"/>
      </rPr>
      <t>(hợp đồng) nick Yun Bao</t>
    </r>
  </si>
  <si>
    <t>yyunbbao@gmailm.com</t>
  </si>
  <si>
    <t>Lô 1 đường A3, khu đô thị VCN, phường Phước Long</t>
  </si>
  <si>
    <t>11/09/2024 và 20/09/2024</t>
  </si>
  <si>
    <t>https://drive.google.com/open?id=1MjcrnLqR29KYWFaXYs99ti543g_FuIvI; https://drive.google.com/open?id=1loCRJfXcphSBJ9QYbkhi2B-U6sE6P0kb; https://drive.google.com/open?id=1KrLIYYbA21Y59dx0ff9reHifB2G0x_cx</t>
  </si>
  <si>
    <t>https://www.facebook.com/profile.php?id=100055939339898&amp;mibextid=LQQJ4d</t>
  </si>
  <si>
    <r>
      <rPr>
        <sz val="12"/>
        <color theme="1"/>
        <rFont val="Times New Roman"/>
        <family val="1"/>
      </rPr>
      <t xml:space="preserve">Nguyễn Thị Quỳnh </t>
    </r>
    <r>
      <rPr>
        <sz val="12"/>
        <color rgb="FFFF0000"/>
        <rFont val="Times New Roman"/>
        <family val="1"/>
      </rPr>
      <t>(hợp đồng)</t>
    </r>
  </si>
  <si>
    <t>qn881029@gmail.com</t>
  </si>
  <si>
    <t>tổ 2 phường trưng vương , thành phố Thái Nguyên</t>
  </si>
  <si>
    <t>https://drive.google.com/open?id=1bry0zIXmz8n5xluLztkmkCPY9KUZ94xQ, https://drive.google.com/open?id=1BY-NP-ObIUqmDajEV_5CQ4qo_22gxlOF</t>
  </si>
  <si>
    <t>https://www.facebook.com/profile.php?id=100056528906205</t>
  </si>
  <si>
    <r>
      <rPr>
        <sz val="12"/>
        <color theme="1"/>
        <rFont val="Times New Roman"/>
        <family val="1"/>
      </rPr>
      <t>Nguyễn Đức Thành</t>
    </r>
    <r>
      <rPr>
        <sz val="12"/>
        <color rgb="FFFF0000"/>
        <rFont val="Times New Roman"/>
        <family val="1"/>
      </rPr>
      <t xml:space="preserve"> (hợp đồng)</t>
    </r>
  </si>
  <si>
    <t>thanhlun1804@gmail.com</t>
  </si>
  <si>
    <t>Minh Hoà, Yên Sơn, Đô Lương, Nghệ An</t>
  </si>
  <si>
    <t>https://drive.google.com/open?id=1gr6htvbi0fCBTsb5_tHr7q07yF4W6KEN</t>
  </si>
  <si>
    <t>https://www.facebook.com/ngoxuantan27?mibextid=LQQJ4d</t>
  </si>
  <si>
    <r>
      <rPr>
        <sz val="12"/>
        <color theme="1"/>
        <rFont val="Times New Roman"/>
        <family val="1"/>
      </rPr>
      <t>Ngô Xuân Tân</t>
    </r>
    <r>
      <rPr>
        <sz val="12"/>
        <color rgb="FFFF0000"/>
        <rFont val="Times New Roman"/>
        <family val="1"/>
      </rPr>
      <t xml:space="preserve"> - hợp đồng </t>
    </r>
  </si>
  <si>
    <t>ngoxuantan27@gmail.com</t>
  </si>
  <si>
    <t>Thôn Ngô Phần- Xã Bình Định- Huyện Lương Tài -Tỉnh Bắc Ninh</t>
  </si>
  <si>
    <t>https://drive.google.com/open?id=1fWX-rrxswF4CCfBLw0iKwzZyn-Copu3F; https://drive.google.com/open?id=1WOf7fA8a0z7vqWac_cKxbEQ-yuFWJLr3</t>
  </si>
  <si>
    <t>https://www.facebook.com/profile.php?id=100076518772224&amp;mibextid=LQQJ4d</t>
  </si>
  <si>
    <r>
      <rPr>
        <sz val="12"/>
        <color theme="1"/>
        <rFont val="Times New Roman"/>
        <family val="1"/>
      </rPr>
      <t xml:space="preserve">Nguyễn Ngọc Diệp </t>
    </r>
    <r>
      <rPr>
        <sz val="12"/>
        <color rgb="FFFF0000"/>
        <rFont val="Times New Roman"/>
        <family val="1"/>
      </rPr>
      <t xml:space="preserve">(hợp đồng) </t>
    </r>
  </si>
  <si>
    <t xml:space="preserve">số nhà 17 đường Đinh Chương Dương, khu Tống Ngọc, Thị Trấn Hậu Lộc, huyện Hậu Lộc, tỉnh Thanh Hoá </t>
  </si>
  <si>
    <t>20/07/2024 và 25/07/2024</t>
  </si>
  <si>
    <t>https://drive.google.com/open?id=1lFCBkW30vC5WE9RUSA199jBEMB-rDZSF, https://drive.google.com/open?id=1LY37KfQ1sYC7R8kB-KgkFvSPZnTGd9cM; https://drive.google.com/open?id=1XfAl60qWGAy4t6QoOr-H1oGxiwvh8brm</t>
  </si>
  <si>
    <t>Hải Yến- Phương</t>
  </si>
  <si>
    <t>https://www.facebook.com/profile.php?id=100045263265116</t>
  </si>
  <si>
    <r>
      <rPr>
        <sz val="12"/>
        <color theme="1"/>
        <rFont val="Times New Roman"/>
        <family val="1"/>
      </rPr>
      <t xml:space="preserve">Nguyễn Thị Ngọc Anh </t>
    </r>
    <r>
      <rPr>
        <sz val="12"/>
        <color rgb="FFFF0000"/>
        <rFont val="Times New Roman"/>
        <family val="1"/>
      </rPr>
      <t>- nick Bảo Chi</t>
    </r>
  </si>
  <si>
    <t>anh08884@gmail.com</t>
  </si>
  <si>
    <t>26/07/2024 và 07/09/2024</t>
  </si>
  <si>
    <t>https://drive.google.com/open?id=16Y_uoMoeg705-zQZjh2kWDV7zzx8Qo8x; https://drive.google.com/open?id=1aG5dc2IvQqaXOtMdq1l7SbpKWGMEZikG; https://drive.google.com/open?id=1nTel5ugDQRtvfdzJyR0iXClSLP6lZ0i4</t>
  </si>
  <si>
    <t>https://www.facebook.com/profile.php?id=100060896778972&amp;mibextid=LQQJ4d</t>
  </si>
  <si>
    <r>
      <rPr>
        <sz val="12"/>
        <color theme="1"/>
        <rFont val="Times New Roman"/>
        <family val="1"/>
      </rPr>
      <t>Lừu Thị Tuyết Nhi</t>
    </r>
    <r>
      <rPr>
        <sz val="12"/>
        <color rgb="FFFF0000"/>
        <rFont val="Times New Roman"/>
        <family val="1"/>
      </rPr>
      <t xml:space="preserve"> (hợp đồng)</t>
    </r>
  </si>
  <si>
    <t>Trường phổ thông vùng cao Việt Bắc đường z115 tp Thái nguyên</t>
  </si>
  <si>
    <t>21/07/2024 và 26/07</t>
  </si>
  <si>
    <t>https://drive.google.com/open?id=1ocfEe1-EABpDjZuk-7shUywrW0n_6cya, https://drive.google.com/open?id=1fPEp8lYXtrWNOUaLuLpDq3JPJWLD505Y</t>
  </si>
  <si>
    <t>PT111</t>
  </si>
  <si>
    <t>https://www.facebook.com/Ngocc.Tran1886?mibextid=JRoKGi</t>
  </si>
  <si>
    <r>
      <rPr>
        <sz val="12"/>
        <color theme="1"/>
        <rFont val="Times New Roman"/>
        <family val="1"/>
      </rPr>
      <t xml:space="preserve">Trần Bích Ngọc </t>
    </r>
    <r>
      <rPr>
        <sz val="12"/>
        <color rgb="FFFF0000"/>
        <rFont val="Times New Roman"/>
        <family val="1"/>
      </rPr>
      <t>(hợp đồng) PT103 rút phút 89. PT108</t>
    </r>
  </si>
  <si>
    <t>tranbichngoc1886@gmail.com</t>
  </si>
  <si>
    <t xml:space="preserve">Đối diện bảng tin Cụm 2 thôn Cầu Thăng Long- Kim Nỗ- Đông Anh- Hà Nội </t>
  </si>
  <si>
    <t>28/07/2024 và 15/08/2024</t>
  </si>
  <si>
    <t>https://drive.google.com/open?id=1cgzOEQRJ6EXMFIyb70KQiJ8AzglxOvRp; https://drive.google.com/open?id=1_9bEuKWyNg_JCUDfxMUSj81cayCez8Vj</t>
  </si>
  <si>
    <t>https://www.facebook.com/profile.php?id=61558656486528&amp;mibextid=LQQJ4d</t>
  </si>
  <si>
    <r>
      <rPr>
        <sz val="12"/>
        <color theme="1"/>
        <rFont val="Times New Roman"/>
        <family val="1"/>
      </rPr>
      <t xml:space="preserve">Ngô Thanh Lam </t>
    </r>
    <r>
      <rPr>
        <sz val="12"/>
        <color rgb="FFFF0000"/>
        <rFont val="Times New Roman"/>
        <family val="1"/>
      </rPr>
      <t>(hợp đồng)</t>
    </r>
  </si>
  <si>
    <t>thanhlamn656@gmail.com</t>
  </si>
  <si>
    <t>Tổ dân phố Thanh bình- P.Hải Châu - TX.Nghi Sơn- T.Thanh Hoá</t>
  </si>
  <si>
    <t>https://drive.google.com/open?id=1KbX10mdxBndu2R4d4zNp4AzwEhCTlcqs</t>
  </si>
  <si>
    <t>https://www.facebook.com/profile.php?id=100046426459114&amp;mibextid=LQQJ4d</t>
  </si>
  <si>
    <r>
      <rPr>
        <sz val="12"/>
        <color theme="1"/>
        <rFont val="Times New Roman"/>
        <family val="1"/>
      </rPr>
      <t xml:space="preserve">Nguyễn Trần Hà Trang </t>
    </r>
    <r>
      <rPr>
        <sz val="12"/>
        <color rgb="FFFF0000"/>
        <rFont val="Times New Roman"/>
        <family val="1"/>
      </rPr>
      <t>(hợp đồng) PT106</t>
    </r>
  </si>
  <si>
    <t>nguyentrang12052000@gmail.com</t>
  </si>
  <si>
    <t>6/132 Trần Đăng Ninh phường Cửa Bắc tp Nam Định</t>
  </si>
  <si>
    <t>31/07/2024 và 07/08/2024</t>
  </si>
  <si>
    <t>https://drive.google.com/open?id=1UJa5FyLxR16qtxT7LkFCrilRtgiLbCTG; https://drive.google.com/open?id=14Mvw_7esdVxcUaU2qjqiPosik8BIHEqX; https://drive.google.com/open?id=1K2LO4unrXwl12jCXhvGKW4DExKmGvZ8p</t>
  </si>
  <si>
    <t>Đã gửi sách PT106 03/08/2024</t>
  </si>
  <si>
    <t>https://www.facebook.com/profile.php?id=100077769650399&amp;mibextid=LQQJ4d</t>
  </si>
  <si>
    <r>
      <rPr>
        <sz val="12"/>
        <color theme="1"/>
        <rFont val="Times New Roman"/>
        <family val="1"/>
      </rPr>
      <t>Nguyễn Thảo Anh</t>
    </r>
    <r>
      <rPr>
        <sz val="12"/>
        <color rgb="FFFF0000"/>
        <rFont val="Times New Roman"/>
        <family val="1"/>
      </rPr>
      <t xml:space="preserve"> (hợp đồng) PT106</t>
    </r>
  </si>
  <si>
    <t>thaoanhhnknd@gmail.com</t>
  </si>
  <si>
    <t>16 Thép Mới,phường Thống Nhất,tp Nam Định</t>
  </si>
  <si>
    <t>https://drive.google.com/open?id=1tI35a5w5Ln3ZyVoJvtbVvE-gJWUxuooy; https://drive.google.com/open?id=1AhwHhMHFTsXRQ-GCfckL9qS9BFwjsiV5; https://drive.google.com/open?id=14Rc4TzQcw0aOy4Hws5sjHGHXi_UQK2Q2</t>
  </si>
  <si>
    <t>https://www.facebook.com/profile.php?id=100070079411711</t>
  </si>
  <si>
    <r>
      <rPr>
        <sz val="12"/>
        <color theme="1"/>
        <rFont val="Times New Roman"/>
        <family val="1"/>
      </rPr>
      <t>Nguyễn Thị Thùy Linh</t>
    </r>
    <r>
      <rPr>
        <sz val="12"/>
        <color rgb="FFFF0000"/>
        <rFont val="Times New Roman"/>
        <family val="1"/>
      </rPr>
      <t xml:space="preserve"> 588339201 số cũ</t>
    </r>
  </si>
  <si>
    <t>cổng chùa Nghiêm Xá , phường Việt Hùng,thị xã quế võ,tỉnh bắc ninh</t>
  </si>
  <si>
    <t>https://drive.google.com/open?id=1CVdTl-Bq7WL7QEBjI9dyfgvLs-o9oqNI; https://drive.google.com/open?id=1_a9U2j-UEKKGC86KLqfyTqCGYOqb8C-N</t>
  </si>
  <si>
    <t>PT108 bảo lưu b6 lần 2 học OFF</t>
  </si>
  <si>
    <t>https://www.facebook.com/hhuong1101</t>
  </si>
  <si>
    <r>
      <rPr>
        <sz val="12"/>
        <color theme="1"/>
        <rFont val="Times New Roman"/>
        <family val="1"/>
      </rPr>
      <t xml:space="preserve">Hà Thị Hương </t>
    </r>
    <r>
      <rPr>
        <sz val="12"/>
        <color rgb="FFFF0000"/>
        <rFont val="Times New Roman"/>
        <family val="1"/>
      </rPr>
      <t>(hợp đồng) - đã nộp 300K 07/08/2024
PT100 bảo lưu buổi 2. Học PT110 b1</t>
    </r>
  </si>
  <si>
    <t>thihun01@gmail.com</t>
  </si>
  <si>
    <t>Thôn thống nhất-xã hải lựu-Sông lô-Vphuc</t>
  </si>
  <si>
    <t>https://drive.google.com/open?id=1KFJerYFbBEHtDc6PcbLXlVC1tTz4Yaxf; https://drive.google.com/open?id=1s9xvD4-7mQ83a9hdWNsCA4OOK9VivmU-</t>
  </si>
  <si>
    <t>https://www.facebook.com/profile.php?id=100012552584398&amp;mibextid=ZbWKwL</t>
  </si>
  <si>
    <r>
      <rPr>
        <sz val="12"/>
        <color theme="1"/>
        <rFont val="Times New Roman"/>
        <family val="1"/>
      </rPr>
      <t xml:space="preserve">Nguyễn Minh Hoàng </t>
    </r>
    <r>
      <rPr>
        <sz val="12"/>
        <color rgb="FFFF0000"/>
        <rFont val="Times New Roman"/>
        <family val="1"/>
      </rPr>
      <t>(hợp đồng)</t>
    </r>
  </si>
  <si>
    <t>Nhoksieuquay594@gmail.com</t>
  </si>
  <si>
    <t>1324 Nguyễn Bỉnh Khiêm phường Đông Hải 2 Hải An hải phòng</t>
  </si>
  <si>
    <t>https://drive.google.com/open?id=1HznYXTH4bwexIxQfXDXyFh933uB57EAn; https://drive.google.com/open?id=1JuHTSm5p2hdPpyLeNPni66pTFVWkDg6l; https://drive.google.com/open?id=1AV_4Gns6s3eRaITdjWobXEIdruipPV2p</t>
  </si>
  <si>
    <t>https://www.facebook.com/lammy.besun?mibextid=LQQJ4d</t>
  </si>
  <si>
    <r>
      <rPr>
        <sz val="12"/>
        <color theme="1"/>
        <rFont val="Times New Roman"/>
        <family val="1"/>
      </rPr>
      <t xml:space="preserve">Nguyễn Lan Anh </t>
    </r>
    <r>
      <rPr>
        <sz val="12"/>
        <color rgb="FFFF0000"/>
        <rFont val="Times New Roman"/>
        <family val="1"/>
      </rPr>
      <t>(hợp đồng)</t>
    </r>
  </si>
  <si>
    <t>lananhdtdk18d@gmail.com</t>
  </si>
  <si>
    <t xml:space="preserve"> Đc: mỹ xá - việt cường - yên mỹ hưng yên</t>
  </si>
  <si>
    <t>https://drive.google.com/open?id=1EQC4n6c2LQntLAJ4ZYC28d8E3-9VhQN1, https://drive.google.com/open?id=1y3LVDLX7OCogU5Tq1pz91bnS9d-iOUky; https://drive.google.com/open?id=1iwo5F1qdKiJDAuo3Rj9A-pQLEvHKCF_e</t>
  </si>
  <si>
    <t>https://www.facebook.com/vantuan.lai.54</t>
  </si>
  <si>
    <t>laituan18102003@gmail.com</t>
  </si>
  <si>
    <t>Số10, ngõ 52 tây đam, tây tựu, bắc từ liêm, hà nội</t>
  </si>
  <si>
    <t>https://drive.google.com/open?id=1q-jev7WAJPBW48AoElMuYPRWb-hv0cTu; https://drive.google.com/open?id=1CcZ6_BIBIgtoAg1cvakns4_0pnOV7swF, https://drive.google.com/open?id=1AqXDW1XqeLwEQSbFtsRBgo6G6RnF0V-a</t>
  </si>
  <si>
    <t>https://www.facebook.com/mina.giang.50</t>
  </si>
  <si>
    <r>
      <rPr>
        <sz val="12"/>
        <color theme="1"/>
        <rFont val="Times New Roman"/>
        <family val="1"/>
      </rPr>
      <t>Trần Thị Hương Giang</t>
    </r>
    <r>
      <rPr>
        <sz val="12"/>
        <color rgb="FFFF0000"/>
        <rFont val="Times New Roman"/>
        <family val="1"/>
      </rPr>
      <t xml:space="preserve"> (hợp đồng)</t>
    </r>
  </si>
  <si>
    <t>ngách 112/12 nguyên xá, minh khai, hà nội</t>
  </si>
  <si>
    <t>https://drive.google.com/open?id=15VZk151XgnMGTJKUtEY5Ox1kc1TYQl-W; https://drive.google.com/open?id=1aMAdMICY1LktScuIA5L286n0Gr5EG4YP</t>
  </si>
  <si>
    <t>https://www.facebook.com/profile.php?id=100045199383833&amp;mibextid=ZbWKwL</t>
  </si>
  <si>
    <t>Nguyễn Duy Quân</t>
  </si>
  <si>
    <t>quanduy2k6@gmail.com</t>
  </si>
  <si>
    <t>19/07/2024 và 01/08/2024</t>
  </si>
  <si>
    <r>
      <rPr>
        <u/>
        <sz val="12"/>
        <color rgb="FF1155CC"/>
        <rFont val="Times New Roman"/>
        <family val="1"/>
      </rPr>
      <t>https://drive.google.com/open?id=1gDIwqzd4RKOJwleRSSgHDEr87Z-QM6nZ</t>
    </r>
    <r>
      <rPr>
        <sz val="12"/>
        <rFont val="Times New Roman"/>
        <family val="1"/>
      </rPr>
      <t xml:space="preserve">, https://drive.google.com/open?id=1G1APRJpCjuf_gJncf_XkaGdOIp9M5T94; </t>
    </r>
    <r>
      <rPr>
        <u/>
        <sz val="12"/>
        <color rgb="FF1155CC"/>
        <rFont val="Times New Roman"/>
        <family val="1"/>
      </rPr>
      <t>https://drive.google.com/open?id=1rRX1KEJm3jBtPz1GZI6x_ySKroXQn5BH</t>
    </r>
  </si>
  <si>
    <t>https://www.facebook.com/profile.php?id=100089508102997</t>
  </si>
  <si>
    <r>
      <rPr>
        <sz val="12"/>
        <color theme="1"/>
        <rFont val="Times New Roman"/>
        <family val="1"/>
      </rPr>
      <t>Mai Hạnh Nguyên</t>
    </r>
    <r>
      <rPr>
        <sz val="12"/>
        <color rgb="FFFF0000"/>
        <rFont val="Times New Roman"/>
        <family val="1"/>
      </rPr>
      <t xml:space="preserve"> - Hợp đồng</t>
    </r>
  </si>
  <si>
    <t xml:space="preserve">maihanhnguyen2486@gmail.com </t>
  </si>
  <si>
    <t xml:space="preserve">Xóm Tây, Yên Nhân, Yên Mô, Ninh Bình </t>
  </si>
  <si>
    <t>https://drive.google.com/open?id=1HaH_6ICs-zgXrMmnWoYiisaSW8cwUAmt</t>
  </si>
  <si>
    <t>https://www.facebook.com/profile.php?id=100026376623678&amp;mibextid=ZbWKwL</t>
  </si>
  <si>
    <t>Nguyễn Cẩm Tú</t>
  </si>
  <si>
    <t>19/07/2024 và 02/08/2024</t>
  </si>
  <si>
    <t>https://drive.google.com/open?id=1iuZd_cQo4kWAcUyT_1d6OK45Cb1z8Cr5, https://drive.google.com/open?id=1MHT2IVplOdMFGmJTbDnNwG88v8kOqX0c; https://drive.google.com/open?id=1htZuGj9IgGYSPwUTMdTiXH_THT6g7tXC</t>
  </si>
  <si>
    <t>https://www.facebook.com/profile.php?id=100088365222409&amp;mibextid=LQQJ4d</t>
  </si>
  <si>
    <t>Nguyễn Khánh Minh</t>
  </si>
  <si>
    <t>21 Ng. 53 P. Ngọa Long, Minh Khai, Bắc Từ Liêm, Hà Nội</t>
  </si>
  <si>
    <t>https://drive.google.com/open?id=1dBaRqcu-ZHLUY5nxCUlcvB08Zzslv9SJ; https://drive.google.com/open?id=17eTidaCe2xou0ES9gEyUBQySSKuSnRRH</t>
  </si>
  <si>
    <t>https://www.facebook.com/profile.php?id=100071283850663</t>
  </si>
  <si>
    <t xml:space="preserve">Phạm Thị Tuyết Ngân </t>
  </si>
  <si>
    <t>tngann1143@gmal.com</t>
  </si>
  <si>
    <t>Nhà 02 , Dịch Đồng , Đồng Cương , Yên Lạc , Vĩnh Phúc</t>
  </si>
  <si>
    <t>03/08/2024 và 03/09/2024</t>
  </si>
  <si>
    <t>https://drive.google.com/open?id=1tvo02t-qeWGRXNA6dRm_0meN_6cXDC7C; https://drive.google.com/open?id=1HWG09vtRHnyOHK9B0ZoWpCCqfBGycL4d; https://drive.google.com/open?id=1lGt_tHexeh8Xnw6ZyBrV-tDCgjvlSX7H</t>
  </si>
  <si>
    <t>https://www.facebook.com/profile.php?id=100055334854811&amp;mibextid=LQQJ4d</t>
  </si>
  <si>
    <r>
      <rPr>
        <sz val="12"/>
        <color theme="1"/>
        <rFont val="Times New Roman"/>
        <family val="1"/>
      </rPr>
      <t xml:space="preserve">Trần Quỳnh Anh </t>
    </r>
    <r>
      <rPr>
        <sz val="12"/>
        <color rgb="FFFF0000"/>
        <rFont val="Times New Roman"/>
        <family val="1"/>
      </rPr>
      <t>(hợp đồng)</t>
    </r>
  </si>
  <si>
    <t>tranquynhanh04102005@gmail.com</t>
  </si>
  <si>
    <t>Đại học Kỹ thuật y tế Hải Dương, số 1 Vũ Hựu Thanh Bình Thành phố Hải Dương</t>
  </si>
  <si>
    <t>03/08/2024 và 23/08/2024</t>
  </si>
  <si>
    <t>https://drive.google.com/open?id=1hRYnWdTHAedIzzrnfy8WRBLMpHWT94Xo; https://drive.google.com/open?id=1Pmgd3fQT5JgFFN-E7-PqRr28l1HEuqet; https://drive.google.com/open?id=1z0PI9ldJX4aZRSYRu3i0qmr5OWqkuoyw</t>
  </si>
  <si>
    <t>https://www.facebook.com/profile.php?id=100051055165545&amp;mibextid=LQQJ4d</t>
  </si>
  <si>
    <r>
      <rPr>
        <sz val="12"/>
        <color theme="1"/>
        <rFont val="Times New Roman"/>
        <family val="1"/>
      </rPr>
      <t xml:space="preserve">Nguyễn Hữu Thái </t>
    </r>
    <r>
      <rPr>
        <sz val="12"/>
        <color rgb="FFFF0000"/>
        <rFont val="Times New Roman"/>
        <family val="1"/>
      </rPr>
      <t>(hợp đồng )</t>
    </r>
  </si>
  <si>
    <t>Thôn phú hậu 1 , xã trường xuân , huyện thọ xuân , tỉnh thanh hoá</t>
  </si>
  <si>
    <t>https://drive.google.com/open?id=1jcgEcYiNKu97WoWTW0J6DSDzrDf0nHxy; https://drive.google.com/open?id=1U6Fywh4X5bZ_WIb2lenUopHcGDpCkHij</t>
  </si>
  <si>
    <t>https://www.facebook.com/profile.php?id=100069842390652&amp;mibextid=LQQJ4d</t>
  </si>
  <si>
    <t>Trần Minh Hà</t>
  </si>
  <si>
    <t>minhhatran46@gmail.com</t>
  </si>
  <si>
    <t>231 - đường Trường Thi - phường Điện Biên - Thanh Hoá</t>
  </si>
  <si>
    <t>https://drive.google.com/open?id=1d3RXHg2bzUPVtJAX_lliz-Esj7iIBhol; https://drive.google.com/open?id=1EkKMjOxhqy0ZR9jnlbFsI5fVETPMZwip</t>
  </si>
  <si>
    <t>https://www.facebook.com/ngVnhFi.237</t>
  </si>
  <si>
    <r>
      <rPr>
        <sz val="12"/>
        <color theme="1"/>
        <rFont val="Times New Roman"/>
        <family val="1"/>
      </rPr>
      <t xml:space="preserve">Nguyễn Văn Nhạc Phi </t>
    </r>
    <r>
      <rPr>
        <sz val="12"/>
        <color rgb="FFFF0000"/>
        <rFont val="Times New Roman"/>
        <family val="1"/>
      </rPr>
      <t xml:space="preserve"> (hợp đồng) </t>
    </r>
  </si>
  <si>
    <t>Xóm 4 Xã Hưng Thịnh Huyện Hưng Nguyên Tỉnh Nghệ An</t>
  </si>
  <si>
    <t>https://drive.google.com/open?id=1Oeb7diqhzdKLA01zagd6wXMOOOWx9E9R; https://drive.google.com/open?id=11H4COX9ojdzYPA34og1vMrUjOXmH075N</t>
  </si>
  <si>
    <t>https://www.facebook.com/profile.php?id=100033417141798&amp;mibextid=ZbWKwL</t>
  </si>
  <si>
    <t>Lê Xuân Nam</t>
  </si>
  <si>
    <t>Tạp hoá Sang Anh, Thôn 5, Hoằng Thịnh, Hoằng Hoá, Thanh Hoá</t>
  </si>
  <si>
    <t>https://drive.google.com/open?id=1s5fx32j_gd5AwQBzf3CKrn1dWR0vs-hb</t>
  </si>
  <si>
    <t>https://www.facebook.com/profile.php?id=100021503648410</t>
  </si>
  <si>
    <t>Cao Như Quỳnh</t>
  </si>
  <si>
    <t>quynhvy422@gmail.com</t>
  </si>
  <si>
    <t>https://drive.google.com/open?id=1UTICddQ4zvSUJbzXwqbQ_afTLbNVtd_E; https://drive.google.com/open?id=1VEZ64B98mZesM4s5UjSmOodzzZ_lRLsU</t>
  </si>
  <si>
    <t>https://www.facebook.com/profile.php?id=100055215810740</t>
  </si>
  <si>
    <t xml:space="preserve">Phan Phương Linh </t>
  </si>
  <si>
    <t xml:space="preserve">lp005842@gmail.com </t>
  </si>
  <si>
    <t>số nhà 754, xã Dương Quang- huyện Mỹ Hào - tỉnh Hưng Yên</t>
  </si>
  <si>
    <t>https://drive.google.com/open?id=1RvLuUi-818aCAip5EgeTZRozUCjxGBFR; https://drive.google.com/open?id=1ApTBTkEgjzVlkhCETkV7Xa62JKRx2Ow4</t>
  </si>
  <si>
    <t>https://www.facebook.com/profile.php?id=100049576642033</t>
  </si>
  <si>
    <r>
      <rPr>
        <sz val="12"/>
        <color theme="1"/>
        <rFont val="Times New Roman"/>
        <family val="1"/>
      </rPr>
      <t>Trần Minh Kiên</t>
    </r>
    <r>
      <rPr>
        <sz val="12"/>
        <color rgb="FFFF0000"/>
        <rFont val="Times New Roman"/>
        <family val="1"/>
      </rPr>
      <t xml:space="preserve"> (hợp đồng)</t>
    </r>
  </si>
  <si>
    <t>2/367 Lê Hồng Phong, phường Vị Xuyên, thành phố Nam Định</t>
  </si>
  <si>
    <t>https://drive.google.com/open?id=1QgXU0o83JXPw8_GQxBfUC6Z_nk06Ood0; https://drive.google.com/open?id=1ldshZp9XZNsY80A6WMP1SyXkcM56R9Lg</t>
  </si>
  <si>
    <t>https://www.facebook.com/ngvanhiu.125?mibextid=LQQJ4d</t>
  </si>
  <si>
    <r>
      <rPr>
        <sz val="12"/>
        <color theme="1"/>
        <rFont val="Times New Roman"/>
        <family val="1"/>
      </rPr>
      <t xml:space="preserve">Nguyễn Văn Hiếu </t>
    </r>
    <r>
      <rPr>
        <sz val="12"/>
        <color rgb="FFFF0000"/>
        <rFont val="Times New Roman"/>
        <family val="1"/>
      </rPr>
      <t>(hợp đồng)</t>
    </r>
  </si>
  <si>
    <t>hn123567878@gmail.com</t>
  </si>
  <si>
    <t>số 1 hẻm 22 ngách 35 ngõ 66, HTM</t>
  </si>
  <si>
    <t>07/08/2024 và 20/08/2024</t>
  </si>
  <si>
    <t>https://drive.google.com/open?id=118beihJR895iCy3pdAGKDc_GzHij9ljC; https://drive.google.com/open?id=18iufmIfwSRgG0huqLW4zmQTqkJuuY7Vo; https://drive.google.com/open?id=1-wsnlIKb9d_yLoAj6tG4npTxk1iUtsP7</t>
  </si>
  <si>
    <t>https://www.facebook.com/thienan244?mibextid=LQQJ4d</t>
  </si>
  <si>
    <t xml:space="preserve">Nguyễn Tống Thiên Ân </t>
  </si>
  <si>
    <t>Hẻm 104 Duy Tân, thành phố Pleiku, Gia Lai</t>
  </si>
  <si>
    <t>04/08/2024 và 07/08/2024</t>
  </si>
  <si>
    <t>https://drive.google.com/open?id=1w8tnneC8E5C5z7LUtpoCTXyNahrFNRE1, https://drive.google.com/open?id=1Pi63nGaMm8MeMCUmu9prvCB7OSD8R6JF; https://drive.google.com/open?id=1mlVdYGjl3LkkABvByrLPUFs2ox9bUBrd</t>
  </si>
  <si>
    <t>https://www.facebook.com/profile.php?id=100027478186045&amp;mibextid=ZbWKwL</t>
  </si>
  <si>
    <r>
      <rPr>
        <sz val="12"/>
        <color theme="1"/>
        <rFont val="Times New Roman"/>
        <family val="1"/>
      </rPr>
      <t>Nguyễn Thảo Nhi</t>
    </r>
    <r>
      <rPr>
        <sz val="12"/>
        <color rgb="FFFF0000"/>
        <rFont val="Times New Roman"/>
        <family val="1"/>
      </rPr>
      <t xml:space="preserve"> (hợp đồng)</t>
    </r>
  </si>
  <si>
    <t xml:space="preserve">nguyenthaonhi1306@gmail.com </t>
  </si>
  <si>
    <t>148/418 đường Điện Biên, phường Lộc Hoà, tỉnh Nam Định, tp Nam Định</t>
  </si>
  <si>
    <t>08/08/2024 và 14/09/2024</t>
  </si>
  <si>
    <t>https://drive.google.com/open?id=15nslK3jFZyC4lc5QupQhB9xvPu6WaoRu; https://drive.google.com/open?id=1BXfarU8FHPaL2BmiZW9uWSY9Ulr6yaox</t>
  </si>
  <si>
    <t>https://www.facebook.com/profile.php?id=100078418103645&amp;mibextid=LQQJ4d</t>
  </si>
  <si>
    <r>
      <rPr>
        <sz val="12"/>
        <color theme="1"/>
        <rFont val="Times New Roman"/>
        <family val="1"/>
      </rPr>
      <t xml:space="preserve">Nguyễn Duy Mạnh </t>
    </r>
    <r>
      <rPr>
        <sz val="12"/>
        <color rgb="FFFF0000"/>
        <rFont val="Times New Roman"/>
        <family val="1"/>
      </rPr>
      <t>(hợp đồng)</t>
    </r>
  </si>
  <si>
    <t>Quán ăn Linh Nghiệp, xã Quản Bạ, huyện Quản Bạ, Hà Giang</t>
  </si>
  <si>
    <t>https://drive.google.com/open?id=1hbtRI1xiWv_bAzwbcDDdvDaWgLLGvzvg</t>
  </si>
  <si>
    <t>https://www.facebook.com/profile.php?id=100039847129152&amp;mibextid=LQQJ4d</t>
  </si>
  <si>
    <r>
      <rPr>
        <sz val="12"/>
        <color theme="1"/>
        <rFont val="Times New Roman"/>
        <family val="1"/>
      </rPr>
      <t>Hoàng Thị Thu Nga</t>
    </r>
    <r>
      <rPr>
        <sz val="12"/>
        <color rgb="FFFF0000"/>
        <rFont val="Times New Roman"/>
        <family val="1"/>
      </rPr>
      <t xml:space="preserve"> (hợp đồng) </t>
    </r>
  </si>
  <si>
    <t>hnga9662@gmail.com</t>
  </si>
  <si>
    <t xml:space="preserve">Đội 6 , thôn Quảng Đạt , xã Ngũ Phúc , huyện Kim Thành , tỉnh Hải Dương </t>
  </si>
  <si>
    <t>https://drive.google.com/open?id=1At6iZUe6KJD1axJokaW91751XqwAj-OW; https://drive.google.com/open?id=1jkj40XAQdZIe_SGIpJOY0f7UaX-B6MIM</t>
  </si>
  <si>
    <t>https://www.facebook.com/profile.php?id=100047450116298&amp;mibextid=LQQJ4d</t>
  </si>
  <si>
    <r>
      <rPr>
        <sz val="12"/>
        <color theme="1"/>
        <rFont val="Times New Roman"/>
        <family val="1"/>
      </rPr>
      <t xml:space="preserve">Nguyễn Thị Thùy Linh </t>
    </r>
    <r>
      <rPr>
        <sz val="12"/>
        <color rgb="FFFF0000"/>
        <rFont val="Times New Roman"/>
        <family val="1"/>
      </rPr>
      <t xml:space="preserve">(hợp đồng) </t>
    </r>
  </si>
  <si>
    <t>Gmail: linhthuy332211@gmail.com</t>
  </si>
  <si>
    <t xml:space="preserve">Số nhà 14, Thôn 2, Xuân Nội, Hồng Kỳ,Sóc Sơn, Hà Nội </t>
  </si>
  <si>
    <t>09/08/2024 và 12/08/2024</t>
  </si>
  <si>
    <t>https://drive.google.com/open?id=1pmKUNE4Llt_b_Y0rd4fuHLoqvy1vKZE7; https://drive.google.com/open?id=1QqSu5J9FQxFdYpzW_sUJv1DDwXB89iWj; https://drive.google.com/open?id=1AbkG_yB4gs7h3qTmzyrDH7aQ8FpM7aIB</t>
  </si>
  <si>
    <t>https://www.facebook.com/ngocctienn.nguyenn.1?mibextid=ZbWKwL</t>
  </si>
  <si>
    <r>
      <rPr>
        <sz val="12"/>
        <color theme="1"/>
        <rFont val="Times New Roman"/>
        <family val="1"/>
      </rPr>
      <t xml:space="preserve">Nguyễn Ngọc Tiến </t>
    </r>
    <r>
      <rPr>
        <sz val="12"/>
        <color rgb="FFFF0000"/>
        <rFont val="Times New Roman"/>
        <family val="1"/>
      </rPr>
      <t>(hợp đồng)</t>
    </r>
  </si>
  <si>
    <t>nguyenngoctiend38@gmail.com</t>
  </si>
  <si>
    <t xml:space="preserve">bên cạnh shop Hà Liên , thôn 4 , xã Thọ Sơn , Huyện Triệu Sơn , Tỉnh Thanh Hóa </t>
  </si>
  <si>
    <t>07/08/2024 và 12/08/2024</t>
  </si>
  <si>
    <t>https://drive.google.com/open?id=1HpHQ2w6ew5EOsqUhSUWueoHyNRVmucJt; https://drive.google.com/open?id=19ArqIvmRBuxIp7w1lMUFCs3HqcD6x-lc; https://drive.google.com/open?id=1nGagh_5sYVYVvSMkyaB-I4BH9PA3PxN8</t>
  </si>
  <si>
    <t>https://www.facebook.com/profile.php?id=100065159253377&amp;mibextid=LQQJ4d</t>
  </si>
  <si>
    <r>
      <rPr>
        <sz val="12"/>
        <color theme="1"/>
        <rFont val="Times New Roman"/>
        <family val="1"/>
      </rPr>
      <t>Nguyễn Thị Quỳnh Anh</t>
    </r>
    <r>
      <rPr>
        <sz val="12"/>
        <color rgb="FFFF0000"/>
        <rFont val="Times New Roman"/>
        <family val="1"/>
      </rPr>
      <t xml:space="preserve"> (hợp đồng)</t>
    </r>
  </si>
  <si>
    <t>ngqanh121006@gmail.com</t>
  </si>
  <si>
    <t>Vũ Xá-Cẩm Phúc-Cẩm Giàng-Hải Dương</t>
  </si>
  <si>
    <t>https://drive.google.com/open?id=1L73rXnaYRn_wEBtih3Jy4kDFFC-vV4wr; https://drive.google.com/open?id=13TmhBskCjHkHxTEkQ_KUOBdwJ4jzGERc</t>
  </si>
  <si>
    <t>https://www.facebook.com/kakak3311?mibextid=LQQJ4d</t>
  </si>
  <si>
    <r>
      <rPr>
        <sz val="12"/>
        <color theme="1"/>
        <rFont val="Times New Roman"/>
        <family val="1"/>
      </rPr>
      <t>Nguyễn Huyền Thương</t>
    </r>
    <r>
      <rPr>
        <sz val="12"/>
        <color rgb="FFFF0000"/>
        <rFont val="Times New Roman"/>
        <family val="1"/>
      </rPr>
      <t xml:space="preserve"> (hợp đồng)</t>
    </r>
  </si>
  <si>
    <t xml:space="preserve"> thuong331106@gmail.com</t>
  </si>
  <si>
    <t xml:space="preserve">Số nhà 15-b1, khu tt lục quân, cổ đông, sơn tây Hà Nội </t>
  </si>
  <si>
    <t>11/08/2024 và 14/08/2024</t>
  </si>
  <si>
    <t>https://drive.google.com/open?id=1Q6JAy79w22flMrnxyurdrpUxflzIpxU2; https://drive.google.com/open?id=1Rmw33Yn9_vHEqR-8jIed4IRUj7Y1nLdz</t>
  </si>
  <si>
    <t>https://www.facebook.com/profile.php?id=100038180711950&amp;locale=vi_VN</t>
  </si>
  <si>
    <r>
      <rPr>
        <sz val="12"/>
        <color theme="1"/>
        <rFont val="Times New Roman"/>
        <family val="1"/>
      </rPr>
      <t xml:space="preserve">Bùi Thị Minh Anh </t>
    </r>
    <r>
      <rPr>
        <sz val="12"/>
        <color rgb="FFFF0000"/>
        <rFont val="Times New Roman"/>
        <family val="1"/>
      </rPr>
      <t>(hợp đồng)</t>
    </r>
  </si>
  <si>
    <t>buiminhanh01062006@gmail.com</t>
  </si>
  <si>
    <t>Cạnh nhà trọ Bee House, khu tái định cư Bắc Phú Cát, xã Thạch Hòa, huyện Thạch Thất, Hà Nội</t>
  </si>
  <si>
    <t>https://drive.google.com/open?id=1VYGKkzLdpgmGMpastLBkbEQcQ6_eaWfC; https://drive.google.com/open?id=1CIGURi2zXdIJit8L-Dd5LmT6i9aZLODm</t>
  </si>
  <si>
    <t>https://www.facebook.com/profile.php?id=100074275745018</t>
  </si>
  <si>
    <r>
      <rPr>
        <sz val="12"/>
        <color theme="1"/>
        <rFont val="Times New Roman"/>
        <family val="1"/>
      </rPr>
      <t>Đỗ Thanh Hà</t>
    </r>
    <r>
      <rPr>
        <sz val="12"/>
        <color rgb="FFFF0000"/>
        <rFont val="Times New Roman"/>
        <family val="1"/>
      </rPr>
      <t xml:space="preserve"> (hợp đồng)</t>
    </r>
  </si>
  <si>
    <t>hado4013@gmail.com</t>
  </si>
  <si>
    <t>Số 4 ngõ 275 Âu Cơ, Nhật Tân, Tây Hồ, Hà Nội</t>
  </si>
  <si>
    <t>08/08/2024 và 05/09/2024</t>
  </si>
  <si>
    <t>https://drive.google.com/open?id=1YkQ2xhuwtK006k7v0gbPoeWd0jvY-wGM; https://drive.google.com/open?id=184PbHmgBLa0qLrZPpiH6zvO7Bvn4NgOC</t>
  </si>
  <si>
    <t>https://www.facebook.com/ngocduong.minh.9883739?mibextid=LQQJ4d</t>
  </si>
  <si>
    <r>
      <rPr>
        <sz val="12"/>
        <color theme="1"/>
        <rFont val="Times New Roman"/>
        <family val="1"/>
      </rPr>
      <t xml:space="preserve">Dương Ngọc Minh </t>
    </r>
    <r>
      <rPr>
        <sz val="12"/>
        <color rgb="FFFF0000"/>
        <rFont val="Times New Roman"/>
        <family val="1"/>
      </rPr>
      <t xml:space="preserve">(hợp đồng) </t>
    </r>
  </si>
  <si>
    <t>ngocminh.jn.20@gmail.com</t>
  </si>
  <si>
    <t>Showroom Duy Thắm, Trung Hoà, Yên Mỹ, Hưng Yên</t>
  </si>
  <si>
    <t>11/08/2024 và 16/08/2024</t>
  </si>
  <si>
    <t>https://drive.google.com/open?id=1RxD0u2BtyW1DuJjXpyMq354vgbukxJ_E; https://drive.google.com/open?id=1hEfbb2XalStOzNKIj130v66aDGpBkja6, https://drive.google.com/open?id=1WFZ9QMiq9pXQ4LuqaTDxQX1fL6GvMCyW; https://drive.google.com/open?id=1kKajbUWtNBq-Y6gao1Z_fVW23CxDGnSN</t>
  </si>
  <si>
    <t>https://www.facebook.com/profile.php?id=100073795158275&amp;mibextid=LQQJ4d</t>
  </si>
  <si>
    <r>
      <rPr>
        <sz val="12"/>
        <color theme="1"/>
        <rFont val="Times New Roman"/>
        <family val="1"/>
      </rPr>
      <t xml:space="preserve"> Hoàng Tiến Anh </t>
    </r>
    <r>
      <rPr>
        <sz val="12"/>
        <color rgb="FFFF0000"/>
        <rFont val="Times New Roman"/>
        <family val="1"/>
      </rPr>
      <t>(hợp đồng)</t>
    </r>
  </si>
  <si>
    <t>Số nhà 34- đê vạn thành - vạn điểm - thường tín - hà nội</t>
  </si>
  <si>
    <t>https://drive.google.com/open?id=1nad1mPxDSgXCMjjuuf13UnhuPNumKenM; https://drive.google.com/open?id=1q-LlBYMKnLLJhlvMUl_B3A-ZEZVsNgTB</t>
  </si>
  <si>
    <t>https://www.facebook.com/profile.php?id=100024832590516&amp;mibextid=LQQJ4d</t>
  </si>
  <si>
    <r>
      <rPr>
        <sz val="12"/>
        <color theme="1"/>
        <rFont val="Times New Roman"/>
        <family val="1"/>
      </rPr>
      <t xml:space="preserve">Trần Thị Trang </t>
    </r>
    <r>
      <rPr>
        <sz val="12"/>
        <color rgb="FFFF0000"/>
        <rFont val="Times New Roman"/>
        <family val="1"/>
      </rPr>
      <t>(hợp đồng)</t>
    </r>
  </si>
  <si>
    <t>226 thôn 5, xã quảng minh, huyện hải hà, tỉnh quảng ninh</t>
  </si>
  <si>
    <t>https://drive.google.com/open?id=1j1Ka7YT1xnyc7V-lGDLi58JKDQBOGtQt</t>
  </si>
  <si>
    <t>https://www.facebook.com/profile.php?id=100061840426250&amp;mibextid=LQQJ4d</t>
  </si>
  <si>
    <t xml:space="preserve">Lê Đức Anh </t>
  </si>
  <si>
    <t xml:space="preserve">Xóm Thượng, Uy Nỗ, Đông Anh, Hà Nội </t>
  </si>
  <si>
    <t>https://drive.google.com/open?id=1-vtRjyIzQWR8UZ2hXIwrcvaIdkygoEa-</t>
  </si>
  <si>
    <t>https://www.facebook.com/eynnhixinkdepk?mibextid=LQQJ4d</t>
  </si>
  <si>
    <t xml:space="preserve">Hoa </t>
  </si>
  <si>
    <t>nhiyenn1809@gmail.com</t>
  </si>
  <si>
    <t>https://drive.google.com/open?id=1UEtyj2lxuka6xbwkgT-6lXQO0Re_VEz_; https://drive.google.com/open?id=1eBUFQQDmReOvJvxuO4tNH5YlfMqIYsyo, https://drive.google.com/open?id=1_DkumXqIy0NEYg5z2-_l0qKlLYeZ3v93</t>
  </si>
  <si>
    <t xml:space="preserve">https://www.facebook.com/khang.nguyenthi.5667?mibextid=LQQJ4d </t>
  </si>
  <si>
    <r>
      <rPr>
        <sz val="12"/>
        <color theme="1"/>
        <rFont val="Times New Roman"/>
        <family val="1"/>
      </rPr>
      <t xml:space="preserve">Phạm Mai Hương </t>
    </r>
    <r>
      <rPr>
        <sz val="12"/>
        <color rgb="FFFF0000"/>
        <rFont val="Times New Roman"/>
        <family val="1"/>
      </rPr>
      <t>(hợp đồng)</t>
    </r>
  </si>
  <si>
    <t xml:space="preserve">Phú Thứ - Tiên Hiệp- Phủ Lý- Hà Nam </t>
  </si>
  <si>
    <t>https://drive.google.com/open?id=1gOzxDkr3d1AIB6p1DyCg2jgBG9VPljbl; https://drive.google.com/open?id=13nUnqanOeeATYePRsHfMrcU0yew4f1M-</t>
  </si>
  <si>
    <t>https://www.facebook.com/fangglingg.11?mibextid=LQQJ4d</t>
  </si>
  <si>
    <r>
      <rPr>
        <sz val="12"/>
        <color theme="1"/>
        <rFont val="Times New Roman"/>
        <family val="1"/>
      </rPr>
      <t xml:space="preserve">Nguyễn Phương Linh </t>
    </r>
    <r>
      <rPr>
        <sz val="12"/>
        <color rgb="FFFF0000"/>
        <rFont val="Times New Roman"/>
        <family val="1"/>
      </rPr>
      <t>(hợp đồng) PT113</t>
    </r>
  </si>
  <si>
    <t xml:space="preserve">113 Lê Văn Hiến, Đức Thắng, Bắc Từ Liêm, Hà Nội </t>
  </si>
  <si>
    <t>https://drive.google.com/open?id=1C86Li_ilnTqBDYdnCyPSmKQMXD9cJo2E; https://drive.google.com/open?id=10ZYmJXacReO6_3WLWMXdbzL3ehhBrDoS</t>
  </si>
  <si>
    <t>https://www.facebook.com/vuong.hoangngan.79?mibextid=LQQJ4d</t>
  </si>
  <si>
    <r>
      <rPr>
        <sz val="12"/>
        <color theme="1"/>
        <rFont val="Times New Roman"/>
        <family val="1"/>
      </rPr>
      <t xml:space="preserve">Vương Hoàng Ngân </t>
    </r>
    <r>
      <rPr>
        <sz val="12"/>
        <color rgb="FFFF0000"/>
        <rFont val="Times New Roman"/>
        <family val="1"/>
      </rPr>
      <t>(hợp đồng) T229
Học LV2 gửi hợp đồng</t>
    </r>
  </si>
  <si>
    <t>Tổ 2 kdp Yên Lư , tt Hương An , Quế Sơn , Quảng Nam</t>
  </si>
  <si>
    <t>07/08/2024 và 19/08/2024</t>
  </si>
  <si>
    <t>https://drive.google.com/open?id=1-xus_Gleze_3kbqovk60Ft5Nq3bygTgs, https://drive.google.com/open?id=1e-IV9KBJKaPPJfHBiTZtvcMemZDSAFSG, https://drive.google.com/open?id=1hsBOWca7rAdHfI1CEm6e44A613vh7EpV, https://drive.google.com/open?id=1VYtLr4t8tqLKOmxHpGBgKEznG5wJZ0ou</t>
  </si>
  <si>
    <t>https://www.facebook.com/profile.php?id=100070811910201&amp;mibextid=LQQJ4d</t>
  </si>
  <si>
    <r>
      <rPr>
        <sz val="12"/>
        <color theme="1"/>
        <rFont val="Times New Roman"/>
        <family val="1"/>
      </rPr>
      <t xml:space="preserve">Đinh Tiến Đông </t>
    </r>
    <r>
      <rPr>
        <sz val="12"/>
        <color rgb="FFFF0000"/>
        <rFont val="Times New Roman"/>
        <family val="1"/>
      </rPr>
      <t>(hợp đồng)</t>
    </r>
  </si>
  <si>
    <t>thị trấn chờ - yên phong - bắc ninh</t>
  </si>
  <si>
    <t>https://drive.google.com/open?id=1vWnHiL8hn_6bOHufeTfPQ8mG3-LtJhEA</t>
  </si>
  <si>
    <t>https://www.facebook.com/profile.php?id=100069988412588&amp;mibextid=LQQJ4d</t>
  </si>
  <si>
    <r>
      <rPr>
        <sz val="12"/>
        <color theme="1"/>
        <rFont val="Times New Roman"/>
        <family val="1"/>
      </rPr>
      <t xml:space="preserve">Nguyễn Thị Huyền </t>
    </r>
    <r>
      <rPr>
        <sz val="12"/>
        <color rgb="FFFF0000"/>
        <rFont val="Times New Roman"/>
        <family val="1"/>
      </rPr>
      <t>(hợp đồng)</t>
    </r>
  </si>
  <si>
    <t>thôn Nội Linh, xã Ngô Quyền, Tiên Lữ, Hưng Yên</t>
  </si>
  <si>
    <t>https://drive.google.com/open?id=1zXR1FvHjhA1osNQt-LhWlFFHcjF3ZlKd</t>
  </si>
  <si>
    <t>https://www.facebook.com/ngothuhang2005?mibextid=LQQJ4d</t>
  </si>
  <si>
    <t>Ngô Thị Thu Hằng</t>
  </si>
  <si>
    <t>https://drive.google.com/open?id=1cx8KZ09XvBt_WQwAwQheFcZr1pzqwFnk; https://drive.google.com/open?id=1ewowMXLphdz7sL_oVd_V_HCN7e2PZBHw</t>
  </si>
  <si>
    <t>https://www.facebook.com/profile.php?id=100056584266857&amp;mibextid=LQQJ4d</t>
  </si>
  <si>
    <t>Nguyễn Trung Kiên</t>
  </si>
  <si>
    <t>: xóm trại , thôn kim tháp, xã nguyệt đức, huyện thuận thành, tỉnh Bắc Ninh</t>
  </si>
  <si>
    <t>https://drive.google.com/open?id=11dv-HakEu6yade8H044PTaK_YC-Hagw9; https://drive.google.com/open?id=1uA3XVIQRADdp44hKH7zgUCxn9gnCbvOB</t>
  </si>
  <si>
    <t>https://www.facebook.com/profile.php?id=100050627298759&amp;mibextid=LQQJ4d</t>
  </si>
  <si>
    <t>nguyenthiuyen26052006@gmail.com</t>
  </si>
  <si>
    <t>thôn Văn Xá - xã Ngô Quyền - Thanh Miện - Hải Dương</t>
  </si>
  <si>
    <t>https://drive.google.com/open?id=1M8XI1Yw1nJXqS3BwrCJUnlo0PBlvx4Vl; https://drive.google.com/open?id=1StE439_uddFp4qbmsKX19lQjtSvbgFvE</t>
  </si>
  <si>
    <t>https://www.facebook.com/profile.php?id=100048240561673&amp;mibextid=Z</t>
  </si>
  <si>
    <r>
      <rPr>
        <sz val="12"/>
        <color theme="1"/>
        <rFont val="Times New Roman"/>
        <family val="1"/>
      </rPr>
      <t xml:space="preserve">Dương Vũ Quang Huy </t>
    </r>
    <r>
      <rPr>
        <sz val="12"/>
        <color rgb="FFFF0000"/>
        <rFont val="Times New Roman"/>
        <family val="1"/>
      </rPr>
      <t>(hợp đồng)</t>
    </r>
  </si>
  <si>
    <t>338 Cẩm La, Phúc Cẩm, Văn Tiến, Yên Lạc, Vĩnh Phúc</t>
  </si>
  <si>
    <t>https://drive.google.com/open?id=18XKUX68BUdbS5U7z98eycf-5elb8wo92; https://drive.google.com/open?id=1PhvRHY06BB0TDZPmZGKmrPYrxhtmz3KU</t>
  </si>
  <si>
    <t>https://www.facebook.com/profile.php?id=100071648568562&amp;mibextid=LQQJ4d</t>
  </si>
  <si>
    <r>
      <rPr>
        <sz val="12"/>
        <color theme="1"/>
        <rFont val="Times New Roman"/>
        <family val="1"/>
      </rPr>
      <t>Chu Lan Anh</t>
    </r>
    <r>
      <rPr>
        <sz val="12"/>
        <color rgb="FFFF0000"/>
        <rFont val="Times New Roman"/>
        <family val="1"/>
      </rPr>
      <t xml:space="preserve"> (hợp đồng)</t>
    </r>
  </si>
  <si>
    <t>chulananh2006@gmail.com</t>
  </si>
  <si>
    <t>Phú An-Thái Hoà- Ba Vì - Hà Nội</t>
  </si>
  <si>
    <t>16/08/2024 và 26/08/2024</t>
  </si>
  <si>
    <t>https://drive.google.com/open?id=1TpFPGC9wbs1kV9fiDCqQ8RYAPvuXUBCI; https://drive.google.com/open?id=1nXQLDXkI6QIS7EjEhJcIsto_cyk2uMBA; https://drive.google.com/open?id=1x7rZekrTF6mUzu22HiDsAQXmrWl85Ryx</t>
  </si>
  <si>
    <t>https://www.facebook.com/mhakisme?mibextid=LQQJ4d</t>
  </si>
  <si>
    <r>
      <rPr>
        <sz val="12"/>
        <color theme="1"/>
        <rFont val="Times New Roman"/>
        <family val="1"/>
      </rPr>
      <t xml:space="preserve">Lê Thị Mỹ Hạnh  </t>
    </r>
    <r>
      <rPr>
        <sz val="12"/>
        <color rgb="FFFF0000"/>
        <rFont val="Times New Roman"/>
        <family val="1"/>
      </rPr>
      <t>(hợp đồng)</t>
    </r>
  </si>
  <si>
    <t>Số nhà 6 ngõ 492 duy minh duy tiên hà nam</t>
  </si>
  <si>
    <t>https://drive.google.com/open?id=1EGlxZKgUFb8Z1iBAwc52Pzo8aYDa7pEc</t>
  </si>
  <si>
    <t>https://www.facebook.com/profile.php?id=100064220854075&amp;mibextid=LQQJ4d</t>
  </si>
  <si>
    <t xml:space="preserve">Trịnh Phương Thảo </t>
  </si>
  <si>
    <t>Thôn phượng, xã Thượng Lâm, huyện Mỹ Đức, Hà Nội</t>
  </si>
  <si>
    <t>https://drive.google.com/open?id=1jRPEvkFD_RnsczWnKb_3FTQJxhuj2Mht</t>
  </si>
  <si>
    <t>https://www.facebook.com/profile.php?id=100042172203934&amp;mibextid=LQQJ4d</t>
  </si>
  <si>
    <r>
      <rPr>
        <sz val="12"/>
        <color theme="1"/>
        <rFont val="Times New Roman"/>
        <family val="1"/>
      </rPr>
      <t xml:space="preserve">Nguyễn Thị Tú Quyên </t>
    </r>
    <r>
      <rPr>
        <sz val="12"/>
        <color rgb="FFFF0000"/>
        <rFont val="Times New Roman"/>
        <family val="1"/>
      </rPr>
      <t>(hợp đồng)</t>
    </r>
  </si>
  <si>
    <t>đầu làng thanh lãng huyện bình xuyên tỉnh vĩnh phúc</t>
  </si>
  <si>
    <t>https://drive.google.com/open?id=1I_PzdqI7fW81fiNjhxlDVHRqhlMuxuXx</t>
  </si>
  <si>
    <t>https://www.facebook.com/son.lethe.58173?mibextid=LQQJ4d</t>
  </si>
  <si>
    <r>
      <rPr>
        <sz val="12"/>
        <color theme="1"/>
        <rFont val="Times New Roman"/>
        <family val="1"/>
      </rPr>
      <t xml:space="preserve">Lê Thế Sơn </t>
    </r>
    <r>
      <rPr>
        <sz val="12"/>
        <color rgb="FFFF0000"/>
        <rFont val="Times New Roman"/>
        <family val="1"/>
      </rPr>
      <t>(hợp đồng)</t>
    </r>
    <r>
      <rPr>
        <sz val="12"/>
        <color theme="1"/>
        <rFont val="Times New Roman"/>
        <family val="1"/>
      </rPr>
      <t xml:space="preserve"> - 339090046 số cũ</t>
    </r>
  </si>
  <si>
    <t>TDP Diện , phường Hồng Tiến , thành phố Phổ Yên , tỉnh Thái Nguyên</t>
  </si>
  <si>
    <t>18/08/2024 và 20/08/2024</t>
  </si>
  <si>
    <t>https://drive.google.com/open?id=1dq6flZrinFfnvgAToW3f3X08GBeWpWxV; https://drive.google.com/open?id=1m_2MBdtxIUuhFA0tzYH3Oh9H0YehQdGa; https://drive.google.com/open?id=15kWZNZdF9qG8016a-XUMWqzsYL0342k4</t>
  </si>
  <si>
    <t>https://www.facebook.com/profile.php?id=100054763129246&amp;mibextid=LQQJ4d</t>
  </si>
  <si>
    <r>
      <rPr>
        <sz val="12"/>
        <color theme="1"/>
        <rFont val="Times New Roman"/>
        <family val="1"/>
      </rPr>
      <t xml:space="preserve">Trần Hà My </t>
    </r>
    <r>
      <rPr>
        <sz val="12"/>
        <color rgb="FFFF0000"/>
        <rFont val="Times New Roman"/>
        <family val="1"/>
      </rPr>
      <t>(hợp đồng)</t>
    </r>
  </si>
  <si>
    <t>số nhà 340 khu 5 đáp cầu bắc ninh</t>
  </si>
  <si>
    <t>07/08/2024 và 18/08/2024</t>
  </si>
  <si>
    <t>26/09/2024 và 30/09/2024</t>
  </si>
  <si>
    <t>https://drive.google.com/open?id=1oAwJHCdcrvbsJV2LfkOcd1yFspLJl18q, https://drive.google.com/open?id=182rmpHUjskix_FwZXWJ7algXtUxgtl3k; https://drive.google.com/open?id=1OOIGn2TiKrCsXLa31TIDfGtRHq5RVT-O, https://drive.google.com/open?id=1twT6ASjOr3tjOZRLkALSbINC5PPuSq0o</t>
  </si>
  <si>
    <t>https://www.facebook.com/piggi.pie.1605?mibextid=ZbWKwL</t>
  </si>
  <si>
    <r>
      <rPr>
        <sz val="12"/>
        <color theme="1"/>
        <rFont val="Times New Roman"/>
        <family val="1"/>
      </rPr>
      <t>Lê Ngọc Anh</t>
    </r>
    <r>
      <rPr>
        <sz val="12"/>
        <color rgb="FFFF0000"/>
        <rFont val="Times New Roman"/>
        <family val="1"/>
      </rPr>
      <t xml:space="preserve"> - nick Nanh Lê</t>
    </r>
  </si>
  <si>
    <t xml:space="preserve">Thanh </t>
  </si>
  <si>
    <t>lnanh2950@gmail.com</t>
  </si>
  <si>
    <t>số nhà 26- ngõ 149- đường Lương Xá- phường Lộc Hòa- tp Nam Định</t>
  </si>
  <si>
    <t>https://drive.google.com/open?id=1QcYpFfjzPBYdbJu5I3D8njjJ-Y9CRIwR; https://drive.google.com/open?id=1NCBS2ytqLvdP1UfiRVl2Wh6oFQSOD5rL</t>
  </si>
  <si>
    <t>https://www.facebook.com/profile.php?id=100082951675558&amp;mibextid=LQQJ4d</t>
  </si>
  <si>
    <r>
      <rPr>
        <sz val="12"/>
        <color theme="1"/>
        <rFont val="Times New Roman"/>
        <family val="1"/>
      </rPr>
      <t xml:space="preserve"> Nguyễn Thị Trang </t>
    </r>
    <r>
      <rPr>
        <sz val="12"/>
        <color rgb="FFFF0000"/>
        <rFont val="Times New Roman"/>
        <family val="1"/>
      </rPr>
      <t>(hợp đồng)</t>
    </r>
  </si>
  <si>
    <t>Bến 1, thôn ngọc khê, xã phù ninh, huyện thuỷ nguyên, Hải Phòng</t>
  </si>
  <si>
    <t>https://drive.google.com/open?id=1IM09k_Y6fYUCLUZkuSRiMRcmvgZIssoH; https://drive.google.com/open?id=138I5s0KLlSkLTkMXV5Mye_0sLcTBrxy1</t>
  </si>
  <si>
    <t>https://www.facebook.com/tumon06?mibextid=LQQJ4d</t>
  </si>
  <si>
    <r>
      <rPr>
        <sz val="12"/>
        <color theme="1"/>
        <rFont val="Times New Roman"/>
        <family val="1"/>
      </rPr>
      <t>Dương Tuấn Tú</t>
    </r>
    <r>
      <rPr>
        <sz val="12"/>
        <color rgb="FFFF0000"/>
        <rFont val="Times New Roman"/>
        <family val="1"/>
      </rPr>
      <t xml:space="preserve"> OPT23</t>
    </r>
  </si>
  <si>
    <t>dtu18190@gmail.com</t>
  </si>
  <si>
    <t>Số nhà 4 ngách 117/20 tdp Hoàng Văn Thụ phường Dương Nội quận Hà Đông Hà Nội</t>
  </si>
  <si>
    <t>20/08/2024 và 17/09/2024</t>
  </si>
  <si>
    <t>https://drive.google.com/open?id=17kOqaRZRWoyyXRk6FOVsEZeZR8myeb9u; https://drive.google.com/open?id=1LBQYQYxavH6lERkzC_TaF0bBjJSj7Qz2; https://drive.google.com/open?id=1PGEWH3yUjL2JoaVIj-Aq1ZdhXYZCB0rm</t>
  </si>
  <si>
    <t>PT157</t>
  </si>
  <si>
    <t>https://www.facebook.com/profile.php?id=100058795752879</t>
  </si>
  <si>
    <r>
      <rPr>
        <sz val="12"/>
        <color theme="1"/>
        <rFont val="Times New Roman"/>
        <family val="1"/>
      </rPr>
      <t>Lê Việt Dũng</t>
    </r>
    <r>
      <rPr>
        <sz val="12"/>
        <color rgb="FFFF0000"/>
        <rFont val="Times New Roman"/>
        <family val="1"/>
      </rPr>
      <t xml:space="preserve"> - Đã nộp 300K bảo lưu
OPT24 bảo lưu buổi 2. Học PT157 b1</t>
    </r>
  </si>
  <si>
    <t>mikeykmdt@gmail.com</t>
  </si>
  <si>
    <t>https://drive.google.com/open?id=1EppjlRD0_wRbGxkMQpVMSx1SoshYVeJ9; https://drive.google.com/open?id=1udfUo7_k0Kyl1WDXD0ODNbQtI7slOLsq</t>
  </si>
  <si>
    <t>https://www.facebook.com/profile.php?id=100017148787985&amp;mibextid=LQQJ4d</t>
  </si>
  <si>
    <r>
      <rPr>
        <sz val="12"/>
        <color theme="1"/>
        <rFont val="Times New Roman"/>
        <family val="1"/>
      </rPr>
      <t>Nguyễn Cao Hồng Tâm</t>
    </r>
    <r>
      <rPr>
        <sz val="12"/>
        <color rgb="FFFF0000"/>
        <rFont val="Times New Roman"/>
        <family val="1"/>
      </rPr>
      <t xml:space="preserve"> (hợp đồng)</t>
    </r>
  </si>
  <si>
    <t>hongtamcao030906@gmail.com</t>
  </si>
  <si>
    <t>số nhà 16, tổ 1, khu Minh Tân, phường Minh Nông, thành phố Việt Trì, tỉnh Phú Thọ</t>
  </si>
  <si>
    <t>20/08/2024 và 24/08/2024</t>
  </si>
  <si>
    <t>https://drive.google.com/open?id=1hZ4WaGJ8w4go_50TnHX3EroxkoIlV_Jb; https://drive.google.com/open?id=15LFQL1yAGVXxpbjx3daB7zH_MJ32k3v9; https://drive.google.com/open?id=1D8pQJteJKqbJ70ZkpxQ2YGBfoECuiGmJ</t>
  </si>
  <si>
    <t>https://www.facebook.com/profile.php?id=100079514685688&amp;mibextid=ZbWKwL</t>
  </si>
  <si>
    <t xml:space="preserve">Đại Thị Tuyền </t>
  </si>
  <si>
    <t>daituyen2006@gmail.com</t>
  </si>
  <si>
    <t>20/08/2024 và 05/09/2024</t>
  </si>
  <si>
    <t>https://drive.google.com/open?id=1Rw9RKGkwEDv7RywcIivz8qlwvmZkvKl4; https://drive.google.com/open?id=1-BGOrMoZZBQbi0e2AlzIcMTgUOtiCNAN; https://drive.google.com/open?id=1kUwlTdz4szMg5ifXHq6e2Pwrm9n7cvak</t>
  </si>
  <si>
    <t>https://www.facebook.com/profile.php?id=100026343185072&amp;mibextid=LQQJ4d</t>
  </si>
  <si>
    <r>
      <rPr>
        <sz val="12"/>
        <color theme="1"/>
        <rFont val="Times New Roman"/>
        <family val="1"/>
      </rPr>
      <t xml:space="preserve"> Lê Thanh Tâm </t>
    </r>
    <r>
      <rPr>
        <sz val="12"/>
        <color rgb="FFFF0000"/>
        <rFont val="Times New Roman"/>
        <family val="1"/>
      </rPr>
      <t>(hợp đồng)</t>
    </r>
  </si>
  <si>
    <t>16 ngõ 102 Trần Phú Mộ Lao Hà Đông , HN</t>
  </si>
  <si>
    <t>8/20/0024</t>
  </si>
  <si>
    <r>
      <rPr>
        <u/>
        <sz val="12"/>
        <color rgb="FF1155CC"/>
        <rFont val="Times New Roman"/>
        <family val="1"/>
      </rPr>
      <t xml:space="preserve">https://drive.google.com/open?id=1rFVckeJFqG7xZlzhhnyCmoZHMJQ-ZxQi; </t>
    </r>
    <r>
      <rPr>
        <u/>
        <sz val="12"/>
        <color rgb="FF1155CC"/>
        <rFont val="Times New Roman"/>
        <family val="1"/>
      </rPr>
      <t>https://drive.google.com/open?id=1G_6Lr8ARnEsst68-N0f2MAJewn7VKYSN</t>
    </r>
  </si>
  <si>
    <t>https://www.facebook.com/behien2tui?mibextid=LQQJ4d</t>
  </si>
  <si>
    <r>
      <rPr>
        <sz val="12"/>
        <color theme="1"/>
        <rFont val="Times New Roman"/>
        <family val="1"/>
      </rPr>
      <t xml:space="preserve">Nguyễn Thuý Hiền </t>
    </r>
    <r>
      <rPr>
        <sz val="12"/>
        <color rgb="FFFF0000"/>
        <rFont val="Times New Roman"/>
        <family val="1"/>
      </rPr>
      <t xml:space="preserve">(hơp đồng) 876026237 </t>
    </r>
  </si>
  <si>
    <t>tt ba hàng đồi lạc thủy hoà bình</t>
  </si>
  <si>
    <t>https://drive.google.com/open?id=12LEsJiUfdfbqZZZcSsP-ysAa74IrAZhd; https://drive.google.com/open?id=1-l2GgZp4qbU8EDWVoAkQvqk_0Dar1xr0</t>
  </si>
  <si>
    <t>https://www.facebook.com/profile.php?id=100038624475562&amp;mibextid=LQQJ4d</t>
  </si>
  <si>
    <r>
      <rPr>
        <sz val="12"/>
        <color theme="1"/>
        <rFont val="Times New Roman"/>
        <family val="1"/>
      </rPr>
      <t xml:space="preserve">Nguyễn Minh Phương </t>
    </r>
    <r>
      <rPr>
        <sz val="12"/>
        <color rgb="FFFF0000"/>
        <rFont val="Times New Roman"/>
        <family val="1"/>
      </rPr>
      <t xml:space="preserve">(hợp đồng) </t>
    </r>
  </si>
  <si>
    <t>minhphuong080706@gmail.com</t>
  </si>
  <si>
    <t>12/2/134 đường Tô Hiến Thành, Nam Định</t>
  </si>
  <si>
    <t>https://drive.google.com/open?id=1XKCIZbr2nAqZkN6csIBYzIjBu-ohSb9K; https://drive.google.com/open?id=1l9UlW0W1zASO6i0upUxi_j1jaRiBKijE</t>
  </si>
  <si>
    <t>https://www.facebook.com/zicky2805?mibextid=LQQJ4d</t>
  </si>
  <si>
    <t>Nguyễn Huy Chiến</t>
  </si>
  <si>
    <t xml:space="preserve">K </t>
  </si>
  <si>
    <t>Thôn Hữu Ái-Xã Tân Lãng-Huyện Lương Tài-Tỉnh Bắc Ninh</t>
  </si>
  <si>
    <t>https://drive.google.com/open?id=1dVzWIOUPpe5oZMHOsy6NjcvjNEn1Bhwl</t>
  </si>
  <si>
    <t>https://www.facebook.com/profile.php?id=100074376703016&amp;mibextid=LQQJ4d</t>
  </si>
  <si>
    <t>Diệp Thị Thu Nga</t>
  </si>
  <si>
    <t>ngadtt06@gmail.com</t>
  </si>
  <si>
    <t>Quầy thuốc Kim Liên, chợ Đạo Trù, xã Đạo Trù, Tam Đảo, Vĩnh Phúc</t>
  </si>
  <si>
    <t>https://drive.google.com/open?id=16u1M9pEAwGGz_4LpffFf5iDji9NUo-nI; https://drive.google.com/open?id=1No1uuX1o8R1-IUYHOb7k8rWV1ZN24HlO</t>
  </si>
  <si>
    <t>PT116 nghỉ ngang b2. Hạ báo</t>
  </si>
  <si>
    <t>https://www.facebook.com/chich.bong.5817300?mibextid=LQQJ4d</t>
  </si>
  <si>
    <r>
      <rPr>
        <sz val="12"/>
        <color theme="1"/>
        <rFont val="Times New Roman"/>
        <family val="1"/>
      </rPr>
      <t xml:space="preserve">Ngô Nhật Anh </t>
    </r>
    <r>
      <rPr>
        <sz val="12"/>
        <color rgb="FFFF0000"/>
        <rFont val="Times New Roman"/>
        <family val="1"/>
      </rPr>
      <t xml:space="preserve">(hợp đồng) - nick Chích Bông </t>
    </r>
  </si>
  <si>
    <t xml:space="preserve">gonhatanh1901@gmail.com </t>
  </si>
  <si>
    <t>16/150 Song Hào, phường Trần Quang Khải, Tp Nam Định, Nam Định</t>
  </si>
  <si>
    <t>https://drive.google.com/open?id=1iFuAzyQo9O32E0oT0sTVK16UWk4iimsj; https://drive.google.com/open?id=113hoW3Xn3mLUXYQvhP6e_OmONlVCZRoc</t>
  </si>
  <si>
    <t>https://www.facebook.com/profile.php?id=100071289745945&amp;mibextid=LQQJ4d</t>
  </si>
  <si>
    <t>Chung cư D2-CT2 phường Linh Đàm, Khu đô thi Tây Nam Linh Đàm, Hoàng Liệt, Hoàng Mai, Hà Nội</t>
  </si>
  <si>
    <t>18/08/2024 và 26/08/2024</t>
  </si>
  <si>
    <t>https://drive.google.com/open?id=1p3u6o40rZ-DSc7MJtmFJ1wbNDBrsTeQL; https://drive.google.com/open?id=1mShd1BS46nZ-Dxa-tQvyIysZdvVxeYFt; https://drive.google.com/open?id=1MspbWBpkNtIOSQh2KycgWCzck6UO2A6F</t>
  </si>
  <si>
    <t>https://www.facebook.com/profile.php?id=100041499977920&amp;mibextid=LQQJ4d</t>
  </si>
  <si>
    <r>
      <rPr>
        <sz val="12"/>
        <color theme="1"/>
        <rFont val="Times New Roman"/>
        <family val="1"/>
      </rPr>
      <t xml:space="preserve">Cao Minh Quân </t>
    </r>
    <r>
      <rPr>
        <sz val="12"/>
        <color rgb="FFFF0000"/>
        <rFont val="Times New Roman"/>
        <family val="1"/>
      </rPr>
      <t>(hợp đồng)</t>
    </r>
  </si>
  <si>
    <t>làng Vân Nam xã Khánh Thành huyện Yên Thành tỉnh Nghệ An</t>
  </si>
  <si>
    <t>https://drive.google.com/open?id=1LshKApoKKYAUXyTcBtC362e6ggf8fSy0, https://drive.google.com/open?id=1eycCdAhY4HsAXqsRp53MXUpRG_8fLEOo; https://drive.google.com/open?id=16UV7gqemcpZvorRr2HQZt8S5hNSh1x4y; https://drive.google.com/open?id=12xXt3tWioAuLdKoylKY_hTwB9ykM7oOX</t>
  </si>
  <si>
    <t>https://www.facebook.com/profile.php?id=100056420499437&amp;mibextid=ZbWKwL</t>
  </si>
  <si>
    <t>Nguyễn Thị Kiều Trang</t>
  </si>
  <si>
    <t>Lê Ngọc Anh</t>
  </si>
  <si>
    <t>https://drive.google.com/open?id=1qh9qI8horBn7MzZ8Rp3e-124HVnj7o-8; https://drive.google.com/open?id=1D2M6SFN6DwSxaICr7h4LBPy4mhLsB9Lo</t>
  </si>
  <si>
    <t>https://www.facebook.com/hquun?mibextid=LQQJ4d</t>
  </si>
  <si>
    <r>
      <rPr>
        <sz val="12"/>
        <color theme="1"/>
        <rFont val="Times New Roman"/>
        <family val="1"/>
      </rPr>
      <t xml:space="preserve">Phạm Thị Hải Quỳnh </t>
    </r>
    <r>
      <rPr>
        <sz val="12"/>
        <color rgb="FFFF0000"/>
        <rFont val="Times New Roman"/>
        <family val="1"/>
      </rPr>
      <t>(hợp đồng)</t>
    </r>
  </si>
  <si>
    <t>chợ anh xã lê lợi huyện gia lộc tỉnh hải dương</t>
  </si>
  <si>
    <t>22/08/2024 và 17/09/2024</t>
  </si>
  <si>
    <t>https://drive.google.com/open?id=12UOhG4Qy2A4Vn_OL_E6k-9ilqOz3q0c0; https://drive.google.com/open?id=1hiGezfGQQSOGLGddtx8tPYa370vQvRkN, https://drive.google.com/open?id=1qwYkVw2P5-B2y2jd6F6lzkf7eB_DUzQv</t>
  </si>
  <si>
    <t>https://www.facebook.com/profile.php?id=100027014680185</t>
  </si>
  <si>
    <r>
      <rPr>
        <sz val="12"/>
        <color theme="1"/>
        <rFont val="Times New Roman"/>
        <family val="1"/>
      </rPr>
      <t xml:space="preserve">Đinh Thị Quỳnh </t>
    </r>
    <r>
      <rPr>
        <sz val="12"/>
        <color rgb="FFFF0000"/>
        <rFont val="Times New Roman"/>
        <family val="1"/>
      </rPr>
      <t>(hợp đồng)</t>
    </r>
  </si>
  <si>
    <t>Nhà số 4 ngõ bảng hạ thôn 7 xã Liên Hiệp - Phúc Thọ -Hà Nội</t>
  </si>
  <si>
    <t>17/08/2024 và 23/08/2024</t>
  </si>
  <si>
    <t>https://drive.google.com/open?id=1DqEFBtMdf52BOsmBf9A23omWuTztO1jC, https://drive.google.com/open?id=1D_cPDT7-zlq8KacO70KciMK2XHmz5QMI; https://drive.google.com/open?id=1ZAevFiBFrcBnuybfvFPUJDP7xL72unZu</t>
  </si>
  <si>
    <t>https://www.facebook.com/KhuongDuy15</t>
  </si>
  <si>
    <t>Trần Hoàng Khương Duy</t>
  </si>
  <si>
    <t xml:space="preserve">duytranhoangkhuong@gmail.com </t>
  </si>
  <si>
    <t>QL13,Hiệp Bình Chánh,Thủ Đức , Hồ Chí Minh</t>
  </si>
  <si>
    <t>21/8 và 23/8/24</t>
  </si>
  <si>
    <t>https://drive.google.com/open?id=1A5uQccOvGCg29SkfJDxt8EO-SHnHv7d5, https://drive.google.com/open?id=14cGYF-sxs8UtQrNf7b9txHa4GKYm5UEH; https://drive.google.com/open?id=15X-qv4EH-lfLF-4gFPETkyt7NYuFe5pZ</t>
  </si>
  <si>
    <t>PT143</t>
  </si>
  <si>
    <t>https://www.facebook.com/profile.php?id=100033489904013&amp;mibextid=LQQJ4d</t>
  </si>
  <si>
    <r>
      <rPr>
        <sz val="12"/>
        <color theme="1"/>
        <rFont val="Times New Roman"/>
        <family val="1"/>
      </rPr>
      <t>Đinh Thị Diệu Lan</t>
    </r>
    <r>
      <rPr>
        <sz val="12"/>
        <color rgb="FFFF0000"/>
        <rFont val="Times New Roman"/>
        <family val="1"/>
      </rPr>
      <t xml:space="preserve"> (hợp đồng) - đã nộp 300K 12/09/2024
PT119 bảo lưu b2 đi quân sự. Học PT143 b1</t>
    </r>
  </si>
  <si>
    <t>dieulan2402@gmail.com</t>
  </si>
  <si>
    <t>Đội 9 - thôn Ngô Đồng - xã Nam Hưng - huyện Nam Sách - tỉnh Hải Dương</t>
  </si>
  <si>
    <t>23/08/2024 và 28/08/2024</t>
  </si>
  <si>
    <t>https://drive.google.com/open?id=1Yf8SI8sl7A5i2c6YsC0O289JZ3xgpmwA; https://drive.google.com/open?id=1tn7-J9CXLrsWk2lPOPQ6CO7LHeBqUSwl; https://drive.google.com/open?id=15X36pvevHF8WK6sKhXixWXvt8SHBPdTs</t>
  </si>
  <si>
    <t>https://www.facebook.com/profile.php?id=61551094964282&amp;mibextid=LQQJ4d</t>
  </si>
  <si>
    <t>Đan Tuấn Hùng</t>
  </si>
  <si>
    <t>Số nhà 81, khu 11, H Chi Nê, huyện Lạc Thuỷ, Hoà Bình</t>
  </si>
  <si>
    <t>https://drive.google.com/open?id=1wL753Yh1lmaUp_VqsDle0L8j8uNhtpgb; https://drive.google.com/open?id=1UDw6EIUrSA7W37ZHPFQRHGAA6vTCM_wm</t>
  </si>
  <si>
    <t>PT121 bảo lưu b7 đi quân sự</t>
  </si>
  <si>
    <t>https://www.facebook.com/baton.caiten</t>
  </si>
  <si>
    <t>Huỳnh Vũ Dương</t>
  </si>
  <si>
    <t xml:space="preserve"> bin0975301020@gmail.com </t>
  </si>
  <si>
    <t>Bà điểm, hốc môn, tp.HCM</t>
  </si>
  <si>
    <t>20/08/2024 và 22/08/2024</t>
  </si>
  <si>
    <t>https://drive.google.com/open?id=1b3PV1E93U_0lMgihKek51RFRAV2o8w04, https://drive.google.com/open?id=1pWMuSpM9NKGpEI-rNUuc1dZXrtYFlE-F</t>
  </si>
  <si>
    <t>OPT42</t>
  </si>
  <si>
    <t>https://www.facebook.com/huongthumai1207?mibextid=LQQJ4d</t>
  </si>
  <si>
    <r>
      <rPr>
        <sz val="12"/>
        <color theme="1"/>
        <rFont val="Times New Roman"/>
        <family val="1"/>
      </rPr>
      <t xml:space="preserve">Mai Thu Hương </t>
    </r>
    <r>
      <rPr>
        <sz val="12"/>
        <color rgb="FFFF0000"/>
        <rFont val="Times New Roman"/>
        <family val="1"/>
      </rPr>
      <t>- Đã nộp 300K 11/10/2024</t>
    </r>
    <r>
      <rPr>
        <sz val="12"/>
        <color theme="1"/>
        <rFont val="Times New Roman"/>
        <family val="1"/>
      </rPr>
      <t xml:space="preserve">
</t>
    </r>
    <r>
      <rPr>
        <sz val="12"/>
        <color rgb="FFFF0000"/>
        <rFont val="Times New Roman"/>
        <family val="1"/>
      </rPr>
      <t>OPT24 bảo lưu b3. Học OPT42 b1</t>
    </r>
  </si>
  <si>
    <t>maithuhuong1207@gmail.com</t>
  </si>
  <si>
    <t xml:space="preserve">VĂN </t>
  </si>
  <si>
    <t>https://drive.google.com/open?id=1SmA3DV_fmx4DmqYRfjCGEAjAoG4Up5mV; https://drive.google.com/open?id=1XfM6ol6kR5t7ut-R1R1TPlANSY6Acuw5</t>
  </si>
  <si>
    <t>https://www.facebook.com/tuan.thien.585559?mibextid=LQQJ4d</t>
  </si>
  <si>
    <t>Quan Trần Ngọc Nguyên</t>
  </si>
  <si>
    <t xml:space="preserve">qtnhinguyen2110@gmail.com </t>
  </si>
  <si>
    <t xml:space="preserve">KHÔNG NHẬN </t>
  </si>
  <si>
    <t>25/08/2024 và 11/09/2024</t>
  </si>
  <si>
    <t>https://drive.google.com/open?id=1yifnfyRSJ4cBXoGih3asAj6Lzs5hrODJ; https://drive.google.com/open?id=1F-aJZaZPdgs6f14UOgoHaI26bS0hSMbN, https://drive.google.com/open?id=1ZgwZwVWLmM6OPbeeXceHFNrPe8JoIZej</t>
  </si>
  <si>
    <t>https://www.facebook.com/profile.php?id=100079516868281&amp;mibextid=LQQJ4d</t>
  </si>
  <si>
    <t xml:space="preserve">Phạm Công Thành </t>
  </si>
  <si>
    <t>pct2006tb@gmail.com</t>
  </si>
  <si>
    <t>Em sắp lên hn r ý ạ nên có gì lên hn e nhận sách nha c</t>
  </si>
  <si>
    <t>https://drive.google.com/open?id=1ZyjvztGSJQkbqHXuTSveRNW4Paq6UOQI; https://drive.google.com/open?id=1F8o3qJi6GCe0bnFq64wDAmMRxkbN4kPl</t>
  </si>
  <si>
    <t>https://www.facebook.com/profile.php?id=100064200363767&amp;mibextid=LQQJ4d</t>
  </si>
  <si>
    <r>
      <rPr>
        <sz val="12"/>
        <color theme="1"/>
        <rFont val="Times New Roman"/>
        <family val="1"/>
      </rPr>
      <t xml:space="preserve">Hoàng Quỳnh Ngân </t>
    </r>
    <r>
      <rPr>
        <sz val="12"/>
        <color rgb="FFFF0000"/>
        <rFont val="Times New Roman"/>
        <family val="1"/>
      </rPr>
      <t>(hợp đồng)</t>
    </r>
  </si>
  <si>
    <t>quyzhnqaan2112@gmail.com</t>
  </si>
  <si>
    <t>Số 3 ngách 7 ngõ 8 tổ 5 phường phú lương hà đông hà nội</t>
  </si>
  <si>
    <t>24/08/2024 và 02/09/2024</t>
  </si>
  <si>
    <t>https://drive.google.com/open?id=1uVUi3F2i3YM91UU0ai8bZmrxXIxAOzUD; https://drive.google.com/open?id=1uEtbpGfWDy9aCuVFhUmtoUVeBcMa1wgr; https://drive.google.com/open?id=14d-5uKcL-eLdqBt1SN1KeLlH-uaPo_Zp</t>
  </si>
  <si>
    <t>https://www.facebook.com/profile.php?id=100064516904491&amp;mibextid=LQQJ4d</t>
  </si>
  <si>
    <t>Phạm Việt Dũng</t>
  </si>
  <si>
    <t>số 42 ngõ126 Hoàng Văn Thái,Khương Trung,Thanh Xuân,HN</t>
  </si>
  <si>
    <t>26/08/2024 và 09/09/2024</t>
  </si>
  <si>
    <t>https://drive.google.com/open?id=1iu0x3aGZuoEb9L9F70yMCUEyNEePvPJW; https://drive.google.com/open?id=1HW0xurpeFRwoW_V24ga3wT7ZKj3MSbcD; https://drive.google.com/open?id=1UJK-EDRzlikDmvQuqMQRObYkmiJdmFE-</t>
  </si>
  <si>
    <t>PT148</t>
  </si>
  <si>
    <t>https://www.facebook.com/profile.php?id=100035254335354</t>
  </si>
  <si>
    <r>
      <rPr>
        <sz val="12"/>
        <color theme="1"/>
        <rFont val="Times New Roman"/>
        <family val="1"/>
      </rPr>
      <t xml:space="preserve">Ánh Hồng </t>
    </r>
    <r>
      <rPr>
        <sz val="12"/>
        <color rgb="FFFF0000"/>
        <rFont val="Times New Roman"/>
        <family val="1"/>
      </rPr>
      <t>- Đã nộp 300K 15/09/2024
PT120 bảo lưu b3 đi quân sự. Học PT148 b1</t>
    </r>
  </si>
  <si>
    <t>số nhà E8 tổ 22 Thị Trấn Đông Anh hà nội</t>
  </si>
  <si>
    <t>https://drive.google.com/open?id=1T8ns48P0nb_0RI3SHXmXUSAUIEFSaouB; https://drive.google.com/open?id=1murWbr-QidfPOFarK4eKux78VlPxWAqc</t>
  </si>
  <si>
    <t>https://www.facebook.com/profile.php?id=100046999778013&amp;rdid=uWiAt2B6mVXm6A4x&amp;share_url=https%3A%2F%2Fwww.facebook.com%2Fshare%2FsHXTBE8oEAe9e1No%2F</t>
  </si>
  <si>
    <r>
      <rPr>
        <sz val="12"/>
        <color theme="1"/>
        <rFont val="Times New Roman"/>
        <family val="1"/>
      </rPr>
      <t xml:space="preserve">Nguyễn Hữu Đức </t>
    </r>
    <r>
      <rPr>
        <sz val="12"/>
        <color rgb="FFFF0000"/>
        <rFont val="Times New Roman"/>
        <family val="1"/>
      </rPr>
      <t>(hợp đồng) - gửi sách về nhà</t>
    </r>
  </si>
  <si>
    <t>Ducnguyen2005129@gmail.com</t>
  </si>
  <si>
    <t>trung tâm</t>
  </si>
  <si>
    <t>28/06/2024 và 13/09/2024</t>
  </si>
  <si>
    <t>https://drive.google.com/open?id=1hmkWbiA0kmS_UosmiQE263SdiGdV8Awn; https://drive.google.com/open?id=1_FA_PGpaADXPboUoF3A7gSJbXF_nlfXs; https://drive.google.com/open?id=19zh6tiFGFlYrzG1Q-_4ck0CUJR2AtCoZ</t>
  </si>
  <si>
    <t>https://www.facebook.com/profile.php?id=100046565180114&amp;rdid=BfyvBaSzIgtvVZqj&amp;share_url=https%3A%2F%2Fwww.facebook.com%2Fshare%2FiAvDicD1teCeE1gW%2F</t>
  </si>
  <si>
    <r>
      <rPr>
        <sz val="12"/>
        <color theme="1"/>
        <rFont val="Times New Roman"/>
        <family val="1"/>
      </rPr>
      <t xml:space="preserve">Đỗ Đức Vinh </t>
    </r>
    <r>
      <rPr>
        <sz val="12"/>
        <color rgb="FFFF0000"/>
        <rFont val="Times New Roman"/>
        <family val="1"/>
      </rPr>
      <t>(hợp đồng)</t>
    </r>
  </si>
  <si>
    <t>vinhdo976@gmail.com</t>
  </si>
  <si>
    <t>26/08/2024 và 13/09/2024</t>
  </si>
  <si>
    <t>https://drive.google.com/open?id=17ZzkXeeY-A0kFrPkkeGlRiMoa8DT9X61; https://drive.google.com/open?id=1OMpZrAcMzgZBiaoOp6Z3V3ouaeFN6nIV; https://drive.google.com/open?id=1cuH9Gih4ZdZWr_ZS9CtOrSsaegT9B4Qa</t>
  </si>
  <si>
    <t>https://www.facebook.com/profile.php?id=100068967093681&amp;rdid=0POMhtA1o6PbzYq8&amp;share_url=https%3A%2F%2Fwww.facebook.com%2Fshare%2FRFMwhwP3MgKE8iAk%2F</t>
  </si>
  <si>
    <t>Ngô Thị Yến Vi</t>
  </si>
  <si>
    <t>ntyv111105@gmail.com</t>
  </si>
  <si>
    <t>https://drive.google.com/open?id=1GexLb7_xavuscP3wqHNzcW2Sjss-iErH; https://drive.google.com/open?id=1llNY9BSvHa751RwXqf84hz2rIenSaJWJ; https://drive.google.com/open?id=1mCPSpkufiebrwzdt1ePLfE09bxLIqyUt</t>
  </si>
  <si>
    <t>https://www.facebook.com/conich.khong.9277?rdid=cRyRkXbuP8OUdo7O&amp;share_url=https%3A%2F%2Fwww.facebook.com%2Fshare%2FMaMJvWz4pXduH4iK%2F</t>
  </si>
  <si>
    <t>Đinh Thùy Linh</t>
  </si>
  <si>
    <t>Linhhan2903@gmail.com</t>
  </si>
  <si>
    <t>Ngách 24 ngõ thổ quan khâm thiên đống đa Hà Nội</t>
  </si>
  <si>
    <t>https://drive.google.com/open?id=1DPalSBOI1f0VkQ3DEkgYlnhNBAHHo-fS; https://drive.google.com/open?id=1uduuMvFFh5lpWSIRgrv-384HRq3HBToF; https://drive.google.com/open?id=1Ifighx40ywSm6pbcYqm9YnaGOYLe8aaW</t>
  </si>
  <si>
    <t>https://www.facebook.com/profile.php?id=100074217194969&amp;mibextid=ZbWKwL</t>
  </si>
  <si>
    <r>
      <rPr>
        <sz val="12"/>
        <color theme="1"/>
        <rFont val="Times New Roman"/>
        <family val="1"/>
      </rPr>
      <t xml:space="preserve">Phạm Phương Anh </t>
    </r>
    <r>
      <rPr>
        <sz val="12"/>
        <color rgb="FFFF0000"/>
        <rFont val="Times New Roman"/>
        <family val="1"/>
      </rPr>
      <t>- hợp đồng</t>
    </r>
  </si>
  <si>
    <t>phamphuonganh23102006@gmail.com</t>
  </si>
  <si>
    <t xml:space="preserve">nhà số 9, tổ 8, thị trấn an dương, huyện an dương, tp hải phòng </t>
  </si>
  <si>
    <t>https://drive.google.com/open?id=1yb6aDn9BFiF3eg7qyQtMO_nClbhJ3Ew6; https://drive.google.com/open?id=1zW6zUxs-fOjLT9ZEESyBXEZl7odwsS-L</t>
  </si>
  <si>
    <t>OPT31</t>
  </si>
  <si>
    <t>https://www.facebook.com/profile.php?id=100053333910106&amp;mibextid=LQQJ4d</t>
  </si>
  <si>
    <t>Trần Đăng Hiếu</t>
  </si>
  <si>
    <t>Hoa</t>
  </si>
  <si>
    <t>hieutrandang1210@gmail.com</t>
  </si>
  <si>
    <t>https://drive.google.com/open?id=1seYTi_R-5fHTTx2U3Bp-jd17xcXhMJB4; https://drive.google.com/open?id=167muQjV8LwXAg5DiQt7b312Q231IulPE</t>
  </si>
  <si>
    <t>https://www.facebook.com/phuc.vvuuhhuu?mibextid=LQQJ4d</t>
  </si>
  <si>
    <r>
      <rPr>
        <sz val="12"/>
        <color theme="1"/>
        <rFont val="Times New Roman"/>
        <family val="1"/>
      </rPr>
      <t xml:space="preserve">Vũ Hữu Phúc </t>
    </r>
    <r>
      <rPr>
        <sz val="12"/>
        <color rgb="FFFF0000"/>
        <rFont val="Times New Roman"/>
        <family val="1"/>
      </rPr>
      <t>- Phuc Vvuuhhuu</t>
    </r>
  </si>
  <si>
    <t>vuhuuphuc2006@gmail.com</t>
  </si>
  <si>
    <t>https://drive.google.com/open?id=1qtH2aTXOtogAxcWX8GLX2uF6KWHkdvmd; https://drive.google.com/open?id=1IssLsa3cu9gNtVUevkBOFSA2F58lYFzK</t>
  </si>
  <si>
    <t>https://www.facebook.com/slime.nguyen.56?mibextid=ZbWKwL</t>
  </si>
  <si>
    <t>Nguyễn Hà Quyên</t>
  </si>
  <si>
    <t xml:space="preserve">haquyen1206@gmail.com </t>
  </si>
  <si>
    <t>khu công chứng số 7, ngõ số 17 đường Văn Phú, phường phú la, tổ dân phố 3, quận Hà Đông - tp Hà Nội</t>
  </si>
  <si>
    <t>https://drive.google.com/open?id=1i9M5ejf8mWtuPnYHqc1Eg1z-SfseYlIe; https://drive.google.com/open?id=1ifSG_PaY9nHBlNbWlCyccQH5t0_Myb3w</t>
  </si>
  <si>
    <t>https://www.facebook.com/profile.php?id=100052367741451&amp;mibextid=LQQJ4d</t>
  </si>
  <si>
    <r>
      <rPr>
        <sz val="12"/>
        <color theme="1"/>
        <rFont val="Times New Roman"/>
        <family val="1"/>
      </rPr>
      <t xml:space="preserve">Trần Văn Đức </t>
    </r>
    <r>
      <rPr>
        <sz val="12"/>
        <color rgb="FFFF0000"/>
        <rFont val="Times New Roman"/>
        <family val="1"/>
      </rPr>
      <t>(hợp đồng)</t>
    </r>
  </si>
  <si>
    <t>Phố Thành Yên phường Quảng Thành TP Thanh Hoá</t>
  </si>
  <si>
    <t>https://drive.google.com/open?id=14OxuGacMInMEwRz1eon7x3DP5Q2mQA-S; https://drive.google.com/open?id=17FeF2xXHQNKKayS8uTTKLmedE_24cNz8</t>
  </si>
  <si>
    <t>https://www.facebook.com/dung.hoatien.988?mibextid=LQQJ4d</t>
  </si>
  <si>
    <r>
      <rPr>
        <sz val="12"/>
        <color theme="1"/>
        <rFont val="Times New Roman"/>
        <family val="1"/>
      </rPr>
      <t xml:space="preserve">Hoả Tiến Dũng </t>
    </r>
    <r>
      <rPr>
        <sz val="12"/>
        <color rgb="FFFF0000"/>
        <rFont val="Times New Roman"/>
        <family val="1"/>
      </rPr>
      <t>OPT25</t>
    </r>
  </si>
  <si>
    <t>22/08/2024 và 14/09/2024</t>
  </si>
  <si>
    <t>https://drive.google.com/open?id=1UU5byWoCV5hlxpjo_wIVcsg3JFnjGkKE; https://drive.google.com/open?id=1NBW-IzQDLSCOaqfee8mW2gWx5yRaJf8J</t>
  </si>
  <si>
    <t>https://www.facebook.com/profile.php?id=100079310375696&amp;mibextid=LQQJ4d</t>
  </si>
  <si>
    <t xml:space="preserve"> Nguyễn Khánh Ngọc </t>
  </si>
  <si>
    <t>24/08/2024 và 03/09/2024</t>
  </si>
  <si>
    <t>28/09/2024 và 30/09/2024</t>
  </si>
  <si>
    <t>https://drive.google.com/open?id=1AwWf-tlf0hSGldZmiLMSCw4ZzfgWoKUm; https://drive.google.com/open?id=111O7vlf4ttKxe8faR-fUoCQPlVvxT_MT; https://drive.google.com/open?id=150OJJyLJpc-fwB89WJimOc9i0h2DSPR-, https://drive.google.com/open?id=1kM8wIKVt61ydGPYBZjr1wv9N4YYet6Si</t>
  </si>
  <si>
    <t>https://www.facebook.com/lehaduong16122006?mibextid=ZbWKwL</t>
  </si>
  <si>
    <r>
      <rPr>
        <sz val="12"/>
        <color theme="1"/>
        <rFont val="Times New Roman"/>
        <family val="1"/>
      </rPr>
      <t xml:space="preserve">Lê Hà Dương </t>
    </r>
    <r>
      <rPr>
        <sz val="12"/>
        <color rgb="FFFF0000"/>
        <rFont val="Times New Roman"/>
        <family val="1"/>
      </rPr>
      <t>(hợp đồng)</t>
    </r>
  </si>
  <si>
    <t xml:space="preserve">lehaduong161206@gmail.com </t>
  </si>
  <si>
    <t>Cạnh quầy thuốc Minh Nguyệt-thị tứ Chợ Chanh-thôn Mỹ Xuyên-xã Nhân Mỹ-Huyện Lý Nhân-tỉnh Hà Nam</t>
  </si>
  <si>
    <t>26/08/2024 và 30/08/2024</t>
  </si>
  <si>
    <t>https://drive.google.com/open?id=1-zI1nL1ztq3Wufm4MJwy01vCWKY2MJLq; https://drive.google.com/open?id=1FABNcpYK-k1saJCJiH7uOhhqg6I8Magj; https://drive.google.com/open?id=1M_W448XvQ0Y4gMkrP15rEcT-yTsf99Oy</t>
  </si>
  <si>
    <t>OPT29 nghỉ ngang b12  việc cá nhân ko tiện chia sẻ. Huy chat</t>
  </si>
  <si>
    <t>https://www.facebook.com/ngocchau.nguyenthi.1291?mibextid=LQQJ4d</t>
  </si>
  <si>
    <r>
      <rPr>
        <sz val="12"/>
        <color theme="1"/>
        <rFont val="Times New Roman"/>
        <family val="1"/>
      </rPr>
      <t xml:space="preserve">Nguyễn Thị Ngọc Châu </t>
    </r>
    <r>
      <rPr>
        <sz val="12"/>
        <color rgb="FFFF0000"/>
        <rFont val="Times New Roman"/>
        <family val="1"/>
      </rPr>
      <t>(hợp đồng)</t>
    </r>
  </si>
  <si>
    <t>ngocchou890@gmail.com</t>
  </si>
  <si>
    <t>27/08/2024 và 09/09/2024</t>
  </si>
  <si>
    <t>https://drive.google.com/open?id=1E3HAYD6La7NL2_VCAe9iPMFp9oUr0vAc; https://drive.google.com/open?id=1VnjklaRTf3MZUgJwCkrKW0LAr7pAvd2L</t>
  </si>
  <si>
    <t>https://www.facebook.com/profile.php?id=61550765093463&amp;mibextid=LQQJ4d</t>
  </si>
  <si>
    <r>
      <rPr>
        <sz val="12"/>
        <color theme="1"/>
        <rFont val="Times New Roman"/>
        <family val="1"/>
      </rPr>
      <t>Vũ Nam Bình</t>
    </r>
    <r>
      <rPr>
        <sz val="12"/>
        <color rgb="FFFF0000"/>
        <rFont val="Times New Roman"/>
        <family val="1"/>
      </rPr>
      <t xml:space="preserve"> - nick Ngọc Lam </t>
    </r>
    <r>
      <rPr>
        <sz val="12"/>
        <color theme="1"/>
        <rFont val="Times New Roman"/>
        <family val="1"/>
      </rPr>
      <t>0904206007 sđt mẹ</t>
    </r>
  </si>
  <si>
    <t>https://drive.google.com/open?id=1v4JgakBFS1vgkqhCKROQJFk9S_f_xhXF; https://drive.google.com/open?id=1ljwqapXMKwvJHH-X1qtCwc0smNpzoIAd</t>
  </si>
  <si>
    <t>https://www.facebook.com/people/Minh-Th%C6%B0/pfbid02VrcwnRYHbPmE7YzrfncawXHRuo1YzSvYAouuUwpZBwxwhCMfCNKuLnbLg6z9HeUxl/</t>
  </si>
  <si>
    <t xml:space="preserve">Vũ Thị Minh Thư </t>
  </si>
  <si>
    <t>Nhà văn hoá thôn xuân lễ - xã tân dân- huyện sóc sơn- hà nội</t>
  </si>
  <si>
    <t>https://drive.google.com/open?id=16zyiDtZX_s5OoWvIuO_uo9aAlUoCNmjI, https://drive.google.com/open?id=1TrlIwLHnnF6HIf2K7_p82xh08FOFYzWf</t>
  </si>
  <si>
    <t>https://www.facebook.com/profile.php?id=100011229794448&amp;mibextid=ZbWKwL</t>
  </si>
  <si>
    <r>
      <rPr>
        <sz val="12"/>
        <color theme="1"/>
        <rFont val="Times New Roman"/>
        <family val="1"/>
      </rPr>
      <t xml:space="preserve">Hà Phương Thảo </t>
    </r>
    <r>
      <rPr>
        <sz val="12"/>
        <color rgb="FFFF0000"/>
        <rFont val="Times New Roman"/>
        <family val="1"/>
      </rPr>
      <t>(hợp đồng)</t>
    </r>
  </si>
  <si>
    <t>haphuongthao251106@gmail.com</t>
  </si>
  <si>
    <t>Số 6, Hẻm 49/1/15, Tổ 18, Phường Đức Giang, Long Biên, Hà Nội</t>
  </si>
  <si>
    <t>28/08/2024 và 11/09/2024</t>
  </si>
  <si>
    <t>https://drive.google.com/open?id=1yfnIi4zuyDTTXVkQd_EwJW5bnhqgV4nx; https://drive.google.com/open?id=1rN7xtn0176tUh21PcoSZoOYuCHVM1uHO; https://drive.google.com/open?id=1tFS7DVUCNv357w33oXMX6SAFAet5zcCY</t>
  </si>
  <si>
    <t>https://www.facebook.com/co.mai.9277583?mibextid=LQQJ4d</t>
  </si>
  <si>
    <r>
      <rPr>
        <sz val="12"/>
        <color theme="1"/>
        <rFont val="Times New Roman"/>
        <family val="1"/>
      </rPr>
      <t xml:space="preserve">Lê Thị Mai </t>
    </r>
    <r>
      <rPr>
        <sz val="12"/>
        <color rgb="FFFF0000"/>
        <rFont val="Times New Roman"/>
        <family val="1"/>
      </rPr>
      <t>(hợp đồng)</t>
    </r>
  </si>
  <si>
    <t>Hồng Anh Meca</t>
  </si>
  <si>
    <t xml:space="preserve">Hồng Anh </t>
  </si>
  <si>
    <t>lethim575@gmail.com</t>
  </si>
  <si>
    <t>nhà riêng, tdp Lý Viên, Tt Bắc Lý, Hiệp Hoà, Bắc Giang</t>
  </si>
  <si>
    <t>29/08/2024 và 04/09/2024</t>
  </si>
  <si>
    <t>https://drive.google.com/open?id=1hFZyzicm8g5bIpKRWHTi6Z7IGWyxHwLj; https://drive.google.com/open?id=1oc1-ZBQeliwf1BUfOuVoJ7XOpuKP6tIy; https://drive.google.com/open?id=1vUycTMQzvWOlUioUnj6ctfs9diImtOzV</t>
  </si>
  <si>
    <t>https://www.facebook.com/hung.haxuan.1407?mibextid=LQQJ4d</t>
  </si>
  <si>
    <r>
      <rPr>
        <sz val="12"/>
        <color theme="1"/>
        <rFont val="Times New Roman"/>
        <family val="1"/>
      </rPr>
      <t>Hà Xuân Hùng</t>
    </r>
    <r>
      <rPr>
        <sz val="12"/>
        <color rgb="FFFF0000"/>
        <rFont val="Times New Roman"/>
        <family val="1"/>
      </rPr>
      <t xml:space="preserve"> (hợp đồng) - Tiến vào màn đêm</t>
    </r>
  </si>
  <si>
    <t>hungeditor2402@gmail.com</t>
  </si>
  <si>
    <t>Kim Hoa-Mê Linh-Hà Nội</t>
  </si>
  <si>
    <t>29/08/2024 và 23/09/2024</t>
  </si>
  <si>
    <t>https://drive.google.com/open?id=1coMTAzB6oxL2UyiNRodAL7frPLTIc_XC; https://drive.google.com/open?id=1iSOMQdO4RyrbqpqrvfugwGpp8NINttSo</t>
  </si>
  <si>
    <t>Nhờ Yến cầm sách</t>
  </si>
  <si>
    <t>PT158</t>
  </si>
  <si>
    <t>https://www.facebook.com/profile.php?id=100069248245333&amp;mibextid=LQQJ4d</t>
  </si>
  <si>
    <r>
      <rPr>
        <sz val="12"/>
        <color theme="1"/>
        <rFont val="Times New Roman"/>
        <family val="1"/>
      </rPr>
      <t xml:space="preserve">Huỳnh Thị Phương Nga </t>
    </r>
    <r>
      <rPr>
        <sz val="12"/>
        <color rgb="FFFF0000"/>
        <rFont val="Times New Roman"/>
        <family val="1"/>
      </rPr>
      <t>(hợp đồng) - đã nộp 300K 02/12/24
PT122 bảo lưu b2 đi quân sự. Học PT158 b1</t>
    </r>
  </si>
  <si>
    <t>thôn Hướng Xá, xã Quất Động, Thường Tín, Hà Nội.</t>
  </si>
  <si>
    <t>https://drive.google.com/open?id=1PxroNQhVp68YvvUCoFV6ZFNoSgcr2UFa</t>
  </si>
  <si>
    <t>30/08/2024 sách cũ. Hạ combo</t>
  </si>
  <si>
    <t>https://www.facebook.com/profile.php?id=100075037448094&amp;mibextid=LQQJ4d</t>
  </si>
  <si>
    <r>
      <rPr>
        <sz val="12"/>
        <color theme="1"/>
        <rFont val="Times New Roman"/>
        <family val="1"/>
      </rPr>
      <t xml:space="preserve">Bùi Tuệ Trân </t>
    </r>
    <r>
      <rPr>
        <sz val="12"/>
        <color rgb="FFFF0000"/>
        <rFont val="Times New Roman"/>
        <family val="1"/>
      </rPr>
      <t>(hợp đồng)</t>
    </r>
  </si>
  <si>
    <t>tuetran240726@gmail.com</t>
  </si>
  <si>
    <t>76 Lê Vĩnh Hoà, Phú Thọ Hoà, Tân Phú, TpHCM</t>
  </si>
  <si>
    <t>https://drive.google.com/open?id=1VQPiT4gxvPbLi8fDz7DH5p3_DKeGzUwZ; https://drive.google.com/open?id=1QWoqeIGC6ukWoQuLXPvqToJmGk2v73Q9</t>
  </si>
  <si>
    <t>PT122 nghỉ ngang b8 Hạ báo</t>
  </si>
  <si>
    <t>https://www.facebook.com/profile.php?id=100052101001407&amp;mibextid=LQQJ4d</t>
  </si>
  <si>
    <r>
      <rPr>
        <sz val="12"/>
        <color theme="1"/>
        <rFont val="Times New Roman"/>
        <family val="1"/>
      </rPr>
      <t xml:space="preserve">Nguyễn Thị Thu Hà </t>
    </r>
    <r>
      <rPr>
        <sz val="12"/>
        <color rgb="FFFF0000"/>
        <rFont val="Times New Roman"/>
        <family val="1"/>
      </rPr>
      <t>(hợp đồng)</t>
    </r>
  </si>
  <si>
    <t>thuha20062401@gmail.com</t>
  </si>
  <si>
    <t>Công ty Bắc Việt, kcn Đồng Côi, Nam Giang, Nam Trực, Nam Định</t>
  </si>
  <si>
    <t>https://drive.google.com/open?id=1S_xMOLUg-sppIBYDLvh7QCSKBgsq4iog; https://drive.google.com/open?id=1Xgz5lqw684GUx-g72uTToZzAVw0OAff-</t>
  </si>
  <si>
    <t>https://www.facebook.com/profile.php?id=100087047088347&amp;mibextid=LQQJ4d</t>
  </si>
  <si>
    <r>
      <rPr>
        <sz val="12"/>
        <color theme="1"/>
        <rFont val="Times New Roman"/>
        <family val="1"/>
      </rPr>
      <t xml:space="preserve">Lê Thu Hồng </t>
    </r>
    <r>
      <rPr>
        <sz val="12"/>
        <color rgb="FFFF0000"/>
        <rFont val="Times New Roman"/>
        <family val="1"/>
      </rPr>
      <t>(hợp đồng)</t>
    </r>
  </si>
  <si>
    <t>tổ 112 khu 10b số nhà 24 cửa ông cẩm phả quảng ninh</t>
  </si>
  <si>
    <t>https://drive.google.com/open?id=1AH_8cNbEl8vaVfMMXEIl3f88dSPGBuI8; https://drive.google.com/open?id=1MNgOV7ih5ZDX5boyiCpWAyysmooj4Ki5</t>
  </si>
  <si>
    <t>https://www.facebook.com/profile.php?id=100072490397858&amp;mibextid=LQQJ4d</t>
  </si>
  <si>
    <r>
      <rPr>
        <sz val="12"/>
        <color theme="1"/>
        <rFont val="Times New Roman"/>
        <family val="1"/>
      </rPr>
      <t xml:space="preserve">Ngô Gia Bảo </t>
    </r>
    <r>
      <rPr>
        <sz val="12"/>
        <color rgb="FFFF0000"/>
        <rFont val="Times New Roman"/>
        <family val="1"/>
      </rPr>
      <t>(hợp đồng)</t>
    </r>
  </si>
  <si>
    <t xml:space="preserve"> toà b1 ngõ 3 khuất duy tiến, thanh xuân Hà Nội</t>
  </si>
  <si>
    <t>29/08/2024 và 01/09/2024 và 18/09/2024</t>
  </si>
  <si>
    <r>
      <rPr>
        <u/>
        <sz val="12"/>
        <color rgb="FF1155CC"/>
        <rFont val="Times New Roman"/>
        <family val="1"/>
      </rPr>
      <t xml:space="preserve">https://drive.google.com/open?id=1Pm4B-UkmBljWRpC1wYT7PfujYbyXQVt7; https://drive.google.com/open?id=1avasYmXmqrxVhy-iooTc5kpbi1IAsmvF; https://drive.google.com/open?id=1OrtFVhL_HWrhM51meweLQCXYDVL9-DH2; </t>
    </r>
    <r>
      <rPr>
        <u/>
        <sz val="12"/>
        <color rgb="FF1155CC"/>
        <rFont val="Times New Roman"/>
        <family val="1"/>
      </rPr>
      <t>https://drive.google.com/open?id=1w8hyh1WZhNVyfpkX0uaGAvKygb8Gb5fy</t>
    </r>
  </si>
  <si>
    <t>https://www.facebook.com/profile.php?id=100068407743435&amp;locale=vi_VN</t>
  </si>
  <si>
    <r>
      <rPr>
        <sz val="12"/>
        <color theme="1"/>
        <rFont val="Times New Roman"/>
        <family val="1"/>
      </rPr>
      <t>Nguyễn Như Bình</t>
    </r>
    <r>
      <rPr>
        <sz val="12"/>
        <color rgb="FFFF0000"/>
        <rFont val="Times New Roman"/>
        <family val="1"/>
      </rPr>
      <t xml:space="preserve"> (hợp đồng)</t>
    </r>
  </si>
  <si>
    <t>https://drive.google.com/open?id=1DtoE8Lj3mSqkaVfbIJ9ClwfDMXL3r8WJ; https://drive.google.com/open?id=1JvggFJYKrmD88pJrFJ2LN22tt1ePCYZA</t>
  </si>
  <si>
    <t>https://www.facebook.com/profile.php?id=100021788392729</t>
  </si>
  <si>
    <r>
      <rPr>
        <sz val="12"/>
        <color theme="1"/>
        <rFont val="Times New Roman"/>
        <family val="1"/>
      </rPr>
      <t xml:space="preserve">Nguyễn Văn Toàn </t>
    </r>
    <r>
      <rPr>
        <sz val="12"/>
        <color rgb="FFFF0000"/>
        <rFont val="Times New Roman"/>
        <family val="1"/>
      </rPr>
      <t>- đã chuyển nhượng VIP 11/02/2025</t>
    </r>
  </si>
  <si>
    <t xml:space="preserve"> toan71357@gmail.com  </t>
  </si>
  <si>
    <t>https://drive.google.com/open?id=1bCsQtFHtGbOqO9X3cYvb9h4qW0OQvlJ2; https://drive.google.com/open?id=1UHm-JhLdd4q10zlZmR_u2vpzkjiQ4hiN</t>
  </si>
  <si>
    <t>https://www.facebook.com/profile.php?id=100084079350305&amp;mibextid=LQQJ4d</t>
  </si>
  <si>
    <t xml:space="preserve">Nguyễn Thị Dung </t>
  </si>
  <si>
    <t>Thế  Anh</t>
  </si>
  <si>
    <t>Trực tiếp</t>
  </si>
  <si>
    <t>https://drive.google.com/open?id=13M4UKjujbeDUK-gBLQ3N4sspOTgzifgM; https://drive.google.com/open?id=1iPBYrM487htKAGDFZGCvbiejq_40LsQr</t>
  </si>
  <si>
    <t>https://www.facebook.com/profile.php?id=100078684363424</t>
  </si>
  <si>
    <t xml:space="preserve">Nguyễn Thị Thuỳ Linh </t>
  </si>
  <si>
    <t>thuylinh121106@gmail.com</t>
  </si>
  <si>
    <t>Đội 4 thôn trần xá xã nam hưng huyện nam sách tỉnh hải dương</t>
  </si>
  <si>
    <r>
      <rPr>
        <u/>
        <sz val="12"/>
        <color rgb="FF1155CC"/>
        <rFont val="Times New Roman"/>
        <family val="1"/>
      </rPr>
      <t xml:space="preserve">https://drive.google.com/open?id=124NLeYr38GQp-t3B777h_p2sxgl_76Ey; </t>
    </r>
    <r>
      <rPr>
        <u/>
        <sz val="12"/>
        <color rgb="FF1155CC"/>
        <rFont val="Times New Roman"/>
        <family val="1"/>
      </rPr>
      <t>https://drive.google.com/open?id=1Dwj60sAyUKYIoyXs_Hr73nRLkIKrUghU</t>
    </r>
  </si>
  <si>
    <t>https://www.facebook.com/tranger.bw?mibextid=LQQJ4d</t>
  </si>
  <si>
    <r>
      <rPr>
        <sz val="12"/>
        <color theme="1"/>
        <rFont val="Times New Roman"/>
        <family val="1"/>
      </rPr>
      <t xml:space="preserve">Nguyễn Thuỳ Trang </t>
    </r>
    <r>
      <rPr>
        <sz val="12"/>
        <color rgb="FFFF0000"/>
        <rFont val="Times New Roman"/>
        <family val="1"/>
      </rPr>
      <t>(hợp đồng)</t>
    </r>
  </si>
  <si>
    <t xml:space="preserve">Số nhà 5-Đường Phúc Sơn-Phường Vũ Ninh-TP Bắc Ninh-Tỉnh Bắc Ninh </t>
  </si>
  <si>
    <t>9/24/0204</t>
  </si>
  <si>
    <t>https://drive.google.com/open?id=1fwDR_LSMTt529NpOAgcA41TTSGf0vq7B, https://drive.google.com/open?id=1Zn0EdB7OtpyH1G3EIvYpTJv8701Y35Rj; https://drive.google.com/open?id=1U-zw6atjX3UFRQHYDVH0ppfExx1sD4CN</t>
  </si>
  <si>
    <t>https://www.facebook.com/profile.php?id=100053632210093</t>
  </si>
  <si>
    <r>
      <rPr>
        <sz val="12"/>
        <color theme="1"/>
        <rFont val="Times New Roman"/>
        <family val="1"/>
      </rPr>
      <t xml:space="preserve">Ngô Phương Linh </t>
    </r>
    <r>
      <rPr>
        <sz val="12"/>
        <color rgb="FFFF0000"/>
        <rFont val="Times New Roman"/>
        <family val="1"/>
      </rPr>
      <t>(hợp đồng)</t>
    </r>
  </si>
  <si>
    <t xml:space="preserve">X7 thôn Tân Trào-Nam Hưng -Tiền Hải-Thái Bình </t>
  </si>
  <si>
    <t>https://drive.google.com/open?id=1Z8H0EQy1k1DachVW8B_dFWgovri6poSH; https://drive.google.com/open?id=1V7pLLRNY4hkj_OwH17NF0A8BsvvXR-eN</t>
  </si>
  <si>
    <t>https://www.facebook.com/profile.php?id=61560335199759</t>
  </si>
  <si>
    <t>Vi Mạnh Cường</t>
  </si>
  <si>
    <t>manhcuongvi37@gmail.com</t>
  </si>
  <si>
    <t xml:space="preserve">tại lớp học </t>
  </si>
  <si>
    <t>31/08/2024 và 12/09/2024</t>
  </si>
  <si>
    <t>https://drive.google.com/open?id=1X-INSkezkDCd955OWWIJ4Tf2IBtWRG-c; https://drive.google.com/open?id=1_J82oDfzPfV0mCOrdzZieYpCwl4D0KFN; https://drive.google.com/open?id=1hNMZ4SoWmVvHT0MBbabgBX33e2NuqM_I</t>
  </si>
  <si>
    <t>https://www.facebook.com/kienvutrann?mibextid=ZbWKwL</t>
  </si>
  <si>
    <t>Vũ Ngọc Trần Kiên</t>
  </si>
  <si>
    <t>giang</t>
  </si>
  <si>
    <t>vungoctrankien@gmail.com</t>
  </si>
  <si>
    <t>Nguyễn Huệ, Phường 7, TP. Tuy Hòa,Phú Yên,</t>
  </si>
  <si>
    <t>https://drive.google.com/open?id=1f65VDQJAxcSKLMlk8AKpaxTGFbK45OSM</t>
  </si>
  <si>
    <t>https://www.facebook.com/khanh.hong.3998263?mibextid=ZbWKwL</t>
  </si>
  <si>
    <t>Nguyễn Khánh Hồng</t>
  </si>
  <si>
    <t>26 Tống Duy Tân, phường Hàng Bông, quận Hoàn Kiếm, Hà Nội</t>
  </si>
  <si>
    <t>https://drive.google.com/open?id=1hXZwK-HbwR14-1ydes9ROYBOu9V0WJ0i; https://drive.google.com/open?id=1pihiz1oy7ly3oUVFWqQuXiKMvJXu9OOu</t>
  </si>
  <si>
    <t>https://www.facebook.com/profile.php?id=100072391633140</t>
  </si>
  <si>
    <t>Nguyễn Thị Hoài Anh</t>
  </si>
  <si>
    <t xml:space="preserve">nguyenthihoaianh141@gmail.com </t>
  </si>
  <si>
    <t>76/71 đường an trường/An Khánh/Hoài Đức/ Hà Nội</t>
  </si>
  <si>
    <t>https://drive.google.com/open?id=1AY4ToS5rjS3w8IrkBjuyULWbBU7VMIlX; https://drive.google.com/open?id=1OqVq9dsQdYhWHlARYPOPhxU5ICQ4Fhkk</t>
  </si>
  <si>
    <t>https://www.facebook.com/hoaii.thu.2006?mibextid=ZbWKwL</t>
  </si>
  <si>
    <r>
      <rPr>
        <sz val="12"/>
        <color theme="1"/>
        <rFont val="Times New Roman"/>
        <family val="1"/>
      </rPr>
      <t xml:space="preserve">Vũ Thị Thu Hoài </t>
    </r>
    <r>
      <rPr>
        <sz val="12"/>
        <color rgb="FFFF0000"/>
        <rFont val="Times New Roman"/>
        <family val="1"/>
      </rPr>
      <t>(hợp đồng)</t>
    </r>
  </si>
  <si>
    <t>U03L82 kđt đô nghĩa, phường yên nghĩa, quận hà đông</t>
  </si>
  <si>
    <t>https://drive.google.com/open?id=1YlyG2wrXvzQMQxlkvzbOvtV4kBIKrIFB; https://drive.google.com/open?id=1dh1BpJvXKsw9G2XsAxtGSjnTAtiJnWjH</t>
  </si>
  <si>
    <t>https://www.facebook.com/profile.php?id=100080535865228</t>
  </si>
  <si>
    <t>Lê Nhật Minh</t>
  </si>
  <si>
    <t>Kim Thảo</t>
  </si>
  <si>
    <t xml:space="preserve"> khu vui chơi sóc nâu, đường ngô gia tự, xã phù vân, hà nam </t>
  </si>
  <si>
    <t>https://drive.google.com/open?id=1-aKk91CEzfpRd0sizhi4HtdK8JK8POpD</t>
  </si>
  <si>
    <t>https://www.facebook.com/panda.apink.94</t>
  </si>
  <si>
    <t>Ngô Quỳnh Hương</t>
  </si>
  <si>
    <t>03/09/2024 và 05/09/2024</t>
  </si>
  <si>
    <t>https://drive.google.com/open?id=17NL4BX07IIIKOkicuPLxQ-p5th94sNrt; https://drive.google.com/open?id=1I9n7tDpky4meC3tqQmBkmRp1gRUnEB5Z</t>
  </si>
  <si>
    <t>https://www.facebook.com/phvanh1301?mibextid=ZbWKwL</t>
  </si>
  <si>
    <r>
      <rPr>
        <sz val="12"/>
        <color theme="1"/>
        <rFont val="Times New Roman"/>
        <family val="1"/>
      </rPr>
      <t xml:space="preserve">Phạm Việt Anh </t>
    </r>
    <r>
      <rPr>
        <sz val="12"/>
        <color rgb="FFFF0000"/>
        <rFont val="Times New Roman"/>
        <family val="1"/>
      </rPr>
      <t>(Hợp đồng)</t>
    </r>
  </si>
  <si>
    <t>Nhà số 2 ngách 66 đình đông ngõ 105 bạch mai</t>
  </si>
  <si>
    <t>https://drive.google.com/open?id=1-79SALR2uvcODqcrqewINeHGdd81dA37; https://drive.google.com/open?id=16SAvHq6uYzzulAAT8pqTWIO9dAxTJwXz</t>
  </si>
  <si>
    <t>https://www.facebook.com/profile.php?id=100078684349712&amp;mibextid=LQQJ4d</t>
  </si>
  <si>
    <r>
      <rPr>
        <sz val="12"/>
        <color theme="1"/>
        <rFont val="Times New Roman"/>
        <family val="1"/>
      </rPr>
      <t>Nguyễn Đăng Thái</t>
    </r>
    <r>
      <rPr>
        <sz val="12"/>
        <color rgb="FFFF0000"/>
        <rFont val="Times New Roman"/>
        <family val="1"/>
      </rPr>
      <t xml:space="preserve"> (Hợp đồng)</t>
    </r>
  </si>
  <si>
    <t>Đỗ Xá-Vạn Điểm-Thường Tín-Hà Nội</t>
  </si>
  <si>
    <t>https://drive.google.com/open?id=1rNbe8KqgHKw6kISGa6_Rs5VLQcZoOvEs; https://drive.google.com/open?id=1KHtBuHjB4DtE7kaLXFS4C2c3R3iw3TkZ</t>
  </si>
  <si>
    <t>https://www.facebook.com/nhattan.hoang.1848?mibextid=ZbWKwL</t>
  </si>
  <si>
    <t>Hoàng Nhật Tân</t>
  </si>
  <si>
    <t>https://drive.google.com/open?id=1-EjJ_Ct93JQmmd1MXfenoMk4_IO9DZGg, https://drive.google.com/open?id=1tww7I2Ah6kiJW6b74UtPWKabcTyRge-0; https://drive.google.com/open?id=1zPYZNX2AOztkQ1trXs0ci7XRoTPRHc6l</t>
  </si>
  <si>
    <t>https://m.facebook.com/dung.lethuy.526438/</t>
  </si>
  <si>
    <t>Lê Thuỳ Dung</t>
  </si>
  <si>
    <t>https://drive.google.com/open?id=180B6QopCGzBB1SPT_2jKo8M1QJdYsmOb, https://drive.google.com/open?id=1yMr9g1z8T3CRvrCRRIujI8N3kxSdUkIP; https://drive.google.com/open?id=10BhesuDNhzJjFt2XgxHfDq_XtvakpptM</t>
  </si>
  <si>
    <t>https://www.facebook.com/profile.php?id=100042881387967&amp;mibextid=LQQJ4d</t>
  </si>
  <si>
    <r>
      <rPr>
        <sz val="12"/>
        <color theme="1"/>
        <rFont val="Times New Roman"/>
        <family val="1"/>
      </rPr>
      <t xml:space="preserve">Lê Thị Khánh Linh </t>
    </r>
    <r>
      <rPr>
        <sz val="12"/>
        <color rgb="FFFF0000"/>
        <rFont val="Times New Roman"/>
        <family val="1"/>
      </rPr>
      <t>(hợp đồng)</t>
    </r>
  </si>
  <si>
    <t>Thái Bảo Meca</t>
  </si>
  <si>
    <t>pepewppy.206@gmail.com</t>
  </si>
  <si>
    <t>Số nhà 148, đường Triệu Quốc Đạt, khu 4, Thị trấn Quán Lào, Yên Định, Thanh Hoá</t>
  </si>
  <si>
    <t>https://drive.google.com/open?id=1MHIp3OdJdV0Gto4zpqUqDlpXcUG5k8ZW; https://drive.google.com/open?id=1DXVnN0NNA3csh7tzq6bZM9EuNIlw34VD</t>
  </si>
  <si>
    <t>https://www.facebook.com/profile.php?id=100050651434039</t>
  </si>
  <si>
    <t>Nguyễn Bảo Trân</t>
  </si>
  <si>
    <t>baotran3070@gmail.com</t>
  </si>
  <si>
    <t>Số nhà 174, đường trục chính xã Tam Hiệp- huyện Phúc Thọ- Hà Nội</t>
  </si>
  <si>
    <t>https://drive.google.com/open?id=100Q8TaaJGyFHhhhX8VQv7LGeT0Ry9MBD</t>
  </si>
  <si>
    <t>https://www.facebook.com/profile.php?id=61554734484307</t>
  </si>
  <si>
    <t xml:space="preserve">Nguyễn Đăng Huy  </t>
  </si>
  <si>
    <t xml:space="preserve"> Nguyendanghuy258@gmail.com</t>
  </si>
  <si>
    <t>Số 6 ngõ 528 đường láng láng hạ, Đống Đa, Hà Nội</t>
  </si>
  <si>
    <t>01/09/2024 và 05/09/2024</t>
  </si>
  <si>
    <r>
      <rPr>
        <u/>
        <sz val="12"/>
        <color rgb="FF1155CC"/>
        <rFont val="Times New Roman"/>
        <family val="1"/>
      </rPr>
      <t xml:space="preserve">https://drive.google.com/open?id=1MSZF-ltPFxKgpSvX7wVaNJOIen7JZzlR; </t>
    </r>
    <r>
      <rPr>
        <u/>
        <sz val="12"/>
        <color rgb="FF1155CC"/>
        <rFont val="Times New Roman"/>
        <family val="1"/>
      </rPr>
      <t>https://drive.google.com/open?id=1-o9HNa87dv-UtbC4502YIvcgReRW7vxe</t>
    </r>
  </si>
  <si>
    <t>https://www.facebook.com/profile.php?id=100029499502239&amp;mibextid=LQQJ4d</t>
  </si>
  <si>
    <t xml:space="preserve">Lưu Ngọc Quỳnh Trang </t>
  </si>
  <si>
    <t xml:space="preserve"> Luuquynhtrang1703@gmail.com</t>
  </si>
  <si>
    <t>152 nguyễn đình hoàn</t>
  </si>
  <si>
    <t>https://drive.google.com/open?id=1vzKf0cVyJ2b16NT6uUcGNQbpGw4VsvxB; https://drive.google.com/open?id=1lP3d1VXHUiKd100Uyde9sIggKSdCEWQu</t>
  </si>
  <si>
    <t>https://www.facebook.com/profile.php?id=100024494588749</t>
  </si>
  <si>
    <t xml:space="preserve">Tẩn Phàn Mẩy  </t>
  </si>
  <si>
    <t>tmay3988@gmail.com</t>
  </si>
  <si>
    <t>https://drive.google.com/open?id=1Jh6sc23584LB3GXV-gsJgsO6rPcGu3Bb</t>
  </si>
  <si>
    <t>https://www.facebook.com/minhphong15</t>
  </si>
  <si>
    <t>Nguyễn Minh Phong</t>
  </si>
  <si>
    <t>Ninh</t>
  </si>
  <si>
    <t>nguyenminhphongvpc20@gmail.com</t>
  </si>
  <si>
    <t>số 1, 252 Định Công, Thanh Xuân, Hà Nội</t>
  </si>
  <si>
    <t>https://drive.google.com/open?id=16F1uAwvYj_bvZ2TFfU1q05EJK57iJm4K; https://drive.google.com/open?id=11-e8TwNwXN5HcjmEn6SjS6eFttP8wgrt</t>
  </si>
  <si>
    <t>https://www.facebook.com/profile.php?id=100052203168746</t>
  </si>
  <si>
    <t xml:space="preserve">Vũ Xuân Đạt </t>
  </si>
  <si>
    <t xml:space="preserve"> datvu4297@gmail.com</t>
  </si>
  <si>
    <t xml:space="preserve">Tại  lớp  </t>
  </si>
  <si>
    <t>https://drive.google.com/open?id=1CvOYZxi8xC4mhP1eBj_bp5C2ssJRyBKv; https://drive.google.com/open?id=1qd6a9Tqdoav1aji5y8tm2ysuvdfxFIl6; https://drive.google.com/open?id=1gFzove7X8TCgYOz9nnF9C28ppnQCWebC</t>
  </si>
  <si>
    <t>https://www.facebook.com/share/tAK8StqQ8EJBo5pq/?mibextid=LQQJ4d</t>
  </si>
  <si>
    <t xml:space="preserve"> nguyenthuyduong11d@gmail.com</t>
  </si>
  <si>
    <t xml:space="preserve">Tại lớp  </t>
  </si>
  <si>
    <t>29/08/2024 và 05/09/2024</t>
  </si>
  <si>
    <t>https://drive.google.com/open?id=1nFTgfyIL_qeDxkknvJePRy8RuN_NP2CF; https://drive.google.com/open?id=1b54uHu9jAgfHtLbooZQeG8-gXzsuDtnS; https://drive.google.com/open?id=1Q3HkNW9udHGHQmbFqeBzVTVncFHJ0wf0</t>
  </si>
  <si>
    <t>https://www.facebook.com/trinh.minh.hue1310</t>
  </si>
  <si>
    <t>Trịnh Minh Huệ</t>
  </si>
  <si>
    <t xml:space="preserve"> huetrinh2k5@gmail.com</t>
  </si>
  <si>
    <t xml:space="preserve">Tại  lớp </t>
  </si>
  <si>
    <t>https://drive.google.com/open?id=1isBaH3C4pNayyfnV5RnhIZ-05G_hEScU; https://drive.google.com/open?id=1N0s2yhj3uk5hDIuNZdHXTRH0AgKMB7mc; https://drive.google.com/open?id=1G2zzenK06AHJe02_t0gHydGgmmcLRYoe</t>
  </si>
  <si>
    <t>https://www.facebook.com/profile.php?id=100076888877010</t>
  </si>
  <si>
    <r>
      <rPr>
        <sz val="12"/>
        <color theme="1"/>
        <rFont val="Times New Roman"/>
        <family val="1"/>
      </rPr>
      <t xml:space="preserve">Nguyễn Ngọc Huyền - </t>
    </r>
    <r>
      <rPr>
        <sz val="12"/>
        <color rgb="FFFF0000"/>
        <rFont val="Times New Roman"/>
        <family val="1"/>
      </rPr>
      <t xml:space="preserve">(Cuaa) - </t>
    </r>
    <r>
      <rPr>
        <sz val="12"/>
        <color theme="1"/>
        <rFont val="Times New Roman"/>
        <family val="1"/>
      </rPr>
      <t>388676830 số cũ</t>
    </r>
  </si>
  <si>
    <t xml:space="preserve"> nngochuyen627@gmail.com</t>
  </si>
  <si>
    <t>Tại  lớp</t>
  </si>
  <si>
    <t>https://drive.google.com/open?id=1vsScdb6_VTQvDW-wUA78pzrxmIu4RinT</t>
  </si>
  <si>
    <t>https://drive.google.com/open?id=1KJLSjJZHJbIU4jvTlb4PJcfULdVeoKnc</t>
  </si>
  <si>
    <t>https://www.facebook.com/profile.php?id=100043022559403&amp;mibextid=LQQJ4d</t>
  </si>
  <si>
    <t xml:space="preserve">Lê Đức Minh Tiến  </t>
  </si>
  <si>
    <t xml:space="preserve"> tl7848744@gmail.com </t>
  </si>
  <si>
    <t>Ngõ 25 Quang Tiến,Giao Quang,Nam Từ Liêm, Hà Nội</t>
  </si>
  <si>
    <t>https://drive.google.com/open?id=1WuOJ-qvpyFtoeKJiiMQ6d-huQB4B_Enj; https://drive.google.com/open?id=1ptr4i8mUejwhgYq0RDCpAsmVyViIjAV2</t>
  </si>
  <si>
    <t>PT151</t>
  </si>
  <si>
    <t>https://www.facebook.com/profile.php?id=100049689072715&amp;mibextid=LQQJ4d</t>
  </si>
  <si>
    <r>
      <rPr>
        <sz val="12"/>
        <color theme="1"/>
        <rFont val="Times New Roman"/>
        <family val="1"/>
      </rPr>
      <t>Đàm Thị Ngọc Ánh</t>
    </r>
    <r>
      <rPr>
        <sz val="12"/>
        <color rgb="FFFF0000"/>
        <rFont val="Times New Roman"/>
        <family val="1"/>
      </rPr>
      <t xml:space="preserve"> - đã nộp 300K 29/10/2024
PT120 HV nói bảo lưu b1. Học PT151</t>
    </r>
  </si>
  <si>
    <t xml:space="preserve"> damngocanh06@gmail.com</t>
  </si>
  <si>
    <t>số 42 ngõ 162 nguyên xá minh khai bắc từ liêm</t>
  </si>
  <si>
    <t>31/08/2024 và 06/09/2024</t>
  </si>
  <si>
    <t>https://drive.google.com/open?id=1nBGDPYC6-tkLpGgO8SUptIccnnKtlaqn; https://drive.google.com/open?id=1syrENzu-do7D4BKA31cnSPn-iN-UwLsa</t>
  </si>
  <si>
    <t>https://www.facebook.com/profile.php?id=100062272704696&amp;mibextid=LQQJ4d</t>
  </si>
  <si>
    <t>02/09/2024 và 12/09/2024</t>
  </si>
  <si>
    <t>https://drive.google.com/open?id=18F7hJ91BjQhhJvBUmiNraJDuArmeRQYi; https://drive.google.com/open?id=14wRdD59GLNeYW5qtGjpw0ao8MkbXfxm0; https://drive.google.com/open?id=1nmSik6CkRF-KjTrRIx7A0hyfjlvbrmRU, https://drive.google.com/open?id=1-jbG6Kv2BPQBscgvrZ2cZTmyCmWlDUbf</t>
  </si>
  <si>
    <t>https://www.facebook.com/profile.php?id=100045638570732</t>
  </si>
  <si>
    <t>Nguyễn Hồng Phúc</t>
  </si>
  <si>
    <t>Minh</t>
  </si>
  <si>
    <t>phucac29106@gmail.com</t>
  </si>
  <si>
    <t>https://drive.google.com/open?id=1gbkZCHN0maiv7REMGCyijf6ic2G656Ou</t>
  </si>
  <si>
    <t>https://www.facebook.com/profile.php?id=100072543545151</t>
  </si>
  <si>
    <r>
      <rPr>
        <sz val="12"/>
        <color theme="1"/>
        <rFont val="Times New Roman"/>
        <family val="1"/>
      </rPr>
      <t xml:space="preserve">Nguyễn Thị Thu Hà </t>
    </r>
    <r>
      <rPr>
        <sz val="12"/>
        <color rgb="FFFF0000"/>
        <rFont val="Times New Roman"/>
        <family val="1"/>
      </rPr>
      <t>(Hợp đồng)</t>
    </r>
  </si>
  <si>
    <t>Thôn 1, tây tựu, từ Liêm,Hà Nội</t>
  </si>
  <si>
    <t>https://drive.google.com/open?id=1qpnnm3Ljmo_h7Jv-eUKWp_McKlCHUC8s; https://drive.google.com/open?id=142Egf81szPgpAhY1zTxAFf4bKkRXvBHF</t>
  </si>
  <si>
    <r>
      <rPr>
        <sz val="12"/>
        <color theme="1"/>
        <rFont val="Times New Roman"/>
        <family val="1"/>
      </rPr>
      <t xml:space="preserve">Vũ Thị Mỹ </t>
    </r>
    <r>
      <rPr>
        <sz val="12"/>
        <color rgb="FFFF0000"/>
        <rFont val="Times New Roman"/>
        <family val="1"/>
      </rPr>
      <t>- nick Oanh Mỹ</t>
    </r>
  </si>
  <si>
    <t>Anh Thư Meca</t>
  </si>
  <si>
    <t>https://drive.google.com/open?id=1nmWh9vaicFvJe7g49_oN9er_bRjZvE23</t>
  </si>
  <si>
    <t>https://www.facebook.com/trieunga06?mibextid=JRoKGi</t>
  </si>
  <si>
    <t>Triệu Thị Nga</t>
  </si>
  <si>
    <t>nnga74887@gmail.com</t>
  </si>
  <si>
    <t>04/09/2024 và 14/09/2024</t>
  </si>
  <si>
    <t>https://drive.google.com/open?id=1m7djhT_BEQdlOd56Q_nK6oqp58ZnKE5K; https://drive.google.com/open?id=1oUkep9yDwH0NnDJEWaHhR69RMIN7g7Xw; https://drive.google.com/open?id=1nturMykuhndY_RdYYcCRI5qCq2HSCB2m</t>
  </si>
  <si>
    <t>https://www.facebook.com/van.maivan.9678?mibextid=LQQJ4d</t>
  </si>
  <si>
    <r>
      <rPr>
        <sz val="12"/>
        <color theme="1"/>
        <rFont val="Times New Roman"/>
        <family val="1"/>
      </rPr>
      <t>Mai Văn Vạn (</t>
    </r>
    <r>
      <rPr>
        <sz val="12"/>
        <color rgb="FFFF0000"/>
        <rFont val="Times New Roman"/>
        <family val="1"/>
      </rPr>
      <t>hợp đồng)</t>
    </r>
  </si>
  <si>
    <t>vmai5457@gmail.com</t>
  </si>
  <si>
    <t>103 Lý Thái Tổ ,Thanh Khê ,q Thanh Khê ,Đà Nẵng</t>
  </si>
  <si>
    <t>https://drive.google.com/open?id=1dS2xRFnGy4YsMDqVLkQx75HDFVYB83Fc; https://drive.google.com/open?id=1Tx-kQB0CUa8egijlp5m-TJVM7WIIB_1_</t>
  </si>
  <si>
    <t xml:space="preserve">https://www.facebook.com/anhthu.2196 </t>
  </si>
  <si>
    <r>
      <rPr>
        <sz val="12"/>
        <color theme="1"/>
        <rFont val="Times New Roman"/>
        <family val="1"/>
      </rPr>
      <t xml:space="preserve"> Nguyễn Anh Thư </t>
    </r>
    <r>
      <rPr>
        <sz val="12"/>
        <color rgb="FFFF0000"/>
        <rFont val="Times New Roman"/>
        <family val="1"/>
      </rPr>
      <t xml:space="preserve">(hợp đồng) </t>
    </r>
  </si>
  <si>
    <t xml:space="preserve">nnguyenanhnhthu210906@gmail.com </t>
  </si>
  <si>
    <t>1549/16/9A Huỳnh Tấn Phát, Quận 7, TP HCM</t>
  </si>
  <si>
    <t>https://drive.google.com/open?id=1Jv_Cd5VA23bHmfA5ztpCHQTQNR4-_fC4, https://drive.google.com/open?id=1xIAYPxK3_FbSg9qQBScznlgbxEbEzQQH</t>
  </si>
  <si>
    <t>PT134</t>
  </si>
  <si>
    <t>https://www.facebook.com/profile.php?id=100053795720330&amp;mibextid=LQQJ4d</t>
  </si>
  <si>
    <r>
      <rPr>
        <sz val="12"/>
        <color theme="1"/>
        <rFont val="Times New Roman"/>
        <family val="1"/>
      </rPr>
      <t xml:space="preserve">Trần Thế Thành </t>
    </r>
    <r>
      <rPr>
        <sz val="12"/>
        <color rgb="FFFF0000"/>
        <rFont val="Times New Roman"/>
        <family val="1"/>
      </rPr>
      <t>- PT124 rút phút 88</t>
    </r>
  </si>
  <si>
    <t>nghihachvina@gmail.com</t>
  </si>
  <si>
    <t>Toà CT12B ở khu đô thị Kim Văn, Kim Lũ quận Hoàng Mai Hà Nội</t>
  </si>
  <si>
    <t>https://drive.google.com/open?id=1cv5TwIzA9xV_XjBWKxtTHbttOQf-BG5s; https://drive.google.com/open?id=1A1wOXio4hTQ1fLbyuVbA1XuFGjOxrHb1</t>
  </si>
  <si>
    <t>https://www.facebook.com/profile.php?id=100072467122412&amp;mibextid=ZbWKwL</t>
  </si>
  <si>
    <r>
      <rPr>
        <sz val="12"/>
        <color theme="1"/>
        <rFont val="Times New Roman"/>
        <family val="1"/>
      </rPr>
      <t xml:space="preserve">Vũ Thị Hà Anh </t>
    </r>
    <r>
      <rPr>
        <sz val="12"/>
        <color rgb="FFFF0000"/>
        <rFont val="Times New Roman"/>
        <family val="1"/>
      </rPr>
      <t>(hợp đồng)</t>
    </r>
  </si>
  <si>
    <t>Nhà số 5,ngách 119/38 Cổ Nhuế, Cổ Nhuế, Bắc Từ Liêm, Hà Nội</t>
  </si>
  <si>
    <t>https://drive.google.com/open?id=1FLGQD9YKv8eHYKfF73PVe3WvYqFsTv0M; https://drive.google.com/open?id=1WIyciqmhr5S00bTxev9xTPS0lT06h5ie</t>
  </si>
  <si>
    <t>https://www.facebook.com/profile.php?id=100041674671913&amp;mibextid=LQQJ4d&amp;rdid=ZLC0nWrO3If8C5ax&amp;share_url=https%3A%2F%2Fwww.facebook.com%2Fshare%2FWRmnBJUHMmgTkksG%2F%3Fmibextid%3DLQQJ4d</t>
  </si>
  <si>
    <r>
      <rPr>
        <sz val="12"/>
        <color theme="1"/>
        <rFont val="Times New Roman"/>
        <family val="1"/>
      </rPr>
      <t xml:space="preserve">Đinh Thị Phương Thảo </t>
    </r>
    <r>
      <rPr>
        <sz val="12"/>
        <color rgb="FFFF0000"/>
        <rFont val="Times New Roman"/>
        <family val="1"/>
      </rPr>
      <t>- Hiền báo gửi sách trước
334422500 số cũ</t>
    </r>
  </si>
  <si>
    <t>Số 678 ấp 5 xã long hoà huyện cần đước tỉnh long an</t>
  </si>
  <si>
    <t>https://drive.google.com/open?id=1yXVx0RGqGTftXiEIN7JaNtEQPSBo46XT</t>
  </si>
  <si>
    <t>https://www.facebook.com/profile.php?id=100073123105918</t>
  </si>
  <si>
    <r>
      <rPr>
        <sz val="12"/>
        <color theme="1"/>
        <rFont val="Times New Roman"/>
        <family val="1"/>
      </rPr>
      <t>Nguyễn Quốc Cường</t>
    </r>
    <r>
      <rPr>
        <sz val="12"/>
        <color rgb="FFFF0000"/>
        <rFont val="Times New Roman"/>
        <family val="1"/>
      </rPr>
      <t xml:space="preserve"> (hợp đồng) </t>
    </r>
    <r>
      <rPr>
        <sz val="12"/>
        <color theme="1"/>
        <rFont val="Times New Roman"/>
        <family val="1"/>
      </rPr>
      <t>399798302 số mẹ</t>
    </r>
  </si>
  <si>
    <t xml:space="preserve">Minh Đức </t>
  </si>
  <si>
    <t xml:space="preserve">cuongnguyenl10a1@gmail.com </t>
  </si>
  <si>
    <t>Tổ 2 ấp 4 xã Tóc Tiên, thị xã Phú Mỹ, tỉnh Bà Rịa Vũng Tàu</t>
  </si>
  <si>
    <t>https://drive.google.com/open?id=1XkkKVdJNBl8mV8xwKqDohifPn6n62Ytb</t>
  </si>
  <si>
    <t>https://www.facebook.com/chglilie20.90lilichg</t>
  </si>
  <si>
    <r>
      <rPr>
        <sz val="12"/>
        <color theme="1"/>
        <rFont val="Times New Roman"/>
        <family val="1"/>
      </rPr>
      <t>Vũ Hoàng Cường</t>
    </r>
    <r>
      <rPr>
        <sz val="12"/>
        <color rgb="FFFF0000"/>
        <rFont val="Times New Roman"/>
        <family val="1"/>
      </rPr>
      <t xml:space="preserve"> (hợp đồng) nick Nói nhiều  </t>
    </r>
    <r>
      <rPr>
        <sz val="12"/>
        <color theme="1"/>
        <rFont val="Times New Roman"/>
        <family val="1"/>
      </rPr>
      <t>792088593</t>
    </r>
  </si>
  <si>
    <t>Minh Đức</t>
  </si>
  <si>
    <t xml:space="preserve"> vucuong21t9@gmail.com</t>
  </si>
  <si>
    <t>Tổ 8, khu phố 5, phường Hắc Dịch, thị xã Phú Mỹ, Tỉnh BR-VT</t>
  </si>
  <si>
    <t>https://drive.google.com/open?id=1wU-hj6IfMgstHRN-dlU8Xq0h6C3yuHJM; https://drive.google.com/open?id=1fnynXKecLseg4vB5vgpWIp3IKRAy2-rw</t>
  </si>
  <si>
    <t>https://www.facebook.com/profile.php?id=100074417411677&amp;mibextid=LQQJ4d</t>
  </si>
  <si>
    <t>Cao Thị Ánh Tuyết</t>
  </si>
  <si>
    <t>https://drive.google.com/open?id=1SSCRFgWyt15USc9afLRwLAT7ywdKaaXE; https://drive.google.com/open?id=1bZxDJvVJJLyUwyHeeQx6qXmk6AuW5-eI</t>
  </si>
  <si>
    <t>OPT32</t>
  </si>
  <si>
    <t>https://www.facebook.com/profile.php?id=100041162509579</t>
  </si>
  <si>
    <t>Vũ Đình Vĩ</t>
  </si>
  <si>
    <t xml:space="preserve">Vudinhvi2310@gmail.com </t>
  </si>
  <si>
    <t>Làng Vòng - Yên Bình - Huyện Ý Yên - Tỉnh Nam Định</t>
  </si>
  <si>
    <t>https://drive.google.com/open?id=1Po6Lr7x6fzTr6N_fdwfLFPBrcsAHXUtX; https://drive.google.com/open?id=1wVIIyHPw_D1ypYhpmOFJdFq0-S1XuA9i, https://drive.google.com/open?id=19KSYVrRT3xJtQrQZPOfLeMfI_S3tT16S</t>
  </si>
  <si>
    <t>https://www.facebook.com/profile.php?id=100048268313887&amp;mibextid=LQQJ4d</t>
  </si>
  <si>
    <r>
      <rPr>
        <sz val="12"/>
        <color theme="1"/>
        <rFont val="Times New Roman"/>
        <family val="1"/>
      </rPr>
      <t xml:space="preserve">Phạm Thị Khánh </t>
    </r>
    <r>
      <rPr>
        <sz val="12"/>
        <color rgb="FFFF0000"/>
        <rFont val="Times New Roman"/>
        <family val="1"/>
      </rPr>
      <t>(hợp đồng)</t>
    </r>
  </si>
  <si>
    <t>phamkhanh2404200@gmail.com</t>
  </si>
  <si>
    <t>Nghách 46 số nhà 38, 1150 Đ. Láng, Láng Thượng, Đống Đa, Hà Nội</t>
  </si>
  <si>
    <t>https://drive.google.com/open?id=1NaxWIRSzgaIy0aDKxt1CDElpXg9pTuzu, https://drive.google.com/open?id=1qkegmRDyeWFeYzVDERiZSgj5pcWygaAZ</t>
  </si>
  <si>
    <t>https://www.facebook.com/lunss.nam.9887</t>
  </si>
  <si>
    <t xml:space="preserve">Nguyễn Thị Thảo Huyền  </t>
  </si>
  <si>
    <t>nguyenthithaohuyen01012004@gmail.com</t>
  </si>
  <si>
    <t>05/09/2024 và 09/09/2024</t>
  </si>
  <si>
    <t>https://drive.google.com/open?id=1-ek5Jc7FD1IsbbXW1L1ML26jtVfjF1Hq; https://drive.google.com/open?id=1YgO_CYr87mKKnpKZJofRSp6aekhyE9-e</t>
  </si>
  <si>
    <t>Mất  góc</t>
  </si>
  <si>
    <t>OPT100</t>
  </si>
  <si>
    <t>https://www.facebook.com/profile.php?id=61555752631493</t>
  </si>
  <si>
    <r>
      <rPr>
        <sz val="12"/>
        <color theme="1"/>
        <rFont val="Times New Roman"/>
        <family val="1"/>
      </rPr>
      <t xml:space="preserve">Trịnh Hồng Quân </t>
    </r>
    <r>
      <rPr>
        <sz val="12"/>
        <color rgb="FFFF0000"/>
        <rFont val="Times New Roman"/>
        <family val="1"/>
      </rPr>
      <t xml:space="preserve">- OPT32, OPT43 rút phút 89
OPT37 rút khi học 1 buổi. Dương báo. OPT59
OPT59 bảo lưu khi lớp học đc 8 buổi. Học OPT89. </t>
    </r>
    <r>
      <rPr>
        <sz val="12"/>
        <color theme="1"/>
        <rFont val="Times New Roman"/>
        <family val="1"/>
      </rPr>
      <t>862947385</t>
    </r>
  </si>
  <si>
    <t>qtrinh916@gmail.com</t>
  </si>
  <si>
    <t>https://drive.google.com/open?id=1qxpF3CypU8EEkjfatAZkBjSMhXFt7HJg, https://drive.google.com/open?id=10X3elO2ehCpsQvU8AUFwX6qBt09FwjfM; https://drive.google.com/open?id=1qSLcgwT-DW8lKjzpezECf6Gg9fJMsKzp</t>
  </si>
  <si>
    <t>https://www.facebook.com/profile.php?id=100050306023727</t>
  </si>
  <si>
    <t xml:space="preserve">Đặng Thu Hoài </t>
  </si>
  <si>
    <t xml:space="preserve"> dthuhoai26@gmail.com</t>
  </si>
  <si>
    <t>Số 529, đường Nguyễn Đức Thuận, Gia Lâm, Hà Nội</t>
  </si>
  <si>
    <t>https://drive.google.com/open?id=1C5Bm3ZGDrDaCZF5SRY33_KKP2hN_QYn0</t>
  </si>
  <si>
    <t>PT125</t>
  </si>
  <si>
    <t>https://www.facebook.com/profile.php?id=100054827530926&amp;mibextid=LQQJ4d</t>
  </si>
  <si>
    <r>
      <rPr>
        <sz val="12"/>
        <color theme="1"/>
        <rFont val="Times New Roman"/>
        <family val="1"/>
      </rPr>
      <t>Trương Anh Quân</t>
    </r>
    <r>
      <rPr>
        <sz val="12"/>
        <color rgb="FFFF0000"/>
        <rFont val="Times New Roman"/>
        <family val="1"/>
      </rPr>
      <t xml:space="preserve"> (hợp đồng)</t>
    </r>
  </si>
  <si>
    <t>quantruonganh280706@gmail.com</t>
  </si>
  <si>
    <t>Phòng 2311 Toà D vina2 KDT Kim Văn Kim Lũ, Đại Kim, Hoàng Mai, Hà Nội</t>
  </si>
  <si>
    <t>https://drive.google.com/open?id=15Dk0RLgTv6Dh6w-quYUig8nMjxZwuSRS, https://drive.google.com/open?id=1YAz-lPJcdkrNsJ3GoRRi2ak46klcKFRS</t>
  </si>
  <si>
    <t>OPT35</t>
  </si>
  <si>
    <t>https://www.facebook.com/long972?mibextid=LQQJ4d</t>
  </si>
  <si>
    <r>
      <rPr>
        <sz val="12"/>
        <color theme="1"/>
        <rFont val="Times New Roman"/>
        <family val="1"/>
      </rPr>
      <t>Nguyễn Văn Long</t>
    </r>
    <r>
      <rPr>
        <sz val="12"/>
        <color rgb="FFFF0000"/>
        <rFont val="Times New Roman"/>
        <family val="1"/>
      </rPr>
      <t xml:space="preserve"> - OPT30</t>
    </r>
  </si>
  <si>
    <t>nguyenlongbg20@gmail.com</t>
  </si>
  <si>
    <t>https://drive.google.com/open?id=1o3OnKND4lbCyqGy-rXLzWoa1dMG6dWla</t>
  </si>
  <si>
    <t>OVIP29</t>
  </si>
  <si>
    <t>https://www.facebook.com/profile.php?id=100053891419767&amp;mibextid=LQQJ4d</t>
  </si>
  <si>
    <r>
      <rPr>
        <sz val="12"/>
        <color theme="1"/>
        <rFont val="Times New Roman"/>
        <family val="1"/>
      </rPr>
      <t xml:space="preserve">Nguyễn Thị Hiền </t>
    </r>
    <r>
      <rPr>
        <sz val="12"/>
        <color rgb="FFFF0000"/>
        <rFont val="Times New Roman"/>
        <family val="1"/>
      </rPr>
      <t>- đổi E3 sang T1</t>
    </r>
  </si>
  <si>
    <t>hiennguyen08102005@gmail.com</t>
  </si>
  <si>
    <t>183 Nam Dư, Lĩnh Nam, quận Hoàng Mai, Hà Nội</t>
  </si>
  <si>
    <t>https://drive.google.com/open?id=1htTGx354pQsujC0bbEI7zAv0smmoTuuV, https://drive.google.com/open?id=1qqTf620fvPrfqnAKNggb2Sm-mecQx1u5</t>
  </si>
  <si>
    <t>https://www.facebook.com/profile.php?id=61564361962160</t>
  </si>
  <si>
    <r>
      <rPr>
        <sz val="12"/>
        <color theme="1"/>
        <rFont val="Times New Roman"/>
        <family val="1"/>
      </rPr>
      <t xml:space="preserve">Nguyễn Đặng Mỹ Dung </t>
    </r>
    <r>
      <rPr>
        <sz val="12"/>
        <color rgb="FFFF0000"/>
        <rFont val="Times New Roman"/>
        <family val="1"/>
      </rPr>
      <t>(hợp đồng) 375964258 số mẹ</t>
    </r>
  </si>
  <si>
    <t>nguyendangmydung@gmail.com</t>
  </si>
  <si>
    <t>tổ 1 khu phố Suối Nhum phường Hắc Dịch thị xã Phú Mỹ tỉnh bà Rịa vũng tàu</t>
  </si>
  <si>
    <t>https://drive.google.com/open?id=1nxD9Mw6wMmNU7Y3zyYK-sWAkmNBzBYVM</t>
  </si>
  <si>
    <t>https://www.facebook.com/profile.php?id=100074314866526&amp;mibextid=LQQJ4d</t>
  </si>
  <si>
    <t>Nguyễn Thế Anh</t>
  </si>
  <si>
    <t>anhne988@gmail.com</t>
  </si>
  <si>
    <t>https://drive.google.com/open?id=1JsnNUfZQv_Nsfz4mDicQRQlsrrrG2JgA, https://drive.google.com/open?id=1rpzRYos2KrVRw2zr4XW0tn1JT4vWCWrX</t>
  </si>
  <si>
    <t>https://www.facebook.com/profile.php?id=100087206744949&amp;mibextid=LQQJ4d</t>
  </si>
  <si>
    <t>minhhquang2110@gmail.com</t>
  </si>
  <si>
    <t>https://drive.google.com/open?id=17mPOr1dGhUKqL1SCSctbWphxBWILrb3Q, https://drive.google.com/open?id=1L8-nd0DLgjR-IbNEe9bLTVgkdsl-qs3j</t>
  </si>
  <si>
    <t>https://www.facebook.com/profile.php?id=100046544449382</t>
  </si>
  <si>
    <t xml:space="preserve">Phạm Thị Huệ </t>
  </si>
  <si>
    <t>https://drive.google.com/open?id=1F5mS2ltDpEl7tO0BuDEoeSNSfqNWJtTr</t>
  </si>
  <si>
    <t>https://www.facebook.com/lua.nguyenngoc.351</t>
  </si>
  <si>
    <r>
      <rPr>
        <sz val="12"/>
        <color theme="1"/>
        <rFont val="Times New Roman"/>
        <family val="1"/>
      </rPr>
      <t xml:space="preserve">Nguyễn Ngọc Lụa - </t>
    </r>
    <r>
      <rPr>
        <sz val="12"/>
        <color rgb="FFFF0000"/>
        <rFont val="Times New Roman"/>
        <family val="1"/>
      </rPr>
      <t xml:space="preserve">PT126 rút khi đã học 
- đã chuyển nhượng </t>
    </r>
    <r>
      <rPr>
        <sz val="12"/>
        <color theme="1"/>
        <rFont val="Times New Roman"/>
        <family val="1"/>
      </rPr>
      <t>0366258394 Huyền. Dương chat</t>
    </r>
  </si>
  <si>
    <t>luanguyen2k04@gmail.com</t>
  </si>
  <si>
    <t>242 Lĩnh Nam, phường Lĩnh Nam, Hoàng Mai, Hà Nội</t>
  </si>
  <si>
    <t>https://drive.google.com/open?id=11DMVB4H8V2K5MiWTnmZLp0u0YXgU5LvO</t>
  </si>
  <si>
    <t>12/09/2024 sách cũ gửi Lụa</t>
  </si>
  <si>
    <t>https://www.facebook.com/linhne2405</t>
  </si>
  <si>
    <r>
      <rPr>
        <sz val="12"/>
        <color theme="1"/>
        <rFont val="Times New Roman"/>
        <family val="1"/>
      </rPr>
      <t xml:space="preserve">Nguyễn Thị Thuỳ Linh </t>
    </r>
    <r>
      <rPr>
        <sz val="12"/>
        <color rgb="FFFF0000"/>
        <rFont val="Times New Roman"/>
        <family val="1"/>
      </rPr>
      <t>- đợi HV báo gửi</t>
    </r>
  </si>
  <si>
    <t xml:space="preserve"> thuylinhnguyenthi676@gmail.com</t>
  </si>
  <si>
    <t>Số nhà 93 ngõ 100 phố nguyễn văn viên phường vĩnh tuy hai bà trưng</t>
  </si>
  <si>
    <t>https://drive.google.com/open?id=1QRRO4WkCkOvWITuY0EkJnIdHzQsNRyNz</t>
  </si>
  <si>
    <t>https://www.facebook.com/lamgi.ketban.77?mibextid=LQQJ4d</t>
  </si>
  <si>
    <t>Ngô Quang Trường</t>
  </si>
  <si>
    <t xml:space="preserve"> chi475321@gmail.com</t>
  </si>
  <si>
    <t>250 Đ. Kim Giang, Đại Kim, Hoàng Mai, Hà Nội</t>
  </si>
  <si>
    <t>https://drive.google.com/open?id=1RAJD9_3o7m3fTEshWxNTiC2_1yWkfj7t; https://drive.google.com/open?id=1xZd_zzmFPCsGGPCpJlzd9mUsmPtyUxro</t>
  </si>
  <si>
    <t>https://www.facebook.com/profile.php?id=100094889821164</t>
  </si>
  <si>
    <t>Lê Tuyết Ngân</t>
  </si>
  <si>
    <t>letuyetngan309@gmail.com</t>
  </si>
  <si>
    <t>08/09/2024 và 13/09/2024</t>
  </si>
  <si>
    <t>https://drive.google.com/open?id=1WWtKHdtLumk7vtRauZi2Jb7rZBZzak6-; https://drive.google.com/open?id=1T6_O2x1czVuVDpYIEU9HB0Vp3PqOHl0b</t>
  </si>
  <si>
    <t>https://www.facebook.com/t.hieu7126?mibextid=LQQJ4d</t>
  </si>
  <si>
    <t xml:space="preserve">Bùi Trọng Hiếu </t>
  </si>
  <si>
    <t>https://drive.google.com/open?id=1G9P2cQiZnNvSYeBnOtyosmmd9F8BCgmx</t>
  </si>
  <si>
    <t>PT136</t>
  </si>
  <si>
    <t>https://www.facebook.com/profile.php?id=100063830371466&amp;mibextid=LQQJ4d</t>
  </si>
  <si>
    <r>
      <rPr>
        <sz val="12"/>
        <color theme="1"/>
        <rFont val="Times New Roman"/>
        <family val="1"/>
      </rPr>
      <t xml:space="preserve">Dương Ánh Ngọc  </t>
    </r>
    <r>
      <rPr>
        <sz val="12"/>
        <color rgb="FFFF0000"/>
        <rFont val="Times New Roman"/>
        <family val="1"/>
      </rPr>
      <t>(đã nhận sách) OPT34 rút phút 89, PT135</t>
    </r>
  </si>
  <si>
    <t>ngocduonganh221@gmail.com</t>
  </si>
  <si>
    <t>https://drive.google.com/open?id=1XdfOpso9Y5WGtRABZ4gvSHTTNG1dfqiX; https://drive.google.com/open?id=1bT0eCFe5NYitjhPsvkgwnzCXRmeoNTWs</t>
  </si>
  <si>
    <t>Đức đưa sách</t>
  </si>
  <si>
    <t>https://www.facebook.com/jinny.nguyen.3110?mibextid=LQQJ4d</t>
  </si>
  <si>
    <t>https://drive.google.com/open?id=1SKdRkd3DQgtxHMZPnyZq-EMGdq6hk3ap, https://drive.google.com/open?id=1FSx38FIbzEO9Rdzjh4C_EmClZ64zgOKa; https://drive.google.com/open?id=1cXOpDqYBlPvfWgiu7Udhx2f6a9-BudRw, https://drive.google.com/open?id=1Qs5OzAL_X319nZxsEXxbHH4y0_2nFEcI</t>
  </si>
  <si>
    <t>T263</t>
  </si>
  <si>
    <t>https://www.facebook.com/agruu.tran</t>
  </si>
  <si>
    <r>
      <rPr>
        <sz val="12"/>
        <color theme="1"/>
        <rFont val="Times New Roman"/>
        <family val="1"/>
      </rPr>
      <t>Trần Lê Hữu</t>
    </r>
    <r>
      <rPr>
        <sz val="12"/>
        <color rgb="FFFF0000"/>
        <rFont val="Times New Roman"/>
        <family val="1"/>
      </rPr>
      <t xml:space="preserve"> (hợp đồng) - đã nộp 300K
T239 bảo lưu b4 đi quân sự. Học T263 b1</t>
    </r>
  </si>
  <si>
    <t xml:space="preserve">huutran2006hp@gmail.com </t>
  </si>
  <si>
    <t>54 Đ. Số 1, Tăng Nhơn Phú B, Quận 9, Hồ Chí Minh</t>
  </si>
  <si>
    <t>https://drive.google.com/open?id=1wKh1ZLgXQHSl_IgCMtiZf-pFqiZPmXF2, https://drive.google.com/open?id=1GEBo5KRCDjOhkcnwnADhcuNxEQ-ygkE1</t>
  </si>
  <si>
    <t>https://www.facebook.com/profile.php?id=100065856843030&amp;mibextid=LQQJ4d</t>
  </si>
  <si>
    <t>ksphamtrung@gmail.com</t>
  </si>
  <si>
    <t>số nhà 10 ngách 87/26 ngõ 111 yên lộ yên nghĩa hà đông hà nội</t>
  </si>
  <si>
    <t>08/09/2024 và 26/09/2024</t>
  </si>
  <si>
    <t>https://drive.google.com/open?id=12QwjwLsm6EXHHk1YGh1N0UFR9eMVh544; https://drive.google.com/open?id=1HFb8Zi-XXvdFoxtMUYpoBkJ1Y3qjgjSC</t>
  </si>
  <si>
    <t>https://www.facebook.com/profile.php?id=100040725979814&amp;mibextid=LQQJ4d</t>
  </si>
  <si>
    <r>
      <rPr>
        <sz val="12"/>
        <color rgb="FF000000"/>
        <rFont val="Times New Roman"/>
        <family val="1"/>
      </rPr>
      <t xml:space="preserve">Lê Thanh Vũ </t>
    </r>
    <r>
      <rPr>
        <sz val="12"/>
        <color rgb="FFFF0000"/>
        <rFont val="Times New Roman"/>
        <family val="1"/>
      </rPr>
      <t xml:space="preserve">- OT27 </t>
    </r>
    <r>
      <rPr>
        <sz val="12"/>
        <color rgb="FF000000"/>
        <rFont val="Times New Roman"/>
        <family val="1"/>
      </rPr>
      <t>976183880</t>
    </r>
  </si>
  <si>
    <t>PT126</t>
  </si>
  <si>
    <t>https://www.facebook.com/duong.tranhoanganh.33?mibextid=LQQJ4d</t>
  </si>
  <si>
    <r>
      <rPr>
        <sz val="12"/>
        <color theme="1"/>
        <rFont val="Times New Roman"/>
        <family val="1"/>
      </rPr>
      <t xml:space="preserve">Trần Hoàng Ánh Dương </t>
    </r>
    <r>
      <rPr>
        <sz val="12"/>
        <color rgb="FFFF0000"/>
        <rFont val="Times New Roman"/>
        <family val="1"/>
      </rPr>
      <t>(hợp đồng)</t>
    </r>
  </si>
  <si>
    <t xml:space="preserve"> Xóm 9 - Định Hóa - Kim Sơn - Ninh Bình</t>
  </si>
  <si>
    <t>https://drive.google.com/open?id=137dnS0vb0xIpNcuPYRhmrCNeiAUV6hYU; https://drive.google.com/open?id=1Skrn57GgMTIJCJZrtRwyqgMOys_He-GB</t>
  </si>
  <si>
    <t>https://www.facebook.com/profile.php?id=100051933434918</t>
  </si>
  <si>
    <t>anhnguyenngoc3873077@gmail.com</t>
  </si>
  <si>
    <t xml:space="preserve"> Số 17 ngách 5 Ngõ Gốc Đề - Minh Khai – Hai Bà Trưng – Hà Nội  </t>
  </si>
  <si>
    <t>https://drive.google.com/open?id=1n9pr0XXiZno93SGQg4rfbkG8wbmuYUPV</t>
  </si>
  <si>
    <t>https://www.facebook.com/profile.php?id=100023277283261</t>
  </si>
  <si>
    <t xml:space="preserve"> anhtunas673@gmail.com</t>
  </si>
  <si>
    <t>Xã Đại Thịnh - Mê Linh - Hà Nội ( làng thường lệ )</t>
  </si>
  <si>
    <t>https://drive.google.com/open?id=1xhoDcP-5hJCQjEUyYqi2v1Dv34b6npuo</t>
  </si>
  <si>
    <t>https://www.facebook.com/dole.ducanh.52</t>
  </si>
  <si>
    <t xml:space="preserve">Đỗ Lê Đức Anh </t>
  </si>
  <si>
    <t xml:space="preserve"> doleducanh.2k6@gmail.com</t>
  </si>
  <si>
    <t>Cầu trại gà, phú diễn, bắc từ liêm, hà nội</t>
  </si>
  <si>
    <t>https://drive.google.com/open?id=1paInw5fQQm2zAgayz1IOVX8_g5P---eX, https://drive.google.com/open?id=1O94k_QLXxpO6LJbHmLknjUNi8Dz-mdQR</t>
  </si>
  <si>
    <t>https://www.facebook.com/nohopefreemoney?mibextid=LQQJ4d</t>
  </si>
  <si>
    <r>
      <rPr>
        <sz val="12"/>
        <color theme="1"/>
        <rFont val="Times New Roman"/>
        <family val="1"/>
      </rPr>
      <t xml:space="preserve">Dương Ngọc Tuấn Anh </t>
    </r>
    <r>
      <rPr>
        <sz val="12"/>
        <color rgb="FFFF0000"/>
        <rFont val="Times New Roman"/>
        <family val="1"/>
      </rPr>
      <t xml:space="preserve"> - đã nộp 300K 03/01/25
OPT23 bảo lưu buổi 8. Học OPT56 buổi 7</t>
    </r>
  </si>
  <si>
    <t>tuan1705ah@gmail.com</t>
  </si>
  <si>
    <t>23/08/2024 và 23/09/2024</t>
  </si>
  <si>
    <t>https://drive.google.com/open?id=1V6zSRTCkBtOVktndeFfB_MP3SP8yoVzF; https://drive.google.com/open?id=1c9kZ_Yl_heEvjg6N63P6okobENTqYIt6</t>
  </si>
  <si>
    <t>https://www.facebook.com/profile.php?id=100073090266680&amp;mibextid=LQQJ4d</t>
  </si>
  <si>
    <r>
      <rPr>
        <sz val="12"/>
        <color theme="1"/>
        <rFont val="Times New Roman"/>
        <family val="1"/>
      </rPr>
      <t xml:space="preserve">Triệu Thế Tiệp </t>
    </r>
    <r>
      <rPr>
        <sz val="12"/>
        <color rgb="FFFF0000"/>
        <rFont val="Times New Roman"/>
        <family val="1"/>
      </rPr>
      <t>(hợp đồng)</t>
    </r>
  </si>
  <si>
    <t>Ph.Anh</t>
  </si>
  <si>
    <t>trieuthetiep475@gmail.com</t>
  </si>
  <si>
    <t xml:space="preserve">Kí Túc Xá Đại Học Công Nghiệp Việt Hung, Đường Hữu Nghị, Phường Xuân Khanh, Thị Xã Sơn Tây, Hà Nội </t>
  </si>
  <si>
    <t>https://drive.google.com/open?id=1NS41fg_4bS7OusfdNDMPnvH5ioU-y64e; https://drive.google.com/open?id=19D-coazoDYj2h1FBtP61cVyK-dMQoh38, https://drive.google.com/open?id=1PAXSZ5V2tSNFB5F2gN3sib9Bd5r0kz_P</t>
  </si>
  <si>
    <t>https://www.facebook.com/profile.php?id=100039192302063&amp;locale=vi_VN</t>
  </si>
  <si>
    <t>Phan Thu Trang</t>
  </si>
  <si>
    <t>09/09/2024 và 13/09/2024</t>
  </si>
  <si>
    <t>27/09/2024 và 30/09/2024</t>
  </si>
  <si>
    <t>https://drive.google.com/open?id=1Yx8PDbpayENetwvWtjxEzDv4VORTCGJ3; https://drive.google.com/open?id=1hDrfGnOLLuCFIsQsZ0NvmrgPEJGTCkaK; https://drive.google.com/open?id=1JN40UiZJaSEkS33tLrPteOMUWZAF2nNd, https://drive.google.com/open?id=11YZvtRERX7XSf_9JA66QKdt-XbvlXnxM</t>
  </si>
  <si>
    <t>https://www.facebook.com/profile.php?id=100064131627044&amp;mibextid=JRoKGi</t>
  </si>
  <si>
    <r>
      <rPr>
        <sz val="12"/>
        <color theme="1"/>
        <rFont val="Times New Roman"/>
        <family val="1"/>
      </rPr>
      <t xml:space="preserve">Trần Mạnh Đạt </t>
    </r>
    <r>
      <rPr>
        <sz val="12"/>
        <color rgb="FFFF0000"/>
        <rFont val="Times New Roman"/>
        <family val="1"/>
      </rPr>
      <t>(Hợp Đồng)</t>
    </r>
  </si>
  <si>
    <t>Số nhà 51 ngõ 162 nguyên xá</t>
  </si>
  <si>
    <t>09/09/2024 và 10/09/2024</t>
  </si>
  <si>
    <t>https://drive.google.com/open?id=15YiZ3lgAjwIGllAD0TEk_U-78cjedNMF; https://drive.google.com/open?id=1nVrY54mW44jPSLhPweshmS3fEF2so-md; https://drive.google.com/open?id=1Os70bDPX2pQkmNEXGI7dfRuPUWhaVbi2</t>
  </si>
  <si>
    <t>https://www.facebook.com/profile.php?id=100076602368995</t>
  </si>
  <si>
    <r>
      <rPr>
        <sz val="12"/>
        <color theme="1"/>
        <rFont val="Times New Roman"/>
        <family val="1"/>
      </rPr>
      <t xml:space="preserve">Trần Tuấn Dũng </t>
    </r>
    <r>
      <rPr>
        <sz val="12"/>
        <color rgb="FFFF0000"/>
        <rFont val="Times New Roman"/>
        <family val="1"/>
      </rPr>
      <t xml:space="preserve">(hợp đồng) </t>
    </r>
  </si>
  <si>
    <t>Nhà trọ sinh viên 4.0- ngõ 142, đường Lý Thường Kiệt, thôn 1 Phù Vân, TP phủ Lý, Hà nam</t>
  </si>
  <si>
    <t>08/09/2024 và 16/09/2024</t>
  </si>
  <si>
    <t>https://drive.google.com/open?id=1gj30Zx-YtU8CEoqShWpZaor_u6iXJA2g; https://drive.google.com/open?id=1rkRA7Hq4wmuUPBRnmniB2PWTsWki42po; https://drive.google.com/open?id=19vDELC8c7mah_dtlXPYcuhjqnKZekdFX</t>
  </si>
  <si>
    <t>https://www.facebook.com/Ngocmai0365?mibextid=LQQJ4d</t>
  </si>
  <si>
    <t>Hà Đinh Ngọc Mai</t>
  </si>
  <si>
    <t>https://drive.google.com/open?id=1ff5HS3AZAGsZ5E7bdnjIZEdOo52VAD0Q; https://drive.google.com/open?id=1VPfG6Mf8Obl7fL_MKKqscsPzLkr_7lby</t>
  </si>
  <si>
    <t>https://www.facebook.com/samua05?mibextid=ZbWKwL</t>
  </si>
  <si>
    <t>Vũ Xuân Trường</t>
  </si>
  <si>
    <t>truong1410205@gmail.com</t>
  </si>
  <si>
    <t>đã nhận</t>
  </si>
  <si>
    <t>https://drive.google.com/open?id=1kcNje0tlOpRc-ghykyzscwotw04X7yr6</t>
  </si>
  <si>
    <t>https://www.facebook.com/profile.php?id=100056706477069&amp;mibextid=LQQJ4d</t>
  </si>
  <si>
    <r>
      <rPr>
        <sz val="12"/>
        <color theme="1"/>
        <rFont val="Times New Roman"/>
        <family val="1"/>
      </rPr>
      <t xml:space="preserve">Lê Ninh Toàn Thắng </t>
    </r>
    <r>
      <rPr>
        <sz val="12"/>
        <color rgb="FFFF0000"/>
        <rFont val="Times New Roman"/>
        <family val="1"/>
      </rPr>
      <t>- OPT23</t>
    </r>
  </si>
  <si>
    <t>leninhtoanthang2006@gmail.com</t>
  </si>
  <si>
    <t>https://drive.google.com/open?id=1DyF0deQjHCEeeFjXtUfPin-XxOQnlUtr; https://drive.google.com/open?id=1vmYZxmu3yXUCw6bHZoZnQa0zsk9Zonlf</t>
  </si>
  <si>
    <t>Nguyễn Thuý Hạnh</t>
  </si>
  <si>
    <t>SN 16, hẻm 25/41/184 Hoa Bằng- Yên Hoà-Cầu Giấy-HN</t>
  </si>
  <si>
    <t>https://drive.google.com/open?id=1BQ5r--nXbRNUR6UbT-7bAb70oYbv_GjG; https://drive.google.com/open?id=1mRNKccz2XRl_9ZTm1K6KQiZTNRx2Y9kA</t>
  </si>
  <si>
    <t>https://www.facebook.com/profile.php?id=100053791899269&amp;locale=vi_VN</t>
  </si>
  <si>
    <t>hoanghieuh145@gmail.com</t>
  </si>
  <si>
    <t>133 bùi xương trạch, khương đình, thanh xuân, hà nội</t>
  </si>
  <si>
    <t>https://drive.google.com/open?id=1oyfxmAPpdUr4qliv73YaKP_ygLZ-qeno</t>
  </si>
  <si>
    <t>https://www.facebook.com/profile.php?id=100040423844232</t>
  </si>
  <si>
    <r>
      <rPr>
        <sz val="12"/>
        <color theme="1"/>
        <rFont val="Times New Roman"/>
        <family val="1"/>
      </rPr>
      <t xml:space="preserve">Trần Thị Phương </t>
    </r>
    <r>
      <rPr>
        <sz val="12"/>
        <color rgb="FFFF0000"/>
        <rFont val="Times New Roman"/>
        <family val="1"/>
      </rPr>
      <t>- học 1 buổi xin rút tiền</t>
    </r>
  </si>
  <si>
    <t xml:space="preserve"> tphuongzzz7955@gmail.com</t>
  </si>
  <si>
    <t xml:space="preserve">https://drive.google.com/open?id=1BfRM8X_LQZEjiZwcjxkNxRKFl-zvFQGC; </t>
  </si>
  <si>
    <t>PT127</t>
  </si>
  <si>
    <t>https://web.facebook.com/hackers.truong.5?_rdc=1&amp;_rdr</t>
  </si>
  <si>
    <r>
      <rPr>
        <sz val="12"/>
        <color theme="1"/>
        <rFont val="Times New Roman"/>
        <family val="1"/>
      </rPr>
      <t>Chu Văn Trường</t>
    </r>
    <r>
      <rPr>
        <sz val="12"/>
        <color rgb="FFFF0000"/>
        <rFont val="Times New Roman"/>
        <family val="1"/>
      </rPr>
      <t xml:space="preserve"> (Hợp Đồng)</t>
    </r>
  </si>
  <si>
    <t>Cổng phụ, Cơ sở 3, Đại Học Công Nghiệp Hà Nội, Phù Vân, Phủ Lí, Hà Nam</t>
  </si>
  <si>
    <t>https://drive.google.com/open?id=1Tibqu-QmoR_aVYQRcRf1RymSnNYOvVkV; https://drive.google.com/open?id=1eBXqLNK7u74f_9i89Aj4mUvb6IXS6Jkd</t>
  </si>
  <si>
    <t>https://www.facebook.com/profile.php?id=100041144304274</t>
  </si>
  <si>
    <t>Phạm Duy Hưng</t>
  </si>
  <si>
    <t>https://drive.google.com/open?id=1VZoho8M4IvqhQqErBOHGFFms44NNesuK; https://drive.google.com/open?id=1NN0Ro83nqLslAGW7dZkPcME58L5F8k3L</t>
  </si>
  <si>
    <t>Đưa tay</t>
  </si>
  <si>
    <t>OPT38 nghỉ ngang b9 bận học trên trường</t>
  </si>
  <si>
    <t>https://web.facebook.com/profile.php?id=100067968690758&amp;mibextid=LQQJ4d&amp;_rdc=1&amp;_rdr</t>
  </si>
  <si>
    <r>
      <rPr>
        <sz val="12"/>
        <color theme="1"/>
        <rFont val="Times New Roman"/>
        <family val="1"/>
      </rPr>
      <t>Ngô Việt Hưng</t>
    </r>
    <r>
      <rPr>
        <sz val="12"/>
        <color rgb="FFFF0000"/>
        <rFont val="Times New Roman"/>
        <family val="1"/>
      </rPr>
      <t xml:space="preserve"> (Hợp đồng) OPT28</t>
    </r>
  </si>
  <si>
    <t>Xóm Đình, Ngõ 98/17 đường Tân Triều</t>
  </si>
  <si>
    <t>10/09/2024 và 29/09/2024</t>
  </si>
  <si>
    <t>https://drive.google.com/open?id=1vVsyExUCZK6vDWmeEfa45ga0O_MYMPAR; https://drive.google.com/open?id=1VfiCnRkH-AIIi-iShbsDqU3w5o5e_BjY</t>
  </si>
  <si>
    <t>https://www.facebook.com/profile.php?id=100047493007773</t>
  </si>
  <si>
    <t xml:space="preserve">Dương Thị Loan  </t>
  </si>
  <si>
    <t xml:space="preserve"> loand8333@gmail.com</t>
  </si>
  <si>
    <t>Nhà số 10, Ngõ 167, Cù Chính Lan, Trần Tế Xương, TP Nam Định</t>
  </si>
  <si>
    <t>03/09/2024 và 11/09/2024</t>
  </si>
  <si>
    <t>https://drive.google.com/open?id=1R26HVGsp9d1nMv8Zw4e3NFIEfcKl_dYi; https://drive.google.com/open?id=1Y56w2DpKmDnmHTC9c3P2hOMKzVgd_ONa</t>
  </si>
  <si>
    <t>https://www.facebook.com/profile.php?id=100089556412919&amp;mibextid=JRoKGi</t>
  </si>
  <si>
    <t>Nguyễn Thị Khánh Huyền</t>
  </si>
  <si>
    <t>khanhhhuyen021006@gmail.com</t>
  </si>
  <si>
    <t>https://drive.google.com/open?id=11z5L1_I3gW9Ck97NKtyW5mOAtRCB6Qx3; https://drive.google.com/open?id=1q0cc1iJXbx5lgGgUcmQzPvQ2uuf5GACf, https://drive.google.com/open?id=17TNKbrq1lFzXyC4aqnlPbETtU60XCbhD</t>
  </si>
  <si>
    <t>https://www.facebook.com/lamphucdai.1008</t>
  </si>
  <si>
    <t>Lâm Phúc Đại</t>
  </si>
  <si>
    <t>Lamphucdai2020@gmail.com</t>
  </si>
  <si>
    <t>https://drive.google.com/open?id=12djL5LSh_WHq82QLz3Hm6tc-fsGk4Xwz, https://drive.google.com/open?id=1xDhKqKHIaS0sBxBoKEtVTU-GHc9FfB8n</t>
  </si>
  <si>
    <t xml:space="preserve"> https://m.facebook.com/n.huowzng06?mibextid=LQQJ4d</t>
  </si>
  <si>
    <t xml:space="preserve">Nguyễn Thị Thu Hương </t>
  </si>
  <si>
    <t>Học off tại tt</t>
  </si>
  <si>
    <t>10/09/2024 và 22/09/2024</t>
  </si>
  <si>
    <t>https://drive.google.com/open?id=1cBbeuketZisbV20N2dBVG3sivyvxE6QJ; https://drive.google.com/open?id=12r6uVUnHrJzSDiERa2aWOvibJjExmDSd</t>
  </si>
  <si>
    <t>https://www.facebook.com/profile.php?id=61550105780885&amp;mibextid=LQQJ4d</t>
  </si>
  <si>
    <t>Phạm Anh Đức</t>
  </si>
  <si>
    <t>Phamduc300520062@gmail.com</t>
  </si>
  <si>
    <t>20/54 Trang Quan , An Đồng, An Dương, TP Hải Phòng</t>
  </si>
  <si>
    <t>10/09/2024 và 12/09/2024</t>
  </si>
  <si>
    <r>
      <rPr>
        <u/>
        <sz val="12"/>
        <color rgb="FF1155CC"/>
        <rFont val="Times New Roman"/>
        <family val="1"/>
      </rPr>
      <t xml:space="preserve">https://drive.google.com/open?id=1VAJm_GpsfkeCrTHKCBTBpg_lHx-tVLPp; </t>
    </r>
    <r>
      <rPr>
        <u/>
        <sz val="12"/>
        <color rgb="FF1155CC"/>
        <rFont val="Times New Roman"/>
        <family val="1"/>
      </rPr>
      <t>https://drive.google.com/open?id=14_fpu1sUAAgqxezUMvv2AV8Nwrw8Vkly</t>
    </r>
  </si>
  <si>
    <t>https://www.facebook.com/thodangiuuuu</t>
  </si>
  <si>
    <t>Cao Thu Thảo</t>
  </si>
  <si>
    <t xml:space="preserve"> caothuthaoctt@gmail.com</t>
  </si>
  <si>
    <t>10/09/2024 và 16/09/2024</t>
  </si>
  <si>
    <t>https://drive.google.com/open?id=1IVfGyWXJOM9ANJCCXqfUl7UTrb1Gqo_0; https://drive.google.com/open?id=15M0nhvR6Nj-Bpy-TeuX-IB7gYmWfFfsE</t>
  </si>
  <si>
    <t>T285</t>
  </si>
  <si>
    <t>https://www.facebook.com/phamthai246?mibextid=LQQJ4d</t>
  </si>
  <si>
    <r>
      <rPr>
        <sz val="12"/>
        <color theme="1"/>
        <rFont val="Times New Roman"/>
        <family val="1"/>
      </rPr>
      <t xml:space="preserve">Phạm Văn Thái </t>
    </r>
    <r>
      <rPr>
        <sz val="12"/>
        <color rgb="FFFF0000"/>
        <rFont val="Times New Roman"/>
        <family val="1"/>
      </rPr>
      <t>- đổi E3 học T1
OT27 bảo lưu b6. Học T285 b3. Đã nộp 300K 05/02/2025</t>
    </r>
  </si>
  <si>
    <t>vanthai16060209@gmail.com</t>
  </si>
  <si>
    <t>số 20, ngách 245/116 Định Công, Hoàng Mai, Hà Nội</t>
  </si>
  <si>
    <t>17/08/2024 và 23/09/2024</t>
  </si>
  <si>
    <t>https://drive.google.com/open?id=1rqK3-8prZz98Unztg70CxUJ80LG8GobB; https://drive.google.com/open?id=1WGrBw0unOb0RRLmV62eiAMQMFTXk4lVu</t>
  </si>
  <si>
    <t>https://www.facebook.com/profile.php?id=100075273060574&amp;mibextid=ZbWKwL</t>
  </si>
  <si>
    <t>Nguyễn Sơn Nam</t>
  </si>
  <si>
    <t>https://drive.google.com/open?id=1sc8po7W159MDBzOGTwsLihemlXrGsMHV; https://drive.google.com/open?id=11MMDwS0m69mMdwUcqCLiMsEQjtc619SN</t>
  </si>
  <si>
    <t>https://www.facebook.com/elias.ainsworth.75436?mibextid=ZbWKwL</t>
  </si>
  <si>
    <r>
      <rPr>
        <sz val="12"/>
        <color theme="1"/>
        <rFont val="Times New Roman"/>
        <family val="1"/>
      </rPr>
      <t>Bế Minh Khôi</t>
    </r>
    <r>
      <rPr>
        <sz val="12"/>
        <color rgb="FFFF0000"/>
        <rFont val="Times New Roman"/>
        <family val="1"/>
      </rPr>
      <t xml:space="preserve"> (hợp đồng)</t>
    </r>
  </si>
  <si>
    <t>https://drive.google.com/open?id=1iIJHDOqmgw-0-k7ZMrglj5IbF1umbHty; https://drive.google.com/open?id=1rpDhcRROEofkxsnTViZVhrVTf047nuUa</t>
  </si>
  <si>
    <t>https://www.facebook.com/profile.php?id=100021621310065</t>
  </si>
  <si>
    <t xml:space="preserve">Nguyễn Đặng Khánh Dương </t>
  </si>
  <si>
    <t xml:space="preserve"> nguyenkhanhduongdc2004@gmail.com</t>
  </si>
  <si>
    <t>260 Bạch Đằng, Uông Bí, Quảng Ninh</t>
  </si>
  <si>
    <t>https://drive.google.com/open?id=1GLzKM2_DwfBe16bD7a0ShqvfEdkTCc9G</t>
  </si>
  <si>
    <t>https://www.facebook.com/pii.truc.3</t>
  </si>
  <si>
    <t xml:space="preserve">Bùi Thanh Trúc </t>
  </si>
  <si>
    <t xml:space="preserve"> buithanhtruc250984@gmail.com</t>
  </si>
  <si>
    <t xml:space="preserve"> 96a đường số 79 tân quy quận 7 thành phố hồ chí minh</t>
  </si>
  <si>
    <t>https://drive.google.com/open?id=1b39NqTJofed2yeTL6RcryK0i4sjEiQZB, https://drive.google.com/open?id=11xzHmrPWgsvuqbgZ-nzDxTDI45O83MVu</t>
  </si>
  <si>
    <t>https://www.facebook.com/profile.php?id=100028085446602&amp;mibextid=kFxxJD</t>
  </si>
  <si>
    <t>Phạm Liêm Thanh Thảo</t>
  </si>
  <si>
    <t xml:space="preserve"> tt250506@gmail.com</t>
  </si>
  <si>
    <t xml:space="preserve"> 96a đường số 79 tân quy quận 7 thành phố HCM</t>
  </si>
  <si>
    <t>https://drive.google.com/open?id=11PoFpDoItTxklmLldr1VUyriREXOcV22, https://drive.google.com/open?id=1xJSHwzQpyWTJvTzmEXr7XzsveLDqlSE_</t>
  </si>
  <si>
    <t>https://www.facebook.com/profile.php?id=100006571127868&amp;mibextid=kFxxJD</t>
  </si>
  <si>
    <t xml:space="preserve">Nguyễn Duy </t>
  </si>
  <si>
    <t>nguyennduy65@gmail.com</t>
  </si>
  <si>
    <t>451/15 Xô Viết Nghệ Tĩnh, Phường 26, Quận Bình Thạnh</t>
  </si>
  <si>
    <t>https://drive.google.com/open?id=19xkA5HtdC2VHviZiog702qbdFH1L1hzL, https://drive.google.com/open?id=1iNOYrQBAfdk3tvE1qrS0liQfx1bE0umb</t>
  </si>
  <si>
    <t>https://www.facebook.com/huynchhang</t>
  </si>
  <si>
    <r>
      <rPr>
        <sz val="12"/>
        <color theme="1"/>
        <rFont val="Times New Roman"/>
        <family val="1"/>
      </rPr>
      <t>Lê Huyền Trang</t>
    </r>
    <r>
      <rPr>
        <sz val="12"/>
        <color rgb="FFFF0000"/>
        <rFont val="Times New Roman"/>
        <family val="1"/>
      </rPr>
      <t xml:space="preserve"> - OPT32</t>
    </r>
  </si>
  <si>
    <t xml:space="preserve"> lhtr7106@gmail.com</t>
  </si>
  <si>
    <t>09/09/2024 và 16/09/2024</t>
  </si>
  <si>
    <t>https://drive.google.com/open?id=1OVjFlUMHVcM2Q9h5o96A_4YXUL9cyEbG; https://drive.google.com/open?id=18EKm5SvxPPz2Ukmf1CtdYmFSSqMvjwlJ; https://drive.google.com/open?id=1zQnE33-R0Voy7JGlfo9n3mHs8LL39jzb</t>
  </si>
  <si>
    <t>https://www.facebook.com/profile.php?id=100034135998464</t>
  </si>
  <si>
    <r>
      <rPr>
        <sz val="12"/>
        <color theme="1"/>
        <rFont val="Times New Roman"/>
        <family val="1"/>
      </rPr>
      <t>Vũ Phương Nga</t>
    </r>
    <r>
      <rPr>
        <sz val="12"/>
        <color rgb="FFFF0000"/>
        <rFont val="Times New Roman"/>
        <family val="1"/>
      </rPr>
      <t xml:space="preserve"> - OPT32</t>
    </r>
  </si>
  <si>
    <t>phuongnga12122006@gmail.com</t>
  </si>
  <si>
    <t>Số Nhà 12, Ngõ 36, Đường Xuân La, Tây Hồ, Hà Nội</t>
  </si>
  <si>
    <t>https://drive.google.com/open?id=1T37gkbRUTsxBUyKQbeoOnoSnmiM8xsTa</t>
  </si>
  <si>
    <t>https://www.facebook.com/hoaa.hoaa.16</t>
  </si>
  <si>
    <t>Trần Thị Hoa</t>
  </si>
  <si>
    <t>Tranhoa02102005@gmail.com</t>
  </si>
  <si>
    <t>Tại văn phòng</t>
  </si>
  <si>
    <t>https://drive.google.com/open?id=10REoDfZ0uxnOEWP-JpdwYysUK24pEuY5; https://drive.google.com/open?id=15OWDAEA3lwn0lCXC3Hgwd--nzdzSvkHZ</t>
  </si>
  <si>
    <t>https://www.facebook.com/profile.php?id=100075896910042&amp;mibextid=LQQJ4d</t>
  </si>
  <si>
    <r>
      <rPr>
        <sz val="12"/>
        <color theme="1"/>
        <rFont val="Times New Roman"/>
        <family val="1"/>
      </rPr>
      <t xml:space="preserve">Nguyễn Anh Đức </t>
    </r>
    <r>
      <rPr>
        <sz val="12"/>
        <color rgb="FFFF0000"/>
        <rFont val="Times New Roman"/>
        <family val="1"/>
      </rPr>
      <t>(Hợp đồng)</t>
    </r>
  </si>
  <si>
    <t>Dân tiến khoái châu hưng yên</t>
  </si>
  <si>
    <t>https://drive.google.com/open?id=1ShW-dEAQMJCKJcYOaQc46RQ5JaQxizky</t>
  </si>
  <si>
    <t>https://www.facebook.com/wkdansgnl</t>
  </si>
  <si>
    <t xml:space="preserve">Trương Văn Huy </t>
  </si>
  <si>
    <t xml:space="preserve"> truongvanhuy9903@gmail.com</t>
  </si>
  <si>
    <t>306 Tây Sơn, Đống Đa</t>
  </si>
  <si>
    <t>https://drive.google.com/open?id=1VfUVNfgjb0WwS_K0yU_zn-HARaWE3zxR</t>
  </si>
  <si>
    <t>https://www.facebook.com/tranvantuan632004?mibextid=LQQJ4d</t>
  </si>
  <si>
    <r>
      <rPr>
        <sz val="12"/>
        <color theme="1"/>
        <rFont val="Times New Roman"/>
        <family val="1"/>
      </rPr>
      <t xml:space="preserve">Trần Văn Tuấn </t>
    </r>
    <r>
      <rPr>
        <sz val="12"/>
        <color rgb="FFFF0000"/>
        <rFont val="Times New Roman"/>
        <family val="1"/>
      </rPr>
      <t>(hợp đồng)</t>
    </r>
  </si>
  <si>
    <t xml:space="preserve">tuantranxombau@gmail.com </t>
  </si>
  <si>
    <t xml:space="preserve"> Xóm 6 xã nghi công nam huyện nghi lộc tỉnh nghệ an </t>
  </si>
  <si>
    <t>12/09/2024 và 19/09/2024</t>
  </si>
  <si>
    <t>https://drive.google.com/open?id=19maa63x33htCbgsv9xz0a85KEPxSIrLR; https://drive.google.com/open?id=1gBRPNketm8tmBmhCLZlOZdcAq7Iw22RU</t>
  </si>
  <si>
    <t>PT128 bảo lưu buổi 3 do sức khỏe. Hạ báo</t>
  </si>
  <si>
    <t>https://www.facebook.com/vuthikhanhninh2401</t>
  </si>
  <si>
    <r>
      <rPr>
        <sz val="12"/>
        <color theme="1"/>
        <rFont val="Times New Roman"/>
        <family val="1"/>
      </rPr>
      <t>Vũ Thị Khánh Ninh</t>
    </r>
    <r>
      <rPr>
        <sz val="12"/>
        <color rgb="FFFF0000"/>
        <rFont val="Times New Roman"/>
        <family val="1"/>
      </rPr>
      <t xml:space="preserve"> - hợp đồng</t>
    </r>
  </si>
  <si>
    <t>vuthikhanhninh24012006@gmail.com</t>
  </si>
  <si>
    <t>số nhà 21 Lĩnh Nam , Hoàng Mai, Hà Nội</t>
  </si>
  <si>
    <t>12/09/2024 và 13/09/2024</t>
  </si>
  <si>
    <r>
      <rPr>
        <u/>
        <sz val="12"/>
        <color rgb="FF1155CC"/>
        <rFont val="Times New Roman"/>
        <family val="1"/>
      </rPr>
      <t xml:space="preserve">https://drive.google.com/open?id=1f6wbJ7YyooJV0HA4HLEnM3J-52io69fn; </t>
    </r>
    <r>
      <rPr>
        <u/>
        <sz val="12"/>
        <color rgb="FF1155CC"/>
        <rFont val="Times New Roman"/>
        <family val="1"/>
      </rPr>
      <t>https://drive.google.com/open?id=19CfOhyXBqnMM4pKSSe8EGUI-NmXLJBeV</t>
    </r>
  </si>
  <si>
    <t>https://www.facebook.com/sahra.ha.92</t>
  </si>
  <si>
    <t xml:space="preserve">Trần Thu Hà </t>
  </si>
  <si>
    <t>Cơ sở 3- Trường ĐH Công nghiệp Hà Nội, Phường Lê Hồng Phong, thành phố Phủ Lý, tỉnh Hà Nam</t>
  </si>
  <si>
    <r>
      <rPr>
        <sz val="12"/>
        <rFont val="Times New Roman"/>
        <family val="1"/>
      </rPr>
      <t xml:space="preserve">https://drive.google.com/open?id=1gy8ZqBXaHnbuKaAOO_ADB8s-BmgY8Xqj, https://drive.google.com/open?id=1pNYWHltWjtycEmBeir8ITtLngp33IBHY; </t>
    </r>
    <r>
      <rPr>
        <u/>
        <sz val="12"/>
        <color rgb="FF1155CC"/>
        <rFont val="Times New Roman"/>
        <family val="1"/>
      </rPr>
      <t>https://drive.google.com/open?id=1bzXjYeB8pnzbjZUxNwsYQJQWDd9usv6S</t>
    </r>
  </si>
  <si>
    <t>https://www.facebook.com/hoanganh.pha.3</t>
  </si>
  <si>
    <t xml:space="preserve">Phạm Hoàng Anh </t>
  </si>
  <si>
    <t>anhphph51878@gmail.com</t>
  </si>
  <si>
    <t>https://drive.google.com/open?id=1PVFI5UMPbqb2UG9sRkdgrxfzJbQ3N82g</t>
  </si>
  <si>
    <t>https://www.facebook.com/profile.php?id=100067405500866&amp;mibextid=LQQJ4d</t>
  </si>
  <si>
    <t>Lê Anh Tú</t>
  </si>
  <si>
    <t>12/09/2024 vfa 15/09/2024</t>
  </si>
  <si>
    <t>https://drive.google.com/open?id=1DMSsngQ8WDCjjnJNgqAD_gNvv45e9z_b; https://drive.google.com/open?id=1Hxyqx5fCx5kkw2lwroRKG1P8wTCtudhO</t>
  </si>
  <si>
    <t>https://www.facebook.com/no.kaka.12382</t>
  </si>
  <si>
    <t xml:space="preserve">Nguyễn Thị Thu Trang  </t>
  </si>
  <si>
    <t xml:space="preserve"> lethitham060987@gmail.com</t>
  </si>
  <si>
    <t>https://drive.google.com/open?id=1831CUcZQmBOrxBxn2liHwcGKDo2kQH2U; https://drive.google.com/open?id=1i_S6pA2fy45yhRDvO13vPJ8saoImCwY2</t>
  </si>
  <si>
    <t>https://www.facebook.com/phuc.tan.1911?mibextid=ZbWKwL</t>
  </si>
  <si>
    <t>Lài Phúc Tấn</t>
  </si>
  <si>
    <t>https://drive.google.com/open?id=1mlh8SQVjeRBkH4_5zmsJSBrdaPRBsnoF, https://drive.google.com/open?id=1T-SM_ubmgaARzmWh9X9FAGoEnnABkUMX</t>
  </si>
  <si>
    <t>https://www.facebook.com/profile.php?id=100068577055817&amp;mibextid=LQQJ4d</t>
  </si>
  <si>
    <r>
      <rPr>
        <sz val="12"/>
        <color theme="1"/>
        <rFont val="Times New Roman"/>
        <family val="1"/>
      </rPr>
      <t xml:space="preserve">Bùi Thị Yến </t>
    </r>
    <r>
      <rPr>
        <sz val="12"/>
        <color rgb="FFFF0000"/>
        <rFont val="Times New Roman"/>
        <family val="1"/>
      </rPr>
      <t>- nick Hoàng Yến</t>
    </r>
  </si>
  <si>
    <t>yenbuithi2006hd@gmail.com</t>
  </si>
  <si>
    <t>https://drive.google.com/open?id=1xLjSPdmfdCoO10q5lX2Pk9nJTeusmHEf, https://drive.google.com/open?id=1yAZOOv-6ghY6v8KOrlorpt9xHg5-lr2P</t>
  </si>
  <si>
    <t>https://www.facebook.com/hai.vantrong.73?mibextid=ZbWKwL</t>
  </si>
  <si>
    <r>
      <rPr>
        <sz val="12"/>
        <color theme="1"/>
        <rFont val="Times New Roman"/>
        <family val="1"/>
      </rPr>
      <t xml:space="preserve">Văn Trọng Hải </t>
    </r>
    <r>
      <rPr>
        <sz val="12"/>
        <color rgb="FFFF0000"/>
        <rFont val="Times New Roman"/>
        <family val="1"/>
      </rPr>
      <t>(hợp đồng)</t>
    </r>
  </si>
  <si>
    <t xml:space="preserve">Minh </t>
  </si>
  <si>
    <t>vantronghai09@gmail.com</t>
  </si>
  <si>
    <t>Số nhà A78-Khu đấu giá Phú Lương-Hà Đông-HN</t>
  </si>
  <si>
    <t>https://drive.google.com/open?id=1iVEGAabzHWUWuW0qbTG9DywOvkxcbwbG</t>
  </si>
  <si>
    <t>https://www.facebook.com/ma1.anhthu.9?mibextid=LQQJ4d</t>
  </si>
  <si>
    <t xml:space="preserve">Ma Thị Anh Thư </t>
  </si>
  <si>
    <t>maanhthu161@gmail.com</t>
  </si>
  <si>
    <t>https://drive.google.com/open?id=1IXdD4vJBd52eXrcwgAiygBK_RFHPei3x, https://drive.google.com/open?id=1GcBln9Gt7Q7jhIBL-MAF79uPzn-2H3QP</t>
  </si>
  <si>
    <t>https://www.facebook.com/profile.php?id=100035499592151&amp;mibextid=LQQJ4d</t>
  </si>
  <si>
    <t xml:space="preserve">Bạch Thúy Vân </t>
  </si>
  <si>
    <t>thyvann16092005@gmail.com</t>
  </si>
  <si>
    <r>
      <rPr>
        <sz val="12"/>
        <rFont val="Times New Roman"/>
        <family val="1"/>
      </rPr>
      <t xml:space="preserve">https://drive.google.com/open?id=15T4x3ihahTbSRwe4r5mSiS3AlCs6AoK2, </t>
    </r>
    <r>
      <rPr>
        <u/>
        <sz val="12"/>
        <color rgb="FF1155CC"/>
        <rFont val="Times New Roman"/>
        <family val="1"/>
      </rPr>
      <t>https://drive.google.com/open?id=1suoa78T-tteS1JIb6vwiAi-kO48F44d7</t>
    </r>
  </si>
  <si>
    <t>PT161</t>
  </si>
  <si>
    <t>https://www.facebook.com/profile.php?id=100063909022875</t>
  </si>
  <si>
    <r>
      <rPr>
        <sz val="12"/>
        <color theme="1"/>
        <rFont val="Times New Roman"/>
        <family val="1"/>
      </rPr>
      <t xml:space="preserve">Nguyễn Hải Nam </t>
    </r>
    <r>
      <rPr>
        <sz val="12"/>
        <color rgb="FFFF0000"/>
        <rFont val="Times New Roman"/>
        <family val="1"/>
      </rPr>
      <t>(hợp đồng) - đã nộp 300K 22/10/2024
PT127 bảo lưu b11 đi quân sự. Học PT161 b8</t>
    </r>
  </si>
  <si>
    <t>Tuệ Minh</t>
  </si>
  <si>
    <t xml:space="preserve">nguyennamthanhsonv8@gmail.com </t>
  </si>
  <si>
    <t xml:space="preserve">Tòa 22 phố ao sen, Trần Phú, Hà Đông, Hà Nội </t>
  </si>
  <si>
    <t>https://drive.google.com/open?id=15_tjJ56ct05bmQnaipv5q5G0TWml-uK3</t>
  </si>
  <si>
    <t>https://www.facebook.com/profile.php?id=100036473514140</t>
  </si>
  <si>
    <r>
      <rPr>
        <sz val="12"/>
        <color theme="1"/>
        <rFont val="Times New Roman"/>
        <family val="1"/>
      </rPr>
      <t xml:space="preserve">Lê Thuỳ Giang </t>
    </r>
    <r>
      <rPr>
        <sz val="12"/>
        <color rgb="FFFF0000"/>
        <rFont val="Times New Roman"/>
        <family val="1"/>
      </rPr>
      <t>(hợp đồng)</t>
    </r>
  </si>
  <si>
    <t>huonggianga1ql@gmail.com</t>
  </si>
  <si>
    <t>nhà 11A ngách 119, ngõ 24 Kim Đồng, Giáp bát, Hoàng Mai, Hà Nội</t>
  </si>
  <si>
    <t>https://drive.google.com/open?id=149_JABj5ZYdvxqzCLBSj79yyCvvr8geJ</t>
  </si>
  <si>
    <t>https://www.facebook.com/profile.php?id=100074347118512</t>
  </si>
  <si>
    <t>Vũ Đỗ Thảo Vy</t>
  </si>
  <si>
    <t>vudothaovy2006@gmail.com</t>
  </si>
  <si>
    <t>xóm 13, Hải Phúc, Hải Hậu, Nam Định</t>
  </si>
  <si>
    <t>https://drive.google.com/open?id=1Jv9jtLcs9ynMwBCCLtM67qVfnqN9KRVd</t>
  </si>
  <si>
    <t>PT129</t>
  </si>
  <si>
    <t>https://www.facebook.com/profile.php?id=100070105029264&amp;mibextid=ZbWKwL</t>
  </si>
  <si>
    <r>
      <rPr>
        <sz val="12"/>
        <color theme="1"/>
        <rFont val="Times New Roman"/>
        <family val="1"/>
      </rPr>
      <t xml:space="preserve">Phạm Thành Công </t>
    </r>
    <r>
      <rPr>
        <sz val="12"/>
        <color rgb="FFFF0000"/>
        <rFont val="Times New Roman"/>
        <family val="1"/>
      </rPr>
      <t>(Hợp đồng)</t>
    </r>
  </si>
  <si>
    <t>CS3 đại học Công nghiệp Hà Nội</t>
  </si>
  <si>
    <t>https://drive.google.com/open?id=152FaN10LYMC1dHaSJ_VwX8ja4OOLP7rm</t>
  </si>
  <si>
    <t>https://www.facebook.com/huong.cat.583?mibextid=kFxxJD</t>
  </si>
  <si>
    <r>
      <rPr>
        <sz val="12"/>
        <color theme="1"/>
        <rFont val="Times New Roman"/>
        <family val="1"/>
      </rPr>
      <t>Nguyễn Quỳnh Hương</t>
    </r>
    <r>
      <rPr>
        <sz val="12"/>
        <color rgb="FFFF0000"/>
        <rFont val="Times New Roman"/>
        <family val="1"/>
      </rPr>
      <t xml:space="preserve"> (hợp đồng)</t>
    </r>
  </si>
  <si>
    <t>tòa bs15 vinhomes, quận 9 Hồ Chí Minh</t>
  </si>
  <si>
    <t>14/09/2024 và 14/09/2024</t>
  </si>
  <si>
    <t>https://drive.google.com/open?id=1C3xD_Q8qlMnU5c30_uz6vEIaDqwZ7inH, https://drive.google.com/open?id=1bbxdRUhKV5BaCwwiKgXljEGHsb8ZOBhU</t>
  </si>
  <si>
    <t>https://www.facebook.com/profile.php?id=100016511880303</t>
  </si>
  <si>
    <r>
      <rPr>
        <sz val="12"/>
        <color theme="1"/>
        <rFont val="Times New Roman"/>
        <family val="1"/>
      </rPr>
      <t xml:space="preserve">Vũ Công Minh </t>
    </r>
    <r>
      <rPr>
        <sz val="12"/>
        <color rgb="FFFF0000"/>
        <rFont val="Times New Roman"/>
        <family val="1"/>
      </rPr>
      <t>(Hợp đồng)</t>
    </r>
  </si>
  <si>
    <t>Cổng phụ đại học công nghiệp HN cơ sở 3</t>
  </si>
  <si>
    <t>14/09/2024 và 17/09/2024</t>
  </si>
  <si>
    <t>https://drive.google.com/open?id=1DS6cNUljHDWBN2gVuTWFhqNU8pcwkJNH; https://drive.google.com/open?id=1gjRII9DAUDELCkUnslZEgUJcnimcUyRo; https://drive.google.com/open?id=1RRRJO3lDdScY9xtzcwD4xzNr_7ZnVnql</t>
  </si>
  <si>
    <t>OPT37</t>
  </si>
  <si>
    <t>https://www.facebook.com/trang.ducan.9</t>
  </si>
  <si>
    <t xml:space="preserve">Tráng Đức An </t>
  </si>
  <si>
    <t>14/09/2024 và 23/09/2024</t>
  </si>
  <si>
    <t>https://drive.google.com/open?id=1JqCfk4_Ru20XlUZMsKIUSeRUcCi_2phk; https://drive.google.com/open?id=1_GP2N8YUBPNMKVxOMuNfKq6JhMlg7f8g</t>
  </si>
  <si>
    <t>T250</t>
  </si>
  <si>
    <t xml:space="preserve">Phó Hữu Phúc  	</t>
  </si>
  <si>
    <t>https://drive.google.com/open?id=1ZOs2dc9Qk1z9ijEm9CMMfIgvd5s8KUrW</t>
  </si>
  <si>
    <t>https://www.facebook.com/ltvacaom6</t>
  </si>
  <si>
    <t>Lưu Thị Vân Anh</t>
  </si>
  <si>
    <t>Hống Anh</t>
  </si>
  <si>
    <t>luuthivananh822006@gmail.com</t>
  </si>
  <si>
    <t>tổ 1 - thị trấn chi đông - mê linh - hà nội</t>
  </si>
  <si>
    <t>https://drive.google.com/open?id=1AAOqFMr5KjRcqp71FfrOqLHHlAg7ckCd</t>
  </si>
  <si>
    <t>https://www.facebook.com/leanhthu0716</t>
  </si>
  <si>
    <t>Lê Anh Thư</t>
  </si>
  <si>
    <t>https://drive.google.com/open?id=1gyHUypdQD_ju0RPSPHv5d1cRnd8KZqXf</t>
  </si>
  <si>
    <t>https://www.facebook.com/profile.php?id=100053788391474</t>
  </si>
  <si>
    <r>
      <rPr>
        <sz val="12"/>
        <color theme="1"/>
        <rFont val="Times New Roman"/>
        <family val="1"/>
      </rPr>
      <t xml:space="preserve">Vũ Duy Khánh </t>
    </r>
    <r>
      <rPr>
        <sz val="12"/>
        <color rgb="FFFF0000"/>
        <rFont val="Times New Roman"/>
        <family val="1"/>
      </rPr>
      <t>(hợp đồng)</t>
    </r>
  </si>
  <si>
    <t>vukhanh20061029@gmail.com</t>
  </si>
  <si>
    <t>Trường đại học công nghiệp hà nội cơ sở 3, Phủ Lý, Hà Nam</t>
  </si>
  <si>
    <r>
      <rPr>
        <sz val="12"/>
        <rFont val="Times New Roman"/>
        <family val="1"/>
      </rPr>
      <t xml:space="preserve">https://drive.google.com/open?id=13naAYuBBSolxk_gKoGSA_pvKPu9EmECM, </t>
    </r>
    <r>
      <rPr>
        <u/>
        <sz val="12"/>
        <color rgb="FF1155CC"/>
        <rFont val="Times New Roman"/>
        <family val="1"/>
      </rPr>
      <t>https://drive.google.com/open?id=11Raez6oAIfkCnbkMIG9TWMjtuWd8_dCc</t>
    </r>
  </si>
  <si>
    <t>OPT46</t>
  </si>
  <si>
    <t>https://www.facebook.com/mat.troi.378537?mibextid=LQQJ4d</t>
  </si>
  <si>
    <r>
      <rPr>
        <sz val="12"/>
        <color theme="1"/>
        <rFont val="Times New Roman"/>
        <family val="1"/>
      </rPr>
      <t xml:space="preserve">Thẩm Thu Hương </t>
    </r>
    <r>
      <rPr>
        <sz val="12"/>
        <color rgb="FFFF0000"/>
        <rFont val="Times New Roman"/>
        <family val="1"/>
      </rPr>
      <t>- đã nộp 300K 08/11/2024
OPT30 bảo lưu b4. Học OPT46 b1</t>
    </r>
  </si>
  <si>
    <t>Hthamthu@gmail.com</t>
  </si>
  <si>
    <t>Cổng A12, ngõ 199 Trần Quốc Hoàn, Dịch Vọng Hậu, Cầu Giấy, Hà Nội</t>
  </si>
  <si>
    <t>https://drive.google.com/open?id=1sSLJPKSDDyeGzbOeTY1uQFQT15kHrql4</t>
  </si>
  <si>
    <t>https://www.facebook.com/profile.php?id=100037761561597&amp;mibextid=LQQJ4d</t>
  </si>
  <si>
    <t>Lại Thị Nga</t>
  </si>
  <si>
    <t>Laithinga2006@gmail.com</t>
  </si>
  <si>
    <t>số nhà 18, ngõ 22, đường trần quang khải phường lê hồng phong thành phố phủ lý tỉnh Hà Nam</t>
  </si>
  <si>
    <r>
      <rPr>
        <sz val="12"/>
        <rFont val="Times New Roman"/>
        <family val="1"/>
      </rPr>
      <t xml:space="preserve">https://drive.google.com/open?id=1zDj-ndO6HE2lYkqFbik35Zs5KYMY6BVq, </t>
    </r>
    <r>
      <rPr>
        <u/>
        <sz val="12"/>
        <color rgb="FF1155CC"/>
        <rFont val="Times New Roman"/>
        <family val="1"/>
      </rPr>
      <t>https://drive.google.com/open?id=1HC5y1rL6IQmexEkYeHEkbId9ezwDsDki</t>
    </r>
  </si>
  <si>
    <t>https://www.facebook.com/profile.php?id=100052929704384</t>
  </si>
  <si>
    <t>Vũ Văn Sơn</t>
  </si>
  <si>
    <t>Sơn</t>
  </si>
  <si>
    <t>https://drive.google.com/open?id=12mga686ja7O0YmCNk_CZI73KyQRdGn03; https://drive.google.com/open?id=1lt8LhXdaBkhS0QBJPwtdIm9fc7nZBhXZ</t>
  </si>
  <si>
    <t>https://www.facebook.com/hip.vu.1865?mibextid=LQQJ4d</t>
  </si>
  <si>
    <t>Vũ Quang Hiệp</t>
  </si>
  <si>
    <t xml:space="preserve">hiepvu080605@gmail.com </t>
  </si>
  <si>
    <t>https://drive.google.com/open?id=1-bdpN2-1JynfR7Vp4xRk81PFMguJTvQT; https://drive.google.com/open?id=1EO8m_G52Ox9-pT1m83rMlCjfkfew2OH2</t>
  </si>
  <si>
    <t>https://www.facebook.com/profile.php?id=100074748476746&amp;mibextid=LQQJ4d</t>
  </si>
  <si>
    <t xml:space="preserve">Nguyễn Văn Thuận </t>
  </si>
  <si>
    <t>Thùy Ninh</t>
  </si>
  <si>
    <t>phù vân , phủ lý , hà nam</t>
  </si>
  <si>
    <t>https://drive.google.com/open?id=179G15SgRAcNlAZViCG7d4h6vgM5Drl3n</t>
  </si>
  <si>
    <t>https://www.facebook.com/profile.php?id=100069827562931&amp;mibextid=LQQJ4d</t>
  </si>
  <si>
    <r>
      <rPr>
        <sz val="12"/>
        <color theme="1"/>
        <rFont val="Times New Roman"/>
        <family val="1"/>
      </rPr>
      <t>Vũ Quốc Dũng</t>
    </r>
    <r>
      <rPr>
        <sz val="12"/>
        <color rgb="FFFF0000"/>
        <rFont val="Times New Roman"/>
        <family val="1"/>
      </rPr>
      <t xml:space="preserve"> - Đã nộp 300K 14/03/25
T243 bảo lưu b18. Học T285 b14</t>
    </r>
  </si>
  <si>
    <t>vqdung2006@gmail.com</t>
  </si>
  <si>
    <t>Phù Vân, Phủ Lý, Hà Nam</t>
  </si>
  <si>
    <t>https://drive.google.com/open?id=17U6NgWCGQh40T8kHwtPlz_pgQA6Y5_P8</t>
  </si>
  <si>
    <t>https://www.facebook.com/nghuyy.20?mibextid=ZbWKwL</t>
  </si>
  <si>
    <t>https://drive.google.com/open?id=1jZZ6xB3TcpYVwV8hwEmVbcA4Ug5lWyAU</t>
  </si>
  <si>
    <t>https://www.facebook.com/profile.php?id=100064278098622&amp;mibextid=LQQJ4d</t>
  </si>
  <si>
    <t>Nguyễn Hoài Nam</t>
  </si>
  <si>
    <t>namnguyenhoai457@gmail.com</t>
  </si>
  <si>
    <t>https://drive.google.com/open?id=1hs7XnO1ZjZhBkMyfa6KuwumzG0jSw3hU, https://drive.google.com/open?id=1h_HjE26HBhWuwlwFwILXc_lR3wJsESup</t>
  </si>
  <si>
    <t>OPT36</t>
  </si>
  <si>
    <t>https://www.facebook.com/huynnt168?locale=vi_VN</t>
  </si>
  <si>
    <r>
      <rPr>
        <sz val="12"/>
        <color theme="1"/>
        <rFont val="Times New Roman"/>
        <family val="1"/>
      </rPr>
      <t xml:space="preserve">Nguyễn Thu Huyền </t>
    </r>
    <r>
      <rPr>
        <sz val="12"/>
        <color rgb="FFFF0000"/>
        <rFont val="Times New Roman"/>
        <family val="1"/>
      </rPr>
      <t>(hợp đồng)</t>
    </r>
  </si>
  <si>
    <t>huyenthu1682@gmail.com</t>
  </si>
  <si>
    <t>nhận sách số 4/313 âu cơ tây hồ hà nội</t>
  </si>
  <si>
    <t>16/09/2024 và 30/09/2024</t>
  </si>
  <si>
    <t>https://drive.google.com/open?id=1TJ5ddsY7HLERTraXqQkmXVzWXFZY-MpG; https://drive.google.com/open?id=1_ExvGT5r7o2lES9ErDSF1IGiU_bgKF3I</t>
  </si>
  <si>
    <t>Vũ mang sách sang</t>
  </si>
  <si>
    <t>PT135</t>
  </si>
  <si>
    <t>https://www.facebook.com/hong.nt.92505</t>
  </si>
  <si>
    <r>
      <rPr>
        <sz val="12"/>
        <color theme="1"/>
        <rFont val="Times New Roman"/>
        <family val="1"/>
      </rPr>
      <t>Nguyễn Thị Thanh Hồng</t>
    </r>
    <r>
      <rPr>
        <sz val="12"/>
        <color rgb="FFFF0000"/>
        <rFont val="Times New Roman"/>
        <family val="1"/>
      </rPr>
      <t xml:space="preserve"> (hợp đồng) OPT32</t>
    </r>
  </si>
  <si>
    <t>nguyenhong14122006@gmail.com</t>
  </si>
  <si>
    <t>Diến Táo - Tiến Thắng - Mê Linh -Hà Nội</t>
  </si>
  <si>
    <t>16/09/2024 và 21/09/2024</t>
  </si>
  <si>
    <t>https://drive.google.com/open?id=1atTD8VO6_DVJZYF_rcxOMVnlwEbY9ses; https://drive.google.com/open?id=1ofykSNuzrVBVctClpQ8Q73myAo8wsmKZ</t>
  </si>
  <si>
    <t>https://www.facebook.com/profile.php?id=100037559047353</t>
  </si>
  <si>
    <t>yennguyenthi110904@gmail.com</t>
  </si>
  <si>
    <t>https://drive.google.com/open?id=1JXtmKWMarT0BqZYz62Apx-nbOhF_EV-G; https://drive.google.com/open?id=1TqLMRUD6PibT1n06WQEcAIJyDbbcbarQ</t>
  </si>
  <si>
    <t>https://www.facebook.com/profile.php?id=100046598621305</t>
  </si>
  <si>
    <r>
      <rPr>
        <sz val="12"/>
        <color theme="1"/>
        <rFont val="Times New Roman"/>
        <family val="1"/>
      </rPr>
      <t>Nguyễn Phúc Thiên Ân</t>
    </r>
    <r>
      <rPr>
        <sz val="12"/>
        <color rgb="FFFF0000"/>
        <rFont val="Times New Roman"/>
        <family val="1"/>
      </rPr>
      <t xml:space="preserve"> 968208169 số cũ</t>
    </r>
  </si>
  <si>
    <t>https://drive.google.com/open?id=1OsUNnzIY82ZU1IM15TW2VYM0-Ml4OAd6; https://drive.google.com/open?id=14q62EWTZkvP-zxFgnYuLfNNPvrXBWnmi</t>
  </si>
  <si>
    <t>https://www.facebook.com/bach.bui.1694059?mibextid=LQQJ4d</t>
  </si>
  <si>
    <t xml:space="preserve">Bùi Văn Bách </t>
  </si>
  <si>
    <t>buivanbach003@gmail.com</t>
  </si>
  <si>
    <t>29 ngõ 136 đường cầu diễn, minh khai, bắc từ liêm</t>
  </si>
  <si>
    <t>https://drive.google.com/open?id=1705tdREsZljiSLPOfxXdX6bHZbqyJcIL</t>
  </si>
  <si>
    <t>https://drive.google.com/open?id=1NWDHfPeOp3KYLc3sSDw9KaprhwBOyqZ2</t>
  </si>
  <si>
    <t>đã qua lv pre</t>
  </si>
  <si>
    <t>PT132</t>
  </si>
  <si>
    <t>https://www.facebook.com/profile.php?id=100089055393138&amp;mibextid=LQQJ4d</t>
  </si>
  <si>
    <t xml:space="preserve">Phạm Huyền </t>
  </si>
  <si>
    <t xml:space="preserve"> cổng trường đh fpt</t>
  </si>
  <si>
    <t>https://drive.google.com/open?id=1H-VuHSqz_-Z_VHc0mtYVclvDodUjwOgc; https://drive.google.com/open?id=1K498b65aSi3b7fb-4Qhje_xl97khSPP2</t>
  </si>
  <si>
    <t>https://www.facebook.com/chhuwng?mibextid=LQQJ4d</t>
  </si>
  <si>
    <t>Đinh Chấn Hưng</t>
  </si>
  <si>
    <t>https://drive.google.com/open?id=1H3uI9T5debtm2tpHExqAQA2WZaXkZ9x8</t>
  </si>
  <si>
    <t>https://www.facebook.com/profile.php?id=100063520550582&amp;mibextid=LQQJ4d</t>
  </si>
  <si>
    <t>Phạm Công Hưng</t>
  </si>
  <si>
    <t>hungpham25122005az@gmail.com</t>
  </si>
  <si>
    <t>11/158 Hồng Mai,Quỳnh Lôi,Hai Bà Trưng,Hà Nội</t>
  </si>
  <si>
    <t>https://drive.google.com/open?id=1uPSUpUstrnA8AVLIFvYaHHYcWyJU3vLd</t>
  </si>
  <si>
    <t>https://www.facebook.com/iamhcong?mibextid=LQQJ4d</t>
  </si>
  <si>
    <t>Bùi Hữu Công</t>
  </si>
  <si>
    <t>Tại lớp hóc</t>
  </si>
  <si>
    <t>https://drive.google.com/open?id=1fKnifa6xT3Pxqlc6NEzKzquADmCz3fNE</t>
  </si>
  <si>
    <t>https://www.facebook.com/profile.php?id=100025330666009</t>
  </si>
  <si>
    <t xml:space="preserve">Nguyễn Thế Hải </t>
  </si>
  <si>
    <t>lop6avd43211@gmail.com</t>
  </si>
  <si>
    <t>Tại trung tâm</t>
  </si>
  <si>
    <t>https://drive.google.com/open?id=1sX3qD32t0bX4tmx7peeMIsPdF55br8bz</t>
  </si>
  <si>
    <t>https://www.facebook.com/profile.php?id=100036067713666</t>
  </si>
  <si>
    <t>Trần Hồng Long</t>
  </si>
  <si>
    <t>tranlong6226@gmail.com</t>
  </si>
  <si>
    <t xml:space="preserve">Tại  lớp 
</t>
  </si>
  <si>
    <t>15/09/2024 và 23/09/2024</t>
  </si>
  <si>
    <t>https://drive.google.com/open?id=1uSzKOfdJ5wH0Cb54vZQjyt4Z5U2ve_t0; https://drive.google.com/open?id=13mfjQHW-cqA-ksL8lQkE8eyV2qi9BYvM</t>
  </si>
  <si>
    <t>https://www.facebook.com/profile.php?id=100052889808624&amp;mibextid=ZbWKwL</t>
  </si>
  <si>
    <t>Phạm Thành Long</t>
  </si>
  <si>
    <t xml:space="preserve">lonklonk3344@gmail.com </t>
  </si>
  <si>
    <t>Chung cư hh1a Linh đàm -hoàng mai - hà nộ</t>
  </si>
  <si>
    <t>https://drive.google.com/open?id=1Qbkt_ZxBCvEF_NcjcxSDBse_DF6COngi; https://drive.google.com/open?id=1ikO85Su8UMiUCj_VgIHVOnfqUp_GchiM</t>
  </si>
  <si>
    <t>PT131</t>
  </si>
  <si>
    <t>https://www.facebook.com/1702dat</t>
  </si>
  <si>
    <t xml:space="preserve">Nguyễn Tiến Đạt  </t>
  </si>
  <si>
    <t>thiduyen986.com@gmail.com</t>
  </si>
  <si>
    <t>56 ngh.124/48 đường Tân Triều , Thanh Trì, Hà Nội</t>
  </si>
  <si>
    <t>https://drive.google.com/open?id=1-eSWOy61-JulKifdI3jRU3T0b4ttpl5b</t>
  </si>
  <si>
    <t>https://www.facebook.com/profile.php?id=100046113581455&amp;mibextid=ZbWKwL</t>
  </si>
  <si>
    <t xml:space="preserve"> Phạm Trung Hiếu</t>
  </si>
  <si>
    <t xml:space="preserve"> pham79trunghieu@gmail.com</t>
  </si>
  <si>
    <t>https://drive.google.com/open?id=1MO0X6DlmHDjgZKU6FxF_YUCinf2wKjWQ</t>
  </si>
  <si>
    <t>https://www.facebook.com/trepanation.chijmin</t>
  </si>
  <si>
    <t xml:space="preserve">Nguyễn Minh Anh </t>
  </si>
  <si>
    <t>vipblink2006@gmail.com</t>
  </si>
  <si>
    <t>16/09/2024 và 17/09/2024</t>
  </si>
  <si>
    <t>https://drive.google.com/open?id=19EtCjOixORLMjpcMWc4MF2K4A2Eg1jQ0; https://drive.google.com/open?id=1DrW234XnDCv0hSbmDCISlhNqHF3Jq7pS, https://drive.google.com/open?id=1wqdMqBD_8Hb1lSIcqPitm2GP4RpU8740; https://drive.google.com/open?id=11Z43hb5cZarpyU438GkIsiU6EScX7nVY, https://drive.google.com/open?id=1X4zICf-XaigfGXGePBJcEKlGzC2D6ANl</t>
  </si>
  <si>
    <t>PT141</t>
  </si>
  <si>
    <t>https://www.facebook.com/profile.php?id=100041064667496&amp;mibextid=LQQJ4d</t>
  </si>
  <si>
    <r>
      <rPr>
        <sz val="12"/>
        <color theme="1"/>
        <rFont val="Times New Roman"/>
        <family val="1"/>
      </rPr>
      <t>Trần Thị Hà Phương</t>
    </r>
    <r>
      <rPr>
        <sz val="12"/>
        <color rgb="FFFF0000"/>
        <rFont val="Times New Roman"/>
        <family val="1"/>
      </rPr>
      <t xml:space="preserve"> (hợp đồng) PT130</t>
    </r>
  </si>
  <si>
    <t>tranthihaphuong31102006@gmail</t>
  </si>
  <si>
    <t>làng đan nhiễm,xã khánh hà,huyện thường tín,thành phố hà nội.</t>
  </si>
  <si>
    <t>15/09/2024 và 20/09/2024</t>
  </si>
  <si>
    <t>https://drive.google.com/open?id=1kmK_9X4aEhKPQ4t3xF7gZ36vyJolfcj3; https://drive.google.com/open?id=1ep7dvQPn1k9JNFbJ2BrNAWod52j2u6Wb</t>
  </si>
  <si>
    <t>https://www.facebook.com/profile.php?id=100065459359644&amp;mibextid=LQQJ4d</t>
  </si>
  <si>
    <r>
      <rPr>
        <sz val="12"/>
        <color theme="1"/>
        <rFont val="Times New Roman"/>
        <family val="1"/>
      </rPr>
      <t xml:space="preserve">Nguyễn Thị Thuỳ Trang </t>
    </r>
    <r>
      <rPr>
        <sz val="12"/>
        <color rgb="FFFF0000"/>
        <rFont val="Times New Roman"/>
        <family val="1"/>
      </rPr>
      <t>(Hợp đồng)</t>
    </r>
  </si>
  <si>
    <t>jzbdhdnxbx8398383@gmail.com</t>
  </si>
  <si>
    <t>Số nhà 28, xóm giữa, thôn ngô đồng trên, xã hồng dương,huyện Thanh oai, Hà Nội</t>
  </si>
  <si>
    <t>21/08/2024 và 17/09/2024</t>
  </si>
  <si>
    <t>https://drive.google.com/open?id=1mOmsIObi0fdyzVT1ExMWEsgodww6t5Fg; https://drive.google.com/open?id=1zFRaRUmhblb0o36HL6sCKOaWWETjRwiR</t>
  </si>
  <si>
    <t>https://www.facebook.com/profile.php?id=100086750164031</t>
  </si>
  <si>
    <t xml:space="preserve">Trịnh Công Đoàn </t>
  </si>
  <si>
    <t>Hoàn</t>
  </si>
  <si>
    <t>Ngõ 133 Đốc Ngữ , Liễu Giai, Ba Đình, Hà Nộ</t>
  </si>
  <si>
    <t>17/09/2024 và 19/09/2024</t>
  </si>
  <si>
    <t>https://drive.google.com/open?id=1qrT40VxN_1I8ZOpXlA9Pb3uZTnVeAMiq; https://drive.google.com/open?id=1eSc2iN0mrcMfGv4LFGbcN8DW5Iu7ZSmW</t>
  </si>
  <si>
    <t>https://www.facebook.com/dvh.2611</t>
  </si>
  <si>
    <t xml:space="preserve">Đào Văn Hoàn </t>
  </si>
  <si>
    <t xml:space="preserve"> Ngõ 133 Đốc Ngữ , Liễu Giai, Ba Đình, Hà Nội</t>
  </si>
  <si>
    <t>16/09/2024 và 20/09/2024</t>
  </si>
  <si>
    <t>https://drive.google.com/open?id=15pkcj3P3b6CC1Lowr-Bw4_3NP1-v8Md_; https://drive.google.com/open?id=1fsv6OTiqOTDz5Cne0e8D_h6BpYWatgQQ</t>
  </si>
  <si>
    <t>https://www.facebook.com/profile.php?id=61551051837121</t>
  </si>
  <si>
    <r>
      <rPr>
        <sz val="12"/>
        <color theme="1"/>
        <rFont val="Times New Roman"/>
        <family val="1"/>
      </rPr>
      <t>Nguyễn Thị Hằng</t>
    </r>
    <r>
      <rPr>
        <sz val="12"/>
        <color rgb="FFFF0000"/>
        <rFont val="Times New Roman"/>
        <family val="1"/>
      </rPr>
      <t xml:space="preserve"> (hợp đồng)</t>
    </r>
  </si>
  <si>
    <t>nguyenthihang110606@gmail.com</t>
  </si>
  <si>
    <t>343 đường trâu quỳ, gia lâm, hà nội</t>
  </si>
  <si>
    <t>https://drive.google.com/open?id=1KZr_vgPROtRZiQatwbuthWOPYMdNWBgA</t>
  </si>
  <si>
    <t>OPT55</t>
  </si>
  <si>
    <t>https://www.facebook.com/nhinguyen2011.2006</t>
  </si>
  <si>
    <r>
      <rPr>
        <sz val="12"/>
        <color theme="1"/>
        <rFont val="Times New Roman"/>
        <family val="1"/>
      </rPr>
      <t>Nguyễn Thị Ngát</t>
    </r>
    <r>
      <rPr>
        <sz val="12"/>
        <color rgb="FFFF0000"/>
        <rFont val="Times New Roman"/>
        <family val="1"/>
      </rPr>
      <t xml:space="preserve"> - OPT39- Nhi Nguyễn</t>
    </r>
  </si>
  <si>
    <t>https://drive.google.com/open?id=1q-nnhegsClTvzLlCcalCrqBUe6WO00yc; https://drive.google.com/open?id=1_PlZ6NUN_muPlWvDMGsAthOnvFijKmWi</t>
  </si>
  <si>
    <t>C190</t>
  </si>
  <si>
    <t>https://www.facebook.com/ledominhtuan</t>
  </si>
  <si>
    <t xml:space="preserve">Lê Đỗ Minh Tuấn </t>
  </si>
  <si>
    <t>https://drive.google.com/open?id=1GNfYT1dk5xnhE8OTSWyNVSseEexJkeyF</t>
  </si>
  <si>
    <t>https://www.facebook.com/thanh.thao.291</t>
  </si>
  <si>
    <t xml:space="preserve"> Trần Thanh Thảo</t>
  </si>
  <si>
    <t xml:space="preserve"> tranthanhthao2005cpqn@gmail.com</t>
  </si>
  <si>
    <t>số 5 ngõ 74 kim ngưu , Hai BÀ Trưng, Hà Nội</t>
  </si>
  <si>
    <t>https://drive.google.com/open?id=1mfIFHUhlT45ZuCTeMl3SR0-wtLMnC_yd; https://drive.google.com/open?id=19GRW6mZ0zQAe15u3tGjQQzGVIcFjXWmb</t>
  </si>
  <si>
    <t>https://www.facebook.com/profile.php?id=100071031646696</t>
  </si>
  <si>
    <t xml:space="preserve">Nguyễn Bá Đại Dương </t>
  </si>
  <si>
    <t>badaiduongnguyen@gmail.com</t>
  </si>
  <si>
    <t>17/09/2024 và 23/09/2024</t>
  </si>
  <si>
    <t>https://drive.google.com/open?id=1w0CACd5kRP2m7Ve1hQZFn7m6h4QfWeXn; https://drive.google.com/open?id=1-m_lzZFpk5-GZW7FUCjjnXNQb1hdmtO6</t>
  </si>
  <si>
    <t>OPT38</t>
  </si>
  <si>
    <t>https://www.facebook.com/profile.php?id=100029344940325&amp;mibextid=ZbWKwL</t>
  </si>
  <si>
    <t>Phạm Thị Anh Thư</t>
  </si>
  <si>
    <t>Phương Nam</t>
  </si>
  <si>
    <t>https://www.facebook.com/profile.php?id=100075199842472</t>
  </si>
  <si>
    <r>
      <rPr>
        <sz val="12"/>
        <color theme="1"/>
        <rFont val="Times New Roman"/>
        <family val="1"/>
      </rPr>
      <t xml:space="preserve">Lưu Trần Sơn </t>
    </r>
    <r>
      <rPr>
        <sz val="12"/>
        <color rgb="FFFF0000"/>
        <rFont val="Times New Roman"/>
        <family val="1"/>
      </rPr>
      <t>(hợp đồng)</t>
    </r>
  </si>
  <si>
    <t>luuson791@gmail.com</t>
  </si>
  <si>
    <t>Ktx C17 Đại học Công nghiệp Hà Nội cơ sở 3, Phủ lý, Hà Nam</t>
  </si>
  <si>
    <t>https://drive.google.com/open?id=1IcAO4BgDZyHUVE5SfFzcAruvFhDSMUNq</t>
  </si>
  <si>
    <t>0https://www.facebook.com/profile.php?id=100075199842472</t>
  </si>
  <si>
    <t>https://www.facebook.com/kin.quynh.3</t>
  </si>
  <si>
    <t xml:space="preserve"> Phạm Thu Quỳnh </t>
  </si>
  <si>
    <t>ptquynh175@gmail.com</t>
  </si>
  <si>
    <t>https://drive.google.com/open?id=1ZznzDcly4kDJe7FheQk_sgVpDAy8I84Y</t>
  </si>
  <si>
    <t>PT133</t>
  </si>
  <si>
    <t>https://www.facebook.com/profile.php?id=100028993292584&amp;mibextid=kFxxJD</t>
  </si>
  <si>
    <t xml:space="preserve">Huỳnh Trung Tiến </t>
  </si>
  <si>
    <t xml:space="preserve">  huynhtrungtien3454@gmail.com</t>
  </si>
  <si>
    <t xml:space="preserve"> 451/15 Xô Viết Nghệ Tĩnh, Phường 26, Quận Bình Thạnh</t>
  </si>
  <si>
    <t>https://drive.google.com/open?id=1oe-FImJlT6h7X3Dx0YRWUF-MYkDwIbuG</t>
  </si>
  <si>
    <t>https://www.facebook.com/trnathuy?mibextid=kFxxJD</t>
  </si>
  <si>
    <t xml:space="preserve">Trương Ngọc Anh Thuy  </t>
  </si>
  <si>
    <t>truongthuy688577@gmail.com</t>
  </si>
  <si>
    <t xml:space="preserve">96A đường số 79 tân quy quận 7 tphcm </t>
  </si>
  <si>
    <t>https://drive.google.com/open?id=1t5RfB-rjixDo9ZIaST0k07rwtOJUEmJU</t>
  </si>
  <si>
    <t>https://www.facebook.com/profile.php?id=100086408799210</t>
  </si>
  <si>
    <t>Lê Thị Hường</t>
  </si>
  <si>
    <t>số nhà 08/10- đường hữu kênh bắc - đồng tiến - minh tâm - thiệu hoá - thanh hoá</t>
  </si>
  <si>
    <t>https://drive.google.com/open?id=1_n7vFAEhYswuNYAqvT385kHHjm5T6iOJ</t>
  </si>
  <si>
    <t>https://www.facebook.com/profile.php?id=100044265936726&amp;mibextid=JRoKGi</t>
  </si>
  <si>
    <r>
      <rPr>
        <sz val="12"/>
        <color theme="1"/>
        <rFont val="Times New Roman"/>
        <family val="1"/>
      </rPr>
      <t xml:space="preserve">Phạm Thanh Thúy </t>
    </r>
    <r>
      <rPr>
        <sz val="12"/>
        <color rgb="FFFF0000"/>
        <rFont val="Times New Roman"/>
        <family val="1"/>
      </rPr>
      <t>(hợp đồng)</t>
    </r>
  </si>
  <si>
    <t>Trường Đại Học Công Nghiệp Hà Nội Cơ Sở 3 Hà Nam, Lê Hồng Phong, Xã Phù Vân, Thành Phố Phủ Lý, Hà Nam</t>
  </si>
  <si>
    <t>https://drive.google.com/open?id=1DfeFRLaMpyUD5w6oZmHnrwFO7WzceiZ5; https://drive.google.com/open?id=1_FVdmJAw4c4eetDzRuYhzMBcGPYIr7eA, https://drive.google.com/open?id=1keW2jB4wK5-wvYMIkf1tMkxZXp4h80dh</t>
  </si>
  <si>
    <t>https://www.facebook.com/ngocyennhi.nguyen.777158?mibextid=LQQJ4d</t>
  </si>
  <si>
    <t>Nguyễn Ngọc Yến Nhi</t>
  </si>
  <si>
    <t>ngocnhinguyen663@gmail.com</t>
  </si>
  <si>
    <t>165a đường Hùng Vương thị trấn Quảng Phú huyện Cumgar tỉnh daklak</t>
  </si>
  <si>
    <t>https://drive.google.com/open?id=1Cnj_tVwovnE5ypdBRuNjvWrIk9MQ_Gdk</t>
  </si>
  <si>
    <t>https://www.facebook.com/profile.php?id=100017258983477</t>
  </si>
  <si>
    <t xml:space="preserve">Trịnh Thu Hường </t>
  </si>
  <si>
    <t>Nam</t>
  </si>
  <si>
    <t>Số 08, Hà Văn Tính, Khu Kí Túc Xá Phía Tây, Phường Hòa Khánh Nam, Quận Liên Chiểu, Đà Nẵng</t>
  </si>
  <si>
    <t>https://drive.google.com/open?id=1BQiHmOuW2sVS-CTMkIgZ20DKNCKcNzKl</t>
  </si>
  <si>
    <t>https://www.facebook.com/cherry.nhu.581</t>
  </si>
  <si>
    <t xml:space="preserve">Lò Thị Như  </t>
  </si>
  <si>
    <t>lothinhu182@gmail.com</t>
  </si>
  <si>
    <t>Khu ktx, Ngã tư đèn đỏ ,giang liễu, quế võ 1 Bắc Ninh</t>
  </si>
  <si>
    <t>https://drive.google.com/open?id=1vGMR6WMxY89sPrBlAOLaTsNYmV-rVXFH</t>
  </si>
  <si>
    <t>https://www.facebook.com/profile.php?id=100048235356015</t>
  </si>
  <si>
    <r>
      <rPr>
        <sz val="12"/>
        <color theme="1"/>
        <rFont val="Times New Roman"/>
        <family val="1"/>
      </rPr>
      <t>Phan Đinh Tuấn Tú</t>
    </r>
    <r>
      <rPr>
        <sz val="12"/>
        <color rgb="FFFF0000"/>
        <rFont val="Times New Roman"/>
        <family val="1"/>
      </rPr>
      <t xml:space="preserve"> OPT36</t>
    </r>
  </si>
  <si>
    <t xml:space="preserve"> ptuantux9@gmail.com</t>
  </si>
  <si>
    <t>19/09/2024 và 23/09/2024</t>
  </si>
  <si>
    <t>https://drive.google.com/open?id=1uC63qfXUYHeThdqrCZr3MBBO5Qhqj0Wr; https://drive.google.com/open?id=1akNz12O-aSNE-Zs_ZKfGYgHaiFb7wyOV; https://drive.google.com/open?id=1kZNPXA56e1BllozA21lD2VDzqifaRH3G</t>
  </si>
  <si>
    <t>https://www.facebook.com/pxpday?mibextid=ZbWKwL</t>
  </si>
  <si>
    <r>
      <rPr>
        <sz val="12"/>
        <color theme="1"/>
        <rFont val="Times New Roman"/>
        <family val="1"/>
      </rPr>
      <t>Phạm Xuân Phươn</t>
    </r>
    <r>
      <rPr>
        <sz val="12"/>
        <color rgb="FFFF0000"/>
        <rFont val="Times New Roman"/>
        <family val="1"/>
      </rPr>
      <t>g (hợp đồng)</t>
    </r>
  </si>
  <si>
    <t>phuongcp2006@gmail.com</t>
  </si>
  <si>
    <t>https://drive.google.com/open?id=14HD2QdzC6SZwG0DB0nwdTjGaxdAny9B5</t>
  </si>
  <si>
    <t>Nhài đưa Cường</t>
  </si>
  <si>
    <t>https://www.facebook.com/profile.php?id=100083692651135</t>
  </si>
  <si>
    <t>Nguyễn Ngọc Ánh</t>
  </si>
  <si>
    <t>861/49 phường tân hợi thành phố buôn ma thuột</t>
  </si>
  <si>
    <t>https://drive.google.com/open?id=1mm0o1tQVTQ9s1GOsmWq_GfW3Op9KbGSK</t>
  </si>
  <si>
    <t>https://www.facebook.com/profile.php?id=100048299379606&amp;mibextid=LQQJ4d</t>
  </si>
  <si>
    <t>Nguyễn Văn Hoàng Anh</t>
  </si>
  <si>
    <t xml:space="preserve">  nguyenbin2006ha@gmail.com</t>
  </si>
  <si>
    <t>https://drive.google.com/open?id=1cBoAwOdEI33wQipbn27P8NEke2AIN5QU</t>
  </si>
  <si>
    <t>https://www.facebook.com/kimloi.lethi.3</t>
  </si>
  <si>
    <t xml:space="preserve">Lê Thị Lợi </t>
  </si>
  <si>
    <t>leanhthu12119@gmail.com</t>
  </si>
  <si>
    <t xml:space="preserve">số 3 ngõ 138 Đường Nguyễn Phong Sắc thành phố Vinh Nghệ An </t>
  </si>
  <si>
    <t>https://drive.google.com/open?id=1ad17eVqXaUg2nA4uNidYjNirSgf1BkMA</t>
  </si>
  <si>
    <t>https://www.facebook.com/profile.php?id=100078864744984</t>
  </si>
  <si>
    <t xml:space="preserve"> npthao8@gmail.com</t>
  </si>
  <si>
    <t>479/95 ngõ 220 Nam Dư, Lĩnh Nam, Hoàng Mai, Hà Nội</t>
  </si>
  <si>
    <t>https://drive.google.com/open?id=152spZT77F4ck7RHkCYmCaAT5x5rkZ8Uu</t>
  </si>
  <si>
    <t>https://www.facebook.com/profile.php?id=100091762856363</t>
  </si>
  <si>
    <t xml:space="preserve">Nguyễn Đắc Doanh  </t>
  </si>
  <si>
    <t xml:space="preserve"> lipit131206@gmail.com</t>
  </si>
  <si>
    <t xml:space="preserve">Thiết Bình - Vân Hà - Đông Anh - Hà Nội </t>
  </si>
  <si>
    <t>https://drive.google.com/open?id=1rW9LN0vjC5fEbQL7Fefx5inu4oaZ53K4; https://drive.google.com/open?id=1DOPoF5u3A2c2Yo6jlGh0nJnNU1HCODW2</t>
  </si>
  <si>
    <t>https://www.facebook.com/profile.php?id=100014409047034&amp;mibextid=ZbWKwL</t>
  </si>
  <si>
    <t>B8-KTX Bách Khoa, Hai Bà Trưng, TP Hà Nội</t>
  </si>
  <si>
    <t>https://drive.google.com/open?id=1SLreMUAWehGp8arjLgo_ZOYFd-vkjA0U, https://drive.google.com/open?id=18FJp_kF6p-pW8DNNmCn-2S9bWeUkTASj</t>
  </si>
  <si>
    <t>OPT39</t>
  </si>
  <si>
    <t>https://www.facebook.com/abcdzj</t>
  </si>
  <si>
    <t xml:space="preserve">Đinh Ngọc Hoàn </t>
  </si>
  <si>
    <t xml:space="preserve"> dhoan544@gmail.</t>
  </si>
  <si>
    <t>số 16, ngách 132/78 đường Cầu Diễn, Bắc Từ Liêm, Hà Nội</t>
  </si>
  <si>
    <t>https://drive.google.com/open?id=1pSAcekvRLyzH0T8NJjcJ3HfBoelb4q2X</t>
  </si>
  <si>
    <t>https://www.facebook.com/profile.php?id=100056519145521&amp;mibextid=ZbWKwL</t>
  </si>
  <si>
    <t>Hồ Đăng Khoa</t>
  </si>
  <si>
    <t xml:space="preserve"> khoa23334@gmail.com </t>
  </si>
  <si>
    <t>Số 16, Ngách 132/78 đường Cầu Diễn, Bắc Từ Liêm, Hà Nôi</t>
  </si>
  <si>
    <t>https://drive.google.com/open?id=1Vn_icJwYeIZQ76dcZmy_eG1FjD7XBgpd</t>
  </si>
  <si>
    <t>https://www.facebook.com/nam0366658597</t>
  </si>
  <si>
    <t>Phan Hoài Nam</t>
  </si>
  <si>
    <t xml:space="preserve"> nam0366658597@gmail.com</t>
  </si>
  <si>
    <t>Số 01, ngõ 87 Nguyên Xá, Minh Khai, Bắc Từ Liêm, Hà Nội</t>
  </si>
  <si>
    <t>https://drive.google.com/open?id=11Mh4cnOeYIhg4xHcXMsxsAsH_TmjqWsI</t>
  </si>
  <si>
    <t>https://www.facebook.com/khanh.luongquoc.716</t>
  </si>
  <si>
    <t xml:space="preserve">Lương Văn Kiên  </t>
  </si>
  <si>
    <t xml:space="preserve">Vân Anh </t>
  </si>
  <si>
    <t xml:space="preserve"> kienluong157@gmail.com</t>
  </si>
  <si>
    <t xml:space="preserve"> xóm 3 Đông cao Tráng việt Mê linh Hà nội</t>
  </si>
  <si>
    <t>https://drive.google.com/open?id=1J0MeBIIheAtlo-FMWrlnThk2HFBf7h3t</t>
  </si>
  <si>
    <t>https://www.facebook.com/profile.php?id=100013667520206&amp;mibextid=LQQJ4d</t>
  </si>
  <si>
    <t>Hà Phạm Khánh Ly</t>
  </si>
  <si>
    <t xml:space="preserve">tại lớp </t>
  </si>
  <si>
    <t>21/09/2024 và 22/09/2024</t>
  </si>
  <si>
    <t>https://drive.google.com/open?id=1GmFUz2wdHEadBqykNglIZCktLXc1So2n; https://drive.google.com/open?id=1PdPTe27-YJf2eggdQgXCHDihiCmVH8y_</t>
  </si>
  <si>
    <t>Lê Ngọc Hà</t>
  </si>
  <si>
    <t>Số 40A, ngõ 322/76/18 Mỹ Đình 1, Nam Từ Liêm, Hà Nội</t>
  </si>
  <si>
    <t>https://drive.google.com/open?id=1nYdkp6oXu3tEwf4BW7owpQJXt1wDPf-q</t>
  </si>
  <si>
    <t>https://www.facebook.com/Truong.Nguyen567?locale=vi_VN</t>
  </si>
  <si>
    <t xml:space="preserve">Nguyễn Như Trường </t>
  </si>
  <si>
    <t>28/08/2024 và 26/09/2024</t>
  </si>
  <si>
    <t>https://drive.google.com/open?id=1IBItwKhjS3J7XI2sfeTqziKUOIdQ61H_; https://drive.google.com/open?id=11ZpVI9mtkjWxuab5TbjeOtTLN9Ex5SuL</t>
  </si>
  <si>
    <t>https://www.facebook.com/profile.php?id=100036282616590&amp;locale=vi_VN</t>
  </si>
  <si>
    <r>
      <rPr>
        <sz val="12"/>
        <color theme="1"/>
        <rFont val="Times New Roman"/>
        <family val="1"/>
      </rPr>
      <t xml:space="preserve">Nguyễn Quỳnh Như </t>
    </r>
    <r>
      <rPr>
        <sz val="12"/>
        <color rgb="FFFF0000"/>
        <rFont val="Times New Roman"/>
        <family val="1"/>
      </rPr>
      <t>OPT38</t>
    </r>
  </si>
  <si>
    <t>https://drive.google.com/open?id=19lyn61NGx041na8ghnGHGPjYB4CNZ-9n</t>
  </si>
  <si>
    <t>https://www.facebook.com/nguyenngocanh612006?mibextid=LQQJ4d</t>
  </si>
  <si>
    <t>28/08/2024 và 23/09/2024</t>
  </si>
  <si>
    <t>https://drive.google.com/open?id=18NiLU9uLFq9a9dNi_6VF_3BZo3rxINya; https://drive.google.com/open?id=1XaSV4gzvPEAFyccCNvJJWz0pyggSk_mQ</t>
  </si>
  <si>
    <t>OPT40</t>
  </si>
  <si>
    <t>https://www.facebook.com/profile.php?id=100018329598954</t>
  </si>
  <si>
    <r>
      <rPr>
        <sz val="12"/>
        <color theme="1"/>
        <rFont val="Times New Roman"/>
        <family val="1"/>
      </rPr>
      <t xml:space="preserve">Nguyễn Mạnh Duy </t>
    </r>
    <r>
      <rPr>
        <sz val="12"/>
        <color rgb="FFFF0000"/>
        <rFont val="Times New Roman"/>
        <family val="1"/>
      </rPr>
      <t>- OPT40, OPT43</t>
    </r>
  </si>
  <si>
    <t xml:space="preserve">nguyenmanhduy01102006@gmail.com </t>
  </si>
  <si>
    <t>Số 02, ngõ 180 Trịnh Đình Cửu, Định Công, Hoàng Mai, Hà Nội</t>
  </si>
  <si>
    <t>https://drive.google.com/open?id=12gXpqdyiElEcfzfcoJwhfMbhslpgndWx</t>
  </si>
  <si>
    <t>Gửi Hạ mang sang</t>
  </si>
  <si>
    <t>https://www.facebook.com/thantinh1205?mibextid=LQQJ4d</t>
  </si>
  <si>
    <t>Thân Thị Tính</t>
  </si>
  <si>
    <t>thanthitinhclvybg@gmail.com</t>
  </si>
  <si>
    <t>Số 43 ngõ 454 minh khai quận hai bà trưng hà nội.</t>
  </si>
  <si>
    <t>https://drive.google.com/open?id=1Bo0Az8PVrfnimse97LlFQReh-VTHNQDP; https://drive.google.com/open?id=19rbjBe6UsEX9Eo-wdcaAdhe4jgAxkqcb</t>
  </si>
  <si>
    <t>https://www.facebook.com/minh.anhs.12720?mibextid=LQQJ4d</t>
  </si>
  <si>
    <t>Bế Minh Ánh</t>
  </si>
  <si>
    <t>minhanhcute0903@gmail.com</t>
  </si>
  <si>
    <t>180/90/14 Nam Dư Lĩnh Nam Hoàng Mai Hà Nội</t>
  </si>
  <si>
    <t>https://drive.google.com/open?id=1icpTQRuFpBNkznNt3UPajdnQcyhDtGNm, https://drive.google.com/open?id=14-XaPawPe8CbLLg5gZ-CWG9Uscwi6VV-</t>
  </si>
  <si>
    <t>OPT54</t>
  </si>
  <si>
    <t>https://www.facebook.com/100052872287637/</t>
  </si>
  <si>
    <t>Đinh Tùng Dương</t>
  </si>
  <si>
    <t>dtduong146@gamil.com</t>
  </si>
  <si>
    <t>https://drive.google.com/open?id=1vFdMyjr24oWOIZi0bUVIHI2BUqKBM4Kc</t>
  </si>
  <si>
    <t>Sách gửi Minh</t>
  </si>
  <si>
    <t>https://www.facebook.com/share/gBwkJ9ns9L4HsXvk/?mibextid=JRoKGi</t>
  </si>
  <si>
    <r>
      <rPr>
        <sz val="12"/>
        <color theme="1"/>
        <rFont val="Times New Roman"/>
        <family val="1"/>
      </rPr>
      <t xml:space="preserve">Vũ Thị Quỳnh Trang </t>
    </r>
    <r>
      <rPr>
        <sz val="12"/>
        <color rgb="FFFF0000"/>
        <rFont val="Times New Roman"/>
        <family val="1"/>
      </rPr>
      <t>- OPT39 - Ngọc Linh</t>
    </r>
  </si>
  <si>
    <t>https://drive.google.com/open?id=19Lp6RSmaE3POuanni4x_B5B0cw42fTB4; https://drive.google.com/open?id=1OPnmuxDFI03VhJDl-PznWf7nhE_8Y917</t>
  </si>
  <si>
    <t>https://www.facebook.com/profile.php?id=61559013475279&amp;mibextid=ZbWKwL</t>
  </si>
  <si>
    <t xml:space="preserve">Trịnh Vĩnh Nguyên </t>
  </si>
  <si>
    <t>hạnh</t>
  </si>
  <si>
    <t xml:space="preserve">Trinhvinhnguyen15@gmail.com </t>
  </si>
  <si>
    <t>Ktx B3 - Đại học Bách khoa Hà Nội</t>
  </si>
  <si>
    <t>https://drive.google.com/open?id=1nEn7Pp1OZGJQUu0YBA6WftPEbIbzjeqA</t>
  </si>
  <si>
    <t>https://www.facebook.com/profile.php?id=100065342919196&amp;mibextid=LQQJ4d</t>
  </si>
  <si>
    <t>nguyenkhanhlynt0123456789@gmail.com</t>
  </si>
  <si>
    <t>2/37/147 Triều Khúc, Tân Triều, Thanh Trì, Hà Nội</t>
  </si>
  <si>
    <t>https://drive.google.com/open?id=10HHEZB5HtSaLuLPSUZ3aUkPOIvEWLSef; https://drive.google.com/open?id=1m0Ht0X_rPlw1TTxSbJk6rXb-aN_tT9Nj</t>
  </si>
  <si>
    <t>https://www.facebook.com/kahs.liee?mibextid=LQQJ4d</t>
  </si>
  <si>
    <r>
      <rPr>
        <sz val="12"/>
        <color theme="1"/>
        <rFont val="Times New Roman"/>
        <family val="1"/>
      </rPr>
      <t xml:space="preserve">Đỗ Thị Khánh Ly </t>
    </r>
    <r>
      <rPr>
        <sz val="12"/>
        <color rgb="FFFF0000"/>
        <rFont val="Times New Roman"/>
        <family val="1"/>
      </rPr>
      <t>- 329136021 số cũ</t>
    </r>
  </si>
  <si>
    <t>dothikhanhly06@gmail.com</t>
  </si>
  <si>
    <t>https://drive.google.com/open?id=1Ezlz1vsGREt_Xxwen3t3w2OETGURHnEf; https://drive.google.com/open?id=1m0Ht0X_rPlw1TTxSbJk6rXb-aN_tT9Nj</t>
  </si>
  <si>
    <t>https://www.facebook.com/profile.php?id=100068561501764</t>
  </si>
  <si>
    <t>Phạm Gia Huy</t>
  </si>
  <si>
    <t>Inox Dự Nhi - Khu Duyên Giang- Xã Nam Thanh- Huyện Nam Trực- Tỉnh Nam Định</t>
  </si>
  <si>
    <t>https://drive.google.com/open?id=1nzGGB4oxUL493l5ZN2-WgFlEa_RwsYXi</t>
  </si>
  <si>
    <t>https://www.facebook.com/profile.php?id=61551501339638&amp;mibextid=ZbWKwL</t>
  </si>
  <si>
    <t>Đỗ Đức Hiếu</t>
  </si>
  <si>
    <t>https://drive.google.com/open?id=1x6gCkq8uT1lAj70WmALFXPq1eelPhIla</t>
  </si>
  <si>
    <t>https://www.facebook.com/profile.php?id=100056816821968&amp;mibextid=kFxxJD</t>
  </si>
  <si>
    <r>
      <rPr>
        <sz val="12"/>
        <color theme="1"/>
        <rFont val="Times New Roman"/>
        <family val="1"/>
      </rPr>
      <t>Mai Thanh Loan</t>
    </r>
    <r>
      <rPr>
        <sz val="12"/>
        <color rgb="FFFF0000"/>
        <rFont val="Times New Roman"/>
        <family val="1"/>
      </rPr>
      <t xml:space="preserve"> (hợp đồng) PT137</t>
    </r>
  </si>
  <si>
    <t xml:space="preserve">thanhloan181105@gmail.com </t>
  </si>
  <si>
    <t>số 12 ngách 66 ngõ 72 Dương Quang Cầu Giấy Hà Nội</t>
  </si>
  <si>
    <t>https://drive.google.com/open?id=1GZthkL6hNaG5Kw5pbjF68cWfbG6gccSK</t>
  </si>
  <si>
    <t>https://www.facebook.com/profile.php?id=100027294765900</t>
  </si>
  <si>
    <r>
      <rPr>
        <sz val="12"/>
        <color theme="1"/>
        <rFont val="Times New Roman"/>
        <family val="1"/>
      </rPr>
      <t xml:space="preserve">Vũ Ngọc Phương Uyên </t>
    </r>
    <r>
      <rPr>
        <sz val="12"/>
        <color rgb="FFFF0000"/>
        <rFont val="Times New Roman"/>
        <family val="1"/>
      </rPr>
      <t>- OT30</t>
    </r>
  </si>
  <si>
    <t xml:space="preserve"> Ngõ 263 tổ 22 số nhà 5 ngách 8 thanh xuân trung hà nội</t>
  </si>
  <si>
    <t>https://drive.google.com/open?id=1VXiq4WIfrhCozv-hRAKFwSS5HQc7hmBz; https://drive.google.com/open?id=1HS7j3zVY2Z6ibSo3dsfiAeQ27PxspB77</t>
  </si>
  <si>
    <t>PT139</t>
  </si>
  <si>
    <t>https://www.facebook.com/thuu.hang.268</t>
  </si>
  <si>
    <t xml:space="preserve">Chu Thị Thu Hằng </t>
  </si>
  <si>
    <t>123 Trịnh Công Sơn (rẽ vào ngõ cạnh Vinmart đi thẳng tìm nhà số 3), Nhật Tân, Tây Hồ, HN</t>
  </si>
  <si>
    <t>https://drive.google.com/open?id=1cOmft4pczYVffabje5-oyDbHaMs10196</t>
  </si>
  <si>
    <t>https://www.facebook.com/thainguyen.bui.397?mibextid=ZbWKwL</t>
  </si>
  <si>
    <r>
      <rPr>
        <sz val="12"/>
        <color theme="1"/>
        <rFont val="Times New Roman"/>
        <family val="1"/>
      </rPr>
      <t>Bùi Trung Nguyên</t>
    </r>
    <r>
      <rPr>
        <sz val="12"/>
        <color rgb="FFFF0000"/>
        <rFont val="Times New Roman"/>
        <family val="1"/>
      </rPr>
      <t xml:space="preserve"> (hợp đồng)</t>
    </r>
  </si>
  <si>
    <t>buitrungngu319@gmail.com</t>
  </si>
  <si>
    <t>C17, Cổng trường ĐH Công nghiệp cs3, phủ lý, Hà Nam</t>
  </si>
  <si>
    <t>https://drive.google.com/open?id=1VzxfK5sD8M978OzDBiPpv_qSnX09nhKI</t>
  </si>
  <si>
    <t>https://www.facebook.com/profile.php?id=100048420973160</t>
  </si>
  <si>
    <t xml:space="preserve">Nguyễn Trọng Tuấn </t>
  </si>
  <si>
    <t xml:space="preserve"> nguyentrongtuana6@gmail.com</t>
  </si>
  <si>
    <t>Trường đh kinh tế kthuat công nghiệp (cơ sở Lĩnh Nam -Hoàng Mai HN) ạ</t>
  </si>
  <si>
    <t>https://drive.google.com/open?id=170cQOcOCfWcWGe6FjbqkuKlCh3iKuoqR</t>
  </si>
  <si>
    <t>https://www.facebook.com/tem.sang.3</t>
  </si>
  <si>
    <t xml:space="preserve">Mạc Quang Thiện </t>
  </si>
  <si>
    <t xml:space="preserve"> macthien1406@gmail.com</t>
  </si>
  <si>
    <t>Ngách 80/50 đường xuân phương tu hoàng nam từ liêm hà nội</t>
  </si>
  <si>
    <t>https://drive.google.com/open?id=1s3yEA7pZXssn7TrevQ5-Wz48eUT-hBC-</t>
  </si>
  <si>
    <t>Gửi Khánh</t>
  </si>
  <si>
    <t>https://www.facebook.com/nguyenn.hangg.589?mibextid=LQQJ4d</t>
  </si>
  <si>
    <t>https://drive.google.com/open?id=1T3NnpzKAmF8CSknrK5cJDoYgm7jMSUo3</t>
  </si>
  <si>
    <t>https://www.facebook.com/vuduyduc0910?mibextid=LQQJ4d</t>
  </si>
  <si>
    <r>
      <rPr>
        <sz val="12"/>
        <color theme="1"/>
        <rFont val="Times New Roman"/>
        <family val="1"/>
      </rPr>
      <t xml:space="preserve">Vũ Duy Đức </t>
    </r>
    <r>
      <rPr>
        <sz val="12"/>
        <color rgb="FFFF0000"/>
        <rFont val="Times New Roman"/>
        <family val="1"/>
      </rPr>
      <t>- PT141</t>
    </r>
  </si>
  <si>
    <t>Vân Vũ</t>
  </si>
  <si>
    <t>241 vũ tông phan khương trung thanh xuân hà nội</t>
  </si>
  <si>
    <t>https://drive.google.com/open?id=15iPyGYkAOXIscW-eiiDpChN3dy2cYJzn</t>
  </si>
  <si>
    <t>VIP117</t>
  </si>
  <si>
    <t>https://www.facebook.com/profile.php?id=100030286601588&amp;mibextid=LQQJ4d</t>
  </si>
  <si>
    <r>
      <rPr>
        <sz val="12"/>
        <color theme="1"/>
        <rFont val="Times New Roman"/>
        <family val="1"/>
      </rPr>
      <t>Đỗ Tuấn Anh</t>
    </r>
    <r>
      <rPr>
        <sz val="12"/>
        <color rgb="FFFF0000"/>
        <rFont val="Times New Roman"/>
        <family val="1"/>
      </rPr>
      <t xml:space="preserve"> - VIP109</t>
    </r>
  </si>
  <si>
    <t>Cổng chính Haui-CS3 - Phường Lê Hồng Phòng-TP Phủ Lý - Tỉnh Hà Nam</t>
  </si>
  <si>
    <t>https://drive.google.com/open?id=11sRSdI_9bzIsxFIskzvPKkSXCOH8gWle; https://drive.google.com/open?id=1oHwHGmt0dqoSUhq7BBZhL5256dxOyrC3</t>
  </si>
  <si>
    <t>VIP112</t>
  </si>
  <si>
    <t>https://www.facebook.com/profile.php?id=100050570059127</t>
  </si>
  <si>
    <r>
      <rPr>
        <sz val="12"/>
        <color theme="1"/>
        <rFont val="Times New Roman"/>
        <family val="1"/>
      </rPr>
      <t>Vũ Ngọc Huyền</t>
    </r>
    <r>
      <rPr>
        <sz val="12"/>
        <color rgb="FFFF0000"/>
        <rFont val="Times New Roman"/>
        <family val="1"/>
      </rPr>
      <t xml:space="preserve"> - Vi Huyền</t>
    </r>
  </si>
  <si>
    <t>vuhuyen0369@gmail.com</t>
  </si>
  <si>
    <t>Thôn 1 xã Phù Vân, TP Phủ Lý,  Hà Nam. Qua ngõ đang làm đường sau cổng chính trường DH Công nghiệp cs3</t>
  </si>
  <si>
    <t>https://drive.google.com/open?id=1vKmBp-2GbF6OW5toHbD8YuoeB-xRuWXm; https://drive.google.com/open?id=1tguiiaaIqr_b8jwFijQuGCF1xBwbJTvV</t>
  </si>
  <si>
    <t>https://www.facebook.com/phobietbay.tung.3?mibextid=LQQJ4d</t>
  </si>
  <si>
    <t>Hà Xuân Tùng</t>
  </si>
  <si>
    <t>Tungbec05@gmail.com</t>
  </si>
  <si>
    <t>19/09/2024 và 28/09/2024</t>
  </si>
  <si>
    <t>https://drive.google.com/open?id=1fq4Yz5ZECLm05r_6dFMm9cIWQgA_kH3n; https://drive.google.com/open?id=1goFpvVOjVAl-cj2hv26F-nPOSTMtc74S</t>
  </si>
  <si>
    <t>https://www.facebook.com/profile.php?id=100017006374085&amp;mibextid=LQQJ4d</t>
  </si>
  <si>
    <t>Trần Thị Phương</t>
  </si>
  <si>
    <t>https://drive.google.com/open?id=1C9myMRKX4Y67kcCiS__u75AuSKXeHWMT; https://drive.google.com/open?id=1dEmSEfMOIBB5BzqWQzAmI0v0lOY7B8RP</t>
  </si>
  <si>
    <t>https://www.facebook.com/profile.php?id=100085011623082&amp;mibextid=LQQJ4d</t>
  </si>
  <si>
    <t>Lèng Thuỳ Trang</t>
  </si>
  <si>
    <t>ltt10122005@gmail.com</t>
  </si>
  <si>
    <t>https://drive.google.com/open?id=1YaANTenw5R8G7asWoCNDr3cd_ZtiTvfV</t>
  </si>
  <si>
    <t>https://www.facebook.com/profile.php?id=61565543312217&amp;mibextid=ZbWKwL</t>
  </si>
  <si>
    <t>quan8220068@gmail.com</t>
  </si>
  <si>
    <t>Nhà văn hóa phú cường , phủ lý, hà ham</t>
  </si>
  <si>
    <t>https://drive.google.com/open?id=1XVl4IVhpbBEvzqVWCgkl71HYb1uedl66</t>
  </si>
  <si>
    <t>OPT43</t>
  </si>
  <si>
    <t>https://www.facebook.com/profile.php?id=100023910827689&amp;mibextid=LQQJ4d</t>
  </si>
  <si>
    <t>Nguyễn Đức Bình</t>
  </si>
  <si>
    <t>ndbthpthqv@gmail.com</t>
  </si>
  <si>
    <t>8b ngõ 230 Định công thượng</t>
  </si>
  <si>
    <t>https://drive.google.com/open?id=12dPdKzjLW4iGPq-EWOQzancDxEzSCyNH</t>
  </si>
  <si>
    <t>Gửi Minh sách</t>
  </si>
  <si>
    <t>https://www.facebook.com/chi.trieu.549668</t>
  </si>
  <si>
    <r>
      <rPr>
        <sz val="12"/>
        <color theme="1"/>
        <rFont val="Times New Roman"/>
        <family val="1"/>
      </rPr>
      <t>Bùi Triệu Linh Chi</t>
    </r>
    <r>
      <rPr>
        <sz val="12"/>
        <color rgb="FFFF0000"/>
        <rFont val="Times New Roman"/>
        <family val="1"/>
      </rPr>
      <t xml:space="preserve"> - OPT38 rút phút 89</t>
    </r>
  </si>
  <si>
    <t>builinhchi26@gmail.com</t>
  </si>
  <si>
    <t>https://drive.google.com/open?id=1v_Jv7IK3UpKcwXRtXgE4kqGfrRWHKzIV</t>
  </si>
  <si>
    <t>https://www.facebook.com/profile.php?id=100076524429411&amp;mibextid=LQQJ4d</t>
  </si>
  <si>
    <r>
      <rPr>
        <sz val="12"/>
        <color theme="1"/>
        <rFont val="Times New Roman"/>
        <family val="1"/>
      </rPr>
      <t>Nguyễn Thị Chúc</t>
    </r>
    <r>
      <rPr>
        <sz val="12"/>
        <color rgb="FFFF0000"/>
        <rFont val="Times New Roman"/>
        <family val="1"/>
      </rPr>
      <t xml:space="preserve"> - Cười nhưng ko vui</t>
    </r>
  </si>
  <si>
    <t>tchuc744@gmail.com</t>
  </si>
  <si>
    <t>cổng chợ đồng dinh phường thạch bàn quận long biên hà nội</t>
  </si>
  <si>
    <t>16/09/2024 và 27/09/2024</t>
  </si>
  <si>
    <t>https://drive.google.com/open?id=1QNCQkM5oImaVPAc8e7ba6XSZLJqtGss_, https://drive.google.com/open?id=19T1kDQllhLPcXRGbVu9Ru8G5deqFunlj</t>
  </si>
  <si>
    <t>https://www.facebook.com/profile.php?id=100086150673578</t>
  </si>
  <si>
    <t xml:space="preserve">Trần Văn Dương  </t>
  </si>
  <si>
    <t>duongmctk4@gmail.com</t>
  </si>
  <si>
    <t>205 nguyễn khoái hai bà trưng</t>
  </si>
  <si>
    <t>28/09/2024 và 29/09/2024</t>
  </si>
  <si>
    <t>https://drive.google.com/open?id=1bxhbGmNPSjKmhXVoeQwgJEEKZsi0j_El; https://drive.google.com/open?id=1UnxJd9MdVBzxzO3hH4slnQE7EumQQHor</t>
  </si>
  <si>
    <t>mat goc</t>
  </si>
  <si>
    <t>https://www.facebook.com/profile.php?id=100090954971399&amp;mibextid=LQQJ4d</t>
  </si>
  <si>
    <t>Lê Thị Trang</t>
  </si>
  <si>
    <t>24B  đường Đào Tông Nguyên  thị trấn Nhà Bè tp Hồ Chí Minh</t>
  </si>
  <si>
    <t>https://drive.google.com/open?id=1_RCPzn4LctMKubt_NKE1k18r8ttR1nuA</t>
  </si>
  <si>
    <t>PT140 bỏ từ buổi 2 nói học ko tốt. Ngô Đức báo</t>
  </si>
  <si>
    <t>https://www.facebook.com/heosieuuucuteee?mibextid=ZbWKwL</t>
  </si>
  <si>
    <r>
      <rPr>
        <sz val="12"/>
        <color theme="1"/>
        <rFont val="Times New Roman"/>
        <family val="1"/>
      </rPr>
      <t>Nguyễn Thị Yến Nhi</t>
    </r>
    <r>
      <rPr>
        <sz val="12"/>
        <color rgb="FFFF0000"/>
        <rFont val="Times New Roman"/>
        <family val="1"/>
      </rPr>
      <t xml:space="preserve"> - đã chuyển nhượng Thùy Dương 0815309006
Đã nộp 300K 16/10/2024</t>
    </r>
  </si>
  <si>
    <t>Hương Trúc</t>
  </si>
  <si>
    <t xml:space="preserve">anhq000000@gmail.com </t>
  </si>
  <si>
    <t>471/14 đường Nguyễn Kiệm, Gò Vấp, Hồ Chí Minh</t>
  </si>
  <si>
    <t>29/09/2024 và 30/09/2024</t>
  </si>
  <si>
    <t>https://drive.google.com/open?id=1cZ6Z8pfsZIhdhR1TjOuNceE9K7lW5g1_; https://drive.google.com/open?id=1TlEEOVLy_GtqdlAEeBu8F94sm5t_4vQ0</t>
  </si>
  <si>
    <t>T274 ko làm bảo lưu</t>
  </si>
  <si>
    <t>https://www.facebook.com/profile.php?id=100050036314961&amp;mibextid=ZbWKwL</t>
  </si>
  <si>
    <t xml:space="preserve">Đặng Thanh Tùng </t>
  </si>
  <si>
    <t xml:space="preserve">thanhtung20067@gmail.com </t>
  </si>
  <si>
    <t>số nhà 20, ngõ 220, đường cổ nhuế ,cổ nhuế 2,bắc từ Liêm.</t>
  </si>
  <si>
    <t>https://www.facebook.com/profile.php?id=61550848836636&amp;mibextid=LQQJ4d</t>
  </si>
  <si>
    <t xml:space="preserve">Đoàn Quang Huy </t>
  </si>
  <si>
    <t>M.Anh</t>
  </si>
  <si>
    <t>Qhuy14052005@gmail.com</t>
  </si>
  <si>
    <t>https://drive.google.com/open?id=1KsomBxdyyFBofsFJwnYLnoCpe4cgQLqs, https://drive.google.com/open?id=1wvT8k5Vws9P7drmcafWiuAADHvMif9jJ</t>
  </si>
  <si>
    <t>https://www.facebook.com/han.trong.3557?mibextid=LQQJ4d</t>
  </si>
  <si>
    <t>Ninh Trọng Hân</t>
  </si>
  <si>
    <t>ninhtronghan@gmail.com</t>
  </si>
  <si>
    <t>https://drive.google.com/open?id=16cjH_JVMC3VNmkaP8z1ZWwQat9veisbI, https://drive.google.com/open?id=1NINHFzpTxkwwL_yNTNXwzFpB6Yz0kL7R</t>
  </si>
  <si>
    <t>https://www.facebook.com/profile.php?id=61559132601091</t>
  </si>
  <si>
    <t>Đoàn Lệ Diễm</t>
  </si>
  <si>
    <t>doanlediem0601@gmail.com</t>
  </si>
  <si>
    <t>https://drive.google.com/open?id=1bdcEJYCBijCEumpi4pt9K146j0IVqBzm</t>
  </si>
  <si>
    <t>https://www.facebook.com/profile.php?id=100064077106160&amp;mibextid=ZbWKwL</t>
  </si>
  <si>
    <r>
      <rPr>
        <sz val="12"/>
        <color theme="1"/>
        <rFont val="Times New Roman"/>
        <family val="1"/>
      </rPr>
      <t xml:space="preserve">Ngô Hoàng Anh </t>
    </r>
    <r>
      <rPr>
        <sz val="12"/>
        <color rgb="FFFF0000"/>
        <rFont val="Times New Roman"/>
        <family val="1"/>
      </rPr>
      <t>- đã nộp 300K 16/12/2024
OPT42 bảo lưu buổi 9 đi quân sự. OPT55 học b5</t>
    </r>
  </si>
  <si>
    <t>ngohoanganh2105@gmail.com</t>
  </si>
  <si>
    <t>https://drive.google.com/open?id=1dIYbxIvBHu0rgGL130Y_r1QtK6gE43LM</t>
  </si>
  <si>
    <t>https://www.facebook.com/profile.php?id=100073238649893&amp;mibextid=LQQJ4d</t>
  </si>
  <si>
    <t>Phạm Thế Duyệt</t>
  </si>
  <si>
    <t>phamtheduyeta@gmail.com</t>
  </si>
  <si>
    <t>https://drive.google.com/open?id=1JO0bbnqqGnEh1gkmVuxPlfznTZh3RW5G</t>
  </si>
  <si>
    <t>https://www.facebook.com/profile.php?id=61566760014974&amp;mibextid=ZbWKwL</t>
  </si>
  <si>
    <t>Ninh Nam</t>
  </si>
  <si>
    <t>https://drive.google.com/open?id=13sIdnI75Zo6zhtg9HNET3w2LH8Xb4Rhs</t>
  </si>
  <si>
    <t>OT38</t>
  </si>
  <si>
    <t>https://www.facebook.com/profile.php?id=100073664059933&amp;mibextid=ZbWKwL</t>
  </si>
  <si>
    <r>
      <rPr>
        <sz val="12"/>
        <color theme="1"/>
        <rFont val="Times New Roman"/>
        <family val="1"/>
      </rPr>
      <t>Nguyễn Gia Linh OT27</t>
    </r>
    <r>
      <rPr>
        <sz val="12"/>
        <color rgb="FFFF0000"/>
        <rFont val="Times New Roman"/>
        <family val="1"/>
      </rPr>
      <t>- Kiều Linh OT35</t>
    </r>
  </si>
  <si>
    <t>linhgiaa79@gmail.com</t>
  </si>
  <si>
    <t>https://drive.google.com/open?id=1kf2IgqAvFW3-KvV7FcTRoaNHM2_E5x9D</t>
  </si>
  <si>
    <t>VIP109</t>
  </si>
  <si>
    <r>
      <rPr>
        <sz val="12"/>
        <color theme="1"/>
        <rFont val="Times New Roman"/>
        <family val="1"/>
      </rPr>
      <t xml:space="preserve">Trần Ngọc Anh </t>
    </r>
    <r>
      <rPr>
        <sz val="12"/>
        <color rgb="FFFF0000"/>
        <rFont val="Times New Roman"/>
        <family val="1"/>
      </rPr>
      <t>(gửi hợp đồng khi học LV2) - thứ 2 gửi</t>
    </r>
  </si>
  <si>
    <t>Số 47, Ngõ 59, Đường Phạm Văn Đồng, Phường Mai Dịch, Quận Cầu Giấy, Hà Nội</t>
  </si>
  <si>
    <t>Vũ Khánh Ngọc</t>
  </si>
  <si>
    <t>số nhà 17 ngách 52/25/43 ngõ 52 Mỹ Đình 2, Nam từ liêm, Hà nội</t>
  </si>
  <si>
    <t xml:space="preserve"> Lê Thị Yến Nhi</t>
  </si>
  <si>
    <t>Nguyễn Đỗ Lâm Bình</t>
  </si>
  <si>
    <t>Toà B8, Kí túc xá Bách Khoa, Đ Trần Đại Nghĩa, Phường Bách Khoa, Quận Hai Bà Trưng, Hà Nội</t>
  </si>
  <si>
    <t>Ngô Xuân Tân</t>
  </si>
  <si>
    <t>số nhà 8 , ngõ 951 Đường Giải Phóng ,Giáp Bát,Hoàng Mai,Hà Nội</t>
  </si>
  <si>
    <r>
      <rPr>
        <sz val="12"/>
        <color theme="1"/>
        <rFont val="Times New Roman"/>
        <family val="1"/>
      </rPr>
      <t>Vũ Đăng Hiệp</t>
    </r>
    <r>
      <rPr>
        <sz val="12"/>
        <color rgb="FFFF0000"/>
        <rFont val="Times New Roman"/>
        <family val="1"/>
      </rPr>
      <t xml:space="preserve"> - T248. Đã nộp 300K 05/02/2025
T250 bảo lưu b12. Học T285 b3. </t>
    </r>
  </si>
  <si>
    <t>84C Pháo Đài Láng, phường Láng Thượng, quận Đống Đa, Hà Nội</t>
  </si>
  <si>
    <r>
      <rPr>
        <sz val="12"/>
        <color theme="1"/>
        <rFont val="Times New Roman"/>
        <family val="1"/>
      </rPr>
      <t>Lương Gia Linh</t>
    </r>
    <r>
      <rPr>
        <sz val="12"/>
        <color rgb="FFFF0000"/>
        <rFont val="Times New Roman"/>
        <family val="1"/>
      </rPr>
      <t xml:space="preserve"> - Carni Linh- T248</t>
    </r>
  </si>
  <si>
    <t>Nhà 38, ngõ 1008, đường Láng, phường Láng Thượng, Hà Nội</t>
  </si>
  <si>
    <r>
      <rPr>
        <sz val="12"/>
        <color theme="1"/>
        <rFont val="Times New Roman"/>
        <family val="1"/>
      </rPr>
      <t xml:space="preserve">Nguyễn Minh Hoàng </t>
    </r>
    <r>
      <rPr>
        <sz val="12"/>
        <color rgb="FFFF0000"/>
        <rFont val="Times New Roman"/>
        <family val="1"/>
      </rPr>
      <t>- Hoangg Anhh</t>
    </r>
  </si>
  <si>
    <t>Số 5A hẻm 8/11/36/59 Lê Quang Đạo , Nam Từ Liêm, Phường Phú Đô, Quận Nam Từ Liêm, Hà Nội</t>
  </si>
  <si>
    <t>Số nhà 117A ngõ 68, phường Quan Hoa ,Cầu giấy, Hà Nội</t>
  </si>
  <si>
    <t>Gửi lại về Hà Nội. 08/10/21 gửi đi Bắc Ninh</t>
  </si>
  <si>
    <t>16c/136 Phạm hữu điều, niệm nghĩa, lê chân, Hải Phòng</t>
  </si>
  <si>
    <t>Hà Phương Thảo</t>
  </si>
  <si>
    <t>số 2, hẻm 25/106/29 đường phú minh, Phương minh khai, quận bắc từ liêm, Hà Nội</t>
  </si>
  <si>
    <r>
      <rPr>
        <sz val="12"/>
        <color theme="1"/>
        <rFont val="Times New Roman"/>
        <family val="1"/>
      </rPr>
      <t>Nguyễn Lê Bảo Linh</t>
    </r>
    <r>
      <rPr>
        <sz val="12"/>
        <color rgb="FFFF0000"/>
        <rFont val="Times New Roman"/>
        <family val="1"/>
      </rPr>
      <t xml:space="preserve"> (mẹ nhận sách </t>
    </r>
    <r>
      <rPr>
        <sz val="12"/>
        <color theme="1"/>
        <rFont val="Times New Roman"/>
        <family val="1"/>
      </rPr>
      <t>0904294883)</t>
    </r>
  </si>
  <si>
    <t>Số 22 Ngô Quyền, Tràng Tiền, Hoàn Kiếm, Hà Nội</t>
  </si>
  <si>
    <t>https://www.facebook.com/khanh.phan.0529?mibextid=ZbWKwL</t>
  </si>
  <si>
    <r>
      <rPr>
        <sz val="12"/>
        <color theme="1"/>
        <rFont val="Times New Roman"/>
        <family val="1"/>
      </rPr>
      <t xml:space="preserve">Ngô Dương Hùng </t>
    </r>
    <r>
      <rPr>
        <sz val="12"/>
        <color rgb="FFFF0000"/>
        <rFont val="Times New Roman"/>
        <family val="1"/>
      </rPr>
      <t>- mất cam kết đầu ra
Nghỉ 4 buổi. Không làm BTVN đạt yêu cầu quá 3 buổi</t>
    </r>
  </si>
  <si>
    <t>số 12 ngõ 16 đường Nguyễn Khánh Toàn - Cầu Giấy - Hà Nội</t>
  </si>
  <si>
    <t>số 43/127/29 Phùng Khoang phường Trung Văn Quận Nam Từ Liêm Hà Nội</t>
  </si>
  <si>
    <t>Cổng KTX Đại Học Sư Phạm Hà Nội 2, Ngõ 10 Đường Nguyễn Văn Linh, Tổ 3, Phường Xuân Hòa, Phúc Yên, Vĩnh Phúc</t>
  </si>
  <si>
    <t>C192 ko học</t>
  </si>
  <si>
    <t>https://www.facebook.com/profile.php?id=100053891419767</t>
  </si>
  <si>
    <r>
      <rPr>
        <sz val="12"/>
        <color theme="1"/>
        <rFont val="Times New Roman"/>
        <family val="1"/>
      </rPr>
      <t>Nguyễn Thi Hiền</t>
    </r>
    <r>
      <rPr>
        <sz val="12"/>
        <color rgb="FFFF0000"/>
        <rFont val="Times New Roman"/>
        <family val="1"/>
      </rPr>
      <t xml:space="preserve"> - đổi E3 sang T1
HV chat cho Nhài</t>
    </r>
  </si>
  <si>
    <t>183 Nam Dư Lĩnh Nam Hoàng Mai Hà Nội</t>
  </si>
  <si>
    <t>https://drive.google.com/open?id=1fUungeA3Aedc9CpWGCnlhxJNII-N3w7s; https://drive.google.com/open?id=1Xi6wXgpkDNbr94tsIl_9cjw8Z-UZcUjw</t>
  </si>
  <si>
    <t>Nguyễn Mạnh Phú</t>
  </si>
  <si>
    <t xml:space="preserve">Cổng chính 12 Chùa Bộc(Học viện Ngân hàng), TP. Hà Nội </t>
  </si>
  <si>
    <t>T249 bảo lưu buổi 10</t>
  </si>
  <si>
    <t>Trần Viết Chiết</t>
  </si>
  <si>
    <t>Toà New House, Thạch Hoà, Thạch Thất, Hà Nội</t>
  </si>
  <si>
    <t>số 4, nghách 20/3 , ngõ 20 , Lê Văn Hiến , Đức Thắng, BắcTừ Liêm</t>
  </si>
  <si>
    <t>Số 44 Trung Tự - Đống Đa - Hà Nội</t>
  </si>
  <si>
    <r>
      <rPr>
        <sz val="12"/>
        <color theme="1"/>
        <rFont val="Times New Roman"/>
        <family val="1"/>
      </rPr>
      <t xml:space="preserve">Chu Thị Hải Anh </t>
    </r>
    <r>
      <rPr>
        <sz val="12"/>
        <color rgb="FFFF0000"/>
        <rFont val="Times New Roman"/>
        <family val="1"/>
      </rPr>
      <t>- OT32</t>
    </r>
  </si>
  <si>
    <t>số 8, ngõ 227 trần cung Cổ Nhuế 1 Bắc Từ Liêm Hà Nội</t>
  </si>
  <si>
    <t>28 ngách 57 ngõ 59 Mễ Trì Hạ, quận Nam Từ Liêm, Hà Nội</t>
  </si>
  <si>
    <t>ngõ 43, ngách 154, Cổ Nhuế2, quận Bắc Từ Liêm, Hà Nội</t>
  </si>
  <si>
    <r>
      <rPr>
        <sz val="12"/>
        <color theme="1"/>
        <rFont val="Times New Roman"/>
        <family val="1"/>
      </rPr>
      <t xml:space="preserve">Bùi Hoà Lâm Hoa </t>
    </r>
    <r>
      <rPr>
        <sz val="12"/>
        <color rgb="FFFF0000"/>
        <rFont val="Times New Roman"/>
        <family val="1"/>
      </rPr>
      <t>- học lại 50% học phí
Ck 100K mua sách 05/09/2024</t>
    </r>
  </si>
  <si>
    <t>https://drive.google.com/open?id=13W7JMpKxnBoLvnS1OmtSbskc0S6hD3Cf</t>
  </si>
  <si>
    <t>Tính tiền sale 1,984K học lại</t>
  </si>
  <si>
    <t>OS2</t>
  </si>
  <si>
    <t>T431</t>
  </si>
  <si>
    <r>
      <rPr>
        <sz val="12"/>
        <color theme="1"/>
        <rFont val="Times New Roman"/>
        <family val="1"/>
      </rPr>
      <t xml:space="preserve">Phí Mạnh Dũng </t>
    </r>
    <r>
      <rPr>
        <sz val="12"/>
        <color rgb="FFFF0000"/>
        <rFont val="Times New Roman"/>
        <family val="1"/>
      </rPr>
      <t>- Đã nộp 300K 24/02/2026
OT32 tự nghỉ từ b9. Học T431 b7</t>
    </r>
  </si>
  <si>
    <t>Số nhà 34 ngách 1/16 ngõ 49 Thuý lĩnh lĩnh nam hoàng mai Hà Nội</t>
  </si>
  <si>
    <r>
      <rPr>
        <sz val="12"/>
        <color theme="1"/>
        <rFont val="Times New Roman"/>
        <family val="1"/>
      </rPr>
      <t>Nguyễn Thị Hà</t>
    </r>
    <r>
      <rPr>
        <sz val="12"/>
        <color rgb="FFFF0000"/>
        <rFont val="Times New Roman"/>
        <family val="1"/>
      </rPr>
      <t xml:space="preserve"> </t>
    </r>
  </si>
  <si>
    <t>Số 354 đường Mỹ Đình, phường Mỹ Đình 1, quận Nam Từ Liêm, Hà Nội.</t>
  </si>
  <si>
    <t>168 trung kính yên hoà cầu giấy hà nội</t>
  </si>
  <si>
    <t>Đào Thị Linh Chi</t>
  </si>
  <si>
    <t>ct1a hatceo xuân phương, nam từ liêm, hà nội</t>
  </si>
  <si>
    <t>Nguyễn Tuấn Hưng</t>
  </si>
  <si>
    <t>số 7, ngõ 57 Nguyễn Hoàng, Mỹ Đình 2, Nam Từ Liêm, Hà Nội</t>
  </si>
  <si>
    <t>số 6, Dương Lôi, Tân Hồng, Từ Sơn, Bắc Ninh</t>
  </si>
  <si>
    <t>Khánh Linh</t>
  </si>
  <si>
    <t>VIP126</t>
  </si>
  <si>
    <r>
      <rPr>
        <sz val="12"/>
        <color theme="1"/>
        <rFont val="Times New Roman"/>
        <family val="1"/>
      </rPr>
      <t>Hà Thái Tú</t>
    </r>
    <r>
      <rPr>
        <sz val="12"/>
        <color rgb="FFFF0000"/>
        <rFont val="Times New Roman"/>
        <family val="1"/>
      </rPr>
      <t xml:space="preserve"> - Đã nộp 300K 02/01/2025
VIP112 bảo lưu b2. Học VIP126 b1</t>
    </r>
  </si>
  <si>
    <t>N22-LK22 gần chung cư CT1, Vân Canh, Hoài Đức, Hà Nội</t>
  </si>
  <si>
    <t>14 Ngõ 3 Lương Ngọc Quyến,Văn Quán, Hà Đông</t>
  </si>
  <si>
    <t xml:space="preserve"> Dương Khuê, Mai Dịch, Cầu Giấy, Hà Nội</t>
  </si>
  <si>
    <t>số nhà 122_Ngõ136 Đường Cầu Diễn_Minh Khai</t>
  </si>
  <si>
    <t>số nhà 15 ngõ 14 nguyễn lân phương liệt thanh xuân, Hà Nội</t>
  </si>
  <si>
    <t xml:space="preserve"> Nguyễn Thuỳ Trang</t>
  </si>
  <si>
    <t>Số nhà 48, ngõ 1194/136 đường láng, quận Đống Đa, Hà Nội</t>
  </si>
  <si>
    <t>T251</t>
  </si>
  <si>
    <t>Ngô Thị Vân Anh</t>
  </si>
  <si>
    <t>26 Hoàng Sỹ Khải, An Hải Bắc, Sơn Trà, Đà Nẵng</t>
  </si>
  <si>
    <t>165, Lâm Văn Bền, phường Tân Quy, Quận 7, Thành phố Hồ Chí Minh</t>
  </si>
  <si>
    <t>T270</t>
  </si>
  <si>
    <r>
      <rPr>
        <sz val="12"/>
        <color theme="1"/>
        <rFont val="Times New Roman"/>
        <family val="1"/>
      </rPr>
      <t xml:space="preserve">Phạm Mai Hương </t>
    </r>
    <r>
      <rPr>
        <sz val="12"/>
        <color rgb="FFFF0000"/>
        <rFont val="Times New Roman"/>
        <family val="1"/>
      </rPr>
      <t>- đã nộp 300K 07/12/24
T251 bảo lưu b6 đi quân sự. Học T270 b5</t>
    </r>
  </si>
  <si>
    <t>nhà số 6 ngách 54/10, đường 54 Tây Tựu, Tây Tựu, Quận Bắc Từ Liêm, Hà Nội</t>
  </si>
  <si>
    <t>số 79 ngụy như kon tum, nhân chính, thanh xuân, hà nội</t>
  </si>
  <si>
    <t>VIP124</t>
  </si>
  <si>
    <r>
      <rPr>
        <sz val="12"/>
        <color theme="1"/>
        <rFont val="Times New Roman"/>
        <family val="1"/>
      </rPr>
      <t xml:space="preserve">Nguyễn Việt Hoàng </t>
    </r>
    <r>
      <rPr>
        <sz val="12"/>
        <color rgb="FFFF0000"/>
        <rFont val="Times New Roman"/>
        <family val="1"/>
      </rPr>
      <t>- Đã nộp 300K 21/02/2025
VIP111 bảo lưu b11. Học VIP134 b14</t>
    </r>
  </si>
  <si>
    <t>Số nhà 353, Thắng Trí, Sóc Sơn, Hà Nộị</t>
  </si>
  <si>
    <r>
      <rPr>
        <sz val="12"/>
        <color theme="1"/>
        <rFont val="Times New Roman"/>
        <family val="1"/>
      </rPr>
      <t xml:space="preserve"> Nguyễn Thị Yến Nhi </t>
    </r>
    <r>
      <rPr>
        <sz val="12"/>
        <color rgb="FFFF0000"/>
        <rFont val="Times New Roman"/>
        <family val="1"/>
      </rPr>
      <t>- mất cam kết đầu ra, nhiều lần ko làm BTVN. Huy chat</t>
    </r>
  </si>
  <si>
    <t>Số 10 ngõ 233 Phùng Khoang, Nam Từ Liêm, Hà Nội</t>
  </si>
  <si>
    <t>65 Tân Nhuệ, Thuỵ Phương, Bắc Từ Liêm, Hà Nội</t>
  </si>
  <si>
    <t>Nguyễn Hoàng Tố Quyên</t>
  </si>
  <si>
    <t>Nguyễn Trà Yến My</t>
  </si>
  <si>
    <t>KTX KIM CƯƠNG 3, 8/15 Đinh Bộ Lĩnh, Phường 24, quận Bình Thạnh tp HCM</t>
  </si>
  <si>
    <t>Lê Khắc Nguyên</t>
  </si>
  <si>
    <t>ngõ 21 ,đường chùa Bụt Mọc , quận Bắc Từ Liêm Hà Nội</t>
  </si>
  <si>
    <t>số 43 ngõ 1 phố Viên, Cổ Nhuế 2, Bắc Từ Liêm, Hà Nội</t>
  </si>
  <si>
    <t>Dương Vũ Quang Huy</t>
  </si>
  <si>
    <t>tòa B Udic Hoàng Đạo Thúy, Trung Hòa, Cầu Giấy, Hà Nội</t>
  </si>
  <si>
    <t>số 86 Ngự Câu 2, An Thượng, Hoài Đức, Hà Nội</t>
  </si>
  <si>
    <t>Số 5b, Ngách 85/29 Ngõ 85 Đường Xuân Thuỷ, Phường Dịch Vọng Hậu, Quận Cầu Giấy, Hà Nội</t>
  </si>
  <si>
    <t>Vũ Thu Linh</t>
  </si>
  <si>
    <t>iuvtlnhat@gmail.com</t>
  </si>
  <si>
    <t>Nhà 8 Ngách 56 ngõ 63 Trần Quốc Vượng, Dịch Vọng Hậu, Cầu Giấy, Hà Nội</t>
  </si>
  <si>
    <t>https://www.facebook.com/yen.nguyen.2507?mibextid=ZbWKwL</t>
  </si>
  <si>
    <r>
      <rPr>
        <sz val="12"/>
        <color theme="1"/>
        <rFont val="Times New Roman"/>
        <family val="1"/>
      </rPr>
      <t>Nguyễn Thị Thu Yến</t>
    </r>
    <r>
      <rPr>
        <sz val="12"/>
        <color rgb="FFFF0000"/>
        <rFont val="Times New Roman"/>
        <family val="1"/>
      </rPr>
      <t xml:space="preserve"> - Selina Nguyễn
sđt ít dùng </t>
    </r>
    <r>
      <rPr>
        <sz val="12"/>
        <color theme="1"/>
        <rFont val="Times New Roman"/>
        <family val="1"/>
      </rPr>
      <t>0945675397</t>
    </r>
  </si>
  <si>
    <t>47 Tân Nhuệ, Đông Ngạc, Thụy Phương, Bắc Từ Liêm, Hà Nội</t>
  </si>
  <si>
    <t>https://drive.google.com/open?id=1iqjCdRMB8-bxb9fwQMDePtRgNgrhSbue; https://drive.google.com/open?id=1zbC0FoT63nuaiahUnO9dPybF-cSHBub6; https://drive.google.com/open?id=1I-mY9aRSE4Uw79iBNFC18GN-C_CpcImd</t>
  </si>
  <si>
    <t>số 7 ngõ 157/60 chùa láng, láng thượng, đống đa, hà nội</t>
  </si>
  <si>
    <t>Số nhà 14- Ngách 54/2- Cầu Đăm- Tây Tựu- Bắc Từ Liêm- Hà Nội</t>
  </si>
  <si>
    <t>Nguyễn Thành Công</t>
  </si>
  <si>
    <t>Số 31, Ngõ 68, Phú Diễn, Bắc Từ Liêm, Hà Nội</t>
  </si>
  <si>
    <t>số 41D ngõ 267 hồ tùng mậu-Nam Từ Niêm-Hà Nội</t>
  </si>
  <si>
    <t>Dương Khánh Linh</t>
  </si>
  <si>
    <t>Ngõ 296 Minh khai /62 ngách 254D, Số nhà 5A đường Minh Khai, Hai Bà Trưng, Hà Nội</t>
  </si>
  <si>
    <r>
      <rPr>
        <sz val="12"/>
        <color theme="1"/>
        <rFont val="Times New Roman"/>
        <family val="1"/>
      </rPr>
      <t>Trần Nữ Bích Tuyền</t>
    </r>
    <r>
      <rPr>
        <sz val="12"/>
        <color rgb="FFFF0000"/>
        <rFont val="Times New Roman"/>
        <family val="1"/>
      </rPr>
      <t xml:space="preserve"> 036899663 và 373407195</t>
    </r>
  </si>
  <si>
    <t>281/33/14, Đ. Lê Văn Sỹ , P1, Quận Tân Bình, Hồ Chí Minh</t>
  </si>
  <si>
    <t>T116</t>
  </si>
  <si>
    <t>https://www.facebook.com/phuongdungowi</t>
  </si>
  <si>
    <t xml:space="preserve">Trần Phương Dung </t>
  </si>
  <si>
    <t>Done</t>
  </si>
  <si>
    <t>số nhà 10 , ngõ 26 vĩnh hưng , hoàng mai , Hà Nội</t>
  </si>
  <si>
    <t>https://drive.google.com/open?id=1P79of8vUwxvP8Xf3o6Q8ALkDh2FpvWCn</t>
  </si>
  <si>
    <t>số 2a ngõ 39 Trung kính, Trung Hòa, Cầu Giấy.</t>
  </si>
  <si>
    <r>
      <rPr>
        <sz val="12"/>
        <color theme="1"/>
        <rFont val="Times New Roman"/>
        <family val="1"/>
      </rPr>
      <t>Hoàng Ngọc Linh</t>
    </r>
    <r>
      <rPr>
        <sz val="12"/>
        <color rgb="FFFF0000"/>
        <rFont val="Times New Roman"/>
        <family val="1"/>
      </rPr>
      <t xml:space="preserve"> </t>
    </r>
  </si>
  <si>
    <t>Nguyễn Thị Ngọc Khánh</t>
  </si>
  <si>
    <t xml:space="preserve">Nhà trọ Kiều Quyên, thôn 3, Thạch Hòa, Thạch Thất Hà Nội </t>
  </si>
  <si>
    <t>Liền kề 261, DV5, Khu đô thị Kiến Hưng, Hà Đông, Hà Nội</t>
  </si>
  <si>
    <t>Phạm Thị Hải Quỳnh</t>
  </si>
  <si>
    <t>biệt thự x01.20 kđt đô nghĩa, hà đông, hà nội</t>
  </si>
  <si>
    <t>T292</t>
  </si>
  <si>
    <r>
      <rPr>
        <sz val="12"/>
        <color theme="1"/>
        <rFont val="Times New Roman"/>
        <family val="1"/>
      </rPr>
      <t>Nguyễn Xuân Hùng</t>
    </r>
    <r>
      <rPr>
        <sz val="12"/>
        <color rgb="FFFF0000"/>
        <rFont val="Times New Roman"/>
        <family val="1"/>
      </rPr>
      <t xml:space="preserve"> 0392921523 sđt cũ - Đã nộp 300K bảo lưu 02/03/2025
T252 bảo lưu b13 đi quân sự. Học T292 b4. Đã nộp 100K mua sách 02/03/25</t>
    </r>
  </si>
  <si>
    <t>Cổng phụ cơ sở 3 Đại học Công nghiệp Hà Nội -Phù Vân-Phủ Lý-Hà Nam</t>
  </si>
  <si>
    <t>14/10/2024 sách cũ</t>
  </si>
  <si>
    <t>Phan Tuấn Minh</t>
  </si>
  <si>
    <t>Nguyễn Phương Linh</t>
  </si>
  <si>
    <t xml:space="preserve">Số 9, ngõ 31 Văn Hội, Đức Thắng, Bắc Từ Liêm, Hà Nội </t>
  </si>
  <si>
    <t>Lê Thị Cẩm Vân</t>
  </si>
  <si>
    <t>số 1 ngách 23 ngõ 82 Nguyễn Phúc Lai, Ô Chợ Dừa, Đống Đa</t>
  </si>
  <si>
    <t>D21-19 khu đô thị Geleximco Lê trọng tấn, Phường Dương nội, Quận Hà Đông</t>
  </si>
  <si>
    <t>21/10/2024 sách cũ</t>
  </si>
  <si>
    <t>Lê Văn Phong</t>
  </si>
  <si>
    <t>Ngõ 70 đường xuân phương, nhổn, minh khai, bắc từ liêm, Hà Nội</t>
  </si>
  <si>
    <r>
      <rPr>
        <sz val="12"/>
        <color theme="1"/>
        <rFont val="Times New Roman"/>
        <family val="1"/>
      </rPr>
      <t xml:space="preserve">Trương Ngọc Mai </t>
    </r>
    <r>
      <rPr>
        <sz val="12"/>
        <color rgb="FFFF0000"/>
        <rFont val="Times New Roman"/>
        <family val="1"/>
      </rPr>
      <t>- Ngọc Trương</t>
    </r>
  </si>
  <si>
    <t>Cổng phụ trường đại học Phenikaa ( Yên nghĩa- Hà Đông- Hà Nội )</t>
  </si>
  <si>
    <r>
      <rPr>
        <sz val="12"/>
        <color theme="1"/>
        <rFont val="Times New Roman"/>
        <family val="1"/>
      </rPr>
      <t>Nguyễn Thảo Nhi</t>
    </r>
    <r>
      <rPr>
        <sz val="12"/>
        <color rgb="FFFF0000"/>
        <rFont val="Times New Roman"/>
        <family val="1"/>
      </rPr>
      <t xml:space="preserve"> - gửi lại sách</t>
    </r>
  </si>
  <si>
    <t>cầu thang 5,E5 khu tập thể cũ TXB, Hà Nội</t>
  </si>
  <si>
    <t>17/10/2024 - app gửi nhầm về Quảng Nam</t>
  </si>
  <si>
    <t>VIP113</t>
  </si>
  <si>
    <t>Trịnh Lâm Hưng</t>
  </si>
  <si>
    <t>số nhà 23 ngách 43/43 Chùa Bộc, Đống Đa</t>
  </si>
  <si>
    <t>VIP122</t>
  </si>
  <si>
    <t>https://www.facebook.com/share/1PxyTfcnPH/</t>
  </si>
  <si>
    <r>
      <rPr>
        <sz val="12"/>
        <color theme="1"/>
        <rFont val="Times New Roman"/>
        <family val="1"/>
      </rPr>
      <t>Phạm Thị Thanh Hằng</t>
    </r>
    <r>
      <rPr>
        <sz val="12"/>
        <color rgb="FFFF0000"/>
        <rFont val="Times New Roman"/>
        <family val="1"/>
      </rPr>
      <t xml:space="preserve"> - Đã nộp 300K 24/12/24
VIP113 bảo lưu b7 đi quân sự. Học VIP119 buổi 7
</t>
    </r>
    <r>
      <rPr>
        <sz val="12"/>
        <color theme="1"/>
        <rFont val="Times New Roman"/>
        <family val="1"/>
      </rPr>
      <t>VIP119 dừng học từ buổi 17. Ghép VIP122 b16</t>
    </r>
  </si>
  <si>
    <t>Số nhà 16, ngách 58/55, đường Thanh Bình, Mỗ Lao, Hà Đông, Hà Nội</t>
  </si>
  <si>
    <t>22/10/2024 sách vào Đồng Tháp</t>
  </si>
  <si>
    <t>Trần Vân Hậu</t>
  </si>
  <si>
    <t>47A ngõ 66 Hồ Tùng Mậu, Mai Dịch, Cầu Giấy, Hà Nội</t>
  </si>
  <si>
    <t>VIP114</t>
  </si>
  <si>
    <t>Vũ Yến Thanh</t>
  </si>
  <si>
    <t>89 Nguyễn Phong Sắc - phường Dịch Vọng Hậu - quận Cầu Giấy - thành phố Hà Nội</t>
  </si>
  <si>
    <r>
      <rPr>
        <sz val="12"/>
        <color theme="1"/>
        <rFont val="Times New Roman"/>
        <family val="1"/>
      </rPr>
      <t>Trần Khánh Ngân -</t>
    </r>
    <r>
      <rPr>
        <sz val="12"/>
        <color rgb="FFFF0000"/>
        <rFont val="Times New Roman"/>
        <family val="1"/>
      </rPr>
      <t xml:space="preserve"> nick Yun Bao</t>
    </r>
  </si>
  <si>
    <t>Lô 1 đường A3 khu đô thị VCN, phường Phước Long, TP Nha Trang, tỉnh Khánh Hòa</t>
  </si>
  <si>
    <t>VIP168</t>
  </si>
  <si>
    <r>
      <rPr>
        <sz val="12"/>
        <color theme="1"/>
        <rFont val="Times New Roman"/>
        <family val="1"/>
      </rPr>
      <t xml:space="preserve">Nguyễn Thiện Bảo Nhi </t>
    </r>
    <r>
      <rPr>
        <sz val="12"/>
        <color rgb="FFFF0000"/>
        <rFont val="Times New Roman"/>
        <family val="1"/>
      </rPr>
      <t>- VIP114. Đã nộp 300K ngày 09/02/2025
VIP120 bảo lưu b12 đi quân sự. Học VIP  buổi 
Đã nộp 1,072K học lại 11 buổi và mua sách 200K</t>
    </r>
  </si>
  <si>
    <t>D44 khu Nam Long, Quận 7, TP. Hồ Chí Minh</t>
  </si>
  <si>
    <t>Sách cũ 04/12/2024</t>
  </si>
  <si>
    <t>Lê Thị Phương Uyên</t>
  </si>
  <si>
    <t>Xóm 1 Lương Quy xã Xuân Nộn huyện Đông Anh, Hà Nội</t>
  </si>
  <si>
    <r>
      <rPr>
        <sz val="12"/>
        <color theme="1"/>
        <rFont val="Times New Roman"/>
        <family val="1"/>
      </rPr>
      <t>Đặng Minh Đức</t>
    </r>
    <r>
      <rPr>
        <sz val="12"/>
        <color rgb="FFFF0000"/>
        <rFont val="Times New Roman"/>
        <family val="1"/>
      </rPr>
      <t xml:space="preserve"> - 0912432233 mẹ nhận hộ</t>
    </r>
  </si>
  <si>
    <t>63 đường Phù Nghĩa phường Hạ Long thành phố Nam Định</t>
  </si>
  <si>
    <t>VIP143</t>
  </si>
  <si>
    <r>
      <rPr>
        <sz val="12"/>
        <color theme="1"/>
        <rFont val="Times New Roman"/>
        <family val="1"/>
      </rPr>
      <t xml:space="preserve">Đặng Khánh Linh </t>
    </r>
    <r>
      <rPr>
        <sz val="12"/>
        <color rgb="FFFF0000"/>
        <rFont val="Times New Roman"/>
        <family val="1"/>
      </rPr>
      <t>- đã nộp 300K 31/03/2025
VIP113 bảo lưu b7. Học VIP143 b5</t>
    </r>
  </si>
  <si>
    <t>Số nhà 2A ngách 35/68 Triều Khúc, Thanh Xuân, Hà Nội</t>
  </si>
  <si>
    <t>Lương Thị Minh Anh</t>
  </si>
  <si>
    <t>nhà số 2 ngách 50 ngõ 282 kim giang, đại kim, hoàng mai, hà nội</t>
  </si>
  <si>
    <t>T291</t>
  </si>
  <si>
    <t>https://www.facebook.com/binhan.vu.568</t>
  </si>
  <si>
    <r>
      <rPr>
        <sz val="12"/>
        <color theme="1"/>
        <rFont val="Times New Roman"/>
        <family val="1"/>
      </rPr>
      <t>Vũ Bình An</t>
    </r>
    <r>
      <rPr>
        <sz val="12"/>
        <color rgb="FFFF0000"/>
        <rFont val="Times New Roman"/>
        <family val="1"/>
      </rPr>
      <t xml:space="preserve"> 0949917195 số cũ - Đã nộp 4000K 01/03/25
T254 bảo lưu b11 đi quân sự. Học T291 b7. </t>
    </r>
    <r>
      <rPr>
        <sz val="12"/>
        <color theme="1"/>
        <rFont val="Times New Roman"/>
        <family val="1"/>
      </rPr>
      <t xml:space="preserve"> vắng 6 buổi ko phép. Hạ chat</t>
    </r>
  </si>
  <si>
    <t>binhhann2006@gmail.com</t>
  </si>
  <si>
    <t>Ngác 122, Ngõ 177, Cầu Diễn, Phú Diễn, Bắc Từ Liêm, Hà Nội</t>
  </si>
  <si>
    <t>https://drive.google.com/open?id=1v4aKsLbtrtsE8Sxo_SFe0RtwxGimOzj0; https://drive.google.com/open?id=1-2_MktDp6Tc4mH864Fw4RLSfsAkFZtB3</t>
  </si>
  <si>
    <t>18/10/2024 sách cũ</t>
  </si>
  <si>
    <t>Đoàn Nguyên Vũ</t>
  </si>
  <si>
    <t>Triều Dương, Hải Triều, Tiên Lữ, Hưng Yên</t>
  </si>
  <si>
    <t>T272</t>
  </si>
  <si>
    <r>
      <rPr>
        <sz val="12"/>
        <color theme="1"/>
        <rFont val="Times New Roman"/>
        <family val="1"/>
      </rPr>
      <t>Nguyễn Thuý Hiền</t>
    </r>
    <r>
      <rPr>
        <sz val="12"/>
        <color rgb="FFFF0000"/>
        <rFont val="Times New Roman"/>
        <family val="1"/>
      </rPr>
      <t xml:space="preserve"> - 3876026237 - đã nộp 300K 23/12/24. 
T255 bảo lưu b15. Học T272 b17</t>
    </r>
  </si>
  <si>
    <t>toà B xuân mai tower , đường tô hiệu hà trì hà cầu hà đông</t>
  </si>
  <si>
    <t>Đinh Thị Quỳnh</t>
  </si>
  <si>
    <t>nhà số 9 -ngõ 171 đường phú viên - phường Lê Hồng Phong- Phủ Lí - Hà Nam</t>
  </si>
  <si>
    <r>
      <rPr>
        <sz val="12"/>
        <color theme="1"/>
        <rFont val="Times New Roman"/>
        <family val="1"/>
      </rPr>
      <t xml:space="preserve">Cao Minh Quân </t>
    </r>
    <r>
      <rPr>
        <sz val="12"/>
        <color rgb="FFFF0000"/>
        <rFont val="Times New Roman"/>
        <family val="1"/>
      </rPr>
      <t>-  Đã nộp 300K 15/02/2025
T255 bảo lưu b14 đi quân sự. Học T272 b17.</t>
    </r>
  </si>
  <si>
    <t>HH1A, Linh Đàm, Hoàng Liệt, Hoàng Mai, Hà Nội</t>
  </si>
  <si>
    <t>Nguyễn Thu Hằng</t>
  </si>
  <si>
    <t>101 ngõ 250 kim giang,đại kim, hoàng mai, hà nội</t>
  </si>
  <si>
    <t>ngõ 182 phú diễn, phú diễn, bắc từ liêm, hà nội</t>
  </si>
  <si>
    <r>
      <rPr>
        <sz val="12"/>
        <color theme="1"/>
        <rFont val="Times New Roman"/>
        <family val="1"/>
      </rPr>
      <t xml:space="preserve">Nguyễn Yến Nhi </t>
    </r>
    <r>
      <rPr>
        <sz val="12"/>
        <color rgb="FFFF0000"/>
        <rFont val="Times New Roman"/>
        <family val="1"/>
      </rPr>
      <t>- Ynhi Meomeo</t>
    </r>
  </si>
  <si>
    <t xml:space="preserve"> Phú Diễn, Bắc Từ Liêm, Hà Nội </t>
  </si>
  <si>
    <t>KĐT Cầu Diễn-Phú Diễn-Bắc Từ Liêm</t>
  </si>
  <si>
    <t>Ngõ 165/2, Dương Quảng Hàm, Quan Hoa, Cầu Giấy, Hà Nội</t>
  </si>
  <si>
    <t>ngõ 9 Lê Đức Thọ, Nam Từ Niêm, Hà Nội</t>
  </si>
  <si>
    <t>ngõ 58 Trần Bình , Cầu Giấy, Hà Nội</t>
  </si>
  <si>
    <t>T301</t>
  </si>
  <si>
    <r>
      <rPr>
        <sz val="12"/>
        <color theme="1"/>
        <rFont val="Times New Roman"/>
        <family val="1"/>
      </rPr>
      <t xml:space="preserve"> Nguyễn Khánh Ngọc </t>
    </r>
    <r>
      <rPr>
        <sz val="12"/>
        <color rgb="FFFF0000"/>
        <rFont val="Times New Roman"/>
        <family val="1"/>
      </rPr>
      <t>- đã nộp 300K 16/03/25
OT34 bảo lưu b10 do chưa cân bằng đc. Học T301 b1</t>
    </r>
  </si>
  <si>
    <t>ngõ 105 Doãn kế thiện , mai dịch ,cầu giấy</t>
  </si>
  <si>
    <t>28/10/2024 sách cũ</t>
  </si>
  <si>
    <t>Trợ giảng lấy hộ sách mới</t>
  </si>
  <si>
    <t>mai dịch - hồ tùng mậu - cầu giấy</t>
  </si>
  <si>
    <t>mai dịch -hồ tùng mậu - cầu giấy</t>
  </si>
  <si>
    <t>Đỗ Xuân Bách</t>
  </si>
  <si>
    <t>Số 19, ngõ 846, Ngãi Cầu, An Khánh, Hoài Đức, Hà Nội</t>
  </si>
  <si>
    <t>OVIP16</t>
  </si>
  <si>
    <r>
      <rPr>
        <sz val="12"/>
        <color theme="1"/>
        <rFont val="Times New Roman"/>
        <family val="1"/>
      </rPr>
      <t>Tạ Thị Bích Ngọc</t>
    </r>
    <r>
      <rPr>
        <sz val="12"/>
        <color rgb="FFFF0000"/>
        <rFont val="Times New Roman"/>
        <family val="1"/>
      </rPr>
      <t xml:space="preserve"> - Đã nộp 300K 03/01/25</t>
    </r>
    <r>
      <rPr>
        <sz val="12"/>
        <color theme="1"/>
        <rFont val="Times New Roman"/>
        <family val="1"/>
      </rPr>
      <t xml:space="preserve">
</t>
    </r>
    <r>
      <rPr>
        <sz val="12"/>
        <color rgb="FFFF0000"/>
        <rFont val="Times New Roman"/>
        <family val="1"/>
      </rPr>
      <t>OVIP15 bảo lưu b1 do bận. Học OVIP16 b1</t>
    </r>
  </si>
  <si>
    <t xml:space="preserve"> Trần Bình, Mai Dịch, Cầu Giấy, Hà Nội</t>
  </si>
  <si>
    <r>
      <rPr>
        <sz val="12"/>
        <color theme="1"/>
        <rFont val="Times New Roman"/>
        <family val="1"/>
      </rPr>
      <t>Nguyễn Thế Tài</t>
    </r>
    <r>
      <rPr>
        <sz val="12"/>
        <color rgb="FFFF0000"/>
        <rFont val="Times New Roman"/>
        <family val="1"/>
      </rPr>
      <t xml:space="preserve"> </t>
    </r>
  </si>
  <si>
    <t>Lai xá, Kim Chung , Hoài Đức, Hà Nội</t>
  </si>
  <si>
    <r>
      <rPr>
        <sz val="12"/>
        <color theme="1"/>
        <rFont val="Times New Roman"/>
        <family val="1"/>
      </rPr>
      <t>Lã Quang Hiến</t>
    </r>
    <r>
      <rPr>
        <sz val="12"/>
        <color rgb="FFFF0000"/>
        <rFont val="Times New Roman"/>
        <family val="1"/>
      </rPr>
      <t xml:space="preserve"> - OVIP15</t>
    </r>
  </si>
  <si>
    <t>Lê Đức Thọ, Nam Từ Niêm, Hà Nội</t>
  </si>
  <si>
    <t>số 1 hẻm 22 ngách 35 ngõ 66, Hồ Tùng Mậu</t>
  </si>
  <si>
    <t xml:space="preserve"> Đỗ Văn Sơn</t>
  </si>
  <si>
    <t xml:space="preserve">Phú Diễn, Bắc từ liêm, Hà nội </t>
  </si>
  <si>
    <r>
      <rPr>
        <sz val="12"/>
        <color theme="1"/>
        <rFont val="Times New Roman"/>
        <family val="1"/>
      </rPr>
      <t xml:space="preserve">Lê Thế Sơn </t>
    </r>
    <r>
      <rPr>
        <sz val="12"/>
        <color rgb="FFFF0000"/>
        <rFont val="Times New Roman"/>
        <family val="1"/>
      </rPr>
      <t>- 339090046 số cũ</t>
    </r>
  </si>
  <si>
    <t>Nguyễn Cao Hồng Tâm</t>
  </si>
  <si>
    <t>50 quán nam, kênh dương, lê chân, hải phòng</t>
  </si>
  <si>
    <t>https://www.facebook.com/profile.php?id=100075158750998&amp;mibextid=ZbWKwL</t>
  </si>
  <si>
    <t>Chu Thị Lan Phương</t>
  </si>
  <si>
    <t xml:space="preserve">Chulanphuong938@gmail.com </t>
  </si>
  <si>
    <t>số nhà T2 ngõ 210 hoàng quốc việt</t>
  </si>
  <si>
    <t>19/08/2024 và 05/09/2024</t>
  </si>
  <si>
    <t>https://drive.google.com/open?id=1Gk6cZP2LxEet3v_C_pLy05mbN5n2HZcw; https://drive.google.com/open?id=14AxJcCN222CUpy5qcdM9bchvq3xbhwzT; https://drive.google.com/open?id=1OZvXlGBZ6EQZkgMHIgKhhp7tb6xtMxmw, https://drive.google.com/open?id=1mUArMYT-TS7aR7mG8moJwBDKu5gUGaUH</t>
  </si>
  <si>
    <t>https://www.facebook.com/ngeynnahng?mibextid=ZbWKwL</t>
  </si>
  <si>
    <r>
      <rPr>
        <sz val="12"/>
        <color theme="1"/>
        <rFont val="Times New Roman"/>
        <family val="1"/>
      </rPr>
      <t>Nguyễn Minh Hằng</t>
    </r>
    <r>
      <rPr>
        <sz val="12"/>
        <color rgb="FFFF0000"/>
        <rFont val="Times New Roman"/>
        <family val="1"/>
      </rPr>
      <t xml:space="preserve"> - nick Kieuu Anh 328128183 ZALO</t>
    </r>
  </si>
  <si>
    <t>số nhà 39 ngõ 69 do nha , miêu nha, tây mỗ , nam từ liêm , hà nội</t>
  </si>
  <si>
    <t>PT150</t>
  </si>
  <si>
    <t>https://www.facebook.com/profile.php?id=100078877636977&amp;mibextid=ZbWKwL</t>
  </si>
  <si>
    <r>
      <rPr>
        <sz val="12"/>
        <color theme="1"/>
        <rFont val="Times New Roman"/>
        <family val="1"/>
      </rPr>
      <t xml:space="preserve">Trần Thị Thùy Dương </t>
    </r>
    <r>
      <rPr>
        <sz val="12"/>
        <color rgb="FFFF0000"/>
        <rFont val="Times New Roman"/>
        <family val="1"/>
      </rPr>
      <t xml:space="preserve">- nhận học. Nick: Bánh Bơ Sữa OPT44
</t>
    </r>
    <r>
      <rPr>
        <sz val="12"/>
        <color theme="1"/>
        <rFont val="Times New Roman"/>
        <family val="1"/>
      </rPr>
      <t>Nguyễn Thị Yến Nhi</t>
    </r>
    <r>
      <rPr>
        <sz val="12"/>
        <color rgb="FFFF0000"/>
        <rFont val="Times New Roman"/>
        <family val="1"/>
      </rPr>
      <t xml:space="preserve"> 352384273 - đã chuyển nhượng đã nộp 300K 16/10/2024
PT140 bỏ từ buổi 2 nói học ko tốt. Ngô Đức báo</t>
    </r>
  </si>
  <si>
    <t>tranduoong206@gmail.com</t>
  </si>
  <si>
    <t>số 1 nghách 112/29 Nguyên Xá Minh Khai Bắc Từ Liêm Hà Nội</t>
  </si>
  <si>
    <t>https://www.facebook.com/100014949131752/</t>
  </si>
  <si>
    <t>019304004522</t>
  </si>
  <si>
    <t>đối diện Bất Động Sản Yến Linh- Khu C- Yên Nghĩa -Hà Đông, Hà Nội</t>
  </si>
  <si>
    <t>https://drive.google.com/open?id=1pYNFoh4UMjRbOa1sgQ4KupxHqrBdXlf2, https://drive.google.com/open?id=1Kt34m07XzcIScgCF-GQZGD1jrhJvEfeD</t>
  </si>
  <si>
    <t>0362011266</t>
  </si>
  <si>
    <t>số nhà 3, ngõ 277 Quan Hoa, Cầu Giấy, Hà Nội</t>
  </si>
  <si>
    <t>S105 Vinhome smartcity Tây Mỗ Nam Từ Liêm Hà Nội</t>
  </si>
  <si>
    <t>Ngô Thị Ngọc Linh</t>
  </si>
  <si>
    <t>số 55 ngõ 20, Mỹ Đình 2, Nam Từ Liêm, Hà Nội</t>
  </si>
  <si>
    <t>https://www.facebook.com/profile.php?id=100048873308819</t>
  </si>
  <si>
    <t>Trần Trọng Bách</t>
  </si>
  <si>
    <t>Thanh Huyền chat</t>
  </si>
  <si>
    <t>Chung cư mullberry lane khu đô thị Mỗ Lao, Hà Đông, Hà Nội</t>
  </si>
  <si>
    <t>https://drive.google.com/open?id=1etW2Kgy3kEBtK3UAptIdsa_Mu1nm73Qu</t>
  </si>
  <si>
    <t>Trả lương T8</t>
  </si>
  <si>
    <t>Stour 5</t>
  </si>
  <si>
    <t>OPT44</t>
  </si>
  <si>
    <t>https://www.facebook.com/t1end4t0305</t>
  </si>
  <si>
    <r>
      <rPr>
        <sz val="12"/>
        <color theme="1"/>
        <rFont val="Times New Roman"/>
        <family val="1"/>
      </rPr>
      <t xml:space="preserve">Nguyễn Minh Tiến Đạt </t>
    </r>
    <r>
      <rPr>
        <sz val="12"/>
        <color rgb="FFFF0000"/>
        <rFont val="Times New Roman"/>
        <family val="1"/>
      </rPr>
      <t>- đổi VIP học PT
Học viên còn tiền 2 khóa T +VIP</t>
    </r>
  </si>
  <si>
    <t>026204000502</t>
  </si>
  <si>
    <t>Nhận tại lớp OFF</t>
  </si>
  <si>
    <t>https://drive.google.com/open?id=1QSnScqKAyRiUaCQfg4g6E-_TSR9LlEQE</t>
  </si>
  <si>
    <t>C197</t>
  </si>
  <si>
    <t>https://www.facebook.com/realltd158</t>
  </si>
  <si>
    <r>
      <rPr>
        <sz val="12"/>
        <color theme="1"/>
        <rFont val="Times New Roman"/>
        <family val="1"/>
      </rPr>
      <t>Lê Toàn Đức</t>
    </r>
    <r>
      <rPr>
        <sz val="12"/>
        <color rgb="FFFF0000"/>
        <rFont val="Times New Roman"/>
        <family val="1"/>
      </rPr>
      <t xml:space="preserve"> - C197 đã học 10 -11 buổi
Đổi 14 buổi sang PT</t>
    </r>
  </si>
  <si>
    <t>25B, Ngõ 3 Nguyễn Văn Huyên ,Quan Hoa, Cầu giấy , Hà Nội</t>
  </si>
  <si>
    <t>https://drive.google.com/open?id=1mjw7bCy9Kga2n8ecHd9Jy321k-dLC3E_</t>
  </si>
  <si>
    <t>Đã xếp lớp T11</t>
  </si>
  <si>
    <t>Đàm Thị Duyên</t>
  </si>
  <si>
    <t>Nguyễn Thành Tam</t>
  </si>
  <si>
    <t>Đường 10 - Khánh An - Yên Khánh - Ninh Bình</t>
  </si>
  <si>
    <t xml:space="preserve">89 nguyễn phong sắc dịch vọng hậu cầu giấy, Hà Nội
Nguyễn Yến Nhi
Nguyễn Yến Nhi
Hoạt động 1 giờ trước
Trang cá nhân
Tắt thông báo
Tìm kiếm
</t>
  </si>
  <si>
    <t>Thôn Trường An, xã An Khánh, huyện Hoài Đức, Hà Nội</t>
  </si>
  <si>
    <t>Dương Minh Ngọc</t>
  </si>
  <si>
    <t>210 đường Hoàng Hoa Thám, Thụy Khuê,Tây Hồ, Hà Nội</t>
  </si>
  <si>
    <t>A914</t>
  </si>
  <si>
    <t>https://www.facebook.com/chanhday03</t>
  </si>
  <si>
    <r>
      <rPr>
        <sz val="12"/>
        <color theme="1"/>
        <rFont val="Times New Roman"/>
        <family val="1"/>
      </rPr>
      <t>Lê Trang</t>
    </r>
    <r>
      <rPr>
        <sz val="12"/>
        <color rgb="FFFF0000"/>
        <rFont val="Times New Roman"/>
        <family val="1"/>
      </rPr>
      <t xml:space="preserve"> - đổi E2, E3 =&gt; VIP + S</t>
    </r>
  </si>
  <si>
    <t>Số nhà 13, Liền kề 12 KĐT Xala, Phúc La, Hà Đông, Hà Nội</t>
  </si>
  <si>
    <t>https://drive.google.com/open?id=1PHs4iLz4_P4JUIGFWQi5u2eAL9XGRrWR</t>
  </si>
  <si>
    <t>535 IIG</t>
  </si>
  <si>
    <t>Em mới thi ở iig 535</t>
  </si>
  <si>
    <t>21/10/2024 gửi sách T256</t>
  </si>
  <si>
    <t>T257</t>
  </si>
  <si>
    <r>
      <rPr>
        <sz val="12"/>
        <color theme="1"/>
        <rFont val="Times New Roman"/>
        <family val="1"/>
      </rPr>
      <t xml:space="preserve">Trần Hoàng Nhi - </t>
    </r>
    <r>
      <rPr>
        <sz val="12"/>
        <color rgb="FFFF0000"/>
        <rFont val="Times New Roman"/>
        <family val="1"/>
      </rPr>
      <t>28/10 gửi sách</t>
    </r>
  </si>
  <si>
    <t>KTX A12 Trường ĐHSP Hà Nội, Ngõ 199 Trần Quốc Hoàn, quận Cầu Giấy, Hà Nội</t>
  </si>
  <si>
    <t>đại học công nghiệp Hà Nội cơ sở 2 , thôn Trung , Bắc Từ Liêm , Hà Nội</t>
  </si>
  <si>
    <r>
      <rPr>
        <sz val="12"/>
        <color theme="1"/>
        <rFont val="Times New Roman"/>
        <family val="1"/>
      </rPr>
      <t xml:space="preserve">Hoàng Thị Thùy </t>
    </r>
    <r>
      <rPr>
        <sz val="12"/>
        <color rgb="FFFF0000"/>
        <rFont val="Times New Roman"/>
        <family val="1"/>
      </rPr>
      <t>- Học lại miễn phí nếu bạn muốn học
HV đau đầu nằm BV Bạch Mai 2 ngày</t>
    </r>
  </si>
  <si>
    <t>OT6, T194 - 585</t>
  </si>
  <si>
    <t>c ơi bạn này OVIP11 không đạt đầu ra nhưng do bị bệnh về não nên mình tạo điều kiện cho bạn học lại free c ạ. C note thông tin lại giúp em với. Hoàng Thị Thuỳ OVIP11. Huy chat</t>
  </si>
  <si>
    <r>
      <rPr>
        <sz val="12"/>
        <color theme="1"/>
        <rFont val="Times New Roman"/>
        <family val="1"/>
      </rPr>
      <t>Đỗ Thanh Hà</t>
    </r>
    <r>
      <rPr>
        <sz val="12"/>
        <color rgb="FFFF0000"/>
        <rFont val="Times New Roman"/>
        <family val="1"/>
      </rPr>
      <t xml:space="preserve"> - học viên muốn học lại miễn phí.
Lấy lý do là mất mạng, GV phát mạng cho làm test</t>
    </r>
  </si>
  <si>
    <t>Đá ốp lát 89, Đ. Nguyễn Trực, Phú Lãm, Hà Đông, Hà Nội</t>
  </si>
  <si>
    <t>S6</t>
  </si>
  <si>
    <r>
      <rPr>
        <sz val="12"/>
        <color theme="1"/>
        <rFont val="Times New Roman"/>
        <family val="1"/>
      </rPr>
      <t xml:space="preserve">Nguyễn Thị Uyên </t>
    </r>
    <r>
      <rPr>
        <sz val="12"/>
        <color rgb="FFFF0000"/>
        <rFont val="Times New Roman"/>
        <family val="1"/>
      </rPr>
      <t>- S5</t>
    </r>
  </si>
  <si>
    <t>Số nhà 14, ngõ 99,  đường Cầu Diễn, phường Phúc Diễn, Bắc Từ Liêm, Hà Nội</t>
  </si>
  <si>
    <t>VIP115</t>
  </si>
  <si>
    <t>Số 127, tổ 8, đường Phú Cường, phường Lê Hồng Phong, thành phố Phủ Lý, tỉnh Hà Nam</t>
  </si>
  <si>
    <t>Vũ Thị Hạnh</t>
  </si>
  <si>
    <t>số 8, ngõ 156/55, Tam Trinh, Hoàng Mai, Hà Nội</t>
  </si>
  <si>
    <t>Dương Tuấn Vũ</t>
  </si>
  <si>
    <t>số 119, ngõ 318, đường La Thành, quận Đống Đa, TP. Hà Nội</t>
  </si>
  <si>
    <t>https://www.facebook.com/ownerbanhcuoncha?mibextid=LQQJ4d</t>
  </si>
  <si>
    <t>Kim Thị Ngọc Thanh</t>
  </si>
  <si>
    <t>Cổng C, chung cư Huyndai Hillstate, Hà Cầu, Hà Đông, Hà Nội</t>
  </si>
  <si>
    <t>9 ngách 324/121 đường phương canh, phường phương canh, quận nam từ liêm, hà nội</t>
  </si>
  <si>
    <t>số 7 Ngách 132/49 Tổ dân phố Nguyên xá 2 phường Minh Khai, quận Bắc từ liêm Hà Nội</t>
  </si>
  <si>
    <t xml:space="preserve">Lê Nguyệt Ánh </t>
  </si>
  <si>
    <t>số 25 ngõ 58/23 Trần Bình, Mai Dịch, Cầu Giấy HN</t>
  </si>
  <si>
    <t>OT54</t>
  </si>
  <si>
    <r>
      <rPr>
        <sz val="12"/>
        <color theme="1"/>
        <rFont val="Times New Roman"/>
        <family val="1"/>
      </rPr>
      <t>Nguyễn Hồng Phúc</t>
    </r>
    <r>
      <rPr>
        <sz val="12"/>
        <color rgb="FFFF0000"/>
        <rFont val="Times New Roman"/>
        <family val="1"/>
      </rPr>
      <t xml:space="preserve"> - Đã nộp 300K 20/12/24</t>
    </r>
    <r>
      <rPr>
        <sz val="12"/>
        <color theme="1"/>
        <rFont val="Times New Roman"/>
        <family val="1"/>
      </rPr>
      <t xml:space="preserve">
</t>
    </r>
    <r>
      <rPr>
        <sz val="12"/>
        <color rgb="FFFF0000"/>
        <rFont val="Times New Roman"/>
        <family val="1"/>
      </rPr>
      <t>OT35 bảo lưu b7 đi quân sự. Học OT54 buổi 2</t>
    </r>
  </si>
  <si>
    <t>37- LK11- KĐT Văn Khê- La Khê- Hà Đông- Hà Nội</t>
  </si>
  <si>
    <t>https://www.facebook.com/binbin205</t>
  </si>
  <si>
    <t>Nguyễn Thị Thanh Tình</t>
  </si>
  <si>
    <t xml:space="preserve"> Binbin74205@gmail.com</t>
  </si>
  <si>
    <t>5/6/66 Xuân Diệu phường Vĩnh Phước thành phố Huế Thừa Thiên Huế ạ</t>
  </si>
  <si>
    <t>29/08/2024 và 06/09/2024 và 30/09/2024</t>
  </si>
  <si>
    <t>https://drive.google.com/open?id=1ckfhoVhTSxj-wtL8KgAyQESBCUKeLPEE; https://drive.google.com/open?id=12vIs_f1abMfAmc_vup9ywqE75JY6GWlU; https://drive.google.com/open?id=1e8bIHtVLlVpRzFrSBsArr3K-KP37mgMW; https://drive.google.com/open?id=1YNiVORFIyvynApqvuG_2sMXA-pPw7dnp</t>
  </si>
  <si>
    <t>KTX khu B ĐHQG, phường Đông Hoà, TP. Dĩ An, tỉnh Bình Dương</t>
  </si>
  <si>
    <t>Số 116, Ngõ 20A, Phố Núi Trúc, Kim Mã, Ba Đình, Hà Nội</t>
  </si>
  <si>
    <t>OT33</t>
  </si>
  <si>
    <t>toà C chung cư 789, Mỹ Đình 2, Nam Từ Liêm, Hà Nội</t>
  </si>
  <si>
    <t>Gửi Dung sách</t>
  </si>
  <si>
    <t>VIP115 bảo lưu b4 sức khỏe ko ổn</t>
  </si>
  <si>
    <t>57 Tô Hiến Thành, p Lê Đại Hành, Hai Bà Trưng, Hà Nội</t>
  </si>
  <si>
    <t>Ki ốt 83+84 đường Nguyễn Văn Linh,gần cổng chợ Thanh Bình số 4 , phường Thanh Bình Thành phố Hải Dương</t>
  </si>
  <si>
    <t>https://www.facebook.com/profile.php?id=61564623132764&amp;mibextid=ZbWKwL</t>
  </si>
  <si>
    <t>Dương Thị Hạnh</t>
  </si>
  <si>
    <t>28C, 365 Phố Vọng, Đồng Tâm, Hai Bà Trưng, Hà Nội</t>
  </si>
  <si>
    <t>Đỗ Anh Quân</t>
  </si>
  <si>
    <t>Ngõ 62, Nhân Trai, Đông Lỗ, Ứng Hòa, Hà Nội</t>
  </si>
  <si>
    <t>VIP116 bảo lưu b13</t>
  </si>
  <si>
    <t>Bùi Hải Lý</t>
  </si>
  <si>
    <t>8/17/167 Phương Mai, Phương Mai, Đống Đa, Hà Nội</t>
  </si>
  <si>
    <t>số 97 Trần Quốc Hoàn , Dịch Vọng Hậu, Cầu Giấy</t>
  </si>
  <si>
    <t>196 Phú Diễn Bắc Từ Liêm</t>
  </si>
  <si>
    <t>44 ngõ 23 xuân la</t>
  </si>
  <si>
    <t>Đoàn Thị Hương Lan</t>
  </si>
  <si>
    <t xml:space="preserve">132 ngõ 13 ,Khuất Duy Tiến, Thanh Xuân Bắc, Thanh Xuân, Hà Nội
</t>
  </si>
  <si>
    <t>VIP156</t>
  </si>
  <si>
    <r>
      <rPr>
        <sz val="12"/>
        <color theme="1"/>
        <rFont val="Times New Roman"/>
        <family val="1"/>
      </rPr>
      <t xml:space="preserve">Mai Thu Huyền 0916946860 </t>
    </r>
    <r>
      <rPr>
        <sz val="12"/>
        <color rgb="FFFF0000"/>
        <rFont val="Times New Roman"/>
        <family val="1"/>
      </rPr>
      <t>- Đã nộp 300K 29/03/2025
VIP116 bảo lưu b1. Học VIP156 b1</t>
    </r>
  </si>
  <si>
    <t>Số 4 ngõ 23,Phố Nhật Tảo,Phường Đông Ngạc,Quận Bắc Từ Liêm</t>
  </si>
  <si>
    <t>kí túc xá học viện báo chí và tuyên truyền-89 nguyễn phong sắc-dịch vọng hậu- cầu giấy -HN</t>
  </si>
  <si>
    <t>Phùng Thị Phương Thảo</t>
  </si>
  <si>
    <t>Triệu Ngọc Hân</t>
  </si>
  <si>
    <t>số 78 đường văn vỉ phường chi lăng tp lạng sơn tỉnh lạng sơn</t>
  </si>
  <si>
    <t>https://www.facebook.com/phuongoanhng05?mibextid=LQQJ4d</t>
  </si>
  <si>
    <t xml:space="preserve">9 nguyễn khánh toàn, quan hoa cầu giấy Hà Nội </t>
  </si>
  <si>
    <t>T312</t>
  </si>
  <si>
    <r>
      <rPr>
        <sz val="12"/>
        <color theme="1"/>
        <rFont val="Times New Roman"/>
        <family val="1"/>
      </rPr>
      <t xml:space="preserve">Nguyễn Minh Đức </t>
    </r>
    <r>
      <rPr>
        <sz val="12"/>
        <color rgb="FFFF0000"/>
        <rFont val="Times New Roman"/>
        <family val="1"/>
      </rPr>
      <t>- T258 - 338492557 số mẹ</t>
    </r>
  </si>
  <si>
    <t>T280</t>
  </si>
  <si>
    <r>
      <rPr>
        <sz val="12"/>
        <color theme="1"/>
        <rFont val="Times New Roman"/>
        <family val="1"/>
      </rPr>
      <t xml:space="preserve"> Nguyễn Anh Thư </t>
    </r>
    <r>
      <rPr>
        <sz val="12"/>
        <color rgb="FFFF0000"/>
        <rFont val="Times New Roman"/>
        <family val="1"/>
      </rPr>
      <t>- Đã nộp 300K 26/12/24</t>
    </r>
    <r>
      <rPr>
        <sz val="12"/>
        <color theme="1"/>
        <rFont val="Times New Roman"/>
        <family val="1"/>
      </rPr>
      <t xml:space="preserve">
</t>
    </r>
    <r>
      <rPr>
        <sz val="12"/>
        <color rgb="FFFF0000"/>
        <rFont val="Times New Roman"/>
        <family val="1"/>
      </rPr>
      <t>T258 bảo lưu b6 đi quân sự. Học T280 b1</t>
    </r>
  </si>
  <si>
    <t>1549/16/9A Huỳnh Tấn Phát, Phú Mỹ, Quận 7, TP HCM</t>
  </si>
  <si>
    <t>https://www.facebook.com/phianhthu2006?mibextid=LQQJ4d</t>
  </si>
  <si>
    <t>Phí Thị Anh Thư</t>
  </si>
  <si>
    <t>phianhthu2006@gmail.com</t>
  </si>
  <si>
    <t>15 ngõ 152 Quyết Thắng - Yên Nghĩa - Hà Đông</t>
  </si>
  <si>
    <t>28/08/2024 và 03/09/2024</t>
  </si>
  <si>
    <t>23/10/2024 và 25/10/2024</t>
  </si>
  <si>
    <t>https://drive.google.com/open?id=1ae5v22a4XqXJYJEwX2xkb5PVhecHrlJ2; https://drive.google.com/open?id=1ai8QWv4BdXQ-I7RPie173dbK4msMBcxd; https://drive.google.com/open?id=1_r6rx2cyKwT5300z_huFIT6-QcaY6KdK, https://drive.google.com/open?id=11ppoVDgqOsitc9P8oEvebHH-2xR4juWC</t>
  </si>
  <si>
    <t>Ngô Phương Linh</t>
  </si>
  <si>
    <t>SN 6, Ngõ 41, đường Ngô Gia Tự ,Tổ 3, phường Lê Hồng Phong, Phủ Lý Hà Nam</t>
  </si>
  <si>
    <t>Ngô Gia Bảo</t>
  </si>
  <si>
    <t>Cổng phụ phenkiaa Yên Nghĩa, Hà Đông, Hà Nội</t>
  </si>
  <si>
    <t>T260</t>
  </si>
  <si>
    <t>Trần Quỳnh Anh</t>
  </si>
  <si>
    <t>SA3 Vinhomes Smart City, Tây Mỗ, Nam Từ Liê, Hà Nội</t>
  </si>
  <si>
    <t>Đường Mạc Đĩnh Chi, Khu phố Tân Hòa, Phường Đông Hòa, Thành phố Dĩ An, Tỉnh Bình Dương ( ktx khu B đhqg TPHCM)</t>
  </si>
  <si>
    <t>Hoàng Quỳnh Ngân</t>
  </si>
  <si>
    <t>Trần Văn Đức</t>
  </si>
  <si>
    <t>U3-L11 khu đô thị Đô Nghĩa Yên Nghĩa Hà Đông</t>
  </si>
  <si>
    <t>Kiều Thị Hà Anh</t>
  </si>
  <si>
    <t>Nhà số 3, BT9, KĐT HUD Vân Canh, xã Vân Canh, huyện Hoài Đức, Hà Nội</t>
  </si>
  <si>
    <t xml:space="preserve">https://www.facebook.com/hoangthien.01556        </t>
  </si>
  <si>
    <t>Trần Mạnh Cường</t>
  </si>
  <si>
    <t>Số 67 Lê Thanh Nghị , phường Đồng Tâm, Quận Hai Bà Trưng , Hà Nội</t>
  </si>
  <si>
    <t>Nguyễn Thị Quỳnh Như</t>
  </si>
  <si>
    <t>69/36 Lý Thái Tổ, Thạc Gián, Thanh Khê, Đà Nẵng</t>
  </si>
  <si>
    <t>https://www.facebook.com/profile.php?id=100036441483655</t>
  </si>
  <si>
    <t>Đào Minh Hiếu</t>
  </si>
  <si>
    <t>Khu Chung cư number one số 1 lk 36 Hoài Đức Vân Canh</t>
  </si>
  <si>
    <t>29/07/2024 và 28/10/2024</t>
  </si>
  <si>
    <t>https://drive.google.com/open?id=1BnyrqcEGS0xXNLwiy7T8bcP1gMS2tGdB; https://drive.google.com/open?id=1KdvW3csFc3hbKgkNEk3DaOkxvzSliQU6</t>
  </si>
  <si>
    <t>T261</t>
  </si>
  <si>
    <t>Đinh Đức Bảo Duy</t>
  </si>
  <si>
    <t>Lê Thị Khánh Linh</t>
  </si>
  <si>
    <t>số nhà 6, ngách 45/218 Lĩnh Nam, Hoàng Mai, Hà Nội</t>
  </si>
  <si>
    <r>
      <rPr>
        <sz val="12"/>
        <color theme="1"/>
        <rFont val="Times New Roman"/>
        <family val="1"/>
      </rPr>
      <t xml:space="preserve">Phạm Việt Anh </t>
    </r>
    <r>
      <rPr>
        <sz val="12"/>
        <color rgb="FFFF0000"/>
        <rFont val="Times New Roman"/>
        <family val="1"/>
      </rPr>
      <t>- Đã nộp 300K 17/02/2025</t>
    </r>
    <r>
      <rPr>
        <sz val="12"/>
        <color theme="1"/>
        <rFont val="Times New Roman"/>
        <family val="1"/>
      </rPr>
      <t xml:space="preserve">
</t>
    </r>
    <r>
      <rPr>
        <sz val="12"/>
        <color rgb="FFFF0000"/>
        <rFont val="Times New Roman"/>
        <family val="1"/>
      </rPr>
      <t>T261 bảo lưu b13 đi quân sự. Học T283 b10</t>
    </r>
  </si>
  <si>
    <t>Trần Tuấn Dũng</t>
  </si>
  <si>
    <t>https://www.facebook.com/ngoc.hong.1117?mibextid=ZbWKwL</t>
  </si>
  <si>
    <t>Hoàng Hồng Ngọc</t>
  </si>
  <si>
    <t>hoanghongngoc17012006@gmail.com</t>
  </si>
  <si>
    <t>X1 Hạ Đình, Nguyễn Xiển, Thanh Xuân, Hà Nội</t>
  </si>
  <si>
    <t>https://drive.google.com/open?id=1mHUYW1VwbkO6c156U6hAmJzyjnl5JSL9; https://drive.google.com/open?id=13LFrnkXUj2pkBew0lakYtD-lfdDacSxJ</t>
  </si>
  <si>
    <t>T262</t>
  </si>
  <si>
    <t>https://www.facebook.com/quynhuong.ahg?mibextid=LQQJ4d</t>
  </si>
  <si>
    <t>Tạ Quỳnh Hương</t>
  </si>
  <si>
    <t>quynhhuong07806@gmail.com</t>
  </si>
  <si>
    <t>số 22 ngách 44/64 Trần Thái Tông, Dịch Vọng Hậu, Cầu Giấy, Hà Nội</t>
  </si>
  <si>
    <t>21/08/2024 và 22/08/2024</t>
  </si>
  <si>
    <t>https://drive.google.com/open?id=14mXkX860nK1rhWL_itm--PYSDiOjCgyB; https://drive.google.com/open?id=1LUpgJ9gMoP-b0tnm-JrX3TTdMGouP1wT; https://drive.google.com/open?id=10DDz-P3wu7TpFFErHoS2uVn240FM_Gb6</t>
  </si>
  <si>
    <t>https://www.facebook.com/huuquyen.le.77?mibextid=LQQJ4d</t>
  </si>
  <si>
    <t>Lê Hữu Quyền</t>
  </si>
  <si>
    <t>lehuuquyen206@gmail.com</t>
  </si>
  <si>
    <t>Thôn Thượng Đình, Xã Nhị Khê, Huyện Thường Tín, to Hà Nội</t>
  </si>
  <si>
    <t>https://drive.google.com/open?id=1hhUeSNhQOgxfV8Xl23dtiqNsMwpkh-Wn; https://drive.google.com/open?id=19tZV9BrxC_BKkvSx7IkJTEJjbd81IwLG</t>
  </si>
  <si>
    <t>T287</t>
  </si>
  <si>
    <r>
      <rPr>
        <sz val="12"/>
        <color theme="1"/>
        <rFont val="Times New Roman"/>
        <family val="1"/>
      </rPr>
      <t xml:space="preserve">Nguyễn Minh Phương </t>
    </r>
    <r>
      <rPr>
        <sz val="12"/>
        <color rgb="FFFF0000"/>
        <rFont val="Times New Roman"/>
        <family val="1"/>
      </rPr>
      <t>- đã nộp 300K 01/04/2025.
T262 bảo lưu b20 đi quân sự. Học T287 b16</t>
    </r>
  </si>
  <si>
    <t>Số 23A ngõ 1/62/24 đường Bùi Xương Trạch, Khương Trung, Thanh Xuân, Hà Nội</t>
  </si>
  <si>
    <t>T300</t>
  </si>
  <si>
    <r>
      <rPr>
        <sz val="12"/>
        <color theme="1"/>
        <rFont val="Times New Roman"/>
        <family val="1"/>
      </rPr>
      <t xml:space="preserve">Nguyễn Anh Phương </t>
    </r>
    <r>
      <rPr>
        <sz val="12"/>
        <color rgb="FFFF0000"/>
        <rFont val="Times New Roman"/>
        <family val="1"/>
      </rPr>
      <t>- Phương KuBinn. Đã nộp 300K 14/03/25
T262 bảo lưu b10. Học T300 buổi 1. Đã nộp 100K mua sách 14/03/25</t>
    </r>
  </si>
  <si>
    <t>Chợ Vũ Thương, Phố Vũ Thượng, Phường Ái Quốc, TP.Hải Dương</t>
  </si>
  <si>
    <t>09/11/2024 sách cũ</t>
  </si>
  <si>
    <t>113 Hồ Văn Tư, Trường Thọ, Thủ Đức, Hồ Chí Minh</t>
  </si>
  <si>
    <t>OT35</t>
  </si>
  <si>
    <t>https://www.facebook.com/anhpahm.1203?mibextid=LQQJ4d</t>
  </si>
  <si>
    <r>
      <rPr>
        <sz val="12"/>
        <color theme="1"/>
        <rFont val="Times New Roman"/>
        <family val="1"/>
      </rPr>
      <t>Phạm Đức Ánh</t>
    </r>
    <r>
      <rPr>
        <sz val="12"/>
        <color rgb="FFFF0000"/>
        <rFont val="Times New Roman"/>
        <family val="1"/>
      </rPr>
      <t xml:space="preserve"> - Dick Wssgxbulul</t>
    </r>
  </si>
  <si>
    <t>01/09/2024 và 15/09/2024</t>
  </si>
  <si>
    <t>https://drive.google.com/open?id=1WfgxDoVl85kyKp8CwxhOStJZ7T_m-4W7; https://drive.google.com/open?id=1xt1SKeqiXg11_NubKKQym_WMDmW0Qh4N; https://drive.google.com/open?id=1p4YqTuHsE59n_M2M2L40jEsqruGvcRzb</t>
  </si>
  <si>
    <t>Văn Trọng Hải</t>
  </si>
  <si>
    <t>https://www.facebook.com/vanluon.duong.777?mibextid=LQQJ4d</t>
  </si>
  <si>
    <t xml:space="preserve">Lê Hoàng Dương </t>
  </si>
  <si>
    <t>01/09/2024 và 12/09/2024</t>
  </si>
  <si>
    <t>https://drive.google.com/open?id=13yUOpssyIzOC9QS33Cnm0Q-dHdfmlJa0; https://drive.google.com/open?id=1n5UfSWkgcz8gQJd4Z6b-woEm3XzfpniM; https://drive.google.com/open?id=1qUA80ZictRRJw07wz0drkO_T6s7uU_Jl</t>
  </si>
  <si>
    <r>
      <rPr>
        <sz val="12"/>
        <color theme="1"/>
        <rFont val="Times New Roman"/>
        <family val="1"/>
      </rPr>
      <t>Dương Tuấn Tú</t>
    </r>
    <r>
      <rPr>
        <sz val="12"/>
        <color rgb="FFFF0000"/>
        <rFont val="Times New Roman"/>
        <family val="1"/>
      </rPr>
      <t xml:space="preserve"> - OT35</t>
    </r>
  </si>
  <si>
    <t>https://www.facebook.com/phuonggggggggg2006?mibextid=LQQJ4d</t>
  </si>
  <si>
    <r>
      <rPr>
        <sz val="12"/>
        <color theme="1"/>
        <rFont val="Times New Roman"/>
        <family val="1"/>
      </rPr>
      <t xml:space="preserve">Lê Thị Phương </t>
    </r>
    <r>
      <rPr>
        <sz val="12"/>
        <color rgb="FFFF0000"/>
        <rFont val="Times New Roman"/>
        <family val="1"/>
      </rPr>
      <t>- OT35</t>
    </r>
  </si>
  <si>
    <t>Thạch Đồng-Thanh Thuỷ - Phú Thọ</t>
  </si>
  <si>
    <t>20/08/2024 và 18/09/2024</t>
  </si>
  <si>
    <t>https://drive.google.com/open?id=1NUKBr12z7OicHSP4Q8UagvtMeGJvs4Ut; https://drive.google.com/open?id=1Aq365NHcToI_cZRTNeJbP0_PO0lVXsaY; https://drive.google.com/open?id=1eMVE_2_XQTMElj64vO3Z0JFGiqwB8VHU</t>
  </si>
  <si>
    <t>https://www.facebook.com/profile.php?id=100037272410855&amp;mibextid=LQQJ4d</t>
  </si>
  <si>
    <r>
      <rPr>
        <sz val="12"/>
        <color theme="1"/>
        <rFont val="Times New Roman"/>
        <family val="1"/>
      </rPr>
      <t xml:space="preserve">Bùi Hoàng Nam </t>
    </r>
    <r>
      <rPr>
        <sz val="12"/>
        <color rgb="FFFF0000"/>
        <rFont val="Times New Roman"/>
        <family val="1"/>
      </rPr>
      <t>- OT35</t>
    </r>
  </si>
  <si>
    <t>20/08/2024 và 16/09/2024</t>
  </si>
  <si>
    <t>https://drive.google.com/open?id=1sgEJ_npmnljdVK0ZPtgn18v6QG8NbIlu; https://drive.google.com/open?id=1hX7crcla9Ph8vDkAzJtoMxiXxFxUO7ID; https://drive.google.com/open?id=1sgtOWg77AkfJG_0T2N4Ph-m34b0YFrmZ</t>
  </si>
  <si>
    <t>https://www.facebook.com/profile.php?id=100044376366230&amp;locale=vi_VN</t>
  </si>
  <si>
    <t>Vũ Minh Đức</t>
  </si>
  <si>
    <t>01/09/2024 và 23/09/2024</t>
  </si>
  <si>
    <t>https://drive.google.com/open?id=196qPXbpxRR5fxfbGmNWUWpTirF9Iw4Oa; https://drive.google.com/open?id=1IGBEQh60UQ5Gdu6IC3s0XyV7Tg6eOzW6; https://drive.google.com/open?id=1IiKPxcA5oRceRNqD1B0eACMva8Z7e7W6</t>
  </si>
  <si>
    <r>
      <rPr>
        <sz val="12"/>
        <color theme="1"/>
        <rFont val="Times New Roman"/>
        <family val="1"/>
      </rPr>
      <t xml:space="preserve">Nguyễn Thị Ngọc Anh </t>
    </r>
    <r>
      <rPr>
        <sz val="12"/>
        <color rgb="FFFF0000"/>
        <rFont val="Times New Roman"/>
        <family val="1"/>
      </rPr>
      <t xml:space="preserve">- nick Cẩm Tần </t>
    </r>
    <r>
      <rPr>
        <sz val="12"/>
        <color theme="1"/>
        <rFont val="Times New Roman"/>
        <family val="1"/>
      </rPr>
      <t>- OT35</t>
    </r>
  </si>
  <si>
    <t>Trần Thị Ánh Phương</t>
  </si>
  <si>
    <t>41/1160, đường Láng, Láng Thượng, Đống Đa, Hà Nội</t>
  </si>
  <si>
    <t>Lê Thu Hồng</t>
  </si>
  <si>
    <t>yên nghĩa hà đông hà nội , cổng phụ phenikaa</t>
  </si>
  <si>
    <t xml:space="preserve">Nhà 36 ngõ 25/43 Vũ Ngọc Phan - Đống Đa - Hà Nội </t>
  </si>
  <si>
    <t>Số 17 ngõ 68/53/9 , Quan Hoa, Cầu Giấy, Hà Nội</t>
  </si>
  <si>
    <t>T269</t>
  </si>
  <si>
    <t>https://m.facebook.com/buiquocbao19?mibextid=LQQJ4d</t>
  </si>
  <si>
    <r>
      <rPr>
        <sz val="12"/>
        <color theme="1"/>
        <rFont val="Times New Roman"/>
        <family val="1"/>
      </rPr>
      <t xml:space="preserve">Bùi Quốc Bảo </t>
    </r>
    <r>
      <rPr>
        <sz val="12"/>
        <color rgb="FFFF0000"/>
        <rFont val="Times New Roman"/>
        <family val="1"/>
      </rPr>
      <t>- OT35, đã nộp 300K 15/12/2024
OT38 baỏ lưu b10. Học T269 buổi 7</t>
    </r>
  </si>
  <si>
    <t>02/09/2024 và 18/09/2024</t>
  </si>
  <si>
    <t>https://drive.google.com/open?id=1WpGrLF_A0LvR2VEoAm3dK54JjRLAq5N6; https://drive.google.com/open?id=1Ctk2czltqtDtQHgYiG8gWJi6x8cV1KGD; https://drive.google.com/open?id=1jnNCyLCyY37MZ_PsnFfqemcZLOkhx-E7, https://drive.google.com/open?id=1buBigbKi5LGtmVggtGoC1DFKai7e0CGz</t>
  </si>
  <si>
    <t>https://www.facebook.com/aduanhpham?mibextid=ZbWKwL</t>
  </si>
  <si>
    <r>
      <rPr>
        <sz val="12"/>
        <color theme="1"/>
        <rFont val="Times New Roman"/>
        <family val="1"/>
      </rPr>
      <t xml:space="preserve"> Phạm Tuấn Anh</t>
    </r>
    <r>
      <rPr>
        <sz val="12"/>
        <color rgb="FFFF0000"/>
        <rFont val="Times New Roman"/>
        <family val="1"/>
      </rPr>
      <t xml:space="preserve"> - Anh Phạm </t>
    </r>
    <r>
      <rPr>
        <sz val="12"/>
        <color theme="1"/>
        <rFont val="Times New Roman"/>
        <family val="1"/>
      </rPr>
      <t>- OT35</t>
    </r>
  </si>
  <si>
    <t>phamtuananh12345hg@gmail.com</t>
  </si>
  <si>
    <t>Tiến Bộ - Yên Sơn - Tuyên Quang</t>
  </si>
  <si>
    <t>https://drive.google.com/open?id=19sjjUSnGH558_lqXJpA_5g_NeAbioCrA; https://drive.google.com/open?id=1eBTeU8l1IagGJfSnHlntedH6oRUHPNl4, https://drive.google.com/open?id=1qFA29Ud8YudLMWCfeeOpAuCjVpxww4dh</t>
  </si>
  <si>
    <t>https://www.facebook.com/tnnie.06?mibextid=LQQJ4d</t>
  </si>
  <si>
    <r>
      <rPr>
        <sz val="12"/>
        <color theme="1"/>
        <rFont val="Times New Roman"/>
        <family val="1"/>
      </rPr>
      <t xml:space="preserve">Trần Trọng Trung </t>
    </r>
    <r>
      <rPr>
        <sz val="12"/>
        <color rgb="FFFF0000"/>
        <rFont val="Times New Roman"/>
        <family val="1"/>
      </rPr>
      <t>- OT35</t>
    </r>
  </si>
  <si>
    <t>https://drive.google.com/open?id=1N2d6-dvP1j8AcB2cvkriG9Sh0kqVune9; https://drive.google.com/open?id=1SYr4G79hcnZZPwPdDx4dFiOZt_iuh_ga</t>
  </si>
  <si>
    <t>OPT51</t>
  </si>
  <si>
    <t>https://www.facebook.com/profile.php?id=100012624180483&amp;mibextid=LQQJ4d</t>
  </si>
  <si>
    <r>
      <rPr>
        <sz val="12"/>
        <color theme="1"/>
        <rFont val="Times New Roman"/>
        <family val="1"/>
      </rPr>
      <t xml:space="preserve">Nguyễn Khánh Linh </t>
    </r>
    <r>
      <rPr>
        <sz val="12"/>
        <color rgb="FFFF0000"/>
        <rFont val="Times New Roman"/>
        <family val="1"/>
      </rPr>
      <t xml:space="preserve">- nhận học
</t>
    </r>
    <r>
      <rPr>
        <sz val="12"/>
        <color theme="1"/>
        <rFont val="Times New Roman"/>
        <family val="1"/>
      </rPr>
      <t>Nguyễn Hồng Trang 866793316</t>
    </r>
    <r>
      <rPr>
        <sz val="12"/>
        <color rgb="FFFF0000"/>
        <rFont val="Times New Roman"/>
        <family val="1"/>
      </rPr>
      <t xml:space="preserve"> - chuyển nhượng</t>
    </r>
  </si>
  <si>
    <t>https://drive.google.com/open?id=1s2X3VTGpKjUd-e562_seYfLFawGqxNVS</t>
  </si>
  <si>
    <t>Nga nói lên form nhầm bạn này sang bạn kia</t>
  </si>
  <si>
    <t>Nhà số 7, ngõ 14, đường Nhuệ Giang, Tân Hội, Đan Phượng, Hà Nội</t>
  </si>
  <si>
    <t>số 3, ngõ 42, Trần Bình, Mai Dịch, Hà Nội</t>
  </si>
  <si>
    <t xml:space="preserve"> số 1 ngõ 34, đường An Hạ 3, An Thượng huyện Hoài Đức Hà Nội</t>
  </si>
  <si>
    <t>Nguyễn Như Bình</t>
  </si>
  <si>
    <t>số nhà 450 thôn sáp mai - xã võng la - huyện đông anh - thành phố hà nội</t>
  </si>
  <si>
    <t>https://www.facebook.com/profile.php?id=100040608488575&amp;mibextid=LQQJ4d</t>
  </si>
  <si>
    <t xml:space="preserve">Đỗ Minh Hùng </t>
  </si>
  <si>
    <t>23/08/2024 và 29/08/2024</t>
  </si>
  <si>
    <t>https://drive.google.com/open?id=1RsMR_Ft9AduVVBHsIoMCCd6__hBbgzzw; https://drive.google.com/open?id=1D93d3fLSttmZ5os6zKeI76BbuBnC-PHn; https://drive.google.com/open?id=1Vz1FnDQFZIj_NF-YoP-cNRPFJKDxBoqs</t>
  </si>
  <si>
    <t>-ktx B5 Học viện Tài Chính, 56 Lê Văn Hiến, Bắc Từ Liêm, Hà Nội</t>
  </si>
  <si>
    <t>OT36</t>
  </si>
  <si>
    <t>https://www.facebook.com/profile.php?id=100029614685738&amp;mibextid=LQQJ4d</t>
  </si>
  <si>
    <t>Nguyễn Minh Anh</t>
  </si>
  <si>
    <t>vuminhanh01022005@gmail.com</t>
  </si>
  <si>
    <t>18/08/2024 và 09/09/2024</t>
  </si>
  <si>
    <t>https://drive.google.com/open?id=1vI7HYVUnEKvLPlXrivCat9RepEHn1f2G; https://drive.google.com/open?id=18X5BltmQdboo_DhnCmL4f4lDprxmcdtH; https://drive.google.com/open?id=1dO_87OVtNZAdeJhke6pVLcGnyfk_17II, https://drive.google.com/open?id=16MIsiRkGUyH9vaOcJybI-BcKZ5TU-kIk</t>
  </si>
  <si>
    <t>KO gửi. Quân có tài liệu riêng</t>
  </si>
  <si>
    <t>OT37</t>
  </si>
  <si>
    <t>https://www.facebook.com/thao.nguyenhuong.7792</t>
  </si>
  <si>
    <t>Nguyễn Đình Nhuận</t>
  </si>
  <si>
    <t>https://drive.google.com/open?id=16NYA3G3fHNgPrC-uI9y4qNXmUNfbYcbW; https://drive.google.com/open?id=15u9w8xx8DXJBNkh1ypfmZg_TDodMhw64; https://drive.google.com/open?id=1WKYenRn9aNVW3Toxus2a52yUBCikdygL</t>
  </si>
  <si>
    <t>Quân phát tài liệu</t>
  </si>
  <si>
    <t>Quân tự chuẩn bị tài liệu</t>
  </si>
  <si>
    <t>https://www.facebook.com/profile.php?id=100069839164772&amp;mibextid=LQQJ4d</t>
  </si>
  <si>
    <t>Toà HH2 Bắc Hà, số 15 Tố Hữu, Nam Từ Liêm, Hà Nội</t>
  </si>
  <si>
    <t>https://drive.google.com/open?id=1R4Fi9RW1H7Xmt7LGeI8KSHe0gOUCdAuU; https://drive.google.com/open?id=1wVUsSZQeV1sVW9uWJODrZhWuufO7v-Xn</t>
  </si>
  <si>
    <t>OT47</t>
  </si>
  <si>
    <t>https://www.facebook.com/303hmy?mibextid=LQQJ4d</t>
  </si>
  <si>
    <r>
      <rPr>
        <sz val="12"/>
        <color theme="1"/>
        <rFont val="Times New Roman"/>
        <family val="1"/>
      </rPr>
      <t xml:space="preserve">Trần Huyền My </t>
    </r>
    <r>
      <rPr>
        <sz val="12"/>
        <color rgb="FFFF0000"/>
        <rFont val="Times New Roman"/>
        <family val="1"/>
      </rPr>
      <t>- đã nộp 300K 18/11/2024
OT36 bảo lưu b3 trùng lịch T3. Học OT47 b1</t>
    </r>
  </si>
  <si>
    <t>Trung tâm Cham toeic</t>
  </si>
  <si>
    <t>24/08/2024 và 07/09/2024 và 03/10/2024</t>
  </si>
  <si>
    <t>https://drive.google.com/open?id=1lpAYCAvp7o-xaad6XTumcOJLRNzPANgi; https://drive.google.com/open?id=1L1IXyLfTEXdiobyroxEBg5mRIPVRU178; https://drive.google.com/open?id=1D12BjLlgUmxI_R8EKQwyQEJEUC-Z1xMi</t>
  </si>
  <si>
    <t>OT61</t>
  </si>
  <si>
    <t>https://web.facebook.com/nguyendat1201?mibextid=ZbWKwL&amp;_rdc=1&amp;_rdr</t>
  </si>
  <si>
    <r>
      <rPr>
        <sz val="12"/>
        <color theme="1"/>
        <rFont val="Times New Roman"/>
        <family val="1"/>
      </rPr>
      <t>Nguyễn Tiến Đạt</t>
    </r>
    <r>
      <rPr>
        <sz val="12"/>
        <color rgb="FFFF0000"/>
        <rFont val="Times New Roman"/>
        <family val="1"/>
      </rPr>
      <t xml:space="preserve"> - OT36 rút phút 80</t>
    </r>
  </si>
  <si>
    <t>số nhà 99 ngõ 75 đường giải phóng</t>
  </si>
  <si>
    <t>https://drive.google.com/open?id=1oGVzYadpxpbK9McuBhlVMlZnRV44mMkq; https://drive.google.com/open?id=1vAxwrZaEMpTRUees_V0-bTBq8oZKZFoz</t>
  </si>
  <si>
    <t>https://www.facebook.com/profile.php?id=100094545836375&amp;mibextid=LQQJ4d</t>
  </si>
  <si>
    <r>
      <rPr>
        <sz val="12"/>
        <color theme="1"/>
        <rFont val="Times New Roman"/>
        <family val="1"/>
      </rPr>
      <t xml:space="preserve">Bùi Minh Hương </t>
    </r>
    <r>
      <rPr>
        <sz val="12"/>
        <color rgb="FFFF0000"/>
        <rFont val="Times New Roman"/>
        <family val="1"/>
      </rPr>
      <t>- đã nộp 300K 15/04/25
OT36 bảo lưu b20. Học OT64 buổi 7</t>
    </r>
  </si>
  <si>
    <t>https://drive.google.com/open?id=1ALOHZRJSIqcrSMQX_tzPH3ApZAPkf2GV; https://drive.google.com/open?id=1UygD-7rk-1aZxd6kMalicEDN4IGQbp5m</t>
  </si>
  <si>
    <t>https://www.facebook.com/bmhuong.2906?mibextid=LQQJ4d</t>
  </si>
  <si>
    <t>OT36 bảo lưu b7</t>
  </si>
  <si>
    <t>https://www.facebook.com/profile.php?id=100078479951323&amp;mibextid=ZbWKwL</t>
  </si>
  <si>
    <r>
      <rPr>
        <sz val="12"/>
        <color theme="1"/>
        <rFont val="Times New Roman"/>
        <family val="1"/>
      </rPr>
      <t>Trần Thị Ngọc Dung</t>
    </r>
    <r>
      <rPr>
        <sz val="12"/>
        <color rgb="FFFF0000"/>
        <rFont val="Times New Roman"/>
        <family val="1"/>
      </rPr>
      <t xml:space="preserve"> - đã nộp 300K 05/12/24</t>
    </r>
  </si>
  <si>
    <t>https://drive.google.com/open?id=1V26vapYdUm_LcTSdwXKguECRX2Ug23Jf, https://drive.google.com/open?id=1Smg0OWTY4ZsEdFbahNRBLM1JAqbpW0Jm; https://drive.google.com/open?id=1CgBT5EYuzHs9-gHT_8BjIo8fKuM_kjB5</t>
  </si>
  <si>
    <t>https://www.facebook.com/con.cuu.315213?mibextid=LQQJ4d</t>
  </si>
  <si>
    <t>15/09/2024 và 16/09/2024</t>
  </si>
  <si>
    <t>https://drive.google.com/open?id=1-S76MaTrVyIqmoHRuJtA4FiIH6iGHFvI; https://drive.google.com/open?id=1Zf_7eZNajPBXqdYVfLjFXCfr0TXOOop-; https://drive.google.com/open?id=1299bWnPgX75wOytAIhb8qgOAPHEcZufy</t>
  </si>
  <si>
    <t>https://www.facebook.com/profile.php?id=100088147969185&amp;mibextid=LQQJ4d</t>
  </si>
  <si>
    <t>Bùi Khánh Ngân</t>
  </si>
  <si>
    <t>buithingan1305@gmail.com</t>
  </si>
  <si>
    <t>tại trung tâm</t>
  </si>
  <si>
    <t>13/10/2024 và 31/10/2024</t>
  </si>
  <si>
    <t>https://drive.google.com/open?id=1AZw_idL1sEtDU0LDumNEz0wPz2HZsX9J; https://drive.google.com/open?id=1oQ2kwRQ1UIliCWD7bhLes_WMztEjM3M5; https://drive.google.com/open?id=1yAq7EUSa8pmnCiKhTbxe7vt8POoWbY93</t>
  </si>
  <si>
    <t>https://www.facebook.com/profile.php?id=100079266637088&amp;mibextid=LQQJ4d</t>
  </si>
  <si>
    <t xml:space="preserve">Bùi Thị Ngọc Phương </t>
  </si>
  <si>
    <t>xóm Bưa Cầu, xã Hùng Sơn, huyện Kim Bôi ,tỉnh Hoà Bình</t>
  </si>
  <si>
    <t>https://drive.google.com/open?id=1CkbAddwu1hgBwlC7ZEDIuOOWABxWbTFF; https://drive.google.com/open?id=1dcM0tLoeHS4wbfnR3u5dYLDaQr2GNvoi; https://drive.google.com/open?id=1Z1D3_Zy0CHyAKDllc6e97F1peumWwfoS</t>
  </si>
  <si>
    <t>T303</t>
  </si>
  <si>
    <t>https://www.facebook.com/profile.php?id=100021599711484&amp;mibextid=LQQJ4d</t>
  </si>
  <si>
    <r>
      <rPr>
        <sz val="12"/>
        <color theme="1"/>
        <rFont val="Times New Roman"/>
        <family val="1"/>
      </rPr>
      <t xml:space="preserve">Dương Minh Tâm </t>
    </r>
    <r>
      <rPr>
        <sz val="12"/>
        <color rgb="FFFF0000"/>
        <rFont val="Times New Roman"/>
        <family val="1"/>
      </rPr>
      <t>- Đã nộp 300K 24/03/2025</t>
    </r>
    <r>
      <rPr>
        <sz val="12"/>
        <color theme="1"/>
        <rFont val="Times New Roman"/>
        <family val="1"/>
      </rPr>
      <t xml:space="preserve">
</t>
    </r>
    <r>
      <rPr>
        <sz val="12"/>
        <color rgb="FFFF0000"/>
        <rFont val="Times New Roman"/>
        <family val="1"/>
      </rPr>
      <t>OT37 bảo lưu buổi 12 đi quân sự. Học T303 b1</t>
    </r>
  </si>
  <si>
    <t>https://drive.google.com/open?id=1f9kSseSBclR7tD_bUb4Zn2ncDvXyY_uO; https://drive.google.com/open?id=1eaUwFmF9A3xOArM1SbHhRPPwgnMWB4sf</t>
  </si>
  <si>
    <t>https://www.facebook.com/profile.php?id=100024006441359&amp;mibextid=LQQJ4d</t>
  </si>
  <si>
    <r>
      <rPr>
        <sz val="12"/>
        <color theme="1"/>
        <rFont val="Times New Roman"/>
        <family val="1"/>
      </rPr>
      <t>Đỗ Chung Anh</t>
    </r>
    <r>
      <rPr>
        <sz val="12"/>
        <color rgb="FFFF0000"/>
        <rFont val="Times New Roman"/>
        <family val="1"/>
      </rPr>
      <t xml:space="preserve"> - nick Chanh Bống</t>
    </r>
  </si>
  <si>
    <t xml:space="preserve">Trực tiếp </t>
  </si>
  <si>
    <t>https://drive.google.com/open?id=1BzuDiX9L_-uAqbUVmzvwvIZa6plQQEmP; ; https://drive.google.com/open?id=1LHk6Qe0YvgB6jF7gs3G5rIARec_oOjR6</t>
  </si>
  <si>
    <t>https://www.facebook.com/profile.php?id=100077506261937&amp;mibextid=LQQJ4d</t>
  </si>
  <si>
    <t>Lê Thuý Hiền</t>
  </si>
  <si>
    <t>lhien240215@gmail.com</t>
  </si>
  <si>
    <t>số nhà 10A thanh tiến thanh mỹ sơn tây hà nội</t>
  </si>
  <si>
    <t>04/07/2024 và 18/09/2024</t>
  </si>
  <si>
    <t>https://drive.google.com/open?id=1VREWOZvaoY8i1ioTCMHf2XnVZC9uaT90; https://drive.google.com/open?id=1MlnVIwrtU_QMPRjUWUfHrWkKL0wD7IXf; https://drive.google.com/open?id=1Us1dyJfN9b2pGQ1PYK1rWNlDQYWe9vTd</t>
  </si>
  <si>
    <t>https://www.facebook.com/profile.php?id=100027839644491&amp;mibextid=LQQJ4d</t>
  </si>
  <si>
    <r>
      <rPr>
        <sz val="12"/>
        <color theme="1"/>
        <rFont val="Times New Roman"/>
        <family val="1"/>
      </rPr>
      <t xml:space="preserve">Hoàng Đình Hải </t>
    </r>
    <r>
      <rPr>
        <sz val="12"/>
        <color rgb="FFFF0000"/>
        <rFont val="Times New Roman"/>
        <family val="1"/>
      </rPr>
      <t>- học lại miễn phí</t>
    </r>
  </si>
  <si>
    <t>https://drive.google.com/open?id=1yo3ogEB1j9x4RXkIrHDPB5Ff4y3nkHW5; https://drive.google.com/open?id=1_jc-feUtOXbJzXhuoGRf-xZ9FGmupz8o</t>
  </si>
  <si>
    <t>T293</t>
  </si>
  <si>
    <t>https://www.facebook.com/share/X74vXRT2bQ9mJq39/?mibextid=qi2Omg</t>
  </si>
  <si>
    <r>
      <rPr>
        <sz val="12"/>
        <color theme="1"/>
        <rFont val="Times New Roman"/>
        <family val="1"/>
      </rPr>
      <t>Nguyễn Đình Mạnh</t>
    </r>
    <r>
      <rPr>
        <sz val="12"/>
        <color rgb="FFFF0000"/>
        <rFont val="Times New Roman"/>
        <family val="1"/>
      </rPr>
      <t xml:space="preserve"> - đã nộp 300K 10/04/2025
OT37 bảo lưu buổi 12. Học T293 b13</t>
    </r>
  </si>
  <si>
    <t>https://drive.google.com/open?id=1qgcXFZx4LCv1d6Nb_MkO6oS1aw8e6v1S; https://drive.google.com/open?id=1knoZuMme5BLH7m8npEMXGBwEmb3xCXFx</t>
  </si>
  <si>
    <t>T304</t>
  </si>
  <si>
    <r>
      <rPr>
        <sz val="12"/>
        <color theme="1"/>
        <rFont val="Times New Roman"/>
        <family val="1"/>
      </rPr>
      <t xml:space="preserve">Bùi Quang Huy </t>
    </r>
    <r>
      <rPr>
        <sz val="12"/>
        <color rgb="FFFF0000"/>
        <rFont val="Times New Roman"/>
        <family val="1"/>
      </rPr>
      <t>- đã nộp 300K 25/03/2025
OT37 bảo lưu b15. Học T304 b1 miễn phí</t>
    </r>
  </si>
  <si>
    <t>https://www.facebook.com/ngocminh.tranthi.08?mibextid=LQQJ4d</t>
  </si>
  <si>
    <t>Trần Thị Ngọc Minh</t>
  </si>
  <si>
    <t>https://drive.google.com/open?id=1ngmyLFQOSxa2rqQPNlpelFZVXj9eZnmj; https://drive.google.com/open?id=1ZS-8jOFYpgWZr_YYcsatimebNOO3vNsu</t>
  </si>
  <si>
    <t>OT53</t>
  </si>
  <si>
    <t>https://www.facebook.com/ngoc.trung.2006?mibextid=ZbWKwL</t>
  </si>
  <si>
    <r>
      <rPr>
        <sz val="12"/>
        <color theme="1"/>
        <rFont val="Times New Roman"/>
        <family val="1"/>
      </rPr>
      <t xml:space="preserve">Lê Ngọc Trung </t>
    </r>
    <r>
      <rPr>
        <sz val="12"/>
        <color rgb="FFFF0000"/>
        <rFont val="Times New Roman"/>
        <family val="1"/>
      </rPr>
      <t>- đã nộp 300K 10/03/2025
OT37 bảo lưu b18 đi quân sự. Học OT53 b17</t>
    </r>
  </si>
  <si>
    <t xml:space="preserve"> trunglengoc728@gmail.com</t>
  </si>
  <si>
    <t>198 ngõ Quỳnh- Quỳnh Lôi- Hai Bà Trưng</t>
  </si>
  <si>
    <t>https://drive.google.com/open?id=18mCQRJOrfNVJ24KNV3dWtZWuSxBBvLos; https://drive.google.com/open?id=1jL7B7Win8IyklGd-StQVdQiWj9zQwXlA</t>
  </si>
  <si>
    <t>https://www.facebook.com/profile.php?id=100031813923024</t>
  </si>
  <si>
    <r>
      <rPr>
        <sz val="12"/>
        <color theme="1"/>
        <rFont val="Times New Roman"/>
        <family val="1"/>
      </rPr>
      <t>Nguyễn Thị Thuỳ Trang</t>
    </r>
    <r>
      <rPr>
        <sz val="12"/>
        <color rgb="FFFF0000"/>
        <rFont val="Times New Roman"/>
        <family val="1"/>
      </rPr>
      <t xml:space="preserve"> - đã nộp 300K 19/03/25
OT37 bảo lưu buổi 16. Học OT64 b1 miễn phí</t>
    </r>
  </si>
  <si>
    <t>nguyenthuytrang27206@icloud.com</t>
  </si>
  <si>
    <t>28/08/2024 và 09/09/2024</t>
  </si>
  <si>
    <t>https://drive.google.com/open?id=1LoWP2wJ7oo73bTtF2NCOCYLPadACsG0m, https://drive.google.com/open?id=1HIUeBQh8MU_JUSmLblZ0uCAKYI9FwrqX; https://drive.google.com/open?id=1lmdk8oQDYLMbc-9Dx5wKO6uelTNuxpe4</t>
  </si>
  <si>
    <t>Nguyễn Thị Thuỳ Linh</t>
  </si>
  <si>
    <t>số 93 ngõ 120 Nguyễn Văn Viên,Vĩnh Tuy,Hai Bà Trưng, Ha Noi</t>
  </si>
  <si>
    <t>https://www.facebook.com/profile.php?id=100094996368429&amp;mibextid=LQQJ4d</t>
  </si>
  <si>
    <t>Tưởng Thuỳ Trang</t>
  </si>
  <si>
    <t>Toà CT7F dương nội 2, yên lộ, yên nghĩa, hà đông ,hà nội</t>
  </si>
  <si>
    <t>https://drive.google.com/open?id=1GtY54TnZkeiUsuwoHLdqk-N39M39Bm27; https://drive.google.com/open?id=1IZt-ogADLgJOww2um6IdGw5ba5A7tijX</t>
  </si>
  <si>
    <r>
      <rPr>
        <sz val="12"/>
        <color theme="1"/>
        <rFont val="Times New Roman"/>
        <family val="1"/>
      </rPr>
      <t xml:space="preserve">Đỗ Mai Nhung </t>
    </r>
    <r>
      <rPr>
        <sz val="12"/>
        <color rgb="FFFF0000"/>
        <rFont val="Times New Roman"/>
        <family val="1"/>
      </rPr>
      <t>- VIP115 học viên thứ 10</t>
    </r>
  </si>
  <si>
    <t>Cụm 9, Liễu Viên, Nghiêm Xuyên Thường Tín, Hà Nội</t>
  </si>
  <si>
    <t>PT144</t>
  </si>
  <si>
    <r>
      <rPr>
        <sz val="12"/>
        <color theme="1"/>
        <rFont val="Times New Roman"/>
        <family val="1"/>
      </rPr>
      <t>Thái Hoàng Khanh</t>
    </r>
    <r>
      <rPr>
        <sz val="12"/>
        <color rgb="FFFF0000"/>
        <rFont val="Times New Roman"/>
        <family val="1"/>
      </rPr>
      <t xml:space="preserve"> - học lại nộp 50%</t>
    </r>
  </si>
  <si>
    <t>https://drive.google.com/open?id=1aes1PCFyCLY4qbTOnMFPyThRfWToxsuL</t>
  </si>
  <si>
    <t>https://www.facebook.com/binhthai.nguyen.31?mibextid=LQQJ4d</t>
  </si>
  <si>
    <t>Nguyễn Thị Thanh Bình</t>
  </si>
  <si>
    <t>thanhbinhnguyenthi0808@gmail.com</t>
  </si>
  <si>
    <t>22/08/2024 và 26/08/2024</t>
  </si>
  <si>
    <t>https://drive.google.com/open?id=1-DJSJ8yB9i1U9kxi91EYQOMggbBP6Nhh; https://drive.google.com/open?id=10L2sjtx9AqQ8uRfF7zJWBnQf34uEgyqJ; https://drive.google.com/open?id=1HznGPYnTfBW8k4Jl5YTZRlXyFkvt9GGx, https://drive.google.com/open?id=12xNxtx_ssXQU94lZ2Ft59cRE3cpvgREx</t>
  </si>
  <si>
    <t>https://www.facebook.com/doan.mai.anh.2476?mibextid=LQQJ4d</t>
  </si>
  <si>
    <t>Đoàn Mai Anh</t>
  </si>
  <si>
    <t>dmaianh2476@gmail.com</t>
  </si>
  <si>
    <t>https://drive.google.com/open?id=1Rh6xVC5KEM3lu85t1wv_9s7sV1j5Ki-9; https://drive.google.com/open?id=1gWQjXvxbdXXLMc-ajYsz5-Rx2UpiUEGW</t>
  </si>
  <si>
    <t>https://www.facebook.com/profile.php?id=100072542288600</t>
  </si>
  <si>
    <t>Trần Thị Hà My</t>
  </si>
  <si>
    <t>myha69395@gmail.com</t>
  </si>
  <si>
    <t xml:space="preserve">nhà 56,ngõ 250 Kim Giang , Hoàng Mai </t>
  </si>
  <si>
    <t>14/09/2024 và 27/10/2024</t>
  </si>
  <si>
    <t>https://drive.google.com/open?id=1mRmFgpMkv87YbgVpLJ5JYRDPciLBio_a; https://drive.google.com/open?id=14csEij0NBxG2tYT004FHh_Ew8cmvKHv6; https://drive.google.com/open?id=1u_-oerOXdmr93kXHSki-zgo71-ZWJRqd</t>
  </si>
  <si>
    <t>OT39</t>
  </si>
  <si>
    <t>Đỗ Đức Vinh</t>
  </si>
  <si>
    <r>
      <rPr>
        <sz val="12"/>
        <color theme="1"/>
        <rFont val="Times New Roman"/>
        <family val="1"/>
      </rPr>
      <t xml:space="preserve">Nguyễn Văn Toàn </t>
    </r>
    <r>
      <rPr>
        <sz val="12"/>
        <color rgb="FFFF0000"/>
        <rFont val="Times New Roman"/>
        <family val="1"/>
      </rPr>
      <t>- đã chuyển nhượng VIP 11/02/25</t>
    </r>
    <r>
      <rPr>
        <sz val="12"/>
        <color theme="1"/>
        <rFont val="Times New Roman"/>
        <family val="1"/>
      </rPr>
      <t xml:space="preserve">
</t>
    </r>
    <r>
      <rPr>
        <sz val="12"/>
        <color rgb="FFFF0000"/>
        <rFont val="Times New Roman"/>
        <family val="1"/>
      </rPr>
      <t xml:space="preserve">OT39 học off b12. Học T269 buổi 10. </t>
    </r>
    <r>
      <rPr>
        <sz val="12"/>
        <color theme="1"/>
        <rFont val="Times New Roman"/>
        <family val="1"/>
      </rPr>
      <t>đổi lớp miễn phí</t>
    </r>
  </si>
  <si>
    <t>OT39 bảo lưu b18</t>
  </si>
  <si>
    <r>
      <rPr>
        <sz val="12"/>
        <color theme="1"/>
        <rFont val="Times New Roman"/>
        <family val="1"/>
      </rPr>
      <t xml:space="preserve">Nguyễn Phương Anh </t>
    </r>
    <r>
      <rPr>
        <sz val="12"/>
        <color rgb="FFFF0000"/>
        <rFont val="Times New Roman"/>
        <family val="1"/>
      </rPr>
      <t>- đã nộp 300K 10/03/25
OT39 bảo lưu b18 đi quân sự. Học OT53 b18</t>
    </r>
  </si>
  <si>
    <t>https://www.facebook.com/profile.php?id=61553525664066&amp;mibextid=LQQJ4d</t>
  </si>
  <si>
    <t>Nguyễn Tuệ Minh</t>
  </si>
  <si>
    <t>https://www.facebook.com/profile.php?id=100069943934078</t>
  </si>
  <si>
    <t>Hoàng Lệ Duyên</t>
  </si>
  <si>
    <t>hoangleduyen2005@gmail.com</t>
  </si>
  <si>
    <t>số 22 - ngách 3 - ngõ 9 - tổ 7 - Huyền kỳ - phú lãm - hà đông - hà nội</t>
  </si>
  <si>
    <t>https://drive.google.com/open?id=1COnONy9TWgkEL6oGDzErC7Rj7mZp4a6j; https://drive.google.com/open?id=1ybIG_hAaoI4aMJWAAhCYVNqaP6OINE9p</t>
  </si>
  <si>
    <t>Lê Hà Dương</t>
  </si>
  <si>
    <t>Số nhà 8c, ngách 56 ngõ 79 đường Cầu Giấy, phường Yên Hòa, TP. Hà Nội</t>
  </si>
  <si>
    <t>Vũ Thị Quỳnh Trang</t>
  </si>
  <si>
    <t>số 35, 167 ngõ 521 Trương Định, Hoàng Mai, Hà Nội</t>
  </si>
  <si>
    <t>Triệu Thế Tiệp</t>
  </si>
  <si>
    <t>Ktx Đh Công Nghiệp Việt Hung, Hữu Nghị, Xuân Khanh,  Sơn Tây, Hà Nội</t>
  </si>
  <si>
    <t>https://www.facebook.com/profile.php?id=100064545711396&amp;mibextid=LQQJ4d</t>
  </si>
  <si>
    <t>Trần Thị Bình Minh</t>
  </si>
  <si>
    <t xml:space="preserve"> xóm Cát Phong, thị trấn Cát Thành, huyện Trực Ninh, tỉnh Nam Định</t>
  </si>
  <si>
    <r>
      <rPr>
        <sz val="12"/>
        <rFont val="Times New Roman"/>
        <family val="1"/>
      </rPr>
      <t xml:space="preserve">https://drive.google.com/open?id=1AGtxs5NW-TJWBKvJnDJpwNRaYDVMkhBi, https://drive.google.com/open?id=144grtivWg6rabnPV2YA7GaryuT5hXTMu; </t>
    </r>
    <r>
      <rPr>
        <u/>
        <sz val="12"/>
        <color rgb="FF1155CC"/>
        <rFont val="Times New Roman"/>
        <family val="1"/>
      </rPr>
      <t>https://drive.google.com/open?id=1bBnBmvChZ27oE2rAwro6CUZu3zXd5c-m</t>
    </r>
  </si>
  <si>
    <t>Sách gửi Thắng</t>
  </si>
  <si>
    <t>OT40</t>
  </si>
  <si>
    <t>https://www.facebook.com/profile.php?id=100054867307518&amp;mibextid=LQQJ4d</t>
  </si>
  <si>
    <t>ngoc12kook09@gmail.com</t>
  </si>
  <si>
    <t>04/09/2024 và 10/09/2024</t>
  </si>
  <si>
    <t>https://drive.google.com/open?id=1jKwQJ_-bcWcyaRDC0iRIWy6FjG6zD7Ma; https://drive.google.com/open?id=1MOer4x0fD6VTSEQTd31u9lXELOgWm6ko; https://drive.google.com/open?id=1Y5w_kAQFt4Ku-K2h6x_JoU8YQSmAXT-P</t>
  </si>
  <si>
    <t>https://www.facebook.com/desquaos.banscuas?mibextid=LQQJ4d</t>
  </si>
  <si>
    <t xml:space="preserve">Nguyễn Ngọc Trâm </t>
  </si>
  <si>
    <t>https://drive.google.com/open?id=1zKeRROIIHFZbJSM8dQwj6HmDy2ay_gpa; https://drive.google.com/open?id=1A8zTS1Z6pzEjel_DRsHqhLfsB0shVPUu</t>
  </si>
  <si>
    <t>OT41 bảo lưu b19</t>
  </si>
  <si>
    <t>Trịnh Lan Anh</t>
  </si>
  <si>
    <t>T268</t>
  </si>
  <si>
    <r>
      <rPr>
        <sz val="12"/>
        <color theme="1"/>
        <rFont val="Times New Roman"/>
        <family val="1"/>
      </rPr>
      <t xml:space="preserve">Phan Thu Hà </t>
    </r>
    <r>
      <rPr>
        <sz val="12"/>
        <color rgb="FFFF0000"/>
        <rFont val="Times New Roman"/>
        <family val="1"/>
      </rPr>
      <t>- Đã nộp 300K 25/02/25
OT41 bảo lưu b22. Học T268 b22. Lý do mưa ko học OFF</t>
    </r>
  </si>
  <si>
    <r>
      <rPr>
        <sz val="12"/>
        <color theme="1"/>
        <rFont val="Times New Roman"/>
        <family val="1"/>
      </rPr>
      <t xml:space="preserve">Nguyễn Thị Kim Chi </t>
    </r>
    <r>
      <rPr>
        <sz val="12"/>
        <color rgb="FFFF0000"/>
        <rFont val="Times New Roman"/>
        <family val="1"/>
      </rPr>
      <t>- Đã nộp 300K 06/01/25
OT41 bảo lưu b13 về quê. Học T270 b11</t>
    </r>
  </si>
  <si>
    <t>https://www.facebook.com/profile.php?id=100084530147718&amp;mibextid=LQQJ4d</t>
  </si>
  <si>
    <t>Nguyễn Công Hiệp</t>
  </si>
  <si>
    <t>Số 19, ngõ 39, Hồ Tùng Mậu, Mai Dịch, Hà Nội</t>
  </si>
  <si>
    <t>https://drive.google.com/open?id=11kpVtULpnrT5KZZSfkgz_61TgUkHNJwY; https://drive.google.com/open?id=1RNAEqqMVo5exjQNVGYyt4eyQgIb7mjpz</t>
  </si>
  <si>
    <r>
      <rPr>
        <sz val="12"/>
        <color theme="1"/>
        <rFont val="Times New Roman"/>
        <family val="1"/>
      </rPr>
      <t xml:space="preserve">Nguyễn Thị Thuý </t>
    </r>
    <r>
      <rPr>
        <sz val="12"/>
        <color rgb="FFFF0000"/>
        <rFont val="Times New Roman"/>
        <family val="1"/>
      </rPr>
      <t>- đã nộp 400K bảo lưu, mua sách
OT40 bảo lưu b14 đi quân sự. Học OT64 b1</t>
    </r>
  </si>
  <si>
    <t>11/11/2024 sách cũ</t>
  </si>
  <si>
    <t>https://www.facebook.com/profile.php?id=100054902799261</t>
  </si>
  <si>
    <t>Tạ Ngọc Dương</t>
  </si>
  <si>
    <t>duongta2107@gmail.com</t>
  </si>
  <si>
    <t>https://drive.google.com/open?id=1ru2nPmT5jHFRqWgObVFTrsdlaxv-Hl77; https://drive.google.com/open?id=1BBDZSLeuBAqfKmjAu7ukTSjTewvvkqRn; https://drive.google.com/open?id=1zd_3rlS6B5jpYIM-eEUz-9vTe1QbR5JR</t>
  </si>
  <si>
    <t>https://www.facebook.com/thanhtung.260163?mibextid=ZbWKwL</t>
  </si>
  <si>
    <t>Hoàng Thanh Tùng</t>
  </si>
  <si>
    <t>thanhtung632006@gmail.com</t>
  </si>
  <si>
    <t>https://drive.google.com/open?id=1lumUEqqZJBitT-B0nlMkPq9GkBuP7ssV; https://drive.google.com/open?id=15ggIhUlI2TlZLXOLpX5YFQaNUmKwMnmW; https://drive.google.com/open?id=19aeRLvJF1GJSQ5FOp5MgzSoLXwV6He98</t>
  </si>
  <si>
    <t>T317</t>
  </si>
  <si>
    <t>https://www.facebook.com/profile.php?id=100088205870410&amp;mibextid=LQQJ4d</t>
  </si>
  <si>
    <r>
      <rPr>
        <sz val="12"/>
        <color theme="1"/>
        <rFont val="Times New Roman"/>
        <family val="1"/>
      </rPr>
      <t xml:space="preserve">Nguyễn Văn Đức </t>
    </r>
    <r>
      <rPr>
        <sz val="12"/>
        <color rgb="FFFF0000"/>
        <rFont val="Times New Roman"/>
        <family val="1"/>
      </rPr>
      <t>- Đã nộp 300K 16/12/24
OT38 bảo lưu b5. Học OT65 rút phút 89. 
Học T317 từ buổi 2</t>
    </r>
  </si>
  <si>
    <t>02/09/2024 và 13/09/2024</t>
  </si>
  <si>
    <t>https://drive.google.com/open?id=1swD-4xHpVZOSwejQLKAqZoTjgPjqBpzp; https://drive.google.com/open?id=1SdJhcyDs3gQsJJduWl45Mf6FwLMLzImW; https://drive.google.com/open?id=1uvg8MHw_PUYbYWpMWYunBOMRVnkei-yd</t>
  </si>
  <si>
    <r>
      <rPr>
        <sz val="12"/>
        <color theme="1"/>
        <rFont val="Times New Roman"/>
        <family val="1"/>
      </rPr>
      <t xml:space="preserve">Trần Hải Đăng </t>
    </r>
    <r>
      <rPr>
        <sz val="12"/>
        <color rgb="FFFF0000"/>
        <rFont val="Times New Roman"/>
        <family val="1"/>
      </rPr>
      <t>- đã nộp 300K 19/03/2025
VIP117 bảo lưu b18 đi quân sự. Học VIP126 b14</t>
    </r>
  </si>
  <si>
    <t>Số 12 ngõ 61 phố trạm, long biên, hà nội</t>
  </si>
  <si>
    <t>OT52</t>
  </si>
  <si>
    <r>
      <rPr>
        <sz val="12"/>
        <color theme="1"/>
        <rFont val="Times New Roman"/>
        <family val="1"/>
      </rPr>
      <t xml:space="preserve">Phạm Thị Huệ </t>
    </r>
    <r>
      <rPr>
        <sz val="12"/>
        <color rgb="FFFF0000"/>
        <rFont val="Times New Roman"/>
        <family val="1"/>
      </rPr>
      <t>- Đã nộp 300K 06/02/2025
OT40 bảo lưu b14. Học OT52 b11</t>
    </r>
  </si>
  <si>
    <t>https://www.facebook.com/profile.php?id=100079302884382</t>
  </si>
  <si>
    <t>23/08/2024 và 12/09/2024 và 26/09/2024</t>
  </si>
  <si>
    <t>https://drive.google.com/open?id=1_CiJOoFhFiEEumSzzt6tnwJ9CbAR5FdR; https://drive.google.com/open?id=1R2n7IJdHwm7GFRCswOTLLDAW786_KyX0; https://drive.google.com/open?id=1sE_qnpflbDP3FvshAfkHzFGgilURpr3i; https://drive.google.com/open?id=1tMClxcm_MNCrnZPnT8IlV2nX7ZA4NTIR</t>
  </si>
  <si>
    <t>https://m.facebook.com/lthg20?mibextid=LQQJ4d</t>
  </si>
  <si>
    <t>Lê Thị Hoài Thương</t>
  </si>
  <si>
    <t>https://drive.google.com/open?id=1vid_O9Oyi1M6hCD9fW3kXYz6CscVGzYF, https://drive.google.com/open?id=1hPZiwrKSCLxmE5hXdK_f6mmCshSXZHjQ; https://drive.google.com/open?id=1dGAnq5BaO2urUBtt9Mu8Vss4fDslnMLt</t>
  </si>
  <si>
    <r>
      <rPr>
        <sz val="12"/>
        <color theme="1"/>
        <rFont val="Times New Roman"/>
        <family val="1"/>
      </rPr>
      <t>Triệu Thị Nga</t>
    </r>
    <r>
      <rPr>
        <sz val="12"/>
        <color rgb="FFFF0000"/>
        <rFont val="Times New Roman"/>
        <family val="1"/>
      </rPr>
      <t xml:space="preserve"> - đã nộp 300K 25/03/2025
OT40 bảo lưu b18 do bận. Học T283 b19</t>
    </r>
  </si>
  <si>
    <t>https://www.facebook.com/profile.php?id=100065346037118</t>
  </si>
  <si>
    <t xml:space="preserve">Nguyễn Thị Thanh Trúc </t>
  </si>
  <si>
    <t>nguyenthicuc13081973@gmail.com</t>
  </si>
  <si>
    <t>https://drive.google.com/open?id=1ZDXoSKgTLbF3PSk2ko3cUZOCBanyB7nE; https://drive.google.com/open?id=10EpASLFcfxKcmHI02SlEmbCXz1MH6r4v</t>
  </si>
  <si>
    <t>https://www.facebook.com/profile.php?id=100081108164028&amp;mibextid=ZbWKwL</t>
  </si>
  <si>
    <t>Vũ Thành Phong</t>
  </si>
  <si>
    <t>phonggthanh12345@gmail.com</t>
  </si>
  <si>
    <t>01/09/2024 và 10/09/2024</t>
  </si>
  <si>
    <t>https://drive.google.com/open?id=1ZaeDen-mjuX_RdADBmMC286rpZu2zixt; https://drive.google.com/open?id=16Wg6M3ncOq5F01750e3NHehThe3dIu5A; https://drive.google.com/open?id=11_nyiwWSwxSIy3b08x28KMchFgJb6qf4, https://drive.google.com/open?id=1KOWV5tZHNSNv7cqsicBlMbFJSof79M9F</t>
  </si>
  <si>
    <t>https://www.facebook.com/heogay.pepu?mibextid=LQQJ4d</t>
  </si>
  <si>
    <t>Đinh Thị Khánh Hoà</t>
  </si>
  <si>
    <t>ố 21, ngõ 94 Ngọc Hà, Ba Đình</t>
  </si>
  <si>
    <t>https://drive.google.com/open?id=1RNO2NqmdeW4fdTX9qoMNKB8VAzkE5W27; https://drive.google.com/open?id=1-3qw4iWUj0VX5GDiqxb8hCkxKp7vGGyt</t>
  </si>
  <si>
    <t>https://www.facebook.com/profile.php?id=61550891798675</t>
  </si>
  <si>
    <t>Trương Gia Huy</t>
  </si>
  <si>
    <t>truonggiahuy372@gmail.com</t>
  </si>
  <si>
    <t>Việt Trì ,Phú Thọ</t>
  </si>
  <si>
    <t>https://drive.google.com/open?id=195lAORcFfKFDA_uq2gQRG60adCVAFJto; https://drive.google.com/open?id=1bIGbFXQY7oWRtxngjnLO28eUJE-FE8Q6</t>
  </si>
  <si>
    <t>https://www.facebook.com/vuthikimhue.0101?mibextid=LQQJ4d</t>
  </si>
  <si>
    <t>Vũ Thị Kim Huệ</t>
  </si>
  <si>
    <t>https://drive.google.com/open?id=101QR5zz_FFlQPomgEV0UtPXFdRvsSG04, https://drive.google.com/open?id=19ZDM7__doRNhqXCUWQO23eqMSSSEhQbg; https://drive.google.com/open?id=1mCm9wvy_odzI9ZxQFQfBNO20ldTj7izB</t>
  </si>
  <si>
    <t xml:space="preserve"> https://www.facebook.com/vietahdznhmt?mibextid=LQQJ4d</t>
  </si>
  <si>
    <t xml:space="preserve">Nguyễn Xuân Việt Anh  </t>
  </si>
  <si>
    <t>16/09/2024 và 18/09/2024</t>
  </si>
  <si>
    <t xml:space="preserve">https://drive.google.com/open?id=1LbYdZZ6RLKKMKRagf31NwzWiXwDQk8Kl; https://drive.google.com/open?id=1QGgL-13Y6RdN2bKFiDtoqGEWhtkOLMc4; https://drive.google.com/open?id=1bX9oN9t84aFqL6GMmO7qd5Ylq9Ci2eSp
</t>
  </si>
  <si>
    <t>https://www.facebook.com/quynhmike11?mibextid=LQQJ4d</t>
  </si>
  <si>
    <t>Đặng Quỳnh Mai</t>
  </si>
  <si>
    <t>dmai76143@gmail.com</t>
  </si>
  <si>
    <t>Xóm 9 hành thiện xuân hồng xuân trường nam định</t>
  </si>
  <si>
    <t>https://drive.google.com/open?id=1X-L0f__Rm8XMpVGd4YjJP0KsglZjaHWg; https://drive.google.com/open?id=1bBQLky5YOB5B701Jjd68SAv76IcygGuR</t>
  </si>
  <si>
    <t>https://www.facebook.com/profile.php?id=100055091917677&amp;mibextid=LQQJ4d</t>
  </si>
  <si>
    <t>https://drive.google.com/open?id=1olWv8SI-xiNDEdPnnHW-MDvGGwvIOPXZ; https://drive.google.com/open?id=1XGsZQ7GLFaoyRMGJgd8qWjw3GjG_uMD3, https://drive.google.com/open?id=1JrBO8GZ0mUQ6_mvfIXu24WQzxNzhViKG</t>
  </si>
  <si>
    <t>https://www.facebook.com/profile.php?id=100050964512037</t>
  </si>
  <si>
    <t>https://drive.google.com/open?id=1RZMSIG28FiZ-DN79VrI_0AXd8lK8YVFr, https://drive.google.com/open?id=11a3LmRmLxSrPx_zR1RbidkB1HWHUm8EH; https://drive.google.com/open?id=1pdpMohcrGwif7hnpa6vi0Zgf6PIDcp0i</t>
  </si>
  <si>
    <t>https://www.facebook.com/tanjirou.kamado.35728?mibextid=ZbWKwL</t>
  </si>
  <si>
    <t xml:space="preserve">Trần Nguyễn Minh Sang </t>
  </si>
  <si>
    <t>transang6629@gmail.com</t>
  </si>
  <si>
    <t>04/09/2024 và 13/09/2024</t>
  </si>
  <si>
    <t>https://drive.google.com/open?id=1CahmZJN4eUT06f17r1q2Fs-APebgFs3O; https://drive.google.com/open?id=1A8ob-xubb_nu2j4htIHephGaPgn3KEEB; https://drive.google.com/open?id=11qeb_yqNKFmt7ww6R9VjMvv6ctZu9GCF</t>
  </si>
  <si>
    <t>https://www.facebook.com/profile.php?id=100017039298394&amp;mibextid=LQQJ4d</t>
  </si>
  <si>
    <t>Trần Cẩm Tú</t>
  </si>
  <si>
    <t>https://drive.google.com/open?id=1aol8HupjDuDHCV9cUn7xlLu_YAF0WsgR; https://drive.google.com/open?id=1QYxBW3qj9FB5YF8O5Fuw0krJvVTfkSqs</t>
  </si>
  <si>
    <t>https://www.facebook.com/profile.php?id=100025994993279&amp;mibextid=LQQJ4d</t>
  </si>
  <si>
    <t>Bùi Như Băng</t>
  </si>
  <si>
    <t>89 Nguyễn Phong Sắc Cầu Giấy Hà Nội</t>
  </si>
  <si>
    <t>05/07/2024 và 23/09/2024</t>
  </si>
  <si>
    <t>https://drive.google.com/open?id=1b9-7M21dgODIL_yb9F0ybn0tA2WMb8lz, https://drive.google.com/open?id=1DtvCGMgTitQSTalg9FORi0_i1pB0Sk8P; https://drive.google.com/open?id=1eGPXNMXOHKmsceRqwQxdj-etCUxmdSad</t>
  </si>
  <si>
    <t>https://www.facebook.com/profile.php?id=100034742862187&amp;mibextid=LQQJ4d</t>
  </si>
  <si>
    <t xml:space="preserve">Đinh Hồng Ngọc </t>
  </si>
  <si>
    <t>Thôn Hang Đông, xã Chi lăng, huyện Tràng Định, tỉnh Lạng Sơn</t>
  </si>
  <si>
    <t>07/07/2024 và 19/09/2024</t>
  </si>
  <si>
    <t>https://drive.google.com/open?id=1g6kRV1tX73Wi40S4HOWEqOmzhbjfwBjf; https://drive.google.com/open?id=13rZxdp4SWVM-J4xdHaCvOv4f-Sj4Iiyo; https://drive.google.com/open?id=1InrFyicvJtoeNowM5nb4rj_9fo1OQVny, https://drive.google.com/open?id=1ah3WM9HUewVgyYwPGRTFKoTIWez0XmMh</t>
  </si>
  <si>
    <t>https://www.facebook.com/huynh.levan.35574?mibextid=LQQJ4d</t>
  </si>
  <si>
    <t>Lê Văn Huỳnh</t>
  </si>
  <si>
    <r>
      <rPr>
        <sz val="12"/>
        <rFont val="Times New Roman"/>
        <family val="1"/>
      </rPr>
      <t xml:space="preserve">https://drive.google.com/open?id=1ROpp5JennZ88d0recLp7Fs5vjrW8o0A2, https://drive.google.com/open?id=19XMkFBqWsATIPUbMuxeJBUD-RRvtJ5vJ; https://drive.google.com/open?id=1a0bPFRH6BBJWJ5ui6YUHcM3baKfVfag_, </t>
    </r>
    <r>
      <rPr>
        <u/>
        <sz val="12"/>
        <color rgb="FF1155CC"/>
        <rFont val="Times New Roman"/>
        <family val="1"/>
      </rPr>
      <t>https://drive.google.com/open?id=1htP7Prj6XrrJaeKXgRn-bK_1JgOiJLHY</t>
    </r>
  </si>
  <si>
    <t>T264</t>
  </si>
  <si>
    <t>https://www.facebook.com/profile.php?id=100063675914396</t>
  </si>
  <si>
    <t>Hà Bảo Anh</t>
  </si>
  <si>
    <t>banhiu3107@gmail.com</t>
  </si>
  <si>
    <t>172A, lí thường kiệt, phủ lí, hà nam</t>
  </si>
  <si>
    <t>https://drive.google.com/open?id=11U-HRDYGovxpgXOmOTsCeR57k-NB-d7f; https://drive.google.com/open?id=1KR7pRhXV5MIsDssYKVcvX6ZiDk530sta</t>
  </si>
  <si>
    <t>https://www.facebook.com/profile.php?id=100071138073583</t>
  </si>
  <si>
    <t>Trần Trung Tiến</t>
  </si>
  <si>
    <t>116 Chùa Láng, Láng Thượng quận Đống Đa, Hà Nội</t>
  </si>
  <si>
    <t>21/08/2024 và 05/09/2024</t>
  </si>
  <si>
    <r>
      <rPr>
        <sz val="12"/>
        <rFont val="Times New Roman"/>
        <family val="1"/>
      </rPr>
      <t xml:space="preserve">https://drive.google.com/open?id=1INspPjfBb2PgD_a9H7lgl2vz9al7t3Ds, https://drive.google.com/open?id=1Sik3BRzNUUrFBPVn5Z2Uz7w517ORSbhy; </t>
    </r>
    <r>
      <rPr>
        <u/>
        <sz val="12"/>
        <color rgb="FF1155CC"/>
        <rFont val="Times New Roman"/>
        <family val="1"/>
      </rPr>
      <t>https://drive.google.com/open?id=1gsya1j6wF8QRdfVvSKKwjHcBPv0IY0Jt</t>
    </r>
  </si>
  <si>
    <t>https://www.facebook.com/buonvailonhuhuhu</t>
  </si>
  <si>
    <t>Đỗ Xuân Sơn</t>
  </si>
  <si>
    <t>274 Tiểu khu Mỹ Lâm - Thị trấn Phú Xuyên - Huyện Phú Xuyên - Thành phố Hà Nội</t>
  </si>
  <si>
    <t>30/08/2024 và 17/09/2024</t>
  </si>
  <si>
    <t>https://drive.google.com/open?id=13INZfPgejIPRfPgU6kn6pZW5ngsXgZXx; https://drive.google.com/open?id=1YmnsbfkFL63m_0zKXbnO4WTpwzfm3CdW; https://drive.google.com/open?id=1tH7vPia1psEaadWgbWv0APHZclI5HQCh</t>
  </si>
  <si>
    <t>https://www.facebook.com/profile.php?id=100044745587792&amp;mibextid=LQQJ4d</t>
  </si>
  <si>
    <t xml:space="preserve">Nguyễn Thị Phương </t>
  </si>
  <si>
    <t>https://drive.google.com/open?id=1zdcbRhW66ZVqItpwj4QqW3TD3G91tI4N; https://drive.google.com/open?id=1D_rNDrohD5TO0ikksQabsdH_MtaeBsBM</t>
  </si>
  <si>
    <r>
      <rPr>
        <sz val="12"/>
        <color theme="1"/>
        <rFont val="Times New Roman"/>
        <family val="1"/>
      </rPr>
      <t xml:space="preserve">Vũ Hữu Phúc </t>
    </r>
    <r>
      <rPr>
        <sz val="12"/>
        <color rgb="FFFF0000"/>
        <rFont val="Times New Roman"/>
        <family val="1"/>
      </rPr>
      <t>- Phuc Vvuuhhuu - Đã nộp 400K 31/03/25
OT40 bảo lưu buổi 14. Học T303 buổi 1</t>
    </r>
  </si>
  <si>
    <t>89 Nguyễn Phong Sắc Dịch Vọng Hậu, Cầu Giấy, Hà Nội</t>
  </si>
  <si>
    <t>https://www.facebook.com/profile.php?id=61562863024763&amp;mibextid=LQQJ4d</t>
  </si>
  <si>
    <t>Lang Việt Thái</t>
  </si>
  <si>
    <t>29/08/2024 và 11/09/2024</t>
  </si>
  <si>
    <t>https://drive.google.com/open?id=1WeqXndmO__GKk2yhw7T6I5jy25dvWJ7H; https://drive.google.com/open?id=138Y_y4i5PSIT1b2QrZmmhssAmgOGU_q-; https://drive.google.com/open?id=1SddnMZFqGDZNm4kujwWsBaygpL2Ndtv8</t>
  </si>
  <si>
    <t>https://www.facebook.com/minhthu.tu.127</t>
  </si>
  <si>
    <t>Từ Minh Thư</t>
  </si>
  <si>
    <t>Số 68 Quan Hoa, Cầu Giấy</t>
  </si>
  <si>
    <t>https://drive.google.com/open?id=1W3ZW6k-N4ENq4XrZgwZUe0nAT8Pp9fK9; https://drive.google.com/open?id=1cWxFfToOOgqB4CzOaNGtU6o3vze722eA</t>
  </si>
  <si>
    <t>Bế Minh Khôi</t>
  </si>
  <si>
    <t>OT41 bảo lưu b16 đi thực tập</t>
  </si>
  <si>
    <r>
      <rPr>
        <sz val="12"/>
        <color theme="1"/>
        <rFont val="Times New Roman"/>
        <family val="1"/>
      </rPr>
      <t xml:space="preserve">Phan Quang Vinh </t>
    </r>
    <r>
      <rPr>
        <sz val="12"/>
        <color rgb="FFFF0000"/>
        <rFont val="Times New Roman"/>
        <family val="1"/>
      </rPr>
      <t>- đã nộp 300K 24/02/2025</t>
    </r>
  </si>
  <si>
    <t>https://www.facebook.com/profile.php?id=100051882647417&amp;mibextid=LQQJ4d</t>
  </si>
  <si>
    <r>
      <rPr>
        <sz val="12"/>
        <color theme="1"/>
        <rFont val="Times New Roman"/>
        <family val="1"/>
      </rPr>
      <t xml:space="preserve"> Nguyễn Thùy Linh </t>
    </r>
    <r>
      <rPr>
        <sz val="12"/>
        <color rgb="FFFF0000"/>
        <rFont val="Times New Roman"/>
        <family val="1"/>
      </rPr>
      <t>- học lại đã nộp 50% học phí</t>
    </r>
  </si>
  <si>
    <t>https://www.facebook.com/profile.php?id=100077083423024</t>
  </si>
  <si>
    <t>Lê Hoài Nam</t>
  </si>
  <si>
    <t>Số 16, ngách 90, ngõ 1194 Đường láng, Đống Đa, Hà Nội</t>
  </si>
  <si>
    <t>10/10/2024 và 23/10/2024 và 05/11/2024 và 09/11/2024</t>
  </si>
  <si>
    <t>https://drive.google.com/open?id=1_SlgpTFRLsvhZGDlIR3JaIxPViGPmK4c; https://drive.google.com/open?id=1mkzwdo0StEAsWOJrpclP9bi5c_8LbAho; https://drive.google.com/open?id=1cHiteIAjjrxLWGSxIB_K1ZJS-sbPmaf_; https://drive.google.com/open?id=1zsXJevqmtbZqI8t8wv1PNjJt6WvYIgOPhttps://drive.google.com/open?id=18Qc7PxpZGC6SECWNj8lsK6NUqZk0P2Zq</t>
  </si>
  <si>
    <t>https://www.facebook.com/profile.php?id=100070856023268&amp;mibextid=LQQJ4d</t>
  </si>
  <si>
    <t>Hà Như Quỳnh</t>
  </si>
  <si>
    <t>hanhuquynh2906@gmail.com</t>
  </si>
  <si>
    <t>28/08/2024 và 16/09/2024</t>
  </si>
  <si>
    <t>https://drive.google.com/open?id=1hqHo3CbGJieRtyTfd5Hazhxvu3Dwq8br; https://drive.google.com/open?id=1J8yMaH7GKw_LqmpL4ibz68VmNPPAbRA3</t>
  </si>
  <si>
    <t>OT43</t>
  </si>
  <si>
    <t>https://www.facebook.com/profile.php?id=100031961559669&amp;mibextid=LQQJ4d</t>
  </si>
  <si>
    <t>Bùi Thu Hoài</t>
  </si>
  <si>
    <t>https://drive.google.com/open?id=11JEKgF893-lpxgmb0GsxXJaUWKG6caOb; https://drive.google.com/open?id=1NO9RNVhBzLn8G1WKoxOzsb4Pq4V8CINz</t>
  </si>
  <si>
    <t>https://www.facebook.com/kquang.lee.4</t>
  </si>
  <si>
    <t>Lê Kim Quang</t>
  </si>
  <si>
    <t>quanglee343@gmail.com</t>
  </si>
  <si>
    <t>11/09/2024 và 13/09/2024</t>
  </si>
  <si>
    <t>https://drive.google.com/open?id=1tIidH4-T3LL0_0rsfNeKSHQLZYXzVaW4; https://drive.google.com/open?id=1bkGTvdUWqKDYM122AoAzcTxLmfI1c0ql; https://drive.google.com/open?id=1FILtoijWVKGyoeagLV7gn8otm5fY3gCS</t>
  </si>
  <si>
    <t xml:space="preserve">Trần Mạnh Đạt </t>
  </si>
  <si>
    <t>https://www.facebook.com/profile.php?id=100077395614775&amp;mibextid=ZbWKwL</t>
  </si>
  <si>
    <t>Nguyễn Thị Duyên</t>
  </si>
  <si>
    <t>nguyenthiduyen014012@gmail.com</t>
  </si>
  <si>
    <t>số nhà 35, ngõ 195, đường Cầu Diễn, phường Phúc Diễn, quận Bắc Từ Liêm, Hà Nội</t>
  </si>
  <si>
    <t>10/09/2024 và 17/09/2024</t>
  </si>
  <si>
    <t>https://drive.google.com/open?id=1AhwpOpBdOYBCz9lvgisteGQjdHaC9yes; https://drive.google.com/open?id=1KT1qGu8RFHGK1c2lA63NNYDyGoB0pLp3; https://drive.google.com/open?id=1qDiKaaUSCbt78MrCCfYFWQ5LfvbNwQ-B, https://drive.google.com/open?id=1UVnZFYJ_TzzUORkWsJEJ8SITeRmAlyY7</t>
  </si>
  <si>
    <t>https://www.facebook.com/profile.php?id=100023936400619&amp;mibextid=JRoKGi</t>
  </si>
  <si>
    <t>Lê Thị Thuỳ Dung</t>
  </si>
  <si>
    <t>thuydungle109@gmail.com</t>
  </si>
  <si>
    <t>https://drive.google.com/open?id=1_5ft3YLEwkiHdRY7CVWITmJsU09SNwuu; https://drive.google.com/open?id=1tDnwgnYKZKhaXDDQTgQ6RlLVmrSiT42H</t>
  </si>
  <si>
    <t>OT43 nghỉ ngang buổi 6. Dung chat</t>
  </si>
  <si>
    <t>https://www.facebook.com/yeuanh0505</t>
  </si>
  <si>
    <t>Phan Thị Phương Thuỳ</t>
  </si>
  <si>
    <t>tp48322@gmail.com</t>
  </si>
  <si>
    <t>https://drive.google.com/open?id=1BhuhAX8RJZIHZJNlMc-CMys9UL6fe9IT; https://drive.google.com/open?id=1T37WnNBDoceiYIpee5geA4yU8u8-T3mF</t>
  </si>
  <si>
    <t>https://www.facebook.com/profile.php?id=100079138303428&amp;mibextid=LQQJ4d</t>
  </si>
  <si>
    <t>viethoang15062006@gmail.com</t>
  </si>
  <si>
    <t>https://drive.google.com/open?id=1c6GMqjF7Oh6lokzlTWDjEKbx-3uM2Pa3; https://drive.google.com/open?id=1CuHK71ZhVPkyAE0l2qVqEMgkUu1i1P95; https://drive.google.com/open?id=1R8neZMqBntXNZWV3U0j3xyWRLoMZNY-N</t>
  </si>
  <si>
    <t>T259</t>
  </si>
  <si>
    <t>https://www.facebook.com/profile.php?id=100038625307055</t>
  </si>
  <si>
    <r>
      <rPr>
        <sz val="12"/>
        <color theme="1"/>
        <rFont val="Times New Roman"/>
        <family val="1"/>
      </rPr>
      <t>Nguyễn Hương Giang</t>
    </r>
    <r>
      <rPr>
        <sz val="12"/>
        <color rgb="FFFF0000"/>
        <rFont val="Times New Roman"/>
        <family val="1"/>
      </rPr>
      <t xml:space="preserve"> - chuyển nhượng S, W</t>
    </r>
  </si>
  <si>
    <t>địa chỉ quán photo thành công - thôn 1 - xã phù vân - tp phủ lý - tỉnh hà nam</t>
  </si>
  <si>
    <t>https://drive.google.com/open?id=15kKrMNiwjgUGCpBLCWTZ83cyXoBP3Eke, https://drive.google.com/open?id=1NqYKd8u-XoQT_mBOEicNPXEmrUdNH_cv; https://drive.google.com/open?id=1Q0c1A8eRN8CiG0Eny_qO02B-wwgiI6f6, https://drive.google.com/open?id=1ThMWuroWS12jFb__1s81zF4aM2ZvNWIa</t>
  </si>
  <si>
    <t>https://www.facebook.com/profile.php?id=100027554113172&amp;mibextid=LQQJ4d</t>
  </si>
  <si>
    <t>Vũ Thị Phương Anh</t>
  </si>
  <si>
    <t>địa chỉ số nhà 308 cửa hàng tạp hoá ngọc hà-số 353- đường 24-phượng mao- quế võ- bắc ninh</t>
  </si>
  <si>
    <t>https://drive.google.com/open?id=1cBeAHwY7TKfmddNODfbBJl0eYKN8eut9, https://drive.google.com/open?id=1WvIhnJ_W-yWEI6Xptjkdnx38Lx3sC2Gl; https://drive.google.com/open?id=16Mkas4L-KDSoqH5Y7aQmC3WE4a1ssC-D</t>
  </si>
  <si>
    <t>Phạm Thành Công</t>
  </si>
  <si>
    <t>địa chỉ cổng chính cs3 đại học Công Nghiệp Hà Nội -Phủ Lý - Hà Nam</t>
  </si>
  <si>
    <t>OW3</t>
  </si>
  <si>
    <r>
      <rPr>
        <sz val="12"/>
        <color theme="1"/>
        <rFont val="Times New Roman"/>
        <family val="1"/>
      </rPr>
      <t xml:space="preserve">Dương Thị Huyền </t>
    </r>
    <r>
      <rPr>
        <sz val="12"/>
        <color rgb="FFFF0000"/>
        <rFont val="Times New Roman"/>
        <family val="1"/>
      </rPr>
      <t>- nick Trang Huyen
OW2 bảo lưu buổi 1, thực tế buổi 6. Do bạn ko đi học. đã nộp 300K 28/11/2024</t>
    </r>
  </si>
  <si>
    <t>17/19 Phố Trần Bình, Mai Dịch, Cầu giấy, Hà Nội</t>
  </si>
  <si>
    <t>https://www.facebook.com/profile.php?id=100053489927589&amp;mibextid=LQQJ4d</t>
  </si>
  <si>
    <t>Hoàng Minh Ngọc</t>
  </si>
  <si>
    <t>https://drive.google.com/open?id=1WodXOWV3q5M6odc5bVqXfL-VYpo4HEDT; https://drive.google.com/open?id=14Ok-qZtSCYBhhCwcE0vA7IXaomjpYGBW</t>
  </si>
  <si>
    <t>OT45</t>
  </si>
  <si>
    <t>https://www.facebook.com/profile.php?id=100017952483899&amp;mibextid=LQQJ4d</t>
  </si>
  <si>
    <t>Nguyễn Huy Hiếu</t>
  </si>
  <si>
    <t>15/09/2024 và 24/09/2024</t>
  </si>
  <si>
    <t>https://drive.google.com/open?id=126ye90oXuwHlhYWGurTgrZe0BmCDFXHU; https://drive.google.com/open?id=1f8h_JU3_2tqQoQfkhhtGAX9zU_Uw1zgH; https://drive.google.com/open?id=1HbToDEN7gyP3T8bVAbVTKJyWsqoBhLvA</t>
  </si>
  <si>
    <r>
      <rPr>
        <sz val="12"/>
        <color theme="1"/>
        <rFont val="Times New Roman"/>
        <family val="1"/>
      </rPr>
      <t>Phan Đinh Tuấn Tú</t>
    </r>
    <r>
      <rPr>
        <sz val="12"/>
        <color rgb="FFFF0000"/>
        <rFont val="Times New Roman"/>
        <family val="1"/>
      </rPr>
      <t xml:space="preserve"> </t>
    </r>
  </si>
  <si>
    <t>https://www.facebook.com/profile.php?id=100028763377477&amp;mibextid=LQQJ4d</t>
  </si>
  <si>
    <t>Nguyễn Kim Chi</t>
  </si>
  <si>
    <t>kimchiofficial9@gmail.com</t>
  </si>
  <si>
    <t>28/08/2024 và 15/09/2024</t>
  </si>
  <si>
    <t>https://drive.google.com/open?id=10ekI95TkZmij-sNxXq3geQW0hV8JHNh7; https://drive.google.com/open?id=15o_4jw2wsRCmp4oVLtMN0tB5iZAcaocH; https://drive.google.com/open?id=1uT_5rJ5FAqVyMz1JHf7Rb7ScMk9LJqdG</t>
  </si>
  <si>
    <t>https://www.facebook.com/nv.long.55</t>
  </si>
  <si>
    <t xml:space="preserve">Nguyễn Công Huy </t>
  </si>
  <si>
    <t>ngách39 ngõ 101 thanh nhàn-phường quỳnh lôi-quận hai bà trưng-hà nội</t>
  </si>
  <si>
    <t>https://drive.google.com/open?id=1S8VpZCklN8no8pRmNC7grb5KTqOVmMsk; ; https://drive.google.com/open?id=1mmUm0zevTeT2qpOwGhDuuh4TAnRGV9C4</t>
  </si>
  <si>
    <t>Chung bill</t>
  </si>
  <si>
    <t>https://www.facebook.com/profile.php?id=100028991021210&amp;mibextid=JRoKGi</t>
  </si>
  <si>
    <t xml:space="preserve">Đỗ Hoài Nam </t>
  </si>
  <si>
    <t>dohoainamblue@gmail.com</t>
  </si>
  <si>
    <t>Nhà 31, ngách 57, ngõ 347 Cổ Nhuế, Bắc Từ Liêm, Hà Nội</t>
  </si>
  <si>
    <t>14/09/2024 và 20/09/2024</t>
  </si>
  <si>
    <t>https://drive.google.com/open?id=1sBFpcwMcv9Ub6r6N5tqPIbXgOemDjJQR; https://drive.google.com/open?id=1nF3yCBosMQXTlec2Ys6L3Kh5eKWwUrUp; https://drive.google.com/open?id=1cM0_WZCWfQiqjwYYa_2vyhLtk5l_vgCH</t>
  </si>
  <si>
    <t>T266</t>
  </si>
  <si>
    <t>https://www.facebook.com/profile.php?id=100032692518486&amp;mibextid=LQQJ4d</t>
  </si>
  <si>
    <t>Trần Thị Thanh Tú</t>
  </si>
  <si>
    <t>32 ngõ 83 tân triều thanh trì hà nội</t>
  </si>
  <si>
    <t>18/09/2024 và 19/09/2024 VÀ 01/10/2024</t>
  </si>
  <si>
    <t>https://drive.google.com/open?id=1tTJbh9CVS-GvCZe_i9xU0PrEu6dk56zW; https://drive.google.com/open?id=1F4i1mhXCOtymfKbB_XQZofkySUC-ApMi; https://drive.google.com/open?id=1xDR6NIWS02UJ3VcbSnx1DIjCKRAlPTco, https://drive.google.com/open?id=19sDfG3dzJi4h1CQNUlddO4S-fNAxShxp</t>
  </si>
  <si>
    <t>https://www.facebook.com/profile.php?id=100038639533657&amp;mibextid=LQQJ4d</t>
  </si>
  <si>
    <t>Nguyễn Sỹ Tuấn Minh</t>
  </si>
  <si>
    <t>07/09/2024 và 08/09/2024</t>
  </si>
  <si>
    <t>https://drive.google.com/open?id=1NTtW8ipKB8AyTsCHmMzjVIlG_Clkj5mB; https://drive.google.com/open?id=1HVlTlVHn5z7PY-D7d85eLlSrNPvp2Xmu; https://drive.google.com/open?id=1bHmVHuYpniEzB59awOwK3xTWMxQVWyHf</t>
  </si>
  <si>
    <t>KTX cao đẳng múa Việt Nam, Hồ Tùng Mậu, Mai Dịch, Cầu Giấy, Hà Nội</t>
  </si>
  <si>
    <t>Nhà số 3, ngõ 193/32 Nam Dư, Phường Lĩnh nam, Quận Hoàng Mai Hà Nội</t>
  </si>
  <si>
    <t>Lê Huyền Trang</t>
  </si>
  <si>
    <t>https://www.facebook.com/thuyf.trang.03</t>
  </si>
  <si>
    <t>Vũ Thị Thùy Trang</t>
  </si>
  <si>
    <t xml:space="preserve"> vuthithuytrang15122003@gmail.com</t>
  </si>
  <si>
    <t>58/23/41 Trần Bình, Mai Dịch, Cầu Giấy, Hà Nội</t>
  </si>
  <si>
    <t>11/09/2024 và 17/09/2024</t>
  </si>
  <si>
    <t>19/10/2024 và 30/10/2024</t>
  </si>
  <si>
    <t>https://drive.google.com/open?id=1avXd172SzEYMCAL4Rr5PKEA1B2sS6Bpl; https://drive.google.com/open?id=1c9frgYt9ElEJsOUiEN6CpYgVnKmPV4cK; https://drive.google.com/open?id=1n0Y_nS_zg1-RqDL_CX83ysRGlvSanHNd; https://drive.google.com/open?id=18x8uwsxG7eWnnxBqKubv2D85PaOY0XxG</t>
  </si>
  <si>
    <t>OT44</t>
  </si>
  <si>
    <t>https://www.facebook.com/people/Huy%E1%BB%81n-Tr%C3%A2m/pfbid0ZJVEXssjcEyjVbbagjVr6jSHpMj181dJPJ6z3zRGZ87FRGRDnQfY5NUxXpG1QPrRl/</t>
  </si>
  <si>
    <r>
      <rPr>
        <sz val="12"/>
        <color theme="1"/>
        <rFont val="Times New Roman"/>
        <family val="1"/>
      </rPr>
      <t>Nguyễn Huyền Trâm</t>
    </r>
    <r>
      <rPr>
        <sz val="12"/>
        <color rgb="FFFF0000"/>
        <rFont val="Times New Roman"/>
        <family val="1"/>
      </rPr>
      <t xml:space="preserve"> - OT40</t>
    </r>
  </si>
  <si>
    <t xml:space="preserve"> tramhuyen566@gmail.com</t>
  </si>
  <si>
    <t>https://drive.google.com/open?id=1tFXnV8GTRiGTM3sYeqNQ1qzhnSWropH8; https://drive.google.com/open?id=1eea5fkmlfi6TsEIb-p5oFKb1lilDCkNS; https://drive.google.com/open?id=1GpkbK0CpljUZF8Gz1FnPlTH_MWwJChth; https://drive.google.com/open?id=134UCVmhAfamElwIkSLs_oQC-a2dQ3p_e</t>
  </si>
  <si>
    <t>https://www.facebook.com/sam.huyen.735?mibextid=LQQJ4d</t>
  </si>
  <si>
    <r>
      <rPr>
        <sz val="12"/>
        <color theme="1"/>
        <rFont val="Times New Roman"/>
        <family val="1"/>
      </rPr>
      <t>Nguyễn Thị Huyền Sâm</t>
    </r>
    <r>
      <rPr>
        <sz val="12"/>
        <color rgb="FFFF0000"/>
        <rFont val="Times New Roman"/>
        <family val="1"/>
      </rPr>
      <t xml:space="preserve"> - OT40</t>
    </r>
  </si>
  <si>
    <t xml:space="preserve"> huyensam244206@gmail.com</t>
  </si>
  <si>
    <t>https://drive.google.com/open?id=13m-k9rF57PvbhgbB_c6vHC02ERvPcLS2; https://drive.google.com/open?id=1WC0FcbdMQJO32E8n8oEawABv-Amo0809; https://drive.google.com/open?id=1g77jwHCwrVLi5apFR9AQ_S8skRFwepER; https://drive.google.com/open?id=1MWPZ5x2gg2kvynOO3eFl78wimZ6SdpWR</t>
  </si>
  <si>
    <t>W9</t>
  </si>
  <si>
    <r>
      <rPr>
        <sz val="12"/>
        <color theme="1"/>
        <rFont val="Times New Roman"/>
        <family val="1"/>
      </rPr>
      <t>Trịnh Quang Sơn</t>
    </r>
    <r>
      <rPr>
        <sz val="12"/>
        <color rgb="FFFF0000"/>
        <rFont val="Times New Roman"/>
        <family val="1"/>
      </rPr>
      <t xml:space="preserve"> - OW2 tối chiều rút</t>
    </r>
  </si>
  <si>
    <t>số 9c ngõ 1096 đường láng , láng thượng , đống đa ,hà nội</t>
  </si>
  <si>
    <r>
      <rPr>
        <sz val="12"/>
        <color theme="1"/>
        <rFont val="Times New Roman"/>
        <family val="1"/>
      </rPr>
      <t>Nguyễn Thị Cẩm Tú</t>
    </r>
    <r>
      <rPr>
        <sz val="12"/>
        <color rgb="FFFF0000"/>
        <rFont val="Times New Roman"/>
        <family val="1"/>
      </rPr>
      <t xml:space="preserve"> </t>
    </r>
  </si>
  <si>
    <t>số nhà 35, Ngõ 74 cầu noi , phường cổ nhuế 2 , bắc từ liêm</t>
  </si>
  <si>
    <t>https://www.facebook.com/profile.php?id=100070830191767&amp;mibextid=LQQJ4d</t>
  </si>
  <si>
    <t>Hoàng Quốc Huy</t>
  </si>
  <si>
    <t>18/09/2024 và 01/10/2024</t>
  </si>
  <si>
    <t>https://drive.google.com/open?id=1N2leIBMyOeSOvfUsG_fRGQpklKz5LpuU; https://drive.google.com/open?id=1DJa3xcbYMxSJ7Ut9qAKlWP7rB3c0pi2q; https://drive.google.com/open?id=1R4hzReJcnc9giy6YhNpGLnDsbV8GU-Kd</t>
  </si>
  <si>
    <t>https://www.facebook.com/profile.php?id=100068600049163&amp;mibextid=LQQJ4d</t>
  </si>
  <si>
    <r>
      <rPr>
        <sz val="12"/>
        <color theme="1"/>
        <rFont val="Times New Roman"/>
        <family val="1"/>
      </rPr>
      <t>Ngô Phạm Yến Chi</t>
    </r>
    <r>
      <rPr>
        <sz val="12"/>
        <color rgb="FFFF0000"/>
        <rFont val="Times New Roman"/>
        <family val="1"/>
      </rPr>
      <t xml:space="preserve"> - OT45</t>
    </r>
  </si>
  <si>
    <t>Phòng 1601, Tòa usilk 102, Nguyễn Thanh Bình, La Khê, Hà Đông</t>
  </si>
  <si>
    <t>https://drive.google.com/open?id=1J8Mt2ueT0xXb_i0MUUaEj1x19LLWrb-7; https://drive.google.com/open?id=1QfQazeOj9DnxqMtw5JavW-cphYqieQ3N</t>
  </si>
  <si>
    <t>W16</t>
  </si>
  <si>
    <r>
      <rPr>
        <sz val="12"/>
        <color theme="1"/>
        <rFont val="Times New Roman"/>
        <family val="1"/>
      </rPr>
      <t>Nguyễn Thị Hồng Ngọc</t>
    </r>
    <r>
      <rPr>
        <sz val="12"/>
        <color rgb="FFFF0000"/>
        <rFont val="Times New Roman"/>
        <family val="1"/>
      </rPr>
      <t xml:space="preserve"> - đã nộp 300K 19/03/25
OW2 bảo lưu b6 ôn thi R va T. Học W16 b1</t>
    </r>
  </si>
  <si>
    <t>ngõ 66 Hồ Tùng Mậu, Mai Dịch, Cầu Giấy, Hà Nội</t>
  </si>
  <si>
    <t>https://www.facebook.com/vchuongneeee?mibextid=LQQJ4d</t>
  </si>
  <si>
    <r>
      <rPr>
        <sz val="12"/>
        <color theme="1"/>
        <rFont val="Times New Roman"/>
        <family val="1"/>
      </rPr>
      <t>Nguyền Văn Chương</t>
    </r>
    <r>
      <rPr>
        <sz val="12"/>
        <color rgb="FFFF0000"/>
        <rFont val="Times New Roman"/>
        <family val="1"/>
      </rPr>
      <t xml:space="preserve">  0971815190 số cũ</t>
    </r>
  </si>
  <si>
    <t>Số nhà 12 ngách 39 ngõ 101 thanh nhàn-phường quỳnh lôi-hai bà trưng-hà nội</t>
  </si>
  <si>
    <t>https://drive.google.com/open?id=12_jNGUqYWRfhtXWDFpBKXBY05vDf63zM; https://drive.google.com/open?id=1nasmOQ4C-zLWujidmjfZHZVmUBbYRiXq</t>
  </si>
  <si>
    <t>https://www.facebook.com/profile.php?id=61567283288752&amp;mibextid=LQQJ4d</t>
  </si>
  <si>
    <t>Ngô Ích Quyền</t>
  </si>
  <si>
    <t>22/09/2024 và 24/09/2024</t>
  </si>
  <si>
    <t>https://drive.google.com/open?id=1dyPRJix44CnEssA1GahAtl0XMbU4eC-3; https://drive.google.com/open?id=1NUezzN6PgFQ8DuKGcLKiyZmOc2mJYWKM; https://drive.google.com/open?id=1AcHlQpPVyMWzUjAHOiLlN54IpCqkT3JF</t>
  </si>
  <si>
    <t>https://www.facebook.com/profile.php?id=100074089723189&amp;mibextid=LQQJ4d</t>
  </si>
  <si>
    <t>https://m.facebook.com/n.huowzng06?mibextid=LQQJ4d</t>
  </si>
  <si>
    <t>343 trâu quỳ ,Tt trâu quỳ, Gia lâm ,Hà Nội</t>
  </si>
  <si>
    <t>T267</t>
  </si>
  <si>
    <t>https://www.facebook.com/lamm.haii.39</t>
  </si>
  <si>
    <r>
      <rPr>
        <sz val="12"/>
        <color theme="1"/>
        <rFont val="Times New Roman"/>
        <family val="1"/>
      </rPr>
      <t xml:space="preserve">Nguyễn Hải Lâm </t>
    </r>
    <r>
      <rPr>
        <sz val="12"/>
        <color rgb="FFFF0000"/>
        <rFont val="Times New Roman"/>
        <family val="1"/>
      </rPr>
      <t>- 777784941 số cũ</t>
    </r>
  </si>
  <si>
    <t>Trường đại học Công Nghiệp Hà Nội cơ sở 3,Phù Vân, Phủ Lý, Hà Nam</t>
  </si>
  <si>
    <t>20/09/2024 và 24/09/2024</t>
  </si>
  <si>
    <t>https://drive.google.com/open?id=1wAwCkJV0JU2jktPuDn84tdjw8huQmUVw; https://drive.google.com/open?id=1b6qE6y1csmktWSnhkghqQ1RCHdEa1xQj, https://drive.google.com/open?id=1DjkDtbSencWm5S-Z7BFguRD5dchY6EfS; https://drive.google.com/open?id=1QoKOGQoxsnfscLJdDuawrYHamcpDFEYe</t>
  </si>
  <si>
    <t>T289</t>
  </si>
  <si>
    <t>https://www.facebook.com/share/XVGFhQSjdFA7sW9A/?mibextid=qi2Omg</t>
  </si>
  <si>
    <r>
      <rPr>
        <sz val="12"/>
        <color theme="1"/>
        <rFont val="Times New Roman"/>
        <family val="1"/>
      </rPr>
      <t>Lục Ngô Tiểu Linh</t>
    </r>
    <r>
      <rPr>
        <sz val="12"/>
        <color rgb="FFFF0000"/>
        <rFont val="Times New Roman"/>
        <family val="1"/>
      </rPr>
      <t xml:space="preserve"> - đã nộp 300K 08/04/2025
T267 bảo lưu b18 học quân sự. Học T289 b13</t>
    </r>
  </si>
  <si>
    <t>lucngotieulinh0306@gmail.com</t>
  </si>
  <si>
    <t xml:space="preserve"> 29 Ngh. 25/59 P. Vũ Ngọc Phan, Láng Hạ, Đống Đa, Hà Nội</t>
  </si>
  <si>
    <t>21/08/2024 và 18/09/2024</t>
  </si>
  <si>
    <t>https://drive.google.com/open?id=1sj0f1wJTu3nTSicCVpeqAA5w35AMRwQU; https://drive.google.com/open?id=1Md2qXCk9EnTXt2uL-NLeoKuM1RRL-XOB; https://drive.google.com/open?id=1zp97m_d97LV26auOBRv4f4puRLnbD_e8</t>
  </si>
  <si>
    <t>Phạm Thanh Thúy</t>
  </si>
  <si>
    <t>https://www.facebook.com/profile.php?id=100016986661381&amp;mibextid=LQQJ4d</t>
  </si>
  <si>
    <t xml:space="preserve">Hoàng Đình Phúc </t>
  </si>
  <si>
    <t>17/09/2024 và 28/09/2024</t>
  </si>
  <si>
    <t>https://drive.google.com/open?id=12Nb39GboMrUw9lEjPkY2cjAOq7TQV6UY; https://drive.google.com/open?id=170xmQz5fuQRxvU_zu61fOBMWuWam7bab; https://drive.google.com/open?id=1-npu6acxuGfMW6bRNvJ7kVPhBn6NGqvQ</t>
  </si>
  <si>
    <t>https://web.facebook.com/ltvanh.06/</t>
  </si>
  <si>
    <t>tổ 1, Chi Đông, Mê Linh, Hà Nội</t>
  </si>
  <si>
    <t>https://www.facebook.com/profile.php?id=100058350620910</t>
  </si>
  <si>
    <r>
      <rPr>
        <sz val="12"/>
        <color theme="1"/>
        <rFont val="Times New Roman"/>
        <family val="1"/>
      </rPr>
      <t>Bùi Thị Bích Ngân</t>
    </r>
    <r>
      <rPr>
        <sz val="12"/>
        <color rgb="FFFF0000"/>
        <rFont val="Times New Roman"/>
        <family val="1"/>
      </rPr>
      <t xml:space="preserve"> </t>
    </r>
  </si>
  <si>
    <t xml:space="preserve"> tankhoa359@gmail.com</t>
  </si>
  <si>
    <t>xóm 2 - thôn Trà Hồi - xã Thụy Bình - huyện Thái Thụy - tỉnh Thái Bình</t>
  </si>
  <si>
    <t>13/07/2024 và 20/09/2024</t>
  </si>
  <si>
    <t>https://drive.google.com/open?id=1ytw_XsFB5EjUnX_Ob9Q75cQFT-OZ6d2I; https://drive.google.com/open?id=1dFKImnDKepDjgLSBbOTeed50fs1LEMQS; https://drive.google.com/open?id=1NK45ZeAOLeTGoIO8_FnjY9ZtFQ_-_537</t>
  </si>
  <si>
    <t xml:space="preserve">https://www.facebook.com/profile.php?id=100013178014642&amp;mibextid=LQQJ4d </t>
  </si>
  <si>
    <r>
      <rPr>
        <sz val="12"/>
        <color theme="1"/>
        <rFont val="Times New Roman"/>
        <family val="1"/>
      </rPr>
      <t>Nguyễn Khánh Linh</t>
    </r>
    <r>
      <rPr>
        <sz val="12"/>
        <color rgb="FFFF0000"/>
        <rFont val="Times New Roman"/>
        <family val="1"/>
      </rPr>
      <t xml:space="preserve"> - KO học S nữa</t>
    </r>
  </si>
  <si>
    <t>08/09/2024 và 18/09/2024</t>
  </si>
  <si>
    <t>https://drive.google.com/open?id=1BnguAc1cyiBju1lYsh3I_CkIodvKSaAT; https://drive.google.com/open?id=1uQWloPm7rdCogVfDw5SJ-Bk_qo-gTEO1</t>
  </si>
  <si>
    <t>OT48</t>
  </si>
  <si>
    <r>
      <rPr>
        <sz val="12"/>
        <color theme="1"/>
        <rFont val="Times New Roman"/>
        <family val="1"/>
      </rPr>
      <t xml:space="preserve">Nguyễn Ngọc Anh </t>
    </r>
    <r>
      <rPr>
        <sz val="12"/>
        <color rgb="FFFF0000"/>
        <rFont val="Times New Roman"/>
        <family val="1"/>
      </rPr>
      <t>- đã nộp 150K 22/11/2024
OT45 bảo lưu b1. Học OT48 buổi 1. Bận T3</t>
    </r>
  </si>
  <si>
    <t>https://www.facebook.com/xuan.hoangthanh.3597?mibextid=LQQJ4d</t>
  </si>
  <si>
    <t>Hoàng Thị Thanh Xuân</t>
  </si>
  <si>
    <t xml:space="preserve">th292043@gmail.com </t>
  </si>
  <si>
    <t>226 yên hoà ,cầu giấy ,hà nội</t>
  </si>
  <si>
    <t>24/09/2024 và 25/09/2024</t>
  </si>
  <si>
    <t>https://drive.google.com/open?id=1NWNL175xtIYVbuNr17uNT5Off9yaOFgg; https://drive.google.com/open?id=1sg3mp680DrHpzSVUW3yJjgi-TqFVdCS7; https://drive.google.com/open?id=1sFj3xg8h7LZJZtEIq3uIoZcFaHcEc6Ly</t>
  </si>
  <si>
    <t>https://www.facebook.com/profile.php?id=100070906030423&amp;mibextid=ZbWKwL</t>
  </si>
  <si>
    <t xml:space="preserve">Nguyễn Duy Nguyên  </t>
  </si>
  <si>
    <t>Nhà 12 , ngõ số 2 , xóm bến đông , Ba Lăng , Dũng Tiến , Thường Tín , Hà Nội</t>
  </si>
  <si>
    <t>21/09/2024 và 24/09/2024</t>
  </si>
  <si>
    <t>https://drive.google.com/open?id=1F-0rEWsBVFRN_8T6p3QDMqYEXp7nGKp7; https://drive.google.com/open?id=1S6N547yrWI0swjZf1rv5CrEgqKOBT8Uo; https://drive.google.com/open?id=1fgT1nh1yhLuTU6aj3jWD9gmkgvrP46e1</t>
  </si>
  <si>
    <t>Số 2 Sông Nhuệ, Đức Thắng, Bắc Từ Liêm, Hà Nội</t>
  </si>
  <si>
    <t xml:space="preserve">Trần Thế Thành </t>
  </si>
  <si>
    <t>Chung cư k35 tân mai toàn N02, Hoàng Mai, Hà Nội</t>
  </si>
  <si>
    <t>17A, Lĩnh Nam, Hoàng Mai, Hà Nội</t>
  </si>
  <si>
    <t>https://www.facebook.com/profile.php?id=61555413374015</t>
  </si>
  <si>
    <t>Lê Thị Mai Hoa</t>
  </si>
  <si>
    <t>Ga Thành Thoa, Đường Phú Cường, Quận Lê Hồng Phong, TP. Phủ Lý, tỉnh Hà Nam</t>
  </si>
  <si>
    <t>https://drive.google.com/open?id=1tlPNuRGCkp6S_XyE0AFSeIv-MBumz3F2; https://drive.google.com/open?id=1fuFGE6oOxxWtcPmnpw4Yx7VzneEQIlZs</t>
  </si>
  <si>
    <t>https://www.facebook.com/profile.php?id=100040992468199&amp;mibextid=LQQJ4d</t>
  </si>
  <si>
    <t xml:space="preserve">Đặng Thảo Nguyên </t>
  </si>
  <si>
    <t>Chung cư Hateco,tòa CT2,phường Phương Canh,quận Nam Từ Liêm,Hà Nội</t>
  </si>
  <si>
    <t>https://drive.google.com/open?id=1mEz3A_bm2OtaaZAUEoAG-cy0mgUHXDFS, https://drive.google.com/open?id=1_p_yAF6VQIGYpGQtGGmdaktSstMj7-U3; https://drive.google.com/open?id=1OraXN6XrxZMjfTSy6AkNvXXUb5XVhwRL</t>
  </si>
  <si>
    <t>số nhà 4b ngách 131 ngõ 634 kim giang xã thanh liệt huyện thanh trì hà nội</t>
  </si>
  <si>
    <t>VIP119 bảo lưu b2 do gẫy chân</t>
  </si>
  <si>
    <r>
      <rPr>
        <sz val="12"/>
        <color theme="1"/>
        <rFont val="Times New Roman"/>
        <family val="1"/>
      </rPr>
      <t xml:space="preserve">Lâm Thị Tươi </t>
    </r>
    <r>
      <rPr>
        <sz val="12"/>
        <color rgb="FFFF0000"/>
        <rFont val="Times New Roman"/>
        <family val="1"/>
      </rPr>
      <t>- đã nộp 300K 13/12/24
Bỏ ngang ko học nữa</t>
    </r>
  </si>
  <si>
    <t>Đại học Sư phạm Hà Nội, 136 Xuân Thủy, Cầu Giấy, Hà Nội</t>
  </si>
  <si>
    <t>https://www.facebook.com/ngquanh1006?mibextid=LQQJ4d</t>
  </si>
  <si>
    <t>Anh Thư</t>
  </si>
  <si>
    <t>37 Ngõ 322, Mỹ Đình, P. Mỹ Đình 2, Q. Nam Từ Liêm, Hà Nội</t>
  </si>
  <si>
    <t>14/09/2024 và 20/09/2024 và 30/09/2024</t>
  </si>
  <si>
    <t>https://drive.google.com/open?id=1L8tbhzAcsGD4LuDQoB0911UHWe6tlCwM; https://drive.google.com/open?id=1DP1WZ1Nuh7mkSPLOQ8gCsWGzVFeJzGJd; https://drive.google.com/open?id=1sPgg8qivlElITdyRFVcI09DwRdGrGNNq; https://drive.google.com/open?id=1FAJNA7jm0_6WFGSM1_nAU6nCCSnOfHJk</t>
  </si>
  <si>
    <t>https://www.facebook.com/manh.lus?mibextid=LQQJ4d</t>
  </si>
  <si>
    <t>Nguyễn Hữu Mạnh</t>
  </si>
  <si>
    <t>18/09/2024 và 21/09/2024</t>
  </si>
  <si>
    <t>https://drive.google.com/open?id=1buY9lZBwFIGo8443VoJLmzQvrbtLj5lU; https://drive.google.com/open?id=1gyDif6aokKlBqJk4o4OnS25EBryA0oib; https://drive.google.com/open?id=1R9pav7qCAzS1ESM-6i7nqJc-fsatW-k_</t>
  </si>
  <si>
    <t>https://www.facebook.com/long014?mibextid=ZbWKwL</t>
  </si>
  <si>
    <t>Nguyễn Văn Long</t>
  </si>
  <si>
    <t>https://www.facebook.com/profile.php?id=61561721472102&amp;mibextid=ZbWKwL</t>
  </si>
  <si>
    <r>
      <rPr>
        <sz val="12"/>
        <color theme="1"/>
        <rFont val="Times New Roman"/>
        <family val="1"/>
      </rPr>
      <t>Nguyễn Phương Thúy</t>
    </r>
    <r>
      <rPr>
        <sz val="12"/>
        <color rgb="FFFF0000"/>
        <rFont val="Times New Roman"/>
        <family val="1"/>
      </rPr>
      <t xml:space="preserve"> - 396114263. Đã nộp 300K 19/05/2025
OT46 bảo lưu b20 ôn thi. Học T286 b20</t>
    </r>
  </si>
  <si>
    <t>phuongthuyhb2909@gmail.com</t>
  </si>
  <si>
    <t xml:space="preserve"> cổ điển-hải bối-đông anh-hà nội</t>
  </si>
  <si>
    <t>21/08/2024 và 30/08/2024</t>
  </si>
  <si>
    <t>https://drive.google.com/open?id=1UjZ7Xf-upzGapuAFnYJqb59aFZTZgxNP; https://drive.google.com/open?id=1nQYpPLvnQS5GJJZYE198fGkUjqREF2xN; https://drive.google.com/open?id=1VdnkebvAhdTAfHKbHiRoD6JHJcMbc92f</t>
  </si>
  <si>
    <t>Sách gửi Cường</t>
  </si>
  <si>
    <t>OT46</t>
  </si>
  <si>
    <t>https://www.facebook.com/dieulinh.25526?mibextid=LQQJ4d</t>
  </si>
  <si>
    <t>Nguyễn Diệu Linh</t>
  </si>
  <si>
    <t>Số nhà 274 thôn 8 Ba Trại Ba Vì Hà Nội</t>
  </si>
  <si>
    <t>https://drive.google.com/open?id=1IZbmcv9ak6VlXx4viDVtrQhuZODaBZYt, https://drive.google.com/open?id=1eaJ4ZuzbpG02pLelbpImM40tck_OKg5Z; https://drive.google.com/open?id=1klwRaC6yjBxO_6a8bPSnNs0hM-o2i90H, https://drive.google.com/open?id=1vziOt_OG6NBGwlrEEAE8Ck8U0FBZDkSq</t>
  </si>
  <si>
    <t>T297</t>
  </si>
  <si>
    <t>https://www.facebook.com/profile.php?id=100064282836442&amp;mibextid=LQQJ4d</t>
  </si>
  <si>
    <r>
      <rPr>
        <sz val="12"/>
        <color theme="1"/>
        <rFont val="Times New Roman"/>
        <family val="1"/>
      </rPr>
      <t xml:space="preserve">Hà Khánh Huyền </t>
    </r>
    <r>
      <rPr>
        <sz val="12"/>
        <color rgb="FFFF0000"/>
        <rFont val="Times New Roman"/>
        <family val="1"/>
      </rPr>
      <t>- Đã nộp 300K 15/5/2025</t>
    </r>
    <r>
      <rPr>
        <sz val="12"/>
        <color theme="1"/>
        <rFont val="Times New Roman"/>
        <family val="1"/>
      </rPr>
      <t xml:space="preserve">
</t>
    </r>
    <r>
      <rPr>
        <sz val="12"/>
        <color rgb="FFFF0000"/>
        <rFont val="Times New Roman"/>
        <family val="1"/>
      </rPr>
      <t>OT46 bảo lưu b20 ôn thi lại THPTQG. Học T297</t>
    </r>
  </si>
  <si>
    <t>Huyenkhanhnee24@gmail.com</t>
  </si>
  <si>
    <t xml:space="preserve">số nhà 21 ngách 3 ngõ 122 tổ 15 phường Nguyễn Thái Học, thành phố Yên Bái, tỉnh Yên Bái </t>
  </si>
  <si>
    <t>26/07/2024 và 27/08/2024</t>
  </si>
  <si>
    <t>https://drive.google.com/open?id=1cUbnwHHswZzB_8X8OyCPlXUSVtJFxV8W; https://drive.google.com/open?id=1A6yWY_YuQEKeXXnbZyj9UeG8u1nGLrji; https://drive.google.com/open?id=13UTDfPYhXPIXtpSgTTUFLniDqdctqIq9, https://drive.google.com/open?id=1NqE_LaldD9jkIyQwTYeNLB7gD0z2HeRi</t>
  </si>
  <si>
    <t>https://www.facebook.com/vu.nguyenba.374549?locale=vi_VN</t>
  </si>
  <si>
    <r>
      <rPr>
        <sz val="12"/>
        <color theme="1"/>
        <rFont val="Times New Roman"/>
        <family val="1"/>
      </rPr>
      <t>Nguyễn Bá Vũ</t>
    </r>
    <r>
      <rPr>
        <sz val="12"/>
        <color rgb="FFFF0000"/>
        <rFont val="Times New Roman"/>
        <family val="1"/>
      </rPr>
      <t xml:space="preserve"> </t>
    </r>
  </si>
  <si>
    <t xml:space="preserve">vunguyenba01102006@gmail.com </t>
  </si>
  <si>
    <t>22/08/2024 và 09/09/2024</t>
  </si>
  <si>
    <t>https://drive.google.com/open?id=1aWwsasS0TIy3VYOS0or4ridpROsrYFn8; https://drive.google.com/open?id=1yDE3IdWcsL8oRIYpEPNKivQGmU0Taf_g; https://drive.google.com/open?id=1WYHBGHloDY7OZbdUHG7tIl0pGZec9ekz</t>
  </si>
  <si>
    <t>https://www.facebook.com/profile.php?id=61564198285388&amp;locale=vi_VN</t>
  </si>
  <si>
    <t>Trịnh Nguyễn Thuỳ Trang</t>
  </si>
  <si>
    <t>trangggtrinh@gmail.com</t>
  </si>
  <si>
    <t>Đại Lai 2, Phú Xuân, thành phố Thái Bình, tỉnh Thái Bình</t>
  </si>
  <si>
    <t>23/08/2024 và 07/09/2024 và 14/09/2024</t>
  </si>
  <si>
    <t>https://drive.google.com/open?id=1UPpvWcbYhnRts77tLN34XBuWUhjktIWN; https://drive.google.com/open?id=1EOR9t8d23NlH1fgwdS5hGhiFH3SaphTu; https://drive.google.com/open?id=1OjhJ7Fvi7mkPsQ3WJQNtIH1mKvxlOljI; https://drive.google.com/open?id=1xvTlNE6BIJ8l5rurXcu5R5_L6OAFPnjW</t>
  </si>
  <si>
    <t>https://www.facebook.com/profile.php?id=100080974934700</t>
  </si>
  <si>
    <r>
      <rPr>
        <sz val="12"/>
        <color theme="1"/>
        <rFont val="Times New Roman"/>
        <family val="1"/>
      </rPr>
      <t xml:space="preserve">Đinh Huy Khải </t>
    </r>
    <r>
      <rPr>
        <sz val="12"/>
        <color rgb="FFFF0000"/>
        <rFont val="Times New Roman"/>
        <family val="1"/>
      </rPr>
      <t>- nick Khải Phong</t>
    </r>
  </si>
  <si>
    <t>https://drive.google.com/open?id=1yXeaenTpshpgiJ_8suoohdJIzwYkMb1B, https://drive.google.com/open?id=1j7iV3prGEFQcPZ9Ie_axV5Fk31qg0fwk; https://drive.google.com/open?id=1saroB-tn37uOhXTkMxD31vvnwWqIQWww</t>
  </si>
  <si>
    <t>https://www.facebook.com/thanhthien9054?mibextid=ZbWKwL</t>
  </si>
  <si>
    <t xml:space="preserve">Trần Thanh Thiên </t>
  </si>
  <si>
    <t>tranthanhthien2006bn@gmail.com</t>
  </si>
  <si>
    <t>21/09/2024 và 23/09/2024</t>
  </si>
  <si>
    <t>https://drive.google.com/open?id=1av1Ct0K6wqhsWRnrQ7CngI3EYo6B4jui; https://drive.google.com/open?id=1M4HNyr8-uApqWlbW-aWxMYzib3Qt20jz; https://drive.google.com/open?id=1IRu4N8OPJtdXgKhSYuP_lKLNnXXqq1Ft</t>
  </si>
  <si>
    <t>https://www.facebook.com/dai.do.319247</t>
  </si>
  <si>
    <t>Nguyễn Thị Minh Thu</t>
  </si>
  <si>
    <t>số nhà 40 ngách 105/38 doãn kế thiện, ngõ 66 hồ tùng mậu, hà nội</t>
  </si>
  <si>
    <t>https://drive.google.com/open?id=1PsIPJ056aSELG6uHI0CqVhGtkrfqOQb1; https://drive.google.com/open?id=17TRTR-idwT5cjo9gY3lX_uCweoBIXPqd</t>
  </si>
  <si>
    <t>https://www.facebook.com/nghaidang.206?mibextid=LQQJ4d</t>
  </si>
  <si>
    <t xml:space="preserve">Nguyễn Hải Đăng </t>
  </si>
  <si>
    <t>08/09/2024 và 23/09/2024</t>
  </si>
  <si>
    <t>https://drive.google.com/open?id=1RkGyb_x7kFctQENaGMNbEiPlCjbbgCl6; https://drive.google.com/open?id=1E_yqO6M9R_VNFQ_CEYrUwM5EbkY_Lyph; https://drive.google.com/open?id=1wM0c4ZNu0cLrMv6EpYI4MyXJw05XA4vz</t>
  </si>
  <si>
    <t>https://www.facebook.com/profile.php?id=100065433816577</t>
  </si>
  <si>
    <t xml:space="preserve"> Nguyễn Thảo Chi</t>
  </si>
  <si>
    <t>thaochichuyendhv1602@gmail.com</t>
  </si>
  <si>
    <t xml:space="preserve"> phòng 203 ktx b5 đại học bách khoa hà nội</t>
  </si>
  <si>
    <t>16/09/2024 và 18/09/2024 và 29/09/2024</t>
  </si>
  <si>
    <t>https://drive.google.com/open?id=1eavM-_ljTfDAT7wGfGqeKzjoQ6vOOn-G; https://drive.google.com/open?id=1rPq9fOckCwZ-JbtvQOU8MGTLmDvfh3fE; https://drive.google.com/open?id=1Fo1L-ne3kaizhZPawwQKh4pLJinOmiNB; https://drive.google.com/open?id=1n9nhqTBYuALMfhzC7Lg_Nyl6iv71wJ1a, https://drive.google.com/open?id=1c4uF9sdzE2TUpb0tVDhhCSbsC1qRnFud</t>
  </si>
  <si>
    <t>https://www.facebook.com/profile.php?id=100070216384371&amp;mibextid=ZbWKwL</t>
  </si>
  <si>
    <t>Nguyễn Bá Nam</t>
  </si>
  <si>
    <t>nguyenbaduan2510@gmail.com</t>
  </si>
  <si>
    <t>https://drive.google.com/open?id=1A8af72NKTyogG3ldAIE7VTMnxHueEhWA; https://drive.google.com/open?id=1dn6AMdGjz-EKI2AhKqhXqqQLQDCuJ8UY, https://drive.google.com/open?id=1e6CQs447yn2JVaA_q1d7qe7ZxBXmANCX</t>
  </si>
  <si>
    <t>https://www.facebook.com/nguyentl306?mibextid=LQQJ4d</t>
  </si>
  <si>
    <t>Nguyễn Thảo Ly</t>
  </si>
  <si>
    <t>số 3 ngách 79/15 nghĩa lộ yên nghĩa</t>
  </si>
  <si>
    <t>21/08/2024 và 25/09/2024</t>
  </si>
  <si>
    <t>18/10/2024 và 27/10/2024</t>
  </si>
  <si>
    <t>https://drive.google.com/open?id=1z08zbvoudYk5ZumVxU5RR097fza4Z1zP; https://drive.google.com/open?id=1dk7FYLRy4SxPaF5oImUGWIjA9hikLmZn; https://drive.google.com/open?id=1WVZ9BR291SKHXMg-MvUba5oU7au8yUf7, https://drive.google.com/open?id=1kcyPYCXRaRNwXFaFFBvczgJenDJQUD6z</t>
  </si>
  <si>
    <t>ĐH Công Nghiệp Hà Nội,Bắc Từ Liêm, Hà Nộ</t>
  </si>
  <si>
    <t>https://www.facebook.com/profile.php?id=100082260104717&amp;mibextid=LQQJ4d</t>
  </si>
  <si>
    <t>Vương Hoàng Toàn</t>
  </si>
  <si>
    <t>https://drive.google.com/open?id=195Sf6T9yPjZgI8wTfI5Rq8aq_pBtjTuR; https://drive.google.com/open?id=1DCW9L9NnNefYjN310HLA8qCXTno97X4V</t>
  </si>
  <si>
    <t>OT44 bảo lưu b3 do bận</t>
  </si>
  <si>
    <t>https://www.facebook.com/anhanhtram.iny?mibextid=LQQJ4d</t>
  </si>
  <si>
    <t>Đỗ Phạm Trâm Anh</t>
  </si>
  <si>
    <t>722, TDP Tiền Phong, Phường Tân Dân, Thị xã Nghi Sơn, Tỉnh Thanh Hóa</t>
  </si>
  <si>
    <t>https://drive.google.com/open?id=1YIY4cKFZKWGPNte8PK6915TfJGnBpsfD; https://drive.google.com/open?id=1FIMKO6tlhQ2NQU4AOMJy9dMJWYhqube7, https://drive.google.com/open?id=1d93TYTwhvwBk3b6OV1iX1LgflUIar-Y6</t>
  </si>
  <si>
    <t>OT44 bảo lưu b4 nhà có việc</t>
  </si>
  <si>
    <t>https://www.facebook.com/profile.php?id=61550988725471&amp;mibextid=LQQJ4d</t>
  </si>
  <si>
    <r>
      <rPr>
        <sz val="12"/>
        <color theme="1"/>
        <rFont val="Times New Roman"/>
        <family val="1"/>
      </rPr>
      <t>Trần Thị Thanh Bình</t>
    </r>
    <r>
      <rPr>
        <sz val="12"/>
        <color rgb="FFFF0000"/>
        <rFont val="Times New Roman"/>
        <family val="1"/>
      </rPr>
      <t xml:space="preserve"> - Trang Dương- đã nộp 300K 11/12/24</t>
    </r>
  </si>
  <si>
    <t>https://drive.google.com/open?id=1vI41QCus0JV8oMEqj-A4HAaG9vt41_GA; https://drive.google.com/open?id=1fhiyu1-82WceEEw52Q4Z4GfGsQCJctPm</t>
  </si>
  <si>
    <t>https://www.facebook.com/profile.php?id=100049931901005&amp;mibextid=ZbWKwL</t>
  </si>
  <si>
    <r>
      <rPr>
        <sz val="12"/>
        <color theme="1"/>
        <rFont val="Times New Roman"/>
        <family val="1"/>
      </rPr>
      <t xml:space="preserve">Nguyễn Thị Ngọc Lan </t>
    </r>
    <r>
      <rPr>
        <sz val="12"/>
        <color rgb="FFFF0000"/>
        <rFont val="Times New Roman"/>
        <family val="1"/>
      </rPr>
      <t>- Quỳnh Lan</t>
    </r>
  </si>
  <si>
    <t>lan352273@gmail.com</t>
  </si>
  <si>
    <t>https://drive.google.com/open?id=1H3Ssvour2NsJPqceGY0DWFLK7gfqO4Hf; https://drive.google.com/open?id=18LuweOd557Ibk43m2RF4cMx11MsOI00I; https://drive.google.com/open?id=1fGPnT4gQnycLPvcZZdoBraQAby7XZwIb</t>
  </si>
  <si>
    <t>OT44 bảo lưu b12 đi lính. Dung chat</t>
  </si>
  <si>
    <t>https://www.facebook.com/profile.php?id=100049001372635</t>
  </si>
  <si>
    <t xml:space="preserve">Nguyễn Văn Lâm </t>
  </si>
  <si>
    <t xml:space="preserve"> alm0168981@gmail.com</t>
  </si>
  <si>
    <t>https://drive.google.com/open?id=1B6ddGh8ux7NcCfDsy0hZAzilt-GfA4fX; https://drive.google.com/open?id=1cFuEqEIxt9bEXLJMy7wZhHvUDq2lv_-I</t>
  </si>
  <si>
    <t>https://www.facebook.com/tridz06</t>
  </si>
  <si>
    <t>Nguyễn Minh Trí</t>
  </si>
  <si>
    <t>tridz382@gmail.com</t>
  </si>
  <si>
    <t>https://drive.google.com/open?id=1-esSsZ_7vjytk5fPdYd8JLSjOZx422U6; https://drive.google.com/open?id=1cv9_jmnSVCV9KmNWbAgU5pY6-jpr2vtD</t>
  </si>
  <si>
    <t>T264 bảo lưu b8 đi quân sự</t>
  </si>
  <si>
    <t>https://www.facebook.com/htpps.facebook.com.guys26</t>
  </si>
  <si>
    <t xml:space="preserve">Trần Thị Quỳnh Anh </t>
  </si>
  <si>
    <t>qt3635552@gmail.com</t>
  </si>
  <si>
    <t>Số nhà 24/ đường Địa Đạo, xã Nam Hồng, huyện Đông Anh, Hà Nội</t>
  </si>
  <si>
    <t>24/08/2024 và 31/08/2024</t>
  </si>
  <si>
    <t>https://drive.google.com/open?id=1z8Bi-upMzL6r8Oc8gfZQ7NV6QX0dq5tt; https://drive.google.com/open?id=17SWUidTAtiRLyB5e9ALu3TIk1Ba6ttQl; https://drive.google.com/open?id=1UOHzNqZs3FZ5IhTaHU1CUbbhJHC_YeXI</t>
  </si>
  <si>
    <t>https://www.facebook.com/daongoc2006?mibextid=JRoKGi</t>
  </si>
  <si>
    <r>
      <rPr>
        <sz val="12"/>
        <color theme="1"/>
        <rFont val="Times New Roman"/>
        <family val="1"/>
      </rPr>
      <t xml:space="preserve">Đào Bích Ngọc </t>
    </r>
    <r>
      <rPr>
        <sz val="12"/>
        <color rgb="FFFF0000"/>
        <rFont val="Times New Roman"/>
        <family val="1"/>
      </rPr>
      <t>- T264</t>
    </r>
  </si>
  <si>
    <t>Số nhà 8, Ngách 37 Ngõ 112 Nam Dư, phường Lĩnh Nam, Quận Hoàng Mai, Hà Nội</t>
  </si>
  <si>
    <t>https://www.facebook.com/profile.php?id=100042307159348&amp;mibextid=LQQJ4d</t>
  </si>
  <si>
    <t xml:space="preserve">Đỗ Trần Trường Giang </t>
  </si>
  <si>
    <t>xóm Đông Hải, xã Văn Hải, huyện Kim Sơn, tỉnh Ninh Bình</t>
  </si>
  <si>
    <t>https://drive.google.com/open?id=1bScj-oyNeHjQDdgSlYc7GRu2v18FgdR9; https://drive.google.com/open?id=1Sqm3s67YH6tmikUXwnE-B2M_phRIPYHs</t>
  </si>
  <si>
    <t>T265</t>
  </si>
  <si>
    <t>96A đường số 79, Tân Quy, Quận 7, TPHCM</t>
  </si>
  <si>
    <t>451/15 Xô Viết Nghệ Tĩnh, phường 26, quận Bình Thạnh, TPHCM</t>
  </si>
  <si>
    <t>https://www.facebook.com/con.cuong.71465?mibextid=LQQJ4d</t>
  </si>
  <si>
    <t>Nguyễn Hữu Cường</t>
  </si>
  <si>
    <t>Liên Đàm, Yên Thường, Gia Lâm, Hà Nội</t>
  </si>
  <si>
    <t>07/09/2024 và 13/09/2024</t>
  </si>
  <si>
    <t>https://drive.google.com/open?id=1Qe7eiHde6sC4ygwLPxuYgHGf5xz60_HM; https://drive.google.com/open?id=1o8SyZnzNWcnJogbI0Cnse_GXR7k-Zcuh; https://drive.google.com/open?id=1Bm7Pq6WdelPGhZdAkIv904nEEY_eIyRU</t>
  </si>
  <si>
    <t>https://www.facebook.com/profile.php?id=100077390928171&amp;mibextid=LQQJ4d</t>
  </si>
  <si>
    <t>Đỗ Thị Thuý</t>
  </si>
  <si>
    <t>heoheo1811a@gmail.com</t>
  </si>
  <si>
    <t>77 ngõ 239 an đào A ,trâu quỳ, gia lâm, hà nội</t>
  </si>
  <si>
    <t>https://drive.google.com/open?id=1Gkgc3v7dosw0lp-bhC5VDN21qls4OpBY; https://drive.google.com/open?id=1weXWIbBUURVPswAnuoAGGJAFmYmQ0jSj</t>
  </si>
  <si>
    <t>https://www.facebook.com/profile.php?id=100073285336889</t>
  </si>
  <si>
    <t xml:space="preserve">Nguyễn Minh Khang  </t>
  </si>
  <si>
    <t>54 hùng vương, tt Ái Nghĩa ,huyện Đại Lộc , Quảng Nam</t>
  </si>
  <si>
    <r>
      <rPr>
        <u/>
        <sz val="12"/>
        <color rgb="FF1155CC"/>
        <rFont val="Times New Roman"/>
        <family val="1"/>
      </rPr>
      <t xml:space="preserve">https://drive.google.com/open?id=1n7DrnXwO3g1m-789xbsAyq4mujBEJNQK; </t>
    </r>
    <r>
      <rPr>
        <u/>
        <sz val="12"/>
        <color rgb="FF1155CC"/>
        <rFont val="Times New Roman"/>
        <family val="1"/>
      </rPr>
      <t>https://drive.google.com/open?id=137IrIS7Y3N40selh-PfC8e6WM9p8J8Hu</t>
    </r>
  </si>
  <si>
    <t>https://www.facebook.com/profile.php?id=61551713493176&amp;mibextid=LQQJ4d</t>
  </si>
  <si>
    <t xml:space="preserve">Đào Tú An </t>
  </si>
  <si>
    <t>tuandao1306@gmail.com</t>
  </si>
  <si>
    <t>Số nhà 25, ngõ 162 Văn Hội, Đức Thắng, Bắc Từ Liêm, Hà Nội</t>
  </si>
  <si>
    <t>26/08/2024 và 11/09/2024</t>
  </si>
  <si>
    <t>https://drive.google.com/open?id=1H_GGEhmHaIkIkhwaZ6raAozftnZNLYO-; https://drive.google.com/open?id=1-eVLGRzgazOWJilNvtvX8jKe_SUXJoC4; https://drive.google.com/open?id=1W4RRbOgadQ4UiSFC1pEkXkzwgFD_QN5e</t>
  </si>
  <si>
    <t>https://www.facebook.com/tra.ledinh.58?mibextid=ZbWKwL</t>
  </si>
  <si>
    <t xml:space="preserve">Lê Đình Trà  </t>
  </si>
  <si>
    <t xml:space="preserve"> letra2625@gmail.com</t>
  </si>
  <si>
    <t>ĐÃ NHẬN</t>
  </si>
  <si>
    <t>https://drive.google.com/open?id=1MBD0w59rNlk5EZAsScktwBda1d4jB1Sc; https://drive.google.com/open?id=1ATJf87SmqvCfNbtqjusovYIfemEMAx0e</t>
  </si>
  <si>
    <t>https://www.facebook.com/tonghop.veloc</t>
  </si>
  <si>
    <t>Vũ Minh Quân</t>
  </si>
  <si>
    <t>vuminhquanxp@gmail.com</t>
  </si>
  <si>
    <t>19/08/2024 và 03/09/2024</t>
  </si>
  <si>
    <t>https://drive.google.com/open?id=1zEyGLmu6m6kX46Aej_nNJ5nHcpqHHWR9; https://drive.google.com/open?id=1j_BpDOF1cy_yvjO9LyavOM_9hV2KVLaB; https://drive.google.com/open?id=16Pr-g-vcm_bGP1DryBwp1LQwJjIA3lcT</t>
  </si>
  <si>
    <t>https://www.facebook.com/profile.php?id=100040546273789&amp;mibextid=LQQJ4d</t>
  </si>
  <si>
    <t>https://www.facebook.com/profile.php?id=100023629125085</t>
  </si>
  <si>
    <t>Nguyễn Diệu Thương</t>
  </si>
  <si>
    <t>dieuthuong028@gmail.com</t>
  </si>
  <si>
    <t>24/08/2024 và 09/09/2024</t>
  </si>
  <si>
    <t>https://drive.google.com/open?id=18o40j-jjcitaSVSJq5dQ9yn4pMdmgAds; https://drive.google.com/open?id=16BZvi7sgIN9L0XnwmCNl2peoyG3yJ8lB; https://drive.google.com/open?id=13HBhKXqLRAN0hy2mdM49j_H9fesNe5x4</t>
  </si>
  <si>
    <t>https://www.facebook.com/profile.php?id=100066181841569&amp;mibextid=LQQJ4d</t>
  </si>
  <si>
    <r>
      <rPr>
        <sz val="12"/>
        <color theme="1"/>
        <rFont val="Times New Roman"/>
        <family val="1"/>
      </rPr>
      <t>Bùi Quang Thuận</t>
    </r>
    <r>
      <rPr>
        <sz val="12"/>
        <color rgb="FFFF0000"/>
        <rFont val="Times New Roman"/>
        <family val="1"/>
      </rPr>
      <t xml:space="preserve"> - Chuyển nhượng S,W</t>
    </r>
  </si>
  <si>
    <t>buithuan0103@gmail.com</t>
  </si>
  <si>
    <t>16/08/2024 và 11/09/2024</t>
  </si>
  <si>
    <t>https://drive.google.com/open?id=1cxcFjaSKeC-oLuS85VTvSmUDtpP86uH4; https://drive.google.com/open?id=1WGqL8Qn0hNZ2F0a5FAR_-KUi9yCZ-Mqn; https://drive.google.com/open?id=1jCR7Ov2QnXjCF0sZTRecTAT2xcu1udfa</t>
  </si>
  <si>
    <t>https://www.facebook.com/vh.smoke4869?mibextid=LQQJ4d</t>
  </si>
  <si>
    <r>
      <rPr>
        <sz val="12"/>
        <color theme="1"/>
        <rFont val="Times New Roman"/>
        <family val="1"/>
      </rPr>
      <t>Nguyễn Minh Hùng</t>
    </r>
    <r>
      <rPr>
        <sz val="12"/>
        <color rgb="FFFF0000"/>
        <rFont val="Times New Roman"/>
        <family val="1"/>
      </rPr>
      <t xml:space="preserve"> - đã nộp 300K 18/05/25</t>
    </r>
    <r>
      <rPr>
        <sz val="12"/>
        <color theme="1"/>
        <rFont val="Times New Roman"/>
        <family val="1"/>
      </rPr>
      <t xml:space="preserve">
</t>
    </r>
    <r>
      <rPr>
        <sz val="12"/>
        <color rgb="FFFF0000"/>
        <rFont val="Times New Roman"/>
        <family val="1"/>
      </rPr>
      <t>OT46 bảo lưu b20 ôn thi. Học T286 b20</t>
    </r>
  </si>
  <si>
    <t>nguyenmon2k6@gmail.com</t>
  </si>
  <si>
    <t>26/08/2024 và 10/09/2024</t>
  </si>
  <si>
    <t>https://drive.google.com/open?id=1eTCRUwaou02NwTEchJWk-L1z8Uifrv34; https://drive.google.com/open?id=1wnoGjt1d5Gy8TD_lI0U1LgTUVTH9jTgV; https://drive.google.com/open?id=1fznVR45lBuNRvqoO4bn_8TObUEsZ0Wcs</t>
  </si>
  <si>
    <t>https://www.facebook.com/profile.php?id=100035363684944&amp;locale=vi_VN</t>
  </si>
  <si>
    <t>Lê Minh Huyền</t>
  </si>
  <si>
    <t>huyenle14032006@gmail.com</t>
  </si>
  <si>
    <t>23/08/2024 và 08/09/2024</t>
  </si>
  <si>
    <t>18/10/2024 và 19/10/2024</t>
  </si>
  <si>
    <t>https://drive.google.com/open?id=1oQMbTFvQymMPWQ0hqot2etlOCbtujl4Q; https://drive.google.com/open?id=1MVwHTDUKWHRUrKB_d3AijCMdl5sP_bc6; https://drive.google.com/open?id=1oxzelV0MK4fSMcYxpcwrjmRY65GgSpm-, https://drive.google.com/open?id=1rK9rMHKv5EqicdxEKE-dYl64384EX5Cx</t>
  </si>
  <si>
    <t>Trần Hoàng Ánh Dương</t>
  </si>
  <si>
    <t>Nhà 48TT10 KĐT Văn Phú-P.Phú La-Q.Hà Đông-Hà Nội</t>
  </si>
  <si>
    <r>
      <rPr>
        <sz val="12"/>
        <color theme="1"/>
        <rFont val="Times New Roman"/>
        <family val="1"/>
      </rPr>
      <t xml:space="preserve">Đỗ Đức Hiếu </t>
    </r>
    <r>
      <rPr>
        <sz val="12"/>
        <color rgb="FFFF0000"/>
        <rFont val="Times New Roman"/>
        <family val="1"/>
      </rPr>
      <t>- Mua khóa mới</t>
    </r>
  </si>
  <si>
    <t xml:space="preserve"> 45 ngách 105/25 Phú Minh/Minh Khai/BTL Hà Nội​</t>
  </si>
  <si>
    <t>https://www.facebook.com/profile.php?id=61551888129363&amp;mibextid=LQQJ4d</t>
  </si>
  <si>
    <t>Dương Thị Hoài Thư</t>
  </si>
  <si>
    <t>dthu88756@gmail.com</t>
  </si>
  <si>
    <t>1 ngõ 48 Chùa Hà</t>
  </si>
  <si>
    <t>17/09/2024 và 21/09/2024</t>
  </si>
  <si>
    <t>https://drive.google.com/open?id=1DXOtbcPdT5mltPXHx9I3u3faVaBlV_zz; https://drive.google.com/open?id=1Ed44GLUEaZtLLQAqwmjAIvM-jUcaJI-l</t>
  </si>
  <si>
    <t>nhà117/184, đê Trần Khát Chân, Thanh Lương, Hai Bà Trưng, Hà Nội</t>
  </si>
  <si>
    <t>Vũ Thị Thu Hoài</t>
  </si>
  <si>
    <t>U03, L82 kđt đô nghĩa, phường yên nghĩa, quận hà đông</t>
  </si>
  <si>
    <t>Nguyễn Đăng Thái</t>
  </si>
  <si>
    <t>112a-E2 Phố Thái Thịnh,Trung Liệt,Đống Đa,Hà Nội​</t>
  </si>
  <si>
    <t>https://www.facebook.com/profile.php?id=100032374501250</t>
  </si>
  <si>
    <t>Dương Thị Phương Mai</t>
  </si>
  <si>
    <t>Số 67 Đường Sông Nhuệ - Đức Thắng - Bắc Từ Liêm - Hà Nội</t>
  </si>
  <si>
    <r>
      <rPr>
        <sz val="12"/>
        <rFont val="Times New Roman"/>
        <family val="1"/>
      </rPr>
      <t xml:space="preserve">https://drive.google.com/open?id=15ReCB_rxMze6GfvnLM9d5G3zoNTeGRhR, https://drive.google.com/open?id=11PretGJ9m7Ymm0Rs8vlsIUYCg_9hc_W6; </t>
    </r>
    <r>
      <rPr>
        <u/>
        <sz val="12"/>
        <color rgb="FF1155CC"/>
        <rFont val="Times New Roman"/>
        <family val="1"/>
      </rPr>
      <t>https://drive.google.com/open?id=1s6VvujnpxqaQMyx5VtSYwmWNWNkYMKGs</t>
    </r>
  </si>
  <si>
    <t>T288</t>
  </si>
  <si>
    <r>
      <rPr>
        <sz val="12"/>
        <color theme="1"/>
        <rFont val="Times New Roman"/>
        <family val="1"/>
      </rPr>
      <t xml:space="preserve">Vũ Duy Khánh </t>
    </r>
    <r>
      <rPr>
        <sz val="12"/>
        <color rgb="FFFF0000"/>
        <rFont val="Times New Roman"/>
        <family val="1"/>
      </rPr>
      <t>- đã nộp 300K 03/01/2025
T269 bảo lưu b3 đi quân sự. Học T288 b1</t>
    </r>
  </si>
  <si>
    <t>https://www.facebook.com/nhung0107?mibextid=LQQJ4d</t>
  </si>
  <si>
    <t>Nguyễn Vũ Hồng Nhung</t>
  </si>
  <si>
    <t>hongnhung012006@gmail.com</t>
  </si>
  <si>
    <t>Đại Học Công Nghiệp Hà Nội Cơ Sở Hà Nam ( Cổng Chính ) Xã Phù Vân, Thành Phố Phủ Lý, Hà Nam</t>
  </si>
  <si>
    <t>https://drive.google.com/open?id=1lsCxgttu7nOZvy9YopQiZvtU6TzBGl2i; https://drive.google.com/open?id=1FUT5eCk1RXwPzNdOOahOBBkBtsYSvKU9; https://drive.google.com/open?id=1jyEybVGXRQNPBNBnNdXndVPXfGCJBjSq</t>
  </si>
  <si>
    <t>https://www.facebook.com/tao.sugia.56?mibextid=JRoKGi</t>
  </si>
  <si>
    <t>Lê Thị Yến Nhi</t>
  </si>
  <si>
    <t>Trọ chú Tú , Thôn 1 , Xã Phù Vân , Thành Phố Phủ Lý , Hà Nam</t>
  </si>
  <si>
    <t>17/09/2024 và 19/09/2024 và 13/10/2024</t>
  </si>
  <si>
    <t>https://drive.google.com/open?id=1JGCKQaed2RqaUj_WFZ_wF7ILEVwo6Y2J; https://drive.google.com/open?id=1D4_xmqnqBdBxXZx5i8WdcNQK959YJr90; https://drive.google.com/open?id=1sfqjXMGOO2B4v_p4duBQAY5gnYY1Npua</t>
  </si>
  <si>
    <t>Trả lương T11.2024</t>
  </si>
  <si>
    <t>https://www.facebook.com/do.huyen.006?mibextid=JRoKGi</t>
  </si>
  <si>
    <t>Đỗ Thị Huyền</t>
  </si>
  <si>
    <t>số 7 Ngô Gia Tự - Phù Vân- Phủ Lí - Hà Nam</t>
  </si>
  <si>
    <t>https://drive.google.com/open?id=12Xlj6e4IkBR-sdZdtjNhBgUcNne10sym; https://drive.google.com/open?id=19yp9IyQQzvRbO8QT4U1ZGOZOdFGj2-jL; https://drive.google.com/open?id=1qXyn_mE10JX8VSNqJmlsRokAZruQ4Rkw</t>
  </si>
  <si>
    <t>https://www.facebook.com/profile.php?id=100068795874097</t>
  </si>
  <si>
    <r>
      <rPr>
        <sz val="12"/>
        <color theme="1"/>
        <rFont val="Times New Roman"/>
        <family val="1"/>
      </rPr>
      <t>Hà Đăng Thịnh</t>
    </r>
    <r>
      <rPr>
        <sz val="12"/>
        <color rgb="FFFF0000"/>
        <rFont val="Times New Roman"/>
        <family val="1"/>
      </rPr>
      <t xml:space="preserve"> - Thịnh Hà</t>
    </r>
  </si>
  <si>
    <t>24A ngõ 90 Chính Kinh. Thanh Xuân Hà nội</t>
  </si>
  <si>
    <t>https://drive.google.com/open?id=1MJP4KsLoE61xUpSnZ1qAY9ac5qC0V7_3; https://drive.google.com/open?id=1LdG25rezv1OsooWKq20LPDkYjD8sTS5O</t>
  </si>
  <si>
    <t>https://www.facebook.com/profile.php?id=61550005731130&amp;mibextid=LQQJ4d</t>
  </si>
  <si>
    <t>Nguyễn Tường Huy</t>
  </si>
  <si>
    <t>số nhà 6+, ngõ 2, đường Tân Triều</t>
  </si>
  <si>
    <t>https://drive.google.com/open?id=1zgN_gZcBWUjWdkE4N_FsjYOCL36kAAIu; https://drive.google.com/open?id=1h0eoZr5xCl08k4N8sOHsDEY7LN46YMb9</t>
  </si>
  <si>
    <t>Chu Văn Trường</t>
  </si>
  <si>
    <t>T271</t>
  </si>
  <si>
    <t>https://www.facebook.com/share/1DezDFw3fN/?mibextid=LQQJ4d</t>
  </si>
  <si>
    <t>Lê Thị Hà Bình</t>
  </si>
  <si>
    <t>Ngõ 122, hẽm 18, ngách 1, số nhà 8, phường Lĩnh Nam, quận Hoàng Mai</t>
  </si>
  <si>
    <t>16/09/2024 và 22/09/2024</t>
  </si>
  <si>
    <t>https://drive.google.com/open?id=1Fbe6jNzdbLp2tohPkSO2spEQw_qoo1wg; https://drive.google.com/open?id=1EZ_Sh4YhK-ZbwvYuxpDc6sYrou2ZhoBZ; https://drive.google.com/open?id=17tysXr3CK0PL2KL64kjew5aILkPN4tr4</t>
  </si>
  <si>
    <t>Ngách 180/90/14 Ngõ 180 Phố Nam Dư, Phường Lĩnh Nam, Quận Hoàng Mai Hà Nội</t>
  </si>
  <si>
    <t>849/46 hà huy tập phường tân hợi tp buôn ma thuột</t>
  </si>
  <si>
    <t>Vũ Công Minh</t>
  </si>
  <si>
    <t>Cổng phụ đại học công nghiệp HN cơ sở 3, Phù Vân, Phủ Lý, Hà Nam</t>
  </si>
  <si>
    <t>T284 nghỉ ngang b9 Hạ chat</t>
  </si>
  <si>
    <t>https://www.facebook.com/profile.php?id=100077494404326&amp;mibextid=ZbWKwL</t>
  </si>
  <si>
    <r>
      <rPr>
        <sz val="12"/>
        <color theme="1"/>
        <rFont val="Times New Roman"/>
        <family val="1"/>
      </rPr>
      <t xml:space="preserve">Bùi Tiến Anh </t>
    </r>
    <r>
      <rPr>
        <sz val="12"/>
        <color rgb="FFFF0000"/>
        <rFont val="Times New Roman"/>
        <family val="1"/>
      </rPr>
      <t xml:space="preserve"> - Tanh - T270</t>
    </r>
  </si>
  <si>
    <t>https://drive.google.com/open?id=1qwwZUf_711BStx1lrCBK4wDdAEyHLUm8; https://drive.google.com/open?id=1Ga2MJxHWN867eScYY0PHr9iP_mZgWncd</t>
  </si>
  <si>
    <t>849/49 hà huy tập phường tân lợi tp buôn ma thuột</t>
  </si>
  <si>
    <t>số 4 58/23/4 Trần Bình, Mai Dịch, Cầu Giấy, Hà Nội</t>
  </si>
  <si>
    <t>https://www.facebook.com/masami.takei.963</t>
  </si>
  <si>
    <t>Vũ Thị Nga</t>
  </si>
  <si>
    <t>23/09/2024 và 24/9</t>
  </si>
  <si>
    <t>https://drive.google.com/open?id=1UvGZa6B97bXrByZKGkyJzfZnu4tO-Nac, https://drive.google.com/open?id=115DZN-Iu0JEGHc0migJINtysIOAGbURf; https://drive.google.com/open?id=1WaJcQOWziah95Q18QA5kjqPVV2I6KbZh</t>
  </si>
  <si>
    <t>https://www.facebook.com/profile.php?id=100042999638025</t>
  </si>
  <si>
    <t>Trần Yến Nhi</t>
  </si>
  <si>
    <t>tranyennhi21112006@gmail.com</t>
  </si>
  <si>
    <t>Đồng Ao- Thanh Thuỷ - Thanh Liêm - Hà Nam</t>
  </si>
  <si>
    <t>19/08/2024 và 13/09/2024</t>
  </si>
  <si>
    <t>https://drive.google.com/open?id=1JnAQDP4ilxvjBWI3Howwna_9gECrjpIQ; https://drive.google.com/open?id=1tV0_3y2xiq2R4Zlq0sAULw2Jg-RCrcKA, https://drive.google.com/open?id=10P0_H4Ir42-qSvtAaMhyeX41UTYJafH6; https://drive.google.com/open?id=1xWDYb6mDArqJ-N3PcuysvFTcemDtyHJJ</t>
  </si>
  <si>
    <t>Gửi Thắng</t>
  </si>
  <si>
    <t>https://www.facebook.com/bui.haianh.1297?mibextid=ZbWKwL</t>
  </si>
  <si>
    <r>
      <rPr>
        <sz val="12"/>
        <color theme="1"/>
        <rFont val="Times New Roman"/>
        <family val="1"/>
      </rPr>
      <t>Bùi Hải Anh</t>
    </r>
    <r>
      <rPr>
        <sz val="12"/>
        <color rgb="FFFF0000"/>
        <rFont val="Times New Roman"/>
        <family val="1"/>
      </rPr>
      <t xml:space="preserve"> (hợp đồng)</t>
    </r>
  </si>
  <si>
    <t>bhaianh00@gmail.com</t>
  </si>
  <si>
    <t>Số nhà 29 , tổ 6 , khu tân lập 3 , phường Cẩm Thủy , thành phố Cẩm Phả , tỉnh Quảng Ninh</t>
  </si>
  <si>
    <t>16/06/2024 và 01/07/2024 và 30/07/2024</t>
  </si>
  <si>
    <t>01/10/2024 và 31/10/2024</t>
  </si>
  <si>
    <t>https://drive.google.com/open?id=1KFNKYvTO4UKlB-GrswkCVoGgudbMr6mQ</t>
  </si>
  <si>
    <r>
      <rPr>
        <sz val="12"/>
        <color theme="1"/>
        <rFont val="Times New Roman"/>
        <family val="1"/>
      </rPr>
      <t>Lê Thuý Hiền</t>
    </r>
    <r>
      <rPr>
        <sz val="12"/>
        <color rgb="FFFF0000"/>
        <rFont val="Times New Roman"/>
        <family val="1"/>
      </rPr>
      <t xml:space="preserve"> (hợp đồng)</t>
    </r>
  </si>
  <si>
    <r>
      <rPr>
        <sz val="12"/>
        <color theme="1"/>
        <rFont val="Times New Roman"/>
        <family val="1"/>
      </rPr>
      <t xml:space="preserve">Tạ Vũ Nam </t>
    </r>
    <r>
      <rPr>
        <sz val="12"/>
        <color rgb="FFFF0000"/>
        <rFont val="Times New Roman"/>
        <family val="1"/>
      </rPr>
      <t xml:space="preserve">(hợp đồng) </t>
    </r>
    <r>
      <rPr>
        <sz val="12"/>
        <color theme="1"/>
        <rFont val="Times New Roman"/>
        <family val="1"/>
      </rPr>
      <t xml:space="preserve">- Sách cũ </t>
    </r>
    <r>
      <rPr>
        <sz val="12"/>
        <color rgb="FFFF0000"/>
        <rFont val="Times New Roman"/>
        <family val="1"/>
      </rPr>
      <t>912690863 số bố</t>
    </r>
  </si>
  <si>
    <t>Tam Hợp Bình Xuyên Vĩnh Phan</t>
  </si>
  <si>
    <t>https://drive.google.com/open?id=1ycOWS5mj4u92A5uY4350Zm06Ywd5CtG3; https://drive.google.com/open?id=1otBJGnqGpdRQw1Cd0twt-XIWIHKKsmN8</t>
  </si>
  <si>
    <t>https://www.facebook.com/nbinh5?mibextid=LQQJ4d</t>
  </si>
  <si>
    <r>
      <rPr>
        <sz val="12"/>
        <color theme="1"/>
        <rFont val="Times New Roman"/>
        <family val="1"/>
      </rPr>
      <t xml:space="preserve">Nguyễn Mậu Bình </t>
    </r>
    <r>
      <rPr>
        <sz val="12"/>
        <color rgb="FFFF0000"/>
        <rFont val="Times New Roman"/>
        <family val="1"/>
      </rPr>
      <t>(hợp đồng) T219 tự rời nhóm</t>
    </r>
  </si>
  <si>
    <t>maubinh2006@gmail.com</t>
  </si>
  <si>
    <t>số nhà 12, khu 4, Phố Mới, Quế Võ, Bắc Ninh</t>
  </si>
  <si>
    <t>12/07/2024 và 06/09/2024</t>
  </si>
  <si>
    <t>https://drive.google.com/open?id=17dZV3F9yi-oGW-_jb81J2bPFF1I5YZLq; https://drive.google.com/open?id=10QofWgtueVu4aMuQ5mbevwlGTusLq4VY</t>
  </si>
  <si>
    <r>
      <rPr>
        <sz val="12"/>
        <color theme="1"/>
        <rFont val="Times New Roman"/>
        <family val="1"/>
      </rPr>
      <t xml:space="preserve">Đặng Quỳnh Mai </t>
    </r>
    <r>
      <rPr>
        <sz val="12"/>
        <color rgb="FFFF0000"/>
        <rFont val="Times New Roman"/>
        <family val="1"/>
      </rPr>
      <t>(hợp đồng) PT92, PT95, OPT26</t>
    </r>
  </si>
  <si>
    <r>
      <rPr>
        <sz val="12"/>
        <color theme="1"/>
        <rFont val="Times New Roman"/>
        <family val="1"/>
      </rPr>
      <t>Bùi Thị Bích Ngân</t>
    </r>
    <r>
      <rPr>
        <sz val="12"/>
        <color rgb="FFFF0000"/>
        <rFont val="Times New Roman"/>
        <family val="1"/>
      </rPr>
      <t xml:space="preserve"> (hợp đồng) </t>
    </r>
  </si>
  <si>
    <t>https://www.facebook.com/profile.php?id=100033647033841&amp;mibextid=ZbWKwL</t>
  </si>
  <si>
    <t>Cao Khánh Linh</t>
  </si>
  <si>
    <t>khanhlinhcao93@gmail.com</t>
  </si>
  <si>
    <t>cạnh UBND xã Du Lễ, Kiến Thuỵ, Hải Phòng</t>
  </si>
  <si>
    <t>11/07/2024 và 23/09/2024</t>
  </si>
  <si>
    <t>https://drive.google.com/open?id=1tGFXCi3iADJM_rCF2XcLJwv0M4iIIqBV; https://drive.google.com/open?id=1eOalOd626OKJN9zPRO-R1DxHzmFH-e88; https://drive.google.com/open?id=1avqVMAMelpgwV07hJP8rkJowQRrgUju2</t>
  </si>
  <si>
    <t>https://www.facebook.com/vytham.hoang.31?mibextid=ZbWKwL</t>
  </si>
  <si>
    <r>
      <rPr>
        <sz val="12"/>
        <color theme="1"/>
        <rFont val="Times New Roman"/>
        <family val="1"/>
      </rPr>
      <t xml:space="preserve">Chu Thị Thắm </t>
    </r>
    <r>
      <rPr>
        <sz val="12"/>
        <color rgb="FFFF0000"/>
        <rFont val="Times New Roman"/>
        <family val="1"/>
      </rPr>
      <t>(hợp đồng)</t>
    </r>
  </si>
  <si>
    <t>chutham1210@gmail.com</t>
  </si>
  <si>
    <t xml:space="preserve"> xóm Cổ Lũng, xã Cổ Lũng, Huyện Phú Lương, Tỉnh Thái Nguyên</t>
  </si>
  <si>
    <t>02/08/2024 và 03/08/2024</t>
  </si>
  <si>
    <t>https://drive.google.com/open?id=1CrQrXlmc7ORvWPffuRsUIIhjHKAkrfAB; https://drive.google.com/open?id=15Hwpd_AfHzO7MF3aCeThFGskvVMxN3aa</t>
  </si>
  <si>
    <t>OPT25 nghỉ ngang b4 Yến báo</t>
  </si>
  <si>
    <t>https://www.facebook.com/profile.php?id=100069075580392&amp;mibextid=LQQJ4d</t>
  </si>
  <si>
    <r>
      <rPr>
        <sz val="12"/>
        <color theme="1"/>
        <rFont val="Times New Roman"/>
        <family val="1"/>
      </rPr>
      <t xml:space="preserve">Trương Vũ Ngọc Đức </t>
    </r>
    <r>
      <rPr>
        <sz val="12"/>
        <color rgb="FFFF0000"/>
        <rFont val="Times New Roman"/>
        <family val="1"/>
      </rPr>
      <t>PT109 học 1 buổi
Đã nộp 300K 18/08/2024</t>
    </r>
  </si>
  <si>
    <t>FLC star tower , Quang Trung La Khê Hà Đông</t>
  </si>
  <si>
    <t>https://drive.google.com/open?id=1gk4_qfmHB5cx-A4vnh4jYSIWICNbE00D</t>
  </si>
  <si>
    <t>Hạ combo. Yến đưa tay</t>
  </si>
  <si>
    <t>https://www.facebook.com/profile.php?id=100036023711946&amp;mibextid=ZbWKwL</t>
  </si>
  <si>
    <r>
      <rPr>
        <sz val="12"/>
        <color theme="1"/>
        <rFont val="Times New Roman"/>
        <family val="1"/>
      </rPr>
      <t>Hoàng Nhật Lan</t>
    </r>
    <r>
      <rPr>
        <sz val="12"/>
        <color rgb="FFFF0000"/>
        <rFont val="Times New Roman"/>
        <family val="1"/>
      </rPr>
      <t xml:space="preserve"> (hợp đồng</t>
    </r>
    <r>
      <rPr>
        <sz val="12"/>
        <color theme="1"/>
        <rFont val="Times New Roman"/>
        <family val="1"/>
      </rPr>
      <t>)</t>
    </r>
  </si>
  <si>
    <t xml:space="preserve"> hoangquyen73nd@gmail.com</t>
  </si>
  <si>
    <t xml:space="preserve">cổng Tân Mỹ, xóm 3, xã Xuân Trung, huyện Xuân Trường, tỉnh Nam Định </t>
  </si>
  <si>
    <t>https://drive.google.com/open?id=1J5Zx9l0ceIouZhQZdYgA2OKFRv4Qpc2l; https://drive.google.com/open?id=1djTPjbEh_YHzfCkoJ2rlAOSa8VyNr37n</t>
  </si>
  <si>
    <t>https://www.facebook.com/profile.php?id=100029188029456&amp;mibextid=LQQJ4d</t>
  </si>
  <si>
    <r>
      <rPr>
        <sz val="12"/>
        <color theme="1"/>
        <rFont val="Times New Roman"/>
        <family val="1"/>
      </rPr>
      <t xml:space="preserve">Đỗ Thị Diệu </t>
    </r>
    <r>
      <rPr>
        <sz val="12"/>
        <color rgb="FFFF0000"/>
        <rFont val="Times New Roman"/>
        <family val="1"/>
      </rPr>
      <t>(hợp đồng) 568080991 zalo</t>
    </r>
  </si>
  <si>
    <t>xóm 5 thôn duyên hà xã đông kinh huyện đông hưng tỉnh thái bình</t>
  </si>
  <si>
    <t>https://drive.google.com/open?id=13bjwe24wZerINiwRXAIKKWoylvVdMIkI</t>
  </si>
  <si>
    <t xml:space="preserve"> https://www.facebook.com/giaiky.tong.3?mibextid=LQQJ4d</t>
  </si>
  <si>
    <r>
      <rPr>
        <sz val="12"/>
        <color theme="1"/>
        <rFont val="Times New Roman"/>
        <family val="1"/>
      </rPr>
      <t xml:space="preserve">Nguyễn Thị Phượng </t>
    </r>
    <r>
      <rPr>
        <sz val="12"/>
        <color rgb="FFFF0000"/>
        <rFont val="Times New Roman"/>
        <family val="1"/>
      </rPr>
      <t>(hợp đồng)</t>
    </r>
  </si>
  <si>
    <t>Tổ 1, phố cò, sông công, thái nguyên</t>
  </si>
  <si>
    <t>https://drive.google.com/open?id=1UzIqhSBgcyC2Y3psTnt3AcYdYe9miaJl, https://drive.google.com/open?id=1XALCaKY2BKQuPvhnq8Rm9YEUfVCaJo7_</t>
  </si>
  <si>
    <t>https://www.facebook.com/profile.php?id=61557052156540&amp;mibextid=LQQJ4d</t>
  </si>
  <si>
    <r>
      <rPr>
        <sz val="12"/>
        <color theme="1"/>
        <rFont val="Times New Roman"/>
        <family val="1"/>
      </rPr>
      <t xml:space="preserve">Nguyễn Minh Đức </t>
    </r>
    <r>
      <rPr>
        <sz val="12"/>
        <color rgb="FFFF0000"/>
        <rFont val="Times New Roman"/>
        <family val="1"/>
      </rPr>
      <t>(hợp đồng) PT112</t>
    </r>
  </si>
  <si>
    <t xml:space="preserve">đội: 4 thôn trung hòa xã Phú Thịnh huyện Kim Động tỉnh Hưng Yên </t>
  </si>
  <si>
    <t>https://drive.google.com/open?id=1RKULeKHRFYvtkeQKVk8yQTaUh1bGjW_l</t>
  </si>
  <si>
    <r>
      <rPr>
        <sz val="12"/>
        <color theme="1"/>
        <rFont val="Times New Roman"/>
        <family val="1"/>
      </rPr>
      <t>Vũ Bình An</t>
    </r>
    <r>
      <rPr>
        <sz val="12"/>
        <color rgb="FFFF0000"/>
        <rFont val="Times New Roman"/>
        <family val="1"/>
      </rPr>
      <t xml:space="preserve"> (hợp đồng) 949917195 số cũ</t>
    </r>
  </si>
  <si>
    <t>Số nhà 85, Ấp Trú, Định Bình, Yên Định, Thanh Hóa</t>
  </si>
  <si>
    <r>
      <rPr>
        <sz val="12"/>
        <color theme="1"/>
        <rFont val="Times New Roman"/>
        <family val="1"/>
      </rPr>
      <t>Bùi Quang Thuận</t>
    </r>
    <r>
      <rPr>
        <sz val="12"/>
        <color rgb="FFFF0000"/>
        <rFont val="Times New Roman"/>
        <family val="1"/>
      </rPr>
      <t xml:space="preserve"> (hợp đồng)</t>
    </r>
  </si>
  <si>
    <t>https://www.facebook.com/profile.php?id=100069422756691&amp;mibextid=LQQJ4d</t>
  </si>
  <si>
    <r>
      <rPr>
        <sz val="12"/>
        <color theme="1"/>
        <rFont val="Times New Roman"/>
        <family val="1"/>
      </rPr>
      <t xml:space="preserve">Nguyễn Ngọc Anh </t>
    </r>
    <r>
      <rPr>
        <sz val="12"/>
        <color rgb="FFFF0000"/>
        <rFont val="Times New Roman"/>
        <family val="1"/>
      </rPr>
      <t>(hợp đồng)</t>
    </r>
  </si>
  <si>
    <t>ngocanhnguyen01112006@gmail.com</t>
  </si>
  <si>
    <t xml:space="preserve">số nhà 71, tổ 7, đường Vạn Xuân, phường Bắc Sơn, thành phố Tam Điệp, tỉnh Ninh Bình </t>
  </si>
  <si>
    <t>https://drive.google.com/open?id=11-TftdIuUHEIAZohVuFV-_H2avXWZm49</t>
  </si>
  <si>
    <r>
      <rPr>
        <sz val="12"/>
        <color theme="1"/>
        <rFont val="Times New Roman"/>
        <family val="1"/>
      </rPr>
      <t xml:space="preserve">Đỗ Phạm Trâm Anh </t>
    </r>
    <r>
      <rPr>
        <sz val="12"/>
        <color rgb="FFFF0000"/>
        <rFont val="Times New Roman"/>
        <family val="1"/>
      </rPr>
      <t>(hợp đồng) - đã nộp 300K 16/09/2024
Bảo lưu PT114 buổi 6. Học OPT35 b1</t>
    </r>
  </si>
  <si>
    <r>
      <rPr>
        <sz val="12"/>
        <color theme="1"/>
        <rFont val="Times New Roman"/>
        <family val="1"/>
      </rPr>
      <t xml:space="preserve">Chu Thị Lan Phương </t>
    </r>
    <r>
      <rPr>
        <sz val="12"/>
        <color rgb="FFFF0000"/>
        <rFont val="Times New Roman"/>
        <family val="1"/>
      </rPr>
      <t>(hợp đồng)</t>
    </r>
  </si>
  <si>
    <t>Thôn trà lý - xã đông quý - huyện tiền hải- tỉnh thái bình</t>
  </si>
  <si>
    <r>
      <rPr>
        <sz val="12"/>
        <color theme="1"/>
        <rFont val="Times New Roman"/>
        <family val="1"/>
      </rPr>
      <t xml:space="preserve">Trần Yến Nhi </t>
    </r>
    <r>
      <rPr>
        <sz val="12"/>
        <color rgb="FFFF0000"/>
        <rFont val="Times New Roman"/>
        <family val="1"/>
      </rPr>
      <t>- OPT27</t>
    </r>
  </si>
  <si>
    <t>https://www.facebook.com/Nguyentuoii826?mibextid=LQQJ4d</t>
  </si>
  <si>
    <r>
      <rPr>
        <sz val="12"/>
        <color theme="1"/>
        <rFont val="Times New Roman"/>
        <family val="1"/>
      </rPr>
      <t xml:space="preserve">Nguyễn Thị Tươi </t>
    </r>
    <r>
      <rPr>
        <sz val="12"/>
        <color rgb="FFFF0000"/>
        <rFont val="Times New Roman"/>
        <family val="1"/>
      </rPr>
      <t>(hợp đồng)</t>
    </r>
  </si>
  <si>
    <t xml:space="preserve">Ngtuoi0511@gmail.com </t>
  </si>
  <si>
    <t>https://drive.google.com/open?id=1AOgrXqwyi6ATKYEZWDKHKclMmiczo9s8; https://drive.google.com/open?id=1mo0t7Dcq5NBQt1oq49XnIxwwvF3qN7nq</t>
  </si>
  <si>
    <t>Hạ combo. Đức đưa tay</t>
  </si>
  <si>
    <t>https://www.facebook.com/profile.php?id=100068117717709&amp;mibextid=LQQJ4d</t>
  </si>
  <si>
    <r>
      <rPr>
        <sz val="12"/>
        <color theme="1"/>
        <rFont val="Times New Roman"/>
        <family val="1"/>
      </rPr>
      <t xml:space="preserve">Hoàng Văn Quang - </t>
    </r>
    <r>
      <rPr>
        <sz val="12"/>
        <color rgb="FFFF0000"/>
        <rFont val="Times New Roman"/>
        <family val="1"/>
      </rPr>
      <t>OPT25</t>
    </r>
  </si>
  <si>
    <t>19/08/2024 và 11/09/2024</t>
  </si>
  <si>
    <t>https://drive.google.com/open?id=1JLKIRcDlVlycIyGLwhT1C5AlEkTuaBzg; https://drive.google.com/open?id=1lW7c0mXWkdEOcxzlilWSJ8z7gw01vJ3a; https://drive.google.com/open?id=1bE8eUvpknnBR0qOTiO6vdgxhGjQMIoFw</t>
  </si>
  <si>
    <r>
      <rPr>
        <sz val="12"/>
        <color theme="1"/>
        <rFont val="Times New Roman"/>
        <family val="1"/>
      </rPr>
      <t xml:space="preserve">Vũ Minh Quân </t>
    </r>
    <r>
      <rPr>
        <sz val="12"/>
        <color rgb="FFFF0000"/>
        <rFont val="Times New Roman"/>
        <family val="1"/>
      </rPr>
      <t>(hợp đồng)</t>
    </r>
  </si>
  <si>
    <t>https://www.facebook.com/profile.php?id=61561345451973&amp;mibextid=LQQJ4d</t>
  </si>
  <si>
    <r>
      <rPr>
        <sz val="12"/>
        <color theme="1"/>
        <rFont val="Times New Roman"/>
        <family val="1"/>
      </rPr>
      <t>Đỗ Vũ Mai Linh</t>
    </r>
    <r>
      <rPr>
        <sz val="12"/>
        <color rgb="FFFF0000"/>
        <rFont val="Times New Roman"/>
        <family val="1"/>
      </rPr>
      <t xml:space="preserve"> (hợp đồng) </t>
    </r>
    <r>
      <rPr>
        <sz val="12"/>
        <color theme="1"/>
        <rFont val="Times New Roman"/>
        <family val="1"/>
      </rPr>
      <t>PT115</t>
    </r>
  </si>
  <si>
    <t>hdnddh72863@gmail.com</t>
  </si>
  <si>
    <t>Số nhà 178 đường núi ngọc thị trấn Cát Bà</t>
  </si>
  <si>
    <t>18/08/2024 và 17/09/2024</t>
  </si>
  <si>
    <t>https://drive.google.com/open?id=1HLR_QSDB-5pNgZgVouR6L77-HZpukeLb; https://drive.google.com/open?id=1kTPeTWLGpJ4YbUJsInKCYNU77hai91A2; https://drive.google.com/open?id=1vUme0DiWmYjuNWFo-2RqZv--OGcBWLug</t>
  </si>
  <si>
    <t xml:space="preserve">Bùi Hoàng Nam </t>
  </si>
  <si>
    <t>https://www.facebook.com/profile.php?id=100090749863152&amp;mibextid=LQQJ4d</t>
  </si>
  <si>
    <r>
      <rPr>
        <sz val="12"/>
        <color theme="1"/>
        <rFont val="Times New Roman"/>
        <family val="1"/>
      </rPr>
      <t>Lê Thu Thanh</t>
    </r>
    <r>
      <rPr>
        <sz val="12"/>
        <color rgb="FFFF0000"/>
        <rFont val="Times New Roman"/>
        <family val="1"/>
      </rPr>
      <t xml:space="preserve"> (hợp đồng) số ZALO 984025961</t>
    </r>
  </si>
  <si>
    <t>thôn Gia Hoà xã Xuân Hoà huyện Lập Thạch tỉnh Vĩnh Phúc</t>
  </si>
  <si>
    <t>https://drive.google.com/open?id=1rsaqWHfcVcYv7dzNGYucbefCjcjRTfe1</t>
  </si>
  <si>
    <t>https://www.facebook.com/susu.pham.94402343?mibextid=LQQJ4d</t>
  </si>
  <si>
    <r>
      <rPr>
        <sz val="12"/>
        <color theme="1"/>
        <rFont val="Times New Roman"/>
        <family val="1"/>
      </rPr>
      <t xml:space="preserve">Phạm Thị Duyên </t>
    </r>
    <r>
      <rPr>
        <sz val="12"/>
        <color rgb="FFFF0000"/>
        <rFont val="Times New Roman"/>
        <family val="1"/>
      </rPr>
      <t>(hợp đồng)</t>
    </r>
  </si>
  <si>
    <t>Đường Đ 35.khu dân cư việt sing, phường an phú, thành phố thuận an, tỉnh  bình dương</t>
  </si>
  <si>
    <t>https://drive.google.com/open?id=1Yl4da_aamrKtwO_4vTYxCPqJEAtvlsNC</t>
  </si>
  <si>
    <t>https://www.facebook.com/profile.php?id=100051913898244&amp;mibextid=LQQJ4d</t>
  </si>
  <si>
    <r>
      <rPr>
        <sz val="12"/>
        <color theme="1"/>
        <rFont val="Times New Roman"/>
        <family val="1"/>
      </rPr>
      <t>Ngô Ngọc Diệp</t>
    </r>
    <r>
      <rPr>
        <sz val="12"/>
        <color rgb="FFFF0000"/>
        <rFont val="Times New Roman"/>
        <family val="1"/>
      </rPr>
      <t xml:space="preserve"> (hợp đồng)</t>
    </r>
  </si>
  <si>
    <t>xóm Tân Phú- Phong Phú- Tân Lạc- Hoà Bình</t>
  </si>
  <si>
    <t>19/08/2024 và 20/08/2024</t>
  </si>
  <si>
    <t>https://drive.google.com/open?id=1IjFWEE5ujE8VCI8OhpkdB29MgdmAjrYE, https://drive.google.com/open?id=1VV7NHRnfOdnwHTswarNqbYnVV_dwamJp</t>
  </si>
  <si>
    <t xml:space="preserve">Lê Thị Phương </t>
  </si>
  <si>
    <t>https://www.facebook.com/linhhlp.06</t>
  </si>
  <si>
    <r>
      <rPr>
        <sz val="12"/>
        <color theme="1"/>
        <rFont val="Times New Roman"/>
        <family val="1"/>
      </rPr>
      <t xml:space="preserve">Phạm Tú Linh </t>
    </r>
    <r>
      <rPr>
        <sz val="12"/>
        <color rgb="FFFF0000"/>
        <rFont val="Times New Roman"/>
        <family val="1"/>
      </rPr>
      <t>(hợp đồng)</t>
    </r>
  </si>
  <si>
    <t xml:space="preserve">Gmail: tulinh.tramy@gmail.com </t>
  </si>
  <si>
    <t xml:space="preserve"> Số nhà 39, ngõ 207/66, đường Xuân Đỉnh, quận Bắc Từ Liêm, Hà Nội</t>
  </si>
  <si>
    <t>20/08/2024 và 06/09/2024</t>
  </si>
  <si>
    <t>https://drive.google.com/open?id=1z2U7IEDEN-QNF1RbHbb-DLeNlWUjoZCb; https://drive.google.com/open?id=1nYzJdAUH3zhq7HQJRL8bKbDlRgDNB6gw; https://drive.google.com/open?id=1hoR2ykgKWdvqaQNdJGoIYZj5bfYy5bpL</t>
  </si>
  <si>
    <t>Đức báo gửi về nhà. Bố và hv khó tính</t>
  </si>
  <si>
    <t>https://www.facebook.com/profile.php?id=100040451982471&amp;locale=vi_VN</t>
  </si>
  <si>
    <r>
      <rPr>
        <sz val="12"/>
        <color theme="1"/>
        <rFont val="Times New Roman"/>
        <family val="1"/>
      </rPr>
      <t xml:space="preserve">Nguyễn Khánh Linh </t>
    </r>
    <r>
      <rPr>
        <sz val="12"/>
        <color rgb="FFFF0000"/>
        <rFont val="Times New Roman"/>
        <family val="1"/>
      </rPr>
      <t>(hợp đồng)</t>
    </r>
  </si>
  <si>
    <t>nguyenkhanhlinhh2732006@gmail.com</t>
  </si>
  <si>
    <t>số nhà 54 ngõ 202 đường Lê Hồng Phong tp Yên Bái tỉnh Yên Bái</t>
  </si>
  <si>
    <t>20/08/2024 và 26/08/2024</t>
  </si>
  <si>
    <t>https://drive.google.com/open?id=1zhpAEIVUw0xsQXfaG2TWOpgqilXSsMcf; https://drive.google.com/open?id=1BYPAcqKxm0hiBcY8naetQ1TrtQmY-SdR; https://drive.google.com/open?id=1T3SG9ORczGKCNvQTMqC_cN0eBLlDXkeJ</t>
  </si>
  <si>
    <t>https://www.facebook.com/Gnourt11.06?mibextid=LQQJ4d</t>
  </si>
  <si>
    <r>
      <rPr>
        <sz val="12"/>
        <color theme="1"/>
        <rFont val="Times New Roman"/>
        <family val="1"/>
      </rPr>
      <t xml:space="preserve">Trần Văn Trường </t>
    </r>
    <r>
      <rPr>
        <sz val="12"/>
        <color rgb="FFFF0000"/>
        <rFont val="Times New Roman"/>
        <family val="1"/>
      </rPr>
      <t>(hợp đồng) OPT23</t>
    </r>
  </si>
  <si>
    <t>trantrung.hl.bg@gmail.com</t>
  </si>
  <si>
    <t>thôn 6- xã Hương Lạc- huyện Lạng Giang- tỉnh Bắc Giang</t>
  </si>
  <si>
    <t>21/08/2024 và 14/09/2024</t>
  </si>
  <si>
    <t>https://drive.google.com/open?id=1hcSl779smCL7dktauv5HruWIuq4srldi; https://drive.google.com/open?id=1f3UEgPtXQwl_Nsi11LCyE5KOJwVbT5Bs</t>
  </si>
  <si>
    <t>https://www.facebook.com/linhlambangtan?mibextid=ZbWKwL</t>
  </si>
  <si>
    <r>
      <rPr>
        <sz val="12"/>
        <color theme="1"/>
        <rFont val="Times New Roman"/>
        <family val="1"/>
      </rPr>
      <t xml:space="preserve">Lâm Hoàng Linh </t>
    </r>
    <r>
      <rPr>
        <sz val="12"/>
        <color rgb="FFFF0000"/>
        <rFont val="Times New Roman"/>
        <family val="1"/>
      </rPr>
      <t>(hợp đồng)</t>
    </r>
  </si>
  <si>
    <t>lamhoanglinhtn@gmail.com</t>
  </si>
  <si>
    <t>tổ dân phố Đồng Thịnh, thị trấn Hoá Thượng, huyện Đồng Hỷ, tỉnh Thái Nguyên</t>
  </si>
  <si>
    <t>21/08/2024 và 12/09/2024</t>
  </si>
  <si>
    <t>https://drive.google.com/open?id=1Z_w8x-Vwb4mN3O4AHQlX5x5PLaBF2EKj; https://drive.google.com/open?id=1v_pBnqAVl_fw8iALj6O9QPl-chSxHcbQ; https://drive.google.com/open?id=1EGSl94tn-kcmujJeTVH_IuJZUl1X8oH3, https://drive.google.com/open?id=1LfMTUkWWF-L7yBkXmv_uyvDjNaA1mmhy</t>
  </si>
  <si>
    <r>
      <rPr>
        <sz val="12"/>
        <color theme="1"/>
        <rFont val="Times New Roman"/>
        <family val="1"/>
      </rPr>
      <t>Tạ Quỳnh Hương</t>
    </r>
    <r>
      <rPr>
        <sz val="12"/>
        <color rgb="FFFF0000"/>
        <rFont val="Times New Roman"/>
        <family val="1"/>
      </rPr>
      <t xml:space="preserve"> (hợp đồng)</t>
    </r>
  </si>
  <si>
    <t>TDP Sáu, Bàng La, Đồ Sơn, Hải Phòng</t>
  </si>
  <si>
    <r>
      <rPr>
        <sz val="12"/>
        <color theme="1"/>
        <rFont val="Times New Roman"/>
        <family val="1"/>
      </rPr>
      <t xml:space="preserve">Nguyễn Thảo Ly </t>
    </r>
    <r>
      <rPr>
        <sz val="12"/>
        <color rgb="FFFF0000"/>
        <rFont val="Times New Roman"/>
        <family val="1"/>
      </rPr>
      <t>OPT25</t>
    </r>
  </si>
  <si>
    <t>https://www.facebook.com/profile.php?id=100053732010323</t>
  </si>
  <si>
    <r>
      <rPr>
        <sz val="12"/>
        <color theme="1"/>
        <rFont val="Times New Roman"/>
        <family val="1"/>
      </rPr>
      <t xml:space="preserve">Hoàng Trọng Đạo </t>
    </r>
    <r>
      <rPr>
        <sz val="12"/>
        <color rgb="FFFF0000"/>
        <rFont val="Times New Roman"/>
        <family val="1"/>
      </rPr>
      <t>OPT25, OPT28</t>
    </r>
  </si>
  <si>
    <t>22/08/2024 vaf 04/10/2024</t>
  </si>
  <si>
    <t>https://drive.google.com/open?id=1aScjt6m-YJ470Hj7x3XY9zo8kpYa7fmp; https://drive.google.com/open?id=1GdL1XKVfTQ38naxWXJnsxEgYufKfnphD; https://drive.google.com/open?id=1iykX_q304dA8Em2hiyi96AS-bMb7NwB7</t>
  </si>
  <si>
    <r>
      <rPr>
        <sz val="12"/>
        <color theme="1"/>
        <rFont val="Times New Roman"/>
        <family val="1"/>
      </rPr>
      <t xml:space="preserve">Nguyễn Thị Thanh Bình </t>
    </r>
    <r>
      <rPr>
        <sz val="12"/>
        <color rgb="FFFF0000"/>
        <rFont val="Times New Roman"/>
        <family val="1"/>
      </rPr>
      <t>(hợp đồng) PT117</t>
    </r>
  </si>
  <si>
    <t>Đức đưa tay khi ký HĐ</t>
  </si>
  <si>
    <r>
      <rPr>
        <sz val="12"/>
        <color theme="1"/>
        <rFont val="Times New Roman"/>
        <family val="1"/>
      </rPr>
      <t xml:space="preserve">Nguyễn Phương Thúy </t>
    </r>
    <r>
      <rPr>
        <sz val="12"/>
        <color rgb="FFFF0000"/>
        <rFont val="Times New Roman"/>
        <family val="1"/>
      </rPr>
      <t>(hợp đồng)</t>
    </r>
  </si>
  <si>
    <r>
      <rPr>
        <sz val="12"/>
        <color theme="1"/>
        <rFont val="Times New Roman"/>
        <family val="1"/>
      </rPr>
      <t>Nguyễn Bá Vũ</t>
    </r>
    <r>
      <rPr>
        <sz val="12"/>
        <color rgb="FFFF0000"/>
        <rFont val="Times New Roman"/>
        <family val="1"/>
      </rPr>
      <t xml:space="preserve"> (hợp đồng)</t>
    </r>
  </si>
  <si>
    <t>https://www.facebook.com/profile.php?id=100091881070888&amp;mibextid=LQQJ4d</t>
  </si>
  <si>
    <r>
      <rPr>
        <sz val="12"/>
        <color theme="1"/>
        <rFont val="Times New Roman"/>
        <family val="1"/>
      </rPr>
      <t>Hà Diệu Linh</t>
    </r>
    <r>
      <rPr>
        <sz val="12"/>
        <color rgb="FFFF0000"/>
        <rFont val="Times New Roman"/>
        <family val="1"/>
      </rPr>
      <t xml:space="preserve"> (hợp đồng)</t>
    </r>
  </si>
  <si>
    <t>hdlapolytus206@gmail.com</t>
  </si>
  <si>
    <t>Ngõ 64 Long Châu Sa phường Thọ Sơn thành phố Việt Trì tỉnh Phú Thọ</t>
  </si>
  <si>
    <t>https://drive.google.com/open?id=1OeJICMTV8nXadmcMVMrwmqMecWKXg8gk; https://drive.google.com/open?id=1-xdiNc2jv9vZrMSXzVEmMXXVH_e2VwXx</t>
  </si>
  <si>
    <t>https://www.facebook.com/n27.thang9?mibextid=LQQJ4d</t>
  </si>
  <si>
    <r>
      <rPr>
        <sz val="12"/>
        <color theme="1"/>
        <rFont val="Times New Roman"/>
        <family val="1"/>
      </rPr>
      <t xml:space="preserve">Võ Thảo Nguyên </t>
    </r>
    <r>
      <rPr>
        <sz val="12"/>
        <color rgb="FFFF0000"/>
        <rFont val="Times New Roman"/>
        <family val="1"/>
      </rPr>
      <t>- Đã nộp 300K 20/06/2025
OT26 bảo lưu b13 sang khung giờ khác. Hồng Anh báo</t>
    </r>
  </si>
  <si>
    <t>279.hyhy@gmail.com</t>
  </si>
  <si>
    <t>21/08/2024 và 11/09/2024</t>
  </si>
  <si>
    <t>https://drive.google.com/open?id=17a7kig986g8dFCNOGpUKwmJxr4z0mHqN; https://drive.google.com/open?id=1Jl6S8qf6ryy0drCG40lZrFLTQMDZptsE; https://drive.google.com/open?id=1jQHNLxWCg5yK-H7Zr4MSKgibWsmlQcxJ</t>
  </si>
  <si>
    <t>https://www.facebook.com/tuandvck?mibextid=LQQJ4d</t>
  </si>
  <si>
    <t xml:space="preserve">Ngô Đắc Tuấn </t>
  </si>
  <si>
    <t>Ngõ Nam-Nghi An-Trạm Lộ-Thuận Thành-Bắc Ninh</t>
  </si>
  <si>
    <t>https://drive.google.com/open?id=1hNRqlnHn87QrQu-BAfv-5YkXyVvgPLDy; https://drive.google.com/open?id=1KZ_qj4opbRgeq5H7eXFlL5_L88VGpkqG</t>
  </si>
  <si>
    <t>https://www.facebook.com/profile.php?id=61551046004847&amp;mibextid=LQQJ4d</t>
  </si>
  <si>
    <r>
      <rPr>
        <sz val="12"/>
        <color theme="1"/>
        <rFont val="Times New Roman"/>
        <family val="1"/>
      </rPr>
      <t xml:space="preserve">Nguyễn Hưng Nam </t>
    </r>
    <r>
      <rPr>
        <sz val="12"/>
        <color rgb="FFFF0000"/>
        <rFont val="Times New Roman"/>
        <family val="1"/>
      </rPr>
      <t>OPT23</t>
    </r>
  </si>
  <si>
    <t xml:space="preserve">Okstargame01@gmail.com </t>
  </si>
  <si>
    <t>22/08/2024 và 17/10/2024</t>
  </si>
  <si>
    <t>https://drive.google.com/open?id=1dvUqMNddmAf_aVdsoWJjoVw6v68cHhQ6; https://drive.google.com/open?id=1--GmZtR_TiNRSQQbFYIbvJlplHf73dxK, https://drive.google.com/open?id=1_vLnmAO8puDRvHjpBZ-6tX83zb2QRQ0U</t>
  </si>
  <si>
    <t>https://www.facebook.com/profile.php?id=100033093603556&amp;mibextid=LQQJ4d</t>
  </si>
  <si>
    <r>
      <rPr>
        <sz val="12"/>
        <color theme="1"/>
        <rFont val="Times New Roman"/>
        <family val="1"/>
      </rPr>
      <t xml:space="preserve">Phạm Thị Khánh Linh </t>
    </r>
    <r>
      <rPr>
        <sz val="12"/>
        <color rgb="FFFF0000"/>
        <rFont val="Times New Roman"/>
        <family val="1"/>
      </rPr>
      <t>(hợp đồng)</t>
    </r>
  </si>
  <si>
    <t>Số nhà 281-Thôn nhật nội-Thọ dân -Triệu Sơn-Thanh Hoá</t>
  </si>
  <si>
    <t>22/08/2024 và 25/08/2024</t>
  </si>
  <si>
    <t>https://drive.google.com/open?id=1X29CvDTOle9h5wJ-9VGYrp4edceNsRIJ; https://drive.google.com/open?id=10HtjDaeDuuL5OOeASiOTn1SwlpDs8jJb</t>
  </si>
  <si>
    <t>https://www.facebook.com/profile.php?id=100022058163157&amp;mibextid=LQQJ4d</t>
  </si>
  <si>
    <r>
      <rPr>
        <sz val="12"/>
        <color theme="1"/>
        <rFont val="Times New Roman"/>
        <family val="1"/>
      </rPr>
      <t xml:space="preserve">Phạm Phương Anh </t>
    </r>
    <r>
      <rPr>
        <sz val="12"/>
        <color rgb="FFFF0000"/>
        <rFont val="Times New Roman"/>
        <family val="1"/>
      </rPr>
      <t>(hợp đồng) số ZALO</t>
    </r>
  </si>
  <si>
    <t>phuonganh27072006td@gmail.com</t>
  </si>
  <si>
    <t>thôn Vỵ Thuỷ, xã Dương Hồng Thuỷ, huyện Thái Thuỵ, tỉnh Thái Bình</t>
  </si>
  <si>
    <t>23/08/2024 và 11/09/2024</t>
  </si>
  <si>
    <t>https://drive.google.com/open?id=1TyNrBRPAc8XsTH5FLtXFTkk1Fy0f1Vas; https://drive.google.com/open?id=1QZHjsiLEUXH8x9SWpWN7bRfk2kSj-0Om; https://drive.google.com/open?id=1mtLdaPkx7Z6CqyX8GT_E5BYwLy8XoD1i</t>
  </si>
  <si>
    <r>
      <rPr>
        <sz val="12"/>
        <color theme="1"/>
        <rFont val="Times New Roman"/>
        <family val="1"/>
      </rPr>
      <t xml:space="preserve">Trịnh Nguyễn Thuỳ Trang </t>
    </r>
    <r>
      <rPr>
        <sz val="12"/>
        <color rgb="FFFF0000"/>
        <rFont val="Times New Roman"/>
        <family val="1"/>
      </rPr>
      <t>(hợp đồng)</t>
    </r>
  </si>
  <si>
    <r>
      <rPr>
        <sz val="12"/>
        <color theme="1"/>
        <rFont val="Times New Roman"/>
        <family val="1"/>
      </rPr>
      <t xml:space="preserve">Lê Minh Huyền </t>
    </r>
    <r>
      <rPr>
        <sz val="12"/>
        <color rgb="FFFF0000"/>
        <rFont val="Times New Roman"/>
        <family val="1"/>
      </rPr>
      <t>(hợp đồng)</t>
    </r>
  </si>
  <si>
    <t>Đức đã đưa sách</t>
  </si>
  <si>
    <r>
      <rPr>
        <sz val="12"/>
        <color theme="1"/>
        <rFont val="Times New Roman"/>
        <family val="1"/>
      </rPr>
      <t xml:space="preserve"> Phạm Tuấn Anh </t>
    </r>
    <r>
      <rPr>
        <sz val="12"/>
        <color rgb="FFFF0000"/>
        <rFont val="Times New Roman"/>
        <family val="1"/>
      </rPr>
      <t>(hợp đồng) - Anh Phạm</t>
    </r>
  </si>
  <si>
    <r>
      <rPr>
        <sz val="12"/>
        <color theme="1"/>
        <rFont val="Times New Roman"/>
        <family val="1"/>
      </rPr>
      <t>Trần Huyền My</t>
    </r>
    <r>
      <rPr>
        <sz val="12"/>
        <color rgb="FFFF0000"/>
        <rFont val="Times New Roman"/>
        <family val="1"/>
      </rPr>
      <t xml:space="preserve"> (hợp đồng)</t>
    </r>
  </si>
  <si>
    <r>
      <rPr>
        <sz val="12"/>
        <color theme="1"/>
        <rFont val="Times New Roman"/>
        <family val="1"/>
      </rPr>
      <t xml:space="preserve">Trần Thị Quỳnh Anh </t>
    </r>
    <r>
      <rPr>
        <sz val="12"/>
        <color rgb="FFFF0000"/>
        <rFont val="Times New Roman"/>
        <family val="1"/>
      </rPr>
      <t>(hợp đồng)</t>
    </r>
  </si>
  <si>
    <t xml:space="preserve">số nhà 24, xóm Đông, thôn Vệ, xã Nam Hồng, huyện Đông Anh, Hà Nội </t>
  </si>
  <si>
    <t>OPT45</t>
  </si>
  <si>
    <t>https://www.facebook.com/anhs.anhs.75033?mibextid=LQQJ4d</t>
  </si>
  <si>
    <r>
      <rPr>
        <sz val="12"/>
        <color theme="1"/>
        <rFont val="Times New Roman"/>
        <family val="1"/>
      </rPr>
      <t>Bùi Thị Hồng Ánh</t>
    </r>
    <r>
      <rPr>
        <sz val="12"/>
        <color rgb="FFFF0000"/>
        <rFont val="Times New Roman"/>
        <family val="1"/>
      </rPr>
      <t xml:space="preserve"> (hợp đồng)</t>
    </r>
  </si>
  <si>
    <t xml:space="preserve">honganhbuithi537@gmail.com </t>
  </si>
  <si>
    <t>24/08/2024 và 30/09/2024</t>
  </si>
  <si>
    <t>https://drive.google.com/open?id=1x-shpkvVvzuQUBMqli5Tsv7y-smPYHkC; https://drive.google.com/open?id=1CZalCJGsO94raqVO3V7GLPbbMyP00b8D; https://drive.google.com/open?id=1BJVCTTQ-aqBIl6a2HTmwB6lo03WQJiXV, https://drive.google.com/open?id=1oqcuyV1S1v7NqWXjNKKEGeNWMyHP7N7T</t>
  </si>
  <si>
    <t>Đưa cô My sách</t>
  </si>
  <si>
    <r>
      <rPr>
        <sz val="12"/>
        <color theme="1"/>
        <rFont val="Times New Roman"/>
        <family val="1"/>
      </rPr>
      <t xml:space="preserve">Nguyễn Diệu Thương </t>
    </r>
    <r>
      <rPr>
        <sz val="12"/>
        <color rgb="FFFF0000"/>
        <rFont val="Times New Roman"/>
        <family val="1"/>
      </rPr>
      <t>(hợp đồng)</t>
    </r>
  </si>
  <si>
    <t>https://www.facebook.com/profile.php?id=100078337239347&amp;mibextid=LQQJ4d</t>
  </si>
  <si>
    <r>
      <rPr>
        <sz val="12"/>
        <color theme="1"/>
        <rFont val="Times New Roman"/>
        <family val="1"/>
      </rPr>
      <t>Nguyễn Thùy Linh</t>
    </r>
    <r>
      <rPr>
        <sz val="12"/>
        <color rgb="FFFF0000"/>
        <rFont val="Times New Roman"/>
        <family val="1"/>
      </rPr>
      <t xml:space="preserve"> OT28, OT26</t>
    </r>
  </si>
  <si>
    <t>nguyenthuylinh26072006@gmail.com</t>
  </si>
  <si>
    <t>HV hẹn qua VP lấy</t>
  </si>
  <si>
    <t>24/08/2024 và 11/09/2024</t>
  </si>
  <si>
    <t>https://drive.google.com/open?id=1e2oMTj9yJhUkIS3OJfKOsLBSqkf_tlmD; https://drive.google.com/open?id=17BQ_Rf70RGCiiml5vvuLZlN27BOWOJ2a; https://drive.google.com/open?id=1HXen70vFE9_o1aClBw57sqeAwn0Ka9lq</t>
  </si>
  <si>
    <t>https://www.facebook.com/buithibicham0411?mibextid=LQQJ4d</t>
  </si>
  <si>
    <t xml:space="preserve">Bùi Thị Bích Lam </t>
  </si>
  <si>
    <t>builam42006@gmail.com</t>
  </si>
  <si>
    <t>đã nhận - Ngô Đức gửi sách</t>
  </si>
  <si>
    <t>25/08/2024 và 26/08/2024</t>
  </si>
  <si>
    <t>https://drive.google.com/open?id=14n4fjEI0KCYcZbKSr2wi7ZyaPBMOpfwC; https://drive.google.com/open?id=1kFrrpOq39nfXpKeh91CNbETFlfD8N1Mr; https://drive.google.com/open?id=10i0yoZ_igRgcyRO69JVqgqg4yDbd2sTz</t>
  </si>
  <si>
    <t>https://www.facebook.com/profile.php?id=100079187075809&amp;mibextid=LQQJ4d</t>
  </si>
  <si>
    <t xml:space="preserve">Hoàng Thị Tươi </t>
  </si>
  <si>
    <t>hoangtuoi98bg@gmail.com</t>
  </si>
  <si>
    <t>https://drive.google.com/open?id=1HUGnpn5a1WReAiEu7YZyKt6YuTjZQhz9; https://drive.google.com/open?id=1H3YTRHWfA5VOL76O27ToCYPhyM0IoPF7; https://drive.google.com/open?id=1iimIduic_p9Td7WZGAnOk3T9eH57jiZC</t>
  </si>
  <si>
    <t>https://www.facebook.com/profile.php?id=100032546514099&amp;mibextid=LQQJ4d</t>
  </si>
  <si>
    <r>
      <rPr>
        <sz val="12"/>
        <color theme="1"/>
        <rFont val="Times New Roman"/>
        <family val="1"/>
      </rPr>
      <t xml:space="preserve">Phạm Mai Phương </t>
    </r>
    <r>
      <rPr>
        <sz val="12"/>
        <color rgb="FFFF0000"/>
        <rFont val="Times New Roman"/>
        <family val="1"/>
      </rPr>
      <t>(hợp đồng)</t>
    </r>
  </si>
  <si>
    <t>phamthiphuongg712@gmail.com</t>
  </si>
  <si>
    <t>https://drive.google.com/open?id=107Xqms5e5ofDZDQKKs7XuRREzKITtQ_6; https://drive.google.com/open?id=14P6HZR3u4Nmm7yvAYJBUEHhIn1GDHzZW</t>
  </si>
  <si>
    <t>Đức đưa sách khi ký hợp đồng</t>
  </si>
  <si>
    <r>
      <rPr>
        <sz val="12"/>
        <color theme="1"/>
        <rFont val="Times New Roman"/>
        <family val="1"/>
      </rPr>
      <t xml:space="preserve">Hà Khánh Huyền </t>
    </r>
    <r>
      <rPr>
        <sz val="12"/>
        <color rgb="FFFF0000"/>
        <rFont val="Times New Roman"/>
        <family val="1"/>
      </rPr>
      <t>(hợp đồng)</t>
    </r>
  </si>
  <si>
    <r>
      <rPr>
        <sz val="12"/>
        <color theme="1"/>
        <rFont val="Times New Roman"/>
        <family val="1"/>
      </rPr>
      <t xml:space="preserve">Nguyễn Minh Hùng </t>
    </r>
    <r>
      <rPr>
        <sz val="12"/>
        <color rgb="FFFF0000"/>
        <rFont val="Times New Roman"/>
        <family val="1"/>
      </rPr>
      <t>(hợp đồng)</t>
    </r>
  </si>
  <si>
    <t>https://www.facebook.com/profile.php?id=100070897725521&amp;mibextid=ZbWKwL</t>
  </si>
  <si>
    <r>
      <rPr>
        <sz val="12"/>
        <color theme="1"/>
        <rFont val="Times New Roman"/>
        <family val="1"/>
      </rPr>
      <t xml:space="preserve">Đỗ Huyền Vy </t>
    </r>
    <r>
      <rPr>
        <sz val="12"/>
        <color rgb="FFFF0000"/>
        <rFont val="Times New Roman"/>
        <family val="1"/>
      </rPr>
      <t>(hợp đồng) OT28</t>
    </r>
  </si>
  <si>
    <t xml:space="preserve"> dohuyenvy2204@gmail.com </t>
  </si>
  <si>
    <t>11/61/1002 Chùa Láng, quận Đống Đa</t>
  </si>
  <si>
    <t>https://drive.google.com/open?id=1NmuPP4dM401AboLvycRx0CcnEo2AmN12; https://drive.google.com/open?id=1PMBuDSsPpL9GQZ8IDhkWNIHVqp4jTrnd</t>
  </si>
  <si>
    <r>
      <rPr>
        <sz val="12"/>
        <color theme="1"/>
        <rFont val="Times New Roman"/>
        <family val="1"/>
      </rPr>
      <t xml:space="preserve">Đào Tú An </t>
    </r>
    <r>
      <rPr>
        <sz val="12"/>
        <color rgb="FFFF0000"/>
        <rFont val="Times New Roman"/>
        <family val="1"/>
      </rPr>
      <t>(hợp đồng)</t>
    </r>
  </si>
  <si>
    <t>https://www.facebook.com/vungocmai190?mibextid=LQQJ4d</t>
  </si>
  <si>
    <r>
      <rPr>
        <sz val="12"/>
        <color theme="1"/>
        <rFont val="Times New Roman"/>
        <family val="1"/>
      </rPr>
      <t>Vũ Ngọc Mai</t>
    </r>
    <r>
      <rPr>
        <sz val="12"/>
        <color rgb="FFFF0000"/>
        <rFont val="Times New Roman"/>
        <family val="1"/>
      </rPr>
      <t xml:space="preserve"> (hợp đồng)</t>
    </r>
  </si>
  <si>
    <t>vungocmaisocute@gmail.com</t>
  </si>
  <si>
    <t>Xóm Thái Sơn 2 (ngõ đối diện cổng nhà trẻ Z115), Xã Quyết Thắng, TP Thái Nguyên</t>
  </si>
  <si>
    <t>26/08/2024 và 12/09/2024</t>
  </si>
  <si>
    <t>06/10 và 18/10/2024</t>
  </si>
  <si>
    <t>https://drive.google.com/open?id=1O8Ym4Qq9SFfKxxSm8gaF2GFMDDNi_Pen; https://drive.google.com/open?id=1QckxVZb31gSckh6WwNBQ50IRdjaICc8-; https://drive.google.com/open?id=1DQgk3WbL4Q5S4H8jZHgS_QsdxNhLeGYW, https://drive.google.com/open?id=1KtnEkDu-Dq9pDd5fIN0IqBjcAqLJE8ma, https://drive.google.com/open?id=1f8VK1KTvANR2uijNWWc6nThDx-77MiG7</t>
  </si>
  <si>
    <r>
      <rPr>
        <sz val="12"/>
        <color theme="1"/>
        <rFont val="Times New Roman"/>
        <family val="1"/>
      </rPr>
      <t xml:space="preserve">Phí Thị Anh Thư </t>
    </r>
    <r>
      <rPr>
        <sz val="12"/>
        <color rgb="FFFF0000"/>
        <rFont val="Times New Roman"/>
        <family val="1"/>
      </rPr>
      <t>(hợp đồng)</t>
    </r>
  </si>
  <si>
    <t>An Đạm - Hoàng Hoa Thám - Ân Thi - Hưng Yên</t>
  </si>
  <si>
    <t>https://www.facebook.com/profile.php?id=100030179374744&amp;mibextid=LQQJ4d</t>
  </si>
  <si>
    <r>
      <rPr>
        <sz val="12"/>
        <color theme="1"/>
        <rFont val="Times New Roman"/>
        <family val="1"/>
      </rPr>
      <t>Lê Xuân Tiến</t>
    </r>
    <r>
      <rPr>
        <sz val="12"/>
        <color rgb="FFFF0000"/>
        <rFont val="Times New Roman"/>
        <family val="1"/>
      </rPr>
      <t xml:space="preserve"> (hợp đồng)</t>
    </r>
  </si>
  <si>
    <t>thôn toán tỵ xã thiệu toán huyện thiệu hoá tỉnh thanh hoá</t>
  </si>
  <si>
    <t>https://drive.google.com/open?id=1LZHPWMHMERr5BceY6u_Kwim-zsSdhdeC</t>
  </si>
  <si>
    <r>
      <rPr>
        <sz val="12"/>
        <color theme="1"/>
        <rFont val="Times New Roman"/>
        <family val="1"/>
      </rPr>
      <t xml:space="preserve">Nguyễn Kim Chi </t>
    </r>
    <r>
      <rPr>
        <sz val="12"/>
        <color rgb="FFFF0000"/>
        <rFont val="Times New Roman"/>
        <family val="1"/>
      </rPr>
      <t>(hợp đồng)</t>
    </r>
  </si>
  <si>
    <r>
      <rPr>
        <sz val="12"/>
        <color theme="1"/>
        <rFont val="Times New Roman"/>
        <family val="1"/>
      </rPr>
      <t xml:space="preserve">Nguyễn Việt Hoàng </t>
    </r>
    <r>
      <rPr>
        <sz val="12"/>
        <color rgb="FFFF0000"/>
        <rFont val="Times New Roman"/>
        <family val="1"/>
      </rPr>
      <t>(hợp đồng)</t>
    </r>
  </si>
  <si>
    <r>
      <rPr>
        <sz val="12"/>
        <color theme="1"/>
        <rFont val="Times New Roman"/>
        <family val="1"/>
      </rPr>
      <t xml:space="preserve">Hà Như Quỳnh </t>
    </r>
    <r>
      <rPr>
        <sz val="12"/>
        <color rgb="FFFF0000"/>
        <rFont val="Times New Roman"/>
        <family val="1"/>
      </rPr>
      <t>(hợp đồng)</t>
    </r>
  </si>
  <si>
    <r>
      <rPr>
        <sz val="12"/>
        <color theme="1"/>
        <rFont val="Times New Roman"/>
        <family val="1"/>
      </rPr>
      <t xml:space="preserve">Lang Việt Thái </t>
    </r>
    <r>
      <rPr>
        <sz val="12"/>
        <color rgb="FFFF0000"/>
        <rFont val="Times New Roman"/>
        <family val="1"/>
      </rPr>
      <t>(hợp đồng)</t>
    </r>
  </si>
  <si>
    <r>
      <rPr>
        <sz val="12"/>
        <color theme="1"/>
        <rFont val="Times New Roman"/>
        <family val="1"/>
      </rPr>
      <t xml:space="preserve">Lê Hữu Quyền </t>
    </r>
    <r>
      <rPr>
        <sz val="12"/>
        <color rgb="FFFF0000"/>
        <rFont val="Times New Roman"/>
        <family val="1"/>
      </rPr>
      <t>(hợp đồng)</t>
    </r>
  </si>
  <si>
    <r>
      <rPr>
        <sz val="12"/>
        <color theme="1"/>
        <rFont val="Times New Roman"/>
        <family val="1"/>
      </rPr>
      <t xml:space="preserve">Đỗ Xuân Sơn </t>
    </r>
    <r>
      <rPr>
        <sz val="12"/>
        <color rgb="FFFF0000"/>
        <rFont val="Times New Roman"/>
        <family val="1"/>
      </rPr>
      <t>(hợp đồng)</t>
    </r>
  </si>
  <si>
    <t>https://www.facebook.com/tho.maknae.28?mibextid=JRoKGi</t>
  </si>
  <si>
    <r>
      <rPr>
        <sz val="12"/>
        <color theme="1"/>
        <rFont val="Times New Roman"/>
        <family val="1"/>
      </rPr>
      <t xml:space="preserve">Nguyễn Diệu Linh </t>
    </r>
    <r>
      <rPr>
        <sz val="12"/>
        <color rgb="FFFF0000"/>
        <rFont val="Times New Roman"/>
        <family val="1"/>
      </rPr>
      <t>(hợp đồng)
nick Maknae Thỏ</t>
    </r>
  </si>
  <si>
    <t>https://www.facebook.com/profile.php?id=100082058310453</t>
  </si>
  <si>
    <r>
      <rPr>
        <sz val="12"/>
        <color theme="1"/>
        <rFont val="Times New Roman"/>
        <family val="1"/>
      </rPr>
      <t xml:space="preserve">Nguyễn Thị Thanh Tú </t>
    </r>
    <r>
      <rPr>
        <sz val="12"/>
        <color rgb="FFFF0000"/>
        <rFont val="Times New Roman"/>
        <family val="1"/>
      </rPr>
      <t>(hợp đồng) thứ 2</t>
    </r>
  </si>
  <si>
    <t>thahtuv086@gmail.com</t>
  </si>
  <si>
    <t>30/08/2024 và 13/09/2024</t>
  </si>
  <si>
    <t>https://drive.google.com/open?id=1Px8mH_naDhVp0aAoLligEmdRtn8bC8sR; https://drive.google.com/open?id=1el143UGChv5mXZ6IfReOPW-JN6vw-08X; https://drive.google.com/open?id=1nmDBfSJjzORl1gz23H_uJVwy0rAfA2r_</t>
  </si>
  <si>
    <r>
      <rPr>
        <sz val="12"/>
        <color theme="1"/>
        <rFont val="Times New Roman"/>
        <family val="1"/>
      </rPr>
      <t xml:space="preserve">Vũ Thành Phong </t>
    </r>
    <r>
      <rPr>
        <sz val="12"/>
        <color rgb="FFFF0000"/>
        <rFont val="Times New Roman"/>
        <family val="1"/>
      </rPr>
      <t>(hợp đồng)</t>
    </r>
  </si>
  <si>
    <t>https://www.facebook.com/NguyenThiKhanhLinh469</t>
  </si>
  <si>
    <t>167 hoàng tăng bí, đức thắng, btl, hn</t>
  </si>
  <si>
    <t>https://drive.google.com/open?id=1S0YojmUMy65Rlhedl97VLeXZRAMLQlrw, https://drive.google.com/open?id=1KDTFopNs_Ja3zD_F6auVBEPaaOHYROCg</t>
  </si>
  <si>
    <t>https://www.facebook.com/huanvu27?mibextid=LQQJ4d</t>
  </si>
  <si>
    <r>
      <rPr>
        <sz val="12"/>
        <color theme="1"/>
        <rFont val="Times New Roman"/>
        <family val="1"/>
      </rPr>
      <t>Vũ Hân</t>
    </r>
    <r>
      <rPr>
        <sz val="12"/>
        <color rgb="FFFF0000"/>
        <rFont val="Times New Roman"/>
        <family val="1"/>
      </rPr>
      <t xml:space="preserve"> OPT25, OPT33</t>
    </r>
  </si>
  <si>
    <t>28/08/2024 và 01/10/2024</t>
  </si>
  <si>
    <t>https://drive.google.com/open?id=1sCaQ17VZ68SUQ6qSlQgbKzw8H76v9KkH; https://drive.google.com/open?id=1dt5MF1RLNAhjqatTLOeblwDQwyNKXTFz</t>
  </si>
  <si>
    <t xml:space="preserve">Bùi Quốc Bảo </t>
  </si>
  <si>
    <t>https://www.facebook.com/tranquocvuong1080?mibextid=LQQJ4d</t>
  </si>
  <si>
    <t>Trần Quốc Vượng</t>
  </si>
  <si>
    <t>03/09/2024 và 15/09/2024</t>
  </si>
  <si>
    <t>30/09/2024 và 01/10/2024</t>
  </si>
  <si>
    <t>https://drive.google.com/open?id=1P1IZJdzvwMv2zOEZfuJG-vO3n4_ZabGZ; https://drive.google.com/open?id=1acyNKCHcSJnc-7RlcXJLvs7l6yS1TkGI; https://drive.google.com/open?id=1nn1MxGSDBHxWBiUWtBQoL0ycbSuQuPnX, https://drive.google.com/open?id=1FzwkY3QDDUzBDKduAODiFEq3LJn0jSdV</t>
  </si>
  <si>
    <t>https://www.facebook.com/profile.php?id=100078888859965&amp;mibextid=LQQJ4d</t>
  </si>
  <si>
    <t>Phạm Trung Nguyên</t>
  </si>
  <si>
    <t>https://drive.google.com/open?id=1ePDavYG5DvJhSUNLCQFqLk8SNIV4lrIx; https://drive.google.com/open?id=1ECvg9M31iyMRRFlL2WrUwoD_Bmj5lTF2; https://drive.google.com/open?id=1ZKDaNh5QBx6ZSWYUIoe09Hj6DI4Ra8-l</t>
  </si>
  <si>
    <t>https://www.facebook.com/tranphuongthao.19082006?mibextid=LQQJ4d</t>
  </si>
  <si>
    <t>03/09/2024 và 16/09/2024</t>
  </si>
  <si>
    <t>https://drive.google.com/open?id=1sp3iVHE1dtb1Xnbrg1PdCzbpXJTWIb-0; https://drive.google.com/open?id=13P6NNuWcOIamYAYFXyPthJ19DpTGC1hi</t>
  </si>
  <si>
    <t>https://www.facebook.com/phuongdieu.tran.7792?mibextid=LQQJ4d</t>
  </si>
  <si>
    <t>Trần Thị Phương Diệu</t>
  </si>
  <si>
    <t>https://drive.google.com/open?id=1QOVDUoINn1oNyn77mZxn6MwBtAb8nX5S; https://drive.google.com/open?id=1gGxyblsHQ5RYy-AVnKx4OrdgITxRJoQO</t>
  </si>
  <si>
    <t>Nguyễn Văn Đức</t>
  </si>
  <si>
    <t>https://www.facebook.com/doanh.bui.31521301?mibextid=LQQJ4d</t>
  </si>
  <si>
    <t>Nguyễn Tuấn Đạt</t>
  </si>
  <si>
    <t>https://drive.google.com/open?id=1D93ZbHiKXhWg3NNaU0z_HNzYCML72jtc; https://drive.google.com/open?id=1VCv5q1fk0Al6OvW7iouM1U7rQezjMJY3</t>
  </si>
  <si>
    <t>Trần Trọng Trung</t>
  </si>
  <si>
    <t>https://www.facebook.com/dieuthu2107?mibextid=LQQJ4d</t>
  </si>
  <si>
    <r>
      <rPr>
        <sz val="12"/>
        <color theme="1"/>
        <rFont val="Times New Roman"/>
        <family val="1"/>
      </rPr>
      <t xml:space="preserve">Bùi Diệu Thu </t>
    </r>
    <r>
      <rPr>
        <sz val="12"/>
        <color rgb="FFFF0000"/>
        <rFont val="Times New Roman"/>
        <family val="1"/>
      </rPr>
      <t>OPT28</t>
    </r>
  </si>
  <si>
    <t>bthu9095@gmail.com</t>
  </si>
  <si>
    <t>04/09/2024 và 17/09/2024</t>
  </si>
  <si>
    <t>https://drive.google.com/open?id=1jiiTxe3nfsYxP34eTjirYvY_0JoTa58m; https://drive.google.com/open?id=1sJETFNijeeO4BwnHdP5YppZxKkqBanym; https://drive.google.com/open?id=14YjuYAZZmAs5u_ylUX5dfNZzimJyAEpN, https://drive.google.com/open?id=1VI8aHd7kopJUPK7xEb2InLUvY-D6ddKd</t>
  </si>
  <si>
    <t>https://www.facebook.com/profile.php?id=100046937511258&amp;mibextid=LQQJ4d</t>
  </si>
  <si>
    <t>Nguyễn Yến Vi</t>
  </si>
  <si>
    <t>nguyenhasy888@gmail.com</t>
  </si>
  <si>
    <t>25/20/33/57 Lê Đức Thọ, Phường Mỹ Đình 2, Nam Từ Liêm, Hà Nội</t>
  </si>
  <si>
    <t>https://drive.google.com/open?id=1Jo3u6oVHBizigFmkBpxwFIKb-kXbb-a4; https://drive.google.com/open?id=1xdJ9XkdKkxJMtHVA4vTScZQ8I8jmuzu9</t>
  </si>
  <si>
    <t>https://m.facebook.com/profile.php?id=100057692332379&amp;mibextid=LQQJ4d</t>
  </si>
  <si>
    <r>
      <rPr>
        <sz val="12"/>
        <color theme="1"/>
        <rFont val="Times New Roman"/>
        <family val="1"/>
      </rPr>
      <t xml:space="preserve">Lê Thị Yến </t>
    </r>
    <r>
      <rPr>
        <sz val="12"/>
        <color rgb="FFFF0000"/>
        <rFont val="Times New Roman"/>
        <family val="1"/>
      </rPr>
      <t>(hợp đồng) OT28, T239</t>
    </r>
  </si>
  <si>
    <t xml:space="preserve">leye2604@gmail.com </t>
  </si>
  <si>
    <t>Số nhà 1, ngõ 225 phố Quan Hoa, Cầu Giấy, Hà Nội</t>
  </si>
  <si>
    <t>04/09/2024 và 15/09/2024</t>
  </si>
  <si>
    <t>https://drive.google.com/open?id=12a4MRgjCeAx_YTNtkn5jajlZDmPTVlvJ; https://drive.google.com/open?id=1V6VNLrtmJkCC3mcLx0pGnz_DDavlY-kL; https://drive.google.com/open?id=1swdp7SuJJ_bsUkEXKHdvYv8KPcXuXn_k</t>
  </si>
  <si>
    <r>
      <rPr>
        <sz val="12"/>
        <color theme="1"/>
        <rFont val="Times New Roman"/>
        <family val="1"/>
      </rPr>
      <t xml:space="preserve">Trương Gia Huy </t>
    </r>
    <r>
      <rPr>
        <sz val="12"/>
        <color rgb="FFFF0000"/>
        <rFont val="Times New Roman"/>
        <family val="1"/>
      </rPr>
      <t>(hợp đồng)</t>
    </r>
  </si>
  <si>
    <r>
      <rPr>
        <sz val="12"/>
        <color theme="1"/>
        <rFont val="Times New Roman"/>
        <family val="1"/>
      </rPr>
      <t xml:space="preserve">Trần Trung Tiến </t>
    </r>
    <r>
      <rPr>
        <sz val="12"/>
        <color rgb="FFFF0000"/>
        <rFont val="Times New Roman"/>
        <family val="1"/>
      </rPr>
      <t>OPT26, OPT30</t>
    </r>
  </si>
  <si>
    <t>https://www.facebook.com/nguyenddat.2006</t>
  </si>
  <si>
    <r>
      <rPr>
        <sz val="12"/>
        <color theme="1"/>
        <rFont val="Times New Roman"/>
        <family val="1"/>
      </rPr>
      <t>Nguyễn Duy Đạt</t>
    </r>
    <r>
      <rPr>
        <sz val="12"/>
        <color rgb="FFFF0000"/>
        <rFont val="Times New Roman"/>
        <family val="1"/>
      </rPr>
      <t xml:space="preserve"> - đã nộp 300K 27/11/2024</t>
    </r>
    <r>
      <rPr>
        <sz val="12"/>
        <color theme="1"/>
        <rFont val="Times New Roman"/>
        <family val="1"/>
      </rPr>
      <t xml:space="preserve">
</t>
    </r>
    <r>
      <rPr>
        <sz val="12"/>
        <color rgb="FFFF0000"/>
        <rFont val="Times New Roman"/>
        <family val="1"/>
      </rPr>
      <t>OPT32 bảo lưu b9 đi quân sự. Học PT150 b8</t>
    </r>
  </si>
  <si>
    <t>nguyenduydat06062006@gmail.com</t>
  </si>
  <si>
    <t>Nhà số 5 - ngách 10 - ngõ 7 - phố Thái Hà - Trung Liệt - Đống Đa - Hà Nội</t>
  </si>
  <si>
    <t>https://drive.google.com/open?id=1oYvvjGbE7_UvDlPn48PkF26iM0L6akle; https://drive.google.com/open?id=1cC6eegW8huvAg495HvgCZ6O4x3Xyx35U</t>
  </si>
  <si>
    <t>https://www.facebook.com/profile.php?id=100076231881553&amp;mibextid=LQQJ4d</t>
  </si>
  <si>
    <r>
      <rPr>
        <sz val="12"/>
        <color theme="1"/>
        <rFont val="Times New Roman"/>
        <family val="1"/>
      </rPr>
      <t xml:space="preserve">Nguyễn Dương </t>
    </r>
    <r>
      <rPr>
        <sz val="12"/>
        <color rgb="FFFF0000"/>
        <rFont val="Times New Roman"/>
        <family val="1"/>
      </rPr>
      <t>(hợp đồng)</t>
    </r>
  </si>
  <si>
    <t>Tổ 18,phường Bắc Sơn, TP Tam Điệp, tỉnh Ninh Bình</t>
  </si>
  <si>
    <t>https://drive.google.com/open?id=1n1AcwHZftrsiB6BIF9xGHdl1AMM8uJve</t>
  </si>
  <si>
    <t>https://www.facebook.com/profile.php?id=100069092333152&amp;mibextid=LQQJ4d</t>
  </si>
  <si>
    <r>
      <rPr>
        <sz val="12"/>
        <color theme="1"/>
        <rFont val="Times New Roman"/>
        <family val="1"/>
      </rPr>
      <t>Kim Ngọc Tú</t>
    </r>
    <r>
      <rPr>
        <sz val="12"/>
        <color rgb="FFFF0000"/>
        <rFont val="Times New Roman"/>
        <family val="1"/>
      </rPr>
      <t xml:space="preserve"> - Kim Hoang Tung
ĐÃ chuyển nhượng S, W nộp 300K 29/05/2026
Đoàn Việt Anh 0936935984 - nhận học S, W</t>
    </r>
  </si>
  <si>
    <t>05/09/2024 và 22/09/2024</t>
  </si>
  <si>
    <t>https://drive.google.com/open?id=16HrnRTS6rZCMYiAQ-BYa9ksANgEL6kE0; https://drive.google.com/open?id=15494pbOwDk0HbWDEbpAe1_NMHwDPcy3o; https://drive.google.com/open?id=130pfpzx63kPcdtMV8QfJH6eQiY_XrLW-</t>
  </si>
  <si>
    <t xml:space="preserve"> https://www.facebook.com/luongbinh.nguyen.927?mibextid=LQQJ4d</t>
  </si>
  <si>
    <r>
      <rPr>
        <sz val="12"/>
        <color theme="1"/>
        <rFont val="Times New Roman"/>
        <family val="1"/>
      </rPr>
      <t>Nguyễn Lương Bình</t>
    </r>
    <r>
      <rPr>
        <sz val="12"/>
        <color rgb="FFFF0000"/>
        <rFont val="Times New Roman"/>
        <family val="1"/>
      </rPr>
      <t xml:space="preserve"> (hợp đồng)</t>
    </r>
  </si>
  <si>
    <t>binhmohicancheo@gmail.com</t>
  </si>
  <si>
    <t>CT15 4T1 khu đô thị Việt Hưng - Long Biên - Hà Nội</t>
  </si>
  <si>
    <t>05/09/2024 và 13/09/2024</t>
  </si>
  <si>
    <t>https://drive.google.com/open?id=1_QvnXupgRITDSrzGwAjdSFNyZICMSpYo; https://drive.google.com/open?id=1sCgUiWCjwpq_g3_q2b1sjSKbtgemIU2q; https://drive.google.com/open?id=1oQuQd7QCbYCCLcxgAFtULAmxqdtIVCeF</t>
  </si>
  <si>
    <t>https://www.facebook.com/profile.php?id=100025243657037&amp;mibextid=ZbWKwL</t>
  </si>
  <si>
    <t>Vũ Hải Yến</t>
  </si>
  <si>
    <t>vuhaiyen10092006@gmail.com</t>
  </si>
  <si>
    <t>https://drive.google.com/open?id=1xp0wINAEAEuv_DOWeQRfSHU3iSJgYuLP; https://drive.google.com/open?id=1_bxMOMstjjkrevIajw5Tzcu2_Hwnk49t; https://drive.google.com/open?id=1tAeINwwaMvhTCey7_Teu4G8d5_qgas68</t>
  </si>
  <si>
    <r>
      <rPr>
        <sz val="12"/>
        <color theme="1"/>
        <rFont val="Times New Roman"/>
        <family val="1"/>
      </rPr>
      <t xml:space="preserve">Hoàng Lệ Duyên </t>
    </r>
    <r>
      <rPr>
        <sz val="12"/>
        <color rgb="FFFF0000"/>
        <rFont val="Times New Roman"/>
        <family val="1"/>
      </rPr>
      <t>(hợp đồng)</t>
    </r>
  </si>
  <si>
    <t>https://www.facebook.com/profile.php?id=100026427814877&amp;mibextid=LQQJ4d</t>
  </si>
  <si>
    <r>
      <rPr>
        <sz val="12"/>
        <color theme="1"/>
        <rFont val="Times New Roman"/>
        <family val="1"/>
      </rPr>
      <t>Đỗ Thu Uyên</t>
    </r>
    <r>
      <rPr>
        <sz val="12"/>
        <color rgb="FFFF0000"/>
        <rFont val="Times New Roman"/>
        <family val="1"/>
      </rPr>
      <t xml:space="preserve"> (hợp đồng)</t>
    </r>
  </si>
  <si>
    <t>uyenxinhgeiii@gmail.com</t>
  </si>
  <si>
    <t>05/09/2024 và 11/09/2024</t>
  </si>
  <si>
    <t>https://drive.google.com/open?id=1-z5edQWveGf5l7-XzL6hLbJMYbedaik6; https://drive.google.com/open?id=1Xs_1vuhd1VZW2OQyOFS_7ucaGyUZIM48; https://drive.google.com/open?id=1VQyDeJ34CljPld7BEN4nm2QypWAIuzXF</t>
  </si>
  <si>
    <t>https://www.facebook.com/quynhnhu.kh</t>
  </si>
  <si>
    <t>Khúc Quỳnh Như</t>
  </si>
  <si>
    <t>khucquynhnhu2601@gmail.com</t>
  </si>
  <si>
    <t>Xóm 10, xã Yên Mỹ, huyện Thanh Trì, Hà Nội</t>
  </si>
  <si>
    <t>03/09/2024 và 08/10/2024</t>
  </si>
  <si>
    <t>https://drive.google.com/open?id=13xc3p9zB-Kp_IMgn8dcbYaE5ndFxx10M; https://drive.google.com/open?id=12xgPU9jZAOdOCXTkr7nUkVcVD8dU2iUX</t>
  </si>
  <si>
    <t>https://www.facebook.com/profile.php?id=100028230201906&amp;mibextid=ZbWKwL</t>
  </si>
  <si>
    <t xml:space="preserve">Pyen84297@gmail.com </t>
  </si>
  <si>
    <t>06/09/2024 và 13/09/2024</t>
  </si>
  <si>
    <t>https://drive.google.com/open?id=1f22MncB0ErMDUwZGFwKUkg0uHwygOIUU; https://drive.google.com/open?id=1bUNUcyC-irM6F_tfkw1MX7O_QNM4f9Fp</t>
  </si>
  <si>
    <t>PT135 nghỉ ngang buổi 9, Huy chat</t>
  </si>
  <si>
    <t>https://www.facebook.com/profile.php?id=100015243876824</t>
  </si>
  <si>
    <r>
      <rPr>
        <sz val="12"/>
        <color theme="1"/>
        <rFont val="Times New Roman"/>
        <family val="1"/>
      </rPr>
      <t xml:space="preserve">Nguyễn Thu Hòa - </t>
    </r>
    <r>
      <rPr>
        <sz val="12"/>
        <color rgb="FFFF0000"/>
        <rFont val="Times New Roman"/>
        <family val="1"/>
      </rPr>
      <t>OPT34</t>
    </r>
  </si>
  <si>
    <t>thuhoa9801@gmail.com</t>
  </si>
  <si>
    <t>số 56 giáp chân đê, phường Giang Biên, Long Biên, Hà Nội</t>
  </si>
  <si>
    <t>https://drive.google.com/open?id=1CfhMxe77BXAqT9pMyXlpF66jts2yL7PY</t>
  </si>
  <si>
    <t>78 Hùng Vương,Thị Trấn Ái Nghĩa, huyện Đại lộc ,tỉnh Quảng Nam</t>
  </si>
  <si>
    <t>OPT38 xin nghỉ b9 đi học ai eo</t>
  </si>
  <si>
    <t>https://www.facebook.com/profile.php?id=100093152869591</t>
  </si>
  <si>
    <r>
      <rPr>
        <sz val="12"/>
        <color theme="1"/>
        <rFont val="Times New Roman"/>
        <family val="1"/>
      </rPr>
      <t xml:space="preserve">Nguyễn Ngọc Chiến </t>
    </r>
    <r>
      <rPr>
        <sz val="12"/>
        <color rgb="FFFF0000"/>
        <rFont val="Times New Roman"/>
        <family val="1"/>
      </rPr>
      <t>(Hợp đồng) OPT33, OPT28</t>
    </r>
  </si>
  <si>
    <t>Xóm Đình , ngõ 98/17 , đường Tân Triều</t>
  </si>
  <si>
    <t>07/09/2024 và 27/09/2024</t>
  </si>
  <si>
    <t>https://drive.google.com/open?id=1CcDsd30r2rpD-HDbkfztMyH96yqI5ld6; https://drive.google.com/open?id=1qxJtX2sP0TgCFEqLuc2hH-42TRcqU7x5</t>
  </si>
  <si>
    <t>Em ở số nhà 67 Đường Sông Nhuệ, Đức Thắng, BTL ạ</t>
  </si>
  <si>
    <t>Xóm Tân Lập - Bạch Trữ - Tiến Thắng - Mê Linh - Hà Nội</t>
  </si>
  <si>
    <r>
      <rPr>
        <sz val="12"/>
        <color theme="1"/>
        <rFont val="Times New Roman"/>
        <family val="1"/>
      </rPr>
      <t>Hoàng Hồng Ngọc</t>
    </r>
    <r>
      <rPr>
        <sz val="12"/>
        <color rgb="FFFF0000"/>
        <rFont val="Times New Roman"/>
        <family val="1"/>
      </rPr>
      <t xml:space="preserve"> (hợp đồng)</t>
    </r>
  </si>
  <si>
    <t>https://www.facebook.com/profile.php?id=100048691962444&amp;mibextid=LQQJ4d</t>
  </si>
  <si>
    <r>
      <rPr>
        <sz val="12"/>
        <color theme="1"/>
        <rFont val="Times New Roman"/>
        <family val="1"/>
      </rPr>
      <t xml:space="preserve">Đinh Thị Thu Thuỷ </t>
    </r>
    <r>
      <rPr>
        <sz val="12"/>
        <color rgb="FFFF0000"/>
        <rFont val="Times New Roman"/>
        <family val="1"/>
      </rPr>
      <t>OPT32</t>
    </r>
  </si>
  <si>
    <t>dttt11506@gmail.com</t>
  </si>
  <si>
    <t>Khê Ngoại 2 - Văn Khê - Mê Linh - Hà Nội</t>
  </si>
  <si>
    <t>https://drive.google.com/open?id=12cp0uvD7gYpvHsdUvwri9HRlNys-MJIM</t>
  </si>
  <si>
    <r>
      <rPr>
        <sz val="12"/>
        <color theme="1"/>
        <rFont val="Times New Roman"/>
        <family val="1"/>
      </rPr>
      <t xml:space="preserve">Phan Thị Phương Thuỳ </t>
    </r>
    <r>
      <rPr>
        <sz val="12"/>
        <color rgb="FFFF0000"/>
        <rFont val="Times New Roman"/>
        <family val="1"/>
      </rPr>
      <t>(đã nhận sách)</t>
    </r>
  </si>
  <si>
    <t>https://www.facebook.com/profile.php?id=100084622908657&amp;mibextid=ZbWKwL</t>
  </si>
  <si>
    <r>
      <rPr>
        <sz val="12"/>
        <color theme="1"/>
        <rFont val="Times New Roman"/>
        <family val="1"/>
      </rPr>
      <t xml:space="preserve">Sào Thanh Thảo </t>
    </r>
    <r>
      <rPr>
        <sz val="12"/>
        <color rgb="FFFF0000"/>
        <rFont val="Times New Roman"/>
        <family val="1"/>
      </rPr>
      <t>- thứ 10</t>
    </r>
  </si>
  <si>
    <t>saothanhthao11092006@gmail.com</t>
  </si>
  <si>
    <t xml:space="preserve"> KTX Học viện báo chí tuyên truyền - 89 nguyễn phong sắc, dịch vọng hậu, cầu giấy, hà nội</t>
  </si>
  <si>
    <t>https://drive.google.com/open?id=1TZAY_ypYqmlGWOZQUvouxW2ytYVvttj7</t>
  </si>
  <si>
    <r>
      <rPr>
        <sz val="12"/>
        <color theme="1"/>
        <rFont val="Times New Roman"/>
        <family val="1"/>
      </rPr>
      <t xml:space="preserve">Tưởng Thuỳ Trang </t>
    </r>
    <r>
      <rPr>
        <sz val="12"/>
        <color rgb="FFFF0000"/>
        <rFont val="Times New Roman"/>
        <family val="1"/>
      </rPr>
      <t>(hợp đồng)</t>
    </r>
  </si>
  <si>
    <t>Khối tân thuỷ thị trấn tuần giáo huyện tuần giáo tỉnh điện biên</t>
  </si>
  <si>
    <r>
      <rPr>
        <sz val="12"/>
        <color theme="1"/>
        <rFont val="Times New Roman"/>
        <family val="1"/>
      </rPr>
      <t xml:space="preserve">Nguyễn Hữu Cường </t>
    </r>
    <r>
      <rPr>
        <sz val="12"/>
        <color rgb="FFFF0000"/>
        <rFont val="Times New Roman"/>
        <family val="1"/>
      </rPr>
      <t>(hợp đồng)</t>
    </r>
  </si>
  <si>
    <t>Liên Đàm Yên Thường Gia Lâm Hà Nội</t>
  </si>
  <si>
    <t>https://www.facebook.com/profile.php?id=100035770404304&amp;mibextid=LQQJ4d</t>
  </si>
  <si>
    <t xml:space="preserve">Đặng Minh Hiếu </t>
  </si>
  <si>
    <t>07/09/2024 và 21/09/2024</t>
  </si>
  <si>
    <t>https://drive.google.com/open?id=1B6RYRa9d-y5GFbvzC9qN5L7VIBJhibh1;  https://drive.google.com/open?id=1tvBqIqFwfSxv5wAIgXbJOz-244NT1jbG</t>
  </si>
  <si>
    <r>
      <rPr>
        <sz val="12"/>
        <color theme="1"/>
        <rFont val="Times New Roman"/>
        <family val="1"/>
      </rPr>
      <t xml:space="preserve">Nguyễn Hải Đăng - </t>
    </r>
    <r>
      <rPr>
        <sz val="12"/>
        <color rgb="FFFF0000"/>
        <rFont val="Times New Roman"/>
        <family val="1"/>
      </rPr>
      <t>OPT34</t>
    </r>
  </si>
  <si>
    <t>https://www.facebook.com/khankute.6?mibextid=LQQJ4d</t>
  </si>
  <si>
    <t xml:space="preserve">Phạm Duy Khánh </t>
  </si>
  <si>
    <t>08/09/2024 và 19/09/2024</t>
  </si>
  <si>
    <t>https://drive.google.com/open?id=1xazoXdAw-A7WErumBip0RxHqi-jUMgGN; https://drive.google.com/open?id=1ugUL6wadjgrQ2DlWBeYvgX3hXZIRQ4iU</t>
  </si>
  <si>
    <r>
      <rPr>
        <sz val="12"/>
        <color theme="1"/>
        <rFont val="Times New Roman"/>
        <family val="1"/>
      </rPr>
      <t xml:space="preserve">Nguyễn Thị Thuỳ Trang </t>
    </r>
    <r>
      <rPr>
        <sz val="12"/>
        <color rgb="FFFF0000"/>
        <rFont val="Times New Roman"/>
        <family val="1"/>
      </rPr>
      <t>(hợp đồng)</t>
    </r>
  </si>
  <si>
    <r>
      <rPr>
        <sz val="12"/>
        <color theme="1"/>
        <rFont val="Times New Roman"/>
        <family val="1"/>
      </rPr>
      <t>Hà Bảo Anh</t>
    </r>
    <r>
      <rPr>
        <sz val="12"/>
        <color rgb="FFFF0000"/>
        <rFont val="Times New Roman"/>
        <family val="1"/>
      </rPr>
      <t xml:space="preserve"> (hợp đồng)</t>
    </r>
  </si>
  <si>
    <t>https://www.facebook.com/taxanhtaxanh?mibextid=LQQJ4d</t>
  </si>
  <si>
    <r>
      <rPr>
        <sz val="12"/>
        <color theme="1"/>
        <rFont val="Times New Roman"/>
        <family val="1"/>
      </rPr>
      <t xml:space="preserve">Tạ Thị Xanh Xanh </t>
    </r>
    <r>
      <rPr>
        <sz val="12"/>
        <color rgb="FFFF0000"/>
        <rFont val="Times New Roman"/>
        <family val="1"/>
      </rPr>
      <t>(hợp đồng) - đã trả lại 1,968 4/11/24</t>
    </r>
  </si>
  <si>
    <t>tadinz795@gmail.com</t>
  </si>
  <si>
    <t>09/09/2024 và 13/10/2024</t>
  </si>
  <si>
    <t>https://drive.google.com/open?id=1hQMyu0hSJ4bYufrT7X-XqQ1i0sLPl3nO; https://drive.google.com/open?id=1C3Whaed2k7XDZpF_PqGgL3tItm1_8xkS; https://drive.google.com/open?id=1_AxJfJD0zfYcAnqOYK7GyGwPjQnBjDvD</t>
  </si>
  <si>
    <r>
      <rPr>
        <sz val="12"/>
        <color theme="1"/>
        <rFont val="Times New Roman"/>
        <family val="1"/>
      </rPr>
      <t xml:space="preserve">Tạ Ngọc Dương </t>
    </r>
    <r>
      <rPr>
        <sz val="12"/>
        <color rgb="FFFF0000"/>
        <rFont val="Times New Roman"/>
        <family val="1"/>
      </rPr>
      <t>OPT34</t>
    </r>
  </si>
  <si>
    <r>
      <rPr>
        <sz val="12"/>
        <color theme="1"/>
        <rFont val="Times New Roman"/>
        <family val="1"/>
      </rPr>
      <t>Hoàng Thanh Tùng</t>
    </r>
    <r>
      <rPr>
        <sz val="12"/>
        <color rgb="FFFF0000"/>
        <rFont val="Times New Roman"/>
        <family val="1"/>
      </rPr>
      <t xml:space="preserve"> OPT34</t>
    </r>
  </si>
  <si>
    <t>Hoàng Đình Hải</t>
  </si>
  <si>
    <t>https://www.facebook.com/profile.php?id=61551340534168&amp;mibextid=LQQJ4d</t>
  </si>
  <si>
    <r>
      <rPr>
        <sz val="12"/>
        <color theme="1"/>
        <rFont val="Times New Roman"/>
        <family val="1"/>
      </rPr>
      <t xml:space="preserve"> Lê Võ Nhã Uyên </t>
    </r>
    <r>
      <rPr>
        <sz val="12"/>
        <color rgb="FFFF0000"/>
        <rFont val="Times New Roman"/>
        <family val="1"/>
      </rPr>
      <t>(hợp đồng)</t>
    </r>
  </si>
  <si>
    <t>58A-60 Bình Quới,phường 27, Bình Thạnh, TP HCM</t>
  </si>
  <si>
    <t>https://drive.google.com/open?id=1DUI_lQe1uGLd9l9r9JrV6TRYduNGGC94; https://drive.google.com/open?id=1c6vmn2NLKwbdxuqNVUg2EZtBnC17Sz8e</t>
  </si>
  <si>
    <t>Trần Thị Ngọc Dung</t>
  </si>
  <si>
    <t>https://www.facebook.com/profile.php?id=100034305979639&amp;mibextid=LQQJ4d</t>
  </si>
  <si>
    <t>Nguyễn Thị Thu Phương</t>
  </si>
  <si>
    <t xml:space="preserve"> Địa chỉ nhận sách :  Số nhà 159 Quán Gánh Thường Tín OPT25 ạ</t>
  </si>
  <si>
    <t>https://drive.google.com/open?id=10y9VX9-RXSoePMnRd0IuI4eL8oWvOAhH; https://drive.google.com/open?id=1ok5b6YHfelnXBn4BlVy6GuEJM4Uun7WI, https://drive.google.com/open?id=1yYodPwHDX3nY5md_ZxV1d_6-XYqA6bD4</t>
  </si>
  <si>
    <r>
      <rPr>
        <sz val="12"/>
        <color theme="1"/>
        <rFont val="Times New Roman"/>
        <family val="1"/>
      </rPr>
      <t>Bùi Khánh Ngân</t>
    </r>
    <r>
      <rPr>
        <sz val="12"/>
        <color rgb="FFFF0000"/>
        <rFont val="Times New Roman"/>
        <family val="1"/>
      </rPr>
      <t xml:space="preserve"> (hợp đồng)</t>
    </r>
  </si>
  <si>
    <t>PT149</t>
  </si>
  <si>
    <t>https://web.facebook.com/profile.php?id=100070760588215&amp;mibextid=ZbWKwL&amp;_rdc=1&amp;_rdr</t>
  </si>
  <si>
    <r>
      <rPr>
        <sz val="12"/>
        <color theme="1"/>
        <rFont val="Times New Roman"/>
        <family val="1"/>
      </rPr>
      <t xml:space="preserve">Nguyễn Hoàng Sơn - </t>
    </r>
    <r>
      <rPr>
        <sz val="12"/>
        <color rgb="FFFF0000"/>
        <rFont val="Times New Roman"/>
        <family val="1"/>
      </rPr>
      <t>Hợp đồng - đã nộp 300K 12/10/24
PT127 bảo lưu buổi 8. Học PT149 b6</t>
    </r>
  </si>
  <si>
    <t>Quán ăn Quốc Khánh, tổ 8 phường lê hồng phong tp Phủ Lý tỉnh Hà Nam</t>
  </si>
  <si>
    <t>https://drive.google.com/open?id=1OApCkql-QTJ_x2aC8DGstxu0gOEeasnk; https://drive.google.com/open?id=1-ovo4gVO6pICZJ39BmPWQRHisSDvnhZH</t>
  </si>
  <si>
    <r>
      <rPr>
        <sz val="12"/>
        <color theme="1"/>
        <rFont val="Times New Roman"/>
        <family val="1"/>
      </rPr>
      <t xml:space="preserve">Nguyễn Tiến Đạt </t>
    </r>
    <r>
      <rPr>
        <sz val="12"/>
        <color rgb="FFFF0000"/>
        <rFont val="Times New Roman"/>
        <family val="1"/>
      </rPr>
      <t>(Hợp đồng)</t>
    </r>
  </si>
  <si>
    <t>Phương đưa</t>
  </si>
  <si>
    <t>https://www.facebook.com/thanthuong.bo.2k6?mibextid=ZbWKwL</t>
  </si>
  <si>
    <t xml:space="preserve">Phạm Thị Thân Thương </t>
  </si>
  <si>
    <t>14-22 Ngh. 105/33, Mai Dịch, Cầu Giấy, Hà Nội</t>
  </si>
  <si>
    <t>https://drive.google.com/open?id=14TIsAqmYDr3m3ZamPQnBd2A37m9tLnB0, https://drive.google.com/open?id=1p2kp9SHrXF526-boCoBH_FxWTk9-k94-; https://drive.google.com/open?id=1thiSPSia1tBsvjPdArKzk3e8UcUHACpV</t>
  </si>
  <si>
    <t>https://www.facebook.com/nguyenhuu.quyen.3386?mibextid=ZbWKwL</t>
  </si>
  <si>
    <r>
      <rPr>
        <sz val="12"/>
        <color theme="1"/>
        <rFont val="Times New Roman"/>
        <family val="1"/>
      </rPr>
      <t xml:space="preserve">Nguyễn Hữu Quyền </t>
    </r>
    <r>
      <rPr>
        <sz val="12"/>
        <color rgb="FFFF0000"/>
        <rFont val="Times New Roman"/>
        <family val="1"/>
      </rPr>
      <t>(Hợp đồng)</t>
    </r>
  </si>
  <si>
    <t>Tòa C17, Cơ sở 3,Đại Học Công Nghiệp Hà Nội, Phù Vân, Phủ Lí, Hà Nam</t>
  </si>
  <si>
    <t>https://drive.google.com/open?id=1-3hOgG3bZaPJqUc7ylLqLRBBrwoudeN0; https://drive.google.com/open?id=1M_bJnR3wxIa_AXs4dvPwAyrEfixWlw8L</t>
  </si>
  <si>
    <t>https://www.facebook.com/profile.php?id=61551901147171&amp;mibextid=LQQJ4d</t>
  </si>
  <si>
    <r>
      <rPr>
        <sz val="12"/>
        <color theme="1"/>
        <rFont val="Times New Roman"/>
        <family val="1"/>
      </rPr>
      <t>Nguyễn Trần Vân Anh</t>
    </r>
    <r>
      <rPr>
        <sz val="12"/>
        <color rgb="FFFF0000"/>
        <rFont val="Times New Roman"/>
        <family val="1"/>
      </rPr>
      <t xml:space="preserve"> (hợp đồng) OPT32</t>
    </r>
  </si>
  <si>
    <t>Vananh20092006@gmail.com</t>
  </si>
  <si>
    <t>https://drive.google.com/open?id=1WbBmLlr1FWM4V7KmsPGmYIUhdhYSpSJK; https://drive.google.com/open?id=11OQM48P3jz7xlCzaGcemUecZoSGrP9-9, https://drive.google.com/open?id=1yluB-f-ZNN1J9UA1T6Jx_pz3F0mRTl6h</t>
  </si>
  <si>
    <t>https://www.facebook.com/profile.php?id=100072114332884</t>
  </si>
  <si>
    <t>https://drive.google.com/open?id=1rylHydAYtyG1zXwcBIjpzRBlTCIDGUZH; https://drive.google.com/open?id=1jGSE-AQVptoE_r2cA0-sZM_wGxHEOMwM</t>
  </si>
  <si>
    <t>https://www.facebook.com/profile.php?id=100025055860223&amp;mibextid=LQQJ4d</t>
  </si>
  <si>
    <r>
      <rPr>
        <sz val="12"/>
        <color theme="1"/>
        <rFont val="Times New Roman"/>
        <family val="1"/>
      </rPr>
      <t xml:space="preserve">Nguyễn Thị Thoa </t>
    </r>
    <r>
      <rPr>
        <sz val="12"/>
        <color rgb="FFFF0000"/>
        <rFont val="Times New Roman"/>
        <family val="1"/>
      </rPr>
      <t>OPT23</t>
    </r>
  </si>
  <si>
    <t>https://drive.google.com/open?id=1LTdR1ecPLl_gde5QdpYBVe92-_7eWoz3</t>
  </si>
  <si>
    <t>OPT48</t>
  </si>
  <si>
    <t>https://www.facebook.com/profile.php?id=100043138998216&amp;mibextid=LQQJ4d</t>
  </si>
  <si>
    <t>Nguyễn Nam Trường</t>
  </si>
  <si>
    <t>Compho926@gmail.com</t>
  </si>
  <si>
    <t>11/09/2024 và 24/10/2024</t>
  </si>
  <si>
    <t>https://drive.google.com/open?id=1xUwuzrOKbMu4dIdWGTzdXPApIhONrhEo; https://drive.google.com/open?id=1tW4bqIREJjHQQWrLfNmc9wCJyh5XFhbA</t>
  </si>
  <si>
    <t>https://www.facebook.com/profile.php?id=61555073977405&amp;mibextid=LQQJ4d</t>
  </si>
  <si>
    <r>
      <rPr>
        <sz val="12"/>
        <color theme="1"/>
        <rFont val="Times New Roman"/>
        <family val="1"/>
      </rPr>
      <t xml:space="preserve"> Phan Hồng Nhung </t>
    </r>
    <r>
      <rPr>
        <sz val="12"/>
        <color rgb="FFFF0000"/>
        <rFont val="Times New Roman"/>
        <family val="1"/>
      </rPr>
      <t>(hợp đồng)</t>
    </r>
  </si>
  <si>
    <t>phanhongnhung829@gmail.com</t>
  </si>
  <si>
    <t>Kí túc xá Học viện báo chí và tuyên truyền, phường Dịch Vọng Hậu, quận Cầu Giấy, Hà Nội</t>
  </si>
  <si>
    <t>https://drive.google.com/open?id=1VQ69pFgQkOI9mV7XCzQCElPaYCaMPh-F</t>
  </si>
  <si>
    <t>https://www.facebook.com/profile.php?id=100076261647517&amp;mibextid=LQQJ4d</t>
  </si>
  <si>
    <r>
      <rPr>
        <sz val="12"/>
        <color theme="1"/>
        <rFont val="Times New Roman"/>
        <family val="1"/>
      </rPr>
      <t>Nguyễn Thái Sơn</t>
    </r>
    <r>
      <rPr>
        <sz val="12"/>
        <color rgb="FFFF0000"/>
        <rFont val="Times New Roman"/>
        <family val="1"/>
      </rPr>
      <t xml:space="preserve"> (hợp đồng)</t>
    </r>
  </si>
  <si>
    <t xml:space="preserve">son370437@gmail.com </t>
  </si>
  <si>
    <t>ktx đại học lâm nghiệp, thị trấn xuân mai</t>
  </si>
  <si>
    <t>https://drive.google.com/open?id=1TohlA7s1F4bwSNE6pR5bDsZ4OAaVxJtR; https://drive.google.com/open?id=1b6gdSP3X-rzxmzC1W8UAXXWYH2s8zPo9, https://drive.google.com/open?id=1isBG_ayXc_8PXLOcz-aEuVLtq86GSzAD</t>
  </si>
  <si>
    <t>Yến báo đổi về Hồng Anh</t>
  </si>
  <si>
    <t>https://www.facebook.com/profile.php?id=100063720286177&amp;mibextid=LQQJ4d</t>
  </si>
  <si>
    <r>
      <rPr>
        <sz val="12"/>
        <color theme="1"/>
        <rFont val="Times New Roman"/>
        <family val="1"/>
      </rPr>
      <t xml:space="preserve">Lại Thị Duyên </t>
    </r>
    <r>
      <rPr>
        <sz val="12"/>
        <color rgb="FFFF0000"/>
        <rFont val="Times New Roman"/>
        <family val="1"/>
      </rPr>
      <t>(hợp đồng)</t>
    </r>
  </si>
  <si>
    <t>ngõ 133/24 Đường Xuân Thủy, tổ 11, p. Dịch Vọng Hậu, Quận Cầu Giấy, Hà Nội</t>
  </si>
  <si>
    <t>https://drive.google.com/open?id=1-4nOOra6TmVVnLo1cwchgLQc6CYn57t6; https://drive.google.com/open?id=1TmfG7qfKF_kIqQgD6phAQTrfvMEKlZug</t>
  </si>
  <si>
    <t xml:space="preserve">Nguyễn Huyền Trâm </t>
  </si>
  <si>
    <t>OPT37 bảo lưu b8 Huy chat</t>
  </si>
  <si>
    <t>https://www.facebook.com/huyhettien06?mibextid=ZbWKwL</t>
  </si>
  <si>
    <r>
      <rPr>
        <sz val="12"/>
        <color theme="1"/>
        <rFont val="Times New Roman"/>
        <family val="1"/>
      </rPr>
      <t xml:space="preserve">Vũ Phùng Quang Huy </t>
    </r>
    <r>
      <rPr>
        <sz val="12"/>
        <color rgb="FFFF0000"/>
        <rFont val="Times New Roman"/>
        <family val="1"/>
      </rPr>
      <t>- đã nộp 300K 27/09/24
OPT29 bảo lưu buổi 4. Học OPT37 b1</t>
    </r>
  </si>
  <si>
    <r>
      <rPr>
        <sz val="12"/>
        <rFont val="Times New Roman"/>
        <family val="1"/>
      </rPr>
      <t xml:space="preserve">https://drive.google.com/open?id=1TcqPPNXX0IbD8v_qCC7VrnomLiijkmwg, https://drive.google.com/open?id=1dsZf0Regr52cDxTDSYuBZah-xomso1lM; </t>
    </r>
    <r>
      <rPr>
        <u/>
        <sz val="12"/>
        <color rgb="FF1155CC"/>
        <rFont val="Times New Roman"/>
        <family val="1"/>
      </rPr>
      <t>https://drive.google.com/open?id=1pmFWpYTYWUV5RhnxPbiCvrPg41q_ARJj</t>
    </r>
  </si>
  <si>
    <t>https://www.facebook.com/thuvan1876?mibextid=LQQJ4d</t>
  </si>
  <si>
    <t>Nguyễn Thu Vân</t>
  </si>
  <si>
    <t>https://drive.google.com/open?id=17PtnpsgjhRcbha2NT9Np8x25nj1yI_UC, https://drive.google.com/open?id=1C2xPM0MBVoeOcHSI-d1QiY9lqLJ9cKgc; https://drive.google.com/open?id=1F6QM1vGeYL9iV8n3aUWJAGuND_MR_7j0</t>
  </si>
  <si>
    <t>https://www.facebook.com/profile.php?id=100034825217811&amp;mibextid=LQQJ4d</t>
  </si>
  <si>
    <t>Quản Tùng Dương</t>
  </si>
  <si>
    <t>45a Ng. 165 Đ. Nguyễn Khánh Toàn. Cầu Giấy</t>
  </si>
  <si>
    <t>https://drive.google.com/open?id=1--xq9R40g0iPkBbv8VOPHbAwKnhX9k-6; https://drive.google.com/open?id=1RX0EKkxOi0RQsJo_4OZzMlhBImrR_x06</t>
  </si>
  <si>
    <t>OPT41</t>
  </si>
  <si>
    <t>https://www.facebook.com/dung0104000000000000</t>
  </si>
  <si>
    <r>
      <rPr>
        <sz val="12"/>
        <color theme="1"/>
        <rFont val="Times New Roman"/>
        <family val="1"/>
      </rPr>
      <t xml:space="preserve">Nguyễn Mạnh Dũng </t>
    </r>
    <r>
      <rPr>
        <sz val="12"/>
        <color rgb="FFFF0000"/>
        <rFont val="Times New Roman"/>
        <family val="1"/>
      </rPr>
      <t>OPT35 rút phút 89</t>
    </r>
  </si>
  <si>
    <t>https://drive.google.com/open?id=1H3FfsQkptnKspYUi5IM1QmYv5piYXZbV; https://drive.google.com/open?id=1nB_3ZLEUHCboGaFy939ZPVQd097CphZd</t>
  </si>
  <si>
    <r>
      <rPr>
        <sz val="12"/>
        <color theme="1"/>
        <rFont val="Times New Roman"/>
        <family val="1"/>
      </rPr>
      <t>Lục Ngô Tiểu Linh</t>
    </r>
    <r>
      <rPr>
        <sz val="12"/>
        <color rgb="FFFF0000"/>
        <rFont val="Times New Roman"/>
        <family val="1"/>
      </rPr>
      <t xml:space="preserve"> (hợp đồng) PT128</t>
    </r>
  </si>
  <si>
    <t>OPT29 Nghỉ ngang buổi 12
Lý do: bố bị ung thư nên bạn nghỉ về quê chăm bố. Huy chat</t>
  </si>
  <si>
    <t>https://www.facebook.com/profile.php?id=100069247754400&amp;mibextid=LQQJ4d</t>
  </si>
  <si>
    <t>Nguyễn Quang Hà</t>
  </si>
  <si>
    <t>https://drive.google.com/open?id=1c_NolOB2PLJFRUgLf_PSbfd6Lvvy-Vbk, https://drive.google.com/open?id=16ZxniFn4I9ljWq85n4gXQQtGxnRRCKHH</t>
  </si>
  <si>
    <r>
      <rPr>
        <sz val="12"/>
        <color theme="1"/>
        <rFont val="Times New Roman"/>
        <family val="1"/>
      </rPr>
      <t xml:space="preserve">Nguyễn Công Huy </t>
    </r>
    <r>
      <rPr>
        <sz val="12"/>
        <color rgb="FFFF0000"/>
        <rFont val="Times New Roman"/>
        <family val="1"/>
      </rPr>
      <t>(Hợp đồng)</t>
    </r>
  </si>
  <si>
    <r>
      <rPr>
        <sz val="12"/>
        <color theme="1"/>
        <rFont val="Times New Roman"/>
        <family val="1"/>
      </rPr>
      <t>Nguyền Văn Chương</t>
    </r>
    <r>
      <rPr>
        <sz val="12"/>
        <color rgb="FFFF0000"/>
        <rFont val="Times New Roman"/>
        <family val="1"/>
      </rPr>
      <t xml:space="preserve"> (Hợp đồng) </t>
    </r>
    <r>
      <rPr>
        <sz val="12"/>
        <color theme="1"/>
        <rFont val="Times New Roman"/>
        <family val="1"/>
      </rPr>
      <t>0971815190 số cũ</t>
    </r>
  </si>
  <si>
    <t>https://www.facebook.com/profile.php?id=100060411934732&amp;mibextid=LQQJ4d</t>
  </si>
  <si>
    <t>Nguyễn Văn Thành</t>
  </si>
  <si>
    <t>tn3286323@gmail.com</t>
  </si>
  <si>
    <t>https://drive.google.com/open?id=1_y6NXAxYbqmwL11KDdTVd2CCRt9a89uY; https://drive.google.com/open?id=1qtS1122CLqpG-oWb8H_NKEMXB1Un6WHg; https://drive.google.com/open?id=1TodEhwrGsUsvAMVeAAmg-sntk5KdUaY_</t>
  </si>
  <si>
    <t>https://www.facebook.com/profile.php?id=100053270559845&amp;mibextid=LQQJ4d</t>
  </si>
  <si>
    <r>
      <rPr>
        <sz val="12"/>
        <color theme="1"/>
        <rFont val="Times New Roman"/>
        <family val="1"/>
      </rPr>
      <t xml:space="preserve">Nguyễn Thị Huệ </t>
    </r>
    <r>
      <rPr>
        <sz val="12"/>
        <color rgb="FFFF0000"/>
        <rFont val="Times New Roman"/>
        <family val="1"/>
      </rPr>
      <t>(hợp đồng)</t>
    </r>
  </si>
  <si>
    <t>nguyenhue2632006@gmail.com</t>
  </si>
  <si>
    <t>Địa chỉ số nhà 51 Đầm Bầu đường la thành ngọc khánh ba đình hà nội</t>
  </si>
  <si>
    <t>14/09/2024 và 25/09/2024</t>
  </si>
  <si>
    <t>https://drive.google.com/open?id=1IczPsY4td24cNo213eS1diz6wA6o6dlR; https://drive.google.com/open?id=1ffV4Vi6GXfWoi_OxqXYGPkDwwwvCrj0i; https://drive.google.com/open?id=1j7yQkb8vs-e7Jp2lpG0l8_NOTbZy1-eB</t>
  </si>
  <si>
    <t xml:space="preserve">31/57/347 Cổ Nhuế 2, Bắc Từ Liêm, Hà Nội </t>
  </si>
  <si>
    <t>Bùi Minh Hương</t>
  </si>
  <si>
    <t>https://www.facebook.com/profile.php?id=100036316505959&amp;mibextid=LQQJ4d</t>
  </si>
  <si>
    <r>
      <rPr>
        <sz val="12"/>
        <color theme="1"/>
        <rFont val="Times New Roman"/>
        <family val="1"/>
      </rPr>
      <t>Nguyễn Thế Đức</t>
    </r>
    <r>
      <rPr>
        <sz val="12"/>
        <color rgb="FFFF0000"/>
        <rFont val="Times New Roman"/>
        <family val="1"/>
      </rPr>
      <t xml:space="preserve"> (hợp đồng)</t>
    </r>
  </si>
  <si>
    <t>pandakhongphaigautruc@gmail.com</t>
  </si>
  <si>
    <t>số 61 ngách 4/71, xóm 10, thôn Kim Hoàng, xã Vân Canh, huyện Hoài Đức, Hà Nội</t>
  </si>
  <si>
    <t>https://drive.google.com/open?id=1pr8PZNpyosvjaqPx_xhu7ZQR0Qi4vVlU; https://drive.google.com/open?id=1OKPv-C7wRUUHRwm9kSJv2868knwR7eXF</t>
  </si>
  <si>
    <t>https://www.facebook.com/viei.ngo</t>
  </si>
  <si>
    <t>Ngô Đài Việt</t>
  </si>
  <si>
    <t>https://drive.google.com/open?id=1wo4rOmI-ETIk-NUC6KZtDUz8fmGIpJgl; https://drive.google.com/open?id=1LEQyqr3mW5-YBxbh9rAJZzwAkYcNmzTL</t>
  </si>
  <si>
    <t>https://www.facebook.com/baby.hik6?locale=vi_VN</t>
  </si>
  <si>
    <r>
      <rPr>
        <sz val="12"/>
        <color theme="1"/>
        <rFont val="Times New Roman"/>
        <family val="1"/>
      </rPr>
      <t xml:space="preserve">Lương Đình Kiên </t>
    </r>
    <r>
      <rPr>
        <sz val="12"/>
        <color rgb="FFFF0000"/>
        <rFont val="Times New Roman"/>
        <family val="1"/>
      </rPr>
      <t>- Tatsu Mưa</t>
    </r>
  </si>
  <si>
    <t>https://drive.google.com/open?id=1ccVqnbw31ni_Tu8tiW9eE1RrcnKt9nkY; https://drive.google.com/open?id=1z0PsDd7h5x1ZSubm4EXzsZYRkIDpBODr</t>
  </si>
  <si>
    <t>Phát sách chưa?</t>
  </si>
  <si>
    <t>https://www.facebook.com/profile.php?id=100067681272274</t>
  </si>
  <si>
    <t>Nguyễn Thành Long</t>
  </si>
  <si>
    <t>thanhlong251006@gmail.com</t>
  </si>
  <si>
    <t>https://drive.google.com/open?id=1_ePg8dRPspWPdzr2QTm3CbYroxPlbycV; https://drive.google.com/open?id=1eBUmkwWOhwHgmwjOyzpY1O9gDWSdF3bt</t>
  </si>
  <si>
    <t>https://www.facebook.com/profile.php?id=100052105118191</t>
  </si>
  <si>
    <r>
      <rPr>
        <sz val="12"/>
        <color theme="1"/>
        <rFont val="Times New Roman"/>
        <family val="1"/>
      </rPr>
      <t>Đỗ Đức Thành</t>
    </r>
    <r>
      <rPr>
        <sz val="12"/>
        <color rgb="FFFF0000"/>
        <rFont val="Times New Roman"/>
        <family val="1"/>
      </rPr>
      <t xml:space="preserve"> (hợp Đồng) - </t>
    </r>
    <r>
      <rPr>
        <sz val="12"/>
        <color theme="1"/>
        <rFont val="Times New Roman"/>
        <family val="1"/>
      </rPr>
      <t>865933717</t>
    </r>
  </si>
  <si>
    <t>doducthanh2006.hl@gmail.com</t>
  </si>
  <si>
    <t>Tổ 15 khu 3A phường giếng đáy, TP hạ long, QN</t>
  </si>
  <si>
    <t>24/08/2024 và 16/09/2024</t>
  </si>
  <si>
    <t>https://drive.google.com/open?id=1wqn6b0583BSUDEXd7ybSlDNq_AjZVEQh, https://drive.google.com/open?id=1REYCS7eFviufswDr6NMe6ALYrOUNcKCF; https://drive.google.com/open?id=1x-h1SAtsEZgrf-BBnyeTl0l1GIVFtskl</t>
  </si>
  <si>
    <t>https://www.facebook.com/namcung.nguyetkien.14?mibextid=JRoKGi</t>
  </si>
  <si>
    <r>
      <rPr>
        <sz val="12"/>
        <color theme="1"/>
        <rFont val="Times New Roman"/>
        <family val="1"/>
      </rPr>
      <t xml:space="preserve">Lê Thị Hà Bình </t>
    </r>
    <r>
      <rPr>
        <sz val="12"/>
        <color rgb="FFFF0000"/>
        <rFont val="Times New Roman"/>
        <family val="1"/>
      </rPr>
      <t>(Hợp đồng)</t>
    </r>
  </si>
  <si>
    <t>https://www.facebook.com/profile.php?id=100070330999372&amp;mibextid=ZbWKwL</t>
  </si>
  <si>
    <r>
      <rPr>
        <sz val="12"/>
        <color theme="1"/>
        <rFont val="Times New Roman"/>
        <family val="1"/>
      </rPr>
      <t xml:space="preserve">Phạm Phương Nga </t>
    </r>
    <r>
      <rPr>
        <sz val="12"/>
        <color rgb="FFFF0000"/>
        <rFont val="Times New Roman"/>
        <family val="1"/>
      </rPr>
      <t>(Hợp đồng)</t>
    </r>
  </si>
  <si>
    <t>Cổng phụ đại học công nghiệp cơ sở 3</t>
  </si>
  <si>
    <t>https://drive.google.com/open?id=15uJuaCgDV2T332BElSV5ji8ZVXo20gr4; https://drive.google.com/open?id=1-qwKRwZ4LdckcQp_-GH7dN_KLpObC55p</t>
  </si>
  <si>
    <r>
      <rPr>
        <sz val="12"/>
        <color theme="1"/>
        <rFont val="Times New Roman"/>
        <family val="1"/>
      </rPr>
      <t xml:space="preserve">Bùi Tiến Anh </t>
    </r>
    <r>
      <rPr>
        <sz val="12"/>
        <color rgb="FFFF0000"/>
        <rFont val="Times New Roman"/>
        <family val="1"/>
      </rPr>
      <t>(Hợp đồng) - Tanh</t>
    </r>
  </si>
  <si>
    <t>cổng phụ đại học công nghiệp cơ sở 3</t>
  </si>
  <si>
    <t>https://web.facebook.com/profile.php?id=100039400337877&amp;mibextid=ZbWKwL&amp;ext=1727248290&amp;hash=%2501%2501%25C6%25FC%25AB%25B1%25FA%25D3%2510%2527%2502%2505%25F3%2505g%258E%258AD&amp;_rdc=1&amp;_rdr</t>
  </si>
  <si>
    <r>
      <rPr>
        <sz val="12"/>
        <color theme="1"/>
        <rFont val="Times New Roman"/>
        <family val="1"/>
      </rPr>
      <t xml:space="preserve">Đào Ngọc Huyền </t>
    </r>
    <r>
      <rPr>
        <sz val="12"/>
        <color rgb="FFFF0000"/>
        <rFont val="Times New Roman"/>
        <family val="1"/>
      </rPr>
      <t>- đã nộp 300K chuyển nhượng 20/12/24
Pass lại toeic 2, S, W cho 0356083351 Hà Thị Lan Anh</t>
    </r>
  </si>
  <si>
    <t>https://drive.google.com/open?id=1rpQdeatVGwSHAGQTvOiVfR7Bn7Q_cF1A; https://drive.google.com/open?id=1gPz3-Ai5HirWGhCBfyTpZ5mJTgdxOzgb</t>
  </si>
  <si>
    <t>https://www.facebook.com/quynhtrang.tran.50746444?mibextid=LQQJ4d</t>
  </si>
  <si>
    <t>Trần Thị Quỳnh Trang</t>
  </si>
  <si>
    <t>Quang Khải ,Kim Anh Kim Thành ,Hải Dương</t>
  </si>
  <si>
    <t>https://drive.google.com/open?id=1zamK2aEB2H-UZ3S0bJJh31FECUqbVISB; https://drive.google.com/open?id=1yAfOy2yZxgPdJiZqGR5vQ5hsjOHeWRah</t>
  </si>
  <si>
    <t>https://www.facebook.com/profile.php?id=100077342778832&amp;mibextid=LQQJ4d</t>
  </si>
  <si>
    <t>Lê Trung Kiên</t>
  </si>
  <si>
    <t xml:space="preserve">Chung cư 9view, đường số 1, phước long B quận 9 </t>
  </si>
  <si>
    <t>09/12/2024 và 18/09/2024</t>
  </si>
  <si>
    <r>
      <rPr>
        <u/>
        <sz val="12"/>
        <color rgb="FF1155CC"/>
        <rFont val="Times New Roman"/>
        <family val="1"/>
      </rPr>
      <t xml:space="preserve">https://drive.google.com/open?id=1Y5HyxtiwGVNtNBpWvra7dNARQHjTmlOG; https://drive.google.com/open?id=1Db9gqy8de8TOrbzJY3dX0FfgWVe_pudS, </t>
    </r>
    <r>
      <rPr>
        <u/>
        <sz val="12"/>
        <color rgb="FF1155CC"/>
        <rFont val="Times New Roman"/>
        <family val="1"/>
      </rPr>
      <t>https://drive.google.com/open?id=197nBazdUw1zK0vebOe6sbN1573VvYIrk</t>
    </r>
    <r>
      <rPr>
        <u/>
        <sz val="12"/>
        <color rgb="FF1155CC"/>
        <rFont val="Times New Roman"/>
        <family val="1"/>
      </rPr>
      <t>; https://drive.google.com/open?id=1B4dQzZA-Ev-S6nuBS2xtcfW32R15bdYR</t>
    </r>
  </si>
  <si>
    <t>Nguyễn Thị Huyền Sâm</t>
  </si>
  <si>
    <r>
      <rPr>
        <sz val="12"/>
        <color theme="1"/>
        <rFont val="Times New Roman"/>
        <family val="1"/>
      </rPr>
      <t xml:space="preserve"> Nguyễn Thảo Chi </t>
    </r>
    <r>
      <rPr>
        <sz val="12"/>
        <color rgb="FFFF0000"/>
        <rFont val="Times New Roman"/>
        <family val="1"/>
      </rPr>
      <t>(hợp đồng)</t>
    </r>
  </si>
  <si>
    <t>https://www.facebook.com/mom.men.904?mibextid=LQQJ4d</t>
  </si>
  <si>
    <t xml:space="preserve">Đỗ Ngọc Huyền </t>
  </si>
  <si>
    <t>https://drive.google.com/open?id=1t0QZi13bA2pW97rLQ_1Xht_qesD3N82d; https://drive.google.com/open?id=1qXmC9J8whcPJsuskBtYpX2WIe0eFBIRk</t>
  </si>
  <si>
    <t>https://www.facebook.com/profile.php?id=100063563108404&amp;locale=vi_VN</t>
  </si>
  <si>
    <r>
      <rPr>
        <sz val="12"/>
        <color theme="1"/>
        <rFont val="Times New Roman"/>
        <family val="1"/>
      </rPr>
      <t xml:space="preserve">Lê Thị Nga </t>
    </r>
    <r>
      <rPr>
        <sz val="12"/>
        <color rgb="FFFF0000"/>
        <rFont val="Times New Roman"/>
        <family val="1"/>
      </rPr>
      <t>(hợp đồng)</t>
    </r>
  </si>
  <si>
    <t>nga27052005@gmail.com</t>
  </si>
  <si>
    <t>nhà số 52 ngõ 457 đường Xuân Đỉnh , Bắc Từ Liêm , Hà Nội</t>
  </si>
  <si>
    <t>16/09/2024 và 24/09/2024</t>
  </si>
  <si>
    <t>https://drive.google.com/open?id=18W5on-wnYHLxS_p9AyPWLGQIL7yjYkYO; https://drive.google.com/open?id=1-KY9ct_6VLL6aYYFzhY9QbVwAM-uL-zD</t>
  </si>
  <si>
    <t>https://www.facebook.com/profile.php?id=100038506550807&amp;mibextid=LQQJ4d</t>
  </si>
  <si>
    <t>Mai Quốc Khánh</t>
  </si>
  <si>
    <t>https://drive.google.com/open?id=16Kj4FQU4g0cSOYYNAETQzV_tAHeCntFh</t>
  </si>
  <si>
    <r>
      <rPr>
        <sz val="12"/>
        <color theme="1"/>
        <rFont val="Times New Roman"/>
        <family val="1"/>
      </rPr>
      <t>Đỗ Thị Huyền</t>
    </r>
    <r>
      <rPr>
        <sz val="12"/>
        <color rgb="FFFF0000"/>
        <rFont val="Times New Roman"/>
        <family val="1"/>
      </rPr>
      <t xml:space="preserve"> (Hợp đồng)</t>
    </r>
  </si>
  <si>
    <t>số 7 Ngô Gia Tự - phủ lí - hà nam</t>
  </si>
  <si>
    <t>https://www.facebook.com/profile.php?id=100051521319827&amp;mibextid=ZbWKwL</t>
  </si>
  <si>
    <t>https://drive.google.com/open?id=1Ee5VkR6gEakG1J7fVFh9itiOGkwqen9t, https://drive.google.com/open?id=1jUsSIwaFoCcXFNjwSfddrrOF020c1vSB</t>
  </si>
  <si>
    <t>PT162</t>
  </si>
  <si>
    <t>https://www.facebook.com/baonho.banh.925059</t>
  </si>
  <si>
    <r>
      <rPr>
        <sz val="12"/>
        <color theme="1"/>
        <rFont val="Times New Roman"/>
        <family val="1"/>
      </rPr>
      <t xml:space="preserve">Phạm Thị Lan </t>
    </r>
    <r>
      <rPr>
        <sz val="12"/>
        <color rgb="FFFF0000"/>
        <rFont val="Times New Roman"/>
        <family val="1"/>
      </rPr>
      <t>- đã nộp 300K 15/10/2024
OPT32 bảo lưu b7 đi quân sự. Học PT162 b1</t>
    </r>
  </si>
  <si>
    <t>https://drive.google.com/open?id=1Ui4U5jyV8hvo9QVMo3VaKJi8nCnGAqOh, https://drive.google.com/open?id=1kRuMP9WaH2Gp-YV3IXGCNWicVaeVCciI; https://drive.google.com/open?id=1FMh8hFqw2RuZOEywqyK-AO6XddGESTNQ</t>
  </si>
  <si>
    <t>https://www.facebook.com/profile.php?id=100084276400662&amp;mibextid=ZbWKwL</t>
  </si>
  <si>
    <r>
      <rPr>
        <sz val="12"/>
        <color theme="1"/>
        <rFont val="Times New Roman"/>
        <family val="1"/>
      </rPr>
      <t xml:space="preserve">Trần Thị Mai Anh </t>
    </r>
    <r>
      <rPr>
        <sz val="12"/>
        <color rgb="FFFF0000"/>
        <rFont val="Times New Roman"/>
        <family val="1"/>
      </rPr>
      <t>(hợp đồng)</t>
    </r>
  </si>
  <si>
    <t>tranmaianhh07@gmail.com</t>
  </si>
  <si>
    <t>https://drive.google.com/open?id=1st63V-Z1EutYcZ5oB7Odk4zpAz_3LgZD; https://drive.google.com/open?id=1PpDXNIlUUDQNrttSAQLEZrh_EAq4JT_R</t>
  </si>
  <si>
    <t>PT152</t>
  </si>
  <si>
    <t>https://www.facebook.com/profile.php?id=100041213595048&amp;mibextid=ZbWKwL</t>
  </si>
  <si>
    <r>
      <rPr>
        <sz val="12"/>
        <color theme="1"/>
        <rFont val="Times New Roman"/>
        <family val="1"/>
      </rPr>
      <t xml:space="preserve">Trần Đình Chiến </t>
    </r>
    <r>
      <rPr>
        <sz val="12"/>
        <color rgb="FFFF0000"/>
        <rFont val="Times New Roman"/>
        <family val="1"/>
      </rPr>
      <t>(Hợp đồng) - đã nộp 300K bảo lưu
PT131 bảo lưu b3. Học PT152 b1</t>
    </r>
  </si>
  <si>
    <t>Số Nhà 31, Lê Hồng Phong, Tổ 8, Phường Lê Hồng Phong, Thành Phố Phủ Lý, Hà Nam</t>
  </si>
  <si>
    <t>https://drive.google.com/open?id=15yOtE5VwsdbtE2bH6Vhr1pxoqpc6ddQo; https://drive.google.com/open?id=1HL00vJyN4lY0uzBQbXRXKhtTd7uz7PC6</t>
  </si>
  <si>
    <t>https://www.facebook.com/trantuanh.15.03</t>
  </si>
  <si>
    <t>Trần Thị Tú Anh</t>
  </si>
  <si>
    <t>Trantuanh1503@gmail.com</t>
  </si>
  <si>
    <t>20A, ngách 25 ngõ 77 Xuân La, Tây Hồ</t>
  </si>
  <si>
    <t>https://drive.google.com/open?id=1gqzu7NKTJ0su5BmwIn5iEJDVVLouqfKR</t>
  </si>
  <si>
    <t>https://www.facebook.com/tranghuyen2306?mibextid=LQQJ4d</t>
  </si>
  <si>
    <r>
      <rPr>
        <sz val="12"/>
        <color theme="1"/>
        <rFont val="Times New Roman"/>
        <family val="1"/>
      </rPr>
      <t xml:space="preserve"> Trần Thị Huyền Trang</t>
    </r>
    <r>
      <rPr>
        <sz val="12"/>
        <color rgb="FFFF0000"/>
        <rFont val="Times New Roman"/>
        <family val="1"/>
      </rPr>
      <t xml:space="preserve"> (hợp đồng)</t>
    </r>
  </si>
  <si>
    <t>minhngoctrannguyenj@gmail.com</t>
  </si>
  <si>
    <t>kí túc xá phía tây, 08, Hà Văn Tính, p.Hoà Khánh Nam, Q.Liên Chiểu, TP Đà Nẵng ạ</t>
  </si>
  <si>
    <t>17/09/2024 và 22/09/2024</t>
  </si>
  <si>
    <t>https://drive.google.com/open?id=1qG-sjXZCEf6tqPhLFUv5hQaE9Iirm6sj; https://drive.google.com/open?id=1XjtJTCRqqzxCIDV1cy0hJ69rubbJh89I, https://drive.google.com/open?id=1PIsbqBbshh-Vl5WhiXGVQpCgUJkmxAYb</t>
  </si>
  <si>
    <r>
      <rPr>
        <sz val="12"/>
        <color theme="1"/>
        <rFont val="Times New Roman"/>
        <family val="1"/>
      </rPr>
      <t>Dương Thị Hoài Thư</t>
    </r>
    <r>
      <rPr>
        <sz val="12"/>
        <color rgb="FFFF0000"/>
        <rFont val="Times New Roman"/>
        <family val="1"/>
      </rPr>
      <t xml:space="preserve"> (hợp đồng)</t>
    </r>
  </si>
  <si>
    <t xml:space="preserve"> https://www.facebook.com/iamchip04?mibextid=LQQJ4d</t>
  </si>
  <si>
    <r>
      <rPr>
        <sz val="12"/>
        <color theme="1"/>
        <rFont val="Times New Roman"/>
        <family val="1"/>
      </rPr>
      <t xml:space="preserve">Đinh Thị Oanh </t>
    </r>
    <r>
      <rPr>
        <sz val="12"/>
        <color rgb="FFFF0000"/>
        <rFont val="Times New Roman"/>
        <family val="1"/>
      </rPr>
      <t>- Oanh Oanh - Ko thu 300K, sale ko nói rõ
OT32 bảo lưu b12 sức khỏe ko đảm bảo. Học T251 b14</t>
    </r>
  </si>
  <si>
    <t xml:space="preserve">iamrose2006@gmail.com  </t>
  </si>
  <si>
    <t>18/09/2024 và 08/10/2024</t>
  </si>
  <si>
    <t>https://drive.google.com/open?id=1I2xvk6gqOyGIGhDHeHtZBJMHhRhAYb0R; https://drive.google.com/open?id=1u7IT9ra08xNfN2R1i0MkBPlxzJjIUM3A; https://drive.google.com/open?id=11vWXGTmOEYbSgcZrchpSSGvnNAEWlf_W</t>
  </si>
  <si>
    <t>https://www.facebook.com/tuanhung.nguyentran.1?mibextid=LQQJ4d</t>
  </si>
  <si>
    <t>Nguyễn Trần Tuấn Hưng</t>
  </si>
  <si>
    <t>Số nhà 5 Ngõ 83 Xã Đàn, Kim Liên, Đống Đa, Hà Nội</t>
  </si>
  <si>
    <t>17/09/2024 và 02/10/2024</t>
  </si>
  <si>
    <t>https://drive.google.com/open?id=1H2AtuR5Ruz-W3nP-qY1QR4es_16QEUbC; https://drive.google.com/open?id=1jNgzta5OdiHBJfla3KTrS2g4C3rgunOW; https://drive.google.com/open?id=1CBMpLa8RbLgWNHj8XHwUyyx6ennD2T8y</t>
  </si>
  <si>
    <t>https://www.facebook.com/dungg.nguyenn.522?mibextid=LQQJ4d</t>
  </si>
  <si>
    <t>Nguyễn Hữu Dũng</t>
  </si>
  <si>
    <t>https://drive.google.com/open?id=1HzwoBm_j3n8vHraH6mdYfGsJ7vs0Z7EI; https://drive.google.com/open?id=1YuEc3L7Atj6mITOVOvlhJS0VLIjps8Ib</t>
  </si>
  <si>
    <t>https://web.facebook.com/xuanthanh.hnue13</t>
  </si>
  <si>
    <r>
      <rPr>
        <sz val="12"/>
        <color theme="1"/>
        <rFont val="Times New Roman"/>
        <family val="1"/>
      </rPr>
      <t xml:space="preserve">Nguyễn Thanh Xuân </t>
    </r>
    <r>
      <rPr>
        <sz val="12"/>
        <color rgb="FFFF0000"/>
        <rFont val="Times New Roman"/>
        <family val="1"/>
      </rPr>
      <t>(hợp đồng)</t>
    </r>
  </si>
  <si>
    <t>xuanncao@gmail.com</t>
  </si>
  <si>
    <t>Ngõ 133/18 số nhà 15 tổ 11 đường Xuân Thuỷ, Dịch Vọng Hậu, Cầu Giấy</t>
  </si>
  <si>
    <t>https://drive.google.com/open?id=1UVnoAGQhE_-uKlo-12IhBcZnCpC-dd3E; https://drive.google.com/open?id=1xlVKXvHD9rq18QWkrc7NjyTyAAeza7Xj; https://drive.google.com/open?id=1u11k3vwTgMxxAjdnDFYi18vzMIZ0Wuix</t>
  </si>
  <si>
    <t>Dương Minh Tâm</t>
  </si>
  <si>
    <r>
      <rPr>
        <sz val="12"/>
        <color theme="1"/>
        <rFont val="Times New Roman"/>
        <family val="1"/>
      </rPr>
      <t xml:space="preserve">Hà Đăng Thịnh  </t>
    </r>
    <r>
      <rPr>
        <sz val="12"/>
        <color rgb="FFFF0000"/>
        <rFont val="Times New Roman"/>
        <family val="1"/>
      </rPr>
      <t>(hợp đồng) - Thịnh Hà</t>
    </r>
  </si>
  <si>
    <t>24A ngõ 90 Chính Kinh ,Thanh Xuân ,Hà Nội</t>
  </si>
  <si>
    <t>https://www.facebook.com/profile.php?id=100063274654528&amp;mibextid=LQQJ4d</t>
  </si>
  <si>
    <t>Hà Đăng Hưng</t>
  </si>
  <si>
    <t>24a ngõ 90 chính kinh thanh Xuân Hà Nội</t>
  </si>
  <si>
    <t>https://drive.google.com/open?id=1McAY3OorQNF-7ZIx-f3xfJ1MLJ5OkLcx; https://drive.google.com/open?id=1rKb9zQlnGhz8K_etXX704l33LR_it64r</t>
  </si>
  <si>
    <t>Nguyễn Đình Mạnh</t>
  </si>
  <si>
    <t>https://www.facebook.com/duong.yenngoc.944?mibextid=LQQJ4d</t>
  </si>
  <si>
    <t>Dương Thị Yến Ngọc</t>
  </si>
  <si>
    <t>Số nhà 2A1, ngõ 188 Triều Khúc, Tân Triều, Thanh Trì, HN</t>
  </si>
  <si>
    <t>16/09/2024 và 11/10/2024</t>
  </si>
  <si>
    <t>https://drive.google.com/open?id=15-rh83SKAkn2aPplStp19-SnARFAM1d2; https://drive.google.com/open?id=1lB0jciLpKSH0bIk8VQB6URnZ2Ttdqtgm; https://drive.google.com/open?id=15XinvlZmfqhGk8_SxtNVTv-yTXBB2qCM</t>
  </si>
  <si>
    <t>https://www.facebook.com/tuannpham06?mibextid=LQQJ4d</t>
  </si>
  <si>
    <t>Phạm Hữu Tuấn</t>
  </si>
  <si>
    <t>18/09/2024 và 19/09/2024</t>
  </si>
  <si>
    <t>https://drive.google.com/open?id=1TFWc0ZJLYK-7snhY3GeMmP_iMMs-b393, https://drive.google.com/open?id=1FIJgh1vmp8UJXKQ0lQ4MflXsudX0tdII; https://drive.google.com/open?id=15k0Blq78k7AY_3HIZba1b4FoxOs_LkV1</t>
  </si>
  <si>
    <t>https://www.facebook.com/profile.php?id=100087752305754&amp;mibextid=ZbWKwL</t>
  </si>
  <si>
    <t xml:space="preserve">Phan Quốc Việt </t>
  </si>
  <si>
    <t>https://drive.google.com/open?id=1piRvNnvjpDCAynEHPiBq0-y3C2pIe267, https://drive.google.com/open?id=1e31m89_DuY_wQ-BlXfagsHk0wV5QMeNq; https://drive.google.com/open?id=16TSSqiuYSAaOdu_nTFFHHWBPbtZoI_zK</t>
  </si>
  <si>
    <t>https://www.facebook.com/profile.php?id=100015220728009&amp;mibextid=LQQJ4d</t>
  </si>
  <si>
    <t>Lừ Quỳnh Châu</t>
  </si>
  <si>
    <t xml:space="preserve"> Số 9 ngõ 259/6 Phú Diễn, Bắc Từ Liêm, Hà Nội</t>
  </si>
  <si>
    <t>https://drive.google.com/open?id=1CTgoeHOQ8ZynBrK6c0Uj5hDfNwlEJTXs, https://drive.google.com/open?id=1zOGvoQfbVi691HO40uVan0fVrSHVvbaH; https://drive.google.com/open?id=1fUNXoFk5jODnpdeIy6cJ5CVeOkvljke-</t>
  </si>
  <si>
    <t>https://www.facebook.com/profile.php?id=100041786445477&amp;mibextid=LQQJ4d</t>
  </si>
  <si>
    <t>Trần Hương Linh</t>
  </si>
  <si>
    <t>syiraninshi3012@gmail.com</t>
  </si>
  <si>
    <t>19/09/2024 và 20/09/2024</t>
  </si>
  <si>
    <t>https://drive.google.com/open?id=1tco3MJA6WtMYMlNmecjD6_XVcRn4sJXr; https://drive.google.com/open?id=1C8JydyY0rq0R5pq0rbQS6trek9DRmVpP; https://drive.google.com/open?id=1oyn7pHFShUUqEIy0V6irbO1qwb33jSka</t>
  </si>
  <si>
    <t>PT134 Nghỉ buổi 6
lý do: Bạn này nhà bắt nghỉ để học offline. Huy chat</t>
  </si>
  <si>
    <t>https://www.facebook.com/profile.php?id=61550477724490&amp;mibextid=LQQJ4d</t>
  </si>
  <si>
    <r>
      <rPr>
        <sz val="12"/>
        <color theme="1"/>
        <rFont val="Times New Roman"/>
        <family val="1"/>
      </rPr>
      <t>Mai Quang Huy</t>
    </r>
    <r>
      <rPr>
        <sz val="12"/>
        <color rgb="FFFF0000"/>
        <rFont val="Times New Roman"/>
        <family val="1"/>
      </rPr>
      <t xml:space="preserve"> (hợp đồng)</t>
    </r>
  </si>
  <si>
    <t xml:space="preserve">Tổ dân phố số 18 phường Ngọc Thuỵ quận Long Biên Hà Nội </t>
  </si>
  <si>
    <t>https://drive.google.com/open?id=1tfPjBeTEN9AW2demDuuU0kxaHEORjKMC</t>
  </si>
  <si>
    <t>https://www.facebook.com/profile.php?id=100074863656983</t>
  </si>
  <si>
    <r>
      <rPr>
        <sz val="12"/>
        <color theme="1"/>
        <rFont val="Times New Roman"/>
        <family val="1"/>
      </rPr>
      <t>Đinh Công Tú</t>
    </r>
    <r>
      <rPr>
        <sz val="12"/>
        <color rgb="FFFF0000"/>
        <rFont val="Times New Roman"/>
        <family val="1"/>
      </rPr>
      <t xml:space="preserve"> (Hợp đồng)</t>
    </r>
  </si>
  <si>
    <t>congtusheep@gmail.com</t>
  </si>
  <si>
    <t>Số 1 133 Phố Hoa Bằng</t>
  </si>
  <si>
    <t>https://drive.google.com/open?id=14TpXQDpoRK3vMVWpnA4YZcjZLSL9aMeo; https://drive.google.com/open?id=1wn_OJv5qqIzBTKEV8GPz7aiF5siGgAEg</t>
  </si>
  <si>
    <t>Lê Ngọc Trung</t>
  </si>
  <si>
    <t>https://www.facebook.com/profile.php?id=100070830233559</t>
  </si>
  <si>
    <t>Nguyễn Quang Dũng</t>
  </si>
  <si>
    <t xml:space="preserve"> nguyenquangdung0507dd@gmail.com</t>
  </si>
  <si>
    <t>https://drive.google.com/open?id=1iPoohWYXTDdm1-l9I5VF6oLb2683sFvW; https://drive.google.com/open?id=1UCjum24iydNV9dzD8duN2_dqB-m77Rap</t>
  </si>
  <si>
    <t>https://www.facebook.com/profile.php?id=100024812469201</t>
  </si>
  <si>
    <t xml:space="preserve">Lê Phước Vinh  </t>
  </si>
  <si>
    <t xml:space="preserve"> v12122006@gmail.com</t>
  </si>
  <si>
    <t>https://drive.google.com/open?id=1f-CrIHFAEpJbK7cYXpN8ToKARnCNI0Gf; https://drive.google.com/open?id=1YgwbtK8xTTZenYosWJ674xW7Vzax3YyJ</t>
  </si>
  <si>
    <t>https://www.facebook.com/dnanhwrqq</t>
  </si>
  <si>
    <t xml:space="preserve"> Đoàn Ngọc Đức Anh </t>
  </si>
  <si>
    <t xml:space="preserve"> benacute24@gmail.com</t>
  </si>
  <si>
    <t>29 Ngh. 1194/141 Đ. Láng, Nhà Có Hầm Để Xe, Láng Thượng,
Đống Đa, Hà Nội,</t>
  </si>
  <si>
    <t>19/09/2024 và 22/09/2024</t>
  </si>
  <si>
    <t>https://drive.google.com/open?id=1pJ3Y1idFGMso9K5psckQr8-4-Zii5L4M; https://drive.google.com/open?id=1uKeckCHpgt0yMTkq3iglWOuuDymUZR_3; https://drive.google.com/open?id=171p5_yXF1-hzq0khhgz9Hk3PsH02NNFn</t>
  </si>
  <si>
    <t>https://www.facebook.com/akiko.kim.754?mibextid=LQQJ4d</t>
  </si>
  <si>
    <t>Hoàng Thuý Loan</t>
  </si>
  <si>
    <t>Thôn Đoài, xã Tàm Xá, Huyện Đông Anh, Hà Nội</t>
  </si>
  <si>
    <t>https://drive.google.com/open?id=154rHS5TPWOR0Cy9XR5FXR49UVA45Uvzf; https://drive.google.com/open?id=1qamf2Q1e1jkD1Xm33W8KBW5vAvcabRMB</t>
  </si>
  <si>
    <t>https://www.facebook.com/profile.php?id=100092214427806</t>
  </si>
  <si>
    <t>Mai Hồng Khánh</t>
  </si>
  <si>
    <t>Giang Thương</t>
  </si>
  <si>
    <t xml:space="preserve">Maihongkhanh2006nk@gmail .com </t>
  </si>
  <si>
    <t>số nhà 50 , an hạ 2 , an thượng , hoài đức , hà nội</t>
  </si>
  <si>
    <t>20/09/2024 và 21/09/2024</t>
  </si>
  <si>
    <t>https://drive.google.com/open?id=1SwxwIu0ctKmG_HAwFfircmX2QtPZ0qoO; https://drive.google.com/open?id=1pMEOdmSqyvA5F9N-YG-Q5_aXZot4o4Vt; https://drive.google.com/open?id=1cpZK6OeOto6R3gbJi3-DjAW--At_Te4Y</t>
  </si>
  <si>
    <t>https://www.facebook.com/lehung15.08.06?mibextid=LQQJ4d</t>
  </si>
  <si>
    <t>Lê Mạnh Hùng</t>
  </si>
  <si>
    <t>Đã nhận tại văn phòng</t>
  </si>
  <si>
    <t>https://drive.google.com/open?id=1Gx9Hrcno8J0P5fncn-51ZkmFpMmvO4Zi; https://drive.google.com/open?id=1NDdjz43-G32KBB8dxlK4H19yly5ZzXPd</t>
  </si>
  <si>
    <t>Quế ổ chi lăng quế võ bắc ninh</t>
  </si>
  <si>
    <t>số 353, đường 24, phượng mao, quế võ, bắc ninh</t>
  </si>
  <si>
    <t>https://www.facebook.com/icua.06?mibextid=LQQJ4d</t>
  </si>
  <si>
    <r>
      <rPr>
        <sz val="12"/>
        <color theme="1"/>
        <rFont val="Times New Roman"/>
        <family val="1"/>
      </rPr>
      <t>Trần Thị Diễm My</t>
    </r>
    <r>
      <rPr>
        <sz val="12"/>
        <color rgb="FFFF0000"/>
        <rFont val="Times New Roman"/>
        <family val="1"/>
      </rPr>
      <t xml:space="preserve"> OPT35 rút phút 89</t>
    </r>
  </si>
  <si>
    <t>tranbaomy205@gmail.com</t>
  </si>
  <si>
    <t>58/23 Trần Bình Mai Dịch Cầu Giấy</t>
  </si>
  <si>
    <t>https://drive.google.com/open?id=1KsCxSyNXXytz_Gi8DBJ8glJ8a5ISj-mU; https://drive.google.com/open?id=1N-HOIG1Cd7nyu8MnUEgjBgm_rD7neLgY</t>
  </si>
  <si>
    <t>https://www.facebook.com/profile.php?id=100064049806877&amp;mibextid=kFxxJD</t>
  </si>
  <si>
    <t>Lương Minh Hưng</t>
  </si>
  <si>
    <t>Luongminhhung13606@gmail.com</t>
  </si>
  <si>
    <t>trường mầm non trần phú, Hoàng Mai, Hà Nội</t>
  </si>
  <si>
    <t>https://drive.google.com/open?id=1d4e--QeMRU-iBubB7Jz_P5j83siN-XIm; https://drive.google.com/open?id=19U_snurEefrUdaopIyT-AkfoIr-RAvJG</t>
  </si>
  <si>
    <t>https://www.facebook.com/profile.php?id=100064100315420&amp;mibextid=LQQJ4d</t>
  </si>
  <si>
    <t>Nguyễn Quỳnh Trang</t>
  </si>
  <si>
    <t xml:space="preserve">Yến Nhi </t>
  </si>
  <si>
    <t>qtrang0110k6@gmail.com</t>
  </si>
  <si>
    <t xml:space="preserve">Sân nghè Phù Khê Thượng- Phù Khê- Từ Sơn- Bắc Ninh </t>
  </si>
  <si>
    <t>https://drive.google.com/open?id=1N_oCWZAqj31lg7lViEIVaotAtPgGZRUV; https://drive.google.com/open?id=1WYW002jmQ1byZYp63I1ljpLv1i_lLNeJ; https://drive.google.com/open?id=1evbPYpPj0Loccfpvs7g0qAuYxpQHB_ok</t>
  </si>
  <si>
    <t>https://www.facebook.com/profile.php?id=100076133767673</t>
  </si>
  <si>
    <t xml:space="preserve">Vũ Hoàng Long </t>
  </si>
  <si>
    <t>vuhoanglong01012006@gmail.com</t>
  </si>
  <si>
    <t>Ngõ 106 Hoàng Ngân, Trung Hào, Cầu Giấy, Hà Nội</t>
  </si>
  <si>
    <t>20/09/2024 và 03/10/2024</t>
  </si>
  <si>
    <t>https://drive.google.com/open?id=1HUqmUnK1djvgQHu63Et7sfQ5FSh1gC6d; https://drive.google.com/open?id=1fQDUyyepDdOyaoyeiDoFhi62dT6bKR6R</t>
  </si>
  <si>
    <t>https://www.facebook.com/profile.php?id=100045788814374&amp;mibextid=LQQJ4d</t>
  </si>
  <si>
    <t>Vũ Trung Kiên</t>
  </si>
  <si>
    <t>kvukien91@gmail.com</t>
  </si>
  <si>
    <t>https://drive.google.com/open?id=11DVesg7a83_FuLAjb_-IhTOTzYvcXReM, https://drive.google.com/open?id=1xkhqdKHEkuKFPAQ_wmeZh2mEfBoi4qUB; https://drive.google.com/open?id=1ilXGLSNFRdWVrr-7S6NdN_-xcesokm2A</t>
  </si>
  <si>
    <t>https://www.facebook.com/thien.lanh.39545464?mibextid=LQQJ4d</t>
  </si>
  <si>
    <t>Điệp Hồng Như</t>
  </si>
  <si>
    <t>diepnhu2601@gmail.com</t>
  </si>
  <si>
    <t>826 Trần Hưng Đạo, P.Điện Ngọc, Tx Điện Bàn, tỉnh Quảng Nam</t>
  </si>
  <si>
    <t>20/09/2024 và 23/09/2024 va 22/10/2024</t>
  </si>
  <si>
    <t>https://drive.google.com/open?id=1sCjoJZfaFF3yAbIeum-okep49iCcJCRm; https://drive.google.com/open?id=1QwKWx-nM1ZgWMjqV0qs43liNwe3N9vml; https://drive.google.com/open?id=1eG8-E_m9kAhx9yMZ-ZLqpNt9MgwFXkJp; https://drive.google.com/open?id=1WZfkTSI_3N_GWSGOKQWCjvkM-BjpJduZ</t>
  </si>
  <si>
    <t xml:space="preserve">Nguyễn Thị Ngọc Lan </t>
  </si>
  <si>
    <t>https://www.facebook.com/tlinhz.19?mibextid=LQQJ4d</t>
  </si>
  <si>
    <r>
      <rPr>
        <sz val="12"/>
        <color theme="1"/>
        <rFont val="Times New Roman"/>
        <family val="1"/>
      </rPr>
      <t xml:space="preserve">Trần Thị Thuỳ Linh </t>
    </r>
    <r>
      <rPr>
        <sz val="12"/>
        <color rgb="FFFF0000"/>
        <rFont val="Times New Roman"/>
        <family val="1"/>
      </rPr>
      <t>- 898290147 số cũ</t>
    </r>
  </si>
  <si>
    <t>hbin0883@gmail.com</t>
  </si>
  <si>
    <t xml:space="preserve">ktx 5c đh công đoàn, 167 tây sơn, đống đa, hà nội </t>
  </si>
  <si>
    <t>https://drive.google.com/open?id=1AOPbYC704EzdA6zvTiyXRBPctJ_7hBTq; https://drive.google.com/open?id=1HW_P4PaKOczBgGHLhIc5_YnQH3Na-2Vc</t>
  </si>
  <si>
    <t>https://www.facebook.com/profile.php?id=100094377247507</t>
  </si>
  <si>
    <t>Quách Diệu Huyền</t>
  </si>
  <si>
    <t xml:space="preserve">Giang Thương </t>
  </si>
  <si>
    <t>quachdieuhuyen4@gmail.com</t>
  </si>
  <si>
    <t>21/09/2024 và 25/09/2024</t>
  </si>
  <si>
    <t>https://drive.google.com/open?id=1U9lldGJ2oh36ukYgiou_Y6KgH9r8a_nU; https://drive.google.com/open?id=16eFvYZ9v0ObTNlBLInK4-OUTmanK0aCF; https://drive.google.com/open?id=1JXXtw6_1k6H6SdLueLZo5VREO60MGU50</t>
  </si>
  <si>
    <t>https://www.facebook.com/hoanganhkocony?mibextid=LQQJ4d</t>
  </si>
  <si>
    <t>CT4C-X2 Bắc Linh Đàm, Hoàng Liệt, Hoàng Mai, Hà Nội</t>
  </si>
  <si>
    <t>https://drive.google.com/open?id=1s8ThlI92MrrkbN86lGvsfOzbr1r7xAh8; https://drive.google.com/open?id=1fxow_WN8YyDZxNKih8E12-6vCmaBXmTs</t>
  </si>
  <si>
    <t>https://www.facebook.com/linhs.ngocd</t>
  </si>
  <si>
    <t>Vũ Thị Thuỷ Linh</t>
  </si>
  <si>
    <t>Vulinh23206@gmail.com</t>
  </si>
  <si>
    <t>https://drive.google.com/open?id=1qC0QthE1vgMrDLo9pTrxoI7AuYDiM8ln; https://drive.google.com/open?id=1iwccceHBvCS_fw14RnHlieP7ZOd77wvd; https://drive.google.com/open?id=1TJxg3WRdyDTTz2IjA3NpYMh23OwOaXXL, https://drive.google.com/open?id=1GMiTeUJ20vx06L0K1zu--8EE533ENB4K</t>
  </si>
  <si>
    <t>https://www.facebook.com/HuyenTrinh2612?mibextid=LQQJ4d</t>
  </si>
  <si>
    <r>
      <rPr>
        <sz val="12"/>
        <color theme="1"/>
        <rFont val="Times New Roman"/>
        <family val="1"/>
      </rPr>
      <t>Nguyễn Thị Việt Trinh</t>
    </r>
    <r>
      <rPr>
        <sz val="12"/>
        <color rgb="FFFF0000"/>
        <rFont val="Times New Roman"/>
        <family val="1"/>
      </rPr>
      <t xml:space="preserve"> - Huyen Trinhh</t>
    </r>
  </si>
  <si>
    <t>số nhà 3 ngách 91/6 đường cầu diễn, phường phúc diễn, quận bắc từ liêm, hà nội</t>
  </si>
  <si>
    <t>https://drive.google.com/open?id=1rEQCrldj-SNpj5-tJSerf_2b-U8FpwYm</t>
  </si>
  <si>
    <t>OPT50</t>
  </si>
  <si>
    <t>https://www.facebook.com/profile.php?id=100065635864535&amp;mibextid=LQQJ4d</t>
  </si>
  <si>
    <r>
      <rPr>
        <sz val="12"/>
        <color theme="1"/>
        <rFont val="Times New Roman"/>
        <family val="1"/>
      </rPr>
      <t>Nguyễn Trà My</t>
    </r>
    <r>
      <rPr>
        <sz val="12"/>
        <color rgb="FFFF0000"/>
        <rFont val="Times New Roman"/>
        <family val="1"/>
      </rPr>
      <t xml:space="preserve"> - đã nộp 300K 24/10/2024</t>
    </r>
    <r>
      <rPr>
        <sz val="12"/>
        <color theme="1"/>
        <rFont val="Times New Roman"/>
        <family val="1"/>
      </rPr>
      <t xml:space="preserve">
</t>
    </r>
    <r>
      <rPr>
        <sz val="12"/>
        <color rgb="FFFF0000"/>
        <rFont val="Times New Roman"/>
        <family val="1"/>
      </rPr>
      <t>OPT36 bảo lưu b4 do trùng lịch trên trường. Học OPT50 b1</t>
    </r>
  </si>
  <si>
    <t>memepb2006@icloud. com</t>
  </si>
  <si>
    <t>21/09/2024 và 01/10/2024</t>
  </si>
  <si>
    <t>https://drive.google.com/open?id=14ZyGspmV5rFxJnRG566Tg8LJfKgojqUt; https://drive.google.com/open?id=1K36xUQTxuxJ3Fdkios0419kNDLTflxHl; https://drive.google.com/open?id=1KkBbknXTJPfT2-i_2rphCv3TmCUtZXbY</t>
  </si>
  <si>
    <t>https://www.facebook.com/ndiem.ne?mibextid=LQQJ4d</t>
  </si>
  <si>
    <t>Đinh Thị Ngọc Diễm</t>
  </si>
  <si>
    <t>ngocdiemd965@gmail.com</t>
  </si>
  <si>
    <t xml:space="preserve">tại trung tâm </t>
  </si>
  <si>
    <t>https://drive.google.com/open?id=1zrdqEHoNT7ofJGZQeJf1ysUJdPN7NYHH; https://drive.google.com/open?id=1MMcRrDK5_pp8Q88GPrvWyaP8xbBiUejF</t>
  </si>
  <si>
    <t>https://www.facebook.com/thuys.thanh.5095?mibextid=ZbWKwL</t>
  </si>
  <si>
    <r>
      <rPr>
        <sz val="12"/>
        <color theme="1"/>
        <rFont val="Times New Roman"/>
        <family val="1"/>
      </rPr>
      <t xml:space="preserve">Hoàng Thị Thanh Thuỷ </t>
    </r>
    <r>
      <rPr>
        <sz val="12"/>
        <color rgb="FFFF0000"/>
        <rFont val="Times New Roman"/>
        <family val="1"/>
      </rPr>
      <t>(Hợp đồng)</t>
    </r>
  </si>
  <si>
    <t>Nhà Văn Hoá Thôn 1, Phù Vân, Phủ Lý, Hà Nam</t>
  </si>
  <si>
    <t>https://drive.google.com/open?id=18C6T5n1S6U6ShUa2C6T3BbRy82GoFmQ4; https://drive.google.com/open?id=1aCnvHKF4XkHuQb9_lLiZVyXbu7uz7AFX</t>
  </si>
  <si>
    <t>https://www.facebook.com/olongkemchese?mibextid=LQQJ4d</t>
  </si>
  <si>
    <r>
      <rPr>
        <sz val="12"/>
        <color theme="1"/>
        <rFont val="Times New Roman"/>
        <family val="1"/>
      </rPr>
      <t xml:space="preserve">Nguyễn Hoàng Xuân Trà </t>
    </r>
    <r>
      <rPr>
        <sz val="12"/>
        <color rgb="FFFF0000"/>
        <rFont val="Times New Roman"/>
        <family val="1"/>
      </rPr>
      <t>(hợp đồng)</t>
    </r>
  </si>
  <si>
    <t>Xuantra0378088859@gmail.com</t>
  </si>
  <si>
    <t>https://drive.google.com/open?id=1Y6ph4vjQeDv4P6-oCIm5Hvm4fxIYONSB; https://drive.google.com/open?id=1kp6uiVnf-S-LeQABK2hQjzT0bKg5583C; https://drive.google.com/open?id=1Q1hbLGZlxO2FTSLorE6Y0P4ADprXX5UG</t>
  </si>
  <si>
    <t>Ngô Đức đưa tay</t>
  </si>
  <si>
    <t>https://www.facebook.com/aramoca.ngoc?mibextid=LQQJ4d</t>
  </si>
  <si>
    <r>
      <rPr>
        <sz val="12"/>
        <color theme="1"/>
        <rFont val="Times New Roman"/>
        <family val="1"/>
      </rPr>
      <t xml:space="preserve">Nguyễn Hồng Ngọc </t>
    </r>
    <r>
      <rPr>
        <sz val="12"/>
        <color rgb="FFFF0000"/>
        <rFont val="Times New Roman"/>
        <family val="1"/>
      </rPr>
      <t xml:space="preserve"> (hợp đồng)</t>
    </r>
  </si>
  <si>
    <t>ngocbaobon@gmail.com</t>
  </si>
  <si>
    <t>Toà A6 An Bình City, 232 Phạm Văn Đồng, Bắc Từ Liêm, Hà Nội</t>
  </si>
  <si>
    <t>https://drive.google.com/open?id=1nMFNkJCWA95YjVolqJPiDftxPPMqhsHu; https://drive.google.com/open?id=16D-gKh5UYLW8ckwjVFM-rL1YprqG2NNV; https://drive.google.com/open?id=1D2eQTzAZgAIPqbHD2yzjeUQA_hjHecot</t>
  </si>
  <si>
    <t>https://www.facebook.com/trmihnkhue?mibextid=LQQJ4d</t>
  </si>
  <si>
    <r>
      <rPr>
        <sz val="12"/>
        <color theme="1"/>
        <rFont val="Times New Roman"/>
        <family val="1"/>
      </rPr>
      <t>Trần Thị Minh Khuê</t>
    </r>
    <r>
      <rPr>
        <sz val="12"/>
        <color rgb="FFFF0000"/>
        <rFont val="Times New Roman"/>
        <family val="1"/>
      </rPr>
      <t xml:space="preserve"> (hợp đồng)</t>
    </r>
  </si>
  <si>
    <t>tranminhkhue160@gmail.com</t>
  </si>
  <si>
    <t>89 Nguyễn Phong Sắc, phường Dịch Vọng Hậu, quận Cầu Giấy</t>
  </si>
  <si>
    <t>https://drive.google.com/open?id=1y9hnIos59KmMu8uPsVzF5eZQXbzPF6E2; https://drive.google.com/open?id=1juhI17Y0CZp2Qk2MS7-G99Cwv3fqaUqG; https://drive.google.com/open?id=1q-opRYVbPa7kGvf6P8C-t4-nI7LAiyG-</t>
  </si>
  <si>
    <t>https://www.facebook.com/profile.php?id=100050120806753&amp;mibextid=LQQJ4d</t>
  </si>
  <si>
    <t>Trần Thị Minh Tâm</t>
  </si>
  <si>
    <t>59 ngõ 69 Nguyễn Phúc Lai, Đống Đa, Hà Nội</t>
  </si>
  <si>
    <t>https://drive.google.com/open?id=12bvFNwjk6W57A4esFeyGtpYJ2hzXuu_R</t>
  </si>
  <si>
    <t>https://www.facebook.com/linh.co.73157203?mibextid=LQQJ4d</t>
  </si>
  <si>
    <t xml:space="preserve">Nguyễn Ngọc Vi Thảo </t>
  </si>
  <si>
    <t>Số 225 ,nguyễn văn trỗi ,mộ lao , Hà Đông , Hà Nội</t>
  </si>
  <si>
    <t>https://drive.google.com/open?id=1GHB1nM-RSVl8cWNtMjclDYZGFqA6h3NP; https://drive.google.com/open?id=18uU6k5qzlBDRm21J_lxg4R0N13gP0Ldp</t>
  </si>
  <si>
    <t>https://www.facebook.com/profile.php?id=100037629497206&amp;mibextid=LQQJ4d</t>
  </si>
  <si>
    <r>
      <rPr>
        <sz val="12"/>
        <color theme="1"/>
        <rFont val="Times New Roman"/>
        <family val="1"/>
      </rPr>
      <t>Vũ Thị Hà</t>
    </r>
    <r>
      <rPr>
        <sz val="12"/>
        <color rgb="FFFF0000"/>
        <rFont val="Times New Roman"/>
        <family val="1"/>
      </rPr>
      <t xml:space="preserve"> - 398942150 số zalo </t>
    </r>
    <r>
      <rPr>
        <sz val="12"/>
        <color theme="1"/>
        <rFont val="Times New Roman"/>
        <family val="1"/>
      </rPr>
      <t xml:space="preserve"> </t>
    </r>
    <r>
      <rPr>
        <sz val="12"/>
        <color rgb="FFFF0000"/>
        <rFont val="Times New Roman"/>
        <family val="1"/>
      </rPr>
      <t>- 332547972 sđt cũ</t>
    </r>
  </si>
  <si>
    <t>Số 94 hồ tùng mậu , mai dịch , cầu giấy, hà nội</t>
  </si>
  <si>
    <t>https://drive.google.com/open?id=1beNml31R5TpaP1Feot_OpFtQFHQV2lTA; https://drive.google.com/open?id=17vt4Wdm7mbX4azm_4bOpe5CbbZfKLO7m</t>
  </si>
  <si>
    <t>https://www.facebook.com/profile.php?id=100019320176480&amp;mibextid=LQQJ4d</t>
  </si>
  <si>
    <r>
      <rPr>
        <sz val="12"/>
        <color theme="1"/>
        <rFont val="Times New Roman"/>
        <family val="1"/>
      </rPr>
      <t xml:space="preserve">Nguyễn Thị Minh Huệ </t>
    </r>
    <r>
      <rPr>
        <sz val="12"/>
        <color rgb="FFFF0000"/>
        <rFont val="Times New Roman"/>
        <family val="1"/>
      </rPr>
      <t>OPT26 - 876607019 số cũ</t>
    </r>
  </si>
  <si>
    <t>mhue984@gmail.com</t>
  </si>
  <si>
    <t>https://drive.google.com/open?id=1ee8K9uJPRhSqEeRD3ftMgPfoEVLxYjZ2; https://drive.google.com/open?id=1PK7Uonk_iyAlIUEjLEGaOsQdkdMbUMQm</t>
  </si>
  <si>
    <t>https://www.facebook.com/profile.php?id=100017407721206&amp;mibextid=LQQJ4d</t>
  </si>
  <si>
    <t>Nguyễn Như Quỳnh</t>
  </si>
  <si>
    <t>nhuquynh23022006@gmail.com</t>
  </si>
  <si>
    <t>205B1, Ng 21/56/1, Đường Tựu Liệt, Văn Điển, Thanh Trì, Hà Nội</t>
  </si>
  <si>
    <t>https://drive.google.com/open?id=1C92neddAQMmCgSZ7QcMahWqvQaf7AFLp</t>
  </si>
  <si>
    <t>https://www.facebook.com/profile.php?id=100041723526602&amp;mibextid=LQQJ4d</t>
  </si>
  <si>
    <t>Nguyễn Thị Lâm Anh</t>
  </si>
  <si>
    <t>lanhngyn1707@gmail.com</t>
  </si>
  <si>
    <t>https://drive.google.com/open?id=1O91cNaCqqREB3gSJh49xGw5LuPFoZg1d; https://drive.google.com/open?id=1S9WjhoYOf6w-glG4WBtM_tKMaBpBg2EW</t>
  </si>
  <si>
    <t>PT142</t>
  </si>
  <si>
    <t>https://www.facebook.com/profile.php?id=100033855780964&amp;mibextid=ZbWKwL</t>
  </si>
  <si>
    <r>
      <rPr>
        <sz val="12"/>
        <color theme="1"/>
        <rFont val="Times New Roman"/>
        <family val="1"/>
      </rPr>
      <t xml:space="preserve">Võ Thị Huyền Trang </t>
    </r>
    <r>
      <rPr>
        <sz val="12"/>
        <color rgb="FFFF0000"/>
        <rFont val="Times New Roman"/>
        <family val="1"/>
      </rPr>
      <t>OPT41, PT137</t>
    </r>
  </si>
  <si>
    <t>vohuyentrang30072k6@gmail.com</t>
  </si>
  <si>
    <t>Số nhà 21 - Nhà văn hóa khối 3 - Phường Bến Thủy - Thành phố Vinh - Nghệ An</t>
  </si>
  <si>
    <t>11/09/2024 và 02/10/2024</t>
  </si>
  <si>
    <t>https://drive.google.com/open?id=1l31L-0w9izfeR7EtcVZM_NjSgZBonItZ; https://drive.google.com/open?id=1b-YU7WbnkBcXsrO7uLMIksNqFiPYaawN</t>
  </si>
  <si>
    <t>https://www.facebook.com/profile.php?id=100048454680035&amp;mibextid=LQQJ4d</t>
  </si>
  <si>
    <t>Nguyễn Thu Hà</t>
  </si>
  <si>
    <t>thuhanguyen06122006@gmail.com</t>
  </si>
  <si>
    <t>số 17, ngõ 81, Đào nguyên2 , xã An Thượng, huyện Hoài Đức</t>
  </si>
  <si>
    <t>23/09/2024 và 26/09/2024</t>
  </si>
  <si>
    <t>https://drive.google.com/open?id=1WTj33egN8gXWoH1qYAAET5lfuq8sRDe0; https://drive.google.com/open?id=1yJ3Yzvi4aiTe13ALkpd_g4AIbTEhZRE3; https://drive.google.com/open?id=1k0ybhfDyHJIXW-ncKZ8-QiLwytoO2CCV</t>
  </si>
  <si>
    <t>https://www.facebook.com/profile.php?id=100058057120779</t>
  </si>
  <si>
    <t>Thân Thị Thúy Linh</t>
  </si>
  <si>
    <t>https://drive.google.com/open?id=1SidHZSrff2W455Zj4Jv2KQgdiPlAIkWz; https://drive.google.com/open?id=1ahnvejXh0rjrGt_IpEzOVj9pAdj2dOGl</t>
  </si>
  <si>
    <t>https://facebook.com/profile.php?id=100043341967834</t>
  </si>
  <si>
    <r>
      <rPr>
        <sz val="12"/>
        <color theme="1"/>
        <rFont val="Times New Roman"/>
        <family val="1"/>
      </rPr>
      <t>Ngô Thị Vân</t>
    </r>
    <r>
      <rPr>
        <sz val="12"/>
        <color rgb="FFFF0000"/>
        <rFont val="Times New Roman"/>
        <family val="1"/>
      </rPr>
      <t xml:space="preserve"> - Đã nộp 300K 04/10/24
OPT35 học dễ Diệp báo học OT32</t>
    </r>
  </si>
  <si>
    <t>23/09/2024 và 04/10/2024</t>
  </si>
  <si>
    <t>https://drive.google.com/open?id=1EIZNO6X95SHCzFvpQ6ot03mjF17TpB48; https://drive.google.com/open?id=1F17OzL6efMj1rAENhDvWshVWsmgIdoq0; https://drive.google.com/open?id=1aJKABSszbGORwIPTEaT0L_W_rN6TIjjK</t>
  </si>
  <si>
    <t>24/09/2024 nhận sách PT</t>
  </si>
  <si>
    <t>https://www.facebook.com/ngo.huong.giang.16503323?mibextid=LQQJ4d</t>
  </si>
  <si>
    <r>
      <rPr>
        <sz val="12"/>
        <color theme="1"/>
        <rFont val="Times New Roman"/>
        <family val="1"/>
      </rPr>
      <t xml:space="preserve">Ngô Hương Giang </t>
    </r>
    <r>
      <rPr>
        <sz val="12"/>
        <color rgb="FFFF0000"/>
        <rFont val="Times New Roman"/>
        <family val="1"/>
      </rPr>
      <t>- OPT42</t>
    </r>
  </si>
  <si>
    <t>https://drive.google.com/open?id=1Au7LkX172klFKvojwkh5aeber5FIllF_; https://drive.google.com/open?id=1o5e1h-HAikVu0kvIHJPyS5TCqbxrCagc</t>
  </si>
  <si>
    <t>https://www.facebook.com/qaiuem.06?mibextid=LQQJ4d</t>
  </si>
  <si>
    <r>
      <rPr>
        <sz val="12"/>
        <color theme="1"/>
        <rFont val="Times New Roman"/>
        <family val="1"/>
      </rPr>
      <t>Dương Quỳnh Anh</t>
    </r>
    <r>
      <rPr>
        <sz val="12"/>
        <color rgb="FFFF0000"/>
        <rFont val="Times New Roman"/>
        <family val="1"/>
      </rPr>
      <t xml:space="preserve"> - PT140</t>
    </r>
  </si>
  <si>
    <t>Thu Hiền</t>
  </si>
  <si>
    <t>dqa20062020@gmail.com</t>
  </si>
  <si>
    <t>89 Nguyễn Phong Sắc Phường Dịch Vọng Hậu Cầu Giấy Hà Nội</t>
  </si>
  <si>
    <t>21/09/2024 và 30/09/2024</t>
  </si>
  <si>
    <t>https://drive.google.com/open?id=1IHOemeMHcyyYg9FNc8NzRIbYIfQYx6QP; https://drive.google.com/open?id=1czKyxpjIJA5ytzC8RAjE3mYcnURPJNyS; https://drive.google.com/open?id=1tASD3W4f1ApT7LbFNzmjwYHE5NdOYIoU</t>
  </si>
  <si>
    <r>
      <rPr>
        <sz val="12"/>
        <color theme="1"/>
        <rFont val="Times New Roman"/>
        <family val="1"/>
      </rPr>
      <t>Lê Thị Mai Hoa</t>
    </r>
    <r>
      <rPr>
        <sz val="12"/>
        <color rgb="FFFF0000"/>
        <rFont val="Times New Roman"/>
        <family val="1"/>
      </rPr>
      <t xml:space="preserve"> (Hợp đồng)</t>
    </r>
  </si>
  <si>
    <t>https://www.facebook.com/share/184UYNxtAh/?mibextid=wwXIfr</t>
  </si>
  <si>
    <t xml:space="preserve">Bàn Thị Nhị </t>
  </si>
  <si>
    <t>nhiban608@gmail.com</t>
  </si>
  <si>
    <t>https://drive.google.com/open?id=1v-WojCIy2MJXKEEZ_XFre67iaAfzbkpC; https://drive.google.com/open?id=1vkOP1NfBl-vRZifNatcRfIdhxlPR7sBi; https://drive.google.com/open?id=1AR0oDaWw2GsBjtzDfK-yIR0fe-lZwh8q</t>
  </si>
  <si>
    <t>Nhài cầm 1 triệu tiền mặt tối 04/10/2025</t>
  </si>
  <si>
    <t>https://www.facebook.com/profile.php?id=100049156987923&amp;mibextid=LQQJ4d</t>
  </si>
  <si>
    <t>Nguyễn Thanh Hoài</t>
  </si>
  <si>
    <t>hoaithanh12gk6pt@gmail.com</t>
  </si>
  <si>
    <t>https://drive.google.com/open?id=1DfwQMLsL2qKzpl4ztx0sfPtJfY-5Xynr; https://drive.google.com/open?id=1XgFRmyAp4ZAEWmxas_M3XWsti-fqLvGk</t>
  </si>
  <si>
    <t>https://www.facebook.com/profile.php?id=100052898530649&amp;mibextid=LQQJ4d</t>
  </si>
  <si>
    <t>Nguyễn Văn Khởi</t>
  </si>
  <si>
    <t>khoinguyenvan0606@gmail.com</t>
  </si>
  <si>
    <t>lê la cofe tea,Ngô Gia Tự,Thắng Lợi,Phủ Lý,Hà Nam</t>
  </si>
  <si>
    <t>23/09/2024 và 24/09/2024</t>
  </si>
  <si>
    <t>https://drive.google.com/open?id=1RZmhWIZpUp-eHa9JjEPtAgLhY31aFuzr; https://drive.google.com/open?id=1yAZmexkq8NiBfCpVxb7-UL16q2IBES1G, https://drive.google.com/open?id=11wLZpPDbtrNHVV5MRCOVQKd-eiHRl5Ui</t>
  </si>
  <si>
    <t>https://www.facebook.com/profile.php?id=100081167659620&amp;mibextid=LQQJ4d&amp;rdid=57dN6xFsI0VsTro8&amp;share_url=https%3A%2F%2Fwww.facebook.com%2Fshare%2F1VxgvL5DuPSyo1UE%2F%3Fmibextid%3DLQQJ4d</t>
  </si>
  <si>
    <t>Nguyễn Văn Thái</t>
  </si>
  <si>
    <t>số 23 ngõ 100 Kim Ngưu, Thanh Nhàn, Hai Bà Trưng, Hà Nội</t>
  </si>
  <si>
    <t>https://drive.google.com/open?id=1Igq7buMlG3fQu-NO34h-kkfkhiQk3q1o; https://drive.google.com/open?id=1a5VDgvzR2dYw5DT-ZTXs_Sg-EJlc4rMr</t>
  </si>
  <si>
    <t>ko</t>
  </si>
  <si>
    <t>https://web.facebook.com/profile.php?id=100066581014264&amp;mibextid=ZbWKwL&amp;ext=1727187888&amp;hash=%2501%2501%2592%25D8Zp%25003%25A3%25A6%2526%25EB%25D75%253Cx%257D%25E3&amp;_rdc=1&amp;_rdr</t>
  </si>
  <si>
    <t xml:space="preserve">Nguyễn Hoàng Phương </t>
  </si>
  <si>
    <t>https://drive.google.com/open?id=1I0tEM9ictFbHJDEFqZUeut5wf7aSVhYw, https://drive.google.com/open?id=1ZHO8SnPvggfRWMXU1pvBoyRbp_fZBXqJ; https://drive.google.com/open?id=19SKut6hd_H-a6r8Ge8DmWrhlPNAIh3px</t>
  </si>
  <si>
    <t>https://www.facebook.com/pmq258?mibextid=ZbWKwL</t>
  </si>
  <si>
    <t>https://drive.google.com/open?id=1T26MvL0yuWKaYY0uVrBd5K8K9xwrc5nE; https://drive.google.com/open?id=1pOp67XeSS_2K8yx1XcXU_a8eE-17lmfG</t>
  </si>
  <si>
    <t>https://www.facebook.com/profile.php?id=100075171725439&amp;mibextid=ZbWKwL</t>
  </si>
  <si>
    <r>
      <rPr>
        <sz val="12"/>
        <color theme="1"/>
        <rFont val="Times New Roman"/>
        <family val="1"/>
      </rPr>
      <t xml:space="preserve">Đỗ Thị Thu Huyền </t>
    </r>
    <r>
      <rPr>
        <sz val="12"/>
        <color rgb="FFFF0000"/>
        <rFont val="Times New Roman"/>
        <family val="1"/>
      </rPr>
      <t xml:space="preserve">(hợp đồng) </t>
    </r>
  </si>
  <si>
    <t>Địa chỉ: xóm Soi, Bạch Trữ, Tiến Thắng, Mê Linh, HN</t>
  </si>
  <si>
    <t>18/09/2024 và 22/9</t>
  </si>
  <si>
    <t>21/10/2024 và 13/10</t>
  </si>
  <si>
    <t>https://drive.google.com/open?id=1R_W7gnZT7tpVe3FjXP16-SFOFPzMkVnt, https://drive.google.com/open?id=1ipo3Yfym2Qk0jW_bfH_A5hKKvyQauZiG; https://drive.google.com/open?id=1N9owBDmWDgpBLBGv0Nm0VQQ-fZyuo-Pl, https://drive.google.com/open?id=1iFcHKeMSRN0U5_iyyFBLZmoNTqLDa2TA</t>
  </si>
  <si>
    <t>https://www.facebook.com/profile.php?id=100035389053518&amp;mibextid=LQQJ4d</t>
  </si>
  <si>
    <t>163 Đường Sông Nhuệ, Phường Đức Thắng, Bắc Từ Liêm, Hà Nội</t>
  </si>
  <si>
    <t>https://drive.google.com/open?id=1rswbXVowfy4mg-hNKvdlRV_MXR2O7scb; https://drive.google.com/open?id=1N4P1iahVPRwcY5L-1Q_9ByGSxhszeECr; https://drive.google.com/open?id=1Xvpn-YMh7Lv4T7-aaDItsLhbuAi3s0KH</t>
  </si>
  <si>
    <t>https://www.facebook.com/profile.php?id=100064245103043&amp;mibextid=LQQJ4d</t>
  </si>
  <si>
    <t>163, đường sông nhuệ, phường đức thắng, bắc từ liêm, thành phố Hà Nội</t>
  </si>
  <si>
    <t>https://drive.google.com/open?id=1ruU3Drw0PjMT3-WmTfqgAdIIknbxzyfT; https://drive.google.com/open?id=1PfWBQ2Oy_aHP7FwLdh3Bazeoj05AzEGP; https://drive.google.com/open?id=1iwg0xk0wRUMskoNnN99QIloHLbXuUmyT</t>
  </si>
  <si>
    <t>https://www.facebook.com/profile.php?id=100013600353070&amp;mibextid=LQQJ4d</t>
  </si>
  <si>
    <r>
      <rPr>
        <sz val="12"/>
        <color theme="1"/>
        <rFont val="Times New Roman"/>
        <family val="1"/>
      </rPr>
      <t xml:space="preserve">Phạm Đắc Thanh </t>
    </r>
    <r>
      <rPr>
        <sz val="12"/>
        <color rgb="FFFF0000"/>
        <rFont val="Times New Roman"/>
        <family val="1"/>
      </rPr>
      <t>(hợp đồng)</t>
    </r>
  </si>
  <si>
    <t>pdacthanh33@gmail.com</t>
  </si>
  <si>
    <t>số 15B, ngõ 158 Trương Định, Hai Bà Trưng, Hà Nội</t>
  </si>
  <si>
    <t>https://drive.google.com/open?id=1ARakqBSr0HzbNuzBl95UWyJ6-d2Xh3jj; https://drive.google.com/open?id=1YPsSfgIenrgKx4EDcC-fnBMWkFPGBIkl</t>
  </si>
  <si>
    <t>https://www.facebook.com/profile.php?id=100013090092474&amp;mibextid=LQQJ4d</t>
  </si>
  <si>
    <t>Lê Lục Bình Minh</t>
  </si>
  <si>
    <t>24/09/2024 và 01/10/2024</t>
  </si>
  <si>
    <t>https://drive.google.com/open?id=1IpG4wTMdQuWtsivIADeVcFWKu_pPiitV; https://drive.google.com/open?id=1k2HHI6zQCL5wGPs7BZxyUiFE5Ke-6eXQ; https://drive.google.com/open?id=1jfG7Va5Ilnl9rtPfalNoh1tvO6ipdqQa</t>
  </si>
  <si>
    <t>https://www.facebook.com/profile.php?id=100048230916025&amp;mibextid=LQQJ4d</t>
  </si>
  <si>
    <t>Nguyễn Đức Cường</t>
  </si>
  <si>
    <t>https://drive.google.com/open?id=1olAZ_dhoR2MpJsIO0lXz9o7VRStDmLrG; https://drive.google.com/open?id=1O0hYjXZPsdiZS6DPz7FbUqidDNOWRgVG; https://drive.google.com/open?id=1j6izz6jxzuY5IoDBVy3nSuV96dXZQne9</t>
  </si>
  <si>
    <t>https://www.facebook.com/karry.nguyen.906638?mibextid=LQQJ4d</t>
  </si>
  <si>
    <t>tthaoxg27@gmail.com</t>
  </si>
  <si>
    <t>29E/44/64 ngõ 85 xuân thuỷ</t>
  </si>
  <si>
    <t>23/09/2024 va 30/09/2024</t>
  </si>
  <si>
    <t>https://drive.google.com/open?id=1nTf9pO-YKuRAyZPydqPkvcAO9hriDQmw; https://drive.google.com/open?id=1YtE4rHMgnMeYp0tLKCf13c12EM22mkPy; https://drive.google.com/open?id=1e40mau0WGiWivJPrK2dz9sCszZPZyyji</t>
  </si>
  <si>
    <t>Gửi sách Cường</t>
  </si>
  <si>
    <t>https://www.facebook.com/profile.php?id=100081510570274&amp;mibextid=LQQJ4d</t>
  </si>
  <si>
    <t>quyen296vnt@gmail.com</t>
  </si>
  <si>
    <t>https://drive.google.com/open?id=1Xf_D215DNgdGA-oCEKQlo5xKsMvv4VXC; https://drive.google.com/open?id=16cQbuEJYMusjJKnaJfzZvCvnbCT6lfdR</t>
  </si>
  <si>
    <t>https://www.facebook.com/nnhung180706?mibextid=LQQJ4d</t>
  </si>
  <si>
    <t>Dương Như Nhung</t>
  </si>
  <si>
    <t>nhunhung1806@gmail.com</t>
  </si>
  <si>
    <t>https://drive.google.com/open?id=1_Qselj2YAUQHC9KqY3QdnSQLVc4vLYVs; https://drive.google.com/open?id=19D1_3qlTm_TEEW0aEyq6GK56AhsM0I0c</t>
  </si>
  <si>
    <t>https://www.facebook.com/profile.php?id=100069882165065</t>
  </si>
  <si>
    <r>
      <rPr>
        <sz val="12"/>
        <color theme="1"/>
        <rFont val="Times New Roman"/>
        <family val="1"/>
      </rPr>
      <t xml:space="preserve">Đào Thị Phương </t>
    </r>
    <r>
      <rPr>
        <sz val="12"/>
        <color rgb="FFFF0000"/>
        <rFont val="Times New Roman"/>
        <family val="1"/>
      </rPr>
      <t>- Nhật Phương</t>
    </r>
  </si>
  <si>
    <t>daophuong030106@gmail.com</t>
  </si>
  <si>
    <t>số 119, ngõ 318 Đê La Thành, Đống Đa, Hà Nội</t>
  </si>
  <si>
    <t>24/09/2024 VÀ 01/10/2024</t>
  </si>
  <si>
    <t>https://drive.google.com/open?id=1KcOSMDzutQX7hGmznI0JvPL9Fb6B-SzI; https://drive.google.com/open?id=15BW5rerAGASsJOYRBixX_s4yTVMG3YAF; https://drive.google.com/open?id=1MKuWp8ns_BavR-lvAlmAHXyTaU-9ItyE</t>
  </si>
  <si>
    <t>https://www.facebook.com/Lequoctrung.1408</t>
  </si>
  <si>
    <r>
      <rPr>
        <sz val="12"/>
        <color theme="1"/>
        <rFont val="Times New Roman"/>
        <family val="1"/>
      </rPr>
      <t>Lê Quốc Trung</t>
    </r>
    <r>
      <rPr>
        <sz val="12"/>
        <color rgb="FFFF0000"/>
        <rFont val="Times New Roman"/>
        <family val="1"/>
      </rPr>
      <t xml:space="preserve"> - hợp đồng</t>
    </r>
  </si>
  <si>
    <t>lequoctrung140826@gmail.com</t>
  </si>
  <si>
    <t>1984 Leather Handmade , ngõ 250 , Đường Kim Giang, Đại Kim , Hoàng Mai , Hà Nội</t>
  </si>
  <si>
    <t>24/09/2024 và 30/09/2024</t>
  </si>
  <si>
    <t>https://drive.google.com/open?id=1DRQtGfXuWmDVwFuLKsiTevOoAzNNs_-e; https://drive.google.com/open?id=1gLEkMGyzuUu9PcYUrDnl5ztvxmsEL9ig; https://drive.google.com/open?id=13c941Gmj9JYkaC1VG6yUBIbtrdYK4MB4</t>
  </si>
  <si>
    <t>https://www.facebook.com/vananh.phamthi.739978?mibextid=LQQJ4d</t>
  </si>
  <si>
    <t>anhv04824@gmail.com</t>
  </si>
  <si>
    <t>226 yên hòa ,p.yên hòa,quận Cầu Giấy Hà Nội</t>
  </si>
  <si>
    <t>24/09/2024 VÀ 05/10/2024</t>
  </si>
  <si>
    <t>https://drive.google.com/open?id=1HdWyy15XalRGA4FBcSJl4pI3utfpaLVv; https://drive.google.com/open?id=1NpXrDvJoKoVhTOka9fto3RT3da1KGZPg; https://drive.google.com/open?id=11-ozxh0lHqK2Jb89113xGUzy_NjiKPRH</t>
  </si>
  <si>
    <t>https://www.facebook.com/chan.hazimoon</t>
  </si>
  <si>
    <t xml:space="preserve">Bùi Kiều Oanh </t>
  </si>
  <si>
    <t>nhà số 2, Ngõ 6, đường số 3, làng Hưng Giáo, xã Tam Hưng, huyện Thanh Oai, TP Hà Nội</t>
  </si>
  <si>
    <t>https://drive.google.com/open?id=1i-e2nZh_StENknK8vjOtry56T2gVR1N6; https://drive.google.com/open?id=1bEm6ZoJtvDfFDwk1bsTp7_Ru866ChPSP</t>
  </si>
  <si>
    <t>https://www.facebook.com/profile.php?id=100078749870652&amp;mibextid=LQQJ4d</t>
  </si>
  <si>
    <t>Trương Đức Anh</t>
  </si>
  <si>
    <t>18/09/2024 và 27/09/2024</t>
  </si>
  <si>
    <t>https://drive.google.com/open?id=1kOWdzEvZQQ2pydL2nFSakOMTNZEeEqjS; https://drive.google.com/open?id=1gH0qMcYesDZjBFzIZBTG80Du-OGAV0x6; https://drive.google.com/open?id=1DWifnPXSSxF4wKuf5BP4-xjqMYPiBnuH</t>
  </si>
  <si>
    <t>https://www.facebook.com/profile.php?id=100064964923983&amp;mibextid=ZbWKwL</t>
  </si>
  <si>
    <t>Đặng Thị Hương</t>
  </si>
  <si>
    <t>026306008395</t>
  </si>
  <si>
    <t>số nhà 19 ngõ 35 Trần Thái Tông</t>
  </si>
  <si>
    <t>https://drive.google.com/open?id=1-CJr6qye_OiP4SHDdYM5bw2fyorzup5H; https://drive.google.com/open?id=1RzkN0v0cikopzC6xhMI4EqGUKj7nD_y8; https://drive.google.com/open?id=1RFl-uXEwqzyiFTzDtZg4ZsH7okO85256</t>
  </si>
  <si>
    <t>Sách đưa tay</t>
  </si>
  <si>
    <t>https://www.facebook.com/2imPhamHung?mibextid=LQQJ4d</t>
  </si>
  <si>
    <t>Phạm Nguyễn Minh Hùng</t>
  </si>
  <si>
    <t>https://drive.google.com/open?id=185begChKb2-fv4U2_GIsfJESukzznaip; https://drive.google.com/open?id=1qt5-QEGhg1y12WCGhXXXiri2biJk2AVO</t>
  </si>
  <si>
    <t>https://www.facebook.com/profile.php?id=100055875903759&amp;mibextid=LQQJ4d</t>
  </si>
  <si>
    <t>Lê Anh Tài</t>
  </si>
  <si>
    <t>https://drive.google.com/open?id=1m2fkriFS0edxS3zM15DKOqjGJ2Qd7tzB; https://drive.google.com/open?id=1nVgHmW0bm9CE_Bv1L-M0qwjFF-4Sw_OS</t>
  </si>
  <si>
    <t>https://www.facebook.com/trinhphuong1406?mibextid=LQQJ4d</t>
  </si>
  <si>
    <t>Phạm Thị Phương Trinh</t>
  </si>
  <si>
    <t>Tp9061457@gmail.com</t>
  </si>
  <si>
    <t>24/09/2024 và 04/10/2024</t>
  </si>
  <si>
    <t>https://drive.google.com/open?id=1eD2xrseduahN3D1BhB9HS0my_uRrWqee; https://drive.google.com/open?id=1yJLoHlEVCyngGjba2nam63Z90OOcmWjQ; https://drive.google.com/open?id=1HEY3ftYIEAwxlkA8UvqCgDVghwQBB3Qy</t>
  </si>
  <si>
    <t>https://www.facebook.com/profile.php?id=100023403321768</t>
  </si>
  <si>
    <t xml:space="preserve">Hoàng Thị Bích Tươi </t>
  </si>
  <si>
    <t>tuoihoang215@gmail.com</t>
  </si>
  <si>
    <t xml:space="preserve">Ngách 46 ngõ 180 đường phú mỹ phường mỹ đình 2 nam từ Liêm </t>
  </si>
  <si>
    <t>https://drive.google.com/open?id=1k8GPWAT4b8zPRalPfUKTKu0epAz-4VA2; https://drive.google.com/open?id=1GoDFQebAsvERTwuL4S4ziDU9cEFl7_WY</t>
  </si>
  <si>
    <t>https://www.facebook.com/profile.php?id=100032702200312</t>
  </si>
  <si>
    <t xml:space="preserve">Nguyễn Văn Luân </t>
  </si>
  <si>
    <t xml:space="preserve"> luann7212@gmail.com</t>
  </si>
  <si>
    <t>23/09/2024 và 09/10/2024</t>
  </si>
  <si>
    <t>https://drive.google.com/open?id=1MMj_BNLMpAjOK1oPGT_BNKUdDPnF_LWL; https://drive.google.com/open?id=1A3t6bcy_a4u6L6sVbPPqGcdBnH1ErtlJ</t>
  </si>
  <si>
    <t>https://www.facebook.com/chugaudinang2926?mibextid=LQQJ4d</t>
  </si>
  <si>
    <r>
      <rPr>
        <sz val="12"/>
        <color theme="1"/>
        <rFont val="Times New Roman"/>
        <family val="1"/>
      </rPr>
      <t>Đỗ Đình Quốc Khánh</t>
    </r>
    <r>
      <rPr>
        <sz val="12"/>
        <color rgb="FFFF0000"/>
        <rFont val="Times New Roman"/>
        <family val="1"/>
      </rPr>
      <t xml:space="preserve"> - hợp đồng</t>
    </r>
  </si>
  <si>
    <t>Số nhà 3, Ngõ 52 Quang Tiến, Đại Mỗ, Nam Từ Liêm, Hà Nội</t>
  </si>
  <si>
    <t>26/09/2024 và 02/10/2024</t>
  </si>
  <si>
    <t>https://drive.google.com/open?id=1dfVWhlXT7BE_6Uj6YfEH7JSlLPvo4ysr; https://drive.google.com/open?id=18wpTk4LMVQCEbNVtFqLKrKEgtV553R11</t>
  </si>
  <si>
    <t>https://www.facebook.com/profile.php?id=100029185264513</t>
  </si>
  <si>
    <t>Nguyễn Thị Phương Nga</t>
  </si>
  <si>
    <t>13/09/2024 vfa 25/09/2024</t>
  </si>
  <si>
    <t>https://drive.google.com/open?id=1yrmpGZTixLIhg_ttb5AUJZVm8zTp18mx; https://drive.google.com/open?id=1v1pyPuJHVcnb7UHaK0q1TJv_SWOQ8ESZ; https://drive.google.com/open?id=1MdXPKOZKiAeer50bsC1gYLbp5sTtKCmH</t>
  </si>
  <si>
    <t>https://www.facebook.com/namson.ngo.52?mibextid=LQQJ4d</t>
  </si>
  <si>
    <t>Ngô Nam Sơn</t>
  </si>
  <si>
    <t>tại lớp off</t>
  </si>
  <si>
    <t>18/09/2024 và 28/09/2024</t>
  </si>
  <si>
    <t>https://drive.google.com/open?id=1Wg-fV-VLULtRvNbpqhd2ZlrhJZv6o3Fe; https://drive.google.com/open?id=1_hlRmlurAgHqBpMXNSHpXqYlbVXHjNSJ; https://drive.google.com/open?id=1oSUZchQP2a_682XoK-JB-9c-voTbiKzw</t>
  </si>
  <si>
    <t>https://www.facebook.com/profile.php?id=100080426880874&amp;mibextid=LQQJ4d</t>
  </si>
  <si>
    <t>Đồng Khánh Chi</t>
  </si>
  <si>
    <t>chik8514@gmail.com</t>
  </si>
  <si>
    <t>Trung tân</t>
  </si>
  <si>
    <t>26/09/2024 và 05/10/2024</t>
  </si>
  <si>
    <t>https://drive.google.com/open?id=1Wg-fV-VLULtRvNbpqhd2ZlrhJZv6o3Fe; https://drive.google.com/open?id=1_hlRmlurAgHqBpMXNSHpXqYlbVXHjNSJ</t>
  </si>
  <si>
    <t>https://www.facebook.com/thingocanh.kieu.754?mibextid=LQQJ4d</t>
  </si>
  <si>
    <t>Kiều Thị Ngọc Ánh</t>
  </si>
  <si>
    <t>https://drive.google.com/open?id=1zBw7TIQOY9CTqOtrxc1cH4E-ZKBHBn5J; https://drive.google.com/open?id=1vX4uTH9R_zDJ1E2osELr-oNOkusQItZO; https://drive.google.com/open?id=12TWIlvjCZLtwwZ_Uivsp0FZKHBxci64N</t>
  </si>
  <si>
    <t>https://www.facebook.com/chin.pham.71271466?mibextid=LQQJ4d</t>
  </si>
  <si>
    <t>Phạm Thị Chín</t>
  </si>
  <si>
    <t xml:space="preserve">ptchin.dhkt17a4hn@sv.uneti.edu.vn </t>
  </si>
  <si>
    <t>26 ngõ 100 đông thiên, vĩnh hưng , hoàng mai</t>
  </si>
  <si>
    <t>https://drive.google.com/open?id=1lgX5WLqeyKjMDT3UV-OSaWdSIVRaEHta; https://drive.google.com/open?id=1QNJVIAXDJ2wHpjlvXUAsWvBx6Wdd9XPv</t>
  </si>
  <si>
    <t>https://www.facebook.com/profile.php?id=100075152136568&amp;mibextid=LQQJ4d</t>
  </si>
  <si>
    <t>Đỗ Thị Phương Ngoan</t>
  </si>
  <si>
    <t>pngoantb2k6@gmail.com</t>
  </si>
  <si>
    <t>ố nhà 22, ngõ 100 Phố Đông Thiên, Vĩnh Hưng, Hoàng Mai</t>
  </si>
  <si>
    <t>https://drive.google.com/open?id=1FMOngpw0ytQq10FScoGVGr04qG-r30fd, https://drive.google.com/open?id=18facIAGCztKbzTe3Vr1Pz6ICchMy2iD4; https://drive.google.com/open?id=19pf3HkcbuLmUem4nVuUC1E4GP8RJq6cN</t>
  </si>
  <si>
    <t>https://www.facebook.com/nguyen.pun.54?mibextid=ZbWKwL</t>
  </si>
  <si>
    <t>Lăng Thị Kim Oanh</t>
  </si>
  <si>
    <t>langthikimoanh66@gmail.com</t>
  </si>
  <si>
    <t>số 30 ngõ 63 Trần Quốc Vượng, Dịch Vọng Hậu, Cầu Giấy, Hà Nội</t>
  </si>
  <si>
    <t>https://drive.google.com/open?id=15WBYDjuSe9b7S6aL7gXH3O8TBVc_kkxv; https://drive.google.com/open?id=1XFyIJI_AOe1esLhNvm5bgpRaiJsTqxhi</t>
  </si>
  <si>
    <t>https://www.facebook.com/profile.php?id=100028700411593&amp;mibextid=LQQJ4d</t>
  </si>
  <si>
    <t xml:space="preserve">Lê Thị Lệ </t>
  </si>
  <si>
    <t>reallele1310@gmail.com</t>
  </si>
  <si>
    <t>Trực tiếp tại trung tâm</t>
  </si>
  <si>
    <t>25/09/2024 và 28/09/2024</t>
  </si>
  <si>
    <t>https://drive.google.com/open?id=1z6dQuFo9tu0xvCqi0S0SS1h5wT58L1mU; https://drive.google.com/open?id=11fELeLcqYDSlgLOhBTArQ6zVTu2r1Uph; https://drive.google.com/open?id=1BaHKgwzrszNsSRnrdPdJAyt8SqTSVGAd</t>
  </si>
  <si>
    <t>https://www.facebook.com/profile.php?id=100049689254935&amp;mibextid=ZbWKwL</t>
  </si>
  <si>
    <t>nguyenthiduyen230606@gmail.com</t>
  </si>
  <si>
    <t>26/09/2024 và 01/10/2024</t>
  </si>
  <si>
    <t>https://drive.google.com/open?id=1h0FMuYNai-0WxP2IHEfwpoowTOvhFp_y; https://drive.google.com/open?id=1OcTXeu0BS84JySm60U2j_bFKmXkXsRqR, https://drive.google.com/open?id=1giAZi4Yi4Ne6p0dzdt99ODprSpfblxSo</t>
  </si>
  <si>
    <t>https://www.facebook.com/de6nn?mibextid=ZbWKwL</t>
  </si>
  <si>
    <r>
      <rPr>
        <sz val="12"/>
        <color theme="1"/>
        <rFont val="Times New Roman"/>
        <family val="1"/>
      </rPr>
      <t>Trần Thị Ánh Dương</t>
    </r>
    <r>
      <rPr>
        <sz val="12"/>
        <color rgb="FFFF0000"/>
        <rFont val="Times New Roman"/>
        <family val="1"/>
      </rPr>
      <t xml:space="preserve"> - Dương Chiêu</t>
    </r>
  </si>
  <si>
    <t>tranthianhduongttyy@gmail.com</t>
  </si>
  <si>
    <t>https://drive.google.com/open?id=1elBri1ZagfNMR9ptCwzrmnQWrhryUV27; https://drive.google.com/open?id=110H_lvbN08EakWo7Fy8E8LtT7GvqS3pv; https://drive.google.com/open?id=159G6hkjgaRQojW800uMdZmOtSTikUKVB</t>
  </si>
  <si>
    <t>https://www.facebook.com/kim.anh2k6.qn?mibextid=ZbWKwL</t>
  </si>
  <si>
    <t>Vũ Kim Anh</t>
  </si>
  <si>
    <t xml:space="preserve">kimanhmk6@gmail.com </t>
  </si>
  <si>
    <t>https://drive.google.com/open?id=155TQE87chCpjis2GfKUl_f32XLFoT3Rn; https://drive.google.com/open?id=1JDKBHJMTfsuHfXDrg24UYWJ4ACXcQekR, https://drive.google.com/open?id=1YuMyAAl_0H4P7uATjgNzfK7C2auLAieO; https://drive.google.com/open?id=1xbm8wglRLDffnvmk4ni2mzqBkClEv0rr</t>
  </si>
  <si>
    <t>https://www.facebook.com/profile.php?id=100066611832206</t>
  </si>
  <si>
    <t xml:space="preserve">Đàm Khánh Toàn </t>
  </si>
  <si>
    <t>https://drive.google.com/open?id=1wOGQWVo3e91pOEKBcAFAxMJ9Jpnz7oNy; https://drive.google.com/open?id=12UL1ZU4ywogsL_J8_CQi5GJg8qzCYy2R</t>
  </si>
  <si>
    <t>https://www.facebook.com/profile.php?id=100013726547863&amp;mibextid=LQQJ4d</t>
  </si>
  <si>
    <t>Phạm Văn Đạt</t>
  </si>
  <si>
    <t>datdz10022006@gmai.com</t>
  </si>
  <si>
    <t>26/09/2024 và 29/09/2024</t>
  </si>
  <si>
    <t>https://drive.google.com/open?id=11vQJQTiNyXOs7TItNf9sHK-A1C5sjHo3; https://drive.google.com/open?id=1aP-NBQw1HtkmasRmJmZB5MyQtabXKjLS; https://drive.google.com/open?id=1ShFPCresk6RYRMQBmFUa5T82nqdgEm_k</t>
  </si>
  <si>
    <t>https://www.facebook.com/profile.php?id=100090467447702&amp;mibextid=ZbWKwL</t>
  </si>
  <si>
    <t>Nguyễn Thị Lê My</t>
  </si>
  <si>
    <t>https://drive.google.com/open?id=1EjzkkZzmJAY8duxg7uldhm4pUdTcvNtK; https://drive.google.com/open?id=1P0Qow7DMeJ4NVo2qRDap8DnP9CLVDKyk</t>
  </si>
  <si>
    <t>https://www.facebook.com/profile.php?id=100094386626142&amp;mibextid=ZbWKwL</t>
  </si>
  <si>
    <r>
      <rPr>
        <sz val="12"/>
        <color theme="1"/>
        <rFont val="Times New Roman"/>
        <family val="1"/>
      </rPr>
      <t>Phan Khánh Ly</t>
    </r>
    <r>
      <rPr>
        <sz val="12"/>
        <color rgb="FFFF0000"/>
        <rFont val="Times New Roman"/>
        <family val="1"/>
      </rPr>
      <t xml:space="preserve"> - Anh Khanh</t>
    </r>
  </si>
  <si>
    <t>lykhanhphan206@gmail.com</t>
  </si>
  <si>
    <t>26/09/2024 và 10/10/2024</t>
  </si>
  <si>
    <t>https://drive.google.com/open?id=1obFXvQJGRpG7NoB_U5xl-03wD4zu5C0e; https://drive.google.com/open?id=1NHZHWcoeX7Vr2Z0w4FqnXyDUfP1BgK7q; https://drive.google.com/open?id=1etTsrvathlwgBMW2c2kncoUhstW1BrbK</t>
  </si>
  <si>
    <t>https://www.facebook.com/hoaitina.2308?mibextid=LQQJ4d</t>
  </si>
  <si>
    <t>Phạm Thị Thu Hoài</t>
  </si>
  <si>
    <t>phamthithuhoai678432@gmail.com</t>
  </si>
  <si>
    <t>9A/5/36/Phú Mỹ /Mỹ Đình 2/Nam Từ Liêm</t>
  </si>
  <si>
    <t>26/09/2024 và 04/10/2024</t>
  </si>
  <si>
    <t>https://drive.google.com/open?id=10cRqyA-BxLs7E0DReVS64XB4GTd8TcmR; https://drive.google.com/open?id=1neAj3SFMXAh8i4QryK62sPmtenf9FXIl; https://drive.google.com/open?id=1gmX5knJZzlavB5h96W83LLNz_H9aVVbT</t>
  </si>
  <si>
    <t>https://www.facebook.com/share/1BJP4LqJfv/?mibextid=wwXIfr</t>
  </si>
  <si>
    <t xml:space="preserve">Đào Thị Mai Anh </t>
  </si>
  <si>
    <t xml:space="preserve">  daothimaianh1211993@gmail.com </t>
  </si>
  <si>
    <t xml:space="preserve">29 ngõ 1/49 văn hội đức thằng bắc từ liêm </t>
  </si>
  <si>
    <t>https://drive.google.com/open?id=1ahkrZ9FAk2fYyatYthuHw1sESJMfmUjI; https://drive.google.com/open?id=175msDT7EuyDyXoFuDzqEjw6Q7jxvGTSj</t>
  </si>
  <si>
    <t>https://www.facebook.com/profile.php?id=100059679503777&amp;mibextid=LQQJ4d</t>
  </si>
  <si>
    <t>số 63 ngõ 218 lĩnh nam - Hoàng Mai - Hà Nội</t>
  </si>
  <si>
    <t>https://drive.google.com/open?id=1KK_zr7tUfZ42pRUGpBRAvms-Epqh-IjE; https://drive.google.com/open?id=1vnYtb3RplvFnpCBkdoCWLszZHRWwFdTe</t>
  </si>
  <si>
    <t>https://www.facebook.com/profile.php?id=100069210262090&amp;mibextid=LQQJ4d</t>
  </si>
  <si>
    <t xml:space="preserve">Nguyễn Văn Sơn  </t>
  </si>
  <si>
    <t xml:space="preserve"> số 63 ngõ 218 lĩnh nam - Hoàng Mai - Hà Nội</t>
  </si>
  <si>
    <t>https://drive.google.com/open?id=1zZNIpSf1PrGAQmZapVqUlErWTZUySTaC; https://drive.google.com/open?id=1zrVQt3K0d3nn78clr5H-ZAn_gMiFAa3z</t>
  </si>
  <si>
    <t>https://www.facebook.com/ngquanghuy76?mibextid=LQQJ4d</t>
  </si>
  <si>
    <r>
      <rPr>
        <sz val="12"/>
        <color theme="1"/>
        <rFont val="Times New Roman"/>
        <family val="1"/>
      </rPr>
      <t>Nguyễn Quang Huy</t>
    </r>
    <r>
      <rPr>
        <sz val="12"/>
        <color rgb="FFFF0000"/>
        <rFont val="Times New Roman"/>
        <family val="1"/>
      </rPr>
      <t xml:space="preserve"> - OPT38</t>
    </r>
  </si>
  <si>
    <t>huynguyenquangg2006@gmail.com</t>
  </si>
  <si>
    <t>26/09/2024 và 27/09/2024</t>
  </si>
  <si>
    <t>https://drive.google.com/open?id=1ou5k2FcbqzzbKUveGyeH_cuOjuqnlRAN; https://drive.google.com/open?id=1dpu65P2gOdIpIOgVV2p4NuQDdt13LXUp; https://drive.google.com/open?id=1_ZSumBs87_p7cNL1bDxTPxDOKNeGISMp</t>
  </si>
  <si>
    <t>https://www.facebook.com/hoang.cu.1420354?mibextid=LQQJ4d</t>
  </si>
  <si>
    <t>Cù Quốc Huy Hoàng</t>
  </si>
  <si>
    <t>longhoang291h@gmail.com</t>
  </si>
  <si>
    <t>Số 37 Nguyễn Ngọc Vũ Phường Trung Hoà Quận Cầu Giấy Hà Nội ( Sequeen)</t>
  </si>
  <si>
    <t>26/09/2024 và 28/09/2024</t>
  </si>
  <si>
    <t>https://drive.google.com/open?id=1qP82-E0VuJb2mBKIEj8rmXYnE-AWw2T8; https://drive.google.com/open?id=18lJTeAV4mUx5RVtIXFaNReJ3Cv5UILVp; https://drive.google.com/open?id=1eFVM1FERWKBNuHNNrX93o5VKREvdnuy7</t>
  </si>
  <si>
    <t>https://www.facebook.com/profile.php?id=100050474742336&amp;mibextid=LQQJ4d</t>
  </si>
  <si>
    <r>
      <rPr>
        <sz val="12"/>
        <color theme="1"/>
        <rFont val="Times New Roman"/>
        <family val="1"/>
      </rPr>
      <t>Vũ Thị Thắm</t>
    </r>
    <r>
      <rPr>
        <sz val="12"/>
        <color rgb="FFFF0000"/>
        <rFont val="Times New Roman"/>
        <family val="1"/>
      </rPr>
      <t xml:space="preserve"> (hợp đồng)</t>
    </r>
  </si>
  <si>
    <t>Nhà 5a ngách 256/15, Xuân Đỉnh , Bắc Từ Liêm ,Hà Nội ạ</t>
  </si>
  <si>
    <t>https://drive.google.com/open?id=1wzFn50HL0jDLW7S0FEEnfkq3Tje_48yE, https://drive.google.com/open?id=1KapzsaRcKeCdhlhpORGKc-Umb6Bs7Y2L; https://drive.google.com/open?id=1OHQCDbB36OSJo72Hh4MbeGLkZWBCkpNB</t>
  </si>
  <si>
    <t>https://www.facebook.com/profile.php?id=100071970595622&amp;mibextid=ZbWKwL</t>
  </si>
  <si>
    <t>Đỗ Duy Phúc</t>
  </si>
  <si>
    <t>Số 72-139 Tam Trinh- Mai Động - Hoàng Mai - Hà Nội</t>
  </si>
  <si>
    <t>27/09/2024 và 28/09/2024</t>
  </si>
  <si>
    <t>https://drive.google.com/open?id=16lVsvVd4Bm9MnedEQAkCxzd12L9Fqf6t; https://drive.google.com/open?id=1xSkGE87iwiRD3HUn6TVPSGpzg6MNa2Aj; https://drive.google.com/open?id=1upRV851X62HBawGZwH2GLmQ--RlfcR_J</t>
  </si>
  <si>
    <t>https://www.facebook.com/profile.php?id=100068896482398&amp;mibextid=LQQJ4d</t>
  </si>
  <si>
    <r>
      <rPr>
        <sz val="12"/>
        <color theme="1"/>
        <rFont val="Times New Roman"/>
        <family val="1"/>
      </rPr>
      <t xml:space="preserve">Dương Thị Mỹ Tâm </t>
    </r>
    <r>
      <rPr>
        <sz val="12"/>
        <color rgb="FFFF0000"/>
        <rFont val="Times New Roman"/>
        <family val="1"/>
      </rPr>
      <t xml:space="preserve"> (hợp đồng)</t>
    </r>
  </si>
  <si>
    <t>mytamcvp@gmail.com</t>
  </si>
  <si>
    <t xml:space="preserve"> 277-Trần Quốc Hoàn - Cầu Giấy- Hà Nội </t>
  </si>
  <si>
    <t>https://drive.google.com/open?id=1dk9xuTMiLnmczpztUL4UYZwvcUCbnDEJ; https://drive.google.com/open?id=1f7Bp7l-4Y7CuB78cNjXV-_GnUJnvV7fL; https://drive.google.com/open?id=1wdf4bfeNh5Jf-qNXNMK_HxYWHaeKU2Es; https://drive.google.com/open?id=1EiBW4BVGx00v7isaQB_c4-FxHsBTvklH</t>
  </si>
  <si>
    <t>Thư đưa sách</t>
  </si>
  <si>
    <t>https://www.facebook.com/jasmine.nkan?mibextid=LQQJ4d</t>
  </si>
  <si>
    <t>Nguyễn Thanh Nhàn</t>
  </si>
  <si>
    <t xml:space="preserve"> nthanhnhan190106@gmail.com</t>
  </si>
  <si>
    <t>27/09/2024 và 11/10/2024</t>
  </si>
  <si>
    <t>https://drive.google.com/open?id=1jeTRUYoxT3cP4blFIb9-xzDM7oXIeKa7; https://drive.google.com/open?id=1T7wqolHfOqujxLBAJntPZjQs12eTDbFw; https://drive.google.com/open?id=197v1Vw0x3cauPMk0Js68QK4K-TPrLp2n</t>
  </si>
  <si>
    <t>https://www.facebook.com/profile.php?id=100055710823021&amp;mibextid=LQQJ4d</t>
  </si>
  <si>
    <r>
      <rPr>
        <sz val="12"/>
        <color theme="1"/>
        <rFont val="Times New Roman"/>
        <family val="1"/>
      </rPr>
      <t>Ngọc Anh</t>
    </r>
    <r>
      <rPr>
        <sz val="12"/>
        <color rgb="FFFF0000"/>
        <rFont val="Times New Roman"/>
        <family val="1"/>
      </rPr>
      <t xml:space="preserve"> (hợp đồng)</t>
    </r>
  </si>
  <si>
    <t>ngõ 242 vạn phúc hà đông</t>
  </si>
  <si>
    <t>21/09/2024 và 12/10/2024</t>
  </si>
  <si>
    <t>https://drive.google.com/open?id=1trqM-_BgcArmoIqaq_DSY46hQtoCDLdN; https://drive.google.com/open?id=1zNwBcUy-YGmLh-iLEN3cRW5rwmyV8bcy; https://drive.google.com/open?id=1Vyz5B5GQgrhr2K1w5E-SF1WxlLN4a1ZU</t>
  </si>
  <si>
    <t>https://www.facebook.com/havyhoang149?mibextid=LQQJ4d</t>
  </si>
  <si>
    <t>Hà Vy</t>
  </si>
  <si>
    <t>Khu 6 Yên cát thị trấn Vĩnh tường huyện Vĩnh tường tỉnh Vĩnh phúc</t>
  </si>
  <si>
    <t>https://drive.google.com/open?id=14cvdB4p5FPU9WYaGYs-TSIveiR0XGcoJ; https://drive.google.com/open?id=1VJtd0ScMm5OuS6yoZptp6NYqqLTf_FJF</t>
  </si>
  <si>
    <t>https://www.facebook.com/phamss.oanh.7?mibextid=LQQJ4d</t>
  </si>
  <si>
    <r>
      <rPr>
        <sz val="12"/>
        <color theme="1"/>
        <rFont val="Times New Roman"/>
        <family val="1"/>
      </rPr>
      <t xml:space="preserve">Phạm Thị Kim Oanh </t>
    </r>
    <r>
      <rPr>
        <sz val="12"/>
        <color rgb="FFFF0000"/>
        <rFont val="Times New Roman"/>
        <family val="1"/>
      </rPr>
      <t>(Hợp đồng)</t>
    </r>
  </si>
  <si>
    <t>Số nhà 173, đường Bờ Đầm, thôn4, xã Lại Yên, huyện Hoài Đức, Hà Nội</t>
  </si>
  <si>
    <t>https://drive.google.com/open?id=1OJhpVsMd2tXlgBLYL98tCAtT4GiWCSR2; https://drive.google.com/open?id=1cNH9_rjWKq9xTFuJPW6UR4nOw1oMl6eC</t>
  </si>
  <si>
    <t>https://www.facebook.com/profile.php?id=100070069446239&amp;mibextid=LQQJ4d</t>
  </si>
  <si>
    <t>Bùi Thị Hồng Ngọc</t>
  </si>
  <si>
    <t>nbui19388@gmail.com</t>
  </si>
  <si>
    <t>28/09/2024 và 08/10/2024</t>
  </si>
  <si>
    <t>https://drive.google.com/open?id=1nYBh-t6MiRaojfHxGtV3DFui5Pz-d9YJ; https://drive.google.com/open?id=1bk8jRniyuROId218CzICe_x6kbFgiYqu; https://drive.google.com/open?id=1ASvd3exEnFjIADwcU5zJumZNm_2E3zlx</t>
  </si>
  <si>
    <t>https://www.facebook.com/profile.php?id=100078628117619</t>
  </si>
  <si>
    <t xml:space="preserve">Toàn Khánh Trang Nhi </t>
  </si>
  <si>
    <t xml:space="preserve"> trangnhitoan@gmail.com</t>
  </si>
  <si>
    <t>Chung Cư Masteri West Heights - Tòa A KĐT Vinhomes Smart City, P.Tây Mỗ, Q.Nam Từ Liêm, Hà Nội</t>
  </si>
  <si>
    <t>https://drive.google.com/open?id=1b_UNqExi8fR1p805hcpvjAIdPdJpkE2Y; https://drive.google.com/open?id=1i2_TfNx4aMmSthZsRZZ2ay7P-gY10iy8</t>
  </si>
  <si>
    <t>OPT47</t>
  </si>
  <si>
    <t>https://www.facebook.com/linh.dethuong.9847</t>
  </si>
  <si>
    <r>
      <rPr>
        <sz val="12"/>
        <color theme="1"/>
        <rFont val="Times New Roman"/>
        <family val="1"/>
      </rPr>
      <t>Thân Thị Yến Linh</t>
    </r>
    <r>
      <rPr>
        <sz val="12"/>
        <color rgb="FFFF0000"/>
        <rFont val="Times New Roman"/>
        <family val="1"/>
      </rPr>
      <t xml:space="preserve"> - Hằng Linh</t>
    </r>
  </si>
  <si>
    <t xml:space="preserve"> thanthilinh21092004@gmail.com</t>
  </si>
  <si>
    <t>Số 12 ngõ 94 Hoàng Ngân</t>
  </si>
  <si>
    <t>https://drive.google.com/open?id=1RQZIv1lUdjWQo4_tcIyknlvSZJ3D8AuW; https://drive.google.com/open?id=1w_s21WvuburFhg5n84ukhnU_biV5HnR6</t>
  </si>
  <si>
    <t>https://www.facebook.com/profile.php?id=100036485239910</t>
  </si>
  <si>
    <t>Tạ Thị Bích Hồng</t>
  </si>
  <si>
    <t>bichh0710@gmail.com</t>
  </si>
  <si>
    <t xml:space="preserve"> số 47 xóm chạm bơm TDP ngô sài thị trấn quốc oai huyện quốc oai hà nội</t>
  </si>
  <si>
    <t>27/09/2024 và 24/10/2024</t>
  </si>
  <si>
    <t>https://drive.google.com/open?id=1GMBhSSdibXSawdaLdEI97i9C56UBJzL2; https://drive.google.com/open?id=1R9hJ_y93k5fb9nisgQOtK5pD_TpLYo8a</t>
  </si>
  <si>
    <t>https://www.facebook.com/tthuycutes111111?mibextid=LQQJ4d</t>
  </si>
  <si>
    <r>
      <rPr>
        <sz val="12"/>
        <color theme="1"/>
        <rFont val="Times New Roman"/>
        <family val="1"/>
      </rPr>
      <t>Lê Thị Thanh Thuý</t>
    </r>
    <r>
      <rPr>
        <sz val="12"/>
        <color rgb="FFFF0000"/>
        <rFont val="Times New Roman"/>
        <family val="1"/>
      </rPr>
      <t xml:space="preserve"> - OPT42</t>
    </r>
  </si>
  <si>
    <t>https://drive.google.com/open?id=15ypii5541NLRgZTsX9qi37hwYosfSZ1o; https://drive.google.com/open?id=1gCVAr-OMZBF5fBViYA59hc3WFZY6XMy3</t>
  </si>
  <si>
    <t>https://www.facebook.com/n.p.linh2006?mibextid=LQQJ4d</t>
  </si>
  <si>
    <r>
      <rPr>
        <sz val="12"/>
        <color theme="1"/>
        <rFont val="Times New Roman"/>
        <family val="1"/>
      </rPr>
      <t xml:space="preserve">Nguyễn Phương Linh </t>
    </r>
    <r>
      <rPr>
        <sz val="12"/>
        <color rgb="FFFF0000"/>
        <rFont val="Times New Roman"/>
        <family val="1"/>
      </rPr>
      <t>(hợp đồng)</t>
    </r>
  </si>
  <si>
    <t>nguyenphuonglinhlinh2006@gmail.com</t>
  </si>
  <si>
    <t xml:space="preserve"> Cổng kí túc xá B5, Học viện Tài chính, 58 Lê Văn Hiến, Phường Đức Thắng, Bắc Từ Liêm, HN</t>
  </si>
  <si>
    <t>28/09/2024 và 02/10/2024</t>
  </si>
  <si>
    <t>https://drive.google.com/open?id=19RCmiGGlxEiO0uDyZumXoI1ugMfiTVQS; https://drive.google.com/open?id=1gl5jOZA--gg0v0-MEVCL4YLaUQz1W47i; https://drive.google.com/open?id=1jwhN_T41BkpmfdQqCiSmxo9KfU_VafLo</t>
  </si>
  <si>
    <t>https://www.facebook.com/profile.php?id=100085078613571&amp;mibextid=LQQJ4d</t>
  </si>
  <si>
    <r>
      <rPr>
        <sz val="12"/>
        <color theme="1"/>
        <rFont val="Times New Roman"/>
        <family val="1"/>
      </rPr>
      <t>Bùi Thị Ngọc Ánh</t>
    </r>
    <r>
      <rPr>
        <sz val="12"/>
        <color rgb="FFFF0000"/>
        <rFont val="Times New Roman"/>
        <family val="1"/>
      </rPr>
      <t xml:space="preserve"> (hợp đồng)</t>
    </r>
  </si>
  <si>
    <t>buithingocanh15092006@gmail.com</t>
  </si>
  <si>
    <t>số 80 , ngõ 445 , đường Nguyễn Khang , p Yên Hoà , Cầu Giấy</t>
  </si>
  <si>
    <t>27/09/2024 và 02/10/2024</t>
  </si>
  <si>
    <t>https://drive.google.com/open?id=1-j9hE6bGnogtmTju8XkOxIeMpnAzhleS; https://drive.google.com/open?id=12CoPtblM6Q0t3YuzukmpL6eqY1IC_evW</t>
  </si>
  <si>
    <t>https://www.facebook.com/profile.php?id=100090758208693</t>
  </si>
  <si>
    <t>Nguyễn Thế Minh</t>
  </si>
  <si>
    <t>116 - Phố chùa láng - Đống Đa - Hà Nội</t>
  </si>
  <si>
    <t>https://drive.google.com/open?id=17V-Kl16DOSDQIkA_HkFl_djbLykXTtrU; https://drive.google.com/open?id=1E3z89eLYSfpM1e36cwFeaFt_QpDLjES9</t>
  </si>
  <si>
    <t>https://www.facebook.com/profile.php?id=100046552938881&amp;mibextid=LQQJ4d</t>
  </si>
  <si>
    <r>
      <rPr>
        <sz val="12"/>
        <color theme="1"/>
        <rFont val="Times New Roman"/>
        <family val="1"/>
      </rPr>
      <t xml:space="preserve">Nguyễn Hoàng Diệu Linh </t>
    </r>
    <r>
      <rPr>
        <sz val="12"/>
        <color rgb="FFFF0000"/>
        <rFont val="Times New Roman"/>
        <family val="1"/>
      </rPr>
      <t>(hợp đồng)</t>
    </r>
  </si>
  <si>
    <t>lingglinhh126@gmail.com</t>
  </si>
  <si>
    <t>89 nguyễn phong sắc, dịch vọng hậu, cầu giấy, hà nội</t>
  </si>
  <si>
    <t>28/09/2024 và 05/10/2024</t>
  </si>
  <si>
    <t>https://drive.google.com/open?id=1tO9hkxAk8WGJjV4AYgiqpnXtjVyidlI6; https://drive.google.com/open?id=1005ZEPofETNLCc-VHwDWys-WnVRsqfXf; https://drive.google.com/open?id=1Eu5w7PdXOGrF4W8quWL51qJJsj18GzqD</t>
  </si>
  <si>
    <t>https://www.facebook.com/bmt.huy.545?mibextid=LQQJ4d</t>
  </si>
  <si>
    <r>
      <rPr>
        <sz val="12"/>
        <color theme="1"/>
        <rFont val="Times New Roman"/>
        <family val="1"/>
      </rPr>
      <t xml:space="preserve">Dương Chiến Thắng </t>
    </r>
    <r>
      <rPr>
        <sz val="12"/>
        <color rgb="FFFF0000"/>
        <rFont val="Times New Roman"/>
        <family val="1"/>
      </rPr>
      <t>(hợp đồng)</t>
    </r>
  </si>
  <si>
    <t>duongchienthang6@gmail.com</t>
  </si>
  <si>
    <t>Số nhà 41, ngõ 649,đường lĩnh nam, hoàng mai, hà nội</t>
  </si>
  <si>
    <t>21/10/2024 và 29/10/2024</t>
  </si>
  <si>
    <t>https://drive.google.com/open?id=1c1DKHtdyc4r2pUMa2t9vuxkdFujp5hmh; https://drive.google.com/open?id=1AdMhBNTXsujlXEtA5E7LBJNNLDIq03ld, https://drive.google.com/open?id=1m8ZGSX1FveRRr1S5OqZFe0x-0XdGEZAl</t>
  </si>
  <si>
    <t>https://www.facebook.com/nguynhongghank.2806</t>
  </si>
  <si>
    <t xml:space="preserve">Nguyễn Hồng Hạnh </t>
  </si>
  <si>
    <t>28/09/2024 và 09/10/2024</t>
  </si>
  <si>
    <t>https://drive.google.com/open?id=1Qb7eIQsZ_9_vEOCWL9NU2aEc4y4M1vIL; https://drive.google.com/open?id=1S8Vdr2y5kTu6HWTgiJSoA0jwolAL_xA3; https://drive.google.com/open?id=1hLF3WRGG76HVi9GLmFGh4B0r1fYxAHQh</t>
  </si>
  <si>
    <t>https://www.facebook.com/profile.php?id=100047087293140&amp;mibextid=ZbWKwL</t>
  </si>
  <si>
    <t>Nguyễn Anh Tú</t>
  </si>
  <si>
    <t>atus33276@gmail.com</t>
  </si>
  <si>
    <t>https://drive.google.com/open?id=1cwxdtkfQpXEZKyfh4yVHk66idcDjzaM2; https://drive.google.com/open?id=1tYFOUowlcjGRstZXe0xwp0q8gw9kfmo9</t>
  </si>
  <si>
    <t>https://www.facebook.com/profile.php?id=100048932802593&amp;mibextid=ZbWKwL</t>
  </si>
  <si>
    <t>Nguyễn Hữu Thắng</t>
  </si>
  <si>
    <t>29/09/2024 và 02/10/2024</t>
  </si>
  <si>
    <t>https://drive.google.com/open?id=1x_9RbsTwj_sQQnTUq3Om5XNeVPOSSILi; https://drive.google.com/open?id=1xP7pSTgxx2FApHgl7UVrAcAvja4AiQil; https://drive.google.com/open?id=10oKv6xsNXlN68gfW-JpVFRvo0uMhH-Ed</t>
  </si>
  <si>
    <t>https://www.facebook.com/krye.21?mibextid=LQQJ4d</t>
  </si>
  <si>
    <t>Vũ Ngọc Kiên</t>
  </si>
  <si>
    <t>https://drive.google.com/open?id=1ZaN98FlN5bbR5dU4uR164bLA6Xln8Gwb; https://drive.google.com/open?id=1VFIXWI3r8kSaWTZY17aKjMwfYjViPwxL</t>
  </si>
  <si>
    <t>Gửi Dung đưa NGọc</t>
  </si>
  <si>
    <t>PT138</t>
  </si>
  <si>
    <t>https://www.facebook.com/ngan.lephuong.399?mibextid=LQQJ4d</t>
  </si>
  <si>
    <r>
      <rPr>
        <sz val="12"/>
        <color theme="1"/>
        <rFont val="Times New Roman"/>
        <family val="1"/>
      </rPr>
      <t xml:space="preserve">Lê Phương Ngân </t>
    </r>
    <r>
      <rPr>
        <sz val="12"/>
        <color rgb="FFFF0000"/>
        <rFont val="Times New Roman"/>
        <family val="1"/>
      </rPr>
      <t>- hợp đồng</t>
    </r>
  </si>
  <si>
    <t>Phuongngan4326@gmail.com</t>
  </si>
  <si>
    <t xml:space="preserve"> Số 1 - ngách 282/7 - ngõ 282 - phường Cổ Nhuế 2 - Bắc Từ Liêm - Hà Nội</t>
  </si>
  <si>
    <t>https://drive.google.com/open?id=1vALrBKgfQ2059C0C8nU9f5g1m7cuxKxi; https://drive.google.com/open?id=1YLPuvkaDKIJw212--73yTPgvM7B1aSIa</t>
  </si>
  <si>
    <t>https://www.facebook.com/profile.php?id=100060291661482&amp;mibextid=LQQJ4d</t>
  </si>
  <si>
    <r>
      <rPr>
        <sz val="12"/>
        <color theme="1"/>
        <rFont val="Times New Roman"/>
        <family val="1"/>
      </rPr>
      <t>Ngô Thanh Vân</t>
    </r>
    <r>
      <rPr>
        <sz val="12"/>
        <color rgb="FFFF0000"/>
        <rFont val="Times New Roman"/>
        <family val="1"/>
      </rPr>
      <t xml:space="preserve"> (hợp đồng)</t>
    </r>
  </si>
  <si>
    <t>ngothanhvan10101984@gmail.com</t>
  </si>
  <si>
    <t>Xóm 2, Lương Quy, Xuân Nộn, Đông Anh, Hà Nội</t>
  </si>
  <si>
    <t>https://drive.google.com/open?id=1zSWhTHvU9yjip3lOWTD7eeMxXqXhhPi1, https://drive.google.com/open?id=1wY-yaFws2MekQtJfaDYeIS-jE3gwxs9m; https://drive.google.com/open?id=1hU4I7Ndo4E6N7H-RddRxFg0-HxVUIti_</t>
  </si>
  <si>
    <t>Thư đưa tay</t>
  </si>
  <si>
    <t>https://www.facebook.com/hongthuy.vu.9</t>
  </si>
  <si>
    <r>
      <rPr>
        <sz val="12"/>
        <color theme="1"/>
        <rFont val="Times New Roman"/>
        <family val="1"/>
      </rPr>
      <t xml:space="preserve">Vũ Thị Hồng Thúy </t>
    </r>
    <r>
      <rPr>
        <sz val="12"/>
        <color rgb="FFFF0000"/>
        <rFont val="Times New Roman"/>
        <family val="1"/>
      </rPr>
      <t>- OPT36</t>
    </r>
  </si>
  <si>
    <t xml:space="preserve">  vuhongthuy2006@gmail.com</t>
  </si>
  <si>
    <t>29/09/2024 và 21/10/2024</t>
  </si>
  <si>
    <t>https://drive.google.com/open?id=1xB2yIEokBtRKJUYwgeVa6jAx5LqzIbAd; https://drive.google.com/open?id=1h4N1_BNz3wawmFi8GD03OzT_h_BgYaIp; https://drive.google.com/open?id=1ebFnCpX6M1Imon_TvJiefk6Xp1w7-4E_</t>
  </si>
  <si>
    <t>https://www.facebook.com/profile.php?id=100049893183784</t>
  </si>
  <si>
    <t xml:space="preserve">Đỗ Thúy Quỳnh </t>
  </si>
  <si>
    <t xml:space="preserve"> dothuyquynh02032006@gmail.com</t>
  </si>
  <si>
    <t>https://drive.google.com/open?id=1tk3XaOdMNr2o3WwdVg-Pc_yoro_PbnBJ, https://drive.google.com/open?id=1UQXVhHZLxAMWwcLahJna6nPKpZt39c9G; https://drive.google.com/open?id=11HbswvpQFzvMdhHwfCG3tbgGTsULECoC</t>
  </si>
  <si>
    <t>https://www.facebook.com/susu.nu.146</t>
  </si>
  <si>
    <r>
      <rPr>
        <sz val="12"/>
        <color theme="1"/>
        <rFont val="Times New Roman"/>
        <family val="1"/>
      </rPr>
      <t>Vũ Thị Như Quỳnh</t>
    </r>
    <r>
      <rPr>
        <sz val="12"/>
        <color rgb="FFFF0000"/>
        <rFont val="Times New Roman"/>
        <family val="1"/>
      </rPr>
      <t xml:space="preserve"> - Quỳnh Cutee</t>
    </r>
  </si>
  <si>
    <t>lonyeu2006@gmail.com</t>
  </si>
  <si>
    <t>https://drive.google.com/open?id=1z-9ROIkeMskBQOm3vSPxzViEwbF3zKdR; https://drive.google.com/open?id=1ZMCFN8IOqEdhqV9_H9jGBsU9ZWt7JAA_; https://drive.google.com/open?id=1bCfnorKc9EC2omjBax9H4YIkXjrmZVU_</t>
  </si>
  <si>
    <t>https://www.facebook.com/profile.php?id=100069855795925&amp;mibextid=LQQJ4d</t>
  </si>
  <si>
    <r>
      <rPr>
        <sz val="12"/>
        <color theme="1"/>
        <rFont val="Times New Roman"/>
        <family val="1"/>
      </rPr>
      <t xml:space="preserve">Ngô Bá Ngọc </t>
    </r>
    <r>
      <rPr>
        <sz val="12"/>
        <color rgb="FFFF0000"/>
        <rFont val="Times New Roman"/>
        <family val="1"/>
      </rPr>
      <t>- PT140 rút phút 89, OPT39</t>
    </r>
  </si>
  <si>
    <t>xóm 4, lại đà, đông hội, đông anh, hà nội</t>
  </si>
  <si>
    <t>https://drive.google.com/open?id=1wJOsoMMI22Amtb6SQO18XCo6B1RVui-x; https://drive.google.com/open?id=1ZY9sD1zas6y3POhvWD9JGw4CjrdfRE6i; https://drive.google.com/open?id=1Bk7OGS6oncQpk2-MT-pqwfvKlJWkglmw</t>
  </si>
  <si>
    <t>Gửi sách PT140</t>
  </si>
  <si>
    <t>https://www.facebook.com/profile.php?id=100008413472154</t>
  </si>
  <si>
    <t xml:space="preserve">Vũ Minh Hiếu </t>
  </si>
  <si>
    <t xml:space="preserve"> hieuuhien@gmail.com </t>
  </si>
  <si>
    <t>24 ngõ 136/51 ngọa long đường cầu diễn, minh khai, bắc từ liêm</t>
  </si>
  <si>
    <t>28/09/2024 và 01/10/2024</t>
  </si>
  <si>
    <t>https://drive.google.com/open?id=1lc5UJdCiWRpOpVN0WVi-pHYjhY2ey5dk; https://drive.google.com/open?id=1np9sspRbZxmELJeuFfOz-LmRskmRGb1U</t>
  </si>
  <si>
    <t>https://www.facebook.com/iamkir.206?mibextid=LQQJ4d</t>
  </si>
  <si>
    <t>Trần Nam Khánh</t>
  </si>
  <si>
    <t>khanh6avd@gmail.com</t>
  </si>
  <si>
    <t>30/09/2024 và 12/10/2024</t>
  </si>
  <si>
    <t>https://drive.google.com/open?id=1mbdG2poyRlFsCAnQ3HzloJstNh81W1fu; https://drive.google.com/open?id=1Kh7w-y7RfUWqxVlWyiYvgz05wdawf7Jn; https://drive.google.com/open?id=1AbwXXvx8vpCEHks0v8Au3pQvF5VWEXq0</t>
  </si>
  <si>
    <t>https://www.facebook.com/tommydangonbai?mibextid=ZbWKwL</t>
  </si>
  <si>
    <r>
      <rPr>
        <sz val="12"/>
        <color theme="1"/>
        <rFont val="Times New Roman"/>
        <family val="1"/>
      </rPr>
      <t>Nguyễn Tuấn Minh</t>
    </r>
    <r>
      <rPr>
        <sz val="12"/>
        <color rgb="FFFF0000"/>
        <rFont val="Times New Roman"/>
        <family val="1"/>
      </rPr>
      <t xml:space="preserve"> - OT30</t>
    </r>
  </si>
  <si>
    <t xml:space="preserve"> 175 Tây Sơn, Trung Liệt, Đống Đa, Hà Nội</t>
  </si>
  <si>
    <t>https://drive.google.com/open?id=16V6V4ikgBiF_UDCNP1mFp4oejy26h9nL; https://drive.google.com/open?id=1TLyXOdnoIMI_otbj__zoKQejtbXKpvbf</t>
  </si>
  <si>
    <t>https://www.facebook.com/quiht.rangg2006?mibextid=LQQJ4d</t>
  </si>
  <si>
    <t>Hồ Thị Quỳnh Trang</t>
  </si>
  <si>
    <t>hoquynhtrang24072006@gmail.com</t>
  </si>
  <si>
    <t>ngách 9 ngõ 46 Trần Quốc Hoàn, Dịch Vọng Hậu, Cầu Giấy, Hà Nội</t>
  </si>
  <si>
    <t>23/09/2024 và 29/09/2024</t>
  </si>
  <si>
    <t>https://drive.google.com/open?id=1VudK_5hnTZs4ejSEJr4ILxr452RpXop0; https://drive.google.com/open?id=17QqHMgbg8tZy-LqR-Fd12VAGVFwh7nuz; https://drive.google.com/open?id=1nw9o_QEOBzIuHPs48YMCYyKYuahCwcGt</t>
  </si>
  <si>
    <t>https://www.facebook.com/profile.php?id=100074008293389&amp;mibextid=ZbWKwL</t>
  </si>
  <si>
    <r>
      <rPr>
        <sz val="12"/>
        <color theme="1"/>
        <rFont val="Times New Roman"/>
        <family val="1"/>
      </rPr>
      <t xml:space="preserve"> Nguyễn Thị Hảo</t>
    </r>
    <r>
      <rPr>
        <sz val="12"/>
        <color rgb="FFFF0000"/>
        <rFont val="Times New Roman"/>
        <family val="1"/>
      </rPr>
      <t xml:space="preserve"> (hợp đồng)</t>
    </r>
  </si>
  <si>
    <t>cổng chính đh công nghiệp hn, phủ lý, hà nam</t>
  </si>
  <si>
    <t>https://drive.google.com/open?id=1BRoZwy1DZDBombCe_i7YAgunUOOKZ9B_; https://drive.google.com/open?id=1Pv3JoLlIswU7GYmWINq64GCuL2frpxfI</t>
  </si>
  <si>
    <t>https://www.facebook.com/thphuongs?mibextid=LQQJ4d</t>
  </si>
  <si>
    <r>
      <rPr>
        <sz val="12"/>
        <color theme="1"/>
        <rFont val="Times New Roman"/>
        <family val="1"/>
      </rPr>
      <t>Nguyễn Thu Phương</t>
    </r>
    <r>
      <rPr>
        <sz val="12"/>
        <color rgb="FFFF0000"/>
        <rFont val="Times New Roman"/>
        <family val="1"/>
      </rPr>
      <t xml:space="preserve"> (hợp đồng)</t>
    </r>
  </si>
  <si>
    <t>Quỳnh Anh</t>
  </si>
  <si>
    <t>Ngõ 182 trần thái tông - thống nhất - tp nam định</t>
  </si>
  <si>
    <t>https://drive.google.com/open?id=1jAcrCCDpmaU5TQAfQWdQBU-brRusvhMG; https://drive.google.com/open?id=1FgCQDOFDaRm_xuYtN4s0QVoqutJVkqKY</t>
  </si>
  <si>
    <t>https://www.facebook.com/profile.php?id=100029596322166&amp;mibextid=LQQJ4d</t>
  </si>
  <si>
    <t>https://drive.google.com/open?id=1_d0woHGCq12wDiBG06WcQTm5NGdcda2i; https://drive.google.com/open?id=1aOGqSsosmnxOTkf6t2-d_nEMLMhRyABZ</t>
  </si>
  <si>
    <t>https://www.facebook.com/profile.php?id=100041252289902&amp;mibextid=LQQJ4d</t>
  </si>
  <si>
    <t>Vương Hữu Duy</t>
  </si>
  <si>
    <t>thôn lại đà / xã đông hội /huyện đông anh/ hà nội</t>
  </si>
  <si>
    <t>30/09/2024 và 02/10/2024</t>
  </si>
  <si>
    <t>https://drive.google.com/open?id=1PSJPLS_AUWlwTM83qmk3TlEs5xXMtxUQ; https://drive.google.com/open?id=1YrtQBUC4B3jx9VuHKmuPorCg5vhyIGzV; https://drive.google.com/open?id=1kThqrFEovKyb1Av2Pks_FNpsgx52wn55</t>
  </si>
  <si>
    <t>https://www.facebook.com/profile.php?id=100040960082985&amp;mibextid=ZbWKwL</t>
  </si>
  <si>
    <r>
      <rPr>
        <sz val="12"/>
        <color theme="1"/>
        <rFont val="Times New Roman"/>
        <family val="1"/>
      </rPr>
      <t xml:space="preserve">Vương Đắc Tuấn Anh </t>
    </r>
    <r>
      <rPr>
        <sz val="12"/>
        <color rgb="FFFF0000"/>
        <rFont val="Times New Roman"/>
        <family val="1"/>
      </rPr>
      <t>- 366581080 số zalo</t>
    </r>
  </si>
  <si>
    <t>Tanhlop10@gmail.com</t>
  </si>
  <si>
    <t>Thôn 6 xã Cộng Hoà huyện Quốc Oai Hà Nội</t>
  </si>
  <si>
    <t>30/09/2024 và 03/10/2024</t>
  </si>
  <si>
    <t>https://drive.google.com/open?id=1-MWDIMvaAAuWwaiHr3DQMR3B7mOnBlcj; https://drive.google.com/open?id=1i6eHTNqcEODsNWxmtfufY2-5BLRoPsKY; https://drive.google.com/open?id=15YVh_dJzs4PpdRqOOFsQtFjtryP81f-S</t>
  </si>
  <si>
    <t>https://www.facebook.com/profile.php?id=100034633688337</t>
  </si>
  <si>
    <t>Võ Đức Anh Tuấn</t>
  </si>
  <si>
    <t>Nguyễn Thị Hạnh</t>
  </si>
  <si>
    <t>Số 18 (Kế bên tiệm tóc Phương Trinh), Ấp 1 xã Tân Hưng huyện Bàu Bàng tỉnh Bình Dương</t>
  </si>
  <si>
    <t>27/10/2024 và 28/10/2024</t>
  </si>
  <si>
    <t>https://drive.google.com/open?id=1od8m5tnN-UjUr8UcMUo9Ko4jDpYawHof; https://drive.google.com/open?id=1hEpi7jiipqQXPBz3c8vthwuJdYIw_p4v, https://drive.google.com/open?id=10ZZAWZQ0Cb8C1JPStjbi-aTC4xDYG9Rt</t>
  </si>
  <si>
    <t>https://www.facebook.com/lychew.95?mibextid=LQQJ4d</t>
  </si>
  <si>
    <r>
      <rPr>
        <sz val="12"/>
        <color theme="1"/>
        <rFont val="Times New Roman"/>
        <family val="1"/>
      </rPr>
      <t xml:space="preserve">Nguyễn Thị Ly </t>
    </r>
    <r>
      <rPr>
        <sz val="12"/>
        <color rgb="FFFF0000"/>
        <rFont val="Times New Roman"/>
        <family val="1"/>
      </rPr>
      <t>- Ly Chew</t>
    </r>
  </si>
  <si>
    <t>115 Lâm Hạ, Bồ Đề, Long Biên, Hà Nội</t>
  </si>
  <si>
    <t>https://drive.google.com/open?id=1J7UCFthkKce6IBCeLJInUMlVG9ldoqAz</t>
  </si>
  <si>
    <t>OPT39 bảo lưu b1 Phương báo</t>
  </si>
  <si>
    <t>https://www.facebook.com/trong.lehong.7165</t>
  </si>
  <si>
    <t>Lê Hồng Trọng</t>
  </si>
  <si>
    <t>lehongtrong128@gmail.com</t>
  </si>
  <si>
    <t>01/10/2024 và 04/10/2024</t>
  </si>
  <si>
    <t>https://drive.google.com/open?id=1OMWjfb5HlATevBjl1FQfqa04Wtme6KLZ; https://drive.google.com/open?id=1Y5ZyfCtxZoX62sFSr4FD9lmlluANOV2Z</t>
  </si>
  <si>
    <t>https://www.facebook.com/profile.php?id=100086762724144&amp;mibextid=LQQJ4d</t>
  </si>
  <si>
    <r>
      <rPr>
        <sz val="12"/>
        <color theme="1"/>
        <rFont val="Times New Roman"/>
        <family val="1"/>
      </rPr>
      <t xml:space="preserve">Nguyễn Thị Hồng Nhung </t>
    </r>
    <r>
      <rPr>
        <sz val="12"/>
        <color rgb="FFFF0000"/>
        <rFont val="Times New Roman"/>
        <family val="1"/>
      </rPr>
      <t>- hợp đồng</t>
    </r>
  </si>
  <si>
    <t xml:space="preserve">nguyenthihongnhungg2006@gmail.com </t>
  </si>
  <si>
    <t>tổ 35, thị trấn Đông Anh, Đông Anh, Hà Nội</t>
  </si>
  <si>
    <t>29/09/2024 và 06/10/2024</t>
  </si>
  <si>
    <t>https://drive.google.com/open?id=1njd1X5YUjiYnHHs2HQDK_aANlCmtQjSH; https://drive.google.com/open?id=11tAjShjDGPgS2HMbaY4KGL2ftHkO2hxb; https://drive.google.com/open?id=1rGejN-sZknBXADfuRjsD7rymnVOUTrSi</t>
  </si>
  <si>
    <t>https://www.facebook.com/profile.php?id=100046690307058</t>
  </si>
  <si>
    <t>Đinh Thị Ngọc Ánh</t>
  </si>
  <si>
    <t>https://drive.google.com/open?id=1-lzdKVI-sYknBdux4xrcvWPZIokNhs6s; https://drive.google.com/open?id=1cfZV1kPcuaK_2LbyS-8uJ1Ekjnc2JehZ</t>
  </si>
  <si>
    <t>https://m.facebook.com/profile.php?id=100074363474552&amp;wtsid=rdr_0ehx0aHjwv8LWllVd#no_universal_links</t>
  </si>
  <si>
    <r>
      <rPr>
        <sz val="12"/>
        <color theme="1"/>
        <rFont val="Times New Roman"/>
        <family val="1"/>
      </rPr>
      <t xml:space="preserve">Trần Thị Thu Hằng </t>
    </r>
    <r>
      <rPr>
        <sz val="12"/>
        <color rgb="FFFF0000"/>
        <rFont val="Times New Roman"/>
        <family val="1"/>
      </rPr>
      <t>- 566290733 sỗ cũ</t>
    </r>
  </si>
  <si>
    <t>https://drive.google.com/open?id=17-JOV-C_RUS9wK1Yd_NU4CtKYCiug3W-, https://drive.google.com/open?id=1zGgXdJL8O57gXfVWSgodEcQS6ACsb77G; https://drive.google.com/open?id=15EiTI7CZC_qcd1el6qQIVBk0tsx1Rt8q</t>
  </si>
  <si>
    <t>https://www.facebook.com/profile.php?id=61561326142471&amp;mibextid=LQQJ4d</t>
  </si>
  <si>
    <t>Hà Thanh</t>
  </si>
  <si>
    <t>https://drive.google.com/open?id=1WM_bi7ePoM0ronarJuDJPRHDMjSQjXsd, ; https://drive.google.com/open?id=1oCY2XZ9vrzLDCuDKyrJwdKSis4DCJCnd</t>
  </si>
  <si>
    <t>https://www.facebook.com/profile.php?id=100062870708267</t>
  </si>
  <si>
    <t>Nguyễn Quang Đạt</t>
  </si>
  <si>
    <t>datq280306@gmail.com</t>
  </si>
  <si>
    <t>https://drive.google.com/open?id=1Y4F3Cfq3U_GcQHQKWwzp4cKmNZiK25o6, https://drive.google.com/open?id=1sIqBf1St19WB7lBgeZdZ8ciuPo74I3JD; https://drive.google.com/open?id=1j-BGNgWAHJMGuiLSl-l5t1peqQzTB4WN</t>
  </si>
  <si>
    <t>https://www.facebook.com/profile.php?id=100035569410296&amp;mibextid=LQQJ4d</t>
  </si>
  <si>
    <r>
      <rPr>
        <sz val="12"/>
        <color theme="1"/>
        <rFont val="Times New Roman"/>
        <family val="1"/>
      </rPr>
      <t xml:space="preserve">Đinh Tiến Thành </t>
    </r>
    <r>
      <rPr>
        <sz val="12"/>
        <color rgb="FFFF0000"/>
        <rFont val="Times New Roman"/>
        <family val="1"/>
      </rPr>
      <t>- OT30 Yến chuyển OT27 học b2</t>
    </r>
  </si>
  <si>
    <t>30/09/2024 và 07/10/2024</t>
  </si>
  <si>
    <t>https://drive.google.com/open?id=1pPQhlN-NUDEB7Hi--LVWwKXZ5Wct8dC3; https://drive.google.com/open?id=15ijJisKbPi_1jbsij91Ul2KW_pKb_sQ9; https://drive.google.com/open?id=1EJZjSJ196V2gXOGHHmpcyvk8gZ80t2gw</t>
  </si>
  <si>
    <t>Đã chat hỏi nhận sách</t>
  </si>
  <si>
    <t>https://www.facebook.com/quynhcong16.05?mibextid=LQQJ4d</t>
  </si>
  <si>
    <t xml:space="preserve">Phạm Thị Như Quỳnh </t>
  </si>
  <si>
    <t>Thu Phương Meca</t>
  </si>
  <si>
    <t xml:space="preserve">xóm 4 xã Nghĩa Phú Nghĩa Hưng Nam Định </t>
  </si>
  <si>
    <t>https://drive.google.com/open?id=1PGMQ1R3-rDJVVV78gDsZS8QlsnVY8Rjb; https://drive.google.com/open?id=1PdaX2ZnfR4E8stUgU5_MKjbdForGmJiJ</t>
  </si>
  <si>
    <t>Sale đưa tay</t>
  </si>
  <si>
    <t>T277</t>
  </si>
  <si>
    <t>https://www.facebook.com/profile.php?id=100064178556802&amp;mibextid=LQQJ4d</t>
  </si>
  <si>
    <r>
      <rPr>
        <sz val="12"/>
        <color theme="1"/>
        <rFont val="Times New Roman"/>
        <family val="1"/>
      </rPr>
      <t xml:space="preserve">Kiều Nguyên Phong </t>
    </r>
    <r>
      <rPr>
        <sz val="12"/>
        <color rgb="FFFF0000"/>
        <rFont val="Times New Roman"/>
        <family val="1"/>
      </rPr>
      <t>- đã nộp 300K 14/11/24
T249 bảo lưu b9 Thu Phương báo. Học T277 b4</t>
    </r>
  </si>
  <si>
    <t>số 13 khu đất dv5 , mộ lao , hà đông</t>
  </si>
  <si>
    <t>01/10/2024 và 03/10/2004</t>
  </si>
  <si>
    <t>https://drive.google.com/open?id=1KEkVA6pGxjiH-3yGjVCx9n08T4AI0hIw; https://drive.google.com/open?id=18DSWFugA_hXpZa_gn_fklcMhQauSVvLI; https://drive.google.com/open?id=1h4lzYiOI-9ogYkXFxcvdBjmFOy94sgXJ</t>
  </si>
  <si>
    <t>https://www.facebook.com/profile.php?id=100041695456674</t>
  </si>
  <si>
    <t xml:space="preserve">Phùng Thu Hương </t>
  </si>
  <si>
    <t>kí túc xá đại học FPT, Thạch Hoà, Thạch Thất, Hà Nội</t>
  </si>
  <si>
    <t>10/2/0024</t>
  </si>
  <si>
    <t>https://drive.google.com/open?id=1OTBLFj_KKz7xkm25wBIB13pzzxYz8Rtc</t>
  </si>
  <si>
    <t>https://www.facebook.com/profile.php?id=100084958115621</t>
  </si>
  <si>
    <t xml:space="preserve">Tạ Thị Thanh Hoa  </t>
  </si>
  <si>
    <t xml:space="preserve">  tahoa1226@gmail.com</t>
  </si>
  <si>
    <t xml:space="preserve">105 ngõ 168 kim giang </t>
  </si>
  <si>
    <t>https://drive.google.com/open?id=1fs8UwLx9OFZjIxb9FVB8S3Vch2OwRdvQ; https://drive.google.com/open?id=1JQOdWGM0bOxPmBLtTYBDCIIY1AzStmlG; https://drive.google.com/open?id=1z71rkzLa85rjzGnwncVvVvO7l4Nh-4CM</t>
  </si>
  <si>
    <t>https://www.facebook.com/share/1GDsmry1qp/?mibextid=qi2Omg</t>
  </si>
  <si>
    <t>Toàn</t>
  </si>
  <si>
    <t>25/09/2024 và 13/10/2024</t>
  </si>
  <si>
    <r>
      <rPr>
        <u/>
        <sz val="12"/>
        <color rgb="FF1155CC"/>
        <rFont val="Times New Roman"/>
        <family val="1"/>
      </rPr>
      <t xml:space="preserve">https://drive.google.com/open?id=1h27BgMaTG3Tr5ysMtOzALIG6e0qBXlTa; </t>
    </r>
    <r>
      <rPr>
        <u/>
        <sz val="12"/>
        <color rgb="FF1155CC"/>
        <rFont val="Times New Roman"/>
        <family val="1"/>
      </rPr>
      <t>https://drive.google.com/open?id=1zIKErrOWRTrDXrO7Wn1_ue_bJORZuFAU</t>
    </r>
  </si>
  <si>
    <t>https://www.facebook.com/profile.php?id=100070948735020&amp;mibextid=LQQJ4d</t>
  </si>
  <si>
    <t>Nguyễn Hữu Nguyên</t>
  </si>
  <si>
    <t>Thu Hà Meca</t>
  </si>
  <si>
    <t>639 Đ. Quang Trung, Phú La, Hà Đông, Hà Nội</t>
  </si>
  <si>
    <t>02/10/2024 và 08/10/2024 và 18/10/2024</t>
  </si>
  <si>
    <t>https://drive.google.com/open?id=1rjNkHOLCaKZgLZ7_hVEAITRYB9bH79KO; https://drive.google.com/open?id=1W-KZqRFSmwoc1uqSbMxgZnt6kdh548cX; https://drive.google.com/open?id=1kDHO3NH7NAPer6WuRze-9kv-5JLOmKph, https://drive.google.com/open?id=1rBu_6leApcHoOLfws6Ap2CWZIJH7crr2</t>
  </si>
  <si>
    <t>https://www.facebook.com/profile.php?id=100037073986691&amp;mibextid=LQQJ4d</t>
  </si>
  <si>
    <r>
      <rPr>
        <sz val="12"/>
        <color theme="1"/>
        <rFont val="Times New Roman"/>
        <family val="1"/>
      </rPr>
      <t xml:space="preserve"> Lê Công Khôi </t>
    </r>
    <r>
      <rPr>
        <sz val="12"/>
        <color rgb="FFFF0000"/>
        <rFont val="Times New Roman"/>
        <family val="1"/>
      </rPr>
      <t>- 876499491 số cũ</t>
    </r>
  </si>
  <si>
    <t>khoimd81@gmail.com</t>
  </si>
  <si>
    <t>Khu Đô Thị Hinode Royal Park, nhà số LK13.33, Xã Kim Chung, Huyện Hoài Đức, Hà Nội</t>
  </si>
  <si>
    <t>02/10/2024 và 03/10/2024</t>
  </si>
  <si>
    <t>https://drive.google.com/open?id=1umWTFbjAzA6QXP28HcEOwGJUGdS5QLC6; https://drive.google.com/open?id=1fPsdasa_LHgydH9dqlhFTDMgje4iPUTE</t>
  </si>
  <si>
    <t>https://www.facebook.com/hennessi.06?mibextid=ZbWKwL</t>
  </si>
  <si>
    <t>Nguyễn Dương Mạnh</t>
  </si>
  <si>
    <t>dmanh9069@gmail.com</t>
  </si>
  <si>
    <t>KTX B3 Bách Khoa</t>
  </si>
  <si>
    <t>https://drive.google.com/open?id=1SeEty9EgxGNNT5UPRjGBbmb0u3ZKs4Ap</t>
  </si>
  <si>
    <t>https://www.facebook.com/profile.php?id=100041218637892&amp;mibextid=LQQJ4d</t>
  </si>
  <si>
    <t>Nguyễn Đức Thắng</t>
  </si>
  <si>
    <t>01/10/2024 và 03/10/2024</t>
  </si>
  <si>
    <t>https://drive.google.com/open?id=1Ghr9C9BUOobJBa8S1YtgIHqTTxyGtO_v; https://drive.google.com/open?id=19vU1HiMt3h1jJmldx6uHcllaGrev_13k; https://drive.google.com/open?id=1-I2tL-PsoaMjbDlBWLpDjyP7gglvJ1QY</t>
  </si>
  <si>
    <t>https://www.facebook.com/profile.php?id=100049438391287&amp;mibextid=LQQJ4d</t>
  </si>
  <si>
    <t>Đoàn Trần Tiến</t>
  </si>
  <si>
    <t>https://drive.google.com/open?id=1OJdGI8Cgaq923yGNB97j4rNoACphdZBa; https://drive.google.com/open?id=1D0KgyRDnXljv3XjjxZ0UmtTImRvHmSNR; https://drive.google.com/open?id=14Mnfwe2SdnEuOmXi5JWMUQ-xrUgZfV7c</t>
  </si>
  <si>
    <t>https://www.facebook.com/doanhdo1421?mibextid=LQQJ4d</t>
  </si>
  <si>
    <t xml:space="preserve">Đỗ Phong Doanh </t>
  </si>
  <si>
    <t>29/09/2024 và 13/10/2024</t>
  </si>
  <si>
    <t>https://drive.google.com/open?id=1VrqxSzGVAPgfXKL7W5UkhA1-V9UhGNfp; https://drive.google.com/open?id=13ZgS9_v2DVXsX07ZDRgcYgZC5y0sdRtB; https://drive.google.com/open?id=1v-SugyIZiV7OjEsOs4JpDa-JoxCb6cXd</t>
  </si>
  <si>
    <t>https://www.facebook.com/haquang.nghia.10?mibextid=LQQJ4d</t>
  </si>
  <si>
    <t>Hà Quang Nghĩa</t>
  </si>
  <si>
    <t>quangnghia27012k6@gmail.com</t>
  </si>
  <si>
    <t>https://drive.google.com/open?id=1dj0oom1HRL1v2c-8SqFLB2lKIidm_dD5; https://drive.google.com/open?id=1d_bx9l_OHnvufFaEiIaKCZTXOS8T0o1l</t>
  </si>
  <si>
    <t>https://www.facebook.com/share/8iftS3ghoq4SGSQq/?mibextid=LQQJ4d</t>
  </si>
  <si>
    <r>
      <rPr>
        <sz val="12"/>
        <color theme="1"/>
        <rFont val="Times New Roman"/>
        <family val="1"/>
      </rPr>
      <t>Lê Huyền Trang</t>
    </r>
    <r>
      <rPr>
        <sz val="12"/>
        <color rgb="FFFF0000"/>
        <rFont val="Times New Roman"/>
        <family val="1"/>
      </rPr>
      <t xml:space="preserve"> (hợp đồng)</t>
    </r>
  </si>
  <si>
    <t>huyentrang29082006@gmail.com</t>
  </si>
  <si>
    <t>17 Ngõ 41 Thái Hà</t>
  </si>
  <si>
    <t>https://drive.google.com/open?id=1sv9TtmnBrVeFtFXuRcSYpqaOTEsHGZR-</t>
  </si>
  <si>
    <t>https://www.facebook.com/luu.hieukhanh.927?mibextid=LQQJ4d</t>
  </si>
  <si>
    <t>Lưu Hiểu Khánh</t>
  </si>
  <si>
    <t>https://drive.google.com/open?id=1ORMcqtmis2PTPxc1Q4rrGdV1XybgBFmI</t>
  </si>
  <si>
    <t xml:space="preserve">https://www.facebook.com/hiep.buiquyhoang.7?mibextid=LQQJ4d </t>
  </si>
  <si>
    <t xml:space="preserve">Bùi Quý Hoàng Hiệp </t>
  </si>
  <si>
    <t>https://drive.google.com/open?id=1hUGanhnYZfST4DfBYIEBv8ZaYNgAUYDa</t>
  </si>
  <si>
    <t>https://www.facebook.com/profile.php?id=100065727186199&amp;mibextid=ZbWKwL</t>
  </si>
  <si>
    <t>Ngô Kim Yến</t>
  </si>
  <si>
    <t>Nhà văn hóa Phú Cường, Tổ 8 Lê Hồng Phong, Phủ Lí,Hà Nam</t>
  </si>
  <si>
    <t>03/10/2024 và 04/10/2024</t>
  </si>
  <si>
    <t>https://drive.google.com/open?id=18XyWO-5ZMzGpSm4wyMvpU8CqytsmVRiy; https://drive.google.com/open?id=1zqcd2rUbiaE8rEHBq5lvfzDritzlyIrX; https://drive.google.com/open?id=1LPaGVszFVudebjh61Alki7O1jb_2uXwU</t>
  </si>
  <si>
    <t>https://www.facebook.com/giangg.ha.982</t>
  </si>
  <si>
    <t xml:space="preserve">Vũ Hà Giang </t>
  </si>
  <si>
    <t>vug9253@gmail.com</t>
  </si>
  <si>
    <t xml:space="preserve"> xóm 3, thôn lưu xá , xã Đức Giang , Huyện Hoài Đức , Hà Nội</t>
  </si>
  <si>
    <t>https://drive.google.com/open?id=1taCF1czrPcQQNC-MQJ6t1ZbqkEExdaGg</t>
  </si>
  <si>
    <t>https://www.facebook.com/profile.php?id=100080664566956&amp;mibextid=LQQJ4d</t>
  </si>
  <si>
    <r>
      <rPr>
        <sz val="12"/>
        <color theme="1"/>
        <rFont val="Times New Roman"/>
        <family val="1"/>
      </rPr>
      <t>Trần Đoàn Hiệp</t>
    </r>
    <r>
      <rPr>
        <sz val="12"/>
        <color rgb="FFFF0000"/>
        <rFont val="Times New Roman"/>
        <family val="1"/>
      </rPr>
      <t xml:space="preserve"> (hợp đồng)</t>
    </r>
  </si>
  <si>
    <t>ĐHCN hà nội cs3</t>
  </si>
  <si>
    <t>https://drive.google.com/open?id=165TYAIJZpGZB_lYLvNUlb1CHglJbiRRq; https://drive.google.com/open?id=13kX4iWI77q15cO1ofCgYDx9-IWNAc8V5</t>
  </si>
  <si>
    <t>https://www.facebook.com/m.me.nguyen.925</t>
  </si>
  <si>
    <t xml:space="preserve">Nguyễn Nhật Nguyên </t>
  </si>
  <si>
    <t>nguyennhatnguyen955@gmail.com</t>
  </si>
  <si>
    <t>Số 6 ngõ 11, đường Làng Vân, Vân Côn, Hoài Đức , Hà Nội</t>
  </si>
  <si>
    <t>https://drive.google.com/open?id=1qodrKmxy3r7y2LNk4gr3nWqSVqh9E3e9; https://drive.google.com/open?id=1N_MoDusoyTJ80qJ5dURWQ5AqNUDGpbXb</t>
  </si>
  <si>
    <t>https://www.facebook.com/nhi.nek.984</t>
  </si>
  <si>
    <r>
      <rPr>
        <sz val="12"/>
        <color theme="1"/>
        <rFont val="Times New Roman"/>
        <family val="1"/>
      </rPr>
      <t>Nguyễn Thị Yến Nhi</t>
    </r>
    <r>
      <rPr>
        <sz val="12"/>
        <color rgb="FFFF0000"/>
        <rFont val="Times New Roman"/>
        <family val="1"/>
      </rPr>
      <t xml:space="preserve"> (hợp đồng)</t>
    </r>
  </si>
  <si>
    <t>nhinguyen0968@gmail.com</t>
  </si>
  <si>
    <t>449/26 Sư Vạn Hạnh, p12, quận 10, Tp HCM</t>
  </si>
  <si>
    <t>https://drive.google.com/open?id=1ijhxwW8U_50PfbUpBK7d47r6RP7-Bjbl</t>
  </si>
  <si>
    <t>https://www.facebook.com/profile.php?id=100017575055851&amp;mibextid=LQQJ4d</t>
  </si>
  <si>
    <t>Trương Thị Thuỳ Linh</t>
  </si>
  <si>
    <t>truongthithuylinh1407@gmail.com</t>
  </si>
  <si>
    <t>https://drive.google.com/open?id=1rvOdW440_aeccbsAwFJimQXG-rYnOcCj</t>
  </si>
  <si>
    <t>https://www.facebook.com/profile.php?id=100055555522440</t>
  </si>
  <si>
    <t xml:space="preserve">Đặng Hoàng Hải  </t>
  </si>
  <si>
    <t>danghoanghai04082006@gmail.com</t>
  </si>
  <si>
    <t xml:space="preserve">Toà CT1C phố Giao lưu cổ nhuế -BTN -HN </t>
  </si>
  <si>
    <t>04/10/2024 và 08/10/2024</t>
  </si>
  <si>
    <t>https://drive.google.com/open?id=1Shyo7kkoPSnpJE6StPJSi6BwqJMx17YR; https://drive.google.com/open?id=1tG7FF3npR5K_cwka4jIosgkIEYG6UfAQ; https://drive.google.com/open?id=1YetZ2eVc1O2o_sEABKi2z_mU3IvSVOX2</t>
  </si>
  <si>
    <t>https://www.facebook.com/profile.php?id=100038161606459&amp;mibextid=LQQJ4d</t>
  </si>
  <si>
    <t>Nguyễn Thanh Tùng</t>
  </si>
  <si>
    <t>ntttung7705@gmail.com</t>
  </si>
  <si>
    <t>Số nhà 12, Ngách 132/12 đường Cầu Diễn, Minh Khai, Bắc Từ Liêm, Hà Nội</t>
  </si>
  <si>
    <t>04/10/2024 và 14/10/2024</t>
  </si>
  <si>
    <t>https://drive.google.com/open?id=1LkiyZu3YEFey5c-LgktjyKdCHhQnlQ62; https://drive.google.com/open?id=15bJwhkhWVGslMAG3DniSRB97MyYOf3BH</t>
  </si>
  <si>
    <t>https://www.facebook.com/profile.php?id=100079033491185&amp;mibextid=LQQJ4d</t>
  </si>
  <si>
    <r>
      <rPr>
        <sz val="12"/>
        <color theme="1"/>
        <rFont val="Times New Roman"/>
        <family val="1"/>
      </rPr>
      <t xml:space="preserve">Nguyễn Hữu Trà </t>
    </r>
    <r>
      <rPr>
        <sz val="12"/>
        <color rgb="FFFF0000"/>
        <rFont val="Times New Roman"/>
        <family val="1"/>
      </rPr>
      <t>- nick Việt</t>
    </r>
  </si>
  <si>
    <t xml:space="preserve">Phương </t>
  </si>
  <si>
    <t>Khong</t>
  </si>
  <si>
    <t>Tỳ Điện-Phú Hoà-Lương Tài-Bắc Ninh</t>
  </si>
  <si>
    <t>04/10/2004 và 10/10/2024</t>
  </si>
  <si>
    <t>https://drive.google.com/open?id=1etgHAb0d_QpDYzaDIWLR2nrq1dQ_Mx97; https://drive.google.com/open?id=1m4Znx2GFSit9uPegRQOcRYxvj6uAbk6s; https://drive.google.com/open?id=1uUue7JUONZBwhskKH6zmQxYJ_sqpTKMr</t>
  </si>
  <si>
    <t>https://www.facebook.com/profile.php?id=100055631994421&amp;mibextid=LQQJ4d</t>
  </si>
  <si>
    <t>ntnanh396@gmail.com</t>
  </si>
  <si>
    <t>https://drive.google.com/open?id=1ehBD5yqwohTwYj0gmG4LZcRoMfpARviw; https://drive.google.com/open?id=1ukd9xrvWJCV32j7ApiDQ4e9cfy7bAXGx</t>
  </si>
  <si>
    <t>https://www.facebook.com/thienanhiselsey?mibextid=LQQJ4d</t>
  </si>
  <si>
    <t>Lương Thiên Anh</t>
  </si>
  <si>
    <t>thienanhelsey@gmail.com</t>
  </si>
  <si>
    <t>https://drive.google.com/open?id=1I26O2fOcT1iMEUDqG9iR3EPDFEwk2VD_; https://drive.google.com/open?id=1lUEGdNY-gxjSE2uLqH-DlpRsLlTqMU0W</t>
  </si>
  <si>
    <t>https://www.facebook.com/profile.php?id=100080701576514</t>
  </si>
  <si>
    <t>Đỗ Tuấn Anh</t>
  </si>
  <si>
    <t xml:space="preserve"> 71a,tổ 8,tdp Tân Bình,thị trấn Xuân Mai,huyện Chương Mỹ,tp Hà Nội </t>
  </si>
  <si>
    <t>https://drive.google.com/open?id=1Q1o6O2i92A32Kgd49uwrFulSz75GA-bo, https://drive.google.com/open?id=19F0l7xzWU1ij9f8PF_nnpw5MNqR-GCoZ</t>
  </si>
  <si>
    <t>PT145</t>
  </si>
  <si>
    <t>https://www.facebook.com/baongoc.phung.7545</t>
  </si>
  <si>
    <t>Phùng Bảo Ngọc  / (+45) 5525312</t>
  </si>
  <si>
    <t xml:space="preserve"> haungochuong@gmail.com</t>
  </si>
  <si>
    <t xml:space="preserve">Nước ngoài </t>
  </si>
  <si>
    <t>https://drive.google.com/open?id=1NI2fE-LZZ5zCzjBeYEGsDg5yZb0Zcpg2</t>
  </si>
  <si>
    <t>https://www.facebook.com/tuanbinh.2k6?mibextid=LQQJ4d</t>
  </si>
  <si>
    <r>
      <rPr>
        <sz val="12"/>
        <color theme="1"/>
        <rFont val="Times New Roman"/>
        <family val="1"/>
      </rPr>
      <t>Nguyễn Tuấn Bình</t>
    </r>
    <r>
      <rPr>
        <sz val="12"/>
        <color rgb="FFFF0000"/>
        <rFont val="Times New Roman"/>
        <family val="1"/>
      </rPr>
      <t xml:space="preserve"> (Hợp đồng)</t>
    </r>
  </si>
  <si>
    <t>Số 90, Đông Hội, Đông Anh, Hà Nội</t>
  </si>
  <si>
    <t>04/10/2024 và 06/10/2024</t>
  </si>
  <si>
    <t>https://drive.google.com/open?id=1y7ZPq6_nykzp2dOhQOPqCBH9DIlDuIFf; https://drive.google.com/open?id=1Ipv3NpPhq4y6YUFMOWFsWtGrMpUt38bR; https://drive.google.com/open?id=1XEG75AnpVPLtKaKXYCRf1i8BEm6H8XV6</t>
  </si>
  <si>
    <t>https://www.facebook.com/profile.php?id=100034230766906&amp;mibextid=ZbWKwL</t>
  </si>
  <si>
    <r>
      <rPr>
        <sz val="12"/>
        <color theme="1"/>
        <rFont val="Times New Roman"/>
        <family val="1"/>
      </rPr>
      <t>Đào Thu Hương</t>
    </r>
    <r>
      <rPr>
        <sz val="12"/>
        <color rgb="FFFF0000"/>
        <rFont val="Times New Roman"/>
        <family val="1"/>
      </rPr>
      <t xml:space="preserve"> (Hợp đồng)</t>
    </r>
  </si>
  <si>
    <t>daohuong2726@gmail.com</t>
  </si>
  <si>
    <t>Số 1, Ngõ 75, Đường Cửa Quán, Văn Phú, Hà Đông, Hà Nội</t>
  </si>
  <si>
    <t>04/10/2024 vfa 05/10/2024</t>
  </si>
  <si>
    <t>https://drive.google.com/open?id=1w2cWMnMRg_ERmQKg__Nmu3RDKvzckHbE; https://drive.google.com/open?id=1mzOXPGqRHrxnR9ySsrq_AxWbTlK5cSzc; https://drive.google.com/open?id=1vG01eohXXrq3OWMdUkgLKTVRpdDvkGWb</t>
  </si>
  <si>
    <t>https://www.facebook.com/nhatdevjr</t>
  </si>
  <si>
    <t>Hồ Long Nhật</t>
  </si>
  <si>
    <t>https://drive.google.com/open?id=1LdP1rBRZBcXnWk7CKU_5lC8xMey5wpLA, https://drive.google.com/open?id=1EZ3bwgbsHFtp4_8T2pTQ_1Kpbfbztezi</t>
  </si>
  <si>
    <t>https://www.facebook.com/profile.php?id=100051366133387</t>
  </si>
  <si>
    <t>Đỗ Thị Ngọc Ánh</t>
  </si>
  <si>
    <t>Dothingocanh0502@gmail.com</t>
  </si>
  <si>
    <t>Nhà số 17, ngách 99/187, thôn yên kiện, xã ngọc hồi, thanh trì, hà nội</t>
  </si>
  <si>
    <t>https://drive.google.com/open?id=1FUkyNJFHY3V-p6mqOBlS8gYK6Ot7pics</t>
  </si>
  <si>
    <t>https://www.facebook.com/profile.php?id=100044797959404</t>
  </si>
  <si>
    <t>huong301006@gmail.com</t>
  </si>
  <si>
    <t>05/10/2024 và 09/10/2024</t>
  </si>
  <si>
    <t>https://drive.google.com/open?id=1cPlayAzAHZ0g7FbHHfQf-MYoyGBDmzrI; https://drive.google.com/open?id=1Vr8M7foUUYlmX-LKMeGE5IrH0n0ZWbul</t>
  </si>
  <si>
    <t>https://www.facebook.com/profile.php?id=100092636036861</t>
  </si>
  <si>
    <t xml:space="preserve">Hoàng Thị Thùy </t>
  </si>
  <si>
    <t>domd93467@gmail.com</t>
  </si>
  <si>
    <t xml:space="preserve"> xóm Miễu Ngoài ,Ngự Câu,An Thượng,Hoài Đức</t>
  </si>
  <si>
    <t>https://drive.google.com/open?id=1PbezFJr4NnLvjev94nuvoV-rjsH1vO9g; https://drive.google.com/open?id=108-afjrGgS7RqNdRrwL10UOdtIyMkewv</t>
  </si>
  <si>
    <t>https://www.facebook.com/thanhtam.truong.292006</t>
  </si>
  <si>
    <t>Trương Thị Thanh Tâm</t>
  </si>
  <si>
    <t xml:space="preserve">  thanhhtamm2906@gmail.com</t>
  </si>
  <si>
    <t>Số 203 đường đê , Ngự Câu, An Thượng, Hoài Đức</t>
  </si>
  <si>
    <t>https://drive.google.com/open?id=1fSdcV_p91_wAAWgNZxQgZ3bFJMAgJIkC; https://drive.google.com/open?id=1akObZhu5SXOEwg1AICHzZ020zg7bNjxm</t>
  </si>
  <si>
    <t>https://www.facebook.com/profile.php?id=100048853542944&amp;mibextid=ZbWKwL</t>
  </si>
  <si>
    <t>Đào Thanh Mai</t>
  </si>
  <si>
    <t>dthmai26@gmail.com</t>
  </si>
  <si>
    <t>https://drive.google.com/open?id=1Z647kAh-_ZTeSXhyH3bdMRlm9j-hmqz-; https://drive.google.com/open?id=10GVoU1bOTP6mu8yeGbC9Xto1tEd7s6uA</t>
  </si>
  <si>
    <t>https://www.facebook.com/trungg.tran.14?mibextid=LQQJ4d</t>
  </si>
  <si>
    <t>Trần Chí Trung</t>
  </si>
  <si>
    <t>tt892312@gmail.com</t>
  </si>
  <si>
    <t>957 Bạch Đằng - Hai Bà Trưng - Hà Nội</t>
  </si>
  <si>
    <t>https://drive.google.com/open?id=1jMHYwAujFvd58dM-jL3q4pwz-OteAQmF</t>
  </si>
  <si>
    <t>https://www.facebook.com/jenna.yee.nguyen2903?mibextid=LQQJ4d</t>
  </si>
  <si>
    <t>học of</t>
  </si>
  <si>
    <t>https://drive.google.com/open?id=1TOZWlWVtv1e3cW8UHCWDBmyhsGk82QHE; https://drive.google.com/open?id=1wbuqWJp9zbfuRVXvVNGUyDAxKBZ1uBaX</t>
  </si>
  <si>
    <t>https://www.facebook.com/ngphanh2106?mibextid=LQQJ4d</t>
  </si>
  <si>
    <t xml:space="preserve"> pn1203652@gmail.com</t>
  </si>
  <si>
    <t>Số 35, Ngõ 240, đường Lê Trọng Tấn, Phường Khương Mai, Quận Thanh Xuân, Thành Phố Hà Nội</t>
  </si>
  <si>
    <t xml:space="preserve">https://drive.google.com/open?id=15UP7GugbEs_7wM8vac6xgodk1_ZHwqqJ; </t>
  </si>
  <si>
    <t>https://www.facebook.com/profile.php?id=100038149786362</t>
  </si>
  <si>
    <t xml:space="preserve">Nguyễn Lan Anh </t>
  </si>
  <si>
    <t>Thập cập quan số 14 thôn 1 phù vân phủ lí hà nam</t>
  </si>
  <si>
    <t>https://drive.google.com/open?id=1FO7wQUfHifgi8cd8w4oxAeosuGhJcKBE</t>
  </si>
  <si>
    <t>https://www.facebook.com/nthongngoc.03</t>
  </si>
  <si>
    <t xml:space="preserve">Nguyễn Thị Hồng Ngọc </t>
  </si>
  <si>
    <t>nthongngoc03@gmail.com</t>
  </si>
  <si>
    <t>https://drive.google.com/open?id=1dJeS43byI8i2RjORKeDaXfyOPSiDzU5p</t>
  </si>
  <si>
    <t>https://www.facebook.com/profile.php?id=100073623382891&amp;mibextid=LQQJ4d</t>
  </si>
  <si>
    <t>Lò Anh Kiệt</t>
  </si>
  <si>
    <t xml:space="preserve"> lokiet0910@gmail.com</t>
  </si>
  <si>
    <t>07/10/2024 và 09/10/2024</t>
  </si>
  <si>
    <t>https://drive.google.com/open?id=1y0xZSbskp9oUkVsayOs6Tam3U9LwIg0Q và https://drive.google.com/open?id=1N6-2x6bSwMPgaDCjQFueI1abrYUjN7gl; https://drive.google.com/open?id=1-hGKKNFRBkVEkBxe1c-X8Xd7UuFpA6RL</t>
  </si>
  <si>
    <t>https://www.facebook.com/trangg.1308?mibextid=LQQJ4d</t>
  </si>
  <si>
    <t xml:space="preserve">Nguyễn Thuỳ Trang </t>
  </si>
  <si>
    <t xml:space="preserve">thuytrang13803@gmail.com </t>
  </si>
  <si>
    <t>https://drive.google.com/open?id=1R2JmGYoHXFsw789AVW-unS8eDQax-5JA</t>
  </si>
  <si>
    <t>https://www.facebook.com/profile.php?id=100078822623412&amp;mibextid=LQQJ4d</t>
  </si>
  <si>
    <t>Hoàng Minh Thư</t>
  </si>
  <si>
    <t>hoangthu0622@gmail.com</t>
  </si>
  <si>
    <t>9A, ngõ 39, Hồ Tùng Mậu , Mai Dịch, Cầu Giấy, Hà Nội</t>
  </si>
  <si>
    <t>07/10/2024 và 13/10/2024</t>
  </si>
  <si>
    <t>https://drive.google.com/open?id=1-lyi23_0eBHGq9q7kCJIfZ-Zev6ZPiwV; https://drive.google.com/open?id=1HnNZ-AeVtYDoxizXY9dmrP1ERlIuTXiF; https://drive.google.com/open?id=1Auf0pY3KeqXRHBHZbH2ZnoeHdpAJxeGq, https://drive.google.com/open?id=1gwNsbDbD1XlEnMY8vPlljP-AKQqjL7O8</t>
  </si>
  <si>
    <t>https://www.facebook.com/nguyenthihaiyen22122006iuuuuuu</t>
  </si>
  <si>
    <t xml:space="preserve"> Nguyễn Thị Hải Yến </t>
  </si>
  <si>
    <t xml:space="preserve"> yen31457@gmail.com</t>
  </si>
  <si>
    <t>số nhà 10 , ngõ 13/90 lĩnh nam, phường mai động, quận hoàng mai</t>
  </si>
  <si>
    <t>https://drive.google.com/open?id=1mInUVVJj-mMpQ8l6xg-bIvcD-fUMMfmv; https://drive.google.com/open?id=1ZDPwco_mY5w9-hwGiMk_QBJQf-EAkW_w</t>
  </si>
  <si>
    <t>https://www.facebook.com/toan.tu.9678067?mibextid=LQQJ4d</t>
  </si>
  <si>
    <t>Hoàng Hữu Toàn</t>
  </si>
  <si>
    <t>toanhoanghuu91@gmail.com</t>
  </si>
  <si>
    <t>Số 11, ngách 35, ngõ 594 Đường Láng, phường Láng Hạ , Đống Đa Hà Nội</t>
  </si>
  <si>
    <t>https://drive.google.com/open?id=1v1nh1_GUOKR_P52KxhxT5k3iCMcaLKGf; https://drive.google.com/open?id=12yqnszC9pM7F2DyGNSA5iY7U2jWKDIu3</t>
  </si>
  <si>
    <t>PT160</t>
  </si>
  <si>
    <t>https://www.facebook.com/profile.php?id=100044942913518&amp;mibextid=LQQJ4d</t>
  </si>
  <si>
    <r>
      <rPr>
        <sz val="12"/>
        <color theme="1"/>
        <rFont val="Times New Roman"/>
        <family val="1"/>
      </rPr>
      <t>Lê Văn Trung</t>
    </r>
    <r>
      <rPr>
        <sz val="12"/>
        <color rgb="FFFF0000"/>
        <rFont val="Times New Roman"/>
        <family val="1"/>
      </rPr>
      <t xml:space="preserve"> - gửi lại sách do gãy. Đã nộp 300K 24/10/2024
PT143 bảo lưu buổi 4 đi quân sự Hạ báo. Hoc PT160 b1</t>
    </r>
  </si>
  <si>
    <t>37 An Đào A , Trâu Quỳ , Gia Lâm , Hà Nội</t>
  </si>
  <si>
    <t>08/10/2024 và 09/10/2024</t>
  </si>
  <si>
    <t>https://drive.google.com/open?id=1XPME7ERQEhTvDRIniz05jNrYo7AKJTlR; https://drive.google.com/open?id=11AxAoMRIrckepRH3Cha0hBFmoXxkiJGp; https://drive.google.com/open?id=19IqcIBXKnpFT2V0_gfFs3uKozOe4vCg8</t>
  </si>
  <si>
    <t>10/10/2024 gửi sách cũ</t>
  </si>
  <si>
    <t>Nguyễn Thùy Phương</t>
  </si>
  <si>
    <t>08/10/2024 và 16/10/2024</t>
  </si>
  <si>
    <t>https://drive.google.com/open?id=1sS9S-K38UnMiB9Y_sQYAsYbfSX4KJZLD; https://drive.google.com/open?id=16Lvu83d9jktyuUD6WxScuMCF_McoQOgo</t>
  </si>
  <si>
    <t>Số nhà 18 ngõ 255 ĐƯỜNG hoàng mai quận hoàng mai,  Hà Nội</t>
  </si>
  <si>
    <t>https://drive.google.com/open?id=1zrjgCbEnHHW8G2XbNRxqsrRTaiot_mf0</t>
  </si>
  <si>
    <t>Nhài hướng dẫn</t>
  </si>
  <si>
    <t>ngõ 16 tây kết bạch đằng hai bà trưng Hà nội</t>
  </si>
  <si>
    <t>https://drive.google.com/open?id=1JLe4gE-iqw7S_tiwrBlGekGjVP3i4UTT</t>
  </si>
  <si>
    <t>https://www.facebook.com/profile.php?id=100050902834061</t>
  </si>
  <si>
    <t xml:space="preserve">Bùi Đoàn Quang Huy </t>
  </si>
  <si>
    <t>buiquanghuy0409@gmail.com</t>
  </si>
  <si>
    <t>https://drive.google.com/open?id=1l-phH97zPF4h1xYbJ4iWMLCQIBGb78hd, https://drive.google.com/open?id=1wlSL-ycFV_WqaN7F8ZndXDqsM6Y-R470</t>
  </si>
  <si>
    <t>https://www.facebook.com/profile.php?id=100055633174795&amp;mibextid=LQQJ4d</t>
  </si>
  <si>
    <t>Nguyễn Nam Khánh</t>
  </si>
  <si>
    <t>09/10/2024 và 13/10/2024</t>
  </si>
  <si>
    <t>https://drive.google.com/open?id=1xVj_AZS1Sid8EgAVJSPKLl2d6jHSWCRF; https://drive.google.com/open?id=1yU3_yBmx3_ZJ5ladVRfQYS_0njRCuwGa; https://drive.google.com/open?id=1YDfvIKYzRMjh9JP7b4pZz_6PYQ8RM5Lr</t>
  </si>
  <si>
    <t>https://www.facebook.com/uyen.nguyent.to.54?mibextid=JRoKGi</t>
  </si>
  <si>
    <t>Nguyễn Thị Tố Uyên</t>
  </si>
  <si>
    <t>08/10/2024 và 23/10/2024</t>
  </si>
  <si>
    <r>
      <rPr>
        <u/>
        <sz val="12"/>
        <color rgb="FF1155CC"/>
        <rFont val="Times New Roman"/>
        <family val="1"/>
      </rPr>
      <t xml:space="preserve">https://drive.google.com/open?id=1dmiFE1HGVs5ZwZ0sLCebYc-LudPObjK_; </t>
    </r>
    <r>
      <rPr>
        <u/>
        <sz val="12"/>
        <color rgb="FF1155CC"/>
        <rFont val="Times New Roman"/>
        <family val="1"/>
      </rPr>
      <t>https://drive.google.com/open?id=1nYq6dj5pfrK4D4ixaY9OX3ulCx4b4D2e</t>
    </r>
  </si>
  <si>
    <t>https://www.facebook.com/profile.php?id=100078156776680&amp;mibextid=LQQJ4d</t>
  </si>
  <si>
    <t>Phan Trang Yến Ngọc</t>
  </si>
  <si>
    <t>https://drive.google.com/open?id=1T2_-RRafTKpawiBx1y5CepiMvIzZi5wc; https://drive.google.com/open?id=1nYq6dj5pfrK4D4ixaY9OX3ulCx4b4D2e</t>
  </si>
  <si>
    <t>https://www.facebook.com/nguyenn.ngoc.anh.395017</t>
  </si>
  <si>
    <t xml:space="preserve">nguyenngocanh072006@gmail.com </t>
  </si>
  <si>
    <t>số 34 ngõ 445/68 Nguyễn Khang, cầu giấy</t>
  </si>
  <si>
    <t>09/10/2024 và 10/10/2024</t>
  </si>
  <si>
    <t>https://drive.google.com/open?id=1-foQ9_Z5atGWURgLZ_TqESMD0dXGmz1b; https://drive.google.com/open?id=1PMc-k8DtHLFdqwoWeeejVHZm1Y0h9k_f</t>
  </si>
  <si>
    <t>Ngô Phạm Yến Chi</t>
  </si>
  <si>
    <t>Đưa sách cô My</t>
  </si>
  <si>
    <t>https://www.facebook.com/bao02032006</t>
  </si>
  <si>
    <t xml:space="preserve">Nguyễn Văn Bảo               </t>
  </si>
  <si>
    <t>nguyenvanbaond02032006@gmail.com</t>
  </si>
  <si>
    <t>https://drive.google.com/open?id=1gnPQmFF1-r9qiq7b7YPHV_sV9amRDD2W; https://drive.google.com/open?id=1WlIVepWZUZzR5spyhkSohMhXzSZat_9t</t>
  </si>
  <si>
    <t>PT147</t>
  </si>
  <si>
    <t>https://www.facebook.com/p.ngochuyen</t>
  </si>
  <si>
    <t xml:space="preserve">Phạm Ngọc Huyền </t>
  </si>
  <si>
    <t xml:space="preserve">phamngochuyen.pcy@gmail.com </t>
  </si>
  <si>
    <t>Nước ngoài</t>
  </si>
  <si>
    <t>https://drive.google.com/open?id=19ajYIE0gWay0pG2EYQEnudDtET4yg37l</t>
  </si>
  <si>
    <t xml:space="preserve">Mát góc </t>
  </si>
  <si>
    <t xml:space="preserve"> dinhtai20092003@gmail.com</t>
  </si>
  <si>
    <t>https://drive.google.com/open?id=1kJ504xTx6kAWSdsFVF2bkRThgtWhfiF3</t>
  </si>
  <si>
    <r>
      <rPr>
        <sz val="12"/>
        <color theme="1"/>
        <rFont val="Times New Roman"/>
        <family val="1"/>
      </rPr>
      <t xml:space="preserve">Nguyễn Đức Khôi </t>
    </r>
    <r>
      <rPr>
        <sz val="12"/>
        <color rgb="FFFF0000"/>
        <rFont val="Times New Roman"/>
        <family val="1"/>
      </rPr>
      <t>- Đã nộp 300K 11/12/24
OT38 bảo lưu b4 bận. Học OT48 b4</t>
    </r>
  </si>
  <si>
    <t xml:space="preserve">Nguyenduckhoi01082006@gmail.com </t>
  </si>
  <si>
    <t>https://drive.google.com/open?id=1L0XINB-IgPEXW_Z-fxy8AoqwUu_TqEYr</t>
  </si>
  <si>
    <t>https://www.facebook.com/profile.php?id=100047105530093&amp;mibextid=LQQJ4d</t>
  </si>
  <si>
    <t>Đinh Văn Ngọc Đoàn</t>
  </si>
  <si>
    <t>ngocdoan5806@gmail.com</t>
  </si>
  <si>
    <t>https://drive.google.com/open?id=1Ohke6s-CwbYKydyGP1PtOiaBE7_xiir4</t>
  </si>
  <si>
    <t>https://www.facebook.com/NgoCongDanh.18?mibextid=LQQJ4d</t>
  </si>
  <si>
    <t>Ngô Công Danh</t>
  </si>
  <si>
    <t>https://drive.google.com/open?id=1QWUTOqwItikX4EEgz4BPnjkZmHq7YQ5f; https://drive.google.com/open?id=19GFvAYv_irzhfttEJu8z1X5RKsKKHReU</t>
  </si>
  <si>
    <t>https://www.facebook.com/profile.php?id=100027602074304</t>
  </si>
  <si>
    <t xml:space="preserve">Nguyễn Hữu Trí Tuệ  </t>
  </si>
  <si>
    <t xml:space="preserve"> nguyentue1820@gmail.com</t>
  </si>
  <si>
    <t>Số 22 ngõ 149/18 ,phố Trung Kiên,TDP Trung 8 ,Tây Tựu,Bắc Từ Liêm ,Hà Nội</t>
  </si>
  <si>
    <t>10/10/2024 và 12/10/2024</t>
  </si>
  <si>
    <t>https://drive.google.com/open?id=15M68NTsgn2TYs5V4ytAFkybbqbsurojc; https://drive.google.com/open?id=1KDh5vGrv_XIgeAsHhk3fJaQNPwkfep2V</t>
  </si>
  <si>
    <t>https://www.facebook.com/vh.anh07?mibextid=LQQJ4d</t>
  </si>
  <si>
    <r>
      <rPr>
        <sz val="12"/>
        <color theme="1"/>
        <rFont val="Times New Roman"/>
        <family val="1"/>
      </rPr>
      <t xml:space="preserve">Vương Hải Anh </t>
    </r>
    <r>
      <rPr>
        <sz val="12"/>
        <color rgb="FFFF0000"/>
        <rFont val="Times New Roman"/>
        <family val="1"/>
      </rPr>
      <t>(hợp đồng)</t>
    </r>
  </si>
  <si>
    <t>Đạt H</t>
  </si>
  <si>
    <t>vh.haianh2007@gmail.com</t>
  </si>
  <si>
    <t>6/25/2 Dư Hàng, Lê Chân, Hải Phòng</t>
  </si>
  <si>
    <t>https://drive.google.com/open?id=1JAd6M63BcUt7DFPNjWrO1ROn3nL_NiY3</t>
  </si>
  <si>
    <t>https://www.facebook.com/thienhoang.pham.1232</t>
  </si>
  <si>
    <t xml:space="preserve">Phạm Thiên Hoàng </t>
  </si>
  <si>
    <t>10/10/2024 và 11/10/2024 và 14/10/2024</t>
  </si>
  <si>
    <t>https://drive.google.com/open?id=1WkmSGVxJzc26H17Z8whtl5vYaK1-dnF9; https://drive.google.com/open?id=1emyLxSpp6n4t3ifg-SlW-QILIBEaeJEv; https://drive.google.com/open?id=1a2qurJoQY2yv9irReGRZeeDyGGSvO56D</t>
  </si>
  <si>
    <t>https://www.facebook.com/profile.php?id=100040545213406</t>
  </si>
  <si>
    <t xml:space="preserve">Nguyễn Hữu Nam </t>
  </si>
  <si>
    <t>vatliahdong@gmail.com</t>
  </si>
  <si>
    <t>https://drive.google.com/open?id=1p2Wb7QGX00jKXePLv3AUOuU0YuSDXXT8</t>
  </si>
  <si>
    <t>PT145 nghỉ ngang b12 trùng lịch trên trường. Hạ chat</t>
  </si>
  <si>
    <t>https://www.facebook.com/profile.php?id=100071945490823</t>
  </si>
  <si>
    <r>
      <rPr>
        <sz val="12"/>
        <color theme="1"/>
        <rFont val="Times New Roman"/>
        <family val="1"/>
      </rPr>
      <t>Vũ Thị Ngọc</t>
    </r>
    <r>
      <rPr>
        <sz val="12"/>
        <color rgb="FFFF0000"/>
        <rFont val="Times New Roman"/>
        <family val="1"/>
      </rPr>
      <t xml:space="preserve"> - Ngọc Su</t>
    </r>
  </si>
  <si>
    <t xml:space="preserve"> ngocvuthi024@gmail.com</t>
  </si>
  <si>
    <t xml:space="preserve">Số nhà 12A -  ngách 67 - Ngõ gốc đề - hoàng văn thụ - hoàng mai - hà nội </t>
  </si>
  <si>
    <t>https://drive.google.com/open?id=1xR_DOdmHBcI68yVPXG0EyCDq1L1HbuBE</t>
  </si>
  <si>
    <t>Ngõ 139 Tam Trinh, Mai Động, Hoàng Mai, Hà Nội</t>
  </si>
  <si>
    <t>https://drive.google.com/open?id=1gZ65Yjcsc_RirCUT5XlszNvgHc5QHOa_</t>
  </si>
  <si>
    <t>https://www.facebook.com/profile.php?id=100070686476338</t>
  </si>
  <si>
    <t>Nguyễn Viết Hải Lâm</t>
  </si>
  <si>
    <t>ngách 87/7 tổ 12 phố Yên Lộ, hà đông, hà nội</t>
  </si>
  <si>
    <t>https://drive.google.com/open?id=1zmz9S_KHL1u4EvsahqA9yixh_pmzuod5; https://drive.google.com/open?id=1pOQD5wXgWkbeEkn8fcI0-krxSkyjHoO0</t>
  </si>
  <si>
    <t>https://www.facebook.com/people/Ngoc-Anh-Le/pfbid0wsAhnUPaXWWZyrF2nww9SPtCYscrpFHqByHfTbpFczwnLBHN4ZtosEEzRR83dGQEl/</t>
  </si>
  <si>
    <r>
      <rPr>
        <sz val="12"/>
        <color theme="1"/>
        <rFont val="Times New Roman"/>
        <family val="1"/>
      </rPr>
      <t xml:space="preserve">Lê Ngọc Anh </t>
    </r>
    <r>
      <rPr>
        <sz val="12"/>
        <color rgb="FFFF0000"/>
        <rFont val="Times New Roman"/>
        <family val="1"/>
      </rPr>
      <t>- 353783765 số sai</t>
    </r>
  </si>
  <si>
    <t>lna200706@gmail.com</t>
  </si>
  <si>
    <t>https://drive.google.com/open?id=1TUKwG1GyW2MXPwBoP9_1FJGRZ1EbPEK7, https://drive.google.com/open?id=1oecTWWc63N_UpvR5hgxV5IzRWBK9k5t4</t>
  </si>
  <si>
    <t>PT146 nghỉ ngang b10. Hạ chat</t>
  </si>
  <si>
    <t>https://www.facebook.com/profile.php?id=100025791998137&amp;mibextid=ZbWKwL</t>
  </si>
  <si>
    <r>
      <rPr>
        <sz val="12"/>
        <color theme="1"/>
        <rFont val="Times New Roman"/>
        <family val="1"/>
      </rPr>
      <t>Nguyễn Đắc Doanh</t>
    </r>
    <r>
      <rPr>
        <sz val="12"/>
        <color rgb="FFFF0000"/>
        <rFont val="Times New Roman"/>
        <family val="1"/>
      </rPr>
      <t xml:space="preserve"> - tặng bảng gỗ</t>
    </r>
  </si>
  <si>
    <t>số 30 ngõ 1 đại mỗ phường nam từ liêm, hà nội</t>
  </si>
  <si>
    <t>https://drive.google.com/open?id=1iK75XpjtKnEdDJzPpnimC2JHWNlfn4Xl</t>
  </si>
  <si>
    <t>https://www.facebook.com/profile.php?id=100070182325796&amp;mibextid=LQQJ4d</t>
  </si>
  <si>
    <r>
      <rPr>
        <sz val="12"/>
        <color theme="1"/>
        <rFont val="Times New Roman"/>
        <family val="1"/>
      </rPr>
      <t xml:space="preserve">Nguyễn Mạnh Tú </t>
    </r>
    <r>
      <rPr>
        <sz val="12"/>
        <color rgb="FFFF0000"/>
        <rFont val="Times New Roman"/>
        <family val="1"/>
      </rPr>
      <t>(Hợp đồng)</t>
    </r>
  </si>
  <si>
    <t>Bún Đậu Xưa, Yên Nghĩa, Hà Đông, Hà Nội</t>
  </si>
  <si>
    <t>https://drive.google.com/open?id=1Cjjzklog0FEtFv17OZtU2XQttikdGiKg, https://drive.google.com/open?id=1gwsCdjYQYU0xntvhpTiwO8rGMSjh8JVv; https://drive.google.com/open?id=1NaAXKbH92KMfNPtREPXwFhEqoZMSFCIu</t>
  </si>
  <si>
    <t>PT146</t>
  </si>
  <si>
    <t>https://www.facebook.com/profile.php?id=100071157537127&amp;mibextid=LQQJ4d</t>
  </si>
  <si>
    <r>
      <rPr>
        <sz val="12"/>
        <color theme="1"/>
        <rFont val="Times New Roman"/>
        <family val="1"/>
      </rPr>
      <t xml:space="preserve">Hoàng Thanh Tùng </t>
    </r>
    <r>
      <rPr>
        <sz val="12"/>
        <color rgb="FFFF0000"/>
        <rFont val="Times New Roman"/>
        <family val="1"/>
      </rPr>
      <t>(hợp đồng)</t>
    </r>
  </si>
  <si>
    <t>Ngân</t>
  </si>
  <si>
    <t>Kh</t>
  </si>
  <si>
    <t>trường đại học công nghiệp Hà Nội cơ sở 3 , phường Lê Hồng Phong , thành phố Phủ Lý Hà Nam</t>
  </si>
  <si>
    <t>11/10/2024 vaf 14/10/2024</t>
  </si>
  <si>
    <t>https://drive.google.com/open?id=1xbpDz_L5LRlyZslNvClG4JN5SBhWBrwo; https://drive.google.com/open?id=1eRuTUbyUuRFucPihRwJfnf74dJUeutBh; https://drive.google.com/open?id=1L2WVbu-OsU_65fgUhc0hfTlUIqxSaPBl</t>
  </si>
  <si>
    <t>https://www.facebook.com/Sky.MTP.10070507</t>
  </si>
  <si>
    <t xml:space="preserve">Phạm Văn Quyết </t>
  </si>
  <si>
    <t>Cổng trường đại học Công Nghiệp Hà Nội cơ sở Hà Nam</t>
  </si>
  <si>
    <t>https://drive.google.com/open?id=1Gh1Xi3fF4whbAvK3yxNrjwuh1_3GpEXy; https://drive.google.com/open?id=1bJSKICpsfeP2o3yUJyFq59JtRS7aBQJb</t>
  </si>
  <si>
    <t>https://www.facebook.com/nguyen.ngocha.26</t>
  </si>
  <si>
    <t xml:space="preserve">Nguyễn  Ngọc Hà </t>
  </si>
  <si>
    <t>nguyenngocha1467tn@gmail.com</t>
  </si>
  <si>
    <t xml:space="preserve"> Tổ 38,khu5 ,phường vân phú , Việt Trì</t>
  </si>
  <si>
    <t>https://drive.google.com/open?id=1vkn81BWtpKxKR3hI3cdI5u2HRXpuzhvq</t>
  </si>
  <si>
    <t xml:space="preserve">Mat goc </t>
  </si>
  <si>
    <t>https://www.facebook.com/profile.php?id=100085467455369</t>
  </si>
  <si>
    <t xml:space="preserve">Lê Hữu Ánh  </t>
  </si>
  <si>
    <t xml:space="preserve"> anhl76500@gmail.com</t>
  </si>
  <si>
    <t>Số 98 hẻm 25 ngách 49 ngõ 165 Dương Quảng Hàm, Quan Hoa, Cầu Giấy, Hà Nội</t>
  </si>
  <si>
    <t>12/10/2024 và 20/10/2024</t>
  </si>
  <si>
    <t>https://drive.google.com/open?id=1I7rVQA1CZdwwN01g1HZ9By_gAuU8WUJR; https://drive.google.com/open?id=1IyhH2BBKxEE9MyLWccAj97GWVc5htO8M</t>
  </si>
  <si>
    <t>Mat goc</t>
  </si>
  <si>
    <t>https://www.facebook.com/profile.php?id=100081057949691&amp;mibextid=LQQJ4d</t>
  </si>
  <si>
    <t xml:space="preserve">Trần Quang Hiệp   </t>
  </si>
  <si>
    <t xml:space="preserve"> tranquanghiep290204@gmail.com</t>
  </si>
  <si>
    <t xml:space="preserve"> Số 98 hẻm 25 ngách 49 ngõ 165 Dương Quảng Hàm, Quan Hoa, Cầu Giấy, HÀ Nội</t>
  </si>
  <si>
    <t>https://drive.google.com/open?id=1NcNWA9UONDo0DjoEW-cTSS885sW_sZq_; https://drive.google.com/open?id=1P2wcqGrrdH28y5LHXDIspUM-SQwAjCOF</t>
  </si>
  <si>
    <t>https://www.facebook.com/ngtthuyen.8122006</t>
  </si>
  <si>
    <t xml:space="preserve">Nguyễn Thị Thanh Huyền  </t>
  </si>
  <si>
    <t xml:space="preserve">  huyenthinguyen5555@gmail.com</t>
  </si>
  <si>
    <t>12/10/2024 va 20/10/2024</t>
  </si>
  <si>
    <t>https://drive.google.com/open?id=1MyMePcpiq7IR2uHi-4OCWMqV8qPsCYUz; https://drive.google.com/open?id=1fOdV_XWgMNk_6ndkhAGyrhvJlMVd_NwD; https://drive.google.com/open?id=1--IJeahz4uUfd8eSP6E3A4-VEbo_B2co</t>
  </si>
  <si>
    <t>https://www.facebook.com/profile.php?id=100084446328096</t>
  </si>
  <si>
    <t>Hà Bích Ngọc</t>
  </si>
  <si>
    <t>85 ngõ 296 lĩnh nam, hoàng mai, hà nội</t>
  </si>
  <si>
    <t>https://drive.google.com/open?id=16mXa7qPdCL7--66a8b1Pyj2Q1D2Nu6PI; https://drive.google.com/open?id=1-NDfVcHXccszDoQJQmaZrdlfwH-pPMza, https://drive.google.com/open?id=1P7U6jjlptYzDfQ6b_1yV41JAA9c8WEsl</t>
  </si>
  <si>
    <t>https://www.facebook.com/profile.php?id=100052091705070&amp;mibextid=ZbWKwL</t>
  </si>
  <si>
    <t xml:space="preserve">Nguyễn Thị Hương </t>
  </si>
  <si>
    <t>nth29072006@gmail.com</t>
  </si>
  <si>
    <t xml:space="preserve"> Số 12/49 ngõ tiến bộ, khâm thiên, Đống Đa</t>
  </si>
  <si>
    <t>https://drive.google.com/open?id=1GnNnOOwHl46lYs2bZ-VU0J46TAfbd2Jg</t>
  </si>
  <si>
    <t>https://www.facebook.com/nguyen.hann.1447</t>
  </si>
  <si>
    <t xml:space="preserve">Nguyễn Hồ Ngọc Hân </t>
  </si>
  <si>
    <t xml:space="preserve"> hohoa74959@gmail.com</t>
  </si>
  <si>
    <t>46 Thích Tịnh Khiết, Trường An, Huế</t>
  </si>
  <si>
    <t>https://drive.google.com/open?id=1x0LhT9QgvXYQkjLr89SNJAJu5T3xRh3d</t>
  </si>
  <si>
    <t>Mat  góc</t>
  </si>
  <si>
    <t>https://www.facebook.com/hha.cp?mibextid=LQQJ4d</t>
  </si>
  <si>
    <r>
      <rPr>
        <sz val="12"/>
        <color theme="1"/>
        <rFont val="Times New Roman"/>
        <family val="1"/>
      </rPr>
      <t xml:space="preserve">Trương Hải Hà </t>
    </r>
    <r>
      <rPr>
        <sz val="12"/>
        <color rgb="FFFF0000"/>
        <rFont val="Times New Roman"/>
        <family val="1"/>
      </rPr>
      <t>(Hợp đồng) PT146 - đã nộp 300K 23/12/24
OPT47 bảo lưu b8 đi quân sự. Học OPT54 b8</t>
    </r>
  </si>
  <si>
    <t>13, dịch vụ 5, Mộ Lao, Hà Đông, Hà Nội</t>
  </si>
  <si>
    <t>https://drive.google.com/open?id=1228MzfGHuSV3encxyFS61dubGdR2gpcg</t>
  </si>
  <si>
    <t>https://www.facebook.com/profile.php?id=100014921167752&amp;mibextid=LQQJ4d</t>
  </si>
  <si>
    <t>Phạm Thị Diệp</t>
  </si>
  <si>
    <t>ptdiep0107@gmai.com</t>
  </si>
  <si>
    <t>08/10/2024 và 15/10/2024</t>
  </si>
  <si>
    <t>https://drive.google.com/open?id=1okJUXKE_w1dphXksS7j8uqYphVe3C3tw; https://drive.google.com/open?id=1uRRIh5QbCa3kACtV5eMR3tE_DdNCNIjM</t>
  </si>
  <si>
    <t>https://www.facebook.com/profile.php?id=100080044917605&amp;mibextid=LQQJ4d</t>
  </si>
  <si>
    <r>
      <rPr>
        <sz val="12"/>
        <color theme="1"/>
        <rFont val="Times New Roman"/>
        <family val="1"/>
      </rPr>
      <t>Lê Ngọc Bắc</t>
    </r>
    <r>
      <rPr>
        <sz val="12"/>
        <color rgb="FFFF0000"/>
        <rFont val="Times New Roman"/>
        <family val="1"/>
      </rPr>
      <t xml:space="preserve"> - đã nộp 300K 10/02/2025.
PT146 bảo lưu b8 đi quân sự. Học PT162 b4</t>
    </r>
  </si>
  <si>
    <t xml:space="preserve">P.Anh </t>
  </si>
  <si>
    <t>ngocbac1211@gmail.com</t>
  </si>
  <si>
    <t>Đại học FPT, Khu Công Nghệ Cao Hòa Lạc, km 29 - Đại lộ Thăng Long, Hà Nội</t>
  </si>
  <si>
    <t>https://drive.google.com/open?id=1xwYQ5WIh3R6OHlJau_1wu56pNryVG8Nv</t>
  </si>
  <si>
    <t>OPT93 bảo lưu b7. Đã chuyển nhượng</t>
  </si>
  <si>
    <t>https://www.facebook.com/phung.trung.165033</t>
  </si>
  <si>
    <r>
      <rPr>
        <sz val="12"/>
        <color theme="1"/>
        <rFont val="Times New Roman"/>
        <family val="1"/>
      </rPr>
      <t>Phùng Việt Trung</t>
    </r>
    <r>
      <rPr>
        <sz val="12"/>
        <color rgb="FFFF0000"/>
        <rFont val="Times New Roman"/>
        <family val="1"/>
      </rPr>
      <t xml:space="preserve"> -  Đã nộp 300K 16/10/2025</t>
    </r>
    <r>
      <rPr>
        <sz val="12"/>
        <color theme="1"/>
        <rFont val="Times New Roman"/>
        <family val="1"/>
      </rPr>
      <t xml:space="preserve">
</t>
    </r>
    <r>
      <rPr>
        <sz val="12"/>
        <color rgb="FFFF0000"/>
        <rFont val="Times New Roman"/>
        <family val="1"/>
      </rPr>
      <t>OPT48 bảo lưu b1 vấn đề sức khỏe. Học OPT93 b1</t>
    </r>
  </si>
  <si>
    <t>Trungphung153@gmail.com</t>
  </si>
  <si>
    <t xml:space="preserve">Tai  lớp </t>
  </si>
  <si>
    <t>https://drive.google.com/open?id=1-rmK3XKvZunRW75ducArEFuHO7U6LISd</t>
  </si>
  <si>
    <t>https://www.facebook.com/duy.an.7906932</t>
  </si>
  <si>
    <t xml:space="preserve">Nguyễn Duy An </t>
  </si>
  <si>
    <t xml:space="preserve"> nguyenduyan150605@gmail.com</t>
  </si>
  <si>
    <t>https://drive.google.com/open?id=1-QN2RzIMaQPMk4eG8z2azleXQSY1FkhF</t>
  </si>
  <si>
    <t>https://www.facebook.com/profile.php?id=100065175406449</t>
  </si>
  <si>
    <t xml:space="preserve">Nguyễn Hoài Ngọc </t>
  </si>
  <si>
    <t>hoaingoc0233@gmail.com ạ</t>
  </si>
  <si>
    <t>17/10/2024 và 18/10/2024</t>
  </si>
  <si>
    <t>https://drive.google.com/open?id=1b5AS2UMPv7jotD1nVlj5BYtkha69yutw; https://drive.google.com/open?id=13krW-tf-UfBj7-EJqUoUzfAS0TiRkYRC</t>
  </si>
  <si>
    <t xml:space="preserve">https://www.facebook.com/hieudelicate17b5?mi...d=LQQJ4d </t>
  </si>
  <si>
    <r>
      <rPr>
        <sz val="12"/>
        <color theme="1"/>
        <rFont val="Times New Roman"/>
        <family val="1"/>
      </rPr>
      <t xml:space="preserve">Phạm Văn Hiếu </t>
    </r>
    <r>
      <rPr>
        <sz val="12"/>
        <color rgb="FFFF0000"/>
        <rFont val="Times New Roman"/>
        <family val="1"/>
      </rPr>
      <t>- OT33</t>
    </r>
  </si>
  <si>
    <t>https://drive.google.com/open?id=1AY82FzON758tuVmsUQFs2FWXzdgNqdrP</t>
  </si>
  <si>
    <t>https://www.facebook.com/profile.php?id=100069530143176</t>
  </si>
  <si>
    <t xml:space="preserve">Nguyễn Đình Thắng </t>
  </si>
  <si>
    <t>thangnguyendinh2006@gmail.com</t>
  </si>
  <si>
    <t>12/10/2024 và 26/10/2024</t>
  </si>
  <si>
    <t>https://drive.google.com/open?id=199sWZKEJbk-vT0oTvnUVapmRmwnBlSoy; https://drive.google.com/open?id=16v3YfIWEu0a-10VGTNB4kAe8D4e-PkzM</t>
  </si>
  <si>
    <t xml:space="preserve"> Minhanh23cv@gmail.com </t>
  </si>
  <si>
    <t xml:space="preserve">sn7- ngõ 520 ninh tốn- ninh phúc- ninh bình. </t>
  </si>
  <si>
    <t>https://drive.google.com/open?id=1JIBq7-lQZo1NLWguYp-7bgtRc-nuEzyk</t>
  </si>
  <si>
    <t>OPT48 nghỉ ngang b13. Huy chat</t>
  </si>
  <si>
    <t>https://www.facebook.com/millionnguyenn</t>
  </si>
  <si>
    <t xml:space="preserve">Nguyễn Văn Triệu </t>
  </si>
  <si>
    <t>nguyentrieuqv@gmail.com</t>
  </si>
  <si>
    <t>Tai lop</t>
  </si>
  <si>
    <t>https://drive.google.com/open?id=1MQUY2Zc_2AUZYCiYePcJKRXQ500tJ3wI</t>
  </si>
  <si>
    <t>https://www.facebook.com/profile.php?id=100047743476566&amp;mibextid=ZbWKwL</t>
  </si>
  <si>
    <t>Nguyễn Đắc Tuấn Minh</t>
  </si>
  <si>
    <t>dacminh262@gmail.com</t>
  </si>
  <si>
    <t>Dãy A4, Ngõ 6 Đường Ngô Quyền, Quang Trung, Hà Đông, Hà Nội</t>
  </si>
  <si>
    <t>https://drive.google.com/open?id=1zI1pYtaKxOiQ2ATKsHXD_O78McPPru3P</t>
  </si>
  <si>
    <t>https://www.facebook.com/sin.thuong.5?mibextid=ZbWKwL</t>
  </si>
  <si>
    <r>
      <rPr>
        <sz val="12"/>
        <color theme="1"/>
        <rFont val="Times New Roman"/>
        <family val="1"/>
      </rPr>
      <t>Nguyễn Thị Thương</t>
    </r>
    <r>
      <rPr>
        <sz val="12"/>
        <color rgb="FFFF0000"/>
        <rFont val="Times New Roman"/>
        <family val="1"/>
      </rPr>
      <t xml:space="preserve"> 832458785 - Phương Khánh</t>
    </r>
  </si>
  <si>
    <t>Quỳnh - Nhài trả đơn</t>
  </si>
  <si>
    <t>thunthun046@gmail.com</t>
  </si>
  <si>
    <t>CL33-L33-33 Phường Yên Nghĩa, Hà Đông, Hà Nội</t>
  </si>
  <si>
    <t>https://www.facebook.com/profile.php?id=61559897206802&amp;mibextid=ZbWKwL</t>
  </si>
  <si>
    <t>Nguyễn Thế Hoàn</t>
  </si>
  <si>
    <t>nguyenthehoan18062006@gmail.com</t>
  </si>
  <si>
    <t>https://drive.google.com/open?id=1UZs6jo02KEHvPi1nfna55CUL5-n9b7B6</t>
  </si>
  <si>
    <t>https://www.facebook.com/leduy.manh.35513?mibextid=ZbWKwL</t>
  </si>
  <si>
    <t>1116/6/35 hẻm 1874 lê văn lương nhơn đức nhà bè tphcm</t>
  </si>
  <si>
    <t>17/10/2024 và 25/10/2024</t>
  </si>
  <si>
    <t>https://drive.google.com/open?id=10kLGh-NXM0ZZI8aaGelUbQVJ87zhs9h2; https://drive.google.com/open?id=1y9M8jpKfV79YO3CJ-spkPZrsHUvJ-Vrr</t>
  </si>
  <si>
    <t>https://www.facebook.com/luong.nguyen07.11?mibextid=ZbWKwL</t>
  </si>
  <si>
    <r>
      <rPr>
        <sz val="12"/>
        <color theme="1"/>
        <rFont val="Times New Roman"/>
        <family val="1"/>
      </rPr>
      <t xml:space="preserve">Nguyễn Xuân Lương </t>
    </r>
    <r>
      <rPr>
        <sz val="12"/>
        <color rgb="FFFF0000"/>
        <rFont val="Times New Roman"/>
        <family val="1"/>
      </rPr>
      <t>(hợp đồng)</t>
    </r>
  </si>
  <si>
    <t>luongnguyenxuan117@gmail.com</t>
  </si>
  <si>
    <t xml:space="preserve">Tổ dân phố 4 , Khu tập thể A40 , 25 khu tập thể A40 , Hà Đông , Hà Nội </t>
  </si>
  <si>
    <t>https://drive.google.com/open?id=1EDPD5zwKH5CNCCwrpQIhQ4nMgXhYfFgA</t>
  </si>
  <si>
    <t>https://www.facebook.com/profile.php?id=100046219148216&amp;mibextid=ZbWKwL</t>
  </si>
  <si>
    <t>Nguyễn Thị Thanh Hoa</t>
  </si>
  <si>
    <t>132 Lai xá Hoài Đức Bắc Từ Liêm Hà Nội</t>
  </si>
  <si>
    <t>https://drive.google.com/open?id=1w-6WyApNtg2OnrJj5VqBbS9g1FKnj-pT</t>
  </si>
  <si>
    <t>https://www.facebook.com/profile.php?id=100046703358017</t>
  </si>
  <si>
    <r>
      <rPr>
        <sz val="12"/>
        <color theme="1"/>
        <rFont val="Times New Roman"/>
        <family val="1"/>
      </rPr>
      <t>Đinh Tiến Đạt</t>
    </r>
    <r>
      <rPr>
        <sz val="12"/>
        <color rgb="FFFF0000"/>
        <rFont val="Times New Roman"/>
        <family val="1"/>
      </rPr>
      <t xml:space="preserve"> - hợp đồng</t>
    </r>
  </si>
  <si>
    <t>dinhdat147258@gmail.com</t>
  </si>
  <si>
    <t xml:space="preserve">31A, đường số 8, phường Tăng Nhơn Phú A, tp Thủ Đức, tpHCM </t>
  </si>
  <si>
    <t>https://drive.google.com/open?id=1NoMThY9nXvv2Z2phF0OkI1zrCWbGyiQ7</t>
  </si>
  <si>
    <t>https://www.facebook.com/profile.php?id=100032613424992&amp;mibextid=LQQJ4d</t>
  </si>
  <si>
    <r>
      <rPr>
        <sz val="12"/>
        <color theme="1"/>
        <rFont val="Times New Roman"/>
        <family val="1"/>
      </rPr>
      <t>Nguyễn Đình Thắng</t>
    </r>
    <r>
      <rPr>
        <sz val="12"/>
        <color rgb="FFFF0000"/>
        <rFont val="Times New Roman"/>
        <family val="1"/>
      </rPr>
      <t xml:space="preserve"> - OPT47</t>
    </r>
  </si>
  <si>
    <t>thangngnuyennb005@gmail.com</t>
  </si>
  <si>
    <t>CT4C Xa La P. Phúc La, Hà Đông, Hà Nội</t>
  </si>
  <si>
    <t>https://drive.google.com/open?id=14riZ-nGqbyZ5DdBEqPebuRC-2SVcW5xa</t>
  </si>
  <si>
    <t>https://www.facebook.com/people/Lan-Anh/pfbid0VGMvgyHXgnEx1jnjUS859ehBAccA9W2tJBy7fxXT4NJPLKeoqMqjr83PFhijvff9l/</t>
  </si>
  <si>
    <t>Đỗ Thị Lan Anh</t>
  </si>
  <si>
    <t>dolananhk62@gmail.com</t>
  </si>
  <si>
    <t xml:space="preserve">14c 79/6 Dương Quảng Hàm - Quan Hoa </t>
  </si>
  <si>
    <t>https://drive.google.com/open?id=15WQFqjYW0AjjGLly5iNgGYkGwrW0rcTL; https://drive.google.com/open?id=11PTMkLELpniXnfwHp75sC4QVM5Ws-JtS</t>
  </si>
  <si>
    <t>https://www.facebook.com/dooz.thuyy?mibextid=LQQJ4d</t>
  </si>
  <si>
    <t>Đỗ Thị Thanh Thuỳ</t>
  </si>
  <si>
    <t>dothithuy25092006@gmail.com</t>
  </si>
  <si>
    <r>
      <rPr>
        <u/>
        <sz val="12"/>
        <color rgb="FF1155CC"/>
        <rFont val="Times New Roman"/>
        <family val="1"/>
      </rPr>
      <t>https://drive.google.com/open?id=1ony2uX1q4Lf3AnCkR-4K9l4azWrayWMa</t>
    </r>
    <r>
      <rPr>
        <u/>
        <sz val="12"/>
        <color rgb="FF1155CC"/>
        <rFont val="Times New Roman"/>
        <family val="1"/>
      </rPr>
      <t>; https://drive.google.com/open?id=1bVXWhJT8sHsW4_JCJZvFPU7dOp_u3VtJ</t>
    </r>
  </si>
  <si>
    <t>https://www.facebook.com/profile.php?id=100070347000827&amp;mibextid=ZbWKwL</t>
  </si>
  <si>
    <r>
      <rPr>
        <sz val="12"/>
        <color theme="1"/>
        <rFont val="Times New Roman"/>
        <family val="1"/>
      </rPr>
      <t>Lương Thanh Thảo</t>
    </r>
    <r>
      <rPr>
        <sz val="12"/>
        <color rgb="FFFF0000"/>
        <rFont val="Times New Roman"/>
        <family val="1"/>
      </rPr>
      <t xml:space="preserve"> - hỗ trợ đổi lớp
OPT48 học buổi 9. PT16 học b10</t>
    </r>
  </si>
  <si>
    <t>https://drive.google.com/open?id=1c4u0o7UFWYAENxPHshbBso7pHD2SX7Sd</t>
  </si>
  <si>
    <t>https://www.facebook.com/profile.php?id=100059533226726</t>
  </si>
  <si>
    <t>Vũ Tiến Huy</t>
  </si>
  <si>
    <t>https://drive.google.com/open?id=1H0bbu9J2LYDDDJAPlKBbelbMg0oGLhbH</t>
  </si>
  <si>
    <t>https://www.facebook.com/nefertari10122006</t>
  </si>
  <si>
    <t>tranthilananh10122006@gmail.com</t>
  </si>
  <si>
    <t>TẠI LOP</t>
  </si>
  <si>
    <t>https://drive.google.com/open?id=1s44f9hnsvnjudkbxhk4SQ8WcFB4aInMW</t>
  </si>
  <si>
    <t>https://www.facebook.com/people/H%E1%BB%93ng-Ch%C3%A2m/pfbid02UKeZcPTnLZcqEd4ithnzaKqUqHCkCBwa5e2b8rybsgirp9U4vXu81ZPr4mzpLzHkl/</t>
  </si>
  <si>
    <t>Nguyễn Thị Hồng Châm</t>
  </si>
  <si>
    <t>Số 6 ngõ 196 ngách 8/11 đường cầu giấy</t>
  </si>
  <si>
    <t>https://drive.google.com/open?id=13Z49ivBg2z6ukQhk4kcvuqol2kMvp6qO</t>
  </si>
  <si>
    <t>https://www.facebook.com/shins.bes.73</t>
  </si>
  <si>
    <t xml:space="preserve">Bùi Hoài Thu </t>
  </si>
  <si>
    <t>-</t>
  </si>
  <si>
    <t>https://drive.google.com/open?id=1DS8A8lFDA3EHCwlTrtPw-7Skg_O2OHpf</t>
  </si>
  <si>
    <t>PT146 bảo lưu b7</t>
  </si>
  <si>
    <t>https://www.facebook.com/profile.php?id=100074633121836</t>
  </si>
  <si>
    <t>Ngọc Linh Ngọc Linh</t>
  </si>
  <si>
    <t>Ngoclinh252000@gmail.com</t>
  </si>
  <si>
    <t>39 hào khê, cát bi, hải an, hải phòng</t>
  </si>
  <si>
    <t>https://drive.google.com/open?id=128rHEvUxoiTygKb0bjh8cJnTm5IT3Mae</t>
  </si>
  <si>
    <t>https://www.facebook.com/profile.php?id=100025660681227</t>
  </si>
  <si>
    <t xml:space="preserve">Đào Ngọc Linh </t>
  </si>
  <si>
    <t>linhlinhlinhlinh878@gmail.com</t>
  </si>
  <si>
    <t xml:space="preserve">3 ngõ 691 Bát khối long biên </t>
  </si>
  <si>
    <t>22/10/2024 và 24/10/2024</t>
  </si>
  <si>
    <t>https://drive.google.com/open?id=1MFLJlHopJJUSJnO4NWtnKXk71-YXtJaK; https://drive.google.com/open?id=1dfVVhAP9oDqzbF0ycU9LWVNPgnNW2UIP; https://drive.google.com/open?id=1JPTOvdUbZ_xPYCc_IlNTOJen96uBuvn6</t>
  </si>
  <si>
    <t>VIP213</t>
  </si>
  <si>
    <t>Bùi Tuệ Trân</t>
  </si>
  <si>
    <t>141/28 Tôn Thất Thuyết, Phường 15, Quận 4, TpHCM</t>
  </si>
  <si>
    <t>https://drive.google.com/open?id=1kBTRxhm11Ws6Ec-KZJNbpOTh_qSFKxP-</t>
  </si>
  <si>
    <t>Hết nợ do linh động cho nợ tiền, Hồng Anh xin. Đã tính lương lần 1 lên ko gộp vào lần 1 đc</t>
  </si>
  <si>
    <t>https://www.facebook.com/lu.quan.9028?mibextid=JRoKGi</t>
  </si>
  <si>
    <t xml:space="preserve"> Lù Anh Quân </t>
  </si>
  <si>
    <t>luanhquan2k6@gmail.com</t>
  </si>
  <si>
    <t>Số nhà 37 ngõ 402 phường mĩ đình nam từ liêm hà nội ( tầng 1 là siêu thị K mart)</t>
  </si>
  <si>
    <t>https://drive.google.com/open?id=1BVH2mNzuIiFU3xcxe9iPLiGGTa8QtOc1; https://drive.google.com/open?id=1hRxXfTVnTeSvmpwwpFBNtOBAzsnorPl4</t>
  </si>
  <si>
    <r>
      <rPr>
        <sz val="12"/>
        <color theme="1"/>
        <rFont val="Times New Roman"/>
        <family val="1"/>
      </rPr>
      <t xml:space="preserve">Lại Phương Anh </t>
    </r>
    <r>
      <rPr>
        <sz val="12"/>
        <color rgb="FFFF0000"/>
        <rFont val="Times New Roman"/>
        <family val="1"/>
      </rPr>
      <t>- S5</t>
    </r>
  </si>
  <si>
    <t>P.Anh</t>
  </si>
  <si>
    <t>Hẻm 19, ngách 101, ngõ Gốc Đề, Minh Khai, Hoàng Mai</t>
  </si>
  <si>
    <t>https://drive.google.com/open?id=1GabaGrO5444KbXOgyrwTXafNH8f8J2Nw</t>
  </si>
  <si>
    <t>700+</t>
  </si>
  <si>
    <t>https://www.facebook.com/profile.php?id=100047627437775&amp;mibextid=ZbWKwL</t>
  </si>
  <si>
    <t xml:space="preserve">Nguyễn Ngọc Minh </t>
  </si>
  <si>
    <t>nguyenngocminh170904@gmail.com</t>
  </si>
  <si>
    <t>Giao Tất - Kim Sơn - Gia Lâm - HN</t>
  </si>
  <si>
    <t>https://drive.google.com/open?id=132Y2wbQFaBbMA4qVWPGXNBLwJeECy0LT</t>
  </si>
  <si>
    <t>https://www.facebook.com/panda.apink.94?mibextid=LQQJ4d</t>
  </si>
  <si>
    <t>https://drive.google.com/open?id=10Q3Dvnp1C4jwCHvSUKOg4xOCUXJYnPdk</t>
  </si>
  <si>
    <t>Đã học PT</t>
  </si>
  <si>
    <t>https://www.facebook.com/profile.php?id=100063710853967</t>
  </si>
  <si>
    <t xml:space="preserve">Hoàng Thu Hằng </t>
  </si>
  <si>
    <t xml:space="preserve"> hoangthuhang1226@gmail.com</t>
  </si>
  <si>
    <t>Chung cư the matrix one toà The Ruby</t>
  </si>
  <si>
    <t>23/10/2024 và 24/10/2024</t>
  </si>
  <si>
    <t>https://drive.google.com/open?id=1FKdsgfe_0GdczvZ5TrCN-Jei5JH4bmiW; https://drive.google.com/open?id=1Fr_0F19e45hx7jexEfw2sQUgNSTqt9Xr</t>
  </si>
  <si>
    <t>https://www.facebook.com/nguyenthithiem.nguyen.5?mibextid=ZbWKwL</t>
  </si>
  <si>
    <t xml:space="preserve">Đỗ Hải Yến </t>
  </si>
  <si>
    <t xml:space="preserve"> yendohai3005@gmail.com</t>
  </si>
  <si>
    <t>Số nhà 1A , ngách 1, ngõ 4 , đường Nguyễn Văn Linh , Xuân Hoà , Phúc Yên</t>
  </si>
  <si>
    <t>https://drive.google.com/open?id=1AJezxSSA1o0wfLzmr0UK3hfzkBI2N_ww</t>
  </si>
  <si>
    <t>https://www.facebook.com/thang.tatee.10</t>
  </si>
  <si>
    <t xml:space="preserve">Ngô Việt Thắng </t>
  </si>
  <si>
    <t>https://drive.google.com/open?id=17tOj9Rozm8l14ynP5QrSBjSC2pVb3utl; https://drive.google.com/open?id=1wemDbdqPs_QjJnjjxvD80-y_6r7QOKdw</t>
  </si>
  <si>
    <t>OPT44 nghỉ ngang buổi 7</t>
  </si>
  <si>
    <t>https://www.facebook.com/profile.php?id=100041770623495</t>
  </si>
  <si>
    <r>
      <rPr>
        <sz val="12"/>
        <color theme="1"/>
        <rFont val="Times New Roman"/>
        <family val="1"/>
      </rPr>
      <t>Vân Anh</t>
    </r>
    <r>
      <rPr>
        <sz val="12"/>
        <color rgb="FFFF0000"/>
        <rFont val="Times New Roman"/>
        <family val="1"/>
      </rPr>
      <t xml:space="preserve"> - xin nghỉ ngang buổi 7 báo bận</t>
    </r>
  </si>
  <si>
    <t>24/10/2024 và 30/10/2024</t>
  </si>
  <si>
    <t>https://drive.google.com/open?id=1Vmxs4FcAD4BWP7VnN--cayF35F4R5qRn; https://drive.google.com/open?id=1fdkbV63WW69wbJPNZUhLygk2XB5dSID5</t>
  </si>
  <si>
    <t>VIP135</t>
  </si>
  <si>
    <r>
      <rPr>
        <sz val="12"/>
        <color theme="1"/>
        <rFont val="Times New Roman"/>
        <family val="1"/>
      </rPr>
      <t xml:space="preserve">Bùi Thị Minh Anh </t>
    </r>
    <r>
      <rPr>
        <sz val="12"/>
        <color rgb="FFFF0000"/>
        <rFont val="Times New Roman"/>
        <family val="1"/>
      </rPr>
      <t>- Đã nộp 300K 11/04/25
VIP126 bảo lưu b12 đi quân sự. Học VIP135 b14</t>
    </r>
  </si>
  <si>
    <t>https://drive.google.com/open?id=1-1WvHU2O8ouOO_X_DkirhL_ntcT1iirU; https://drive.google.com/open?id=1TUHUfCZtz73V1prtJOJrYrO65Ca66qXL, https://drive.google.com/open?id=1h0y3tdxDtBiPQH5z03CvEUK0WFUH8ISs, https://drive.google.com/open?id=1mbkNiiu6WWiUyOSrjZirVT5rtxmo0I9d</t>
  </si>
  <si>
    <t>Lấy 232K thừa LV1 bù sang</t>
  </si>
  <si>
    <t>https://www.facebook.com/profile.php?id=100046082177474</t>
  </si>
  <si>
    <t>Lâm Thái Tân</t>
  </si>
  <si>
    <t>Honas Residence, 32-34 đường Bình Thung, xã Bình Thắng,  Dĩ An, Bình Dương</t>
  </si>
  <si>
    <t>https://drive.google.com/open?id=1Bp6o0OJwbdSctVPe4XjFyVy0o4JyobkN</t>
  </si>
  <si>
    <t>https://www.facebook.com/robbie.kien.26</t>
  </si>
  <si>
    <t>Đoàn Trung Kiên</t>
  </si>
  <si>
    <t>https://drive.google.com/open?id=1KNZT7L2AFQqYWkLMjaM42n8s75cy_fO1</t>
  </si>
  <si>
    <t xml:space="preserve">https://www.facebook.com/profile.php?id=100015365976285&amp;mibextid=LQQJ4d        </t>
  </si>
  <si>
    <t xml:space="preserve">Nguyễn Thị Mai Anh	</t>
  </si>
  <si>
    <t>toà J, Chung Cư Goldsilk Vạn Phúc, Vạn Phúc, Hà Đông</t>
  </si>
  <si>
    <t>https://drive.google.com/open?id=1ANzjtvwvuKRWF2M9x9OB68QWU-Rkq3_x</t>
  </si>
  <si>
    <t>https://drive.google.com/open?id=10yRXjOykigCxEkmdphFAK7HyIfGevIRj</t>
  </si>
  <si>
    <t>OPT59</t>
  </si>
  <si>
    <t>https://www.facebook.com/profile.php?id=100026706547966&amp;mibextid=LQQJ4d</t>
  </si>
  <si>
    <t>Trần Thu Hương</t>
  </si>
  <si>
    <t>tth25896@gmail.com</t>
  </si>
  <si>
    <t>Số 59,Louis 8 khu đô thị Louis hoàng văn thụ hoàng mai</t>
  </si>
  <si>
    <t>https://drive.google.com/open?id=1Cq4FXzGXj8Dxf3KZNwAAJ2n36iCkIiI9, https://drive.google.com/open?id=1s5MhsdVBsT2k0hW_0iBgig4gt3C9Hjih</t>
  </si>
  <si>
    <t>OPT60</t>
  </si>
  <si>
    <t>https://www.facebook.com/profile.php?id=100090232089274&amp;mibextid=JRoKGi</t>
  </si>
  <si>
    <r>
      <rPr>
        <sz val="12"/>
        <color theme="1"/>
        <rFont val="Times New Roman"/>
        <family val="1"/>
      </rPr>
      <t xml:space="preserve">Trà My </t>
    </r>
    <r>
      <rPr>
        <sz val="12"/>
        <color rgb="FFFF0000"/>
        <rFont val="Times New Roman"/>
        <family val="1"/>
      </rPr>
      <t>- Đã nộp 300K 17/02/2025
OPT48 bảo lưu b8 đi quân sự. Học OPT60 b1</t>
    </r>
  </si>
  <si>
    <t>https://drive.google.com/open?id=1Lo05JyMplYo0j7RorfmDmPOhRxV0l1pB, https://drive.google.com/open?id=1baH20fnXZtdIpxHIx1Ts3NgdXdVHtWpD</t>
  </si>
  <si>
    <t>https://www.facebook.com/suns.bes.161</t>
  </si>
  <si>
    <t>nguyenchee484@gmail.com</t>
  </si>
  <si>
    <t xml:space="preserve"> Hẻm 193/64/17 Phú Diễn, Bắc Từ Liêm, Hà Nội</t>
  </si>
  <si>
    <t>https://drive.google.com/open?id=1Vcl1dVsfza8lJNvkzEf0fINE7QX25keW, https://drive.google.com/open?id=1KSjx1fuLeq85EOkujRRjxCYk37SiFf9I</t>
  </si>
  <si>
    <t xml:space="preserve">Phạm Thị Thuỳ Linh </t>
  </si>
  <si>
    <t>https://drive.google.com/open?id=1rMK5VWQsIZJbN4TDxcP8yKbtmWWBytQj</t>
  </si>
  <si>
    <t>https://www.facebook.com/thytrmnek</t>
  </si>
  <si>
    <t>Nguyễn Thị Thuỳ Trâm</t>
  </si>
  <si>
    <t>nguyenthuytram607@gmail.com</t>
  </si>
  <si>
    <t>Số 151, Lý Thường Kiệt, Thôn 1, Xã Phù Vân, Thành Phố Phủ Lý, Hà Nam</t>
  </si>
  <si>
    <t>https://drive.google.com/open?id=1Qdha69kP4tylctWHsURe2feF4v-a2wjQ</t>
  </si>
  <si>
    <t xml:space="preserve">Phạm Linh </t>
  </si>
  <si>
    <t xml:space="preserve"> 98 phai vệ, phường đông kinh, tp lạng sơn </t>
  </si>
  <si>
    <t>https://drive.google.com/open?id=1h55qhIW23Z0kNxLCBW_QYgxleQi4BV1L</t>
  </si>
  <si>
    <t>đã pass lớp PT</t>
  </si>
  <si>
    <t>https://www.facebook.com/hoangminhanhh171</t>
  </si>
  <si>
    <t>Hoàng Thị Minh Ánh</t>
  </si>
  <si>
    <t>https://drive.google.com/open?id=1qN2d_ugVptBJZJT4zqEl_w8lKygWARhL</t>
  </si>
  <si>
    <t>https://www.facebook.com/profile.php?id=100058455973431&amp;mibextid=LQQJ4d</t>
  </si>
  <si>
    <t xml:space="preserve">Trần Tiến Cường </t>
  </si>
  <si>
    <t xml:space="preserve"> Trantiencuong206@gmail.com </t>
  </si>
  <si>
    <t xml:space="preserve">Siêu Nghệ Nhật Tựu Kim Bảng Hà Nam </t>
  </si>
  <si>
    <t>https://drive.google.com/open?id=1Fm8orPwD-cSIxk6atHmmyicNc8SUDApi; https://drive.google.com/open?id=1a2AWrhrymiLbdCtxeJ-G-BdTIwNF65SD</t>
  </si>
  <si>
    <t>https://www.facebook.com/Minhtamm.2807?mibextid=LQQJ4d</t>
  </si>
  <si>
    <t xml:space="preserve">Đào Minh Tâm </t>
  </si>
  <si>
    <t>https://drive.google.com/open?id=1bhNcVd4c8bgJelj_zKFFraeNX3ROb8Oo</t>
  </si>
  <si>
    <t>https://www.facebook.com/profile.php?id=100049382973451&amp;mibextid=LQQJ4d</t>
  </si>
  <si>
    <r>
      <rPr>
        <sz val="12"/>
        <color theme="1"/>
        <rFont val="Times New Roman"/>
        <family val="1"/>
      </rPr>
      <t xml:space="preserve">Phùng Tiến Dũng </t>
    </r>
    <r>
      <rPr>
        <sz val="12"/>
        <color rgb="FFFF0000"/>
        <rFont val="Times New Roman"/>
        <family val="1"/>
      </rPr>
      <t>- đã nộp 300K 04/11/2024
PT149 bảo lưu b2, Học PT152 b1</t>
    </r>
  </si>
  <si>
    <t>phungtiendung110@gmail.com</t>
  </si>
  <si>
    <t xml:space="preserve">số 9-ngõ giữa-xuân áp-tân dân-sóc sơn-hà nội </t>
  </si>
  <si>
    <t>https://drive.google.com/open?id=1dGEePSjSB7gsG9anJY0hMZW6BGPzk4by</t>
  </si>
  <si>
    <t>https://www.facebook.com/profile.php?id=100055243727157&amp;mibextid=LQQJ4d</t>
  </si>
  <si>
    <t>Chu Văn Đạt</t>
  </si>
  <si>
    <t>Địa chỉ : Thôn 1, Phù Vân, Phủ Lý, Hà Nam</t>
  </si>
  <si>
    <t>https://drive.google.com/open?id=1mNRyNqB5QgXs_8h4IQ1T-d7jz1YCiTBm</t>
  </si>
  <si>
    <t>https://www.facebook.com/profile.php?id=100027170370012</t>
  </si>
  <si>
    <r>
      <rPr>
        <sz val="12"/>
        <color theme="1"/>
        <rFont val="Times New Roman"/>
        <family val="1"/>
      </rPr>
      <t xml:space="preserve">Lê Ánh Bình Minh </t>
    </r>
    <r>
      <rPr>
        <sz val="12"/>
        <color rgb="FFFF0000"/>
        <rFont val="Times New Roman"/>
        <family val="1"/>
      </rPr>
      <t>- Minh Ánh</t>
    </r>
  </si>
  <si>
    <t xml:space="preserve"> Leanhbinhminh204@gmail.com</t>
  </si>
  <si>
    <t>https://drive.google.com/open?id=1ej0pLxN8E00DWNC2VogXY5Z9-DEBWK9k, https://drive.google.com/open?id=1W9RCP200-UEC6mSzZKZKoH7VvCZRxzwc</t>
  </si>
  <si>
    <t>nhà số 2 hẻm 14 ngách 90 ngõ 180 nam dư lĩnh nam hoàng mai hà nội</t>
  </si>
  <si>
    <t>https://drive.google.com/open?id=1bYbCy3r3xpr0TV4ApnrW_7JVftJ5XsOI</t>
  </si>
  <si>
    <t>https://www.facebook.com/profile.php?id=100052948995137</t>
  </si>
  <si>
    <t>Trần Thị Tuyết Mai</t>
  </si>
  <si>
    <t>leosoocute@gmail.com</t>
  </si>
  <si>
    <t xml:space="preserve"> toà A12 ktx đh sư phạm HN- ngõ 199 Trần Quốc Hoàn </t>
  </si>
  <si>
    <t>https://drive.google.com/open?id=1TT6aFdahWwVgETwb-WwP2ofDx96U2owr</t>
  </si>
  <si>
    <t>https://www.facebook.com/lee.xunhuongw589?mibextid=LQQJ4d</t>
  </si>
  <si>
    <t>285B Đào Sư Tích, xã Phước Lộc, huyện Nhà bè, TP. HCM</t>
  </si>
  <si>
    <t>https://drive.google.com/open?id=1Go2TbPof5UmlfZa78A1QtvyogA7YavPg</t>
  </si>
  <si>
    <t>https://www.facebook.com/profile.php?id=100024672163796</t>
  </si>
  <si>
    <t xml:space="preserve">Phạm Xuân Hương </t>
  </si>
  <si>
    <t>Ngách 2/175, đường phú viên,tổ 8 lê hồng phong, phủ lý, hà nam</t>
  </si>
  <si>
    <t>https://drive.google.com/open?id=1y27_qsHRFj0tvo5_-0yjBbkI-0os9Ksu</t>
  </si>
  <si>
    <t>https://www.facebook.com/profile.php?id=100070239281449</t>
  </si>
  <si>
    <t>Lê Vũ Tuyết Nhung</t>
  </si>
  <si>
    <t>Phạm</t>
  </si>
  <si>
    <t>eirainlovewtn@gmail.com</t>
  </si>
  <si>
    <t>Số nhà 20 ngõ 2 cây xăng 39 thôn 3, Thạch Hòa, Thạch Thất, HN</t>
  </si>
  <si>
    <t>https://drive.google.com/open?id=1NZX5lwtSc1n-pXewD4cyzLStnLak6nSi</t>
  </si>
  <si>
    <t>https://www.facebook.com/Cogaisiucutezadangiu?mibextid=ZbWKwL</t>
  </si>
  <si>
    <t xml:space="preserve"> Hoàng Thị Kim Oanh</t>
  </si>
  <si>
    <t>HẠNH</t>
  </si>
  <si>
    <t xml:space="preserve">htkohoangoanh@gmail.com </t>
  </si>
  <si>
    <t>Kí túc xá Học Viện Tài Chính, Bắc Từ Liêm, Hà Nội</t>
  </si>
  <si>
    <t>https://drive.google.com/open?id=1MfYCLaMkA2Fsl1BTTyBFYXP3KrrIa-5B</t>
  </si>
  <si>
    <t>https://www.facebook.com/ngan.hoanghieu.96?mibextid=LQQJ4d</t>
  </si>
  <si>
    <t xml:space="preserve">Hoàng Hiếu Ngân </t>
  </si>
  <si>
    <t>nganhoang7053@gmail.com</t>
  </si>
  <si>
    <t>https://drive.google.com/open?id=11nSPoYg0BNQYkpk5DvpSzUG97I8pgK4m</t>
  </si>
  <si>
    <r>
      <rPr>
        <sz val="12"/>
        <color theme="1"/>
        <rFont val="Times New Roman"/>
        <family val="1"/>
      </rPr>
      <t xml:space="preserve">Nguyễn Hương Giang </t>
    </r>
    <r>
      <rPr>
        <sz val="12"/>
        <color rgb="FFFF0000"/>
        <rFont val="Times New Roman"/>
        <family val="1"/>
      </rPr>
      <t>- OT35</t>
    </r>
  </si>
  <si>
    <t>https://drive.google.com/open?id=1bgqM58VruUMU-ZMdgf3DsWRh--rWfnzA</t>
  </si>
  <si>
    <t>https://www.facebook.com/huong.tranthithu.5454021</t>
  </si>
  <si>
    <t xml:space="preserve">Trần Thu Hương  </t>
  </si>
  <si>
    <t>Mat</t>
  </si>
  <si>
    <t>https://drive.google.com/open?id=1xZxXP7y9Go9WiZy5-XJouT3Yhtw2QDbh</t>
  </si>
  <si>
    <t xml:space="preserve">Nguyễn Thị Thanh Tình </t>
  </si>
  <si>
    <t>https://www.facebook.com/profile.php?id=100084193863918&amp;mibextid=ZbWKwL</t>
  </si>
  <si>
    <r>
      <rPr>
        <sz val="12"/>
        <color theme="1"/>
        <rFont val="Times New Roman"/>
        <family val="1"/>
      </rPr>
      <t>Nguyễn Quỳnh Trang</t>
    </r>
    <r>
      <rPr>
        <sz val="12"/>
        <color rgb="FFFF0000"/>
        <rFont val="Times New Roman"/>
        <family val="1"/>
      </rPr>
      <t xml:space="preserve"> - đã nộp 300K 01/12/24</t>
    </r>
    <r>
      <rPr>
        <sz val="12"/>
        <color theme="1"/>
        <rFont val="Times New Roman"/>
        <family val="1"/>
      </rPr>
      <t xml:space="preserve">
</t>
    </r>
    <r>
      <rPr>
        <sz val="12"/>
        <color rgb="FFFF0000"/>
        <rFont val="Times New Roman"/>
        <family val="1"/>
      </rPr>
      <t>OT36 học 7 buổi. Sang T263 học online</t>
    </r>
  </si>
  <si>
    <t>18/10/2024 và 23/11/2024</t>
  </si>
  <si>
    <t>https://drive.google.com/open?id=1J_fOYVTFB03YTVVhj8pIr-U2GKEJRsef; https://drive.google.com/open?id=1IhCDLA1SUI0U5NpCMdXe1wOl1lXTUBBo; https://drive.google.com/open?id=1j_73YmkuBHraKi20sEd4xbW5_Cp-N6T_</t>
  </si>
  <si>
    <t>Quân chuẩn bị tài liệu</t>
  </si>
  <si>
    <t>Đã hỏi HV nói Quân đưa sách</t>
  </si>
  <si>
    <t xml:space="preserve">Hoàng Thị Thanh Thuỷ </t>
  </si>
  <si>
    <r>
      <rPr>
        <sz val="12"/>
        <color theme="1"/>
        <rFont val="Times New Roman"/>
        <family val="1"/>
      </rPr>
      <t>Phạm Thị Thân Thương</t>
    </r>
    <r>
      <rPr>
        <sz val="12"/>
        <color rgb="FFFF0000"/>
        <rFont val="Times New Roman"/>
        <family val="1"/>
      </rPr>
      <t xml:space="preserve"> - đã nộp 300K 26/03/2025
T268 bảo lưu b17. Học T303 miễn phí từ buổi 1</t>
    </r>
  </si>
  <si>
    <t>số nhà 12, ngách 33, ngõ 105, đường Doãn Kế Thiện, phường Mai Dịch, Quận Cầu giấy, Hà Nội</t>
  </si>
  <si>
    <t>số 96a đường số 79 phường Tân Quy quận 7 tpHCM</t>
  </si>
  <si>
    <r>
      <rPr>
        <sz val="12"/>
        <color theme="1"/>
        <rFont val="Times New Roman"/>
        <family val="1"/>
      </rPr>
      <t xml:space="preserve">Phạm Phương Nga </t>
    </r>
    <r>
      <rPr>
        <sz val="12"/>
        <color rgb="FFFF0000"/>
        <rFont val="Times New Roman"/>
        <family val="1"/>
      </rPr>
      <t xml:space="preserve">- đã nộp 300K 05/03/2025
T270 bảo lưu b10 đi quân sự. Học T292 b5
</t>
    </r>
    <r>
      <rPr>
        <sz val="12"/>
        <color theme="1"/>
        <rFont val="Times New Roman"/>
        <family val="1"/>
      </rPr>
      <t>100K mua sách 07/03/2025</t>
    </r>
  </si>
  <si>
    <t>Cổng phụ đại học công nghiệp cơ sở 3,  Lê Hồng Phong,Phủ Lý, Hà Nam</t>
  </si>
  <si>
    <t>18/11/2024 sách cũ</t>
  </si>
  <si>
    <r>
      <rPr>
        <sz val="12"/>
        <color theme="1"/>
        <rFont val="Times New Roman"/>
        <family val="1"/>
      </rPr>
      <t>Vũ Thị Hà</t>
    </r>
    <r>
      <rPr>
        <sz val="12"/>
        <color rgb="FFFF0000"/>
        <rFont val="Times New Roman"/>
        <family val="1"/>
      </rPr>
      <t xml:space="preserve"> - 398942150 số zalo  - 332547972 sđt cũ</t>
    </r>
  </si>
  <si>
    <r>
      <rPr>
        <sz val="12"/>
        <color theme="1"/>
        <rFont val="Times New Roman"/>
        <family val="1"/>
      </rPr>
      <t>Huỳnh Trung Tiến</t>
    </r>
    <r>
      <rPr>
        <sz val="12"/>
        <color rgb="FFFF0000"/>
        <rFont val="Times New Roman"/>
        <family val="1"/>
      </rPr>
      <t xml:space="preserve"> - T266</t>
    </r>
  </si>
  <si>
    <t>Vũ Thị Hà Anh</t>
  </si>
  <si>
    <t>Số 5, ngách 119/38/32, Cổ Nhuế, Bắc Từ Liêm, Hà Nội</t>
  </si>
  <si>
    <t>VIP158 học 3 buổi. nghỉ 9 buổi ko phép</t>
  </si>
  <si>
    <r>
      <rPr>
        <sz val="12"/>
        <color theme="1"/>
        <rFont val="Times New Roman"/>
        <family val="1"/>
      </rPr>
      <t>Lê Hải Hà</t>
    </r>
    <r>
      <rPr>
        <sz val="12"/>
        <color rgb="FFFF0000"/>
        <rFont val="Times New Roman"/>
        <family val="1"/>
      </rPr>
      <t xml:space="preserve"> - Chưa nộp 300K
VIP119 bảo lưu buổi 3 do bận. Học VIP158 b1</t>
    </r>
  </si>
  <si>
    <t>Nhà số 5B, Ngách 29 Ngõ 85 Xuân Thuỷ, Cầu Giấy, Hà Nội</t>
  </si>
  <si>
    <t>S20</t>
  </si>
  <si>
    <r>
      <rPr>
        <sz val="12"/>
        <color theme="1"/>
        <rFont val="Times New Roman"/>
        <family val="1"/>
      </rPr>
      <t>Đỗ Thị Trà My</t>
    </r>
    <r>
      <rPr>
        <sz val="12"/>
        <color rgb="FFFF0000"/>
        <rFont val="Times New Roman"/>
        <family val="1"/>
      </rPr>
      <t xml:space="preserve"> - chưa nộp 300K
S7 bảo lưu b8 chưa xác định đc mục tiêu. Học S20 b1</t>
    </r>
  </si>
  <si>
    <t>Lã Hoàng Long</t>
  </si>
  <si>
    <t>T305</t>
  </si>
  <si>
    <r>
      <rPr>
        <sz val="12"/>
        <color theme="1"/>
        <rFont val="Times New Roman"/>
        <family val="1"/>
      </rPr>
      <t>Nguyễn Bá Đại Dương</t>
    </r>
    <r>
      <rPr>
        <sz val="12"/>
        <color rgb="FFFF0000"/>
        <rFont val="Times New Roman"/>
        <family val="1"/>
      </rPr>
      <t xml:space="preserve"> - Đã nộp 300K 10/01/2025
OT37 bảo lưu b15. Học T305 từ buổi 1</t>
    </r>
  </si>
  <si>
    <r>
      <rPr>
        <sz val="12"/>
        <color theme="1"/>
        <rFont val="Times New Roman"/>
        <family val="1"/>
      </rPr>
      <t xml:space="preserve">Nguyễn Thị Ngọc Bích </t>
    </r>
    <r>
      <rPr>
        <sz val="12"/>
        <color rgb="FFFF0000"/>
        <rFont val="Times New Roman"/>
        <family val="1"/>
      </rPr>
      <t>- 364100538 số cũ
Học lại miễn phí. Chưa đạt đầu ra</t>
    </r>
  </si>
  <si>
    <r>
      <rPr>
        <sz val="12"/>
        <color theme="1"/>
        <rFont val="Times New Roman"/>
        <family val="1"/>
      </rPr>
      <t>Đỗ Đức Thành</t>
    </r>
    <r>
      <rPr>
        <sz val="12"/>
        <color rgb="FFFF0000"/>
        <rFont val="Times New Roman"/>
        <family val="1"/>
      </rPr>
      <t xml:space="preserve"> - 865933717</t>
    </r>
  </si>
  <si>
    <t>OT65</t>
  </si>
  <si>
    <r>
      <rPr>
        <sz val="12"/>
        <color theme="1"/>
        <rFont val="Times New Roman"/>
        <family val="1"/>
      </rPr>
      <t>Vũ Nam Bình</t>
    </r>
    <r>
      <rPr>
        <sz val="12"/>
        <color rgb="FFFF0000"/>
        <rFont val="Times New Roman"/>
        <family val="1"/>
      </rPr>
      <t xml:space="preserve"> - nick Ngọc Lam - đã nộp 400K 08/04/25</t>
    </r>
    <r>
      <rPr>
        <sz val="12"/>
        <color theme="1"/>
        <rFont val="Times New Roman"/>
        <family val="1"/>
      </rPr>
      <t xml:space="preserve">
</t>
    </r>
    <r>
      <rPr>
        <sz val="12"/>
        <color rgb="FFFF0000"/>
        <rFont val="Times New Roman"/>
        <family val="1"/>
      </rPr>
      <t>OT39 bảo lưu b17 đi quân sự. Học OT65 b2 miễn phí</t>
    </r>
  </si>
  <si>
    <t>Ship sách mới xuống lớp</t>
  </si>
  <si>
    <t>https://www.facebook.com/crishoang10a2?mibextid=LQQJ4d</t>
  </si>
  <si>
    <t>Nguyễn Vũ Hoàng</t>
  </si>
  <si>
    <t>https://drive.google.com/open?id=1aa3NE7KeR-AK0NqTi-kCqcdHdprGiTKT; https://drive.google.com/open?id=1DT2P2EDUZu9k43GhpKVE3DrWTOGxwO8H; https://drive.google.com/open?id=1jVlc8WJ9eahm9V84IoJVg_Wu2XYCGhlq</t>
  </si>
  <si>
    <r>
      <rPr>
        <sz val="12"/>
        <color theme="1"/>
        <rFont val="Times New Roman"/>
        <family val="1"/>
      </rPr>
      <t>Ngô Thị Xuân Thương</t>
    </r>
    <r>
      <rPr>
        <sz val="12"/>
        <color rgb="FFFF0000"/>
        <rFont val="Times New Roman"/>
        <family val="1"/>
      </rPr>
      <t xml:space="preserve"> - học lại miễn phí</t>
    </r>
  </si>
  <si>
    <r>
      <rPr>
        <sz val="12"/>
        <color theme="1"/>
        <rFont val="Times New Roman"/>
        <family val="1"/>
      </rPr>
      <t>Nguyễn Trần Vân Anh</t>
    </r>
    <r>
      <rPr>
        <sz val="12"/>
        <color rgb="FFFF0000"/>
        <rFont val="Times New Roman"/>
        <family val="1"/>
      </rPr>
      <t xml:space="preserve"> </t>
    </r>
  </si>
  <si>
    <t>https://www.facebook.com/profile.php?id=100041531311982</t>
  </si>
  <si>
    <t>Lê Thanh Tùng</t>
  </si>
  <si>
    <t>Đại học công nghiệp Hà Nội, cơ sở 3, Phù Vân, Phủ Lý, Hà Nam</t>
  </si>
  <si>
    <t>https://drive.google.com/open?id=1GfdgwJzQS_KFWwS-2sZcdkSjEm43dWXx; https://drive.google.com/open?id=1nx4pQ0qK_ywmWxv3RM9Nis3zojpxUZY-</t>
  </si>
  <si>
    <r>
      <rPr>
        <sz val="12"/>
        <color theme="1"/>
        <rFont val="Times New Roman"/>
        <family val="1"/>
      </rPr>
      <t>Nguyễn Khánh Phong</t>
    </r>
    <r>
      <rPr>
        <sz val="12"/>
        <color rgb="FFFF0000"/>
        <rFont val="Times New Roman"/>
        <family val="1"/>
      </rPr>
      <t xml:space="preserve"> </t>
    </r>
  </si>
  <si>
    <t>ố nhà 20 trước UBND xã Thạch Hoà huyện Thạch Thất Hà Nội</t>
  </si>
  <si>
    <t>VIP130</t>
  </si>
  <si>
    <r>
      <rPr>
        <sz val="12"/>
        <color theme="1"/>
        <rFont val="Times New Roman"/>
        <family val="1"/>
      </rPr>
      <t>Trịnh Thị Phương Anh</t>
    </r>
    <r>
      <rPr>
        <sz val="12"/>
        <color rgb="FFFF0000"/>
        <rFont val="Times New Roman"/>
        <family val="1"/>
      </rPr>
      <t xml:space="preserve"> - Đã nộp 300K 08/02/2025
VIP119 bảo lưu b2 ko sắp xếp đc.Học VIP130 buổi 1</t>
    </r>
  </si>
  <si>
    <t xml:space="preserve">Đào Duy Tuấn </t>
  </si>
  <si>
    <t xml:space="preserve">Nguyễn Xuân Hoàng </t>
  </si>
  <si>
    <t>số 6 ngõ 277, đường phú diễn, quận bắc từ liêm, hà nội</t>
  </si>
  <si>
    <t>T273</t>
  </si>
  <si>
    <r>
      <rPr>
        <sz val="12"/>
        <color theme="1"/>
        <rFont val="Times New Roman"/>
        <family val="1"/>
      </rPr>
      <t>Nguyễn Thị Thanh Hồng</t>
    </r>
    <r>
      <rPr>
        <sz val="12"/>
        <color rgb="FFFF0000"/>
        <rFont val="Times New Roman"/>
        <family val="1"/>
      </rPr>
      <t xml:space="preserve"> </t>
    </r>
  </si>
  <si>
    <r>
      <rPr>
        <sz val="12"/>
        <color theme="1"/>
        <rFont val="Times New Roman"/>
        <family val="1"/>
      </rPr>
      <t>Bùi Trung Nguyên</t>
    </r>
    <r>
      <rPr>
        <sz val="12"/>
        <color rgb="FFFF0000"/>
        <rFont val="Times New Roman"/>
        <family val="1"/>
      </rPr>
      <t xml:space="preserve"> - Thainguyen Bui</t>
    </r>
  </si>
  <si>
    <t xml:space="preserve">Đỗ Thị Thu Huyền </t>
  </si>
  <si>
    <t>xóm Soi, Bạch Trữ, Tiến Thắng, Mê Linh, HN</t>
  </si>
  <si>
    <t>OT50</t>
  </si>
  <si>
    <r>
      <rPr>
        <sz val="12"/>
        <color theme="1"/>
        <rFont val="Times New Roman"/>
        <family val="1"/>
      </rPr>
      <t>Nguyễn Ngọc Huyền</t>
    </r>
    <r>
      <rPr>
        <sz val="12"/>
        <color rgb="FFFF0000"/>
        <rFont val="Times New Roman"/>
        <family val="1"/>
      </rPr>
      <t xml:space="preserve"> - T273</t>
    </r>
  </si>
  <si>
    <t>Số 163 đường sông Nhuệ, phường Đức Thắng, quận Bắc Từ Liêm, TP.Hà Nội</t>
  </si>
  <si>
    <r>
      <rPr>
        <sz val="12"/>
        <color theme="1"/>
        <rFont val="Times New Roman"/>
        <family val="1"/>
      </rPr>
      <t>Nguyễn Phương Thảo</t>
    </r>
    <r>
      <rPr>
        <sz val="12"/>
        <color rgb="FFFF0000"/>
        <rFont val="Times New Roman"/>
        <family val="1"/>
      </rPr>
      <t xml:space="preserve"> - T273</t>
    </r>
  </si>
  <si>
    <t>https://www.facebook.com/profile.php?id=100034612563053</t>
  </si>
  <si>
    <t xml:space="preserve">Nguyễn Thị Hương Trà   </t>
  </si>
  <si>
    <t xml:space="preserve">huongtranguyen96@gmail.com         </t>
  </si>
  <si>
    <t xml:space="preserve">đình làng an phú 2 xã quỳnh hải huyện quỳnh phụ tỉnh thái bình                      </t>
  </si>
  <si>
    <t>18/09/2024 và 24/09/2024</t>
  </si>
  <si>
    <t>https://drive.google.com/open?id=1g_Oaifb4xzuYp0syyMuyfafsqiTX-aR-; https://drive.google.com/open?id=1FJUz51Rn3B8S0Iy_VXmu8gyjyaGtqR_l; https://drive.google.com/open?id=1nt3m6G_5NE6vZufAIPk-PiMrNzDcsyFY</t>
  </si>
  <si>
    <r>
      <rPr>
        <sz val="12"/>
        <color theme="1"/>
        <rFont val="Times New Roman"/>
        <family val="1"/>
      </rPr>
      <t xml:space="preserve">Lừ Quỳnh Châu </t>
    </r>
    <r>
      <rPr>
        <sz val="12"/>
        <color rgb="FFFF0000"/>
        <rFont val="Times New Roman"/>
        <family val="1"/>
      </rPr>
      <t>- Đã nộp 300K 08/04/2025</t>
    </r>
    <r>
      <rPr>
        <sz val="12"/>
        <color theme="1"/>
        <rFont val="Times New Roman"/>
        <family val="1"/>
      </rPr>
      <t xml:space="preserve">
</t>
    </r>
    <r>
      <rPr>
        <sz val="12"/>
        <color rgb="FFFF0000"/>
        <rFont val="Times New Roman"/>
        <family val="1"/>
      </rPr>
      <t>T272 bảo lưu b16 đi quân sự. Học T287 buổi 17</t>
    </r>
  </si>
  <si>
    <t xml:space="preserve"> Số 22 ngõ 172/76 Phú Diễn, Bắc Từ Liêm, Hà Nộ</t>
  </si>
  <si>
    <t>T272 bảo lưu b15 đi quân sự</t>
  </si>
  <si>
    <r>
      <rPr>
        <sz val="12"/>
        <color theme="1"/>
        <rFont val="Times New Roman"/>
        <family val="1"/>
      </rPr>
      <t xml:space="preserve"> Lê Võ Nhã Uyên</t>
    </r>
    <r>
      <rPr>
        <sz val="12"/>
        <color rgb="FFFF0000"/>
        <rFont val="Times New Roman"/>
        <family val="1"/>
      </rPr>
      <t xml:space="preserve"> - Chưa nộp 300K. Bỏ ko học nữa
T272 bảo lưu b15 đi quân sự. Học T300 b7 =&gt; Ko vào học</t>
    </r>
  </si>
  <si>
    <t>251/5/4 Lê Quang Định, Phường 7, Bình Thạnh, TP HCM</t>
  </si>
  <si>
    <t>Số 26 ngõ 100 phố Đông Thiên Vĩnh Hưng Hoàng Mai Hà Nội</t>
  </si>
  <si>
    <t>số 92, ngõ 1, Văn Hội, Đức Thắng, Bắc Từ Liêm</t>
  </si>
  <si>
    <t>OPT29, OPT37</t>
  </si>
  <si>
    <r>
      <rPr>
        <sz val="12"/>
        <color theme="1"/>
        <rFont val="Times New Roman"/>
        <family val="1"/>
      </rPr>
      <t xml:space="preserve">Vũ Phùng Quang Huy </t>
    </r>
    <r>
      <rPr>
        <sz val="12"/>
        <color rgb="FFFF0000"/>
        <rFont val="Times New Roman"/>
        <family val="1"/>
      </rPr>
      <t>- đã nộp 300K 03/12/2024
OPT37 bảo lưu buổi 8. Học OPT51 b5</t>
    </r>
  </si>
  <si>
    <t>28 ngách 20/15 Hồ Tùng Mậu, Mai Dịch, Cầu Giấy</t>
  </si>
  <si>
    <t>OT51</t>
  </si>
  <si>
    <t>Sách gửi Khánh</t>
  </si>
  <si>
    <t>Ngõ 56, An Đào C, Gia Lâm, Hà Nội</t>
  </si>
  <si>
    <t>31/7 Văn Hội Đức Thắng Bắc Từ Liêm Hà Nội</t>
  </si>
  <si>
    <t xml:space="preserve">Nguyễn Hoàng Xuân Trà </t>
  </si>
  <si>
    <t>Số 271, ngõ 65 Đản Dị, xã Uy Nỗ, Huyện Đông Anh, Hà Nội</t>
  </si>
  <si>
    <t xml:space="preserve">Đỗ Minh Huyền </t>
  </si>
  <si>
    <t>18a 79/40 Dương Quảng Hàm, Quan Hoa, Cầu Giấy , Hà Nội</t>
  </si>
  <si>
    <r>
      <rPr>
        <sz val="12"/>
        <color theme="1"/>
        <rFont val="Times New Roman"/>
        <family val="1"/>
      </rPr>
      <t>Vũ Thị Thắm</t>
    </r>
    <r>
      <rPr>
        <sz val="12"/>
        <color rgb="FFFF0000"/>
        <rFont val="Times New Roman"/>
        <family val="1"/>
      </rPr>
      <t xml:space="preserve"> </t>
    </r>
  </si>
  <si>
    <t>5A, Ngách 256/15 Xuân Đỉnh , Bắc Từ Liêm ,Hà Nội</t>
  </si>
  <si>
    <t xml:space="preserve">Nguyễn Trung Hiếu </t>
  </si>
  <si>
    <t>VIP121</t>
  </si>
  <si>
    <r>
      <rPr>
        <sz val="12"/>
        <color theme="1"/>
        <rFont val="Times New Roman"/>
        <family val="1"/>
      </rPr>
      <t>Phạm Thị Thu Chang</t>
    </r>
    <r>
      <rPr>
        <sz val="12"/>
        <color rgb="FFFF0000"/>
        <rFont val="Times New Roman"/>
        <family val="1"/>
      </rPr>
      <t xml:space="preserve">
VIP119 phá lớp b17. Học VIP121 b16</t>
    </r>
  </si>
  <si>
    <t>nhà 17 ngõ 401/99 xuân đỉnh, bắc từ liêm, hà nội</t>
  </si>
  <si>
    <t>Hà Ngọc Nhi</t>
  </si>
  <si>
    <t>17 ngách 119 ngõ 68, Quan Hoa, Cầu Giấy, Hà Nội</t>
  </si>
  <si>
    <t>T302</t>
  </si>
  <si>
    <r>
      <rPr>
        <sz val="12"/>
        <color theme="1"/>
        <rFont val="Times New Roman"/>
        <family val="1"/>
      </rPr>
      <t xml:space="preserve">Đinh Văn Kiên </t>
    </r>
    <r>
      <rPr>
        <sz val="12"/>
        <color rgb="FFFF0000"/>
        <rFont val="Times New Roman"/>
        <family val="1"/>
      </rPr>
      <t>0382355206 số cũ - Đã nộp 300K 20/03/2025
T270 bảo lưu b9 đi quân sự. Học T302 b1</t>
    </r>
  </si>
  <si>
    <t>Ngõ 114 Đường Lý Thường Kiệt, Thôn 1, Xã Phù Vân, Thành Phố Phủ Lý, Hà Nam</t>
  </si>
  <si>
    <t>T307</t>
  </si>
  <si>
    <r>
      <rPr>
        <sz val="12"/>
        <color theme="1"/>
        <rFont val="Times New Roman"/>
        <family val="1"/>
      </rPr>
      <t xml:space="preserve">Hà Vy </t>
    </r>
    <r>
      <rPr>
        <sz val="12"/>
        <color rgb="FFFF0000"/>
        <rFont val="Times New Roman"/>
        <family val="1"/>
      </rPr>
      <t>- T273. Đã nộp 300K 02/06/2025
T270 bảo lưu b14 đi quân sự. Học T307 b10</t>
    </r>
  </si>
  <si>
    <t>Số 5 hẻm 6 ngách 43 ngõ 22 phố lụa vạn phúc hà đông hà nội</t>
  </si>
  <si>
    <r>
      <rPr>
        <sz val="12"/>
        <color theme="1"/>
        <rFont val="Times New Roman"/>
        <family val="1"/>
      </rPr>
      <t xml:space="preserve">Cù Quốc Huy Hoàng </t>
    </r>
    <r>
      <rPr>
        <sz val="12"/>
        <color rgb="FFFF0000"/>
        <rFont val="Times New Roman"/>
        <family val="1"/>
      </rPr>
      <t>- T273 - đã nộp 300K 03/06/25
T270 bảo lưu b14 đi quân sự. Học T307 b10</t>
    </r>
  </si>
  <si>
    <t>Số Nhà 6a, Ngách 63/75/18 Lê Đức Thọ, Mĩ Đình 2, Nam Từ Liêm , Hà Nội</t>
  </si>
  <si>
    <r>
      <rPr>
        <sz val="12"/>
        <color theme="1"/>
        <rFont val="Times New Roman"/>
        <family val="1"/>
      </rPr>
      <t xml:space="preserve">Nguyễn Thị Ngọc Anh </t>
    </r>
    <r>
      <rPr>
        <sz val="12"/>
        <color rgb="FFFF0000"/>
        <rFont val="Times New Roman"/>
        <family val="1"/>
      </rPr>
      <t>- VIP119</t>
    </r>
  </si>
  <si>
    <t>ngõ 92, Nguyên Xá, Minh Khai, Bắc Từ Liêm, Hà Nội</t>
  </si>
  <si>
    <r>
      <rPr>
        <sz val="12"/>
        <color theme="1"/>
        <rFont val="Times New Roman"/>
        <family val="1"/>
      </rPr>
      <t>Đinh Văn Hiến</t>
    </r>
    <r>
      <rPr>
        <sz val="12"/>
        <color rgb="FFFF0000"/>
        <rFont val="Times New Roman"/>
        <family val="1"/>
      </rPr>
      <t xml:space="preserve"> </t>
    </r>
  </si>
  <si>
    <t>58/23/33 Trần Bình, mai dịch , cầu giấy hà nội</t>
  </si>
  <si>
    <t>P128, GR17, GR18</t>
  </si>
  <si>
    <t>PT154</t>
  </si>
  <si>
    <t>https://www.facebook.com/profile.php?id=100076461165323</t>
  </si>
  <si>
    <r>
      <rPr>
        <sz val="12"/>
        <color theme="1"/>
        <rFont val="Times New Roman"/>
        <family val="1"/>
      </rPr>
      <t>Nguyễn Thị Trang</t>
    </r>
    <r>
      <rPr>
        <sz val="12"/>
        <color rgb="FFFF0000"/>
        <rFont val="Times New Roman"/>
        <family val="1"/>
      </rPr>
      <t xml:space="preserve"> - P128, GR17, GR18
Đổi E3 học PT</t>
    </r>
  </si>
  <si>
    <t>222 Nguyễn Văn Tuyết, Trung Liệt, Đống Đa, Hà Nội</t>
  </si>
  <si>
    <t>https://drive.google.com/open?id=1rPPFvSJUvksi5jv2G4brZ5A5m17JPRz5</t>
  </si>
  <si>
    <t>Số 9A ngách 7 ngõ 39 Hồ Tùng Mậu, Mai Dịch, Cầu Giấy</t>
  </si>
  <si>
    <r>
      <rPr>
        <sz val="12"/>
        <color theme="1"/>
        <rFont val="Times New Roman"/>
        <family val="1"/>
      </rPr>
      <t>Đỗ Vũ Mai Linh</t>
    </r>
    <r>
      <rPr>
        <sz val="12"/>
        <color rgb="FFFF0000"/>
        <rFont val="Times New Roman"/>
        <family val="1"/>
      </rPr>
      <t xml:space="preserve"> </t>
    </r>
  </si>
  <si>
    <t>https://www.facebook.com/baoanh.157206</t>
  </si>
  <si>
    <r>
      <rPr>
        <sz val="12"/>
        <color theme="1"/>
        <rFont val="Times New Roman"/>
        <family val="1"/>
      </rPr>
      <t>Nguyễn Bảo Anh</t>
    </r>
    <r>
      <rPr>
        <sz val="12"/>
        <color rgb="FFFF0000"/>
        <rFont val="Times New Roman"/>
        <family val="1"/>
      </rPr>
      <t xml:space="preserve"> - Bảo Em</t>
    </r>
  </si>
  <si>
    <t>bagdzgaming@gmail.com</t>
  </si>
  <si>
    <t>03/08/2024 và 27/09/2024</t>
  </si>
  <si>
    <t>https://drive.google.com/open?id=1uYNkqvOxiko3TKVYwzmm-nZJ75beUbHe; https://drive.google.com/open?id=1ftlpk9YKjBLQq7DpkMnNea8ahaMT-0VD; https://drive.google.com/open?id=14yt7zpuOaWXnH7EWFVEkhKA_lPhOAUf0</t>
  </si>
  <si>
    <t>https://www.facebook.com/phhuutuan?mibextid=LQQJ4d</t>
  </si>
  <si>
    <t xml:space="preserve">Nguyễn Thị Huệ </t>
  </si>
  <si>
    <t>https://www.facebook.com/share/18ErMoWNXQ/?mibextid=LQQJ4d</t>
  </si>
  <si>
    <r>
      <rPr>
        <sz val="12"/>
        <color theme="1"/>
        <rFont val="Times New Roman"/>
        <family val="1"/>
      </rPr>
      <t xml:space="preserve"> Phạm Thu Quỳnh </t>
    </r>
    <r>
      <rPr>
        <sz val="12"/>
        <color rgb="FFFF0000"/>
        <rFont val="Times New Roman"/>
        <family val="1"/>
      </rPr>
      <t>- đã nộp 300K 27/11/2024
OT47 bảo lưu b1. Học OT49</t>
    </r>
  </si>
  <si>
    <t>https://www.facebook.com/profile.php?id=100027625788368&amp;mibextid=LQQJ4d</t>
  </si>
  <si>
    <t xml:space="preserve">Hồ Hoài Nam </t>
  </si>
  <si>
    <t xml:space="preserve">hovanhuy468@gmail.com </t>
  </si>
  <si>
    <t>29/08/2024 và 17/09/2024 và 18/09/2024</t>
  </si>
  <si>
    <t>https://drive.google.com/open?id=1nvnzTgDkbfp6fL7bIzQp85lxow1Oo9mv; https://drive.google.com/open?id=1DITuwVm6vKmQhsWMmdXB39qVvDEwjiqa, https://drive.google.com/open?id=1WZH3P-dLcHbSP1qLFbgvdH8xRMPowpCy; https://drive.google.com/open?id=1ZQdBHBwC2x8uU593lIikMM9y_wYyvMF9, https://drive.google.com/open?id=1Kf8hf2SA1ZIvAWJrDtfJlrtQFu2cxJor</t>
  </si>
  <si>
    <t>https://www.facebook.com/nthn200306?mibextid=wwXIfr&amp;rdid=zr39HddKlQTOeiJV&amp;share_url=https%3A%2F%2Fwww.facebook.com%2Fshare%2F1ZJUV9NWui%2F%3Fmibextid%3DwwXIfr</t>
  </si>
  <si>
    <r>
      <rPr>
        <sz val="12"/>
        <color theme="1"/>
        <rFont val="Times New Roman"/>
        <family val="1"/>
      </rPr>
      <t xml:space="preserve">Nguyễn Thị Hồng Nhung </t>
    </r>
    <r>
      <rPr>
        <sz val="12"/>
        <color rgb="FFFF0000"/>
        <rFont val="Times New Roman"/>
        <family val="1"/>
      </rPr>
      <t>- đã nộp 400K 10/04/2025
OT49 bảo lưu buổi 13. Học OT64 từ b5</t>
    </r>
  </si>
  <si>
    <t>https://drive.google.com/open?id=15tIgDsEdOOrvMdgkETnKLLRw2jS4Yb0U; https://drive.google.com/open?id=1kms8v67brnirTOQQ1rcaUeiCbc5juiRe</t>
  </si>
  <si>
    <t>28/11/2024 sách cũ. Sách mới gửi Minh</t>
  </si>
  <si>
    <r>
      <rPr>
        <sz val="12"/>
        <color theme="1"/>
        <rFont val="Times New Roman"/>
        <family val="1"/>
      </rPr>
      <t xml:space="preserve">Nguyễn Thị Thu Hằng </t>
    </r>
    <r>
      <rPr>
        <sz val="12"/>
        <color rgb="FFFF0000"/>
        <rFont val="Times New Roman"/>
        <family val="1"/>
      </rPr>
      <t>- đã nộp 300K 31/03/2025</t>
    </r>
    <r>
      <rPr>
        <sz val="12"/>
        <color theme="1"/>
        <rFont val="Times New Roman"/>
        <family val="1"/>
      </rPr>
      <t xml:space="preserve">
</t>
    </r>
    <r>
      <rPr>
        <sz val="12"/>
        <color rgb="FFFF0000"/>
        <rFont val="Times New Roman"/>
        <family val="1"/>
      </rPr>
      <t>OT49 bảo lưu b16 đi quân sự. Học T293 b12</t>
    </r>
  </si>
  <si>
    <t>https://www.facebook.com/profile.php?id=100090846244231&amp;mibextid=ZbWKwL</t>
  </si>
  <si>
    <t>https://www.facebook.com/pinksheepyaw?mibextid=LQQJ4d</t>
  </si>
  <si>
    <r>
      <rPr>
        <sz val="12"/>
        <color theme="1"/>
        <rFont val="Times New Roman"/>
        <family val="1"/>
      </rPr>
      <t>Lý Nhật Linh</t>
    </r>
    <r>
      <rPr>
        <sz val="12"/>
        <color rgb="FFFF0000"/>
        <rFont val="Times New Roman"/>
        <family val="1"/>
      </rPr>
      <t xml:space="preserve"> - OT 49 - Linh Cừu</t>
    </r>
  </si>
  <si>
    <t>02/10/2024 và 06/10/2024</t>
  </si>
  <si>
    <t>https://drive.google.com/open?id=1x1LygSkAaPHDztlschdjT64oJUOdUBjC; https://drive.google.com/open?id=1KN-KLmokuQ03_76UzVvak-bW0J2RTD4-; https://drive.google.com/open?id=1KXdSv_fXKLTX0Ge3AD9dHvjW1nH3wkyl</t>
  </si>
  <si>
    <r>
      <rPr>
        <sz val="12"/>
        <color theme="1"/>
        <rFont val="Times New Roman"/>
        <family val="1"/>
      </rPr>
      <t>Nguyễn Tuấn Bình</t>
    </r>
    <r>
      <rPr>
        <sz val="12"/>
        <color rgb="FFFF0000"/>
        <rFont val="Times New Roman"/>
        <family val="1"/>
      </rPr>
      <t xml:space="preserve"> - đã nộp 300K 28/02/2025
OT49 bảo lưu b21 đi quân sự. Học OT61 b18</t>
    </r>
  </si>
  <si>
    <t>https://www.facebook.com/profile.php?id=100054165919368&amp;mibextid=LQQJ4d</t>
  </si>
  <si>
    <r>
      <rPr>
        <sz val="12"/>
        <color theme="1"/>
        <rFont val="Times New Roman"/>
        <family val="1"/>
      </rPr>
      <t xml:space="preserve">Nguyễn Vân Đức </t>
    </r>
    <r>
      <rPr>
        <sz val="12"/>
        <color rgb="FFFF0000"/>
        <rFont val="Times New Roman"/>
        <family val="1"/>
      </rPr>
      <t>- học lại chưa nộp 50%
KO đạt đầu ra. Đi học muộn 7 buổi</t>
    </r>
  </si>
  <si>
    <t>28/09/2024 và 07/10/2024</t>
  </si>
  <si>
    <t>https://drive.google.com/open?id=1b6BEHE1HxwTwOomhApNDEVqpHX21dbYt; https://drive.google.com/open?id=1WCcjIWzknxWcKd0t3ySezfWJqB86jLl4; https://drive.google.com/open?id=1ZDEYi_ERMP5czGsFUW_btdkxZ4KbGXim</t>
  </si>
  <si>
    <t>11/10/2024 sách cũ</t>
  </si>
  <si>
    <t>https://www.facebook.com/cuong.machiko?mibextid=LQQJ4d</t>
  </si>
  <si>
    <t>Lộc Trịnh Vĩnh Cường</t>
  </si>
  <si>
    <t>29/09/2024 và 05/10/2024</t>
  </si>
  <si>
    <t>https://drive.google.com/open?id=1s9cirKNjVeo04ReFMc17uSS7Lhi5u8gc; https://drive.google.com/open?id=1zi91WgZ6PAanr-4xvLpOlhCUcMykNdeE; https://drive.google.com/open?id=1iXWxTqbsjt60wPfrnLctor8jBfdYlQjh</t>
  </si>
  <si>
    <t>https://www.facebook.com/hb.duong.31</t>
  </si>
  <si>
    <t xml:space="preserve">Bùi Hải Dương </t>
  </si>
  <si>
    <t>https://drive.google.com/open?id=1aubNJf3eWwzc4EGdTfERrk0YdoGU9-7I; https://drive.google.com/open?id=1GD4KMV6MHw_E3iS-26qw_PEyqKRAn5k6</t>
  </si>
  <si>
    <t>https://www.facebook.com/share/1CGU5hYz8h/</t>
  </si>
  <si>
    <t>Lê Minh Đạt</t>
  </si>
  <si>
    <t>leminhd627@gmail.com</t>
  </si>
  <si>
    <t xml:space="preserve">học off </t>
  </si>
  <si>
    <t>05/10/2024 và 13/10/2024</t>
  </si>
  <si>
    <t>https://drive.google.com/open?id=1iobyh-vXcZ529M-fqZoRIiNOCeTk3x1A; https://drive.google.com/open?id=1g-FoaDUsWHh7UOxX7uvB4az09-Apaj39; https://drive.google.com/open?id=1p907_Ln5gqORrMhsBiKyWOMGdBxIJtux</t>
  </si>
  <si>
    <t>https://www.facebook.com/caucinh.cong.5?mibextid=LQQJ4d</t>
  </si>
  <si>
    <t>Thế Anh Meca</t>
  </si>
  <si>
    <t xml:space="preserve">Trực </t>
  </si>
  <si>
    <t>https://drive.google.com/open?id=1PyJSkTcvfkZE4Lc4wlyha15W6j_rb_oI; https://drive.google.com/open?id=1UToyFMv3cU_vS0LqaRNJ-fYLexbqJtmZ</t>
  </si>
  <si>
    <t>Bạn đóng bằng tiền mặt ạ</t>
  </si>
  <si>
    <t xml:space="preserve">Bùi Diệu Thu </t>
  </si>
  <si>
    <t>592 lạc long quân, nhật tân, tây hồ, hà nội</t>
  </si>
  <si>
    <t>75 sông nhuệ , phường đức thắng , quận bắc từ liêm , hà nộ</t>
  </si>
  <si>
    <t>T275</t>
  </si>
  <si>
    <r>
      <rPr>
        <sz val="12"/>
        <color theme="1"/>
        <rFont val="Times New Roman"/>
        <family val="1"/>
      </rPr>
      <t xml:space="preserve">Trần Thị Thuỳ Linh </t>
    </r>
    <r>
      <rPr>
        <sz val="12"/>
        <color rgb="FFFF0000"/>
        <rFont val="Times New Roman"/>
        <family val="1"/>
      </rPr>
      <t xml:space="preserve">- T273 HV thứ 10 - </t>
    </r>
    <r>
      <rPr>
        <sz val="12"/>
        <color theme="1"/>
        <rFont val="Times New Roman"/>
        <family val="1"/>
      </rPr>
      <t>898290147 số cũ</t>
    </r>
  </si>
  <si>
    <t>Xóm Đông, Chi ngãi 2, Cộng Hoà, chí Linh, hải dương</t>
  </si>
  <si>
    <t>Trần Thị Hương Giang</t>
  </si>
  <si>
    <t>Số 1 ngách 112/12/2 nguyên xá, minh khai, bắc từ liêm , hà nội</t>
  </si>
  <si>
    <t>số 40, Dương Quảng Hàm , Quan Hoa , Cầu Giấy , Hà Nội</t>
  </si>
  <si>
    <t>https://www.facebook.com/anhnguyet.bui.543908?mibextid=LQQJ4d</t>
  </si>
  <si>
    <t xml:space="preserve">Bùi Ánh Nguyệt </t>
  </si>
  <si>
    <t>11/09/2024 và 16/09/2024</t>
  </si>
  <si>
    <t>https://drive.google.com/open?id=1P0R_rv3_rc3DjfbiV5bIW1j4qu7Nlik6; https://drive.google.com/open?id=1Lydx1SnLsFNuwInml5bsBh8lHBPCWZQS; https://drive.google.com/open?id=1S3XpAfBxIg5hKTEL77OAfRi1C8vzRFHk</t>
  </si>
  <si>
    <t>VIP120</t>
  </si>
  <si>
    <r>
      <rPr>
        <sz val="12"/>
        <color theme="1"/>
        <rFont val="Times New Roman"/>
        <family val="1"/>
      </rPr>
      <t>Trần Minh Kiên</t>
    </r>
    <r>
      <rPr>
        <sz val="12"/>
        <color rgb="FFFF0000"/>
        <rFont val="Times New Roman"/>
        <family val="1"/>
      </rPr>
      <t xml:space="preserve"> </t>
    </r>
  </si>
  <si>
    <r>
      <rPr>
        <sz val="12"/>
        <color theme="1"/>
        <rFont val="Times New Roman"/>
        <family val="1"/>
      </rPr>
      <t xml:space="preserve">Chu Thị Thuỷ </t>
    </r>
    <r>
      <rPr>
        <sz val="12"/>
        <color rgb="FFFF0000"/>
        <rFont val="Times New Roman"/>
        <family val="1"/>
      </rPr>
      <t>- Dương Thủy</t>
    </r>
  </si>
  <si>
    <t xml:space="preserve"> ktx báo chí, 89 nguyễn phong sắc, dịch vọng hậu, cầu giấy</t>
  </si>
  <si>
    <t>nhà số LK13.33 Khu Đô Thị Hinode Royal Park Xã Kim Chung, Huyện Hoài Đức, Hà Nội</t>
  </si>
  <si>
    <t>- thứ 2 gửi 9/12</t>
  </si>
  <si>
    <t>VIP150 tự nghỉ học. Lệc sĩ số nên hỏi GV</t>
  </si>
  <si>
    <r>
      <rPr>
        <sz val="12"/>
        <color theme="1"/>
        <rFont val="Times New Roman"/>
        <family val="1"/>
      </rPr>
      <t xml:space="preserve">Đào Nhật Huy </t>
    </r>
    <r>
      <rPr>
        <sz val="12"/>
        <color rgb="FFFF0000"/>
        <rFont val="Times New Roman"/>
        <family val="1"/>
      </rPr>
      <t>- Đã nộp 300K 11/04/25
VIP121 bảo lưu b8. Học VIP150</t>
    </r>
  </si>
  <si>
    <t>chung cư Mipec Rubik 360 - 124 Xuân Thuỷ, Cầu Giấy, Hà Nội</t>
  </si>
  <si>
    <t>số 6 ngách 250/39 kim giang,phường đại kim,quận hoàng mai, hà nội</t>
  </si>
  <si>
    <t>Số 17, Ngõ 81, Đào Nguyên 2, An Thượng, Hoài Đức, Hà Nội</t>
  </si>
  <si>
    <t>CL33-L33-33, Yên Nghĩa C, Hà Đông, Hà Nội</t>
  </si>
  <si>
    <t xml:space="preserve">Trần Hà My </t>
  </si>
  <si>
    <t>27 ngách 102 ngõ 750 kim giang thanh liệt thanh trì hà nội</t>
  </si>
  <si>
    <t xml:space="preserve"> Nguyễn Thị Hảo</t>
  </si>
  <si>
    <t>Trường đại học công nghiệp hà nội cơ sở 3, phù vân, phủ lý, hà nam</t>
  </si>
  <si>
    <t>Nhà 3 tầng cuối cùng ngõ đối diện số nhà 50, đường An Hạ 2, An Hạ, An Khánh, Hoài Đức, Hà Nội</t>
  </si>
  <si>
    <r>
      <rPr>
        <sz val="12"/>
        <color theme="1"/>
        <rFont val="Times New Roman"/>
        <family val="1"/>
      </rPr>
      <t>Nguyễn Thị Yến Nhi</t>
    </r>
    <r>
      <rPr>
        <sz val="12"/>
        <color rgb="FFFF0000"/>
        <rFont val="Times New Roman"/>
        <family val="1"/>
      </rPr>
      <t xml:space="preserve"> </t>
    </r>
  </si>
  <si>
    <t>449/26 Sư Vạn Hạnh, p12, q10, tp Hồ Chí Minh</t>
  </si>
  <si>
    <t>T274</t>
  </si>
  <si>
    <t xml:space="preserve">Mai Văn Vạn </t>
  </si>
  <si>
    <t>103a Lý Thái Tổ,Thanh Khê ,quận Thanh Khê ,Đà Nẵng</t>
  </si>
  <si>
    <r>
      <rPr>
        <sz val="12"/>
        <color theme="1"/>
        <rFont val="Times New Roman"/>
        <family val="1"/>
      </rPr>
      <t>Đinh Công Tú</t>
    </r>
    <r>
      <rPr>
        <sz val="12"/>
        <color rgb="FFFF0000"/>
        <rFont val="Times New Roman"/>
        <family val="1"/>
      </rPr>
      <t xml:space="preserve"> </t>
    </r>
  </si>
  <si>
    <t xml:space="preserve">Đoàn Ngọc Đức Anh </t>
  </si>
  <si>
    <r>
      <rPr>
        <sz val="12"/>
        <color theme="1"/>
        <rFont val="Times New Roman"/>
        <family val="1"/>
      </rPr>
      <t xml:space="preserve">Hà Thanh </t>
    </r>
    <r>
      <rPr>
        <sz val="12"/>
        <color rgb="FFFF0000"/>
        <rFont val="Times New Roman"/>
        <family val="1"/>
      </rPr>
      <t>- Khải Tinh</t>
    </r>
  </si>
  <si>
    <t xml:space="preserve">Lê Phương Ngân </t>
  </si>
  <si>
    <t>20/2 Phùng Khắc Khoan, P Quang Trung, Sơn Tây, Hà Nội</t>
  </si>
  <si>
    <r>
      <rPr>
        <sz val="12"/>
        <color theme="1"/>
        <rFont val="Times New Roman"/>
        <family val="1"/>
      </rPr>
      <t>Nguyễn Thảo Anh</t>
    </r>
    <r>
      <rPr>
        <sz val="12"/>
        <color rgb="FFFF0000"/>
        <rFont val="Times New Roman"/>
        <family val="1"/>
      </rPr>
      <t xml:space="preserve"> 0853613006 số zalo - Đã nộp 300K 13/03/2025
VIP120 bảo lưu b11 đi quân sự. Học VIP130 b10</t>
    </r>
  </si>
  <si>
    <t>Học viện ngân hàng-cổng 2</t>
  </si>
  <si>
    <t>https://www.facebook.com/anhduong.trannguyen.39</t>
  </si>
  <si>
    <r>
      <rPr>
        <sz val="12"/>
        <color theme="1"/>
        <rFont val="Times New Roman"/>
        <family val="1"/>
      </rPr>
      <t>Trần Thu Huyền</t>
    </r>
    <r>
      <rPr>
        <sz val="12"/>
        <color rgb="FFFF0000"/>
        <rFont val="Times New Roman"/>
        <family val="1"/>
      </rPr>
      <t xml:space="preserve"> </t>
    </r>
  </si>
  <si>
    <t>45/6/4 đường 3 tháng 2 phường 11 quận 10 ( tp HCM)</t>
  </si>
  <si>
    <t>27/09/2024 và 03/10/2024</t>
  </si>
  <si>
    <t>https://drive.google.com/open?id=1THmaCofx-JV_uWQJv4KeSyBRmzkJTiQt; https://drive.google.com/open?id=1T7ixW29ypOliszJbcgsEtXbUqD3CKsEE; https://drive.google.com/open?id=1E9nqkqz2FtSfFKywzvYRUSV_a1Shzd7t</t>
  </si>
  <si>
    <t xml:space="preserve">Nguyễn Bá Phượng </t>
  </si>
  <si>
    <t xml:space="preserve">nhà 20 ngách 71 ngõ 254 Minh Khai, Hai Bà Trưng, Hà Nội </t>
  </si>
  <si>
    <t>117 Ngõ 199 Hồ Tùng Mậu, Cầu Diễn, Nam Từ Liêm, Hà Nội</t>
  </si>
  <si>
    <t>T276</t>
  </si>
  <si>
    <t>KTX B3 Bách Khoa, Phường Bách Khoa, quận Hai Bà Trưng, TP Hà Nội</t>
  </si>
  <si>
    <t>635 Đ. Quang Trung, Phú La, Hà Đông, Hà Nội</t>
  </si>
  <si>
    <t>Khu Đô Thị Hinode Royal Park, nhà số LK13.33, Xã Kim Chung, Hoài Đức, Hà Nội</t>
  </si>
  <si>
    <t>Nhà văn hóa Thôn 6, Cộng Hoà, Quốc Oai, Hà Nội</t>
  </si>
  <si>
    <t>Số 11, ngách 35, ngõ 594 Đường Láng, Láng Hạ, Đống Đa, Hà Nội</t>
  </si>
  <si>
    <t xml:space="preserve">Mai Thu Hương </t>
  </si>
  <si>
    <r>
      <rPr>
        <sz val="12"/>
        <color theme="1"/>
        <rFont val="Times New Roman"/>
        <family val="1"/>
      </rPr>
      <t>Nguyễn Hoàng Diệu Linh</t>
    </r>
    <r>
      <rPr>
        <sz val="12"/>
        <color rgb="FFFF0000"/>
        <rFont val="Times New Roman"/>
        <family val="1"/>
      </rPr>
      <t xml:space="preserve"> - Nguyễn Linh</t>
    </r>
  </si>
  <si>
    <t>https://www.facebook.com/share/1AiUoL9pwu/?mibextid=LQQJ4d</t>
  </si>
  <si>
    <t xml:space="preserve">Vũ Hoàng Hải </t>
  </si>
  <si>
    <t>https://drive.google.com/open?id=1nq9urCAcHosw-K5SWiWFmU0-Sh1ik5s4; https://drive.google.com/open?id=13b9H5sh8XbYev0-3ZH0TdWMbAEL44p1X; https://drive.google.com/open?id=1RBjY-huIy34rGzXZ02Lug_72RIXzmJQ9</t>
  </si>
  <si>
    <t>T311</t>
  </si>
  <si>
    <r>
      <rPr>
        <sz val="12"/>
        <color theme="1"/>
        <rFont val="Times New Roman"/>
        <family val="1"/>
      </rPr>
      <t>Ngô Bá Ngọc</t>
    </r>
    <r>
      <rPr>
        <sz val="12"/>
        <color rgb="FFFF0000"/>
        <rFont val="Times New Roman"/>
        <family val="1"/>
      </rPr>
      <t xml:space="preserve"> - OT51 - Đã nộp 300K 17/06/2025
T283 bảo lưu b16. Học T311 buổi 14</t>
    </r>
  </si>
  <si>
    <r>
      <rPr>
        <sz val="12"/>
        <color theme="1"/>
        <rFont val="Times New Roman"/>
        <family val="1"/>
      </rPr>
      <t>Vương Hữu Duy</t>
    </r>
    <r>
      <rPr>
        <sz val="12"/>
        <color rgb="FFFF0000"/>
        <rFont val="Times New Roman"/>
        <family val="1"/>
      </rPr>
      <t xml:space="preserve"> - OT51 - đã nộp 300K 07/02/2025
T283 bảo lưu b6 đi quân sự. Học T311 b5</t>
    </r>
  </si>
  <si>
    <t>https://www.facebook.com/duong.phamkhachoang</t>
  </si>
  <si>
    <t xml:space="preserve">Phạm Khắc Hoàng Dương </t>
  </si>
  <si>
    <t>phamkhachoangduong@gmail.com</t>
  </si>
  <si>
    <t>https://drive.google.com/open?id=1TOivkKw9AckH2JABUVozfaK6Q7MLV_V3; https://drive.google.com/open?id=1VZUbvy_yHSby3N0dhX6_Bs70J9VzkQoJ</t>
  </si>
  <si>
    <r>
      <rPr>
        <sz val="12"/>
        <color theme="1"/>
        <rFont val="Times New Roman"/>
        <family val="1"/>
      </rPr>
      <t>Đinh Thị Diệu Lan</t>
    </r>
    <r>
      <rPr>
        <sz val="12"/>
        <color rgb="FFFF0000"/>
        <rFont val="Times New Roman"/>
        <family val="1"/>
      </rPr>
      <t xml:space="preserve"> </t>
    </r>
  </si>
  <si>
    <t>số 16, ngách 51/16, Ngọa Long, Minh Khai, Bắc Từ Liêm, Hà Nội</t>
  </si>
  <si>
    <r>
      <rPr>
        <sz val="12"/>
        <color theme="1"/>
        <rFont val="Times New Roman"/>
        <family val="1"/>
      </rPr>
      <t>Nguyễn Thị Quỳnh Anh</t>
    </r>
    <r>
      <rPr>
        <sz val="12"/>
        <color rgb="FFFF0000"/>
        <rFont val="Times New Roman"/>
        <family val="1"/>
      </rPr>
      <t xml:space="preserve"> </t>
    </r>
  </si>
  <si>
    <t>Số 1 dãy E5 khu B tập thể đại học mỏ địa chất, P. Cổ Nhuế 2, Q. Bắc Từ Liêm, Hà Nội</t>
  </si>
  <si>
    <t xml:space="preserve"> 357 Lê Văn Lương, phường Tân Quy, Quận 7, HCM</t>
  </si>
  <si>
    <t>Nhà số 9 ngách 5/29 ngõ 35 đường Lê Đức Thọ Mỹ Đình 2 quận Cầu Giấy Hà Nội</t>
  </si>
  <si>
    <t>https://www.facebook.com/duongdoai2422006</t>
  </si>
  <si>
    <t>KTX Học viện báo chí-số 89 Nguyễn Phong Sắc,phường Dịch Vọng Hậu,quận Cầu Giấy,Hà Nội</t>
  </si>
  <si>
    <t>OT52 nghỉ ngang từ b19, Thắng báo</t>
  </si>
  <si>
    <r>
      <rPr>
        <sz val="12"/>
        <color theme="1"/>
        <rFont val="Times New Roman"/>
        <family val="1"/>
      </rPr>
      <t>Phạm Hương Mai</t>
    </r>
    <r>
      <rPr>
        <sz val="12"/>
        <color rgb="FFFF0000"/>
        <rFont val="Times New Roman"/>
        <family val="1"/>
      </rPr>
      <t xml:space="preserve"> - OT51</t>
    </r>
  </si>
  <si>
    <r>
      <rPr>
        <sz val="12"/>
        <color theme="1"/>
        <rFont val="Times New Roman"/>
        <family val="1"/>
      </rPr>
      <t xml:space="preserve">Phạm Thị Hải Yến </t>
    </r>
    <r>
      <rPr>
        <sz val="12"/>
        <color rgb="FFFF0000"/>
        <rFont val="Times New Roman"/>
        <family val="1"/>
      </rPr>
      <t>- OT51</t>
    </r>
  </si>
  <si>
    <t>https://www.facebook.com/profile.php?id=100068911432006&amp;mibextid=LQQJ4d</t>
  </si>
  <si>
    <t xml:space="preserve">Đỗ Minh Hiếu </t>
  </si>
  <si>
    <t>minhh05062005@gmail.com</t>
  </si>
  <si>
    <t>11/09/2024 và 16/10/2024</t>
  </si>
  <si>
    <t>https://drive.google.com/open?id=1lMhlPwa9mUiRgqGsE9hUWRoDTT0rxaYR; https://drive.google.com/open?id=14mtWU3LiYK_D-1x6vDRsEzb6XuzcSdTI; https://drive.google.com/open?id=1WB5Qrjs6CCIHwo7yqeQseMSl6xac8pN8</t>
  </si>
  <si>
    <t>https://www.facebook.com/profile.php?id=100094011439870&amp;mibextid=LQQJ4d</t>
  </si>
  <si>
    <r>
      <rPr>
        <sz val="12"/>
        <color theme="1"/>
        <rFont val="Times New Roman"/>
        <family val="1"/>
      </rPr>
      <t>Trần Thị Anh Sáng</t>
    </r>
    <r>
      <rPr>
        <sz val="12"/>
        <color rgb="FFFF0000"/>
        <rFont val="Times New Roman"/>
        <family val="1"/>
      </rPr>
      <t xml:space="preserve"> </t>
    </r>
  </si>
  <si>
    <t>https://drive.google.com/open?id=13GK98gjOgAWxLh2CtKsve1EHN13q2iUG; https://drive.google.com/open?id=1LKY_OkAjyzHKzbO6FhMidaVyIOPm3mVC</t>
  </si>
  <si>
    <r>
      <rPr>
        <sz val="12"/>
        <color theme="1"/>
        <rFont val="Times New Roman"/>
        <family val="1"/>
      </rPr>
      <t xml:space="preserve">Trương Thị Thuỳ Linh </t>
    </r>
    <r>
      <rPr>
        <sz val="12"/>
        <color rgb="FFFF0000"/>
        <rFont val="Times New Roman"/>
        <family val="1"/>
      </rPr>
      <t>- Đã nộp 400K 22/04/2025</t>
    </r>
    <r>
      <rPr>
        <sz val="12"/>
        <color theme="1"/>
        <rFont val="Times New Roman"/>
        <family val="1"/>
      </rPr>
      <t xml:space="preserve">
</t>
    </r>
    <r>
      <rPr>
        <sz val="12"/>
        <color rgb="FFFF0000"/>
        <rFont val="Times New Roman"/>
        <family val="1"/>
      </rPr>
      <t>OT52 bảo lưu b11 trùng lịch. Học OT67</t>
    </r>
  </si>
  <si>
    <t>16/12/2024 sách cũ</t>
  </si>
  <si>
    <t>OT60</t>
  </si>
  <si>
    <t>https://www.facebook.com/nq.meiw</t>
  </si>
  <si>
    <r>
      <rPr>
        <sz val="12"/>
        <color theme="1"/>
        <rFont val="Times New Roman"/>
        <family val="1"/>
      </rPr>
      <t xml:space="preserve">Lê Thị Lộc </t>
    </r>
    <r>
      <rPr>
        <sz val="12"/>
        <color rgb="FFFF0000"/>
        <rFont val="Times New Roman"/>
        <family val="1"/>
      </rPr>
      <t>- OT52. OT60 HV thứ 23. T294</t>
    </r>
  </si>
  <si>
    <t>lethiloc2609@gmail.com</t>
  </si>
  <si>
    <t>07/10/2024 và 08/10/2024</t>
  </si>
  <si>
    <t>https://drive.google.com/open?id=1FNlowTQBmuuNebrc0X7_qBP9ei4Uc247; https://drive.google.com/open?id=1Muy-H3wkz_gsUbI146R38Q23K0WV9vUz; https://drive.google.com/open?id=1GsdR3O3zhrJ75lTF-5815dK7vcc4_Yhp</t>
  </si>
  <si>
    <t>https://www.facebook.com/profile.php?id=100022234133203&amp;mibextid=ZbWKwL</t>
  </si>
  <si>
    <t>Nguyễn Văn Thăng</t>
  </si>
  <si>
    <t>https://drive.google.com/open?id=1R5Vu_wNLJpe_RzrBveRNO0jFDFFQzip0; https://drive.google.com/open?id=176lEkxgdAD3dFkwYfJSNPQ5oXir9or2u</t>
  </si>
  <si>
    <t>https://www.facebook.com/profile.php?id=100051163014177&amp;mibextid=LQQJ4d</t>
  </si>
  <si>
    <t>Mai Phương Thảo</t>
  </si>
  <si>
    <t>mphuongthao84@gmail.com</t>
  </si>
  <si>
    <t>https://drive.google.com/open?id=15ylPeKGkeHgKOP7p3DnAQZHkjNvn9pYm; https://drive.google.com/open?id=1kTxKr9R2skpmzbpoi102-mRQTxBun84O</t>
  </si>
  <si>
    <t>https://www.facebook.com/profile.php?id=100061058332448&amp;mibextid=ZbWKwL</t>
  </si>
  <si>
    <r>
      <rPr>
        <sz val="12"/>
        <color theme="1"/>
        <rFont val="Times New Roman"/>
        <family val="1"/>
      </rPr>
      <t xml:space="preserve">Nguyễn Ngọc Ánh </t>
    </r>
    <r>
      <rPr>
        <sz val="12"/>
        <color rgb="FFFF0000"/>
        <rFont val="Times New Roman"/>
        <family val="1"/>
      </rPr>
      <t>- OT52, OT57</t>
    </r>
  </si>
  <si>
    <t>13/11/2024 và 30/11/2024</t>
  </si>
  <si>
    <t>https://drive.google.com/open?id=1NCcu6uHGgNeA9KYy6mqOI5WaqnnP2mcM; https://drive.google.com/open?id=1dHwFdIl9OygeCpl4E2OazhSh6rAVIChL; https://drive.google.com/open?id=1GJpRfSHHCy0WGBUogf3UFL-JUYEBxmBl</t>
  </si>
  <si>
    <t>OT52 tự học</t>
  </si>
  <si>
    <r>
      <rPr>
        <sz val="12"/>
        <color theme="1"/>
        <rFont val="Times New Roman"/>
        <family val="1"/>
      </rPr>
      <t xml:space="preserve">Nguyễn Văn Triệu </t>
    </r>
    <r>
      <rPr>
        <sz val="12"/>
        <color rgb="FFFF0000"/>
        <rFont val="Times New Roman"/>
        <family val="1"/>
      </rPr>
      <t>- xin tài liệu và theo nhóm thôi.
Ko lên lớp học mà tự học. GV Thắng báo</t>
    </r>
  </si>
  <si>
    <t>https://www.facebook.com/profile.php?id=100070115306002</t>
  </si>
  <si>
    <t>Lương Bích Ngọc</t>
  </si>
  <si>
    <t>ngocneor123@gmail.com</t>
  </si>
  <si>
    <t>20/10/2024 và 21/10/2021</t>
  </si>
  <si>
    <t>https://drive.google.com/open?id=1ChH9vN-XDKqSUG1HA8lRkEwddRsDlcHz; https://drive.google.com/open?id=1krytXpuVxFSEazLlsG_Z8Iyqllx0d2YA; https://drive.google.com/open?id=1262aiBVhlOScfYark1DqhVOG6dYf5etU</t>
  </si>
  <si>
    <t>https://www.facebook.com/profile.php?id=100074378605055&amp;mibextid=LQQJ4d</t>
  </si>
  <si>
    <r>
      <rPr>
        <sz val="12"/>
        <color theme="1"/>
        <rFont val="Times New Roman"/>
        <family val="1"/>
      </rPr>
      <t xml:space="preserve">Hà Phương Nam </t>
    </r>
    <r>
      <rPr>
        <sz val="12"/>
        <color rgb="FFFF0000"/>
        <rFont val="Times New Roman"/>
        <family val="1"/>
      </rPr>
      <t>- đã nộp 300K 20/03/2025
OT52 bảo lưu b21. Học OT64 buổi 16</t>
    </r>
  </si>
  <si>
    <t>240 lai xá Kim Chung hoài đức hà nội</t>
  </si>
  <si>
    <t>https://drive.google.com/open?id=1H1vVi7kd2ZdILajs7-QIxHksxubLUdBV; https://drive.google.com/open?id=1F2Z7VhT7C_JeWFkellsadEJ00ZFLedaz</t>
  </si>
  <si>
    <t>OPT48, PT146</t>
  </si>
  <si>
    <r>
      <rPr>
        <sz val="12"/>
        <color theme="1"/>
        <rFont val="Times New Roman"/>
        <family val="1"/>
      </rPr>
      <t>Lương Thanh Thảo</t>
    </r>
    <r>
      <rPr>
        <sz val="12"/>
        <color rgb="FFFF0000"/>
        <rFont val="Times New Roman"/>
        <family val="1"/>
      </rPr>
      <t xml:space="preserve"> </t>
    </r>
  </si>
  <si>
    <r>
      <rPr>
        <sz val="12"/>
        <color theme="1"/>
        <rFont val="Times New Roman"/>
        <family val="1"/>
      </rPr>
      <t xml:space="preserve">Nguyễn Hải Yến </t>
    </r>
    <r>
      <rPr>
        <sz val="12"/>
        <color rgb="FFFF0000"/>
        <rFont val="Times New Roman"/>
        <family val="1"/>
      </rPr>
      <t>- học lịa miễn phí</t>
    </r>
  </si>
  <si>
    <t>ngõ 39/7/1 Hồ Tùng Mậu, Mai Dịch, Cầu Giay, Hà Nội</t>
  </si>
  <si>
    <t>https://www.facebook.com/share/15dNeo7rHu/?mibextid=LQQJ4d</t>
  </si>
  <si>
    <r>
      <rPr>
        <sz val="12"/>
        <color theme="1"/>
        <rFont val="Times New Roman"/>
        <family val="1"/>
      </rPr>
      <t xml:space="preserve">Phạm Hồng Văn </t>
    </r>
    <r>
      <rPr>
        <sz val="12"/>
        <color rgb="FFFF0000"/>
        <rFont val="Times New Roman"/>
        <family val="1"/>
      </rPr>
      <t>- nhận học 971029519 Đoàn Tuấn Anh 
Đổi ngang E2, E3 học PT và T, ko đóng 300K</t>
    </r>
  </si>
  <si>
    <t>165 Đình Thôn Mỹ Đình, Nam Từ Niêm, Hà Nội</t>
  </si>
  <si>
    <t>https://drive.google.com/open?id=16XS7qyMQUMjucS9u8bcrMnbzGaN3ovqv</t>
  </si>
  <si>
    <t>PT154 học 1 buổi tự rời nhóm, khó ko học đc</t>
  </si>
  <si>
    <t>https://www.facebook.com/profile.php?id=100034321492006&amp;mibextid=LQQJ4d&amp;mibextid=LQQJ4d</t>
  </si>
  <si>
    <r>
      <rPr>
        <sz val="12"/>
        <color theme="1"/>
        <rFont val="Times New Roman"/>
        <family val="1"/>
      </rPr>
      <t xml:space="preserve">Bằng Diệu Linh </t>
    </r>
    <r>
      <rPr>
        <sz val="12"/>
        <color rgb="FFFF0000"/>
        <rFont val="Times New Roman"/>
        <family val="1"/>
      </rPr>
      <t>- KO nộp 300K, đổi ngang
Nhận học của Nga 964503221</t>
    </r>
  </si>
  <si>
    <t>Nhà số 1, Ngõ 555 Trúc Tay, Vân Trung, Việt Yên, Bắc Giang</t>
  </si>
  <si>
    <t>https://drive.google.com/open?id=1BVI2GrvGgDFYeH1V4e5Ni7QAWrmB4FrG</t>
  </si>
  <si>
    <t>T278</t>
  </si>
  <si>
    <t>https://www.facebook.com/buisykiem.kiem?mibextid=LQQJ4d</t>
  </si>
  <si>
    <t>Bùi Sỹ Kiểm</t>
  </si>
  <si>
    <t xml:space="preserve">kiem94601@gmail.com.             </t>
  </si>
  <si>
    <t>happyinno 1, thôn ngự Câu, xã An Thượng, Huyện Hoài Đức, Hà Nội</t>
  </si>
  <si>
    <t>04/10/2024 và 06/10/2004</t>
  </si>
  <si>
    <t>https://drive.google.com/open?id=1dQF2vfFkZLewKbPN8K8uHWSYaP85TA6b; https://drive.google.com/open?id=161PlxIqGfPQi5EBw7YA_r9xuAJVdV5cK; https://drive.google.com/open?id=1vfoe60a1IKGiAMxUIp6fICf_zXUVCqE1</t>
  </si>
  <si>
    <t>số 6, ngõ 11, đường làng Vân, Vân Côn, Hoài Đức, Hà Nội</t>
  </si>
  <si>
    <t>https://www.facebook.com/profile.php?id=100094522587192&amp;mibextid=LQQJ4d</t>
  </si>
  <si>
    <r>
      <rPr>
        <sz val="12"/>
        <color theme="1"/>
        <rFont val="Times New Roman"/>
        <family val="1"/>
      </rPr>
      <t>Lê Thu Thảo</t>
    </r>
    <r>
      <rPr>
        <sz val="12"/>
        <color rgb="FFFF0000"/>
        <rFont val="Times New Roman"/>
        <family val="1"/>
      </rPr>
      <t xml:space="preserve"> - gửi hợp đồng học T</t>
    </r>
  </si>
  <si>
    <t>Lethuhuong0411996@gmail.com</t>
  </si>
  <si>
    <t>Sn 31, đối diện thpt Hoài Đức B, Ngãi Cầu, An Khánh, Hoài Đức, Hà Nội</t>
  </si>
  <si>
    <t>https://drive.google.com/open?id=18WtzYBVt5d3j_mP8s-dQNJS45D2_lrbx; https://drive.google.com/open?id=16afr6gOCXScA01Rsts4aZNqFtkbMIHp0</t>
  </si>
  <si>
    <t>T279</t>
  </si>
  <si>
    <t>Vương Hải Anh</t>
  </si>
  <si>
    <t>6/25/2 Dư Hàng, Dư Hàng, Lê Chân, Hải Phòng</t>
  </si>
  <si>
    <t>https://www.facebook.com/profile.php?id=100074960386103&amp;mibextid=LQQJ4d</t>
  </si>
  <si>
    <t xml:space="preserve"> Phạm Thị Ngọc Linh </t>
  </si>
  <si>
    <t>nhà 1 ngõ 1277/7/1, tổ 6, Thịnh Liệt - giải phóng - hoàng mai, Hà Nội</t>
  </si>
  <si>
    <t>09/10/2024 và 15/10/2024</t>
  </si>
  <si>
    <t>https://drive.google.com/open?id=1iOhVp7v8Tv5y1gS-L4sMElol65e8Pdxk; https://drive.google.com/open?id=1CrMfaLXx4KkTHhfZ89pL6OUYk8-4rOpG; https://drive.google.com/open?id=1fnQzcuz9x1OTpbxeW21VvjqulBmu7izE</t>
  </si>
  <si>
    <t>chợ kì- đông đô- Hưng Hà- Thái bình</t>
  </si>
  <si>
    <t>https://www.facebook.com/profile.php?id=100038586503147&amp;mibextid=LQQJ4d</t>
  </si>
  <si>
    <r>
      <rPr>
        <sz val="12"/>
        <color theme="1"/>
        <rFont val="Times New Roman"/>
        <family val="1"/>
      </rPr>
      <t>Nguyễn Thùy Duyên</t>
    </r>
    <r>
      <rPr>
        <sz val="12"/>
        <color rgb="FFFF0000"/>
        <rFont val="Times New Roman"/>
        <family val="1"/>
      </rPr>
      <t xml:space="preserve"> </t>
    </r>
  </si>
  <si>
    <t xml:space="preserve">nguyenthuyduyen2622@gmail.com </t>
  </si>
  <si>
    <t xml:space="preserve"> đối diện cây cảnh bách thuận - Tân Lập - Vũ Thư - Thái Bình</t>
  </si>
  <si>
    <t>07/10/2024 và 10/10/2024</t>
  </si>
  <si>
    <t>https://drive.google.com/open?id=1hlolwFqFlJLXeW6OJ3zUrsONG5lmZGWI; https://drive.google.com/open?id=1MRfxvw1nxcFx90l9N-yOxr74I3S-u_O6; https://drive.google.com/open?id=1sb0BIyBL-LbFNSDdfBOJsqLr4TyL8mWk</t>
  </si>
  <si>
    <t>https://www.facebook.com/ngockien.trinh.188?mibextid=LQQJ4d</t>
  </si>
  <si>
    <t>Trịnh Ngọc Kiên</t>
  </si>
  <si>
    <t>kiencua2k6@gmail.com</t>
  </si>
  <si>
    <t>Số 17 Ngách 37 ngõ 167 Tây Sơn Đống Đa Hà Nội</t>
  </si>
  <si>
    <t>https://drive.google.com/open?id=1OXO1GF3hBrW9LuKJHeKox1sgumThCqSN; https://drive.google.com/open?id=16zXlMH0MUSpgN4vVgCLVcKilrOTlBjCK; https://drive.google.com/open?id=1aF_dk5KGnviOEhlMs8UCOaubiGiWDqQY</t>
  </si>
  <si>
    <r>
      <rPr>
        <sz val="12"/>
        <color theme="1"/>
        <rFont val="Times New Roman"/>
        <family val="1"/>
      </rPr>
      <t>Nguyễn Thái Sơn</t>
    </r>
    <r>
      <rPr>
        <sz val="12"/>
        <color rgb="FFFF0000"/>
        <rFont val="Times New Roman"/>
        <family val="1"/>
      </rPr>
      <t xml:space="preserve"> </t>
    </r>
  </si>
  <si>
    <t>Ktx 11 tầng đại học Lâm nghiệp, Quốc Lộ 21, Xuân Mai, Chương Mỹ, Hà Nội</t>
  </si>
  <si>
    <r>
      <rPr>
        <sz val="12"/>
        <color theme="1"/>
        <rFont val="Times New Roman"/>
        <family val="1"/>
      </rPr>
      <t xml:space="preserve">Nguyễn Văn Nhạc Phi </t>
    </r>
    <r>
      <rPr>
        <sz val="12"/>
        <color rgb="FFFF0000"/>
        <rFont val="Times New Roman"/>
        <family val="1"/>
      </rPr>
      <t xml:space="preserve"> </t>
    </r>
  </si>
  <si>
    <t>Kí túc xá khu B Trường Bia 40 Nguyễn Khánh Toàn ,phường An Cựu, Thành Phố Huế​</t>
  </si>
  <si>
    <t>Nhà Văn Hoá Phú Cường,s ố nhà 19, Lê Hồng Phong, Phủ Lý, Hà Nam</t>
  </si>
  <si>
    <t>số 9 , Ngô Gia Tự , Tổ 3 , Lê Hồng Phong , Phủ Lý , Hà Nam</t>
  </si>
  <si>
    <t>https://www.facebook.com/profile.php?id=100045103000374</t>
  </si>
  <si>
    <r>
      <rPr>
        <sz val="12"/>
        <color theme="1"/>
        <rFont val="Times New Roman"/>
        <family val="1"/>
      </rPr>
      <t xml:space="preserve">Vũ Thị Vân Anh </t>
    </r>
    <r>
      <rPr>
        <sz val="12"/>
        <color rgb="FFFF0000"/>
        <rFont val="Times New Roman"/>
        <family val="1"/>
      </rPr>
      <t>- T278, T287 - 865659730 số cũ</t>
    </r>
  </si>
  <si>
    <t>Nhà trọ Đoàn Dự, số 71, Ngô Gia Tự, Phường Lê Hồng Phong, Thành Phố Phủ Lý, Hà Nam</t>
  </si>
  <si>
    <t>30/09/2024 và 06/10/2024</t>
  </si>
  <si>
    <t>31/10/2024 và 06/11/2024 và 30/11/2024</t>
  </si>
  <si>
    <r>
      <rPr>
        <u/>
        <sz val="12"/>
        <color rgb="FF1155CC"/>
        <rFont val="Times New Roman"/>
        <family val="1"/>
      </rPr>
      <t xml:space="preserve">https://drive.google.com/open?id=1P3p_7pYWQBm9eXlFKCDg_jkX1e5wcrg3; https://drive.google.com/open?id=1pBcDIvgoL0s74CUrzZz00vFG-ex3vUHa; https://drive.google.com/open?id=1f1pNsgulXc08cPNiGrtRlFZtN1hSx8Xv, </t>
    </r>
    <r>
      <rPr>
        <u/>
        <sz val="12"/>
        <color rgb="FF1155CC"/>
        <rFont val="Times New Roman"/>
        <family val="1"/>
      </rPr>
      <t>https://drive.google.com/open?id=1e6fuX6eyuAsL7jH5pYbcRXeA252XPF7h</t>
    </r>
    <r>
      <rPr>
        <u/>
        <sz val="12"/>
        <color rgb="FF1155CC"/>
        <rFont val="Times New Roman"/>
        <family val="1"/>
      </rPr>
      <t xml:space="preserve">; </t>
    </r>
    <r>
      <rPr>
        <u/>
        <sz val="12"/>
        <color rgb="FF1155CC"/>
        <rFont val="Times New Roman"/>
        <family val="1"/>
      </rPr>
      <t>https://drive.google.com/open?id=1_YbSvQE_i-oTEdpBlX8bkveP4XPPBPFn</t>
    </r>
  </si>
  <si>
    <t xml:space="preserve">Phạm Đắc Thanh </t>
  </si>
  <si>
    <t>T276 bảo lưu b19</t>
  </si>
  <si>
    <t>Nhà văn hóa Phú cường, cổng phụ trường Đại Học Công nghiệp Hà Nội, Phủ Lý , Hà Nam</t>
  </si>
  <si>
    <r>
      <rPr>
        <sz val="12"/>
        <color theme="1"/>
        <rFont val="Times New Roman"/>
        <family val="1"/>
      </rPr>
      <t>Bùi Thúy Hiền</t>
    </r>
    <r>
      <rPr>
        <sz val="12"/>
        <color rgb="FFFF0000"/>
        <rFont val="Times New Roman"/>
        <family val="1"/>
      </rPr>
      <t xml:space="preserve"> - HV muốn học lại miễn phí lần 1</t>
    </r>
  </si>
  <si>
    <t>VIP159</t>
  </si>
  <si>
    <r>
      <rPr>
        <sz val="12"/>
        <color theme="1"/>
        <rFont val="Times New Roman"/>
        <family val="1"/>
      </rPr>
      <t>Bùi Thúy Hiền</t>
    </r>
    <r>
      <rPr>
        <sz val="12"/>
        <color rgb="FFFF0000"/>
        <rFont val="Times New Roman"/>
        <family val="1"/>
      </rPr>
      <t xml:space="preserve"> - HV muốn học lại miễn phí lần 2
Test VIP124 đc 640, nghỉ 3 buổi</t>
    </r>
  </si>
  <si>
    <t>Sách học lần 1 miễn phí</t>
  </si>
  <si>
    <t>https://www.facebook.com/profile.php?id=61555721258053&amp;mibextid=ZbWKwL</t>
  </si>
  <si>
    <t>Phan Đình Quý</t>
  </si>
  <si>
    <t>quyamily@gmail.com</t>
  </si>
  <si>
    <t>31/35/9 Ung Văn Khiêm, Phường 25 quận Bình Thạnh, TP Hồ Chí Minh</t>
  </si>
  <si>
    <t>https://drive.google.com/open?id=1vS-sPtTcn4AX6iA6hCVrRjEK7hY0TfUR; https://drive.google.com/open?id=1HybLpe8e3WvUOu2tqJX8puexVzQAA4xQ</t>
  </si>
  <si>
    <t>Số 31 , xóm Mới , thôn Dương Đá , Xã Dương Xá , Huyện Gia lâm , Hà Nội</t>
  </si>
  <si>
    <t>Số 29 ngách 9 ngõ 381 phố Bạch Mai, quận Hai Bà Trưng, Hà Nội</t>
  </si>
  <si>
    <t>VIP155</t>
  </si>
  <si>
    <r>
      <rPr>
        <sz val="12"/>
        <color theme="1"/>
        <rFont val="Times New Roman"/>
        <family val="1"/>
      </rPr>
      <t>Lê Thị Ánh Duyên</t>
    </r>
    <r>
      <rPr>
        <sz val="12"/>
        <color rgb="FFFF0000"/>
        <rFont val="Times New Roman"/>
        <family val="1"/>
      </rPr>
      <t xml:space="preserve"> - Đã nộp 300K 03/06/2025
VIP122 bảo lưu b14. Học VIP155 b14</t>
    </r>
  </si>
  <si>
    <t>Số nhà 283 Khúc Toại, Khúc Xuyên, TP. Bắc Ninh</t>
  </si>
  <si>
    <t xml:space="preserve">Nguyễn Trần Hà Trang </t>
  </si>
  <si>
    <t>Số 15-16, Ngõ 3, Hà Trì 4, phường Hà Cầu, Hà Đông, Hà Nội</t>
  </si>
  <si>
    <t xml:space="preserve">Dương Chiến Thắng </t>
  </si>
  <si>
    <t>số 18 , ngõ 255,đường hoàng mai ,phường hoàng văn thụ,quận hoàng mai, hà nội</t>
  </si>
  <si>
    <r>
      <rPr>
        <sz val="12"/>
        <color theme="1"/>
        <rFont val="Times New Roman"/>
        <family val="1"/>
      </rPr>
      <t>Ngô Thanh Vân</t>
    </r>
    <r>
      <rPr>
        <sz val="12"/>
        <color rgb="FFFF0000"/>
        <rFont val="Times New Roman"/>
        <family val="1"/>
      </rPr>
      <t xml:space="preserve"> </t>
    </r>
  </si>
  <si>
    <t>Cổng phụ Trường mầm non Xuân Nộn, xóm 2, Lương Quy, Xuân Nộn, Đông Anh, Hà Nội</t>
  </si>
  <si>
    <t>Phan Bùi Trung Hiếu</t>
  </si>
  <si>
    <t>S8</t>
  </si>
  <si>
    <t>số 26 Ngách 150/82, Tân Khai, Vĩnh hưng, Hoàng mai,Hà Nội​</t>
  </si>
  <si>
    <t>số 2 ngách 132/52 đường Cầu Diễn, Minh khai, bắc từ liêm HN</t>
  </si>
  <si>
    <r>
      <rPr>
        <sz val="12"/>
        <color theme="1"/>
        <rFont val="Times New Roman"/>
        <family val="1"/>
      </rPr>
      <t>Tô Minh Quang</t>
    </r>
    <r>
      <rPr>
        <sz val="12"/>
        <color rgb="FFFF0000"/>
        <rFont val="Times New Roman"/>
        <family val="1"/>
      </rPr>
      <t xml:space="preserve"> - HV lấy sách tại trung tâm</t>
    </r>
  </si>
  <si>
    <t>Nhà số 9 ngõ 70 thôn Hoàng Xá-xã Lại Thượng-huyện Thạch Thất Hà Nội</t>
  </si>
  <si>
    <t>Đưa sách Đạt nhầm sách cũ</t>
  </si>
  <si>
    <r>
      <rPr>
        <sz val="12"/>
        <color theme="1"/>
        <rFont val="Times New Roman"/>
        <family val="1"/>
      </rPr>
      <t xml:space="preserve">Nguyễn Thị Như Quỳnh </t>
    </r>
    <r>
      <rPr>
        <sz val="12"/>
        <color rgb="FFFF0000"/>
        <rFont val="Times New Roman"/>
        <family val="1"/>
      </rPr>
      <t xml:space="preserve">- Nguyệt Trúc </t>
    </r>
    <r>
      <rPr>
        <sz val="12"/>
        <color theme="1"/>
        <rFont val="Times New Roman"/>
        <family val="1"/>
      </rPr>
      <t>978013649</t>
    </r>
  </si>
  <si>
    <t xml:space="preserve">Nguyễn Mạnh Duy </t>
  </si>
  <si>
    <t xml:space="preserve">Nguyễn Hưng Nam </t>
  </si>
  <si>
    <t>OT68</t>
  </si>
  <si>
    <r>
      <rPr>
        <sz val="12"/>
        <color theme="1"/>
        <rFont val="Times New Roman"/>
        <family val="1"/>
      </rPr>
      <t xml:space="preserve">Đỗ Thúy Quỳnh </t>
    </r>
    <r>
      <rPr>
        <sz val="12"/>
        <color rgb="FFFF0000"/>
        <rFont val="Times New Roman"/>
        <family val="1"/>
      </rPr>
      <t>- Đã nộp 300k 27/06/2025
OT53 bảo lưu b17 đi quân sự. Học OT68 b18</t>
    </r>
  </si>
  <si>
    <t>https://www.facebook.com/profile.php?id=100039982610149&amp;mibextid=LQQJ4d</t>
  </si>
  <si>
    <r>
      <rPr>
        <sz val="12"/>
        <color theme="1"/>
        <rFont val="Times New Roman"/>
        <family val="1"/>
      </rPr>
      <t>Phạm Văn Thành</t>
    </r>
    <r>
      <rPr>
        <sz val="12"/>
        <color rgb="FFFF0000"/>
        <rFont val="Times New Roman"/>
        <family val="1"/>
      </rPr>
      <t xml:space="preserve"> </t>
    </r>
  </si>
  <si>
    <t>phamthanhx206@gmail.com</t>
  </si>
  <si>
    <t>01/10/2024 và 20/10/2024</t>
  </si>
  <si>
    <t>09/11/2024 và 25/11/2024</t>
  </si>
  <si>
    <t>https://drive.google.com/open?id=1eGtpmYHuoez0B68nhVZZBz68d8UousoR; https://drive.google.com/open?id=1Zgj-9ULWoFlWcBx7AUsJrohUrfsoyQ6K; https://drive.google.com/open?id=1BGoc0oaEO-omQAEJp31kAEbUa7EM1kmB; https://drive.google.com/open?id=1ew1EJZnYxHZcvCST5QFcumjTuxOEq4mL</t>
  </si>
  <si>
    <t>https://www.facebook.com/profile.php?id=100028269906264&amp;mibextid=LQQJ4d</t>
  </si>
  <si>
    <t>Nguyễn Đình Minh Vũ</t>
  </si>
  <si>
    <t xml:space="preserve"> vudz1502@gmail.com </t>
  </si>
  <si>
    <t>https://drive.google.com/open?id=1Gn9057Yvo-FwRWgC9WpZ_aGpn4YvRSNr; https://drive.google.com/open?id=1FxxD6QsSmoAmPqb3j9Al3YgNMTUQwdie</t>
  </si>
  <si>
    <t>OT53 bảo lưu b7 do nằm viện</t>
  </si>
  <si>
    <t>https://www.facebook.com/profile.php?id=100068830412854&amp;mibextid=LQQJ4d</t>
  </si>
  <si>
    <t>Nguyễn Sỹ Việt Anh</t>
  </si>
  <si>
    <t>https://drive.google.com/open?id=1SIXZtcn-YvUeaQGmQ_9MeI3E7MRv-tKb; https://drive.google.com/open?id=1Cf1jwGX4En3U4-7CLJYH5IauxyFkRMZg</t>
  </si>
  <si>
    <t>https://www.facebook.com/h.ngocc06?mibextid=LQQJ4d</t>
  </si>
  <si>
    <r>
      <rPr>
        <sz val="12"/>
        <color theme="1"/>
        <rFont val="Times New Roman"/>
        <family val="1"/>
      </rPr>
      <t xml:space="preserve">Phạm Thị Hồng Ngọc </t>
    </r>
    <r>
      <rPr>
        <sz val="12"/>
        <color rgb="FFFF0000"/>
        <rFont val="Times New Roman"/>
        <family val="1"/>
      </rPr>
      <t>- Ngoc Anhh</t>
    </r>
  </si>
  <si>
    <t>99 Hoàng Hoa Thám - Ngọc Hà - Ba Đình - HN</t>
  </si>
  <si>
    <t>08/10/2024 và 19/10/2024</t>
  </si>
  <si>
    <t>https://drive.google.com/open?id=1sy1j21l3-9UGDwfxdcNTJJnA8BHEZ5O7; https://drive.google.com/open?id=1gTQIp30-TXIwiE4-8y6fIIgGv4XOngD7; https://drive.google.com/open?id=11EjXgjvdXu1lgiUMZ_mkQ7IV7744b3BZ</t>
  </si>
  <si>
    <t>https://www.facebook.com/profile.php?id=100050610362418&amp;mibextid=LQQJ4d</t>
  </si>
  <si>
    <r>
      <rPr>
        <sz val="12"/>
        <color theme="1"/>
        <rFont val="Times New Roman"/>
        <family val="1"/>
      </rPr>
      <t xml:space="preserve"> Nguyễn Thu Hà</t>
    </r>
    <r>
      <rPr>
        <sz val="12"/>
        <color rgb="FFFF0000"/>
        <rFont val="Times New Roman"/>
        <family val="1"/>
      </rPr>
      <t xml:space="preserve"> </t>
    </r>
  </si>
  <si>
    <t xml:space="preserve">nguyenxthuha67.26@gmail.com </t>
  </si>
  <si>
    <t>72/73/40 ,ngách 73 Hoàng ngân , Quan nhân, Thanh xuân</t>
  </si>
  <si>
    <t>14/10/2024 và 24/11/2024</t>
  </si>
  <si>
    <t>https://drive.google.com/open?id=1Inp8DX86QkuWPpwkBhLh23NIQ-0O3_mg; https://drive.google.com/open?id=1-KOIJ55XlMb_mEns3_LvAuUxd3hlX6lH</t>
  </si>
  <si>
    <t>https://www.facebook.com/profile.php?id=100036863714470&amp;mibextid=LQQJ4d&amp;rdid=yMY5kmc2EPw6tccs&amp;share_url=https%3A%2F%2Fwww.facebook.com%2Fshare%2FuUTCYPsXwvQnwyoo%2F%3Fmibextid%3DLQQJ4d</t>
  </si>
  <si>
    <t>phuonguyennn66@gmail.com</t>
  </si>
  <si>
    <t>https://drive.google.com/open?id=19aInkpnuacfYJ87hLTYLAjoOYqZi8CL2; https://drive.google.com/open?id=1AU2tdodD6RFjgFGei6wBMxksjEJ9o1B9</t>
  </si>
  <si>
    <t>https://www.facebook.com/profile.php?id=100079245636594</t>
  </si>
  <si>
    <r>
      <rPr>
        <sz val="12"/>
        <color theme="1"/>
        <rFont val="Times New Roman"/>
        <family val="1"/>
      </rPr>
      <t xml:space="preserve">Lê Huy Tùng Dương </t>
    </r>
    <r>
      <rPr>
        <sz val="12"/>
        <color rgb="FFFF0000"/>
        <rFont val="Times New Roman"/>
        <family val="1"/>
      </rPr>
      <t>- Đã nộp 300K 02/06/2025
OT53 bảo lưu b16 đi quân sự. Học T302 b15</t>
    </r>
  </si>
  <si>
    <t>lhtduong111@gmail.com</t>
  </si>
  <si>
    <t>https://drive.google.com/open?id=1kyHtuzNt4NSOYs6ybdoLB9KKHPsa4nBk; https://drive.google.com/open?id=14yhuZEyylkeKGN_4n63csR2muWQ2X9nw</t>
  </si>
  <si>
    <t>T299</t>
  </si>
  <si>
    <t>https://www.facebook.com/namgaoo18406</t>
  </si>
  <si>
    <r>
      <rPr>
        <sz val="12"/>
        <color theme="1"/>
        <rFont val="Times New Roman"/>
        <family val="1"/>
      </rPr>
      <t>Nguyễn Huy Nam</t>
    </r>
    <r>
      <rPr>
        <sz val="12"/>
        <color rgb="FFFF0000"/>
        <rFont val="Times New Roman"/>
        <family val="1"/>
      </rPr>
      <t xml:space="preserve"> - Đã nộp 300K 26/05/2025
OT53 bảo lưu b16 đi quân sự. Học T299 b18</t>
    </r>
  </si>
  <si>
    <t>emlasaodo1234@gmail.com</t>
  </si>
  <si>
    <t>số 97 ngõ 97/16 khương trung thanh xuân hà nội</t>
  </si>
  <si>
    <t>https://drive.google.com/open?id=1613SEeHcXRWauvohV3i21wobYxtJeXb4; https://drive.google.com/open?id=1XoVDzCI-yiEM_TEaGoJrNP_8aGbFJemV</t>
  </si>
  <si>
    <t>https://www.facebook.com/profile.php?id=100038095920945&amp;mibextid=LQQJ4d</t>
  </si>
  <si>
    <t>Vi Ngọc Minh Châu</t>
  </si>
  <si>
    <t>19/10/2024 và 24/10/2024</t>
  </si>
  <si>
    <t>08/11/2024 và 24/11/2024</t>
  </si>
  <si>
    <t>https://drive.google.com/open?id=1ChIbnBYvk4pUyxAROmlct1akMpPoMo2G; https://drive.google.com/open?id=1mr69Znak2_-eLHU920FWWqSM2vQJNbvx; https://drive.google.com/open?id=1gY8mwlJpb-TGJ_3KhZGk0EmbvvP0saQp, https://drive.google.com/open?id=1ULzUm1K8jWDxLDGLZhEzH9zkewFM8NKw</t>
  </si>
  <si>
    <t>https://www.facebook.com/hosytung1509?mibextid=ZbWKwL</t>
  </si>
  <si>
    <t xml:space="preserve">Hồ Sỹ Tùng </t>
  </si>
  <si>
    <t xml:space="preserve">  hsttdna@gmail.com </t>
  </si>
  <si>
    <t>22/10/2024 và 23/10/2024 và 09/11/2024</t>
  </si>
  <si>
    <t>https://drive.google.com/open?id=1nJ8wo1SSCF-G7xsAQTraEu3eaP4iXnJZ; https://drive.google.com/open?id=1swRhACKPzkFnZpcxtIXHhDiYFImUrxH5; https://drive.google.com/open?id=10SIXK5tWxUHoUuhpxc6YjQkzhrGg8E8E; https://drive.google.com/open?id=18VnZ81QpZTcQsuR0ATLFr0xzWL6CwAID</t>
  </si>
  <si>
    <t>https://www.facebook.com/profile.php?id=100053965261033&amp;mibextid=ZbWKwL</t>
  </si>
  <si>
    <t xml:space="preserve">Đỗ Văn Như Đông </t>
  </si>
  <si>
    <t>dovannhudong.hd@gmail.com</t>
  </si>
  <si>
    <t>https://drive.google.com/open?id=1y1q106iZp4HdV0_QHxWFPez2fyKXqJIT; https://drive.google.com/open?id=1SAAqs7kyaJAI6ZQpddNlX_uuCGTHA_NG; https://drive.google.com/open?id=1VzokjGmfHhsgNHLPo5iTv1SjdHXEK8iV; https://drive.google.com/open?id=1c-5npXL4z0-v_hOXFfTS3lBV0wRU5nU2</t>
  </si>
  <si>
    <r>
      <rPr>
        <sz val="12"/>
        <color theme="1"/>
        <rFont val="Times New Roman"/>
        <family val="1"/>
      </rPr>
      <t>Nguyễn Đức Bình</t>
    </r>
    <r>
      <rPr>
        <sz val="12"/>
        <color rgb="FFFF0000"/>
        <rFont val="Times New Roman"/>
        <family val="1"/>
      </rPr>
      <t xml:space="preserve"> - Đã nộp 400K 24/03/25
OT53 bảo lưu b13 đi quân sự. Học T302 b1</t>
    </r>
  </si>
  <si>
    <t>8b ngõ 230 định công thượng, định công, hoàng mai, hà nội</t>
  </si>
  <si>
    <t>10/12/2024 sách cũ</t>
  </si>
  <si>
    <r>
      <rPr>
        <sz val="12"/>
        <color theme="1"/>
        <rFont val="Times New Roman"/>
        <family val="1"/>
      </rPr>
      <t>Bùi Triệu Linh Chi</t>
    </r>
    <r>
      <rPr>
        <sz val="12"/>
        <color rgb="FFFF0000"/>
        <rFont val="Times New Roman"/>
        <family val="1"/>
      </rPr>
      <t xml:space="preserve"> </t>
    </r>
  </si>
  <si>
    <t>https://www.facebook.com/khoa.kenvil.5?mibextid=ZbWKwL</t>
  </si>
  <si>
    <r>
      <rPr>
        <sz val="12"/>
        <color theme="1"/>
        <rFont val="Times New Roman"/>
        <family val="1"/>
      </rPr>
      <t>Bùi Trần Đăng Khoa</t>
    </r>
    <r>
      <rPr>
        <sz val="12"/>
        <color rgb="FFFF0000"/>
        <rFont val="Times New Roman"/>
        <family val="1"/>
      </rPr>
      <t xml:space="preserve"> - 337379206 số cũ</t>
    </r>
  </si>
  <si>
    <t>https://drive.google.com/open?id=1t8IFhc8bH3fiudqKloNEUPgZIBj-GwNe; https://drive.google.com/open?id=1xfgJHRrDK6pSSOynIC7GhV7RUI6m_nVI; ://drive.googhttpsle.com/open?id=1vLGVQBoQSTBmfcEUwWt2zvrZR5e2J9Kw</t>
  </si>
  <si>
    <t>nhà 1 số 162  phố chùa láng, láng thượng ,đống đa, Hà Nội</t>
  </si>
  <si>
    <t>Nguyễn Thị Dịu</t>
  </si>
  <si>
    <t>Xóm7-Khánh Thuỷ, Yên Khánh, Ninh Bình</t>
  </si>
  <si>
    <t>Ngõ 165 Ngách 12 Dương Quảng Hàm, Quan Hoa, Cầu Giấy, Hà Nội</t>
  </si>
  <si>
    <t>nhà số 21 ngõ 64 lĩnh nam, mai động, hoàng mai , Hà Nội</t>
  </si>
  <si>
    <t>https://www.facebook.com/profile.php?id=100044846827490&amp;mibextid=LQQJ4d</t>
  </si>
  <si>
    <t xml:space="preserve">Vũ Ngọc Kim Uyên </t>
  </si>
  <si>
    <t>uynuyn260719@gmail.com</t>
  </si>
  <si>
    <t>số 23/77 ngõ 96 đường chợ hàng cũ,phường dư hàng kênh,quận lê chân,hải phòng</t>
  </si>
  <si>
    <t>08/10/2024 và 12/10/2024</t>
  </si>
  <si>
    <t>https://drive.google.com/open?id=1KcvS97YrItve4D7582PUKDWCNvRXva0X; https://drive.google.com/open?id=16Nn-ChyqLnvtNtdHolJPOgXj-ZextgLD; https://drive.google.com/open?id=1Dwid6ZhcjiiVA08jhBdb5Q6-Ym1DEZxF</t>
  </si>
  <si>
    <t>57 ngõ 304 Lê Duẩn-Trung Phụng Đống Đa -Hà Nội</t>
  </si>
  <si>
    <t>W12</t>
  </si>
  <si>
    <r>
      <rPr>
        <sz val="12"/>
        <color theme="1"/>
        <rFont val="Times New Roman"/>
        <family val="1"/>
      </rPr>
      <t>Nguyễn Hồ Khánh Linh</t>
    </r>
    <r>
      <rPr>
        <sz val="12"/>
        <color rgb="FFFF0000"/>
        <rFont val="Times New Roman"/>
        <family val="1"/>
      </rPr>
      <t xml:space="preserve"> - W9</t>
    </r>
  </si>
  <si>
    <t xml:space="preserve">Nguyễn Mạnh Tú </t>
  </si>
  <si>
    <t>U8-L6,Khu Đô Thi Đô Nghĩa, Phường Yên Nghĩa, Quạn Hà Đông, Hà Nội</t>
  </si>
  <si>
    <t>Số 6, Ngõ 7, đường Phú Kiều, Phúc Diễn, Bắc Từ Liêm, Hà Nội</t>
  </si>
  <si>
    <r>
      <rPr>
        <sz val="12"/>
        <color theme="1"/>
        <rFont val="Times New Roman"/>
        <family val="1"/>
      </rPr>
      <t xml:space="preserve">Nguyễn Ngọc Diệp </t>
    </r>
    <r>
      <rPr>
        <sz val="12"/>
        <color rgb="FFFF0000"/>
        <rFont val="Times New Roman"/>
        <family val="1"/>
      </rPr>
      <t xml:space="preserve"> </t>
    </r>
  </si>
  <si>
    <t>36 ngách 116/51 miếu đầm, mễ trì, Nam Từ Liêm, Hà Nội</t>
  </si>
  <si>
    <t>T277 bảo lưu buổi 1</t>
  </si>
  <si>
    <t>https://www.facebook.com/profile.php?id=100039024187431</t>
  </si>
  <si>
    <r>
      <rPr>
        <sz val="12"/>
        <color theme="1"/>
        <rFont val="Times New Roman"/>
        <family val="1"/>
      </rPr>
      <t xml:space="preserve">Trần Xuân Trường </t>
    </r>
    <r>
      <rPr>
        <sz val="12"/>
        <color rgb="FFFF0000"/>
        <rFont val="Times New Roman"/>
        <family val="1"/>
      </rPr>
      <t>- GR18 - Đã nộp 300K 19/12/2024</t>
    </r>
  </si>
  <si>
    <t>Ngõ hòa bình 7, Ngách 81, Hẻm 23 số 17, phường Minh Khai, Hai Bà Trưng, Hà Nội</t>
  </si>
  <si>
    <t>https://drive.google.com/open?id=1mMesBIqj7r0aycbofQpYnUx3sVW7CxqP</t>
  </si>
  <si>
    <t>Đã trả lương</t>
  </si>
  <si>
    <t>số nhà 100 an thọ 2 an khánh hoài đức hà nội</t>
  </si>
  <si>
    <t>Lê Thị Mai</t>
  </si>
  <si>
    <t>Số 27, nguyễn trãi thanh xuân hà nội</t>
  </si>
  <si>
    <r>
      <rPr>
        <sz val="12"/>
        <color theme="1"/>
        <rFont val="Times New Roman"/>
        <family val="1"/>
      </rPr>
      <t xml:space="preserve">Vũ Trung Kiên </t>
    </r>
    <r>
      <rPr>
        <sz val="12"/>
        <color rgb="FFFF0000"/>
        <rFont val="Times New Roman"/>
        <family val="1"/>
      </rPr>
      <t>- đã nộp 300K 18/04/25
OT52 bảo lưu b13 đi quân sự. Học T300 b8</t>
    </r>
  </si>
  <si>
    <t>Nhà 30, An Hạ 2, An Thương, Hoài Đức, Hà Nội</t>
  </si>
  <si>
    <t>T282</t>
  </si>
  <si>
    <r>
      <rPr>
        <sz val="12"/>
        <color theme="1"/>
        <rFont val="Times New Roman"/>
        <family val="1"/>
      </rPr>
      <t>Nguyễn Thị Ngọc Anh</t>
    </r>
    <r>
      <rPr>
        <sz val="12"/>
        <color rgb="FFFF0000"/>
        <rFont val="Times New Roman"/>
        <family val="1"/>
      </rPr>
      <t xml:space="preserve"> - OT52 rú phút 88</t>
    </r>
  </si>
  <si>
    <t>Nhà số 1, Ngõ 3 đường Đức Diễn, Phúc Diễn, Bắc Từ Liêm, Hà Nội</t>
  </si>
  <si>
    <r>
      <rPr>
        <sz val="12"/>
        <color theme="1"/>
        <rFont val="Times New Roman"/>
        <family val="1"/>
      </rPr>
      <t xml:space="preserve">Nguyễn Ngọc Anh </t>
    </r>
    <r>
      <rPr>
        <sz val="12"/>
        <color rgb="FFFF0000"/>
        <rFont val="Times New Roman"/>
        <family val="1"/>
      </rPr>
      <t>- đã nộp 300K 08/12/2024
VIP94 bảo lưu b11. Học VIP115 buổi 11</t>
    </r>
  </si>
  <si>
    <t>T281</t>
  </si>
  <si>
    <t>https://www.facebook.com/profile.php?id=100069988596011&amp;mibextid=LQQJ4d</t>
  </si>
  <si>
    <t xml:space="preserve">Vũ Thảo Phương </t>
  </si>
  <si>
    <t>3/66/180 Nam Dư, Lĩnh Nam</t>
  </si>
  <si>
    <t>https://drive.google.com/open?id=1M9ICp9ejk9UsN1gi9vJJWT9lFT8CFNeK; https://drive.google.com/open?id=1D_YW8ff3QRESRe0cC1lxRY45w4PmCVuW</t>
  </si>
  <si>
    <t>https://www.facebook.com/vananh.uong.35</t>
  </si>
  <si>
    <t xml:space="preserve">Uông Thị Vân Anh </t>
  </si>
  <si>
    <t>k5.a1.anhut@gmail.com</t>
  </si>
  <si>
    <t>Nhà số 14-ngõ 30 đường làng Trúng Đích -Hạ Mỗ - Đan Phượng -HN</t>
  </si>
  <si>
    <t>19/10/2024 và 29/10/2024 và 30/11/2024</t>
  </si>
  <si>
    <t>https://drive.google.com/open?id=1dDyfc6IHsiHCowqX4rABmiHCPhXMWD3C; https://drive.google.com/open?id=18Cw8S55gH6rgiRMU-BEdu9Ku_8hBK2uj; https://drive.google.com/open?id=1t8190eW3s6OGoGsk3WRNfrofTxWxmqMm</t>
  </si>
  <si>
    <t>https://www.facebook.com/t.tt1426hj?mibextid=ZbWKwL</t>
  </si>
  <si>
    <t xml:space="preserve">Trần Thị Thanh Thuỷ </t>
  </si>
  <si>
    <t xml:space="preserve"> 20, Ngô Gia Tự, Phủ Lý , Hà Nam</t>
  </si>
  <si>
    <t>https://drive.google.com/open?id=11P41UUcMzwNGgxegz16pdtRqUbNvhryw; https://drive.google.com/open?id=1fIKjILfAYyc1aQGcKb5dHmFf2m_SGl5J</t>
  </si>
  <si>
    <t>Nguyễn Hoàng Sơn</t>
  </si>
  <si>
    <r>
      <rPr>
        <sz val="12"/>
        <color theme="1"/>
        <rFont val="Times New Roman"/>
        <family val="1"/>
      </rPr>
      <t>Nguyễn Đình Thắng</t>
    </r>
    <r>
      <rPr>
        <sz val="12"/>
        <color rgb="FFFF0000"/>
        <rFont val="Times New Roman"/>
        <family val="1"/>
      </rPr>
      <t xml:space="preserve"> </t>
    </r>
  </si>
  <si>
    <r>
      <rPr>
        <sz val="12"/>
        <color theme="1"/>
        <rFont val="Times New Roman"/>
        <family val="1"/>
      </rPr>
      <t xml:space="preserve">Lê Ngọc Hà </t>
    </r>
    <r>
      <rPr>
        <sz val="12"/>
        <color rgb="FFFF0000"/>
        <rFont val="Times New Roman"/>
        <family val="1"/>
      </rPr>
      <t>- nhận học. Đã nộp 300K 22/09/2024</t>
    </r>
    <r>
      <rPr>
        <sz val="12"/>
        <color theme="1"/>
        <rFont val="Times New Roman"/>
        <family val="1"/>
      </rPr>
      <t xml:space="preserve">
Nguyễn Thị Chi</t>
    </r>
    <r>
      <rPr>
        <sz val="12"/>
        <color rgb="FFFF0000"/>
        <rFont val="Times New Roman"/>
        <family val="1"/>
      </rPr>
      <t xml:space="preserve"> - nick Châu Chi Anh </t>
    </r>
    <r>
      <rPr>
        <sz val="12"/>
        <color theme="1"/>
        <rFont val="Times New Roman"/>
        <family val="1"/>
      </rPr>
      <t>949799499</t>
    </r>
  </si>
  <si>
    <t>Yến chat</t>
  </si>
  <si>
    <t>Chi Châu Anh chuyển nhượng cho Lê Ngọc Hà
- Chuyển 2 khóa S, W cho Hà đổi thành T và VIP =&gt; đúng ý em chưa?</t>
  </si>
  <si>
    <t xml:space="preserve">Nguyễn Thị Thùy Linh </t>
  </si>
  <si>
    <t>126ngách 250/39,Đường Kim Giang ,Phường Đại Kim ,Quận Hoàng Mai, Hà Nội</t>
  </si>
  <si>
    <r>
      <rPr>
        <sz val="12"/>
        <color theme="1"/>
        <rFont val="Times New Roman"/>
        <family val="1"/>
      </rPr>
      <t>Nguyễn Tống Thiên Ân</t>
    </r>
    <r>
      <rPr>
        <sz val="12"/>
        <color rgb="FFFF0000"/>
        <rFont val="Times New Roman"/>
        <family val="1"/>
      </rPr>
      <t xml:space="preserve"> - gửi sách S+W</t>
    </r>
  </si>
  <si>
    <t>73A Nguyễn Khoái, phường Bạch Đằng, quận Long Biên, Hà Nội</t>
  </si>
  <si>
    <t>Xóm 3, Nhật Tựu, Nhật Tựu, Kim Bảng, Hà Nam</t>
  </si>
  <si>
    <t xml:space="preserve"> https://www.facebook.com/profile.php?id=100052930118481&amp;mibextid=ZbWKwL</t>
  </si>
  <si>
    <r>
      <rPr>
        <sz val="12"/>
        <color theme="1"/>
        <rFont val="Times New Roman"/>
        <family val="1"/>
      </rPr>
      <t xml:space="preserve"> Đinh Thị Ngọc Ly </t>
    </r>
    <r>
      <rPr>
        <sz val="12"/>
        <color rgb="FFFF0000"/>
        <rFont val="Times New Roman"/>
        <family val="1"/>
      </rPr>
      <t>(hợp đồng) PT80</t>
    </r>
  </si>
  <si>
    <t>ngocly25122006@gmail.com</t>
  </si>
  <si>
    <t>Địa chỉ nhận sách: Trung Mường - Quang Tiến - tp Hoà Bình - tỉnh Hoà Bình</t>
  </si>
  <si>
    <t>29/06/2024 và 29/09/2024</t>
  </si>
  <si>
    <t>https://drive.google.com/open?id=1RKr5aXjNg257msjsiTCb6Lz_rbWrh57T; https://drive.google.com/open?id=1kct1_xFg4du_i24KIEye_jsnaNHqq1AM; https://drive.google.com/open?id=1az4cVb-ZqO5yDj3axOU06w38gcc6RYbD</t>
  </si>
  <si>
    <t>https://www.facebook.com/profile.php?id=100063137708031&amp;mibextid=ZbWKwL</t>
  </si>
  <si>
    <r>
      <rPr>
        <sz val="12"/>
        <color theme="1"/>
        <rFont val="Times New Roman"/>
        <family val="1"/>
      </rPr>
      <t xml:space="preserve">Lê Huy Hoàng </t>
    </r>
    <r>
      <rPr>
        <sz val="12"/>
        <color rgb="FFFF0000"/>
        <rFont val="Times New Roman"/>
        <family val="1"/>
      </rPr>
      <t>(hợp đồng)</t>
    </r>
  </si>
  <si>
    <t>huyhoang122188@gmail.com</t>
  </si>
  <si>
    <t>Thôn Quý Lâm,xã Cẩm Quý,huyện Cẩm Thuỷ,tỉnh Thanh Hoá</t>
  </si>
  <si>
    <t>22/06/2024 và 21/07/2024</t>
  </si>
  <si>
    <t>https://drive.google.com/open?id=1C2X1u0GYJu9pd3SyrKIw2UAeFnGG0uWp; https://drive.google.com/open?id=1Ef16OMrWriPw4Kt-UKNeRsWUnCGVLQDj</t>
  </si>
  <si>
    <t>https://www.facebook.com/profile.php?id=100070612756062&amp;mibextid=ZbWKwL</t>
  </si>
  <si>
    <r>
      <rPr>
        <sz val="12"/>
        <color theme="1"/>
        <rFont val="Times New Roman"/>
        <family val="1"/>
      </rPr>
      <t xml:space="preserve">Nguyễn Trọng Nam </t>
    </r>
    <r>
      <rPr>
        <sz val="12"/>
        <color rgb="FFFF0000"/>
        <rFont val="Times New Roman"/>
        <family val="1"/>
      </rPr>
      <t xml:space="preserve">(hợp đồng) </t>
    </r>
  </si>
  <si>
    <t>nguyennamber@gmail.com</t>
  </si>
  <si>
    <t xml:space="preserve"> 297/105 Trần Cung,Cổ Nhuế 1, Bắc Từ Liêm</t>
  </si>
  <si>
    <t>11/07/2024 và 13/09/2024</t>
  </si>
  <si>
    <t>https://drive.google.com/open?id=1wktVfdNam9cGwqRzIShXGLMX2vbLWyiD; https://drive.google.com/open?id=1yUqb-SNYZVamBanGHtbCnLlDaroXo2Om</t>
  </si>
  <si>
    <t>Ngõ 4, đường Cầu Bưu, xã Tả Thanh Oai, huyện Thanh Trì, Hà Nội</t>
  </si>
  <si>
    <t>https://www.facebook.com/profile.php?id=100076275686646&amp;mibextid=LQQJ4d</t>
  </si>
  <si>
    <r>
      <rPr>
        <sz val="12"/>
        <color theme="1"/>
        <rFont val="Times New Roman"/>
        <family val="1"/>
      </rPr>
      <t xml:space="preserve">Nguyễn Thị Thanh Hương </t>
    </r>
    <r>
      <rPr>
        <sz val="12"/>
        <color rgb="FFFF0000"/>
        <rFont val="Times New Roman"/>
        <family val="1"/>
      </rPr>
      <t>(hợp đồng) PT105</t>
    </r>
  </si>
  <si>
    <t xml:space="preserve">Thôn Đồng Đội - xã Thống Kênh- huyện Gia Lộc - tỉnh Hải Dương </t>
  </si>
  <si>
    <t>27/07/2024 và 07/08/2024</t>
  </si>
  <si>
    <t>https://drive.google.com/open?id=1nhzz2sUY1GUzJsHJLgxsynrDlynCQk13; https://drive.google.com/open?id=1L58ypQIQh-gFtOOve7EmuasnKJ96Zo06</t>
  </si>
  <si>
    <t>Hạ combo =&gt; Tăng lại =&gt; Hạ combo</t>
  </si>
  <si>
    <t>OPT34 bảo lưu b4 do trùng lịch</t>
  </si>
  <si>
    <r>
      <rPr>
        <sz val="12"/>
        <color theme="1"/>
        <rFont val="Times New Roman"/>
        <family val="1"/>
      </rPr>
      <t>Phan Hà Vi</t>
    </r>
    <r>
      <rPr>
        <sz val="12"/>
        <color rgb="FFFF0000"/>
        <rFont val="Times New Roman"/>
        <family val="1"/>
      </rPr>
      <t xml:space="preserve"> (hợp đồng) - Đã nộp 300K 16/09/2024
OPT24 bảo lưu buổi 1</t>
    </r>
  </si>
  <si>
    <r>
      <rPr>
        <sz val="12"/>
        <color theme="1"/>
        <rFont val="Times New Roman"/>
        <family val="1"/>
      </rPr>
      <t xml:space="preserve">Nguyễn Bảo Anh </t>
    </r>
    <r>
      <rPr>
        <sz val="12"/>
        <color rgb="FFFF0000"/>
        <rFont val="Times New Roman"/>
        <family val="1"/>
      </rPr>
      <t>(hợp đồng) - Bảo Em
0</t>
    </r>
    <r>
      <rPr>
        <sz val="12"/>
        <color theme="1"/>
        <rFont val="Times New Roman"/>
        <family val="1"/>
      </rPr>
      <t xml:space="preserve">326082585 </t>
    </r>
    <r>
      <rPr>
        <sz val="12"/>
        <color rgb="FFFF0000"/>
        <rFont val="Times New Roman"/>
        <family val="1"/>
      </rPr>
      <t>OPT23</t>
    </r>
  </si>
  <si>
    <t>https://www.facebook.com/profile.php?id=100044857876354&amp;mibextid=LQQJ4d</t>
  </si>
  <si>
    <r>
      <rPr>
        <sz val="12"/>
        <color theme="1"/>
        <rFont val="Times New Roman"/>
        <family val="1"/>
      </rPr>
      <t xml:space="preserve">Phạm Thu Thanh </t>
    </r>
    <r>
      <rPr>
        <sz val="12"/>
        <color rgb="FFFF0000"/>
        <rFont val="Times New Roman"/>
        <family val="1"/>
      </rPr>
      <t>(hợp đồng)</t>
    </r>
  </si>
  <si>
    <t>Nhà số 10, ngõ 112/12, nguyên xá, Minh Khai, Từ Liêm, Hà Nội</t>
  </si>
  <si>
    <t>10/08/2024 và 25/09/2024</t>
  </si>
  <si>
    <t>https://drive.google.com/open?id=16jvxq1mG5uC_ttJUBl0oKIDHxw0HASo8; https://drive.google.com/open?id=1XoUh1O5NL6tO8k3SN24ajikkALodCdb6</t>
  </si>
  <si>
    <t>https://www.facebook.com/ngocc.nguyenn.1428?mibextid=LQQJ4d</t>
  </si>
  <si>
    <r>
      <rPr>
        <sz val="12"/>
        <color theme="1"/>
        <rFont val="Times New Roman"/>
        <family val="1"/>
      </rPr>
      <t xml:space="preserve">Nguyễn Khánh Ngọc </t>
    </r>
    <r>
      <rPr>
        <sz val="12"/>
        <color rgb="FFFF0000"/>
        <rFont val="Times New Roman"/>
        <family val="1"/>
      </rPr>
      <t>(hợp đồng)</t>
    </r>
  </si>
  <si>
    <t xml:space="preserve">404 lý thái tổ đồng hới quảng bình </t>
  </si>
  <si>
    <t>17/07/2024 và 14/08/2024</t>
  </si>
  <si>
    <t>https://drive.google.com/open?id=1tpCnozELgCdvdZ1VBVUEYmBKoPJQZH3J, https://drive.google.com/open?id=1eo1FhCHyGkYhskHrXaxWTOH5tUHXh4Is</t>
  </si>
  <si>
    <t>OPT23 bảo lưu b9 đi quân sự</t>
  </si>
  <si>
    <t>https://www.facebook.com/ngocc.trinh.98?mibextid=LQQJ4d</t>
  </si>
  <si>
    <r>
      <rPr>
        <sz val="12"/>
        <color theme="1"/>
        <rFont val="Times New Roman"/>
        <family val="1"/>
      </rPr>
      <t xml:space="preserve">Nguyễn Mai Trinh </t>
    </r>
    <r>
      <rPr>
        <sz val="12"/>
        <color rgb="FFFF0000"/>
        <rFont val="Times New Roman"/>
        <family val="1"/>
      </rPr>
      <t>(hợp đồng)</t>
    </r>
  </si>
  <si>
    <t>mtrinhh2204gmail.com</t>
  </si>
  <si>
    <t>xóm 7, thôn khánh vân, xã Hải Nhân,thị xã Nghi Sơn, Thanh Hoá</t>
  </si>
  <si>
    <t>14/08/2024 và 05/09/2024</t>
  </si>
  <si>
    <t>https://drive.google.com/open?id=1tdJh4KscqOS9QZMd_niF1Qdro-lEEo3F; https://drive.google.com/open?id=1vvOilUfyoIXcE_vQkYZ0Zer_fLMgy73V</t>
  </si>
  <si>
    <t>https://www.facebook.com/profile.php?id=100023479863150&amp;mibextid=LQQJ4d</t>
  </si>
  <si>
    <r>
      <rPr>
        <sz val="12"/>
        <color theme="1"/>
        <rFont val="Times New Roman"/>
        <family val="1"/>
      </rPr>
      <t>Nguyễn Thị Thu</t>
    </r>
    <r>
      <rPr>
        <sz val="12"/>
        <color rgb="FFFF0000"/>
        <rFont val="Times New Roman"/>
        <family val="1"/>
      </rPr>
      <t xml:space="preserve"> (hợp đồng) T233 rút khi lớp đã KG</t>
    </r>
  </si>
  <si>
    <t>thithunguyen679@gmail.com</t>
  </si>
  <si>
    <t>Khu 5 - phường Đại Phúc - thành phố Bắc Ninh - tỉnh Bắc Ninh</t>
  </si>
  <si>
    <t>19/08/2024 và 02/10/2024</t>
  </si>
  <si>
    <t>03/11/2024 và 25/11/2024</t>
  </si>
  <si>
    <t>https://drive.google.com/open?id=1D8l_hWqW320vGuYJ9Mh4wGlzoKEC-k6x; https://drive.google.com/open?id=10n43LWsp6vsAEt4Ob7cdWAOmJSiz2pQ2; https://drive.google.com/open?id=1JJZRf3YfWSDi_wF_sRoGEFeKadhuArxK, https://drive.google.com/open?id=1HbABjLDFr0e7wQCdA5LR1RIgWwJvcvPy</t>
  </si>
  <si>
    <t>https://www.facebook.com/profile.php?id=100052040057832&amp;mibextid=ZbWKwL</t>
  </si>
  <si>
    <t>Đào Thanh Duyên</t>
  </si>
  <si>
    <t>số nhà 24, ngõ 54, đường Đinh Điền, phường Ninh Khánh, thành phố Ninh Bình, Tỉnh Ninh</t>
  </si>
  <si>
    <t>28/10/2024 và 07/11/2024</t>
  </si>
  <si>
    <t>https://drive.google.com/open?id=11RFyAynv4v1RL3yyfjvn-AAjS0XYPCX6; https://drive.google.com/open?id=1FwGonS9U4Iq3q7OKe6M1TdOn3eH05AnA; https://drive.google.com/open?id=1wgAB0iYgYTIcLjHKi79nUn4uccQdViCq, https://drive.google.com/open?id=1yZQE0l6Rn5YgxNd9cPB7HY17i6mMjcVK</t>
  </si>
  <si>
    <t>https://www.facebook.com/nhlg.29s?mibextid=LQQJ4d</t>
  </si>
  <si>
    <r>
      <rPr>
        <sz val="12"/>
        <color theme="1"/>
        <rFont val="Times New Roman"/>
        <family val="1"/>
      </rPr>
      <t xml:space="preserve">Nguyễn Hoàng Linh </t>
    </r>
    <r>
      <rPr>
        <sz val="12"/>
        <color rgb="FFFF0000"/>
        <rFont val="Times New Roman"/>
        <family val="1"/>
      </rPr>
      <t>(hợp đồng) - Đã nộp 300K 29/09/24
PT116 bảo lưu b7. Học OPT44 buổi 1</t>
    </r>
  </si>
  <si>
    <t>nguyenhoanglinh1234789@gmail.com</t>
  </si>
  <si>
    <t>Điện máy Dũng Tuyết, Xóm Tân Thành, xã Cao Dương, huyện Lương Sơn, tỉnh Hòa Bình</t>
  </si>
  <si>
    <t>23/08/2024 và 25/08/2024</t>
  </si>
  <si>
    <t>https://drive.google.com/open?id=1apqwliy06QqywsXZtqA0tk81JnSZPkRD; https://drive.google.com/open?id=1V5LeHyx-BYdorS4pdnhlm8IsOC2pUyXm; https://drive.google.com/open?id=1fDWMKuX_jTmJzWv-it4QxmjnalW8GvAy</t>
  </si>
  <si>
    <t>https://www.facebook.com/trinh.quan.9843499?mibextid=LQQJ4d</t>
  </si>
  <si>
    <r>
      <rPr>
        <sz val="12"/>
        <color theme="1"/>
        <rFont val="Times New Roman"/>
        <family val="1"/>
      </rPr>
      <t>Trịnh Bá Quân</t>
    </r>
    <r>
      <rPr>
        <sz val="12"/>
        <color rgb="FFFF0000"/>
        <rFont val="Times New Roman"/>
        <family val="1"/>
      </rPr>
      <t xml:space="preserve"> (hợp đồng)</t>
    </r>
  </si>
  <si>
    <t>quan061226@gmail.com</t>
  </si>
  <si>
    <t>23/08/2024 và 17/09/2024</t>
  </si>
  <si>
    <t>https://drive.google.com/open?id=1bytkICgOtLa77_SE81wccYnmMv6FZAXP; https://drive.google.com/open?id=1r42Fp4JYhx7Fp7xpJlyUbxPZS05sozU_</t>
  </si>
  <si>
    <t>https://www.facebook.com/phanducanhdtd?mibextid=LQQJ4d</t>
  </si>
  <si>
    <t xml:space="preserve">Phan Đức Anh </t>
  </si>
  <si>
    <t>https://drive.google.com/open?id=1P-5tJmMxc59ZQGNgu5OMZi79TDTYv0NA</t>
  </si>
  <si>
    <r>
      <rPr>
        <sz val="12"/>
        <color theme="1"/>
        <rFont val="Times New Roman"/>
        <family val="1"/>
      </rPr>
      <t xml:space="preserve">Hồ Hoài Nam </t>
    </r>
    <r>
      <rPr>
        <sz val="12"/>
        <color rgb="FFFF0000"/>
        <rFont val="Times New Roman"/>
        <family val="1"/>
      </rPr>
      <t>(hợp đồng) OPT29</t>
    </r>
  </si>
  <si>
    <t>https://www.facebook.com/profile.php?id=100033376013445&amp;mibextid=LQQJ4d</t>
  </si>
  <si>
    <r>
      <rPr>
        <sz val="12"/>
        <color theme="1"/>
        <rFont val="Times New Roman"/>
        <family val="1"/>
      </rPr>
      <t>Trần Quốc Thành Thiện</t>
    </r>
    <r>
      <rPr>
        <sz val="12"/>
        <color rgb="FFFF0000"/>
        <rFont val="Times New Roman"/>
        <family val="1"/>
      </rPr>
      <t xml:space="preserve"> (hợp đồng) OPT37 học 4 buổi
HV xin chuyển vào OT30 do PT học dễ quá. Đạt báo
- 862158078 số ZALO</t>
    </r>
  </si>
  <si>
    <t>thien192006@gmail.com</t>
  </si>
  <si>
    <t>29/08/2024 và 15/09/2024 và 15/10/2024</t>
  </si>
  <si>
    <t>20/11/2024 và 21/11/2024</t>
  </si>
  <si>
    <t>https://drive.google.com/open?id=1-ho7AGrHo_3c7iPqwUSedO0BzXOyFMby; https://drive.google.com/open?id=1bo14DJ1x-SlGSu3pgsk-aB6W4hHiklpB; https://drive.google.com/open?id=1oPccGrPuI9rMSkSlUbeeCSw54WyaW_Ha, https://drive.google.com/open?id=1BdHY5vaNsekQ1Aty1kIa3tp8zQN9CFyO, https://drive.google.com/open?id=14H81J8pSNlAWaSDlMr6KmthS0b6wMfct</t>
  </si>
  <si>
    <t>30/09/2024 sách PT</t>
  </si>
  <si>
    <t>https://drive.google.com/open?id=196qPXbpxRR5fxfbGmNWUWpTirF9Iw4Oa; https://drive.google.com/open?id=1IGBEQh60UQ5Gdu6IC3s0XyV7Tg6eOzW6; https://drive.google.com/open?id=1IiKPxcA5oRceRNqD1B0eACMva8Z7e7W6; https://drive.google.com/open?id=1LmRCM9YHffPbkGnMxms10B6cYuO0Ve-W</t>
  </si>
  <si>
    <t>https://www.facebook.com/profile.php?id=100068912166364</t>
  </si>
  <si>
    <r>
      <rPr>
        <sz val="12"/>
        <color theme="1"/>
        <rFont val="Times New Roman"/>
        <family val="1"/>
      </rPr>
      <t>Lại  Cẩm Tú</t>
    </r>
    <r>
      <rPr>
        <sz val="12"/>
        <color rgb="FFFF0000"/>
        <rFont val="Times New Roman"/>
        <family val="1"/>
      </rPr>
      <t xml:space="preserve"> - Đã nộp 300K 29/100/2024
PT123 bảo lưu buổi 1 đi quân sự. Học PT150 buổi 1</t>
    </r>
  </si>
  <si>
    <t xml:space="preserve"> tucam12806@gmail.com</t>
  </si>
  <si>
    <t>Số 42 ngõ 162 nguyên xá minh khai bắc từ liêm</t>
  </si>
  <si>
    <t>https://drive.google.com/open?id=1TpQnGoUZtNnpSAjklN0-wC3MxEuRLInN; https://drive.google.com/open?id=1vVLkj2xO2Rxe6bnW5MgUxaxhKHzJ5ysH; https://drive.google.com/open?id=1kMGOy0m5dnB-l7VSrqZqjA2OPnjOc6wR</t>
  </si>
  <si>
    <t>https://www.facebook.com/hoang.thi.nga.6306?mibextid=LQQJ4d</t>
  </si>
  <si>
    <t>Hoàng Thị Nga</t>
  </si>
  <si>
    <t>Số 9 Quyết Thắng, Phú La, Hà Đông</t>
  </si>
  <si>
    <t>https://drive.google.com/open?id=1YmzkIBkTpncnQZqhKFEYp1CXG15H6tmA</t>
  </si>
  <si>
    <t>https://www.facebook.com/linhh.nguyenkhanh.752?mibextid=LQQJ4d</t>
  </si>
  <si>
    <r>
      <rPr>
        <sz val="12"/>
        <color theme="1"/>
        <rFont val="Times New Roman"/>
        <family val="1"/>
      </rPr>
      <t>Nguyễn Khánh Linh</t>
    </r>
    <r>
      <rPr>
        <sz val="12"/>
        <color rgb="FFFF0000"/>
        <rFont val="Times New Roman"/>
        <family val="1"/>
      </rPr>
      <t xml:space="preserve"> - đã nộp 300K 16/10/24
OPT27 bảo lưu b8 do trùng lịch. Học OPT44 b1</t>
    </r>
  </si>
  <si>
    <t>kalih2369@gmail.com</t>
  </si>
  <si>
    <t>25/08/2024 và 08/09/2024</t>
  </si>
  <si>
    <t>https://drive.google.com/open?id=1F8y4e2HLrcj48cEYnCCI2U84U6p8jXLU, https://drive.google.com/open?id=16E5Rvep9YnkGOfxK2hTmBTERiKnCQtj5</t>
  </si>
  <si>
    <t>https://www.facebook.com/trammota18?mibextid=LQQJ4d</t>
  </si>
  <si>
    <r>
      <rPr>
        <sz val="12"/>
        <color theme="1"/>
        <rFont val="Times New Roman"/>
        <family val="1"/>
      </rPr>
      <t xml:space="preserve">Nguyễn Bảo Trâm </t>
    </r>
    <r>
      <rPr>
        <sz val="12"/>
        <color rgb="FFFF0000"/>
        <rFont val="Times New Roman"/>
        <family val="1"/>
      </rPr>
      <t xml:space="preserve"> (hợp đồng)</t>
    </r>
  </si>
  <si>
    <t>ntram3830@gmail.com</t>
  </si>
  <si>
    <t>https://drive.google.com/open?id=1G8YkjG9A01rjwD-i5lqrDgXguY1fl2lg</t>
  </si>
  <si>
    <t>https://www.facebook.com/thuyhien.himi</t>
  </si>
  <si>
    <t>Bùi Đức Thuý Hiền</t>
  </si>
  <si>
    <t>https://drive.google.com/open?id=1RbEmYbi4Plq9u3w7AtNzbjKrBYVTnlS5</t>
  </si>
  <si>
    <t>Hạ combo để tính đơn UP</t>
  </si>
  <si>
    <r>
      <rPr>
        <sz val="12"/>
        <color theme="1"/>
        <rFont val="Times New Roman"/>
        <family val="1"/>
      </rPr>
      <t xml:space="preserve">Bùi Ánh Nguyệt </t>
    </r>
    <r>
      <rPr>
        <sz val="12"/>
        <color rgb="FFFF0000"/>
        <rFont val="Times New Roman"/>
        <family val="1"/>
      </rPr>
      <t>OPT33, OPT28
OPT28 buổi 4. Xin sang OPT33 miễn phí</t>
    </r>
  </si>
  <si>
    <t>https://www.facebook.com/profile.php?id=100049715497713&amp;rdid=hXeRXPJFObanK4RL&amp;share_url=https%3A%2F%2Fwww.facebook.com%2Fshare%2FQ5JHnCLSKbdywZfp%2F</t>
  </si>
  <si>
    <t>Nguyễn Thị Linh</t>
  </si>
  <si>
    <t>Nguyenthilinh206842@gmail.com</t>
  </si>
  <si>
    <t xml:space="preserve">số nhà 19, tân hùng, hưng lộc , thành phố vinh , tỉnh nghệ an </t>
  </si>
  <si>
    <t>12/09/2024 và 14/09/2024</t>
  </si>
  <si>
    <t>https://drive.google.com/open?id=1U7Dfeu1rl7uBMJTmqqfRlZIUKbk4QiGc; https://drive.google.com/open?id=1ivhaG20P_MGYn4RFBDM_x-KTfdPDd_c1</t>
  </si>
  <si>
    <r>
      <rPr>
        <sz val="12"/>
        <color theme="1"/>
        <rFont val="Times New Roman"/>
        <family val="1"/>
      </rPr>
      <t xml:space="preserve">Trần Thị Hà My </t>
    </r>
    <r>
      <rPr>
        <sz val="12"/>
        <color rgb="FFFF0000"/>
        <rFont val="Times New Roman"/>
        <family val="1"/>
      </rPr>
      <t>(Hợp đồng)</t>
    </r>
  </si>
  <si>
    <t>https://www.facebook.com/profile.php?id=100075923235825&amp;locale=vi_VN</t>
  </si>
  <si>
    <r>
      <rPr>
        <sz val="12"/>
        <color theme="1"/>
        <rFont val="Times New Roman"/>
        <family val="1"/>
      </rPr>
      <t>Trần Phương Yến</t>
    </r>
    <r>
      <rPr>
        <sz val="12"/>
        <color rgb="FFFF0000"/>
        <rFont val="Times New Roman"/>
        <family val="1"/>
      </rPr>
      <t xml:space="preserve"> (hợp đồng)</t>
    </r>
  </si>
  <si>
    <t>Trannphuonggyennty@gmail.com</t>
  </si>
  <si>
    <t>14/09/2024 và 16/09/2024</t>
  </si>
  <si>
    <t>https://drive.google.com/open?id=1Fj-We96a5OQRjVFIUGrucWF5HEKeivYp; https://drive.google.com/open?id=17_1KyjWgUqHluUbQ4mCeKlmjxAnFA1il</t>
  </si>
  <si>
    <t>https://www.facebook.com/profile.php?id=100019748934690&amp;mibextid=LQQJ4d</t>
  </si>
  <si>
    <t>Đoàn Thị Bích Ngọc</t>
  </si>
  <si>
    <t>29/10/2024 và 07/11/2024</t>
  </si>
  <si>
    <t>https://drive.google.com/open?id=1BgFN6_bBUzuoAJ_s5p-ygGJ2YdbmACbG;https://drive.google.com/open?id=1swAzPHB8ShUC0UfwmkSg9koPoy2NhyVF ;https://drive.google.com/open?id=1AaaR-xiaONmd41o4QKaj_QL4WMuimhp2</t>
  </si>
  <si>
    <r>
      <rPr>
        <sz val="12"/>
        <color theme="1"/>
        <rFont val="Times New Roman"/>
        <family val="1"/>
      </rPr>
      <t>Trần Thị Thanh Bình</t>
    </r>
    <r>
      <rPr>
        <sz val="12"/>
        <color rgb="FFFF0000"/>
        <rFont val="Times New Roman"/>
        <family val="1"/>
      </rPr>
      <t xml:space="preserve"> - Trang Dương</t>
    </r>
  </si>
  <si>
    <t>OPT33 xin GV nghỉ từ b2 Yến báo</t>
  </si>
  <si>
    <t>https://www.facebook.com/cuyen.sadboiz.50702?mibextid=LQQJ4d</t>
  </si>
  <si>
    <r>
      <rPr>
        <sz val="12"/>
        <color theme="1"/>
        <rFont val="Times New Roman"/>
        <family val="1"/>
      </rPr>
      <t>Khổng Văn Quyến</t>
    </r>
    <r>
      <rPr>
        <sz val="12"/>
        <color rgb="FFFF0000"/>
        <rFont val="Times New Roman"/>
        <family val="1"/>
      </rPr>
      <t xml:space="preserve"> - chưa nộp 300K</t>
    </r>
  </si>
  <si>
    <t>Ngõ 5 phố Hồng Châu, khu Vô Hối, thị trấn Thanh Miện, Hải Dương</t>
  </si>
  <si>
    <t>https://drive.google.com/open?id=1O7KkDFyHUfQw6MMPYhB2yterBz0qFKqX</t>
  </si>
  <si>
    <r>
      <rPr>
        <sz val="12"/>
        <color theme="1"/>
        <rFont val="Times New Roman"/>
        <family val="1"/>
      </rPr>
      <t xml:space="preserve">Lê Thị Yến Nhi </t>
    </r>
    <r>
      <rPr>
        <sz val="12"/>
        <color rgb="FFFF0000"/>
        <rFont val="Times New Roman"/>
        <family val="1"/>
      </rPr>
      <t>(Hợp đồng)</t>
    </r>
  </si>
  <si>
    <t>trọ chú tú ,thôn 1 , xã phù vân, tp phủ lí , tỉnh hà nam</t>
  </si>
  <si>
    <t>https://www.facebook.com/profile.php?id=100051603641806</t>
  </si>
  <si>
    <r>
      <rPr>
        <sz val="12"/>
        <color theme="1"/>
        <rFont val="Times New Roman"/>
        <family val="1"/>
      </rPr>
      <t xml:space="preserve">Hoàng Phương Thảo </t>
    </r>
    <r>
      <rPr>
        <sz val="12"/>
        <color rgb="FFFF0000"/>
        <rFont val="Times New Roman"/>
        <family val="1"/>
      </rPr>
      <t>(hợp đồng) OPT35</t>
    </r>
  </si>
  <si>
    <t>thaohoangphuong384@gmail.com</t>
  </si>
  <si>
    <t>KTX báo chí vào tuyên truyền toà e3, 89 nguyễn phong sắc , dịch vọng hậu hà nội</t>
  </si>
  <si>
    <r>
      <rPr>
        <u/>
        <sz val="12"/>
        <color rgb="FF1155CC"/>
        <rFont val="Times New Roman"/>
        <family val="1"/>
      </rPr>
      <t xml:space="preserve">https://drive.google.com/open?id=1j60Wc3mF4IBtyofJhb4JIp-tQ0nT3fcY; </t>
    </r>
    <r>
      <rPr>
        <u/>
        <sz val="12"/>
        <color rgb="FF1155CC"/>
        <rFont val="Times New Roman"/>
        <family val="1"/>
      </rPr>
      <t>https://drive.google.com/open?id=11Bg5ittlV4qUPOw4AYjS3MZGHiX6YC2L</t>
    </r>
  </si>
  <si>
    <t>https://www.facebook.com/nie.life.158</t>
  </si>
  <si>
    <r>
      <rPr>
        <sz val="12"/>
        <color theme="1"/>
        <rFont val="Times New Roman"/>
        <family val="1"/>
      </rPr>
      <t>Vũ Chí Dũng</t>
    </r>
    <r>
      <rPr>
        <sz val="12"/>
        <color rgb="FFFF0000"/>
        <rFont val="Times New Roman"/>
        <family val="1"/>
      </rPr>
      <t xml:space="preserve"> (hợp đồng)</t>
    </r>
  </si>
  <si>
    <t>chidung.dev158@gmail.com</t>
  </si>
  <si>
    <t>17/09/2024 và 03/10/2024</t>
  </si>
  <si>
    <t>https://drive.google.com/open?id=141OYRLetKJBp8TFUoqW6Dw9EXlFZIu1Y; https://drive.google.com/open?id=1OSMm_BNB6mK1eobFQwXYvbsb_4iVL-pB</t>
  </si>
  <si>
    <t>https://www.facebook.com/bosslcg.thanhan.2312?mibextid=JRoKGi</t>
  </si>
  <si>
    <r>
      <rPr>
        <sz val="12"/>
        <color theme="1"/>
        <rFont val="Times New Roman"/>
        <family val="1"/>
      </rPr>
      <t xml:space="preserve">Trần Thanh An </t>
    </r>
    <r>
      <rPr>
        <sz val="12"/>
        <color rgb="FFFF0000"/>
        <rFont val="Times New Roman"/>
        <family val="1"/>
      </rPr>
      <t>(Hợp đồng)</t>
    </r>
  </si>
  <si>
    <t>Ngõ 151 Lý Thường Kiệt, Phù Vân, Phủ Lý, Hà Nam</t>
  </si>
  <si>
    <t>https://drive.google.com/open?id=1WOzc6fUhPq5zOMsIYVE394c1Cc-V92Eb</t>
  </si>
  <si>
    <t>https://www.facebook.com/habang.di.528?mibextid=LQQJ4d</t>
  </si>
  <si>
    <r>
      <rPr>
        <sz val="12"/>
        <color theme="1"/>
        <rFont val="Times New Roman"/>
        <family val="1"/>
      </rPr>
      <t>Nguyễn Thị Hải Âu</t>
    </r>
    <r>
      <rPr>
        <sz val="12"/>
        <color rgb="FFFF0000"/>
        <rFont val="Times New Roman"/>
        <family val="1"/>
      </rPr>
      <t xml:space="preserve"> - OT29 rút khi lớp học 1 buổi</t>
    </r>
  </si>
  <si>
    <t>nguyenkennocha@gmail.com</t>
  </si>
  <si>
    <t>https://drive.google.com/open?id=1sIvIlxntUYPJgj2bzUpG_jOZjMEONDQo</t>
  </si>
  <si>
    <t>18/09/2024 và 24/09/2024 và 24/10/2024</t>
  </si>
  <si>
    <t>https://drive.google.com/open?id=1g_Oaifb4xzuYp0syyMuyfafsqiTX-aR-; https://drive.google.com/open?id=1FJUz51Rn3B8S0Iy_VXmu8gyjyaGtqR_l; https://drive.google.com/open?id=1nt3m6G_5NE6vZufAIPk-PiMrNzDcsyFY; https://drive.google.com/open?id=1EggVdZldpv4bqMitBbYwg3icXLWgQlII</t>
  </si>
  <si>
    <t>https://www.facebook.com/100052767833055/</t>
  </si>
  <si>
    <t>Trần Thị Huyền</t>
  </si>
  <si>
    <t>huyendunghoi0211@gmail.com</t>
  </si>
  <si>
    <t>https://drive.google.com/open?id=1qLXD6kaFLEpx051kwIupOT-7ybWigvKz</t>
  </si>
  <si>
    <t>Mấy gốc</t>
  </si>
  <si>
    <t>https://www.facebook.com/profile.php?id=100024646614349&amp;mibextid=LQQJ4d</t>
  </si>
  <si>
    <r>
      <rPr>
        <sz val="12"/>
        <color theme="1"/>
        <rFont val="Times New Roman"/>
        <family val="1"/>
      </rPr>
      <t>Phan Thị Vân Anh</t>
    </r>
    <r>
      <rPr>
        <sz val="12"/>
        <color rgb="FFFF0000"/>
        <rFont val="Times New Roman"/>
        <family val="1"/>
      </rPr>
      <t xml:space="preserve"> (Hợp đồng)</t>
    </r>
  </si>
  <si>
    <t>Số 23, ngách 2/33, ngõ 2 TDP Văn Trì, Minh Khai, Bắc Từ Liêm, Hà Nội</t>
  </si>
  <si>
    <t>https://drive.google.com/open?id=1VS-sW2HkOHQX3M1Bqh0hX_4ybPL8u_RN</t>
  </si>
  <si>
    <t>https://www.facebook.com/5.lymikay?mibextid=LQQJ4d</t>
  </si>
  <si>
    <r>
      <rPr>
        <sz val="12"/>
        <color theme="1"/>
        <rFont val="Times New Roman"/>
        <family val="1"/>
      </rPr>
      <t xml:space="preserve">Nguyễn Hà Thảo Uyên </t>
    </r>
    <r>
      <rPr>
        <sz val="12"/>
        <color rgb="FFFF0000"/>
        <rFont val="Times New Roman"/>
        <family val="1"/>
      </rPr>
      <t>(hợp đồng)</t>
    </r>
  </si>
  <si>
    <t>nguyenhathaouyen512@gmail.com</t>
  </si>
  <si>
    <t>26 Nguyễn Văn Thạnh, Phường Long Thạnh Mỹ, Tp Thủ Đức</t>
  </si>
  <si>
    <t>19/09/2024 và 07/10/2024</t>
  </si>
  <si>
    <t>https://drive.google.com/open?id=14VoHPLZaUA2176o4GGJlZVCe5rl2mIMV; https://drive.google.com/open?id=1F0O1oQb3JX5Mo26F2Q421NBMq0D2sRMz</t>
  </si>
  <si>
    <t>https://www.facebook.com/profile.php?id=100035344247836&amp;mibextid=LQQJ4d</t>
  </si>
  <si>
    <t xml:space="preserve">Nguyễn Hữu Mạnh </t>
  </si>
  <si>
    <t>mitmanh419@gmail.com</t>
  </si>
  <si>
    <t>lê la coffe tea GVRX+G78, Ngô Gia Tự, Thắng Lợi, Phủ Lý, Hà Nam</t>
  </si>
  <si>
    <t>23/09/2024 và 25/09/2024</t>
  </si>
  <si>
    <t>21/10/2024 và 06/11/2024</t>
  </si>
  <si>
    <t>https://drive.google.com/open?id=1_ipLoUlNnp_0XjZl7d3qVNfmzvzBfsGm; https://drive.google.com/open?id=17Eg7ymB0_2OEOgqJYF36iLeMbPngZhoH, https://drive.google.com/open?id=1dVSN_DHbmQ5Gefx7n-_zv0sdJ3vxLTao; https://drive.google.com/open?id=1_Bpu3RtVN5BdHMPKjeF2omETWyDJ7EVUhttps://drive.google.com/open?id=1d-GnRbFfk0Eml7dhlGkxXUlXMUHBYt1q</t>
  </si>
  <si>
    <t>https://www.facebook.com/profile.php?id=100069878682547&amp;mibextid=LQQJ4d</t>
  </si>
  <si>
    <t xml:space="preserve">Phạm Thị Anh Thư </t>
  </si>
  <si>
    <t xml:space="preserve">Phamthutp2809@gmail.com </t>
  </si>
  <si>
    <t>29e ngách 44/64 ngõ 85 xuân thủy, cầu giấy</t>
  </si>
  <si>
    <t>23/09/2024 và 30/09/2024</t>
  </si>
  <si>
    <t>https://drive.google.com/open?id=1kbuwaRv8U9KOMeFQWbqSqNjcYHAcEZoW; https://drive.google.com/open?id=15cOkaFK4jPW37gqlgzk_wI2Cp0gcGcn4; https://drive.google.com/open?id=1oprP-KYVq3OCmRVHOR2m18i-CPG7pD05</t>
  </si>
  <si>
    <t>https://www.facebook.com/Nthm2003?mibextid=LQQJ4d</t>
  </si>
  <si>
    <t>Nguyễn Thị Hồng Nhung</t>
  </si>
  <si>
    <t xml:space="preserve">Ngô Ích Quyền </t>
  </si>
  <si>
    <t>OT30 bảo lưu b7 đi quân sự</t>
  </si>
  <si>
    <t>https://www.facebook.com/githe.cailol.5?mibextid=LQQJ4d&amp;rdid=NEhEkUEKKolhHYhT&amp;share_url=https%3A%2F%2Fwww.facebook.com%2Fshare%2FpZeifQpdmhKz7uvX%2F%3Fmibextid%3DLQQJ4d</t>
  </si>
  <si>
    <t>Nguyễn Đăng Long</t>
  </si>
  <si>
    <t>themanvungtdn@gmail.com</t>
  </si>
  <si>
    <t>24/09/2024 và 03/10/2024</t>
  </si>
  <si>
    <t>https://drive.google.com/open?id=17ZE15_hX9eO4dLQiYK9Vczgwgj8TIlpR; https://drive.google.com/open?id=1MSXBE5hWcT7-5WA6urTDPX6H_IVeezOl, https://drive.google.com/open?id=14vGkQDrir8OM1Vza-ffxVKJu57PATjcF; https://drive.google.com/open?id=1-tRjZBRa96oparAepDfvnfXzgFn8qCg1</t>
  </si>
  <si>
    <t>210 nghe 260 đọc</t>
  </si>
  <si>
    <t>https://www.facebook.com/profile.php?id=100040512525059&amp;locale=vi_VN</t>
  </si>
  <si>
    <t>Trần Thị Hà</t>
  </si>
  <si>
    <t>tranthiha26012006@gmail.com</t>
  </si>
  <si>
    <t>số nhà 6, hẻm 23/72/65/22 phúc diễn, bắc từ liêm</t>
  </si>
  <si>
    <t>https://drive.google.com/open?id=1Asf4xg_vDKTjgu-Y86FA2OMRI7xqgxoB; https://drive.google.com/open?id=1B-KZKqwhXV9Xlfmar8VKVG9xWOViLSEf; https://drive.google.com/open?id=1Utx_STf0vrOLT_QyqN2nOTQ96tehzeT9</t>
  </si>
  <si>
    <t>https://www.facebook.com/profile.php?id=100068707711957&amp;mibextid=LQQJ4</t>
  </si>
  <si>
    <r>
      <rPr>
        <sz val="12"/>
        <color theme="1"/>
        <rFont val="Times New Roman"/>
        <family val="1"/>
      </rPr>
      <t xml:space="preserve">Khổng Văn Tuấn </t>
    </r>
    <r>
      <rPr>
        <sz val="12"/>
        <color rgb="FFFF0000"/>
        <rFont val="Times New Roman"/>
        <family val="1"/>
      </rPr>
      <t>- OPT38</t>
    </r>
  </si>
  <si>
    <t>Cổng kđt đô nghĩa đường yên nghĩa quận hà đông hà nội</t>
  </si>
  <si>
    <t>24/09/0204 và 27/09/2024</t>
  </si>
  <si>
    <t>https://drive.google.com/open?id=1_wEYECKVT2Xd3TqZDjPf3K9SRiJbDnyW; https://drive.google.com/open?id=1oKkK-hHLjWAVkwSzmPakv_Pi7B73MNf3</t>
  </si>
  <si>
    <t>https://www.facebook.com/daothimydung010806?mibextid=LQQJ4d</t>
  </si>
  <si>
    <t>Đào Thị Mỹ Dung</t>
  </si>
  <si>
    <t>daothimydung9@gmail.com</t>
  </si>
  <si>
    <t>Trực tiếp trung tâm</t>
  </si>
  <si>
    <t>25/09/2024 và 02/10/2024</t>
  </si>
  <si>
    <t>https://drive.google.com/open?id=1bXzXEMH6UOBd6KujdnIe-2VKK_wzaVBr; https://drive.google.com/open?id=1Rk4pJ1MWgTGIdGrPmeQ0jAPVX00J04Vb</t>
  </si>
  <si>
    <t>Hạ combo tính đơn UP cho đúng</t>
  </si>
  <si>
    <t>https://www.facebook.com/profile.php?id=100039919934651&amp;locale=vi_VN</t>
  </si>
  <si>
    <t>Nguyễn Đình Phong</t>
  </si>
  <si>
    <t>phongdinh17022006@gmail.com</t>
  </si>
  <si>
    <t>hẻm 23/72/65/22 phúc diễn</t>
  </si>
  <si>
    <t>https://drive.google.com/open?id=1vO07slRdRgnLerQgnD1VZkzs45bozs38; https://drive.google.com/open?id=18PtcXsnfDve6hibEWXrWLamS-VzCHi7b</t>
  </si>
  <si>
    <t>https://www.facebook.com/trang.com.5205?mibextid=LQQJ4d</t>
  </si>
  <si>
    <t>Lê Thu Hằng</t>
  </si>
  <si>
    <t>lthuhang937@gmail.com</t>
  </si>
  <si>
    <t>số nhà 2B,ngõ 126 phố Đốc Ngữ,phường Vĩnh Phúc,quận Ba Đình,Tp Hà Nội</t>
  </si>
  <si>
    <t>https://drive.google.com/open?id=1m9hEfpJqHjo-pDxLSScfFsThvgKWudVq</t>
  </si>
  <si>
    <t>https://www.facebook.com/profile.php?id=100090655640239&amp;mibextid=LQQJ4d</t>
  </si>
  <si>
    <r>
      <rPr>
        <sz val="12"/>
        <color theme="1"/>
        <rFont val="Times New Roman"/>
        <family val="1"/>
      </rPr>
      <t xml:space="preserve"> Trần Hoàng Ngân</t>
    </r>
    <r>
      <rPr>
        <sz val="12"/>
        <color rgb="FFFF0000"/>
        <rFont val="Times New Roman"/>
        <family val="1"/>
      </rPr>
      <t xml:space="preserve"> OT33 hủy lớp</t>
    </r>
  </si>
  <si>
    <t>thoangngan82@gmail.com</t>
  </si>
  <si>
    <t>nhà N10, khu 212 Học viện kĩ thuật quân sự, Tổ dân phố Tân Xuân 2, phường Xuân Đỉnh, Bắc Từ Liêm, Hà Nội</t>
  </si>
  <si>
    <t>25/09/2024 và 25/10/2024</t>
  </si>
  <si>
    <t>https://drive.google.com/open?id=14K-2UvG6VCmvqOHcSbbAvqGThZMyyzpI; https://drive.google.com/open?id=1ffDJ7nwDCDMqNxQFMR49F3kXW200en9Y; https://drive.google.com/open?id=1TB94FpoDwvira3O98HY_bRy_xUFtMN__</t>
  </si>
  <si>
    <t>https://www.facebook.com/monsiuer.Lentuna?mibextid=LQQJ4d</t>
  </si>
  <si>
    <r>
      <rPr>
        <sz val="12"/>
        <color theme="1"/>
        <rFont val="Times New Roman"/>
        <family val="1"/>
      </rPr>
      <t>Lê Ngọc Tuâ</t>
    </r>
    <r>
      <rPr>
        <sz val="12"/>
        <color rgb="FFFF0000"/>
        <rFont val="Times New Roman"/>
        <family val="1"/>
      </rPr>
      <t>n - Ng Tuân</t>
    </r>
  </si>
  <si>
    <t>https://drive.google.com/open?id=1C-WNNs9oDYVBaGzRwOME9ZHMRzImY4qC; https://drive.google.com/open?id=16XvtiYaZ6pYYTl1oXqQubh4ZP_4RUZU3</t>
  </si>
  <si>
    <r>
      <rPr>
        <sz val="12"/>
        <color theme="1"/>
        <rFont val="Times New Roman"/>
        <family val="1"/>
      </rPr>
      <t>Trần Thu Huyền</t>
    </r>
    <r>
      <rPr>
        <sz val="12"/>
        <color rgb="FFFF0000"/>
        <rFont val="Times New Roman"/>
        <family val="1"/>
      </rPr>
      <t xml:space="preserve"> (Hợp đồng)</t>
    </r>
  </si>
  <si>
    <t>45/6/4 đường 3 tháng 2 phường 11 quận 10 HCM</t>
  </si>
  <si>
    <t>https://www.facebook.com/hue.nguyenthanh.5661?mibextid=ZbWKwL</t>
  </si>
  <si>
    <t xml:space="preserve">Nguyễn Thanh Huệ </t>
  </si>
  <si>
    <t>hue28012004@gmail.com</t>
  </si>
  <si>
    <t>https://drive.google.com/open?id=1ke2f92u6dxehR3sUjVFMifrHsG_xjRDG; https://drive.google.com/open?id=1Z8UHo_Pnd8h_HzMVhXGUBdvrxcb4hq7h</t>
  </si>
  <si>
    <t>https://www.facebook.com/dan.choi.94849?mibextid=LQQJ4d</t>
  </si>
  <si>
    <t>Bùi Nhật Minh</t>
  </si>
  <si>
    <t>minhnhat240806@gmail.com</t>
  </si>
  <si>
    <t>ngách 28-ngõ 260 - Cầu Giấy- Hà Hội</t>
  </si>
  <si>
    <t>https://drive.google.com/open?id=1KR1wxCdwcJjZmJJJSvZKOLpXG4gywaCK; https://drive.google.com/open?id=1d82WXFwtM74LUm5rD91_5kZHHMfM23y-; https://drive.google.com/open?id=1zV4YiGq7IX8LbAt1eRFHFbHDDj6tNC6U</t>
  </si>
  <si>
    <t xml:space="preserve">https://www.facebook.com/profile.php?id=100022606805243&amp;mibextid=LQQJ4d </t>
  </si>
  <si>
    <r>
      <rPr>
        <sz val="12"/>
        <color theme="1"/>
        <rFont val="Times New Roman"/>
        <family val="1"/>
      </rPr>
      <t>Nguyễn Thị Hiền Thanh</t>
    </r>
    <r>
      <rPr>
        <sz val="12"/>
        <color rgb="FFFF0000"/>
        <rFont val="Times New Roman"/>
        <family val="1"/>
      </rPr>
      <t xml:space="preserve"> - OPT42</t>
    </r>
  </si>
  <si>
    <t>https://drive.google.com/open?id=16QSK1Bo0mW8b94xQoKMO8Cqqogn4G-5w</t>
  </si>
  <si>
    <t>https://www.facebook.com/profile.php?id=100074514387530&amp;mibextid=LQQJ4d</t>
  </si>
  <si>
    <t>Dương Quang Khải</t>
  </si>
  <si>
    <r>
      <rPr>
        <u/>
        <sz val="12"/>
        <color rgb="FF1155CC"/>
        <rFont val="Times New Roman"/>
        <family val="1"/>
      </rPr>
      <t xml:space="preserve">https://drive.google.com/open?id=1SYeTN4Tq6AUxl1zQZASi0BO62lthyya9; </t>
    </r>
    <r>
      <rPr>
        <u/>
        <sz val="12"/>
        <color rgb="FF1155CC"/>
        <rFont val="Times New Roman"/>
        <family val="1"/>
      </rPr>
      <t>https://drive.google.com/open?id=182WrlM97https://drive.google.com/open?id=1Q6_OiCtAbIBglwEhnTNMThtgQNbPO5QfMSdjS531KD1pKKxA52tsFrML</t>
    </r>
  </si>
  <si>
    <t>https://www.facebook.com/kimngannn269</t>
  </si>
  <si>
    <r>
      <rPr>
        <sz val="12"/>
        <color theme="1"/>
        <rFont val="Times New Roman"/>
        <family val="1"/>
      </rPr>
      <t xml:space="preserve">Nguyễn Thị Kim Ngân </t>
    </r>
    <r>
      <rPr>
        <sz val="12"/>
        <color rgb="FFFF0000"/>
        <rFont val="Times New Roman"/>
        <family val="1"/>
      </rPr>
      <t xml:space="preserve">(hợp đồng) </t>
    </r>
  </si>
  <si>
    <t>ntkimngan2069@gmail.com</t>
  </si>
  <si>
    <t>28/09/2024 và 03/10/2024</t>
  </si>
  <si>
    <t>https://drive.google.com/open?id=1iC3nf2SCmE7xgKwGjFr3AwAWx19gdyAT; https://drive.google.com/open?id=1skJ8T0dICnlYWdSmfbW9imXTekTq06oQ; https://drive.google.com/open?id=1ubywJMYWvWP4M3Wv4UBHgG-KBhvmoytD</t>
  </si>
  <si>
    <t>https://www.facebook.com/profile.php?id=100072135765311&amp;mibextid=LQQJ4d</t>
  </si>
  <si>
    <r>
      <rPr>
        <sz val="12"/>
        <color theme="1"/>
        <rFont val="Times New Roman"/>
        <family val="1"/>
      </rPr>
      <t xml:space="preserve">Nguyễn Thị Quỳnh Nga </t>
    </r>
    <r>
      <rPr>
        <sz val="12"/>
        <color rgb="FFFF0000"/>
        <rFont val="Times New Roman"/>
        <family val="1"/>
      </rPr>
      <t>(hợp đồng)</t>
    </r>
  </si>
  <si>
    <t>nguyenngacx06@gmail.com</t>
  </si>
  <si>
    <t>17,ngõ 107,Trần Quốc Vượng</t>
  </si>
  <si>
    <t>28/09/2024 và 06/10/2024</t>
  </si>
  <si>
    <t>https://drive.google.com/open?id=1XNWJdAUZbgLLAZRxeP1MKy5Nn-N9epnJ; https://drive.google.com/open?id=1yw0TNJEKaNrZNjxds8zp5iTauSmx-F4r; https://drive.google.com/open?id=1U3KC_5yHLqVXPmj7Lir4qvo-a3JX51Dg</t>
  </si>
  <si>
    <t>https://www.facebook.com/DuongNguyen754570810000?mibextid=LQQJ4d</t>
  </si>
  <si>
    <r>
      <rPr>
        <sz val="12"/>
        <color theme="1"/>
        <rFont val="Times New Roman"/>
        <family val="1"/>
      </rPr>
      <t>Nguyễn Thế Dương</t>
    </r>
    <r>
      <rPr>
        <sz val="12"/>
        <color rgb="FFFF0000"/>
        <rFont val="Times New Roman"/>
        <family val="1"/>
      </rPr>
      <t xml:space="preserve"> (Hợp Đồng) OPT44</t>
    </r>
  </si>
  <si>
    <t>nguyentheduong24102096@gmail.com</t>
  </si>
  <si>
    <t>28/09/2024 và 07/10/2023</t>
  </si>
  <si>
    <t>https://drive.google.com/open?id=1AXHbjYLWHbtuCHPdCTycomRV8FVuE1SP; https://drive.google.com/open?id=1FKHQ_f7b2VmuXpe2dFcxZizGRJ-oTpj9</t>
  </si>
  <si>
    <r>
      <rPr>
        <sz val="12"/>
        <color theme="1"/>
        <rFont val="Times New Roman"/>
        <family val="1"/>
      </rPr>
      <t>Lê Thanh Tùng</t>
    </r>
    <r>
      <rPr>
        <sz val="12"/>
        <color rgb="FFFF0000"/>
        <rFont val="Times New Roman"/>
        <family val="1"/>
      </rPr>
      <t xml:space="preserve"> (hợp đồng)</t>
    </r>
  </si>
  <si>
    <t>Giữa ngõ 114 Lý thường kiệt xóm 1 phường Lê hồng phong thành phố phủ lý hà nam</t>
  </si>
  <si>
    <t>https://www.facebook.com/vuhai.that.391?mibextid=LQQJ4d</t>
  </si>
  <si>
    <t>https://www.facebook.com/profile.php?id=100073978627888</t>
  </si>
  <si>
    <r>
      <rPr>
        <sz val="12"/>
        <color theme="1"/>
        <rFont val="Times New Roman"/>
        <family val="1"/>
      </rPr>
      <t>Cấn Nhật Anh</t>
    </r>
    <r>
      <rPr>
        <sz val="12"/>
        <color rgb="FFFF0000"/>
        <rFont val="Times New Roman"/>
        <family val="1"/>
      </rPr>
      <t xml:space="preserve"> - OPT43</t>
    </r>
  </si>
  <si>
    <t xml:space="preserve"> nhatanh07112006@gmail.com</t>
  </si>
  <si>
    <t>https://drive.google.com/open?id=1uw8iGDsLqNZeg98xGy7vudMeZFZMzW3d; https://drive.google.com/open?id=1GgHjlX7rHejSC2TKNOHKjJGECLEBnLYO; https://drive.google.com/open?id=1ADXuUDpOKhrHqoi65NegtSTUzzDiyj4l</t>
  </si>
  <si>
    <t>https://www.facebook.com/profile.php?id=100026591790661&amp;mibextid=LQQJ4d</t>
  </si>
  <si>
    <r>
      <rPr>
        <sz val="12"/>
        <color theme="1"/>
        <rFont val="Times New Roman"/>
        <family val="1"/>
      </rPr>
      <t>Nguyễn Võ Thanh Thanh</t>
    </r>
    <r>
      <rPr>
        <sz val="12"/>
        <color rgb="FFFF0000"/>
        <rFont val="Times New Roman"/>
        <family val="1"/>
      </rPr>
      <t xml:space="preserve"> - OPT42</t>
    </r>
  </si>
  <si>
    <t xml:space="preserve">Hương Trúc </t>
  </si>
  <si>
    <t>thanhthanhnguyenvo0212@gmail.com</t>
  </si>
  <si>
    <t>Số 2B Ngõ 23 Phan Văn Trường, Cầu Giấy, Hà Nội.</t>
  </si>
  <si>
    <t>https://drive.google.com/open?id=15srXOZe0qOPlOKWPSiv-aJb4PwTmTFOx; https://drive.google.com/open?id=1VNM85hJZSAYn1-aJXWMRlhSuSeRTvlkm</t>
  </si>
  <si>
    <r>
      <rPr>
        <sz val="12"/>
        <color theme="1"/>
        <rFont val="Times New Roman"/>
        <family val="1"/>
      </rPr>
      <t xml:space="preserve">Vũ Thị Vân Anh </t>
    </r>
    <r>
      <rPr>
        <sz val="12"/>
        <color rgb="FFFF0000"/>
        <rFont val="Times New Roman"/>
        <family val="1"/>
      </rPr>
      <t>- 865659730 số cũ</t>
    </r>
  </si>
  <si>
    <t xml:space="preserve">nhà trọ đoàn lợi, số 71, ngô gia tự, Lê Hồng Phong, Phủ Lý, Hà Nam </t>
  </si>
  <si>
    <t>khồn</t>
  </si>
  <si>
    <t>https://www.facebook.com/profile.php?id=100065098003458&amp;mibextid=ZbWKwL</t>
  </si>
  <si>
    <r>
      <rPr>
        <sz val="12"/>
        <color theme="1"/>
        <rFont val="Times New Roman"/>
        <family val="1"/>
      </rPr>
      <t xml:space="preserve">Lê Tiến Sỹ </t>
    </r>
    <r>
      <rPr>
        <sz val="12"/>
        <color rgb="FFFF0000"/>
        <rFont val="Times New Roman"/>
        <family val="1"/>
      </rPr>
      <t>- OPT39 hv thứ 20</t>
    </r>
  </si>
  <si>
    <t>syle1604@gmail.com</t>
  </si>
  <si>
    <t>hẻm đối diện số 90 ngõ 193  phú diễn, bắc từ liêm</t>
  </si>
  <si>
    <t>https://drive.google.com/open?id=184HbSuaJjJ-gPOPxHZ2pbi_etUOUcsd5; https://drive.google.com/open?id=1n8lv9YweJBU2Z0JP-l6dT1xJm0nwlDIN; https://drive.google.com/open?id=1nEfenMRob-0TWvLNvaAJId1b6PCYseHq, https://drive.google.com/open?id=1hm690dCz-N9fEDeu2rGaI4n18exq5PIR</t>
  </si>
  <si>
    <t>31/35/9 ung văn khiêm phường 25 quận bình thạnh tp hồ chí minh</t>
  </si>
  <si>
    <t>https://www.facebook.com/share/1Fw7CNLSS6/?mibextid=qi2Omg</t>
  </si>
  <si>
    <t>https://drive.google.com/open?id=1zmm0Kl9kib67xxs_GVI2xslhAIGEmEuD; https://drive.google.com/open?id=119_Ia_fgirF7a1rlki5Ye-uv0FhNclo3; https://drive.google.com/open?id=1JHgxv3iJWkLi8m6DlY-RFTnwTraeBBFd</t>
  </si>
  <si>
    <r>
      <rPr>
        <sz val="12"/>
        <color theme="1"/>
        <rFont val="Times New Roman"/>
        <family val="1"/>
      </rPr>
      <t>Trần Thị Anh Sáng</t>
    </r>
    <r>
      <rPr>
        <sz val="12"/>
        <color rgb="FFFF0000"/>
        <rFont val="Times New Roman"/>
        <family val="1"/>
      </rPr>
      <t xml:space="preserve"> - OPT42</t>
    </r>
  </si>
  <si>
    <t>https://www.facebook.com/profile.php?id=100083414681061</t>
  </si>
  <si>
    <r>
      <rPr>
        <sz val="12"/>
        <color theme="1"/>
        <rFont val="Times New Roman"/>
        <family val="1"/>
      </rPr>
      <t xml:space="preserve">Phạm Nhật Tân </t>
    </r>
    <r>
      <rPr>
        <sz val="12"/>
        <color rgb="FFFF0000"/>
        <rFont val="Times New Roman"/>
        <family val="1"/>
      </rPr>
      <t>(Hợp đồng) OPT45, PT144, PT137</t>
    </r>
  </si>
  <si>
    <t>tanpham220106z2gmail.com</t>
  </si>
  <si>
    <t>đường nguyễn khuyến , văn quán hà đông hà nội</t>
  </si>
  <si>
    <t>https://drive.google.com/open?id=19RaGgqet0ROWUl2vfeL4c12uo5J27Wt7</t>
  </si>
  <si>
    <t>Nguyễn Vân Đức</t>
  </si>
  <si>
    <t>https://www.facebook.com/munss.munss.357622?mibextid=LQQJ4d</t>
  </si>
  <si>
    <r>
      <rPr>
        <sz val="12"/>
        <color theme="1"/>
        <rFont val="Times New Roman"/>
        <family val="1"/>
      </rPr>
      <t xml:space="preserve">Vũ Thị Ngọc Oanh </t>
    </r>
    <r>
      <rPr>
        <sz val="12"/>
        <color rgb="FFFF0000"/>
        <rFont val="Times New Roman"/>
        <family val="1"/>
      </rPr>
      <t>- OPT46</t>
    </r>
  </si>
  <si>
    <t xml:space="preserve">vuthingocoanhh@gmail.com </t>
  </si>
  <si>
    <t>71 võ chí công, phường nghĩa đô, quận cầu giấy , Hà nội</t>
  </si>
  <si>
    <t>https://drive.google.com/open?id=1eBc4cPTbh6GUeN6MNg5Bd7NjMzG6pzQE</t>
  </si>
  <si>
    <t>OPT98</t>
  </si>
  <si>
    <r>
      <rPr>
        <sz val="12"/>
        <color theme="1"/>
        <rFont val="Times New Roman"/>
        <family val="1"/>
      </rPr>
      <t xml:space="preserve">Lý Nhật Linh </t>
    </r>
    <r>
      <rPr>
        <sz val="12"/>
        <color rgb="FFFF0000"/>
        <rFont val="Times New Roman"/>
        <family val="1"/>
      </rPr>
      <t>-Linh Cừu đã nộp 300K 16/12/24
OPT40 bảo lưu b12. Học PT180 nghỉ ngang b1
Học OPT98 b1. Đã nộp 100k mua sách PT</t>
    </r>
  </si>
  <si>
    <r>
      <rPr>
        <u/>
        <sz val="12"/>
        <color rgb="FF1155CC"/>
        <rFont val="Times New Roman"/>
        <family val="1"/>
      </rPr>
      <t xml:space="preserve">https://drive.google.com/open?id=1x1LygSkAaPHDztlschdjT64oJUOdUBjC; </t>
    </r>
    <r>
      <rPr>
        <u/>
        <sz val="12"/>
        <color rgb="FF1155CC"/>
        <rFont val="Times New Roman"/>
        <family val="1"/>
      </rPr>
      <t>https://drive.google.com/open?id=1KN-KLmokuQ03_76UzVvak-bW0J2RTD4-</t>
    </r>
    <r>
      <rPr>
        <u/>
        <sz val="12"/>
        <color rgb="FF1155CC"/>
        <rFont val="Times New Roman"/>
        <family val="1"/>
      </rPr>
      <t>; https://drive.google.com/open?id=1KXdSv_fXKLTX0Ge3AD9dHvjW1nH3wkyl</t>
    </r>
  </si>
  <si>
    <t>Sách cũ 07/10/2024</t>
  </si>
  <si>
    <t>OPT45 Dương báo bảo lưu khi lớp đã học 6 buổi</t>
  </si>
  <si>
    <t>https://www.facebook.com/gay.chuyen.73</t>
  </si>
  <si>
    <t xml:space="preserve">Lê Thị Hồng Chuyên </t>
  </si>
  <si>
    <t xml:space="preserve"> lethihongchuyen15182017@gmail. Com</t>
  </si>
  <si>
    <t>TẠI lớp</t>
  </si>
  <si>
    <t>02/10/2024 và 10/10/2024</t>
  </si>
  <si>
    <t>https://drive.google.com/open?id=1rBsxSiWLCOCHOXHYoxN5ImzZHm8Qf32J; https://drive.google.com/open?id=1NW_j9jniV723MA3erQZo1XJOaWZJxArc; https://drive.google.com/open?id=1JDuPgAdhM1wqiYOztqxVhdR4z-4eF6Qn</t>
  </si>
  <si>
    <t>https://www.facebook.com/profile.php?id=61551822216858&amp;mibextid=LQQJ4d</t>
  </si>
  <si>
    <r>
      <rPr>
        <sz val="12"/>
        <color theme="1"/>
        <rFont val="Times New Roman"/>
        <family val="1"/>
      </rPr>
      <t xml:space="preserve">Bùi Thị Lệ Quyên </t>
    </r>
    <r>
      <rPr>
        <sz val="12"/>
        <color rgb="FFFF0000"/>
        <rFont val="Times New Roman"/>
        <family val="1"/>
      </rPr>
      <t>- OPT45 - Sữa Chua Mít</t>
    </r>
  </si>
  <si>
    <t>29/09/2024 và 09/10/2024</t>
  </si>
  <si>
    <t>https://drive.google.com/open?id=1vkil0WZCqSomwPujqmhrGhcHEp78ruqy; https://drive.google.com/open?id=1bDbbgtgoTp3-dWJzZELaVZzTXhHNXQBS; https://drive.google.com/open?id=1fjQFDQjtBarveQ1eBmXcoXyyqNZ65CFe</t>
  </si>
  <si>
    <t>https://www.facebook.com/profile.php?id=100063728184122&amp;mibextid=LQQJ4d</t>
  </si>
  <si>
    <r>
      <rPr>
        <sz val="12"/>
        <color theme="1"/>
        <rFont val="Times New Roman"/>
        <family val="1"/>
      </rPr>
      <t xml:space="preserve">Đoàn Thị Yến Nhi </t>
    </r>
    <r>
      <rPr>
        <sz val="12"/>
        <color rgb="FFFF0000"/>
        <rFont val="Times New Roman"/>
        <family val="1"/>
      </rPr>
      <t>- OPT45</t>
    </r>
  </si>
  <si>
    <t>https://drive.google.com/open?id=1DLN4SmGuNb4-4wUTe6ub1PzuK6Jf8iH4; https://drive.google.com/open?id=1uCaM6WV-S5WqZLL3b91f2yz_R-DXyZik; https://drive.google.com/open?id=1Cn5D8syGotiyXgwJRiRMHlTtwBbkywjZ</t>
  </si>
  <si>
    <t>https://www.facebook.com/vu.quangdung.12382</t>
  </si>
  <si>
    <t xml:space="preserve">Vũ Quang Dũng </t>
  </si>
  <si>
    <t>01/10/2024 và 05/10/2024</t>
  </si>
  <si>
    <t>https://drive.google.com/open?id=1L4cWNPjovyzEIZto-9QIrBraQtmcRgJj; https://drive.google.com/open?id=1srQSrl0Az5ru7yednBn8UEwY1TkKreef</t>
  </si>
  <si>
    <t>https://www.facebook.com/wus.pih?mibextid=LQQJ4d</t>
  </si>
  <si>
    <t>Nguyễn Thị Phương Linh</t>
  </si>
  <si>
    <t>phuonglinh21052k6@gmail.com</t>
  </si>
  <si>
    <t>02/10/2024 và 0810/2024</t>
  </si>
  <si>
    <t>https://drive.google.com/open?id=1i9ERkAixEclxrkcrGKcEwFSFyNzNhaHm; https://drive.google.com/open?id=1ytMqX2u5YN8TVrOAeeBZeiWlXY-5GM4C; https://drive.google.com/open?id=1R2cYiT4bq23MKwjCfpuD-5N2jVDCt4No</t>
  </si>
  <si>
    <t>https://www.facebook.com/profile.php?id=100037318473924</t>
  </si>
  <si>
    <r>
      <rPr>
        <sz val="12"/>
        <color theme="1"/>
        <rFont val="Times New Roman"/>
        <family val="1"/>
      </rPr>
      <t xml:space="preserve">Nguyễn Thị Mai </t>
    </r>
    <r>
      <rPr>
        <sz val="12"/>
        <color rgb="FFFF0000"/>
        <rFont val="Times New Roman"/>
        <family val="1"/>
      </rPr>
      <t>(hợp đồng)</t>
    </r>
  </si>
  <si>
    <t>nguyenthimai2006nd@gmail.com</t>
  </si>
  <si>
    <t xml:space="preserve"> Xuân Ninh - Xuân Trường - Nam Định</t>
  </si>
  <si>
    <t>https://drive.google.com/open?id=1Y8-RO66eWgC9jKPvnUcCb46eENJQY0vu; https://drive.google.com/open?id=1_9ElFhYPtbTsdqJWhKFSn4OxOVQgs96Q</t>
  </si>
  <si>
    <r>
      <rPr>
        <sz val="12"/>
        <color theme="1"/>
        <rFont val="Times New Roman"/>
        <family val="1"/>
      </rPr>
      <t>Phạm Văn Thành</t>
    </r>
    <r>
      <rPr>
        <sz val="12"/>
        <color rgb="FFFF0000"/>
        <rFont val="Times New Roman"/>
        <family val="1"/>
      </rPr>
      <t xml:space="preserve"> (hợp đồng)</t>
    </r>
  </si>
  <si>
    <t xml:space="preserve">https://www.facebook.com/profile.php?id=100088037691117&amp;mibextid=LQQJ4d </t>
  </si>
  <si>
    <t xml:space="preserve">Hoàng Huyền Anh </t>
  </si>
  <si>
    <t>https://drive.google.com/open?id=1wC6C2USO2w1DO4UxDSDorcjJbtnpEyw9; https://drive.google.com/open?id=19fCOL87eNwmrq8DfUOpfR0YMoEdpVZmx</t>
  </si>
  <si>
    <r>
      <rPr>
        <sz val="12"/>
        <color theme="1"/>
        <rFont val="Times New Roman"/>
        <family val="1"/>
      </rPr>
      <t>Bùi Sỹ Kiểm</t>
    </r>
    <r>
      <rPr>
        <sz val="12"/>
        <color rgb="FFFF0000"/>
        <rFont val="Times New Roman"/>
        <family val="1"/>
      </rPr>
      <t xml:space="preserve"> - hợp đồng</t>
    </r>
  </si>
  <si>
    <t>phòng 208 trọ happyinno 1 , 93 ngự câu, an thượng, Hoài Đức, Hà Nội</t>
  </si>
  <si>
    <t xml:space="preserve">Khong </t>
  </si>
  <si>
    <t>https://www.facebook.com/profile.php?id=100066860296995&amp;mibextid=LQQJ4d</t>
  </si>
  <si>
    <t>Dương Tuyết Mai</t>
  </si>
  <si>
    <t>dm790721@gmail.com</t>
  </si>
  <si>
    <t>05/10/2024 và 07/10/2024</t>
  </si>
  <si>
    <t>https://drive.google.com/open?id=1NDd_xrB3sOlvgkM36ufKT2bwC0tAGK9o; https://drive.google.com/open?id=15DH5koV1xXXk9chgLpF7OZBYGJzgOX50</t>
  </si>
  <si>
    <t>số nhà 31, đối diện trường THPT Hoài Đức B, Ngãi Cầu, An Khánh, huyện Hoài Đức, tp Hà Nội</t>
  </si>
  <si>
    <t>https://www.facebook.com/nmaidthw26.9?mibextid=ZbWKwL</t>
  </si>
  <si>
    <t>Lê Thị Lộc</t>
  </si>
  <si>
    <r>
      <rPr>
        <sz val="12"/>
        <color theme="1"/>
        <rFont val="Times New Roman"/>
        <family val="1"/>
      </rPr>
      <t>Nguyễn Thùy Duyên</t>
    </r>
    <r>
      <rPr>
        <sz val="12"/>
        <color rgb="FFFF0000"/>
        <rFont val="Times New Roman"/>
        <family val="1"/>
      </rPr>
      <t xml:space="preserve"> - hợp đồng</t>
    </r>
  </si>
  <si>
    <t>https://www.facebook.com/nam.chun.969?mibextid=ZbWKwL</t>
  </si>
  <si>
    <r>
      <rPr>
        <sz val="12"/>
        <color theme="1"/>
        <rFont val="Times New Roman"/>
        <family val="1"/>
      </rPr>
      <t>Ngô Hải Nam</t>
    </r>
    <r>
      <rPr>
        <sz val="12"/>
        <color rgb="FFFF0000"/>
        <rFont val="Times New Roman"/>
        <family val="1"/>
      </rPr>
      <t xml:space="preserve"> (hợp đồng)</t>
    </r>
  </si>
  <si>
    <t>THiếu</t>
  </si>
  <si>
    <t>Lương Quy-Xuân Nộn-Đông Anh-Hà Nội</t>
  </si>
  <si>
    <t>07/10/2024 và 11/10/2024</t>
  </si>
  <si>
    <t>https://drive.google.com/open?id=1Mxg9Tc6N5NUDNeqYuGlghHnaTIe4ZB0s; https://drive.google.com/open?id=1-YoBAnRxQJYVOaAIzdI5TpkUiquOrsFc</t>
  </si>
  <si>
    <t>https://www.facebook.com/tunglomo.2712?mibextid=LQQJ4d</t>
  </si>
  <si>
    <t>https://drive.google.com/open?id=1N4gopNxGitD1paF1JAsIe5XxlHLStuKu; https://drive.google.com/open?id=1PobjdZwD14hMIZWMvHnRZ4bez7fUjGma</t>
  </si>
  <si>
    <t>https://www.facebook.com/htu.chanie?mibextid=LQQJ4d</t>
  </si>
  <si>
    <r>
      <rPr>
        <sz val="12"/>
        <color theme="1"/>
        <rFont val="Times New Roman"/>
        <family val="1"/>
      </rPr>
      <t xml:space="preserve">Nguyễn Thị Thu Trang </t>
    </r>
    <r>
      <rPr>
        <sz val="12"/>
        <color rgb="FFFF0000"/>
        <rFont val="Times New Roman"/>
        <family val="1"/>
      </rPr>
      <t>(hợp đồng)</t>
    </r>
  </si>
  <si>
    <t>lht.jk2702@gmail.com</t>
  </si>
  <si>
    <t>Số 7 ngách 75/46 Phú Diễn, Bắc Từ Liêm, Hà Nội</t>
  </si>
  <si>
    <t>https://drive.google.com/open?id=1EN0I-XDNmFic3uiy6sJ_cZYy3Wx7Uwsu; https://drive.google.com/open?id=1F0XTuMA3D-k5CqQKtYV5Lsy5XOSLp52x</t>
  </si>
  <si>
    <t>23/77/96 chợ hàng cũ, lê chân, hải phòng</t>
  </si>
  <si>
    <t>https://www.facebook.com/profile.php?id=100069831346258</t>
  </si>
  <si>
    <t xml:space="preserve">Nguyễn Huyền Giang </t>
  </si>
  <si>
    <t xml:space="preserve"> huyengiang2576@gmail.com</t>
  </si>
  <si>
    <t>https://drive.google.com/open?id=1WRy31AxNl_13oDbSo0xWvesPCFlDsaTH; https://drive.google.com/open?id=1o-d-OLr7ueCc0k-3hBHkaqsIhw35W9Gd</t>
  </si>
  <si>
    <t>https://www.facebook.com/profile.php?id=100069113527674</t>
  </si>
  <si>
    <t xml:space="preserve"> Đỗ Ngọc Anh </t>
  </si>
  <si>
    <t xml:space="preserve"> dongocanh020@gmail.com</t>
  </si>
  <si>
    <t>https://drive.google.com/open?id=1j5LjLUDI098-nHTZoHPgBr7Uxa2EnEXm; https://drive.google.com/open?id=1dTN7IBeabDCpM-kfahyFd0RS1G2vFcZm</t>
  </si>
  <si>
    <t>https://www.facebook.com/profile.php?id=100045321765542</t>
  </si>
  <si>
    <t>Nguyễn Bá Tùng</t>
  </si>
  <si>
    <t>89 Ngõ 70 Văn trì Minh khai</t>
  </si>
  <si>
    <t>https://drive.google.com/open?id=19vfqCnONHFQ0bVa3aXP7c-CS5EA6YnIK; https://drive.google.com/open?id=1Uu7x6ieCWR6HNwbIahQB8rjxyL3V74Gb</t>
  </si>
  <si>
    <r>
      <rPr>
        <sz val="12"/>
        <color theme="1"/>
        <rFont val="Times New Roman"/>
        <family val="1"/>
      </rPr>
      <t xml:space="preserve"> Phạm Thị Ngọc Linh </t>
    </r>
    <r>
      <rPr>
        <sz val="12"/>
        <color rgb="FFFF0000"/>
        <rFont val="Times New Roman"/>
        <family val="1"/>
      </rPr>
      <t>(Hợp đồng)</t>
    </r>
  </si>
  <si>
    <t>nhà 1 ngõ 1277/7/1 ,tổ  6 ,Thịnh liệt - giải phóng - hoàng mai</t>
  </si>
  <si>
    <t>https://www.facebook.com/lailalanhhday?mibextid=LQQJ4d</t>
  </si>
  <si>
    <t>Ngô Thị Lan Anh</t>
  </si>
  <si>
    <t>ngothilananh125@gmail.com</t>
  </si>
  <si>
    <t>10/10/2024 và 05/11/2024</t>
  </si>
  <si>
    <t>https://drive.google.com/open?id=1Lzv4X30DyuU7RKK_HbMxrCdYCg6VGIZG; https://drive.google.com/open?id=1_7O2XMtp44rRRefptxbdbpeSyensCDHk; https://drive.google.com/open?id=1HuUhQZ-dEnJENqMKLCucHPUPknXJS0zY</t>
  </si>
  <si>
    <t xml:space="preserve"> https://www.facebook.com/shiny.art.1?mibextid=LQQJ4d</t>
  </si>
  <si>
    <t>Hồ Ngọc Ánh</t>
  </si>
  <si>
    <t>hongocanhshiny2210@gmail.com</t>
  </si>
  <si>
    <t>10/10/2024 và 13/10/2024</t>
  </si>
  <si>
    <t>https://drive.google.com/open?id=1ewCawOwQv4-XyK1R5AcktoKLzEoIbOK1; https://drive.google.com/open?id=1vbLtpL1bleOVrwAe57ivE8Pk3Qxlpzly; https://drive.google.com/open?id=1jnmBcYVrh6DPhL0el9v7IKSgQUISsEtc</t>
  </si>
  <si>
    <t xml:space="preserve"> Nguyễn Đình Minh Vũ</t>
  </si>
  <si>
    <t>https://www.facebook.com/profile.php?id=100040637981440&amp;mibextid=ZbWKwL</t>
  </si>
  <si>
    <r>
      <rPr>
        <sz val="12"/>
        <color theme="1"/>
        <rFont val="Times New Roman"/>
        <family val="1"/>
      </rPr>
      <t>Hồ Thị Ngọc Châu</t>
    </r>
    <r>
      <rPr>
        <sz val="12"/>
        <color rgb="FFFF0000"/>
        <rFont val="Times New Roman"/>
        <family val="1"/>
      </rPr>
      <t xml:space="preserve"> (hợp đồng) VIP112</t>
    </r>
  </si>
  <si>
    <t>hongocchau209@gmail.com</t>
  </si>
  <si>
    <t>11 giang cự vọng, phường Trung Mỹ Tây, q12, tphcm</t>
  </si>
  <si>
    <t>08/10/2024 và 11/10/2024</t>
  </si>
  <si>
    <t>https://drive.google.com/open?id=1wvNCyD35PioBQgZLpqXPS66MXI9sU7P6, https://drive.google.com/open?id=1Qo2hIyxEe_Ue301i71MgIfXF8gJWzsiE; https://drive.google.com/open?id=17Lst8ypR4lGg4PY3oYBOlzPi9CiI_ZXg</t>
  </si>
  <si>
    <t xml:space="preserve">https://www.facebook.com/profile.php?id=61563650609650 </t>
  </si>
  <si>
    <t>Phạm Thế Khải</t>
  </si>
  <si>
    <t>https://drive.google.com/open?id=1mr77EslNhRuCtlo1YKng6Pq9jpi-oXD9; https://drive.google.com/open?id=1W0XgVRWLOJ5VDROSFdJ_gk4v5CfefrCx</t>
  </si>
  <si>
    <t>https://www.facebook.com/profile.php?id=100022352087938</t>
  </si>
  <si>
    <t xml:space="preserve">Phạm Thị Thùy Linh </t>
  </si>
  <si>
    <t xml:space="preserve">Mat </t>
  </si>
  <si>
    <t>Tòa A chung cư ngô quyền phố phú thọ phường tân bình thành phố hải dương ạ</t>
  </si>
  <si>
    <t>https://drive.google.com/open?id=19KQaGzthZX4c300jifthcecqNepp25BO</t>
  </si>
  <si>
    <t>Mat góc</t>
  </si>
  <si>
    <t>https://www.facebook.com/profile.php?id=100007810727148&amp;mibextid=LQQJ4d</t>
  </si>
  <si>
    <r>
      <rPr>
        <sz val="12"/>
        <color theme="1"/>
        <rFont val="Times New Roman"/>
        <family val="1"/>
      </rPr>
      <t>Nguyễn Thị Liên</t>
    </r>
    <r>
      <rPr>
        <sz val="12"/>
        <color rgb="FFFF0000"/>
        <rFont val="Times New Roman"/>
        <family val="1"/>
      </rPr>
      <t xml:space="preserve"> - Liên Hương</t>
    </r>
  </si>
  <si>
    <t>13/10/2024 và 05/11/2024</t>
  </si>
  <si>
    <t>https://drive.google.com/open?id=1zwk943XJ3I9iBABH1GhU-P8HrbKw4qC-; https://drive.google.com/open?id=1KVeLVReD3m-dw-Ao13z5sZAy56iJfTu-; https://drive.google.com/open?id=181wJLWGEqEFGkkzZqEdTWsIkr3p2fQHT</t>
  </si>
  <si>
    <t>https://www.facebook.com/profile.php?id=100054439155168</t>
  </si>
  <si>
    <t>https://drive.google.com/open?id=1vtNc8dgCl5JTYipcYhR3EJHnymfTebm2; https://drive.google.com/open?id=1Att99vHZEzuBHV5yebBcZJVy40Ss7XUy</t>
  </si>
  <si>
    <t>https://www.facebook.com/profile.php?id=100048038284486</t>
  </si>
  <si>
    <t xml:space="preserve">Trần Ngọc Linh </t>
  </si>
  <si>
    <t xml:space="preserve">Ly </t>
  </si>
  <si>
    <t xml:space="preserve"> linhngoctran317@gmail.com</t>
  </si>
  <si>
    <t>https://drive.google.com/open?id=1AMr6eJZqctdAHz9zBvBB03m1SWlCMgZm; https://drive.google.com/open?id=1pn9gINlHmlbtmUvQ23u7dC0gNPQD5QH1</t>
  </si>
  <si>
    <r>
      <rPr>
        <sz val="12"/>
        <color theme="1"/>
        <rFont val="Times New Roman"/>
        <family val="1"/>
      </rPr>
      <t xml:space="preserve"> Nguyễn Thu Hà</t>
    </r>
    <r>
      <rPr>
        <sz val="12"/>
        <color rgb="FFFF0000"/>
        <rFont val="Times New Roman"/>
        <family val="1"/>
      </rPr>
      <t xml:space="preserve"> (Hợp đồng)</t>
    </r>
  </si>
  <si>
    <t>https://m.facebook.com/100024727153633/</t>
  </si>
  <si>
    <r>
      <rPr>
        <sz val="12"/>
        <color theme="1"/>
        <rFont val="Times New Roman"/>
        <family val="1"/>
      </rPr>
      <t xml:space="preserve">Vũ Nguyễn Thu Hà </t>
    </r>
    <r>
      <rPr>
        <sz val="12"/>
        <color rgb="FFFF0000"/>
        <rFont val="Times New Roman"/>
        <family val="1"/>
      </rPr>
      <t>(Hợp đồng)</t>
    </r>
  </si>
  <si>
    <t>153 Phan Đình Giót La Khê Hà Đông</t>
  </si>
  <si>
    <t>https://drive.google.com/open?id=18RWBZoB2LnvWG83p4sbljngwwrhKIkdj; https://drive.google.com/open?id=1_wilkgVZawzGvuCirF5BnS0j_zQxzYpW</t>
  </si>
  <si>
    <t>https://m.facebook.com/61564977534374/</t>
  </si>
  <si>
    <r>
      <rPr>
        <sz val="12"/>
        <color theme="1"/>
        <rFont val="Times New Roman"/>
        <family val="1"/>
      </rPr>
      <t xml:space="preserve">Nguyễn Anh Thơ </t>
    </r>
    <r>
      <rPr>
        <sz val="12"/>
        <color rgb="FFFF0000"/>
        <rFont val="Times New Roman"/>
        <family val="1"/>
      </rPr>
      <t>(Hợp đồng)</t>
    </r>
  </si>
  <si>
    <t>Số nhà 18 ngách 87/43 tổ 12 Phường Yên nghĩa quận Hà đông hà nội</t>
  </si>
  <si>
    <t>https://drive.google.com/open?id=11xWPfLNXnvfpsHFbdoOaeI9AME_oAFzj</t>
  </si>
  <si>
    <t>https://www.facebook.com/profile.php?id=100052234128959&amp;mibextid=LQQJ4d</t>
  </si>
  <si>
    <r>
      <rPr>
        <sz val="12"/>
        <color theme="1"/>
        <rFont val="Times New Roman"/>
        <family val="1"/>
      </rPr>
      <t>Nguyễn Thanh Hoa</t>
    </r>
    <r>
      <rPr>
        <sz val="12"/>
        <color rgb="FFFF0000"/>
        <rFont val="Times New Roman"/>
        <family val="1"/>
      </rPr>
      <t xml:space="preserve"> - hợp đồng
335929921 số ZALO</t>
    </r>
  </si>
  <si>
    <t>nguyenthanhhoabg2006@gmail.com</t>
  </si>
  <si>
    <t>số nhà 55, Tổ 3, Hoàng Văn thụ, phường Lê Hồng Phong, Phủ Lý , Hà Nam</t>
  </si>
  <si>
    <t>14/10/2024 và 19/10/2024</t>
  </si>
  <si>
    <t>17/11/2024 và 19/11/2024</t>
  </si>
  <si>
    <t>https://drive.google.com/open?id=1ZgPiVjhineziCoqF5yeK0KMOv6N6gWDd; https://drive.google.com/open?id=14dsoj6_zOOKfvQphA7PfPXaKeGUGlwDK; https://drive.google.com/open?id=1naAUF4HNRYAQgtwkz-YdDmzmrWyMM1qM, https://drive.google.com/open?id=12H3twH5vqZYH1m0I9Tcg4yZLXn_gbgTy</t>
  </si>
  <si>
    <t>https://www.facebook.com/profile.php?id=61565299397940&amp;mibextid=LQQJ4d</t>
  </si>
  <si>
    <r>
      <rPr>
        <sz val="12"/>
        <color theme="1"/>
        <rFont val="Times New Roman"/>
        <family val="1"/>
      </rPr>
      <t xml:space="preserve">Nguyễn Khánh Ngọc </t>
    </r>
    <r>
      <rPr>
        <sz val="12"/>
        <color rgb="FFFF0000"/>
        <rFont val="Times New Roman"/>
        <family val="1"/>
      </rPr>
      <t>- hợp đồng</t>
    </r>
  </si>
  <si>
    <t>số nhà 11-tổ 3-Đường võ văn tầm-phường lê hồng phong-tp phủ lý-tỉnh hà nam</t>
  </si>
  <si>
    <t>10/10/2024 và 19/10/2024</t>
  </si>
  <si>
    <t>https://drive.google.com/open?id=13J3pKyiQ7nnITHxj4-ltR-3qBXTfET_D; https://drive.google.com/open?id=1hBa70wZRqtt4CVO0frfIjljmSTxx6Nl7; https://drive.google.com/open?id=1v_H5rYfykLDEbotZNEqVrymCx6GZLQvj</t>
  </si>
  <si>
    <t>https://www.facebook.com/profile.php?id=100050935754964&amp;mibextid=LQQJ4d</t>
  </si>
  <si>
    <r>
      <rPr>
        <sz val="12"/>
        <color theme="1"/>
        <rFont val="Times New Roman"/>
        <family val="1"/>
      </rPr>
      <t>Đinh Văn Tuấn</t>
    </r>
    <r>
      <rPr>
        <sz val="12"/>
        <color rgb="FFFF0000"/>
        <rFont val="Times New Roman"/>
        <family val="1"/>
      </rPr>
      <t xml:space="preserve"> - hợp đồng - đã nộp 300K 05/01/2025
T254 bảo lưu buổi 19 đi quân sự. Học T292 b7</t>
    </r>
  </si>
  <si>
    <t>142 lý thường kiệt phù vân phủ lý hà nam</t>
  </si>
  <si>
    <t>https://drive.google.com/open?id=1M12pxzITHYNc8pf55wOuo2hD09qcwGb-; https://drive.google.com/open?id=1H6Smes7S5QzCBTfIq0YSNt6WmwxbWxF0</t>
  </si>
  <si>
    <t>https://www.facebook.com/profile.php?id=61559472645104&amp;mibextid=LQQJ4d</t>
  </si>
  <si>
    <r>
      <rPr>
        <sz val="12"/>
        <color theme="1"/>
        <rFont val="Times New Roman"/>
        <family val="1"/>
      </rPr>
      <t>Đỗ Thị Ngọc Ánh</t>
    </r>
    <r>
      <rPr>
        <sz val="12"/>
        <color rgb="FFFF0000"/>
        <rFont val="Times New Roman"/>
        <family val="1"/>
      </rPr>
      <t xml:space="preserve"> (Hợp đồng)</t>
    </r>
  </si>
  <si>
    <t>U9-L03, KĐT Đô Nghĩa, phường Yên Nghĩa, quận Hà Đông, Hà Nội</t>
  </si>
  <si>
    <t>11/10/2024 và 18/10/2024</t>
  </si>
  <si>
    <t>https://drive.google.com/open?id=1-3uPuP4dzFWXDFqdGwQRpmp9UwJI_DWy; https://drive.google.com/open?id=1xcmTd42-9sUZHsjX9KFMg-TN6EtQyLKt; https://drive.google.com/open?id=1MezOFVmNsSpigX1o10W_0gIpqb2-TnrK</t>
  </si>
  <si>
    <t>https://www.facebook.com/buiqvu.04?mibextid=LQQJ4d</t>
  </si>
  <si>
    <t>Bùi Quang Vũ</t>
  </si>
  <si>
    <t>Số 2 ngõ 66 lai xá, kim chung, hoài đức, Hà Nội</t>
  </si>
  <si>
    <t>https://drive.google.com/open?id=1Rk6ngZYN6fypWkVuvtrk6c70E-NCcAQ6</t>
  </si>
  <si>
    <t>https://www.facebook.com/tammi0496?mibextid=LQQJ4d</t>
  </si>
  <si>
    <t>Lê Phan Mỹ Tâm</t>
  </si>
  <si>
    <t>16/10/2024 và 04/11/2024</t>
  </si>
  <si>
    <t>https://drive.google.com/open?id=1N99PTTokabLI3CHSYNwclBYoCTR5lSWR; https://drive.google.com/open?id=1Nale0qdQG-tgrEuz74GKZbvuYX2HCTzp; https://drive.google.com/open?id=1ra-ZR7tOnQuXUNzbA1vMtoEHRQGKJamp</t>
  </si>
  <si>
    <t>https://www.facebook.com/profile.php?id=100072106314806&amp;mibextid=ZbWKwL</t>
  </si>
  <si>
    <r>
      <rPr>
        <sz val="12"/>
        <color theme="1"/>
        <rFont val="Times New Roman"/>
        <family val="1"/>
      </rPr>
      <t>Phạm Thị Cẩm Ly</t>
    </r>
    <r>
      <rPr>
        <sz val="12"/>
        <color rgb="FFFF0000"/>
        <rFont val="Times New Roman"/>
        <family val="1"/>
      </rPr>
      <t xml:space="preserve"> - hợp đồng</t>
    </r>
  </si>
  <si>
    <t>kly101018@gmail.com</t>
  </si>
  <si>
    <t>KTX Đại học văn hóa hà nội</t>
  </si>
  <si>
    <t>https://drive.google.com/open?id=1oH4_eGJxNezXCoxJ6g7PAe-kaebB1OO-; https://drive.google.com/open?id=1A5cQIUmWNJmytyf_6gZj8IsPbBPji8AT, https://drive.google.com/open?id=1N3XSWgQmBqh3wnNX0duJ4sJ_IhaOhKa7</t>
  </si>
  <si>
    <t>https://www.facebook.com/lily.kawaiii?mibextid=LQQJ4d</t>
  </si>
  <si>
    <t xml:space="preserve"> Phan Hà Phương </t>
  </si>
  <si>
    <t>h.phuong0124@gmail.com</t>
  </si>
  <si>
    <t>Số 16, ngõ 39 Đông Ngạc, quận Bắc Từ Liêm, Hà Nội</t>
  </si>
  <si>
    <t>16/10/2024 và 19/10/2024</t>
  </si>
  <si>
    <t>https://drive.google.com/open?id=1Fsd35bDelWQx6OQc_6WzNYH7_wLqA1ID; https://drive.google.com/open?id=1L2ht2YWw92jGzS-1m1gbQCglC0tEZoj4; https://drive.google.com/open?id=1PC02YK25EtB0Y28bewNCu5_DYzRPsjhC</t>
  </si>
  <si>
    <t>https://www.facebook.com/phmquang4?mibextid=LQQJ4d</t>
  </si>
  <si>
    <t>Phạm Việt Quang</t>
  </si>
  <si>
    <t>phmquang26@gmail.com</t>
  </si>
  <si>
    <t>16/10/2024 và 28/10/2024</t>
  </si>
  <si>
    <t>https://drive.google.com/open?id=1Er3N4-GRV85QnhsU_ugxtVTHkaiVvEUQ; https://drive.google.com/open?id=1JKvTYm2SinMqLoZXeMLV6Wse8XQhF8yQ; https://drive.google.com/open?id=17tq9_Nb9LhVbtzmpCrCsEC_lkXIUXkim</t>
  </si>
  <si>
    <t>Lê Huy Tùng Dương</t>
  </si>
  <si>
    <t>https://www.facebook.com/namwee18406?mibextid=LQQJ4d</t>
  </si>
  <si>
    <r>
      <rPr>
        <sz val="12"/>
        <color theme="1"/>
        <rFont val="Times New Roman"/>
        <family val="1"/>
      </rPr>
      <t>Nguyễn Huy Nam</t>
    </r>
    <r>
      <rPr>
        <sz val="12"/>
        <color rgb="FFFF0000"/>
        <rFont val="Times New Roman"/>
        <family val="1"/>
      </rPr>
      <t xml:space="preserve"> (Hợp đồng)</t>
    </r>
  </si>
  <si>
    <t>https://www.facebook.com/profile.php?id=61552602274665</t>
  </si>
  <si>
    <r>
      <rPr>
        <sz val="12"/>
        <color theme="1"/>
        <rFont val="Times New Roman"/>
        <family val="1"/>
      </rPr>
      <t xml:space="preserve">Nguyễn Anh Tuấn </t>
    </r>
    <r>
      <rPr>
        <sz val="12"/>
        <color rgb="FFFF0000"/>
        <rFont val="Times New Roman"/>
        <family val="1"/>
      </rPr>
      <t>(Hợp đồng)</t>
    </r>
  </si>
  <si>
    <t xml:space="preserve">nguyenanhtuan2006kienan@gmail.com </t>
  </si>
  <si>
    <t>17/10/2024 và 20/10/2024</t>
  </si>
  <si>
    <t>https://drive.google.com/open?id=1d2GFYcVoN-2e9PXjHEk2EhYu9wkiShp5; https://drive.google.com/open?id=1f93dpMtK_-khNXBauDmki-OOdxCfS6hS; https://drive.google.com/open?id=1lEMdANsnaOIC0Kqv4p9NLJc1UORzlx4v</t>
  </si>
  <si>
    <t>https://www.facebook.com/profile.php?id=100049492994539&amp;mibextid=LQQJ4d</t>
  </si>
  <si>
    <r>
      <rPr>
        <sz val="12"/>
        <color theme="1"/>
        <rFont val="Times New Roman"/>
        <family val="1"/>
      </rPr>
      <t xml:space="preserve">Nguyễn Thị Ngọc Mai </t>
    </r>
    <r>
      <rPr>
        <sz val="12"/>
        <color rgb="FFFF0000"/>
        <rFont val="Times New Roman"/>
        <family val="1"/>
      </rPr>
      <t>(hợp đồng)</t>
    </r>
  </si>
  <si>
    <t>ngocmai18092006@gmail.com</t>
  </si>
  <si>
    <t>17/10/2024 và 24/10/2024</t>
  </si>
  <si>
    <t>https://drive.google.com/open?id=1R9OZbOPQaNVQGh4zc5wvAEfWLjeVzj7f; https://drive.google.com/open?id=1oleb2R97xy5nN8a1nraoolmDkg771D0q; https://drive.google.com/open?id=1u0L9wQGqpCnLPiN7heVB-lhEN-mN75Tf, https://drive.google.com/open?id=1nXpsD6xApdE23kVYDQc367DUPZOYeouD</t>
  </si>
  <si>
    <t>https://www.facebook.com/phuongcute0502?mibextid=LQQJ4d</t>
  </si>
  <si>
    <r>
      <rPr>
        <sz val="12"/>
        <color theme="1"/>
        <rFont val="Times New Roman"/>
        <family val="1"/>
      </rPr>
      <t xml:space="preserve">Nguyễn Thị Phương </t>
    </r>
    <r>
      <rPr>
        <sz val="12"/>
        <color rgb="FFFF0000"/>
        <rFont val="Times New Roman"/>
        <family val="1"/>
      </rPr>
      <t>(hợp đồng)</t>
    </r>
  </si>
  <si>
    <t>nguyenphuong05022006@gmail.com</t>
  </si>
  <si>
    <t>17/10/2024 và 19/10/2024</t>
  </si>
  <si>
    <t>https://drive.google.com/open?id=1dCM0UgZ5VHyoeBBrnWhAAhlM_sDAw3zk; https://drive.google.com/open?id=1hrGnGxSclOXcHZjO6fLuWl4iQoOgkQTC; https://drive.google.com/open?id=1VZsy5w1yeoyRdzUrNwlMXU8VFC5zSP_V</t>
  </si>
  <si>
    <t>https://www.facebook.com/vananh.do.7393264?mibextid=ZbWKwL</t>
  </si>
  <si>
    <t>Đỗ Vân Anh</t>
  </si>
  <si>
    <t>16/10/2024 và 21/10/2024</t>
  </si>
  <si>
    <t>https://drive.google.com/open?id=1SvEK9YOsBDNpan9VCyy2UYlrl0KICvXz; https://drive.google.com/open?id=1WDKLJLoi3byqPMdSiqpnk_keHJHGSGa_; https://drive.google.com/open?id=1Nm_JSVwhH-_-YIXiW4X2b8R0BUyAx4Cq</t>
  </si>
  <si>
    <t>https://www.facebook.com/profile.php?id=100039339647890&amp;mibextid=ZbWKwL</t>
  </si>
  <si>
    <r>
      <rPr>
        <sz val="12"/>
        <color theme="1"/>
        <rFont val="Times New Roman"/>
        <family val="1"/>
      </rPr>
      <t>Nguyễn Phương Anh</t>
    </r>
    <r>
      <rPr>
        <sz val="12"/>
        <color rgb="FFFF0000"/>
        <rFont val="Times New Roman"/>
        <family val="1"/>
      </rPr>
      <t xml:space="preserve"> - OT33</t>
    </r>
  </si>
  <si>
    <t>anhnguyen.13092006nd@gmail.com</t>
  </si>
  <si>
    <t>https://drive.google.com/open?id=1_jKVtmEw6bOTWnITHiMdqQIHG2ge0UP5; https://drive.google.com/open?id=1DStDrVshIazGUtq8u8wWqHkiFMSR9bpv</t>
  </si>
  <si>
    <t>https://www.facebook.com/dothang.1710</t>
  </si>
  <si>
    <t>Đỗ Trọng Thắng</t>
  </si>
  <si>
    <t>Thượng Phúc Tả Thanh Oai Thanh Trì Hà Nội</t>
  </si>
  <si>
    <t>https://drive.google.com/open?id=12-PMpET3UUzA9lP2cgU4CEiq0L7-WAZU; https://drive.google.com/open?id=1oQU8zYJ6LS0e3G18pceOvIlMNMNiBZkJ, https://drive.google.com/open?id=1COJUrPJQBC0T-pKPz2nzAZ9_1yyXk0Jv</t>
  </si>
  <si>
    <r>
      <rPr>
        <sz val="12"/>
        <color theme="1"/>
        <rFont val="Times New Roman"/>
        <family val="1"/>
      </rPr>
      <t xml:space="preserve">Uông Thị Vân Anh </t>
    </r>
    <r>
      <rPr>
        <sz val="12"/>
        <color rgb="FFFF0000"/>
        <rFont val="Times New Roman"/>
        <family val="1"/>
      </rPr>
      <t>(hợp đồng)</t>
    </r>
  </si>
  <si>
    <t>https://www.facebook.com/hai.caoduy.3781</t>
  </si>
  <si>
    <r>
      <rPr>
        <sz val="12"/>
        <color theme="1"/>
        <rFont val="Times New Roman"/>
        <family val="1"/>
      </rPr>
      <t xml:space="preserve">Cao Duy Hải </t>
    </r>
    <r>
      <rPr>
        <sz val="12"/>
        <color rgb="FFFF0000"/>
        <rFont val="Times New Roman"/>
        <family val="1"/>
      </rPr>
      <t>- OT33</t>
    </r>
  </si>
  <si>
    <t xml:space="preserve"> caoduyhai206@gmail.com</t>
  </si>
  <si>
    <t>https://drive.google.com/open?id=15mKHGfCpxBJcb-muySJNDM7wJq_SE-1K; https://drive.google.com/open?id=1o3XpfqhPV7nGNJbizcpHqqqfh4HVvakh</t>
  </si>
  <si>
    <t>Gửi sách Thắng</t>
  </si>
  <si>
    <t>https://www.facebook.com/profile.php?id=100015172781227&amp;mibextid=LQQJ4d</t>
  </si>
  <si>
    <t>Nguyễn Đức Long</t>
  </si>
  <si>
    <t>20/10/2024 và 01/11/2024</t>
  </si>
  <si>
    <t>https://drive.google.com/open?id=1p0eXiWOaagMhZ1NO_BUdv9dueKrLy82O; https://drive.google.com/open?id=1SE2Rutt5GT0dToExZPoZAvgouSMyDGJ0; https://drive.google.com/open?id=1gcyn7Ij9hV15UC18uqu4WSXJV73nTGmD, https://drive.google.com/open?id=1AoPS-SbTCWkMWN5qlIRccxy_DjOSx1w4</t>
  </si>
  <si>
    <t>https://www.facebook.com/profile.php?id=100081335825493&amp;mibextid=LQQJ4d</t>
  </si>
  <si>
    <t xml:space="preserve">Trương Quang Tùng </t>
  </si>
  <si>
    <t>19/10/2024 và 29/10/2024</t>
  </si>
  <si>
    <t>https://drive.google.com/open?id=1aKlV7P20ALp4eeGEhEzm3LHdNhQtay1N; https://drive.google.com/open?id=1QW4QriKR9L1O-NS1gEol20aN0x45qvlI</t>
  </si>
  <si>
    <t>https://www.facebook.com/nganie.thao?mibextid=LQQJ4d</t>
  </si>
  <si>
    <r>
      <rPr>
        <sz val="12"/>
        <color theme="1"/>
        <rFont val="Times New Roman"/>
        <family val="1"/>
      </rPr>
      <t>Đỗ Trịnh Thảo Ngân</t>
    </r>
    <r>
      <rPr>
        <sz val="12"/>
        <color rgb="FFFF0000"/>
        <rFont val="Times New Roman"/>
        <family val="1"/>
      </rPr>
      <t xml:space="preserve"> - OT34</t>
    </r>
  </si>
  <si>
    <t>thaonganie7@gmail.com</t>
  </si>
  <si>
    <t>20/10/2024 và 23/10/2024</t>
  </si>
  <si>
    <t>https://drive.google.com/open?id=10_4EJwYG424gC8ZrzoaO2qgpwUw_PZIx; https://drive.google.com/open?id=1c2LfDn6ZDwTOseQRaTwTdaPS4Ue_pAIC; https://drive.google.com/open?id=1QepeuOh6ItGx-j6AxKikJCx68ol8132P</t>
  </si>
  <si>
    <t>Hồng Anh đưa</t>
  </si>
  <si>
    <t>https://www.facebook.com/hieuu.ngoc.3?mibextid=LQQJ4d</t>
  </si>
  <si>
    <r>
      <rPr>
        <sz val="12"/>
        <color theme="1"/>
        <rFont val="Times New Roman"/>
        <family val="1"/>
      </rPr>
      <t>Trần Ngọc Hiếu</t>
    </r>
    <r>
      <rPr>
        <sz val="12"/>
        <color rgb="FFFF0000"/>
        <rFont val="Times New Roman"/>
        <family val="1"/>
      </rPr>
      <t xml:space="preserve"> - đã nộp 300K 04/11/2024
OPT44 bảo lưu v1. Học OPT50</t>
    </r>
  </si>
  <si>
    <t xml:space="preserve">Hieulon1706@gmail.com </t>
  </si>
  <si>
    <t>Trực tiếp tại lớp học</t>
  </si>
  <si>
    <t>20/10/2024 và 22/10/2024</t>
  </si>
  <si>
    <t>https://drive.google.com/open?id=1jIpXvy8kSIMZZo2VRyJs_Uo7_jCq0kP6; https://drive.google.com/open?id=1WyPoI_Zlgfb6GIvfuMTwUqexgzgJPmEg; https://drive.google.com/open?id=1AXwv4j9vL--R_1U_mTlCUuemylARlysX</t>
  </si>
  <si>
    <t>https://www.facebook.com/profile.php?id=100051797326074&amp;mibextid=LQQJ4d</t>
  </si>
  <si>
    <t>Đặng Minh Hoàng</t>
  </si>
  <si>
    <t>dangminhhoang2506@gmail.com</t>
  </si>
  <si>
    <t xml:space="preserve"> số 1 ngách 16 ngõ 75 Hồ Tùng Mậu, Cầu Giấy</t>
  </si>
  <si>
    <t>https://drive.google.com/open?id=1svmNeFxvY5tLNIVyjvfvTL_q6DHTV6a0; https://drive.google.com/open?id=1U1-hdcW4XpSkHpIL86UePh-HSnwdp8ZD</t>
  </si>
  <si>
    <t>https://www.facebook.com/profile.php?id=100057503253533&amp;mibextid=ZbWKwL</t>
  </si>
  <si>
    <t>Lê Trang Ly</t>
  </si>
  <si>
    <t>lynn24002@gmail.com</t>
  </si>
  <si>
    <t>Cổng thôn Nhuế, xã Kim Chung, Huyện Đông Anh, Hà Nội</t>
  </si>
  <si>
    <t>https://drive.google.com/open?id=1e8W1xfI3RsVD-FWMq7fmjivuzeyS8GkC; https://drive.google.com/open?id=1kk1Zr9-4CUrlhZO5CWadN9TguW_BApF3</t>
  </si>
  <si>
    <t>https://www.facebook.com/profile.php?id=100088898736351</t>
  </si>
  <si>
    <r>
      <rPr>
        <sz val="12"/>
        <color theme="1"/>
        <rFont val="Times New Roman"/>
        <family val="1"/>
      </rPr>
      <t xml:space="preserve">Đỗ Mỹ Hạnh </t>
    </r>
    <r>
      <rPr>
        <sz val="12"/>
        <color rgb="FFFF0000"/>
        <rFont val="Times New Roman"/>
        <family val="1"/>
      </rPr>
      <t>(Hợp đồng)</t>
    </r>
  </si>
  <si>
    <t xml:space="preserve"> domyhanh230304@gmail.com</t>
  </si>
  <si>
    <t>Ct3c X2, Khu Đô Thị Bắc Linh Đàm, Phường Hoàng Liệt, Quận Hoàng Mai, Hà Nội</t>
  </si>
  <si>
    <t>https://drive.google.com/open?id=1XyVD7bN4TtfwUJuecQWVtrVFyP8S_zfv; https://drive.google.com/open?id=1dWuNyiIXWk-M2LkS3z2Zv8dnlAhm5824, https://drive.google.com/open?id=1dfOhxCRqk1mnhvj6NXYjE0A4WUQyxtRn</t>
  </si>
  <si>
    <t>https://www.facebook.com/hst1509</t>
  </si>
  <si>
    <t>https://www.facebook.com/hungg.manh.185?mibextid=LQQJ4d</t>
  </si>
  <si>
    <r>
      <rPr>
        <sz val="12"/>
        <color theme="1"/>
        <rFont val="Times New Roman"/>
        <family val="1"/>
      </rPr>
      <t xml:space="preserve">Đỗ Mạnh Hùng </t>
    </r>
    <r>
      <rPr>
        <sz val="12"/>
        <color rgb="FFFF0000"/>
        <rFont val="Times New Roman"/>
        <family val="1"/>
      </rPr>
      <t>- đã nộp 300K 10/02/2025
OPT47 bảo lưu b11. Học PT160 buổi 9</t>
    </r>
  </si>
  <si>
    <t>manhhungg386@gmail.com</t>
  </si>
  <si>
    <t>22/10/2024 và 31/10/2024</t>
  </si>
  <si>
    <t>https://drive.google.com/open?id=1vRAhjp_8tphRYQKnwCnq_Zd2L3U7CQ2S; https://drive.google.com/open?id=1uJAWXc0NA1yTTPgsf_RWllkdFQHEiQfx; https://drive.google.com/open?id=1kWsBGrqShj4usxK4S0O0J9SnE2PmD1T4</t>
  </si>
  <si>
    <t>https://www.facebook.com/phuongnhi.toan.3?mibextid=LQQJ4d</t>
  </si>
  <si>
    <t xml:space="preserve">Toàn Khánh Phương Nhi </t>
  </si>
  <si>
    <t xml:space="preserve"> tkhanhphuongnhi@gmail.com</t>
  </si>
  <si>
    <t>Toà A vinhomes masteri west heights căn 2828</t>
  </si>
  <si>
    <t>https://drive.google.com/open?id=1dNqFFibfVnU4pxn1EUTYbSMd1EGzD6Wn; https://drive.google.com/open?id=12A24aeIG9I51oS-cU1TfqpkSq_JYrV4i</t>
  </si>
  <si>
    <t>https://www.facebook.com/trngpm?mibextid=LQQJ4d</t>
  </si>
  <si>
    <t>Phạm Quỳnh Trang</t>
  </si>
  <si>
    <t>2006trangpham@gmail.com</t>
  </si>
  <si>
    <t>Số 6 Lê Văn Thiêm, Thanh Xuân Trung, Thanh Xuân, Hà Nội</t>
  </si>
  <si>
    <t>https://drive.google.com/open?id=1bhDcKYl-Jtz9-vhR6Zs5aepB0JXIIp6-; https://drive.google.com/open?id=1QMHfZR_KqQ_pMYJ9mIcLcLuH6ZD9RK20</t>
  </si>
  <si>
    <t>Tăng combo</t>
  </si>
  <si>
    <t>https://www.facebook.com/khanh.linhh.1481</t>
  </si>
  <si>
    <t xml:space="preserve">Lê Khánh Linh </t>
  </si>
  <si>
    <t>ljkk2807@gmail. com</t>
  </si>
  <si>
    <t>723 la thành, thành công, ba đình</t>
  </si>
  <si>
    <t>23/10/2024 và 05/11/2024</t>
  </si>
  <si>
    <t>https://drive.google.com/open?id=12vGHdWfbPtihMzI-vsF0TxWLL4o6lD1L; https://drive.google.com/open?id=1WkyGco-9k6yMDLf0wiu5giJrm350Mo5N</t>
  </si>
  <si>
    <t>https://www.facebook.com/chieuxuan.vu.05</t>
  </si>
  <si>
    <t>Vũ Chiều Xuân</t>
  </si>
  <si>
    <t>cxuan1805@gmail.com</t>
  </si>
  <si>
    <t>https://drive.google.com/open?id=1hCh1VabwcQv52k1aXokIJsj3uhnMBOj-; https://drive.google.com/open?id=1LhFRNshZYLnLM4Am2veHeiJ0OLiG_XXL</t>
  </si>
  <si>
    <t>MAT Gốc</t>
  </si>
  <si>
    <t>https://www.facebook.com/people/%C4%90%E1%BA%B7ng-Phuong-Ng%E1%BB%8Dc/pfbid02VDQzVgr4E9V7PaV5BvPeCCNHvvN65eoYf86mRJEBR6ZKewBxn76fhV1H2UEVQRy3l/</t>
  </si>
  <si>
    <t>Đặng Phương Ngọc</t>
  </si>
  <si>
    <t>Số 9A ngõ 20 Hồ Tùng Mậu Mai Dịch Cầu Giấy Hà Nội</t>
  </si>
  <si>
    <t>23/10/2024 và 14/11/2024</t>
  </si>
  <si>
    <t>https://drive.google.com/open?id=1eydePNJQrJm_LN4OxcVbFkGI7vVnbf7j; https://drive.google.com/open?id=1TbFhv_xzF18mmO73ChMdLzx45irVF2Yj; https://drive.google.com/open?id=1NPmPmNmpFGU2W3Uw7si68WpZPJud68wg</t>
  </si>
  <si>
    <t xml:space="preserve">Hà Phương Nam </t>
  </si>
  <si>
    <t>OPT48 bảo lưu buổi 3</t>
  </si>
  <si>
    <t>https://www.facebook.com/huan.toquang.9</t>
  </si>
  <si>
    <r>
      <rPr>
        <sz val="12"/>
        <color theme="1"/>
        <rFont val="Times New Roman"/>
        <family val="1"/>
      </rPr>
      <t xml:space="preserve">Tô Quang Huân </t>
    </r>
    <r>
      <rPr>
        <sz val="12"/>
        <color rgb="FFFF0000"/>
        <rFont val="Times New Roman"/>
        <family val="1"/>
      </rPr>
      <t>- KO thu 300K do HV có ý bỏ ngang
OPT48 bảo lưu buổi 3</t>
    </r>
  </si>
  <si>
    <t xml:space="preserve"> toquanghuana@gmail.com</t>
  </si>
  <si>
    <t>https://drive.google.com/open?id=1a5SHzCLl7k3u6mgvGqy0gmDKW1YtYply</t>
  </si>
  <si>
    <t>https://www.facebook.com/profile.php?id=100076356548759&amp;mibextid=ZbWKwL</t>
  </si>
  <si>
    <t>Hồ Hoài Thương</t>
  </si>
  <si>
    <t>https://drive.google.com/open?id=1zFbq1GdFb-PDYyn4XqVfyzvDidU4Ez6d; https://drive.google.com/open?id=1DPVwtWXccT59RHtMHR_K-zJrBh5q6Okx</t>
  </si>
  <si>
    <t>https://www.facebook.com/profile.php?id=61555117019690&amp;mibextid=LQQJ4d</t>
  </si>
  <si>
    <t>Hoàng Phan Quyền Linh</t>
  </si>
  <si>
    <t>DV 03 Hàng Bè Kiến Hưng Hà Đông</t>
  </si>
  <si>
    <t>25/10/2024 và 02/11/2024</t>
  </si>
  <si>
    <t>https://drive.google.com/open?id=1w9vI4bI6RXVR6WUpR69cx0TIe8x968Ni; https://drive.google.com/open?id=1pnHOLa-ecIBW-xh0ZNnau6dwy0Uyz-Ph; https://drive.google.com/open?id=1P2gRWCyZyZWYisFtpQ2LnedErsO_qpnI</t>
  </si>
  <si>
    <t>https://www.facebook.com/profile.php?id=100032037693158&amp;mibextid=LQQJ4d</t>
  </si>
  <si>
    <t>Hòa Thị Linh Chi</t>
  </si>
  <si>
    <t>Hoachi22082006@gmail.com</t>
  </si>
  <si>
    <t xml:space="preserve">Trực tiếp tại trung tâm </t>
  </si>
  <si>
    <t>24/10/2024 và 29/10/2024</t>
  </si>
  <si>
    <t>https://drive.google.com/open?id=1dZEqgl_f2BgGKPiuISAyQ9bc3oqt4j3l; https://drive.google.com/open?id=1FX4GUi9lICD445yJoIelQQ9tyU8_aXz8; https://drive.google.com/open?id=1OagTqXOLV0mm_vDp2WCCISgT-vsEK9WH</t>
  </si>
  <si>
    <t>https://www.facebook.com/profile.php?id=100090444648215&amp;mibextid=LQQJ4d</t>
  </si>
  <si>
    <t>Nguyễn Nhật Linh</t>
  </si>
  <si>
    <t>https://drive.google.com/open?id=1zct_sowuk6TO9tN5_51ia5V7pMyLOCpd; https://drive.google.com/open?id=1UvqEhuTkChdVsR7EhD6J6hawJoOkwoXj</t>
  </si>
  <si>
    <r>
      <rPr>
        <sz val="12"/>
        <color theme="1"/>
        <rFont val="Times New Roman"/>
        <family val="1"/>
      </rPr>
      <t xml:space="preserve">Trần Thị Thanh Thuỷ </t>
    </r>
    <r>
      <rPr>
        <sz val="12"/>
        <color rgb="FFFF0000"/>
        <rFont val="Times New Roman"/>
        <family val="1"/>
      </rPr>
      <t>(hợp đồng)</t>
    </r>
  </si>
  <si>
    <t>https://www.facebook.com/manhdung2006?mibextid=LQQJ4d</t>
  </si>
  <si>
    <t>Đào Mạnh Dũng</t>
  </si>
  <si>
    <t>https://drive.google.com/open?id=1aM1woOd2SlCjxqK4PzrWuQ2B57bhZo1Y; https://drive.google.com/open?id=1yyUrT-1RGDZ_Sea7rZP-iNYLGx-5QOuW</t>
  </si>
  <si>
    <t>https://www.facebook.com/canhxuongngonngot?mibextid=LQQJ4d</t>
  </si>
  <si>
    <t xml:space="preserve">Lê Thị Diệp Anh </t>
  </si>
  <si>
    <t>28/10/2024 và 18/11/2024</t>
  </si>
  <si>
    <t>https://drive.google.com/open?id=1mLDrOo8rrJtte5EeOHbWZlmM2AAI8KoX; https://drive.google.com/open?id=1tPBIYSoq02XOeXr1yggCjTg3OlIjWHm2</t>
  </si>
  <si>
    <t>https://www.facebook.com/profile.php?id=100080248431415&amp;mibextid=LQQJ4d</t>
  </si>
  <si>
    <t>Nguyễn Thị Minh Thư</t>
  </si>
  <si>
    <t>minhthunguyen6688@gmail.com</t>
  </si>
  <si>
    <t>thôn 3 thạch hoà thạch thất hà nội</t>
  </si>
  <si>
    <t>https://drive.google.com/open?id=1g4uN5MTHfwW_yPPNHE7xa5Ev2vovIucF</t>
  </si>
  <si>
    <t>https://www.facebook.com/profile.php?id=100069583904606&amp;mibextid=LQQJ4d</t>
  </si>
  <si>
    <t xml:space="preserve">Hoàng Thế Anh </t>
  </si>
  <si>
    <t>10/29/1024</t>
  </si>
  <si>
    <t>https://drive.google.com/open?id=1K7PLzyUCL10R7pvh3K4x1R7RBZTwLRJR</t>
  </si>
  <si>
    <t>https://www.facebook.com/profile.php?id=100026365031497&amp;mibextid=LQQJ4d</t>
  </si>
  <si>
    <r>
      <rPr>
        <sz val="12"/>
        <color theme="1"/>
        <rFont val="Times New Roman"/>
        <family val="1"/>
      </rPr>
      <t xml:space="preserve">Nông Thị Bảo Ngọc </t>
    </r>
    <r>
      <rPr>
        <sz val="12"/>
        <color rgb="FFFF0000"/>
        <rFont val="Times New Roman"/>
        <family val="1"/>
      </rPr>
      <t xml:space="preserve">- OPT51 </t>
    </r>
    <r>
      <rPr>
        <sz val="12"/>
        <color theme="1"/>
        <rFont val="Times New Roman"/>
        <family val="1"/>
      </rPr>
      <t>0899210821 số cũ</t>
    </r>
  </si>
  <si>
    <t>Cổng 2, 12 P. Chùa Bộc, Quang Trung, Đống Đa, Hà Nội</t>
  </si>
  <si>
    <t>25/09/2024 và 16/11/2024</t>
  </si>
  <si>
    <t>https://drive.google.com/open?id=1DGkn9Of4RM3riWPOH_IpZ5Id4PaquMlN; https://drive.google.com/open?id=1bE-GkXkhY7cz89vAiRXRnKSSR270nZd9, https://drive.google.com/open?id=1bTmh7WBj-SAytEfyGgFD6rwF_4mMGcwI</t>
  </si>
  <si>
    <t>https://www.facebook.com/profile.php?id=100043301829744&amp;mibextid=LQQJ4d</t>
  </si>
  <si>
    <r>
      <rPr>
        <sz val="12"/>
        <color theme="1"/>
        <rFont val="Times New Roman"/>
        <family val="1"/>
      </rPr>
      <t xml:space="preserve">Nguyễn Thị Uyên </t>
    </r>
    <r>
      <rPr>
        <sz val="12"/>
        <color rgb="FFFF0000"/>
        <rFont val="Times New Roman"/>
        <family val="1"/>
      </rPr>
      <t xml:space="preserve"> - hợp đồng. Đã nộp 300K 03/03/25
T258 bảo lưu b17 đi quân sự. Học T280</t>
    </r>
  </si>
  <si>
    <t>157A , đường Lí thường kiệt , Phù vân , Phủ lí , Hà Nam</t>
  </si>
  <si>
    <t>https://drive.google.com/open?id=16BcS6QBW0yzGxURjxwLhDXkYBKuRCd4J; https://drive.google.com/open?id=1W23oQm_HGMH8t52MyWe32ssW3LauBrY0; https://drive.google.com/open?id=1UTeuLftneldSaNJkqaB6eQbg7PQVWTql</t>
  </si>
  <si>
    <t>https://www.facebook.com/profile.php?id=100020077930596&amp;mibextid=LQQJ4d</t>
  </si>
  <si>
    <r>
      <rPr>
        <sz val="12"/>
        <color theme="1"/>
        <rFont val="Times New Roman"/>
        <family val="1"/>
      </rPr>
      <t>Nguyễn Vũ Yến Nhi</t>
    </r>
    <r>
      <rPr>
        <sz val="12"/>
        <color rgb="FFFF0000"/>
        <rFont val="Times New Roman"/>
        <family val="1"/>
      </rPr>
      <t xml:space="preserve"> - OPT46</t>
    </r>
  </si>
  <si>
    <t>nhinani3110@gmail.com</t>
  </si>
  <si>
    <t>https://drive.google.com/open?id=1F8a7idREY6KI3zUsHgrQmsVs8_cmAOk9; https://drive.google.com/open?id=1Q6_OiCtAbIBglwEhnTNMThtgQNbPO5Qf</t>
  </si>
  <si>
    <t>https://www.facebook.com/people/Nam-Kh%C3%A1nh/pfbid0PgEUvT79ZLdBYTvTNuQ8jExHveLYDaq8qDLSJ6rsDoWbyUfZeEX8CFnMyGou9pe2l/</t>
  </si>
  <si>
    <t>Bùi Nam Khánh</t>
  </si>
  <si>
    <t>https://drive.google.com/open?id=1hYVtr-r3P7GtZnX55V7UUdAi-1NVTIZb; https://drive.google.com/open?id=1NUhOIMzcinqOgJ6QnKRzcqvb7oPiuFFS</t>
  </si>
  <si>
    <t>https://www.facebook.com/Linhkngutks?mibextid=LQQJ4d</t>
  </si>
  <si>
    <t>Trần Phương Linh</t>
  </si>
  <si>
    <t>31/10/2024 và 5/11</t>
  </si>
  <si>
    <r>
      <rPr>
        <u/>
        <sz val="12"/>
        <color rgb="FF1155CC"/>
        <rFont val="Times New Roman"/>
        <family val="1"/>
      </rPr>
      <t>https://drive.google.com/open?id=1PP3uXTEWsfMlf-3SG3RoTMY3n0PG4a6T</t>
    </r>
    <r>
      <rPr>
        <u/>
        <sz val="12"/>
        <color rgb="FF1155CC"/>
        <rFont val="Times New Roman"/>
        <family val="1"/>
      </rPr>
      <t>; https://drive.google.com/open?id=1uotNEDFUqRFawG8l1yfCXPsbfANkS2EB; https://drive.google.com/open?id=1sOKRdDIHooRdogSGO9YAPBitekZ44113</t>
    </r>
  </si>
  <si>
    <t>https://www.facebook.com/doananh.hodinh.308?mibextid=LQQJ4d</t>
  </si>
  <si>
    <t>Hồ Đinh Đoan Anh</t>
  </si>
  <si>
    <t>doananhhodinh790@gmail.com</t>
  </si>
  <si>
    <t>89, Nguyễn Phong Sắc, kí túc xá học viện Báo chí và Tuyên truyền</t>
  </si>
  <si>
    <t>31/10/2024 và 02/11/2024</t>
  </si>
  <si>
    <t>https://drive.google.com/open?id=1tgn9UrEUq82LpPMc9qtSTQF-izM5WiPl; https://drive.google.com/open?id=1gTVwH61pTkR5V_cAW6vB-BVGc9LmxP2l; https://drive.google.com/open?id=1C6lXaN6rCtTDhnncCZr1bUbud6Tk9Z7V</t>
  </si>
  <si>
    <t>Hồng Anh đưa tay</t>
  </si>
  <si>
    <t>https://www.facebook.com/diem.duong.5280</t>
  </si>
  <si>
    <t>Dương Thị Diễm</t>
  </si>
  <si>
    <t>duongdiem.6713@gmail.com</t>
  </si>
  <si>
    <t>https://drive.google.com/open?id=1tEc9uxXxcJ5A68oxSMoSdj3gK_A6XPoK; https://drive.google.com/open?id=1kX35u6MXUt9NpG6Wi4LWRmf6FJGRBlSB, https://drive.google.com/open?id=1nAuzZoSyJVv7OV519LfhLeRPNyntUA9r</t>
  </si>
  <si>
    <t>https://www.facebook.com/profile.php?id=100068592291148&amp;mibextid=LQQJ4d</t>
  </si>
  <si>
    <t>Trần Bá Thọ - 398762006</t>
  </si>
  <si>
    <t>tranbatho382006@gmail.com</t>
  </si>
  <si>
    <t xml:space="preserve">Trực tiếp trung tâm buổi </t>
  </si>
  <si>
    <t>31/10/2024 và 04/11/2024</t>
  </si>
  <si>
    <t>https://drive.google.com/open?id=1EVNNj6tA7cu1-X7xx9UTDmhaiuIIQETR; https://drive.google.com/open?id=1rM80qIhlXfXILuhvcwhWkQO00Zeb2QmM; https://drive.google.com/open?id=1VJUY6dcD7MewW8rQVy7iQGnld0-gDk3N</t>
  </si>
  <si>
    <t>https://www.facebook.com/gia.khanhhhs?mibextid=LQQJ4d</t>
  </si>
  <si>
    <t>Phan Gia Khánh</t>
  </si>
  <si>
    <t>N.Anh</t>
  </si>
  <si>
    <t>phangiakhanhs2006@gmail.com</t>
  </si>
  <si>
    <t>https://drive.google.com/open?id=1zvGUrHTnsC0QKFq55gFU0shWakR4G6df; https://drive.google.com/open?id=1kxDL0vKGW3npaS-GkoXeXA-FZtHXUQxt</t>
  </si>
  <si>
    <t>https://www.facebook.com/may.lythi.5099?mibextid=LQQJ4d</t>
  </si>
  <si>
    <t>Lý Thị Mây</t>
  </si>
  <si>
    <t>maylythi205gmail.com</t>
  </si>
  <si>
    <t>số nhà 48,tổ 1, Phường Hoàng Văn Thụ, Thành Phố Thái Nguyên, Thái Nguyên</t>
  </si>
  <si>
    <t>https://drive.google.com/open?id=1rvd9Hg0wTUrD4g1fvz3NMmul9-dqQBC5; https://drive.google.com/open?id=17QNkwfKHsl-31ZTselYgtFZvNgg5qv2_</t>
  </si>
  <si>
    <t>https://www.facebook.com/profile.php?id=100060006919881&amp;mibextid=LQQJ4d</t>
  </si>
  <si>
    <t xml:space="preserve"> thudiep23039@gmail.com</t>
  </si>
  <si>
    <t>01/11/2024 và 05/11/2024</t>
  </si>
  <si>
    <t>https://drive.google.com/open?id=1unFAs5Lh1vHzNZHprpleRtjS6UgbwEg5; https://drive.google.com/open?id=1Ce9-mXBbETfFC-oycKEXd36OHKvl2Um2; https://drive.google.com/open?id=1-8fSHXmjda_Hfe0ZYSYy32-tSxlOwvHJ</t>
  </si>
  <si>
    <t>https://www.facebook.com/profile.php?id=100044914268026&amp;mibextid=LQQJ4d</t>
  </si>
  <si>
    <t>duyen151106@gmail.com</t>
  </si>
  <si>
    <t xml:space="preserve">Tại trung tâm </t>
  </si>
  <si>
    <t>https://drive.google.com/open?id=1AsVl484t-pG9d6tfFAPPf9ktVTHf8qU8; https://drive.google.com/open?id=1ONl8yu5rwb671eyJOl8h8IYJI6H2Ahc5; https://drive.google.com/open?id=18bE9MGi3P8axSdC43wTNP9qzoJFt2pcZ</t>
  </si>
  <si>
    <t>Listening 350- Reading 230</t>
  </si>
  <si>
    <t>https://www.facebook.com/profile.php?id=100075990271785&amp;mibextid=LQQJ4d</t>
  </si>
  <si>
    <t>Đặng Hoàng Sơn</t>
  </si>
  <si>
    <t>https://drive.google.com/open?id=1PuE-fi3hIEOcov0nO48mMhO46tplMcj6; https://drive.google.com/open?id=1SvuOhjHSaU_XrEelQRkDDTgEqnIygoCl</t>
  </si>
  <si>
    <t>https://www.facebook.com/profile.php?id=100023543910540&amp;mibextid=LQQJ4d</t>
  </si>
  <si>
    <t>Nguyễn Thị Ngọc Ly</t>
  </si>
  <si>
    <t xml:space="preserve"> Nhà Trọ Hải Thu, số 114, đường Lý Thường Kiệt, thôn 1 , xã Phù Vân, Thành phố Phủ Ly Hà Nam</t>
  </si>
  <si>
    <t>https://drive.google.com/open?id=1IsHzxCsgel0cvevzDuXldAvk_F9o3kLZ</t>
  </si>
  <si>
    <t>OPT52</t>
  </si>
  <si>
    <t>https://www.facebook.com/pdl.06?mibextid=ZbWKwL</t>
  </si>
  <si>
    <t>Phạm Diệu Linh</t>
  </si>
  <si>
    <t>01/11/2024 và 23/11/2024</t>
  </si>
  <si>
    <t>https://drive.google.com/open?id=1RDcqXv2C1vMwWdEWYxXe8zo6QZB4aBkY; https://drive.google.com/open?id=1OsIdVPDA7n-VxtPYCZERySIjFvXwmY2t</t>
  </si>
  <si>
    <t>https://www.facebook.com/profile.php?id=100053890674211&amp;mibextid=LQQJ4d</t>
  </si>
  <si>
    <t>Tô Khánh Vân</t>
  </si>
  <si>
    <t>Hải Anh Meca</t>
  </si>
  <si>
    <t>Số nhà 13 , ngõ đình 2 ,Phú Nhi 1, phường Phú Thịnh, thị xã Sơn Tây , Hà Nội</t>
  </si>
  <si>
    <t>https://drive.google.com/open?id=1lssTInoiWQRSKm5D5oUSb7hrpUmtKrDG; https://drive.google.com/open?id=1SMUrxDPRhawiC2180pD0Kt1hPaBgQzCa; https://drive.google.com/open?id=1jzwK8cNo4VeDopmmL20_CyA0YocktnJI</t>
  </si>
  <si>
    <t>https://www.facebook.com/profile.php?id=100053331317618</t>
  </si>
  <si>
    <t xml:space="preserve">Nguyễn Hữu Đăng Thức </t>
  </si>
  <si>
    <t>Phường Phương Canh, quận Nam Từ Niêm, Hà Nội</t>
  </si>
  <si>
    <t>https://drive.google.com/open?id=1a3bwMSOxxy_3CGlwzzLtRvq6grHFBfui; https://drive.google.com/open?id=1WihaNQPLGK28Va3IPHMOZtYxeEZ5kS5G</t>
  </si>
  <si>
    <t>760 / 1000</t>
  </si>
  <si>
    <t>https://www.facebook.com/profile.php?id=61550780199546</t>
  </si>
  <si>
    <t xml:space="preserve">Lê Đức Giang  </t>
  </si>
  <si>
    <t>giang12apc@gmail.com</t>
  </si>
  <si>
    <t>Tại  lop</t>
  </si>
  <si>
    <t>https://drive.google.com/open?id=158qTqorK_rs__a06XmwPZCDpIUhZ57uT, https://drive.google.com/open?id=12f_ZDLttpb-9OewVHtsQs1hjxxnWgNsK</t>
  </si>
  <si>
    <t>Mat  goc</t>
  </si>
  <si>
    <t>https://drive.google.com/open?id=1RtLRKswTF3DKZ0fnLWQVYeGCwF3246a_</t>
  </si>
  <si>
    <t>https://drive.google.com/open?id=11BQEDFdXql1BHCNdvMJg6ekMLFtqOK67</t>
  </si>
  <si>
    <r>
      <rPr>
        <sz val="12"/>
        <color theme="1"/>
        <rFont val="Times New Roman"/>
        <family val="1"/>
      </rPr>
      <t>Nguyễn Văn Hoàng Anh</t>
    </r>
    <r>
      <rPr>
        <sz val="12"/>
        <color rgb="FFFF0000"/>
        <rFont val="Times New Roman"/>
        <family val="1"/>
      </rPr>
      <t xml:space="preserve"> </t>
    </r>
  </si>
  <si>
    <t>https://drive.google.com/open?id=1wVDsUEBpQOECuC4Jq0QW2LeaRtEQnpHD</t>
  </si>
  <si>
    <t>https://www.facebook.com/profile.php?id=100081239515657&amp;mibextid=ZbWKwL</t>
  </si>
  <si>
    <t>Lê Thuỳ Trâm</t>
  </si>
  <si>
    <t>Nguyệt Hằng Meca</t>
  </si>
  <si>
    <t>Bích Ngọc</t>
  </si>
  <si>
    <t>lethuytram2006tb@gmail.com</t>
  </si>
  <si>
    <t>Ngách 294/39 ,ngõ 294,Lĩnh Nam , Hoàng Mai</t>
  </si>
  <si>
    <t>02/11/2024 và 03/11/2024</t>
  </si>
  <si>
    <t>https://drive.google.com/open?id=1yhAOPix7i4GuZod5pO6T1Tki2KL75W28; https://drive.google.com/open?id=1Ywfnp9cRg15YCCGJ0N9VPCa-E8ZvtgUH</t>
  </si>
  <si>
    <t>https://www.facebook.com/profile.php?id=100050397577711</t>
  </si>
  <si>
    <t>Tống Đức Nam</t>
  </si>
  <si>
    <t>https://drive.google.com/open?id=1ATHTaUZRKLKX9xbF3ozyo8OZaFOWiQy9; https://drive.google.com/open?id=1BL6v7dyOCArIT6xdO1-sGgU_VeKS4p_Y</t>
  </si>
  <si>
    <t>VIP115 bảo lưu b14 đi quân sự</t>
  </si>
  <si>
    <t>https://www.facebook.com/profile.php?id=61553580538076</t>
  </si>
  <si>
    <t>Nguyễn Thị Mộng Kiều</t>
  </si>
  <si>
    <t>mongkieu11072020@gmail.com</t>
  </si>
  <si>
    <t>18/18 Nguyễn Hới, An Lạc, Q.Bình Tân TPHCM</t>
  </si>
  <si>
    <t>https://drive.google.com/open?id=1CGPbOGzLBFHVsjEWZRqaRivxYxNzA4V6</t>
  </si>
  <si>
    <t>https://www.facebook.com/profile.php?id=100073531524068</t>
  </si>
  <si>
    <t xml:space="preserve">Phan Tú Nhàn </t>
  </si>
  <si>
    <t xml:space="preserve"> tunhan612006@gmail.com</t>
  </si>
  <si>
    <t>41 Vạn Kiếp , Chương Dương , Hoàn kiếm Hà Nội</t>
  </si>
  <si>
    <t>https://drive.google.com/open?id=1ZICBLXRofA7DCr1cK6QgU1b6ufTHDZ3b; https://drive.google.com/open?id=13NoV1w9qXR9bOBKn4sHWbnAi0LceFzJK</t>
  </si>
  <si>
    <t>https://www.facebook.com/profile.php?id=100012247006319</t>
  </si>
  <si>
    <t xml:space="preserve">Hoàng Sơn Tùng </t>
  </si>
  <si>
    <t>LY</t>
  </si>
  <si>
    <t xml:space="preserve"> ttho206206@gmail.com</t>
  </si>
  <si>
    <t>https://drive.google.com/open?id=15VCJweQrQiR6QwQWnXBPiPqg82ZtpZbd; https://drive.google.com/open?id=1i9Maoljl5DqnWmcNdT_0DffyfvPNFWu8</t>
  </si>
  <si>
    <t>https://www.facebook.com/ngoc.anhh.9406417?mibextid=LQQJ4d</t>
  </si>
  <si>
    <t>Mạc Thị Ánh Ngọc</t>
  </si>
  <si>
    <t xml:space="preserve"> Bún Riêu Bảo Châu, Đường Quyết Thắng, Khu Đất Dịch Vụ C, Phường Yên Nghĩa, Quận Hà Đông, Hà Nội</t>
  </si>
  <si>
    <t>https://drive.google.com/open?id=1tk9-vp-NsIrFo3b0bM7ihNCln-V0yrzT; https://drive.google.com/open?id=18PkTqW4IS2ObxywckvkHcwXYS5suWHoC; https://drive.google.com/open?id=1EPaPZy8gbZNBmOe6BLUE853LvWek8Wvo</t>
  </si>
  <si>
    <r>
      <rPr>
        <sz val="12"/>
        <color theme="1"/>
        <rFont val="Times New Roman"/>
        <family val="1"/>
      </rPr>
      <t xml:space="preserve">Nguyễn Quỳnh Hương </t>
    </r>
    <r>
      <rPr>
        <sz val="12"/>
        <color rgb="FFFF0000"/>
        <rFont val="Times New Roman"/>
        <family val="1"/>
      </rPr>
      <t>(hợp đồng)</t>
    </r>
  </si>
  <si>
    <t>tòa bs15 vinhomes quận 9,HCM</t>
  </si>
  <si>
    <t>https://drive.google.com/open?id=1APWov1YxyOrhN5BiQJb2FUKzcC-4ISsa</t>
  </si>
  <si>
    <t>https://www.facebook.com/anhduc864</t>
  </si>
  <si>
    <t>ducngyentk@gmail.com</t>
  </si>
  <si>
    <t>Trường Đại học Công Nghiệp Hà Nội (Cơ sở 3 Hà Nam)</t>
  </si>
  <si>
    <t>https://drive.google.com/open?id=1pX1fDIxMSmV61ejo4W4AN0XamRL616-X</t>
  </si>
  <si>
    <t>https://www.facebook.com/profile.php?id=100050559190122</t>
  </si>
  <si>
    <r>
      <rPr>
        <sz val="12"/>
        <color theme="1"/>
        <rFont val="Times New Roman"/>
        <family val="1"/>
      </rPr>
      <t xml:space="preserve">Đặng Minh Hiếu </t>
    </r>
    <r>
      <rPr>
        <sz val="12"/>
        <color rgb="FFFF0000"/>
        <rFont val="Times New Roman"/>
        <family val="1"/>
      </rPr>
      <t>- 865590097 số cũ</t>
    </r>
  </si>
  <si>
    <t>02/11/2024 và 05/11/2024</t>
  </si>
  <si>
    <t>https://drive.google.com/open?id=1XL0c-AHYCCXx0f04V2PYimAcGNUK6C_8; https://drive.google.com/open?id=1Ei3psECnW3471MbfN-vm_ltplALM0AMX; https://drive.google.com/open?id=1r6qGHTCa77VQR5KM2ilkLL4e7EuR32JA</t>
  </si>
  <si>
    <t>https://www.facebook.com/quan.quann.7106</t>
  </si>
  <si>
    <r>
      <rPr>
        <sz val="12"/>
        <color theme="1"/>
        <rFont val="Times New Roman"/>
        <family val="1"/>
      </rPr>
      <t xml:space="preserve">Lương Hồng Quân </t>
    </r>
    <r>
      <rPr>
        <sz val="12"/>
        <color rgb="FFFF0000"/>
        <rFont val="Times New Roman"/>
        <family val="1"/>
      </rPr>
      <t>- Người Đi Rừng</t>
    </r>
  </si>
  <si>
    <t>quanluong4646@gmail.com</t>
  </si>
  <si>
    <t xml:space="preserve">75 Cầu Đất Chương Dương Hoàn Kiếm Hà Nội </t>
  </si>
  <si>
    <t>https://drive.google.com/open?id=1K25xh7ZRqPrlEWoqf8g6m2KUHTPl_2CH</t>
  </si>
  <si>
    <t>https://www.facebook.com/nhu.hexi.1253?mibextid=JRoKGi</t>
  </si>
  <si>
    <t>Ngọ Lê An Như</t>
  </si>
  <si>
    <t>Annnhu05@gmail.com</t>
  </si>
  <si>
    <t>Nhà 2b ngách 63/23 trần quốc vượng cầu giấy</t>
  </si>
  <si>
    <t>https://drive.google.com/open?id=1KlEgkWel5JmLyRYMG50Z-zCy_y7kCdfp; https://drive.google.com/open?id=1uLMIj4EccHtfSU8ajCwyDHaVOpvhbfKm</t>
  </si>
  <si>
    <t>OB22</t>
  </si>
  <si>
    <t>https://www.facebook.com/100043813478034/</t>
  </si>
  <si>
    <t>Bùi Thị Lệ</t>
  </si>
  <si>
    <t>Nhận offline</t>
  </si>
  <si>
    <t>11/06/2024 và 18/11/2024</t>
  </si>
  <si>
    <t>https://drive.google.com/open?id=1JsfOj6T6Ysi_VsVZ5eAiZrHP5OFtu6Iu; https://drive.google.com/open?id=1LseqshlwVBpv1CqtPYUS7E7WbutDhhfu</t>
  </si>
  <si>
    <t xml:space="preserve">Đã cọc từ lâu, chưa dc giảm tiền khách hàng thân thiết </t>
  </si>
  <si>
    <t xml:space="preserve">https://www.facebook.com/ngoclong.the?mibextid=LQQJ4d </t>
  </si>
  <si>
    <t xml:space="preserve">Nguyễn Thế Ngọc Long </t>
  </si>
  <si>
    <t>Ngthengoclong58@gmail.com</t>
  </si>
  <si>
    <t>https://drive.google.com/open?id=1WKHVVWgvKo5kh0aIFvJyrryTFa7M7pL-</t>
  </si>
  <si>
    <t>https://www.facebook.com/pptminhon</t>
  </si>
  <si>
    <t>Phạm Thị Phương Thảo</t>
  </si>
  <si>
    <t>pphamthao006@gmail.com</t>
  </si>
  <si>
    <t>https://drive.google.com/open?id=17k6sx9inQq5TL3RPhO1mZ5bCfzkqPmPc</t>
  </si>
  <si>
    <t>https://www.facebook.com/ruykhanhdeptryy</t>
  </si>
  <si>
    <t>Thôn Tịnh Xuyên - Hồng Minh - Hưng Hà - Thái Bình</t>
  </si>
  <si>
    <t>05/11/2024 và 12/11/2024</t>
  </si>
  <si>
    <t>https://drive.google.com/open?id=1d4FmO2yggMgG98iyVq9X-N4A8pP_eyv3; https://drive.google.com/open?id=1Wt8RgMVjXh5decYfuS5zjFRrESeXpd3L</t>
  </si>
  <si>
    <t>https://www.facebook.com/DLNA2000?mibextid=LQQJ4d&amp;rdid=FHFS6DZzB7uikB5p&amp;share_url=https%3A%2F%2Fwww.facebook.com%2Fshare%2F7HS8qy8iWgE3hRwm%2F%3Fmibextid%3DLQQJ4d</t>
  </si>
  <si>
    <t>Đặng Lê Ngọc Anh</t>
  </si>
  <si>
    <t>danganh.2511ngoc@gmail.com</t>
  </si>
  <si>
    <t>Thôn Giáo, Tri Phương, Tiên Du, Bắc Ninh</t>
  </si>
  <si>
    <t>https://drive.google.com/open?id=1aeCQOQkMcd0Vu26varkwhzjbTTIyF3SK</t>
  </si>
  <si>
    <t>300 Listening - 190 Reading</t>
  </si>
  <si>
    <t>https://www.facebook.com/profile.php?id=100033472095151</t>
  </si>
  <si>
    <r>
      <rPr>
        <sz val="12"/>
        <color theme="1"/>
        <rFont val="Times New Roman"/>
        <family val="1"/>
      </rPr>
      <t xml:space="preserve">Từ Ngọc Huyền </t>
    </r>
    <r>
      <rPr>
        <sz val="12"/>
        <color rgb="FFFF0000"/>
        <rFont val="Times New Roman"/>
        <family val="1"/>
      </rPr>
      <t>- 0878810580 số zalo</t>
    </r>
  </si>
  <si>
    <t>huyentn281126@gmail.com</t>
  </si>
  <si>
    <t>ĐH Công Nghiệp cơ sở 3, Phủ Lý, Hà Nam</t>
  </si>
  <si>
    <t>https://drive.google.com/open?id=16hO6ohhZXsewJ5x9Lic1JoBuZ-nOCn_R</t>
  </si>
  <si>
    <t>Đinh Lan</t>
  </si>
  <si>
    <t xml:space="preserve">Số 16 hẻm 40 ngách 127 ngõ 22 khuyến lương, trần phú, hoàng mai </t>
  </si>
  <si>
    <t>https://drive.google.com/open?id=1w6DtaWo9q7KrAqtZH54-YF1n_MmJPXnV</t>
  </si>
  <si>
    <t xml:space="preserve"> https://www.facebook.com/profile.php?id=100064494558875&amp;mibextid=ZbWKwL</t>
  </si>
  <si>
    <t>Lờ Thị Trà Vinh</t>
  </si>
  <si>
    <t>562 Trần Cung- Cổ Nhuế 2- Bắc Từ Liêm - Hà Nội</t>
  </si>
  <si>
    <t>https://drive.google.com/open?id=19Sgk1G7ljliltPBj9Nq_RXcNEYbsVDH_, https://drive.google.com/open?id=1gnm3_a_h0I552NCuP65rfD4jBN3ZQMpO; https://drive.google.com/open?id=1eutwsnZA9odSZPALtA2AylYeI_YfIZiR</t>
  </si>
  <si>
    <t>https://www.facebook.com/my.thaithi.908?mibextid=ZbWKwL</t>
  </si>
  <si>
    <t>Thái Thị Mỹ</t>
  </si>
  <si>
    <t>Ngõ 196, đường Hồ Tùng Mậu, phường Cầu Diễn, Nam Từ Liêm, Hà Nội</t>
  </si>
  <si>
    <t>https://drive.google.com/open?id=1YZAkBPNpmWPqeGgLDDkeluhJU_Q7nQas; https://drive.google.com/open?id=1RCkFb0Awp5-Oys05wSpv0X-wYJ0Fi-TZ</t>
  </si>
  <si>
    <t>https://www.facebook.com/mijun.kim.969</t>
  </si>
  <si>
    <t xml:space="preserve"> Nguyễn Ngọc Ánh </t>
  </si>
  <si>
    <t xml:space="preserve"> anh935139@gmail.com</t>
  </si>
  <si>
    <t>https://drive.google.com/open?id=1aMV_srdC6GDE3MQAYFxR9QNcg0qi9GLI</t>
  </si>
  <si>
    <t>https://www.facebook.com/agha.sghs?mibextid=LQQJ4d</t>
  </si>
  <si>
    <t>Vũ Đức Điệp</t>
  </si>
  <si>
    <t>Vuducdiep11a4@gmail.con</t>
  </si>
  <si>
    <t>Kí Túc Xá C15 Đại Học Công Nghiệp Hà Nội Cơ Sở 3, Xã Phù Vân, Thành Phố Phủ Lý, Hà Nam</t>
  </si>
  <si>
    <t>03/11/2024 và 06/11/2024</t>
  </si>
  <si>
    <t>https://drive.google.com/open?id=17WIdKd_JQIYU6dzVA_6orNdMaxxB4r9s, https://drive.google.com/open?id=1Ze1ECABi6fU5MB1-zxdB_ZQQ1ByfWFgL</t>
  </si>
  <si>
    <t>https://www.facebook.com/profile.php?id=100053180659288</t>
  </si>
  <si>
    <t>Đào Thị Huyên</t>
  </si>
  <si>
    <t>daohuyen17082006@gmail.com</t>
  </si>
  <si>
    <t>https://drive.google.com/open?id=11PhJRvZJrtvvXqts7m-Fa4YsqE2UMZXx; https://drive.google.com/open?id=1tubyO92C-9RPsgIFBUtTovAUF_qh9Niu</t>
  </si>
  <si>
    <t>https://www.facebook.com/TeacherYethro1408</t>
  </si>
  <si>
    <t xml:space="preserve">Nguyễn Tuấn Minh </t>
  </si>
  <si>
    <t>Oanh</t>
  </si>
  <si>
    <t>Số 31, ngõ 68 phố Cầu Am, Vạn Phúc, Hà Đông</t>
  </si>
  <si>
    <t>https://drive.google.com/open?id=1mJYDN_sJMLpIin9cpYgNpcM5WUn4MniF</t>
  </si>
  <si>
    <t>https://www.facebook.com/trung.trannhat.944?mibextid=LQQJ4d</t>
  </si>
  <si>
    <t>Trần Nhất Trung</t>
  </si>
  <si>
    <t>28/10/2024 và 08/11/2024</t>
  </si>
  <si>
    <t>https://drive.google.com/open?id=1ffv-JIb7O8pA-Aq_UIdPoYCx580WQLBO; https://drive.google.com/open?id=1dESLZ_Mu_CjIZDacFk0J03O0xpbqdmB6; https://drive.google.com/open?id=1LJ_K44v8BiOXgok7LccB25JhOy4FnIGT</t>
  </si>
  <si>
    <t xml:space="preserve"> Đặng Quang Minh Đức </t>
  </si>
  <si>
    <t xml:space="preserve"> vnam50753@gmail.com</t>
  </si>
  <si>
    <t>Tai lớp</t>
  </si>
  <si>
    <t>https://drive.google.com/open?id=1J-gRqK72TR9O76qoeZXxaJOY25Jz7ODG</t>
  </si>
  <si>
    <t>https://www.facebook.com/share/1BCc3AW4tg/?mibextid=wwXIfr</t>
  </si>
  <si>
    <t>Lê Minh Quân</t>
  </si>
  <si>
    <t>LeQuan03122006a@gmail.com</t>
  </si>
  <si>
    <t>https://drive.google.com/open?id=1FF6BIeniozfZ-ocpEKKG6JaNGBw1XBWV, https://drive.google.com/open?id=1S2qVeESM2gSqF2i3fQRaio-OMTjV6m0C</t>
  </si>
  <si>
    <t>https://www.facebook.com/LeMinhQuan.MMO.IP?mibextid=LQQJ4d</t>
  </si>
  <si>
    <t>https://www.facebook.com/profile.php?id=100060974444532&amp;mibextid=LQQJ4d</t>
  </si>
  <si>
    <t>datnv3347@gmail.com</t>
  </si>
  <si>
    <t>595/41/9 đường lĩnh nam, Hà Nội</t>
  </si>
  <si>
    <t>https://drive.google.com/open?id=1jFeBvCn9Fdh1bCGJ1yuFfezz_F5ZZyDP</t>
  </si>
  <si>
    <t>PT153</t>
  </si>
  <si>
    <t>https://www.facebook.com/profile.php?id=100072314959344&amp;mibextid=LQQJ4d</t>
  </si>
  <si>
    <r>
      <rPr>
        <sz val="12"/>
        <color theme="1"/>
        <rFont val="Times New Roman"/>
        <family val="1"/>
      </rPr>
      <t>Nguyễn Tuấn Huy</t>
    </r>
    <r>
      <rPr>
        <sz val="12"/>
        <color rgb="FFFF0000"/>
        <rFont val="Times New Roman"/>
        <family val="1"/>
      </rPr>
      <t xml:space="preserve"> (hợp đồng)</t>
    </r>
  </si>
  <si>
    <t>tuanhuy.015284@gmail.com</t>
  </si>
  <si>
    <t>Số 62 Ngõ 12 Lễ Trọng Tấn Là Khê Hà Đông</t>
  </si>
  <si>
    <t>https://drive.google.com/open?id=1kaiEDPyjNjdgdDYdI3RNXxfFTK_Egud_</t>
  </si>
  <si>
    <t>https://www.facebook.com/profile.php?id=100040461849967</t>
  </si>
  <si>
    <t xml:space="preserve"> ntmtramy1611@gmail.com</t>
  </si>
  <si>
    <t>23/10/2024 và 24/11/2024</t>
  </si>
  <si>
    <t>https://drive.google.com/open?id=13aJSgfEBG9uUd22Bme_5orSkDsllb8Xm; https://drive.google.com/open?id=1GuzbWRcg6Rm0QYQa0LKk9xk8EP2eZZm9</t>
  </si>
  <si>
    <t>OT46 bảo lưu b17 do bận</t>
  </si>
  <si>
    <t>Vũ Phương Nga</t>
  </si>
  <si>
    <t xml:space="preserve">phuongnga12122006@gmail.com	</t>
  </si>
  <si>
    <t>https://drive.google.com/open?id=1fT9__pqpZPXrMAzDkVWPbjpDJxLTh2DE</t>
  </si>
  <si>
    <t>https://www.facebook.com/profile.php?id=100071548576161</t>
  </si>
  <si>
    <t xml:space="preserve"> Nguyễn Thảo Trinh </t>
  </si>
  <si>
    <t>trinhtrinh161006@gmail.com</t>
  </si>
  <si>
    <t xml:space="preserve">9/4 lê trực, phường 7, quận bình thạnh, tp hcm </t>
  </si>
  <si>
    <t>https://drive.google.com/open?id=1RWswhB88VJ4HE12EwwZYJmD9LQhj-UwL</t>
  </si>
  <si>
    <t>10/11/2024 và 12/11/2024</t>
  </si>
  <si>
    <t>https://drive.google.com/open?id=1948HI4ykFzXMCT8FRugY7vJxmXnOyQi6; https://drive.google.com/open?id=1ojhXFH-GHuOIf2Nt3sZyRYoar0_nYaMh</t>
  </si>
  <si>
    <t>pass OPT30</t>
  </si>
  <si>
    <t>09/11/2024 và 11/11/2024</t>
  </si>
  <si>
    <t>https://drive.google.com/open?id=1zsw_kvoQiZ_clpkORyLVaryS8P4NPpWL, https://drive.google.com/open?id=1TdVBAjjDYpK5GEA4exyBfjj_RFteWYO0, https://drive.google.com/open?id=11e3VoffsXiwq7XMJ9QSS-fK-9VbIlJrw; https://drive.google.com/open?id=1WOT4lqnxP9EhghPmgQ-b67xoJCvVnT2z</t>
  </si>
  <si>
    <t>đã pass OPT30</t>
  </si>
  <si>
    <t>OPT51 nghỉ ngang buổi 11</t>
  </si>
  <si>
    <t>https://www.facebook.com/profile.php?id=100005187254864</t>
  </si>
  <si>
    <t xml:space="preserve">Trần Phương Anh </t>
  </si>
  <si>
    <t xml:space="preserve"> tpa11072006@gmail.com</t>
  </si>
  <si>
    <t xml:space="preserve"> 299 đê la thành, p. ô chợ dừa, q. đống đa, hà nội</t>
  </si>
  <si>
    <t>https://drive.google.com/open?id=1UGL_vzeosVNpldzWcA7w6a3HuqQS89Rz</t>
  </si>
  <si>
    <t>https://www.facebook.com/profile.php?id=100036857977489&amp;mibextid=LQQJ4d</t>
  </si>
  <si>
    <t>nguyenphuonguyen3601@gmail.com</t>
  </si>
  <si>
    <t>Số 6 ngõ 144, phố Tây trà, Trần Phú, hoàng mai, Hà Nội</t>
  </si>
  <si>
    <t>https://drive.google.com/open?id=1DEFit81enF5m6K6SM-SdwJLbyRf0r5qW, https://drive.google.com/open?id=1KwFbgtqMqdBpP1WENmb1h_OC37pZpv7c</t>
  </si>
  <si>
    <t>https://www.facebook.com/profile.php?id=100057691113381</t>
  </si>
  <si>
    <t xml:space="preserve"> Nguyễn Thị Khánh Linh  </t>
  </si>
  <si>
    <t xml:space="preserve"> khanhlinh.61205@gmail.com</t>
  </si>
  <si>
    <t xml:space="preserve"> Cuối phố Bình Đà, Xã Bình Minh, Huyện Thanh Oai, TP Hà Nội</t>
  </si>
  <si>
    <t>https://drive.google.com/open?id=1Wa8BKObHweoctVp2HQ_QPKFrq_bySOU2</t>
  </si>
  <si>
    <t>https://www.facebook.com/profile.php?id=100017442690165</t>
  </si>
  <si>
    <t>Nguyễn Thảo Vy</t>
  </si>
  <si>
    <t xml:space="preserve"> nguyenthaovy1352@gmail.com</t>
  </si>
  <si>
    <t>71 ngõ 562 trần cung</t>
  </si>
  <si>
    <t>https://drive.google.com/open?id=1jRvw6WD8f8lipfEvGMr7XVTgTfQ4u2Id</t>
  </si>
  <si>
    <t>OT41 bảo lưu b11 đi thực tập</t>
  </si>
  <si>
    <t xml:space="preserve">Đào Thị Phương Linh </t>
  </si>
  <si>
    <t>https://drive.google.com/open?id=1CDTwxNn5v-t2DD-5uk8NJ0c1wWk7v6e6</t>
  </si>
  <si>
    <t>Phan Thị Giao</t>
  </si>
  <si>
    <t>https://drive.google.com/open?id=1ZflodeJMb4qKN8_THqXHJz7ZHLAxVkKW</t>
  </si>
  <si>
    <t>https://www.facebook.com/wainan2736</t>
  </si>
  <si>
    <t xml:space="preserve">Hà Mai Lan  </t>
  </si>
  <si>
    <t>hamailan270306@gmail.com</t>
  </si>
  <si>
    <t>số nhà 11, Quỳnh Lân 2, xã Vĩnh Quỳnh, huyện Thanh Trì, Hà Nội</t>
  </si>
  <si>
    <t>https://drive.google.com/open?id=18UUTutUaG2J1436Xffh6Fq1CzqoHNJMj</t>
  </si>
  <si>
    <t>https://www.facebook.com/nguyen.lannhi.7509?mibextid=kFxxJD</t>
  </si>
  <si>
    <t>Nguyễn Thi Uyển Nhi</t>
  </si>
  <si>
    <t>17 tạ quang bửu - thuận thành - tp Huế - thừa thiên Huế</t>
  </si>
  <si>
    <t>https://drive.google.com/open?id=1wykKko5nd-v_s4_XwCg5zbKHsTH0pw-8</t>
  </si>
  <si>
    <t>Cù Thị Hồng Hải</t>
  </si>
  <si>
    <t>Số nhà 3, Ngõ 2 Đường Khe Vàng, Hoa Sơn, Nam Sơn, Sóc Sơn, Hà Nội</t>
  </si>
  <si>
    <t>https://drive.google.com/open?id=13UXfdoUNCRePaQ1fWnbK17EUtuhtMSh1</t>
  </si>
  <si>
    <r>
      <rPr>
        <sz val="12"/>
        <color theme="1"/>
        <rFont val="Times New Roman"/>
        <family val="1"/>
      </rPr>
      <t xml:space="preserve">Phan Hà Vi </t>
    </r>
    <r>
      <rPr>
        <sz val="12"/>
        <color rgb="FFFF0000"/>
        <rFont val="Times New Roman"/>
        <family val="1"/>
      </rPr>
      <t>- đã nộp 300K 28/11/24
OT44 bảo lưu b3. Học T271</t>
    </r>
  </si>
  <si>
    <t>32K của lớp PT thừa</t>
  </si>
  <si>
    <t>https://drive.google.com/open?id=1RTASuxdgH1txfQXM4QwNrbV2_iDLv8MU</t>
  </si>
  <si>
    <t>https://www.facebook.com/Dothanh1010</t>
  </si>
  <si>
    <t xml:space="preserve">Đỗ Thị Thúy Thanh </t>
  </si>
  <si>
    <t>dothithanhthuy10102005@gmail.com</t>
  </si>
  <si>
    <t>https://drive.google.com/open?id=1NHKU2sfHQ5aDfgIMnQq5ubk-chPoLPNy</t>
  </si>
  <si>
    <t>My đưa</t>
  </si>
  <si>
    <t>Trịnh Bá Quân</t>
  </si>
  <si>
    <t>23/08/2024 và 17/09/2024 và 30/11/2024</t>
  </si>
  <si>
    <r>
      <rPr>
        <u/>
        <sz val="12"/>
        <color rgb="FF1155CC"/>
        <rFont val="Times New Roman"/>
        <family val="1"/>
      </rPr>
      <t xml:space="preserve">https://drive.google.com/open?id=1bytkICgOtLa77_SE81wccYnmMv6FZAXP; https://drive.google.com/open?id=1r42Fp4JYhx7Fp7xpJlyUbxPZS05sozU_; </t>
    </r>
    <r>
      <rPr>
        <u/>
        <sz val="12"/>
        <color rgb="FF1155CC"/>
        <rFont val="Times New Roman"/>
        <family val="1"/>
      </rPr>
      <t>https://drive.google.com/open?id=1rfIW4GYYE5DYJ9UpSo8MGbzbruPPe3RN</t>
    </r>
  </si>
  <si>
    <t>Chuyển học phí thừa lớp PT sang</t>
  </si>
  <si>
    <t>https://www.facebook.com/profile.php?id=100028482523371</t>
  </si>
  <si>
    <t>Nguyễn Thị Hậu</t>
  </si>
  <si>
    <t xml:space="preserve"> nghau76204@gmail.com</t>
  </si>
  <si>
    <t>https://drive.google.com/open?id=1R4Xmiv_OWE_NLg9zr1ARr0_zNCzAqiQd; https://drive.google.com/open?id=1mVBQdFYELcw_UQIYYtsSF-zpQJMWvpdo, https://drive.google.com/open?id=1VbgfHebO6ug31BCpkM1kVzNhIPv2j0Cn</t>
  </si>
  <si>
    <t>https://www.facebook.com/trantuanh.15.03?mibextid=LQQJ4d</t>
  </si>
  <si>
    <r>
      <rPr>
        <sz val="12"/>
        <color theme="1"/>
        <rFont val="Times New Roman"/>
        <family val="1"/>
      </rPr>
      <t xml:space="preserve">Trần Thị Tú Anh </t>
    </r>
    <r>
      <rPr>
        <sz val="12"/>
        <color rgb="FFFF0000"/>
        <rFont val="Times New Roman"/>
        <family val="1"/>
      </rPr>
      <t>- T264</t>
    </r>
  </si>
  <si>
    <t>Tổ 4 - tt Yên Phú - Bắc Mê - Hà Giang</t>
  </si>
  <si>
    <t>https://drive.google.com/open?id=1nTtt0-sGE9WqABVnOM843MhT1c6b9hPu</t>
  </si>
  <si>
    <t>https://www.facebook.com/huong.rubi.7547031</t>
  </si>
  <si>
    <t xml:space="preserve">Vũ Thị Lan Hương  </t>
  </si>
  <si>
    <t>vlanhuong0705@gmail.com</t>
  </si>
  <si>
    <t>số nhà 31 ngõ 46 đường an trường, An Khánh, Hoài Đức , Hà Nội</t>
  </si>
  <si>
    <t>https://drive.google.com/open?id=1skiruju9wdF9w522bCr22NjVsFplF7Va</t>
  </si>
  <si>
    <t>https://www.facebook.com/profile.php?id=100089277305103&amp;rdid=9kwIrcDO4AbosQop&amp;share_url=https%3A%2F%2Fwww.facebook.com%2Fshare%2F14xcfGDSTW%2F#</t>
  </si>
  <si>
    <t xml:space="preserve">Lê Nguyên Hiếu </t>
  </si>
  <si>
    <t>lnhieu2k5@gmail.com</t>
  </si>
  <si>
    <t xml:space="preserve"> số nhà 25 ngõ 111 đường Thanh Bình, Mộ Lao, Hà Đông, Hà Nội </t>
  </si>
  <si>
    <t>https://drive.google.com/open?id=1VfNjPk0Tfzk5ki00ueGYTvGgFBSHABNA</t>
  </si>
  <si>
    <t>https://www.facebook.com/profile.php?id=100039419690455</t>
  </si>
  <si>
    <t xml:space="preserve">Nguyễn Nhật Thành </t>
  </si>
  <si>
    <t xml:space="preserve"> nhatthanhnguyen844@gmail.com</t>
  </si>
  <si>
    <t>13/11/2024 và 18/11/2024</t>
  </si>
  <si>
    <t>https://drive.google.com/open?id=18WNu77z5TDzA0XLb25D21lqYwKy4NcdW; https://drive.google.com/open?id=1ng96DQRNPKYBa1A5WTftsJC_PzFeuMI1</t>
  </si>
  <si>
    <t>https://www.facebook.com/profile.php?id=100063171704208&amp;mibextid=LQQJ4d</t>
  </si>
  <si>
    <t>Bùi Việt Hoàng</t>
  </si>
  <si>
    <t xml:space="preserve"> viethoang27708@gmail.com </t>
  </si>
  <si>
    <t xml:space="preserve"> LK17-11 khu đô thị Kỳ Đồng, thành phố Thái Bình, tỉnh Thái Bình</t>
  </si>
  <si>
    <t>https://drive.google.com/open?id=1xWScYXkyc72zNSyfEVVfFwl_eQZtl9lm; https://drive.google.com/open?id=18iP7UC88i7Y2I9JGuSleioqUYQwAh4P8</t>
  </si>
  <si>
    <t>https://www.facebook.com/hieubeo2108.info?mibextid=LQQJ4d</t>
  </si>
  <si>
    <t>số 27 Ngõ 70 Nguyễn Hoàng Mỹ đình 2 Nam Từ Liêm Hà Nội</t>
  </si>
  <si>
    <t>03/11/2024 và 13/11/2024</t>
  </si>
  <si>
    <t>https://drive.google.com/open?id=16w44n_Kmtsi74OI2CbpDbfAYBVx8dzPI, https://drive.google.com/open?id=12peATyFzb-OcI2NYmuv_BYxNuuk5Q0WA</t>
  </si>
  <si>
    <t>https://www.facebook.com/le.n.nhi.1042</t>
  </si>
  <si>
    <r>
      <rPr>
        <sz val="12"/>
        <color theme="1"/>
        <rFont val="Times New Roman"/>
        <family val="1"/>
      </rPr>
      <t xml:space="preserve">Lê Yến Nhi - </t>
    </r>
    <r>
      <rPr>
        <sz val="12"/>
        <color rgb="FFFF0000"/>
        <rFont val="Times New Roman"/>
        <family val="1"/>
      </rPr>
      <t>hợp đồng - PT135</t>
    </r>
  </si>
  <si>
    <t>Tổ 8, phường Lê Hồng Phong, tp Phủ Lý, Hà Nam</t>
  </si>
  <si>
    <t>19/09/2024 và 25/11/2024</t>
  </si>
  <si>
    <t>https://drive.google.com/open?id=1gy25lfWDnc-UfXqzh3HdeQBWXOmgRzv9; https://drive.google.com/open?id=1OCVz4lFc3u9KZU3oOa6O8tppN_li23D7; https://drive.google.com/open?id=1pECL1reAZ0q8APOG0pmOnpf5FIRHtqi8</t>
  </si>
  <si>
    <t>https://www.facebook.com/dienmoiibaczang?mibextid=LQQJ4d</t>
  </si>
  <si>
    <r>
      <rPr>
        <sz val="12"/>
        <color theme="1"/>
        <rFont val="Times New Roman"/>
        <family val="1"/>
      </rPr>
      <t>Trần Ngọc Diên</t>
    </r>
    <r>
      <rPr>
        <sz val="12"/>
        <color rgb="FFFF0000"/>
        <rFont val="Times New Roman"/>
        <family val="1"/>
      </rPr>
      <t xml:space="preserve"> - hợp đồng</t>
    </r>
  </si>
  <si>
    <t>cổng chính cơ sở 3 trường đại học công nghiệp hà nội, phường Lê Hồng Phong, tp Phủ Lý, tỉnh Hà Nam</t>
  </si>
  <si>
    <t>https://drive.google.com/open?id=1lpb8tbkSVcpP1kTbX03THhL3rFZWwiyX; https://drive.google.com/open?id=1WPaZrME8CZe9pD9ehy0U-B5Yv-1AYgHA</t>
  </si>
  <si>
    <t>https://drive.google.com/open?id=1QdUJzNGLe9fMu-uPuVcYVkDqL4q71vF8; https://drive.google.com/open?id=1eR_7G20UtSpuTA7pNmcfK5Kd1DO2rcpP</t>
  </si>
  <si>
    <t>https://www.facebook.com/profile.php?id=61559703216993&amp;mibextid=LQQJ4d</t>
  </si>
  <si>
    <r>
      <rPr>
        <sz val="12"/>
        <color theme="1"/>
        <rFont val="Times New Roman"/>
        <family val="1"/>
      </rPr>
      <t xml:space="preserve">Phương Nhi </t>
    </r>
    <r>
      <rPr>
        <sz val="12"/>
        <color rgb="FFFF0000"/>
        <rFont val="Times New Roman"/>
        <family val="1"/>
      </rPr>
      <t>- hỗ trợ đổi lớp miễn phí
OPT51 học xong buổi 10. Học OPT54 buổi 8</t>
    </r>
  </si>
  <si>
    <t>Số nhà 156a ngõ 154 Đình Thôn Mỹ Đình 1 Nam Từ Liêm Hà Nội</t>
  </si>
  <si>
    <t>https://drive.google.com/open?id=1L1lL7HNKn2-F2FwdOKs6IQI0PGbQmMLH</t>
  </si>
  <si>
    <t>https://www.facebook.com/people/Nguy%E1%BB%85n-Thu-H%C3%A0/pfbid02gTjq3H4vZgPUtCPWeCF7ExSUX917ECARKeLVMMPLYNVa8dtLp6a2Hk7Xkp3oq64Pl/</t>
  </si>
  <si>
    <r>
      <rPr>
        <sz val="12"/>
        <color theme="1"/>
        <rFont val="Times New Roman"/>
        <family val="1"/>
      </rPr>
      <t xml:space="preserve">Nguyễn Thị Thu Hà </t>
    </r>
    <r>
      <rPr>
        <sz val="12"/>
        <color rgb="FFFF0000"/>
        <rFont val="Times New Roman"/>
        <family val="1"/>
      </rPr>
      <t>- Hợp đồng</t>
    </r>
  </si>
  <si>
    <t>nguyenhaley2109@gmail.com</t>
  </si>
  <si>
    <t>39/5N Mỹ Hoà 1 Trung Chánh Hóc Môn tphcm</t>
  </si>
  <si>
    <t>https://drive.google.com/open?id=1TTpherzwTU7pYxMmTUyT0gIS2f5C6uuT</t>
  </si>
  <si>
    <t>https://www.facebook.com/dynhh.biwe206</t>
  </si>
  <si>
    <t>Bùi Tiến Đình</t>
  </si>
  <si>
    <t xml:space="preserve"> buitiendinh01@gmail.com</t>
  </si>
  <si>
    <t xml:space="preserve">Tại  lop </t>
  </si>
  <si>
    <t>https://drive.google.com/open?id=1DZgEPJvC2MTShymzda5md6jxv1d_LWlO</t>
  </si>
  <si>
    <t>https://drive.google.com/open?id=1AP9sJ_vigVHynZdFLKHMNRo_BxaSylJO</t>
  </si>
  <si>
    <t>https://www.facebook.com/people/Nguy%E1%BB%85n-Thu%E1%BB%B3-Trang/pfbid01CP41oCb2Qw3oudiXNcama3pKi2TUDU1a2ujTSWbNqwqSNqjhMSvS9LKuQRSWnFnl/</t>
  </si>
  <si>
    <r>
      <rPr>
        <sz val="12"/>
        <color theme="1"/>
        <rFont val="Times New Roman"/>
        <family val="1"/>
      </rPr>
      <t xml:space="preserve">Nguyễn Thuỳ Trang </t>
    </r>
    <r>
      <rPr>
        <sz val="12"/>
        <color rgb="FFFF0000"/>
        <rFont val="Times New Roman"/>
        <family val="1"/>
      </rPr>
      <t>- KO nhận sách</t>
    </r>
  </si>
  <si>
    <t>Hàn Quốc</t>
  </si>
  <si>
    <t>14/11/2024 và 15/11/2024</t>
  </si>
  <si>
    <t>https://drive.google.com/open?id=1h3jyOlshxu9mOfiY9xn-YTOrP8Jh2DUn, https://drive.google.com/open?id=1c_AlH2oe7X2eVJMZxrqAZS4BH1FT_W4p</t>
  </si>
  <si>
    <t>Trừ tiền sách nên đủ học phí</t>
  </si>
  <si>
    <t xml:space="preserve">OPT </t>
  </si>
  <si>
    <t>https://www.facebook.com/kahs.liee</t>
  </si>
  <si>
    <t xml:space="preserve">Khánh Ly </t>
  </si>
  <si>
    <t>https://drive.google.com/open?id=1hivFKHByiVOWbPfF1YGMYTIBH4x-56Ha</t>
  </si>
  <si>
    <t>https://www.facebook.com/profile.php?id=100042809693099</t>
  </si>
  <si>
    <t xml:space="preserve">Đinh Thị Hồng Minh </t>
  </si>
  <si>
    <t xml:space="preserve"> hongminhnb2021@gmail.com</t>
  </si>
  <si>
    <t>https://drive.google.com/open?id=1BzIfexPsCYOC7K3mJlu-3liJO5ksVOHL</t>
  </si>
  <si>
    <t>https://www.facebook.com/profile.php?id=100065342919196</t>
  </si>
  <si>
    <t xml:space="preserve">Nguyễn Khánh Ly	</t>
  </si>
  <si>
    <t xml:space="preserve">Nguyễn Ly </t>
  </si>
  <si>
    <t xml:space="preserve">nguyenkhanhlynt0123456789@gmail.com	</t>
  </si>
  <si>
    <t xml:space="preserve">Tai lớp </t>
  </si>
  <si>
    <t>https://drive.google.com/open?id=1fROQgx3QiQQrUfbsrpbJUpuioZj-5Udw</t>
  </si>
  <si>
    <t>https://www.facebook.com/profile.php?id=100042474554584&amp;mibextid=LQQJ4d</t>
  </si>
  <si>
    <t xml:space="preserve">Bùi Sỹ Thành </t>
  </si>
  <si>
    <t>buisythanh1303@gmail.com</t>
  </si>
  <si>
    <t>16/11/2024 và 20/11/2024</t>
  </si>
  <si>
    <t>https://drive.google.com/open?id=1gaSb8YjJ26smVdYwYLRz1DHBgG3cAayE; https://drive.google.com/open?id=1_MPzMp-oDsuVKcJDyaqvK2rtlAeliovY</t>
  </si>
  <si>
    <t>https://www.facebook.com/profile.php?id=100060417106397</t>
  </si>
  <si>
    <r>
      <rPr>
        <sz val="12"/>
        <color theme="1"/>
        <rFont val="Times New Roman"/>
        <family val="1"/>
      </rPr>
      <t>Đặng Thị Mai Chi</t>
    </r>
    <r>
      <rPr>
        <sz val="12"/>
        <color rgb="FFFF0000"/>
        <rFont val="Times New Roman"/>
        <family val="1"/>
      </rPr>
      <t xml:space="preserve"> - hợp đồng</t>
    </r>
  </si>
  <si>
    <t>chidang689@gmail.com</t>
  </si>
  <si>
    <t>Học viện chính sách và phát triển, khu đô thị nam an khánh , huyện hoài đức,hà nội</t>
  </si>
  <si>
    <t>https://drive.google.com/open?id=1Jj-afa_qEViLOH3kfDIIplD7OlS6QlHT</t>
  </si>
  <si>
    <t>https://www.facebook.com/uynmieee</t>
  </si>
  <si>
    <t xml:space="preserve">Trương Trần Uyển My </t>
  </si>
  <si>
    <t xml:space="preserve"> uynmie4study@gmail.com</t>
  </si>
  <si>
    <t>92/11 Đỗ Thị Xích ấp Trung xã Tân Thông Hội huyện Củ Chi TPHCM</t>
  </si>
  <si>
    <t>https://drive.google.com/open?id=1TzuPazb-sFjc5II4wF-aHBeJeYDnxHNx</t>
  </si>
  <si>
    <t>VIP166</t>
  </si>
  <si>
    <t>Lưu Trần Sơn</t>
  </si>
  <si>
    <t xml:space="preserve">luuson791@gmail.com </t>
  </si>
  <si>
    <t>https://drive.google.com/open?id=1-1iuiOK0ay7W3TTyFKOfaAZ0mLXytCuk</t>
  </si>
  <si>
    <t>https://www.facebook.com/profile.php?id=100024252188905</t>
  </si>
  <si>
    <r>
      <rPr>
        <sz val="12"/>
        <color theme="1"/>
        <rFont val="Times New Roman"/>
        <family val="1"/>
      </rPr>
      <t xml:space="preserve">Dương Thị Thanh Bình </t>
    </r>
    <r>
      <rPr>
        <sz val="12"/>
        <color rgb="FFFF0000"/>
        <rFont val="Times New Roman"/>
        <family val="1"/>
      </rPr>
      <t xml:space="preserve"> 396421530 sdt zalo</t>
    </r>
  </si>
  <si>
    <t>thanhbinhmma2003@gmail.com</t>
  </si>
  <si>
    <t>11 đường Lê Trọng Tấn, Nguyễn An Ninh, Bà Rại, Vũng Tàu</t>
  </si>
  <si>
    <t>https://drive.google.com/open?id=17KS9vy5cvEEQ2otpHLiVRERMnyr_TyKB</t>
  </si>
  <si>
    <t>https://www.facebook.com/profile.php?id=100038480581798</t>
  </si>
  <si>
    <t xml:space="preserve"> mphuongbn2005@gmail.com</t>
  </si>
  <si>
    <t>Tại lop</t>
  </si>
  <si>
    <t>https://drive.google.com/open?id=14cw7IDkm0mAaz41PHd5fkRaIrR0IcHkG</t>
  </si>
  <si>
    <t>https://www.facebook.com/profile.php?id=100037369644022&amp;mibextid=LQQJ4d</t>
  </si>
  <si>
    <r>
      <rPr>
        <sz val="12"/>
        <color theme="1"/>
        <rFont val="Times New Roman"/>
        <family val="1"/>
      </rPr>
      <t>Trịnh Phương Anh</t>
    </r>
    <r>
      <rPr>
        <sz val="12"/>
        <color rgb="FFFFFF00"/>
        <rFont val="Times New Roman"/>
        <family val="1"/>
      </rPr>
      <t xml:space="preserve"> </t>
    </r>
    <r>
      <rPr>
        <sz val="12"/>
        <color rgb="FFFF0000"/>
        <rFont val="Times New Roman"/>
        <family val="1"/>
      </rPr>
      <t>- hợp đồng</t>
    </r>
  </si>
  <si>
    <t xml:space="preserve">Số nhà 12 ngách 5 ngõ 20 Lê Văn Hiến, Đức Thắng, Bắc Từ Liêm, Hà Nội. </t>
  </si>
  <si>
    <t>19/11/2024 và 23/11/2024</t>
  </si>
  <si>
    <t>https://drive.google.com/open?id=14DJNQ4GqQH7rgP4kKwb6rk4eVqrsCPll; https://drive.google.com/open?id=1uvU9-FFfvnHKDLd7WtfTAo8zPQmttbjn, https://drive.google.com/open?id=1WHhbYcBSCnARm0uTvBL2VRAvkqjCzpAg</t>
  </si>
  <si>
    <t>https://www.facebook.com/vanhai.22</t>
  </si>
  <si>
    <t xml:space="preserve">Nghiêm Văn Hải </t>
  </si>
  <si>
    <t xml:space="preserve"> Hải haihoihai2005@gmail.con</t>
  </si>
  <si>
    <t>19/11/2024 và 25/11/2024</t>
  </si>
  <si>
    <r>
      <rPr>
        <u/>
        <sz val="12"/>
        <color rgb="FF1155CC"/>
        <rFont val="Times New Roman"/>
        <family val="1"/>
      </rPr>
      <t>https://drive.google.com/open?id=1eLxBZA9JxiSr0NdF7CmpJiCVSZAwffJV</t>
    </r>
    <r>
      <rPr>
        <u/>
        <sz val="12"/>
        <color rgb="FF000000"/>
        <rFont val="Times New Roman"/>
        <family val="1"/>
      </rPr>
      <t xml:space="preserve">; </t>
    </r>
    <r>
      <rPr>
        <u/>
        <sz val="12"/>
        <color rgb="FF1155CC"/>
        <rFont val="Times New Roman"/>
        <family val="1"/>
      </rPr>
      <t>https://drive.google.com/open?id=1BnglO7Foz4bXidsZV1mqwEa7rZAISKiu</t>
    </r>
  </si>
  <si>
    <t>https://www.facebook.com/profile.php?id=100014627147485&amp;mibextid=LQQJ4d 0967388003</t>
  </si>
  <si>
    <t xml:space="preserve">Nguyễn Đình Đức </t>
  </si>
  <si>
    <t>202 Đường bờ tây sông nhuệ Đức Thắng Bắc Từ Liêm</t>
  </si>
  <si>
    <t>https://drive.google.com/open?id=1fa1826KpnldvXc_U0905re1t5pzfzZGb</t>
  </si>
  <si>
    <t>https://drive.google.com/open?id=1xwrw3kIgZsvN5jpTzZNpuEKT1ghMpOLd</t>
  </si>
  <si>
    <t xml:space="preserve">pham79trunghieu@gmail.com	</t>
  </si>
  <si>
    <t>https://drive.google.com/open?id=16NId8VsXEJn5UHqs4AAGoiz_mss5IsJy</t>
  </si>
  <si>
    <t>PT166</t>
  </si>
  <si>
    <t>https://www.facebook.com/profile.php?id=100040242012173</t>
  </si>
  <si>
    <r>
      <rPr>
        <sz val="12"/>
        <color theme="1"/>
        <rFont val="Times New Roman"/>
        <family val="1"/>
      </rPr>
      <t>Nguyễn Thị Phương Thảo</t>
    </r>
    <r>
      <rPr>
        <sz val="12"/>
        <color rgb="FFFF0000"/>
        <rFont val="Times New Roman"/>
        <family val="1"/>
      </rPr>
      <t xml:space="preserve"> - KO thu 300K</t>
    </r>
  </si>
  <si>
    <t xml:space="preserve"> nanh02981@gmail.con</t>
  </si>
  <si>
    <t>Số 41 xóm bình an Xuân tàng  Bắc Phú Sóc Sơn Hà Nội</t>
  </si>
  <si>
    <t>https://drive.google.com/open?id=1nY7JDA-KPD_wftCkbG-omGzLgHIu30h5</t>
  </si>
  <si>
    <t>PVI Tower, Tầng 24, Toà nhà, số 1 P. Phạm Văn Bạch, Cầu Giấy</t>
  </si>
  <si>
    <t>Dương cho sai địa chỉ và sđt</t>
  </si>
  <si>
    <t>PT156</t>
  </si>
  <si>
    <t>https://www.facebook.com/profile.php?id=100070686594586&amp;mibextid=ZbWKwL</t>
  </si>
  <si>
    <t>Kiều Thu Huyền</t>
  </si>
  <si>
    <t xml:space="preserve">kieuthuhuyen17012006@gmail.com </t>
  </si>
  <si>
    <t>Số 53 ngách 58/23 Trần Bình, Mai Dịch, Cầu Giấy, Hà Nội</t>
  </si>
  <si>
    <t>https://drive.google.com/open?id=1_vkzLb6AsYO0s47K-MxGFTTOavBxESiU; https://drive.google.com/open?id=1eSIjdLW4MxQNO1WhDayASSIWjYcSau4y</t>
  </si>
  <si>
    <t>https://www.facebook.com/tdiemcutes1tg?mibextid=ZbWKwL</t>
  </si>
  <si>
    <r>
      <rPr>
        <sz val="12"/>
        <color theme="1"/>
        <rFont val="Times New Roman"/>
        <family val="1"/>
      </rPr>
      <t xml:space="preserve">Phạm Thị Thúy Diễm </t>
    </r>
    <r>
      <rPr>
        <sz val="12"/>
        <color rgb="FFFF0000"/>
        <rFont val="Times New Roman"/>
        <family val="1"/>
      </rPr>
      <t>- Chưa nộp 300K</t>
    </r>
    <r>
      <rPr>
        <sz val="12"/>
        <color theme="1"/>
        <rFont val="Times New Roman"/>
        <family val="1"/>
      </rPr>
      <t xml:space="preserve">
</t>
    </r>
    <r>
      <rPr>
        <sz val="12"/>
        <color rgb="FFFF0000"/>
        <rFont val="Times New Roman"/>
        <family val="1"/>
      </rPr>
      <t>T277 bảo lưu b18. Học T297 buổi 16 - ko vào nữa</t>
    </r>
  </si>
  <si>
    <t>phamthithuydiem19@gmail.com</t>
  </si>
  <si>
    <t xml:space="preserve">20 Ngô Gia Tự, Phủ Lý, Hà Nam </t>
  </si>
  <si>
    <t>https://drive.google.com/open?id=1SGuAeXxEP90P5RHpNqPqa8vRY2NraS8Q; https://drive.google.com/open?id=1YJROaUgYC-CTIirTawZPYhYu2w0UQfE2</t>
  </si>
  <si>
    <t>https://www.facebook.com/profile.php?id=100038062140050&amp;mibextid=LQQJ4d</t>
  </si>
  <si>
    <r>
      <rPr>
        <sz val="12"/>
        <color theme="1"/>
        <rFont val="Times New Roman"/>
        <family val="1"/>
      </rPr>
      <t xml:space="preserve">Đinh Minh Hiếu </t>
    </r>
    <r>
      <rPr>
        <sz val="12"/>
        <color rgb="FFFF0000"/>
        <rFont val="Times New Roman"/>
        <family val="1"/>
      </rPr>
      <t>- đổi TOEIC gọc giao tiếp 1:1
PT154 bảo lưu buổi 4</t>
    </r>
  </si>
  <si>
    <t>Phố 2 - Thị trấn Yên Ninh - Yên Khánh -Ninh Bình</t>
  </si>
  <si>
    <t>https://drive.google.com/open?id=1ObOPjQl6re_slJtVhGn0wGFC5l2CTu3p</t>
  </si>
  <si>
    <t>https://www.facebook.com/profile.php?id=100037745978100&amp;mibextid=LQQJ4d</t>
  </si>
  <si>
    <t>Trần Trung Thành</t>
  </si>
  <si>
    <t>https://drive.google.com/open?id=1q9JIi-IJ8226P68Lf2fcjVj4-YWXCeCy</t>
  </si>
  <si>
    <t>https://www.facebook.com/profile.php?id=100074223753460</t>
  </si>
  <si>
    <t>nguyenjunior98@gmail.com</t>
  </si>
  <si>
    <t>KTX B3,Số 5 Tạ Quang Bửu, Đại học Bách khoa Hà Nội</t>
  </si>
  <si>
    <t>OPT 45</t>
  </si>
  <si>
    <t>nguyentronghieu1020061@gmail.com</t>
  </si>
  <si>
    <t>Trên lơpa</t>
  </si>
  <si>
    <t>https://drive.google.com/open?id=10Wd5noefnSqZYim56-bE4EwcQKEOyJcn</t>
  </si>
  <si>
    <t>OVIP28</t>
  </si>
  <si>
    <t>https://www.facebook.com/Minhtamm.2807</t>
  </si>
  <si>
    <r>
      <rPr>
        <sz val="12"/>
        <color theme="1"/>
        <rFont val="Times New Roman"/>
        <family val="1"/>
      </rPr>
      <t xml:space="preserve">Đào Minh Tâm </t>
    </r>
    <r>
      <rPr>
        <sz val="12"/>
        <color rgb="FFFF0000"/>
        <rFont val="Times New Roman"/>
        <family val="1"/>
      </rPr>
      <t>- OVIP27</t>
    </r>
  </si>
  <si>
    <t>https://www.facebook.com/profile.php?id=100033343071407</t>
  </si>
  <si>
    <t>linh63835@gmail.com</t>
  </si>
  <si>
    <t>62c ngõ 56 phố lê văn hiến quận Bắc Từ Liêm, Hà Nội</t>
  </si>
  <si>
    <t>https://drive.google.com/open?id=1n5xGVBMYSnW_xfLJzHeIhSm0r8kekBXx</t>
  </si>
  <si>
    <t>OT52 bảo lưu b13 trùng lịch</t>
  </si>
  <si>
    <t xml:space="preserve">Hoàng Thị Minh Ánh	</t>
  </si>
  <si>
    <t>https://drive.google.com/open?id=1g85sCo4-w9b6YkPCwERP8-vQqgqaZC8P</t>
  </si>
  <si>
    <t>https://www.facebook.com/profile.php?id=100063628922732</t>
  </si>
  <si>
    <t xml:space="preserve">Nguyễn Thị Minh Hà </t>
  </si>
  <si>
    <t xml:space="preserve"> ntminhha051105@gmail.com </t>
  </si>
  <si>
    <t>21 ngõ 41/3 trần duy hưng</t>
  </si>
  <si>
    <t>https://drive.google.com/open?id=1RB-6BFuTOe4HszwhtyzPpFMAGRPHWW5S</t>
  </si>
  <si>
    <t xml:space="preserve">Đỗ Tuấn Anh	</t>
  </si>
  <si>
    <t>71a,tổ 8,tdp Tân Bình,thị trấn Xuân Mai,huyện Chương Mỹ,thành phố Hà Nội</t>
  </si>
  <si>
    <t>https://drive.google.com/open?id=1FErmLj6MWZr_13ZG-yTIi1IbKUGSv41H</t>
  </si>
  <si>
    <t>https://www.facebook.com/ngochuyen11122005</t>
  </si>
  <si>
    <t xml:space="preserve">Nguyễn Ngọc Huyền </t>
  </si>
  <si>
    <t xml:space="preserve"> nh1019370@gmail.com </t>
  </si>
  <si>
    <t>https://drive.google.com/open?id=1DDDoJVtJOrdiBmwicU_aiQ9q9k_xi9M6</t>
  </si>
  <si>
    <t>https://www.facebook.com/nguyentuananh27</t>
  </si>
  <si>
    <t xml:space="preserve">Nguyễn Tuấn Anh  </t>
  </si>
  <si>
    <t xml:space="preserve"> Bupakari255@gmail.com</t>
  </si>
  <si>
    <t>số 37 , ngách 136/51 đường Cầu diễn , phường Minh Khai , Bắc Từ Liêm , Hà Nội</t>
  </si>
  <si>
    <t>https://drive.google.com/open?id=1VXvn2qn7LB7paUdInojZGWDk6qtyEdUt</t>
  </si>
  <si>
    <t>https://www.facebook.com/ngocss.pes.98434</t>
  </si>
  <si>
    <t xml:space="preserve">Trần Thị Nguyên Anh  </t>
  </si>
  <si>
    <t xml:space="preserve">  anhbaka1882005@gmail.com</t>
  </si>
  <si>
    <t xml:space="preserve">Tai  lop </t>
  </si>
  <si>
    <t>https://drive.google.com/open?id=1sOs6Q4bZ5EOIecsqvmack6uqqLXSruL_</t>
  </si>
  <si>
    <t>https://www.facebook.com/profile.php?id=61553422124803</t>
  </si>
  <si>
    <t>Trần Nguyên Dương</t>
  </si>
  <si>
    <t xml:space="preserve">Nhà văn hóa thôn 1 xã phù vân huyện phủ lý tỉnh Hà nam </t>
  </si>
  <si>
    <t>https://drive.google.com/open?id=1hHEinmtxtWbKbeu4kGxfyTJ7rAFWaTkN; https://drive.google.com/open?id=1X8WXkHqFzQtahk--QwRBeGtWAgoLz0ZA</t>
  </si>
  <si>
    <t>https://www.facebook.com/profile.php?id=100050092731490</t>
  </si>
  <si>
    <t xml:space="preserve">Nguyễn Thị Trang </t>
  </si>
  <si>
    <t xml:space="preserve"> ntt672006@gmail.com</t>
  </si>
  <si>
    <t>https://drive.google.com/open?id=1Pfyn6j_hnIo__YijJtQcd852tILHw6MX</t>
  </si>
  <si>
    <t xml:space="preserve">Nguyễn Thu Huyền </t>
  </si>
  <si>
    <t>https://drive.google.com/open?id=1lVy1NMgzqCeWOuOrC4X01TkkfqlgxNmb</t>
  </si>
  <si>
    <t>https://www.facebook.com/nguyenngoc.ton.33</t>
  </si>
  <si>
    <t>Nguyễn Ngọc Tôn</t>
  </si>
  <si>
    <t>k nhận</t>
  </si>
  <si>
    <t>https://drive.google.com/open?id=1uFD5a1nwmCrckXiun8UTyuDX5_Cxs4m8</t>
  </si>
  <si>
    <t>https://web.facebook.com/profile.php?id=100040451493226&amp;_rdc=1&amp;_rdr</t>
  </si>
  <si>
    <t xml:space="preserve"> Phan Thị Thùy Nga </t>
  </si>
  <si>
    <t xml:space="preserve"> thuynga26052005@gmail.com</t>
  </si>
  <si>
    <t>https://drive.google.com/open?id=1cOFgK-iDtlKvO_OPgGYZJEEcy5doC6eO</t>
  </si>
  <si>
    <t>https://web.facebook.com/truong.vucong.2308?_rdc=1&amp;_rdr#</t>
  </si>
  <si>
    <t xml:space="preserve">Vũ Công Trường </t>
  </si>
  <si>
    <t xml:space="preserve">  vucongtruong368@gmail.com</t>
  </si>
  <si>
    <t>https://drive.google.com/open?id=1xaLUdQRTuyVHumJ4jg3xsldBqGE34JPB</t>
  </si>
  <si>
    <t>Nguyễn Thị Thơm</t>
  </si>
  <si>
    <t>số 17, ngõ Trường, Thôn 4 xã Liên Hiệp, Phúc Thọ, Hà Nội</t>
  </si>
  <si>
    <t>https://drive.google.com/open?id=1XugOks8c7bzfckju-KTQxa-b8ujUUE-u</t>
  </si>
  <si>
    <t>https://www.facebook.com/100087514287247/</t>
  </si>
  <si>
    <t>Nguyễn Đức Khiêm</t>
  </si>
  <si>
    <t>số 40, hẻm 17, ngách 141, ngõ 1194,Láng Thượng, Đống Đa, Hà Nội</t>
  </si>
  <si>
    <t>https://drive.google.com/open?id=1mxpTYYJSmheyvA7nYE34oQfy0OhxbD8N</t>
  </si>
  <si>
    <t>https://www.facebook.com/profile.php?id=100062219615429&amp;mibextid=ZbWKwL</t>
  </si>
  <si>
    <t>Nguyễn Hữu Thăng</t>
  </si>
  <si>
    <t>Số 3, ngõ 88 Phương Liệt, Thanh Xuân Hà Nội</t>
  </si>
  <si>
    <t>https://drive.google.com/open?id=1uvIX3sTiQIJdH3EJNIYp_DWSnIgtDbi7; https://drive.google.com/open?id=18iEjwaxRUhSSDDsSyfzD46ja856ce4Ac</t>
  </si>
  <si>
    <t>https://www.facebook.com/share/19j6xLqhAH/?mibextid=LQQJ4d</t>
  </si>
  <si>
    <t xml:space="preserve"> Lương Thị Hồng Yến</t>
  </si>
  <si>
    <t>luonghongyen2005@gmail.com</t>
  </si>
  <si>
    <t>Số nhà 42, Ngõ 68 Ngách 136/6/33 Triều Khúc, Tân Triều, Thanh Trì, Hà Nội</t>
  </si>
  <si>
    <t>https://drive.google.com/open?id=1YFB0sGqTQWfzIy3KOJ3d0hk4FI0S9Jns</t>
  </si>
  <si>
    <t xml:space="preserve">Trần  Thị Lan Anh </t>
  </si>
  <si>
    <t xml:space="preserve"> tranthilananh10122006@gmail.com</t>
  </si>
  <si>
    <t>https://drive.google.com/open?id=1apdCQcCRp-Q_5c2Ky1OF3PiW-3RNtc0W</t>
  </si>
  <si>
    <t>OVIP22</t>
  </si>
  <si>
    <r>
      <rPr>
        <sz val="12"/>
        <color theme="1"/>
        <rFont val="Times New Roman"/>
        <family val="1"/>
      </rPr>
      <t>Nguyễn Gia Linh -</t>
    </r>
    <r>
      <rPr>
        <sz val="12"/>
        <color rgb="FFFF0000"/>
        <rFont val="Times New Roman"/>
        <family val="1"/>
      </rPr>
      <t xml:space="preserve"> Kiều Linh </t>
    </r>
    <r>
      <rPr>
        <sz val="12"/>
        <color theme="1"/>
        <rFont val="Times New Roman"/>
        <family val="1"/>
      </rPr>
      <t xml:space="preserve"> </t>
    </r>
    <r>
      <rPr>
        <sz val="12"/>
        <color rgb="FFFF0000"/>
        <rFont val="Times New Roman"/>
        <family val="1"/>
      </rPr>
      <t>up combo trước b6</t>
    </r>
  </si>
  <si>
    <t>up combo trước b6</t>
  </si>
  <si>
    <t>https://drive.google.com/open?id=1wekGdkQpS98Jf_aiJ9luwWMsOwCmkWI7</t>
  </si>
  <si>
    <t>Mạc Quang Thiện</t>
  </si>
  <si>
    <t xml:space="preserve"> macthien1406@gmail.com	</t>
  </si>
  <si>
    <t>https://drive.google.com/open?id=1mFLMcWZE4FHIR7L1I2_Erhp8cUJoPs28</t>
  </si>
  <si>
    <t>https://www.facebook.com/share/19wFovjr2D/?mibextid=LQQJ4d</t>
  </si>
  <si>
    <t>Trần Trúc Linh</t>
  </si>
  <si>
    <t>huongglinhh2711@gmail.com</t>
  </si>
  <si>
    <t>số 9 ngõ 2 đại học hà nội, quận nam từ liêm</t>
  </si>
  <si>
    <t>https://drive.google.com/open?id=1ELpfFmiiu5fiqCYyfSXDUoTCR1qh9TfX</t>
  </si>
  <si>
    <t>https://www.facebook.com/share/17qPMRz27z/?mibextid=LQQJ4d</t>
  </si>
  <si>
    <t>Bùi Thu Hường</t>
  </si>
  <si>
    <t>https://drive.google.com/open?id=1xFbriSBQb2BnfOxCxC1zs5qWIxkVz4OQ; https://drive.google.com/open?id=1dgHH-4BlJsPLMEibC1LUKOm_IVEHUVmk</t>
  </si>
  <si>
    <t>https://drive.google.com/open?id=1vRTEh-mViyQ_2JOSpG2DTa3mK2zgD6WH</t>
  </si>
  <si>
    <t>https://www.facebook.com/share/15GvN6R7ZV/?mibextid=LQQJ4d</t>
  </si>
  <si>
    <t>Đoàn Trường Giang</t>
  </si>
  <si>
    <t>27/11/2024 và 29/11/2024</t>
  </si>
  <si>
    <t>https://drive.google.com/open?id=1kFNbm9E_J8vgEz1mODT_15j4ylmjmtAl; https://drive.google.com/open?id=1Efg2n_KwTLbEzuL3K8M6gIK1c8Fj9MJ3</t>
  </si>
  <si>
    <t>https://www.facebook.com/lychew.95</t>
  </si>
  <si>
    <t>Nguyễn Thị Ly</t>
  </si>
  <si>
    <t>113-115 Lâm Hạ, Bồ Đề, Long Biên, Hà Nội - nhận giờ hành chính</t>
  </si>
  <si>
    <t>https://drive.google.com/open?id=19j-dY3tZEqi7jV5KGqat5xTFih4-ZAsq</t>
  </si>
  <si>
    <t>https://www.facebook.com/share/15LgHS5RK3/?mibextid=LQQJ4d</t>
  </si>
  <si>
    <t>Trần Thanh Phong</t>
  </si>
  <si>
    <t>https://drive.google.com/open?id=1qAJdt3kvLFzmsVcRUzkRiLklkd8_FvNv, https://drive.google.com/open?id=1HnTQX4vGyqNDqokEDo6ozvsVxTeSQ7Jr</t>
  </si>
  <si>
    <t>Hiền đưa tay</t>
  </si>
  <si>
    <t>https://www.facebook.com/profile.php?id=100057585060425</t>
  </si>
  <si>
    <t>240, Lai Xá, Kim Chung, Hoài Đức, Hà Nội</t>
  </si>
  <si>
    <t>https://drive.google.com/open?id=13m6nOYG2nBtuRzkO-gQS8vmB0r5ITuKX</t>
  </si>
  <si>
    <t>https://www.facebook.com/profile.php?id=100073276835593</t>
  </si>
  <si>
    <r>
      <rPr>
        <sz val="12"/>
        <color theme="1"/>
        <rFont val="Times New Roman"/>
        <family val="1"/>
      </rPr>
      <t xml:space="preserve">Nguyễn Trang Anh </t>
    </r>
    <r>
      <rPr>
        <sz val="12"/>
        <color rgb="FFFF0000"/>
        <rFont val="Times New Roman"/>
        <family val="1"/>
      </rPr>
      <t>- OPT55</t>
    </r>
  </si>
  <si>
    <t xml:space="preserve">Tại lop </t>
  </si>
  <si>
    <t>https://drive.google.com/open?id=1svef0TH6P-p5p_QmZRvmXQE0GGpaT4Kn</t>
  </si>
  <si>
    <t>Điền lên T11.2024</t>
  </si>
  <si>
    <t>Xóm 5, Văn Diệm, Hưng Long, Ninh Giang, Hải Dương</t>
  </si>
  <si>
    <t>https://drive.google.com/open?id=1m9ZPM3pF3f-XgQ33TcSLWV3RlOs-JHRb</t>
  </si>
  <si>
    <t>Yến báo Nhài add lớp trước. Ko lên form</t>
  </si>
  <si>
    <r>
      <rPr>
        <sz val="12"/>
        <color theme="1"/>
        <rFont val="Times New Roman"/>
        <family val="1"/>
      </rPr>
      <t>Lê Thị Thanh Hoa</t>
    </r>
    <r>
      <rPr>
        <sz val="12"/>
        <color rgb="FFFF0000"/>
        <rFont val="Times New Roman"/>
        <family val="1"/>
      </rPr>
      <t xml:space="preserve"> - đã nộp 300K 12/09/2024</t>
    </r>
    <r>
      <rPr>
        <sz val="12"/>
        <color theme="1"/>
        <rFont val="Times New Roman"/>
        <family val="1"/>
      </rPr>
      <t xml:space="preserve">
</t>
    </r>
    <r>
      <rPr>
        <sz val="12"/>
        <color rgb="FFFF0000"/>
        <rFont val="Times New Roman"/>
        <family val="1"/>
      </rPr>
      <t>Đổi OVIP11 sang VIP99 buổi 14</t>
    </r>
  </si>
  <si>
    <t>letthithanhhoa050@gmail.com</t>
  </si>
  <si>
    <t>https://drive.google.com/open?id=1gij2H5IrMO7nkAiKILYMSufftYtCS0i-, https://drive.google.com/open?id=1DiKsDa8UZz5flecprZW7tX2NlGY1ytoo</t>
  </si>
  <si>
    <t>Đã học lv1</t>
  </si>
  <si>
    <t>Số 12 ngõ 105 Doãn Kế Thiện, Mai Dịch, Cầu Giấy (cạnh số 71B ngõ 105 Doãn Kế Thiện</t>
  </si>
  <si>
    <t xml:space="preserve">https://www.facebook.com/profile.php?id=100083726784472&amp;mibextid=ZbWKwL	</t>
  </si>
  <si>
    <t xml:space="preserve">Nguyễn Đức Toàn	</t>
  </si>
  <si>
    <t xml:space="preserve">https://www.facebook.com/profile.php?id=100070534600835&amp;mibextid=LQQJ4d	</t>
  </si>
  <si>
    <t xml:space="preserve">Phạm Thị Hòa	</t>
  </si>
  <si>
    <t>số 222 phố viên cổ nhuế 2 bắc từ liêm Hà Nội</t>
  </si>
  <si>
    <t>https://drive.google.com/open?id=1m_Y1McejV4v2q-XdrN90twZJ3OAVV3T0, https://drive.google.com/open?id=1XR5eVndrZxERIIMynNP6MDFR8wCvUha3</t>
  </si>
  <si>
    <t xml:space="preserve">Lương Minh Hưng	</t>
  </si>
  <si>
    <r>
      <rPr>
        <sz val="12"/>
        <color theme="1"/>
        <rFont val="Times New Roman"/>
        <family val="1"/>
      </rPr>
      <t xml:space="preserve">Trần Thị Mơ </t>
    </r>
    <r>
      <rPr>
        <sz val="12"/>
        <color rgb="FFFF0000"/>
        <rFont val="Times New Roman"/>
        <family val="1"/>
      </rPr>
      <t>- KO thu 300K do vẫn thích lớp VIP137
VIP121 bảo lưu b13. Học VIP137 buổi 16</t>
    </r>
  </si>
  <si>
    <t>232 Hùng Vương, An Cựu, TP Huế</t>
  </si>
  <si>
    <t>https://drive.google.com/open?id=1P0BnHiL4U57yuPxOzvZLsRzPZUKWLv7D, https://drive.google.com/open?id=196LT_GfczSlLTvZhGoMV-DhPVXkSBEPE</t>
  </si>
  <si>
    <r>
      <rPr>
        <sz val="12"/>
        <color theme="1"/>
        <rFont val="Times New Roman"/>
        <family val="1"/>
      </rPr>
      <t>Phạm Thị Cẩm Ly</t>
    </r>
    <r>
      <rPr>
        <sz val="12"/>
        <color rgb="FFFF0000"/>
        <rFont val="Times New Roman"/>
        <family val="1"/>
      </rPr>
      <t xml:space="preserve"> </t>
    </r>
  </si>
  <si>
    <t>KTX Đại học văn hóa hà nội, 418Đê La Thành phường Ô Chợ Dừa Đống Đa Hà Nội</t>
  </si>
  <si>
    <t>Nhài gửi bưu điện GV Giang nhận</t>
  </si>
  <si>
    <r>
      <rPr>
        <sz val="12"/>
        <color theme="1"/>
        <rFont val="Times New Roman"/>
        <family val="1"/>
      </rPr>
      <t xml:space="preserve">Đỗ Vân Anh </t>
    </r>
    <r>
      <rPr>
        <sz val="12"/>
        <color rgb="FFFF0000"/>
        <rFont val="Times New Roman"/>
        <family val="1"/>
      </rPr>
      <t>- Đã nộp 300K 21/04/2025
T277 bảo lưu b17. Học T305 b4</t>
    </r>
  </si>
  <si>
    <t>79 Hai Bà Trưng Phường Cửa Nam Quận Hoàn Kiếm, Hà Nội</t>
  </si>
  <si>
    <r>
      <rPr>
        <sz val="12"/>
        <color theme="1"/>
        <rFont val="Times New Roman"/>
        <family val="1"/>
      </rPr>
      <t xml:space="preserve">Nguyễn Việt Huy </t>
    </r>
    <r>
      <rPr>
        <sz val="12"/>
        <color rgb="FFFF0000"/>
        <rFont val="Times New Roman"/>
        <family val="1"/>
      </rPr>
      <t>- đổi VIP học T</t>
    </r>
  </si>
  <si>
    <t>175C Đông Khê, Đằng Giang, Ngô Quyền, Hải Phòng</t>
  </si>
  <si>
    <r>
      <rPr>
        <sz val="12"/>
        <color theme="1"/>
        <rFont val="Times New Roman"/>
        <family val="1"/>
      </rPr>
      <t>Lưu Hoài Nam -</t>
    </r>
    <r>
      <rPr>
        <sz val="12"/>
        <color rgb="FFFF0000"/>
        <rFont val="Times New Roman"/>
        <family val="1"/>
      </rPr>
      <t xml:space="preserve"> 0934530742 số dự phòng
Nick của mẹ Nguyễn Hường</t>
    </r>
  </si>
  <si>
    <t>Cổng Bát Mã ,Kim Thiều, Hương Mạc, Từ Sơn, Bắc Ninh</t>
  </si>
  <si>
    <t>OVIP43</t>
  </si>
  <si>
    <t>Bùi Thị Lệ Quyên</t>
  </si>
  <si>
    <t>Đoàn Thị Yến Nhi</t>
  </si>
  <si>
    <t>https://www.facebook.com/share/14ViF5D45K/?mibextid=LQQJ4d</t>
  </si>
  <si>
    <t>T284</t>
  </si>
  <si>
    <r>
      <rPr>
        <sz val="12"/>
        <color theme="1"/>
        <rFont val="Times New Roman"/>
        <family val="1"/>
      </rPr>
      <t xml:space="preserve">Võ Đức Anh Tuấn </t>
    </r>
    <r>
      <rPr>
        <sz val="12"/>
        <color rgb="FFFF0000"/>
        <rFont val="Times New Roman"/>
        <family val="1"/>
      </rPr>
      <t>- đã nộp 300K 02/03/25
T280 bảo lưu b13. Học T284 b14</t>
    </r>
  </si>
  <si>
    <t>Số 18 (Kế bên tiệm tóc Phương Trinh), Ấp 1, Tân Hưng, Bàu Bàng. Bình Dương</t>
  </si>
  <si>
    <t xml:space="preserve"> 48 Văn Hội, Đức Thắng, Bắc Từ Liêm, Hà Nội</t>
  </si>
  <si>
    <t>Núi Đông - Hoàn Sơn - Tiên Du - Bắc Ninh</t>
  </si>
  <si>
    <t>VIP141</t>
  </si>
  <si>
    <r>
      <rPr>
        <sz val="12"/>
        <color theme="1"/>
        <rFont val="Times New Roman"/>
        <family val="1"/>
      </rPr>
      <t xml:space="preserve">Nguyễn Thị Phương Anh </t>
    </r>
    <r>
      <rPr>
        <sz val="12"/>
        <color rgb="FFFF0000"/>
        <rFont val="Times New Roman"/>
        <family val="1"/>
      </rPr>
      <t>- đã nộp 300K 21/03/2025
VIP124 bảo lưu b9 đi quân sự. Học VIP141 b6</t>
    </r>
  </si>
  <si>
    <t>94 Bạch Đằng, Chương Dương, Hoàn Kiếm Hà Nội</t>
  </si>
  <si>
    <r>
      <rPr>
        <sz val="12"/>
        <color theme="1"/>
        <rFont val="Times New Roman"/>
        <family val="1"/>
      </rPr>
      <t xml:space="preserve">Thu Hường </t>
    </r>
    <r>
      <rPr>
        <sz val="12"/>
        <color rgb="FFFF0000"/>
        <rFont val="Times New Roman"/>
        <family val="1"/>
      </rPr>
      <t>- gửi lại sách do nát</t>
    </r>
  </si>
  <si>
    <t>19 Đặng Lộ, phường 7, quận Tân Bình, Tp HCM</t>
  </si>
  <si>
    <t>20/12/2024 gửi lần 1</t>
  </si>
  <si>
    <t>Nguyễn Khánh Vy</t>
  </si>
  <si>
    <t>69/4/32 Đặng Thùy Trâm, Bình Thạnh, Hồ Chí Minh</t>
  </si>
  <si>
    <t>Nhà số 1,ngách 26, ngõ 87 tây tựu bắc từ Liêm Hà Nội</t>
  </si>
  <si>
    <t>Sách đưa tay Thắng</t>
  </si>
  <si>
    <t>VIP125</t>
  </si>
  <si>
    <t>133 ngõ 172 phường phú diễn quận Bắc từ Liêm Hà Nội</t>
  </si>
  <si>
    <t>Nhài đưa tay ở ĐH môi trường</t>
  </si>
  <si>
    <t xml:space="preserve">Lê Thị Yến </t>
  </si>
  <si>
    <t>22/17d, Đường Trần Thị Điệu, Phước Long B, quận 9, thành phố Hồ Chí Minh</t>
  </si>
  <si>
    <t>Số 9 ngõ 364/146/3 đường Giải Phóng, phường Thịnh Liệt, quận Hoàng Mai, Hà Nội</t>
  </si>
  <si>
    <r>
      <rPr>
        <sz val="12"/>
        <color theme="1"/>
        <rFont val="Times New Roman"/>
        <family val="1"/>
      </rPr>
      <t xml:space="preserve">Hoàng Trọng Đạo </t>
    </r>
    <r>
      <rPr>
        <sz val="12"/>
        <color rgb="FFFF0000"/>
        <rFont val="Times New Roman"/>
        <family val="1"/>
      </rPr>
      <t>- 24/12 gửi</t>
    </r>
  </si>
  <si>
    <t>65B 140 Trần Phú, Mỗ Lao, Hà Đông, Hà Nội</t>
  </si>
  <si>
    <r>
      <rPr>
        <sz val="12"/>
        <color theme="1"/>
        <rFont val="Times New Roman"/>
        <family val="1"/>
      </rPr>
      <t>Vũ Ngọc Mai</t>
    </r>
    <r>
      <rPr>
        <sz val="12"/>
        <color rgb="FFFF0000"/>
        <rFont val="Times New Roman"/>
        <family val="1"/>
      </rPr>
      <t xml:space="preserve"> </t>
    </r>
  </si>
  <si>
    <t>Số 43, Ngõ 92 Nguyễn Khánh Toàn, Quan Hoa, Cầu Giấy, Hà Nội</t>
  </si>
  <si>
    <t xml:space="preserve">Lâm Hoàng Linh </t>
  </si>
  <si>
    <t xml:space="preserve"> Số 28, Ngõ 132, Cầu Diễn, Minh Khai, Bắc Từ Liêm</t>
  </si>
  <si>
    <t>VIP152</t>
  </si>
  <si>
    <r>
      <rPr>
        <sz val="12"/>
        <color theme="1"/>
        <rFont val="Times New Roman"/>
        <family val="1"/>
      </rPr>
      <t xml:space="preserve">Nguyễn Thanh Tâm </t>
    </r>
    <r>
      <rPr>
        <sz val="12"/>
        <color rgb="FFFF0000"/>
        <rFont val="Times New Roman"/>
        <family val="1"/>
      </rPr>
      <t>- Đã nộp 300K 18/05/2025
OVIP16 bảo lưu b10 đi quân sự. Học VIP152 b10</t>
    </r>
  </si>
  <si>
    <t>đức thắng bắc từ liêm</t>
  </si>
  <si>
    <t>số 7/152/10 quyết thắng , yên nghĩa , hà đông , hà nội</t>
  </si>
  <si>
    <r>
      <rPr>
        <sz val="12"/>
        <color rgb="FF000000"/>
        <rFont val="Times New Roman"/>
        <family val="1"/>
      </rPr>
      <t>Phạm Xuân Phươn</t>
    </r>
    <r>
      <rPr>
        <sz val="12"/>
        <color rgb="FF000000"/>
        <rFont val="Times New Roman"/>
        <family val="1"/>
      </rPr>
      <t xml:space="preserve">g </t>
    </r>
  </si>
  <si>
    <t>36 BT4-1 khu đô thị Vinaconex 3, Trung Văn, Nam Từ Liêm, Hà Nội</t>
  </si>
  <si>
    <t>Phạm Phương Anh</t>
  </si>
  <si>
    <t>số 1 ngách 29 ngõ 85 Xuân Thuỷ, Cầu giấy, hà nội</t>
  </si>
  <si>
    <t xml:space="preserve">Nguyễn Khánh Linh </t>
  </si>
  <si>
    <t>26/19/26/63 trần quốc vượng</t>
  </si>
  <si>
    <t>W27</t>
  </si>
  <si>
    <t>Số nhà 54 ngõ 202 đường lê hồng phong thành phố Yên Bái</t>
  </si>
  <si>
    <t xml:space="preserve"> số 15 đường mỹ đình, Mỹ Đình 2, Nam Từ Liêm, Hà Nội</t>
  </si>
  <si>
    <t xml:space="preserve">Phạm Tú Linh </t>
  </si>
  <si>
    <t>số nhà 3, Ngõ 218 đường Mỹ Đình 2, Nam Từ Liêm</t>
  </si>
  <si>
    <t>16 hẻm 4/29 ngõ 213 giáp nhất - nhân chính -thanh xuân - hà nội</t>
  </si>
  <si>
    <r>
      <rPr>
        <sz val="12"/>
        <color theme="1"/>
        <rFont val="Times New Roman"/>
        <family val="1"/>
      </rPr>
      <t xml:space="preserve">Phan Tú Nhàn </t>
    </r>
    <r>
      <rPr>
        <sz val="12"/>
        <color rgb="FFFF0000"/>
        <rFont val="Times New Roman"/>
        <family val="1"/>
      </rPr>
      <t>- Đã nộp 300K 21/01/2025
T283 bảo lưu b1. Học T288 b1</t>
    </r>
  </si>
  <si>
    <t>96percent 1194 đường Láng, Láng Thượng, Đống Đa, Hà Nội</t>
  </si>
  <si>
    <t>96percent 1194 đường Láng, Láng Thượng, Đống Đa, Hà Nộ</t>
  </si>
  <si>
    <t>OVIP17</t>
  </si>
  <si>
    <t>OVIP18</t>
  </si>
  <si>
    <t>OVIP19</t>
  </si>
  <si>
    <r>
      <rPr>
        <sz val="12"/>
        <color theme="1"/>
        <rFont val="Times New Roman"/>
        <family val="1"/>
      </rPr>
      <t xml:space="preserve">Vũ Thị Thuỷ Linh </t>
    </r>
    <r>
      <rPr>
        <sz val="12"/>
        <color rgb="FFFF0000"/>
        <rFont val="Times New Roman"/>
        <family val="1"/>
      </rPr>
      <t>- OVIP18</t>
    </r>
  </si>
  <si>
    <r>
      <rPr>
        <sz val="12"/>
        <color theme="1"/>
        <rFont val="Times New Roman"/>
        <family val="1"/>
      </rPr>
      <t>Trần Thị Minh Khuê</t>
    </r>
    <r>
      <rPr>
        <sz val="12"/>
        <color rgb="FFFF0000"/>
        <rFont val="Times New Roman"/>
        <family val="1"/>
      </rPr>
      <t xml:space="preserve"> - OVIP18</t>
    </r>
  </si>
  <si>
    <r>
      <rPr>
        <sz val="12"/>
        <color theme="1"/>
        <rFont val="Times New Roman"/>
        <family val="1"/>
      </rPr>
      <t>Lăng Thị Kim Oanh</t>
    </r>
    <r>
      <rPr>
        <sz val="12"/>
        <color rgb="FFFF0000"/>
        <rFont val="Times New Roman"/>
        <family val="1"/>
      </rPr>
      <t xml:space="preserve"> - đã nộp 300K 18/03/2025
OT55 bảo lưu b1 đi quân sự. Học T301 b1</t>
    </r>
  </si>
  <si>
    <t>Sách gửi Vũ</t>
  </si>
  <si>
    <t>OT55</t>
  </si>
  <si>
    <t xml:space="preserve">Nguyễn Thị Mai </t>
  </si>
  <si>
    <t>https://www.facebook.com/profile.php?id=100019084566910&amp;mibextid=ZbWKwL</t>
  </si>
  <si>
    <t>Ngọc Trâm</t>
  </si>
  <si>
    <t>Nhài - Hiền</t>
  </si>
  <si>
    <t>10/10/2024 và 08/11/2024</t>
  </si>
  <si>
    <t>https://drive.google.com/open?id=1YZNemloVasvIJPXoDmZcvGwoPBuqp8fS; https://drive.google.com/open?id=1kXuEl6SBl3qhRIWxJ9s5rpo1DBUSJkgq; https://drive.google.com/open?id=16UmVhNgMT9Nx2fCKsjPZsZQiAn84aZp2</t>
  </si>
  <si>
    <t>Thẩm Thu Hương</t>
  </si>
  <si>
    <t>https://www.facebook.com/profile.php?id=100069904971500&amp;mibextid=LQQJ4d</t>
  </si>
  <si>
    <t>Lưu Ngọc Huyền</t>
  </si>
  <si>
    <t xml:space="preserve"> lhuyenk6dongtam@gmail.com</t>
  </si>
  <si>
    <t>Trực tiếp tại Trung tâm</t>
  </si>
  <si>
    <t>31/10/2024 và 08/01/2024</t>
  </si>
  <si>
    <t>https://drive.google.com/open?id=1UnFMt8x0qLmNtlN5PUttFl546ulRIQX8, https://drive.google.com/open?id=17tT2eLo9I7Hv0uNnITScBYEvqAR08DW-; https://drive.google.com/open?id=1B9q5lZvhfLjTlXPBj9hkTU3s6X4Oft2w</t>
  </si>
  <si>
    <t>OT56 bảo lưu buổi 22</t>
  </si>
  <si>
    <r>
      <rPr>
        <sz val="12"/>
        <color theme="1"/>
        <rFont val="Times New Roman"/>
        <family val="1"/>
      </rPr>
      <t>Nguyễn Trà My</t>
    </r>
    <r>
      <rPr>
        <sz val="12"/>
        <color rgb="FFFF0000"/>
        <rFont val="Times New Roman"/>
        <family val="1"/>
      </rPr>
      <t xml:space="preserve"> </t>
    </r>
  </si>
  <si>
    <t>OT56</t>
  </si>
  <si>
    <r>
      <rPr>
        <sz val="12"/>
        <color theme="1"/>
        <rFont val="Times New Roman"/>
        <family val="1"/>
      </rPr>
      <t>Trần Ngọc Hiếu</t>
    </r>
    <r>
      <rPr>
        <sz val="12"/>
        <color rgb="FFFF0000"/>
        <rFont val="Times New Roman"/>
        <family val="1"/>
      </rPr>
      <t xml:space="preserve"> </t>
    </r>
  </si>
  <si>
    <r>
      <rPr>
        <sz val="12"/>
        <color theme="1"/>
        <rFont val="Times New Roman"/>
        <family val="1"/>
      </rPr>
      <t>Nguyễn Vũ Yến Nhi</t>
    </r>
    <r>
      <rPr>
        <sz val="12"/>
        <color rgb="FFFF0000"/>
        <rFont val="Times New Roman"/>
        <family val="1"/>
      </rPr>
      <t xml:space="preserve"> - Đã nộp 300K 27/05/2025
OT56 bảo lưu b15. Học OT64 b16</t>
    </r>
  </si>
  <si>
    <t>https://www.facebook.com/profile.php?id=100034202800407&amp;mibextid=LQQJ4d</t>
  </si>
  <si>
    <t>Lê Đặng Minh Vũ</t>
  </si>
  <si>
    <t>https://drive.google.com/open?id=1jPM8poqerDsebc4rNCtR-lRfyqGtjhFg; https://drive.google.com/open?id=1vXD5PFwXVAsSQjiBVwufMVtazuGSVmLq</t>
  </si>
  <si>
    <t>https://www.facebook.com/em.may.92167</t>
  </si>
  <si>
    <r>
      <rPr>
        <sz val="12"/>
        <color theme="1"/>
        <rFont val="Times New Roman"/>
        <family val="1"/>
      </rPr>
      <t xml:space="preserve">Trần Thị Mây </t>
    </r>
    <r>
      <rPr>
        <sz val="12"/>
        <color rgb="FFFF0000"/>
        <rFont val="Times New Roman"/>
        <family val="1"/>
      </rPr>
      <t>- Đã nộp 400K 01/04/2025
OT56 bảo lưu b6 đi quân sự. Học T305 b1</t>
    </r>
  </si>
  <si>
    <t>tranthimayls06@gmail.com</t>
  </si>
  <si>
    <t>số nhà 22, Ngách 75/36, Phường Vĩnh Phúc, quận Ba Đình, Hà Nội</t>
  </si>
  <si>
    <t>https://drive.google.com/open?id=1nlD1ACEIXpFaKxFdbaOPrJL-o51Tvzer; https://drive.google.com/open?id=1SvyHDC_mZsDqIPPe5f1xuWbgFRQMIn4-</t>
  </si>
  <si>
    <t>26/12/2024 Sách gửi Vũ</t>
  </si>
  <si>
    <t>https://www.facebook.com/nongly1606?mibextid=LQQJ4d</t>
  </si>
  <si>
    <t>Nông Khánh Ly</t>
  </si>
  <si>
    <t>Diễm Quỳnh Meca</t>
  </si>
  <si>
    <t>26/11/2024 và 18/12/2024</t>
  </si>
  <si>
    <t>https://drive.google.com/open?id=1DNX1odT7nh_sTYCTbJ9WHUA9-eSvQath; https://drive.google.com/open?id=19SKCgz99FJIIJM04NjJLKl8BHQOzzDUV; https://drive.google.com/open?id=1twwtGUldgnse1vY0FcZ1mvX2V5eSuJpe, https://drive.google.com/open?id=1hMsIQmomFeODFqXCEWItJt4tLpkYgOrU</t>
  </si>
  <si>
    <r>
      <rPr>
        <sz val="12"/>
        <color theme="1"/>
        <rFont val="Times New Roman"/>
        <family val="1"/>
      </rPr>
      <t>Nguyễn Đức Mạnh</t>
    </r>
    <r>
      <rPr>
        <sz val="12"/>
        <color rgb="FFFF0000"/>
        <rFont val="Times New Roman"/>
        <family val="1"/>
      </rPr>
      <t xml:space="preserve"> </t>
    </r>
  </si>
  <si>
    <t>Văn Miếu Xích Đằng, phường Lam Sơn,TP.Hưng Yên</t>
  </si>
  <si>
    <r>
      <rPr>
        <sz val="12"/>
        <color theme="1"/>
        <rFont val="Times New Roman"/>
        <family val="1"/>
      </rPr>
      <t>Nguyễn Thùy Linh</t>
    </r>
    <r>
      <rPr>
        <sz val="12"/>
        <color rgb="FFFF0000"/>
        <rFont val="Times New Roman"/>
        <family val="1"/>
      </rPr>
      <t xml:space="preserve"> </t>
    </r>
  </si>
  <si>
    <r>
      <rPr>
        <sz val="12"/>
        <color theme="1"/>
        <rFont val="Times New Roman"/>
        <family val="1"/>
      </rPr>
      <t>Nguyễn Thị Nhung</t>
    </r>
    <r>
      <rPr>
        <sz val="12"/>
        <color rgb="FFFF0000"/>
        <rFont val="Times New Roman"/>
        <family val="1"/>
      </rPr>
      <t xml:space="preserve"> </t>
    </r>
  </si>
  <si>
    <r>
      <rPr>
        <sz val="12"/>
        <color theme="1"/>
        <rFont val="Times New Roman"/>
        <family val="1"/>
      </rPr>
      <t>Lê Khánh Huyền</t>
    </r>
    <r>
      <rPr>
        <sz val="12"/>
        <color rgb="FFFF0000"/>
        <rFont val="Times New Roman"/>
        <family val="1"/>
      </rPr>
      <t xml:space="preserve"> - nhận chuyển nhượng
</t>
    </r>
    <r>
      <rPr>
        <sz val="12"/>
        <color theme="1"/>
        <rFont val="Times New Roman"/>
        <family val="1"/>
      </rPr>
      <t xml:space="preserve">Võ Minh Nhật </t>
    </r>
    <r>
      <rPr>
        <sz val="12"/>
        <color rgb="FFFF0000"/>
        <rFont val="Times New Roman"/>
        <family val="1"/>
      </rPr>
      <t>(OT13 =&gt;Chờ) - đã chuyển nhượng</t>
    </r>
  </si>
  <si>
    <t>Ánh Hồng</t>
  </si>
  <si>
    <t>Nguyễn Khánh Ngọc</t>
  </si>
  <si>
    <t>số nhà 11-tổ 3-Đường Võ Văn Tần-phường lê hồng phong-tp phủ lý-tỉnh hà nam</t>
  </si>
  <si>
    <r>
      <rPr>
        <sz val="12"/>
        <color theme="1"/>
        <rFont val="Times New Roman"/>
        <family val="1"/>
      </rPr>
      <t>Nguyễn Thanh Hoa</t>
    </r>
    <r>
      <rPr>
        <sz val="12"/>
        <color rgb="FFFF0000"/>
        <rFont val="Times New Roman"/>
        <family val="1"/>
      </rPr>
      <t xml:space="preserve"> - 335929921 số ZALO
gửi sang nhà số 51 Ngõ 24/8, Hoàng Văn thụ, Lê Hồng Phong, Phủ Lý , Hà Nam</t>
    </r>
  </si>
  <si>
    <t>Số nhà 51, tổ 3 , ngõ 24/8 đường hoàng văn thụ thành phố phủ Lý tỉnh Hà Nam</t>
  </si>
  <si>
    <r>
      <rPr>
        <sz val="12"/>
        <color theme="1"/>
        <rFont val="Times New Roman"/>
        <family val="1"/>
      </rPr>
      <t xml:space="preserve">Phạm Thanh Nam </t>
    </r>
    <r>
      <rPr>
        <sz val="12"/>
        <color rgb="FFFF0000"/>
        <rFont val="Times New Roman"/>
        <family val="1"/>
      </rPr>
      <t>- Đã nộp 300k  31/7/2025
OVIP17 bảo lưu b17. Học VIP168 b18</t>
    </r>
  </si>
  <si>
    <t>Cổng phụ phenikaa, Yên Nghĩa, Hà Đông, Hà Nội</t>
  </si>
  <si>
    <t>Mỹ Đình 1 Hà Nội</t>
  </si>
  <si>
    <t>VIP138</t>
  </si>
  <si>
    <r>
      <rPr>
        <sz val="12"/>
        <color theme="1"/>
        <rFont val="Times New Roman"/>
        <family val="1"/>
      </rPr>
      <t xml:space="preserve">Đỗ Thị Thu Hà </t>
    </r>
    <r>
      <rPr>
        <sz val="12"/>
        <color rgb="FFFF0000"/>
        <rFont val="Times New Roman"/>
        <family val="1"/>
      </rPr>
      <t>- OVIP18</t>
    </r>
  </si>
  <si>
    <t>B594</t>
  </si>
  <si>
    <t>https://www.facebook.com/profile.php?id=100081804271556</t>
  </si>
  <si>
    <r>
      <rPr>
        <sz val="12"/>
        <color theme="1"/>
        <rFont val="Times New Roman"/>
        <family val="1"/>
      </rPr>
      <t>Vũ Thành Vinh</t>
    </r>
    <r>
      <rPr>
        <sz val="12"/>
        <color rgb="FFFF0000"/>
        <rFont val="Times New Roman"/>
        <family val="1"/>
      </rPr>
      <t xml:space="preserve"> - Cọc 2968K - đổi PT học T</t>
    </r>
  </si>
  <si>
    <t>72 Vân Lũng, An Khánh, Hoài Đức, Hà Nội</t>
  </si>
  <si>
    <t>https://drive.google.com/open?id=1I42H1Y4iDHPcNFaDj1lHGduxgqE899YA</t>
  </si>
  <si>
    <t>0941765615</t>
  </si>
  <si>
    <t>VIP172</t>
  </si>
  <si>
    <t>https://www.facebook.com/lananh.ha.1007</t>
  </si>
  <si>
    <r>
      <rPr>
        <sz val="12"/>
        <color theme="1"/>
        <rFont val="Times New Roman"/>
        <family val="1"/>
      </rPr>
      <t xml:space="preserve">Hà Thị Lan Anh </t>
    </r>
    <r>
      <rPr>
        <sz val="12"/>
        <color rgb="FFFF0000"/>
        <rFont val="Times New Roman"/>
        <family val="1"/>
      </rPr>
      <t xml:space="preserve">- nhận học thay
</t>
    </r>
    <r>
      <rPr>
        <sz val="12"/>
        <color theme="1"/>
        <rFont val="Times New Roman"/>
        <family val="1"/>
      </rPr>
      <t xml:space="preserve">Đào Ngọc Huyền 976025832 </t>
    </r>
    <r>
      <rPr>
        <sz val="12"/>
        <color rgb="FFFF0000"/>
        <rFont val="Times New Roman"/>
        <family val="1"/>
      </rPr>
      <t xml:space="preserve">- đã nộp 300K 20/12/24
Pass lại VIP, S, W cho 0356083351 </t>
    </r>
  </si>
  <si>
    <t>Xóm Chợ, Đa Phúc, Sài Sơn, Quốc Oai, Hà Nội</t>
  </si>
  <si>
    <t>58/23, số 19, Trần Bình Mai Dịch Cầu Giấy Hà Nội</t>
  </si>
  <si>
    <t>Vào sau. Sách gửi Khánh</t>
  </si>
  <si>
    <t>https://www.facebook.com/share/15bg1WjkWL/?mibextid=LQQJ4d</t>
  </si>
  <si>
    <r>
      <rPr>
        <sz val="12"/>
        <color theme="1"/>
        <rFont val="Times New Roman"/>
        <family val="1"/>
      </rPr>
      <t xml:space="preserve">Đinh Thị Thanh Huyền </t>
    </r>
    <r>
      <rPr>
        <sz val="12"/>
        <color rgb="FFFF0000"/>
        <rFont val="Times New Roman"/>
        <family val="1"/>
      </rPr>
      <t xml:space="preserve">- nhận học. Đã nộp 300K 23/12/24
</t>
    </r>
    <r>
      <rPr>
        <sz val="12"/>
        <color theme="1"/>
        <rFont val="Times New Roman"/>
        <family val="1"/>
      </rPr>
      <t xml:space="preserve">Nguyễn Ngọc Lụa 387551528 - </t>
    </r>
    <r>
      <rPr>
        <sz val="12"/>
        <color rgb="FFFF0000"/>
        <rFont val="Times New Roman"/>
        <family val="1"/>
      </rPr>
      <t xml:space="preserve">PT126 rút khi đã học - chuyển nhượng </t>
    </r>
  </si>
  <si>
    <t>Huyendinh171105@gmail.com</t>
  </si>
  <si>
    <t>Số 21 ngõ 41/3 Trần Duy Hưng - Trung Hoà - Hà Nội</t>
  </si>
  <si>
    <t>OT57</t>
  </si>
  <si>
    <t>Đinh Tiến Đạt</t>
  </si>
  <si>
    <r>
      <rPr>
        <sz val="12"/>
        <color theme="1"/>
        <rFont val="Times New Roman"/>
        <family val="1"/>
      </rPr>
      <t>Lại  Cẩm Tú</t>
    </r>
    <r>
      <rPr>
        <sz val="12"/>
        <color rgb="FFFF0000"/>
        <rFont val="Times New Roman"/>
        <family val="1"/>
      </rPr>
      <t xml:space="preserve"> - T285</t>
    </r>
  </si>
  <si>
    <t>VIP126 bảo lưu b4 ko theo kịp</t>
  </si>
  <si>
    <r>
      <rPr>
        <sz val="12"/>
        <color theme="1"/>
        <rFont val="Times New Roman"/>
        <family val="1"/>
      </rPr>
      <t>Đỗ Anh Hiếu</t>
    </r>
    <r>
      <rPr>
        <sz val="12"/>
        <color rgb="FFFF0000"/>
        <rFont val="Times New Roman"/>
        <family val="1"/>
      </rPr>
      <t xml:space="preserve"> </t>
    </r>
  </si>
  <si>
    <t>Số 5, Ngõ 1045, Phú Xá, tp Thái Nguyên, tỉnh Thái Nguyên</t>
  </si>
  <si>
    <r>
      <rPr>
        <sz val="12"/>
        <color theme="1"/>
        <rFont val="Times New Roman"/>
        <family val="1"/>
      </rPr>
      <t xml:space="preserve">Ngọ Lê An Như </t>
    </r>
    <r>
      <rPr>
        <sz val="12"/>
        <color rgb="FFFF0000"/>
        <rFont val="Times New Roman"/>
        <family val="1"/>
      </rPr>
      <t>- Đã nộp 300K 21/03/2025
OT55 bảo lưu b4. Học T302 b1. Nộp 100K mua sách 12/04/25</t>
    </r>
  </si>
  <si>
    <t>52 ngõ 191 Phạm Văn Đồng Bắc Từ Liêm Hà Nội</t>
  </si>
  <si>
    <t>Sách gửi Vũ 27/12/2024</t>
  </si>
  <si>
    <t>Trần Bá Thọ</t>
  </si>
  <si>
    <t>sảnh A2 HDMon, ngõ 4 Hàm Nghi, Mỹ Đình 2, Nam Từ Liêm, Hà Nội</t>
  </si>
  <si>
    <r>
      <rPr>
        <sz val="12"/>
        <color theme="1"/>
        <rFont val="Times New Roman"/>
        <family val="1"/>
      </rPr>
      <t>Đặng Phương Ngọc</t>
    </r>
    <r>
      <rPr>
        <sz val="12"/>
        <color rgb="FFFF0000"/>
        <rFont val="Times New Roman"/>
        <family val="1"/>
      </rPr>
      <t xml:space="preserve"> - 0398745794</t>
    </r>
  </si>
  <si>
    <r>
      <rPr>
        <sz val="12"/>
        <color theme="1"/>
        <rFont val="Times New Roman"/>
        <family val="1"/>
      </rPr>
      <t xml:space="preserve">Lờ Thị Trà Vinh </t>
    </r>
    <r>
      <rPr>
        <sz val="12"/>
        <color rgb="FFFF0000"/>
        <rFont val="Times New Roman"/>
        <family val="1"/>
      </rPr>
      <t>- đã nộp 300K 21/02/25
OT55 bảo lưu b4. Học OT57 b4</t>
    </r>
  </si>
  <si>
    <r>
      <rPr>
        <sz val="12"/>
        <color theme="1"/>
        <rFont val="Times New Roman"/>
        <family val="1"/>
      </rPr>
      <t xml:space="preserve">Trương Thị Thanh Hà </t>
    </r>
    <r>
      <rPr>
        <sz val="12"/>
        <color rgb="FFFF0000"/>
        <rFont val="Times New Roman"/>
        <family val="1"/>
      </rPr>
      <t>- học lại miễn phí</t>
    </r>
  </si>
  <si>
    <r>
      <rPr>
        <sz val="12"/>
        <color theme="1"/>
        <rFont val="Times New Roman"/>
        <family val="1"/>
      </rPr>
      <t>Trần Thị Diễm My</t>
    </r>
    <r>
      <rPr>
        <sz val="12"/>
        <color rgb="FFFF0000"/>
        <rFont val="Times New Roman"/>
        <family val="1"/>
      </rPr>
      <t xml:space="preserve"> </t>
    </r>
  </si>
  <si>
    <r>
      <rPr>
        <sz val="12"/>
        <color theme="1"/>
        <rFont val="Times New Roman"/>
        <family val="1"/>
      </rPr>
      <t>Bùi Thảo Vân</t>
    </r>
    <r>
      <rPr>
        <sz val="12"/>
        <color rgb="FFFF0000"/>
        <rFont val="Times New Roman"/>
        <family val="1"/>
      </rPr>
      <t xml:space="preserve"> - học lại nộp 50% học phí
Chưa nộp</t>
    </r>
  </si>
  <si>
    <t>https://www.facebook.com/profile.php?id=100069842299124&amp;mibextid=LQQJ4d</t>
  </si>
  <si>
    <t>Phạm Minh Hằng</t>
  </si>
  <si>
    <t>minhhang05042006@gmail.com</t>
  </si>
  <si>
    <t>Ngõ 34 Nguyễn Thị Định Trung Hoà Cầu Giấy</t>
  </si>
  <si>
    <t>25/09/2024 và 04/10/2024</t>
  </si>
  <si>
    <t>https://drive.google.com/open?id=1kjIWYLbru8JwdeIvk_z9fFBwF7mAznXG; https://drive.google.com/open?id=1YohppnS-XlePnZiVz-sE26biNLqoaftB</t>
  </si>
  <si>
    <t>T350 bảo lưu buổi 1</t>
  </si>
  <si>
    <t>https://www.facebook.com/hahoangson.23.9?mibextid=LQQJ4d</t>
  </si>
  <si>
    <r>
      <rPr>
        <sz val="12"/>
        <color theme="1"/>
        <rFont val="Times New Roman"/>
        <family val="1"/>
      </rPr>
      <t>Hoàng Sơn Hà</t>
    </r>
    <r>
      <rPr>
        <sz val="12"/>
        <color rgb="FFFF0000"/>
        <rFont val="Times New Roman"/>
        <family val="1"/>
      </rPr>
      <t xml:space="preserve"> - Đã nộp 300K 14/08/2025
OT55 bảo lưu ko đi học. Được 3 tháng HV mới báo
</t>
    </r>
    <r>
      <rPr>
        <sz val="12"/>
        <color theme="1"/>
        <rFont val="Times New Roman"/>
        <family val="1"/>
      </rPr>
      <t>T350 bảo lưu buổi 1</t>
    </r>
  </si>
  <si>
    <t>số 16 ngõ 21 đường Chùa Bụt Mọc , Phú Diễn , Bắc Từ Liêm</t>
  </si>
  <si>
    <t>27/09/2024 và 09/10/2024</t>
  </si>
  <si>
    <t>https://drive.google.com/open?id=1e7r1uQCEMB9ej8-oimFyBCwok2vb-bVi; https://drive.google.com/open?id=16uUq6f0fHtmM3jk-Cs2WgBs_6mDctcz_; https://drive.google.com/open?id=1UF1woKvRPozxoIrZyetxSxKqlF9XK_W3</t>
  </si>
  <si>
    <t>https://www.facebook.com/hanguyen.443?mibextid=ZbWKwL</t>
  </si>
  <si>
    <r>
      <rPr>
        <sz val="12"/>
        <color theme="1"/>
        <rFont val="Times New Roman"/>
        <family val="1"/>
      </rPr>
      <t xml:space="preserve">Nguyễn Ngân Hà </t>
    </r>
    <r>
      <rPr>
        <sz val="12"/>
        <color rgb="FFFF0000"/>
        <rFont val="Times New Roman"/>
        <family val="1"/>
      </rPr>
      <t>- KO đc học lại miễn phí nếu test LV2 ko qua. ĐÃ chat zalo HV ko học trong 3 tháng</t>
    </r>
  </si>
  <si>
    <t>https://drive.google.com/open?id=1tdxPcU5w5U_t6o9QCWmfbuspTckDe25W; https://drive.google.com/open?id=1WOkCTql65AvtpYnXMMtFwXBGuPtXMIHE</t>
  </si>
  <si>
    <t>https://www.facebook.com/profile.php?id=100052930118481&amp;mibextid=ZbWKwL</t>
  </si>
  <si>
    <t xml:space="preserve"> Đinh Thị Ngọc Ly </t>
  </si>
  <si>
    <t xml:space="preserve">Nguyễn Mạnh Dũng </t>
  </si>
  <si>
    <t>C196</t>
  </si>
  <si>
    <t>https://www.facebook.com/profile.php?id=100054632042158</t>
  </si>
  <si>
    <r>
      <rPr>
        <sz val="12"/>
        <color theme="1"/>
        <rFont val="Times New Roman"/>
        <family val="1"/>
      </rPr>
      <t xml:space="preserve">Đỗ Việt Anh </t>
    </r>
    <r>
      <rPr>
        <sz val="12"/>
        <color rgb="FFFF0000"/>
        <rFont val="Times New Roman"/>
        <family val="1"/>
      </rPr>
      <t>- HV thứ 23</t>
    </r>
  </si>
  <si>
    <t>dvanh1285@gmail.com</t>
  </si>
  <si>
    <t>8/14/171/211 Khương Trung, Quận Thanh Xuân, TP Hà Nội</t>
  </si>
  <si>
    <t>https://drive.google.com/open?id=1sL0v5cqcgv0GwGwU44fEhk60orvXmWZh</t>
  </si>
  <si>
    <r>
      <rPr>
        <sz val="12"/>
        <color theme="1"/>
        <rFont val="Times New Roman"/>
        <family val="1"/>
      </rPr>
      <t>Phạm Anh Thư</t>
    </r>
    <r>
      <rPr>
        <sz val="12"/>
        <color rgb="FFFF0000"/>
        <rFont val="Times New Roman"/>
        <family val="1"/>
      </rPr>
      <t xml:space="preserve"> - HV thứ 24</t>
    </r>
  </si>
  <si>
    <t>https://www.facebook.com/share/1E4jLFNEz1/?mibextid=wwXIfr</t>
  </si>
  <si>
    <r>
      <rPr>
        <sz val="12"/>
        <color theme="1"/>
        <rFont val="Times New Roman"/>
        <family val="1"/>
      </rPr>
      <t>Thái Hoàng Khanh</t>
    </r>
    <r>
      <rPr>
        <sz val="12"/>
        <color rgb="FFFF0000"/>
        <rFont val="Times New Roman"/>
        <family val="1"/>
      </rPr>
      <t xml:space="preserve"> 328431627 sđt mẹ</t>
    </r>
  </si>
  <si>
    <t>46 đường số 27, Tân Quy, Quận 7, TP Hồ Chí Minh</t>
  </si>
  <si>
    <t>Số nhà 42, Đội 3, thôn Lạc Thị, xã Ngọc Hồi,Thanh Trì, Hà Nội</t>
  </si>
  <si>
    <t>Lê Tiến Sỹ</t>
  </si>
  <si>
    <r>
      <rPr>
        <sz val="12"/>
        <color theme="1"/>
        <rFont val="Times New Roman"/>
        <family val="1"/>
      </rPr>
      <t xml:space="preserve">Nguyễn Thị Yến </t>
    </r>
    <r>
      <rPr>
        <sz val="12"/>
        <color rgb="FFFF0000"/>
        <rFont val="Times New Roman"/>
        <family val="1"/>
      </rPr>
      <t>- học lại miễn phí</t>
    </r>
  </si>
  <si>
    <t>Số 55, ngõ 59, Phạm Văn Đồng, Mai Dịch, Cầu Giấy, Hà Nội</t>
  </si>
  <si>
    <r>
      <rPr>
        <sz val="12"/>
        <color theme="1"/>
        <rFont val="Times New Roman"/>
        <family val="1"/>
      </rPr>
      <t>Phạm Minh Phương</t>
    </r>
    <r>
      <rPr>
        <sz val="12"/>
        <color rgb="FFFF0000"/>
        <rFont val="Times New Roman"/>
        <family val="1"/>
      </rPr>
      <t xml:space="preserve"> </t>
    </r>
  </si>
  <si>
    <t>Cổng trường Mầm non Mạc Thị Bưởi - Nam Tân - Nam Sách - Hải Dương</t>
  </si>
  <si>
    <r>
      <rPr>
        <sz val="12"/>
        <color theme="1"/>
        <rFont val="Times New Roman"/>
        <family val="1"/>
      </rPr>
      <t xml:space="preserve">Ngô Hương Giang </t>
    </r>
    <r>
      <rPr>
        <sz val="12"/>
        <color rgb="FFFF0000"/>
        <rFont val="Times New Roman"/>
        <family val="1"/>
      </rPr>
      <t>0975908583 sđt mẹ</t>
    </r>
  </si>
  <si>
    <t>Xóm 14, Hải Phúc, Hải Hậu, Nam Định</t>
  </si>
  <si>
    <t xml:space="preserve">Nguyễn Hữu Quyền </t>
  </si>
  <si>
    <t>W10</t>
  </si>
  <si>
    <t>290 Trường Chinh, phường Vị Xuyên, thành phố Nam Định</t>
  </si>
  <si>
    <r>
      <rPr>
        <sz val="12"/>
        <color theme="1"/>
        <rFont val="Times New Roman"/>
        <family val="1"/>
      </rPr>
      <t>Nguyễn Lương Bình</t>
    </r>
    <r>
      <rPr>
        <sz val="12"/>
        <color rgb="FFFF0000"/>
        <rFont val="Times New Roman"/>
        <family val="1"/>
      </rPr>
      <t xml:space="preserve"> </t>
    </r>
  </si>
  <si>
    <t xml:space="preserve">Nguyễn Mai Phượng </t>
  </si>
  <si>
    <t>nhà số 25 1/23/2 ngách 1/49 phố Văn Hội,Đức Thắng , Bắc Từ Liêm Hà Nội</t>
  </si>
  <si>
    <t xml:space="preserve">Lưu Trần Sơn </t>
  </si>
  <si>
    <t>70b ngõ tô hoàng cầu dền hai bà trưng ạ</t>
  </si>
  <si>
    <r>
      <rPr>
        <sz val="12"/>
        <color theme="1"/>
        <rFont val="Times New Roman"/>
        <family val="1"/>
      </rPr>
      <t xml:space="preserve">Phạm Gia Huy </t>
    </r>
    <r>
      <rPr>
        <sz val="12"/>
        <color rgb="FFFF0000"/>
        <rFont val="Times New Roman"/>
        <family val="1"/>
      </rPr>
      <t>- T283 HV thứ 10</t>
    </r>
  </si>
  <si>
    <t>Young house2, Tân Xã, Thạch Thất, Hà Nội</t>
  </si>
  <si>
    <t xml:space="preserve">Nguyễn Ngọc Tiến </t>
  </si>
  <si>
    <t>Số 3 hẻm 5/36/25 Đường Phú Mỹ, Mỹ Đình 2, Nam Từ Liêm, Hà Nội</t>
  </si>
  <si>
    <t>T311 ko vào học</t>
  </si>
  <si>
    <r>
      <rPr>
        <sz val="12"/>
        <color theme="1"/>
        <rFont val="Times New Roman"/>
        <family val="1"/>
      </rPr>
      <t>Phạm Hồng Nhung</t>
    </r>
    <r>
      <rPr>
        <sz val="12"/>
        <color rgb="FFFF0000"/>
        <rFont val="Times New Roman"/>
        <family val="1"/>
      </rPr>
      <t xml:space="preserve"> - đã nộp 300K 21/05/2025
T287 nghỉ ngang b10. Hạ chat. Học T311 b6. Đến b13 rồi ko thấy vào
Nộp 100K mua sách 28/05/2025</t>
    </r>
  </si>
  <si>
    <t xml:space="preserve"> cổng trường đh fpt, Khu Công Nghệ Cao Hòa Lạc, km 29, Đại lộ, Thăng Long, Hà Nội</t>
  </si>
  <si>
    <t>Sách cũ 03/01/2025</t>
  </si>
  <si>
    <r>
      <rPr>
        <sz val="12"/>
        <color theme="1"/>
        <rFont val="Times New Roman"/>
        <family val="1"/>
      </rPr>
      <t>Nguyễn Thị Minh Huệ</t>
    </r>
    <r>
      <rPr>
        <sz val="12"/>
        <color rgb="FFFF0000"/>
        <rFont val="Times New Roman"/>
        <family val="1"/>
      </rPr>
      <t xml:space="preserve"> - 876607019 số cũ</t>
    </r>
  </si>
  <si>
    <t>nhà số 11, ngõ 20, Cát linh, Đống đa, Hà Nội</t>
  </si>
  <si>
    <t>85 Sông Nhuệ, Đức Thắng, Bắc Từ Liêm, Hà Nội</t>
  </si>
  <si>
    <t>20 Ngách 5 Ngõ 177 đường Cầu Diễn, Kiều Mai, Bắc Từ Liêm, Hà Nội</t>
  </si>
  <si>
    <t>https://www.facebook.com/tuyetdao121205?mibextid=ZbWKwL</t>
  </si>
  <si>
    <t>20 liền kề chung cư athena, Xuân Phương, Phương Canh, Nam Từ Liêm</t>
  </si>
  <si>
    <t>T287 bảo lưu b17</t>
  </si>
  <si>
    <t xml:space="preserve">Nguyễn Tuấn Linh </t>
  </si>
  <si>
    <t>young house 9 xã Bình Yên, huyện Thạch Thất, tỉnh Hà Nội</t>
  </si>
  <si>
    <t xml:space="preserve">Vũ Khánh Linh </t>
  </si>
  <si>
    <t>OVIP16 HV thứ 23</t>
  </si>
  <si>
    <t xml:space="preserve"> ngõ 27 lai xá kim chung Hoài đức Hà Nội</t>
  </si>
  <si>
    <t>89 Nguyễn Phong Sắc P.Dịch Vọng Hậu Quận Cầu Giấy Hà Nội (kí túc xá học viện báo chí và tuyên truyền)</t>
  </si>
  <si>
    <t>Số 1 ngách 73 ngõ 1194 đường láng, láng thượng, đống đa, hà nội</t>
  </si>
  <si>
    <t xml:space="preserve">Lê Hương Giang </t>
  </si>
  <si>
    <t>https://m.facebook.com/khoa.anhdoan06?mibextid=wwXIfr&amp;mibextid=wwXIfr</t>
  </si>
  <si>
    <t>Ngõ 415/2/7 nhà số 8 -Xóm 3- Đổng Viên -Phù Đổng -Gia Lâm -Hà Nội</t>
  </si>
  <si>
    <t>Cuối Ngõ 199, Trần Quốc Hoàn, P. Dịch Vọng Hậu, Q. Cầu Giấy, Tp. Hà Nội</t>
  </si>
  <si>
    <t xml:space="preserve">Dương Thị Mỹ Tâm </t>
  </si>
  <si>
    <t>Số 8,50 Trần Bình, Mai Dịch, Cầu Giấy, Hà Nội</t>
  </si>
  <si>
    <t>Nhà số 18B, Ngõ 161 Hoa Bằng, Yên Hoà, Cầu Giấy, Hà Nội</t>
  </si>
  <si>
    <r>
      <rPr>
        <sz val="12"/>
        <color theme="1"/>
        <rFont val="Times New Roman"/>
        <family val="1"/>
      </rPr>
      <t>Lương Gia Linh</t>
    </r>
    <r>
      <rPr>
        <sz val="12"/>
        <color rgb="FFFF0000"/>
        <rFont val="Times New Roman"/>
        <family val="1"/>
      </rPr>
      <t xml:space="preserve"> - Carni Linh</t>
    </r>
  </si>
  <si>
    <r>
      <rPr>
        <sz val="12"/>
        <color theme="1"/>
        <rFont val="Times New Roman"/>
        <family val="1"/>
      </rPr>
      <t>Lê Quốc Trung</t>
    </r>
    <r>
      <rPr>
        <sz val="12"/>
        <color rgb="FFFF0000"/>
        <rFont val="Times New Roman"/>
        <family val="1"/>
      </rPr>
      <t xml:space="preserve"> - đã nộp 300K 31/03/25
VIP128 bảo lưu b15. Học VIP169 b11</t>
    </r>
  </si>
  <si>
    <t>Gần tạp hoá Hiền Thê, Đội 3, Thôn Đầu Bến, Hợp Tiến, Nam Sách , Hải Dương</t>
  </si>
  <si>
    <t>09/01/2025 sách cũ</t>
  </si>
  <si>
    <t>Ngô Thị Vân</t>
  </si>
  <si>
    <r>
      <rPr>
        <sz val="12"/>
        <color theme="1"/>
        <rFont val="Times New Roman"/>
        <family val="1"/>
      </rPr>
      <t>Phan Bá Khánh</t>
    </r>
    <r>
      <rPr>
        <sz val="12"/>
        <color rgb="FFFF0000"/>
        <rFont val="Times New Roman"/>
        <family val="1"/>
      </rPr>
      <t xml:space="preserve"> - OVIP19</t>
    </r>
  </si>
  <si>
    <t>OT58</t>
  </si>
  <si>
    <t>https://www.facebook.com/tangvan.hao.9865?mibextid=LQQJ4d</t>
  </si>
  <si>
    <t xml:space="preserve">Tăng Văn Hào </t>
  </si>
  <si>
    <t>22/08/2024 và 22/11/2024</t>
  </si>
  <si>
    <t>https://drive.google.com/open?id=1kpPkEUqCwixOPZ97QwAJL8C8_hmzhVBo; https://drive.google.com/open?id=19OOEr3_-O97ITMUMmn9lco55QVuJtnGJ; https://drive.google.com/open?id=1WhhwldUa3ovJDf4311f06Eu5dc19UMSW</t>
  </si>
  <si>
    <t>https://www.facebook.com/profile.php?id=100070770458263&amp;mibextid=LQQJ4d</t>
  </si>
  <si>
    <r>
      <rPr>
        <sz val="12"/>
        <color theme="1"/>
        <rFont val="Times New Roman"/>
        <family val="1"/>
      </rPr>
      <t>Lê Tuấn Đạt</t>
    </r>
    <r>
      <rPr>
        <sz val="12"/>
        <color rgb="FFFF0000"/>
        <rFont val="Times New Roman"/>
        <family val="1"/>
      </rPr>
      <t xml:space="preserve"> </t>
    </r>
  </si>
  <si>
    <t>tuandat0567@gmail.com</t>
  </si>
  <si>
    <t>08/10/2024 và 22/11/2024</t>
  </si>
  <si>
    <t>https://drive.google.com/open?id=1hN06KexLnXZ38OlwhAYP1lCyGMPf804w; https://drive.google.com/open?id=1L-h3MagE3-nb0LHlBqaTaQw3hTSlBbCq; https://drive.google.com/open?id=1PAya4_G1fv-HcuN8To6PMviBju8j8N_I</t>
  </si>
  <si>
    <t>https://www.facebook.com/phuongan.tran.093?mibextid=ZbWKwL</t>
  </si>
  <si>
    <r>
      <rPr>
        <sz val="12"/>
        <color theme="1"/>
        <rFont val="Times New Roman"/>
        <family val="1"/>
      </rPr>
      <t>Trần Phương An</t>
    </r>
    <r>
      <rPr>
        <sz val="12"/>
        <color rgb="FFFF0000"/>
        <rFont val="Times New Roman"/>
        <family val="1"/>
      </rPr>
      <t xml:space="preserve"> </t>
    </r>
  </si>
  <si>
    <t>lethuthao221105@gmail.com</t>
  </si>
  <si>
    <t>16a, ngách 72, ngõ 164, Ỷ La, Dương Nội, Hà Đông, Hà Nội</t>
  </si>
  <si>
    <t>https://drive.google.com/open?id=1v_5r1zCufvfng86JPyeAa2DO-NWDh6nu; https://drive.google.com/open?id=1-OdRH3cdVmOO3DUQD83lPBg2hk7yGSmD</t>
  </si>
  <si>
    <t>https://www.facebook.com/profile.php?id=100046267123946&amp;mibextid=ZbWKwL</t>
  </si>
  <si>
    <r>
      <rPr>
        <sz val="12"/>
        <color theme="1"/>
        <rFont val="Times New Roman"/>
        <family val="1"/>
      </rPr>
      <t>Lê Thu Thảo</t>
    </r>
    <r>
      <rPr>
        <sz val="12"/>
        <color rgb="FFFF0000"/>
        <rFont val="Times New Roman"/>
        <family val="1"/>
      </rPr>
      <t xml:space="preserve"> </t>
    </r>
  </si>
  <si>
    <t>16a, ngách 72, ngõ 164, Ỷ La, Dương Nội, Hà Đông</t>
  </si>
  <si>
    <t>https://drive.google.com/open?id=1QH6ItOG6OafWH_5qEUbT_JfKAIfDCF9j; https://drive.google.com/open?id=1dnFFJDkQRN07WcnRrI1cT2GadqPoFd2p</t>
  </si>
  <si>
    <t>https://www.facebook.com/profile.php?id=100022588639264&amp;mibextid=LQQJ4d</t>
  </si>
  <si>
    <t xml:space="preserve">Nguyễn Thị Hằng </t>
  </si>
  <si>
    <t>07/09/2024 và 21/11/2024</t>
  </si>
  <si>
    <t>https://drive.google.com/open?id=1caa0dPRO3AgPR5FcwB4zesbJ87QyuAjd; https://drive.google.com/open?id=1nop-QCP-Yx4l3jA2OAexrMbzuhBJBuG6; https://drive.google.com/open?id=1dZ2gS0WFsWzVZ03rTBP6jIo7p4IzaR7G</t>
  </si>
  <si>
    <t>https://www.facebook.com/profile.php?id=100080642105798&amp;mibextid=LQQJ4d</t>
  </si>
  <si>
    <t xml:space="preserve">Đoàn Nguyễn Như Quỳnh </t>
  </si>
  <si>
    <t>28/10/2024 và 24/11/2024</t>
  </si>
  <si>
    <t>https://drive.google.com/open?id=1CENoFAh735rM-cW1yU8V7ef1BJ5F-Xxh; https://drive.google.com/open?id=1UadQVnO9wX8qo9ka-NQVcDXrd2IiSX3w; https://drive.google.com/open?id=1BCZciNdbipgqh3CF28_IyNq-en2Hj1b2, https://drive.google.com/open?id=19aa2kEZftRszitozV4wQIUzyXng3aPeD</t>
  </si>
  <si>
    <t>https://www.facebook.com/profile.php?id=100023334592154&amp;mibextid=LQQJ4d</t>
  </si>
  <si>
    <t>Ngô Đức Tại</t>
  </si>
  <si>
    <t>31/10/2024 và 20/11/2024</t>
  </si>
  <si>
    <t>https://drive.google.com/open?id=16Gpm2J3kqYtkK7DXh3DzurnDLgkMC0eY; https://drive.google.com/open?id=1JYXPfpejP9VnDuOuqHn6TomQgmRq2HoY; https://drive.google.com/open?id=15htIrOHxOLvTGcGKtaUg5Gh2A9bNwFQM</t>
  </si>
  <si>
    <t>OT62 bảo lưu b19</t>
  </si>
  <si>
    <t>https://www.facebook.com/profile.php?id=100062137960120&amp;mibextid=LQQJ4d</t>
  </si>
  <si>
    <r>
      <rPr>
        <sz val="12"/>
        <color theme="1"/>
        <rFont val="Times New Roman"/>
        <family val="1"/>
      </rPr>
      <t xml:space="preserve">Nguyễn Anh Hào </t>
    </r>
    <r>
      <rPr>
        <sz val="12"/>
        <color rgb="FFFF0000"/>
        <rFont val="Times New Roman"/>
        <family val="1"/>
      </rPr>
      <t>- OT58 ra Tết học, OT52
T292 bảo lưu b3. Học OT62 buổi 1. Đã nộp 300K 05/03/25
OT62 bảo lưu b10  Đã nộp 300K 05/05/2025</t>
    </r>
  </si>
  <si>
    <t>31 An Khánh, Hoài Đức</t>
  </si>
  <si>
    <t>26/10/2024 và 22/11/2024</t>
  </si>
  <si>
    <t>https://drive.google.com/open?id=17XLiDc1mdPdHFT2xyleGiHUgMSNwjUow; https://drive.google.com/open?id=1nvzKm86oSffXp04V60vUf89D9Uy9DkC_; https://drive.google.com/open?id=1llPF1f54S8ncaZVakv4-jyMGF6f3t6tz</t>
  </si>
  <si>
    <t>https://www.facebook.com/profile.php?id=100051129220455&amp;mibextid=LQQJ4d</t>
  </si>
  <si>
    <t>04/11/2024 và 20/11/2024</t>
  </si>
  <si>
    <t>https://drive.google.com/open?id=1wSTe0TtmkPm8LkLR-qQLQw-g9tQU9gNI; https://drive.google.com/open?id=1RoxUChZYDncpX9KQdbkdImNCvGDSd7ZM; https://drive.google.com/open?id=1v9SsNNZj_-ix2WhW5b4Jh1AyZ94H2VIP</t>
  </si>
  <si>
    <t>https://www.facebook.com/Minhhtran2211?mibextid=LQQJ4d</t>
  </si>
  <si>
    <t>Trần Đức Minh</t>
  </si>
  <si>
    <t>minhtranyahoo.com552@gmail.com</t>
  </si>
  <si>
    <t>04/11/2024 và 22/11/2024</t>
  </si>
  <si>
    <t>https://drive.google.com/open?id=1waiHbhq2yM20njEUa1UUy9yJzDzc9I0J; https://drive.google.com/open?id=1jIIX-ks3xB71YZ7vkMcqJwIHC8CBJXu2; https://drive.google.com/open?id=12gRF-RoyTNU2w_BAMhefQSS4RPlUSGWb</t>
  </si>
  <si>
    <t>https://www.facebook.com/levu2707?mibextid=LQQJ4d</t>
  </si>
  <si>
    <t xml:space="preserve">Lê Huy Vũ </t>
  </si>
  <si>
    <t>13/11/2024 và 22/11/2024</t>
  </si>
  <si>
    <t>https://drive.google.com/open?id=1O-_v3mVSrF_pOU2XVwICWkkXNIodpe5E</t>
  </si>
  <si>
    <t>https://www.facebook.com/profile.php?id=100073530880095&amp;mibextid=LQQJ4d</t>
  </si>
  <si>
    <t xml:space="preserve">Bùi Trung Kiên </t>
  </si>
  <si>
    <t>Ngõ 1b đại học hà nội</t>
  </si>
  <si>
    <t>https://drive.google.com/open?id=1DWmrpnea6VT6MqOAWuoEJ2BEdf0YX8K_; https://drive.google.com/open?id=1g0AVb8GdcqDWyiZDBOxiNRIzN05_sJ37; https://drive.google.com/open?id=1HlgefNRPqYmR0q-7nwDGSoLQOdOE7uUa</t>
  </si>
  <si>
    <t>Số nhà 46, Ngõ 270 Nguyễn Xiển, Xã Tân Triều, Huyện Thanh Trì, Hà Nội</t>
  </si>
  <si>
    <t>Ngõ 193/64/28, Số nhà 3, Phú Diễn, Bắc Từ Liêm, Hà Nội</t>
  </si>
  <si>
    <t>Nguyễn Hoài Phương</t>
  </si>
  <si>
    <t>Ngách 70/106 Văn Trì, Minh Khai, Bắc Từ Liêm, Hà Nội</t>
  </si>
  <si>
    <t>10/2/66 Hồ Tùng Mậu, Mai Dịch, Cầu Giấy, Hà Nội</t>
  </si>
  <si>
    <r>
      <rPr>
        <sz val="12"/>
        <color theme="1"/>
        <rFont val="Times New Roman"/>
        <family val="1"/>
      </rPr>
      <t xml:space="preserve">Lại Thị Duyên - </t>
    </r>
    <r>
      <rPr>
        <sz val="12"/>
        <color rgb="FFFF0000"/>
        <rFont val="Times New Roman"/>
        <family val="1"/>
      </rPr>
      <t>học vượt</t>
    </r>
  </si>
  <si>
    <t>Ngõ 133, Ngách 24, Xuân Thủy, Dịch Vọng Hậu, Cầu Giấy, Hà Nội</t>
  </si>
  <si>
    <t>W13</t>
  </si>
  <si>
    <t>https://web.facebook.com/people/Nguy%E1%BB%85n-Tr%C3%A0-My/pfbid0hkW5sTbdaPpzepndjDKCCieAP6afZTvT7zyxsqzDULfJSPcS4hu7hVZpTNfprFAnl/</t>
  </si>
  <si>
    <t>Nhà số 5, Ngách 24/85, Ngõ 85, Xuân Thủy, Cầu Giấy, Hà Nội</t>
  </si>
  <si>
    <r>
      <rPr>
        <sz val="12"/>
        <color theme="1"/>
        <rFont val="Times New Roman"/>
        <family val="1"/>
      </rPr>
      <t>Đỗ Thu Uyên</t>
    </r>
    <r>
      <rPr>
        <sz val="12"/>
        <color rgb="FFFF0000"/>
        <rFont val="Times New Roman"/>
        <family val="1"/>
      </rPr>
      <t xml:space="preserve"> </t>
    </r>
  </si>
  <si>
    <t>OW3 bảo lưu b6</t>
  </si>
  <si>
    <t xml:space="preserve">Trần Thị Mai Anh </t>
  </si>
  <si>
    <t>Ngõ 133, ngách 24, đường Xuân Thủy, phường Dịch Vọng Hậu, quận Cầu Giấy</t>
  </si>
  <si>
    <t>Số 25 ngõ 31 văn hội, đức thắng, bắc từ liêm</t>
  </si>
  <si>
    <t>VIP128</t>
  </si>
  <si>
    <t>Toà 3 tầng (Photocopy Pro), đường An Hạ 2, thôn An Thượng, Hoài Đức, Hà Nội</t>
  </si>
  <si>
    <r>
      <rPr>
        <sz val="12"/>
        <color theme="1"/>
        <rFont val="Times New Roman"/>
        <family val="1"/>
      </rPr>
      <t xml:space="preserve">Nguyễn Thị Như Quỳnh </t>
    </r>
    <r>
      <rPr>
        <sz val="12"/>
        <color rgb="FFFF0000"/>
        <rFont val="Times New Roman"/>
        <family val="1"/>
      </rPr>
      <t>- 0949604233 số cũ
Đầu ra 485 lớp T240. Học viến báo lại là 545</t>
    </r>
  </si>
  <si>
    <t>W26</t>
  </si>
  <si>
    <r>
      <rPr>
        <sz val="12"/>
        <color theme="1"/>
        <rFont val="Times New Roman"/>
        <family val="1"/>
      </rPr>
      <t xml:space="preserve">Võ Thu Thuỷ </t>
    </r>
    <r>
      <rPr>
        <sz val="12"/>
        <color rgb="FFFF0000"/>
        <rFont val="Times New Roman"/>
        <family val="1"/>
      </rPr>
      <t>- đã nộp 300K 12/02/2025
OW3 bảo lưu b1 do bận. Học W26 b1</t>
    </r>
  </si>
  <si>
    <t>VIP220</t>
  </si>
  <si>
    <r>
      <rPr>
        <sz val="12"/>
        <color theme="1"/>
        <rFont val="Times New Roman"/>
        <family val="1"/>
      </rPr>
      <t>Doãn Việt Quang</t>
    </r>
    <r>
      <rPr>
        <sz val="12"/>
        <color rgb="FFFF0000"/>
        <rFont val="Times New Roman"/>
        <family val="1"/>
      </rPr>
      <t xml:space="preserve"> - đổi E2, E3 học toeic
Thiếu 8,900K. Đã nộp 30/07/2024. OVIP18 học 1 buổi xin học online nộp 150K 14/02/25
VIP135 bảo lưu b6. Học VIP222 b1. Đã nộp 300K 02/12/2025</t>
    </r>
  </si>
  <si>
    <t>OB23</t>
  </si>
  <si>
    <t>https://www.facebook.com/hues.chanhs.31</t>
  </si>
  <si>
    <r>
      <rPr>
        <sz val="12"/>
        <color theme="1"/>
        <rFont val="Times New Roman"/>
        <family val="1"/>
      </rPr>
      <t xml:space="preserve">Nguyễn Thị Huệ </t>
    </r>
    <r>
      <rPr>
        <sz val="12"/>
        <color rgb="FFFF0000"/>
        <rFont val="Times New Roman"/>
        <family val="1"/>
      </rPr>
      <t xml:space="preserve">- đổi Stour -&gt; PT, T. số cũ </t>
    </r>
    <r>
      <rPr>
        <sz val="12"/>
        <color theme="1"/>
        <rFont val="Times New Roman"/>
        <family val="1"/>
      </rPr>
      <t>982549382</t>
    </r>
  </si>
  <si>
    <t>Nhận off</t>
  </si>
  <si>
    <t>https://drive.google.com/open?id=17oONOsTfzZk3IVA_6GIzyjlmh5vdK9d_; https://drive.google.com/open?id=1ApjwFzSgBDV8G_zMUXJmpMuLoMBR5qWH</t>
  </si>
  <si>
    <t>c ơi, bạn này đăng kí combo 1 + 2 + Stour (13tr083k) , đã học xong giao tiếp 1,2 (7tr349k),  bây h muốn đổi Stour qua pre toeic, toeic 1, 2, S, W
Tổng tiền dư là 13083 - 7349 = 5734 ( khớp với số tiền pre toeic 1 ), tức là bạn cần đóng thêm 10tr2 nữa.
C chuyển giúp em nhé, tuần sau em note đơn sau khi b done tiền ạ 
Huệ Nguyễn - 0982549382 - đăng kí OPT57 cơ sở Hà Đông</t>
  </si>
  <si>
    <t>OT59</t>
  </si>
  <si>
    <t>Trương Hải Hà</t>
  </si>
  <si>
    <t>Hoàng Phương Nhi</t>
  </si>
  <si>
    <t xml:space="preserve">Phan Thị Thùy Nga </t>
  </si>
  <si>
    <t>Lương Thị Hồng Yến</t>
  </si>
  <si>
    <r>
      <rPr>
        <sz val="12"/>
        <color theme="1"/>
        <rFont val="Times New Roman"/>
        <family val="1"/>
      </rPr>
      <t xml:space="preserve">Bùi Thu Hường </t>
    </r>
    <r>
      <rPr>
        <sz val="12"/>
        <color rgb="FFFF0000"/>
        <rFont val="Times New Roman"/>
        <family val="1"/>
      </rPr>
      <t>- OT59</t>
    </r>
  </si>
  <si>
    <t>44/51 Tam Khương, Khương Thượng, Đống Đa, Hà Nội</t>
  </si>
  <si>
    <t>https://www.facebook.com/profile.php?id=100048103996534&amp;mibextid=LQQJ4d</t>
  </si>
  <si>
    <r>
      <rPr>
        <sz val="12"/>
        <color theme="1"/>
        <rFont val="Times New Roman"/>
        <family val="1"/>
      </rPr>
      <t xml:space="preserve">Trần Thị Nhật Linh </t>
    </r>
    <r>
      <rPr>
        <sz val="12"/>
        <color rgb="FFFF0000"/>
        <rFont val="Times New Roman"/>
        <family val="1"/>
      </rPr>
      <t>- đã nộp 300K 13/04/25
OT59 bảo lưu b12. Học T286 b13</t>
    </r>
  </si>
  <si>
    <t>tranthinhatlinh0101@gmail.com</t>
  </si>
  <si>
    <t>https://drive.google.com/open?id=1-JI4E4912NI5F7J2YrzVJmg72qtkrl4-; https://drive.google.com/open?id=138-8CEGS2cKh-fF3VwXJlEUVchi5R3Yg</t>
  </si>
  <si>
    <t>Trả lương T12.2024</t>
  </si>
  <si>
    <t>https://www.facebook.com/profile.php?id=100054558464007&amp;mibextid=LQQJ4d</t>
  </si>
  <si>
    <t>03/11/2024 và 30/11/2024</t>
  </si>
  <si>
    <t>https://drive.google.com/open?id=19PEeck5EZf-5BNDOyMisDUqPZQvcGJeK; https://drive.google.com/open?id=1-1RIBT7q6FoMyLRQ8D22aAuIDn7HMGK1; https://drive.google.com/open?id=1xw77lBIvMlgk0PFZxUA0wY0wnGfWMNxz</t>
  </si>
  <si>
    <t>Trả lương T01.2025</t>
  </si>
  <si>
    <t>www.facebook.com/profile.php?id=100074403545236&amp;mibextid=LQQJ4d</t>
  </si>
  <si>
    <r>
      <rPr>
        <sz val="12"/>
        <color theme="1"/>
        <rFont val="Times New Roman"/>
        <family val="1"/>
      </rPr>
      <t xml:space="preserve">Nguyễn Thế Hiển </t>
    </r>
    <r>
      <rPr>
        <sz val="12"/>
        <color rgb="FFFF0000"/>
        <rFont val="Times New Roman"/>
        <family val="1"/>
      </rPr>
      <t>(hợp đồng) - Hạ combo</t>
    </r>
  </si>
  <si>
    <t>nguyenhien291206sp@gmail.com</t>
  </si>
  <si>
    <t xml:space="preserve">Số nhà 21 xóm cầu, kim châu ,kim thư , thanh oai ,hà nội </t>
  </si>
  <si>
    <t>04/07/2024 và 09/07/2024</t>
  </si>
  <si>
    <t>https://drive.google.com/open?id=1rRFDe3eP1_8W-I7TArkb5yXWJPI9vZGm; https://drive.google.com/open?id=1gWouk5NhZVHZfgNiMZSEtJ6oufKY2BvZ</t>
  </si>
  <si>
    <t>https://www.facebook.com/profile.php?id=100067302000360&amp;mibextid=LQQJ4d</t>
  </si>
  <si>
    <r>
      <rPr>
        <sz val="12"/>
        <color theme="1"/>
        <rFont val="Times New Roman"/>
        <family val="1"/>
      </rPr>
      <t xml:space="preserve">Trần Khánh Ly </t>
    </r>
    <r>
      <rPr>
        <sz val="12"/>
        <color rgb="FFFF0000"/>
        <rFont val="Times New Roman"/>
        <family val="1"/>
      </rPr>
      <t>(hợp đồng) PT106 - đã nộp 300K 05/12/24
OPT23 bảo lưu b2 do trùng lịch. Học OPT55 b1</t>
    </r>
  </si>
  <si>
    <t>trankhanhlytb2006@gmail.com</t>
  </si>
  <si>
    <t>SN 01/44 ngõ 164 Tổ 6, phường Trần Hưng Đạo, tp Thái Bình</t>
  </si>
  <si>
    <t>06/07/2024 và 11/09/2024</t>
  </si>
  <si>
    <t>https://drive.google.com/open?id=16JBCE_bnJbu0MkvN4rMbNe9ddlqmFVFO; https://drive.google.com/open?id=1mCoujLeOWc4Oo3_dBTvS8qRn1aCvy9Ql; https://drive.google.com/open?id=19tgueF15_YwsjUgiA-kvWekeJ-wYZoJl</t>
  </si>
  <si>
    <t>16/09/2024 sách cũ</t>
  </si>
  <si>
    <t>https://www.facebook.com/100070306538256/</t>
  </si>
  <si>
    <r>
      <rPr>
        <sz val="12"/>
        <color theme="1"/>
        <rFont val="Times New Roman"/>
        <family val="1"/>
      </rPr>
      <t xml:space="preserve">Nguyễn Thị Phương Linh </t>
    </r>
    <r>
      <rPr>
        <sz val="12"/>
        <color rgb="FFFF0000"/>
        <rFont val="Times New Roman"/>
        <family val="1"/>
      </rPr>
      <t>(hợp đồng) OPT37, 
OPT29 rút khi đã học 1 buổi. Xin KO thu 300K</t>
    </r>
  </si>
  <si>
    <t>ln164685@gmail.com</t>
  </si>
  <si>
    <t>10/07/2024 16/09/2024</t>
  </si>
  <si>
    <t>https://drive.google.com/open?id=1lAwDIoxaac2EwNyXpVqKrxEVaij7c4kl; https://drive.google.com/open?id=1Baw-wV5N3oKT1c06ddhmMs7FM04DQcjj</t>
  </si>
  <si>
    <t>https://www.facebook.com/profile.php?id=100067051635196&amp;mibextid=LQQJ4d&amp;_rdc=2&amp;_rdr</t>
  </si>
  <si>
    <r>
      <rPr>
        <sz val="12"/>
        <color theme="1"/>
        <rFont val="Times New Roman"/>
        <family val="1"/>
      </rPr>
      <t>Ngô Hồng Ánh</t>
    </r>
    <r>
      <rPr>
        <sz val="12"/>
        <color rgb="FFFF0000"/>
        <rFont val="Times New Roman"/>
        <family val="1"/>
      </rPr>
      <t xml:space="preserve"> - thừa 1 triệu để học T</t>
    </r>
  </si>
  <si>
    <t>ngohonganh5280@gmai.com</t>
  </si>
  <si>
    <t>nhà số 1 hẻm 308/15/14 thôn Đài Hoa xã Tây Đằng huyện Ba Vì thành phố Hà Nội</t>
  </si>
  <si>
    <t>https://drive.google.com/open?id=1-6Cuo85lX4-8BPQ03g3hiHVyzFNg3hVm</t>
  </si>
  <si>
    <t>https://www.facebook.com/profile.php?id=100050793044131&amp;mibextid=ZbWKwL</t>
  </si>
  <si>
    <r>
      <rPr>
        <sz val="12"/>
        <color theme="1"/>
        <rFont val="Times New Roman"/>
        <family val="1"/>
      </rPr>
      <t xml:space="preserve">Lê Việt Hùng </t>
    </r>
    <r>
      <rPr>
        <sz val="12"/>
        <color rgb="FFFF0000"/>
        <rFont val="Times New Roman"/>
        <family val="1"/>
      </rPr>
      <t>(hợp đồng) OPT23, OPT43</t>
    </r>
  </si>
  <si>
    <t>Leviethung25062006@gmail.com</t>
  </si>
  <si>
    <t>Lai thị , Tân Dân, An Lão, Hải phòng</t>
  </si>
  <si>
    <t>15/04/2024 và 13/09/2024</t>
  </si>
  <si>
    <t>https://drive.google.com/open?id=1eF3prbQQjDZ3e4PUQI23Le2hKFfD0s78; https://drive.google.com/open?id=1orVzBWr_A9hwsji3a87zrLLjA8KPV6vu; https://drive.google.com/open?id=1sFWCLvP3BovSFgGyTm_XxBv3ddRCxkg1</t>
  </si>
  <si>
    <r>
      <rPr>
        <sz val="12"/>
        <color theme="1"/>
        <rFont val="Times New Roman"/>
        <family val="1"/>
      </rPr>
      <t xml:space="preserve">Tăng Văn Hào </t>
    </r>
    <r>
      <rPr>
        <sz val="12"/>
        <color rgb="FFFF0000"/>
        <rFont val="Times New Roman"/>
        <family val="1"/>
      </rPr>
      <t>OPT25, OPT28, OPT45, OPT47</t>
    </r>
  </si>
  <si>
    <t>https://www.facebook.com/profile.php?id=100040896285230&amp;rdid=zHMyVy9GDkrIWu3k&amp;share_url=https%3A%2F%2Fwww.facebook.com%2Fshare%2FWVfXbCYs3P8f6Uzq%2F</t>
  </si>
  <si>
    <r>
      <rPr>
        <sz val="12"/>
        <color theme="1"/>
        <rFont val="Times New Roman"/>
        <family val="1"/>
      </rPr>
      <t>Nguyễn Trung Hiếu</t>
    </r>
    <r>
      <rPr>
        <sz val="12"/>
        <color rgb="FFFF0000"/>
        <rFont val="Times New Roman"/>
        <family val="1"/>
      </rPr>
      <t xml:space="preserve"> (hợp đồng) - Hạ combo</t>
    </r>
  </si>
  <si>
    <t>hieu01629903177@gmail.com</t>
  </si>
  <si>
    <t>https://drive.google.com/open?id=1BPod6Yrwcj8phKMhdnDZu_d3hNT23xPv; https://drive.google.com/open?id=1XADwO09phNbfLU7PSp0hVr8skgZbys5d</t>
  </si>
  <si>
    <t>https://www.facebook.com/thanhuyen267</t>
  </si>
  <si>
    <r>
      <rPr>
        <sz val="12"/>
        <color theme="1"/>
        <rFont val="Times New Roman"/>
        <family val="1"/>
      </rPr>
      <t xml:space="preserve">Đào Thanh Huyền </t>
    </r>
    <r>
      <rPr>
        <sz val="12"/>
        <color rgb="FFFF0000"/>
        <rFont val="Times New Roman"/>
        <family val="1"/>
      </rPr>
      <t>OT28</t>
    </r>
  </si>
  <si>
    <t>daothanhhuyen267@gmail.com</t>
  </si>
  <si>
    <t xml:space="preserve"> 25/20/33/57 Lê đức thọ, Mỹ đình 2, NTL</t>
  </si>
  <si>
    <t>27/08/2024 và 13/09/2024</t>
  </si>
  <si>
    <t>https://drive.google.com/open?id=1kTcl0DydO8wxdobw49qsw-b_zrE_5dBO; https://drive.google.com/open?id=1B8LGAT0SEPSqleXwWHTgpDCSe5vySHEC</t>
  </si>
  <si>
    <t>Hạ combo để tính đơn up</t>
  </si>
  <si>
    <t>Hủy KO học</t>
  </si>
  <si>
    <t>https://www.facebook.com/profile.php?id=100092312538670&amp;mibextid=LQQJ4d</t>
  </si>
  <si>
    <r>
      <rPr>
        <sz val="12"/>
        <color theme="1"/>
        <rFont val="Times New Roman"/>
        <family val="1"/>
      </rPr>
      <t xml:space="preserve">Lương Hải Anh </t>
    </r>
    <r>
      <rPr>
        <sz val="12"/>
        <color rgb="FFFF0000"/>
        <rFont val="Times New Roman"/>
        <family val="1"/>
      </rPr>
      <t>(hợp đồng) - đã nộp 350K học lại 5 buổi, 300K bảo lưu
OPT27 bảo lưu b6. Học OPT58 buổi 2. Xin chuyển OPT60 b1
OPT60 xin hủy sáng, tối khai giảng. KO học nữa</t>
    </r>
  </si>
  <si>
    <t>https://drive.google.com/open?id=1C1p0y74iHA53m-Jo3VH4t2QWhstoXlc1; https://drive.google.com/open?id=1hWN7eFCa4-ene97Lkl0gvt2xyrrQTnwk</t>
  </si>
  <si>
    <t>Hạ combo 19/09/2024 sách cũ</t>
  </si>
  <si>
    <t>https://www.facebook.com/nguyen.anhvu.583671?mibextid=LQQJ4d</t>
  </si>
  <si>
    <r>
      <rPr>
        <sz val="12"/>
        <color theme="1"/>
        <rFont val="Times New Roman"/>
        <family val="1"/>
      </rPr>
      <t>Nguyễn Anh Vũ</t>
    </r>
    <r>
      <rPr>
        <sz val="12"/>
        <color rgb="FFFF0000"/>
        <rFont val="Times New Roman"/>
        <family val="1"/>
      </rPr>
      <t xml:space="preserve"> (hợp đồng) - đã nộp 300K 25/11/24
OT27 bảo lưu b5 đi quân sự. Học OT37 buổi 3</t>
    </r>
  </si>
  <si>
    <t xml:space="preserve">vubi11112@gmail.com </t>
  </si>
  <si>
    <t>Tại Trung tâm</t>
  </si>
  <si>
    <t>https://drive.google.com/open?id=15m2QIt10wj2XMDul3nTKaXzCMIrRsjmE; https://drive.google.com/open?id=1jflkYatCu_QlaSsH0uS5I5rWRQOUkJu4</t>
  </si>
  <si>
    <t>Nghe 370 Đọc 270</t>
  </si>
  <si>
    <t>https://www.facebook.com/profile.php?id=100035821178427&amp;mibextid=LQQJ4d</t>
  </si>
  <si>
    <r>
      <rPr>
        <sz val="12"/>
        <color theme="1"/>
        <rFont val="Times New Roman"/>
        <family val="1"/>
      </rPr>
      <t>Nguyễn Võ Công Anh</t>
    </r>
    <r>
      <rPr>
        <sz val="12"/>
        <color rgb="FFFF0000"/>
        <rFont val="Times New Roman"/>
        <family val="1"/>
      </rPr>
      <t xml:space="preserve"> (hợp đồng) - Hạ combo</t>
    </r>
  </si>
  <si>
    <t>nguyenvoconganh@gmail.com</t>
  </si>
  <si>
    <t>CT36B Định Công</t>
  </si>
  <si>
    <t>20/09/2024 và 29/11/2024</t>
  </si>
  <si>
    <t>https://drive.google.com/open?id=1dWqkod-kPSVGTMB0oKWDw3KKngFFwrRu; https://drive.google.com/open?id=1HNfTtAkj5l5Q71u3Ku72rCwTNaEYJjt2</t>
  </si>
  <si>
    <t>https://www.facebook.com/profile.php?id=100026055969340&amp;mibextid=ZbWKwL</t>
  </si>
  <si>
    <t xml:space="preserve">Nguyễn Vũ Linh Chi </t>
  </si>
  <si>
    <t xml:space="preserve">cn5279044@gmail.com </t>
  </si>
  <si>
    <t xml:space="preserve"> số nhà 26 ngõ 98/20 tân triều-triều khúc-hà nội</t>
  </si>
  <si>
    <t>21/09/2024 và 26/09/2024</t>
  </si>
  <si>
    <t>https://drive.google.com/open?id=1pfdp1PrKB3HbLpkrJPQw7ufXOHTdBm-b; https://drive.google.com/open?id=1gN0ONwe9oI2BTAlO29_sRDPfIiYJuZwA</t>
  </si>
  <si>
    <t>https://www.facebook.com/profile.php?id=100069227738191&amp;mibextid=LQQJ4d</t>
  </si>
  <si>
    <r>
      <rPr>
        <sz val="12"/>
        <color theme="1"/>
        <rFont val="Times New Roman"/>
        <family val="1"/>
      </rPr>
      <t>Nguyễn Thị Lan Anh</t>
    </r>
    <r>
      <rPr>
        <sz val="12"/>
        <color rgb="FFFF0000"/>
        <rFont val="Times New Roman"/>
        <family val="1"/>
      </rPr>
      <t xml:space="preserve"> (hợp đồng)</t>
    </r>
  </si>
  <si>
    <t>bunzne@gmail.com</t>
  </si>
  <si>
    <t>Đh công nghiệp hà nội cs3. Phủ Lý Hà Nam</t>
  </si>
  <si>
    <t>https://drive.google.com/open?id=1zxV8v-cBqYwK6oejCyVlGlaE--mpPyTI</t>
  </si>
  <si>
    <t>https://www.facebook.com/people/M%E1%BB%B9-%C4%90%C3%ACnh/pfbid0paqTwVfWR9YAH1p7osf5ochxGm8J2YRDDupoKuVA8tr68VcKgK4ijoy54igcRMKLl/</t>
  </si>
  <si>
    <t>Nguyễn Thị Mỹ Đình</t>
  </si>
  <si>
    <t>nguyenthimydinh121@gmail.com</t>
  </si>
  <si>
    <t>538/178 Đoàn Văn Bơ, phường 14, quận 4, TPHCM</t>
  </si>
  <si>
    <t>https://drive.google.com/open?id=1UC1nJ4LU4Zu9q4NSF4gMUERMxqiNXLb7; https://drive.google.com/open?id=1iNTuBvCLjtOxneqZ1Syi0_o9deew9Jxp</t>
  </si>
  <si>
    <r>
      <rPr>
        <sz val="12"/>
        <color theme="1"/>
        <rFont val="Times New Roman"/>
        <family val="1"/>
      </rPr>
      <t xml:space="preserve">Phạm Minh Hằng </t>
    </r>
    <r>
      <rPr>
        <sz val="12"/>
        <color rgb="FFFF0000"/>
        <rFont val="Times New Roman"/>
        <family val="1"/>
      </rPr>
      <t>- OPT41</t>
    </r>
  </si>
  <si>
    <t>https://www.facebook.com/jisoo.park.988711?mibextid=LQQJ4d</t>
  </si>
  <si>
    <t>Vũ Thùy Linh</t>
  </si>
  <si>
    <t>Cửa hàng thức ăn chăn nuôi Vũ Hữu Khá- thôn Vĩnh Thịnh- xã Đại Áng - huyện Thanh Trì -Hà Nội</t>
  </si>
  <si>
    <t>03/10/2024 và 07/10/2024</t>
  </si>
  <si>
    <t>https://drive.google.com/open?id=1Uzrv6QSaEsym0VAIHXNK4KxjJPyi0jBM; https://drive.google.com/open?id=1nZOHd2A7_kHpUm_7sbbD1Qv7MmKz62u_</t>
  </si>
  <si>
    <t>Hạ combo tính đơn UP</t>
  </si>
  <si>
    <t>Hoàng Sơn Hà</t>
  </si>
  <si>
    <r>
      <rPr>
        <sz val="12"/>
        <color theme="1"/>
        <rFont val="Times New Roman"/>
        <family val="1"/>
      </rPr>
      <t>Lê Tuấn Đạt</t>
    </r>
    <r>
      <rPr>
        <sz val="12"/>
        <color rgb="FFFF0000"/>
        <rFont val="Times New Roman"/>
        <family val="1"/>
      </rPr>
      <t xml:space="preserve"> - OPT47 - hợp đồng</t>
    </r>
  </si>
  <si>
    <t>https://www.facebook.com/profile.php?id=61561785834331&amp;mibextid=LQQJ4d</t>
  </si>
  <si>
    <r>
      <rPr>
        <sz val="12"/>
        <color theme="1"/>
        <rFont val="Times New Roman"/>
        <family val="1"/>
      </rPr>
      <t xml:space="preserve">Nguyễn Bảo Ngọc </t>
    </r>
    <r>
      <rPr>
        <sz val="12"/>
        <color rgb="FFFF0000"/>
        <rFont val="Times New Roman"/>
        <family val="1"/>
      </rPr>
      <t>(hợp đồng) OPT43</t>
    </r>
  </si>
  <si>
    <t>nguyenbaongocbmy36@gmail.com</t>
  </si>
  <si>
    <t>tại tt</t>
  </si>
  <si>
    <t>08/10/2024 và 08/10/2024</t>
  </si>
  <si>
    <t>https://drive.google.com/open?id=1lu5LR5UXNoj3fddpxjkHf2Q8h66rCxks; https://drive.google.com/open?id=1LKlBb5CVrEn3MjyV_toyC_Bv018zhzzD; https://drive.google.com/open?id=1ARuuVqmWSar64i8z_9XHw-t9EkhfZ2Fo, https://drive.google.com/open?id=1E4DTlj5p93ZQMS4oc1yV5mc3W6tHzIKE</t>
  </si>
  <si>
    <t>Mai đã ck lại tiền thừa 2 triệu 09/10/2024</t>
  </si>
  <si>
    <t>https://www.facebook.com/profile.php?id=100022902711394&amp;mibextid=LQQJ4d</t>
  </si>
  <si>
    <r>
      <rPr>
        <sz val="12"/>
        <color theme="1"/>
        <rFont val="Times New Roman"/>
        <family val="1"/>
      </rPr>
      <t xml:space="preserve">Trần Phương Anh </t>
    </r>
    <r>
      <rPr>
        <sz val="12"/>
        <color rgb="FFFF0000"/>
        <rFont val="Times New Roman"/>
        <family val="1"/>
      </rPr>
      <t>(Hợp đồng) - Hạ combo</t>
    </r>
  </si>
  <si>
    <t>Số 23 liền kề 5 khu đô thị văn Khê. Hà đông, Hà Nội</t>
  </si>
  <si>
    <t>https://drive.google.com/open?id=1-qw5el9zdgKjYfkS9EsS_2peXgLXhVZJ</t>
  </si>
  <si>
    <t>Nguyễn Ngân Hà</t>
  </si>
  <si>
    <t>T294</t>
  </si>
  <si>
    <r>
      <rPr>
        <sz val="12"/>
        <color theme="1"/>
        <rFont val="Times New Roman"/>
        <family val="1"/>
      </rPr>
      <t>Trần Thị Thùy Dương</t>
    </r>
    <r>
      <rPr>
        <sz val="12"/>
        <color rgb="FFFF0000"/>
        <rFont val="Times New Roman"/>
        <family val="1"/>
      </rPr>
      <t xml:space="preserve"> - Bánh Bơ Sữa. 
T285 rút phút 90. KG học báo bận. 
OT57 bảo lưu b3. Học T294 buổi 1. Đã nộp 300K 16/02/25</t>
    </r>
  </si>
  <si>
    <t xml:space="preserve">tranduoong206@gmail.com </t>
  </si>
  <si>
    <t>04/12/2024 và 13/12/2024</t>
  </si>
  <si>
    <t>https://drive.google.com/open?id=1y3G-rql7gprGWzwqeVQXa9xrXtHc9SfW, https://drive.google.com/open?id=17WyJtfmISFIURE9m7wpwrr1AsmyxhD7a; https://drive.google.com/open?id=1TLni122uWeEnYpnuIdmJISXbnK6K5Ggn</t>
  </si>
  <si>
    <t>07/01/2024 sách cũ</t>
  </si>
  <si>
    <t>https://www.facebook.com/kienne43?mibextid=LQQJ4d</t>
  </si>
  <si>
    <t>Trần Quang Kiên</t>
  </si>
  <si>
    <t>tranquangkien760@gmail.com</t>
  </si>
  <si>
    <t>12/10/2024 và 26/11/2024</t>
  </si>
  <si>
    <t>https://drive.google.com/open?id=11T7J9p5FD-rp1KJIFpPAx9ydTDKFBwqR; https://drive.google.com/open?id=1veGfg5G-CTRO8080d495oiWN9j4Q4vPD</t>
  </si>
  <si>
    <t>https://www.facebook.com/profile.php?id=100050030775306&amp;mibextid=LQQJ4d</t>
  </si>
  <si>
    <r>
      <rPr>
        <sz val="12"/>
        <color theme="1"/>
        <rFont val="Times New Roman"/>
        <family val="1"/>
      </rPr>
      <t xml:space="preserve">Phạm Ngọc Nguyên Khánh </t>
    </r>
    <r>
      <rPr>
        <sz val="12"/>
        <color rgb="FFFF0000"/>
        <rFont val="Times New Roman"/>
        <family val="1"/>
      </rPr>
      <t>- OPT47 - Hạ combo</t>
    </r>
  </si>
  <si>
    <t>khanhdz151206@gmial.com</t>
  </si>
  <si>
    <t xml:space="preserve"> Trường Mầm Non Hoạ My, Ao Sen, Phường Mộ Lao, Quận Hà Đông, Hà Nội</t>
  </si>
  <si>
    <t>16/10/2024 và 24/10/2024</t>
  </si>
  <si>
    <t>https://drive.google.com/open?id=1_0ZSq14yQWe1TlGovgVkbeiXIKqJYCTR; https://drive.google.com/open?id=1-YPrS5LAJBIADdjLi-jcvw0Y7hhs__VZ</t>
  </si>
  <si>
    <t>OPT44 bảo lưu b12 gđ khó khăn</t>
  </si>
  <si>
    <t>https://www.facebook.com/profile.php?id=100084980216786&amp;mibextid=LQQJ4d</t>
  </si>
  <si>
    <r>
      <rPr>
        <sz val="12"/>
        <color theme="1"/>
        <rFont val="Times New Roman"/>
        <family val="1"/>
      </rPr>
      <t xml:space="preserve">Trần Tuấn Anh </t>
    </r>
    <r>
      <rPr>
        <sz val="12"/>
        <color rgb="FFFF0000"/>
        <rFont val="Times New Roman"/>
        <family val="1"/>
      </rPr>
      <t>- Thanh Nhã - OPT46</t>
    </r>
  </si>
  <si>
    <t>nha923500@gmail.com</t>
  </si>
  <si>
    <t>21/10/2024 và 25/10/2024</t>
  </si>
  <si>
    <t>https://drive.google.com/open?id=1QYnno9FX0n1iKya8STdBNBf63NTQGp5N; https://drive.google.com/open?id=1PxanbrS04SztrOJ-uv5we8tQwvhf0PaM</t>
  </si>
  <si>
    <t>Hồng Anh đưa. Hạ combo</t>
  </si>
  <si>
    <t>https://www.facebook.com/profile.php?id=100062967435251&amp;mibextid=LQQJ4d</t>
  </si>
  <si>
    <t>Trần Thị Mai Phương</t>
  </si>
  <si>
    <t>tranphuong2006z@gmail.com</t>
  </si>
  <si>
    <t>Trực tiếp tại lớp</t>
  </si>
  <si>
    <t>24/10/2024  và 02/11/2024</t>
  </si>
  <si>
    <t>https://drive.google.com/open?id=1ONbWmr8ZHyG6_WMSjMpWP5bRXM1_rCLd; https://drive.google.com/open?id=1ecTGR8JUMXjLSmn8ah5TlFwLCPojuSje; https://drive.google.com/open?id=11gAejGTcKo1kbRkqKTJdxJBAqvM3yQ5w</t>
  </si>
  <si>
    <r>
      <rPr>
        <sz val="12"/>
        <color theme="1"/>
        <rFont val="Times New Roman"/>
        <family val="1"/>
      </rPr>
      <t>Trần Phương An</t>
    </r>
    <r>
      <rPr>
        <sz val="12"/>
        <color rgb="FFFF0000"/>
        <rFont val="Times New Roman"/>
        <family val="1"/>
      </rPr>
      <t xml:space="preserve"> - hợp đồng</t>
    </r>
  </si>
  <si>
    <r>
      <rPr>
        <sz val="12"/>
        <color theme="1"/>
        <rFont val="Times New Roman"/>
        <family val="1"/>
      </rPr>
      <t>Lê Thu Thảo</t>
    </r>
    <r>
      <rPr>
        <sz val="12"/>
        <color rgb="FFFF0000"/>
        <rFont val="Times New Roman"/>
        <family val="1"/>
      </rPr>
      <t xml:space="preserve"> - hợp đồng</t>
    </r>
  </si>
  <si>
    <t>https://www.facebook.com/chi.huaquynh.2006?mibextid=LQQJ4d</t>
  </si>
  <si>
    <t>Hứa Quỳnh Chi</t>
  </si>
  <si>
    <t>quynhchihua433@gmail.com</t>
  </si>
  <si>
    <t>Số nhà 17 Ngách 1 Ngõ 316 Trần Quang Khải, thành phố Lạng Sơn</t>
  </si>
  <si>
    <t>28/10/2024 và 15/11/2024</t>
  </si>
  <si>
    <t>https://drive.google.com/open?id=1a8E_Srcx7ZXZ5Kv-8WtpPabIHeD1oXBW; https://drive.google.com/open?id=145PVCBZoU3Ks75mufjJEjlsjudgNKQaf; https://drive.google.com/open?id=1QAwUyvkVGgK-GbDsybeuaLSCb8zPycZw</t>
  </si>
  <si>
    <t>https://www.facebook.com/profile.php?id=100036064361875&amp;mibextid=JRoKGi</t>
  </si>
  <si>
    <t>Đặng Phương Thảo</t>
  </si>
  <si>
    <t>td84030@gmail.com</t>
  </si>
  <si>
    <t>13/12/2024 - Nhài nhận tiền mặt đưa Mai</t>
  </si>
  <si>
    <t>https://drive.google.com/open?id=1HOjlILHCvwyy2UdhNqINtUQBxPDECNuK; https://drive.google.com/open?id=1RpHO9qQSMfkO5GGtQRnnVj0214CziSWv</t>
  </si>
  <si>
    <t>https://www.facebook.com/tho.trinhhuu.3511?mibextid=ZbWKwL</t>
  </si>
  <si>
    <t>Trình Hữu Thọ</t>
  </si>
  <si>
    <t>https://drive.google.com/open?id=1KF2CtaUshUaSI-usCgo6eEIF1lfh561L, https://drive.google.com/open?id=1FwbU7FoLYyBh4bKEILvMUgROgObwXunL; https://drive.google.com/open?id=162BWAjr6cdvjxDY5z3uJ_hpgXn32xvdQ</t>
  </si>
  <si>
    <t>https://www.facebook.com/vykingmylove?mibextid=LQQJ4d</t>
  </si>
  <si>
    <r>
      <rPr>
        <sz val="12"/>
        <color theme="1"/>
        <rFont val="Times New Roman"/>
        <family val="1"/>
      </rPr>
      <t xml:space="preserve">Nguyễn Vũ Hoàng </t>
    </r>
    <r>
      <rPr>
        <sz val="12"/>
        <color rgb="FFFF0000"/>
        <rFont val="Times New Roman"/>
        <family val="1"/>
      </rPr>
      <t>- OPT52</t>
    </r>
  </si>
  <si>
    <t>31/10/2024 và 19/11/2024</t>
  </si>
  <si>
    <t>10/12/2024 và 15/12/2024</t>
  </si>
  <si>
    <t>https://drive.google.com/open?id=1gNqCorZusysvlX6neXKH_znzDKKn-fXx; https://drive.google.com/open?id=1E-DJfRtrY0cNAVxIbMr6Mi5KKifN4Ut6; https://drive.google.com/open?id=1cC-sRnyLNjTKEI-MIfs07pfL1rNmjqU1; https://drive.google.com/open?id=1Y6crsI4Swe8tQVjh9XtCdUbHtjIKZaLD</t>
  </si>
  <si>
    <t xml:space="preserve">Nguyễn Anh Hào </t>
  </si>
  <si>
    <t>https://www.facebook.com/thanhbinh.lethi.12764?mibextid=LQQJ4d</t>
  </si>
  <si>
    <t xml:space="preserve">Lê Thị Thanh Bình </t>
  </si>
  <si>
    <t>https://drive.google.com/open?id=1E-VplEKa5HnLKJU6JuLTciQ2XSJvXBaO; https://drive.google.com/open?id=17w9ncw08mttYhQtwkPfExQYx-PUeFaB4; https://drive.google.com/open?id=1giwe2xLCZ2eeYzEWc8PEcza7ne6w2r39</t>
  </si>
  <si>
    <t>https://www.facebook.com/profile.php?id=100064822981978&amp;mibextid=LQQJ4d</t>
  </si>
  <si>
    <t>Dương Thị Diễm Quỳnh</t>
  </si>
  <si>
    <t>30/10/2024 và 19/11/2024</t>
  </si>
  <si>
    <t>https://drive.google.com/open?id=1wNYjJ9fywxNmOcCdIaA0OZFN0AkNpyt3; https://drive.google.com/open?id=1XwG6QOq3xMVDzB5UiknnDwr3VtnFxIHE; https://drive.google.com/open?id=1Wj8Gt0W8k66mMN7qkb7M3j0kabIR5QaV</t>
  </si>
  <si>
    <t>Trần Thị Mây</t>
  </si>
  <si>
    <t>https://www.facebook.com/lone.linhlinh</t>
  </si>
  <si>
    <t>Trần Ngọc Tiến</t>
  </si>
  <si>
    <t>tratacthachca@gmail.com</t>
  </si>
  <si>
    <t>Tại Trung Tâm</t>
  </si>
  <si>
    <t>https://drive.google.com/open?id=1dYURxXX50MCxEOuhotr_a6JM2aCYNEHM; https://drive.google.com/open?id=1u2-zqy1FV-hGYVGhiG3ze1oIJrE4ljlO</t>
  </si>
  <si>
    <t>Listening 290 - Reading 280</t>
  </si>
  <si>
    <r>
      <rPr>
        <sz val="12"/>
        <color theme="1"/>
        <rFont val="Times New Roman"/>
        <family val="1"/>
      </rPr>
      <t xml:space="preserve">Nguyễn Đức Mạnh </t>
    </r>
    <r>
      <rPr>
        <sz val="12"/>
        <color rgb="FFFF0000"/>
        <rFont val="Times New Roman"/>
        <family val="1"/>
      </rPr>
      <t>- đã nộp 300K 09/11/2024
OT35 bảo lưu b1. Học T269 b1</t>
    </r>
  </si>
  <si>
    <t>https://drive.google.com/open?id=1Uwt2mGFLSHscFKaoD2wVZQHyIRGcUfY5; https://drive.google.com/open?id=1Q09LW9tdv6wYzO5nxV8gxCmxID_imk8p</t>
  </si>
  <si>
    <t>https://www.facebook.com/profile.php?id=100078967263421&amp;mibextid=ZbWKwL</t>
  </si>
  <si>
    <r>
      <rPr>
        <sz val="12"/>
        <color theme="1"/>
        <rFont val="Times New Roman"/>
        <family val="1"/>
      </rPr>
      <t xml:space="preserve">Lê Đức Cường </t>
    </r>
    <r>
      <rPr>
        <sz val="12"/>
        <color rgb="FFFF0000"/>
        <rFont val="Times New Roman"/>
        <family val="1"/>
      </rPr>
      <t xml:space="preserve">- Hợp đồng </t>
    </r>
  </si>
  <si>
    <t>Hà Thiệp Meca</t>
  </si>
  <si>
    <t>Duy</t>
  </si>
  <si>
    <t>Số 5 ngõ 207 Lý Thái Tổ. Phường Châu Sơn. Phủ Lý. Hà Nam</t>
  </si>
  <si>
    <t xml:space="preserve">https://drive.google.com/open?id=18WU-_1gym68cTLk0C_szem4cbwpD-xGp; </t>
  </si>
  <si>
    <t>https://www.facebook.com/profile.php?id=100048386502777&amp;mibextid=LQQJ4d</t>
  </si>
  <si>
    <t>30/10/2024 và 24/11/2024</t>
  </si>
  <si>
    <t>10/12/2024 và 25/12/2024</t>
  </si>
  <si>
    <t>https://drive.google.com/open?id=1jThiXgOLpB_Mp4_JiKIxhL_ipJmgJjml; https://drive.google.com/open?id=16Efwck8SojxuiAXb_Lsly6AcQgBjpGWL; https://drive.google.com/open?id=1qc_D6tjD3ao2y-tVGDi3FwR2cD4ftVrV; https://drive.google.com/open?id=1E0SUhFFB0duc5OiDHKUXIiBTmW--L2Ma</t>
  </si>
  <si>
    <t>https://www.facebook.com/hieu.ducky.5?mibextid=LQQJ4d</t>
  </si>
  <si>
    <t>Đỗ Trung Hiếu</t>
  </si>
  <si>
    <t>Số nhà 47, đội 1, thôn Tử Dương, xã Cao Thành, huyện Ứng Hoà, thành phố Hà Nội</t>
  </si>
  <si>
    <t>13/10/2024 và 09/11/2024</t>
  </si>
  <si>
    <t>https://drive.google.com/open?id=1WHQ2jCBcuDUwlgIaEgd-PIz-xPss8vo_; https://drive.google.com/open?id=1OEjcUqZXHtSuR4VCRmP0NqsNe-wzDRCA; https://drive.google.com/open?id=1fwYJJ288c1VKh1QsxjNiIOiFqFtdUTC3</t>
  </si>
  <si>
    <r>
      <rPr>
        <sz val="12"/>
        <color theme="1"/>
        <rFont val="Times New Roman"/>
        <family val="1"/>
      </rPr>
      <t>Vũ Chí Dũng</t>
    </r>
    <r>
      <rPr>
        <sz val="12"/>
        <color rgb="FFFF0000"/>
        <rFont val="Times New Roman"/>
        <family val="1"/>
      </rPr>
      <t xml:space="preserve"> - OT33</t>
    </r>
  </si>
  <si>
    <t>18/11/2024 và 02/12/2024</t>
  </si>
  <si>
    <t>https://drive.google.com/open?id=15EBGjhXLxDxGmeodeBFzjecx1FOJW3Fe, https://drive.google.com/open?id=1yMeR0GDnHD7T1ShomU_itGvwX1yIacNI; https://drive.google.com/open?id=15q_RtEFCeeZHuX2EyQb5_9MEOSfK2Dnv; https://drive.google.com/open?id=1ebw1D7o8hWi1lSizqgO5gUjskeFzyqXD</t>
  </si>
  <si>
    <t>Thừa 32K của khóa PT</t>
  </si>
  <si>
    <t>Trần Thị Nhật Linh</t>
  </si>
  <si>
    <t>https://www.facebook.com/cuongthinh.letien.58?mibextid=LQQJ4d</t>
  </si>
  <si>
    <r>
      <rPr>
        <sz val="12"/>
        <color theme="1"/>
        <rFont val="Times New Roman"/>
        <family val="1"/>
      </rPr>
      <t>Lê Tiến Cường Thịnh</t>
    </r>
    <r>
      <rPr>
        <sz val="12"/>
        <color rgb="FFFF0000"/>
        <rFont val="Times New Roman"/>
        <family val="1"/>
      </rPr>
      <t xml:space="preserve"> - hợp đồng - Hạ combo</t>
    </r>
  </si>
  <si>
    <t>letiencuongthinh@gmail.com</t>
  </si>
  <si>
    <t>Cổng chính haui cơ sở 3 : lê hồng phong , phủ lý , hà nam</t>
  </si>
  <si>
    <t>07/11/2024 và 12/11/2024</t>
  </si>
  <si>
    <t>https://drive.google.com/open?id=1y5lxQkUhwHH4xIewFmtytUt-kujATkrz; https://drive.google.com/open?id=10FMc2wpB0rykzI1klpYFroSrBiasBlWO</t>
  </si>
  <si>
    <t>https://www.facebook.com/profile.php?id=100074195116266&amp;mibextid=ZbWKwL</t>
  </si>
  <si>
    <r>
      <rPr>
        <sz val="12"/>
        <color theme="1"/>
        <rFont val="Times New Roman"/>
        <family val="1"/>
      </rPr>
      <t>Phạm Duy Mạnh</t>
    </r>
    <r>
      <rPr>
        <sz val="12"/>
        <color rgb="FFFF0000"/>
        <rFont val="Times New Roman"/>
        <family val="1"/>
      </rPr>
      <t xml:space="preserve"> - PT152 - chung bill</t>
    </r>
  </si>
  <si>
    <t>phamduymanh2022@gmail.com</t>
  </si>
  <si>
    <t>Số nhà 55, ngõ 218 Lĩnh Nam, Hoàng Mai, Hà Nội</t>
  </si>
  <si>
    <t>04/11/2024 và 10/11/2024</t>
  </si>
  <si>
    <t>https://drive.google.com/open?id=1qpnFM4Itq5V-N5Svp8goDRDRCPDAdo4L; https://drive.google.com/open?id=1uXSOucDUm_LHqJICI-im81WU1lSnsMnf; https://drive.google.com/open?id=1lyRMTfEXmV-BDEQ-q30KGiDJYcJNqeYw</t>
  </si>
  <si>
    <t xml:space="preserve"> https://www.facebook.com/profile.php?id=100081003225561&amp;mibextid=LQQJ4d</t>
  </si>
  <si>
    <r>
      <rPr>
        <sz val="12"/>
        <color theme="1"/>
        <rFont val="Times New Roman"/>
        <family val="1"/>
      </rPr>
      <t xml:space="preserve">Phạm Việt Thắng </t>
    </r>
    <r>
      <rPr>
        <sz val="12"/>
        <color rgb="FFFF0000"/>
        <rFont val="Times New Roman"/>
        <family val="1"/>
      </rPr>
      <t>- chung bill</t>
    </r>
  </si>
  <si>
    <t>pvthang0106@gmail.com</t>
  </si>
  <si>
    <t>số nhà 55, ngõ 218 Lĩnh Nam, Hoàng Mai, Hà Nội</t>
  </si>
  <si>
    <t>08/11/2024 và 10/11/2024</t>
  </si>
  <si>
    <t>https://drive.google.com/open?id=1LIpZ64L9mQ96zv8oTcaxRvb1RXiKH_wI; https://drive.google.com/open?id=16c-ZHUkUsd4M9Ao42uPOdiIG4f1tZB9F; https://drive.google.com/open?id=1uGHVysoeTYRDeqbNvH_XTfjp-WwLW4JF</t>
  </si>
  <si>
    <t>https://www.facebook.com/profile.php?id=100063584329979&amp;mibextid=LQQJ4d</t>
  </si>
  <si>
    <t xml:space="preserve">Trần Chí Chiến     </t>
  </si>
  <si>
    <t>08/11/2024 và 04/12/2024 và 25/12/2024</t>
  </si>
  <si>
    <t>https://drive.google.com/open?id=1QYBH3JZbGGDaZ82WrNr60_4299TR3ANf; https://drive.google.com/open?id=16gf9rzbmhiX9bC7fEY510dArgLbyo84o; https://drive.google.com/open?id=1WgcyDIipxlfT-LSu-xl0-HWACxFVKVk1</t>
  </si>
  <si>
    <t>https://www.facebook.com/profile.php?id=100076204042639&amp;mibextid=LQQJ4d</t>
  </si>
  <si>
    <r>
      <rPr>
        <sz val="12"/>
        <color theme="1"/>
        <rFont val="Times New Roman"/>
        <family val="1"/>
      </rPr>
      <t xml:space="preserve">Ngô Thị Thảo My </t>
    </r>
    <r>
      <rPr>
        <sz val="12"/>
        <color rgb="FFFF0000"/>
        <rFont val="Times New Roman"/>
        <family val="1"/>
      </rPr>
      <t>(hợp đồng)</t>
    </r>
  </si>
  <si>
    <t>Cl33 - l33 - 33 khu c yên nghĩa hà đông hà nội</t>
  </si>
  <si>
    <t>https://drive.google.com/open?id=1gR6O2iKinCWkPBjTWQvowFHOapQ2LB6z; https://drive.google.com/open?id=1Jnp_joKMhtpZVEi-Ek3OiWM-VvXjjErJ</t>
  </si>
  <si>
    <t>Trần Thanh An</t>
  </si>
  <si>
    <t>nhà văn hoá thôn Xuân Đoài, Phù Linh, Sóc Sơn, Hà Nội</t>
  </si>
  <si>
    <t>https://drive.google.com/open?id=1WOzc6fUhPq5zOMsIYVE394c1Cc-V92Eb; https://drive.google.com/open?id=114nmVPwccic3bHGTyDpu3AumeU6_b0Cj</t>
  </si>
  <si>
    <r>
      <rPr>
        <sz val="12"/>
        <color theme="1"/>
        <rFont val="Times New Roman"/>
        <family val="1"/>
      </rPr>
      <t>Nguyễn Anh Đức</t>
    </r>
    <r>
      <rPr>
        <sz val="12"/>
        <color rgb="FFFF0000"/>
        <rFont val="Times New Roman"/>
        <family val="1"/>
      </rPr>
      <t xml:space="preserve"> - Hợp đồng</t>
    </r>
  </si>
  <si>
    <t>https://drive.google.com/open?id=1BxTuFFwLnhAwNbmoKueN5t8XINZWV1TX; https://drive.google.com/open?id=13fXqWZpdepfTFn7KOgDMir0aLQx7iBOU</t>
  </si>
  <si>
    <t>PT153 nghỉ ngang b8 định hướng học tiếng Hàn. Hạ chat</t>
  </si>
  <si>
    <t>https://www.facebook.com/people/Thu-Hi%E1%BB%81n/pfbid033WpGSNCdJn6xg34dDXX67frk2wQ3oB9fotvzMHvoWQwFo9fhjKRRjQ3oTKAFaeP3l/</t>
  </si>
  <si>
    <t>Hồ Thị Thu Hiền</t>
  </si>
  <si>
    <t>đội 3 , thôn Tranh Đấu , xã Gia Xuyên , thành phố Hải Dương , tỉnh Hải Dương</t>
  </si>
  <si>
    <t>https://drive.google.com/open?id=1GSnekrCf3O7k-XlRYUILHpTt7RmUvSJn</t>
  </si>
  <si>
    <t>https://www.facebook.com/profile.php?id=100051866059703&amp;mibextid=ZbWKwL</t>
  </si>
  <si>
    <t>Nguyễn Thanh Hải</t>
  </si>
  <si>
    <t>https://drive.google.com/open?id=14IPOVnhUGt9TidhyVQgWIzrYYAXGFSEF; https://drive.google.com/open?id=18sOmFuQ6naaYesOZrpYn9O1kUoDgx9o1</t>
  </si>
  <si>
    <t>https://www.facebook.com/profile.php?id=100068275904676&amp;mibextid=LQQJ4d</t>
  </si>
  <si>
    <t>nhibeo1603@gmail.com</t>
  </si>
  <si>
    <t>https://drive.google.com/open?id=1iRCdsD9FM9A8YufVfA8l4QX7mkBcD3j9; https://drive.google.com/open?id=1i5A4RQgrZ26O857F5c-uMgHf7PC-3DQL</t>
  </si>
  <si>
    <t>https://web.facebook.com/ngocs.baos.7165</t>
  </si>
  <si>
    <t>Nguyễn Thị Ngọc</t>
  </si>
  <si>
    <t>50/59 Phạm Văn Đồng - Mai Dịch - Cầu Giấy- Hà Nội</t>
  </si>
  <si>
    <t>https://drive.google.com/open?id=1_tUcyEUb4l5o_5D9y13jVrYr5rM_LCe8; https://drive.google.com/open?id=1KhesSWqxokd4oyaMjP7bCjkp_Qg4zJm-</t>
  </si>
  <si>
    <t>https://www.facebook.com/profile.php?id=100079076088573</t>
  </si>
  <si>
    <t>Phan Tiến Đạt</t>
  </si>
  <si>
    <t>phantiendat7006@gmail.com</t>
  </si>
  <si>
    <t>14/11/2024 và 17/11/2024</t>
  </si>
  <si>
    <t>https://drive.google.com/open?id=1w1IIR4ICXVWWA5applgDOlXIF5RBVh25; https://drive.google.com/open?id=19WBFf08BsZ4Lb6v89K-ykCXzzXoxgAUI; https://drive.google.com/open?id=1kN8FxKoIoo2qks4RdsyQlDiIqGoWw2rl</t>
  </si>
  <si>
    <t>https://www.facebook.com/tranthao711?mibextid=LQQJ4d</t>
  </si>
  <si>
    <t>Trần Thị Phương Thảo</t>
  </si>
  <si>
    <t>thao0258147@gmail.com</t>
  </si>
  <si>
    <t xml:space="preserve"> số nhà 12 ngõ 11 đường nguyễn đăng đạo phường tiền an tp bắc ninh</t>
  </si>
  <si>
    <t>https://drive.google.com/open?id=1KCBDXgULygYCLKlXjMq2lMiXxDIeMvGd; https://drive.google.com/open?id=1aR3pHFiD-hJYEd5THX4WMZ2tHCVXVbwH</t>
  </si>
  <si>
    <t>https://www.facebook.com/profile.php?id=100042165469021</t>
  </si>
  <si>
    <r>
      <rPr>
        <sz val="12"/>
        <color theme="1"/>
        <rFont val="Times New Roman"/>
        <family val="1"/>
      </rPr>
      <t>Nguyễn Anh Thư</t>
    </r>
    <r>
      <rPr>
        <sz val="12"/>
        <color rgb="FFFF0000"/>
        <rFont val="Times New Roman"/>
        <family val="1"/>
      </rPr>
      <t xml:space="preserve"> </t>
    </r>
  </si>
  <si>
    <t>nganhthu206tb@gmail.com</t>
  </si>
  <si>
    <t xml:space="preserve"> nhà 20 ngõ 118 , đường Cầu Giấy, phường quan hoa, HN</t>
  </si>
  <si>
    <t>15/11/2024 và 26/11/2024</t>
  </si>
  <si>
    <t>https://drive.google.com/open?id=1vazGxStn38k7ztpClraZMdVZAm9pyIuK; https://drive.google.com/open?id=10icPf_mKmOqUPsSP1aXfBfOaYBvSb47E; https://drive.google.com/open?id=1tPDMQr53ufW7M7VcpFyyjk4bhu8xdbqL</t>
  </si>
  <si>
    <t>https://www.facebook.com/phngocc29?mibextid=LQQJ4d</t>
  </si>
  <si>
    <r>
      <rPr>
        <sz val="12"/>
        <color theme="1"/>
        <rFont val="Times New Roman"/>
        <family val="1"/>
      </rPr>
      <t>Phạm Ngọc</t>
    </r>
    <r>
      <rPr>
        <sz val="12"/>
        <color rgb="FFFF0000"/>
        <rFont val="Times New Roman"/>
        <family val="1"/>
      </rPr>
      <t xml:space="preserve"> - PT161</t>
    </r>
  </si>
  <si>
    <t>pngoc2903@gmail.com</t>
  </si>
  <si>
    <t>Số nhà 15, Tổ 5, Khu 11, Phường Mông Dương, TP Cẩm Phả, Quảng Ninh</t>
  </si>
  <si>
    <t>https://drive.google.com/open?id=1evrzzLzo3XMISLXlGrDebHVRhzn5yuDT</t>
  </si>
  <si>
    <t>Sách đưa tay. Hạ combo</t>
  </si>
  <si>
    <t>https://drive.google.com/open?id=15ItNn3fv0apc66f9s5bE0O-YCsrjqxjE</t>
  </si>
  <si>
    <t>https://www.facebook.com/profile.php?id=100068057000918&amp;mibextid=LQQJ4d</t>
  </si>
  <si>
    <t>Lưu Mai Hoa</t>
  </si>
  <si>
    <t>lmaihoee046@gmail.com</t>
  </si>
  <si>
    <t>ố 4 ngõ 394/16/33 Mỹ Đình 1, Nam Từ Liêm, Hà Nội</t>
  </si>
  <si>
    <t>18/11/2024 và 19/11/2024</t>
  </si>
  <si>
    <t>https://drive.google.com/open?id=1I5L14YAe7U0OIq-T4d44fHccmHuX_gSc; https://drive.google.com/open?id=1KHxiPvjGt4FLWLK6hq3-_NLlE_Wp5PuC; https://drive.google.com/open?id=1foSD4SGDnNydUlkiQGTPuSXThiP3TCWF</t>
  </si>
  <si>
    <r>
      <rPr>
        <sz val="12"/>
        <color theme="1"/>
        <rFont val="Times New Roman"/>
        <family val="1"/>
      </rPr>
      <t>Nguyễn Thị Ngân</t>
    </r>
    <r>
      <rPr>
        <sz val="12"/>
        <color rgb="FFFF0000"/>
        <rFont val="Times New Roman"/>
        <family val="1"/>
      </rPr>
      <t xml:space="preserve"> - Hạ combo</t>
    </r>
  </si>
  <si>
    <t>Số 4, Ngõ 102 Khúc Thừa Dụ, Phường Dịch Vọng, đối diện nha khoa Thái Bình Dương , gần công viên cầu giấy , Hà Nội</t>
  </si>
  <si>
    <t>21/03/2023 và 19/11/2024</t>
  </si>
  <si>
    <t>https://drive.google.com/open?id=1_bYVc4yEaUqizk7YORny-BoGrTQPNBtB, https://drive.google.com/open?id=1Zz_PUOTZl8sjpyd7S8pZcTYca4cdQy0M, https://drive.google.com/open?id=1ac2s_vLv36VQ6ZuqIBDiwiShPTLbo4EK</t>
  </si>
  <si>
    <t>https://www.facebook.com/people/Nguy%E1%BB%85n-Huy-Nam/pfbid0wdRtBAZDD9eeXSxPEegWkLmAbXN8unPhsVW9GwRT6pJtCu2knXxGkAPTNVgwGSS9l/</t>
  </si>
  <si>
    <r>
      <rPr>
        <sz val="12"/>
        <color theme="1"/>
        <rFont val="Times New Roman"/>
        <family val="1"/>
      </rPr>
      <t xml:space="preserve">Nguyễn Huy Nam </t>
    </r>
    <r>
      <rPr>
        <sz val="12"/>
        <color rgb="FFFF0000"/>
        <rFont val="Times New Roman"/>
        <family val="1"/>
      </rPr>
      <t>(hợp đồng)</t>
    </r>
  </si>
  <si>
    <t>Hồng anh</t>
  </si>
  <si>
    <t>huynam332006@gmail.com</t>
  </si>
  <si>
    <t>Tạp hoá cô Thắm , thôn 1, Xã Phù Vân, Phủ Lí , Hà Nam</t>
  </si>
  <si>
    <t>19/10/2024 và 23/11/2024</t>
  </si>
  <si>
    <t>https://drive.google.com/open?id=1nVgQRddrjy7p2OjbPBp46RBIoASptcUa; https://drive.google.com/open?id=1xhO7NlQaTn5dpldV7Um_Iu81xq52BBRt; https://drive.google.com/open?id=1fyfP_Er1sXHGta16WqaihdMougJf9QUG</t>
  </si>
  <si>
    <t>https://www.facebook.com/share/15YoqG1tYU/</t>
  </si>
  <si>
    <r>
      <rPr>
        <sz val="12"/>
        <color theme="1"/>
        <rFont val="Times New Roman"/>
        <family val="1"/>
      </rPr>
      <t>Bùi Thị Huyền Linh</t>
    </r>
    <r>
      <rPr>
        <sz val="12"/>
        <color rgb="FFFF0000"/>
        <rFont val="Times New Roman"/>
        <family val="1"/>
      </rPr>
      <t xml:space="preserve"> - hợp đồng - đã nộp 300K 13/12/24
OPT55 bảo lưu buổi 3 do về quê. Học PT156 buổi 3</t>
    </r>
  </si>
  <si>
    <t>huyenlinh47510@gmail.com</t>
  </si>
  <si>
    <t>Lai Thị- Tân Dân - An Lão-Hải Phòng</t>
  </si>
  <si>
    <t>20/11/2024 và 04/12/2024</t>
  </si>
  <si>
    <t>https://drive.google.com/open?id=1pbPVEVqFZ-H0iOZ50IT5W3MmcViDkp7P; https://drive.google.com/open?id=1vuBJ6TfUQmZAeBT5gM4avVtzeK2nsU8x</t>
  </si>
  <si>
    <t>https://www.facebook.com/profile.php?id=100022629068102&amp;mibextid=ZbWKwL</t>
  </si>
  <si>
    <r>
      <rPr>
        <sz val="12"/>
        <color theme="1"/>
        <rFont val="Times New Roman"/>
        <family val="1"/>
      </rPr>
      <t xml:space="preserve">Lại Thị Hương Giang </t>
    </r>
    <r>
      <rPr>
        <sz val="12"/>
        <color rgb="FFFF0000"/>
        <rFont val="Times New Roman"/>
        <family val="1"/>
      </rPr>
      <t>- hợp đồng - đã nộp 300K 13/12/24
OPT55 bảo lưu buổi 4 do về quê. Học PT160 b1</t>
    </r>
  </si>
  <si>
    <t>laithihuonggiang442@gmail.com</t>
  </si>
  <si>
    <t>Xóm 6- Tân Hòa - Vũ Thư - Thái Bình</t>
  </si>
  <si>
    <t>https://drive.google.com/open?id=1s5rsEO2w2-qEzlr2DBkPCx-5qSWy4Xe0; https://drive.google.com/open?id=1BGMUunMtwnLjfyX6fwb1l3AlGc7Rop8c</t>
  </si>
  <si>
    <t>https://www.facebook.com/profile.php?id=100066200371040&amp;mibextid=LQQJ4d</t>
  </si>
  <si>
    <t>Thùy Trang Meca</t>
  </si>
  <si>
    <t>lynanguyen06022006@gmail.com</t>
  </si>
  <si>
    <t>Khu Dụng Hiền, xã Phùng Nguyên, huyện Lâm Thao, tỉnh Phú Thọ</t>
  </si>
  <si>
    <t>https://drive.google.com/open?id=1e4F0AHjDz0433zlQy2Z5cswuoXohia-L; https://drive.google.com/open?id=1_Sn5oXyHTPlQu7bD5UCfrte_vMWtQpf3</t>
  </si>
  <si>
    <t>https://www.facebook.com/nt.quynh.06?mibextid=kFxxJD</t>
  </si>
  <si>
    <t>Nguyễn Thị Quỳnh</t>
  </si>
  <si>
    <t>xuanquynh111106@gmail.com</t>
  </si>
  <si>
    <t>19/11/2024 và 20/11/2024</t>
  </si>
  <si>
    <t>https://drive.google.com/open?id=1hFs9HaMhF25eRhq-LplBy2_b7cCVheIx, https://drive.google.com/open?id=1oIIJFMeYmsaBuOdzlgI1rVx7RbmCR_Pi; https://drive.google.com/open?id=1SYnVz4uO924NVS9GDjInUA_YcYADM152</t>
  </si>
  <si>
    <t>https://www.facebook.com/profile.php?id=61553308353439&amp;mibextid=LQQJ4d</t>
  </si>
  <si>
    <t>Vũ Lê Hoàng Minh</t>
  </si>
  <si>
    <t>chloewthpotato@gmail.com</t>
  </si>
  <si>
    <t>Số nhà 40 - Mai Bang -Suối Hoa - Bắc Ninh</t>
  </si>
  <si>
    <t>https://drive.google.com/open?id=1TufbJjej8LBXWOKi_1WIEb6r1zE8ogHs; https://drive.google.com/open?id=1R8cuNhtRjqPsUrs0Kxgf806r8uAPhIAR</t>
  </si>
  <si>
    <t>https://www.facebook.com/kimyen.vuthi.585?mibextid=ZbWKwL</t>
  </si>
  <si>
    <t>Vũ Thị Kim Yến</t>
  </si>
  <si>
    <t>số 21 xóm đoàn kết thôn 3b xã Canh Nậu huyện Thạch Thất, Hà Nội</t>
  </si>
  <si>
    <t>https://drive.google.com/open?id=1BPbm_aIJFbgv8c9SG7qPZUBG2wlNH2Pl; https://drive.google.com/open?id=1TRZCzYYnm86e0YX7MlDYRBUz1TPEIx2D</t>
  </si>
  <si>
    <t>https://www.facebook.com/share/19bopQeXBn/?mibextid=LQQJ4d</t>
  </si>
  <si>
    <t>Đào Xuân Hùng</t>
  </si>
  <si>
    <t>hdao62654@gmail.com</t>
  </si>
  <si>
    <t>Trọ anh Tiến ,thôn 1 ,xã Phù Vân , Phủ Lý ,Hà Nam</t>
  </si>
  <si>
    <t>23/11/2024 và 01/12/2024</t>
  </si>
  <si>
    <t>https://drive.google.com/open?id=1uBn4r_ToW4J2j2YAJnHlSdcGirpToRQu; https://drive.google.com/open?id=1KmtonY5wVugAmmXKrHRw5B30iUO_vYEJ; https://drive.google.com/open?id=121aA0inQGUTrPLN48HigYchbVZCBwsq1</t>
  </si>
  <si>
    <t>https://www.facebook.com/profile.php?id=100081040835992&amp;mibextid=ZbWKwL</t>
  </si>
  <si>
    <r>
      <rPr>
        <sz val="12"/>
        <color theme="1"/>
        <rFont val="Times New Roman"/>
        <family val="1"/>
      </rPr>
      <t xml:space="preserve">Đinh Khánh Chi - </t>
    </r>
    <r>
      <rPr>
        <sz val="12"/>
        <color rgb="FFFF0000"/>
        <rFont val="Times New Roman"/>
        <family val="1"/>
      </rPr>
      <t>Hợp đồng</t>
    </r>
  </si>
  <si>
    <t>Youngwix06@gmail.com</t>
  </si>
  <si>
    <t>DP Thanh minh, phường Quảng Vinh, tp Sầm Sơn, thanh hóa</t>
  </si>
  <si>
    <t>https://drive.google.com/open?id=1qEcRYWKOVSl6HOGzfDN4d66mU_nAJebl; https://drive.google.com/open?id=1goOmHUQOOnoDJBwkgWamMP_HppugxM9i</t>
  </si>
  <si>
    <t>https://drive.google.com/open?id=1avB8FFoA1s8yuPYSsvgLMqG4GbWpiQY9</t>
  </si>
  <si>
    <t xml:space="preserve">Lưu Hiểu Khánh </t>
  </si>
  <si>
    <t>PT178</t>
  </si>
  <si>
    <t>https://www.facebook.com/profile.php?id=100036423282838</t>
  </si>
  <si>
    <r>
      <rPr>
        <sz val="12"/>
        <color theme="1"/>
        <rFont val="Times New Roman"/>
        <family val="1"/>
      </rPr>
      <t xml:space="preserve">Đinh Ngọc Mai </t>
    </r>
    <r>
      <rPr>
        <sz val="12"/>
        <color rgb="FFFF0000"/>
        <rFont val="Times New Roman"/>
        <family val="1"/>
      </rPr>
      <t>- Chưa nộp 300K
PT156 bảo lưu b2 đi quân sự. Học PT178 b1</t>
    </r>
  </si>
  <si>
    <t>ngõ 167, Phú viên, lê hồng Phong , Phủ lý , Hà Nam</t>
  </si>
  <si>
    <t>27/11/2024 và 02/12/2024 và 04/12/2024</t>
  </si>
  <si>
    <t>https://drive.google.com/open?id=1q83jdWMrL1sl2ghDYQJ2ySd7WFj0yL7S; https://drive.google.com/open?id=1hhuIvWBi3ayC5DXX89nOx5fXhJZPiY8R; https://drive.google.com/open?id=1quAOw2MmsrmKcmZ9V3cbtMR6Y4LoV8KS</t>
  </si>
  <si>
    <t>https://drive.google.com/open?id=1xiQ1C3r-3sirHFYo9s3wKvNBHIMtiqWD; https://drive.google.com/open?id=1zOuWBhlM13yO3paip6so-PzTkAWJnVIl</t>
  </si>
  <si>
    <t>https://www.facebook.com/100031790824249/</t>
  </si>
  <si>
    <r>
      <rPr>
        <sz val="12"/>
        <color theme="1"/>
        <rFont val="Times New Roman"/>
        <family val="1"/>
      </rPr>
      <t xml:space="preserve">Đặng Hà Dung </t>
    </r>
    <r>
      <rPr>
        <sz val="12"/>
        <color rgb="FFFF0000"/>
        <rFont val="Times New Roman"/>
        <family val="1"/>
      </rPr>
      <t>- T274, T276</t>
    </r>
  </si>
  <si>
    <t>Số 14, ngõ 94, Hoàng Công Chất, Phú Diễn, Bắc Từ Liêm, Hà Nội</t>
  </si>
  <si>
    <t>27/11/2024 và 03/12/2024</t>
  </si>
  <si>
    <t>https://drive.google.com/open?id=16hw2-kEGwZ4A29vwMBWXD-EpdnoMrEWH; https://drive.google.com/open?id=1L_EDMQC7eV3kEoXGVPgvixeYKQJKyRVZ; https://drive.google.com/open?id=16gGMhWs5jZIyYbr4qnzui6t5OO8WcLDJ</t>
  </si>
  <si>
    <t>https://www.facebook.com/hylary.le</t>
  </si>
  <si>
    <r>
      <rPr>
        <sz val="12"/>
        <color theme="1"/>
        <rFont val="Times New Roman"/>
        <family val="1"/>
      </rPr>
      <t>Lê Thị Mai Lan</t>
    </r>
    <r>
      <rPr>
        <sz val="12"/>
        <color rgb="FFFF0000"/>
        <rFont val="Times New Roman"/>
        <family val="1"/>
      </rPr>
      <t xml:space="preserve"> - T274, T276</t>
    </r>
  </si>
  <si>
    <t>27/11/2024 và 04/12/2024</t>
  </si>
  <si>
    <t>https://drive.google.com/open?id=1zNOInv4nwldnmePmSTQBakNHRnzkaFiy; https://drive.google.com/open?id=1tHZRmfmljyoaQRbgyPOvzll5rmhM6ve6; https://drive.google.com/open?id=1FCAk4X2y1MlxIHz2i3yZEnz6n-fpFA8g</t>
  </si>
  <si>
    <t>https://www.facebook.com/profile.php?id=100022604864018</t>
  </si>
  <si>
    <t xml:space="preserve">Ngô Văn Hiệu </t>
  </si>
  <si>
    <t>296/25 nhà 2, 219 lĩnh nam hoàng mai, HN</t>
  </si>
  <si>
    <t>28/11/2024 và 30/11/2024</t>
  </si>
  <si>
    <t>https://drive.google.com/open?id=1zFqXUfIdEeNRGZ8uQpeToXiuNyviDtdy; https://drive.google.com/open?id=1LDvNRAB2LlDUM6VsT9kZ9K6o_lr6pjE9; https://drive.google.com/open?id=1_iM99rGCfu4zNji4nPrTu5gHPgWFjLQb</t>
  </si>
  <si>
    <t>https://www.facebook.com/profile.php?id=100094385667489&amp;mibextid=ZbWKwL</t>
  </si>
  <si>
    <t>Phạm Thuỳ Trang</t>
  </si>
  <si>
    <t>cổng phụ Đại học Công Nghiệp Hà Nội cs3 Phủ Lý Hà Nam ạ</t>
  </si>
  <si>
    <t>27/11/2024 và 04/12/24</t>
  </si>
  <si>
    <t>https://drive.google.com/open?id=1t_SQAuIIq3R_Y_pdejCoSi34QkrI_xfM; https://drive.google.com/open?id=1eAiMvsXkXrid3sex3E6nnNEqu-ofLMyE</t>
  </si>
  <si>
    <t>https://www.facebook.com/share/1BVRMcxyRm/?mibextid=LQQJ4d</t>
  </si>
  <si>
    <t>Lý Ngọc Trâm</t>
  </si>
  <si>
    <t>28/11/2024 và 04/12/2024</t>
  </si>
  <si>
    <t>https://drive.google.com/open?id=1cUlWkkz84uFcvXfPGLdHVaL-RWc0WIID; https://drive.google.com/open?id=1s3v69I7eyb2K-nTBGVBk6tc5Z1v-aAtY; https://drive.google.com/open?id=1B8BYS1Wewwx5Ue8QQEvrkIIClm6enz8E</t>
  </si>
  <si>
    <t>https://www.facebook.com/thhong102?mibextid=LQQJ4d</t>
  </si>
  <si>
    <t>Vương Thanh Hồng</t>
  </si>
  <si>
    <t>17/10/2024 và 26/11/2024</t>
  </si>
  <si>
    <t>https://drive.google.com/open?id=1fUVnxPvzPsE_wLImfYQCuIJn4gZ2ZWVi; https://drive.google.com/open?id=1ALJgagD4iP2zt1VEZ-Jd_cARhbv2ingH</t>
  </si>
  <si>
    <t>https://www.facebook.com/manhhung.2991</t>
  </si>
  <si>
    <r>
      <rPr>
        <sz val="12"/>
        <color theme="1"/>
        <rFont val="Times New Roman"/>
        <family val="1"/>
      </rPr>
      <t>Trần Mạnh Hưng</t>
    </r>
    <r>
      <rPr>
        <sz val="12"/>
        <color rgb="FFFF0000"/>
        <rFont val="Times New Roman"/>
        <family val="1"/>
      </rPr>
      <t xml:space="preserve"> - OPT56</t>
    </r>
  </si>
  <si>
    <t>28/11/2024 và 05/12/2024</t>
  </si>
  <si>
    <t>https://drive.google.com/open?id=1IQWbGoSGM1UofOGgf_zhEsjCAKtPTt_G; https://drive.google.com/open?id=1FqsvQlVDJYYsvtA5oqctxs-ypTq4H-aO</t>
  </si>
  <si>
    <t>https://www.facebook.com/share/19vA3coMRf/?mibextid=LQQJ4d</t>
  </si>
  <si>
    <r>
      <rPr>
        <sz val="12"/>
        <color theme="1"/>
        <rFont val="Times New Roman"/>
        <family val="1"/>
      </rPr>
      <t xml:space="preserve">Trần Thị Phương Ánh </t>
    </r>
    <r>
      <rPr>
        <sz val="12"/>
        <color rgb="FFFF0000"/>
        <rFont val="Times New Roman"/>
        <family val="1"/>
      </rPr>
      <t>- Ánh Ngọc</t>
    </r>
  </si>
  <si>
    <t>panh41925@gmail.com</t>
  </si>
  <si>
    <t>ngõ 171 cầu đông, phường lộc vượng, nam định</t>
  </si>
  <si>
    <t>https://drive.google.com/open?id=1N00AVI432ov6FT4k-4RB29d2Vmu_ZT5e</t>
  </si>
  <si>
    <t>https://www.facebook.com/share/1DmgryWw7i/?mibextid=LQQJ4d</t>
  </si>
  <si>
    <t>Lại Thị Thúy Hà</t>
  </si>
  <si>
    <t>laih3340@gmail.com</t>
  </si>
  <si>
    <t>Số nhà 42A, Ngõ 208, Phường Trần Tế Xương, Đường Thái Bình,Tp Nam Định,Tỉnh Nam Định</t>
  </si>
  <si>
    <t>https://drive.google.com/open?id=1a7lY_J7BZAlqxOdRQWpYzDkNioAmClTO</t>
  </si>
  <si>
    <t>https://www.facebook.com/share/18Hvaw9sLe/?mibextid=LQQJ4d</t>
  </si>
  <si>
    <t xml:space="preserve">Vũ Thế Quân </t>
  </si>
  <si>
    <t>vuthequan816@gmail.com</t>
  </si>
  <si>
    <t>26/11/2024 và 06/12/2024</t>
  </si>
  <si>
    <t>https://drive.google.com/open?id=1NzxS4eRSsi0BAp5J-5dNGbs1nqu_X3UH; https://drive.google.com/open?id=1Ym8clXKbuzFDJNGOvgOJiJrOP6JcV51e</t>
  </si>
  <si>
    <t>https://www.facebook.com/share/1MvYkLWxpm/?mibextid=LQQJ4d</t>
  </si>
  <si>
    <t>Hoàng Thị Hồng</t>
  </si>
  <si>
    <t>hoangthihong.hb1234@gmail.com</t>
  </si>
  <si>
    <t>29/11/2024 và 05/12/2024</t>
  </si>
  <si>
    <t>https://drive.google.com/open?id=1rWDXgmDjnPli12ChJS-oTUkuodeWl1nD; https://drive.google.com/open?id=12bIDijp-eWQnaob_OD-8bIypnoCJHNQy</t>
  </si>
  <si>
    <t>https://www.facebook.com/profile.php?id=100067840624649</t>
  </si>
  <si>
    <t>Trần Thị Ngọc Linh</t>
  </si>
  <si>
    <t>tranthingoclinh91226@gmail.com</t>
  </si>
  <si>
    <t>https://drive.google.com/open?id=12MadUd2JDJGZdB31rKD8BHqY0pX8u46l; https://drive.google.com/open?id=1kR9gtY7Al4XJheye4DyHqZY551fvr8j2</t>
  </si>
  <si>
    <t>https://www.facebook.com/share/15h9QPMYEQ/?mibextid=LQQJ4d</t>
  </si>
  <si>
    <t>Nguyễn Văn Thọ</t>
  </si>
  <si>
    <t>x2bopvjp2k@gmail.com</t>
  </si>
  <si>
    <t>29/11/2024 và 06/12/2024</t>
  </si>
  <si>
    <t>https://drive.google.com/open?id=1hux2sNfVHPEK8CkikIVuuJcBPb10QURP; https://drive.google.com/open?id=1y1QNiVZHw6Og24AJiSC6qzz7QjvdjLVE</t>
  </si>
  <si>
    <t>https://www.facebook.com/share/15HJHo6bx1/?mibextid=LQQJ4d</t>
  </si>
  <si>
    <t>Đỗ Thị Ngọc</t>
  </si>
  <si>
    <t>ngocdo06022006@gmail.com</t>
  </si>
  <si>
    <t>https://drive.google.com/open?id=1dlZmj8DMZ5SNGIQbGBumIH5xHPrMmF4G; https://drive.google.com/open?id=1fkpPTuLIlikTQHh9K6VK2zCicTQ5JhY7</t>
  </si>
  <si>
    <t>https://www.facebook.com/profile.php?id=100069951427624</t>
  </si>
  <si>
    <t>Đoàn Văn Đạt</t>
  </si>
  <si>
    <t>https://drive.google.com/open?id=1LCsWjz8w7cifn-5bEbhJnjg47R20sibA; https://drive.google.com/open?id=1oq6NDHE9PkbW0TxpjvpyanHpWNnI01pd</t>
  </si>
  <si>
    <t>https://www.facebook.com/longnhi.thach.1</t>
  </si>
  <si>
    <t xml:space="preserve">Thạch Long Nhí </t>
  </si>
  <si>
    <t>55/31 Thành Mỹ, Phường 8, Tân Bình, HCM</t>
  </si>
  <si>
    <t>https://drive.google.com/open?id=1AS-tVLAiPlbf9PZ3pGRq6XIh1J5fieM_</t>
  </si>
  <si>
    <t>https://www.facebook.com/profile.php?id=100040769432910</t>
  </si>
  <si>
    <t xml:space="preserve">Trần Ngọc Minh Đoan </t>
  </si>
  <si>
    <t>doantran.19012006@gmail.com</t>
  </si>
  <si>
    <t>23/8 Đặng Thuỳ Trâm, quận Bình Thạnh,tp HCM</t>
  </si>
  <si>
    <t>30/11/2024 và 01/12/2024</t>
  </si>
  <si>
    <t>https://drive.google.com/open?id=1SLtaQwIeSeqcXWUa_jXEXVK5pj1gXSLw; https://drive.google.com/open?id=158Ts5HzKSP7PRX8rb-MycVJJev7fJe4C</t>
  </si>
  <si>
    <t>https://www.facebook.com/huuquan.le.167</t>
  </si>
  <si>
    <t xml:space="preserve"> Lê Hữu Quân </t>
  </si>
  <si>
    <t>nhà văn hoá tổ dân phố 6 phùng khoang Trung Văn Nam từ Liêm Hà Nội</t>
  </si>
  <si>
    <t>30/11/2024 và 02/12/24</t>
  </si>
  <si>
    <t>https://drive.google.com/open?id=1YnzZizsUUs0o5ekjaT7PW5Ogpq7pOyNf</t>
  </si>
  <si>
    <t>https://www.facebook.com/profile.php?id=100044011598387</t>
  </si>
  <si>
    <t xml:space="preserve"> lea.hyn.04@gmail.com</t>
  </si>
  <si>
    <t>Ấp4,xã La Ngà,huyện Định Quán,tỉnh Đồng Nai</t>
  </si>
  <si>
    <t>https://drive.google.com/open?id=1_egk-kJxBSU0S5gvWahow3aGfxMWKDC2</t>
  </si>
  <si>
    <t>https://www.facebook.com/dpn1408</t>
  </si>
  <si>
    <t>Đào Phương Nam</t>
  </si>
  <si>
    <t>daophuongnam14082006@gmail.com</t>
  </si>
  <si>
    <t>Mạch Tràng-Cổ Loa- Đông Anh- Hà Nội</t>
  </si>
  <si>
    <t>https://drive.google.com/open?id=1JieaX3yxKR-PZ-aJz3rbhxc8NFcbisGB</t>
  </si>
  <si>
    <t>https://www.facebook.com/profile.php?id=100071722101506</t>
  </si>
  <si>
    <t>Nguyễn Phan Quỳnh Như</t>
  </si>
  <si>
    <t xml:space="preserve">  NHU.NPQ01537@sinhvien.hoasen.edu.vn</t>
  </si>
  <si>
    <t>27 đường 4b phường phú hữu quận 9 tphcm</t>
  </si>
  <si>
    <t>https://drive.google.com/open?id=131sA2G_swpwuQBrzNOOPA6IjW71MNOMN</t>
  </si>
  <si>
    <t>https://www.facebook.com/share/14UV1vfpMX/?mibextid=LQQJ4d</t>
  </si>
  <si>
    <t>Đỗ Hoàng Yến</t>
  </si>
  <si>
    <t>hyenk6@gmail.com</t>
  </si>
  <si>
    <t>https://drive.google.com/open?id=1lELRO0Pf-p3iGFRFodHwXlhFJGSLJrpT; https://drive.google.com/open?id=14rHTfBmB9yyjC96Di83b9nZwvThX3StU</t>
  </si>
  <si>
    <t>https://www.facebook.com/share/PtYVebPFsCjACtdi/?mibextid=LQQJ4d</t>
  </si>
  <si>
    <t>Hà Quang Hiếu</t>
  </si>
  <si>
    <t>hbb6032006@gmail.com</t>
  </si>
  <si>
    <t>https://drive.google.com/open?id=1c4fheJHUJZ6rNmAQUCURAEl-FQP9KTdY</t>
  </si>
  <si>
    <t>Nhài đưa sách chô My</t>
  </si>
  <si>
    <t>https://www.facebook.com/share/15h8UhuvVm/?mibextid=LQQJ4d</t>
  </si>
  <si>
    <t>Thân Ngọc Khánh Ly</t>
  </si>
  <si>
    <t>02/12/2024 và 06/12/2024</t>
  </si>
  <si>
    <t>https://drive.google.com/open?id=1XabbEAK_4WTPI81OZyobLg-Oy4BNR4Zt</t>
  </si>
  <si>
    <t>https://www.facebook.com/anna.886688</t>
  </si>
  <si>
    <t>Trịnh Nguyễn Thoa Trinh</t>
  </si>
  <si>
    <t>Chung cư vinhomes Westpoint toà W2, đường phạm hùng, mễ trì hn</t>
  </si>
  <si>
    <t>https://drive.google.com/open?id=1I06OJXKPCRYfrKDO3CgDoVmEC3DZyLzJ</t>
  </si>
  <si>
    <t>https://www.facebook.com/profile.php?id=100071400645920</t>
  </si>
  <si>
    <r>
      <rPr>
        <sz val="12"/>
        <color theme="1"/>
        <rFont val="Times New Roman"/>
        <family val="1"/>
      </rPr>
      <t xml:space="preserve">Nguyễn Thùy Dương </t>
    </r>
    <r>
      <rPr>
        <sz val="12"/>
        <color rgb="FFFF0000"/>
        <rFont val="Times New Roman"/>
        <family val="1"/>
      </rPr>
      <t>- Hạ combo</t>
    </r>
  </si>
  <si>
    <t>Nguyễn Ánh Meca</t>
  </si>
  <si>
    <t>Nguyễn Thị Ánh</t>
  </si>
  <si>
    <t>nguyenthuyduong250906@gmail.com</t>
  </si>
  <si>
    <t>02/12/2024 và 08/12/2024</t>
  </si>
  <si>
    <t>https://drive.google.com/open?id=1uYczW7E1zY0TjzNdCvN_I_y4MkETVwJ9; https://drive.google.com/open?id=1xArT-966lZE4wa4QD2hN9wrU4P9GqH4W</t>
  </si>
  <si>
    <t>https://www.facebook.com/thienky.doan.169</t>
  </si>
  <si>
    <r>
      <rPr>
        <sz val="12"/>
        <color theme="1"/>
        <rFont val="Times New Roman"/>
        <family val="1"/>
      </rPr>
      <t xml:space="preserve">Hoàng Phương Thúy </t>
    </r>
    <r>
      <rPr>
        <sz val="12"/>
        <color rgb="FFFF0000"/>
        <rFont val="Times New Roman"/>
        <family val="1"/>
      </rPr>
      <t>- hợp đồng</t>
    </r>
  </si>
  <si>
    <t>phuongthuy21092006@gmail.com</t>
  </si>
  <si>
    <t xml:space="preserve">khu chợ Lâm Thượng xã Lâm Thượng Huyện Lục Yên Tỉnh yên bái </t>
  </si>
  <si>
    <t>https://drive.google.com/open?id=12FtVjViM7TJkOW3EcqXfWgJjUMo-oyu2; https://drive.google.com/open?id=1cvBNz8WtyNwsKVA1JyYuT4Ae3958RIZL</t>
  </si>
  <si>
    <t>https://www.facebook.com/profile.php?id=100031708566448</t>
  </si>
  <si>
    <t xml:space="preserve">Đỗ Thị Ngọc Linh </t>
  </si>
  <si>
    <t xml:space="preserve"> ngoclynhhh@gmail.com</t>
  </si>
  <si>
    <t>Số nhà 2, 110/40 Nam Dư, Lĩnh Nam, Hoàng Mai, Hà Nội</t>
  </si>
  <si>
    <t>https://drive.google.com/open?id=1AJREJ1caLhpwCH3w-avAjMPUb2kym_Ts</t>
  </si>
  <si>
    <t>https://www.facebook.com/Tuyennguyennt2102</t>
  </si>
  <si>
    <t xml:space="preserve">Nguyễn Thị Tuyến </t>
  </si>
  <si>
    <t>MAT</t>
  </si>
  <si>
    <t xml:space="preserve"> số 18, ngõ 54, nguyễn thị định, trung hoà, cầu gi</t>
  </si>
  <si>
    <t>https://drive.google.com/open?id=1dzvQjhvFmC5UrJUs9l-w-0DLa-H8y_2m</t>
  </si>
  <si>
    <t>https://www.facebook.com/people/B%C3%B9i-Ho%C3%A0ng-C%C6%B0%C6%A1ng/pfbid0icgnszjgCbRifhgRS6DuwMd9YqUstV8HmY1Snh4yUof56Z5HaGAcrRYhYrNMkQqxl/</t>
  </si>
  <si>
    <t>Bùi Hoàng Cương</t>
  </si>
  <si>
    <t>03/12/2024 và 12/12/2024</t>
  </si>
  <si>
    <t>https://drive.google.com/open?id=1fAPG_8ey-ZlcoKr-yNT33XRulNw-GgGZ; https://drive.google.com/open?id=1IyFt1WJt2Euu754Z-x4s4_Q0wR7H1ywE</t>
  </si>
  <si>
    <t>https://www.facebook.com/share/1JaMEjbhVd/?mibextid=LQQJ4d</t>
  </si>
  <si>
    <t>Đặng Anh Đức</t>
  </si>
  <si>
    <t>Danganhduc0203@gmail.com</t>
  </si>
  <si>
    <t>https://drive.google.com/open?id=1fla8fM-pIcJzf-F8uB-wytHE_ltGaRjG; https://drive.google.com/open?id=1u33J3WXvUEtI187UaOR1-traZ3r4x7Mb</t>
  </si>
  <si>
    <t>https://www.facebook.com/coutinho.phillipes.3?mibextid=LQQJ4d&amp;rdid=esLGHdsb2ogug2Ne&amp;share_url=https%3A%2F%2Fwww.facebook.com%2Fshare%2Fp5QaqUmMyHyCMEa5%2F%3Fmibextid%3DLQQJ4d#</t>
  </si>
  <si>
    <r>
      <rPr>
        <sz val="12"/>
        <color theme="1"/>
        <rFont val="Times New Roman"/>
        <family val="1"/>
      </rPr>
      <t>Vương Đức Hoàng Anh</t>
    </r>
    <r>
      <rPr>
        <sz val="12"/>
        <color rgb="FFFF0000"/>
        <rFont val="Times New Roman"/>
        <family val="1"/>
      </rPr>
      <t xml:space="preserve"> - hợp đồng- Vàng Pazzie</t>
    </r>
  </si>
  <si>
    <t>Xóm 3-  Thôn Quý Dương- Xã Tân Trường - Huyện Cẩm Giàng- Tỉnh Hải Dương</t>
  </si>
  <si>
    <t>https://drive.google.com/open?id=1ympkHWYpo_OCPgBWi5Agzbj4Z96ijBqI; https://drive.google.com/open?id=18DRcJNhAcfG7x6PrPIYcjHlahcz_iId2</t>
  </si>
  <si>
    <t>https://www.facebook.com/profile.php?id=100069960662403&amp;mibextid=LQQJ4d&amp;rdid=qT5G1dJDRHnWDt9y&amp;share_url=https%3A%2F%2Fwww.facebook.com%2Fshare%2FkroBCtVM2kVg4r5d%2F%3Fmibextid%3DLQQJ4d#</t>
  </si>
  <si>
    <r>
      <rPr>
        <sz val="12"/>
        <color theme="1"/>
        <rFont val="Times New Roman"/>
        <family val="1"/>
      </rPr>
      <t xml:space="preserve">Trần Thị Linh </t>
    </r>
    <r>
      <rPr>
        <sz val="12"/>
        <color rgb="FFFF0000"/>
        <rFont val="Times New Roman"/>
        <family val="1"/>
      </rPr>
      <t>- hợp đồng</t>
    </r>
  </si>
  <si>
    <t>trọ bà Hoà, tổ 8, khu đô thị 2 pha, phường Lê Hồng Phong, TP Phủ Lý, Hà Nam</t>
  </si>
  <si>
    <t>03/12/2024 và 06/12/2024</t>
  </si>
  <si>
    <t>https://drive.google.com/open?id=1USSC3rXtuzPaVFn9N-ySYhI2eo8yz0Os; https://drive.google.com/open?id=1odTt13pTvRDacybGZfD14waG-QHVZ55y; https://drive.google.com/open?id=1sDep_Kxm5vA2tF0itTCUTrYQgn76dcMx</t>
  </si>
  <si>
    <r>
      <rPr>
        <sz val="12"/>
        <color theme="1"/>
        <rFont val="Times New Roman"/>
        <family val="1"/>
      </rPr>
      <t>Nguyễn Đắc Tuấn Minh</t>
    </r>
    <r>
      <rPr>
        <sz val="12"/>
        <color rgb="FFFF0000"/>
        <rFont val="Times New Roman"/>
        <family val="1"/>
      </rPr>
      <t xml:space="preserve"> - hợp đồng</t>
    </r>
  </si>
  <si>
    <t>Dãy A4, Ngõ 6 Đường Ngô Quyền, Phường Quang Trung, Quận Hà Đông, Hà Nội</t>
  </si>
  <si>
    <t>https://drive.google.com/open?id=1Lux1vIwiOASG2qatXVbDLnilf82N7v2d</t>
  </si>
  <si>
    <t>https://www.facebook.com/profile.php?id=100074776731780&amp;mibextid=ZbWKwL</t>
  </si>
  <si>
    <t>Phạm Thanh</t>
  </si>
  <si>
    <t>Thanh phamthanh221006@gmail.com</t>
  </si>
  <si>
    <t>Đại học công nghiệp Hà Nội cơ sở 3, Phủ lý, Hà Nam</t>
  </si>
  <si>
    <t>04/12/2024 và 09/12/2024</t>
  </si>
  <si>
    <t>https://drive.google.com/open?id=1gEj47VnKphFJijVDg5mqy-_iaLlbQnYC; https://drive.google.com/open?id=1o9TDiO8hF5AikU7XdTl4h68LvEHwjjLo</t>
  </si>
  <si>
    <t>https://www.facebook.com/minhhien13082003</t>
  </si>
  <si>
    <t xml:space="preserve">Trần Minh Hiền  </t>
  </si>
  <si>
    <t xml:space="preserve">Duong </t>
  </si>
  <si>
    <t>hienminhtran2003@gmail.com</t>
  </si>
  <si>
    <t>https://drive.google.com/open?id=1DPWZKL0Q9HVV06d7obiWYygr2_p8R8rh; https://drive.google.com/open?id=1Yk6zFBVGOABj3nu3Q6-E1QkkXjElG6i-</t>
  </si>
  <si>
    <t>https://www.facebook.com/profile.php?id=100054337882283</t>
  </si>
  <si>
    <r>
      <rPr>
        <sz val="12"/>
        <color theme="1"/>
        <rFont val="Times New Roman"/>
        <family val="1"/>
      </rPr>
      <t xml:space="preserve">Đoàn Thanh Thảo </t>
    </r>
    <r>
      <rPr>
        <sz val="12"/>
        <color rgb="FFFF0000"/>
        <rFont val="Times New Roman"/>
        <family val="1"/>
      </rPr>
      <t>- Bông Bông</t>
    </r>
  </si>
  <si>
    <t xml:space="preserve">MAI </t>
  </si>
  <si>
    <t xml:space="preserve">Bongtran772@gmail.com </t>
  </si>
  <si>
    <t>818 phúc diễn tây mỗ quận nam từ liêm hn</t>
  </si>
  <si>
    <t>https://drive.google.com/open?id=16ZUPqw7iKmFWm2jjCzDEt2yedCcl4Q5v</t>
  </si>
  <si>
    <t>PT159</t>
  </si>
  <si>
    <t>https://www.facebook.com/profile.php?id=100063554557165</t>
  </si>
  <si>
    <r>
      <rPr>
        <sz val="12"/>
        <color theme="1"/>
        <rFont val="Times New Roman"/>
        <family val="1"/>
      </rPr>
      <t xml:space="preserve">Ly Thị Hoa </t>
    </r>
    <r>
      <rPr>
        <sz val="12"/>
        <color rgb="FFFF0000"/>
        <rFont val="Times New Roman"/>
        <family val="1"/>
      </rPr>
      <t>- hợp đồng</t>
    </r>
  </si>
  <si>
    <t>lythihoa26122006@gmail.com</t>
  </si>
  <si>
    <t>Nhà số 7, ngõ 174, đường Hàn Thuyên, Tân Dân, Việt trì</t>
  </si>
  <si>
    <t>https://drive.google.com/open?id=1E8sEkdCtOKVXHMIYEyJ5vx9PSgd9rsIB</t>
  </si>
  <si>
    <t>https://www.facebook.com/profile.php?id=100014125962341&amp;mibextid=ZbWKwL</t>
  </si>
  <si>
    <r>
      <rPr>
        <sz val="12"/>
        <color theme="1"/>
        <rFont val="Times New Roman"/>
        <family val="1"/>
      </rPr>
      <t xml:space="preserve">Lê Tiến Dũng </t>
    </r>
    <r>
      <rPr>
        <sz val="12"/>
        <color rgb="FFFF0000"/>
        <rFont val="Times New Roman"/>
        <family val="1"/>
      </rPr>
      <t>- hợp đồng 0945.915.152 số mẹ nhận sách</t>
    </r>
  </si>
  <si>
    <t>Số nhà 56, Đường Hòa Bình, phường Nguyễn Thái Học, thành phố Yên Bái, tỉnh Yên Bái</t>
  </si>
  <si>
    <t>04/12/2024 và 10/12/2024</t>
  </si>
  <si>
    <t>https://drive.google.com/open?id=1EhmAv-Tfl2KzEyk6kGKvgpnFvYoSCX6L; https://drive.google.com/open?id=1glUsy2d8j7OXTOxJYb0lnqT-gB8Lp1H6</t>
  </si>
  <si>
    <t>T290</t>
  </si>
  <si>
    <t>https://www.facebook.com/wainan2736?mibextid=ZbWKwL</t>
  </si>
  <si>
    <t xml:space="preserve"> hamailan270306@gmail.com  </t>
  </si>
  <si>
    <t xml:space="preserve">số nhà 11, Quỳnh Lân 2, xã Vĩnh Quỳnh, huyện Thanh Trì, Hà Nội </t>
  </si>
  <si>
    <t>https://drive.google.com/open?id=14O6_oKdet9odYZyJDXZxPBoSI-1gz7sp</t>
  </si>
  <si>
    <t>https://www.facebook.com/profile.php?id=100052134877722</t>
  </si>
  <si>
    <t>Nghiêm Quang Phước</t>
  </si>
  <si>
    <t>ngiemquangphuoc22082005@gmail.com</t>
  </si>
  <si>
    <t>Tỉnh Bắc Ninh Huyện Yên Phong Xã Trung Nghĩa Thôn Ngô Nội</t>
  </si>
  <si>
    <t>https://drive.google.com/open?id=1ivD8HPSEd8M5H_15AWHyMMe7Wvw0VFpf</t>
  </si>
  <si>
    <t>https://www.facebook.com/share/1KhSwFfxCH/?mibextid=LQQJ4d</t>
  </si>
  <si>
    <t>Lê Thị Phương Ly</t>
  </si>
  <si>
    <t>Lep18426@mail.com</t>
  </si>
  <si>
    <t>Số nhà 114, Ngõ 230, đường Ỷ La, Dương Nội, Hà Đông, Hà Nội</t>
  </si>
  <si>
    <t>https://drive.google.com/open?id=12jefHEr8jVujfInHKVkhaDaoysJLNDzF</t>
  </si>
  <si>
    <t>T368</t>
  </si>
  <si>
    <r>
      <rPr>
        <sz val="12"/>
        <color theme="1"/>
        <rFont val="Times New Roman"/>
        <family val="1"/>
      </rPr>
      <t xml:space="preserve">Hoàng Thu Hằng </t>
    </r>
    <r>
      <rPr>
        <sz val="12"/>
        <color rgb="FFFF0000"/>
        <rFont val="Times New Roman"/>
        <family val="1"/>
      </rPr>
      <t>- Đã nộp 300K 02/10/2025</t>
    </r>
    <r>
      <rPr>
        <sz val="12"/>
        <color theme="1"/>
        <rFont val="Times New Roman"/>
        <family val="1"/>
      </rPr>
      <t xml:space="preserve">
</t>
    </r>
    <r>
      <rPr>
        <sz val="12"/>
        <color rgb="FFFF0000"/>
        <rFont val="Times New Roman"/>
        <family val="1"/>
      </rPr>
      <t>T292 bảo lưu b2. Học T368 b1</t>
    </r>
  </si>
  <si>
    <t xml:space="preserve"> hoangthuhang1226@gmail.com	</t>
  </si>
  <si>
    <t>Chung cư the matrix one toà The Ruby, 2Q5F+FPV, Đ.Lê Quang Đạo, Mễ Trì, Nam Từ Liêm, Hà Nội</t>
  </si>
  <si>
    <t>https://drive.google.com/open?id=1kva_mgcl48RLX2SaYsSxAd-y1LXw38LT</t>
  </si>
  <si>
    <t>N</t>
  </si>
  <si>
    <t>https://www.facebook.com/profile.php?id=100088797990821&amp;mibextid=ZbWKwL</t>
  </si>
  <si>
    <t>Nguyễn Ngọc Huy</t>
  </si>
  <si>
    <t>nguyenngochuy08032006@gmail.com</t>
  </si>
  <si>
    <t>Ngõ 60 tây tựu bắc từ liêm hà nội</t>
  </si>
  <si>
    <t>07/12/2024 và 11/12/2024</t>
  </si>
  <si>
    <t>https://drive.google.com/open?id=1SdKTWG3RKj6CQPFHwzG3XPko2ZlzYNCa; https://drive.google.com/open?id=1SgGtR32hscB9lVFQSEAAbSct7jp1YsKj; https://drive.google.com/open?id=1SgGtR32hscB9lVFQSEAAbSct7jp1YsKj</t>
  </si>
  <si>
    <t>https://www.facebook.com/people/Ng%C3%A2n-H%C3%A0/pfbid023DU4GbV9WeEbyuLSKfc7et6xXgtyqm1CCnM7EnhGTffC2m4YSTA8LDh7e1BrLbK5l/</t>
  </si>
  <si>
    <t xml:space="preserve">Vũ Ngân Hà </t>
  </si>
  <si>
    <t>nganha2203206@gmail.com</t>
  </si>
  <si>
    <t>https://drive.google.com/open?id=1xktobCAshKSmQlHZhpcDFjK8LQHIi-cc; https://drive.google.com/open?id=1sPA62Tj1vzDkLnuHIp0HL_Y6ChMASnkv</t>
  </si>
  <si>
    <t>https://www.facebook.com/syoraa?mibextid=LQQJ4d&amp;rdid=ftB3rWb68KCYJf1Q&amp;share_url=https%3A%2F%2Fwww.facebook.com%2Fshare%2F1A3qqwCtkQ%2F%3Fmibextid%3DLQQJ4d</t>
  </si>
  <si>
    <r>
      <rPr>
        <sz val="12"/>
        <color theme="1"/>
        <rFont val="Times New Roman"/>
        <family val="1"/>
      </rPr>
      <t xml:space="preserve">Phạm Thị Khánh Huyền </t>
    </r>
    <r>
      <rPr>
        <sz val="12"/>
        <color rgb="FFFF0000"/>
        <rFont val="Times New Roman"/>
        <family val="1"/>
      </rPr>
      <t>- Fish Fish</t>
    </r>
  </si>
  <si>
    <t>Số 16 Ngách 90/1, Hoa Bằng, Yên Hoà, Cầu Giấy, Hà Nội</t>
  </si>
  <si>
    <t>https://drive.google.com/open?id=1hlkTMIEFSjEdjATTf5k_zwdVQ4r2cBcw</t>
  </si>
  <si>
    <t>OPT58</t>
  </si>
  <si>
    <t>https://www.facebook.com/profile.php?id=100064479799125&amp;mibextid=LQQJ4d&amp;mibextid=LQQJ4d</t>
  </si>
  <si>
    <r>
      <rPr>
        <sz val="12"/>
        <color theme="1"/>
        <rFont val="Times New Roman"/>
        <family val="1"/>
      </rPr>
      <t>Đàm Văn Hiệu</t>
    </r>
    <r>
      <rPr>
        <sz val="12"/>
        <color rgb="FFFF0000"/>
        <rFont val="Times New Roman"/>
        <family val="1"/>
      </rPr>
      <t xml:space="preserve"> - hợp đồng</t>
    </r>
  </si>
  <si>
    <t>damhieu220826dzz@gmail.com</t>
  </si>
  <si>
    <t>10/12/2024 và 19/12/2024</t>
  </si>
  <si>
    <t>https://drive.google.com/open?id=1jq6MJ7__lLHhluSJ6flQ8uM1rL-oHyzl; https://drive.google.com/open?id=1q4jVYRC8E1HBbQadAaqbdeCPynQ3sw7W</t>
  </si>
  <si>
    <t>https://www.facebook.com/share/15MYpRdZ6r/?mibextid=LQQJ4d</t>
  </si>
  <si>
    <t>Vũ Anh Quân</t>
  </si>
  <si>
    <t>anhquan23072006@gmail.com</t>
  </si>
  <si>
    <t>Đại học Đại Nam, 1 P. Xốm, Phú Lâm, Hà Đông, Hà Nội</t>
  </si>
  <si>
    <t>https://drive.google.com/open?id=1Y-pbitCmzM1PkV4CuM0NRAzrrX2aEJ_5</t>
  </si>
  <si>
    <t>https://www.facebook.com/share/18GwbE7ZNv/?mibextid=LQQJ4d</t>
  </si>
  <si>
    <r>
      <rPr>
        <sz val="12"/>
        <color theme="1"/>
        <rFont val="Times New Roman"/>
        <family val="1"/>
      </rPr>
      <t xml:space="preserve">Đặng Thành Lộc - </t>
    </r>
    <r>
      <rPr>
        <sz val="12"/>
        <color rgb="FFFF0000"/>
        <rFont val="Times New Roman"/>
        <family val="1"/>
      </rPr>
      <t>Hợp đồng</t>
    </r>
  </si>
  <si>
    <t>Techcombank kiến hưng ,154 phố hoàng công , khu đô thị mậu lương ,kiến hưng ,hà đông ,hà nội ,việt nam</t>
  </si>
  <si>
    <t>09/12/2024 và 16/12/2024</t>
  </si>
  <si>
    <t>https://drive.google.com/open?id=1h9UVN-dGFIeL8mrsvQLYXg9sZYpc7hWJ; https://drive.google.com/open?id=1jZEl2g9jq8Bd-x4NDXdjgVqY2erOOEX2</t>
  </si>
  <si>
    <t>https://www.facebook.com/tran.thien.thien.100618</t>
  </si>
  <si>
    <t>Trần Thị Thiên Thiên</t>
  </si>
  <si>
    <t>số nhà 86 (phố Nguôi), ngõ 7, phố Lê Hiến, Hội Hợp, Vĩnh Yên, Vĩnh Phúc</t>
  </si>
  <si>
    <t>https://drive.google.com/open?id=1BLd5l3Q9WT3F2YuBIvdXbA4tLfxOGjWW</t>
  </si>
  <si>
    <r>
      <rPr>
        <sz val="12"/>
        <color theme="1"/>
        <rFont val="Times New Roman"/>
        <family val="1"/>
      </rPr>
      <t xml:space="preserve">Lê Đỗ Minh Tuấn </t>
    </r>
    <r>
      <rPr>
        <sz val="12"/>
        <color rgb="FFFF0000"/>
        <rFont val="Times New Roman"/>
        <family val="1"/>
      </rPr>
      <t>- OVIP16</t>
    </r>
  </si>
  <si>
    <t>https://drive.google.com/open?id=1pZZiH-I-vFmbfqmLpZRcXETlnHvwr57-</t>
  </si>
  <si>
    <t>đã pass OT</t>
  </si>
  <si>
    <t>https://www.facebook.com/hoai.laithithu.12</t>
  </si>
  <si>
    <t xml:space="preserve">Lại Thị Thu Hoài </t>
  </si>
  <si>
    <t>https://drive.google.com/open?id=1cnjeqebnF9pCaoXR5WrVjSEs9h7fuh9L</t>
  </si>
  <si>
    <t>Quỳnh - Nhài sale</t>
  </si>
  <si>
    <t>https://drive.google.com/open?id=1tWYfWNX4ZVlnT6bkGKa5EXO7TfFDKqYi</t>
  </si>
  <si>
    <t>https://www.facebook.com/profile.php?id=100023270074212</t>
  </si>
  <si>
    <t xml:space="preserve">Hiền </t>
  </si>
  <si>
    <t>Tại văn Phòng</t>
  </si>
  <si>
    <t>https://drive.google.com/open?id=1loZliT-NXlZdppI6pRjNxy2_IFuh08FK</t>
  </si>
  <si>
    <r>
      <rPr>
        <sz val="12"/>
        <color theme="1"/>
        <rFont val="Times New Roman"/>
        <family val="1"/>
      </rPr>
      <t>Nguyễn Thu Phương</t>
    </r>
    <r>
      <rPr>
        <sz val="12"/>
        <color rgb="FFFF0000"/>
        <rFont val="Times New Roman"/>
        <family val="1"/>
      </rPr>
      <t xml:space="preserve"> </t>
    </r>
  </si>
  <si>
    <t>https://drive.google.com/open?id=1jyQoh4ay5Twz5UUa7wO-HcB20WVXpREU</t>
  </si>
  <si>
    <r>
      <rPr>
        <sz val="12"/>
        <color theme="1"/>
        <rFont val="Times New Roman"/>
        <family val="1"/>
      </rPr>
      <t xml:space="preserve">Đào Khánh Hòa </t>
    </r>
    <r>
      <rPr>
        <sz val="12"/>
        <color rgb="FFFF0000"/>
        <rFont val="Times New Roman"/>
        <family val="1"/>
      </rPr>
      <t>- hợp đồng</t>
    </r>
  </si>
  <si>
    <t>Số nhà 114, Ngõ 230 đường Ỷ La, Dương Nội, Hà Đông, Hà Nội</t>
  </si>
  <si>
    <t>https://drive.google.com/open?id=17hfo7rVWXqLgp7stEoqC1LYG9X5brDA6</t>
  </si>
  <si>
    <t>https://www.facebook.com/share/1NgtpJXnQf/?mibextid=LQQJ4d</t>
  </si>
  <si>
    <r>
      <rPr>
        <sz val="12"/>
        <color theme="1"/>
        <rFont val="Times New Roman"/>
        <family val="1"/>
      </rPr>
      <t xml:space="preserve">Đào Thị Hà </t>
    </r>
    <r>
      <rPr>
        <sz val="12"/>
        <color rgb="FFFF0000"/>
        <rFont val="Times New Roman"/>
        <family val="1"/>
      </rPr>
      <t>- hợp đồng</t>
    </r>
  </si>
  <si>
    <t>daohathi286@gmail.com</t>
  </si>
  <si>
    <t xml:space="preserve"> Ngõ 207/65/10/3 Số nhà 23 Xuân Đỉnh, Bắc Từ Liêm, Hà Nội </t>
  </si>
  <si>
    <t>https://drive.google.com/open?id=1_69bvUsZdgmRUZwa31YlvE0CkSclHdLL</t>
  </si>
  <si>
    <t>Nguyễn Thị Thảo Huyền</t>
  </si>
  <si>
    <t xml:space="preserve">Lê Khánh Linh 	</t>
  </si>
  <si>
    <t xml:space="preserve">ljkk2807@gmail. com	</t>
  </si>
  <si>
    <t>15/12/2024 và 30/12/2024</t>
  </si>
  <si>
    <t>https://drive.google.com/open?id=1tVplBqr8djU2N46zYxH33i7o6yfBN18Y; https://drive.google.com/open?id=19HD0QqWTK4yVVWBDl_vFoWnCaBgd6dUg</t>
  </si>
  <si>
    <t xml:space="preserve">cxuan1805@gmail.com	</t>
  </si>
  <si>
    <t>https://drive.google.com/open?id=1-JitHGb0Mtoid6ws1QG6q2_IGXuE2f2S; https://drive.google.com/open?id=1yM7vvf8RQcE3yIHSaEASNFBAkiXB1n9_</t>
  </si>
  <si>
    <t>Đào Thanh Huyền</t>
  </si>
  <si>
    <t>27/08/2024 và 13/09/2024 và 31/12/2024</t>
  </si>
  <si>
    <t>https://drive.google.com/open?id=1kTcl0DydO8wxdobw49qsw-b_zrE_5dBO; https://drive.google.com/open?id=1B8LGAT0SEPSqleXwWHTgpDCSe5vySHEC; https://drive.google.com/open?id=141g_SkWUTkfNbV6yILHxWHtDmzknCKUy</t>
  </si>
  <si>
    <t>Thừa 432K lớp T chuyển sang</t>
  </si>
  <si>
    <t>OT66</t>
  </si>
  <si>
    <r>
      <rPr>
        <sz val="12"/>
        <color theme="1"/>
        <rFont val="Times New Roman"/>
        <family val="1"/>
      </rPr>
      <t>Bùi Quang Vũ</t>
    </r>
    <r>
      <rPr>
        <sz val="12"/>
        <color rgb="FFFF0000"/>
        <rFont val="Times New Roman"/>
        <family val="1"/>
      </rPr>
      <t xml:space="preserve"> - Đã nộp 400K 07/05/2025
OT55 bảo lưu b13. Học OT66 buổi 13</t>
    </r>
  </si>
  <si>
    <t>https://drive.google.com/open?id=1ECVxAWnZqIgTBSx-PF3OOS9f8N-B9pVC</t>
  </si>
  <si>
    <t>Hạ combo. Sách cũ 27/12/2024</t>
  </si>
  <si>
    <t xml:space="preserve"> Ngô Đức Thắng</t>
  </si>
  <si>
    <t>thangngo05102006@gmail.com</t>
  </si>
  <si>
    <t>48 TT6 khu đô thị văn Phú phường Phú La ,Hà Đông , thành phố Hà Nội</t>
  </si>
  <si>
    <t>https://drive.google.com/open?id=1i3CvgGd0UiKhdcphXFbaKAVKaWCxdfOf</t>
  </si>
  <si>
    <t>https://www.facebook.com/khac.duc.64087</t>
  </si>
  <si>
    <t>Nguyễn Khắc Đức</t>
  </si>
  <si>
    <t>Thanh Hiền</t>
  </si>
  <si>
    <t>17/12/2024 và 18/12/2024</t>
  </si>
  <si>
    <t>https://drive.google.com/open?id=1UoWBfiZZfBolBtb6YwHqR3S92fsdyWNU, https://drive.google.com/open?id=1KDR_9fFVbNuvJT7_Lrx3DoWMKTGJ0oD4</t>
  </si>
  <si>
    <t>Nhài đưa sách Hiền</t>
  </si>
  <si>
    <t>https://www.facebook.com/viet.hoang.329043?mibextid=ZbWKwL</t>
  </si>
  <si>
    <t xml:space="preserve">Nguyễn Việt Hoàng </t>
  </si>
  <si>
    <t xml:space="preserve">Nguyenviethoanga64@gmail.com </t>
  </si>
  <si>
    <t>994 đường láng- láng thượng- đống đa- hà nội</t>
  </si>
  <si>
    <t>https://drive.google.com/open?id=1SWVP9HcXuCNlUKzypNb87Vkky11pAsmV</t>
  </si>
  <si>
    <t>https://drive.google.com/open?id=1OeJICMTV8nXadmcMVMrwmqMecWKXg8gk; https://drive.google.com/open?id=1-xdiNc2jv9vZrMSXzVEmMXXVH_e2VwXx; https://drive.google.com/open?id=1Vlvav3eWnTHAwTyPmi-b_o1pEiNJxmx6</t>
  </si>
  <si>
    <t>Thừa 232K lớp OT26</t>
  </si>
  <si>
    <t>https://www.facebook.com/share/19dW2PargE/?mibextid=LQQJ4d</t>
  </si>
  <si>
    <r>
      <rPr>
        <sz val="12"/>
        <color theme="1"/>
        <rFont val="Times New Roman"/>
        <family val="1"/>
      </rPr>
      <t xml:space="preserve">Hà Thị Lan Anh </t>
    </r>
    <r>
      <rPr>
        <sz val="12"/>
        <color rgb="FFFF0000"/>
        <rFont val="Times New Roman"/>
        <family val="1"/>
      </rPr>
      <t>- hợp đồng - gửi lại sách mới</t>
    </r>
  </si>
  <si>
    <t>at522087@gmail.com</t>
  </si>
  <si>
    <t>https://drive.google.com/open?id=11R5MePZsyewmA336LTs4RlacC7TF2fxD</t>
  </si>
  <si>
    <t>23/12/2024 sách cũ</t>
  </si>
  <si>
    <t>Nguyễn Thế Dương</t>
  </si>
  <si>
    <t>https://drive.google.com/open?id=173iempHlY-Oz31TyjD05Ey2YEtvYy46g</t>
  </si>
  <si>
    <t>Thừa 32K lớp PT</t>
  </si>
  <si>
    <t>https://www.facebook.com/share/14ZbSgrQY8/?mibextid=wwXIfr</t>
  </si>
  <si>
    <t>Dương Minh Khải</t>
  </si>
  <si>
    <t>À số 6 ngõ 167 quang tiến đại mỗ nam từ liêm</t>
  </si>
  <si>
    <t>19/12/2024 và 15/12/2024</t>
  </si>
  <si>
    <t>https://drive.google.com/open?id=1xNZUCbKwloXfQqhxGNPumA3ZmtKin4AM; https://drive.google.com/open?id=1w8txfCUusKkEJZw-_fMwhr5fXeL6v3kT</t>
  </si>
  <si>
    <t xml:space="preserve"> mphuongbn2005@gmail.com	</t>
  </si>
  <si>
    <t>https://drive.google.com/open?id=1LrRoJ8H_Grvf_CaMWSWcACfEPBIYgqb5</t>
  </si>
  <si>
    <t xml:space="preserve">Bùi Tiến Đình	</t>
  </si>
  <si>
    <t xml:space="preserve"> buitiendinh01@gmail.com	</t>
  </si>
  <si>
    <t>https://drive.google.com/open?id=1WOIUsjFByRftog_bS9QdW6WLvQcQJo4E</t>
  </si>
  <si>
    <t>https://www.facebook.com/fwngnhi06</t>
  </si>
  <si>
    <t xml:space="preserve">Phạm Phương Nhi  </t>
  </si>
  <si>
    <t xml:space="preserve">phamphuongnhi699@gmail.com </t>
  </si>
  <si>
    <t>ngõ 41 ngô gia tự, lê hồng phong, phủ lý, hà nam</t>
  </si>
  <si>
    <t>21/12/2024 và 25/12/2024</t>
  </si>
  <si>
    <t>https://drive.google.com/open?id=18_yeXDEelhh5jfCYqqfKdlk74NZK4Lbj; https://drive.google.com/open?id=1jEaDea3ug0GD_pEl4R7yZYnyftFAU-M2</t>
  </si>
  <si>
    <t>OS9</t>
  </si>
  <si>
    <r>
      <rPr>
        <sz val="12"/>
        <color theme="1"/>
        <rFont val="Times New Roman"/>
        <family val="1"/>
      </rPr>
      <t>Kiều Thị Ngọc Ánh</t>
    </r>
    <r>
      <rPr>
        <sz val="12"/>
        <color rgb="FFFF0000"/>
        <rFont val="Times New Roman"/>
        <family val="1"/>
      </rPr>
      <t xml:space="preserve"> - OS8</t>
    </r>
  </si>
  <si>
    <t>https://drive.google.com/open?id=1h_KhVsnka8gKUxbtySO85-LeejAOZlBy</t>
  </si>
  <si>
    <t>https://www.facebook.com/chhuwng?locale=vi_VN</t>
  </si>
  <si>
    <t>https://drive.google.com/open?id=1LaOjYLIVQpnUriiyFON1w_cKq2Fx5-Cs</t>
  </si>
  <si>
    <t>https://www.facebook.com/huonggiangnoan</t>
  </si>
  <si>
    <t xml:space="preserve">Trần Nguyễn Hương Giang  </t>
  </si>
  <si>
    <t>giangkun0913@gmail.com</t>
  </si>
  <si>
    <t>Số 18 ngõ 102/62 pháo đài láng-láng thượng-Đống đa</t>
  </si>
  <si>
    <t>https://drive.google.com/open?id=1m3lsXKZM-cnZQ7SIkpiQwND9SWiHdyTT</t>
  </si>
  <si>
    <t>https://www.facebook.com/quynhduong.nguyen.501?mibextid=ZbWKwL</t>
  </si>
  <si>
    <t xml:space="preserve">Nguyễn Quỳnh Dương </t>
  </si>
  <si>
    <t xml:space="preserve">  nqd205@gmail.com</t>
  </si>
  <si>
    <t xml:space="preserve">Số 18 ngõ 102/62 pháo đài láng , láng thượng đống đa </t>
  </si>
  <si>
    <t>https://drive.google.com/open?id=1vDu7_txCaeielmaQ6YE2gKnsjuhDWr-Q</t>
  </si>
  <si>
    <t>https://www.facebook.com/profile.php?id=100069657346669&amp;mibextid=ZbWKwL</t>
  </si>
  <si>
    <t xml:space="preserve">Lương Yến Dung </t>
  </si>
  <si>
    <t>dungluong13072005@gmail.com</t>
  </si>
  <si>
    <t>Số 17 ngõ 1 nguyễn thị định, trung hòa, cầu giấy, hà nội</t>
  </si>
  <si>
    <t>https://drive.google.com/open?id=1IygA0Yb1jepe3_AOhugCbKwsmj99kOVo</t>
  </si>
  <si>
    <t>https://www.facebook.com/jayhong911?mibextid=ZbWKwL</t>
  </si>
  <si>
    <t xml:space="preserve">Bùi Thị Diễm </t>
  </si>
  <si>
    <t xml:space="preserve">  vuthiduyen21084@gmail.com</t>
  </si>
  <si>
    <t>https://drive.google.com/open?id=1w5PwZQNWMQ6CXnIQHPWC5o90hRItmluG</t>
  </si>
  <si>
    <t>https://www.facebook.com/ngophuongchi.05?mibextid=ZbWKwL</t>
  </si>
  <si>
    <t>Ngô Thị Phương Chi</t>
  </si>
  <si>
    <t xml:space="preserve"> ngothiphuongchi28102005@gmail.com</t>
  </si>
  <si>
    <t>https://drive.google.com/open?id=1GKz_hkcpb9XyboSI6cjYFvfN3HhZkn_M</t>
  </si>
  <si>
    <t>OVIP36</t>
  </si>
  <si>
    <t>https://www.facebook.com/share/195m84eiJ7/?mibextid=wwXIfr</t>
  </si>
  <si>
    <r>
      <rPr>
        <sz val="12"/>
        <color theme="1"/>
        <rFont val="Times New Roman"/>
        <family val="1"/>
      </rPr>
      <t>Trần Thanh Phong</t>
    </r>
    <r>
      <rPr>
        <sz val="12"/>
        <color rgb="FFFF0000"/>
        <rFont val="Times New Roman"/>
        <family val="1"/>
      </rPr>
      <t xml:space="preserve"> - OVIP36, OVIP35- Hoàng Tử Hà Đông</t>
    </r>
  </si>
  <si>
    <t>số nhà 64,Ngách 23,Ngõ Trạm điện,hà đông,hà nội</t>
  </si>
  <si>
    <t>https://drive.google.com/open?id=1jTsZIk2UA9hcnT-NJmrsIUyQogkF7PcR</t>
  </si>
  <si>
    <t>https://www.facebook.com/share/1BC9qGsQde/?mibextid=wwXIfr</t>
  </si>
  <si>
    <t>Lê Minh Trang</t>
  </si>
  <si>
    <t>leemintrangg1511@gmail.com</t>
  </si>
  <si>
    <t>154 lê dụ tông, quang trung2, đông vệ, tp thanh hoá</t>
  </si>
  <si>
    <t>https://drive.google.com/open?id=1JCZj67mNWkVoApJ4dLmuGpZJSjB7JPD7</t>
  </si>
  <si>
    <t>https://www.facebook.com/share/1A5MhViefg/?mibextid=wwXIfr</t>
  </si>
  <si>
    <r>
      <rPr>
        <sz val="12"/>
        <color theme="1"/>
        <rFont val="Times New Roman"/>
        <family val="1"/>
      </rPr>
      <t xml:space="preserve">Trần Thị Hà Giang </t>
    </r>
    <r>
      <rPr>
        <sz val="12"/>
        <color rgb="FFFF0000"/>
        <rFont val="Times New Roman"/>
        <family val="1"/>
      </rPr>
      <t>- Hợp đồng</t>
    </r>
  </si>
  <si>
    <t>Số 24 ngách 34 ngõ 56 tổ 5 phường Đức Thắng Bắc Từ Liêm Hà Nội</t>
  </si>
  <si>
    <t>23/12/2024 và 25/12/2024</t>
  </si>
  <si>
    <t>https://drive.google.com/open?id=1uFAFR69swRM9GGhbBLtlYr0yQ2e6Bjc9; https://drive.google.com/open?id=10LYFoCeOd6QS7Si-q0lxE6SJZKPfbjwF</t>
  </si>
  <si>
    <t>https://www.facebook.com/share/19uidNNStB/?mibextid=wwXIfr</t>
  </si>
  <si>
    <r>
      <rPr>
        <sz val="12"/>
        <color theme="1"/>
        <rFont val="Times New Roman"/>
        <family val="1"/>
      </rPr>
      <t xml:space="preserve">Hoàng Bảo Long </t>
    </r>
    <r>
      <rPr>
        <sz val="12"/>
        <color rgb="FFFF0000"/>
        <rFont val="Times New Roman"/>
        <family val="1"/>
      </rPr>
      <t xml:space="preserve">- hợp đồng </t>
    </r>
  </si>
  <si>
    <t xml:space="preserve">hlong2583@gmail.com </t>
  </si>
  <si>
    <t>https://www.facebook.com/nguyen.tuan.huy.166370/</t>
  </si>
  <si>
    <t xml:space="preserve">Nguyễn Tuấn Huy </t>
  </si>
  <si>
    <t>Vành đai 4 - ngọ phúc - châu minh - hiệp hòa - bắc giang</t>
  </si>
  <si>
    <t>https://drive.google.com/open?id=1UiMrpEtJgkch9elVUG_dqtRaaIhJfAgG; https://drive.google.com/open?id=1kaiEDPyjNjdgdDYdI3RNXxfFTK_Egud_</t>
  </si>
  <si>
    <t>Thừa 532K lớp PT</t>
  </si>
  <si>
    <t>Số 21 Ngõ 41/3 Trần Duy Hưng, Cầu Giấy, Hà Nội</t>
  </si>
  <si>
    <t>https://drive.google.com/open?id=1feSjIJ9pIRaTz-4xSllq4vUbIdt2uVsj</t>
  </si>
  <si>
    <t xml:space="preserve">Nguyễn Ngọc Huyền 	</t>
  </si>
  <si>
    <t>https://drive.google.com/open?id=1Zbb_LJX3dbPh6dDb2Z6C53f0tN3CujcD</t>
  </si>
  <si>
    <t xml:space="preserve">Nguyễn Thảo Vy	</t>
  </si>
  <si>
    <t xml:space="preserve">nguyenthaovy1352@gmail.com	</t>
  </si>
  <si>
    <t>https://drive.google.com/open?id=1I8iWEX8y6EMXOkyh6pITbVNmE-hj4hPa</t>
  </si>
  <si>
    <t>https://www.facebook.com/share/WA8GstfWEK5BzTgk/?mibextid=wwXIfr</t>
  </si>
  <si>
    <t>Nguyễn Mai</t>
  </si>
  <si>
    <t>479 Lĩnh Nam,Hoàng Mai Hà Nội</t>
  </si>
  <si>
    <t>https://drive.google.com/open?id=15QZJquKX1wbXiCdKb8udkureGrTSH95d</t>
  </si>
  <si>
    <t>https://www.facebook.com/tamthuy.nguyen.549</t>
  </si>
  <si>
    <t xml:space="preserve">Nguyễn Quỳnh Anh  </t>
  </si>
  <si>
    <t xml:space="preserve"> nguyenquynhanh5624@gmail.com</t>
  </si>
  <si>
    <t>Đường Chùa Tự, tổ 2, Miếu Thờ, Tiên Dược, Sóc Sơn, Hà Nội</t>
  </si>
  <si>
    <t>https://drive.google.com/open?id=1fDmNGOwNT1XYMwoSNTBBzY-rrkmA6Y0U</t>
  </si>
  <si>
    <t xml:space="preserve">Trần Thị Linh  	</t>
  </si>
  <si>
    <t>nhà 19 ngõ 56/34 phố lê văn hiến phường đức thắng, Bắc Từ Liêm, Hà Nội</t>
  </si>
  <si>
    <t>https://drive.google.com/open?id=17ah9ao2jhuhsTRnOvFqnBtdtka9aXeWi</t>
  </si>
  <si>
    <t>https://www.facebook.com/nguyen.trong.tuan.774762/</t>
  </si>
  <si>
    <t>Nguyễn Trọng Tuấn</t>
  </si>
  <si>
    <t xml:space="preserve">  nguyentrongtuana6@gmail.com</t>
  </si>
  <si>
    <t>181 Nam Dư,Lĩnh Nam,Hoàng Mai Hà Nội</t>
  </si>
  <si>
    <t>https://drive.google.com/open?id=1JYuExpls42ORYCvXt-ti_DqiLCyzvxDJ</t>
  </si>
  <si>
    <t>OT63</t>
  </si>
  <si>
    <t>https://www.facebook.com/LeMinhQuan.MMO.IP</t>
  </si>
  <si>
    <r>
      <rPr>
        <sz val="12"/>
        <color theme="1"/>
        <rFont val="Times New Roman"/>
        <family val="1"/>
      </rPr>
      <t xml:space="preserve">Lê Minh Quân </t>
    </r>
    <r>
      <rPr>
        <sz val="12"/>
        <color rgb="FFFF0000"/>
        <rFont val="Times New Roman"/>
        <family val="1"/>
      </rPr>
      <t>(up combo trước b6)</t>
    </r>
  </si>
  <si>
    <t>https://drive.google.com/open?id=1eSH2vYN-WUn0AOXX15Vqhiq-2B6eZO6u</t>
  </si>
  <si>
    <t>https://www.facebook.com/share/19m1hnjcAN/?mibextid=LQQJ4d</t>
  </si>
  <si>
    <t>Vũ Việt Chinh</t>
  </si>
  <si>
    <t>https://drive.google.com/open?id=1GrYi0i4jmvNMAFVUhvP48UCf4dAjOJgT</t>
  </si>
  <si>
    <t>OPT57</t>
  </si>
  <si>
    <t>https://www.facebook.com/Vit.uz.2611?mibextid=ZbWKwL</t>
  </si>
  <si>
    <r>
      <rPr>
        <sz val="12"/>
        <color theme="1"/>
        <rFont val="Times New Roman"/>
        <family val="1"/>
      </rPr>
      <t xml:space="preserve">Trần Thu Hiền </t>
    </r>
    <r>
      <rPr>
        <sz val="12"/>
        <color rgb="FFFF0000"/>
        <rFont val="Times New Roman"/>
        <family val="1"/>
      </rPr>
      <t>- hợp đồng</t>
    </r>
  </si>
  <si>
    <t>Moclinh1314@gmail.com</t>
  </si>
  <si>
    <t>121 Ngô Thì Sỹ, Vạn Phúc, Hà Đông, Hà Nội</t>
  </si>
  <si>
    <t>https://drive.google.com/open?id=1ieNwZlzJ9ceLECwjOtS_zBAryqn-URQl; https://drive.google.com/open?id=1uEZFdemy4dyboz_URD8GaDgTIu7Ze8AJ</t>
  </si>
  <si>
    <t>Đạt báo gửi</t>
  </si>
  <si>
    <t>PT167</t>
  </si>
  <si>
    <t>https://www.facebook.com/people/%C4%90%E1%BA%B7ng-H%E1%BB%AFu-S%C6%A1n/pfbid0t6MX2K9ViDB7SmjxKf7uUNoN51kzzMTLJxkACqCMoQg3Ze4WMQ189Md7LtbbgfLRl/</t>
  </si>
  <si>
    <r>
      <rPr>
        <sz val="12"/>
        <color theme="1"/>
        <rFont val="Times New Roman"/>
        <family val="1"/>
      </rPr>
      <t>Đặng Hữu Sơn</t>
    </r>
    <r>
      <rPr>
        <sz val="12"/>
        <color rgb="FFFF0000"/>
        <rFont val="Times New Roman"/>
        <family val="1"/>
      </rPr>
      <t xml:space="preserve"> - OPT57 sang PT67
Đã nộp 150K 27/02/2025. Phương chat</t>
    </r>
  </si>
  <si>
    <t>Mỹ Linh</t>
  </si>
  <si>
    <t>cổng phụ trường đại học Phenikaa-Nguyễn Trác-Yên Nghĩa-Hà Đông</t>
  </si>
  <si>
    <t>https://drive.google.com/open?id=1UrrvYysvuzRLJxcR3uaPDqLLdm-MNt7m, https://drive.google.com/open?id=1a-yQIq8ZmPfRAMZilMG5Kd-Ppmt-0pa4</t>
  </si>
  <si>
    <t>https://www.facebook.com/share/1AwhSbkrvU/?mibextid=wwXIfr</t>
  </si>
  <si>
    <r>
      <rPr>
        <sz val="12"/>
        <color theme="1"/>
        <rFont val="Times New Roman"/>
        <family val="1"/>
      </rPr>
      <t>Nguyễn Mai Hoa</t>
    </r>
    <r>
      <rPr>
        <sz val="12"/>
        <color rgb="FFFF0000"/>
        <rFont val="Times New Roman"/>
        <family val="1"/>
      </rPr>
      <t xml:space="preserve"> - đã chuyển nhượng
</t>
    </r>
    <r>
      <rPr>
        <sz val="12"/>
        <color theme="1"/>
        <rFont val="Times New Roman"/>
        <family val="1"/>
      </rPr>
      <t xml:space="preserve">Ngọc Huyền </t>
    </r>
    <r>
      <rPr>
        <sz val="12"/>
        <color rgb="FFFF0000"/>
        <rFont val="Times New Roman"/>
        <family val="1"/>
      </rPr>
      <t>- 0967255489 nhận học</t>
    </r>
  </si>
  <si>
    <t>buitheanh4102004@gmail.com</t>
  </si>
  <si>
    <t>https://drive.google.com/open?id=1v81optcwWHIdrV32VeqeBgju7kBWo1b7</t>
  </si>
  <si>
    <t>https://www.facebook.com/people/Huy%E1%BB%81n-Huy%E1%BB%81n/pfbid025CV4wb1MsC2Mb4dyErumhYYb9LNr9TiKyaKpfJ6E2rhYSRp93xQjdU2i47idpYLgl/</t>
  </si>
  <si>
    <r>
      <rPr>
        <sz val="12"/>
        <color theme="1"/>
        <rFont val="Times New Roman"/>
        <family val="1"/>
      </rPr>
      <t xml:space="preserve">Ngọc Huyền </t>
    </r>
    <r>
      <rPr>
        <sz val="12"/>
        <color rgb="FFFF0000"/>
        <rFont val="Times New Roman"/>
        <family val="1"/>
      </rPr>
      <t>- nhận học</t>
    </r>
    <r>
      <rPr>
        <sz val="12"/>
        <color theme="1"/>
        <rFont val="Times New Roman"/>
        <family val="1"/>
      </rPr>
      <t xml:space="preserve">
Nguyễn Mai Hoa</t>
    </r>
    <r>
      <rPr>
        <sz val="12"/>
        <color rgb="FFFF0000"/>
        <rFont val="Times New Roman"/>
        <family val="1"/>
      </rPr>
      <t xml:space="preserve"> - 838065116 đã chuyển nhượng</t>
    </r>
  </si>
  <si>
    <t xml:space="preserve">Nguyễn Thảo Trinh </t>
  </si>
  <si>
    <t xml:space="preserve">trinhtrinh161006@gmail.com	</t>
  </si>
  <si>
    <t>https://drive.google.com/open?id=1Dor0R_ygMvxuxbjiYIfwpkzg8zD4l8pr, https://drive.google.com/open?id=1I0SrBvHr-IUG_0FVEifgWvNxCHRpgLXR</t>
  </si>
  <si>
    <r>
      <rPr>
        <sz val="12"/>
        <color theme="1"/>
        <rFont val="Times New Roman"/>
        <family val="1"/>
      </rPr>
      <t xml:space="preserve">Nguyễn Trang Anh </t>
    </r>
    <r>
      <rPr>
        <sz val="12"/>
        <color rgb="FFFF0000"/>
        <rFont val="Times New Roman"/>
        <family val="1"/>
      </rPr>
      <t>- Đã nộp 300K 28/05/2025
OT62 bảo lưu b17. Học T303 buổi 16</t>
    </r>
  </si>
  <si>
    <t>https://drive.google.com/open?id=1rAwRUT198oEMdI2OLQOl3fNfFJ2PEua2</t>
  </si>
  <si>
    <t xml:space="preserve">Đào Phương Nam	</t>
  </si>
  <si>
    <t xml:space="preserve">daophuongnam14082006@gmail.com	</t>
  </si>
  <si>
    <t>https://drive.google.com/open?id=198i9d62CE6FMCPSBd7gKyh1LkJGx6f7T</t>
  </si>
  <si>
    <t>https://www.facebook.com/linhanhisthebest</t>
  </si>
  <si>
    <t xml:space="preserve">Đặng Linh Anh  </t>
  </si>
  <si>
    <t xml:space="preserve"> Dlinhanhnb@gmail.com</t>
  </si>
  <si>
    <t xml:space="preserve"> Số 02, ngách 32, ngõ 40 lương văn thăng, thị trấn nho quan, nho quan, ninh bình</t>
  </si>
  <si>
    <t>https://drive.google.com/open?id=1rpMMGp92qWsoUi-eZS8XYP0ds-RyjKYI</t>
  </si>
  <si>
    <t>https://www.facebook.com/share/1BTxmLV6ax/?mibextid=wwXIfr</t>
  </si>
  <si>
    <t>Đặng Thị Như Quỳnh</t>
  </si>
  <si>
    <t>quynhhiti2006@gmail.com</t>
  </si>
  <si>
    <t>Số nhà 6 ngách 401/53 Cáo Đỉnh 1,Xuân Đỉnh, Bắc Từ Liêm, Hà Nội.</t>
  </si>
  <si>
    <t>https://drive.google.com/open?id=12WCNoYGCumzsAcTWUwH9HUQ1RIBoggTk</t>
  </si>
  <si>
    <t>https://www.facebook.com/tungdds120402</t>
  </si>
  <si>
    <t xml:space="preserve">Đào Duy Tùng </t>
  </si>
  <si>
    <t>tungdao1242002@gmail.com</t>
  </si>
  <si>
    <t>3 Ngõ 59 Mễ Trì, Mễ Trì, Nam Từ Liêm, Hà Nội</t>
  </si>
  <si>
    <t>https://drive.google.com/open?id=1aWZCEO0Md9QL_MYqxTp984fKP9_87Pa1</t>
  </si>
  <si>
    <t>https://www.facebook.com/share/1BWpxEJHQy/?mibextid=wwXIfr</t>
  </si>
  <si>
    <r>
      <rPr>
        <sz val="12"/>
        <color theme="1"/>
        <rFont val="Times New Roman"/>
        <family val="1"/>
      </rPr>
      <t xml:space="preserve">Nguyễn Mai Linh </t>
    </r>
    <r>
      <rPr>
        <sz val="12"/>
        <color rgb="FFFF0000"/>
        <rFont val="Times New Roman"/>
        <family val="1"/>
      </rPr>
      <t>- đã chuyển nhượng. Thế Anh chat
Phạm Quốc Huy 0334201335 - nhận học</t>
    </r>
  </si>
  <si>
    <t>1een.ngm0@gmail.com</t>
  </si>
  <si>
    <t>https://drive.google.com/open?id=1Yy4krW_0k7zy_SZHDaon-StjK6onBsS6</t>
  </si>
  <si>
    <t>https://www.facebook.com/ha.at.293214</t>
  </si>
  <si>
    <t xml:space="preserve">Hà Thành Đạt  </t>
  </si>
  <si>
    <t xml:space="preserve"> hadat120204@gmail.com</t>
  </si>
  <si>
    <t>https://drive.google.com/open?id=1fmmCRE0Q1hwBx9Up6K-BWyg_XquGzs8p</t>
  </si>
  <si>
    <t>https://www.facebook.com/kieu.oanh.852290</t>
  </si>
  <si>
    <t xml:space="preserve">Hà Kiều Oanh </t>
  </si>
  <si>
    <t>oanh772004@gmail.com</t>
  </si>
  <si>
    <t>https://drive.google.com/open?id=13AZmrZBqGb3miI-SQQTa_X_GylyKaE0v</t>
  </si>
  <si>
    <t>https://www.facebook.com/pham.uc.thuan.540771</t>
  </si>
  <si>
    <t xml:space="preserve">Phạm Đức Thuận </t>
  </si>
  <si>
    <t xml:space="preserve"> phamducthuan445@gmail.com</t>
  </si>
  <si>
    <t>Trọ Đức Giảng, Nhà Số 1, Thôn 2 Kim Bông Xã Tân Xã, Huyện Thạch Thât, Hà Nội</t>
  </si>
  <si>
    <t>https://drive.google.com/open?id=1bJ4qBrnqtk9SA-e9bfMB3bVIWYglMDaS</t>
  </si>
  <si>
    <t>Số nhà 79 đường 422 xã Tân Lập huyện Đan Phượng thành phố Hà Nội</t>
  </si>
  <si>
    <t>Cạnh số nhà 12 ngõ 46 đường Xuân Phương, Nam Từ Liêm, Hà Nội</t>
  </si>
  <si>
    <t>T288 bảo lưu buổi 23</t>
  </si>
  <si>
    <t xml:space="preserve">Đặng Thùy Linh </t>
  </si>
  <si>
    <t>Số 9, ngõ 56 Phú Kiều, Phúc Diễn, Bắc Từ Liêm, Hà Nội</t>
  </si>
  <si>
    <r>
      <rPr>
        <sz val="12"/>
        <color theme="1"/>
        <rFont val="Times New Roman"/>
        <family val="1"/>
      </rPr>
      <t xml:space="preserve">Hoàng Văn Quang </t>
    </r>
    <r>
      <rPr>
        <sz val="12"/>
        <color rgb="FFFF0000"/>
        <rFont val="Times New Roman"/>
        <family val="1"/>
      </rPr>
      <t>- đã nộp 300K 20/02/25
OT59 bảo lưu b2 trùng lịch học. Học T312 b1</t>
    </r>
  </si>
  <si>
    <t>OPT61</t>
  </si>
  <si>
    <r>
      <rPr>
        <sz val="12"/>
        <color theme="1"/>
        <rFont val="Times New Roman"/>
        <family val="1"/>
      </rPr>
      <t>Hà Quang Nghĩa</t>
    </r>
    <r>
      <rPr>
        <sz val="12"/>
        <color rgb="FFFF0000"/>
        <rFont val="Times New Roman"/>
        <family val="1"/>
      </rPr>
      <t xml:space="preserve"> - mất cam kết
Học lại nộp 50% học phí. Chưa nộp</t>
    </r>
  </si>
  <si>
    <t xml:space="preserve">Trần Ngọc Anh </t>
  </si>
  <si>
    <t>Dốc đê Thích Thổ, Hòa Mỹ, Hồng Minh, Phú Xuyên, Hà Nội</t>
  </si>
  <si>
    <r>
      <rPr>
        <sz val="12"/>
        <color theme="1"/>
        <rFont val="Times New Roman"/>
        <family val="1"/>
      </rPr>
      <t>Nguyễn Hồng Ngọc</t>
    </r>
    <r>
      <rPr>
        <sz val="12"/>
        <color rgb="FFFF0000"/>
        <rFont val="Times New Roman"/>
        <family val="1"/>
      </rPr>
      <t xml:space="preserve"> - Ngọc Aramoca</t>
    </r>
  </si>
  <si>
    <t>20 Đinh Tiên Hoàng, phường Lê Thanh Nghị, Hải Dương, tỉnh Hải Dương</t>
  </si>
  <si>
    <r>
      <rPr>
        <sz val="12"/>
        <color theme="1"/>
        <rFont val="Times New Roman"/>
        <family val="1"/>
      </rPr>
      <t>Đỗ Duy Phúc</t>
    </r>
    <r>
      <rPr>
        <sz val="12"/>
        <color rgb="FFFF0000"/>
        <rFont val="Times New Roman"/>
        <family val="1"/>
      </rPr>
      <t xml:space="preserve"> </t>
    </r>
  </si>
  <si>
    <t>T454</t>
  </si>
  <si>
    <r>
      <rPr>
        <sz val="12"/>
        <color theme="1"/>
        <rFont val="Times New Roman"/>
        <family val="1"/>
      </rPr>
      <t>Bùi Hải Anh</t>
    </r>
    <r>
      <rPr>
        <sz val="12"/>
        <color rgb="FF434343"/>
        <rFont val="Times New Roman"/>
        <family val="1"/>
      </rPr>
      <t xml:space="preserve"> </t>
    </r>
    <r>
      <rPr>
        <sz val="12"/>
        <color rgb="FFFF0000"/>
        <rFont val="Times New Roman"/>
        <family val="1"/>
      </rPr>
      <t>- Đã nộp 300K 30/04/026
T289 bảo lưu b9 đi quân sự. Học T454 b8</t>
    </r>
  </si>
  <si>
    <t>VIP129</t>
  </si>
  <si>
    <t>Nhà số 1, Ngách 134/48, Ngõ 134, Nguyên Xá 2, đường Cầu Diễn, Bắc Từ Liêm, Hà Nôi</t>
  </si>
  <si>
    <t>số 2 yên phúc phúc la hà đông</t>
  </si>
  <si>
    <t>VIP164</t>
  </si>
  <si>
    <r>
      <rPr>
        <sz val="12"/>
        <color theme="1"/>
        <rFont val="Times New Roman"/>
        <family val="1"/>
      </rPr>
      <t xml:space="preserve">Trần Thu Hà </t>
    </r>
    <r>
      <rPr>
        <sz val="12"/>
        <color rgb="FFFF0000"/>
        <rFont val="Times New Roman"/>
        <family val="1"/>
      </rPr>
      <t>- đã nộp 300K 31/03/2025
VIP128 bảo lưu b14. Học VIP164 b13</t>
    </r>
  </si>
  <si>
    <t>Vũ Phùng Quang Huy</t>
  </si>
  <si>
    <t>Lê Việt Hùng</t>
  </si>
  <si>
    <r>
      <rPr>
        <sz val="12"/>
        <color theme="1"/>
        <rFont val="Times New Roman"/>
        <family val="1"/>
      </rPr>
      <t xml:space="preserve"> Nguyễn Việt Thắng </t>
    </r>
    <r>
      <rPr>
        <sz val="12"/>
        <color rgb="FFFF0000"/>
        <rFont val="Times New Roman"/>
        <family val="1"/>
      </rPr>
      <t>- Đã nộp 300K 16/06/2025
VIP130 bảo lưu b7 đi quân sự. Học VIP166 b7</t>
    </r>
  </si>
  <si>
    <t>VIP170</t>
  </si>
  <si>
    <r>
      <rPr>
        <sz val="12"/>
        <color theme="1"/>
        <rFont val="Times New Roman"/>
        <family val="1"/>
      </rPr>
      <t>Hoàng Mai Trang</t>
    </r>
    <r>
      <rPr>
        <sz val="12"/>
        <color rgb="FFFF0000"/>
        <rFont val="Times New Roman"/>
        <family val="1"/>
      </rPr>
      <t xml:space="preserve"> - đã nộp 300K 18/08/2025
VIP130 bảo lưu b21. Học VIP170 buổi 18 </t>
    </r>
    <r>
      <rPr>
        <sz val="12"/>
        <color theme="1"/>
        <rFont val="Times New Roman"/>
        <family val="1"/>
      </rPr>
      <t>- 828106066 số cũ</t>
    </r>
  </si>
  <si>
    <t>Số 14, Ngách 1/23 Văn Hội, Phường Đức Thắng, Quận Bắc Từ Liêm, Hà Nội</t>
  </si>
  <si>
    <r>
      <rPr>
        <sz val="12"/>
        <color theme="1"/>
        <rFont val="Times New Roman"/>
        <family val="1"/>
      </rPr>
      <t xml:space="preserve">Nguyễn Thu Trang - </t>
    </r>
    <r>
      <rPr>
        <sz val="12"/>
        <color rgb="FFFF0000"/>
        <rFont val="Times New Roman"/>
        <family val="1"/>
      </rPr>
      <t>Trang Nguyễn</t>
    </r>
  </si>
  <si>
    <t>VIP163</t>
  </si>
  <si>
    <r>
      <rPr>
        <sz val="12"/>
        <color theme="1"/>
        <rFont val="Times New Roman"/>
        <family val="1"/>
      </rPr>
      <t xml:space="preserve">Hồ Thị Thanh Mai </t>
    </r>
    <r>
      <rPr>
        <sz val="12"/>
        <color rgb="FFFF0000"/>
        <rFont val="Times New Roman"/>
        <family val="1"/>
      </rPr>
      <t>- đã nộp 300K 16/06/2025
VIP130 bảo lưu b9. Học VIP163 b7</t>
    </r>
  </si>
  <si>
    <r>
      <rPr>
        <sz val="12"/>
        <color theme="1"/>
        <rFont val="Times New Roman"/>
        <family val="1"/>
      </rPr>
      <t xml:space="preserve">Nguyễn Thị Ngát </t>
    </r>
    <r>
      <rPr>
        <sz val="12"/>
        <color rgb="FFFF0000"/>
        <rFont val="Times New Roman"/>
        <family val="1"/>
      </rPr>
      <t>- Nhi Nguyễn</t>
    </r>
  </si>
  <si>
    <r>
      <rPr>
        <sz val="12"/>
        <color theme="1"/>
        <rFont val="Times New Roman"/>
        <family val="1"/>
      </rPr>
      <t>Vũ Thị Quỳnh Trang</t>
    </r>
    <r>
      <rPr>
        <sz val="12"/>
        <color rgb="FFFF0000"/>
        <rFont val="Times New Roman"/>
        <family val="1"/>
      </rPr>
      <t xml:space="preserve"> OT60 - Ngọc Linh</t>
    </r>
  </si>
  <si>
    <t>Ngô Hoàng Anh</t>
  </si>
  <si>
    <t>Trần Khánh Ly</t>
  </si>
  <si>
    <t>OT78</t>
  </si>
  <si>
    <r>
      <rPr>
        <sz val="12"/>
        <color theme="1"/>
        <rFont val="Times New Roman"/>
        <family val="1"/>
      </rPr>
      <t xml:space="preserve">Lý Ngọc Trâm </t>
    </r>
    <r>
      <rPr>
        <sz val="12"/>
        <color rgb="FFFF0000"/>
        <rFont val="Times New Roman"/>
        <family val="1"/>
      </rPr>
      <t>- OT60 học 1 buổi xin rút
OT69 HV thứ 25</t>
    </r>
  </si>
  <si>
    <t>ngõ 195/41/28 Trần Cung, Cổ Nhuế 1, Bắc Từ Liêm, Hà Nội</t>
  </si>
  <si>
    <t>Cổng KTX Đại Học Sư Phạm Hà Nội 2, Ngõ 10 Đường Nguyễn Văn Linh, Tổ 3, Phường Xuân Hòa, Thành Phố Phúc Yên, Vĩnh Phúc</t>
  </si>
  <si>
    <r>
      <rPr>
        <sz val="12"/>
        <color theme="1"/>
        <rFont val="Times New Roman"/>
        <family val="1"/>
      </rPr>
      <t>Nguyễn Xuân Khoa</t>
    </r>
    <r>
      <rPr>
        <sz val="12"/>
        <color rgb="FFFF0000"/>
        <rFont val="Times New Roman"/>
        <family val="1"/>
      </rPr>
      <t xml:space="preserve"> </t>
    </r>
  </si>
  <si>
    <t>579 Quang Trung-Hà Đông-Hà Nội</t>
  </si>
  <si>
    <t>Đội 4, xóm Thạch Quy, xã Ninh Mỹ, huyện Hoa Lư, tỉnh Ninh Bình</t>
  </si>
  <si>
    <t>Số 34 liền kề 24 Khu đô thị Vân Canh - Hoài Đức - Hà Nội</t>
  </si>
  <si>
    <r>
      <rPr>
        <sz val="12"/>
        <color theme="1"/>
        <rFont val="Times New Roman"/>
        <family val="1"/>
      </rPr>
      <t>Nguyễn Duy Đạt</t>
    </r>
    <r>
      <rPr>
        <sz val="12"/>
        <color rgb="FFFF0000"/>
        <rFont val="Times New Roman"/>
        <family val="1"/>
      </rPr>
      <t xml:space="preserve"> </t>
    </r>
  </si>
  <si>
    <t xml:space="preserve">Đoàn Thị Ngọc </t>
  </si>
  <si>
    <t>Ktx 5A ngõ 167 Tây Sơn, Quang Trung, Đống Đa, Hà Nội</t>
  </si>
  <si>
    <t>VIP130 bảo lưu b15</t>
  </si>
  <si>
    <t>26 ngõ 91 tam khương phường khượng thượng đống đa hà nội</t>
  </si>
  <si>
    <t>T298</t>
  </si>
  <si>
    <r>
      <rPr>
        <sz val="12"/>
        <color theme="1"/>
        <rFont val="Times New Roman"/>
        <family val="1"/>
      </rPr>
      <t xml:space="preserve">Ngô Xuân Tân </t>
    </r>
    <r>
      <rPr>
        <sz val="12"/>
        <color rgb="FFFF0000"/>
        <rFont val="Times New Roman"/>
        <family val="1"/>
      </rPr>
      <t xml:space="preserve">- VIP129, </t>
    </r>
    <r>
      <rPr>
        <sz val="12"/>
        <color theme="1"/>
        <rFont val="Times New Roman"/>
        <family val="1"/>
      </rPr>
      <t>VIP138</t>
    </r>
  </si>
  <si>
    <t>Hoàng Quỳnh Chi</t>
  </si>
  <si>
    <t xml:space="preserve"> trọ khoa phương số nhà 510 thôn 3 thạch hoà thạch thất hà nội</t>
  </si>
  <si>
    <r>
      <rPr>
        <sz val="12"/>
        <color theme="1"/>
        <rFont val="Times New Roman"/>
        <family val="1"/>
      </rPr>
      <t xml:space="preserve">Hoàng Minh Thư </t>
    </r>
    <r>
      <rPr>
        <sz val="12"/>
        <color rgb="FFFF0000"/>
        <rFont val="Times New Roman"/>
        <family val="1"/>
      </rPr>
      <t>- VIP129</t>
    </r>
  </si>
  <si>
    <t>Số nhà 21, ngõ 294 ngách 49, đường Lĩnh Nam, quận Hoàng Mai, Hà Nội</t>
  </si>
  <si>
    <r>
      <rPr>
        <sz val="12"/>
        <color theme="1"/>
        <rFont val="Times New Roman"/>
        <family val="1"/>
      </rPr>
      <t xml:space="preserve">Vũ Minh Ngọc </t>
    </r>
    <r>
      <rPr>
        <sz val="12"/>
        <color rgb="FFFF0000"/>
        <rFont val="Times New Roman"/>
        <family val="1"/>
      </rPr>
      <t>số mẹ 942635466</t>
    </r>
  </si>
  <si>
    <t>Nguyễn Thị Thu Tâm</t>
  </si>
  <si>
    <t>Số nhà 20 Ngõ 201 đường 422B, Hậu Ái, Vân Canh, Hoài Đức, Hà Nội</t>
  </si>
  <si>
    <t xml:space="preserve"> Ngõ 2, Xuân Đỉnh, Bắc Từ Liêm, Hà Nội</t>
  </si>
  <si>
    <t>tiểu khu 14, thị trấn Lương Sơn, Lương Sơn, Hoà Bình</t>
  </si>
  <si>
    <r>
      <rPr>
        <sz val="12"/>
        <color theme="1"/>
        <rFont val="Times New Roman"/>
        <family val="1"/>
      </rPr>
      <t>Phạm Duy Mạnh</t>
    </r>
    <r>
      <rPr>
        <sz val="12"/>
        <color rgb="FFFF0000"/>
        <rFont val="Times New Roman"/>
        <family val="1"/>
      </rPr>
      <t xml:space="preserve"> - chung bill</t>
    </r>
  </si>
  <si>
    <t>https://www.facebook.com/profile.php?id=100081003225561&amp;mibextid=LQQJ4d</t>
  </si>
  <si>
    <t>Ngô Thị Thảo My</t>
  </si>
  <si>
    <t>Thôn Phả Lại - Đức Long - Quế Võ - Bắc Ninh</t>
  </si>
  <si>
    <t>VIP131 bảo lưu b1</t>
  </si>
  <si>
    <t>Vũ Hà Phương</t>
  </si>
  <si>
    <t>số 261 khu phố Hà Liễu- Phương Liễu- Quế Võ- Bắc Ninh</t>
  </si>
  <si>
    <t>https://www.facebook.com/share/15wz6zRgqf/</t>
  </si>
  <si>
    <t>ktx sinh viên khu văn hoá nghệ thuật - Mai Dịch - Cầu Giấy</t>
  </si>
  <si>
    <t>36D Dương Khuê, Mai Dịch, Cầu Giấy, Hà Nội</t>
  </si>
  <si>
    <t>VIP132</t>
  </si>
  <si>
    <t>Chu Lan Anh</t>
  </si>
  <si>
    <t>Phạm Thị Kim Oanh</t>
  </si>
  <si>
    <t>Bùi Thị Hồng Ánh</t>
  </si>
  <si>
    <t>44 trần thái Tông, Phường Dịch Vọng Hậu, Cầu Giấy , Hà Nội</t>
  </si>
  <si>
    <t>68 Đình Quán, Phúc Diễn, Bắc Từ Liêm,Hà Nội</t>
  </si>
  <si>
    <t>https://web.facebook.com/wyannai02</t>
  </si>
  <si>
    <t>Thôn Trường Thanh ,Kỳ Thư ,Kỳ Anh ,Hà Tĩnh</t>
  </si>
  <si>
    <t>VIP146</t>
  </si>
  <si>
    <t>https://www.facebook.com/profile.php?id=61560878502180&amp;mibextid=wwXIfr&amp;mibextid=wwXIfr</t>
  </si>
  <si>
    <r>
      <rPr>
        <sz val="12"/>
        <color theme="1"/>
        <rFont val="Times New Roman"/>
        <family val="1"/>
      </rPr>
      <t>Nguyễn Tường Huy</t>
    </r>
    <r>
      <rPr>
        <sz val="12"/>
        <color rgb="FFFF0000"/>
        <rFont val="Times New Roman"/>
        <family val="1"/>
      </rPr>
      <t xml:space="preserve"> </t>
    </r>
  </si>
  <si>
    <r>
      <rPr>
        <sz val="12"/>
        <color theme="1"/>
        <rFont val="Times New Roman"/>
        <family val="1"/>
      </rPr>
      <t xml:space="preserve">Phạm Hồng Nhung </t>
    </r>
    <r>
      <rPr>
        <sz val="12"/>
        <color rgb="FFFF0000"/>
        <rFont val="Times New Roman"/>
        <family val="1"/>
      </rPr>
      <t>- 362729054 sđt cũ</t>
    </r>
  </si>
  <si>
    <r>
      <rPr>
        <sz val="12"/>
        <color theme="1"/>
        <rFont val="Times New Roman"/>
        <family val="1"/>
      </rPr>
      <t>Vũ Thị Tố Uyên</t>
    </r>
    <r>
      <rPr>
        <sz val="12"/>
        <color rgb="FFFF0000"/>
        <rFont val="Times New Roman"/>
        <family val="1"/>
      </rPr>
      <t xml:space="preserve"> </t>
    </r>
  </si>
  <si>
    <t>SN 22 Ngõ 38 đường Thanh Bình, P.Mộ Lao, Q.Hà Đông, Hà Nội</t>
  </si>
  <si>
    <t>VIP131 nghỉ ngang b17. Vắng 3 buổi liên tiếp, TG ko liên lạc đc. Đã nghỉ 7/19 buổi của khóa. BTVN ko làm 14/19 buổi. Hạ chat vào lớp học cũng để cam chiếu lên trần ko có ý thức nghiêm túc.</t>
  </si>
  <si>
    <t>số nhà 17 ngách 52/25/43 ngõ 52 mỹ đình 2 nam từ liêm hà nội</t>
  </si>
  <si>
    <t>89, Nguyễn Phong Sắc, Dịch Vọng Hậu, Cầu Giấy, Hà Nội</t>
  </si>
  <si>
    <t>T292 bảo lưu b2</t>
  </si>
  <si>
    <r>
      <rPr>
        <sz val="12"/>
        <color theme="1"/>
        <rFont val="Times New Roman"/>
        <family val="1"/>
      </rPr>
      <t xml:space="preserve">Vũ Nguyễn Thu Hà </t>
    </r>
    <r>
      <rPr>
        <sz val="12"/>
        <color rgb="FFFF0000"/>
        <rFont val="Times New Roman"/>
        <family val="1"/>
      </rPr>
      <t xml:space="preserve"> - đã nộp 300K 24/02/2025</t>
    </r>
  </si>
  <si>
    <t>153 Phan Đình Giót, La Khê, Hà Đông, Hà Nội</t>
  </si>
  <si>
    <t>VIP133</t>
  </si>
  <si>
    <t>VIP136</t>
  </si>
  <si>
    <r>
      <rPr>
        <sz val="12"/>
        <color theme="1"/>
        <rFont val="Times New Roman"/>
        <family val="1"/>
      </rPr>
      <t xml:space="preserve">Nguyễn Thuỳ Trang </t>
    </r>
    <r>
      <rPr>
        <sz val="12"/>
        <color rgb="FFFF0000"/>
        <rFont val="Times New Roman"/>
        <family val="1"/>
      </rPr>
      <t>- VIP134 HV thứ 10</t>
    </r>
  </si>
  <si>
    <t>Số 19 ngách 61 ngõ 296 Đường Lĩnh Nam Hoàng Mai Hà Nội</t>
  </si>
  <si>
    <t>Số nhà 16 ngõ 28 phố chùa hà đường cầu giấy</t>
  </si>
  <si>
    <r>
      <rPr>
        <sz val="12"/>
        <color theme="1"/>
        <rFont val="Times New Roman"/>
        <family val="1"/>
      </rPr>
      <t>Đỗ Trịnh Thảo Ngân</t>
    </r>
    <r>
      <rPr>
        <sz val="12"/>
        <color rgb="FFFF0000"/>
        <rFont val="Times New Roman"/>
        <family val="1"/>
      </rPr>
      <t xml:space="preserve"> - Thảo Nganie</t>
    </r>
  </si>
  <si>
    <t>số nhà 19, ngách 21 ngõ 255 cầu giấy, Hà Nội</t>
  </si>
  <si>
    <t>VIP133 bảo lưu b14</t>
  </si>
  <si>
    <t xml:space="preserve">Chu Thị Hải Anh </t>
  </si>
  <si>
    <t>Đặng Thị Mai Chi</t>
  </si>
  <si>
    <r>
      <rPr>
        <sz val="12"/>
        <color theme="1"/>
        <rFont val="Times New Roman"/>
        <family val="1"/>
      </rPr>
      <t>Khánh Huyền</t>
    </r>
    <r>
      <rPr>
        <sz val="12"/>
        <color rgb="FFFF0000"/>
        <rFont val="Times New Roman"/>
        <family val="1"/>
      </rPr>
      <t xml:space="preserve"> </t>
    </r>
  </si>
  <si>
    <t>số 46, hẻm 37, ngách 28, ngõ văn hương, hàng bột, đống đa, Hà Nội</t>
  </si>
  <si>
    <t>https://www.facebook.com/share/1AQx9GRtnE/</t>
  </si>
  <si>
    <r>
      <rPr>
        <sz val="12"/>
        <color theme="1"/>
        <rFont val="Times New Roman"/>
        <family val="1"/>
      </rPr>
      <t>Nguyễn Thị Thủy Tiên</t>
    </r>
    <r>
      <rPr>
        <sz val="12"/>
        <color rgb="FFFF0000"/>
        <rFont val="Times New Roman"/>
        <family val="1"/>
      </rPr>
      <t xml:space="preserve"> -  394110953 số zalo cũ
VIP133 bảo lưu b14. Học VIP220 b3. Đã nộp 500K 02/12/2025</t>
    </r>
  </si>
  <si>
    <t>217/16 thạnh lộc 19, thạnh lộc, quận 12, Hồ Chí Minh</t>
  </si>
  <si>
    <t>Sách cũ 14/02/2025</t>
  </si>
  <si>
    <t>*</t>
  </si>
  <si>
    <t>https://www.facebook.com/share/12HWxsxFBaF/</t>
  </si>
  <si>
    <r>
      <rPr>
        <sz val="12"/>
        <color theme="1"/>
        <rFont val="Times New Roman"/>
        <family val="1"/>
      </rPr>
      <t>Nguyễn Minh Hằng</t>
    </r>
    <r>
      <rPr>
        <sz val="12"/>
        <color rgb="FFFF0000"/>
        <rFont val="Times New Roman"/>
        <family val="1"/>
      </rPr>
      <t xml:space="preserve"> -  328128183 ZALO</t>
    </r>
  </si>
  <si>
    <r>
      <rPr>
        <sz val="12"/>
        <color theme="1"/>
        <rFont val="Times New Roman"/>
        <family val="1"/>
      </rPr>
      <t>Nguyễn Minh Hằng</t>
    </r>
    <r>
      <rPr>
        <sz val="12"/>
        <color rgb="FFFF0000"/>
        <rFont val="Times New Roman"/>
        <family val="1"/>
      </rPr>
      <t xml:space="preserve">  328128183 ZALO</t>
    </r>
  </si>
  <si>
    <t xml:space="preserve">Ly Thị Hoa </t>
  </si>
  <si>
    <t>https://www.facebook.com/share/15L7Tzo24y/?mibextid=LQQJ4d</t>
  </si>
  <si>
    <t>Lê Thị Dịu</t>
  </si>
  <si>
    <t>Lediu31102004@gmail.com</t>
  </si>
  <si>
    <t xml:space="preserve">số nhà 25, ngõ 80 Đường Xuân phương, Phương Canh,   Nam Từ Liêm, Hà Nội </t>
  </si>
  <si>
    <t>https://drive.google.com/open?id=16HqyzJ132DrZY5u7TpDdpHa6O0va-xXH; https://drive.google.com/open?id=1FPTXs7uLaF_nM7iy2SVunD2TXPElyADS</t>
  </si>
  <si>
    <t>Ktx kinh bắc đường tô hiến thành tp bắc ninh</t>
  </si>
  <si>
    <t>Số 69, Ngách 169/79 Đường Hoàng Mai, Phường Hoàng Văn Thụ, Quận Hoàng Mai, Hà Nội</t>
  </si>
  <si>
    <t>https://www.facebook.com/profile.php?id=100074522943025&amp;mibextid=LQQJ4d&amp;mibextid=LQQJ4d</t>
  </si>
  <si>
    <r>
      <rPr>
        <sz val="12"/>
        <color theme="1"/>
        <rFont val="Times New Roman"/>
        <family val="1"/>
      </rPr>
      <t>Nghiêm Thị Quỳnh Chang</t>
    </r>
    <r>
      <rPr>
        <sz val="12"/>
        <color rgb="FFFF0000"/>
        <rFont val="Times New Roman"/>
        <family val="1"/>
      </rPr>
      <t xml:space="preserve"> - đã nộp 300K 12/06/25
T293 bảo lưu b13. Học T317 b4</t>
    </r>
  </si>
  <si>
    <t xml:space="preserve"> số nhà 17 ngách 99 ngõ 401 Xuân Đỉnh - Bắc Từ Liêm, Hà Nội</t>
  </si>
  <si>
    <t>29/11/2024 và 07/12/2024</t>
  </si>
  <si>
    <r>
      <rPr>
        <u/>
        <sz val="12"/>
        <color rgb="FF1155CC"/>
        <rFont val="Times New Roman"/>
        <family val="1"/>
      </rPr>
      <t xml:space="preserve">https://drive.google.com/open?id=1VHYMTKHdhjCqLi0CowCXIKuZ5g8XFDdA; https://drive.google.com/open?id=149PUcPxsoQcDiNKaEbLQAKqjeIH7QbGs; https://drive.google.com/open?id=14rmtmaK8wokn1B-tSbmDbWgyHs1PHoix, </t>
    </r>
    <r>
      <rPr>
        <u/>
        <sz val="12"/>
        <color rgb="FF1155CC"/>
        <rFont val="Times New Roman"/>
        <family val="1"/>
      </rPr>
      <t>https://drive.google.com/open?id=10Mt-Ffc-AT-MSzTNI5nfITuF9281A08l</t>
    </r>
  </si>
  <si>
    <t>Trả lương T03.2025</t>
  </si>
  <si>
    <t>Sửa đơn từ Hằng sang Hà. Yến chat</t>
  </si>
  <si>
    <t>https://www.facebook.com/people/Nhi-Tran-Thao/pfbid02CrQYe2RC716X4SXZRUUNGwhT4gDkPLTJiYLrA8g1LYxyKJyB5og7r5zDjEbtNjQhl/</t>
  </si>
  <si>
    <t>Trần Thảo Nhi</t>
  </si>
  <si>
    <t>thaonhit70@gmail.com</t>
  </si>
  <si>
    <t>Số 32, ngõ 91 Cầu Diễn, Phúc Diễn, Bắc Từ Liêm, Hà Nội</t>
  </si>
  <si>
    <t>05/12/2024 và 14/12/2024</t>
  </si>
  <si>
    <t>https://drive.google.com/open?id=1mcSEa329tMHI8Q-iN0wQ7fS_N37pmijr; https://drive.google.com/open?id=1CitQ2p59ixOdo8FgPLKHrguQ1q4g3LCy; https://drive.google.com/open?id=1deefkbz-sHvsHCVBtM1QJVn_Qy9cvNxr</t>
  </si>
  <si>
    <t>T374</t>
  </si>
  <si>
    <r>
      <rPr>
        <sz val="12"/>
        <color theme="1"/>
        <rFont val="Times New Roman"/>
        <family val="1"/>
      </rPr>
      <t xml:space="preserve">Nguyễn Hữu Mạnh </t>
    </r>
    <r>
      <rPr>
        <sz val="12"/>
        <color rgb="FFFF0000"/>
        <rFont val="Times New Roman"/>
        <family val="1"/>
      </rPr>
      <t>- Chưa nộp 300K
T293 bảo lưu b18. Học T374 b17</t>
    </r>
  </si>
  <si>
    <t>trọ đại trà, Phường Lê Hồng Phong , Thành Phố Phủ Lý, Hà Nam</t>
  </si>
  <si>
    <r>
      <rPr>
        <sz val="12"/>
        <color theme="1"/>
        <rFont val="Times New Roman"/>
        <family val="1"/>
      </rPr>
      <t>Vương Đức Hoàng Anh</t>
    </r>
    <r>
      <rPr>
        <sz val="12"/>
        <color rgb="FFFF0000"/>
        <rFont val="Times New Roman"/>
        <family val="1"/>
      </rPr>
      <t xml:space="preserve"> - Vàng Pazzie</t>
    </r>
  </si>
  <si>
    <t>OT106</t>
  </si>
  <si>
    <r>
      <rPr>
        <sz val="12"/>
        <color theme="1"/>
        <rFont val="Times New Roman"/>
        <family val="1"/>
      </rPr>
      <t>Phạm Thanh</t>
    </r>
    <r>
      <rPr>
        <sz val="12"/>
        <color rgb="FFFF0000"/>
        <rFont val="Times New Roman"/>
        <family val="1"/>
      </rPr>
      <t xml:space="preserve"> - T294, OT104 rút sát ngày KG
T302 bảo lưu b4. Học OT106 b1. Đã nộp 300K 11/12/2025</t>
    </r>
  </si>
  <si>
    <t>Toà 55, Ngõ 1150 Đường Láng, Đống Đa, Hà Nội</t>
  </si>
  <si>
    <r>
      <rPr>
        <sz val="12"/>
        <color theme="1"/>
        <rFont val="Times New Roman"/>
        <family val="1"/>
      </rPr>
      <t>Nông Thị Bảo Ngọc</t>
    </r>
    <r>
      <rPr>
        <sz val="12"/>
        <color rgb="FFFF0000"/>
        <rFont val="Times New Roman"/>
        <family val="1"/>
      </rPr>
      <t xml:space="preserve"> - 0899210821 sỗ cũ</t>
    </r>
  </si>
  <si>
    <t xml:space="preserve"> Quang Trung 1, Lương Thông, Hà Quảng, Cao Bằng</t>
  </si>
  <si>
    <t>https://www.facebook.com/ng.quang15K</t>
  </si>
  <si>
    <r>
      <rPr>
        <sz val="12"/>
        <color theme="1"/>
        <rFont val="Times New Roman"/>
        <family val="1"/>
      </rPr>
      <t xml:space="preserve">Nguyên Quang Khải </t>
    </r>
    <r>
      <rPr>
        <sz val="12"/>
        <color rgb="FFFF0000"/>
        <rFont val="Times New Roman"/>
        <family val="1"/>
      </rPr>
      <t>- Đã nộp 300K 15/05/2025
T293 bảo lưu b11. Học T302 b10</t>
    </r>
  </si>
  <si>
    <t>15khai09ok@gmail.com</t>
  </si>
  <si>
    <t>Winmart, Xã Phù Vân , Thành Phố Phủ Lý , Hà Nam</t>
  </si>
  <si>
    <t>07/12/2024 và 12/12/2024</t>
  </si>
  <si>
    <t>https://drive.google.com/open?id=15NoJOInIa9jepaAWXXFAGjAUJJVSY5kv; https://drive.google.com/open?id=1Jy3E6qOUZp1k29HyVk1hapeVoUNpCGlS; https://drive.google.com/open?id=1rAdRhrtRDHRWRr81lL5Q5RaEAYw8-fQ2</t>
  </si>
  <si>
    <t>Hoàng Phương Thúy</t>
  </si>
  <si>
    <t xml:space="preserve"> Thôn Chang Pồng  khu chợ Lâm Thượng Xã lâm thượng Huyện Lục Yên Tỉnh Yên Bái</t>
  </si>
  <si>
    <r>
      <rPr>
        <sz val="12"/>
        <color theme="1"/>
        <rFont val="Times New Roman"/>
        <family val="1"/>
      </rPr>
      <t xml:space="preserve">Trần Anh Dũng </t>
    </r>
    <r>
      <rPr>
        <sz val="12"/>
        <color rgb="FFFF0000"/>
        <rFont val="Times New Roman"/>
        <family val="1"/>
      </rPr>
      <t>- học lại. kiểm tra lại. Mua sách 200K 12/02/25</t>
    </r>
  </si>
  <si>
    <t>Số 4 297 Trần Cung, Phường Cổ Nhuế 1, Bắc Từ Liêm, Hà Nội</t>
  </si>
  <si>
    <t>Sách lớp cũ</t>
  </si>
  <si>
    <r>
      <rPr>
        <sz val="12"/>
        <color theme="1"/>
        <rFont val="Times New Roman"/>
        <family val="1"/>
      </rPr>
      <t>Nguyễn Huy Tú</t>
    </r>
    <r>
      <rPr>
        <sz val="12"/>
        <color rgb="FFFF0000"/>
        <rFont val="Times New Roman"/>
        <family val="1"/>
      </rPr>
      <t xml:space="preserve"> - học lại. KIểm tra lại</t>
    </r>
  </si>
  <si>
    <t>296 ngõ chiến thắng, quận đống đa</t>
  </si>
  <si>
    <t>Nguyễn Thị Thu Trang</t>
  </si>
  <si>
    <r>
      <rPr>
        <sz val="12"/>
        <color theme="1"/>
        <rFont val="Times New Roman"/>
        <family val="1"/>
      </rPr>
      <t>Lê Văn Phong</t>
    </r>
    <r>
      <rPr>
        <sz val="12"/>
        <color rgb="FFFF0000"/>
        <rFont val="Times New Roman"/>
        <family val="1"/>
      </rPr>
      <t xml:space="preserve"> - học lại. Kiểm tra lại</t>
    </r>
  </si>
  <si>
    <t>T370</t>
  </si>
  <si>
    <r>
      <rPr>
        <sz val="12"/>
        <color theme="1"/>
        <rFont val="Times New Roman"/>
        <family val="1"/>
      </rPr>
      <t>Trần Thị Hà</t>
    </r>
    <r>
      <rPr>
        <sz val="12"/>
        <color rgb="FFFF0000"/>
        <rFont val="Times New Roman"/>
        <family val="1"/>
      </rPr>
      <t xml:space="preserve"> - Chưa nộp 300K</t>
    </r>
    <r>
      <rPr>
        <sz val="12"/>
        <color theme="1"/>
        <rFont val="Times New Roman"/>
        <family val="1"/>
      </rPr>
      <t xml:space="preserve">
</t>
    </r>
    <r>
      <rPr>
        <sz val="12"/>
        <color rgb="FFFF0000"/>
        <rFont val="Times New Roman"/>
        <family val="1"/>
      </rPr>
      <t>OT62 bảo lưu b14. Học T370 b12</t>
    </r>
  </si>
  <si>
    <t>VIP134</t>
  </si>
  <si>
    <t>https://www.facebook.com/share/15yLNsxJKW/</t>
  </si>
  <si>
    <t>Ktx sinh viên học viện múa , khu vhnt mai dịch, cầu giấy, Hà Nội</t>
  </si>
  <si>
    <r>
      <rPr>
        <sz val="12"/>
        <color theme="1"/>
        <rFont val="Times New Roman"/>
        <family val="1"/>
      </rPr>
      <t>Nguyễn Ngọc Hà Anh</t>
    </r>
    <r>
      <rPr>
        <sz val="12"/>
        <color rgb="FFFF0000"/>
        <rFont val="Times New Roman"/>
        <family val="1"/>
      </rPr>
      <t xml:space="preserve"> </t>
    </r>
  </si>
  <si>
    <t>https://www.facebook.com/trongquynh2k6?mibextid=wwXIfr&amp;mibextid=wwXIfr</t>
  </si>
  <si>
    <t>VIP177</t>
  </si>
  <si>
    <t>Phan Phương Linh</t>
  </si>
  <si>
    <r>
      <rPr>
        <sz val="12"/>
        <color theme="1"/>
        <rFont val="Times New Roman"/>
        <family val="1"/>
      </rPr>
      <t>Đại Thị Tuyền</t>
    </r>
    <r>
      <rPr>
        <sz val="12"/>
        <color rgb="FFFF0000"/>
        <rFont val="Times New Roman"/>
        <family val="1"/>
      </rPr>
      <t xml:space="preserve"> - OVIP27</t>
    </r>
  </si>
  <si>
    <t>VIP191</t>
  </si>
  <si>
    <r>
      <rPr>
        <sz val="12"/>
        <color theme="1"/>
        <rFont val="Times New Roman"/>
        <family val="1"/>
      </rPr>
      <t xml:space="preserve">Phạm Thị Tuyết Ngân </t>
    </r>
    <r>
      <rPr>
        <sz val="12"/>
        <color rgb="FFFF0000"/>
        <rFont val="Times New Roman"/>
        <family val="1"/>
      </rPr>
      <t>- test lại. Đã nộp 300K 31/08/25
OVIP28 bảo lưu b14. Học VIP191 b1</t>
    </r>
  </si>
  <si>
    <r>
      <rPr>
        <sz val="12"/>
        <color theme="1"/>
        <rFont val="Times New Roman"/>
        <family val="1"/>
      </rPr>
      <t xml:space="preserve"> Trần Hoàng Ngân</t>
    </r>
    <r>
      <rPr>
        <sz val="12"/>
        <color rgb="FFFF0000"/>
        <rFont val="Times New Roman"/>
        <family val="1"/>
      </rPr>
      <t xml:space="preserve"> </t>
    </r>
  </si>
  <si>
    <t>Số nhà 36 ngõ 261/48 Phú Diễn, Bắc Từ Liêm, Hà Nội</t>
  </si>
  <si>
    <t>OVIP39</t>
  </si>
  <si>
    <r>
      <rPr>
        <sz val="12"/>
        <color theme="1"/>
        <rFont val="Times New Roman"/>
        <family val="1"/>
      </rPr>
      <t xml:space="preserve">Nguyễn Tiến Đạt </t>
    </r>
    <r>
      <rPr>
        <sz val="12"/>
        <color rgb="FFFF0000"/>
        <rFont val="Times New Roman"/>
        <family val="1"/>
      </rPr>
      <t>- Đã nộp 300K 09/06/2025</t>
    </r>
    <r>
      <rPr>
        <sz val="12"/>
        <color theme="1"/>
        <rFont val="Times New Roman"/>
        <family val="1"/>
      </rPr>
      <t xml:space="preserve">
</t>
    </r>
    <r>
      <rPr>
        <sz val="12"/>
        <color rgb="FFFF0000"/>
        <rFont val="Times New Roman"/>
        <family val="1"/>
      </rPr>
      <t>OVIP21 bảo lưu b4. Học OVIP39 buổi 5</t>
    </r>
  </si>
  <si>
    <t>T347</t>
  </si>
  <si>
    <r>
      <rPr>
        <sz val="12"/>
        <color theme="1"/>
        <rFont val="Times New Roman"/>
        <family val="1"/>
      </rPr>
      <t xml:space="preserve"> Lê Thanh Tâm</t>
    </r>
    <r>
      <rPr>
        <sz val="12"/>
        <color rgb="FFFF0000"/>
        <rFont val="Times New Roman"/>
        <family val="1"/>
      </rPr>
      <t xml:space="preserve"> - đã nộp 300K 03/05/22025
T292 bảo lưu b19. Học T347 b13</t>
    </r>
  </si>
  <si>
    <t>16 ngõ 102 Trần Phú Mộ Lao Hà Đông , Hà Nội</t>
  </si>
  <si>
    <t>26 ngõ 100 đông thiên, vĩnh hưng , hoàng mai, Hà Nội</t>
  </si>
  <si>
    <r>
      <rPr>
        <sz val="12"/>
        <color theme="1"/>
        <rFont val="Times New Roman"/>
        <family val="1"/>
      </rPr>
      <t>Nguyễn Thế Đức</t>
    </r>
    <r>
      <rPr>
        <sz val="12"/>
        <color rgb="FFFF0000"/>
        <rFont val="Times New Roman"/>
        <family val="1"/>
      </rPr>
      <t xml:space="preserve"> </t>
    </r>
  </si>
  <si>
    <t>T286 bảo lưu buổi 17</t>
  </si>
  <si>
    <r>
      <rPr>
        <sz val="12"/>
        <color theme="1"/>
        <rFont val="Times New Roman"/>
        <family val="1"/>
      </rPr>
      <t xml:space="preserve">Trần Đình Chiến </t>
    </r>
    <r>
      <rPr>
        <sz val="12"/>
        <color rgb="FFFF0000"/>
        <rFont val="Times New Roman"/>
        <family val="1"/>
      </rPr>
      <t>- đã nộp 300K 07/05/2025
T286 bảo lưu buổi 18. Học T từ buổi 1 đã nộp 1,350K 05/08/2025</t>
    </r>
  </si>
  <si>
    <r>
      <rPr>
        <sz val="12"/>
        <color theme="1"/>
        <rFont val="Times New Roman"/>
        <family val="1"/>
      </rPr>
      <t>Đặng Minh Quang</t>
    </r>
    <r>
      <rPr>
        <sz val="12"/>
        <color rgb="FFFF0000"/>
        <rFont val="Times New Roman"/>
        <family val="1"/>
      </rPr>
      <t xml:space="preserve"> </t>
    </r>
  </si>
  <si>
    <t>OVIP52</t>
  </si>
  <si>
    <t>https://www.facebook.com/profile.php?id=100054343832305&amp;mibextid=LQQJ4d</t>
  </si>
  <si>
    <r>
      <rPr>
        <sz val="12"/>
        <color theme="1"/>
        <rFont val="Times New Roman"/>
        <family val="1"/>
      </rPr>
      <t xml:space="preserve">Nguyễn Văn Minh </t>
    </r>
    <r>
      <rPr>
        <sz val="12"/>
        <color rgb="FFFF0000"/>
        <rFont val="Times New Roman"/>
        <family val="1"/>
      </rPr>
      <t>- đổi E3 học VIP
OVIP51 hv thứ 27</t>
    </r>
  </si>
  <si>
    <t>nguyenvanminh20055@gmail.com</t>
  </si>
  <si>
    <t>https://drive.google.com/open?id=1rvFShDjzfv90SRWG9fZ_zQq4HjIS9IVr; https://drive.google.com/open?id=1AisCG-yQSvkQh1tjwvvVXwnpG978lWJh</t>
  </si>
  <si>
    <t>B679</t>
  </si>
  <si>
    <t>https://www.facebook.com/kthahndatiumeo</t>
  </si>
  <si>
    <r>
      <rPr>
        <sz val="12"/>
        <color theme="1"/>
        <rFont val="Times New Roman"/>
        <family val="1"/>
      </rPr>
      <t xml:space="preserve">Kim Thành Đạt </t>
    </r>
    <r>
      <rPr>
        <sz val="12"/>
        <color rgb="FFFF0000"/>
        <rFont val="Times New Roman"/>
        <family val="1"/>
      </rPr>
      <t>- đổi E3 học T. Chưa nộp 300K
OT57 học 1 buổi xin sang OT62</t>
    </r>
  </si>
  <si>
    <t>kimthanhdat782005@gmail.com</t>
  </si>
  <si>
    <t>số 22 8/2/196 Nguyễn Khang, Yên Hòa, Cầu Giấy, Hà Nội.</t>
  </si>
  <si>
    <t>08/10/2023 và 18/06/2024</t>
  </si>
  <si>
    <t>https://drive.google.com/open?id=1p-vRbGBus4JlDWmqycfTCvxkBxl7yG9F, https://drive.google.com/open?id=1-TFxUFOQV1i7mWaaL5-Z-Y_cx66XHRO8; https://drive.google.com/open?id=1n6elZFjZc_153hCiWXq08KpX9BQryiyS</t>
  </si>
  <si>
    <t>OVIP18 bảo lưu buổi 15</t>
  </si>
  <si>
    <r>
      <rPr>
        <sz val="12"/>
        <color theme="1"/>
        <rFont val="Times New Roman"/>
        <family val="1"/>
      </rPr>
      <t>Nguyễn Hồng Quân</t>
    </r>
    <r>
      <rPr>
        <sz val="12"/>
        <color rgb="FFFF0000"/>
        <rFont val="Times New Roman"/>
        <family val="1"/>
      </rPr>
      <t xml:space="preserve"> - đã nộp 300K 04/04/2025</t>
    </r>
  </si>
  <si>
    <t>HV tự vào OVIP17 và đã nhận sách</t>
  </si>
  <si>
    <t>11D, ngõ 192, Yên Hòa, Cầu Giấy, Hà Nội</t>
  </si>
  <si>
    <t>T286 bảo lưu b12</t>
  </si>
  <si>
    <r>
      <rPr>
        <sz val="12"/>
        <color theme="1"/>
        <rFont val="Times New Roman"/>
        <family val="1"/>
      </rPr>
      <t>Phạm Linh</t>
    </r>
    <r>
      <rPr>
        <sz val="12"/>
        <color rgb="FFFF0000"/>
        <rFont val="Times New Roman"/>
        <family val="1"/>
      </rPr>
      <t xml:space="preserve"> - học lại miễn phí
T286 bảo lưu b2. Hủy ko bảo lưu nữa</t>
    </r>
  </si>
  <si>
    <t>Số 2a ngách 61 ngõ 1002 đường láng , Đống Đa ,Hà Nội</t>
  </si>
  <si>
    <t>OVIP14, VIP126</t>
  </si>
  <si>
    <r>
      <rPr>
        <sz val="12"/>
        <color theme="1"/>
        <rFont val="Times New Roman"/>
        <family val="1"/>
      </rPr>
      <t xml:space="preserve">Nguyễn Vũ Minh </t>
    </r>
    <r>
      <rPr>
        <sz val="12"/>
        <color rgb="FFFF0000"/>
        <rFont val="Times New Roman"/>
        <family val="1"/>
      </rPr>
      <t>- học lại miễn phí VIP126 từ b5
Bảo lưu từ b11 VIP126 do trùng lịch - Đã nộp 300K 02/03/25
VIP139 phá lớp từ buổi 16. Học VIP146 buổi 14</t>
    </r>
  </si>
  <si>
    <t>số nhà 19 Ngõ 35 Trần Thái Tông, phường Dịch Vọng, Cầu Giấy, Hà Nội</t>
  </si>
  <si>
    <t>nhà số 7, ngách 25, ngõ 218 lĩnh nam, hoàng mai, hà nội</t>
  </si>
  <si>
    <r>
      <rPr>
        <sz val="12"/>
        <color theme="1"/>
        <rFont val="Times New Roman"/>
        <family val="1"/>
      </rPr>
      <t>Nguyễn Thị Trang</t>
    </r>
    <r>
      <rPr>
        <sz val="12"/>
        <color rgb="FFFF0000"/>
        <rFont val="Times New Roman"/>
        <family val="1"/>
      </rPr>
      <t xml:space="preserve"> - học lại miễn phí - Đã nộp 300K 23/07/2025
T294 bảo lưu b18 đi quân sự. Học T310 b18</t>
    </r>
  </si>
  <si>
    <t>nhà D21-19, khu D đô thị geleximco dương nội, Hà Đông</t>
  </si>
  <si>
    <r>
      <rPr>
        <sz val="12"/>
        <color theme="1"/>
        <rFont val="Times New Roman"/>
        <family val="1"/>
      </rPr>
      <t>Vũ Thị Như Quỳnh</t>
    </r>
    <r>
      <rPr>
        <sz val="12"/>
        <color rgb="FFFF0000"/>
        <rFont val="Times New Roman"/>
        <family val="1"/>
      </rPr>
      <t xml:space="preserve"> - Quỳnh Cutee OT63</t>
    </r>
  </si>
  <si>
    <r>
      <rPr>
        <sz val="12"/>
        <color theme="1"/>
        <rFont val="Times New Roman"/>
        <family val="1"/>
      </rPr>
      <t>Cấn Nhật Anh</t>
    </r>
    <r>
      <rPr>
        <sz val="12"/>
        <color rgb="FFFF0000"/>
        <rFont val="Times New Roman"/>
        <family val="1"/>
      </rPr>
      <t xml:space="preserve"> - OT63</t>
    </r>
  </si>
  <si>
    <r>
      <rPr>
        <sz val="12"/>
        <color theme="1"/>
        <rFont val="Times New Roman"/>
        <family val="1"/>
      </rPr>
      <t>Lê Ninh Toàn Thắng</t>
    </r>
    <r>
      <rPr>
        <sz val="12"/>
        <color rgb="FFFF0000"/>
        <rFont val="Times New Roman"/>
        <family val="1"/>
      </rPr>
      <t xml:space="preserve"> </t>
    </r>
  </si>
  <si>
    <r>
      <rPr>
        <sz val="12"/>
        <color theme="1"/>
        <rFont val="Times New Roman"/>
        <family val="1"/>
      </rPr>
      <t>Trịnh Phương Anh</t>
    </r>
    <r>
      <rPr>
        <sz val="12"/>
        <color rgb="FFFFFF00"/>
        <rFont val="Times New Roman"/>
        <family val="1"/>
      </rPr>
      <t xml:space="preserve"> </t>
    </r>
  </si>
  <si>
    <t xml:space="preserve">Trần Hoàng Nhi </t>
  </si>
  <si>
    <r>
      <rPr>
        <sz val="12"/>
        <color theme="1"/>
        <rFont val="Times New Roman"/>
        <family val="1"/>
      </rPr>
      <t>Hứa Quỳnh Chi</t>
    </r>
    <r>
      <rPr>
        <sz val="12"/>
        <color rgb="FFFF0000"/>
        <rFont val="Times New Roman"/>
        <family val="1"/>
      </rPr>
      <t xml:space="preserve"> - nhận sách trước để mang đi Trung Quốc
VIP 156 HV thứ 11</t>
    </r>
  </si>
  <si>
    <t xml:space="preserve">Nguyễn Thị Quỳnh Nga </t>
  </si>
  <si>
    <t>18H2, Ngõ 130 Xuân Thuỷ, Cầu Giấy, Hà Nội</t>
  </si>
  <si>
    <t>Dương Thanh Hoan</t>
  </si>
  <si>
    <t>43 Ngõ 177 Đường Cầu Diễn, Bắc Từ Liêm, Hà Nội</t>
  </si>
  <si>
    <t>S11</t>
  </si>
  <si>
    <t>Số nhà 33 ngách 132/12 Đường Cầu Diễn , Phường Minh Khai, quận Bắc Từ Liêm, Hà Nội</t>
  </si>
  <si>
    <t>VIP148</t>
  </si>
  <si>
    <r>
      <rPr>
        <sz val="12"/>
        <color theme="1"/>
        <rFont val="Times New Roman"/>
        <family val="1"/>
      </rPr>
      <t xml:space="preserve">Đỗ Thị Ngọc Ánh </t>
    </r>
    <r>
      <rPr>
        <sz val="12"/>
        <color rgb="FFFF0000"/>
        <rFont val="Times New Roman"/>
        <family val="1"/>
      </rPr>
      <t>- đã nộp 300K 23/05/2025
VIP134 bảo lưu b19. Học VIP148 b19</t>
    </r>
  </si>
  <si>
    <t>Xóm Chùa, xã Khánh Nhạc, huyện Yên Khánh, tỉnh Ninh Bình</t>
  </si>
  <si>
    <t>Nguyễn Thị Thu</t>
  </si>
  <si>
    <t>Số 76 Ngõ 138 Tân Triều, Thanh Trì, Hà Nội</t>
  </si>
  <si>
    <t>T342</t>
  </si>
  <si>
    <r>
      <rPr>
        <sz val="12"/>
        <color theme="1"/>
        <rFont val="Times New Roman"/>
        <family val="1"/>
      </rPr>
      <t xml:space="preserve">Nguyễn Thị Ngọc </t>
    </r>
    <r>
      <rPr>
        <sz val="12"/>
        <color rgb="FFFF0000"/>
        <rFont val="Times New Roman"/>
        <family val="1"/>
      </rPr>
      <t>- Đã nộp 300K 04/09/2025
T286 bảo lưu b14 hv nói. Học T342 buổi 8</t>
    </r>
  </si>
  <si>
    <r>
      <rPr>
        <sz val="12"/>
        <color theme="1"/>
        <rFont val="Times New Roman"/>
        <family val="1"/>
      </rPr>
      <t xml:space="preserve">Thái Thị Mỹ </t>
    </r>
    <r>
      <rPr>
        <sz val="12"/>
        <color rgb="FFFF0000"/>
        <rFont val="Times New Roman"/>
        <family val="1"/>
      </rPr>
      <t>- đã nộp 300K 10/06/2025
T286 bảo lưu b17. Học T307 b12</t>
    </r>
  </si>
  <si>
    <r>
      <rPr>
        <sz val="12"/>
        <color theme="1"/>
        <rFont val="Times New Roman"/>
        <family val="1"/>
      </rPr>
      <t>Đào Thu Hương</t>
    </r>
    <r>
      <rPr>
        <sz val="12"/>
        <color rgb="FFFF0000"/>
        <rFont val="Times New Roman"/>
        <family val="1"/>
      </rPr>
      <t xml:space="preserve"> </t>
    </r>
  </si>
  <si>
    <t>Số 35 , ngách 1/92 ,Đường Văn Hội ,Phường Đức Thắng ,Quận Bắc Từ Liêm ,Hà Nội</t>
  </si>
  <si>
    <t>S17</t>
  </si>
  <si>
    <t>https://web.facebook.com/nthy2601</t>
  </si>
  <si>
    <r>
      <rPr>
        <sz val="12"/>
        <color theme="1"/>
        <rFont val="Times New Roman"/>
        <family val="1"/>
      </rPr>
      <t>Nguyễn Thị Hải Yến</t>
    </r>
    <r>
      <rPr>
        <sz val="12"/>
        <color rgb="FFFF0000"/>
        <rFont val="Times New Roman"/>
        <family val="1"/>
      </rPr>
      <t xml:space="preserve"> - Đã nộp 300K 10/05/2025
OS3 bảo lưu b3 gãy chân. Học S17 buổi 1</t>
    </r>
  </si>
  <si>
    <t>OVIP8, OVIP13</t>
  </si>
  <si>
    <t>https://www.facebook.com/phganhha182?mibextid=LQQJ4d</t>
  </si>
  <si>
    <t xml:space="preserve">Hà Phương Anh </t>
  </si>
  <si>
    <t>phuonganh08111803hd@gmail.com</t>
  </si>
  <si>
    <t>03/09/2024 và 10/12/2024</t>
  </si>
  <si>
    <t>https://drive.google.com/open?id=12ySg9HR-JMMbSeyTANvlgp7nY-44Y7iA; https://drive.google.com/open?id=1jzzJ6TuoEmQauE_niVuVOXJpRK7S6zRq; https://drive.google.com/open?id=1VKptaxUEYQWLzl5i0AXVC_L-80M_b7O8</t>
  </si>
  <si>
    <t>https://www.facebook.com/huy.ngoquanghuy.581</t>
  </si>
  <si>
    <r>
      <rPr>
        <sz val="12"/>
        <color theme="1"/>
        <rFont val="Times New Roman"/>
        <family val="1"/>
      </rPr>
      <t>Ngô Quang Huy</t>
    </r>
    <r>
      <rPr>
        <sz val="12"/>
        <color rgb="FFFF0000"/>
        <rFont val="Times New Roman"/>
        <family val="1"/>
      </rPr>
      <t xml:space="preserve"> </t>
    </r>
  </si>
  <si>
    <t>ngoquanghuy171106@gmail.com</t>
  </si>
  <si>
    <t>số nhà 5 ngõ 157/31 pháo đài láng</t>
  </si>
  <si>
    <t>https://drive.google.com/open?id=19UaTviGYEO38W-OjorkE7h2nfsnZIFF9; https://drive.google.com/open?id=1gyJA_Zx6vTh6uIWWYOo1r5XRZMhw9U_4</t>
  </si>
  <si>
    <t>https://www.facebook.com/ky.nguyenba.940</t>
  </si>
  <si>
    <t xml:space="preserve">Nguyễn Bá Kỳ </t>
  </si>
  <si>
    <t>nguyenbaky305@gmail.com</t>
  </si>
  <si>
    <t>157 Pháo Đài Láng</t>
  </si>
  <si>
    <t>https://drive.google.com/open?id=1rokLpppSF9wl5laEtrMNuU_ZOnMp1RMa; https://drive.google.com/open?id=18fMvC9u8ctGirL39uSEntIiXuhp40Y8Z</t>
  </si>
  <si>
    <t>https://web.facebook.com/binh.ngan.90260403</t>
  </si>
  <si>
    <t xml:space="preserve">Trương Thị Lan Anh </t>
  </si>
  <si>
    <t>Dương Ngọc Tuấn Anh</t>
  </si>
  <si>
    <t>OT63 bảo lưu b13 đi quân sự</t>
  </si>
  <si>
    <r>
      <rPr>
        <sz val="12"/>
        <color theme="1"/>
        <rFont val="Times New Roman"/>
        <family val="1"/>
      </rPr>
      <t>Hoàng Đình Hải</t>
    </r>
    <r>
      <rPr>
        <sz val="12"/>
        <color rgb="FFFF0000"/>
        <rFont val="Times New Roman"/>
        <family val="1"/>
      </rPr>
      <t xml:space="preserve"> - đã nộp 300K 05/05/2025
OT63 bảo lưu b13 đi quân sự. Học T307 b1</t>
    </r>
  </si>
  <si>
    <t>Sách nhận lớp OFF</t>
  </si>
  <si>
    <r>
      <rPr>
        <sz val="12"/>
        <color theme="1"/>
        <rFont val="Times New Roman"/>
        <family val="1"/>
      </rPr>
      <t>Nghiêm Văn Hải</t>
    </r>
    <r>
      <rPr>
        <sz val="12"/>
        <color rgb="FFFF0000"/>
        <rFont val="Times New Roman"/>
        <family val="1"/>
      </rPr>
      <t xml:space="preserve"> - OT63 tối KG rút chiều, T302 Dương rút ra</t>
    </r>
  </si>
  <si>
    <t>Nhà số 10 ngách 41 ngõ thái thịnh 1, Trung Liệt, Đống Đa, Hà Nội</t>
  </si>
  <si>
    <t>https://www.facebook.com/people/Ng%E1%BB%8Dc-Linh/pfbid0SKjbrJG6ewCK6N1H6LUXhYog1SDbwB6SGtQFWqyDFb5JraZAY66uJ4qbjaT7taawl/?_rdc=1&amp;_rdr#</t>
  </si>
  <si>
    <t>OT73</t>
  </si>
  <si>
    <r>
      <rPr>
        <sz val="12"/>
        <color theme="1"/>
        <rFont val="Times New Roman"/>
        <family val="1"/>
      </rPr>
      <t xml:space="preserve">Đỗ Thị Ngọc Linh </t>
    </r>
    <r>
      <rPr>
        <sz val="12"/>
        <color rgb="FFFF0000"/>
        <rFont val="Times New Roman"/>
        <family val="1"/>
      </rPr>
      <t>- đã nộp 300K
OT63 bảo lưu b15. Học OT73 b13</t>
    </r>
  </si>
  <si>
    <r>
      <rPr>
        <sz val="12"/>
        <color theme="1"/>
        <rFont val="Times New Roman"/>
        <family val="1"/>
      </rPr>
      <t>Nguyễn Hữu Thăng</t>
    </r>
    <r>
      <rPr>
        <sz val="12"/>
        <color rgb="FFFF0000"/>
        <rFont val="Times New Roman"/>
        <family val="1"/>
      </rPr>
      <t xml:space="preserve"> - Chuyển nhượng đã nộp 300K 03/04/25
</t>
    </r>
    <r>
      <rPr>
        <sz val="12"/>
        <color theme="1"/>
        <rFont val="Times New Roman"/>
        <family val="1"/>
      </rPr>
      <t xml:space="preserve">Phạm Văn Đông </t>
    </r>
    <r>
      <rPr>
        <sz val="12"/>
        <color rgb="FFFF0000"/>
        <rFont val="Times New Roman"/>
        <family val="1"/>
      </rPr>
      <t>- nhận học 0818035501</t>
    </r>
  </si>
  <si>
    <t>S15</t>
  </si>
  <si>
    <r>
      <rPr>
        <sz val="12"/>
        <color theme="1"/>
        <rFont val="Times New Roman"/>
        <family val="1"/>
      </rPr>
      <t xml:space="preserve">Lê Hải Minh </t>
    </r>
    <r>
      <rPr>
        <sz val="12"/>
        <color rgb="FFFF0000"/>
        <rFont val="Times New Roman"/>
        <family val="1"/>
      </rPr>
      <t>- S11</t>
    </r>
  </si>
  <si>
    <t>OVIP24</t>
  </si>
  <si>
    <r>
      <rPr>
        <sz val="12"/>
        <color theme="1"/>
        <rFont val="Times New Roman"/>
        <family val="1"/>
      </rPr>
      <t>Cao Huy Hùng</t>
    </r>
    <r>
      <rPr>
        <sz val="12"/>
        <color rgb="FFFF0000"/>
        <rFont val="Times New Roman"/>
        <family val="1"/>
      </rPr>
      <t xml:space="preserve"> - Đã nộp 300K 23/03/2025</t>
    </r>
    <r>
      <rPr>
        <sz val="12"/>
        <color theme="1"/>
        <rFont val="Times New Roman"/>
        <family val="1"/>
      </rPr>
      <t xml:space="preserve">
</t>
    </r>
    <r>
      <rPr>
        <sz val="12"/>
        <color rgb="FFFF0000"/>
        <rFont val="Times New Roman"/>
        <family val="1"/>
      </rPr>
      <t>VIP136 bảo lưu b6. Học OVIP24</t>
    </r>
  </si>
  <si>
    <t>VIP176</t>
  </si>
  <si>
    <r>
      <rPr>
        <sz val="12"/>
        <color theme="1"/>
        <rFont val="Times New Roman"/>
        <family val="1"/>
      </rPr>
      <t>Hồ Thị Ngọc Châu</t>
    </r>
    <r>
      <rPr>
        <sz val="12"/>
        <color rgb="FFFF0000"/>
        <rFont val="Times New Roman"/>
        <family val="1"/>
      </rPr>
      <t xml:space="preserve"> - đã nộp 300K 23/07/2025
VIP134 bảo lưu b13. Học VIP176 b9</t>
    </r>
  </si>
  <si>
    <t>11 Giang Cự Vọng, Trung Mỹ Tây, Quận 12, TP Hồ Chí Minh</t>
  </si>
  <si>
    <r>
      <rPr>
        <sz val="12"/>
        <color theme="1"/>
        <rFont val="Times New Roman"/>
        <family val="1"/>
      </rPr>
      <t xml:space="preserve">Lê Thế Sơn </t>
    </r>
    <r>
      <rPr>
        <sz val="12"/>
        <color rgb="FFFF0000"/>
        <rFont val="Times New Roman"/>
        <family val="1"/>
      </rPr>
      <t>- học lại miễn phí</t>
    </r>
    <r>
      <rPr>
        <sz val="12"/>
        <color theme="1"/>
        <rFont val="Times New Roman"/>
        <family val="1"/>
      </rPr>
      <t xml:space="preserve"> - 339090046 số cũ</t>
    </r>
  </si>
  <si>
    <t>VIP149</t>
  </si>
  <si>
    <r>
      <rPr>
        <sz val="12"/>
        <color theme="1"/>
        <rFont val="Times New Roman"/>
        <family val="1"/>
      </rPr>
      <t>Ngô Phương Linh</t>
    </r>
    <r>
      <rPr>
        <sz val="12"/>
        <color rgb="FFFF0000"/>
        <rFont val="Times New Roman"/>
        <family val="1"/>
      </rPr>
      <t xml:space="preserve"> - đã nộp 300K 26/04/2025
VIP134 bảo lưu b11 đi quân sự. Học VIP149 b10</t>
    </r>
  </si>
  <si>
    <t xml:space="preserve">Lê Ngọc Nhi </t>
  </si>
  <si>
    <t>Số nhà 10, Tổ 8, phường Lê Hồng Phong, tp Phủ Lý, Hà Nam</t>
  </si>
  <si>
    <t>76/71 đường an trường, An Khánh, Hoài Đức, Hà Nội</t>
  </si>
  <si>
    <t>T295 bảo lưu b10</t>
  </si>
  <si>
    <t>Nhà số 10 ngõ 155/37 cầu giấy</t>
  </si>
  <si>
    <t>S33</t>
  </si>
  <si>
    <r>
      <rPr>
        <sz val="12"/>
        <color theme="1"/>
        <rFont val="Times New Roman"/>
        <family val="1"/>
      </rPr>
      <t xml:space="preserve">Vương Thị Thanh Trúc </t>
    </r>
    <r>
      <rPr>
        <sz val="12"/>
        <color rgb="FFFF0000"/>
        <rFont val="Times New Roman"/>
        <family val="1"/>
      </rPr>
      <t>- S11. tối KG, 3 giờ báo ko học</t>
    </r>
  </si>
  <si>
    <r>
      <rPr>
        <sz val="12"/>
        <color theme="1"/>
        <rFont val="Times New Roman"/>
        <family val="1"/>
      </rPr>
      <t>Phí Thị Anh Thư</t>
    </r>
    <r>
      <rPr>
        <sz val="12"/>
        <color rgb="FFFF0000"/>
        <rFont val="Times New Roman"/>
        <family val="1"/>
      </rPr>
      <t xml:space="preserve"> - học lại miễm phí
Ck 100K mua sách 18/02/2025</t>
    </r>
  </si>
  <si>
    <t xml:space="preserve"> An Đạm - Hoàng Hoa Thám - Ân Thi - Hưng Yên</t>
  </si>
  <si>
    <t>https://www.facebook.com/profile.php?id=100053263943923&amp;mibextid=LQQJ4d</t>
  </si>
  <si>
    <r>
      <rPr>
        <sz val="12"/>
        <color theme="1"/>
        <rFont val="Times New Roman"/>
        <family val="1"/>
      </rPr>
      <t xml:space="preserve">Nguyễn Thành Đạt - </t>
    </r>
    <r>
      <rPr>
        <sz val="12"/>
        <color rgb="FFFF0000"/>
        <rFont val="Times New Roman"/>
        <family val="1"/>
      </rPr>
      <t>PT125 rút phút 90</t>
    </r>
  </si>
  <si>
    <t>Toà CT1-A1 khu đô thi Tây Nam Linh Đàm, Hoàng Liệt, Hoàng Mai, Hà Nội</t>
  </si>
  <si>
    <t>https://drive.google.com/open?id=1Lw3Wxj8V9K8uBiyrCR1Wi9n_IIqWlMOm; https://drive.google.com/open?id=1lPMWEk08fVBCtdxfTIa6YKbqBrNaoEB_</t>
  </si>
  <si>
    <t>12/09/2024 sách cũ</t>
  </si>
  <si>
    <r>
      <rPr>
        <sz val="12"/>
        <color theme="1"/>
        <rFont val="Times New Roman"/>
        <family val="1"/>
      </rPr>
      <t xml:space="preserve">Hà Phương Anh </t>
    </r>
    <r>
      <rPr>
        <sz val="12"/>
        <color rgb="FFFF0000"/>
        <rFont val="Times New Roman"/>
        <family val="1"/>
      </rPr>
      <t xml:space="preserve">- OPT56 </t>
    </r>
  </si>
  <si>
    <t>OPT45 học 8 buổi nói dễ</t>
  </si>
  <si>
    <t>https://www.facebook.com/profile.php?id=100077677489767&amp;mibextid=LQQJ4d</t>
  </si>
  <si>
    <r>
      <rPr>
        <sz val="12"/>
        <color theme="1"/>
        <rFont val="Times New Roman"/>
        <family val="1"/>
      </rPr>
      <t xml:space="preserve">Hoàng Hải Đăng </t>
    </r>
    <r>
      <rPr>
        <sz val="12"/>
        <color rgb="FFFF0000"/>
        <rFont val="Times New Roman"/>
        <family val="1"/>
      </rPr>
      <t>- OPT45 học 8 buổi nói dễ
Chuyển lên OT35 học level 1. Đã nộp 300K 08/01/2025</t>
    </r>
  </si>
  <si>
    <t>https://drive.google.com/open?id=1UdQ-wS1pVqQmrLkLUyVRK95bIBCJjrkZ; https://drive.google.com/open?id=1xfLYeuVVyjalF4Al_ht2fiHiT3-MdOJG; https://drive.google.com/open?id=1CnedmSyafG2iJrD8G5fzHH4gRRPe-Gq5</t>
  </si>
  <si>
    <t>Đưa cô My sách OPT45 11/10/2024. Vào sau. Sách gửi Khánh</t>
  </si>
  <si>
    <t>PT144 bảo lưu b9</t>
  </si>
  <si>
    <t>https://www.facebook.com/profile.php?id=100077358394698&amp;mibextid=LQQJ4d</t>
  </si>
  <si>
    <r>
      <rPr>
        <sz val="12"/>
        <color theme="1"/>
        <rFont val="Times New Roman"/>
        <family val="1"/>
      </rPr>
      <t>Đào Quỳnh Hương</t>
    </r>
    <r>
      <rPr>
        <sz val="12"/>
        <color rgb="FFFF0000"/>
        <rFont val="Times New Roman"/>
        <family val="1"/>
      </rPr>
      <t xml:space="preserve"> - gửi hợp đồng học T
Bảo lưu b9 có chuyện gia đình. Hạ chat</t>
    </r>
  </si>
  <si>
    <t>quynhhuongdao760@gmail.com</t>
  </si>
  <si>
    <t>28 đường thịnh phát an khánh hoài đức hn</t>
  </si>
  <si>
    <t>https://drive.google.com/open?id=1vRerV279P_EARl_xU8Ump_G74kgytu6C</t>
  </si>
  <si>
    <t>https://drive.google.com/open?id=1GVPJ8v0mNdOMCrch1UKFkPqkNeG91CcQ</t>
  </si>
  <si>
    <t>https://www.facebook.com/siro.linh.12382</t>
  </si>
  <si>
    <t>Linhntta2k24ts4 @gmail.com</t>
  </si>
  <si>
    <t>30/11/2024 và 03/12/2024</t>
  </si>
  <si>
    <t>https://drive.google.com/open?id=1UwxaYNfKnRLDa1B1wK7kuPeYyFLSCpuG; https://drive.google.com/open?id=1nMCdRoavRmNe8r6zko-9KoGVn9O2k7sq</t>
  </si>
  <si>
    <t>https://www.facebook.com/people/L%C3%AA-A%C4%90%E1%BB%A9c/pfbid02PyHbSip4DFfiJqWE3TZ1F4CQU8JhPpNqFrgUgnj3y7Lc1yxx6NsN2aPhecV1d8u7l/</t>
  </si>
  <si>
    <r>
      <rPr>
        <sz val="12"/>
        <color theme="1"/>
        <rFont val="Times New Roman"/>
        <family val="1"/>
      </rPr>
      <t>Lê Anh Đức</t>
    </r>
    <r>
      <rPr>
        <sz val="12"/>
        <color rgb="FFFF0000"/>
        <rFont val="Times New Roman"/>
        <family val="1"/>
      </rPr>
      <t xml:space="preserve"> - hợp đồng</t>
    </r>
  </si>
  <si>
    <t>DavidAnhDucLe@gmail.com</t>
  </si>
  <si>
    <t>Số nhà 61 phố bùi đạt phường An Hưng thành phố thanh hoá khu đô thị mới đông sơn</t>
  </si>
  <si>
    <t>03/12/2024 và 07/12/2024</t>
  </si>
  <si>
    <t>https://drive.google.com/open?id=1rr_tsI1Qr4WLdNTXYVUT5OE0J3-EmlbC; https://drive.google.com/open?id=1RccShKc89YmOQf1oqkkzg1X0rhjTdaYF; https://drive.google.com/open?id=1wQrxUtI0lERomm63H6AIjQNtwtuLDxvp</t>
  </si>
  <si>
    <r>
      <rPr>
        <sz val="12"/>
        <color theme="1"/>
        <rFont val="Times New Roman"/>
        <family val="1"/>
      </rPr>
      <t>Ngô Quang Huy</t>
    </r>
    <r>
      <rPr>
        <sz val="12"/>
        <color rgb="FFFF0000"/>
        <rFont val="Times New Roman"/>
        <family val="1"/>
      </rPr>
      <t xml:space="preserve"> - hợp đồng</t>
    </r>
  </si>
  <si>
    <r>
      <rPr>
        <sz val="12"/>
        <color theme="1"/>
        <rFont val="Times New Roman"/>
        <family val="1"/>
      </rPr>
      <t xml:space="preserve">Nguyễn Bá Kỳ </t>
    </r>
    <r>
      <rPr>
        <sz val="12"/>
        <color rgb="FFFF0000"/>
        <rFont val="Times New Roman"/>
        <family val="1"/>
      </rPr>
      <t>- hợp đồng</t>
    </r>
  </si>
  <si>
    <t>Chị Yến nhận hộ em ạ</t>
  </si>
  <si>
    <t>Yến lấy hộ. Nhài đưa tay</t>
  </si>
  <si>
    <t>32, ngõ 91 Cầu Diễn, Kiều Mai, phường Phúc Diễn, quận Bắc Từ Liêm, Hà Nội</t>
  </si>
  <si>
    <t>https://www.facebook.com/profile.php?id=100054897678009</t>
  </si>
  <si>
    <t>Vy Bảo Ngọc</t>
  </si>
  <si>
    <t>vybaongoc.27042006@gmail.com</t>
  </si>
  <si>
    <t>Số 65, ngõ 169a Tây Sơn, Quang Trung, Đống Đa, Hà Nội</t>
  </si>
  <si>
    <t>06/12/2024 và 14/12/2024</t>
  </si>
  <si>
    <t>https://drive.google.com/open?id=1xdKD-bvHVWjDHCpkCO2ucu1gnqEJGLy4; https://drive.google.com/open?id=1uj-RtNtEnX0fd4E2MiPR3QxP3Xz4VY5n; https://drive.google.com/open?id=1c0ftdLaRgMJvOJ6ORumnCx_i75zged50</t>
  </si>
  <si>
    <t>190L - 160R</t>
  </si>
  <si>
    <t>https://www.facebook.com/haviethoang.nguyen?mibextid=LQQJ4d&amp;rdid=KlABDsfw6fvFqJVP&amp;share_url=https%3A%2F%2Fwww.facebook.com%2Fshare%2F8HnSwiVR6JDdZHdc%2F%3Fmibextid%3DLQQJ4d</t>
  </si>
  <si>
    <t>Nguyễn Hà Việt Hoàng</t>
  </si>
  <si>
    <t>số 1 hẻm 4 ngõ 58 đường trần bình</t>
  </si>
  <si>
    <t>https://drive.google.com/open?id=1N0V4ZWPpWJXODK9k_-XS6Zqu3fXo7ugK; https://drive.google.com/open?id=1T1AfUogo1So-pY2kEx0B8P9Ma6MHHrW6</t>
  </si>
  <si>
    <t>Nguyên Quang Khải</t>
  </si>
  <si>
    <t>Địa chỉ là cổng trường thcs c2 gia vượng- gia vượng- gia viễn-ninh bình</t>
  </si>
  <si>
    <t>https://www.facebook.com/profile.php?id=100064118670185</t>
  </si>
  <si>
    <t>Trần Thị Tường Vi</t>
  </si>
  <si>
    <t>tranthituongvi30032006@gmail.com</t>
  </si>
  <si>
    <t>32 Ngách 184/85 đê trần khát chân, Hà Nội</t>
  </si>
  <si>
    <t>12/12/2024 và 15/12/2024</t>
  </si>
  <si>
    <t>https://drive.google.com/open?id=1yvgficbQkAmOstnwGW217IpSfuBf065H; https://drive.google.com/open?id=1u_wGrnCExIecmwNddphP0s3DWP_kq5iU; https://drive.google.com/open?id=1ZewChoYya2gy5O9cQW355uiBDgl76aWv</t>
  </si>
  <si>
    <t>https://www.facebook.com/share/1DD6WfDzpP/?mibextid=LQQJ4d</t>
  </si>
  <si>
    <t>Hà Quang Huy</t>
  </si>
  <si>
    <t>lô 11-12 liền kề 23 khu đấu giá Mậu Lương</t>
  </si>
  <si>
    <t>13/12/2024 và 19/12/2024</t>
  </si>
  <si>
    <t>https://drive.google.com/open?id=1WjmPBSAXAc4YkSILsSHWx19blAXnJldU; https://drive.google.com/open?id=1bMi3_65zRJATngo1xfmVBpMTYBw_jU1D; https://drive.google.com/open?id=19e83bdIOyK22r-XeFRQXB7jhuhAAe4y_</t>
  </si>
  <si>
    <t>https://www.facebook.com/share/15eVoGGhFg/?mibextid=LQQJ4d</t>
  </si>
  <si>
    <t>Trần Thị Thanh Huyền</t>
  </si>
  <si>
    <t xml:space="preserve">Ngõ 112 la tinh 1 đông la hoài đức </t>
  </si>
  <si>
    <t>12/12/2024 và 18/12/2024</t>
  </si>
  <si>
    <t>https://drive.google.com/open?id=1dbGdamMGiZf9nIkhI2kVA9SaGxy-uMGd; https://drive.google.com/open?id=1ACJV72Tcl9LQP0RwoOIY4VkILNvl_Y5S; https://drive.google.com/open?id=1uAoE9B5DLsKV6PD-vAh-p1cxN-AgVD3O</t>
  </si>
  <si>
    <t>https://www.facebook.com/share/15VfZfgkGa/?mibextid=wwXIfr</t>
  </si>
  <si>
    <t xml:space="preserve">Phạm Hùng Sơn </t>
  </si>
  <si>
    <t>Khu tập thể giáo viên, Tiến Hưng 1, Luận Thành, Thường Xuân, Thanh Hoá</t>
  </si>
  <si>
    <t>https://drive.google.com/open?id=1pqFj8NKJ-n5FnB9-F9w2X3WEAjLN4w4b; https://drive.google.com/open?id=1gcsOriQD1zMkI-mG3eJXJoBGpu85565E</t>
  </si>
  <si>
    <t>PT163</t>
  </si>
  <si>
    <t>https://www.facebook.com/b.thao.750950?mibextid=ZbWKwL</t>
  </si>
  <si>
    <r>
      <rPr>
        <sz val="12"/>
        <color theme="1"/>
        <rFont val="Times New Roman"/>
        <family val="1"/>
      </rPr>
      <t xml:space="preserve">Lê Bích Thảo </t>
    </r>
    <r>
      <rPr>
        <sz val="12"/>
        <color rgb="FFFF0000"/>
        <rFont val="Times New Roman"/>
        <family val="1"/>
      </rPr>
      <t>- 8/1 Hiền đưa hợp đồng
Hợp đồng để ở thùng áo. Gửi HĐ khi học T</t>
    </r>
  </si>
  <si>
    <t>70/2 ấp Tân Lập, xã Tân Quy Tây, Thành phố Sa Đéc, tỉnh Đồng Tháp</t>
  </si>
  <si>
    <t>13/12/2024 và 06/01/2025</t>
  </si>
  <si>
    <t>19/01/2025 và 28/01/2025</t>
  </si>
  <si>
    <t>https://drive.google.com/open?id=1CnokhN_G3h_6xs5GZ8gzRdEuTUIIappQ; https://drive.google.com/open?id=1MsOUEEXoNxiMPXg2RjzFyaG9YkDbVLGq; https://drive.google.com/open?id=1QMn8KAHerzbGOjn0YQZ8RtbFtHH3NSye, https://drive.google.com/open?id=1SCXVHYbutg7aIExesSC1a08jGcJhEd6q</t>
  </si>
  <si>
    <t>https://www.facebook.com/share/1DHWNYdAuF/?mibextid=wwXIfr</t>
  </si>
  <si>
    <r>
      <rPr>
        <sz val="12"/>
        <color theme="1"/>
        <rFont val="Times New Roman"/>
        <family val="1"/>
      </rPr>
      <t>Lã Ngọc Ánh</t>
    </r>
    <r>
      <rPr>
        <sz val="12"/>
        <color rgb="FFFF0000"/>
        <rFont val="Times New Roman"/>
        <family val="1"/>
      </rPr>
      <t xml:space="preserve"> - hợp đồng</t>
    </r>
  </si>
  <si>
    <t>anh.langoc267@gmail.com</t>
  </si>
  <si>
    <t>Số nhà 54 ngõ 1 xóm thượng an, thôn My dương, xã Thanh Mai, Thanh Oai, Hà Nội</t>
  </si>
  <si>
    <t>16/12/2024 và 18/12/2024</t>
  </si>
  <si>
    <t>https://drive.google.com/open?id=1cBs7U1moIOOO_eQu9h0sfDUsyj1YPex1; https://drive.google.com/open?id=1S_qXUWLx3eT27AaSoWLOXDomq1grn9oU; https://drive.google.com/open?id=14DtJUehvQ9aupBEAo2dlqOn3DsC0HfBO</t>
  </si>
  <si>
    <t>https://www.facebook.com/people/Tr%E1%BA%A7n-Kh%E1%BA%AFc-Tr%E1%BB%8Dng/pfbid0234Wx6oGqTbjQTGYPWwxmoiKWBdrYvbEfzV6SHjW148ZrMwAxiwZijmL3HYU9o7p9l/</t>
  </si>
  <si>
    <r>
      <rPr>
        <sz val="12"/>
        <color theme="1"/>
        <rFont val="Times New Roman"/>
        <family val="1"/>
      </rPr>
      <t xml:space="preserve">Trần Khắc Trọng </t>
    </r>
    <r>
      <rPr>
        <sz val="12"/>
        <color rgb="FFFF0000"/>
        <rFont val="Times New Roman"/>
        <family val="1"/>
      </rPr>
      <t>- Hợp đồng</t>
    </r>
  </si>
  <si>
    <t>Cổng chính trường Đại học Công Nghiệp Hà Nội cs3</t>
  </si>
  <si>
    <t>18/12/2024 và 20/12/2024</t>
  </si>
  <si>
    <r>
      <rPr>
        <u/>
        <sz val="12"/>
        <color rgb="FF1155CC"/>
        <rFont val="Times New Roman"/>
        <family val="1"/>
      </rPr>
      <t xml:space="preserve">https://drive.google.com/open?id=15CTGQfoRHZbka6GMWpp7nB19sR81N-vH; https://drive.google.com/open?id=1hgeIG5ccaEwHKR4f-EGOcaDqmj_qNrCW; </t>
    </r>
    <r>
      <rPr>
        <u/>
        <sz val="12"/>
        <color rgb="FF1155CC"/>
        <rFont val="Times New Roman"/>
        <family val="1"/>
      </rPr>
      <t>https://drive.google.com/open?id=1Aq5xekwSYKIsRTk4Tyj3eTGlg_lklq7d</t>
    </r>
  </si>
  <si>
    <t>https://www.facebook.com/profile.php?id=100062182376196</t>
  </si>
  <si>
    <t xml:space="preserve">Trịnh Thảo Phương </t>
  </si>
  <si>
    <t>ngách 39 ngõ 75 hồ tùng mậu, Mai Dịch, Cầu Giấy, Hà Nội</t>
  </si>
  <si>
    <t>https://drive.google.com/open?id=16xlO10s6E6ZNGE6dOdn1BbP1kr1rbyW9; https://drive.google.com/open?id=1Lk-vM1Tq9vFTPUKsKMkpowu7VOdvAFYa</t>
  </si>
  <si>
    <t>https://www.facebook.com/tribao.vitran</t>
  </si>
  <si>
    <t>Vi Trần Trí Bảo</t>
  </si>
  <si>
    <t>Phai Duốc, Mai Pha, tp Lạng Sơn</t>
  </si>
  <si>
    <t>https://drive.google.com/open?id=1NT4D3cvY2-6ruUncyynzQBaJVzVQmFOU; https://drive.google.com/open?id=1AYs8e3tgEHTa9t1yLwUaajJcO24_lJAA</t>
  </si>
  <si>
    <t>https://www.facebook.com/people/Le-Duc-Anh/pfbid02hdFnrAbUzaGfkx16j8dQe1zXNEyGuN8gvfwSpieHEH88QTuqfsTdiVT89CDwyLLVl/</t>
  </si>
  <si>
    <t>Đại Hợp, Tứ Kỳ, Hải Dương</t>
  </si>
  <si>
    <t>https://drive.google.com/open?id=1-HazrvkQuPyBJx0t0CmYuPPD8RRLHBBp; https://drive.google.com/open?id=1GVCxXlrqynuhxK-7gYQ5EqVBzKUDcmIo</t>
  </si>
  <si>
    <t>https://www.facebook.com/share/DRNGdtkyJYYhciRr/?mibextid=wwXIfr</t>
  </si>
  <si>
    <t>Nguyễn Phương Mai</t>
  </si>
  <si>
    <t>phuoqmai8113@gmail.com</t>
  </si>
  <si>
    <t>Nhà 12D hẻm 16 ngách 30 ngõ 165 Dương Quảng Hàm, Quan Hoa, Cầu Giấy, Hà Nội</t>
  </si>
  <si>
    <t>https://drive.google.com/open?id=1j0fqutiYtVlSDdXt8y43lzyotjIAIhmL</t>
  </si>
  <si>
    <t>https://www.facebook.com/nguyen.toan.153249</t>
  </si>
  <si>
    <r>
      <rPr>
        <sz val="12"/>
        <color theme="1"/>
        <rFont val="Times New Roman"/>
        <family val="1"/>
      </rPr>
      <t xml:space="preserve">Nguyễn Đức Toàn </t>
    </r>
    <r>
      <rPr>
        <sz val="12"/>
        <color rgb="FFFF0000"/>
        <rFont val="Times New Roman"/>
        <family val="1"/>
      </rPr>
      <t>- 866952844 số cũ</t>
    </r>
  </si>
  <si>
    <t xml:space="preserve"> tiennguyen16022006@gmail.com </t>
  </si>
  <si>
    <t>29/12/2024 và 15/01/2025</t>
  </si>
  <si>
    <t>https://drive.google.com/open?id=1aSOWDw_S-TYmOEhdvxSFkv9EH9uQSr6S; https://drive.google.com/open?id=19EI-mKrkRjH6OgYL8DJRsgwbuN8A-tNJ</t>
  </si>
  <si>
    <t>https://www.facebook.com/profile.php?id=100067447218668&amp;mibextid=LQQJ4d</t>
  </si>
  <si>
    <t xml:space="preserve">Nguyễn Mai Linh </t>
  </si>
  <si>
    <t xml:space="preserve">Linhnguyen16122006@gmail.com </t>
  </si>
  <si>
    <t>https://drive.google.com/open?id=1wnar7sxyF0KaJNUmiWswpd7kTcxDaDTa; https://drive.google.com/open?id=1bBQMo_9v4Pi-QM9azEJHrox-9o5zkPHq</t>
  </si>
  <si>
    <r>
      <rPr>
        <sz val="12"/>
        <color theme="1"/>
        <rFont val="Times New Roman"/>
        <family val="1"/>
      </rPr>
      <t>Phạm Ngọc Huyền</t>
    </r>
    <r>
      <rPr>
        <sz val="12"/>
        <color rgb="FFFF0000"/>
        <rFont val="Times New Roman"/>
        <family val="1"/>
      </rPr>
      <t xml:space="preserve"> - T288 hủy ko học. Dương chat
Chuyển nhượng 0342173069 Phạm Hửu Hưng. Đã nộp 300K 10/01/2025</t>
    </r>
  </si>
  <si>
    <t>phamngochuyen.pcy@gmail.com</t>
  </si>
  <si>
    <t>Nước  ngoài</t>
  </si>
  <si>
    <t>https://drive.google.com/open?id=1U7XwvFEAPZ56ZvcLboc4BkIX7ksWoCxY, https://drive.google.com/open?id=1bDFSUcB8X8OyiBaJkozpEE6DvHS_S7BH</t>
  </si>
  <si>
    <t>https://www.facebook.com/quynhanh406</t>
  </si>
  <si>
    <r>
      <rPr>
        <sz val="12"/>
        <color theme="1"/>
        <rFont val="Times New Roman"/>
        <family val="1"/>
      </rPr>
      <t xml:space="preserve">Phạm Quỳnh Anh </t>
    </r>
    <r>
      <rPr>
        <sz val="12"/>
        <color rgb="FFFF0000"/>
        <rFont val="Times New Roman"/>
        <family val="1"/>
      </rPr>
      <t>- OPT60</t>
    </r>
  </si>
  <si>
    <t xml:space="preserve"> pqanh406@gmail.com</t>
  </si>
  <si>
    <t>https://drive.google.com/open?id=16yeevBhhipRMKwOQdfYRY096GKhNTBBz</t>
  </si>
  <si>
    <t>https://www.facebook.com/tran.trieu.742737</t>
  </si>
  <si>
    <t xml:space="preserve">Trần Quốc Triệu  </t>
  </si>
  <si>
    <t>Triệu tqtrieu206@gmail.com</t>
  </si>
  <si>
    <t>https://drive.google.com/open?id=1g26w6pUq-0sSfUbEsjzzPKh1BHZrhhFD</t>
  </si>
  <si>
    <t>https://www.facebook.com/nguyen.nguyen.nguyen.972530</t>
  </si>
  <si>
    <r>
      <rPr>
        <sz val="12"/>
        <color theme="1"/>
        <rFont val="Times New Roman"/>
        <family val="1"/>
      </rPr>
      <t>Nguyễn Tiến Đạt</t>
    </r>
    <r>
      <rPr>
        <sz val="12"/>
        <color rgb="FFFF0000"/>
        <rFont val="Times New Roman"/>
        <family val="1"/>
      </rPr>
      <t xml:space="preserve"> - Nguyễn Nguyên </t>
    </r>
    <r>
      <rPr>
        <sz val="12"/>
        <color theme="1"/>
        <rFont val="Times New Roman"/>
        <family val="1"/>
      </rPr>
      <t>876572892</t>
    </r>
  </si>
  <si>
    <t>Ký túc xá ĐH giao thông vận tải</t>
  </si>
  <si>
    <t>https://drive.google.com/open?id=1CTTUwjCxY4xnMglc84E-ArIS0rUMTpWP</t>
  </si>
  <si>
    <t>ngõ 162, Nguyên Xá, Minh Khai, Bắc Từ Liêm, Hà Nội</t>
  </si>
  <si>
    <t>https://drive.google.com/open?id=1VJvA0J94sOWWS7PsY_Yw37WZrcclARDH; https://drive.google.com/open?id=1wQOc_gzfpBO0BzA3M4nMoWToLVxAZaMA</t>
  </si>
  <si>
    <t>https://www.facebook.com/share/15aBmfH8y2/?mibextid=wwXIfr</t>
  </si>
  <si>
    <t xml:space="preserve"> Nguyễn Hữu Đức</t>
  </si>
  <si>
    <t>nguyenhuuduc7170@gmail.com</t>
  </si>
  <si>
    <t xml:space="preserve"> Nhà 12D hẻm 16 ngách 30 ngõ 165 Dương Quảng Hàm, Quan Hoa, Cầu Giấy</t>
  </si>
  <si>
    <t>https://drive.google.com/open?id=1Q08MPX0_1oBvo_hsJBMjq4DND7Q_g7Ds</t>
  </si>
  <si>
    <t>https://www.facebook.com/hong.ngoc.354041</t>
  </si>
  <si>
    <t xml:space="preserve">Đinh Bùi Hồng Ngọc </t>
  </si>
  <si>
    <t xml:space="preserve"> ngngoc0825@gmail.com</t>
  </si>
  <si>
    <t>https://drive.google.com/open?id=1bEyWwmrPIDw9jP_5rD4jE1cEX92eKj6Z</t>
  </si>
  <si>
    <t>https://www.facebook.com/share/17qoh84mXB/?mibextid=wwXIfr</t>
  </si>
  <si>
    <t>Thôn Bình Minh - Xã Đông Phương - Huyện Đông Hưng - Tỉnh Thái Bình</t>
  </si>
  <si>
    <t>1/6/0024</t>
  </si>
  <si>
    <t>https://drive.google.com/open?id=1xbPuu6IP-mvtUG3Rce18AGlW3KuBtNue</t>
  </si>
  <si>
    <t>https://www.facebook.com/thg.hh2111</t>
  </si>
  <si>
    <t>Hoàng Hoài Thương</t>
  </si>
  <si>
    <t>ht21112110@gmail.com</t>
  </si>
  <si>
    <t>https://drive.google.com/open?id=1nErJs54kQX3NRILzK0UBE-TQ0SUSeW3D, https://drive.google.com/open?id=1cv54wL6QZDHa9-_EowaoL83e3aIc4oBo</t>
  </si>
  <si>
    <t>https://www.facebook.com/people/Do%C3%A3n-Ho%C3%A0ng-H%E1%BA%A3i/pfbid0xdM1JJXA3urbvp7kNEdEUkDQbpxAwZ29pK8WPVHFLQEY7pPG7375jhBZiGNmE3Eyl/</t>
  </si>
  <si>
    <t>https://drive.google.com/open?id=14VTcPVH4YCR2UaauQ64j0iNAvQ0IaYuZ, https://drive.google.com/open?id=1AP_i_kmkx5NMoXN67v9LjD1x20Vm91yS</t>
  </si>
  <si>
    <t>T285 bảo lưu b13</t>
  </si>
  <si>
    <t>https://www.facebook.com/iuanhnhatdooooo?mibextid=ZbWKwL</t>
  </si>
  <si>
    <r>
      <rPr>
        <sz val="12"/>
        <color theme="1"/>
        <rFont val="Times New Roman"/>
        <family val="1"/>
      </rPr>
      <t>Nguyễn Thị Hoài Trang</t>
    </r>
    <r>
      <rPr>
        <sz val="12"/>
        <color rgb="FFFF0000"/>
        <rFont val="Times New Roman"/>
        <family val="1"/>
      </rPr>
      <t xml:space="preserve"> - đổi T, VIP =&gt;PT, T
Học T285 xong 12 buổi. Xin sang PT175. Phương chat</t>
    </r>
  </si>
  <si>
    <t>Đức Minh Building, Đồng Trạng, Cổ Đông, Thị xã Sơn Tây, Hà Nội.</t>
  </si>
  <si>
    <t>1/7/0025</t>
  </si>
  <si>
    <t>https://drive.google.com/open?id=1UXs7hlSHJQJDPzi-w1uXipyzJdjHJS-8</t>
  </si>
  <si>
    <t>https://www.facebook.com/mdangggggg</t>
  </si>
  <si>
    <t xml:space="preserve">Khuất Đăng Mạnh </t>
  </si>
  <si>
    <t xml:space="preserve"> manhkhuatdang@gmail.com</t>
  </si>
  <si>
    <t>Ngách 12 Ngõ 165 Dương Quảng Hàm</t>
  </si>
  <si>
    <t>https://drive.google.com/open?id=1B4B7MOaP2fmUjuLUEWz1jc36_jXtSjzB</t>
  </si>
  <si>
    <t>https://www.facebook.com/conmeokeumeow</t>
  </si>
  <si>
    <t xml:space="preserve">Lê Minh Nguyệt  </t>
  </si>
  <si>
    <t>nguyetthy12@gmail.com</t>
  </si>
  <si>
    <t xml:space="preserve">số 1 ngõ 320 khương đình </t>
  </si>
  <si>
    <t>https://drive.google.com/open?id=1Ym2YLYjri1rBrr1GHx4aLilD6QCB6YVG</t>
  </si>
  <si>
    <t>https://www.facebook.com/quynh.nhu.222678/</t>
  </si>
  <si>
    <t xml:space="preserve">Nguyễn Phan Quỳnh Như	</t>
  </si>
  <si>
    <t xml:space="preserve">  NHU.NPQ01537@sinhvien.hoasen.edu.vn	</t>
  </si>
  <si>
    <t>https://drive.google.com/open?id=11DvnvXsnK4LBTnY0d9RaIAAQg7xQt4K5</t>
  </si>
  <si>
    <t xml:space="preserve">Nguyễn Tuấn Anh  	</t>
  </si>
  <si>
    <t xml:space="preserve">Bupakari255@gmail.com	</t>
  </si>
  <si>
    <t>nhà số 9 , ngõ 24 , Tân Phong , Liên Mạc , Bắc Từ Liêm , Hà Nội</t>
  </si>
  <si>
    <t>https://drive.google.com/open?id=1RfDwHe5AectE-5rTvo6CzVUoAUXPyN_y</t>
  </si>
  <si>
    <t xml:space="preserve">OPT54 </t>
  </si>
  <si>
    <t>https://www.facebook.com/share/18KkaZnmny/?mibextid=wwXIfr</t>
  </si>
  <si>
    <t>https://drive.google.com/open?id=1kq88r5t8YYmfU89Tq7ry3duBMNKztsrq</t>
  </si>
  <si>
    <t>S18</t>
  </si>
  <si>
    <r>
      <rPr>
        <sz val="12"/>
        <color theme="1"/>
        <rFont val="Times New Roman"/>
        <family val="1"/>
      </rPr>
      <t xml:space="preserve">Nguyễn Khắc Đức </t>
    </r>
    <r>
      <rPr>
        <sz val="12"/>
        <color rgb="FFFF0000"/>
        <rFont val="Times New Roman"/>
        <family val="1"/>
      </rPr>
      <t>- UP trước buổi 6</t>
    </r>
  </si>
  <si>
    <t>Số 58, Đường Tân Thành, Xã Thượng Mỗ, Huyện Đan Phượng, TP Hà Nội</t>
  </si>
  <si>
    <t>https://drive.google.com/open?id=1xUM09itR6I8UBd08lqSv0BrE_VHKorT7</t>
  </si>
  <si>
    <t>Lê Thị Diệp Anh</t>
  </si>
  <si>
    <t>https://drive.google.com/open?id=1BUwJ35k9RNlq8POi6BgCjRfSWkabCl_d</t>
  </si>
  <si>
    <t>https://drive.google.com/open?id=1NHsbBg_98d0JkSFGBJyak5_fC2Iu8UY2</t>
  </si>
  <si>
    <t>https://www.facebook.com/share/1VAnqzEUV6/?mibextid=wwXIfr</t>
  </si>
  <si>
    <t>Phạm Phú Chọn</t>
  </si>
  <si>
    <t>https://drive.google.com/open?id=1hnijUDBhu9DNIKY6ll9iDhtGnKt7AMJS</t>
  </si>
  <si>
    <t>OPT63</t>
  </si>
  <si>
    <t>https://www.facebook.com/share/17xwX6tDhQ/?mibextid=wwXIfr</t>
  </si>
  <si>
    <r>
      <rPr>
        <sz val="12"/>
        <color theme="1"/>
        <rFont val="Times New Roman"/>
        <family val="1"/>
      </rPr>
      <t>Nguyễn Hoài Ninh</t>
    </r>
    <r>
      <rPr>
        <sz val="12"/>
        <color rgb="FFFF0000"/>
        <rFont val="Times New Roman"/>
        <family val="1"/>
      </rPr>
      <t xml:space="preserve"> - OPT61</t>
    </r>
  </si>
  <si>
    <t>ninh72117@gmail.com</t>
  </si>
  <si>
    <t>https://drive.google.com/open?id=1hULLcUiaQmb-Qf1QtvmgeSqBqh1w6I8p</t>
  </si>
  <si>
    <t>https://www.facebook.com/share/1XELjbdiux/?mibextid=wwXIfr</t>
  </si>
  <si>
    <t>Lê Đắc Nam</t>
  </si>
  <si>
    <t>https://drive.google.com/open?id=1net4ZS6k8CM-3gDw_3XDrSc1AbyaHTBk, https://drive.google.com/open?id=1RjaKkn2Pp9pTH1S5elvGw3n2qUuT3yqO</t>
  </si>
  <si>
    <t>PT165</t>
  </si>
  <si>
    <t>https://www.facebook.com/share/1BBwuKjA4W/</t>
  </si>
  <si>
    <r>
      <rPr>
        <sz val="12"/>
        <color theme="1"/>
        <rFont val="Times New Roman"/>
        <family val="1"/>
      </rPr>
      <t>Đỗ Phương Uyên</t>
    </r>
    <r>
      <rPr>
        <sz val="12"/>
        <color rgb="FFFF0000"/>
        <rFont val="Times New Roman"/>
        <family val="1"/>
      </rPr>
      <t xml:space="preserve"> - hợp đồng</t>
    </r>
  </si>
  <si>
    <t xml:space="preserve">dophuonguyen19072006@gmail.com </t>
  </si>
  <si>
    <t>Siêu thị GPT Mart - Vân Canh - Hoài Đức</t>
  </si>
  <si>
    <t>https://drive.google.com/open?id=149-pmX_TFlqhOSDxTiaC_C3t2h9fTZf7</t>
  </si>
  <si>
    <t>PT164</t>
  </si>
  <si>
    <t>https://www.facebook.com/share/15nbtiHMTq/?mibextid=wwXIfr</t>
  </si>
  <si>
    <t>Đỗ Thị Phương Thảo</t>
  </si>
  <si>
    <t>phthaooo27@gmail.com</t>
  </si>
  <si>
    <t>https://drive.google.com/open?id=1q7KPPlaK4Z3DAQb-un8qj89zHOdXbtKo</t>
  </si>
  <si>
    <t>https://www.facebook.com/hong.nhung.241155?mibextid=ZbWKwL</t>
  </si>
  <si>
    <t>Đỗ Thị Hồng Nhung</t>
  </si>
  <si>
    <t>donhung24042006.gt@gmail.com</t>
  </si>
  <si>
    <t>https://drive.google.com/open?id=1NKSb3uKL4k9h0u6QdK50XpB4jFKdt-fb</t>
  </si>
  <si>
    <t>OPT64</t>
  </si>
  <si>
    <t>https://www.facebook.com/nguyen.hai.anh.291281</t>
  </si>
  <si>
    <t xml:space="preserve">Nguyễn Thị Hải Anh </t>
  </si>
  <si>
    <t xml:space="preserve"> nguyenthihaianh131020@gmail.com</t>
  </si>
  <si>
    <t xml:space="preserve">Số 8 -ngõ 6 xóm nghè - xuân tàng - bắc phú - sóc sơn - hà nội </t>
  </si>
  <si>
    <t>https://drive.google.com/open?id=1rZkTx5rbzfjXckOFv6FI5HPtHdauca1I, https://drive.google.com/open?id=1gQ2osrulQcWlqqqEFrFTS7aFjNzH2_Fk</t>
  </si>
  <si>
    <t>https://www.facebook.com/thai.lai.9678</t>
  </si>
  <si>
    <t xml:space="preserve">Lại Văn Thái </t>
  </si>
  <si>
    <t xml:space="preserve"> tl8720345@gmail.com</t>
  </si>
  <si>
    <t>https://drive.google.com/open?id=1QSXrSsIBwKb6dPCP4EnwOIOa0URbpaV5</t>
  </si>
  <si>
    <t>PT168</t>
  </si>
  <si>
    <t>https://www.facebook.com/share/19tkP5DRff/?mibextid=wwXIfr</t>
  </si>
  <si>
    <r>
      <rPr>
        <sz val="12"/>
        <color theme="1"/>
        <rFont val="Times New Roman"/>
        <family val="1"/>
      </rPr>
      <t>Trần Thị Hoàng Vân</t>
    </r>
    <r>
      <rPr>
        <sz val="12"/>
        <color rgb="FFFF0000"/>
        <rFont val="Times New Roman"/>
        <family val="1"/>
      </rPr>
      <t xml:space="preserve"> (hợp đồng) PT164</t>
    </r>
  </si>
  <si>
    <t>hoangvan21062006@gmail.com</t>
  </si>
  <si>
    <t>Phòng số 5, 22 Lê Quý Đôn, Phường Bình Thọ, Thành phố Thủ Đức</t>
  </si>
  <si>
    <t>https://drive.google.com/open?id=1jtppjz_11xMj5xNTtl7V8FrYqyymN9gE, https://drive.google.com/open?id=1g2w6vCXeUPQG-P1LynZjN9h6LfNPWHhv</t>
  </si>
  <si>
    <t>https://www.facebook.com/syoraa/</t>
  </si>
  <si>
    <r>
      <rPr>
        <sz val="12"/>
        <color theme="1"/>
        <rFont val="Times New Roman"/>
        <family val="1"/>
      </rPr>
      <t xml:space="preserve">Phạm Thị Khánh Huyền </t>
    </r>
    <r>
      <rPr>
        <sz val="12"/>
        <color rgb="FFFF0000"/>
        <rFont val="Times New Roman"/>
        <family val="1"/>
      </rPr>
      <t>- Fish Fish
Shiper nhắn ZALO nếu ko gọi đc</t>
    </r>
  </si>
  <si>
    <t>Kh cos</t>
  </si>
  <si>
    <t>99 Phố Trung Kính, Yên Hoà, Cầu Giấy, Hà Nội</t>
  </si>
  <si>
    <t>https://drive.google.com/open?id=1MOtKYzHLScr6Et2K31OGK3t0vWLx-FLJ</t>
  </si>
  <si>
    <t>https://drive.google.com/open?id=1tGpDKaESUSVOqienSbYYLohBxa9B3rMY</t>
  </si>
  <si>
    <t>https://www.facebook.com/share/15dkYYA3aF/</t>
  </si>
  <si>
    <t>Đặng Nguyệt Nga</t>
  </si>
  <si>
    <t>Số 524 tổ 10 khu 1 phường Hà Khẩu, Hạ Long, Quảng Ninh</t>
  </si>
  <si>
    <t>https://drive.google.com/open?id=1mJuveLCJjfs0MKdwjTUV7spxLIbfeM5d</t>
  </si>
  <si>
    <t>https://www.facebook.com/share/19pnTcH9f9/</t>
  </si>
  <si>
    <t>Lê Hiền Dịu</t>
  </si>
  <si>
    <t xml:space="preserve">Note sau </t>
  </si>
  <si>
    <t>https://drive.google.com/open?id=1xJD2T5i08k41ElKzDYnYQ1z3KjbTyf44</t>
  </si>
  <si>
    <t>https://www.facebook.com/pham.hoan.549715</t>
  </si>
  <si>
    <t>Phạm Công Hoan</t>
  </si>
  <si>
    <t>phamhoan25072006@gmail.com</t>
  </si>
  <si>
    <t>Số nhà 6A ngách 15/18 ngõ gốc đề hoàng mai hà nội</t>
  </si>
  <si>
    <t>https://drive.google.com/open?id=1uozneevKmolIPNZk5PepkZKqlYwsQbc_</t>
  </si>
  <si>
    <t>Phạm Yến Ngọc</t>
  </si>
  <si>
    <t>Số nhà 15, Tổ 5 Khu 11 Phường Mông Dương, TP Cẩm Phả, Tỉnh Quảng Ninh</t>
  </si>
  <si>
    <t>https://drive.google.com/open?id=1zgwzH3yqzCaN3MBLxwC-s00BZCrsdR9y</t>
  </si>
  <si>
    <t>https://www.facebook.com/ngo.quy.thai?mibextid=wwXIfr&amp;rdid=X4z0nmznhe5CXIpx&amp;share_url=https%3A%2F%2Fwww.facebook.com%2Fshare%2F15s96aKMZQ%2F%3Fmibextid%3DwwXIfr#</t>
  </si>
  <si>
    <r>
      <rPr>
        <sz val="12"/>
        <color theme="1"/>
        <rFont val="Times New Roman"/>
        <family val="1"/>
      </rPr>
      <t>Ngô Quý Thái</t>
    </r>
    <r>
      <rPr>
        <sz val="12"/>
        <color rgb="FFFF0000"/>
        <rFont val="Times New Roman"/>
        <family val="1"/>
      </rPr>
      <t xml:space="preserve"> - OPT57</t>
    </r>
  </si>
  <si>
    <t xml:space="preserve">Nhà 6b ngách 189 ngõ 22 tôn thất tùng </t>
  </si>
  <si>
    <t>https://drive.google.com/open?id=1Bsoep1Twueh536iBJb8cMntM_O1qcrBK</t>
  </si>
  <si>
    <t>https://www.facebook.com/profile.php?id=100054369004487&amp;mibextid=wwXIfr&amp;rdid=LeLmjedm8rWpBzWe&amp;share_url=https%3A%2F%2Fwww.facebook.com%2Fshare%2F1KqHnj6mG7%2F%3Fmibextid%3DwwXIfr#</t>
  </si>
  <si>
    <r>
      <rPr>
        <sz val="12"/>
        <color theme="1"/>
        <rFont val="Times New Roman"/>
        <family val="1"/>
      </rPr>
      <t>Đỗ Cẩm Anh</t>
    </r>
    <r>
      <rPr>
        <sz val="12"/>
        <color rgb="FFFF0000"/>
        <rFont val="Times New Roman"/>
        <family val="1"/>
      </rPr>
      <t xml:space="preserve"> - 971658453 số cũ - hợp đồng</t>
    </r>
  </si>
  <si>
    <t>245 xóm Nhị Hà, thôn Lực Canh, xã Xuân Canh, Đông Anh, Hà Nội</t>
  </si>
  <si>
    <t>https://drive.google.com/open?id=1Bz7DJD0CWf7CmD-61KEhTfWuF2EGLcwl</t>
  </si>
  <si>
    <t>https://www.facebook.com/huongquynh.nguyen.90260?mibextid=wwXIfr&amp;rdid=9CUKy3xAtb763RKK&amp;share_url=https%3A%2F%2Fwww.facebook.com%2Fshare%2F1FTL6cuVgS%2F%3Fmibextid%3DwwXIfr#</t>
  </si>
  <si>
    <t>Nguyễn Thị Hương Quỳnh</t>
  </si>
  <si>
    <t>số nhà 20, phố đỗ đức dục, ngõ 32/101/9/8, Mễ Trì Hạ, Nam Từ Liêm, Hà Nội</t>
  </si>
  <si>
    <t>https://drive.google.com/open?id=17zzGYw3HWOJ54FJTrsKklUC7AlLDHOxc</t>
  </si>
  <si>
    <t>https://www.facebook.com/profile.php?id=100069276800974&amp;mibextid=wwXIfr&amp;rdid=bCp7ZNe26YHmzswm&amp;share_url=https%3A%2F%2Fwww.facebook.com%2Fshare%2F1KSmAKCyv1%2F%3Fmibextid%3DwwXIfr</t>
  </si>
  <si>
    <r>
      <rPr>
        <sz val="12"/>
        <color theme="1"/>
        <rFont val="Times New Roman"/>
        <family val="1"/>
      </rPr>
      <t xml:space="preserve">Nguyễn Thuỳ Ninh </t>
    </r>
    <r>
      <rPr>
        <sz val="12"/>
        <color rgb="FFFF0000"/>
        <rFont val="Times New Roman"/>
        <family val="1"/>
      </rPr>
      <t>(hợp đồng)- Đã nộp 300K 05/05/2025
 T287 bảo lưu b13. Học T302 b7</t>
    </r>
  </si>
  <si>
    <t>Cổng chính trường đại học công nghiệp hà nội ( cơ sở 3 HÀ NAM ), phường Lê Hồng Phong, tp Phủ Lý, tỉnh Hà Nam</t>
  </si>
  <si>
    <t>https://drive.google.com/open?id=18qyaNLzBUoP-UjoXaPLSd6KH_h98KANx</t>
  </si>
  <si>
    <t>PT180</t>
  </si>
  <si>
    <t>https://www.facebook.com/share/18pmivzyi3/</t>
  </si>
  <si>
    <t>Nguyễn Khắc Thị Nga</t>
  </si>
  <si>
    <t>Đạo</t>
  </si>
  <si>
    <t>phủ lý, lê hồng phong cổng chính đhcn cs3</t>
  </si>
  <si>
    <t>https://drive.google.com/open?id=1jHi8RNx5st_kbiyM9vlxtptz5LjB0PRu</t>
  </si>
  <si>
    <t>https://www.facebook.com/share/1622zHuXdy/?mibextid=LQQJ4d</t>
  </si>
  <si>
    <r>
      <rPr>
        <sz val="12"/>
        <color theme="1"/>
        <rFont val="Times New Roman"/>
        <family val="1"/>
      </rPr>
      <t>Vũ Minh Đức</t>
    </r>
    <r>
      <rPr>
        <sz val="12"/>
        <color rgb="FFFF0000"/>
        <rFont val="Times New Roman"/>
        <family val="1"/>
      </rPr>
      <t xml:space="preserve"> - OPT60 KG 20/2. 24/2 báo rút
Đã nộp 150K 24/02/2025</t>
    </r>
  </si>
  <si>
    <t xml:space="preserve">Thiệp </t>
  </si>
  <si>
    <t>Số 17,ngách 43/23/7 đường Đức Diễn</t>
  </si>
  <si>
    <t>https://drive.google.com/open?id=1jeYl__F5SIVLnlpTycuTXu99cOasD4qF</t>
  </si>
  <si>
    <t>https://www.facebook.com/share/19sXMk5yVw/?mibextid=LQQJ4d</t>
  </si>
  <si>
    <t>Gốc đa Tu Hoàng, Tu Hoàng, Phương Canh, Nam Từ Liêm</t>
  </si>
  <si>
    <t>https://drive.google.com/open?id=17GwVI0hX9TnP8bZDmsQuKEUXrU_YJigD</t>
  </si>
  <si>
    <t>https://www.facebook.com/ucduy.653608</t>
  </si>
  <si>
    <t>số 27 lô 3.2 khu tái định cư, phố Tu Hoàng, Xuân Phương, Phương Canh, Nam Từ Liêm</t>
  </si>
  <si>
    <t>https://drive.google.com/open?id=1Mrf-PMb5JTv4hTO5lmdhM_Ex_OuoJkL9</t>
  </si>
  <si>
    <t>VIP193 nghỉ ngang b12</t>
  </si>
  <si>
    <r>
      <rPr>
        <sz val="12"/>
        <color theme="1"/>
        <rFont val="Times New Roman"/>
        <family val="1"/>
      </rPr>
      <t>Lê Yến Nhi</t>
    </r>
    <r>
      <rPr>
        <sz val="12"/>
        <color rgb="FFFF0000"/>
        <rFont val="Times New Roman"/>
        <family val="1"/>
      </rPr>
      <t xml:space="preserve"> - VIP179</t>
    </r>
  </si>
  <si>
    <t>92/80 Xuân phương nam từ liêm hà nội</t>
  </si>
  <si>
    <t>https://drive.google.com/open?id=1Qe1S923v9bM59EUx9EHZldnKRNNl0d3S</t>
  </si>
  <si>
    <t>https://drive.google.com/open?id=1Mml-h5gs5CvWEqRAJAh6927fDqFg5_zB</t>
  </si>
  <si>
    <t>https://www.facebook.com/ngochuyen.nguyenthi.3194</t>
  </si>
  <si>
    <t>Nguyễn Thị Ngọc Huyền</t>
  </si>
  <si>
    <t>hải anh</t>
  </si>
  <si>
    <t>Ký túc xá trường đại học giao thông vận tải</t>
  </si>
  <si>
    <t>https://drive.google.com/open?id=1wxc1wsp1WBATRFK_sJcCoi6uiWnonmah</t>
  </si>
  <si>
    <t>https://www.facebook.com/profile.php?id=100085101737376</t>
  </si>
  <si>
    <t>Nguyễn Đức Duy</t>
  </si>
  <si>
    <t>ngõ 67b,Lương Thế Vinh, Trung Văn, Nam Từ Liêm, Hà Nội</t>
  </si>
  <si>
    <t>https://drive.google.com/open?id=1cuqVmtELVC6NWIeRb-w2-KczmD6ahSMG</t>
  </si>
  <si>
    <t>https://www.facebook.com/cap.huong.89722#</t>
  </si>
  <si>
    <r>
      <rPr>
        <sz val="12"/>
        <color theme="1"/>
        <rFont val="Times New Roman"/>
        <family val="1"/>
      </rPr>
      <t>Cáp Thị Hường</t>
    </r>
    <r>
      <rPr>
        <sz val="12"/>
        <color rgb="FFFF0000"/>
        <rFont val="Times New Roman"/>
        <family val="1"/>
      </rPr>
      <t xml:space="preserve"> - hợp đồng</t>
    </r>
  </si>
  <si>
    <t>TDP Đồng Lều, thị trấn Bố Hạ, huyện Yên Thế, Bắc Giang</t>
  </si>
  <si>
    <t>https://drive.google.com/open?id=13bwU1r41X6BXwcf3joYSR1N5lGoERZcY</t>
  </si>
  <si>
    <t>https://www.facebook.com/thanhnocz</t>
  </si>
  <si>
    <t xml:space="preserve">Nguyễn Thị Ngọc Thanh </t>
  </si>
  <si>
    <t>1/29/0025</t>
  </si>
  <si>
    <t>https://drive.google.com/open?id=1KTopQZ3LJeifcqUh23fxfoCToD52AUCA</t>
  </si>
  <si>
    <t>https://www.facebook.com/le.hoaa.90682</t>
  </si>
  <si>
    <t>Lê Thị Huyền Hoa</t>
  </si>
  <si>
    <t>https://drive.google.com/open?id=1bPmInnT7VYM-ip7eX-u85qfQ2ESAFogz</t>
  </si>
  <si>
    <t>https://www.facebook.com/vananh.forget.me.not</t>
  </si>
  <si>
    <r>
      <rPr>
        <sz val="12"/>
        <color theme="1"/>
        <rFont val="Times New Roman"/>
        <family val="1"/>
      </rPr>
      <t xml:space="preserve">Hà Vân Anh </t>
    </r>
    <r>
      <rPr>
        <sz val="12"/>
        <color rgb="FFFF0000"/>
        <rFont val="Times New Roman"/>
        <family val="1"/>
      </rPr>
      <t>- OPT57</t>
    </r>
  </si>
  <si>
    <t>https://drive.google.com/open?id=1kJhhBi-ZwFRjk_IIoYbcWn_7Usx-pyf0</t>
  </si>
  <si>
    <t>https://www.facebook.com/share/1899TRBWVb/?mibextid=wwXIfr</t>
  </si>
  <si>
    <t xml:space="preserve">Lê Thị Thuỳ Trang </t>
  </si>
  <si>
    <t>Mai Chi</t>
  </si>
  <si>
    <t>https://drive.google.com/open?id=1E8RFPpRpPZROecD3SkqaBMpRA4JLPkbG</t>
  </si>
  <si>
    <t>https://www.facebook.com/share/1BejYCciqM/?mibextid=wwXIfr</t>
  </si>
  <si>
    <t xml:space="preserve">Nguyễn Thị Hồng Anh </t>
  </si>
  <si>
    <t>https://drive.google.com/open?id=1PYMWkiKj9Efj3ip64BstYcpyfD8Ed8g-</t>
  </si>
  <si>
    <t>https://www.facebook.com/share/19dnSMys7a/?mibextid=wwXIfr</t>
  </si>
  <si>
    <t xml:space="preserve">Bùi Thảo Ngọc </t>
  </si>
  <si>
    <t>Ấp Trà Ốp, xã Tân Bình, huyện Càng Long, tỉnh Trà Vinh</t>
  </si>
  <si>
    <t>https://drive.google.com/open?id=129l40so9dqYxdS0l5CfgXVtv_smTSWio</t>
  </si>
  <si>
    <t>https://www.facebook.com/profile.php?id=100037560360996</t>
  </si>
  <si>
    <t>Hoàng Minh Tuấn</t>
  </si>
  <si>
    <t>https://drive.google.com/open?id=1NyzKzo97Gr1OdXS8N-Ax6NPcidZoHnHZ</t>
  </si>
  <si>
    <t>https://www.facebook.com/share/1HgiPa2yCU/</t>
  </si>
  <si>
    <t>thôn 1- phù vân- cuối ngõ 1, phủ lý, hà nam</t>
  </si>
  <si>
    <t>06/12/2024 và 26/01/2025</t>
  </si>
  <si>
    <t>https://drive.google.com/open?id=1lnmhRA7dCCRAzudC5XT4VrkDmTpSbudn, https://drive.google.com/open?id=1jEU7lahFYXqOvI6czde3q9H5VMyT501p</t>
  </si>
  <si>
    <t>https://www.facebook.com/tran.linh.226269</t>
  </si>
  <si>
    <r>
      <rPr>
        <sz val="12"/>
        <color theme="1"/>
        <rFont val="Times New Roman"/>
        <family val="1"/>
      </rPr>
      <t xml:space="preserve">Trần Thị Linh </t>
    </r>
    <r>
      <rPr>
        <sz val="12"/>
        <color rgb="FFFF0000"/>
        <rFont val="Times New Roman"/>
        <family val="1"/>
      </rPr>
      <t>- KH chuyển 1tr cho e nhờ chuyển cho c Mai, e chuyển nhầm vào tài khoản cá nhân của c ấy vào 26/1/2025 ạ</t>
    </r>
  </si>
  <si>
    <t>25/01/2025 và 26/01/2025</t>
  </si>
  <si>
    <t>https://drive.google.com/open?id=1TEyoScNpl4BanK2007Rwj51ToVVvpr0W, https://drive.google.com/open?id=1DpaFkQHQ0P87ms7XiqYEl4NOnK4n6VvS</t>
  </si>
  <si>
    <t>đã pass lv1</t>
  </si>
  <si>
    <r>
      <rPr>
        <sz val="12"/>
        <color theme="1"/>
        <rFont val="Times New Roman"/>
        <family val="1"/>
      </rPr>
      <t xml:space="preserve">Nguyễn Doanh </t>
    </r>
    <r>
      <rPr>
        <sz val="12"/>
        <color rgb="FFFF0000"/>
        <rFont val="Times New Roman"/>
        <family val="1"/>
      </rPr>
      <t>- nhận sách sớm</t>
    </r>
  </si>
  <si>
    <t>https://drive.google.com/open?id=1C58T9mN2OprdHNpdrv9EK4I6MRXcyMpC</t>
  </si>
  <si>
    <t>đã pass PT</t>
  </si>
  <si>
    <t>https://www.facebook.com/nguyen.ngoc.phanh.2024</t>
  </si>
  <si>
    <t>Nguyễn Ngọc Phương Anh</t>
  </si>
  <si>
    <t>No25-lk32, khu dịch vụ 2, phường Đồng Mai , quận Hà Đông , thành phố Hà Nội</t>
  </si>
  <si>
    <t>https://drive.google.com/open?id=1JAmIrZBbAjGJPodokL00v0nVCg_P1MNb</t>
  </si>
  <si>
    <t>https://www.facebook.com/trong.diep.893185</t>
  </si>
  <si>
    <t>Cáp Trọng Điệp</t>
  </si>
  <si>
    <t>31/01/2025 và 03/02/2025</t>
  </si>
  <si>
    <t>https://drive.google.com/open?id=1MVv0opLOoUt4sp1B2tf_0RUiBlhqCpdh, https://drive.google.com/open?id=1wuQITJaezH9A34hTLZSvkZnRXdycj4-Z</t>
  </si>
  <si>
    <t>https://www.facebook.com/profile.php?id=100029132902488</t>
  </si>
  <si>
    <t>https://drive.google.com/open?id=11FV9A1Z9TyMxuH26_GnBKolhCsKx1IPC</t>
  </si>
  <si>
    <t>https://www.facebook.com/share/19HhTBqX27/?mibextid=wwXIfr</t>
  </si>
  <si>
    <t>Phùng Thị Thanh Hậu</t>
  </si>
  <si>
    <t>Khu C , yên nghĩa, hà đông</t>
  </si>
  <si>
    <t>https://drive.google.com/open?id=1dF4Db4wXADMaaS_lg17cbNDjn7775t6Z</t>
  </si>
  <si>
    <t>https://www.facebook.com/share/1BKVukGweC/?mibextid=wwXIfr</t>
  </si>
  <si>
    <t>NPP Hải Tiến BG, Nghĩa Phương, Lục Nam, Bắc Giang</t>
  </si>
  <si>
    <t>https://drive.google.com/open?id=1hSAxHSGhu0et18U3DXKL8CSSI9hFMvWf</t>
  </si>
  <si>
    <t>https://www.facebook.com/sagatoga.nguyen</t>
  </si>
  <si>
    <r>
      <rPr>
        <sz val="12"/>
        <color theme="1"/>
        <rFont val="Times New Roman"/>
        <family val="1"/>
      </rPr>
      <t xml:space="preserve">Nguyễn Thúy Hằng </t>
    </r>
    <r>
      <rPr>
        <sz val="12"/>
        <color rgb="FFFF0000"/>
        <rFont val="Times New Roman"/>
        <family val="1"/>
      </rPr>
      <t>- Nagasaki Keiko</t>
    </r>
  </si>
  <si>
    <t>Thuyhang171097@gmail.com</t>
  </si>
  <si>
    <t>Nước Ngoài</t>
  </si>
  <si>
    <t>https://drive.google.com/open?id=1wFxAoR04PpYhOpfHtn2w7_ZMkZr0CTeo</t>
  </si>
  <si>
    <t>https://www.facebook.com/profile.php?id=61552635870041</t>
  </si>
  <si>
    <t>https://www.facebook.com/profile.php?id=100046328332624&amp;mibextid=wwXIfr&amp;rdid=fvlIS8KNj4wAE21u&amp;share_url=https%3A%2F%2Fwww.facebook.com%2Fshare%2F18afz3bxLa%2F%3Fmibextid%3DwwXIfr#</t>
  </si>
  <si>
    <t>Phan Thị Phương Uyên</t>
  </si>
  <si>
    <t>phannguyenphuonguyen106@gmail.com</t>
  </si>
  <si>
    <t>11b, ngõ 63 Thái Thịnh, Đống Đa, Hà Nội</t>
  </si>
  <si>
    <t>https://drive.google.com/open?id=19z77GSyFh6rCm4N7fAoJxoJ1_2GLy4Le</t>
  </si>
  <si>
    <t>https://www.facebook.com/share/1D8iTtJ9bF/</t>
  </si>
  <si>
    <t>Nguyễn Văn Minh</t>
  </si>
  <si>
    <t>https://drive.google.com/open?id=1ewKGC6gthsv4eQ97-HWOuiVl408SdAS4</t>
  </si>
  <si>
    <t>https://www.facebook.com/ThTPZ</t>
  </si>
  <si>
    <t>KTX Đại học giao thông vận tải Hà Nội</t>
  </si>
  <si>
    <t>https://www.facebook.com/profile.php?id=61573963681613</t>
  </si>
  <si>
    <t>32 Lê Văn Hiến, Đức Thắng, Bắc Từ Liêm, Hà Nội</t>
  </si>
  <si>
    <r>
      <rPr>
        <sz val="12"/>
        <color theme="1"/>
        <rFont val="Times New Roman"/>
        <family val="1"/>
      </rPr>
      <t>Dương Tuấn Tú</t>
    </r>
    <r>
      <rPr>
        <sz val="12"/>
        <color rgb="FFFF0000"/>
        <rFont val="Times New Roman"/>
        <family val="1"/>
      </rPr>
      <t xml:space="preserve"> </t>
    </r>
  </si>
  <si>
    <t>OVIP23</t>
  </si>
  <si>
    <r>
      <rPr>
        <sz val="12"/>
        <color theme="1"/>
        <rFont val="Times New Roman"/>
        <family val="1"/>
      </rPr>
      <t xml:space="preserve">Nguyễn Thị Ngọc Anh </t>
    </r>
    <r>
      <rPr>
        <sz val="12"/>
        <color rgb="FFFF0000"/>
        <rFont val="Times New Roman"/>
        <family val="1"/>
      </rPr>
      <t>- nick The Whale</t>
    </r>
  </si>
  <si>
    <r>
      <rPr>
        <sz val="12"/>
        <color theme="1"/>
        <rFont val="Times New Roman"/>
        <family val="1"/>
      </rPr>
      <t>Phạm Tuấn Anh</t>
    </r>
    <r>
      <rPr>
        <sz val="12"/>
        <color rgb="FFFF0000"/>
        <rFont val="Times New Roman"/>
        <family val="1"/>
      </rPr>
      <t xml:space="preserve"> - Anh Phạm </t>
    </r>
  </si>
  <si>
    <t xml:space="preserve">Trần Trọng Trung </t>
  </si>
  <si>
    <t>OVIP35</t>
  </si>
  <si>
    <r>
      <rPr>
        <sz val="12"/>
        <color theme="1"/>
        <rFont val="Times New Roman"/>
        <family val="1"/>
      </rPr>
      <t xml:space="preserve">Nguyễn Thảo Ly </t>
    </r>
    <r>
      <rPr>
        <sz val="12"/>
        <color rgb="FFFF0000"/>
        <rFont val="Times New Roman"/>
        <family val="1"/>
      </rPr>
      <t>- OVIP22 rút sát giờ KG
OVIP23 bảo lưu b15. Học OVIP5 b15
Đã nộp 300K 04/06/2025</t>
    </r>
  </si>
  <si>
    <t>Phát sách lớp OVIP22 thừa</t>
  </si>
  <si>
    <t>OVIP22 bảo lưu b4</t>
  </si>
  <si>
    <r>
      <rPr>
        <sz val="12"/>
        <color theme="1"/>
        <rFont val="Times New Roman"/>
        <family val="1"/>
      </rPr>
      <t>Phạm Đức Ánh</t>
    </r>
    <r>
      <rPr>
        <sz val="12"/>
        <color rgb="FFFF0000"/>
        <rFont val="Times New Roman"/>
        <family val="1"/>
      </rPr>
      <t xml:space="preserve"> </t>
    </r>
  </si>
  <si>
    <r>
      <rPr>
        <sz val="12"/>
        <color theme="1"/>
        <rFont val="Times New Roman"/>
        <family val="1"/>
      </rPr>
      <t>Nguyễn Như Bình</t>
    </r>
    <r>
      <rPr>
        <sz val="12"/>
        <color rgb="FFFF0000"/>
        <rFont val="Times New Roman"/>
        <family val="1"/>
      </rPr>
      <t xml:space="preserve"> -Đã nộp 300K 03/08/2025</t>
    </r>
    <r>
      <rPr>
        <sz val="12"/>
        <color theme="1"/>
        <rFont val="Times New Roman"/>
        <family val="1"/>
      </rPr>
      <t xml:space="preserve">
</t>
    </r>
    <r>
      <rPr>
        <sz val="12"/>
        <color rgb="FFFF0000"/>
        <rFont val="Times New Roman"/>
        <family val="1"/>
      </rPr>
      <t>OVIP23 bảo lưu b21. Học VIP168 b19</t>
    </r>
  </si>
  <si>
    <t>số 14A,ngõ 367/62,Xuân Phương,Nam Từ Liêm,Hà Nội</t>
  </si>
  <si>
    <t>OVIP47</t>
  </si>
  <si>
    <r>
      <rPr>
        <sz val="12"/>
        <color theme="1"/>
        <rFont val="Times New Roman"/>
        <family val="1"/>
      </rPr>
      <t>Nguyễn Thị Thanh Tú</t>
    </r>
    <r>
      <rPr>
        <sz val="12"/>
        <color rgb="FFFF0000"/>
        <rFont val="Times New Roman"/>
        <family val="1"/>
      </rPr>
      <t xml:space="preserve"> - Đã nộp 300K 07/08/2025
OVIP23 bảo lưu b13. Học OVIP48 buổi 1
</t>
    </r>
    <r>
      <rPr>
        <sz val="12"/>
        <color theme="1"/>
        <rFont val="Times New Roman"/>
        <family val="1"/>
      </rPr>
      <t>Học OVIP48 xin sang OVIP47 miễn phí</t>
    </r>
  </si>
  <si>
    <t>14 Ngõ 3 Lương Ngọc Quyến,Văn Quán, Hà Đông, Hà Nội</t>
  </si>
  <si>
    <t>W11</t>
  </si>
  <si>
    <t>Ct1a, chung cư Hateco Apollo Xuân phương, phường Phương Canh, Nam Từ Liêm, Hà Nội</t>
  </si>
  <si>
    <t>Đào Thị Thùy Linh</t>
  </si>
  <si>
    <t xml:space="preserve">Nguyễn Thị Uyên </t>
  </si>
  <si>
    <r>
      <rPr>
        <sz val="12"/>
        <color theme="1"/>
        <rFont val="Times New Roman"/>
        <family val="1"/>
      </rPr>
      <t xml:space="preserve"> Nguyễn Tùng</t>
    </r>
    <r>
      <rPr>
        <sz val="12"/>
        <color rgb="FFFF0000"/>
        <rFont val="Times New Roman"/>
        <family val="1"/>
      </rPr>
      <t xml:space="preserve"> </t>
    </r>
  </si>
  <si>
    <t>Số 35, 167 ngõ 521 Trương Định, Hoàng Mai, Hà Nội</t>
  </si>
  <si>
    <t>Số 3, ngõ 42, Trần Bình, Mai Dịch,Cầu Giấy, Hà Nội</t>
  </si>
  <si>
    <t>OVIP26</t>
  </si>
  <si>
    <r>
      <rPr>
        <sz val="12"/>
        <color theme="1"/>
        <rFont val="Times New Roman"/>
        <family val="1"/>
      </rPr>
      <t xml:space="preserve">Lê Mạnh Trường- </t>
    </r>
    <r>
      <rPr>
        <sz val="12"/>
        <color rgb="FFFF0000"/>
        <rFont val="Times New Roman"/>
        <family val="1"/>
      </rPr>
      <t>School</t>
    </r>
  </si>
  <si>
    <r>
      <rPr>
        <sz val="12"/>
        <color theme="1"/>
        <rFont val="Times New Roman"/>
        <family val="1"/>
      </rPr>
      <t>Nguyễn Hương Giang</t>
    </r>
    <r>
      <rPr>
        <sz val="12"/>
        <color rgb="FFFF0000"/>
        <rFont val="Times New Roman"/>
        <family val="1"/>
      </rPr>
      <t xml:space="preserve"> - chuyển nhượng S, W
969705315 Thiên Thiên nhận học</t>
    </r>
  </si>
  <si>
    <t>Thôn Đức Tái- Xã Chi Lăng- Thị Xã Quế Võ- Tỉnh Bắc Ninh</t>
  </si>
  <si>
    <t>VIP214</t>
  </si>
  <si>
    <r>
      <rPr>
        <sz val="12"/>
        <color theme="1"/>
        <rFont val="Times New Roman"/>
        <family val="1"/>
      </rPr>
      <t>Phạm Thành Công</t>
    </r>
    <r>
      <rPr>
        <sz val="12"/>
        <color rgb="FFFF0000"/>
        <rFont val="Times New Roman"/>
        <family val="1"/>
      </rPr>
      <t xml:space="preserve"> - Đã nộp 500K 01/08/2025</t>
    </r>
    <r>
      <rPr>
        <sz val="12"/>
        <color theme="1"/>
        <rFont val="Times New Roman"/>
        <family val="1"/>
      </rPr>
      <t xml:space="preserve">
</t>
    </r>
    <r>
      <rPr>
        <sz val="12"/>
        <color rgb="FFFF0000"/>
        <rFont val="Times New Roman"/>
        <family val="1"/>
      </rPr>
      <t>VIP137 bảo lưu b2 đi quân sự. Học VIP186 b1
VIP186 bảo lưu b8. Học VIP214 b7. Đã nộp 300K 23/11/25</t>
    </r>
  </si>
  <si>
    <t>Sách cũ 27/02/2025</t>
  </si>
  <si>
    <t>VIP137 nghỉ ngang b16</t>
  </si>
  <si>
    <r>
      <rPr>
        <sz val="12"/>
        <color theme="1"/>
        <rFont val="Times New Roman"/>
        <family val="1"/>
      </rPr>
      <t xml:space="preserve">Đỗ Hoài Nam </t>
    </r>
    <r>
      <rPr>
        <sz val="12"/>
        <color rgb="FFFF0000"/>
        <rFont val="Times New Roman"/>
        <family val="1"/>
      </rPr>
      <t>- sĩ số lệch với điểm danh. Hỏi My lý do bạn ko học từ buổi nào?</t>
    </r>
  </si>
  <si>
    <t>VIP137 bảo lưu b13. Hỏi HV nói thi chứng chỉ đạt nên ko học nữa</t>
  </si>
  <si>
    <r>
      <rPr>
        <sz val="12"/>
        <color theme="1"/>
        <rFont val="Times New Roman"/>
        <family val="1"/>
      </rPr>
      <t xml:space="preserve">Lưu Thị Vân Anh </t>
    </r>
    <r>
      <rPr>
        <sz val="12"/>
        <color rgb="FFFF0000"/>
        <rFont val="Times New Roman"/>
        <family val="1"/>
      </rPr>
      <t>- sĩ số lệch với điểm danh. Hỏi My lý do bạn ko học từ buổi 13</t>
    </r>
  </si>
  <si>
    <r>
      <rPr>
        <sz val="12"/>
        <color theme="1"/>
        <rFont val="Times New Roman"/>
        <family val="1"/>
      </rPr>
      <t>Đặng Thành Lộc</t>
    </r>
    <r>
      <rPr>
        <sz val="12"/>
        <color rgb="FFFF0000"/>
        <rFont val="Times New Roman"/>
        <family val="1"/>
      </rPr>
      <t xml:space="preserve"> - Đã nộp 300K 29/05/2025
OT63 bảo lưu b19. Học OT65 buổi 16</t>
    </r>
  </si>
  <si>
    <t>ngõ 43 Doãn Kế Thiện, Mai Dịch, Cầu Giấy, Hà Nội</t>
  </si>
  <si>
    <t>T296 bảo lưu buổi 2</t>
  </si>
  <si>
    <r>
      <rPr>
        <sz val="12"/>
        <color theme="1"/>
        <rFont val="Times New Roman"/>
        <family val="1"/>
      </rPr>
      <t xml:space="preserve">Triệu Thế Tiệp </t>
    </r>
    <r>
      <rPr>
        <sz val="12"/>
        <color rgb="FFFF0000"/>
        <rFont val="Times New Roman"/>
        <family val="1"/>
      </rPr>
      <t>- học lại miễn phí
Mua sách đã ck 100K 21/02/2025</t>
    </r>
  </si>
  <si>
    <t>VIP171</t>
  </si>
  <si>
    <r>
      <rPr>
        <sz val="12"/>
        <color theme="1"/>
        <rFont val="Times New Roman"/>
        <family val="1"/>
      </rPr>
      <t>Vũ Thu Linh</t>
    </r>
    <r>
      <rPr>
        <sz val="12"/>
        <color rgb="FFFF0000"/>
        <rFont val="Times New Roman"/>
        <family val="1"/>
      </rPr>
      <t xml:space="preserve"> - Đã nộp 300K 04/06/2025
VIP136 bảo lưu b2 về thi lại. Học VIP170 b1</t>
    </r>
  </si>
  <si>
    <t>Nhà số 8 ngách 56 ngõ 63 Trần Quốc Vượng, Dịch Vọng Hậu, Cầu Giấy, Hà Nội</t>
  </si>
  <si>
    <t>50 Đường Quán Nam, Kênh Dương, Lê Chân, Hải Phòng</t>
  </si>
  <si>
    <t>W11 bảo lưu buổi 4</t>
  </si>
  <si>
    <r>
      <rPr>
        <sz val="12"/>
        <color theme="1"/>
        <rFont val="Times New Roman"/>
        <family val="1"/>
      </rPr>
      <t xml:space="preserve">Nguyễn Ngọc Anh. </t>
    </r>
    <r>
      <rPr>
        <sz val="12"/>
        <color rgb="FFFF0000"/>
        <rFont val="Times New Roman"/>
        <family val="1"/>
      </rPr>
      <t>KO học nữa, chuẩn bị thi chứng chỉ</t>
    </r>
  </si>
  <si>
    <r>
      <rPr>
        <sz val="12"/>
        <color theme="1"/>
        <rFont val="Times New Roman"/>
        <family val="1"/>
      </rPr>
      <t xml:space="preserve">Nguyễn Thị Hà Phương </t>
    </r>
    <r>
      <rPr>
        <sz val="12"/>
        <color rgb="FFFF0000"/>
        <rFont val="Times New Roman"/>
        <family val="1"/>
      </rPr>
      <t>- Hi Phương</t>
    </r>
  </si>
  <si>
    <t>89 Nguyễn phong sắc, Dịch Vọng Hậu, Cầu Giấy, Hà Nội</t>
  </si>
  <si>
    <t xml:space="preserve">Bùi Thị Diệu </t>
  </si>
  <si>
    <t>số nhà 59, ngõ 4, vân canh, hoài đức, Hà Nội</t>
  </si>
  <si>
    <r>
      <rPr>
        <sz val="12"/>
        <color theme="1"/>
        <rFont val="Times New Roman"/>
        <family val="1"/>
      </rPr>
      <t>Trần Đoàn Hiệp</t>
    </r>
    <r>
      <rPr>
        <sz val="12"/>
        <color rgb="FFFF0000"/>
        <rFont val="Times New Roman"/>
        <family val="1"/>
      </rPr>
      <t xml:space="preserve"> </t>
    </r>
  </si>
  <si>
    <t>Khu trọ 4,0, Phù Vân, Phủ Lý, Hà Nam</t>
  </si>
  <si>
    <t xml:space="preserve"> Hoàng Tiến Anh </t>
  </si>
  <si>
    <r>
      <rPr>
        <sz val="12"/>
        <color theme="1"/>
        <rFont val="Times New Roman"/>
        <family val="1"/>
      </rPr>
      <t xml:space="preserve">Nguyễn Thị Quỳnh Chi </t>
    </r>
    <r>
      <rPr>
        <sz val="12"/>
        <color rgb="FFFF0000"/>
        <rFont val="Times New Roman"/>
        <family val="1"/>
      </rPr>
      <t>- T295 HV thứ 10</t>
    </r>
  </si>
  <si>
    <t>295A, ngách 49, ngõ 279, Phường Hoàng Văn Thụ, Quận Hoàng Mai, Hà Nội</t>
  </si>
  <si>
    <t>Cao Đức Việt</t>
  </si>
  <si>
    <t>27 ngách 221 thịnh quang đống đa hà nội</t>
  </si>
  <si>
    <t xml:space="preserve">Phạm Thị Khánh </t>
  </si>
  <si>
    <t>108 Pháo Đài Láng , Láng Thượng , Đống Đa, Hà Nội</t>
  </si>
  <si>
    <t xml:space="preserve">Nguyễn Tiến Thuận </t>
  </si>
  <si>
    <t>số 11 ngõ 80/50/3 Xuân Phương-Phương Canh-Nam Từ Liêm-HN</t>
  </si>
  <si>
    <r>
      <rPr>
        <sz val="12"/>
        <color theme="1"/>
        <rFont val="Times New Roman"/>
        <family val="1"/>
      </rPr>
      <t>Trần Lê Hữu</t>
    </r>
    <r>
      <rPr>
        <sz val="12"/>
        <color rgb="FFFF0000"/>
        <rFont val="Times New Roman"/>
        <family val="1"/>
      </rPr>
      <t xml:space="preserve"> </t>
    </r>
  </si>
  <si>
    <t>215 Đường số 138, Phường Tân Phú, Quận 9,  TP Hồ Chí Minh</t>
  </si>
  <si>
    <t>T297 nghỉ ngang b9, Hạ chat</t>
  </si>
  <si>
    <r>
      <rPr>
        <sz val="12"/>
        <color theme="1"/>
        <rFont val="Times New Roman"/>
        <family val="1"/>
      </rPr>
      <t>Lê Việt Dũng</t>
    </r>
    <r>
      <rPr>
        <sz val="12"/>
        <color rgb="FFFF0000"/>
        <rFont val="Times New Roman"/>
        <family val="1"/>
      </rPr>
      <t xml:space="preserve"> </t>
    </r>
  </si>
  <si>
    <t>37 ngõ 5 ngoạ long, Minh Khai, Từ Liêm, Hà Nội</t>
  </si>
  <si>
    <t>T297 bỏ ngang b21. Sĩ số lệch hỏi Ngoan nên mới biết</t>
  </si>
  <si>
    <t xml:space="preserve">80 ngõ 20 đường Mỹ Đình, Mỹ Đình 2, Nam Từ Liêm, Hà Nội </t>
  </si>
  <si>
    <t>Trần Thị Linh</t>
  </si>
  <si>
    <r>
      <rPr>
        <sz val="12"/>
        <color theme="1"/>
        <rFont val="Times New Roman"/>
        <family val="1"/>
      </rPr>
      <t>Lê Anh Đức</t>
    </r>
    <r>
      <rPr>
        <sz val="12"/>
        <color rgb="FFFF0000"/>
        <rFont val="Times New Roman"/>
        <family val="1"/>
      </rPr>
      <t xml:space="preserve"> </t>
    </r>
  </si>
  <si>
    <t>VIP139 nghỉ ngang b12 đi chữa bệnh. Hạ chat</t>
  </si>
  <si>
    <r>
      <rPr>
        <sz val="12"/>
        <color theme="1"/>
        <rFont val="Times New Roman"/>
        <family val="1"/>
      </rPr>
      <t>Lương Thị Xuân Bắc</t>
    </r>
    <r>
      <rPr>
        <sz val="12"/>
        <color rgb="FFFF0000"/>
        <rFont val="Times New Roman"/>
        <family val="1"/>
      </rPr>
      <t xml:space="preserve"> - test đầu vào khi học S, W</t>
    </r>
  </si>
  <si>
    <t>nhà số 7, ngách 85/3, ngõ 85 Lê Văn Hiến, Đức Thắng, Bắc Từ Liêm, Hà Nội</t>
  </si>
  <si>
    <t>VIP139 bỏ ngang buổi 13</t>
  </si>
  <si>
    <r>
      <rPr>
        <sz val="12"/>
        <color theme="1"/>
        <rFont val="Times New Roman"/>
        <family val="1"/>
      </rPr>
      <t xml:space="preserve">Hà Khánh Huyền </t>
    </r>
    <r>
      <rPr>
        <sz val="12"/>
        <color rgb="FFFF0000"/>
        <rFont val="Times New Roman"/>
        <family val="1"/>
      </rPr>
      <t>- VIP139 phá lớp b15
Học VIP141 buổi 16</t>
    </r>
  </si>
  <si>
    <t>VIP153</t>
  </si>
  <si>
    <r>
      <rPr>
        <sz val="12"/>
        <color theme="1"/>
        <rFont val="Times New Roman"/>
        <family val="1"/>
      </rPr>
      <t>Trần Minh Trang</t>
    </r>
    <r>
      <rPr>
        <sz val="12"/>
        <color rgb="FFFF0000"/>
        <rFont val="Times New Roman"/>
        <family val="1"/>
      </rPr>
      <t xml:space="preserve"> - đã nộp 300K 26/05/2025
VIP141 bảo lưu b14. Học VIP153 b13</t>
    </r>
  </si>
  <si>
    <t>Khu C Yên Nghĩa, Phường Yên Nghĩa, Quận Hà Đông, Hà Nội</t>
  </si>
  <si>
    <r>
      <rPr>
        <sz val="12"/>
        <color theme="1"/>
        <rFont val="Times New Roman"/>
        <family val="1"/>
      </rPr>
      <t>Nguyễn Phương Hà</t>
    </r>
    <r>
      <rPr>
        <sz val="12"/>
        <color rgb="FFFF0000"/>
        <rFont val="Times New Roman"/>
        <family val="1"/>
      </rPr>
      <t xml:space="preserve"> - VIP138</t>
    </r>
  </si>
  <si>
    <t>12 Chùa Bộc, Quang Trung, Đống Đa, Hà Nội</t>
  </si>
  <si>
    <t>VIP140</t>
  </si>
  <si>
    <t>Số 68 Ngõ 41 phố Đông Tác, Đống Đa, Hà Nội</t>
  </si>
  <si>
    <t>VIP192 bảo lưu b13</t>
  </si>
  <si>
    <r>
      <rPr>
        <sz val="12"/>
        <color theme="1"/>
        <rFont val="Times New Roman"/>
        <family val="1"/>
      </rPr>
      <t xml:space="preserve">Đoàn Nguyên Vũ </t>
    </r>
    <r>
      <rPr>
        <sz val="12"/>
        <color rgb="FFFF0000"/>
        <rFont val="Times New Roman"/>
        <family val="1"/>
      </rPr>
      <t xml:space="preserve">- Đã nộp 300K 02/10/2025
VIP140 bảo lưu b17. Học VIP192 b6
</t>
    </r>
    <r>
      <rPr>
        <sz val="12"/>
        <color theme="1"/>
        <rFont val="Times New Roman"/>
        <family val="1"/>
      </rPr>
      <t>VIP192 bảo lưu b13</t>
    </r>
  </si>
  <si>
    <t>phòng 1002, toà B1, udic westlake, phú thượng , tây hồ, hà nội</t>
  </si>
  <si>
    <t>VIP154</t>
  </si>
  <si>
    <r>
      <rPr>
        <sz val="12"/>
        <color theme="1"/>
        <rFont val="Times New Roman"/>
        <family val="1"/>
      </rPr>
      <t>Ngô Gia Bảo</t>
    </r>
    <r>
      <rPr>
        <sz val="12"/>
        <color rgb="FFFF0000"/>
        <rFont val="Times New Roman"/>
        <family val="1"/>
      </rPr>
      <t xml:space="preserve"> - đã nộp 300K 26/04/2025
VIP139 bảo lưu b14. Học VIP154 b13</t>
    </r>
  </si>
  <si>
    <t>VIP186</t>
  </si>
  <si>
    <r>
      <rPr>
        <sz val="12"/>
        <color theme="1"/>
        <rFont val="Times New Roman"/>
        <family val="1"/>
      </rPr>
      <t xml:space="preserve">Nguyễn Thảo Linh </t>
    </r>
    <r>
      <rPr>
        <sz val="12"/>
        <color rgb="FFFF0000"/>
        <rFont val="Times New Roman"/>
        <family val="1"/>
      </rPr>
      <t>- Đã nộp 300K 17/09/2025
VIP142 bảo lưu b13. Hỏi Hạ. Học VIP186 b12</t>
    </r>
  </si>
  <si>
    <t>VIP142</t>
  </si>
  <si>
    <t>https://www.facebook.com/share/18Fp2BeMUE/</t>
  </si>
  <si>
    <t xml:space="preserve">nhà 17 ngách 32 ngõ 133 Xuân Thuỷ - Cầu Giấy - Hà Nội </t>
  </si>
  <si>
    <r>
      <rPr>
        <sz val="12"/>
        <color theme="1"/>
        <rFont val="Times New Roman"/>
        <family val="1"/>
      </rPr>
      <t>Dương Quỳnh Anh</t>
    </r>
    <r>
      <rPr>
        <sz val="12"/>
        <color rgb="FFFF0000"/>
        <rFont val="Times New Roman"/>
        <family val="1"/>
      </rPr>
      <t xml:space="preserve"> </t>
    </r>
  </si>
  <si>
    <t xml:space="preserve">Trần Kim Ngân </t>
  </si>
  <si>
    <t>Đội 7- thôn Hạ Vĩnh- Thanh Quang- Thanh Hà- Hải Dương</t>
  </si>
  <si>
    <t>Số nhà 27, đường Đồng Tâm, Minh Hoà 4, Minh Khai, Hoài Đức, Hà Nội</t>
  </si>
  <si>
    <t>https://www.facebook.com/people/HT-Huyenn/pfbid0qboHM9Sx7NEQSPKzcKQu4fE6sZeQVj4vQtgj4ymB8MJsa2aXi5oNszEfb4pYfRiAl/</t>
  </si>
  <si>
    <t>số 3 ngõ 816/51/33 kim giang, xóm vực, xã thanh liệt, huyện thanh trì hà nội</t>
  </si>
  <si>
    <t>VIP158</t>
  </si>
  <si>
    <r>
      <rPr>
        <sz val="12"/>
        <color theme="1"/>
        <rFont val="Times New Roman"/>
        <family val="1"/>
      </rPr>
      <t>Bùi Thị Sao Mai</t>
    </r>
    <r>
      <rPr>
        <sz val="12"/>
        <color rgb="FFFF0000"/>
        <rFont val="Times New Roman"/>
        <family val="1"/>
      </rPr>
      <t xml:space="preserve"> - Huyền Mai, đã nộp 300K 10/6/25
VIP141 bảo lưu b14. Học VIP158 b14</t>
    </r>
  </si>
  <si>
    <t>Số nhà 12, Cựu Quán 2, Đức Thượng, Hoài Đức, Hà Nội</t>
  </si>
  <si>
    <t>VIP145</t>
  </si>
  <si>
    <r>
      <rPr>
        <sz val="12"/>
        <color theme="1"/>
        <rFont val="Times New Roman"/>
        <family val="1"/>
      </rPr>
      <t>Đỗ Thị Hương Giang</t>
    </r>
    <r>
      <rPr>
        <sz val="12"/>
        <color rgb="FFFF0000"/>
        <rFont val="Times New Roman"/>
        <family val="1"/>
      </rPr>
      <t xml:space="preserve"> - VIP138</t>
    </r>
  </si>
  <si>
    <r>
      <rPr>
        <sz val="12"/>
        <color theme="1"/>
        <rFont val="Times New Roman"/>
        <family val="1"/>
      </rPr>
      <t>Nguyễn Thị Thu Yến</t>
    </r>
    <r>
      <rPr>
        <sz val="12"/>
        <color rgb="FFFF0000"/>
        <rFont val="Times New Roman"/>
        <family val="1"/>
      </rPr>
      <t xml:space="preserve"> - Selina Nguyễn
sđt ít dùng </t>
    </r>
    <r>
      <rPr>
        <sz val="12"/>
        <color theme="1"/>
        <rFont val="Times New Roman"/>
        <family val="1"/>
      </rPr>
      <t>0945675397</t>
    </r>
    <r>
      <rPr>
        <sz val="12"/>
        <color rgb="FFFF0000"/>
        <rFont val="Times New Roman"/>
        <family val="1"/>
      </rPr>
      <t xml:space="preserve"> - VIP141</t>
    </r>
  </si>
  <si>
    <t>Nhà số 1 - xóm Chùa Càn Nguyên - khu phố Dương Lôi - Phường Tân Hồng - TP. Từ Sơn - Bắc Ninh</t>
  </si>
  <si>
    <t>T306</t>
  </si>
  <si>
    <r>
      <rPr>
        <sz val="12"/>
        <color theme="1"/>
        <rFont val="Times New Roman"/>
        <family val="1"/>
      </rPr>
      <t>Đinh Thị Quỳnh</t>
    </r>
    <r>
      <rPr>
        <sz val="12"/>
        <color rgb="FFFF0000"/>
        <rFont val="Times New Roman"/>
        <family val="1"/>
      </rPr>
      <t xml:space="preserve"> - học lại nộp 50% học phí 1,984K
Đã nộp 2,084K 24/04/2025</t>
    </r>
  </si>
  <si>
    <t>17/10/2024 sách cũ</t>
  </si>
  <si>
    <r>
      <rPr>
        <sz val="12"/>
        <color theme="1"/>
        <rFont val="Times New Roman"/>
        <family val="1"/>
      </rPr>
      <t>Vương Thị Ngọc Ánh</t>
    </r>
    <r>
      <rPr>
        <sz val="12"/>
        <color rgb="FFFF0000"/>
        <rFont val="Times New Roman"/>
        <family val="1"/>
      </rPr>
      <t xml:space="preserve"> - VIP138</t>
    </r>
  </si>
  <si>
    <t>sn18 - đường 170/8 phú lương hà đông hà nội</t>
  </si>
  <si>
    <t>VIP141 nghỉ ngang b11. Hạ chat</t>
  </si>
  <si>
    <t>https://www.facebook.com/thanhcong.0610?mibextid=wwXIfr&amp;mibextid=wwXIfr</t>
  </si>
  <si>
    <r>
      <rPr>
        <sz val="12"/>
        <color theme="1"/>
        <rFont val="Times New Roman"/>
        <family val="1"/>
      </rPr>
      <t xml:space="preserve">Nguyễn Đỗ Lâm Bình </t>
    </r>
    <r>
      <rPr>
        <sz val="12"/>
        <color rgb="FFFF0000"/>
        <rFont val="Times New Roman"/>
        <family val="1"/>
      </rPr>
      <t>- VIP140</t>
    </r>
  </si>
  <si>
    <t>VIP144 bảo lưu b19</t>
  </si>
  <si>
    <r>
      <rPr>
        <sz val="12"/>
        <color theme="1"/>
        <rFont val="Times New Roman"/>
        <family val="1"/>
      </rPr>
      <t xml:space="preserve">Đoàn Thị Bích </t>
    </r>
    <r>
      <rPr>
        <sz val="12"/>
        <color rgb="FFFF0000"/>
        <rFont val="Times New Roman"/>
        <family val="1"/>
      </rPr>
      <t>- VIP144 phá lớp</t>
    </r>
  </si>
  <si>
    <r>
      <rPr>
        <sz val="12"/>
        <color theme="1"/>
        <rFont val="Times New Roman"/>
        <family val="1"/>
      </rPr>
      <t>Lại Cao Phong</t>
    </r>
    <r>
      <rPr>
        <sz val="12"/>
        <color rgb="FFFF0000"/>
        <rFont val="Times New Roman"/>
        <family val="1"/>
      </rPr>
      <t xml:space="preserve"> </t>
    </r>
  </si>
  <si>
    <t>Số 89, Ngõ 488, Trần Cung, Cổ Nhuế, Bắc Từ Liêm, Hà Nội</t>
  </si>
  <si>
    <t>Cổng C, chung cư Huyndai Hillstate, Tô Hiệu, Hà Cầu, Hà Đông, Hà Nội</t>
  </si>
  <si>
    <t>OVIP38</t>
  </si>
  <si>
    <r>
      <rPr>
        <sz val="12"/>
        <color theme="1"/>
        <rFont val="Times New Roman"/>
        <family val="1"/>
      </rPr>
      <t>Bùi Thị Ngân -</t>
    </r>
    <r>
      <rPr>
        <sz val="12"/>
        <color rgb="FFFF0000"/>
        <rFont val="Times New Roman"/>
        <family val="1"/>
      </rPr>
      <t xml:space="preserve"> đã nộp 300K 06/05/2025
OVIP24 bảo lưu b2. Học OVIP38 b3. Đã nộp 200K mua sách 12/05/2025</t>
    </r>
  </si>
  <si>
    <t>11/03/2025 sách cũ</t>
  </si>
  <si>
    <t>VIP162</t>
  </si>
  <si>
    <t>https://www.facebook.com/people/Tieu-Ngoc/pfbid0TviiUxm9FZDf3DJcB5sx5fmNbMF2ynG7oGU9nffGh3j9DYfTP4HPYNxDSWmGgmkal/</t>
  </si>
  <si>
    <r>
      <rPr>
        <sz val="12"/>
        <color theme="1"/>
        <rFont val="Times New Roman"/>
        <family val="1"/>
      </rPr>
      <t>Trần Ngọc Tiến</t>
    </r>
    <r>
      <rPr>
        <sz val="12"/>
        <color rgb="FFFF0000"/>
        <rFont val="Times New Roman"/>
        <family val="1"/>
      </rPr>
      <t xml:space="preserve"> - OVIP24 ra chờ Quân báo</t>
    </r>
  </si>
  <si>
    <t>06/554 Trường Chinh, Khương Thượng, Đống Đa, Hà Nội</t>
  </si>
  <si>
    <t>OVIP32</t>
  </si>
  <si>
    <t>https://www.facebook.com/share/1FkvFsZdZf/</t>
  </si>
  <si>
    <r>
      <rPr>
        <sz val="12"/>
        <color theme="1"/>
        <rFont val="Times New Roman"/>
        <family val="1"/>
      </rPr>
      <t>Nguyễn Đức Tiến</t>
    </r>
    <r>
      <rPr>
        <sz val="12"/>
        <color rgb="FFFF0000"/>
        <rFont val="Times New Roman"/>
        <family val="1"/>
      </rPr>
      <t xml:space="preserve"> - đã nộp 300K 26/05/2025
OVIP24 bảo lưu b14. Học OVIP32 buổi 15</t>
    </r>
  </si>
  <si>
    <t>VIP184</t>
  </si>
  <si>
    <r>
      <rPr>
        <sz val="12"/>
        <color theme="1"/>
        <rFont val="Times New Roman"/>
        <family val="1"/>
      </rPr>
      <t>Đỗ Chung Anh</t>
    </r>
    <r>
      <rPr>
        <sz val="12"/>
        <color rgb="FFFF0000"/>
        <rFont val="Times New Roman"/>
        <family val="1"/>
      </rPr>
      <t xml:space="preserve"> - nick Chanh Bống
OVIP24 bảo lưu b22. Học VIP184 b23</t>
    </r>
  </si>
  <si>
    <t>OVIP24 bảo lưu b14</t>
  </si>
  <si>
    <t>OVIP50</t>
  </si>
  <si>
    <r>
      <rPr>
        <sz val="12"/>
        <color theme="1"/>
        <rFont val="Times New Roman"/>
        <family val="1"/>
      </rPr>
      <t xml:space="preserve">Lê Thuý Hiền </t>
    </r>
    <r>
      <rPr>
        <sz val="12"/>
        <color rgb="FFFF0000"/>
        <rFont val="Times New Roman"/>
        <family val="1"/>
      </rPr>
      <t>- Đã nộp 300K 05/05/2025, 200K 19/09/2025
OVIP24 bảo lưu b13. Học OVIP50 buổi 9</t>
    </r>
  </si>
  <si>
    <t>ngõ 10 số 9 hào nam ô chợ dừa tây hà nội</t>
  </si>
  <si>
    <t>Sách cũ 11/03/2025</t>
  </si>
  <si>
    <r>
      <rPr>
        <sz val="12"/>
        <color theme="1"/>
        <rFont val="Times New Roman"/>
        <family val="1"/>
      </rPr>
      <t xml:space="preserve">Phạm Duy Hưng </t>
    </r>
    <r>
      <rPr>
        <sz val="12"/>
        <color rgb="FFFF0000"/>
        <rFont val="Times New Roman"/>
        <family val="1"/>
      </rPr>
      <t>- Đã nộp 500K 19/09/2025
OVIP24 bảo lưu b14. Học OVIP50 b9</t>
    </r>
  </si>
  <si>
    <t>Phòng 411, B8-KTX Bách Khoa, Hai Bà Trưng, TP Hà Nội</t>
  </si>
  <si>
    <r>
      <rPr>
        <sz val="12"/>
        <color theme="1"/>
        <rFont val="Times New Roman"/>
        <family val="1"/>
      </rPr>
      <t>Nguyễn Ngọc Huyền</t>
    </r>
    <r>
      <rPr>
        <sz val="12"/>
        <color rgb="FFFF0000"/>
        <rFont val="Times New Roman"/>
        <family val="1"/>
      </rPr>
      <t xml:space="preserve"> - học lại miễn phí
CK 100K mua sách 08/03/2025</t>
    </r>
  </si>
  <si>
    <t>Số 44, ngõ 2 đại học Hà Nội , Trung văn , nam từ liêm , Hà Nội</t>
  </si>
  <si>
    <t>Sách đã nhận ở OT36</t>
  </si>
  <si>
    <t>VIP160</t>
  </si>
  <si>
    <t>Số nhà 291A, ngõ Thịnh Quang, Phường Thịnh Quang, Đống Đa, Hà Nội</t>
  </si>
  <si>
    <r>
      <rPr>
        <sz val="12"/>
        <color theme="1"/>
        <rFont val="Times New Roman"/>
        <family val="1"/>
      </rPr>
      <t>Nguyễn Thị Duyên</t>
    </r>
    <r>
      <rPr>
        <sz val="12"/>
        <color rgb="FFFF0000"/>
        <rFont val="Times New Roman"/>
        <family val="1"/>
      </rPr>
      <t xml:space="preserve"> - OVIP30 rút phút 89</t>
    </r>
  </si>
  <si>
    <t>Số nhà 46, Ngõ 122, đường Láng, phường Thịnh Quang, Đống Đa, Hà Nội</t>
  </si>
  <si>
    <t>số 2 ngõ 36 Mai Động Hoàng Mai Hà Nội</t>
  </si>
  <si>
    <t>OVIP30</t>
  </si>
  <si>
    <r>
      <rPr>
        <sz val="12"/>
        <color theme="1"/>
        <rFont val="Times New Roman"/>
        <family val="1"/>
      </rPr>
      <t>Lê Nguyễn Hà Trang</t>
    </r>
    <r>
      <rPr>
        <sz val="12"/>
        <color rgb="FFFF0000"/>
        <rFont val="Times New Roman"/>
        <family val="1"/>
      </rPr>
      <t xml:space="preserve"> </t>
    </r>
    <r>
      <rPr>
        <sz val="12"/>
        <color theme="1"/>
        <rFont val="Times New Roman"/>
        <family val="1"/>
      </rPr>
      <t xml:space="preserve"> </t>
    </r>
    <r>
      <rPr>
        <sz val="12"/>
        <color rgb="FFFF0000"/>
        <rFont val="Times New Roman"/>
        <family val="1"/>
      </rPr>
      <t>865516062 sđt cũ</t>
    </r>
  </si>
  <si>
    <t>Ship sách cho My 3 bộ</t>
  </si>
  <si>
    <t>VIP161</t>
  </si>
  <si>
    <t>OVIP30 nghỉ ngang b7, b8. Giang báo</t>
  </si>
  <si>
    <t>OVIP33</t>
  </si>
  <si>
    <r>
      <rPr>
        <sz val="12"/>
        <color theme="1"/>
        <rFont val="Times New Roman"/>
        <family val="1"/>
      </rPr>
      <t>Trần Quốc Thành Thiện</t>
    </r>
    <r>
      <rPr>
        <sz val="12"/>
        <color rgb="FFFF0000"/>
        <rFont val="Times New Roman"/>
        <family val="1"/>
      </rPr>
      <t xml:space="preserve"> - 862158078 số ZALO - OVIP30</t>
    </r>
  </si>
  <si>
    <t>OVIP40</t>
  </si>
  <si>
    <r>
      <rPr>
        <sz val="12"/>
        <color theme="1"/>
        <rFont val="Times New Roman"/>
        <family val="1"/>
      </rPr>
      <t xml:space="preserve">Nguyễn Bảo Ngọc </t>
    </r>
    <r>
      <rPr>
        <sz val="12"/>
        <color rgb="FFFF0000"/>
        <rFont val="Times New Roman"/>
        <family val="1"/>
      </rPr>
      <t>- OVIP30. OVIP39</t>
    </r>
  </si>
  <si>
    <t>https://www.facebook.com/dinhnhuan081006</t>
  </si>
  <si>
    <r>
      <rPr>
        <sz val="12"/>
        <color theme="1"/>
        <rFont val="Times New Roman"/>
        <family val="1"/>
      </rPr>
      <t xml:space="preserve">Vũ Đình Vĩ </t>
    </r>
    <r>
      <rPr>
        <sz val="12"/>
        <color rgb="FFFF0000"/>
        <rFont val="Times New Roman"/>
        <family val="1"/>
      </rPr>
      <t>- OVIP24 ra chờ Quân báo</t>
    </r>
  </si>
  <si>
    <t>Làng Vàng - Yên Bình - Huyện Ý Yên - Tỉnh Nam Định</t>
  </si>
  <si>
    <t>https://www.facebook.com/pchiixinhiu</t>
  </si>
  <si>
    <r>
      <rPr>
        <sz val="12"/>
        <color theme="1"/>
        <rFont val="Times New Roman"/>
        <family val="1"/>
      </rPr>
      <t>Nguyễn Anh Vũ</t>
    </r>
    <r>
      <rPr>
        <sz val="12"/>
        <color rgb="FFFF0000"/>
        <rFont val="Times New Roman"/>
        <family val="1"/>
      </rPr>
      <t xml:space="preserve"> </t>
    </r>
  </si>
  <si>
    <r>
      <rPr>
        <sz val="12"/>
        <color theme="1"/>
        <rFont val="Times New Roman"/>
        <family val="1"/>
      </rPr>
      <t xml:space="preserve">Trần Hồng Long </t>
    </r>
    <r>
      <rPr>
        <sz val="12"/>
        <color rgb="FFFF0000"/>
        <rFont val="Times New Roman"/>
        <family val="1"/>
      </rPr>
      <t>- 906122697 số cũ</t>
    </r>
  </si>
  <si>
    <r>
      <rPr>
        <sz val="12"/>
        <color theme="1"/>
        <rFont val="Times New Roman"/>
        <family val="1"/>
      </rPr>
      <t>Nguyễn Đăng Long</t>
    </r>
    <r>
      <rPr>
        <sz val="12"/>
        <color rgb="FFFF0000"/>
        <rFont val="Times New Roman"/>
        <family val="1"/>
      </rPr>
      <t xml:space="preserve"> </t>
    </r>
  </si>
  <si>
    <r>
      <rPr>
        <sz val="12"/>
        <color theme="1"/>
        <rFont val="Times New Roman"/>
        <family val="1"/>
      </rPr>
      <t>Nguyễn Quỳnh Trang</t>
    </r>
    <r>
      <rPr>
        <sz val="12"/>
        <color rgb="FFFF0000"/>
        <rFont val="Times New Roman"/>
        <family val="1"/>
      </rPr>
      <t xml:space="preserve"> - test VIP 680 điểm. muốn học lại </t>
    </r>
  </si>
  <si>
    <t>VIP193</t>
  </si>
  <si>
    <r>
      <rPr>
        <sz val="12"/>
        <color theme="1"/>
        <rFont val="Times New Roman"/>
        <family val="1"/>
      </rPr>
      <t>Cao Thu Thảo</t>
    </r>
    <r>
      <rPr>
        <sz val="12"/>
        <color rgb="FFFF0000"/>
        <rFont val="Times New Roman"/>
        <family val="1"/>
      </rPr>
      <t xml:space="preserve"> </t>
    </r>
  </si>
  <si>
    <t xml:space="preserve">Dương Vũ Quang Huy </t>
  </si>
  <si>
    <r>
      <rPr>
        <sz val="12"/>
        <color theme="1"/>
        <rFont val="Times New Roman"/>
        <family val="1"/>
      </rPr>
      <t xml:space="preserve">Đỗ Huyền Vy </t>
    </r>
    <r>
      <rPr>
        <sz val="12"/>
        <color rgb="FFFF0000"/>
        <rFont val="Times New Roman"/>
        <family val="1"/>
      </rPr>
      <t>- OVIP24 rút phút 85</t>
    </r>
  </si>
  <si>
    <t>số nhà 83, đường Minh Thanh, thành phố Tuyên Quang, tỉnh Tuyên Quang</t>
  </si>
  <si>
    <t xml:space="preserve">Phan Diệu Huyền Hoa </t>
  </si>
  <si>
    <t>OVIP46</t>
  </si>
  <si>
    <r>
      <rPr>
        <sz val="12"/>
        <color theme="1"/>
        <rFont val="Times New Roman"/>
        <family val="1"/>
      </rPr>
      <t>Nguyễn Thị Như Quỳnh</t>
    </r>
    <r>
      <rPr>
        <sz val="12"/>
        <color rgb="FFFF0000"/>
        <rFont val="Times New Roman"/>
        <family val="1"/>
      </rPr>
      <t xml:space="preserve"> - Đã nộp 300K 16/08/2025
OVIP24 bảo lưu b16. Học OVIP46 b7. Nộp 200K 19/08/2025</t>
    </r>
  </si>
  <si>
    <t>Sách cũ 11/03/2025. Sách mới gửi Quân</t>
  </si>
  <si>
    <r>
      <rPr>
        <sz val="12"/>
        <color theme="1"/>
        <rFont val="Times New Roman"/>
        <family val="1"/>
      </rPr>
      <t>Phan Hà Vi</t>
    </r>
    <r>
      <rPr>
        <sz val="12"/>
        <color rgb="FFFF0000"/>
        <rFont val="Times New Roman"/>
        <family val="1"/>
      </rPr>
      <t xml:space="preserve"> - VIP141 tối KG rút 16h30
Đã nộp 300K 06/03/2025</t>
    </r>
  </si>
  <si>
    <t>số 1 , ngách 2 , ngõ 123 trần cung , phường cổ nhuế 1 , quận bắc từ liêm , hà nội</t>
  </si>
  <si>
    <r>
      <rPr>
        <sz val="12"/>
        <color theme="1"/>
        <rFont val="Times New Roman"/>
        <family val="1"/>
      </rPr>
      <t xml:space="preserve">Nguyễn Ngọc Ánh </t>
    </r>
    <r>
      <rPr>
        <sz val="12"/>
        <color rgb="FFFF0000"/>
        <rFont val="Times New Roman"/>
        <family val="1"/>
      </rPr>
      <t>- học lại miễn phí. đạt 460
T298 Nhài add vào lớp học từ b1. HV xin GV add vào T297 do trùng</t>
    </r>
  </si>
  <si>
    <t>W28 bảo lưu b1</t>
  </si>
  <si>
    <r>
      <rPr>
        <sz val="12"/>
        <color theme="1"/>
        <rFont val="Times New Roman"/>
        <family val="1"/>
      </rPr>
      <t>Phạm Toàn Đô</t>
    </r>
    <r>
      <rPr>
        <sz val="12"/>
        <color rgb="FFFF0000"/>
        <rFont val="Times New Roman"/>
        <family val="1"/>
      </rPr>
      <t xml:space="preserve"> - Chưa nộp 300K
W12 nghỉ ngang. DS lệch nên hỏi Vũ
Thu 600K bảo lưu 2 lớp</t>
    </r>
  </si>
  <si>
    <t>ngõ 70/67 phố văn trì , minh khai , bắc từ liêm Hà Nội</t>
  </si>
  <si>
    <r>
      <rPr>
        <sz val="12"/>
        <color theme="1"/>
        <rFont val="Times New Roman"/>
        <family val="1"/>
      </rPr>
      <t>Đỗ Xuân Bách</t>
    </r>
    <r>
      <rPr>
        <sz val="12"/>
        <color rgb="FFFF0000"/>
        <rFont val="Times New Roman"/>
        <family val="1"/>
      </rPr>
      <t xml:space="preserve"> </t>
    </r>
  </si>
  <si>
    <r>
      <rPr>
        <sz val="12"/>
        <color theme="1"/>
        <rFont val="Times New Roman"/>
        <family val="1"/>
      </rPr>
      <t>Đỗ Mỹ Hạnh</t>
    </r>
    <r>
      <rPr>
        <sz val="12"/>
        <color rgb="FFFF0000"/>
        <rFont val="Times New Roman"/>
        <family val="1"/>
      </rPr>
      <t xml:space="preserve"> - Đã nộp 300K 30/05/2025</t>
    </r>
    <r>
      <rPr>
        <sz val="12"/>
        <color theme="1"/>
        <rFont val="Times New Roman"/>
        <family val="1"/>
      </rPr>
      <t xml:space="preserve">
</t>
    </r>
    <r>
      <rPr>
        <sz val="12"/>
        <color rgb="FFFF0000"/>
        <rFont val="Times New Roman"/>
        <family val="1"/>
      </rPr>
      <t>VIP139 nghỉ ngang b2, vắng 4 buổi k rep GV TG. Hạ chat
VIP139 bảo lưu b9. Học VIP158 b9</t>
    </r>
  </si>
  <si>
    <r>
      <rPr>
        <sz val="12"/>
        <color theme="1"/>
        <rFont val="Times New Roman"/>
        <family val="1"/>
      </rPr>
      <t xml:space="preserve">Nguyễn Hải Nam </t>
    </r>
    <r>
      <rPr>
        <sz val="12"/>
        <color rgb="FFFF0000"/>
        <rFont val="Times New Roman"/>
        <family val="1"/>
      </rPr>
      <t>- 559037685 số cũ
Đổi W học lại VIP</t>
    </r>
  </si>
  <si>
    <t>số 2a ngách 61 ngõ 1002 đường láng</t>
  </si>
  <si>
    <r>
      <rPr>
        <sz val="12"/>
        <color theme="1"/>
        <rFont val="Times New Roman"/>
        <family val="1"/>
      </rPr>
      <t>Nguyễn Thị Yến Chi</t>
    </r>
    <r>
      <rPr>
        <sz val="12"/>
        <color rgb="FFFF0000"/>
        <rFont val="Times New Roman"/>
        <family val="1"/>
      </rPr>
      <t xml:space="preserve"> - đã nộp 300K 11/03/25
VIP141 bảo lưu b1. Học VIP170 b1</t>
    </r>
  </si>
  <si>
    <t>U08-L67 KĐT đô nghĩa ,yên nghĩa ,hà đông</t>
  </si>
  <si>
    <t>Số nhà 37, ngõ 12 Phan Đình Giót - Thanh Xuân-Hà Nội</t>
  </si>
  <si>
    <t>S12</t>
  </si>
  <si>
    <t>Nhà 12 ngách 112/29 nguyên xá, Minh khai, Bắc tử liêm, Hà Nội</t>
  </si>
  <si>
    <t>Số 94/ đường sông Nhuệ, phường Đức Thắng, Bắc Từ Liêm, Hà Nội</t>
  </si>
  <si>
    <t xml:space="preserve">Trần Hồng Ngọc </t>
  </si>
  <si>
    <t xml:space="preserve">Nguyễn Thùy Dương </t>
  </si>
  <si>
    <t>OS4</t>
  </si>
  <si>
    <r>
      <rPr>
        <sz val="12"/>
        <color theme="1"/>
        <rFont val="Times New Roman"/>
        <family val="1"/>
      </rPr>
      <t>Nguyễn Thị Thuỳ Châm</t>
    </r>
    <r>
      <rPr>
        <sz val="12"/>
        <color rgb="FFFF0000"/>
        <rFont val="Times New Roman"/>
        <family val="1"/>
      </rPr>
      <t xml:space="preserve"> - OK</t>
    </r>
  </si>
  <si>
    <t>Ngõ 1 Nguyễn Thị Định, Trung Hoà, Cầu Giấy, Hà Nội</t>
  </si>
  <si>
    <r>
      <rPr>
        <sz val="12"/>
        <color theme="1"/>
        <rFont val="Times New Roman"/>
        <family val="1"/>
      </rPr>
      <t>Trịnh Quỳnh Anh</t>
    </r>
    <r>
      <rPr>
        <sz val="12"/>
        <color rgb="FFFF0000"/>
        <rFont val="Times New Roman"/>
        <family val="1"/>
      </rPr>
      <t xml:space="preserve"> </t>
    </r>
  </si>
  <si>
    <r>
      <rPr>
        <sz val="12"/>
        <color theme="1"/>
        <rFont val="Times New Roman"/>
        <family val="1"/>
      </rPr>
      <t>Phạm Quốc Hưng</t>
    </r>
    <r>
      <rPr>
        <sz val="12"/>
        <color rgb="FFFF0000"/>
        <rFont val="Times New Roman"/>
        <family val="1"/>
      </rPr>
      <t xml:space="preserve"> </t>
    </r>
  </si>
  <si>
    <t xml:space="preserve">Đỗ Thuỳ Linh </t>
  </si>
  <si>
    <t>Số 6, ngõ 134 đường cầu diễn, TDP Nguyên xá 2, phường Minh khai, quận Bắc từ Liêm, Hà Nội</t>
  </si>
  <si>
    <r>
      <rPr>
        <sz val="12"/>
        <color theme="1"/>
        <rFont val="Times New Roman"/>
        <family val="1"/>
      </rPr>
      <t xml:space="preserve">Trần Thị Thùy Linh </t>
    </r>
    <r>
      <rPr>
        <sz val="12"/>
        <color rgb="FFFF0000"/>
        <rFont val="Times New Roman"/>
        <family val="1"/>
      </rPr>
      <t>- nick Đây Linh - S12</t>
    </r>
  </si>
  <si>
    <t>ngõ 4, phố Kiều Mai, Phúc Diễn, Bắc Từ Liêm, Hà Nội</t>
  </si>
  <si>
    <t>Đào Ngọc Linh</t>
  </si>
  <si>
    <t>số 3  ngõ 691 phường Cự Khối, Quận Long Biên, Hà Nội</t>
  </si>
  <si>
    <r>
      <rPr>
        <sz val="12"/>
        <color theme="1"/>
        <rFont val="Times New Roman"/>
        <family val="1"/>
      </rPr>
      <t xml:space="preserve">Nguyền Huyền Trang - </t>
    </r>
    <r>
      <rPr>
        <sz val="12"/>
        <color rgb="FFFF0000"/>
        <rFont val="Times New Roman"/>
        <family val="1"/>
      </rPr>
      <t>Chưa nộp 300K
S12 bảo lưu b3. Học S15 b3</t>
    </r>
  </si>
  <si>
    <t>số 6, 718 đường láng, đông đa hà nội</t>
  </si>
  <si>
    <r>
      <rPr>
        <sz val="12"/>
        <color theme="1"/>
        <rFont val="Times New Roman"/>
        <family val="1"/>
      </rPr>
      <t xml:space="preserve"> Tạ Minh Hằng </t>
    </r>
    <r>
      <rPr>
        <sz val="12"/>
        <color rgb="FFFF0000"/>
        <rFont val="Times New Roman"/>
        <family val="1"/>
      </rPr>
      <t>- HV thứ 10</t>
    </r>
  </si>
  <si>
    <t>VIP189</t>
  </si>
  <si>
    <r>
      <rPr>
        <sz val="12"/>
        <color theme="1"/>
        <rFont val="Times New Roman"/>
        <family val="1"/>
      </rPr>
      <t xml:space="preserve">Trần Đăng Hiếu </t>
    </r>
    <r>
      <rPr>
        <sz val="12"/>
        <color rgb="FFFF0000"/>
        <rFont val="Times New Roman"/>
        <family val="1"/>
      </rPr>
      <t>- Đã nộp 300k 19/08/2025
OVIP27 bảo lưu b1. Học VIP189 b1</t>
    </r>
  </si>
  <si>
    <t xml:space="preserve">Sách cũ </t>
  </si>
  <si>
    <t>T321</t>
  </si>
  <si>
    <r>
      <rPr>
        <sz val="12"/>
        <color theme="1"/>
        <rFont val="Times New Roman"/>
        <family val="1"/>
      </rPr>
      <t>Ngô Ích Quyền</t>
    </r>
    <r>
      <rPr>
        <sz val="12"/>
        <color rgb="FFFF0000"/>
        <rFont val="Times New Roman"/>
        <family val="1"/>
      </rPr>
      <t xml:space="preserve"> - OVIP27 - học lại nộp 50% học phí
Đã nộp 2,084K ngày 04/07/2025</t>
    </r>
  </si>
  <si>
    <r>
      <rPr>
        <sz val="12"/>
        <color theme="1"/>
        <rFont val="Times New Roman"/>
        <family val="1"/>
      </rPr>
      <t>Nguyễn Ngọc Yến Nhi</t>
    </r>
    <r>
      <rPr>
        <sz val="12"/>
        <color rgb="FFFF0000"/>
        <rFont val="Times New Roman"/>
        <family val="1"/>
      </rPr>
      <t xml:space="preserve"> - ? vì sao học lại T</t>
    </r>
  </si>
  <si>
    <t>861/47 hà huy tập ,tân lợi ,tp buôn ma thuột</t>
  </si>
  <si>
    <t>W15</t>
  </si>
  <si>
    <r>
      <rPr>
        <sz val="12"/>
        <color theme="1"/>
        <rFont val="Times New Roman"/>
        <family val="1"/>
      </rPr>
      <t>Hoàng Thị Quỳnh Như</t>
    </r>
    <r>
      <rPr>
        <sz val="12"/>
        <color rgb="FFFF0000"/>
        <rFont val="Times New Roman"/>
        <family val="1"/>
      </rPr>
      <t xml:space="preserve"> - W13</t>
    </r>
  </si>
  <si>
    <t>OVIP31</t>
  </si>
  <si>
    <r>
      <rPr>
        <sz val="12"/>
        <color theme="1"/>
        <rFont val="Times New Roman"/>
        <family val="1"/>
      </rPr>
      <t>Nguyễn Thị Ngân</t>
    </r>
    <r>
      <rPr>
        <sz val="12"/>
        <color rgb="FFFF0000"/>
        <rFont val="Times New Roman"/>
        <family val="1"/>
      </rPr>
      <t xml:space="preserve"> - OVIP27</t>
    </r>
  </si>
  <si>
    <t>Số 38 Ngõ 59 Phạm Văn Đồng Mai Dịch Cầu Giấy Hà Nội</t>
  </si>
  <si>
    <t>VIP206</t>
  </si>
  <si>
    <r>
      <rPr>
        <sz val="12"/>
        <color theme="1"/>
        <rFont val="Times New Roman"/>
        <family val="1"/>
      </rPr>
      <t>Vi Mạnh Cường</t>
    </r>
    <r>
      <rPr>
        <sz val="12"/>
        <color rgb="FFFF0000"/>
        <rFont val="Times New Roman"/>
        <family val="1"/>
      </rPr>
      <t xml:space="preserve"> - Chưa nộp 300k
OVIP28 bảo lưu b17. Học VIP206 b14</t>
    </r>
  </si>
  <si>
    <r>
      <rPr>
        <sz val="12"/>
        <color theme="1"/>
        <rFont val="Times New Roman"/>
        <family val="1"/>
      </rPr>
      <t xml:space="preserve">Đặng Quỳnh Mai - </t>
    </r>
    <r>
      <rPr>
        <sz val="12"/>
        <color rgb="FFFF0000"/>
        <rFont val="Times New Roman"/>
        <family val="1"/>
      </rPr>
      <t>Mike</t>
    </r>
  </si>
  <si>
    <r>
      <rPr>
        <sz val="12"/>
        <color theme="1"/>
        <rFont val="Times New Roman"/>
        <family val="1"/>
      </rPr>
      <t xml:space="preserve">Nguyễn Thị Hương Giang </t>
    </r>
    <r>
      <rPr>
        <sz val="12"/>
        <color rgb="FFFF0000"/>
        <rFont val="Times New Roman"/>
        <family val="1"/>
      </rPr>
      <t>- W13, W25</t>
    </r>
  </si>
  <si>
    <t>Số 76 ngõ 66 Nguyễn Hoàng, Mỹ Đình, Hà Nội</t>
  </si>
  <si>
    <r>
      <rPr>
        <sz val="12"/>
        <color theme="1"/>
        <rFont val="Times New Roman"/>
        <family val="1"/>
      </rPr>
      <t xml:space="preserve">Nguyễn Thị Thanh Trúc - </t>
    </r>
    <r>
      <rPr>
        <sz val="12"/>
        <color rgb="FFFF0000"/>
        <rFont val="Times New Roman"/>
        <family val="1"/>
      </rPr>
      <t>Trúc Thanh</t>
    </r>
  </si>
  <si>
    <r>
      <rPr>
        <sz val="12"/>
        <color theme="1"/>
        <rFont val="Times New Roman"/>
        <family val="1"/>
      </rPr>
      <t xml:space="preserve">Nguyễn Thuỳ Dương - </t>
    </r>
    <r>
      <rPr>
        <sz val="12"/>
        <color rgb="FFFF0000"/>
        <rFont val="Times New Roman"/>
        <family val="1"/>
      </rPr>
      <t>Zưn</t>
    </r>
  </si>
  <si>
    <r>
      <rPr>
        <sz val="12"/>
        <color theme="1"/>
        <rFont val="Times New Roman"/>
        <family val="1"/>
      </rPr>
      <t xml:space="preserve">Nguyễn Ngọc Trâm </t>
    </r>
    <r>
      <rPr>
        <sz val="12"/>
        <color rgb="FFFF0000"/>
        <rFont val="Times New Roman"/>
        <family val="1"/>
      </rPr>
      <t>- OVIP28</t>
    </r>
  </si>
  <si>
    <t>OVIP25</t>
  </si>
  <si>
    <r>
      <rPr>
        <sz val="12"/>
        <color theme="1"/>
        <rFont val="Times New Roman"/>
        <family val="1"/>
      </rPr>
      <t>Đỗ Ngọc Anh</t>
    </r>
    <r>
      <rPr>
        <sz val="12"/>
        <color rgb="FFFF0000"/>
        <rFont val="Times New Roman"/>
        <family val="1"/>
      </rPr>
      <t xml:space="preserve"> - OVIP25</t>
    </r>
  </si>
  <si>
    <t>Số 8 ngõ 79 đường cầu giấy ,cầu giấy</t>
  </si>
  <si>
    <t>VIP194</t>
  </si>
  <si>
    <t>https://www.facebook.com/u.chaniw</t>
  </si>
  <si>
    <r>
      <rPr>
        <sz val="12"/>
        <color theme="1"/>
        <rFont val="Times New Roman"/>
        <family val="1"/>
      </rPr>
      <t>Uông Thị Thuỳ Trang</t>
    </r>
    <r>
      <rPr>
        <sz val="12"/>
        <color rgb="FFFF0000"/>
        <rFont val="Times New Roman"/>
        <family val="1"/>
      </rPr>
      <t xml:space="preserve"> - OVIP2</t>
    </r>
  </si>
  <si>
    <t xml:space="preserve"> số 4A ngách 34/47 ngõ 34 xuân la, Tây Hồ, Hà Nội</t>
  </si>
  <si>
    <t>https://www.facebook.com/profile.php?id=100083791062278</t>
  </si>
  <si>
    <t>VIP195 nghỉ ngang b15. Huyền chat</t>
  </si>
  <si>
    <t>https://www.facebook.com/profile.php?id=61583394590048</t>
  </si>
  <si>
    <r>
      <rPr>
        <sz val="12"/>
        <color theme="1"/>
        <rFont val="Times New Roman"/>
        <family val="1"/>
      </rPr>
      <t xml:space="preserve">Nguyễn Xuân Việt Anh </t>
    </r>
    <r>
      <rPr>
        <sz val="12"/>
        <color rgb="FFFF0000"/>
        <rFont val="Times New Roman"/>
        <family val="1"/>
      </rPr>
      <t>- đã nộp 300K 1/11/25
OVIP26 bảo lưu báo GV. Học VIP195 b11</t>
    </r>
  </si>
  <si>
    <t>Cổng 2 KTX học viện ngân hàng</t>
  </si>
  <si>
    <t>nhà trọ 4.0, 142 Lý Thường Kiệt, Phù Vân, Phủ Lý, Hà Nam</t>
  </si>
  <si>
    <r>
      <rPr>
        <sz val="12"/>
        <color theme="1"/>
        <rFont val="Times New Roman"/>
        <family val="1"/>
      </rPr>
      <t>Dương Vũ Trung Hiếu</t>
    </r>
    <r>
      <rPr>
        <sz val="12"/>
        <color rgb="FFFF0000"/>
        <rFont val="Times New Roman"/>
        <family val="1"/>
      </rPr>
      <t xml:space="preserve"> - Đã nộp 500K
VIP140 bảo lưu b12. Học VIP170 buổi 8</t>
    </r>
  </si>
  <si>
    <t>SN35 ngõ 123/41 đường Xuân Phương, Phường Phương Canh, Nam Từ Liêm, Hà Nội</t>
  </si>
  <si>
    <t>Sách cũ 06/03/2025</t>
  </si>
  <si>
    <t>W15 bảo lưu b6</t>
  </si>
  <si>
    <r>
      <rPr>
        <sz val="12"/>
        <color theme="1"/>
        <rFont val="Times New Roman"/>
        <family val="1"/>
      </rPr>
      <t>Phạm Anh Thư</t>
    </r>
    <r>
      <rPr>
        <sz val="12"/>
        <color rgb="FFFF0000"/>
        <rFont val="Times New Roman"/>
        <family val="1"/>
      </rPr>
      <t xml:space="preserve"> - W14</t>
    </r>
  </si>
  <si>
    <t>39/14/4 Đại Đồng, Thanh Trì, Hoàng Mai, Hà Nội</t>
  </si>
  <si>
    <t>VIP224</t>
  </si>
  <si>
    <r>
      <rPr>
        <sz val="12"/>
        <color theme="1"/>
        <rFont val="Times New Roman"/>
        <family val="1"/>
      </rPr>
      <t>Vũ Duy Thành</t>
    </r>
    <r>
      <rPr>
        <sz val="12"/>
        <color rgb="FFFF0000"/>
        <rFont val="Times New Roman"/>
        <family val="1"/>
      </rPr>
      <t xml:space="preserve"> - Đã nộp 300K 22/12/25
OVIP26 bảo lưu b7. Học VIP224 b1. Nộp 200K mua sách 02/01/2026</t>
    </r>
  </si>
  <si>
    <t>Số 74 đường Sông Nhuệ, Đức Thắng, Bắc Từ Liêm, Hà Nội</t>
  </si>
  <si>
    <t>Sách cũ 21/03/2025</t>
  </si>
  <si>
    <r>
      <rPr>
        <sz val="12"/>
        <color theme="1"/>
        <rFont val="Times New Roman"/>
        <family val="1"/>
      </rPr>
      <t>Vũ Thị Ngọc Linh</t>
    </r>
    <r>
      <rPr>
        <sz val="12"/>
        <color rgb="FFFF0000"/>
        <rFont val="Times New Roman"/>
        <family val="1"/>
      </rPr>
      <t xml:space="preserve"> - W14</t>
    </r>
  </si>
  <si>
    <t>ngõ 91 tam khương, 354/137/34 đường trường chinh, nhà số 9, đống đa, hà nội</t>
  </si>
  <si>
    <t>ngõ 91 tam khương, hẻm 354/137/34 trường chinh, nhà số 9, đống đa ,hà nội</t>
  </si>
  <si>
    <t>9a Nguyễn Khánh Toàn, Quan Hoa Cầu Giấy, Hà Nội</t>
  </si>
  <si>
    <r>
      <rPr>
        <sz val="12"/>
        <color theme="1"/>
        <rFont val="Times New Roman"/>
        <family val="1"/>
      </rPr>
      <t xml:space="preserve">Phạm Kim Phượng </t>
    </r>
    <r>
      <rPr>
        <sz val="12"/>
        <color rgb="FFFF0000"/>
        <rFont val="Times New Roman"/>
        <family val="1"/>
      </rPr>
      <t>- W13</t>
    </r>
  </si>
  <si>
    <t>63 ngách 58/12,  Nguyễn Khánh Toàn, Quan Hoa, Cầu Giấy, Hà Nội</t>
  </si>
  <si>
    <r>
      <rPr>
        <sz val="12"/>
        <color theme="1"/>
        <rFont val="Times New Roman"/>
        <family val="1"/>
      </rPr>
      <t xml:space="preserve">Phạm Thị Hòa </t>
    </r>
    <r>
      <rPr>
        <sz val="12"/>
        <color rgb="FFFF0000"/>
        <rFont val="Times New Roman"/>
        <family val="1"/>
      </rPr>
      <t>- W14</t>
    </r>
  </si>
  <si>
    <t>số 17A, ngõ 279 Đường Lĩnh Nam, quận Hoàng Mai, Hà Nội</t>
  </si>
  <si>
    <r>
      <rPr>
        <sz val="12"/>
        <color theme="1"/>
        <rFont val="Times New Roman"/>
        <family val="1"/>
      </rPr>
      <t>Nguyễn Quang Đông</t>
    </r>
    <r>
      <rPr>
        <sz val="12"/>
        <color rgb="FFFF0000"/>
        <rFont val="Times New Roman"/>
        <family val="1"/>
      </rPr>
      <t xml:space="preserve"> - OK</t>
    </r>
  </si>
  <si>
    <t>OS5</t>
  </si>
  <si>
    <r>
      <rPr>
        <sz val="12"/>
        <color theme="1"/>
        <rFont val="Times New Roman"/>
        <family val="1"/>
      </rPr>
      <t>Phạm Thị Nhật Linh</t>
    </r>
    <r>
      <rPr>
        <sz val="12"/>
        <color rgb="FFFF0000"/>
        <rFont val="Times New Roman"/>
        <family val="1"/>
      </rPr>
      <t xml:space="preserve"> - OW4, OS5 hủy lớp</t>
    </r>
  </si>
  <si>
    <t>Ngách 56/16/2 Lê Văn Hiến, Đức Thắng, Bắc Từ Liêm</t>
  </si>
  <si>
    <t xml:space="preserve">Nguyễn Văn Mạnh </t>
  </si>
  <si>
    <t>29, phố 8, Tu Hoàng, Nam Từ Liêm, Hà Nội</t>
  </si>
  <si>
    <t xml:space="preserve">Bùi Thị Minh Tuyết </t>
  </si>
  <si>
    <t>51/162 Nguyên Xá, Minh Khai, Bắc Từ Liêm, Hà Nội</t>
  </si>
  <si>
    <r>
      <rPr>
        <sz val="12"/>
        <color theme="1"/>
        <rFont val="Times New Roman"/>
        <family val="1"/>
      </rPr>
      <t>Vũ Mai Trang</t>
    </r>
    <r>
      <rPr>
        <sz val="12"/>
        <color rgb="FFFF0000"/>
        <rFont val="Times New Roman"/>
        <family val="1"/>
      </rPr>
      <t xml:space="preserve"> - OVIP25 - Đã nộp 300K 15/08/2025
OVIP26 bảo lưu b7. Học VIP186 buổi 1</t>
    </r>
  </si>
  <si>
    <t>số 6 ngõ 167 quang tiến, đại mỗ nam từ liêm hà nội</t>
  </si>
  <si>
    <t>số nhà 50, ngõ 69 phố Chùa Láng, quận Đống Đa -TP. Hà Nội</t>
  </si>
  <si>
    <t>29A Châu Long, Trúc Bạch, Ba Đình, Hà Nội</t>
  </si>
  <si>
    <t>Số nhà 14, Ngách 54/2, Cầu Đăm, TDP Thượng 1, Tây Tựu, Bắc Từ Liêm, Hà Nội</t>
  </si>
  <si>
    <t>170 Phố Việt Hoà Hàn Trung Việt Hoà Hải Dương</t>
  </si>
  <si>
    <r>
      <rPr>
        <sz val="12"/>
        <color theme="1"/>
        <rFont val="Times New Roman"/>
        <family val="1"/>
      </rPr>
      <t>Bùi Yến Nhi</t>
    </r>
    <r>
      <rPr>
        <sz val="12"/>
        <color rgb="FFFF0000"/>
        <rFont val="Times New Roman"/>
        <family val="1"/>
      </rPr>
      <t xml:space="preserve"> - Bạn học thay
</t>
    </r>
    <r>
      <rPr>
        <sz val="12"/>
        <color theme="1"/>
        <rFont val="Times New Roman"/>
        <family val="1"/>
      </rPr>
      <t xml:space="preserve">Bùi Đình Hậu </t>
    </r>
    <r>
      <rPr>
        <sz val="12"/>
        <color rgb="FFFF0000"/>
        <rFont val="Times New Roman"/>
        <family val="1"/>
      </rPr>
      <t xml:space="preserve">- chuyển nhượng đã đóng 300K </t>
    </r>
    <r>
      <rPr>
        <sz val="12"/>
        <color theme="1"/>
        <rFont val="Times New Roman"/>
        <family val="1"/>
      </rPr>
      <t xml:space="preserve">896516273
</t>
    </r>
    <r>
      <rPr>
        <sz val="12"/>
        <color rgb="FFFF0000"/>
        <rFont val="Times New Roman"/>
        <family val="1"/>
      </rPr>
      <t>Đổi toeic T, VIP, S học =&gt; PT,T, VIP</t>
    </r>
  </si>
  <si>
    <t>VIP197</t>
  </si>
  <si>
    <r>
      <rPr>
        <sz val="12"/>
        <color theme="1"/>
        <rFont val="Times New Roman"/>
        <family val="1"/>
      </rPr>
      <t>Trần Văn Đức</t>
    </r>
    <r>
      <rPr>
        <sz val="12"/>
        <color rgb="FFFF0000"/>
        <rFont val="Times New Roman"/>
        <family val="1"/>
      </rPr>
      <t xml:space="preserve"> - Đã nộp 500K 02/10/2025</t>
    </r>
    <r>
      <rPr>
        <sz val="12"/>
        <color theme="1"/>
        <rFont val="Times New Roman"/>
        <family val="1"/>
      </rPr>
      <t xml:space="preserve">
</t>
    </r>
    <r>
      <rPr>
        <sz val="12"/>
        <color rgb="FFFF0000"/>
        <rFont val="Times New Roman"/>
        <family val="1"/>
      </rPr>
      <t>VIP143 bảo lưu b8. Học VIP197 b1</t>
    </r>
  </si>
  <si>
    <t>No17 LK03-04 Hà Trì Hà Cầu Hà Đông( bên cạnh trường mầm non Hoa Vi)</t>
  </si>
  <si>
    <t>VIP143 nghỉ ngang b3. năm 3 mí học</t>
  </si>
  <si>
    <t>cổng phụ cơ sở 3 trường Đại Học Công Nghiệp Hà Nội, Phủ Lý, Hà Nam</t>
  </si>
  <si>
    <t xml:space="preserve">Kim Đình Hải </t>
  </si>
  <si>
    <t>nhà số 6, nghách 50, ngõ 59, Phạm Văn Đồng, Mai Dịch, Cầu Giấy, Hà Nội</t>
  </si>
  <si>
    <t xml:space="preserve">Trần Công Vinh </t>
  </si>
  <si>
    <r>
      <rPr>
        <sz val="12"/>
        <color theme="1"/>
        <rFont val="Times New Roman"/>
        <family val="1"/>
      </rPr>
      <t>Bế Minh Ánh</t>
    </r>
    <r>
      <rPr>
        <sz val="12"/>
        <color rgb="FFFF0000"/>
        <rFont val="Times New Roman"/>
        <family val="1"/>
      </rPr>
      <t xml:space="preserve"> - VIP144 phá lớp b19
Học VIP158 b9</t>
    </r>
  </si>
  <si>
    <t>Ngách 180/90/14 Ngõ 180 Phố Nam Dư, Phường Lĩnh Nam, Quận Hoàng Mai, Hà Nội</t>
  </si>
  <si>
    <t>https://www.facebook.com/saiginhso1luon?mibextid=wwXIfr&amp;rdid=p9hWiWNTVn9DSXj0&amp;share_url=https%3A%2F%2Fwww.facebook.com%2Fshare%2F1BaGhHnEwC%2F%3Fmibextid%3DwwXIfr</t>
  </si>
  <si>
    <t>Số nhà 2b, 224/62 đường Hoàng Mai, phường Hoàng Văn Thụ, quận Hoàng Mai, Hà Nội</t>
  </si>
  <si>
    <r>
      <rPr>
        <sz val="12"/>
        <color theme="1"/>
        <rFont val="Times New Roman"/>
        <family val="1"/>
      </rPr>
      <t xml:space="preserve">Tạ Thị Xanh Xanh </t>
    </r>
    <r>
      <rPr>
        <sz val="12"/>
        <color rgb="FFFF0000"/>
        <rFont val="Times New Roman"/>
        <family val="1"/>
      </rPr>
      <t xml:space="preserve"> - đã trả lại 1,968 4/11/24</t>
    </r>
  </si>
  <si>
    <t xml:space="preserve"> số 16 ngách 42/62/14 Triều Khúc, Thanh Xuân, Hà Nội</t>
  </si>
  <si>
    <t>Số 7 Ngõ 97 Xóm 4 Lai Xá xã Kim Chung, Huyện Hoài Đức, Hà Nội</t>
  </si>
  <si>
    <t>https://www.facebook.com/people/Th%C3%A0nh-%C4%90inh/pfbid0Td6w3CDcR4NJdpEtGBnN3GgboUa63uQ1L4zPAAm7Ms3mMwXkVrHLgKRbMPuBozrpl/</t>
  </si>
  <si>
    <r>
      <rPr>
        <sz val="12"/>
        <color theme="1"/>
        <rFont val="Times New Roman"/>
        <family val="1"/>
      </rPr>
      <t xml:space="preserve">Đinh Tiến Thành </t>
    </r>
    <r>
      <rPr>
        <sz val="12"/>
        <color rgb="FFFF0000"/>
        <rFont val="Times New Roman"/>
        <family val="1"/>
      </rPr>
      <t>- OVIP30 rút phút 89</t>
    </r>
  </si>
  <si>
    <t xml:space="preserve">số 37 ngõ 317 Bùi Xương trạch Định Công Hoàng Mai Hà Nội </t>
  </si>
  <si>
    <t>T356 bảo lưu b22, hv báo GV</t>
  </si>
  <si>
    <r>
      <rPr>
        <sz val="12"/>
        <color theme="1"/>
        <rFont val="Times New Roman"/>
        <family val="1"/>
      </rPr>
      <t>Nguyễn Hoàng Linh</t>
    </r>
    <r>
      <rPr>
        <sz val="12"/>
        <color rgb="FFFF0000"/>
        <rFont val="Times New Roman"/>
        <family val="1"/>
      </rPr>
      <t xml:space="preserve"> - Chưa nộp 300K</t>
    </r>
    <r>
      <rPr>
        <sz val="12"/>
        <color theme="1"/>
        <rFont val="Times New Roman"/>
        <family val="1"/>
      </rPr>
      <t xml:space="preserve">
</t>
    </r>
    <r>
      <rPr>
        <sz val="12"/>
        <color rgb="FFFF0000"/>
        <rFont val="Times New Roman"/>
        <family val="1"/>
      </rPr>
      <t>OT65 bảo lưu b15. Học T356 b17 đến b21</t>
    </r>
  </si>
  <si>
    <r>
      <rPr>
        <sz val="12"/>
        <color theme="1"/>
        <rFont val="Times New Roman"/>
        <family val="1"/>
      </rPr>
      <t>Lê Thị Nụ</t>
    </r>
    <r>
      <rPr>
        <sz val="12"/>
        <color rgb="FFFF0000"/>
        <rFont val="Times New Roman"/>
        <family val="1"/>
      </rPr>
      <t xml:space="preserve"> - 869963184 số cũ</t>
    </r>
  </si>
  <si>
    <t>số nhà 10, C10 phố Đồng Bát, Mỹ Đình 2, Mai Dịch,Hà Nội</t>
  </si>
  <si>
    <t>OVIP28 bảo lưu b16</t>
  </si>
  <si>
    <r>
      <rPr>
        <sz val="12"/>
        <color theme="1"/>
        <rFont val="Times New Roman"/>
        <family val="1"/>
      </rPr>
      <t xml:space="preserve">Nguyễn Minh Quân </t>
    </r>
    <r>
      <rPr>
        <sz val="12"/>
        <color rgb="FFFF0000"/>
        <rFont val="Times New Roman"/>
        <family val="1"/>
      </rPr>
      <t>- Hủy bảo lưu. Vắng 3 buổi, quay lại lớp cũ học</t>
    </r>
  </si>
  <si>
    <r>
      <rPr>
        <sz val="12"/>
        <color theme="1"/>
        <rFont val="Times New Roman"/>
        <family val="1"/>
      </rPr>
      <t xml:space="preserve">Trần Thị Hoa </t>
    </r>
    <r>
      <rPr>
        <sz val="12"/>
        <color rgb="FFFF0000"/>
        <rFont val="Times New Roman"/>
        <family val="1"/>
      </rPr>
      <t>- 762367278 sđt cũ</t>
    </r>
  </si>
  <si>
    <r>
      <rPr>
        <sz val="12"/>
        <color theme="1"/>
        <rFont val="Times New Roman"/>
        <family val="1"/>
      </rPr>
      <t>Nguyễn Thị Tâm Mai</t>
    </r>
    <r>
      <rPr>
        <sz val="12"/>
        <color rgb="FFFF0000"/>
        <rFont val="Times New Roman"/>
        <family val="1"/>
      </rPr>
      <t xml:space="preserve"> - Đã nộp 300K 06/09/2025</t>
    </r>
    <r>
      <rPr>
        <sz val="12"/>
        <color theme="1"/>
        <rFont val="Times New Roman"/>
        <family val="1"/>
      </rPr>
      <t xml:space="preserve">
</t>
    </r>
    <r>
      <rPr>
        <sz val="12"/>
        <color rgb="FFFF0000"/>
        <rFont val="Times New Roman"/>
        <family val="1"/>
      </rPr>
      <t>OVIP28 bảo lưu b14. Học VIP191 b2</t>
    </r>
  </si>
  <si>
    <t xml:space="preserve">Vương Thị Thanh Trúc </t>
  </si>
  <si>
    <t>số 11 ngõ 80/50/3-Xuân Phương-Phương Canh-Nam Từ Liêm-Hà Nội</t>
  </si>
  <si>
    <t>W15 bảo lưu 12</t>
  </si>
  <si>
    <t xml:space="preserve">Trần Khắc Trọng </t>
  </si>
  <si>
    <t>số 5 ngõ 12 đường Mậu hoà, thôn minh hoà 4, xã Minh Khai, Hoài Đức, Hà Nội</t>
  </si>
  <si>
    <t>IIG thi 790 có ảnh gửi ZALO</t>
  </si>
  <si>
    <r>
      <rPr>
        <sz val="12"/>
        <color theme="1"/>
        <rFont val="Times New Roman"/>
        <family val="1"/>
      </rPr>
      <t xml:space="preserve">Lê Thị Thanh Thảo 354425207 </t>
    </r>
    <r>
      <rPr>
        <sz val="12"/>
        <color rgb="FFFF0000"/>
        <rFont val="Times New Roman"/>
        <family val="1"/>
      </rPr>
      <t xml:space="preserve">- nhận học
</t>
    </r>
    <r>
      <rPr>
        <sz val="12"/>
        <color theme="1"/>
        <rFont val="Times New Roman"/>
        <family val="1"/>
      </rPr>
      <t xml:space="preserve">Nguyễn Văn Hường </t>
    </r>
    <r>
      <rPr>
        <sz val="12"/>
        <color rgb="FFFF0000"/>
        <rFont val="Times New Roman"/>
        <family val="1"/>
      </rPr>
      <t>- chuyển nhượng
Đã nộp 300K 04/03/2025 - Huong Nguyen</t>
    </r>
  </si>
  <si>
    <t>số nhà 1, 31 đình thôn, mỹ đình 1, nam từ liêm, hà nội</t>
  </si>
  <si>
    <t>200 lì xì</t>
  </si>
  <si>
    <t>https://drive.google.com/open?id=1CALnqUsbHpdRu57TKRPeNbxCrHcCNt7p</t>
  </si>
  <si>
    <t>Hà Hiền báo: đổi giao tiếp LV3 sang toeic level 2</t>
  </si>
  <si>
    <t>0962026701</t>
  </si>
  <si>
    <t>Nguyễn Thị Xuân Quỳnh</t>
  </si>
  <si>
    <r>
      <rPr>
        <sz val="12"/>
        <color theme="1"/>
        <rFont val="Times New Roman"/>
        <family val="1"/>
      </rPr>
      <t>Hòa Thị Linh Chi</t>
    </r>
    <r>
      <rPr>
        <sz val="12"/>
        <color rgb="FFFF0000"/>
        <rFont val="Times New Roman"/>
        <family val="1"/>
      </rPr>
      <t xml:space="preserve"> - OVIP27</t>
    </r>
  </si>
  <si>
    <t>OVIP34</t>
  </si>
  <si>
    <r>
      <rPr>
        <sz val="12"/>
        <color theme="1"/>
        <rFont val="Times New Roman"/>
        <family val="1"/>
      </rPr>
      <t xml:space="preserve">Lê Phan Mỹ Tâm </t>
    </r>
    <r>
      <rPr>
        <sz val="12"/>
        <color rgb="FFFF0000"/>
        <rFont val="Times New Roman"/>
        <family val="1"/>
      </rPr>
      <t>- OVIP27</t>
    </r>
  </si>
  <si>
    <r>
      <rPr>
        <sz val="12"/>
        <color theme="1"/>
        <rFont val="Times New Roman"/>
        <family val="1"/>
      </rPr>
      <t>Đinh Hồng Ngọc</t>
    </r>
    <r>
      <rPr>
        <sz val="12"/>
        <color rgb="FFFF0000"/>
        <rFont val="Times New Roman"/>
        <family val="1"/>
      </rPr>
      <t xml:space="preserve"> - OVIP26</t>
    </r>
  </si>
  <si>
    <t>T318</t>
  </si>
  <si>
    <t>https://www.facebook.com/share/1LmVmBRX8t/?mibextid=LQQJ4d</t>
  </si>
  <si>
    <r>
      <rPr>
        <sz val="12"/>
        <color theme="1"/>
        <rFont val="Times New Roman"/>
        <family val="1"/>
      </rPr>
      <t xml:space="preserve"> Mai Thị Thuý </t>
    </r>
    <r>
      <rPr>
        <sz val="12"/>
        <color rgb="FFFF0000"/>
        <rFont val="Times New Roman"/>
        <family val="1"/>
      </rPr>
      <t>- đã nộp 300K</t>
    </r>
    <r>
      <rPr>
        <sz val="12"/>
        <color theme="1"/>
        <rFont val="Times New Roman"/>
        <family val="1"/>
      </rPr>
      <t xml:space="preserve">
</t>
    </r>
    <r>
      <rPr>
        <sz val="12"/>
        <color rgb="FFFF0000"/>
        <rFont val="Times New Roman"/>
        <family val="1"/>
      </rPr>
      <t>OT66 bảo lưu b9. Học T318 b5</t>
    </r>
  </si>
  <si>
    <t>tn4224684@gmail.com</t>
  </si>
  <si>
    <t>89 Nguyễn Phong Sắc ( ktx học viện báo chí và tuyên truyền) Dịch Vọng Hậu, Cầu Giấy, Hà Nội</t>
  </si>
  <si>
    <t>11/12/2024 và 02/01/2025</t>
  </si>
  <si>
    <t>https://drive.google.com/open?id=1NyaQiYwYp2nKGcD3_6IWPSF0UX3D2UDx</t>
  </si>
  <si>
    <t>https://www.facebook.com/linh.trang.381505</t>
  </si>
  <si>
    <r>
      <rPr>
        <sz val="12"/>
        <color theme="1"/>
        <rFont val="Times New Roman"/>
        <family val="1"/>
      </rPr>
      <t>Linh Trang</t>
    </r>
    <r>
      <rPr>
        <sz val="12"/>
        <color rgb="FFFF0000"/>
        <rFont val="Times New Roman"/>
        <family val="1"/>
      </rPr>
      <t xml:space="preserve"> - Đã nộp 300K 18/07/2025
OT66 bảo lưu b9. Học T318 b8</t>
    </r>
  </si>
  <si>
    <t>16/12/2024 và 02/01/2025</t>
  </si>
  <si>
    <t>https://drive.google.com/open?id=1VrVD9lZyBwdLSJYVEKOyZBqyoMFYekaS; https://drive.google.com/open?id=1DimCloD3y2sWOM8g0XP9HGXgkcuDRg1V; https://drive.google.com/open?id=1aUCz62hSDsEPRYAER5Jueba5wOO0J4E1</t>
  </si>
  <si>
    <t>https://www.facebook.com/long.bi.794</t>
  </si>
  <si>
    <t xml:space="preserve">Lê Văn Long </t>
  </si>
  <si>
    <t>Ngõ 68 Đường Cầu Giấy</t>
  </si>
  <si>
    <t>https://drive.google.com/open?id=1P-yX6gUDtXCcWFrVnjLIEY72bY_LvY9s; https://drive.google.com/open?id=1VubuP08Zp4EiKI4dsTCJKGqFRxEf_HL2</t>
  </si>
  <si>
    <t>Đàm Văn Hiệu</t>
  </si>
  <si>
    <r>
      <rPr>
        <sz val="12"/>
        <color theme="1"/>
        <rFont val="Times New Roman"/>
        <family val="1"/>
      </rPr>
      <t xml:space="preserve">Đặng Thị Như Quỳnh - </t>
    </r>
    <r>
      <rPr>
        <sz val="12"/>
        <color rgb="FFFF0000"/>
        <rFont val="Times New Roman"/>
        <family val="1"/>
      </rPr>
      <t>Quỳnh Xu</t>
    </r>
  </si>
  <si>
    <t>Nguyễn Thành Đạt</t>
  </si>
  <si>
    <r>
      <rPr>
        <sz val="12"/>
        <color theme="1"/>
        <rFont val="Times New Roman"/>
        <family val="1"/>
      </rPr>
      <t>Nguyễn Tiến Đạt</t>
    </r>
    <r>
      <rPr>
        <sz val="12"/>
        <color rgb="FFFF0000"/>
        <rFont val="Times New Roman"/>
        <family val="1"/>
      </rPr>
      <t xml:space="preserve"> - Nguyễn Nguyên Nguyễn </t>
    </r>
    <r>
      <rPr>
        <sz val="12"/>
        <color theme="1"/>
        <rFont val="Times New Roman"/>
        <family val="1"/>
      </rPr>
      <t>876572892</t>
    </r>
  </si>
  <si>
    <r>
      <rPr>
        <sz val="12"/>
        <color theme="1"/>
        <rFont val="Times New Roman"/>
        <family val="1"/>
      </rPr>
      <t xml:space="preserve">Tống Đức Nam </t>
    </r>
    <r>
      <rPr>
        <sz val="12"/>
        <color rgb="FFFF0000"/>
        <rFont val="Times New Roman"/>
        <family val="1"/>
      </rPr>
      <t>- OVIP27</t>
    </r>
  </si>
  <si>
    <t>VIP178</t>
  </si>
  <si>
    <r>
      <rPr>
        <sz val="12"/>
        <color theme="1"/>
        <rFont val="Times New Roman"/>
        <family val="1"/>
      </rPr>
      <t>Vũ Thị Hà</t>
    </r>
    <r>
      <rPr>
        <sz val="12"/>
        <color rgb="FFFF0000"/>
        <rFont val="Times New Roman"/>
        <family val="1"/>
      </rPr>
      <t xml:space="preserve"> - Đã nộp 300K 16/08/2025  - 332547972 sđt cũ
OVIP27 bảo lưu b14. Học VIP178 buổi 12 </t>
    </r>
  </si>
  <si>
    <t>VIP144</t>
  </si>
  <si>
    <t>Số nhà 7, ngõ 54/36 Tây Tựu, Minh Khai, Bắc Từ Liêm, Hà Nội</t>
  </si>
  <si>
    <t>VIP173</t>
  </si>
  <si>
    <r>
      <rPr>
        <sz val="12"/>
        <color theme="1"/>
        <rFont val="Times New Roman"/>
        <family val="1"/>
      </rPr>
      <t>Đặng Minh Hoàng</t>
    </r>
    <r>
      <rPr>
        <sz val="12"/>
        <color rgb="FFFF0000"/>
        <rFont val="Times New Roman"/>
        <family val="1"/>
      </rPr>
      <t xml:space="preserve"> - đã nộp 300K 21/07/25
OVIP34 bảo lưu b9. Học VIP173 b8</t>
    </r>
  </si>
  <si>
    <t xml:space="preserve">110A đường Vinh Quang - TT Cẩm Giang - huyện Cẩm Giàng - tỉnh Hải Dương </t>
  </si>
  <si>
    <r>
      <rPr>
        <sz val="12"/>
        <color theme="1"/>
        <rFont val="Times New Roman"/>
        <family val="1"/>
      </rPr>
      <t>Lê Thị Thuỳ Dung</t>
    </r>
    <r>
      <rPr>
        <sz val="12"/>
        <color rgb="FFFF0000"/>
        <rFont val="Times New Roman"/>
        <family val="1"/>
      </rPr>
      <t xml:space="preserve"> - OVIP27 - đã nộp 300K 10/08/2025
VIP146 đi quân sự b22. Học VIP168 b21</t>
    </r>
  </si>
  <si>
    <t>số10, ngõ 72 miếu đầm, nam từ liêm, hà nội</t>
  </si>
  <si>
    <t>VIP146 đi quân sự b22. Lệch sĩ số hỏi Hạ mới biết</t>
  </si>
  <si>
    <t>T331</t>
  </si>
  <si>
    <r>
      <rPr>
        <sz val="12"/>
        <color theme="1"/>
        <rFont val="Times New Roman"/>
        <family val="1"/>
      </rPr>
      <t>Lã Ngọc Ánh</t>
    </r>
    <r>
      <rPr>
        <sz val="12"/>
        <color rgb="FFFF0000"/>
        <rFont val="Times New Roman"/>
        <family val="1"/>
      </rPr>
      <t xml:space="preserve"> - Đã nộp 300K 15/08/2025</t>
    </r>
    <r>
      <rPr>
        <sz val="12"/>
        <color theme="1"/>
        <rFont val="Times New Roman"/>
        <family val="1"/>
      </rPr>
      <t xml:space="preserve">
</t>
    </r>
    <r>
      <rPr>
        <sz val="12"/>
        <color rgb="FFFF0000"/>
        <rFont val="Times New Roman"/>
        <family val="1"/>
      </rPr>
      <t>T297 bảo lưu b13. Học T331 buổi 11</t>
    </r>
  </si>
  <si>
    <r>
      <rPr>
        <sz val="12"/>
        <color theme="1"/>
        <rFont val="Times New Roman"/>
        <family val="1"/>
      </rPr>
      <t xml:space="preserve">Nguyễn Thị Khánh Huyền </t>
    </r>
    <r>
      <rPr>
        <sz val="12"/>
        <color rgb="FFFF0000"/>
        <rFont val="Times New Roman"/>
        <family val="1"/>
      </rPr>
      <t>- OVIP27</t>
    </r>
  </si>
  <si>
    <r>
      <rPr>
        <sz val="12"/>
        <color theme="1"/>
        <rFont val="Times New Roman"/>
        <family val="1"/>
      </rPr>
      <t xml:space="preserve">Vũ Công Minh </t>
    </r>
    <r>
      <rPr>
        <sz val="12"/>
        <color rgb="FFFF0000"/>
        <rFont val="Times New Roman"/>
        <family val="1"/>
      </rPr>
      <t>- Đã nộp 300K 04/07/2025
VIP144 bảo lưu b12. Học VIP169 b10</t>
    </r>
  </si>
  <si>
    <t>VIP144 bảo lưu b15</t>
  </si>
  <si>
    <t>OVIP44</t>
  </si>
  <si>
    <r>
      <rPr>
        <sz val="12"/>
        <color theme="1"/>
        <rFont val="Times New Roman"/>
        <family val="1"/>
      </rPr>
      <t xml:space="preserve">Trần Nguyễn Minh Sang </t>
    </r>
    <r>
      <rPr>
        <sz val="12"/>
        <color rgb="FFFF0000"/>
        <rFont val="Times New Roman"/>
        <family val="1"/>
      </rPr>
      <t>- đã nộp 300K 15/09/2025
OVIP28 bảo lưu b16 ko báo. Học OVI44 b16</t>
    </r>
  </si>
  <si>
    <r>
      <rPr>
        <sz val="12"/>
        <color theme="1"/>
        <rFont val="Times New Roman"/>
        <family val="1"/>
      </rPr>
      <t xml:space="preserve">Nguyễn Hữu Đăng Thức </t>
    </r>
    <r>
      <rPr>
        <sz val="12"/>
        <color rgb="FFFF0000"/>
        <rFont val="Times New Roman"/>
        <family val="1"/>
      </rPr>
      <t>- Đã nộp 150K 22/03/2025
OVIP25 bảo lưu b1. Học OVIP34 tiện đường đi</t>
    </r>
  </si>
  <si>
    <t xml:space="preserve">Lê Văn Huỳnh- </t>
  </si>
  <si>
    <r>
      <rPr>
        <sz val="12"/>
        <color theme="1"/>
        <rFont val="Times New Roman"/>
        <family val="1"/>
      </rPr>
      <t>Cao Duy Hải</t>
    </r>
    <r>
      <rPr>
        <sz val="12"/>
        <color rgb="FFFF0000"/>
        <rFont val="Times New Roman"/>
        <family val="1"/>
      </rPr>
      <t xml:space="preserve"> - OVIP31</t>
    </r>
  </si>
  <si>
    <t>Ship sách My 3 bộ</t>
  </si>
  <si>
    <t>Số 172 Lý Thường Kiệt, xã Phù Vân, Phủ Lý, Hà Nam</t>
  </si>
  <si>
    <r>
      <rPr>
        <sz val="12"/>
        <color theme="1"/>
        <rFont val="Times New Roman"/>
        <family val="1"/>
      </rPr>
      <t>Ngô Phạm Yến Chi</t>
    </r>
    <r>
      <rPr>
        <sz val="12"/>
        <color rgb="FFFF0000"/>
        <rFont val="Times New Roman"/>
        <family val="1"/>
      </rPr>
      <t xml:space="preserve"> - đã nộp 300K 03/05/2025
VIP146 bảo lưu b12. Học VIP161 buổi 10</t>
    </r>
  </si>
  <si>
    <t>C53-32 khu C - KĐT geleximco Lê Trọng Tấn</t>
  </si>
  <si>
    <r>
      <rPr>
        <sz val="12"/>
        <color theme="1"/>
        <rFont val="Times New Roman"/>
        <family val="1"/>
      </rPr>
      <t xml:space="preserve">Vũ Thị Hà Anh - </t>
    </r>
    <r>
      <rPr>
        <sz val="12"/>
        <color rgb="FFFF0000"/>
        <rFont val="Times New Roman"/>
        <family val="1"/>
      </rPr>
      <t>Hà Vũ</t>
    </r>
  </si>
  <si>
    <t>VIP180</t>
  </si>
  <si>
    <r>
      <rPr>
        <sz val="12"/>
        <color theme="1"/>
        <rFont val="Times New Roman"/>
        <family val="1"/>
      </rPr>
      <t>Trần Yến Nhi</t>
    </r>
    <r>
      <rPr>
        <sz val="12"/>
        <color rgb="FFFF0000"/>
        <rFont val="Times New Roman"/>
        <family val="1"/>
      </rPr>
      <t xml:space="preserve"> - đã nộp 300K 18/08/2025
OVIP27 bảo lưu b10. Học VIP180 buổi 7</t>
    </r>
  </si>
  <si>
    <r>
      <rPr>
        <sz val="12"/>
        <color theme="1"/>
        <rFont val="Times New Roman"/>
        <family val="1"/>
      </rPr>
      <t xml:space="preserve">Từ Minh Thư </t>
    </r>
    <r>
      <rPr>
        <sz val="12"/>
        <color rgb="FFFF0000"/>
        <rFont val="Times New Roman"/>
        <family val="1"/>
      </rPr>
      <t>- học lại miễn phí Thắng báo</t>
    </r>
  </si>
  <si>
    <r>
      <rPr>
        <sz val="12"/>
        <color theme="1"/>
        <rFont val="Times New Roman"/>
        <family val="1"/>
      </rPr>
      <t xml:space="preserve">Trần Thị Mai Phương </t>
    </r>
    <r>
      <rPr>
        <sz val="12"/>
        <color rgb="FFFF0000"/>
        <rFont val="Times New Roman"/>
        <family val="1"/>
      </rPr>
      <t>- OVIP27</t>
    </r>
  </si>
  <si>
    <t>S13</t>
  </si>
  <si>
    <r>
      <rPr>
        <sz val="12"/>
        <color theme="1"/>
        <rFont val="Times New Roman"/>
        <family val="1"/>
      </rPr>
      <t xml:space="preserve">Đinh Xuân Mạnh </t>
    </r>
    <r>
      <rPr>
        <sz val="12"/>
        <color rgb="FFFF0000"/>
        <rFont val="Times New Roman"/>
        <family val="1"/>
      </rPr>
      <t>- S12 HV thứ 10</t>
    </r>
  </si>
  <si>
    <t>Số Nhà 12b, Ngõ 71 Đường Mỹ Đình, Phường Mỹ Đình 2, Quận Nam Từ Liêm, Hà Nội</t>
  </si>
  <si>
    <t>Số 7 P. Tạ Quang Bửu, Bách Khoa, Hai Bà Trưng, Hà Nội</t>
  </si>
  <si>
    <r>
      <rPr>
        <sz val="12"/>
        <color theme="1"/>
        <rFont val="Times New Roman"/>
        <family val="1"/>
      </rPr>
      <t xml:space="preserve">Phùng Thị Phương Thảo </t>
    </r>
    <r>
      <rPr>
        <sz val="12"/>
        <color rgb="FFFF0000"/>
        <rFont val="Times New Roman"/>
        <family val="1"/>
      </rPr>
      <t>- gửi chung W15</t>
    </r>
  </si>
  <si>
    <t>S24</t>
  </si>
  <si>
    <r>
      <rPr>
        <sz val="12"/>
        <color theme="1"/>
        <rFont val="Times New Roman"/>
        <family val="1"/>
      </rPr>
      <t xml:space="preserve">Nguyễn Tuấn Minh </t>
    </r>
    <r>
      <rPr>
        <sz val="12"/>
        <color rgb="FFFF0000"/>
        <rFont val="Times New Roman"/>
        <family val="1"/>
      </rPr>
      <t>- OS5 hủy lớp, S20, S23</t>
    </r>
  </si>
  <si>
    <r>
      <rPr>
        <sz val="12"/>
        <color theme="1"/>
        <rFont val="Times New Roman"/>
        <family val="1"/>
      </rPr>
      <t xml:space="preserve">Trần Thị Tường Vi </t>
    </r>
    <r>
      <rPr>
        <sz val="12"/>
        <color rgb="FFFF0000"/>
        <rFont val="Times New Roman"/>
        <family val="1"/>
      </rPr>
      <t>- T296 thứ 11</t>
    </r>
  </si>
  <si>
    <t>32 ngách 184/85 đê trần khát chân, thanh lương, hai bà trưng, hn</t>
  </si>
  <si>
    <t>VIP192</t>
  </si>
  <si>
    <t>https://www.facebook.com/people/Thu-V%C3%A2nn/pfbid02oRSqm2MenpMSdihKpMKxYVRscnEzp672hnW8Uzo89Ab3xCihCM17ewnEuvyPDSdAl/</t>
  </si>
  <si>
    <r>
      <rPr>
        <sz val="12"/>
        <color theme="1"/>
        <rFont val="Times New Roman"/>
        <family val="1"/>
      </rPr>
      <t>Nguyễn Thu Vân</t>
    </r>
    <r>
      <rPr>
        <sz val="12"/>
        <color rgb="FFFF0000"/>
        <rFont val="Times New Roman"/>
        <family val="1"/>
      </rPr>
      <t xml:space="preserve"> - Đã nộp 300K 02/12/2025
OVIP32 bảo lưu b14. Học VIP192 b2</t>
    </r>
  </si>
  <si>
    <r>
      <rPr>
        <sz val="12"/>
        <color theme="1"/>
        <rFont val="Times New Roman"/>
        <family val="1"/>
      </rPr>
      <t>Tráng Đức An</t>
    </r>
    <r>
      <rPr>
        <sz val="12"/>
        <color rgb="FFFF0000"/>
        <rFont val="Times New Roman"/>
        <family val="1"/>
      </rPr>
      <t xml:space="preserve"> - OVIP32</t>
    </r>
  </si>
  <si>
    <r>
      <rPr>
        <sz val="12"/>
        <color theme="1"/>
        <rFont val="Times New Roman"/>
        <family val="1"/>
      </rPr>
      <t>Lương Minh Hưng</t>
    </r>
    <r>
      <rPr>
        <sz val="12"/>
        <color rgb="FFFF0000"/>
        <rFont val="Times New Roman"/>
        <family val="1"/>
      </rPr>
      <t xml:space="preserve"> - đã nộp 300K 16/06/2025
OVIP24 bảo lưu b14. Học OVIP39 b7</t>
    </r>
  </si>
  <si>
    <t>VIP190</t>
  </si>
  <si>
    <r>
      <rPr>
        <sz val="12"/>
        <color theme="1"/>
        <rFont val="Times New Roman"/>
        <family val="1"/>
      </rPr>
      <t>Nguyễn Bá Vũ</t>
    </r>
    <r>
      <rPr>
        <sz val="12"/>
        <color rgb="FFFF0000"/>
        <rFont val="Times New Roman"/>
        <family val="1"/>
      </rPr>
      <t xml:space="preserve"> - Đã nộp 300K 23/08/2025
OVIP31 bảo lưu b5. Học VIP190 buổi 1</t>
    </r>
  </si>
  <si>
    <t>Nhà văn hoá thôn Trung Tiến, xã Thụy Hương, huyện Chương Mỹ, Tp. Hà Nội</t>
  </si>
  <si>
    <t>Sách cũ 20/03/2025</t>
  </si>
  <si>
    <t>VIP147</t>
  </si>
  <si>
    <r>
      <rPr>
        <sz val="12"/>
        <color theme="1"/>
        <rFont val="Times New Roman"/>
        <family val="1"/>
      </rPr>
      <t xml:space="preserve">Hoàng Lệ Duyên </t>
    </r>
    <r>
      <rPr>
        <sz val="12"/>
        <color rgb="FFFF0000"/>
        <rFont val="Times New Roman"/>
        <family val="1"/>
      </rPr>
      <t>- gửi 16/3 nhận sách</t>
    </r>
  </si>
  <si>
    <r>
      <rPr>
        <sz val="12"/>
        <color theme="1"/>
        <rFont val="Times New Roman"/>
        <family val="1"/>
      </rPr>
      <t>Nguyễn Hữu Cường</t>
    </r>
    <r>
      <rPr>
        <sz val="12"/>
        <color rgb="FFFF0000"/>
        <rFont val="Times New Roman"/>
        <family val="1"/>
      </rPr>
      <t xml:space="preserve"> - đã nộp 300K 26/06/2025
VIP147 bảo lưu b13. Học VIP168 b11</t>
    </r>
  </si>
  <si>
    <t>VIP165</t>
  </si>
  <si>
    <t>https://www.facebook.com/tran.hoang.anh.duong.2025?mibextid=ZbWKwL</t>
  </si>
  <si>
    <r>
      <rPr>
        <sz val="12"/>
        <color theme="1"/>
        <rFont val="Times New Roman"/>
        <family val="1"/>
      </rPr>
      <t xml:space="preserve">Trần Hoàng Ánh Dương </t>
    </r>
    <r>
      <rPr>
        <sz val="12"/>
        <color rgb="FFFF0000"/>
        <rFont val="Times New Roman"/>
        <family val="1"/>
      </rPr>
      <t>- Đã nộp 500K 23/06/25
VIP147 bảo lưu b14. Học VIP165 b10</t>
    </r>
  </si>
  <si>
    <t>13TT7 KĐT Văn Phú -P phú la - Hà Đông, Hà Nội</t>
  </si>
  <si>
    <r>
      <rPr>
        <sz val="12"/>
        <color theme="1"/>
        <rFont val="Times New Roman"/>
        <family val="1"/>
      </rPr>
      <t>Trần Ngọc Diên</t>
    </r>
    <r>
      <rPr>
        <sz val="12"/>
        <color rgb="FFFF0000"/>
        <rFont val="Times New Roman"/>
        <family val="1"/>
      </rPr>
      <t xml:space="preserve"> </t>
    </r>
  </si>
  <si>
    <t>14 ngach 108 ngõ 68 triều khúc</t>
  </si>
  <si>
    <r>
      <rPr>
        <sz val="12"/>
        <color theme="1"/>
        <rFont val="Times New Roman"/>
        <family val="1"/>
      </rPr>
      <t xml:space="preserve">Nguyễn Thị Thuỳ Dung </t>
    </r>
    <r>
      <rPr>
        <sz val="12"/>
        <color rgb="FFFF0000"/>
        <rFont val="Times New Roman"/>
        <family val="1"/>
      </rPr>
      <t>- HV thứ 19</t>
    </r>
  </si>
  <si>
    <t>Chung cư Huyndai Hillstate, Tô Hiệu, Hà Cầu, Hà Đông, Hà Nội</t>
  </si>
  <si>
    <t>https://www.facebook.com/mitzz125</t>
  </si>
  <si>
    <r>
      <rPr>
        <sz val="12"/>
        <color theme="1"/>
        <rFont val="Times New Roman"/>
        <family val="1"/>
      </rPr>
      <t xml:space="preserve">Thân Thị Tính </t>
    </r>
    <r>
      <rPr>
        <sz val="12"/>
        <color rgb="FFFF0000"/>
        <rFont val="Times New Roman"/>
        <family val="1"/>
      </rPr>
      <t>- Đã nộp 300K 23/06/2025
VIP144 bảo lưu b15. Học VIP158 b17</t>
    </r>
  </si>
  <si>
    <t>Nhà 22D-TT QUÂN Y 108-ngõ 161 Dương Văn Bé-153 cũ</t>
  </si>
  <si>
    <t>https://www.facebook.com/nabiboo5116</t>
  </si>
  <si>
    <t xml:space="preserve"> Nguyễn Thị Yến Nhi </t>
  </si>
  <si>
    <r>
      <rPr>
        <sz val="12"/>
        <color theme="1"/>
        <rFont val="Times New Roman"/>
        <family val="1"/>
      </rPr>
      <t xml:space="preserve"> Nguyễn Thị Yến Nhi </t>
    </r>
    <r>
      <rPr>
        <sz val="12"/>
        <color rgb="FFFF0000"/>
        <rFont val="Times New Roman"/>
        <family val="1"/>
      </rPr>
      <t>- S12 hv thứ 10
S19 rút khi khai giảng buổi 1</t>
    </r>
  </si>
  <si>
    <t>young house, số 3, ngõ 255, Tân Xã, Thạch Thất, Hà Nội</t>
  </si>
  <si>
    <r>
      <rPr>
        <sz val="12"/>
        <color theme="1"/>
        <rFont val="Times New Roman"/>
        <family val="1"/>
      </rPr>
      <t xml:space="preserve">Lê Văn Minh </t>
    </r>
    <r>
      <rPr>
        <sz val="12"/>
        <color rgb="FFFF0000"/>
        <rFont val="Times New Roman"/>
        <family val="1"/>
      </rPr>
      <t>- OS5 hủy lớp</t>
    </r>
  </si>
  <si>
    <t>T330</t>
  </si>
  <si>
    <r>
      <rPr>
        <sz val="12"/>
        <color theme="1"/>
        <rFont val="Times New Roman"/>
        <family val="1"/>
      </rPr>
      <t xml:space="preserve">Kiều Thu Huyền </t>
    </r>
    <r>
      <rPr>
        <sz val="12"/>
        <color rgb="FFFF0000"/>
        <rFont val="Times New Roman"/>
        <family val="1"/>
      </rPr>
      <t>- Đã nộp 300K 01/08/2025
OT64 bảo lưu b9 đi quân sự. Học T330 b6</t>
    </r>
  </si>
  <si>
    <r>
      <rPr>
        <sz val="12"/>
        <color theme="1"/>
        <rFont val="Times New Roman"/>
        <family val="1"/>
      </rPr>
      <t>Vũ Thị Quỳnh Trang</t>
    </r>
    <r>
      <rPr>
        <sz val="12"/>
        <color rgb="FFFF0000"/>
        <rFont val="Times New Roman"/>
        <family val="1"/>
      </rPr>
      <t xml:space="preserve"> - Vũu Changg OVIP27, OVIP25</t>
    </r>
  </si>
  <si>
    <t>T333</t>
  </si>
  <si>
    <r>
      <rPr>
        <sz val="12"/>
        <color theme="1"/>
        <rFont val="Times New Roman"/>
        <family val="1"/>
      </rPr>
      <t>Lê Lục Bình Minh</t>
    </r>
    <r>
      <rPr>
        <sz val="12"/>
        <color rgb="FFFF0000"/>
        <rFont val="Times New Roman"/>
        <family val="1"/>
      </rPr>
      <t xml:space="preserve"> - học lại miễn phí. My chat
OT45 bảo lưu b16. Học T333 buổi 13. Đã nộp 300K 31/08/2025</t>
    </r>
  </si>
  <si>
    <t>VIP182</t>
  </si>
  <si>
    <r>
      <rPr>
        <sz val="12"/>
        <color theme="1"/>
        <rFont val="Times New Roman"/>
        <family val="1"/>
      </rPr>
      <t>Nguyễn Diệu Linh</t>
    </r>
    <r>
      <rPr>
        <sz val="12"/>
        <color rgb="FFFF0000"/>
        <rFont val="Times New Roman"/>
        <family val="1"/>
      </rPr>
      <t xml:space="preserve"> - Đã nộp 300K 04/08/2025
OVIP34 bảo lưu b8 đi quân sự. Học VIP182 b1
Nộp 200K mua sách 11/08/2025</t>
    </r>
  </si>
  <si>
    <t>Số 34 Ngõ 132 đường Cầu Diễn, Minh Khai, Hà Nội</t>
  </si>
  <si>
    <t>Sách cũ 02/04/2025</t>
  </si>
  <si>
    <r>
      <rPr>
        <sz val="12"/>
        <color theme="1"/>
        <rFont val="Times New Roman"/>
        <family val="1"/>
      </rPr>
      <t xml:space="preserve">Vũ Minh Quân - </t>
    </r>
    <r>
      <rPr>
        <sz val="12"/>
        <color rgb="FFFF0000"/>
        <rFont val="Times New Roman"/>
        <family val="1"/>
      </rPr>
      <t>Ming Quân</t>
    </r>
  </si>
  <si>
    <t>https://www.facebook.com/zz.hghaii?mibextid=wwXIfr&amp;mibextid=wwXIfr</t>
  </si>
  <si>
    <r>
      <rPr>
        <sz val="12"/>
        <color theme="1"/>
        <rFont val="Times New Roman"/>
        <family val="1"/>
      </rPr>
      <t xml:space="preserve">Cù Thị Hồng Hải </t>
    </r>
    <r>
      <rPr>
        <sz val="12"/>
        <color rgb="FFFF0000"/>
        <rFont val="Times New Roman"/>
        <family val="1"/>
      </rPr>
      <t>- OVIP27, OVIP25</t>
    </r>
  </si>
  <si>
    <t>số 94 ngõ 63 đường Lê Đức Thọ, Mỹ Đình 2, Nam Từ Liêm, Hà Nội</t>
  </si>
  <si>
    <t>https://www.facebook.com/xuanthanh.hbhn123u90?mibextid=wwXIfr&amp;rdid=mK03ea07MZ16goaa&amp;share_url=https%3A%2F%2Fwww.facebook.com%2Fshare%2F15ygovNmEu%2F%3Fmibextid%3DwwXIfr</t>
  </si>
  <si>
    <t>Nguyễn Thanh Xuân</t>
  </si>
  <si>
    <t>nhà số 2, ngõ 6, đường số 3, làng Hưng Giáo, xã Tam Hưng, huyện Thanh Oai, TP Hà Nội</t>
  </si>
  <si>
    <r>
      <rPr>
        <sz val="12"/>
        <color theme="1"/>
        <rFont val="Times New Roman"/>
        <family val="1"/>
      </rPr>
      <t>Nguyễn Thị Hương Trà</t>
    </r>
    <r>
      <rPr>
        <sz val="12"/>
        <color rgb="FFFF0000"/>
        <rFont val="Times New Roman"/>
        <family val="1"/>
      </rPr>
      <t xml:space="preserve"> - Chưa nộp 300K
VIP139 bảo lưu b15 ôn thi ĐH. Học VIP206 b15</t>
    </r>
  </si>
  <si>
    <r>
      <rPr>
        <sz val="12"/>
        <color theme="1"/>
        <rFont val="Times New Roman"/>
        <family val="1"/>
      </rPr>
      <t xml:space="preserve">Nguyễn Thị Duyên </t>
    </r>
    <r>
      <rPr>
        <sz val="12"/>
        <color rgb="FFFF0000"/>
        <rFont val="Times New Roman"/>
        <family val="1"/>
      </rPr>
      <t>- OVIP27</t>
    </r>
  </si>
  <si>
    <r>
      <rPr>
        <sz val="12"/>
        <color theme="1"/>
        <rFont val="Times New Roman"/>
        <family val="1"/>
      </rPr>
      <t xml:space="preserve">Lại Thị Nga - </t>
    </r>
    <r>
      <rPr>
        <sz val="12"/>
        <color rgb="FFFF0000"/>
        <rFont val="Times New Roman"/>
        <family val="1"/>
      </rPr>
      <t>Ngo Nga</t>
    </r>
  </si>
  <si>
    <r>
      <rPr>
        <sz val="12"/>
        <color theme="1"/>
        <rFont val="Times New Roman"/>
        <family val="1"/>
      </rPr>
      <t>Nguyễn Thị Minh Thu</t>
    </r>
    <r>
      <rPr>
        <sz val="12"/>
        <color rgb="FFFF0000"/>
        <rFont val="Times New Roman"/>
        <family val="1"/>
      </rPr>
      <t xml:space="preserve"> - VIP153 rút</t>
    </r>
  </si>
  <si>
    <t>nhà nghỉ hương quê, khu phố Giang Liễu, Phương Liễu, Quế Võ, Bắc Ninh</t>
  </si>
  <si>
    <r>
      <rPr>
        <sz val="12"/>
        <color theme="1"/>
        <rFont val="Times New Roman"/>
        <family val="1"/>
      </rPr>
      <t xml:space="preserve">Vũ Ngọc Phương Uyên </t>
    </r>
    <r>
      <rPr>
        <sz val="12"/>
        <color rgb="FFFF0000"/>
        <rFont val="Times New Roman"/>
        <family val="1"/>
      </rPr>
      <t>- OVIP30</t>
    </r>
  </si>
  <si>
    <r>
      <rPr>
        <sz val="12"/>
        <color theme="1"/>
        <rFont val="Times New Roman"/>
        <family val="1"/>
      </rPr>
      <t>Nguyễn Quốc Cường</t>
    </r>
    <r>
      <rPr>
        <sz val="12"/>
        <color rgb="FFFF0000"/>
        <rFont val="Times New Roman"/>
        <family val="1"/>
      </rPr>
      <t xml:space="preserve"> 399798302 số mẹ</t>
    </r>
  </si>
  <si>
    <t>4/9/2 đường số 10, Hiệp Bình Chánh, Thủ Đức, TP HCM</t>
  </si>
  <si>
    <r>
      <rPr>
        <sz val="12"/>
        <color theme="1"/>
        <rFont val="Times New Roman"/>
        <family val="1"/>
      </rPr>
      <t>Nguyễn Tuấn Minh</t>
    </r>
    <r>
      <rPr>
        <sz val="12"/>
        <color rgb="FFFF0000"/>
        <rFont val="Times New Roman"/>
        <family val="1"/>
      </rPr>
      <t xml:space="preserve"> - OVIP30</t>
    </r>
  </si>
  <si>
    <t xml:space="preserve">Nguyễn Thị Thủy </t>
  </si>
  <si>
    <r>
      <rPr>
        <sz val="12"/>
        <color theme="1"/>
        <rFont val="Times New Roman"/>
        <family val="1"/>
      </rPr>
      <t>Lê Đình Trà</t>
    </r>
    <r>
      <rPr>
        <sz val="12"/>
        <color rgb="FFFF0000"/>
        <rFont val="Times New Roman"/>
        <family val="1"/>
      </rPr>
      <t xml:space="preserve"> - OVIP27</t>
    </r>
  </si>
  <si>
    <r>
      <rPr>
        <sz val="12"/>
        <color theme="1"/>
        <rFont val="Times New Roman"/>
        <family val="1"/>
      </rPr>
      <t>Nguyễn Nhật Minh</t>
    </r>
    <r>
      <rPr>
        <sz val="12"/>
        <color rgb="FFFF0000"/>
        <rFont val="Times New Roman"/>
        <family val="1"/>
      </rPr>
      <t xml:space="preserve"> 366523155 số zalo. Đã nộp 300K 27/05/25
VIP144 bảo lưu b15. Học VIP145 b17</t>
    </r>
  </si>
  <si>
    <t>77 P. Bế Văn Đàn, P. Quang Trung, Hà Đông, Hà Nội</t>
  </si>
  <si>
    <r>
      <rPr>
        <sz val="12"/>
        <color theme="1"/>
        <rFont val="Times New Roman"/>
        <family val="1"/>
      </rPr>
      <t xml:space="preserve">Vũ Trường Giang </t>
    </r>
    <r>
      <rPr>
        <sz val="12"/>
        <color rgb="FFFF0000"/>
        <rFont val="Times New Roman"/>
        <family val="1"/>
      </rPr>
      <t>- OS5 hủy lớp</t>
    </r>
  </si>
  <si>
    <r>
      <rPr>
        <sz val="12"/>
        <color theme="1"/>
        <rFont val="Times New Roman"/>
        <family val="1"/>
      </rPr>
      <t>Vũ Hoàng Cường</t>
    </r>
    <r>
      <rPr>
        <sz val="12"/>
        <color rgb="FFFF0000"/>
        <rFont val="Times New Roman"/>
        <family val="1"/>
      </rPr>
      <t xml:space="preserve"> - nick Nói nhiều  </t>
    </r>
    <r>
      <rPr>
        <sz val="12"/>
        <color theme="1"/>
        <rFont val="Times New Roman"/>
        <family val="1"/>
      </rPr>
      <t>792088593</t>
    </r>
  </si>
  <si>
    <t>143/19 Nguyễn Thị Tần, phường 2, quận 8, TPHCM</t>
  </si>
  <si>
    <t>OT71</t>
  </si>
  <si>
    <r>
      <rPr>
        <sz val="12"/>
        <color theme="1"/>
        <rFont val="Times New Roman"/>
        <family val="1"/>
      </rPr>
      <t>Nguyễn Phương Thảo Uyên -</t>
    </r>
    <r>
      <rPr>
        <sz val="12"/>
        <color rgb="FFFF0000"/>
        <rFont val="Times New Roman"/>
        <family val="1"/>
      </rPr>
      <t xml:space="preserve"> OT64</t>
    </r>
  </si>
  <si>
    <t>515 Minh Khai ạ, Vĩnh Tuy, Hai Bà Trưng, Hà Nội</t>
  </si>
  <si>
    <t>số 126 hẻm 165/49/25 dương quảng hàm, quan hoa , cầu giấy , hà nội</t>
  </si>
  <si>
    <r>
      <rPr>
        <sz val="12"/>
        <color theme="1"/>
        <rFont val="Times New Roman"/>
        <family val="1"/>
      </rPr>
      <t>Vũ Thành Phong</t>
    </r>
    <r>
      <rPr>
        <sz val="12"/>
        <color rgb="FFFF0000"/>
        <rFont val="Times New Roman"/>
        <family val="1"/>
      </rPr>
      <t xml:space="preserve"> - Đã nộp 300K 03/08/2025</t>
    </r>
    <r>
      <rPr>
        <sz val="12"/>
        <color theme="1"/>
        <rFont val="Times New Roman"/>
        <family val="1"/>
      </rPr>
      <t xml:space="preserve">
</t>
    </r>
    <r>
      <rPr>
        <sz val="12"/>
        <color rgb="FFFF0000"/>
        <rFont val="Times New Roman"/>
        <family val="1"/>
      </rPr>
      <t>OVIP28 bảo lưu b13. Học OVIP44 b7</t>
    </r>
  </si>
  <si>
    <t>66 Hồ Tùng Mậu</t>
  </si>
  <si>
    <t xml:space="preserve">Đào Bích Ngọc </t>
  </si>
  <si>
    <r>
      <rPr>
        <sz val="12"/>
        <color theme="1"/>
        <rFont val="Times New Roman"/>
        <family val="1"/>
      </rPr>
      <t>Nguyễn Khánh Phong</t>
    </r>
    <r>
      <rPr>
        <sz val="12"/>
        <color rgb="FFFF0000"/>
        <rFont val="Times New Roman"/>
        <family val="1"/>
      </rPr>
      <t xml:space="preserve"> - VIP140 hv thứ 10</t>
    </r>
  </si>
  <si>
    <r>
      <rPr>
        <sz val="12"/>
        <color theme="1"/>
        <rFont val="Times New Roman"/>
        <family val="1"/>
      </rPr>
      <t xml:space="preserve">Nguyễn Thuý Hạnh - </t>
    </r>
    <r>
      <rPr>
        <sz val="12"/>
        <color rgb="FFFF0000"/>
        <rFont val="Times New Roman"/>
        <family val="1"/>
      </rPr>
      <t>Hạnh Hạnh</t>
    </r>
  </si>
  <si>
    <r>
      <rPr>
        <sz val="12"/>
        <color theme="1"/>
        <rFont val="Times New Roman"/>
        <family val="1"/>
      </rPr>
      <t xml:space="preserve">Phan Thu Trang - </t>
    </r>
    <r>
      <rPr>
        <sz val="12"/>
        <color rgb="FFFF0000"/>
        <rFont val="Times New Roman"/>
        <family val="1"/>
      </rPr>
      <t>Chang Vừa Cắt Mái</t>
    </r>
    <r>
      <rPr>
        <sz val="12"/>
        <color theme="1"/>
        <rFont val="Times New Roman"/>
        <family val="1"/>
      </rPr>
      <t xml:space="preserve"> </t>
    </r>
  </si>
  <si>
    <t>https://www.facebook.com/share/1FTE83aSNZ/</t>
  </si>
  <si>
    <t>PT173</t>
  </si>
  <si>
    <t>https://www.facebook.com/nguyen.ly.715178?mibextid=LQQJ4d</t>
  </si>
  <si>
    <r>
      <rPr>
        <sz val="12"/>
        <color rgb="FF434343"/>
        <rFont val="Times New Roman"/>
        <family val="1"/>
      </rPr>
      <t xml:space="preserve">Nguyễn Thị Ly </t>
    </r>
    <r>
      <rPr>
        <sz val="12"/>
        <color rgb="FFFF0000"/>
        <rFont val="Times New Roman"/>
        <family val="1"/>
      </rPr>
      <t xml:space="preserve">- nhận học. Đã nộp 300K 10/03/2025
</t>
    </r>
    <r>
      <rPr>
        <sz val="12"/>
        <color theme="1"/>
        <rFont val="Times New Roman"/>
        <family val="1"/>
      </rPr>
      <t>Nguyễn Thị Yến</t>
    </r>
    <r>
      <rPr>
        <sz val="12"/>
        <color rgb="FFFF0000"/>
        <rFont val="Times New Roman"/>
        <family val="1"/>
      </rPr>
      <t xml:space="preserve"> - 339346543 chuyển nhượng ST em gái học</t>
    </r>
  </si>
  <si>
    <t>Hà Hiền</t>
  </si>
  <si>
    <t>nguyenly200139@gmail.c</t>
  </si>
  <si>
    <t>Trường đại học công nghiệp dệt may Hà Nội (cơ sở mới)</t>
  </si>
  <si>
    <t>https://drive.google.com/open?id=1KTr0JjtOLtwvL1kawu1I3Tm1thor-hj4</t>
  </si>
  <si>
    <t>https://www.facebook.com/profile.php?id=100070531825886</t>
  </si>
  <si>
    <t>https://www.facebook.com/share/15iCh8BEQ5/?mibextid=wwXIfr</t>
  </si>
  <si>
    <r>
      <rPr>
        <sz val="12"/>
        <color theme="1"/>
        <rFont val="Times New Roman"/>
        <family val="1"/>
      </rPr>
      <t xml:space="preserve">Dương Ngọc Ánh </t>
    </r>
    <r>
      <rPr>
        <sz val="12"/>
        <color rgb="FFFF0000"/>
        <rFont val="Times New Roman"/>
        <family val="1"/>
      </rPr>
      <t>- học lại nộp 50% học phí</t>
    </r>
  </si>
  <si>
    <t>https://drive.google.com/open?id=1A3we6d3a35jIfZ3o0KubdqsWre1cHwp3</t>
  </si>
  <si>
    <t>học lại nộp 50% học phí</t>
  </si>
  <si>
    <r>
      <rPr>
        <sz val="12"/>
        <color theme="1"/>
        <rFont val="Times New Roman"/>
        <family val="1"/>
      </rPr>
      <t xml:space="preserve">Trần Thị Bích Thảo </t>
    </r>
    <r>
      <rPr>
        <sz val="12"/>
        <color rgb="FFFF0000"/>
        <rFont val="Times New Roman"/>
        <family val="1"/>
      </rPr>
      <t>- học lại nộp 50% học phí
Đã nộp 1,984K cả sách ngày 17/02/2025</t>
    </r>
  </si>
  <si>
    <t>https://drive.google.com/open?id=1q0OiWV_42W60OkXI-nEOOaDkO_lAQD-w</t>
  </si>
  <si>
    <t>https://web.facebook.com/camanhh96?mibextid=wwXIfr&amp;rdid=EaJObfDKD7TaTbaS&amp;share_url=https%3A%2F%2Fweb.facebook.com%2Fshare%2F1YaqXaKPNT%2F%3Fmibextid%3DwwXIfr%26_rdc%3D1%26_rdr</t>
  </si>
  <si>
    <r>
      <rPr>
        <sz val="12"/>
        <color theme="1"/>
        <rFont val="Times New Roman"/>
        <family val="1"/>
      </rPr>
      <t xml:space="preserve">Lưu Cẩm Anh </t>
    </r>
    <r>
      <rPr>
        <sz val="12"/>
        <color rgb="FFFF0000"/>
        <rFont val="Times New Roman"/>
        <family val="1"/>
      </rPr>
      <t xml:space="preserve">- nhận học. Toàn nộp 300K 11/02/2025
</t>
    </r>
    <r>
      <rPr>
        <sz val="12"/>
        <color theme="1"/>
        <rFont val="Times New Roman"/>
        <family val="1"/>
      </rPr>
      <t xml:space="preserve">Nguyễn Văn Toàn </t>
    </r>
    <r>
      <rPr>
        <sz val="12"/>
        <color rgb="FFFF0000"/>
        <rFont val="Times New Roman"/>
        <family val="1"/>
      </rPr>
      <t>- chuyển nhượng 386351505</t>
    </r>
  </si>
  <si>
    <t>eco green Nguyễn Xiển, Thanh Xuân, Hà Nội</t>
  </si>
  <si>
    <t>https://www.facebook.com/huong.cat.583#</t>
  </si>
  <si>
    <r>
      <rPr>
        <sz val="12"/>
        <color theme="1"/>
        <rFont val="Times New Roman"/>
        <family val="1"/>
      </rPr>
      <t xml:space="preserve">Nguyễn Quỳnh Hương </t>
    </r>
    <r>
      <rPr>
        <sz val="12"/>
        <color rgb="FFFF0000"/>
        <rFont val="Times New Roman"/>
        <family val="1"/>
      </rPr>
      <t>- học lại nộp 50% học phí</t>
    </r>
  </si>
  <si>
    <t>Xuân Đức</t>
  </si>
  <si>
    <t>Toà bs15 vinhomes quận 9, Hồ Chí Minh</t>
  </si>
  <si>
    <t>https://drive.google.com/open?id=1tXwoo7NxQcXpf8ukiVKC4RsFhYLXZI39</t>
  </si>
  <si>
    <t xml:space="preserve">Phan Tuấn Sơn </t>
  </si>
  <si>
    <t>441 nguyễn huyệ,p7,tuy hoà,phú yên</t>
  </si>
  <si>
    <r>
      <rPr>
        <sz val="12"/>
        <color theme="1"/>
        <rFont val="Times New Roman"/>
        <family val="1"/>
      </rPr>
      <t xml:space="preserve">Tạ Ngọc Dương </t>
    </r>
    <r>
      <rPr>
        <sz val="12"/>
        <color rgb="FFFF0000"/>
        <rFont val="Times New Roman"/>
        <family val="1"/>
      </rPr>
      <t>- Đã nộp 300K 03/08/2025</t>
    </r>
    <r>
      <rPr>
        <sz val="12"/>
        <color theme="1"/>
        <rFont val="Times New Roman"/>
        <family val="1"/>
      </rPr>
      <t xml:space="preserve">
</t>
    </r>
    <r>
      <rPr>
        <sz val="12"/>
        <color rgb="FFFF0000"/>
        <rFont val="Times New Roman"/>
        <family val="1"/>
      </rPr>
      <t>OVIP28 bảo lưu b13. Học OVIP44 b7</t>
    </r>
  </si>
  <si>
    <t>https://www.facebook.com/share/1ZVUDKQ6nL/?mibextid=wwXIfr</t>
  </si>
  <si>
    <r>
      <rPr>
        <sz val="12"/>
        <color theme="1"/>
        <rFont val="Times New Roman"/>
        <family val="1"/>
      </rPr>
      <t xml:space="preserve">Hoàng Thanh Tùng </t>
    </r>
    <r>
      <rPr>
        <sz val="12"/>
        <color rgb="FFFF0000"/>
        <rFont val="Times New Roman"/>
        <family val="1"/>
      </rPr>
      <t>-  Đã nộp 300K 03/08/2025
OVIP28 bảo lưu b13. Học OVIP44 b7</t>
    </r>
  </si>
  <si>
    <r>
      <rPr>
        <sz val="12"/>
        <color theme="1"/>
        <rFont val="Times New Roman"/>
        <family val="1"/>
      </rPr>
      <t>Nguyễn Lê Bảo Linh</t>
    </r>
    <r>
      <rPr>
        <sz val="12"/>
        <color rgb="FFFF0000"/>
        <rFont val="Times New Roman"/>
        <family val="1"/>
      </rPr>
      <t xml:space="preserve"> (mẹ nhận sách 0904294883)
VIP144 phá lớp buổi 19. Học VIP149 b18</t>
    </r>
  </si>
  <si>
    <r>
      <rPr>
        <sz val="12"/>
        <color theme="1"/>
        <rFont val="Times New Roman"/>
        <family val="1"/>
      </rPr>
      <t xml:space="preserve">Vũ Thị Diễm Quỳnh </t>
    </r>
    <r>
      <rPr>
        <sz val="12"/>
        <color rgb="FFFF0000"/>
        <rFont val="Times New Roman"/>
        <family val="1"/>
      </rPr>
      <t>- học lại miễn phí
Ck 100K mua sách 11/03/2025</t>
    </r>
  </si>
  <si>
    <t>17/09/2024 Sách cũ</t>
  </si>
  <si>
    <t>VIP217</t>
  </si>
  <si>
    <r>
      <rPr>
        <sz val="12"/>
        <color theme="1"/>
        <rFont val="Times New Roman"/>
        <family val="1"/>
      </rPr>
      <t>Bùi Quốc Bảo</t>
    </r>
    <r>
      <rPr>
        <sz val="12"/>
        <color rgb="FFFF0000"/>
        <rFont val="Times New Roman"/>
        <family val="1"/>
      </rPr>
      <t xml:space="preserve"> - Chưa nộp 300K
VIP148 bảo lưu buổi 10. Học VIP217 b7</t>
    </r>
  </si>
  <si>
    <t>Nguyễn Thảo Chi</t>
  </si>
  <si>
    <t xml:space="preserve"> phòng 203 KTX B5 Đại học Bách Khoa Hà Nội</t>
  </si>
  <si>
    <r>
      <rPr>
        <sz val="12"/>
        <color theme="1"/>
        <rFont val="Times New Roman"/>
        <family val="1"/>
      </rPr>
      <t>Vũ Thị Thu Hoài</t>
    </r>
    <r>
      <rPr>
        <sz val="12"/>
        <color rgb="FFFF0000"/>
        <rFont val="Times New Roman"/>
        <family val="1"/>
      </rPr>
      <t xml:space="preserve"> - Đã nộp 300K 03/07/2025
VIP148 bảo lưu b10. Học VIP176 b5. Mua sách 200K 10/07/25</t>
    </r>
  </si>
  <si>
    <t>U03, L82 kđt đô nghĩa, phường yên nghĩa, quận hà đông, HÀ Nội</t>
  </si>
  <si>
    <t>12/03/2025 sách cũ</t>
  </si>
  <si>
    <t>VIP210</t>
  </si>
  <si>
    <r>
      <rPr>
        <sz val="12"/>
        <color theme="1"/>
        <rFont val="Times New Roman"/>
        <family val="1"/>
      </rPr>
      <t>Nguyễn Đăng Thái -</t>
    </r>
    <r>
      <rPr>
        <sz val="12"/>
        <color rgb="FFFF0000"/>
        <rFont val="Times New Roman"/>
        <family val="1"/>
      </rPr>
      <t xml:space="preserve"> Đã nộp 300K 05/12/2025
VIP148 bảo lưu b10. Học VIP210 b9</t>
    </r>
  </si>
  <si>
    <t>112a-E2, C4 Phố Thái Thịnh,Trung Liệt,Đống Đa,Hà Nội​</t>
  </si>
  <si>
    <t>Hủy đơn trên app để lên VP lấy</t>
  </si>
  <si>
    <t>VIP206 bảo lưu b16</t>
  </si>
  <si>
    <r>
      <rPr>
        <sz val="12"/>
        <color theme="1"/>
        <rFont val="Times New Roman"/>
        <family val="1"/>
      </rPr>
      <t>Nguyễn Đức Mạnh</t>
    </r>
    <r>
      <rPr>
        <sz val="12"/>
        <color rgb="FFFF0000"/>
        <rFont val="Times New Roman"/>
        <family val="1"/>
      </rPr>
      <t xml:space="preserve"> - VIP158 rút sắp KG - Đã nộp 300K 02/12/25
VIP161 bảo lưu b14. Học VIP206 b14 - b16 bảo lưu lần 2</t>
    </r>
  </si>
  <si>
    <t>Số 24 ngách 21 ngõ 159 Phùng Khoang, Trung Văn, Nam Từ Liêm, Hà Nội</t>
  </si>
  <si>
    <r>
      <rPr>
        <sz val="12"/>
        <color theme="1"/>
        <rFont val="Times New Roman"/>
        <family val="1"/>
      </rPr>
      <t xml:space="preserve">Tạ Quỳnh Hương </t>
    </r>
    <r>
      <rPr>
        <sz val="12"/>
        <color rgb="FFFF0000"/>
        <rFont val="Times New Roman"/>
        <family val="1"/>
      </rPr>
      <t>- Đã nộp 300K 28/07/2025
VIP150 bảo lưu b15. Học VIP169 b13</t>
    </r>
  </si>
  <si>
    <t>T262 -760</t>
  </si>
  <si>
    <r>
      <rPr>
        <sz val="12"/>
        <color theme="1"/>
        <rFont val="Times New Roman"/>
        <family val="1"/>
      </rPr>
      <t xml:space="preserve">Tưởng Thuỳ Trang </t>
    </r>
    <r>
      <rPr>
        <sz val="12"/>
        <color rgb="FFFF0000"/>
        <rFont val="Times New Roman"/>
        <family val="1"/>
      </rPr>
      <t>925864735 - Đã nộp 300K 23/06/2025
VIP152 bảo lưu b2. Học VIP178 b1</t>
    </r>
  </si>
  <si>
    <r>
      <rPr>
        <sz val="12"/>
        <color theme="1"/>
        <rFont val="Times New Roman"/>
        <family val="1"/>
      </rPr>
      <t xml:space="preserve">Nguyễn Anh Đức - </t>
    </r>
    <r>
      <rPr>
        <sz val="12"/>
        <color rgb="FFFF0000"/>
        <rFont val="Times New Roman"/>
        <family val="1"/>
      </rPr>
      <t>Chưa nộp 300k
VIP150 bảo lưu b9. Huỷ bảo lưu</t>
    </r>
  </si>
  <si>
    <r>
      <rPr>
        <sz val="12"/>
        <color theme="1"/>
        <rFont val="Times New Roman"/>
        <family val="1"/>
      </rPr>
      <t>Nguyễn Thuý Hiền</t>
    </r>
    <r>
      <rPr>
        <sz val="12"/>
        <color rgb="FFFF0000"/>
        <rFont val="Times New Roman"/>
        <family val="1"/>
      </rPr>
      <t xml:space="preserve"> - 876026237 </t>
    </r>
  </si>
  <si>
    <t>VIP150 bảo lưu buổi 2</t>
  </si>
  <si>
    <t xml:space="preserve">Cao Minh Quân </t>
  </si>
  <si>
    <t>21/61/296 Lĩnh Nam Vĩnh Hưng Hoàng Mai Hà Nội</t>
  </si>
  <si>
    <r>
      <rPr>
        <sz val="12"/>
        <color theme="1"/>
        <rFont val="Times New Roman"/>
        <family val="1"/>
      </rPr>
      <t>Nguyễn Ngọc Tôn</t>
    </r>
    <r>
      <rPr>
        <sz val="12"/>
        <color rgb="FFFF0000"/>
        <rFont val="Times New Roman"/>
        <family val="1"/>
      </rPr>
      <t xml:space="preserve"> - học lại miễn phí</t>
    </r>
  </si>
  <si>
    <t xml:space="preserve">Phạm Mai Hương </t>
  </si>
  <si>
    <t>nhà số 19 ngách 10/54 ngõ 54 tây tựy đường tây tựu quận bắc từ liêm hà nội</t>
  </si>
  <si>
    <t>VIP151</t>
  </si>
  <si>
    <r>
      <rPr>
        <sz val="12"/>
        <color theme="1"/>
        <rFont val="Times New Roman"/>
        <family val="1"/>
      </rPr>
      <t>Hà Đăng Thịnh</t>
    </r>
    <r>
      <rPr>
        <sz val="12"/>
        <color rgb="FFFF0000"/>
        <rFont val="Times New Roman"/>
        <family val="1"/>
      </rPr>
      <t xml:space="preserve"> - VIP149</t>
    </r>
  </si>
  <si>
    <t>nhà số 7 98/17 Tân Triều Hà Nội</t>
  </si>
  <si>
    <r>
      <rPr>
        <sz val="12"/>
        <color theme="1"/>
        <rFont val="Times New Roman"/>
        <family val="1"/>
      </rPr>
      <t xml:space="preserve">Ngô Công Danh - </t>
    </r>
    <r>
      <rPr>
        <sz val="12"/>
        <color rgb="FFFF0000"/>
        <rFont val="Times New Roman"/>
        <family val="1"/>
      </rPr>
      <t>Zanh - học lại miễn phí</t>
    </r>
  </si>
  <si>
    <t>PT175</t>
  </si>
  <si>
    <t>S14</t>
  </si>
  <si>
    <r>
      <rPr>
        <sz val="12"/>
        <color theme="1"/>
        <rFont val="Times New Roman"/>
        <family val="1"/>
      </rPr>
      <t>Hà Thị Quỳnh Trang</t>
    </r>
    <r>
      <rPr>
        <sz val="12"/>
        <color rgb="FFFF0000"/>
        <rFont val="Times New Roman"/>
        <family val="1"/>
      </rPr>
      <t xml:space="preserve"> - OS5</t>
    </r>
  </si>
  <si>
    <t>Số 74 Sông Nhuệ - P. Đức Thắng - Q. Bắc Từ Liêm - Hà Nội</t>
  </si>
  <si>
    <t>B688</t>
  </si>
  <si>
    <t>https://www.facebook.com/profile.php?id=100045812565863&amp;mibextid=kFxxJD</t>
  </si>
  <si>
    <r>
      <rPr>
        <sz val="12"/>
        <color theme="1"/>
        <rFont val="Times New Roman"/>
        <family val="1"/>
      </rPr>
      <t xml:space="preserve">Phạm Thị Huệ </t>
    </r>
    <r>
      <rPr>
        <sz val="12"/>
        <color rgb="FFFF0000"/>
        <rFont val="Times New Roman"/>
        <family val="1"/>
      </rPr>
      <t>- đổi Stour -&gt; PT và T</t>
    </r>
  </si>
  <si>
    <t>nhà số 4,ngõ 28, đường Trâu Quỳ-Gia Lâm- Hà Nội</t>
  </si>
  <si>
    <t>https://drive.google.com/open?id=163NqGGUtrJ_ipFXuHsdSxJlnsAnzoII-; https://drive.google.com/open?id=1nCKrMlrkFWegGAdeCccpRXaaTMF3_fvj</t>
  </si>
  <si>
    <t>Chế độ ban đầu combo giao tiếp 1,2, Stour =&gt; combo toeic 4,5
Đã học hết giao tiếp 1,2 nên số tiền dư là 13tr083 - 7tr349 = 5tr734k (đủ tiền pre + toeic 1 trước)
b sẽ đóng số dư con lại của combo sau ạ</t>
  </si>
  <si>
    <t>VIP198</t>
  </si>
  <si>
    <t>https://www.facebook.com/profile.php?id=100045812565863</t>
  </si>
  <si>
    <r>
      <rPr>
        <sz val="12"/>
        <color theme="1"/>
        <rFont val="Times New Roman"/>
        <family val="1"/>
      </rPr>
      <t xml:space="preserve">Phạm Thị Huệ </t>
    </r>
    <r>
      <rPr>
        <sz val="12"/>
        <color rgb="FFFF0000"/>
        <rFont val="Times New Roman"/>
        <family val="1"/>
      </rPr>
      <t>- VIP146 đk nhầm level</t>
    </r>
  </si>
  <si>
    <t>Nhà số 4 ngõ 28 Trâu Quỳ - Gia Lâm - Hà Nội</t>
  </si>
  <si>
    <r>
      <rPr>
        <sz val="12"/>
        <rFont val="Times New Roman"/>
        <family val="1"/>
      </rPr>
      <t xml:space="preserve">https://drive.google.com/open?id=1m88HhEvsa5K7oSFh7uxBDr2VEwAeEEJu, </t>
    </r>
    <r>
      <rPr>
        <u/>
        <sz val="12"/>
        <color rgb="FF1155CC"/>
        <rFont val="Times New Roman"/>
        <family val="1"/>
      </rPr>
      <t>https://drive.google.com/open?id=1Iti16tOe_FMwrePBrlzgjiipPrGfkqhY</t>
    </r>
  </si>
  <si>
    <r>
      <rPr>
        <sz val="12"/>
        <color theme="1"/>
        <rFont val="Times New Roman"/>
        <family val="1"/>
      </rPr>
      <t>Nguyễn Thảo Nhi</t>
    </r>
    <r>
      <rPr>
        <sz val="12"/>
        <color rgb="FFFF0000"/>
        <rFont val="Times New Roman"/>
        <family val="1"/>
      </rPr>
      <t xml:space="preserve"> </t>
    </r>
  </si>
  <si>
    <t>43 Trần Duy Hưng/Trung Hoà/ Cầu Giấy/ Hà Nội</t>
  </si>
  <si>
    <t>T350</t>
  </si>
  <si>
    <r>
      <rPr>
        <sz val="12"/>
        <color theme="1"/>
        <rFont val="Times New Roman"/>
        <family val="1"/>
      </rPr>
      <t>Trần Thị Thanh Huyền</t>
    </r>
    <r>
      <rPr>
        <sz val="12"/>
        <color rgb="FFFF0000"/>
        <rFont val="Times New Roman"/>
        <family val="1"/>
      </rPr>
      <t xml:space="preserve"> - Đã nộp 300K 31/8/25
T299 bảo lưu b12. Học T350 b2</t>
    </r>
  </si>
  <si>
    <r>
      <rPr>
        <sz val="12"/>
        <color theme="1"/>
        <rFont val="Times New Roman"/>
        <family val="1"/>
      </rPr>
      <t xml:space="preserve">Hà Quang Huy </t>
    </r>
    <r>
      <rPr>
        <sz val="12"/>
        <color rgb="FFFF0000"/>
        <rFont val="Times New Roman"/>
        <family val="1"/>
      </rPr>
      <t>- Đã nộp 300K 31/08/25
T299 bảo lưu b13. Học T350 b2</t>
    </r>
  </si>
  <si>
    <t xml:space="preserve"> Lô 11-12 Liền kề 23 khu đấu giá Mậu Lương Kiến Hưng Hà Đông Hà Nội</t>
  </si>
  <si>
    <t>Ngõ 136, Cầu Diễn, Bắc Từ Liêm, Hà Nội</t>
  </si>
  <si>
    <r>
      <rPr>
        <sz val="12"/>
        <color theme="1"/>
        <rFont val="Times New Roman"/>
        <family val="1"/>
      </rPr>
      <t>Nguyễn Hồng Dũng</t>
    </r>
    <r>
      <rPr>
        <sz val="12"/>
        <color rgb="FFFF0000"/>
        <rFont val="Times New Roman"/>
        <family val="1"/>
      </rPr>
      <t xml:space="preserve"> - HV báo KO học S</t>
    </r>
  </si>
  <si>
    <t xml:space="preserve">Nguyễn Trần Nam Phương </t>
  </si>
  <si>
    <r>
      <rPr>
        <sz val="12"/>
        <color theme="1"/>
        <rFont val="Times New Roman"/>
        <family val="1"/>
      </rPr>
      <t xml:space="preserve"> Mai Thị Thuý </t>
    </r>
    <r>
      <rPr>
        <sz val="12"/>
        <color rgb="FFFF0000"/>
        <rFont val="Times New Roman"/>
        <family val="1"/>
      </rPr>
      <t>- hợp đồng</t>
    </r>
  </si>
  <si>
    <t>https://drive.google.com/open?id=1NyaQiYwYp2nKGcD3_6IWPSF0UX3D2UDx; https://drive.google.com/open?id=126fhEDkFdt8Pj1h6_KMNfVgJmCex08NO</t>
  </si>
  <si>
    <t>Trả lương T02.2025</t>
  </si>
  <si>
    <t>https://www.facebook.com/profile.php?id=100052631708699&amp;mibextid=ZbWKwL</t>
  </si>
  <si>
    <r>
      <rPr>
        <sz val="12"/>
        <color theme="1"/>
        <rFont val="Times New Roman"/>
        <family val="1"/>
      </rPr>
      <t xml:space="preserve">Nguyễn Duy Bình </t>
    </r>
    <r>
      <rPr>
        <sz val="12"/>
        <color rgb="FFFF0000"/>
        <rFont val="Times New Roman"/>
        <family val="1"/>
      </rPr>
      <t>- OPT57 sang PT67
Đã nộp 150K 27/02/2025</t>
    </r>
  </si>
  <si>
    <t xml:space="preserve">Mỹ LInh </t>
  </si>
  <si>
    <t>13/12/2024 và 20/02/2025</t>
  </si>
  <si>
    <t>https://drive.google.com/open?id=1i2q9zsjYQ0UR7NM-U_nFWpINclwfIaF3; https://drive.google.com/open?id=1kEzibezNxev42XM2bONF9cMYh48WSloj</t>
  </si>
  <si>
    <t>Hạ combo, tăng combo, hạ combo</t>
  </si>
  <si>
    <t>Linh Trang</t>
  </si>
  <si>
    <t>https://www.facebook.com/share/1BQqiKJe7h/?mibextid=LQQJ4d</t>
  </si>
  <si>
    <t>Hà Thị Lan Anh</t>
  </si>
  <si>
    <t xml:space="preserve">Số nhà 3, ngõ 133, xóm 2, lai xá, kim chung, hoài Đức, hà nội </t>
  </si>
  <si>
    <t>23/12/2024 và 10/01/2025</t>
  </si>
  <si>
    <t>https://drive.google.com/open?id=1pdR9HanLHlf8bHFmuzMw--hNccdzrtkw; https://drive.google.com/open?id=1BqR4FAWVT-4iVwCILqNJ4nbDmX_-mz-N, https://drive.google.com/open?id=1YlsY9XpDT3uZpDqc3zBYhPNodHNB3pgZ; https://drive.google.com/open?id=1U7FG9jEZdHaQ-T4PsSqZTa1e_FZ6N8Do</t>
  </si>
  <si>
    <t>PT174</t>
  </si>
  <si>
    <t>https://www.facebook.com/ongvietquang.209977?mibextid=ZbWKwL</t>
  </si>
  <si>
    <r>
      <rPr>
        <sz val="12"/>
        <color theme="1"/>
        <rFont val="Times New Roman"/>
        <family val="1"/>
      </rPr>
      <t xml:space="preserve">Đồng Việt Quang </t>
    </r>
    <r>
      <rPr>
        <sz val="12"/>
        <color rgb="FFFF0000"/>
        <rFont val="Times New Roman"/>
        <family val="1"/>
      </rPr>
      <t>- Đã nộp 300K 06/06/25
PT162 bảo lưu b9 trùng lịch học. Học PT174 b1</t>
    </r>
  </si>
  <si>
    <t>Số nhà 10A, Ngõ 814/6 đường Láng, Láng Thượng, Đống Đa, Hà Nội</t>
  </si>
  <si>
    <t>https://drive.google.com/open?id=1bveJqG8rbvrF5lDiOP03c_jvkJgy7yYE; https://drive.google.com/open?id=1U5XGNRQUxN43xjuMpGVAY5noSGLysqYX</t>
  </si>
  <si>
    <t>https://www.facebook.com/profile.php?id=100053167103627&amp;mibextid=ZbWKwL</t>
  </si>
  <si>
    <t>Nguyễn Việt Dũng</t>
  </si>
  <si>
    <t>dungcuty1998@gmail.com</t>
  </si>
  <si>
    <t>nhận trực tiếp rồi</t>
  </si>
  <si>
    <t>23/11/2024 và 25/11/2024</t>
  </si>
  <si>
    <t>https://drive.google.com/open?id=1oD2cHUp8VGpHnQv2tEbvHD5bR0V3GFH-, https://drive.google.com/open?id=1M5D6aHDY9YJTwAnp4n3GDpHkRUHXBj4D; https://drive.google.com/open?id=1RGFlNkmOnF-KilhoZ32fQSHHnHPb65XI</t>
  </si>
  <si>
    <r>
      <rPr>
        <sz val="12"/>
        <color theme="1"/>
        <rFont val="Times New Roman"/>
        <family val="1"/>
      </rPr>
      <t>Đinh Tùng Dương</t>
    </r>
    <r>
      <rPr>
        <sz val="12"/>
        <color rgb="FFFF0000"/>
        <rFont val="Times New Roman"/>
        <family val="1"/>
      </rPr>
      <t xml:space="preserve"> </t>
    </r>
  </si>
  <si>
    <t>https://drive.google.com/open?id=1CTKxKseuAvM7TiihiJUjTdpsD_ZArudJ</t>
  </si>
  <si>
    <t>https://www.facebook.com/profile.php?id=100054800331906&amp;mibextid=wwXIfr&amp;mibextid=wwXIfr</t>
  </si>
  <si>
    <t>Ngọc Linh</t>
  </si>
  <si>
    <t>Khu A 2,7 cơ khí 4, Hải Bối, Đông Anh, Hà Nội</t>
  </si>
  <si>
    <t>17/01/2025 và 19/02/2025</t>
  </si>
  <si>
    <t>https://drive.google.com/open?id=17_DixZbaibt0ilM2rXCYk_NFL6bOW02s; https://drive.google.com/open?id=1hMvbqxoseiLhjlkHvoEQa3SRVYpy_MTN</t>
  </si>
  <si>
    <t>OPT66</t>
  </si>
  <si>
    <t>https://www.facebook.com/dao.anh.viet.419083</t>
  </si>
  <si>
    <r>
      <rPr>
        <sz val="12"/>
        <color theme="1"/>
        <rFont val="Times New Roman"/>
        <family val="1"/>
      </rPr>
      <t xml:space="preserve">Đào Anh Việt -  </t>
    </r>
    <r>
      <rPr>
        <sz val="12"/>
        <color rgb="FFFF0000"/>
        <rFont val="Times New Roman"/>
        <family val="1"/>
      </rPr>
      <t>Đã nộp 300K 05/05/2025 
OPT60 bảo lưu buổi 7. Học OPT66 b8</t>
    </r>
  </si>
  <si>
    <t xml:space="preserve"> vietanhdao2k6@gmail.com</t>
  </si>
  <si>
    <t>15/01/2025 và 12/02/2025</t>
  </si>
  <si>
    <t>https://drive.google.com/open?id=140BUXfYo11vwlhYBvOvju_YlwKEQMjX3; https://drive.google.com/open?id=1oK8NXJyIhzkqonS2l-BVit6iPJCW4BNb</t>
  </si>
  <si>
    <t>https://drive.google.com/open?id=1mcaTiLhhZZIansE6PZ1yuQyE5qru96we</t>
  </si>
  <si>
    <t>https://www.facebook.com/share/1Fw9BfvDk8/?mibextid=wwXIfr</t>
  </si>
  <si>
    <r>
      <rPr>
        <sz val="12"/>
        <color theme="1"/>
        <rFont val="Times New Roman"/>
        <family val="1"/>
      </rPr>
      <t>Cao Hoàng Minh</t>
    </r>
    <r>
      <rPr>
        <sz val="12"/>
        <color rgb="FFFF0000"/>
        <rFont val="Times New Roman"/>
        <family val="1"/>
      </rPr>
      <t xml:space="preserve"> 389993588</t>
    </r>
  </si>
  <si>
    <t>caominh198work@gmail.com</t>
  </si>
  <si>
    <t>23/11/2024 và 07/02/2025</t>
  </si>
  <si>
    <t>https://drive.google.com/open?id=1gXbaZCqEs4CVQlNQQJaws4X1C1DUrNTe; https://drive.google.com/open?id=1EyyreYx5bCDTLUKTq8Ej327hACYzR8em; https://drive.google.com/open?id=16goOmB9fWO7FB_RmpSD6GVW-6Ss85HDM</t>
  </si>
  <si>
    <t>400R - 310L</t>
  </si>
  <si>
    <t>https://www.facebook.com/tran.tuan.392293</t>
  </si>
  <si>
    <t>Trần Mạnh Tuấn</t>
  </si>
  <si>
    <t>mtuan181212@gmail.com</t>
  </si>
  <si>
    <t>số nhà 22-ngách 5-ngõ 4-cầu Bươu-Tả Thành Oai-Thanh Trì-Hà Nội</t>
  </si>
  <si>
    <t>18/01/2025 và 08/02/2025</t>
  </si>
  <si>
    <t>https://drive.google.com/open?id=1rLlj4zhkg_IcXEnGBM5i49y7s4s0X8s1; https://drive.google.com/open?id=14gguohuD8K_138OaM-wMxuZy4a-pzoww; https://drive.google.com/open?id=1d4xTwb388N8degmh4EWUyIiW1cC204YC</t>
  </si>
  <si>
    <t>340L - 260R</t>
  </si>
  <si>
    <r>
      <rPr>
        <sz val="12"/>
        <color theme="1"/>
        <rFont val="Times New Roman"/>
        <family val="1"/>
      </rPr>
      <t>Ngô Hải Nam</t>
    </r>
    <r>
      <rPr>
        <sz val="12"/>
        <color rgb="FFFF0000"/>
        <rFont val="Times New Roman"/>
        <family val="1"/>
      </rPr>
      <t xml:space="preserve"> </t>
    </r>
  </si>
  <si>
    <t>https://drive.google.com/open?id=1XI8Jqelm24NEUY9tVsUTrnRNKI61d9Ty</t>
  </si>
  <si>
    <t>https://www.facebook.com/nguyen.phuong.thao.709899</t>
  </si>
  <si>
    <t>phuongthao22052006ub@gmail.com</t>
  </si>
  <si>
    <t>21/01/2025 và 03/02/2025</t>
  </si>
  <si>
    <t>https://drive.google.com/open?id=1qcZgJcG6AlKedLu-xd4G-8RWgFGfcWUr; https://drive.google.com/open?id=1BJpEutX20J0GCAyEsW3-qt73kJLduDdf</t>
  </si>
  <si>
    <t>https://www.facebook.com/share/1BcMaQAcSj/?mibextid=wwXIfr</t>
  </si>
  <si>
    <r>
      <rPr>
        <sz val="12"/>
        <color theme="1"/>
        <rFont val="Times New Roman"/>
        <family val="1"/>
      </rPr>
      <t xml:space="preserve">Nguyễn Thị Huyền Linh </t>
    </r>
    <r>
      <rPr>
        <sz val="12"/>
        <color rgb="FFFF0000"/>
        <rFont val="Times New Roman"/>
        <family val="1"/>
      </rPr>
      <t>(hợp đồng)</t>
    </r>
  </si>
  <si>
    <t>ln7237991@gmail.com</t>
  </si>
  <si>
    <t>Xóm đồi xuân, Bình Yên, Thạch Thất, Hà Nội</t>
  </si>
  <si>
    <t>https://drive.google.com/open?id=13YrVaDqDW4CvYyalAniAYOyghCtjGR2i</t>
  </si>
  <si>
    <t>HV đã nhận từ sale</t>
  </si>
  <si>
    <t>https://www.facebook.com/share/1ARmw7kAf8/?mibextid=wwXIfr</t>
  </si>
  <si>
    <r>
      <rPr>
        <sz val="12"/>
        <color theme="1"/>
        <rFont val="Times New Roman"/>
        <family val="1"/>
      </rPr>
      <t xml:space="preserve">Đoàn Thị Thu Trang </t>
    </r>
    <r>
      <rPr>
        <sz val="12"/>
        <color rgb="FFFF0000"/>
        <rFont val="Times New Roman"/>
        <family val="1"/>
      </rPr>
      <t>(hợp đồng)</t>
    </r>
  </si>
  <si>
    <t>Thổ Hoàng - Yên Hoà - Yên Mô - Ninh Bình</t>
  </si>
  <si>
    <t>https://drive.google.com/open?id=1O2r01f3CQ4pX8YAsc5ZSN2ILVK-le-X7</t>
  </si>
  <si>
    <t>https://www.facebook.com/linhh.mai.735944</t>
  </si>
  <si>
    <r>
      <rPr>
        <sz val="12"/>
        <color theme="1"/>
        <rFont val="Times New Roman"/>
        <family val="1"/>
      </rPr>
      <t>Nguyễn Thị Quỳnh Như</t>
    </r>
    <r>
      <rPr>
        <sz val="12"/>
        <color rgb="FFFF0000"/>
        <rFont val="Times New Roman"/>
        <family val="1"/>
      </rPr>
      <t xml:space="preserve"> - Matcha Sữa Dừa</t>
    </r>
  </si>
  <si>
    <t>Lê Quốc Trung</t>
  </si>
  <si>
    <t>nguyennhu2596@gmail.com</t>
  </si>
  <si>
    <t>trọ Nguyễn Việt, thôn Thái Bình, xã Bình Yên, Thạch Thất, Hà Nội</t>
  </si>
  <si>
    <t>26/01/2025 và 07/02/2025</t>
  </si>
  <si>
    <r>
      <rPr>
        <u/>
        <sz val="12"/>
        <color rgb="FF1155CC"/>
        <rFont val="Times New Roman"/>
        <family val="1"/>
      </rPr>
      <t xml:space="preserve">https://drive.google.com/open?id=1XG_KsGcDEGhdoaxtlXSIsQZw9mzJrYYB; </t>
    </r>
    <r>
      <rPr>
        <u/>
        <sz val="12"/>
        <color rgb="FF1155CC"/>
        <rFont val="Times New Roman"/>
        <family val="1"/>
      </rPr>
      <t>https://drive.google.com/open?id=1m2GAPvPM0teny3RkG10MK4woXrxUui20</t>
    </r>
  </si>
  <si>
    <t>Không Test</t>
  </si>
  <si>
    <t>https://www.facebook.com/thuthuy.nt.332</t>
  </si>
  <si>
    <t>Nguyễn Thị Thu Thủy</t>
  </si>
  <si>
    <t>https://drive.google.com/open?id=1p701ytQI0QOGQ-MwrUaDaCogchkNIkvO, https://drive.google.com/open?id=1T3ItuMeX2ezaPiX2szcc3HwPMXLn-LdR; https://drive.google.com/open?id=1XGJRZsVdErviVZ8gIXmvXK2xi4x9d2yG</t>
  </si>
  <si>
    <t>https://www.facebook.com/profile.php?id=100027689842144&amp;mibextid=ZbWKwL</t>
  </si>
  <si>
    <t>13/12/2024 và 17/02/2025</t>
  </si>
  <si>
    <t>https://drive.google.com/open?id=15ZbDYF4ohoKBnsDuJ37zCpkYCxUnUXqt; https://drive.google.com/open?id=1KIEqYw0LA6CRzj9_2P4tVi5pDiX7CdgO; https://drive.google.com/open?id=1hh1qJLTf6vEYlPcf_vxEwP-ZX4M6hlHF</t>
  </si>
  <si>
    <t>https://www.facebook.com/lengoc.thu.756</t>
  </si>
  <si>
    <t xml:space="preserve">Lê Trần Minh Thư </t>
  </si>
  <si>
    <t xml:space="preserve">Tại 40sixbeachaus,  Tỉnh Kiên Giang, Thành Phố Phú Quốc, Xã Gành Dầu </t>
  </si>
  <si>
    <t>02/12/2024 và 09/02/2025</t>
  </si>
  <si>
    <r>
      <rPr>
        <u/>
        <sz val="12"/>
        <color rgb="FF1155CC"/>
        <rFont val="Times New Roman"/>
        <family val="1"/>
      </rPr>
      <t>https://drive.google.com/open?id=1fq3EV6hKWgaqPCc9Q7mOCoil550o0ZGy</t>
    </r>
    <r>
      <rPr>
        <u/>
        <sz val="12"/>
        <color rgb="FF1155CC"/>
        <rFont val="Times New Roman"/>
        <family val="1"/>
      </rPr>
      <t>; https://drive.google.com/open?id=1-Ii16il4Nf5_0Gut-PjX0AlQFccZz7K6</t>
    </r>
  </si>
  <si>
    <r>
      <rPr>
        <sz val="12"/>
        <color theme="1"/>
        <rFont val="Times New Roman"/>
        <family val="1"/>
      </rPr>
      <t xml:space="preserve">Thạch Long Nhí </t>
    </r>
    <r>
      <rPr>
        <sz val="12"/>
        <color rgb="FFFF0000"/>
        <rFont val="Times New Roman"/>
        <family val="1"/>
      </rPr>
      <t>- T291</t>
    </r>
  </si>
  <si>
    <t>https://drive.google.com/open?id=1D9uIwiJ0OL-TARJXdH14ddRRTTNoLyPt</t>
  </si>
  <si>
    <t>https://www.facebook.com/txinqq.205</t>
  </si>
  <si>
    <t>Lê Thu Thuỷ</t>
  </si>
  <si>
    <t>03/02/2025 và 25/02/2025</t>
  </si>
  <si>
    <t>https://drive.google.com/open?id=1JXG_JFYhhsP2ryTf6M-YYUBLNrExIURo; https://drive.google.com/open?id=1yTvm2hbMmHQ3atDnm1a9QWX8qiH0PjhP</t>
  </si>
  <si>
    <t>T308</t>
  </si>
  <si>
    <t>https://www.facebook.com/profile.php?id=61552594259644&amp;mibextid=ZbWKwL</t>
  </si>
  <si>
    <r>
      <rPr>
        <sz val="12"/>
        <color theme="1"/>
        <rFont val="Times New Roman"/>
        <family val="1"/>
      </rPr>
      <t xml:space="preserve">Đặng Hữu Sơn </t>
    </r>
    <r>
      <rPr>
        <sz val="12"/>
        <color rgb="FFFF0000"/>
        <rFont val="Times New Roman"/>
        <family val="1"/>
      </rPr>
      <t>- T306</t>
    </r>
  </si>
  <si>
    <t>https://drive.google.com/open?id=1c4xi71YRHcwP0JUE9fpAoLyWjQaOxkiF</t>
  </si>
  <si>
    <r>
      <rPr>
        <sz val="12"/>
        <color theme="1"/>
        <rFont val="Times New Roman"/>
        <family val="1"/>
      </rPr>
      <t>Nguyễn Thị Hoài Trang</t>
    </r>
    <r>
      <rPr>
        <sz val="12"/>
        <color rgb="FFFF0000"/>
        <rFont val="Times New Roman"/>
        <family val="1"/>
      </rPr>
      <t xml:space="preserve"> - hợp đồng ( UP TRƯỚC BUỔI 8)
Phương ck 300K 23/05/2025</t>
    </r>
  </si>
  <si>
    <t>https://drive.google.com/open?id=1NsV5EZUG_OfaO6dOsZsErgiJ6aDcwj8V</t>
  </si>
  <si>
    <t>https://www.facebook.com/kimoanh.2503</t>
  </si>
  <si>
    <t xml:space="preserve">Hoàng Thị Kim Oanh </t>
  </si>
  <si>
    <t xml:space="preserve"> hoangkimoanh2503@gmail.com</t>
  </si>
  <si>
    <t>Ngõ 8-Nhồi Trên-Cổ Loa-Đông Anh-Hà Nội</t>
  </si>
  <si>
    <t>https://drive.google.com/open?id=1ywfY0EzKMy5HObs8953lT0EtL3MryMBs</t>
  </si>
  <si>
    <t>https://www.facebook.com/nguyenn.thi.thuyy.609571</t>
  </si>
  <si>
    <t xml:space="preserve">Nguyễn Thị Thuý  </t>
  </si>
  <si>
    <t>nguyenthithuy09112005@gmail.com</t>
  </si>
  <si>
    <t>Nhà số 10, ngõ 94 hồ tùng mậu, mai dịch, cầu giấy, hà nội</t>
  </si>
  <si>
    <t>https://drive.google.com/open?id=1GfV5584UsB0GKdyP0fImi8OJLhyPxfUK</t>
  </si>
  <si>
    <t>600+l,r</t>
  </si>
  <si>
    <t>https://www.facebook.com/profile.php?id=100078687640326</t>
  </si>
  <si>
    <t xml:space="preserve">Dương Phương Hiếu </t>
  </si>
  <si>
    <t>Phuonghieu100708@gmail.com</t>
  </si>
  <si>
    <t>Phường phổ thạnh- huyện đức phổ - quảng ngãi</t>
  </si>
  <si>
    <t>https://drive.google.com/open?id=1wPs62idIFa8NaiSPGwtrmJ14QtH1Pymz</t>
  </si>
  <si>
    <t>https://www.facebook.com/share/18r5ZpkvDz/?mibextid=wwXIfr</t>
  </si>
  <si>
    <t>Nguyễn Anh Thơ</t>
  </si>
  <si>
    <t>Nhà số 7, ngõ 166, đường Tây Phương, xã Thạch Xá, huyện Thạch Thất, thành phố HN</t>
  </si>
  <si>
    <t>https://drive.google.com/open?id=1Mtc24eIddMUIjR2Nc9GwCTZjUYFdFP_V</t>
  </si>
  <si>
    <t>https://www.facebook.com/BachVincent9</t>
  </si>
  <si>
    <t xml:space="preserve">Văn Gia Bách </t>
  </si>
  <si>
    <t xml:space="preserve"> Bachv1309@gmail.com</t>
  </si>
  <si>
    <t>https://drive.google.com/open?id=1Gu91ukbt-z-Y4jso-LFw5y-EXbO0jQgh</t>
  </si>
  <si>
    <t>https://www.facebook.com/duc.anh.188678</t>
  </si>
  <si>
    <t>Cáp Đức Anh</t>
  </si>
  <si>
    <t>https://drive.google.com/open?id=10Kn67b19Fcoqbsk6VUymxBDsiB6K_UE4; https://drive.google.com/open?id=1UXYwj1hqhPRf_nT-5QRPIqcpomBCdcgX</t>
  </si>
  <si>
    <t>https://www.facebook.com/ayu.yuikichan</t>
  </si>
  <si>
    <t>Nguyễn Dũng</t>
  </si>
  <si>
    <t>nguyendungsenpai109@gmail.com</t>
  </si>
  <si>
    <t>HH3C khu đô thị linh đàm , hoàng mai , hà nội</t>
  </si>
  <si>
    <t>04/02/2025 và 07/02/2025 và 10/02/2025</t>
  </si>
  <si>
    <t>https://drive.google.com/open?id=1yI6x9_oLYseVH02odtAmw3dFDuKnr2-z, https://drive.google.com/open?id=1FHHSFLGlemPgT4Fy16z9jW9S5fexEI3g; https://drive.google.com/open?id=1b3Z0-j60rOlL7cLcW0BgvGOIoaP6XC_O</t>
  </si>
  <si>
    <t>https://www.facebook.com/thien.lac.50364</t>
  </si>
  <si>
    <t>Lương Thị Khánh Huyền</t>
  </si>
  <si>
    <t>luongthikhanhhuyen2005@gmail.com</t>
  </si>
  <si>
    <t>05/02/2025 và 26/02/2025</t>
  </si>
  <si>
    <t>https://drive.google.com/open?id=1nJQO4OyPpyZcShUkphWcKZNAo64nAe-a; https://drive.google.com/open?id=19FDWV-EMFgtfSAxnzdTcp8VoOOCiOiOH</t>
  </si>
  <si>
    <t>https://www.facebook.com/thanh.hoa.340968</t>
  </si>
  <si>
    <t>Phạm Thị Thanh Hoa</t>
  </si>
  <si>
    <t xml:space="preserve"> phamthanhhoa2006nbgamil.com</t>
  </si>
  <si>
    <t>07/02/2025 và 12/02/2025</t>
  </si>
  <si>
    <t>https://drive.google.com/open?id=10P-ZiM5rhNy2ban5-gVSI4ht7p1xI1MW; https://drive.google.com/open?id=1RuMzdCg4jQLS0mYpfM5Ghse0PdT5s9BX</t>
  </si>
  <si>
    <t>https://www.facebook.com/share/18Z8rzCM8Z/?mibextid=wwXIfr</t>
  </si>
  <si>
    <t>Đỗ Thanh Hải</t>
  </si>
  <si>
    <t>180/90/14/20 Nam Dư Phường Lĩnh Nam Hoàng Mai, Hà Nội</t>
  </si>
  <si>
    <t>https://drive.google.com/open?id=1Q40oYec5KNUVZjDFujebie0XxMlZUBQ1; https://drive.google.com/open?id=11WXzDhCAL8cH1rJHrP_yG72Esp0eJNE4</t>
  </si>
  <si>
    <t>https://www.facebook.com/share/1CFVoc6ioV/?mibextid=wwXIfr</t>
  </si>
  <si>
    <t xml:space="preserve">Dương Danh Nghĩa </t>
  </si>
  <si>
    <t xml:space="preserve">Số 30 Ngõ 250 Khương Trung thanh xuân HN </t>
  </si>
  <si>
    <t>07/02/2025 và 09/02/2025</t>
  </si>
  <si>
    <t>https://drive.google.com/open?id=1b4jlrlstLQ021qIqEpzwyYGkguZsbQJF; https://drive.google.com/open?id=1gEmyZQ8WcEktKGqCUqpvCu0oUXci9wf8</t>
  </si>
  <si>
    <t>https://www.facebook.com/hapss.hai</t>
  </si>
  <si>
    <t xml:space="preserve">Vũ Hồng Hải </t>
  </si>
  <si>
    <t>vuhonghai0612@gmail.com</t>
  </si>
  <si>
    <t>Thôn Đa Nghi, xã Nghĩa An, huyện Ninh Giang, Hải Dương</t>
  </si>
  <si>
    <t>https://drive.google.com/open?id=102EPu7yivdcXgOtOy96wlSL4s3JkuVqd</t>
  </si>
  <si>
    <t>https://www.facebook.com/bui.thuy.hien.601713/</t>
  </si>
  <si>
    <t xml:space="preserve">Bùi Thuý Hiền </t>
  </si>
  <si>
    <t xml:space="preserve"> bthuyhien64@gmail.com</t>
  </si>
  <si>
    <t>Số nhà 75 ngõ 205 Xuân Đỉnh, BTL, Hà Nội</t>
  </si>
  <si>
    <t>09/02/2025 và 12/02/2025</t>
  </si>
  <si>
    <t>https://drive.google.com/open?id=1jAUPwwb3mikRMFq_tKa1i1XTTBasSbKG; https://drive.google.com/open?id=1iTwYlQSvmH99MPb1O296pkU6YOfV78CA</t>
  </si>
  <si>
    <t>OPT62</t>
  </si>
  <si>
    <t>https://www.facebook.com/profile.php?id=100030475806220</t>
  </si>
  <si>
    <t>Vũ Hoài Thương</t>
  </si>
  <si>
    <t xml:space="preserve"> vut01012006@gmail.com</t>
  </si>
  <si>
    <t>09/02/2025 và 15/02/2025</t>
  </si>
  <si>
    <t>https://drive.google.com/open?id=1YovDM6qqFnhFQjPogSbt9YKIZr8LWkFI; https://drive.google.com/open?id=1sExxMhyW6vH1y5sC9ghJx4lFKp9z5VLR</t>
  </si>
  <si>
    <t>https://www.facebook.com/nhu.vu.105097?mibextid=wwXIfr&amp;mibextid=wwXIfr</t>
  </si>
  <si>
    <t>Vũ Gia Như</t>
  </si>
  <si>
    <t xml:space="preserve">Ngõ 55 Nguỵ Như Kon Tum phường Nhân Chính Thanh Xuân Hà Nội </t>
  </si>
  <si>
    <t>https://drive.google.com/open?id=11Loi9XSdmL5R1u8Fs2qzCGGsQu2hBSwI</t>
  </si>
  <si>
    <t>https://www.facebook.com/profile.php?id=100032289544378</t>
  </si>
  <si>
    <t xml:space="preserve">Bùi Thị Thanh Huyền </t>
  </si>
  <si>
    <t>thhuyenubqn@gmail.com</t>
  </si>
  <si>
    <t xml:space="preserve">Số nhà 37 ngõ Hoà Bình 2 Phường Minh Khai </t>
  </si>
  <si>
    <t>https://drive.google.com/open?id=1MW7bt_NFC8U896lO-4ZfSFYMbOP6h5hi</t>
  </si>
  <si>
    <t>https://www.facebook.com/share/1EMEWJhW7U/?mibextid=wwXIfr</t>
  </si>
  <si>
    <r>
      <rPr>
        <sz val="12"/>
        <color theme="1"/>
        <rFont val="Times New Roman"/>
        <family val="1"/>
      </rPr>
      <t>Hà Văn Tuấn</t>
    </r>
    <r>
      <rPr>
        <sz val="12"/>
        <color rgb="FFFF0000"/>
        <rFont val="Times New Roman"/>
        <family val="1"/>
      </rPr>
      <t xml:space="preserve"> - PT166</t>
    </r>
  </si>
  <si>
    <t>Khu 7 Thị trấn trạm trội hoài đức hà nội</t>
  </si>
  <si>
    <t>https://drive.google.com/open?id=1b9qvHgFhUyF33wHv6LvCRds8c3VLDiFm</t>
  </si>
  <si>
    <t>Sale lên VP lấy</t>
  </si>
  <si>
    <t>https://www.facebook.com/share/1LRnndP9o6/?mibextid=wwXIfr</t>
  </si>
  <si>
    <t xml:space="preserve">Đoàn Văn Huy </t>
  </si>
  <si>
    <t>Nhờ sale gửi</t>
  </si>
  <si>
    <t>https://drive.google.com/open?id=1a7S8zRvBg23ls3TbP7s57S4CAwzRsXkj</t>
  </si>
  <si>
    <t>Sale lên VP lấy. Tăng combo, hạ combo</t>
  </si>
  <si>
    <r>
      <rPr>
        <sz val="12"/>
        <color theme="1"/>
        <rFont val="Times New Roman"/>
        <family val="1"/>
      </rPr>
      <t>Đào Minh Hiếu</t>
    </r>
    <r>
      <rPr>
        <sz val="12"/>
        <color rgb="FFFF0000"/>
        <rFont val="Times New Roman"/>
        <family val="1"/>
      </rPr>
      <t xml:space="preserve"> </t>
    </r>
  </si>
  <si>
    <t>https://drive.google.com/open?id=1HHrWgpJHEYb-wUpRoZSh-f1Rhyy8kZeu</t>
  </si>
  <si>
    <t>Thừa 264K khóa PT+T</t>
  </si>
  <si>
    <t>https://www.facebook.com/people/Anh-Nguyen/pfbid0DctaHK2aiBDpsd2Tzf89ruNaeRYrykzhktVJYJdZJPWcqkg1s7uutj7yo8yN6R6sl/</t>
  </si>
  <si>
    <t>1a Nguyễn hữu nghĩa, p7, tp bạc liêu</t>
  </si>
  <si>
    <t>https://drive.google.com/open?id=1Qw2B2aRwLAP2AF9w4shkQAhPS-6pnPH6</t>
  </si>
  <si>
    <t>10/02/2025 và 23/02/2025</t>
  </si>
  <si>
    <t>https://drive.google.com/open?id=16wfcgFb81m_1bRHq075pnQD-mLM42YO4; https://drive.google.com/open?id=1icPF_PNPOE7KGClsdShWLaY1YWeF6TZI</t>
  </si>
  <si>
    <t>https://drive.google.com/open?id=14JsIreta5Dcb1E6FTGX-fFBEW9fCqYRV</t>
  </si>
  <si>
    <t>https://www.facebook.com/share/18dB8Fmv4U/</t>
  </si>
  <si>
    <t>Trịnh Việt Phúc</t>
  </si>
  <si>
    <t>Trinhvietphuc03112005@gmail.com</t>
  </si>
  <si>
    <t>Phường bách khoa, Kí túc xá b9 đại học bách khoa hà nội.</t>
  </si>
  <si>
    <t>https://drive.google.com/open?id=1FgOpaKdR71m6txoDdEBqWOGklrxhCI4z</t>
  </si>
  <si>
    <t>PT181</t>
  </si>
  <si>
    <t>https://www.facebook.com/share/19nrf9r3xr/?mibextid=wwXIfr</t>
  </si>
  <si>
    <r>
      <rPr>
        <sz val="12"/>
        <color theme="1"/>
        <rFont val="Times New Roman"/>
        <family val="1"/>
      </rPr>
      <t>Tằng Ngọc Anh</t>
    </r>
    <r>
      <rPr>
        <sz val="12"/>
        <color rgb="FFFF0000"/>
        <rFont val="Times New Roman"/>
        <family val="1"/>
      </rPr>
      <t xml:space="preserve"> - đã nộp 300K 04/03/25
OPT61 bảo lưu buổi 3. Học PT181 b1</t>
    </r>
  </si>
  <si>
    <t>11/02/2025 và 24/02/2025</t>
  </si>
  <si>
    <t>https://drive.google.com/open?id=1Y4Oijpf1_99uxw9MoG2GdlGb1cYJN-q0; https://drive.google.com/open?id=1uBMsPb6sIMvSo0cJCD8lEvvcgfiHvmpC</t>
  </si>
  <si>
    <t>https://www.facebook.com/hien.con.336?mibextid=wwXIfr&amp;mibextid=wwXIfr</t>
  </si>
  <si>
    <t>06/02/2025 và 23/02/2025</t>
  </si>
  <si>
    <t>https://drive.google.com/open?id=1Bx3zxfNPcK9Vmdxtw4uu6xeFq45okHoe; https://drive.google.com/open?id=1U4j4VKXQMBd4x7AUg1Za4CSKX9tNLT9w</t>
  </si>
  <si>
    <t>https://www.facebook.com/share/15K22end8i/?mibextid=wwXIfr</t>
  </si>
  <si>
    <t xml:space="preserve"> tranquangkien760@gmail.com </t>
  </si>
  <si>
    <r>
      <rPr>
        <u/>
        <sz val="12"/>
        <color rgb="FF1155CC"/>
        <rFont val="Times New Roman"/>
        <family val="1"/>
      </rPr>
      <t>https://drive.google.com/open?id=1jXr4y0aPmP0wuM-FfzvL7_NljbnraR3W</t>
    </r>
    <r>
      <rPr>
        <sz val="12"/>
        <rFont val="Times New Roman"/>
        <family val="1"/>
      </rPr>
      <t>, https://drive.google.com/open?id=1dZHYPvqLv2ELcNvw9lgEmb0d_Utvxd5h</t>
    </r>
  </si>
  <si>
    <t>tổ 6 thôn Ngọc Sơn Tây ,xã Bình Phục , huyện Thăng Bình ,tỉnh Quảng Nam</t>
  </si>
  <si>
    <t>https://www.facebook.com/duong.hoangthuy.50999</t>
  </si>
  <si>
    <t xml:space="preserve">Hoàng Thị Dương  </t>
  </si>
  <si>
    <t>hoangtduong221226@gmail.com</t>
  </si>
  <si>
    <t>11/02/2025 và 18/02/2025</t>
  </si>
  <si>
    <t>https://drive.google.com/open?id=12Q5M-lxK5hob6ApwSUe5nc-WhBvkmCN0; https://drive.google.com/open?id=1xEdlxsCViXz_96RBHyxVS-dOjU4cjUK1</t>
  </si>
  <si>
    <t>https://www.facebook.com/people/Ph%C6%B0%C6%A1ng-Linh/pfbid02QP8kMmqHgCF94GToevvzDafPHASTmPno6gSZA9VpAKPacVKR1FK9C17F1vxRs8wNl/</t>
  </si>
  <si>
    <t>Lưu Thị Phương Linh</t>
  </si>
  <si>
    <t>lp0897457@gmail.com</t>
  </si>
  <si>
    <t>https://drive.google.com/open?id=1LXMg4J7Z4EssfjjBCU-XdDI_q5BOh6Da; https://drive.google.com/open?id=17spYjF7M6vPbpAzeqtC7XO_PtjjeetD_</t>
  </si>
  <si>
    <t>https://www.facebook.com/cinngnn</t>
  </si>
  <si>
    <t xml:space="preserve"> Lê Kim Ngân </t>
  </si>
  <si>
    <t>lekimngantuylai@gmail.com</t>
  </si>
  <si>
    <t>11/02/2025 và 13/02/2025</t>
  </si>
  <si>
    <r>
      <rPr>
        <u/>
        <sz val="12"/>
        <color rgb="FF1155CC"/>
        <rFont val="Times New Roman"/>
        <family val="1"/>
      </rPr>
      <t xml:space="preserve">https://drive.google.com/open?id=12zXqHwBmsjlqdLOk9KkTyNaYFMcwf1xr; </t>
    </r>
    <r>
      <rPr>
        <u/>
        <sz val="12"/>
        <color rgb="FF1155CC"/>
        <rFont val="Times New Roman"/>
        <family val="1"/>
      </rPr>
      <t>https://drive.google.com/open?id=1QYJDYeoYuO0HsWh1KyyOHCPyXhyUmiwK</t>
    </r>
  </si>
  <si>
    <t>https://www.facebook.com/jocasta.0509</t>
  </si>
  <si>
    <t>Nguyễn Ngọc Thuỳ Linh</t>
  </si>
  <si>
    <t>linhnabi2003@gmail.com</t>
  </si>
  <si>
    <t>11/02/2025 và 12/02/2025</t>
  </si>
  <si>
    <t>https://drive.google.com/open?id=1btSuvWTbIGFKk_wWu6I3jYaLD4sQarq-; https://drive.google.com/open?id=1M-g1eI_Dye9ga0NFHT3_MznUZeLU8rKk</t>
  </si>
  <si>
    <t>https://www.facebook.com/tanmie01</t>
  </si>
  <si>
    <t xml:space="preserve">Lê Minh Tân </t>
  </si>
  <si>
    <t>kimmintan123@gmail.com</t>
  </si>
  <si>
    <r>
      <rPr>
        <u/>
        <sz val="12"/>
        <color rgb="FF1155CC"/>
        <rFont val="Times New Roman"/>
        <family val="1"/>
      </rPr>
      <t xml:space="preserve">https://drive.google.com/open?id=1HU9Lj-32c6JYbRhqaAtZoE6J_RjgfzhM; </t>
    </r>
    <r>
      <rPr>
        <u/>
        <sz val="12"/>
        <color rgb="FF1155CC"/>
        <rFont val="Times New Roman"/>
        <family val="1"/>
      </rPr>
      <t>https://drive.google.com/open?id=1xD1bDQIIPKjaQcoLGwiot1YiJ6P8S4Wa</t>
    </r>
  </si>
  <si>
    <t>https://www.facebook.com/lanhhan.yennhi.3</t>
  </si>
  <si>
    <t xml:space="preserve">Đỗ Thị Mai Duyên </t>
  </si>
  <si>
    <t xml:space="preserve"> dothimaiduyen0520@gmail.com</t>
  </si>
  <si>
    <t xml:space="preserve"> 29/134 đường cầu diễn email:  dothimaiduyen0520@gmail.com</t>
  </si>
  <si>
    <t>https://drive.google.com/open?id=1jp7ZYjtUaD4M708lJasnzyVd-PHYYcxE</t>
  </si>
  <si>
    <t>https://www.facebook.com/people/Nguyen-Phuong-Anh/pfbid024Qk4PJzvJT2dB4mDcfn6qZScaBV5MNMtP51A52KdyLvr94g5eWPPEzvWX1u64PPEl/</t>
  </si>
  <si>
    <r>
      <rPr>
        <sz val="12"/>
        <color theme="1"/>
        <rFont val="Times New Roman"/>
        <family val="1"/>
      </rPr>
      <t xml:space="preserve">Nguyễn Thị Phương Anh </t>
    </r>
    <r>
      <rPr>
        <sz val="12"/>
        <color rgb="FFFF0000"/>
        <rFont val="Times New Roman"/>
        <family val="1"/>
      </rPr>
      <t>- OPT61</t>
    </r>
  </si>
  <si>
    <t>https://drive.google.com/open?id=1Op6b5Rv0nRXg1PWo18NNZX2s-4pwySuw</t>
  </si>
  <si>
    <t>https://www.facebook.com/profile.php?id=100055557085657</t>
  </si>
  <si>
    <t xml:space="preserve">Phạm Tiến Đạt </t>
  </si>
  <si>
    <t>https://drive.google.com/open?id=1FpmrbTFIlW5Lv60Gqgt7Ql3dF5lpo0xG; https://drive.google.com/open?id=1GPoPFha8MzD7IeR_x9Yw2gSsGFaUVnLI</t>
  </si>
  <si>
    <t>PT169</t>
  </si>
  <si>
    <t>https://www.facebook.com/tran.quyen.382956</t>
  </si>
  <si>
    <t xml:space="preserve">Trần Thuỵ Quyên  </t>
  </si>
  <si>
    <t xml:space="preserve">qt430019@gmail.com </t>
  </si>
  <si>
    <t>Số23 ngõ 89 Phạm Văn Đồng , Mai Dịch , Cầu Giấy, Hà Nội</t>
  </si>
  <si>
    <t>11/02/2025 và 15/02/2025</t>
  </si>
  <si>
    <r>
      <rPr>
        <u/>
        <sz val="12"/>
        <color rgb="FF1155CC"/>
        <rFont val="Times New Roman"/>
        <family val="1"/>
      </rPr>
      <t>https://drive.google.com/open?id=1NzhGM9fM950q1wjUK3U52F8aqJG6HJbb</t>
    </r>
    <r>
      <rPr>
        <u/>
        <sz val="12"/>
        <color rgb="FF1155CC"/>
        <rFont val="Times New Roman"/>
        <family val="1"/>
      </rPr>
      <t>; https://drive.google.com/open?id=1wrV7hg9OvodF18oUN4jJwF7A0HBRUtCe</t>
    </r>
  </si>
  <si>
    <r>
      <rPr>
        <sz val="12"/>
        <color theme="1"/>
        <rFont val="Times New Roman"/>
        <family val="1"/>
      </rPr>
      <t>Nguyễn Thị Thu Hiền</t>
    </r>
    <r>
      <rPr>
        <sz val="12"/>
        <color rgb="FFFF0000"/>
        <rFont val="Times New Roman"/>
        <family val="1"/>
      </rPr>
      <t xml:space="preserve"> - đã nộp 300K 18/03/25
OVIP21 bảo lưu b3. Học VIP141 b4</t>
    </r>
  </si>
  <si>
    <t>https://drive.google.com/open?id=12XdqfZllEeRfh59h90oWczJFBx-5Ffg9</t>
  </si>
  <si>
    <t>https://www.facebook.com/profile.php?id=100088155785166</t>
  </si>
  <si>
    <r>
      <rPr>
        <sz val="12"/>
        <color theme="1"/>
        <rFont val="Times New Roman"/>
        <family val="1"/>
      </rPr>
      <t>Cao Thị Bích Ngọc</t>
    </r>
    <r>
      <rPr>
        <sz val="12"/>
        <color rgb="FFFF0000"/>
        <rFont val="Times New Roman"/>
        <family val="1"/>
      </rPr>
      <t xml:space="preserve"> - 789391586 số cũ</t>
    </r>
  </si>
  <si>
    <t xml:space="preserve"> caobichngoc015@gmail.com</t>
  </si>
  <si>
    <t xml:space="preserve">(Giao trước ngày 16 -vì 17 đi xa ) 39lk3 Chung cư Hoàng Huy An Đồng, An Dương, Hải Phòng </t>
  </si>
  <si>
    <t>https://drive.google.com/open?id=1acONL-TGBV8YoPlCw8PxiIiVAvD3pvap</t>
  </si>
  <si>
    <t>https://www.facebook.com/profile.php?id=100049935947489</t>
  </si>
  <si>
    <t xml:space="preserve">Vũ Nguyễn Lâm Hồng </t>
  </si>
  <si>
    <t xml:space="preserve"> phonghong13141603@gmail.com</t>
  </si>
  <si>
    <t>10/02/2025 và 16/02/2025</t>
  </si>
  <si>
    <t>https://drive.google.com/open?id=1f2OU0bh966rf-i0b62H9RLjAWghhLppu; https://drive.google.com/open?id=1k4xLVq4k8uPlBHvZfmYflcPa7k3Riipp</t>
  </si>
  <si>
    <t>https://www.facebook.com/share/155mTAgRTH/</t>
  </si>
  <si>
    <t>Hứa Mạnh Huy</t>
  </si>
  <si>
    <t>Phú</t>
  </si>
  <si>
    <t>huamanhhuyvd02@gmail.com</t>
  </si>
  <si>
    <t>Lên văn phòng lấy</t>
  </si>
  <si>
    <t>https://drive.google.com/open?id=14cCW5z7-IuvyBeqhbzhXyH7oNwfYHDPs</t>
  </si>
  <si>
    <t>Đạt lấy ở VP</t>
  </si>
  <si>
    <t>https://www.facebook.com/thuy.hathithu.167</t>
  </si>
  <si>
    <t xml:space="preserve">Hà Thị Thu Thuỳ </t>
  </si>
  <si>
    <t xml:space="preserve"> hathithuthuy1605@gmail.com</t>
  </si>
  <si>
    <t>https://drive.google.com/open?id=13--sWcMnJauN-yIyYsrLsM8exvhnA7gN</t>
  </si>
  <si>
    <t>https://www.facebook.com/profile.php?id=100009504810141</t>
  </si>
  <si>
    <t>Nguyễn Thị Kim Tuyền</t>
  </si>
  <si>
    <t>ktuyen508@gmail.com</t>
  </si>
  <si>
    <t xml:space="preserve"> 850A/43, khóm Bình Đức 2, phường Bình Đức, tp.Long Xuyên, An Giang</t>
  </si>
  <si>
    <t>13/02/2025 và 18/02/2025</t>
  </si>
  <si>
    <t>https://drive.google.com/open?id=1KDdmKCPVns2bTxtdu89p4T7AN-dnyd7h; https://drive.google.com/open?id=1nwllLyA5pV1VVuAkypzbw-huIMfJ6y3T</t>
  </si>
  <si>
    <t>Combo Toeic Lv1 + Toeic (S+W)</t>
  </si>
  <si>
    <t>https://www.facebook.com/thao.phuong.125721</t>
  </si>
  <si>
    <r>
      <rPr>
        <sz val="12"/>
        <color theme="1"/>
        <rFont val="Times New Roman"/>
        <family val="1"/>
      </rPr>
      <t xml:space="preserve">Nguyễn Phương Thảo </t>
    </r>
    <r>
      <rPr>
        <sz val="12"/>
        <color rgb="FFFF0000"/>
        <rFont val="Times New Roman"/>
        <family val="1"/>
      </rPr>
      <t>- hợp đồng</t>
    </r>
  </si>
  <si>
    <t>20 ngách 1 ngõ 105 đường Xuân La, Xuân Tảo, Bắc Từ Liêm, HN</t>
  </si>
  <si>
    <r>
      <rPr>
        <u/>
        <sz val="12"/>
        <color rgb="FF1155CC"/>
        <rFont val="Times New Roman"/>
        <family val="1"/>
      </rPr>
      <t>https://drive.google.com/open?id=1t4SDQXPebl1KIDWp979EKbCfyyUHyCzM</t>
    </r>
    <r>
      <rPr>
        <sz val="12"/>
        <rFont val="Times New Roman"/>
        <family val="1"/>
      </rPr>
      <t>, https://drive.google.com/open?id=1MNdWypTJGw80j2LpLCuKb7HIxM3B8PD3</t>
    </r>
  </si>
  <si>
    <t>https://www.facebook.com/profile.php?id=100022504520626</t>
  </si>
  <si>
    <t xml:space="preserve">Phạm Thị Thanh Hiền </t>
  </si>
  <si>
    <t>hathuongan0@gmail.com</t>
  </si>
  <si>
    <t xml:space="preserve"> 167 chùa láng </t>
  </si>
  <si>
    <t>https://drive.google.com/open?id=1jizUbVHUzaUCjrAzZgk7-WPxAO2FnjlB</t>
  </si>
  <si>
    <t>https://www.facebook.com/share/1FGF4TsqdE/?mibextid=wwXIfr</t>
  </si>
  <si>
    <t>Trần Thùy Linh</t>
  </si>
  <si>
    <t>ttlinh1210@gmail.com</t>
  </si>
  <si>
    <t>Lô C7,C8 Chung cư Mandarin Garden, Cầu Giấy, Hà Nội</t>
  </si>
  <si>
    <t>https://drive.google.com/open?id=1H6GNEV7fRBdGLTerPC5H4QfHkApUG29D</t>
  </si>
  <si>
    <t>https://www.facebook.com/share/15fYWunyRJ/?mibextid=wwXIfr</t>
  </si>
  <si>
    <t>Số nhà 16 - ngách 97/1 - Lai xá - kim chung - hoài đức</t>
  </si>
  <si>
    <t>https://drive.google.com/open?id=1wAD7U8d4hPGWEkpOGp7bn2Ul_4JXkgcc</t>
  </si>
  <si>
    <t>https://www.facebook.com/share/15gQa4HQYZ/</t>
  </si>
  <si>
    <t xml:space="preserve"> Linhkhanh122707@gmail.com Link </t>
  </si>
  <si>
    <t>https://drive.google.com/open?id=1r8oXJ9_RraUQ4yWSLuk5OzFMZIlDK0wj</t>
  </si>
  <si>
    <t>https://www.facebook.com/nguyen.hong.quan.955372</t>
  </si>
  <si>
    <t xml:space="preserve">Nguyễn Hồng Quân  </t>
  </si>
  <si>
    <t xml:space="preserve"> quan934810@gmail.com</t>
  </si>
  <si>
    <t>14/02/2025 và 24/02/2025</t>
  </si>
  <si>
    <t>https://drive.google.com/open?id=1RT2kbtHlJMTAgcoTD3iNg48RgS_P_vL8; https://drive.google.com/open?id=1vYsDoOGZRACE-GHoxfeslkucII1TEaCF</t>
  </si>
  <si>
    <t>https://www.facebook.com/share/19xLMCw85B/?mibextid=wwXIfr</t>
  </si>
  <si>
    <t>Phạm Thị Kim Thảo</t>
  </si>
  <si>
    <t>kimthao682004@gmail.com</t>
  </si>
  <si>
    <t>https://drive.google.com/open?id=1-B1mlUpIusSSb83ZkeUOXbz4yx_VSFeZ</t>
  </si>
  <si>
    <t>https://www.facebook.com/profile.php?id=100068076919331</t>
  </si>
  <si>
    <t xml:space="preserve">Đỗ Vân Trang </t>
  </si>
  <si>
    <t xml:space="preserve"> vantranghongquang@gmail.com</t>
  </si>
  <si>
    <t>14/02/2025 và 18/02/2025</t>
  </si>
  <si>
    <t>https://drive.google.com/open?id=1vG90779xapbBUplFvQiHfgvV6BEdEvyP; https://drive.google.com/open?id=1HapIyNyz7tHbLxJa_LIKmc-00quoeiYN</t>
  </si>
  <si>
    <t>https://www.facebook.com/trantienluttt?mibextid=wwXIfr&amp;rdid=Diw6PNIo3ok65RoE&amp;share_url=https%3A%2F%2Fwww.facebook.com%2Fshare%2F1HYfsjT7h3%2F%3Fmibextid%3DwwXIfr#</t>
  </si>
  <si>
    <r>
      <rPr>
        <sz val="12"/>
        <color theme="1"/>
        <rFont val="Times New Roman"/>
        <family val="1"/>
      </rPr>
      <t xml:space="preserve">Trần Tiến Luật - </t>
    </r>
    <r>
      <rPr>
        <sz val="12"/>
        <color rgb="FFFF0000"/>
        <rFont val="Times New Roman"/>
        <family val="1"/>
      </rPr>
      <t>Hợp đồng</t>
    </r>
  </si>
  <si>
    <t>216 Hoàng Hoa Thám</t>
  </si>
  <si>
    <t>https://drive.google.com/open?id=1QutwPQapCM6yeza5iUcMuaoq4_vnVusy</t>
  </si>
  <si>
    <t>https://www.facebook.com/kh.linh160</t>
  </si>
  <si>
    <r>
      <rPr>
        <sz val="12"/>
        <color theme="1"/>
        <rFont val="Times New Roman"/>
        <family val="1"/>
      </rPr>
      <t>Đào Khánh Linh</t>
    </r>
    <r>
      <rPr>
        <sz val="12"/>
        <color rgb="FFFF0000"/>
        <rFont val="Times New Roman"/>
        <family val="1"/>
      </rPr>
      <t xml:space="preserve"> - PT169</t>
    </r>
  </si>
  <si>
    <t xml:space="preserve"> khanhlinhdao770@gmail.com Em gửi ạ</t>
  </si>
  <si>
    <t>Ngõ 18 nhà 25 thanh lãm hà đông</t>
  </si>
  <si>
    <t>https://drive.google.com/open?id=1WhqK25-ljFomN1njeLTYoAH3OEwKCxhC</t>
  </si>
  <si>
    <t>https://www.facebook.com/oanh.phuong.465947</t>
  </si>
  <si>
    <t xml:space="preserve">Nguyễn Thị Phương Oanh  </t>
  </si>
  <si>
    <t xml:space="preserve"> oanhphuong22102006@gmail.com</t>
  </si>
  <si>
    <t>16/02/2025 và 24/02/2025</t>
  </si>
  <si>
    <t>https://drive.google.com/open?id=1NlIZ9txEdNLsPip8uZpEbjiB4fZO1jxD; https://drive.google.com/open?id=1f7S5JTdLyOoZIaOGZ4iascZbmJZXJKe3</t>
  </si>
  <si>
    <t>https://www.facebook.com/tvt2005</t>
  </si>
  <si>
    <t xml:space="preserve">Trần Văn Thắng </t>
  </si>
  <si>
    <t>tvtdraboy2005@gmail.com</t>
  </si>
  <si>
    <t>16/02/2025 và 18/02/2025</t>
  </si>
  <si>
    <t>https://drive.google.com/open?id=1XfGhrulnN5gp0SGWWymWGt28AqKMdaj9; https://drive.google.com/open?id=1nRphJMjbhHmFNFT6f4lo2I-fCzFMDrhd</t>
  </si>
  <si>
    <t>https://www.facebook.com/anvan5959</t>
  </si>
  <si>
    <t xml:space="preserve">Nguyễn Văn An </t>
  </si>
  <si>
    <t>https://drive.google.com/open?id=1A7dnRbywVRxmhwcL0z1_6ss9QW_R7aYi; https://drive.google.com/open?id=1CZXKPu3J0Oc8dWps157_p4LoZDjE_EWP</t>
  </si>
  <si>
    <t>https://www.facebook.com/xuni.pham</t>
  </si>
  <si>
    <t>Phạm Thu Uyên</t>
  </si>
  <si>
    <t>phamuyenuyen051204@gmail.com</t>
  </si>
  <si>
    <t>https://drive.google.com/open?id=1UfP2jWV3f_RWpbPMONrMTDft6CZXDIhD</t>
  </si>
  <si>
    <t>https://www.facebook.com/tran.bao.40783</t>
  </si>
  <si>
    <t xml:space="preserve">Trần Xuân Bảo </t>
  </si>
  <si>
    <t>tranxuanbao932005@gmail.com</t>
  </si>
  <si>
    <t>12 chùa bộc, quang trung, đống đa, hà nội</t>
  </si>
  <si>
    <t>https://drive.google.com/open?id=1JCnLwXZB5L7iUsQ3_HSADmvpCT3fASKP</t>
  </si>
  <si>
    <t>https://redirect.zalo.me/v3/verifyv2/pc?token=OsRmmznoKGbW2VR2t1vKPc0BzhFO0L1-UnJml0&amp;continue=https%3A%2F%2Fwww.facebook.com%2Fshare%2F1B6pmj2yyG%2F%3Fmibextid%3DwwXIfr</t>
  </si>
  <si>
    <t>Chu Tuấn Dũng</t>
  </si>
  <si>
    <t>11/11/2024 và 26/02/2025</t>
  </si>
  <si>
    <t>https://drive.google.com/open?id=1XfnWPxaQ948YJCLAZCQFBVDka4XHLTNU; https://drive.google.com/open?id=1xPSmXWNAATIAKitpVxLdAE8ni797jHbF; https://drive.google.com/open?id=1xPSmXWNAATIAKitpVxLdAE8ni797jHbF; https://drive.google.com/open?id=1odHGM4Go1ucteAKKvy87-ZmYBUqoOR-e</t>
  </si>
  <si>
    <t>https://www.facebook.com/emm.uyen.735</t>
  </si>
  <si>
    <t xml:space="preserve">Thái Linh Uyên </t>
  </si>
  <si>
    <t xml:space="preserve"> Thailinhuyen01062k5@gmail.com</t>
  </si>
  <si>
    <t>https://drive.google.com/open?id=1QCp5bkzwomL8q0AZryhC25WE6ofky1vd</t>
  </si>
  <si>
    <t>https://www.facebook.com/people/Nguy%E1%BB%85n-%C4%90%C4%83ng-Vui/pfbid02xS7VNhgtwZZwcB1HAhjiDGMPsHSskeu1cywxbUPxunZbkh5baX54Np6QTumwN9mZl/</t>
  </si>
  <si>
    <t xml:space="preserve">Nguyễn Đăng Vui </t>
  </si>
  <si>
    <t xml:space="preserve"> vuiblink@gmail.com</t>
  </si>
  <si>
    <t xml:space="preserve">TẠI LỚP </t>
  </si>
  <si>
    <t>https://drive.google.com/open?id=1TWjrDP_YmGzMITjg3ryQMPJVjmss1VeF</t>
  </si>
  <si>
    <t>https://www.facebook.com/ho.khai.946017#</t>
  </si>
  <si>
    <t>Hồ Đắc Khải</t>
  </si>
  <si>
    <t>Thôn Tân Sơn xã Tân An huyện Đăk Pơ tỉnh Gia Lai</t>
  </si>
  <si>
    <t>https://drive.google.com/open?id=1-Foyw7B7cEKQbOWAzkAGof4yTHFnpES1</t>
  </si>
  <si>
    <t>https://www.facebook.com/profile.php?id=100084559535601</t>
  </si>
  <si>
    <t xml:space="preserve"> maianhnguyenthi388@gmail.com</t>
  </si>
  <si>
    <t xml:space="preserve">119 ỷ la dương nội hà dông </t>
  </si>
  <si>
    <t>https://drive.google.com/open?id=1TSpil3W817npJiOqgMP1iBKfzBivsrHL</t>
  </si>
  <si>
    <t xml:space="preserve">Mat gốc </t>
  </si>
  <si>
    <t>https://www.facebook.com/nguyenmai8606</t>
  </si>
  <si>
    <t xml:space="preserve">Nguyễn Thu Mai </t>
  </si>
  <si>
    <t xml:space="preserve">  Nguyenmai8606@gmail.com</t>
  </si>
  <si>
    <r>
      <rPr>
        <u/>
        <sz val="12"/>
        <color rgb="FF1155CC"/>
        <rFont val="Times New Roman"/>
        <family val="1"/>
      </rPr>
      <t xml:space="preserve">https://drive.google.com/open?id=1TTprUocnqIODvtmci4rYwx8XzEIDw6DK; </t>
    </r>
    <r>
      <rPr>
        <u/>
        <sz val="12"/>
        <color rgb="FF1155CC"/>
        <rFont val="Times New Roman"/>
        <family val="1"/>
      </rPr>
      <t>https://drive.google.com/open?id=1o6r3QdZSd4eb56Ub5px9sT7ilf-vSiwv</t>
    </r>
  </si>
  <si>
    <t>https://www.facebook.com/people/%C4%90%E1%BB%97-H%E1%BB%93ng-S%C6%A1n/pfbid0buqJXX1bkcreujxA8Z4XH81p7GfNgT428UQzFz3YeCjC4yqfDA6KLoYXcoT8EziJl/</t>
  </si>
  <si>
    <t xml:space="preserve">Đỗ Hồng Sơn </t>
  </si>
  <si>
    <t>19/02/2025 và 20/02/2025</t>
  </si>
  <si>
    <t>https://drive.google.com/open?id=19zT1mShqreEroy1ht8XuiBZUw6PQCTrn; https://drive.google.com/open?id=1l0A4Ic0Ux0-U1m-uGNC2rhEDkiBSqDES</t>
  </si>
  <si>
    <t>https://web.facebook.com/aoquochuy.27756</t>
  </si>
  <si>
    <t>Đào Quốc Huy</t>
  </si>
  <si>
    <t>19/02/2025 và 21/02/2025</t>
  </si>
  <si>
    <t>https://drive.google.com/open?id=1h8_6VidusJVgOQrgMaW_GprUWhIe1jfF; https://drive.google.com/open?id=1Ob7cOC4CPPx410Tre-uZfGqSftHdW3j1</t>
  </si>
  <si>
    <r>
      <rPr>
        <sz val="12"/>
        <color theme="1"/>
        <rFont val="Times New Roman"/>
        <family val="1"/>
      </rPr>
      <t xml:space="preserve">Lê Bích Thảo </t>
    </r>
    <r>
      <rPr>
        <sz val="12"/>
        <color rgb="FFFF0000"/>
        <rFont val="Times New Roman"/>
        <family val="1"/>
      </rPr>
      <t>(up trước buổi 8)</t>
    </r>
  </si>
  <si>
    <t>Địa chỉ: số 7 đường Đặng Hữu Phổ, phường Thảo Điền, Quận2, TP. Thủ Đức - TP. HCM</t>
  </si>
  <si>
    <t>https://drive.google.com/open?id=1gmeZ0EXA87ArSPbQaVqmwCPJ-3mdaAAq</t>
  </si>
  <si>
    <t>https://www.facebook.com/tran.the.anh.197166</t>
  </si>
  <si>
    <t xml:space="preserve">Trần Thế Anh </t>
  </si>
  <si>
    <t xml:space="preserve"> theanh11012004@gmail.com</t>
  </si>
  <si>
    <t>https://drive.google.com/open?id=1HiXqqNP8eyk69JG3kifK5Gk-frY-qK1C</t>
  </si>
  <si>
    <t>https://www.facebook.com/profile.php?id=100041321554374</t>
  </si>
  <si>
    <t>nguyenhuong050825@gmail.com</t>
  </si>
  <si>
    <t xml:space="preserve">Tại lớp tmu </t>
  </si>
  <si>
    <t>https://drive.google.com/open?id=1Y0igkXTDbW8WxAbsBW3A5nYhMyIROFRt</t>
  </si>
  <si>
    <t>https://www.facebook.com/mainguyen.quynh.1029</t>
  </si>
  <si>
    <t xml:space="preserve">Nguyễn Thị Quỳnh Mai </t>
  </si>
  <si>
    <t>https://drive.google.com/open?id=1tKuf30MZmUe2gtXAIbY4dZz01Bpr1vTV</t>
  </si>
  <si>
    <t>https://web.facebook.com/thang.kieu.503092?mibextid=LQQJ4d&amp;rdid=YFkTggPBxB8wbzrW&amp;share_url=https%3A%2F%2Fweb.facebook.com%2Fshare%2F14xVmN2rhm%2F%3Fmibextid%3DLQQJ4d%26_rdc%3D1%26_rdr</t>
  </si>
  <si>
    <t>Kiều Việt Thắng</t>
  </si>
  <si>
    <t>kieukt38@gmail.com</t>
  </si>
  <si>
    <t>Tiến Xuân, Thạch Thất, Hà Nội</t>
  </si>
  <si>
    <t>https://drive.google.com/open?id=1e4iFycTqu6t3T4gYZygF6M4QTPV2L-8l</t>
  </si>
  <si>
    <t>https://www.facebook.com/people/Nguy%E1%BB%85n-Mai-Thy/pfbid02z67LbnfCLRgXcDyQwwR3z4j6BvAgkKKmirbXAh5tzqWNuRjbsudabg1ycVRz1VVbl/</t>
  </si>
  <si>
    <t>Nguyễn Mai Thy</t>
  </si>
  <si>
    <t>minohorat@gmail.com</t>
  </si>
  <si>
    <t>11 Nguyễn Công Trứ, P. Nguyễn Thái Bình, Q1, TPHCM</t>
  </si>
  <si>
    <t>https://drive.google.com/open?id=1usKAn4j6W84k-vcVfuqavnJT-kS2-4wT</t>
  </si>
  <si>
    <t>Hỏi Dương</t>
  </si>
  <si>
    <t>https://www.facebook.com/tan.hoang.650998</t>
  </si>
  <si>
    <r>
      <rPr>
        <sz val="12"/>
        <color theme="1"/>
        <rFont val="Times New Roman"/>
        <family val="1"/>
      </rPr>
      <t xml:space="preserve">Hoàng Xuân Tân </t>
    </r>
    <r>
      <rPr>
        <sz val="12"/>
        <color rgb="FFFF0000"/>
        <rFont val="Times New Roman"/>
        <family val="1"/>
      </rPr>
      <t>- số ZALO 902076721</t>
    </r>
  </si>
  <si>
    <t>Ngõ 87, làng Yên Xá, xã Tân Triều, huyện Thanh Trì, Hà Nội</t>
  </si>
  <si>
    <t>https://drive.google.com/open?id=1Gokd-B4hqSx9VPQdPvDDksFN4zrVsAvu</t>
  </si>
  <si>
    <t>Sn 12 ngõ 179 ngách 187 Phố Vĩnh Hưng, Phường Vĩnh Hưng, Hoàng Mai, Hà Nội</t>
  </si>
  <si>
    <t>https://drive.google.com/open?id=1AN_FJBQ4Bx9mTd1k06pL_pm0_drrRmo4</t>
  </si>
  <si>
    <t xml:space="preserve">Lê Thị Mai  	</t>
  </si>
  <si>
    <t xml:space="preserve"> mle186646@gmail.com	</t>
  </si>
  <si>
    <t>171 , phố Nam Dư , Lĩnh Nam , Hoàng Mai , Hà Nội</t>
  </si>
  <si>
    <t>https://drive.google.com/open?id=1TaQ3-yQa8iMj21hAYtfU5NPVCZdqSCcm</t>
  </si>
  <si>
    <t>PT170</t>
  </si>
  <si>
    <t>https://www.facebook.com/share/1PmXxEsnPT/</t>
  </si>
  <si>
    <t>Đặng Châu Anh</t>
  </si>
  <si>
    <t>Ký túc xá Đại học Thủy Lợi, 175 Tây Sơn ,Đống Đa, Hà Nội.</t>
  </si>
  <si>
    <t>24/02/2025 và 25/02/2025</t>
  </si>
  <si>
    <t>https://drive.google.com/open?id=1L4Hq9ry0c1Oc0bhRXkrwpRvJ-lLlv_Wk; https://drive.google.com/open?id=1U6C9pzmwJ3HaSdyA4jCS9sOSHCqtUyAm</t>
  </si>
  <si>
    <t xml:space="preserve">Trần Nguyễn Hương Giang </t>
  </si>
  <si>
    <t>https://drive.google.com/open?id=1qaiWD9gMcMwtf14lxjTkyBmPN9PNXwyj</t>
  </si>
  <si>
    <t>https://www.facebook.com/su.bing.182</t>
  </si>
  <si>
    <t xml:space="preserve">Nguyễn Thị Thu Chiên  </t>
  </si>
  <si>
    <t>chienchuyen05@gmail.com</t>
  </si>
  <si>
    <t>https://drive.google.com/open?id=1JGn2SH4p0_jA1BmSY7VBf_bEWVIDuTPL, https://drive.google.com/open?id=1EDHArPAMYVxWn8YhWu3PoKkOj6qK9NXC</t>
  </si>
  <si>
    <t>https://www.facebook.com/share/1A89hNnMB3/?mibextid=wwXIfr</t>
  </si>
  <si>
    <t xml:space="preserve">Vũ Thị Huyền </t>
  </si>
  <si>
    <t xml:space="preserve">vuthihuyen1803@gmail.com </t>
  </si>
  <si>
    <t>https://drive.google.com/open?id=1n6GSJ5cO1rmEXzvideuBbV8hti-IUtui, https://drive.google.com/open?id=1w3jDm1DVoTx1p_TffVoXISIh8r57uBhO</t>
  </si>
  <si>
    <t>https://www.facebook.com/TrucLinhPV</t>
  </si>
  <si>
    <t>Phạm Vũ Trúc Linh</t>
  </si>
  <si>
    <t>truclinh090305@gmail.com</t>
  </si>
  <si>
    <r>
      <rPr>
        <u/>
        <sz val="12"/>
        <color rgb="FF1155CC"/>
        <rFont val="Times New Roman"/>
        <family val="1"/>
      </rPr>
      <t xml:space="preserve">https://drive.google.com/open?id=1HUVoyZd0ysYd2axKcHqn0Y5XuOCfVRak; </t>
    </r>
    <r>
      <rPr>
        <u/>
        <sz val="12"/>
        <color rgb="FF1155CC"/>
        <rFont val="Times New Roman"/>
        <family val="1"/>
      </rPr>
      <t>https://drive.google.com/open?id=1zOONBjbywEGIlAkenG3vZIK1enLGy9Wq</t>
    </r>
  </si>
  <si>
    <t>https://www.facebook.com/minh.anh.buii.2024</t>
  </si>
  <si>
    <t>Bùi Thị Minh Anh</t>
  </si>
  <si>
    <t>buiminhanh080305@gmail.com</t>
  </si>
  <si>
    <t>25/02/2025 và 27/02/2025</t>
  </si>
  <si>
    <t>https://drive.google.com/open?id=1wIK4Asv86c0xHboDUr-tXsL63qEqw3Wb; https://drive.google.com/open?id=1q0aAwb_UTIdtMmcrz5oggOQ0hWvZxUYa</t>
  </si>
  <si>
    <t>https://www.facebook.com/share/18YaSTPXFi/?mibextid=wwXIfr</t>
  </si>
  <si>
    <t xml:space="preserve"> Lê Thị Khánh Xuân </t>
  </si>
  <si>
    <t xml:space="preserve"> khanhxuanle272005@gmail.com</t>
  </si>
  <si>
    <t>https://drive.google.com/open?id=1oqvRPjTXkAu0InGhgMQ_eAg2mrzspcfg</t>
  </si>
  <si>
    <t>PT171</t>
  </si>
  <si>
    <t>https://www.facebook.com/ngochuyen.hoang.9028194</t>
  </si>
  <si>
    <t xml:space="preserve">Hoàng Thị Ngọc Huyền  </t>
  </si>
  <si>
    <t>htnh0208@gmail.com</t>
  </si>
  <si>
    <t>230a ngõ 61 tổ 9 Mậu Lương, Kiến Hưng, Hà Đông, Hà Nội</t>
  </si>
  <si>
    <t>26/02/2025 và 27/02/2025</t>
  </si>
  <si>
    <t>https://drive.google.com/open?id=1v_T0pg-uqBMCOdPCtjGynE-R7OroPw2w; https://drive.google.com/open?id=1QMebeFrIPDQla-SQKI4pCTiB65FfMgva</t>
  </si>
  <si>
    <t>https://www.facebook.com/khanhvi.nguyen.4040</t>
  </si>
  <si>
    <r>
      <rPr>
        <sz val="12"/>
        <color theme="1"/>
        <rFont val="Times New Roman"/>
        <family val="1"/>
      </rPr>
      <t xml:space="preserve">Thu An </t>
    </r>
    <r>
      <rPr>
        <sz val="12"/>
        <color rgb="FFFF0000"/>
        <rFont val="Times New Roman"/>
        <family val="1"/>
      </rPr>
      <t>- VIP139 phá lớp từ buổi 16
Học VIP155 buổi 9</t>
    </r>
  </si>
  <si>
    <t>https://drive.google.com/open?id=1jrhqxX1gSe8aMQudFl0FK5oLxbZf5etR, https://drive.google.com/open?id=1i1ftI5sl5f4y835rexLJNQtLTBDP-fcU</t>
  </si>
  <si>
    <t>PT172</t>
  </si>
  <si>
    <t>https://www.facebook.com/baodi.khuathoang</t>
  </si>
  <si>
    <t xml:space="preserve">Đàm Thị Thắm </t>
  </si>
  <si>
    <t xml:space="preserve">  damthamm677@gmail .com</t>
  </si>
  <si>
    <t>291 lê đức thọ p17 gò vấp  tp hcm</t>
  </si>
  <si>
    <t>https://drive.google.com/open?id=1e7YoFxt6igrJquNuHQfhGB7LVQFFs3CP</t>
  </si>
  <si>
    <t xml:space="preserve">Bùi Thị Diễm 	</t>
  </si>
  <si>
    <t>https://drive.google.com/open?id=13o001MNWTwTwt_mWfNqgC3KoAqKWdDug</t>
  </si>
  <si>
    <t xml:space="preserve">mat goc </t>
  </si>
  <si>
    <t>https://www.facebook.com/huong.giang.622080</t>
  </si>
  <si>
    <t>Nguyễn Hương Giang</t>
  </si>
  <si>
    <t>số nhà 12, ngõ 66 đường Yên Bình, Yên Nghĩa, Hà Đông, Hà Nội</t>
  </si>
  <si>
    <t>https://drive.google.com/open?id=14fAahYalhQ7c3EX0KGwGbqpGLA7Hn6YG</t>
  </si>
  <si>
    <t>https://www.facebook.com/hass.nguyen.92#</t>
  </si>
  <si>
    <t xml:space="preserve">Nguyễn Minh Nguyệt </t>
  </si>
  <si>
    <t>NGUYỆT</t>
  </si>
  <si>
    <t>Số 17A Ngách 48 Ngõ 141 Nam Dư Hoàng Mai, Hà Nội</t>
  </si>
  <si>
    <t>https://drive.google.com/open?id=1j_Ay7nEzmHb1MtvR0IjzXBzO28WbIWpf</t>
  </si>
  <si>
    <r>
      <rPr>
        <sz val="12"/>
        <color theme="1"/>
        <rFont val="Times New Roman"/>
        <family val="1"/>
      </rPr>
      <t xml:space="preserve">Lương Yến Dung -  </t>
    </r>
    <r>
      <rPr>
        <sz val="12"/>
        <color rgb="FFFF0000"/>
        <rFont val="Times New Roman"/>
        <family val="1"/>
      </rPr>
      <t>Dun Lươn</t>
    </r>
  </si>
  <si>
    <t>https://drive.google.com/open?id=1pvGhTdKPJ4K7MqUH-x5jyDBIW8rcMuHb</t>
  </si>
  <si>
    <r>
      <rPr>
        <sz val="12"/>
        <color theme="1"/>
        <rFont val="Times New Roman"/>
        <family val="1"/>
      </rPr>
      <t xml:space="preserve">Vũ Việt Chinh </t>
    </r>
    <r>
      <rPr>
        <sz val="12"/>
        <color rgb="FFFF0000"/>
        <rFont val="Times New Roman"/>
        <family val="1"/>
      </rPr>
      <t>(up trước b6)</t>
    </r>
  </si>
  <si>
    <t>https://drive.google.com/open?id=1DbYNAwjL-uWsV3oAOjD1l2Qdsu8Yb0Om</t>
  </si>
  <si>
    <t>https://www.facebook.com/minh.anh.403382</t>
  </si>
  <si>
    <r>
      <rPr>
        <sz val="12"/>
        <color theme="1"/>
        <rFont val="Times New Roman"/>
        <family val="1"/>
      </rPr>
      <t>Nguyễn Thị Minh Anh</t>
    </r>
    <r>
      <rPr>
        <sz val="12"/>
        <color rgb="FFFF0000"/>
        <rFont val="Times New Roman"/>
        <family val="1"/>
      </rPr>
      <t xml:space="preserve"> - vào lớp sáng thiếu học viên, chấp nhận học từ buổi 7 trở đi và k yêu cầu kèm lại 6 buổi đã học, c Nhài đã đồng ý trừ học phí ạ
Đổi lớp miễn phí OT57 học b11</t>
    </r>
  </si>
  <si>
    <t>https://drive.google.com/open?id=1MxUYCwrly3TwlA_HgNmNzMwhQkWXj5OF</t>
  </si>
  <si>
    <t>- vào lớp sáng thiếu học viên, chấp nhận học từ buổi 7 trở đi và k yêu cầu kèm lại 6 buổi đã học, c Nhài đã đồng ý trừ học phí ạ</t>
  </si>
  <si>
    <t>Sách gửi cô Ngọc</t>
  </si>
  <si>
    <t>https://www.facebook.com/doan.manhlam79204</t>
  </si>
  <si>
    <t xml:space="preserve">Đoàn Mạnh Lâm </t>
  </si>
  <si>
    <t>lamdoandc2@gmail.com</t>
  </si>
  <si>
    <t>167 Trần Trọng Cung- Tân Thuận Đông - Quận 7 -TP.HCM</t>
  </si>
  <si>
    <t>https://drive.google.com/open?id=1iYibntCnsVHAhE4X0XE9isxUfpOxB3Jb</t>
  </si>
  <si>
    <t>https://www.facebook.com/profile.php?id=100022157630647</t>
  </si>
  <si>
    <r>
      <rPr>
        <sz val="12"/>
        <color theme="1"/>
        <rFont val="Times New Roman"/>
        <family val="1"/>
      </rPr>
      <t xml:space="preserve">Trần Thị Thanh Xuân </t>
    </r>
    <r>
      <rPr>
        <sz val="12"/>
        <color rgb="FFFF0000"/>
        <rFont val="Times New Roman"/>
        <family val="1"/>
      </rPr>
      <t>- Hợp đồng</t>
    </r>
  </si>
  <si>
    <t xml:space="preserve"> tranxuan2601206@gmail.com</t>
  </si>
  <si>
    <t xml:space="preserve">105 ngõ 168 kim giang , hoàng mai , hà nội </t>
  </si>
  <si>
    <t>https://drive.google.com/open?id=17v0zD7F9ha5A-aTSBvcBskXWvJMUI8Sx</t>
  </si>
  <si>
    <t xml:space="preserve">MAT GOC </t>
  </si>
  <si>
    <t>https://www.facebook.com/profile.php?id=100073403865487</t>
  </si>
  <si>
    <r>
      <rPr>
        <sz val="12"/>
        <color theme="1"/>
        <rFont val="Times New Roman"/>
        <family val="1"/>
      </rPr>
      <t>Lê Văn Xuân -</t>
    </r>
    <r>
      <rPr>
        <sz val="12"/>
        <color rgb="FFFF0000"/>
        <rFont val="Times New Roman"/>
        <family val="1"/>
      </rPr>
      <t xml:space="preserve"> Lê Xuân 867494451 sỗ cũ</t>
    </r>
  </si>
  <si>
    <t>xuanson14122000@gmail.com</t>
  </si>
  <si>
    <t xml:space="preserve"> 423 Minh Khai-Hai Bà Trưng-Hà Nội (chung cư Imperia sky garden) </t>
  </si>
  <si>
    <t>https://drive.google.com/open?id=1HfyfbHP3IWuiPDBCIOHdI6LNztOCyWqW</t>
  </si>
  <si>
    <t>https://www.facebook.com/profile.php?id=100024137994086</t>
  </si>
  <si>
    <t xml:space="preserve">Nguyễn Lê Tiến Duy  </t>
  </si>
  <si>
    <t xml:space="preserve"> tienduy0182@gmail.com</t>
  </si>
  <si>
    <t>17 ngách 143/62 ngõ chợ khâm thiên</t>
  </si>
  <si>
    <t>https://drive.google.com/open?id=1YiBH_FOcmnOVTHBtJCf1H5gcZLn6Tisw</t>
  </si>
  <si>
    <t>https://www.facebook.com/share/1AWqsC33kX/</t>
  </si>
  <si>
    <t>Phạm Quang Huy</t>
  </si>
  <si>
    <t>huyp9574@gmail.com</t>
  </si>
  <si>
    <t>32 ngõ 148 trần duy hưng-trung hoa-cầu giấy-hà nội</t>
  </si>
  <si>
    <t>https://drive.google.com/open?id=1YFC0hzOyu1cU-Xg6ykrRmJij41g_lTSo</t>
  </si>
  <si>
    <t>https://drive.google.com/open?id=15DYkA9EqndQPIBalvXV15wav2azziDCx</t>
  </si>
  <si>
    <t>https://www.facebook.com/tavanmanh0402</t>
  </si>
  <si>
    <t xml:space="preserve"> Tạ văn Mạnh </t>
  </si>
  <si>
    <t xml:space="preserve"> tavanmanh421999@gmail.com</t>
  </si>
  <si>
    <t>80 dịch vọng hậu</t>
  </si>
  <si>
    <t>https://drive.google.com/open?id=1kKyfRT2QanqnX2bMpqSYnfYbwzqyYf97</t>
  </si>
  <si>
    <t xml:space="preserve">Đỗ Thị Khánh Ly </t>
  </si>
  <si>
    <t xml:space="preserve">Khánh  Ly </t>
  </si>
  <si>
    <t>https://drive.google.com/open?id=1-NIfb4Fj6QzdZQ0kaZ6WkWYET4n1Z5OM</t>
  </si>
  <si>
    <t xml:space="preserve">Nguyễn Khánh Ly  </t>
  </si>
  <si>
    <t xml:space="preserve">Nguyễn  Ly </t>
  </si>
  <si>
    <t>https://drive.google.com/open?id=1BQ4NHf3jVauyHqbm2Y1cLWkgE1F4sJpA</t>
  </si>
  <si>
    <t>https://www.facebook.com/share/1AEd3RsQtW/?mibextid=wwXIfr</t>
  </si>
  <si>
    <t>Phạm Thị Hương</t>
  </si>
  <si>
    <t>huongtay0606@gmail.com</t>
  </si>
  <si>
    <t>số 32, ngõ 221 Giáp Bát, Phường Giáp Bát, quận Hoàng Mai, Hà Nội</t>
  </si>
  <si>
    <t>https://drive.google.com/open?id=1sWH8HVTK4d_uwHm9jdVb-O3IB4Fw402i</t>
  </si>
  <si>
    <t>https://www.facebook.com/share/1LDj7iPJW2/</t>
  </si>
  <si>
    <t xml:space="preserve"> Phạm Mai Bích Ngọc</t>
  </si>
  <si>
    <t>phamngoc2005ks@gmail.com</t>
  </si>
  <si>
    <t>Số 32 ngõ 221 Giáp bát hoàng mai hà nội</t>
  </si>
  <si>
    <t>https://drive.google.com/open?id=1GptFaGzKVRhxmSHW8JOEHUsxYfNL0iPF</t>
  </si>
  <si>
    <t>https://www.facebook.com/share/18XF7CzGLA/?mibextid=wwXIfr</t>
  </si>
  <si>
    <t>Nguyễn Thị Kim Dung</t>
  </si>
  <si>
    <t>dn562266@gmail.com</t>
  </si>
  <si>
    <t>https://drive.google.com/open?id=1Ua-SBoNg8SKUh1MTjSOti4n5Kk7KFayT</t>
  </si>
  <si>
    <r>
      <rPr>
        <sz val="12"/>
        <color theme="1"/>
        <rFont val="Times New Roman"/>
        <family val="1"/>
      </rPr>
      <t xml:space="preserve">Lê Anh Tài </t>
    </r>
    <r>
      <rPr>
        <sz val="12"/>
        <color rgb="FFFF0000"/>
        <rFont val="Times New Roman"/>
        <family val="1"/>
      </rPr>
      <t>- OVIP29</t>
    </r>
  </si>
  <si>
    <t>nhà 10b ngách 219/16 ngõ 219 nguyễn ngọc vũ trung hoà cầu giấy hà nội</t>
  </si>
  <si>
    <r>
      <rPr>
        <sz val="12"/>
        <color theme="1"/>
        <rFont val="Times New Roman"/>
        <family val="1"/>
      </rPr>
      <t xml:space="preserve">Nguyễn Thị Phương Nga </t>
    </r>
    <r>
      <rPr>
        <sz val="12"/>
        <color rgb="FFFF0000"/>
        <rFont val="Times New Roman"/>
        <family val="1"/>
      </rPr>
      <t>- OVIP31 rút sau buổi 1</t>
    </r>
  </si>
  <si>
    <r>
      <rPr>
        <sz val="12"/>
        <color theme="1"/>
        <rFont val="Times New Roman"/>
        <family val="1"/>
      </rPr>
      <t xml:space="preserve">Nguyễn Trung Hiếu </t>
    </r>
    <r>
      <rPr>
        <sz val="12"/>
        <color rgb="FFFF0000"/>
        <rFont val="Times New Roman"/>
        <family val="1"/>
      </rPr>
      <t>- OS5</t>
    </r>
  </si>
  <si>
    <t>T322</t>
  </si>
  <si>
    <r>
      <rPr>
        <sz val="12"/>
        <color theme="1"/>
        <rFont val="Times New Roman"/>
        <family val="1"/>
      </rPr>
      <t>Nguyễn Thị Uyên</t>
    </r>
    <r>
      <rPr>
        <sz val="12"/>
        <color rgb="FFFF0000"/>
        <rFont val="Times New Roman"/>
        <family val="1"/>
      </rPr>
      <t xml:space="preserve"> - học lại miễn phí
Ck 100K mua sách 21/03/2025
OT64 bảo lưu b10. Học T322 b9. Đã nộp 300K 04/08/2025</t>
    </r>
  </si>
  <si>
    <t>Sách cũ 06/11/2024</t>
  </si>
  <si>
    <t>https://www.facebook.com/ngoc.hong.1117</t>
  </si>
  <si>
    <r>
      <rPr>
        <sz val="12"/>
        <color theme="1"/>
        <rFont val="Times New Roman"/>
        <family val="1"/>
      </rPr>
      <t xml:space="preserve">Hoàng Hồng Ngọc </t>
    </r>
    <r>
      <rPr>
        <sz val="12"/>
        <color rgb="FFFF0000"/>
        <rFont val="Times New Roman"/>
        <family val="1"/>
      </rPr>
      <t>- đã nộp 300K 17/07/2025
VIP148 bảo lưu b11. Học VIP173 b7</t>
    </r>
  </si>
  <si>
    <r>
      <rPr>
        <sz val="12"/>
        <color theme="1"/>
        <rFont val="Times New Roman"/>
        <family val="1"/>
      </rPr>
      <t xml:space="preserve">Trần Văn Dương </t>
    </r>
    <r>
      <rPr>
        <sz val="12"/>
        <color rgb="FFFF0000"/>
        <rFont val="Times New Roman"/>
        <family val="1"/>
      </rPr>
      <t>- OVIP32</t>
    </r>
  </si>
  <si>
    <r>
      <rPr>
        <sz val="12"/>
        <color theme="1"/>
        <rFont val="Times New Roman"/>
        <family val="1"/>
      </rPr>
      <t xml:space="preserve">Nguyễn Văn Long - </t>
    </r>
    <r>
      <rPr>
        <sz val="12"/>
        <color rgb="FFFF0000"/>
        <rFont val="Times New Roman"/>
        <family val="1"/>
      </rPr>
      <t>Löng</t>
    </r>
  </si>
  <si>
    <t>ng 255 Đ. Lĩnh Nam  - Vĩnh Hưng - Hoàng Mai -Hà Nội</t>
  </si>
  <si>
    <r>
      <rPr>
        <sz val="12"/>
        <color theme="1"/>
        <rFont val="Times New Roman"/>
        <family val="1"/>
      </rPr>
      <t xml:space="preserve">Đỗ Thị Thu Huyền </t>
    </r>
    <r>
      <rPr>
        <sz val="12"/>
        <color rgb="FFFF0000"/>
        <rFont val="Times New Roman"/>
        <family val="1"/>
      </rPr>
      <t>- đã nộp 300K 30/06/2025
VIP145 bảo lưu b11, Học VIP161 b13</t>
    </r>
  </si>
  <si>
    <t>ngõ 2, Đường Xuân Đỉnh, Xuân Tảo, Bắc Từ Liêm, Hà Nội</t>
  </si>
  <si>
    <r>
      <rPr>
        <sz val="12"/>
        <color theme="1"/>
        <rFont val="Times New Roman"/>
        <family val="1"/>
      </rPr>
      <t xml:space="preserve">Phạm Thị Phượng. </t>
    </r>
    <r>
      <rPr>
        <sz val="12"/>
        <color rgb="FFFF0000"/>
        <rFont val="Times New Roman"/>
        <family val="1"/>
      </rPr>
      <t>Đã gửi FULL sách E3, T, VIP 27/11/23</t>
    </r>
    <r>
      <rPr>
        <sz val="12"/>
        <color theme="1"/>
        <rFont val="Times New Roman"/>
        <family val="1"/>
      </rPr>
      <t xml:space="preserve"> </t>
    </r>
    <r>
      <rPr>
        <sz val="12"/>
        <color rgb="FFFF0000"/>
        <rFont val="Times New Roman"/>
        <family val="1"/>
      </rPr>
      <t>sđt mẹ 377940811</t>
    </r>
  </si>
  <si>
    <t>Phương đã test</t>
  </si>
  <si>
    <t xml:space="preserve">Lê Ngọc Trung </t>
  </si>
  <si>
    <r>
      <rPr>
        <sz val="12"/>
        <color theme="1"/>
        <rFont val="Times New Roman"/>
        <family val="1"/>
      </rPr>
      <t xml:space="preserve">Nguyễn Phương Anh </t>
    </r>
    <r>
      <rPr>
        <sz val="12"/>
        <color rgb="FFFF0000"/>
        <rFont val="Times New Roman"/>
        <family val="1"/>
      </rPr>
      <t>- đã nộp 300K 14/06/2025
OVIP32 bảo lưu b18. Học VIP152 b18</t>
    </r>
  </si>
  <si>
    <r>
      <rPr>
        <sz val="12"/>
        <color theme="1"/>
        <rFont val="Times New Roman"/>
        <family val="1"/>
      </rPr>
      <t>Nguyễn Sỹ Việt Anh</t>
    </r>
    <r>
      <rPr>
        <sz val="12"/>
        <color rgb="FFFF0000"/>
        <rFont val="Times New Roman"/>
        <family val="1"/>
      </rPr>
      <t xml:space="preserve"> - OVIP30</t>
    </r>
  </si>
  <si>
    <r>
      <rPr>
        <sz val="12"/>
        <color theme="1"/>
        <rFont val="Times New Roman"/>
        <family val="1"/>
      </rPr>
      <t xml:space="preserve">Phạm Thị Hồng Ngọc </t>
    </r>
    <r>
      <rPr>
        <sz val="12"/>
        <color rgb="FFFF0000"/>
        <rFont val="Times New Roman"/>
        <family val="1"/>
      </rPr>
      <t>- đã nộp 300K 20/05/2025
OVIP30 bảo lưu b5. Học OVIP46 b1</t>
    </r>
  </si>
  <si>
    <t>Số 22,ngõ 231 chùa bộc, Phường Trung Liệt, Quận Đống Đa, Hà Nội</t>
  </si>
  <si>
    <t>OVIP63 bảo lưu b15</t>
  </si>
  <si>
    <r>
      <rPr>
        <sz val="12"/>
        <color theme="1"/>
        <rFont val="Times New Roman"/>
        <family val="1"/>
      </rPr>
      <t xml:space="preserve">Nguyễn Thế Hoàn </t>
    </r>
    <r>
      <rPr>
        <sz val="12"/>
        <color rgb="FFFF0000"/>
        <rFont val="Times New Roman"/>
        <family val="1"/>
      </rPr>
      <t>- Đã nộp 300K 15/12/2025</t>
    </r>
    <r>
      <rPr>
        <sz val="12"/>
        <color theme="1"/>
        <rFont val="Times New Roman"/>
        <family val="1"/>
      </rPr>
      <t xml:space="preserve">
</t>
    </r>
    <r>
      <rPr>
        <sz val="12"/>
        <color rgb="FFFF0000"/>
        <rFont val="Times New Roman"/>
        <family val="1"/>
      </rPr>
      <t>OVIP39 bảo lưu b8. Học OVIP63 b1
OVIP63 bảo lưu b15</t>
    </r>
  </si>
  <si>
    <t>https://www.facebook.com/share/1HEoB88uuc/</t>
  </si>
  <si>
    <t>VIP167</t>
  </si>
  <si>
    <r>
      <rPr>
        <sz val="12"/>
        <color theme="1"/>
        <rFont val="Times New Roman"/>
        <family val="1"/>
      </rPr>
      <t>Phạm Thị Cẩm Ly</t>
    </r>
    <r>
      <rPr>
        <sz val="12"/>
        <color rgb="FFFF0000"/>
        <rFont val="Times New Roman"/>
        <family val="1"/>
      </rPr>
      <t xml:space="preserve"> - 927830396 nhận hộ sách</t>
    </r>
  </si>
  <si>
    <t>Số nhà 21 ngõ 46 Định công hạ phường định công quận hoàng mai, Hà Nội</t>
  </si>
  <si>
    <t xml:space="preserve">Trần Huyền My </t>
  </si>
  <si>
    <r>
      <rPr>
        <sz val="12"/>
        <color theme="1"/>
        <rFont val="Times New Roman"/>
        <family val="1"/>
      </rPr>
      <t>Nguyễn Lan Anh</t>
    </r>
    <r>
      <rPr>
        <sz val="12"/>
        <color rgb="FFFF0000"/>
        <rFont val="Times New Roman"/>
        <family val="1"/>
      </rPr>
      <t xml:space="preserve"> - học lại 50% học phí
Nghỉ quá 3 buổi. Test 480</t>
    </r>
  </si>
  <si>
    <r>
      <rPr>
        <sz val="12"/>
        <color theme="1"/>
        <rFont val="Times New Roman"/>
        <family val="1"/>
      </rPr>
      <t>Nguyễn Bảo Anh</t>
    </r>
    <r>
      <rPr>
        <sz val="12"/>
        <color rgb="FFFF0000"/>
        <rFont val="Times New Roman"/>
        <family val="1"/>
      </rPr>
      <t xml:space="preserve"> - Bảo Em- Bao Anh</t>
    </r>
  </si>
  <si>
    <r>
      <rPr>
        <sz val="12"/>
        <color theme="1"/>
        <rFont val="Times New Roman"/>
        <family val="1"/>
      </rPr>
      <t xml:space="preserve">Phạm Hữu Tuấn - </t>
    </r>
    <r>
      <rPr>
        <sz val="12"/>
        <color rgb="FFFF0000"/>
        <rFont val="Times New Roman"/>
        <family val="1"/>
      </rPr>
      <t>Huu Tuan</t>
    </r>
  </si>
  <si>
    <r>
      <rPr>
        <sz val="12"/>
        <color theme="1"/>
        <rFont val="Times New Roman"/>
        <family val="1"/>
      </rPr>
      <t xml:space="preserve">Nguyễn Thị Huệ - </t>
    </r>
    <r>
      <rPr>
        <sz val="12"/>
        <color rgb="FFFF0000"/>
        <rFont val="Times New Roman"/>
        <family val="1"/>
      </rPr>
      <t>Huệ Nguyễn</t>
    </r>
  </si>
  <si>
    <r>
      <rPr>
        <sz val="12"/>
        <color theme="1"/>
        <rFont val="Times New Roman"/>
        <family val="1"/>
      </rPr>
      <t xml:space="preserve"> Phạm Thu Quỳnh</t>
    </r>
    <r>
      <rPr>
        <sz val="12"/>
        <color rgb="FFFF0000"/>
        <rFont val="Times New Roman"/>
        <family val="1"/>
      </rPr>
      <t xml:space="preserve"> - VIP182</t>
    </r>
  </si>
  <si>
    <t>gửi trước</t>
  </si>
  <si>
    <r>
      <rPr>
        <sz val="12"/>
        <color theme="1"/>
        <rFont val="Times New Roman"/>
        <family val="1"/>
      </rPr>
      <t xml:space="preserve">Phạm Nguyễn Minh Hùng </t>
    </r>
    <r>
      <rPr>
        <sz val="12"/>
        <color rgb="FFFF0000"/>
        <rFont val="Times New Roman"/>
        <family val="1"/>
      </rPr>
      <t>- OVIP 29 rút phút 89</t>
    </r>
  </si>
  <si>
    <t>https://www.facebook.com/share/1AA6wT3uku/?mibextid=wwXIfr</t>
  </si>
  <si>
    <t>S25</t>
  </si>
  <si>
    <t>Sn33,61/296 Lĩnh Nam,Hoàng Mai,Hà Nội</t>
  </si>
  <si>
    <r>
      <rPr>
        <sz val="12"/>
        <color theme="1"/>
        <rFont val="Times New Roman"/>
        <family val="1"/>
      </rPr>
      <t>Nguyễn Phương Anh</t>
    </r>
    <r>
      <rPr>
        <sz val="12"/>
        <color rgb="FFFF0000"/>
        <rFont val="Times New Roman"/>
        <family val="1"/>
      </rPr>
      <t xml:space="preserve"> - VIP182</t>
    </r>
  </si>
  <si>
    <r>
      <rPr>
        <sz val="12"/>
        <color theme="1"/>
        <rFont val="Times New Roman"/>
        <family val="1"/>
      </rPr>
      <t>Nguyễn Phúc Thiên Ân</t>
    </r>
    <r>
      <rPr>
        <sz val="12"/>
        <color rgb="FFFF0000"/>
        <rFont val="Times New Roman"/>
        <family val="1"/>
      </rPr>
      <t xml:space="preserve"> 968208169 số cũ
VIP145 bảo lưu b10. Cường báo. Học VIP189 b1
Đã nộp 300K bảo lưu 25/08/2025</t>
    </r>
  </si>
  <si>
    <t>OVIP53</t>
  </si>
  <si>
    <r>
      <rPr>
        <sz val="12"/>
        <color theme="1"/>
        <rFont val="Times New Roman"/>
        <family val="1"/>
      </rPr>
      <t>Nguyễn Ngọc Huyền</t>
    </r>
    <r>
      <rPr>
        <sz val="12"/>
        <color rgb="FFFF0000"/>
        <rFont val="Times New Roman"/>
        <family val="1"/>
      </rPr>
      <t xml:space="preserve"> - Đã nộp 300K 02/06/2025
OVIP31 bảo lưu b18. Học OVIP53 b1</t>
    </r>
  </si>
  <si>
    <t>Sách cũ 20/03/2025 Nộp 200K 19/08/2025</t>
  </si>
  <si>
    <r>
      <rPr>
        <sz val="12"/>
        <color theme="1"/>
        <rFont val="Times New Roman"/>
        <family val="1"/>
      </rPr>
      <t xml:space="preserve">Nguyễn Hữu Nguyên </t>
    </r>
    <r>
      <rPr>
        <sz val="12"/>
        <color rgb="FFFF0000"/>
        <rFont val="Times New Roman"/>
        <family val="1"/>
      </rPr>
      <t>- đã nộp 300K 02/06/25</t>
    </r>
    <r>
      <rPr>
        <sz val="12"/>
        <color theme="1"/>
        <rFont val="Times New Roman"/>
        <family val="1"/>
      </rPr>
      <t xml:space="preserve">
</t>
    </r>
    <r>
      <rPr>
        <sz val="12"/>
        <color rgb="FFFF0000"/>
        <rFont val="Times New Roman"/>
        <family val="1"/>
      </rPr>
      <t>VIP151 bảo lưu b9. Học VIP161 b7</t>
    </r>
  </si>
  <si>
    <t>VIP151 bảo lưu b13 sợ mất 300K nên ko làm theo hướng dẫn</t>
  </si>
  <si>
    <r>
      <rPr>
        <sz val="12"/>
        <color theme="1"/>
        <rFont val="Times New Roman"/>
        <family val="1"/>
      </rPr>
      <t xml:space="preserve"> Lê Công Khôi </t>
    </r>
    <r>
      <rPr>
        <sz val="12"/>
        <color rgb="FFFF0000"/>
        <rFont val="Times New Roman"/>
        <family val="1"/>
      </rPr>
      <t>- 876499491 số cũ- Nguyễn Khôi</t>
    </r>
  </si>
  <si>
    <r>
      <rPr>
        <sz val="12"/>
        <color theme="1"/>
        <rFont val="Times New Roman"/>
        <family val="1"/>
      </rPr>
      <t>Nguyễn Phương Thảo</t>
    </r>
    <r>
      <rPr>
        <sz val="12"/>
        <color rgb="FFFF0000"/>
        <rFont val="Times New Roman"/>
        <family val="1"/>
      </rPr>
      <t xml:space="preserve"> - Đã nộp 300K 02/06/2025
OVIP31 bảo lưu b18. Học OVIP53 b1</t>
    </r>
  </si>
  <si>
    <t>T301 nghỉ ngang b2</t>
  </si>
  <si>
    <r>
      <rPr>
        <sz val="12"/>
        <color theme="1"/>
        <rFont val="Times New Roman"/>
        <family val="1"/>
      </rPr>
      <t xml:space="preserve">Nguyễn Minh Trí </t>
    </r>
    <r>
      <rPr>
        <sz val="12"/>
        <color rgb="FFFF0000"/>
        <rFont val="Times New Roman"/>
        <family val="1"/>
      </rPr>
      <t>- ? học lại miễn phí
SĐT nhận sách 0968058734 - nếu mua</t>
    </r>
  </si>
  <si>
    <t>https://www.facebook.com/share/jLdeDuaS6Yek3tcj/?mibextid=LQQJ4d</t>
  </si>
  <si>
    <t>VIP179</t>
  </si>
  <si>
    <r>
      <rPr>
        <sz val="12"/>
        <color theme="1"/>
        <rFont val="Times New Roman"/>
        <family val="1"/>
      </rPr>
      <t>Nguyễn Sỹ Tuấn Minh</t>
    </r>
    <r>
      <rPr>
        <sz val="12"/>
        <color rgb="FFFF0000"/>
        <rFont val="Times New Roman"/>
        <family val="1"/>
      </rPr>
      <t xml:space="preserve"> - đã nộp 300K 05/05/2025
VIP149 bảo lưu b10. Học VIP179 buổi 6</t>
    </r>
  </si>
  <si>
    <t>nhà 10 ngách 4 ngõ 26 phan đình giót la khê hà đông</t>
  </si>
  <si>
    <r>
      <rPr>
        <sz val="12"/>
        <color theme="1"/>
        <rFont val="Times New Roman"/>
        <family val="1"/>
      </rPr>
      <t>Lê Ngọc Bắc</t>
    </r>
    <r>
      <rPr>
        <sz val="12"/>
        <color rgb="FFFF0000"/>
        <rFont val="Times New Roman"/>
        <family val="1"/>
      </rPr>
      <t xml:space="preserve"> </t>
    </r>
  </si>
  <si>
    <t>rọ Đức Giảng, Nhà Số 1, Thôn 2 Kim Bông Xã Tân Xã, Huyện Thạch Thât, Hà Nội</t>
  </si>
  <si>
    <t>số 2 ngõ 26, đường phương Vinh , xã trung châu, huyện đan phượng ,HN</t>
  </si>
  <si>
    <t xml:space="preserve">Đinh Khánh Chi </t>
  </si>
  <si>
    <t>B619</t>
  </si>
  <si>
    <t>https://www.facebook.com/profile.php?id=100044946246572</t>
  </si>
  <si>
    <r>
      <rPr>
        <sz val="12"/>
        <color theme="1"/>
        <rFont val="Times New Roman"/>
        <family val="1"/>
      </rPr>
      <t>Nguyễn Đức Long</t>
    </r>
    <r>
      <rPr>
        <sz val="12"/>
        <color rgb="FFFF0000"/>
        <rFont val="Times New Roman"/>
        <family val="1"/>
      </rPr>
      <t xml:space="preserve"> - đổi E3 học T. Đã nộp 300K 06/06/25
</t>
    </r>
    <r>
      <rPr>
        <sz val="12"/>
        <color theme="1"/>
        <rFont val="Times New Roman"/>
        <family val="1"/>
      </rPr>
      <t>Nguyễn Việt Tuấn</t>
    </r>
    <r>
      <rPr>
        <sz val="12"/>
        <color rgb="FFFF0000"/>
        <rFont val="Times New Roman"/>
        <family val="1"/>
      </rPr>
      <t xml:space="preserve"> - nhận học. </t>
    </r>
    <r>
      <rPr>
        <sz val="12"/>
        <color theme="1"/>
        <rFont val="Times New Roman"/>
        <family val="1"/>
      </rPr>
      <t>0854565731</t>
    </r>
  </si>
  <si>
    <t>Nhài chăm sóc</t>
  </si>
  <si>
    <t>87 Nguyên Xá, phường Minh Khai, Bắc Từ Liêm, Hà Nội</t>
  </si>
  <si>
    <t>https://drive.google.com/open?id=1YYLiE5HuxYwt9whq86BmgxbovyYjwq4l</t>
  </si>
  <si>
    <t>0971355790</t>
  </si>
  <si>
    <t>S43</t>
  </si>
  <si>
    <r>
      <rPr>
        <sz val="12"/>
        <color theme="1"/>
        <rFont val="Times New Roman"/>
        <family val="1"/>
      </rPr>
      <t xml:space="preserve">Nguyễn Thị Trang </t>
    </r>
    <r>
      <rPr>
        <sz val="12"/>
        <color rgb="FFFF0000"/>
        <rFont val="Times New Roman"/>
        <family val="1"/>
      </rPr>
      <t>- Đã nộp 300K 21/05/2025
S14 bảo lưu b8. Học S43 b1</t>
    </r>
  </si>
  <si>
    <t xml:space="preserve"> số nhà 7 Ngách 132/49 Tổ dân phố Nguyên xá 2 phường Minh Khai, quận Bắc từ liêm Hà Nội</t>
  </si>
  <si>
    <t xml:space="preserve">Nguyễn Huy Nam </t>
  </si>
  <si>
    <t>nhà số 5 ngách 24/133 xuân thuỷ, dịch vọng hậu, cầu giấy, hà nội</t>
  </si>
  <si>
    <t>https://web.facebook.com/sunshine281006</t>
  </si>
  <si>
    <r>
      <rPr>
        <sz val="12"/>
        <color theme="1"/>
        <rFont val="Times New Roman"/>
        <family val="1"/>
      </rPr>
      <t>Hoàng Yến Nhi</t>
    </r>
    <r>
      <rPr>
        <sz val="12"/>
        <color rgb="FFFF0000"/>
        <rFont val="Times New Roman"/>
        <family val="1"/>
      </rPr>
      <t xml:space="preserve"> - học lại miễn phí
Đã nộp 100K mua sách 26/03/2025</t>
    </r>
  </si>
  <si>
    <t>Sách cũ 08/07/2024</t>
  </si>
  <si>
    <t>19-21/181 Xuân Thuỷ, Cầu Giấy, Hà Nội</t>
  </si>
  <si>
    <t>VIP152 bảo lưu b5</t>
  </si>
  <si>
    <r>
      <rPr>
        <sz val="12"/>
        <color theme="1"/>
        <rFont val="Times New Roman"/>
        <family val="1"/>
      </rPr>
      <t xml:space="preserve">Nguyễn Thành Tam </t>
    </r>
    <r>
      <rPr>
        <sz val="12"/>
        <color rgb="FFFF0000"/>
        <rFont val="Times New Roman"/>
        <family val="1"/>
      </rPr>
      <t>- học lại nộp 50% học phí
Đã nộp 2,084K ngày 09/04/2025. Đã nộp 300K 10/06/2025</t>
    </r>
  </si>
  <si>
    <t>https://drive.google.com/open?id=1X0HQwYp2Z8JfO3UGJyGTR0c4_Oh1a-mx</t>
  </si>
  <si>
    <t>22/10/2024 sách cũ</t>
  </si>
  <si>
    <r>
      <rPr>
        <sz val="12"/>
        <color theme="1"/>
        <rFont val="Times New Roman"/>
        <family val="1"/>
      </rPr>
      <t xml:space="preserve"> Nguyễn Thùy Linh - </t>
    </r>
    <r>
      <rPr>
        <sz val="12"/>
        <color rgb="FFFF0000"/>
        <rFont val="Times New Roman"/>
        <family val="1"/>
      </rPr>
      <t>Lynn Nguyễn</t>
    </r>
  </si>
  <si>
    <t>Đường 276 thôn Chi Hồ -xã Tân Chi- huyện Tiên Du - tỉnh Bắc Ninh</t>
  </si>
  <si>
    <t>VIP153 bảo lưu b18</t>
  </si>
  <si>
    <t>Số nhà 97 ngõ 79 ngự câu 1 Hoài Đức Hà Nội</t>
  </si>
  <si>
    <r>
      <rPr>
        <sz val="12"/>
        <color theme="1"/>
        <rFont val="Times New Roman"/>
        <family val="1"/>
      </rPr>
      <t>Đặng Thảo Nguyên -</t>
    </r>
    <r>
      <rPr>
        <sz val="12"/>
        <color rgb="FFFF0000"/>
        <rFont val="Times New Roman"/>
        <family val="1"/>
      </rPr>
      <t xml:space="preserve"> Đã nộp 300K 02/06/2025
VIP153 bảo lưu b7. Học VIP160 b9</t>
    </r>
  </si>
  <si>
    <t>VIP195</t>
  </si>
  <si>
    <r>
      <rPr>
        <sz val="12"/>
        <color theme="1"/>
        <rFont val="Times New Roman"/>
        <family val="1"/>
      </rPr>
      <t>Vũ Thị Thắm</t>
    </r>
    <r>
      <rPr>
        <sz val="12"/>
        <color rgb="FFFF0000"/>
        <rFont val="Times New Roman"/>
        <family val="1"/>
      </rPr>
      <t xml:space="preserve"> - Đã nộp 300K 13/10/2025
VIP161 bảo lưu b16. Học VIP195 b5</t>
    </r>
  </si>
  <si>
    <t>43 Ngõ 117 Xuân Đỉnh , Bắc Từ Liêm ,Hà Nội</t>
  </si>
  <si>
    <r>
      <rPr>
        <sz val="12"/>
        <color theme="1"/>
        <rFont val="Times New Roman"/>
        <family val="1"/>
      </rPr>
      <t xml:space="preserve">Nguyễn Thị Thu Hà </t>
    </r>
    <r>
      <rPr>
        <sz val="12"/>
        <color rgb="FFFF0000"/>
        <rFont val="Times New Roman"/>
        <family val="1"/>
      </rPr>
      <t>- Đã nộp 300K 19/08/2025
VIP170 bảo lưu b4 do sốt xuất huyết đi viện. Yến chat. Học VIP190 b1</t>
    </r>
  </si>
  <si>
    <t>Sách mới</t>
  </si>
  <si>
    <r>
      <rPr>
        <sz val="12"/>
        <color theme="1"/>
        <rFont val="Times New Roman"/>
        <family val="1"/>
      </rPr>
      <t>Mai Thu Hương</t>
    </r>
    <r>
      <rPr>
        <sz val="12"/>
        <color rgb="FFFF0000"/>
        <rFont val="Times New Roman"/>
        <family val="1"/>
      </rPr>
      <t xml:space="preserve"> - Đã nộp 300K 02/08/2025
VIP157 bảo lưu b14. Học OVIP44 b7</t>
    </r>
  </si>
  <si>
    <t>số 18 ngách 16 ngõ 75 Hồ Tùng Mậu</t>
  </si>
  <si>
    <t>VIP196</t>
  </si>
  <si>
    <r>
      <rPr>
        <sz val="12"/>
        <color theme="1"/>
        <rFont val="Times New Roman"/>
        <family val="1"/>
      </rPr>
      <t xml:space="preserve">Nguyễn Hoàng Phương </t>
    </r>
    <r>
      <rPr>
        <sz val="12"/>
        <color rgb="FFFF0000"/>
        <rFont val="Times New Roman"/>
        <family val="1"/>
      </rPr>
      <t>- Đã nộp 300K 16/09/2025
OVIP34 bảo lưu b10. Học VIP196 b1</t>
    </r>
  </si>
  <si>
    <r>
      <rPr>
        <sz val="12"/>
        <color theme="1"/>
        <rFont val="Times New Roman"/>
        <family val="1"/>
      </rPr>
      <t>Phạm Minh Quân</t>
    </r>
    <r>
      <rPr>
        <sz val="12"/>
        <color rgb="FFFF0000"/>
        <rFont val="Times New Roman"/>
        <family val="1"/>
      </rPr>
      <t xml:space="preserve"> - Đã nộp 300K 16/09/2025</t>
    </r>
    <r>
      <rPr>
        <sz val="12"/>
        <color theme="1"/>
        <rFont val="Times New Roman"/>
        <family val="1"/>
      </rPr>
      <t xml:space="preserve">
</t>
    </r>
    <r>
      <rPr>
        <sz val="12"/>
        <color rgb="FFFF0000"/>
        <rFont val="Times New Roman"/>
        <family val="1"/>
      </rPr>
      <t>OVIP34 bảo lưu b18 đi quân sự. Học VIP196 b1</t>
    </r>
  </si>
  <si>
    <r>
      <rPr>
        <sz val="12"/>
        <color theme="1"/>
        <rFont val="Times New Roman"/>
        <family val="1"/>
      </rPr>
      <t>Nguyễn Thị Ngọc Ánh</t>
    </r>
    <r>
      <rPr>
        <sz val="12"/>
        <color rgb="FFFF0000"/>
        <rFont val="Times New Roman"/>
        <family val="1"/>
      </rPr>
      <t xml:space="preserve"> - Đã nộp 300K 16/09/2025
OVIP34 bảo lưu b17. Học VIP196 b1. Mua sách 200K</t>
    </r>
  </si>
  <si>
    <r>
      <rPr>
        <sz val="12"/>
        <color theme="1"/>
        <rFont val="Times New Roman"/>
        <family val="1"/>
      </rPr>
      <t>Lương Thiên Anh</t>
    </r>
    <r>
      <rPr>
        <sz val="12"/>
        <color rgb="FFFF0000"/>
        <rFont val="Times New Roman"/>
        <family val="1"/>
      </rPr>
      <t xml:space="preserve"> - Đã nộp 300K 16/09/2025
OVIP34 bảo lưu b17. Học VIP196 b1</t>
    </r>
    <r>
      <rPr>
        <sz val="12"/>
        <color theme="1"/>
        <rFont val="Times New Roman"/>
        <family val="1"/>
      </rPr>
      <t>. Mua sách 200K</t>
    </r>
  </si>
  <si>
    <r>
      <rPr>
        <sz val="12"/>
        <color theme="1"/>
        <rFont val="Times New Roman"/>
        <family val="1"/>
      </rPr>
      <t xml:space="preserve">Đào Thanh Mai </t>
    </r>
    <r>
      <rPr>
        <sz val="12"/>
        <color rgb="FFFF0000"/>
        <rFont val="Times New Roman"/>
        <family val="1"/>
      </rPr>
      <t>- Đã nộp 300K 22/08/2025</t>
    </r>
    <r>
      <rPr>
        <sz val="12"/>
        <color theme="1"/>
        <rFont val="Times New Roman"/>
        <family val="1"/>
      </rPr>
      <t xml:space="preserve">
</t>
    </r>
    <r>
      <rPr>
        <sz val="12"/>
        <color rgb="FFFF0000"/>
        <rFont val="Times New Roman"/>
        <family val="1"/>
      </rPr>
      <t>OVIP34 bảo lưu b19. Học VIP176 b17</t>
    </r>
  </si>
  <si>
    <r>
      <rPr>
        <sz val="12"/>
        <color theme="1"/>
        <rFont val="Times New Roman"/>
        <family val="1"/>
      </rPr>
      <t>Nguyễn Duy Quân</t>
    </r>
    <r>
      <rPr>
        <sz val="12"/>
        <color rgb="FFFF0000"/>
        <rFont val="Times New Roman"/>
        <family val="1"/>
      </rPr>
      <t xml:space="preserve"> - đã nộp 300K 01/06/2025
</t>
    </r>
    <r>
      <rPr>
        <sz val="12"/>
        <color theme="1"/>
        <rFont val="Times New Roman"/>
        <family val="1"/>
      </rPr>
      <t xml:space="preserve">OVIP34 bảo lưu b14. Học OVIP52 b1
</t>
    </r>
    <r>
      <rPr>
        <sz val="12"/>
        <color rgb="FFFF0000"/>
        <rFont val="Times New Roman"/>
        <family val="1"/>
      </rPr>
      <t>Đã nộp 14 buổi là 1,195K + 200K sách 10/08/2025</t>
    </r>
  </si>
  <si>
    <r>
      <rPr>
        <sz val="12"/>
        <color theme="1"/>
        <rFont val="Times New Roman"/>
        <family val="1"/>
      </rPr>
      <t>Nguyễn Cẩm Tú</t>
    </r>
    <r>
      <rPr>
        <sz val="12"/>
        <color rgb="FFFF0000"/>
        <rFont val="Times New Roman"/>
        <family val="1"/>
      </rPr>
      <t xml:space="preserve"> - đã nộp 300K 31/05/2025
OVIP34 bảo lưu b14. Học OVIP52 b1
Đã nộp 14 buổi là 1,195K + 200K sách 10/08/2025</t>
    </r>
  </si>
  <si>
    <r>
      <rPr>
        <sz val="12"/>
        <color theme="1"/>
        <rFont val="Times New Roman"/>
        <family val="1"/>
      </rPr>
      <t>Dương Như Nhung.</t>
    </r>
    <r>
      <rPr>
        <sz val="12"/>
        <color rgb="FFFF0000"/>
        <rFont val="Times New Roman"/>
        <family val="1"/>
      </rPr>
      <t xml:space="preserve"> Đã nộp 300K 04/08/2025</t>
    </r>
    <r>
      <rPr>
        <sz val="12"/>
        <color theme="1"/>
        <rFont val="Times New Roman"/>
        <family val="1"/>
      </rPr>
      <t xml:space="preserve">
</t>
    </r>
    <r>
      <rPr>
        <sz val="12"/>
        <color rgb="FFFF0000"/>
        <rFont val="Times New Roman"/>
        <family val="1"/>
      </rPr>
      <t>VIP157 bảo lưu b13. Học OVIP44 b8</t>
    </r>
  </si>
  <si>
    <t>số 20 ngách 16 ngõ 75 Hồ Tùng Mậu</t>
  </si>
  <si>
    <t>S14 bảo lưu b6. Thấy sĩ số lệch nên hỏi</t>
  </si>
  <si>
    <t>7D ngách 35 ngõ 66 Hồ Tùng Mậu, Cầu Giấy.</t>
  </si>
  <si>
    <t>VIP157</t>
  </si>
  <si>
    <r>
      <rPr>
        <sz val="12"/>
        <color theme="1"/>
        <rFont val="Times New Roman"/>
        <family val="1"/>
      </rPr>
      <t xml:space="preserve">Trương Thị Thanh Tâm </t>
    </r>
    <r>
      <rPr>
        <sz val="12"/>
        <color rgb="FFFF0000"/>
        <rFont val="Times New Roman"/>
        <family val="1"/>
      </rPr>
      <t>- VIP153</t>
    </r>
  </si>
  <si>
    <t>Nhà trọ 3 tầng cổng nâu cuối cùng ngõ đối diện số nhà 50, đường An Hạ 2, An Thượng, Hoài Đức, Hà Nội</t>
  </si>
  <si>
    <t>https://www.facebook.com/share/192GYzCEe5/?mibextid=wwXIfr</t>
  </si>
  <si>
    <r>
      <rPr>
        <sz val="12"/>
        <color theme="1"/>
        <rFont val="Times New Roman"/>
        <family val="1"/>
      </rPr>
      <t>Hoàng Thị Thùy</t>
    </r>
    <r>
      <rPr>
        <sz val="12"/>
        <color rgb="FFFF0000"/>
        <rFont val="Times New Roman"/>
        <family val="1"/>
      </rPr>
      <t xml:space="preserve"> - VIP153</t>
    </r>
  </si>
  <si>
    <t>Xóm Miễu Ngoài ,Ngự Câu ,An Thượng ,Hoài Đức</t>
  </si>
  <si>
    <r>
      <rPr>
        <sz val="12"/>
        <color theme="1"/>
        <rFont val="Times New Roman"/>
        <family val="1"/>
      </rPr>
      <t xml:space="preserve">Hoàng Mai Hương </t>
    </r>
    <r>
      <rPr>
        <sz val="12"/>
        <color rgb="FFFF0000"/>
        <rFont val="Times New Roman"/>
        <family val="1"/>
      </rPr>
      <t>- đã nộp 300K 16/06/2025
VIP153 bảo lưu b13. Học VIP193 b14</t>
    </r>
  </si>
  <si>
    <t>ktx B6 hvtc, đức thắng, bắc từ liêm, hà nội</t>
  </si>
  <si>
    <t>https://www.facebook.com/p.hiu.0508</t>
  </si>
  <si>
    <r>
      <rPr>
        <sz val="12"/>
        <color theme="1"/>
        <rFont val="Times New Roman"/>
        <family val="1"/>
      </rPr>
      <t>Hồ Phúc Hiếu -</t>
    </r>
    <r>
      <rPr>
        <sz val="12"/>
        <color rgb="FFFF0000"/>
        <rFont val="Times New Roman"/>
        <family val="1"/>
      </rPr>
      <t>Hieu Phuc Hoo</t>
    </r>
  </si>
  <si>
    <t>90 đường số 5, khu dân cư bến lức, phường 7, quận 8, Tp.HCM</t>
  </si>
  <si>
    <r>
      <rPr>
        <sz val="12"/>
        <color theme="1"/>
        <rFont val="Times New Roman"/>
        <family val="1"/>
      </rPr>
      <t xml:space="preserve">Phạm Thị Ngọc Linh - </t>
    </r>
    <r>
      <rPr>
        <sz val="12"/>
        <color rgb="FFFF0000"/>
        <rFont val="Times New Roman"/>
        <family val="1"/>
      </rPr>
      <t>Linh pt. Chưa nộp 300K
VIP154 bảo lưu b10. Học VIP197 b9</t>
    </r>
  </si>
  <si>
    <t xml:space="preserve">số nhà 85 ,ngõ 296 lĩnh nam,phường lĩnh nam, quận hoàng mai, hà nội </t>
  </si>
  <si>
    <r>
      <rPr>
        <sz val="12"/>
        <color theme="1"/>
        <rFont val="Times New Roman"/>
        <family val="1"/>
      </rPr>
      <t>Trịnh Ngọc Kiên</t>
    </r>
    <r>
      <rPr>
        <sz val="12"/>
        <color rgb="FFFF0000"/>
        <rFont val="Times New Roman"/>
        <family val="1"/>
      </rPr>
      <t xml:space="preserve"> - KO học lại T 50% học phí</t>
    </r>
  </si>
  <si>
    <t>Sách cũ 03/12/2024</t>
  </si>
  <si>
    <t>VIP164 bảo lưu b10</t>
  </si>
  <si>
    <r>
      <rPr>
        <sz val="12"/>
        <color theme="1"/>
        <rFont val="Times New Roman"/>
        <family val="1"/>
      </rPr>
      <t>Phùng Bảo Ngọc / (+45) 5525312-</t>
    </r>
    <r>
      <rPr>
        <sz val="12"/>
        <color rgb="FFFF0000"/>
        <rFont val="Times New Roman"/>
        <family val="1"/>
      </rPr>
      <t>VIP163</t>
    </r>
  </si>
  <si>
    <t>https://www.facebook.com/trung.hieu.071205?mibextid=wwXIfr&amp;rdid=xiKtbN6n57r3HxTO&amp;share_url=https%3A%2F%2Fwww.facebook.com%2Fshare%2F1Bes4c2VCp%2F%3Fmibextid%3DwwXIfr</t>
  </si>
  <si>
    <t>Số 33B, Ngách 35 Ngõ 68 Phố Triều Khúc, Tân Triều, Thanh Trì, Hà Nội</t>
  </si>
  <si>
    <t>VIP201</t>
  </si>
  <si>
    <r>
      <rPr>
        <sz val="12"/>
        <color theme="1"/>
        <rFont val="Times New Roman"/>
        <family val="1"/>
      </rPr>
      <t>Đặng Hà Dung</t>
    </r>
    <r>
      <rPr>
        <sz val="12"/>
        <color rgb="FFFF0000"/>
        <rFont val="Times New Roman"/>
        <family val="1"/>
      </rPr>
      <t xml:space="preserve"> - Đã nộp 300K 10/12/25
VIP178 bảo lưu b17. Học VIP201 b17</t>
    </r>
  </si>
  <si>
    <t>Số nhà 178 ngõ 13 trường quang, minh nghĩa , nông cống, thanh hóa</t>
  </si>
  <si>
    <r>
      <rPr>
        <sz val="12"/>
        <color theme="1"/>
        <rFont val="Times New Roman"/>
        <family val="1"/>
      </rPr>
      <t>Lê Thị Mai Lan</t>
    </r>
    <r>
      <rPr>
        <sz val="12"/>
        <color rgb="FFFF0000"/>
        <rFont val="Times New Roman"/>
        <family val="1"/>
      </rPr>
      <t xml:space="preserve"> </t>
    </r>
  </si>
  <si>
    <t>Số 01, ngõ 04, Tân Sơn, Vạn Thắng, Nông Cống, Thanh Hoá</t>
  </si>
  <si>
    <r>
      <rPr>
        <sz val="12"/>
        <color theme="1"/>
        <rFont val="Times New Roman"/>
        <family val="1"/>
      </rPr>
      <t>Đỗ Cẩm Anh</t>
    </r>
    <r>
      <rPr>
        <sz val="12"/>
        <color rgb="FFFF0000"/>
        <rFont val="Times New Roman"/>
        <family val="1"/>
      </rPr>
      <t xml:space="preserve"> - 971658453 số cũ</t>
    </r>
  </si>
  <si>
    <r>
      <rPr>
        <sz val="12"/>
        <color theme="1"/>
        <rFont val="Times New Roman"/>
        <family val="1"/>
      </rPr>
      <t xml:space="preserve">Bùi Thảo Ngọc </t>
    </r>
    <r>
      <rPr>
        <sz val="12"/>
        <color rgb="FFFF0000"/>
        <rFont val="Times New Roman"/>
        <family val="1"/>
      </rPr>
      <t>- đã nộp 300K 23/06/2025
T304 bảo lưu b20. Học T320 b19, T342 b11</t>
    </r>
  </si>
  <si>
    <t>ấp Trà Ốp, xã Tân Bình, huyện Càng Long, tỉnh Trà Vinh. Đối diện trường Tiểu học Tân Bình A</t>
  </si>
  <si>
    <t xml:space="preserve">Nguyễn Thị Huyền Linh </t>
  </si>
  <si>
    <t>T315</t>
  </si>
  <si>
    <t>https://www.facebook.com/share/18Qh8RCx6n/</t>
  </si>
  <si>
    <r>
      <rPr>
        <sz val="12"/>
        <color theme="1"/>
        <rFont val="Times New Roman"/>
        <family val="1"/>
      </rPr>
      <t xml:space="preserve">Hà Việt Anh- </t>
    </r>
    <r>
      <rPr>
        <sz val="12"/>
        <color rgb="FFFF0000"/>
        <rFont val="Times New Roman"/>
        <family val="1"/>
      </rPr>
      <t>Hà Vanh - T304</t>
    </r>
  </si>
  <si>
    <t>havanh1410@gmail.com</t>
  </si>
  <si>
    <t>Ngõ 1, Trà Tranh 1 xu, thôn 1, xã Phù Vân,  Tp Phủ Lý, Tỉnh Ha Nam</t>
  </si>
  <si>
    <t>https://drive.google.com/open?id=1NAmvcOwRcdp4N9QbeEuoWALEy_YxgA7y; https://drive.google.com/open?id=1jDrge_qzX2rsYigoLp2jdclz3dIDSd_J</t>
  </si>
  <si>
    <r>
      <rPr>
        <sz val="12"/>
        <color theme="1"/>
        <rFont val="Times New Roman"/>
        <family val="1"/>
      </rPr>
      <t>Đoàn Thị Thu Trang</t>
    </r>
    <r>
      <rPr>
        <sz val="12"/>
        <color rgb="FFFF0000"/>
        <rFont val="Times New Roman"/>
        <family val="1"/>
      </rPr>
      <t xml:space="preserve"> </t>
    </r>
  </si>
  <si>
    <t>Số 9, ngách 89, ngõ 296 Lĩnh Nam, Hoàng Mai, Hà Nội</t>
  </si>
  <si>
    <t>VIP185</t>
  </si>
  <si>
    <r>
      <rPr>
        <sz val="12"/>
        <color theme="1"/>
        <rFont val="Times New Roman"/>
        <family val="1"/>
      </rPr>
      <t>Nguyễn Minh Hiệu</t>
    </r>
    <r>
      <rPr>
        <sz val="12"/>
        <color rgb="FFFF0000"/>
        <rFont val="Times New Roman"/>
        <family val="1"/>
      </rPr>
      <t xml:space="preserve"> - số zalo 976484705
VIP154 rút phút 89</t>
    </r>
  </si>
  <si>
    <t>số nhà 2A 68/35 Triều Khúc, Thanh xuân, Hà nội</t>
  </si>
  <si>
    <t>số nhà 10 ngõ 167 cù chính lan trần tế xương thành phố nam định</t>
  </si>
  <si>
    <t>VIP175</t>
  </si>
  <si>
    <t>10/61 đường Kênh phường cửa Bắc, Nam Định</t>
  </si>
  <si>
    <t>VIP155 bảo lưu. KO làm theo hướng dẫn</t>
  </si>
  <si>
    <t>VIP181</t>
  </si>
  <si>
    <r>
      <rPr>
        <sz val="12"/>
        <color theme="1"/>
        <rFont val="Times New Roman"/>
        <family val="1"/>
      </rPr>
      <t xml:space="preserve">Nguyễn Thị Thùy Linh </t>
    </r>
    <r>
      <rPr>
        <sz val="12"/>
        <color rgb="FFFF0000"/>
        <rFont val="Times New Roman"/>
        <family val="1"/>
      </rPr>
      <t>- đã nộp 300K 10/06/25
VIP155 bảo lưu b16. Học VIP181 b6</t>
    </r>
  </si>
  <si>
    <t>Số nhà 14, Thôn 2, Xuân Nội, Hồng Kỳ,Sóc Sơn, Hà Nội</t>
  </si>
  <si>
    <t>Sách cũ 08/04/2025</t>
  </si>
  <si>
    <t>T354 nghỉ ngang b10. GV chat</t>
  </si>
  <si>
    <r>
      <rPr>
        <sz val="12"/>
        <color theme="1"/>
        <rFont val="Times New Roman"/>
        <family val="1"/>
      </rPr>
      <t xml:space="preserve">Nguyễn Hữu Trà </t>
    </r>
    <r>
      <rPr>
        <sz val="12"/>
        <color rgb="FFFF0000"/>
        <rFont val="Times New Roman"/>
        <family val="1"/>
      </rPr>
      <t>- VIP156</t>
    </r>
  </si>
  <si>
    <t>kTX khu B, 40 Nguyễn Khánh Toàn , An Cựu, Tp Huế</t>
  </si>
  <si>
    <r>
      <rPr>
        <sz val="12"/>
        <color theme="1"/>
        <rFont val="Times New Roman"/>
        <family val="1"/>
      </rPr>
      <t>Đặng Minh Đức</t>
    </r>
    <r>
      <rPr>
        <sz val="12"/>
        <color rgb="FFFF0000"/>
        <rFont val="Times New Roman"/>
        <family val="1"/>
      </rPr>
      <t xml:space="preserve"> </t>
    </r>
  </si>
  <si>
    <t>VIP183</t>
  </si>
  <si>
    <r>
      <rPr>
        <sz val="12"/>
        <color theme="1"/>
        <rFont val="Times New Roman"/>
        <family val="1"/>
      </rPr>
      <t xml:space="preserve">Nguyễn Thu Hằng </t>
    </r>
    <r>
      <rPr>
        <sz val="12"/>
        <color rgb="FFFF0000"/>
        <rFont val="Times New Roman"/>
        <family val="1"/>
      </rPr>
      <t>- VIP156</t>
    </r>
  </si>
  <si>
    <t>101 ngõ 250 kim giang, đại kim, hoàng mai, hà nội</t>
  </si>
  <si>
    <r>
      <rPr>
        <sz val="12"/>
        <color theme="1"/>
        <rFont val="Times New Roman"/>
        <family val="1"/>
      </rPr>
      <t xml:space="preserve">Trần Thị Huyền </t>
    </r>
    <r>
      <rPr>
        <sz val="12"/>
        <color rgb="FFFF0000"/>
        <rFont val="Times New Roman"/>
        <family val="1"/>
      </rPr>
      <t>- VIP156, OVIP27 - Chưa nộp 300K
VIP155 bảo lưu b11. Học VIP190 buổi 1</t>
    </r>
  </si>
  <si>
    <t>Số 7, 322/76/54, Nhân Mỹ, Mỹ Đình 1, Nam Từ Liêm, Hà Nội</t>
  </si>
  <si>
    <r>
      <rPr>
        <sz val="12"/>
        <color theme="1"/>
        <rFont val="Times New Roman"/>
        <family val="1"/>
      </rPr>
      <t>Phùng Thị Thanh Hậu</t>
    </r>
    <r>
      <rPr>
        <sz val="12"/>
        <color rgb="FFFF0000"/>
        <rFont val="Times New Roman"/>
        <family val="1"/>
      </rPr>
      <t xml:space="preserve"> - T305 rút ra đi quân sự</t>
    </r>
  </si>
  <si>
    <t>Khu C, Yên Nghĩa, Hà Đông, Hà Nội</t>
  </si>
  <si>
    <t xml:space="preserve"> số 9, ngõ 178 Tây Sơn, phường Trung Liệt, quận Đống Đa, Hà Nội</t>
  </si>
  <si>
    <t>T320</t>
  </si>
  <si>
    <r>
      <rPr>
        <sz val="12"/>
        <color theme="1"/>
        <rFont val="Times New Roman"/>
        <family val="1"/>
      </rPr>
      <t xml:space="preserve">Trịnh Thảo Phương </t>
    </r>
    <r>
      <rPr>
        <sz val="12"/>
        <color rgb="FFFF0000"/>
        <rFont val="Times New Roman"/>
        <family val="1"/>
      </rPr>
      <t>- đã nộp 300K 02/08/2025
T305 bảo lưu b7. Học T320 buổi 1</t>
    </r>
  </si>
  <si>
    <t>số nhà 15 ngách 39 ngõ 75 hồ tùng mậu mai dịch cầu giấy</t>
  </si>
  <si>
    <t>-số 93,phố ngũ nhạc,lĩnh nam,hoàng mai, hà nội</t>
  </si>
  <si>
    <t xml:space="preserve">Phạm Thị Hải Yến </t>
  </si>
  <si>
    <t>Tổ 1, Thị trấn Chi Đông, huyện Mê Linh, TP Hà Nội</t>
  </si>
  <si>
    <t>tổ dân phố 8, phường Thiên Hương, Thuỷ Nguyên, Hải Phòng</t>
  </si>
  <si>
    <t>số 19, ngách 31, ngõ 46 Văn Hội, phường Đức Thắng, quận Bắc Từ Liêm</t>
  </si>
  <si>
    <r>
      <rPr>
        <sz val="12"/>
        <color theme="1"/>
        <rFont val="Times New Roman"/>
        <family val="1"/>
      </rPr>
      <t xml:space="preserve">Đinh Thị Phương Thảo </t>
    </r>
    <r>
      <rPr>
        <sz val="12"/>
        <color rgb="FFFF0000"/>
        <rFont val="Times New Roman"/>
        <family val="1"/>
      </rPr>
      <t>- 334422500</t>
    </r>
  </si>
  <si>
    <t>7/106 Nguyễn Văn Trỗi thành phố Nam Định</t>
  </si>
  <si>
    <t>https://www.facebook.com/share/18rzdE2zHd/</t>
  </si>
  <si>
    <r>
      <rPr>
        <sz val="12"/>
        <color theme="1"/>
        <rFont val="Times New Roman"/>
        <family val="1"/>
      </rPr>
      <t xml:space="preserve">Nguyễn Hoàng Tố Quyên </t>
    </r>
    <r>
      <rPr>
        <sz val="12"/>
        <color rgb="FFFF0000"/>
        <rFont val="Times New Roman"/>
        <family val="1"/>
      </rPr>
      <t>- gửi sách S, W chung</t>
    </r>
  </si>
  <si>
    <r>
      <rPr>
        <sz val="12"/>
        <color theme="1"/>
        <rFont val="Times New Roman"/>
        <family val="1"/>
      </rPr>
      <t>Nguyễn Hồng Phúc</t>
    </r>
    <r>
      <rPr>
        <sz val="12"/>
        <color rgb="FFFF0000"/>
        <rFont val="Times New Roman"/>
        <family val="1"/>
      </rPr>
      <t xml:space="preserve"> </t>
    </r>
  </si>
  <si>
    <t xml:space="preserve">Đỗ Ngọc Anh </t>
  </si>
  <si>
    <t>https://www.facebook.com/llnt05</t>
  </si>
  <si>
    <t>OVIP48</t>
  </si>
  <si>
    <r>
      <rPr>
        <sz val="12"/>
        <color theme="1"/>
        <rFont val="Times New Roman"/>
        <family val="1"/>
      </rPr>
      <t>Nguyễn Đức Long</t>
    </r>
    <r>
      <rPr>
        <sz val="12"/>
        <color rgb="FFFF0000"/>
        <rFont val="Times New Roman"/>
        <family val="1"/>
      </rPr>
      <t xml:space="preserve"> - Đã nộp 300K 04/08/2025
OVIP35 bảo lưu b11. Học OVIP48 b1</t>
    </r>
  </si>
  <si>
    <r>
      <rPr>
        <sz val="12"/>
        <color theme="1"/>
        <rFont val="Times New Roman"/>
        <family val="1"/>
      </rPr>
      <t xml:space="preserve">Hoàng Phan Quyền Linh </t>
    </r>
    <r>
      <rPr>
        <sz val="12"/>
        <color rgb="FFFF0000"/>
        <rFont val="Times New Roman"/>
        <family val="1"/>
      </rPr>
      <t>- Đã nộp 300K 05/08/2025
OVIP35 bảo lưu b11. Học OVIP48 b1</t>
    </r>
  </si>
  <si>
    <t xml:space="preserve">Hoàng Hải Đăng </t>
  </si>
  <si>
    <t>OT69</t>
  </si>
  <si>
    <t>T335</t>
  </si>
  <si>
    <t>Cổng làng thôn Đa Ngưu xã Văn Giang tỉnh Hưng Yên</t>
  </si>
  <si>
    <r>
      <rPr>
        <sz val="12"/>
        <color theme="1"/>
        <rFont val="Times New Roman"/>
        <family val="1"/>
      </rPr>
      <t xml:space="preserve">Nguyễn Thị Thu Thủy </t>
    </r>
    <r>
      <rPr>
        <sz val="12"/>
        <color rgb="FFFF0000"/>
        <rFont val="Times New Roman"/>
        <family val="1"/>
      </rPr>
      <t>- OT67</t>
    </r>
  </si>
  <si>
    <t>T309</t>
  </si>
  <si>
    <t>ngõ 5 số nhà 47 ngọa long minh khai bắc từ liêm hà nội</t>
  </si>
  <si>
    <t>Nhài đưa ở văn phòng</t>
  </si>
  <si>
    <t>https://www.facebook.com/vu.quynh.5030927</t>
  </si>
  <si>
    <t xml:space="preserve">Vũ Thị Quỳnh Anh </t>
  </si>
  <si>
    <t>369 Lê Thái Tông, TT Lam Sơn, Thọ Xuân, Thanh Hóa</t>
  </si>
  <si>
    <t>14/01/2025 và 10/02/2025</t>
  </si>
  <si>
    <t>https://drive.google.com/open?id=1Xk5q-0N2K01mfu7WiRmUABzQte44B2qj; https://drive.google.com/open?id=1KRsh21UVJHSueLGHs0U6kNF-sBIkR_ta; https://drive.google.com/open?id=17aHcCaLd97ye_dlajNqtscWCuNyEb-uV</t>
  </si>
  <si>
    <t>https://www.facebook.com/ngo.the.cuong.2024</t>
  </si>
  <si>
    <t>Ngô Thế Cường</t>
  </si>
  <si>
    <t>Cổ Nhuế</t>
  </si>
  <si>
    <t>14/01/2025 và 16/02/2025</t>
  </si>
  <si>
    <t>https://drive.google.com/open?id=1oyRm5mRi98sxsWzeKkAHjJKA4NzthB_H; https://drive.google.com/open?id=1sHgTwz6rbrCMCMVg6TddwfIzcYaesOm7; https://drive.google.com/open?id=1ULf_AyobLnzctAGP_clNx7VhGmYmtyyd</t>
  </si>
  <si>
    <t>https://www.facebook.com/share/1KEyyXYCbD/?mibextid=wwXIfr</t>
  </si>
  <si>
    <t xml:space="preserve">Nguyễn Minh Đức </t>
  </si>
  <si>
    <t>minhducz123456@gmail.com</t>
  </si>
  <si>
    <t>09/02/2025 và 13/02/2025</t>
  </si>
  <si>
    <t>https://drive.google.com/open?id=15kYxHHrQ31nvZcF5ny4CrqRjm2udbUm-; https://drive.google.com/open?id=1tvlvEuy4mkHAwR1xuu_0iXJT4QQkv_aY; https://drive.google.com/open?id=1q10sTRifHg6iWq9xAd3iVfLk43hlDZac</t>
  </si>
  <si>
    <t>https://www.facebook.com/share/18cc9guf7u/?mibextid=wwXIfr</t>
  </si>
  <si>
    <r>
      <rPr>
        <sz val="12"/>
        <color theme="1"/>
        <rFont val="Times New Roman"/>
        <family val="1"/>
      </rPr>
      <t>Trần Thị Chi</t>
    </r>
    <r>
      <rPr>
        <sz val="12"/>
        <color rgb="FFFF0000"/>
        <rFont val="Times New Roman"/>
        <family val="1"/>
      </rPr>
      <t xml:space="preserve"> - 981273687 số cũ</t>
    </r>
  </si>
  <si>
    <t>tranthichi030106@gmail.com</t>
  </si>
  <si>
    <t>86 ngõ 196 phú diễn</t>
  </si>
  <si>
    <t>10/02/2025 và 17/02/2025</t>
  </si>
  <si>
    <t>https://drive.google.com/open?id=1D6rtZBo8QRLKYsX488qL-8WeEjyvnacm; https://drive.google.com/open?id=1It1wYzrEKkojczfoqJIAP-Oi50kFk5hC; https://drive.google.com/open?id=1vW5XNS2HSNMH8RZyPTkHC7-peHRu41vU</t>
  </si>
  <si>
    <t>https://www.facebook.com/share/1BJXqWLM2B/?mibextid=wwXIfr</t>
  </si>
  <si>
    <t>Vũ Quốc Anh</t>
  </si>
  <si>
    <t>Hải anh</t>
  </si>
  <si>
    <t>https://drive.google.com/open?id=1k-MpNL7pltAKV0xrKj34h3BYi0_cEZqk; https://drive.google.com/open?id=1rstAmMjuq7AfsXM5b8DJm01DsS0WIob0</t>
  </si>
  <si>
    <r>
      <rPr>
        <sz val="12"/>
        <color theme="1"/>
        <rFont val="Times New Roman"/>
        <family val="1"/>
      </rPr>
      <t>Ngô Quý Thái</t>
    </r>
    <r>
      <rPr>
        <sz val="12"/>
        <color rgb="FFFF0000"/>
        <rFont val="Times New Roman"/>
        <family val="1"/>
      </rPr>
      <t xml:space="preserve"> </t>
    </r>
  </si>
  <si>
    <t>https://web.facebook.com/duong.hoangthuy.06</t>
  </si>
  <si>
    <t>https://www.facebook.com/le.hong.diem.92347?mibextid=wwXIfr&amp;rdid=pHmiD6oqyQhLwPkN&amp;share_url=https%3A%2F%2Fwww.facebook.com%2Fshare%2F14eqgkm4TV%2F%3Fmibextid%3DwwXIfr</t>
  </si>
  <si>
    <t>Lê Hồng Diễm</t>
  </si>
  <si>
    <t>lehongdiem206@gmail.com</t>
  </si>
  <si>
    <t>30/12/2024 và 16/02/2025</t>
  </si>
  <si>
    <t>https://drive.google.com/open?id=1UArNiSx-JtzcyBYykrZh-OwEL4yAfgkR; https://drive.google.com/open?id=1L_B5Ig5UwWue_n1okeWVU09xW8NFcEOI; https://drive.google.com/open?id=15CKE_i07MWUCT8bjc_60IjB-whHP4bHG</t>
  </si>
  <si>
    <t>https://www.facebook.com/yen.nga.801303</t>
  </si>
  <si>
    <t>Đỗ Thị Yến Nga</t>
  </si>
  <si>
    <t>ngaa0981@gmail.com</t>
  </si>
  <si>
    <t>https://drive.google.com/open?id=11ynGeIVV4NyBAACwshirboKEjQ1kZV6W; https://drive.google.com/open?id=1K0ibHY2bYzKwbqw_d8BmeNjIstYoe9xX</t>
  </si>
  <si>
    <t>https://www.facebook.com/share/1KDxz7PWDp/?mibextid=wwXIfr</t>
  </si>
  <si>
    <t>04/12/2024 và 14/02/2025</t>
  </si>
  <si>
    <t>https://drive.google.com/open?id=1ZfbY6UdjW8PGJO3Y0yQJwuMQKLr6902y; https://drive.google.com/open?id=1hV6Mug7QxSBDx3zLg3Z3-PO8k96NO4tp; https://drive.google.com/open?id=1x7BPEPWwEOtRAY000xL6HZrxszklMr0Z</t>
  </si>
  <si>
    <t>29 Ngh. 1194/141 Đ. Láng, Nhà Có Hầm Để Xe, Láng Thượng, Đống Đa, Hà Nội,</t>
  </si>
  <si>
    <t>OVIP41</t>
  </si>
  <si>
    <t xml:space="preserve">Nguyễn Ngọc Anh </t>
  </si>
  <si>
    <t>Số 2 Ngõ 53 Quang Tiến Đại Mỗ Nam Từ Liêm</t>
  </si>
  <si>
    <r>
      <rPr>
        <sz val="12"/>
        <color theme="1"/>
        <rFont val="Times New Roman"/>
        <family val="1"/>
      </rPr>
      <t>Tạ Thị Thanh Hoa</t>
    </r>
    <r>
      <rPr>
        <sz val="12"/>
        <color rgb="FFFF0000"/>
        <rFont val="Times New Roman"/>
        <family val="1"/>
      </rPr>
      <t xml:space="preserve"> - đã nộp 300K 10/06/2025
OVIP36 bảo lưu b10 đi quân sự. Học OVIP47 b1
200K mua sách 28/07/2025</t>
    </r>
  </si>
  <si>
    <t xml:space="preserve"> 105 ngõ 168 kim giang hoàng mai</t>
  </si>
  <si>
    <t>Sách cũ 06/05/2025</t>
  </si>
  <si>
    <r>
      <rPr>
        <sz val="12"/>
        <color theme="1"/>
        <rFont val="Times New Roman"/>
        <family val="1"/>
      </rPr>
      <t xml:space="preserve">Lộc Trịnh Vĩnh Cường - </t>
    </r>
    <r>
      <rPr>
        <sz val="12"/>
        <color rgb="FFFF0000"/>
        <rFont val="Times New Roman"/>
        <family val="1"/>
      </rPr>
      <t>Cường Lộc</t>
    </r>
  </si>
  <si>
    <t>toà ct6c xala kiến hưng hà đông hà nội</t>
  </si>
  <si>
    <r>
      <rPr>
        <sz val="12"/>
        <color theme="1"/>
        <rFont val="Times New Roman"/>
        <family val="1"/>
      </rPr>
      <t>Bùi Hải Dương</t>
    </r>
    <r>
      <rPr>
        <sz val="12"/>
        <color rgb="FFFF0000"/>
        <rFont val="Times New Roman"/>
        <family val="1"/>
      </rPr>
      <t xml:space="preserve"> - OVIP35</t>
    </r>
  </si>
  <si>
    <t>Ngõ 66B Triều khúc,Thanh Xuân, Hà Nội</t>
  </si>
  <si>
    <t>VIP174</t>
  </si>
  <si>
    <r>
      <rPr>
        <sz val="12"/>
        <color theme="1"/>
        <rFont val="Times New Roman"/>
        <family val="1"/>
      </rPr>
      <t xml:space="preserve">Nguyễn Nam Khánh </t>
    </r>
    <r>
      <rPr>
        <sz val="12"/>
        <color rgb="FFFF0000"/>
        <rFont val="Times New Roman"/>
        <family val="1"/>
      </rPr>
      <t>- Đã nộp 500K 22/06/2025
VIP158 bảo lưu b2. Học VIP174 b1</t>
    </r>
  </si>
  <si>
    <t>Nhà số 14 phố hoàng ngọc phách, Đống Đa, HÀ Nội</t>
  </si>
  <si>
    <t>Sách cũ 09/04/2025</t>
  </si>
  <si>
    <r>
      <rPr>
        <sz val="12"/>
        <color rgb="FF000000"/>
        <rFont val="Times New Roman"/>
        <family val="1"/>
      </rPr>
      <t>Ngô Công Danh</t>
    </r>
    <r>
      <rPr>
        <sz val="12"/>
        <color rgb="FFFF0000"/>
        <rFont val="Times New Roman"/>
        <family val="1"/>
      </rPr>
      <t xml:space="preserve"> - Đã nộp 300K 20/09/2025
OVIP54 bảo lưu b4. Học VIP196 b1</t>
    </r>
  </si>
  <si>
    <r>
      <rPr>
        <sz val="12"/>
        <color theme="1"/>
        <rFont val="Times New Roman"/>
        <family val="1"/>
      </rPr>
      <t xml:space="preserve">Bùi Quý Hoàng Hiệp - </t>
    </r>
    <r>
      <rPr>
        <sz val="12"/>
        <color rgb="FFFF0000"/>
        <rFont val="Times New Roman"/>
        <family val="1"/>
      </rPr>
      <t>Bông</t>
    </r>
  </si>
  <si>
    <t>Lk4-11 Vạn Phúc Hà Đông</t>
  </si>
  <si>
    <t>W18</t>
  </si>
  <si>
    <t xml:space="preserve"> 65A Tân Nhuệ Thuỵ Phương Bắc Từ Liêm Hà Nội</t>
  </si>
  <si>
    <t>Số nhà 23 ngách 43/43 Chùa Bộc Đống Đa Hà Nội</t>
  </si>
  <si>
    <t>W32</t>
  </si>
  <si>
    <r>
      <rPr>
        <sz val="12"/>
        <color theme="1"/>
        <rFont val="Times New Roman"/>
        <family val="1"/>
      </rPr>
      <t>Nguyễn Quỳnh Hương</t>
    </r>
    <r>
      <rPr>
        <sz val="12"/>
        <color rgb="FFFF0000"/>
        <rFont val="Times New Roman"/>
        <family val="1"/>
      </rPr>
      <t xml:space="preserve"> - đã nộp 300K 05/05/2025
W18 bảo lưu buổi 1. Học W32 b1</t>
    </r>
    <r>
      <rPr>
        <sz val="12"/>
        <color theme="1"/>
        <rFont val="Times New Roman"/>
        <family val="1"/>
      </rPr>
      <t xml:space="preserve"> </t>
    </r>
  </si>
  <si>
    <t>Số 1 Ngõ 34, đường An Hạ 3, An Thượng, Hoài Đức, Hà Nội</t>
  </si>
  <si>
    <r>
      <rPr>
        <sz val="12"/>
        <color theme="1"/>
        <rFont val="Times New Roman"/>
        <family val="1"/>
      </rPr>
      <t>Đỗ Phương Uyên</t>
    </r>
    <r>
      <rPr>
        <sz val="12"/>
        <color rgb="FFFF0000"/>
        <rFont val="Times New Roman"/>
        <family val="1"/>
      </rPr>
      <t xml:space="preserve"> </t>
    </r>
  </si>
  <si>
    <t>Siêu thị GPT Mart, số 9,lk30,Vân Canh,Hoài Đức</t>
  </si>
  <si>
    <t>T325</t>
  </si>
  <si>
    <t>https://www.facebook.com/share/1BKfhR2tQu/?mibextid=wwXIfr</t>
  </si>
  <si>
    <r>
      <rPr>
        <sz val="12"/>
        <color theme="1"/>
        <rFont val="Times New Roman"/>
        <family val="1"/>
      </rPr>
      <t>Nguyễn Thị Anh Thi</t>
    </r>
    <r>
      <rPr>
        <sz val="12"/>
        <color rgb="FFFF0000"/>
        <rFont val="Times New Roman"/>
        <family val="1"/>
      </rPr>
      <t xml:space="preserve"> - T302, T331 hv thứ 11</t>
    </r>
  </si>
  <si>
    <t>nanhthi420@gmail.com</t>
  </si>
  <si>
    <t xml:space="preserve"> Văn Xá, Ngô Quyền, Thanh Miện, Hải Dương</t>
  </si>
  <si>
    <t>21/01/2025 và 04/02/2025</t>
  </si>
  <si>
    <t>https://drive.google.com/open?id=1JsvDZ3kOHfLOkALtuyV-K14NlkF3Ch9v; https://drive.google.com/open?id=130kARs5HIifjijQzrTdsRl-Z_CPcyCSb; https://drive.google.com/open?id=1gySnvKSGQormJVQdpsWoEONc6Kh4LtKv</t>
  </si>
  <si>
    <r>
      <rPr>
        <sz val="12"/>
        <color theme="1"/>
        <rFont val="Times New Roman"/>
        <family val="1"/>
      </rPr>
      <t>Nguyễn Mạnh Tú</t>
    </r>
    <r>
      <rPr>
        <sz val="12"/>
        <color rgb="FFFF0000"/>
        <rFont val="Times New Roman"/>
        <family val="1"/>
      </rPr>
      <t xml:space="preserve"> - Đã nộp 300K + 200K 07/05/2025 mua sách</t>
    </r>
    <r>
      <rPr>
        <sz val="12"/>
        <color theme="1"/>
        <rFont val="Times New Roman"/>
        <family val="1"/>
      </rPr>
      <t xml:space="preserve">
</t>
    </r>
    <r>
      <rPr>
        <sz val="12"/>
        <color rgb="FFFF0000"/>
        <rFont val="Times New Roman"/>
        <family val="1"/>
      </rPr>
      <t>VIP154 bảo lưu buổi 0. Học VIP163</t>
    </r>
  </si>
  <si>
    <t>kếu , bình xuyên , vĩnh phúc</t>
  </si>
  <si>
    <t>T303 bảo lưu buổi 6</t>
  </si>
  <si>
    <t>29d-281 trương định- 2 bà trưng- hà nội</t>
  </si>
  <si>
    <t>OVIP27 bảo lưu b15</t>
  </si>
  <si>
    <t>193 Phú Diễn, Bắc Từ Liêm</t>
  </si>
  <si>
    <r>
      <rPr>
        <sz val="12"/>
        <color theme="1"/>
        <rFont val="Times New Roman"/>
        <family val="1"/>
      </rPr>
      <t xml:space="preserve">Đỗ Minh Hiếu </t>
    </r>
    <r>
      <rPr>
        <sz val="12"/>
        <color rgb="FFFF0000"/>
        <rFont val="Times New Roman"/>
        <family val="1"/>
      </rPr>
      <t>- OVIP27</t>
    </r>
  </si>
  <si>
    <t>số 60 ngõ Đình, Ninh Cầm,Tân Dân, Sóc Sơn, Hà Nội</t>
  </si>
  <si>
    <t>số 09 ngõ vườn kè,Ninh Cầm,Tân Dân,Sóc Sơn,Hà Nội</t>
  </si>
  <si>
    <t>OVIP43 ko đi học từ buổi 8. Sĩ số lệch hỏi Vũ</t>
  </si>
  <si>
    <r>
      <rPr>
        <sz val="12"/>
        <color theme="1"/>
        <rFont val="Times New Roman"/>
        <family val="1"/>
      </rPr>
      <t xml:space="preserve">Ngô Dương Hùng </t>
    </r>
    <r>
      <rPr>
        <sz val="12"/>
        <color rgb="FFFF0000"/>
        <rFont val="Times New Roman"/>
        <family val="1"/>
      </rPr>
      <t>- OVIP27</t>
    </r>
  </si>
  <si>
    <t xml:space="preserve"> số 1 hẻm 4 ngách 23 ngõ 58 đường trần bình</t>
  </si>
  <si>
    <r>
      <rPr>
        <sz val="12"/>
        <color theme="1"/>
        <rFont val="Times New Roman"/>
        <family val="1"/>
      </rPr>
      <t>Lương Thanh Thảo</t>
    </r>
    <r>
      <rPr>
        <sz val="12"/>
        <color rgb="FFFF0000"/>
        <rFont val="Times New Roman"/>
        <family val="1"/>
      </rPr>
      <t xml:space="preserve"> - Đã nộp 300K 18/08/2025
VIP157 bảo lưu b16. Học VIP172 buổi 16</t>
    </r>
  </si>
  <si>
    <t xml:space="preserve"> 35 sông Nhuệ, Đức Thắng, Bắc Từ Liêm, Hà Nội</t>
  </si>
  <si>
    <r>
      <rPr>
        <sz val="12"/>
        <color theme="1"/>
        <rFont val="Times New Roman"/>
        <family val="1"/>
      </rPr>
      <t>Trần Thu Huyền</t>
    </r>
    <r>
      <rPr>
        <sz val="12"/>
        <color rgb="FFFF0000"/>
        <rFont val="Times New Roman"/>
        <family val="1"/>
      </rPr>
      <t xml:space="preserve"> - VIP155 HV thứ 10</t>
    </r>
  </si>
  <si>
    <t>1030/11 Võ Văn Kiệt quận 5, TP Hồ Chí Minh</t>
  </si>
  <si>
    <r>
      <rPr>
        <sz val="12"/>
        <color theme="1"/>
        <rFont val="Times New Roman"/>
        <family val="1"/>
      </rPr>
      <t>Phạm Thị Huệ -</t>
    </r>
    <r>
      <rPr>
        <sz val="12"/>
        <color rgb="FFFF0000"/>
        <rFont val="Times New Roman"/>
        <family val="1"/>
      </rPr>
      <t xml:space="preserve"> VIP177</t>
    </r>
  </si>
  <si>
    <t>toà s1 goldmark city 136 hồ tùng mậu</t>
  </si>
  <si>
    <t>số 15 68/195 phú diễn, bắc từ liêm, hà nội</t>
  </si>
  <si>
    <t>An Lạc Trưng Trắc Văn Lâm Hưng Yên</t>
  </si>
  <si>
    <t>OVIP51</t>
  </si>
  <si>
    <t>OVIP37 bảo lưu buổi 2</t>
  </si>
  <si>
    <r>
      <rPr>
        <sz val="12"/>
        <color theme="1"/>
        <rFont val="Times New Roman"/>
        <family val="1"/>
      </rPr>
      <t>Vũ Chí Dũng</t>
    </r>
    <r>
      <rPr>
        <sz val="12"/>
        <color rgb="FFFF0000"/>
        <rFont val="Times New Roman"/>
        <family val="1"/>
      </rPr>
      <t xml:space="preserve"> </t>
    </r>
  </si>
  <si>
    <r>
      <rPr>
        <sz val="12"/>
        <color theme="1"/>
        <rFont val="Times New Roman"/>
        <family val="1"/>
      </rPr>
      <t>Nguyễn Nhất Trọng</t>
    </r>
    <r>
      <rPr>
        <sz val="12"/>
        <color rgb="FFFF0000"/>
        <rFont val="Times New Roman"/>
        <family val="1"/>
      </rPr>
      <t xml:space="preserve"> </t>
    </r>
  </si>
  <si>
    <t>10/23 Đường Số 13, Khu phố Thống Nhất, Dĩ An, Bình Dương</t>
  </si>
  <si>
    <t xml:space="preserve">Phạm Quỳnh Anh </t>
  </si>
  <si>
    <t xml:space="preserve">Hà Vân Anh </t>
  </si>
  <si>
    <r>
      <rPr>
        <sz val="12"/>
        <color theme="1"/>
        <rFont val="Times New Roman"/>
        <family val="1"/>
      </rPr>
      <t>Trần Văn Thắng</t>
    </r>
    <r>
      <rPr>
        <sz val="12"/>
        <color rgb="FFFF0000"/>
        <rFont val="Times New Roman"/>
        <family val="1"/>
      </rPr>
      <t xml:space="preserve"> - OT69 rút sắp KG</t>
    </r>
  </si>
  <si>
    <t>Cổng 1 , Tràng An Complex, Số Nhà Lk 11, Phùng Chí Kiên</t>
  </si>
  <si>
    <t>OPT61, OT69, OT78</t>
  </si>
  <si>
    <t>T435</t>
  </si>
  <si>
    <r>
      <rPr>
        <sz val="12"/>
        <color theme="1"/>
        <rFont val="Times New Roman"/>
        <family val="1"/>
      </rPr>
      <t>Nguyễn Văn An</t>
    </r>
    <r>
      <rPr>
        <sz val="12"/>
        <color rgb="FFFF0000"/>
        <rFont val="Times New Roman"/>
        <family val="1"/>
      </rPr>
      <t xml:space="preserve"> - Đã nộp 300K 15/09/2025
OT69 bảo lưu b8. Học OT78 buổi 1
OT78 bảo lưu b11, Học T435 b7. Đã nộp 300K 28/01/2026</t>
    </r>
  </si>
  <si>
    <t>https://www.facebook.com/share/14yNQG8eAx/?mibextid=wwXIfr</t>
  </si>
  <si>
    <t xml:space="preserve">Nguyễn Thu Phương </t>
  </si>
  <si>
    <t>05/02/2025 và 24/02/2025</t>
  </si>
  <si>
    <t>https://drive.google.com/open?id=1VYUoYXykblgxsGBNa-FiDLVsGYviqzrv; https://drive.google.com/open?id=1gMbWxH_NuZTrHUxCW9pY131_R8qMxhy_; https://drive.google.com/open?id=1SqK2PCu0LZhztOWBSuHoBniiz6pFtR8o</t>
  </si>
  <si>
    <t>https://www.facebook.com/lam.282005</t>
  </si>
  <si>
    <t>Nông Thị Lâm</t>
  </si>
  <si>
    <t>Hoà</t>
  </si>
  <si>
    <t xml:space="preserve"> 199 Trần Quốc Hoàn</t>
  </si>
  <si>
    <t>11/02/2025 và 22/02/2025</t>
  </si>
  <si>
    <t>https://drive.google.com/open?id=1fNuu93jBCunaO8jaLwTQWLaUWe8Lx1iq; https://drive.google.com/open?id=1GJ8ZiITAs_KG08y27Vf1N2F0LaLcgNim; https://drive.google.com/open?id=1ehvf9aKOcssS-jCiy0l9s52y4yRWKYoJ</t>
  </si>
  <si>
    <t>https://www.facebook.com/LTTSHU</t>
  </si>
  <si>
    <t>Lê Thu Thảo</t>
  </si>
  <si>
    <t>Ký túc xá đại học Sư Phạm Hà Nội ạ</t>
  </si>
  <si>
    <t>https://drive.google.com/open?id=1PkDnEN7VIgA5UmX-o8XuyO2mesfKfyRR; https://drive.google.com/open?id=1l5a8AEAZOtN-geJ8iMvFKJDCjdCcE0iD; https://drive.google.com/open?id=1hbApmGfRdq9WCMqziFt2tTKdGoMU-V8O</t>
  </si>
  <si>
    <t>https://www.facebook.com/quyentotran219?mibextid=wwXIfr&amp;rdid=SoyeQkfIXdDBorqu&amp;share_url=https%3A%2F%2Fwww.facebook.com%2Fshare%2F1En3giSZKj%2F%3Fmibextid%3DwwXIfr</t>
  </si>
  <si>
    <r>
      <rPr>
        <sz val="12"/>
        <color theme="1"/>
        <rFont val="Times New Roman"/>
        <family val="1"/>
      </rPr>
      <t>Trần Tố Quyên</t>
    </r>
    <r>
      <rPr>
        <sz val="12"/>
        <color rgb="FFFF0000"/>
        <rFont val="Times New Roman"/>
        <family val="1"/>
      </rPr>
      <t xml:space="preserve"> - đã nộp 300K 13/06/2025
OT69 bảo lưu b12. Học T309 b11</t>
    </r>
  </si>
  <si>
    <t>trantoquyen05@gmail.com</t>
  </si>
  <si>
    <t>2B ngách 129 ngõ 207 Xuân Đỉnh, Bắc Từ Liêm, HN</t>
  </si>
  <si>
    <t>https://drive.google.com/open?id=1VSQAycDrI51GEqPoJy7605nn1L7QC6Ck; https://drive.google.com/open?id=1pYuCpanVljMaRpHRjAnuMqz2vdbQM3UK</t>
  </si>
  <si>
    <t>https://www.facebook.com/share/1Ba2ZZvAid/?mibextid=LQQJ4d</t>
  </si>
  <si>
    <t>Nguyễn Tiến Việt</t>
  </si>
  <si>
    <t>Số 75, 401 Xuân Đỉnh, phường xuân đỉnh, Tây Hồ, Hà Nội</t>
  </si>
  <si>
    <t>https://drive.google.com/open?id=1ut_02AEoxZuhfzoGxxvDY3vpCfPfc1_w; https://drive.google.com/open?id=1QOoKHXI00v2sByYsG7MIjVJwKs2scnjt</t>
  </si>
  <si>
    <t>https://www.facebook.com/share/18oo4u6YpK/?mibextid=wwXIfr</t>
  </si>
  <si>
    <t>Nguyễn Thị Diệp</t>
  </si>
  <si>
    <t>09/02/2025 và 23/02/2025</t>
  </si>
  <si>
    <t>https://drive.google.com/open?id=1O6TnhlDyR_SEnBFUM999KIj0e3ns2Ift; https://drive.google.com/open?id=1qwzbyOm7BmGpTHTADzmcgzif1pT-boTF; https://drive.google.com/open?id=1JpPFYGQMrAeMZThei5jDrQ8suJrCPc3n</t>
  </si>
  <si>
    <t>https://web.facebook.com/phung.thi.thu.huyen.2024?mibextid=wwXIfr&amp;rdid=gFgguzxcIksHsIm5&amp;share_url=https%3A%2F%2Fweb.facebook.com%2Fshare%2F14XPxQbVNS%2F%3Fmibextid%3DwwXIfr%26_rdc%3D1%26_rdr#</t>
  </si>
  <si>
    <t>Phùng Thị Thu Huyền</t>
  </si>
  <si>
    <t>https://drive.google.com/open?id=1d4pNt0zcQy9uOwVnsrx7aSmUJOc63dte; https://drive.google.com/open?id=1ftxmYDAmKjV1q1k-arhVSW-c-X7JS98A; https://drive.google.com/open?id=1N8pCVq5kwyjficeGqlwd5Yeu0oUv32Jh</t>
  </si>
  <si>
    <t>https://web.facebook.com/ngo.tu.95547?_rdc=1&amp;_rdr#</t>
  </si>
  <si>
    <t xml:space="preserve">Ngô Ngọc Anh Tú </t>
  </si>
  <si>
    <t>https://drive.google.com/open?id=1nUtafSGo5oMrQwLWaQ73pz1OTnEY_SnD; https://drive.google.com/open?id=15sxNWhSGC9XAIv5ABlslK9IiJ-KRDKMN</t>
  </si>
  <si>
    <t>https://www.facebook.com/nnlongg</t>
  </si>
  <si>
    <t>Nguyễn Ngọc Long</t>
  </si>
  <si>
    <t>https://drive.google.com/open?id=1078gWh5jjpAbLMJD0Q1xyiufjh75XJBy; https://drive.google.com/open?id=1SECEuA4mj0sdUyk8kjUczoFKT1c0AvvR</t>
  </si>
  <si>
    <t>https://www.facebook.com/share/1YSUQRPfVA/?mibextid=wwXIfr</t>
  </si>
  <si>
    <r>
      <rPr>
        <sz val="12"/>
        <color theme="1"/>
        <rFont val="Times New Roman"/>
        <family val="1"/>
      </rPr>
      <t xml:space="preserve">Phạm Phương Nhi </t>
    </r>
    <r>
      <rPr>
        <sz val="12"/>
        <color rgb="FFFF0000"/>
        <rFont val="Times New Roman"/>
        <family val="1"/>
      </rPr>
      <t>- VIP158</t>
    </r>
  </si>
  <si>
    <t>ngõ 41 Ngô gia tự, tổ 3,Lê Hồng Phong, Phủ Lý, Hà Nam</t>
  </si>
  <si>
    <t>https://www.facebook.com/profile.php?id=100013617668157&amp;mibextid=ZbWKwL</t>
  </si>
  <si>
    <r>
      <rPr>
        <sz val="12"/>
        <color theme="1"/>
        <rFont val="Times New Roman"/>
        <family val="1"/>
      </rPr>
      <t xml:space="preserve">Ngô Ngọc Duy </t>
    </r>
    <r>
      <rPr>
        <sz val="12"/>
        <color rgb="FFFF0000"/>
        <rFont val="Times New Roman"/>
        <family val="1"/>
      </rPr>
      <t>- đổi E3 học W</t>
    </r>
  </si>
  <si>
    <t>Hiền chat</t>
  </si>
  <si>
    <t>ngongocduy09042005@gmail.com</t>
  </si>
  <si>
    <t>số nhà 106, đường A40, phường Yên Nghĩa, quận Hà Đông, Hà Nội.</t>
  </si>
  <si>
    <t>https://drive.google.com/open?id=1k5IIxHiehgySkWakinjhvk8zWyJaDXfI</t>
  </si>
  <si>
    <t>Điền lên T01.2025</t>
  </si>
  <si>
    <t>T327</t>
  </si>
  <si>
    <t>https://www.facebook.com/huyah.le?mibextid=ZbWKwL</t>
  </si>
  <si>
    <r>
      <rPr>
        <sz val="12"/>
        <color theme="1"/>
        <rFont val="Times New Roman"/>
        <family val="1"/>
      </rPr>
      <t xml:space="preserve">Lê Thị Lan </t>
    </r>
    <r>
      <rPr>
        <sz val="12"/>
        <color rgb="FFFF0000"/>
        <rFont val="Times New Roman"/>
        <family val="1"/>
      </rPr>
      <t>- đổi E3 =&gt; T. T324</t>
    </r>
  </si>
  <si>
    <t xml:space="preserve"> Laboong Số 89 Sông Nhuệ -Bắc Từ Liêm Hà Nội</t>
  </si>
  <si>
    <t>https://drive.google.com/open?id=1FY1401HE3NjDDEMGQJw9hoFhErxl6s5i</t>
  </si>
  <si>
    <t>https://www.facebook.com/share/1BH71YEffL/</t>
  </si>
  <si>
    <r>
      <rPr>
        <sz val="12"/>
        <color theme="1"/>
        <rFont val="Times New Roman"/>
        <family val="1"/>
      </rPr>
      <t xml:space="preserve">Phạm Văn Đông </t>
    </r>
    <r>
      <rPr>
        <sz val="12"/>
        <color rgb="FFFF0000"/>
        <rFont val="Times New Roman"/>
        <family val="1"/>
      </rPr>
      <t xml:space="preserve">- nhận học 
</t>
    </r>
    <r>
      <rPr>
        <sz val="12"/>
        <color theme="1"/>
        <rFont val="Times New Roman"/>
        <family val="1"/>
      </rPr>
      <t xml:space="preserve">Nguyễn Hữu Thăng </t>
    </r>
    <r>
      <rPr>
        <sz val="12"/>
        <color rgb="FFFF0000"/>
        <rFont val="Times New Roman"/>
        <family val="1"/>
      </rPr>
      <t>- 376485290
Chuyển nhượng đã nộp 300K 03/04/25</t>
    </r>
  </si>
  <si>
    <t>pdonga2k48@gmail.com</t>
  </si>
  <si>
    <t>sân chơi A4,chợ Nam Đồng,ngõ119 Hồ Đắc Di, Đống Đa, Hà Nội</t>
  </si>
  <si>
    <t>OVIP37</t>
  </si>
  <si>
    <t xml:space="preserve">Phan Hà Phương </t>
  </si>
  <si>
    <r>
      <rPr>
        <sz val="12"/>
        <color theme="1"/>
        <rFont val="Times New Roman"/>
        <family val="1"/>
      </rPr>
      <t xml:space="preserve">Hồ Hoài Thương </t>
    </r>
    <r>
      <rPr>
        <sz val="12"/>
        <color rgb="FFFF0000"/>
        <rFont val="Times New Roman"/>
        <family val="1"/>
      </rPr>
      <t>- Đã nộp 300K 08/06/2025
OVIP37 bảo lưu b13. Học VIP158 b13
VIP158 bảo lưu b20. Học VIP167 b20 KO thu 300K</t>
    </r>
  </si>
  <si>
    <t>VIP188</t>
  </si>
  <si>
    <r>
      <rPr>
        <sz val="12"/>
        <color theme="1"/>
        <rFont val="Times New Roman"/>
        <family val="1"/>
      </rPr>
      <t>Đào Thị Huyên</t>
    </r>
    <r>
      <rPr>
        <sz val="12"/>
        <color rgb="FFFF0000"/>
        <rFont val="Times New Roman"/>
        <family val="1"/>
      </rPr>
      <t xml:space="preserve"> - Đã nộp 300K 02/09/2025</t>
    </r>
    <r>
      <rPr>
        <sz val="12"/>
        <color theme="1"/>
        <rFont val="Times New Roman"/>
        <family val="1"/>
      </rPr>
      <t xml:space="preserve">
</t>
    </r>
    <r>
      <rPr>
        <sz val="12"/>
        <color rgb="FFFF0000"/>
        <rFont val="Times New Roman"/>
        <family val="1"/>
      </rPr>
      <t>OVIP37 bảo lưu b5. Học VIP188 buổi 1</t>
    </r>
  </si>
  <si>
    <t>OVIP54</t>
  </si>
  <si>
    <r>
      <rPr>
        <sz val="12"/>
        <color theme="1"/>
        <rFont val="Times New Roman"/>
        <family val="1"/>
      </rPr>
      <t>Trần Bá Thọ</t>
    </r>
    <r>
      <rPr>
        <sz val="12"/>
        <color rgb="FFFF0000"/>
        <rFont val="Times New Roman"/>
        <family val="1"/>
      </rPr>
      <t xml:space="preserve"> - OVIP37, OVIP52 hv thứ 23</t>
    </r>
  </si>
  <si>
    <r>
      <rPr>
        <sz val="12"/>
        <color theme="1"/>
        <rFont val="Times New Roman"/>
        <family val="1"/>
      </rPr>
      <t>Đặng Phương Ngọc</t>
    </r>
    <r>
      <rPr>
        <sz val="12"/>
        <color rgb="FFFF0000"/>
        <rFont val="Times New Roman"/>
        <family val="1"/>
      </rPr>
      <t xml:space="preserve"> - 0398745794 </t>
    </r>
    <r>
      <rPr>
        <sz val="12"/>
        <color theme="1"/>
        <rFont val="Times New Roman"/>
        <family val="1"/>
      </rPr>
      <t>OVIP37</t>
    </r>
  </si>
  <si>
    <t xml:space="preserve">Đỗ Việt Anh </t>
  </si>
  <si>
    <r>
      <rPr>
        <sz val="12"/>
        <color theme="1"/>
        <rFont val="Times New Roman"/>
        <family val="1"/>
      </rPr>
      <t>Phạm Anh Thư</t>
    </r>
    <r>
      <rPr>
        <sz val="12"/>
        <color rgb="FFFF0000"/>
        <rFont val="Times New Roman"/>
        <family val="1"/>
      </rPr>
      <t xml:space="preserve"> - OVIP37 - đã nộp 300K 18/08/2025
VIP162 bảo lưu b13. Học VIP175 buổi 12</t>
    </r>
  </si>
  <si>
    <t>28a ngõ cầu đơ 3, Hà Đông, Hà Nội</t>
  </si>
  <si>
    <r>
      <rPr>
        <sz val="12"/>
        <color theme="1"/>
        <rFont val="Times New Roman"/>
        <family val="1"/>
      </rPr>
      <t>Nguyễn Ngọc Anh</t>
    </r>
    <r>
      <rPr>
        <sz val="12"/>
        <color rgb="FFFF0000"/>
        <rFont val="Times New Roman"/>
        <family val="1"/>
      </rPr>
      <t xml:space="preserve"> - OVIP38 rút sắp KG</t>
    </r>
  </si>
  <si>
    <t>số nhà 06,ngõ 1a,đường mai hắc đế,xóm vèo, định trung, vĩnh yên, vĩnh phúc</t>
  </si>
  <si>
    <r>
      <rPr>
        <sz val="12"/>
        <color theme="1"/>
        <rFont val="Times New Roman"/>
        <family val="1"/>
      </rPr>
      <t>Đỗ Thị Lan Anh</t>
    </r>
    <r>
      <rPr>
        <sz val="12"/>
        <color rgb="FFFF0000"/>
        <rFont val="Times New Roman"/>
        <family val="1"/>
      </rPr>
      <t xml:space="preserve"> - OVIP38</t>
    </r>
  </si>
  <si>
    <t>14c 79/6 Dương Quảng Hàm - Quan Hoa, Cầu Giấy, Hà Nội</t>
  </si>
  <si>
    <r>
      <rPr>
        <sz val="12"/>
        <color theme="1"/>
        <rFont val="Times New Roman"/>
        <family val="1"/>
      </rPr>
      <t>Đỗ Thị Thanh Thuỳ</t>
    </r>
    <r>
      <rPr>
        <sz val="12"/>
        <color rgb="FFFF0000"/>
        <rFont val="Times New Roman"/>
        <family val="1"/>
      </rPr>
      <t xml:space="preserve"> - OVIP38</t>
    </r>
  </si>
  <si>
    <r>
      <rPr>
        <sz val="12"/>
        <color theme="1"/>
        <rFont val="Times New Roman"/>
        <family val="1"/>
      </rPr>
      <t xml:space="preserve">Vũ Tiến Huy </t>
    </r>
    <r>
      <rPr>
        <sz val="12"/>
        <color rgb="FFFF0000"/>
        <rFont val="Times New Roman"/>
        <family val="1"/>
      </rPr>
      <t>- học lại miễn phí ko đạt đầu ra</t>
    </r>
  </si>
  <si>
    <r>
      <rPr>
        <sz val="12"/>
        <color theme="1"/>
        <rFont val="Times New Roman"/>
        <family val="1"/>
      </rPr>
      <t>Hoàng Huyền Anh</t>
    </r>
    <r>
      <rPr>
        <sz val="12"/>
        <color rgb="FFFF0000"/>
        <rFont val="Times New Roman"/>
        <family val="1"/>
      </rPr>
      <t xml:space="preserve"> - học lại miễn phí ko đạt đầu ra</t>
    </r>
  </si>
  <si>
    <t>Sách cũ 26/12/2024</t>
  </si>
  <si>
    <r>
      <rPr>
        <sz val="12"/>
        <color theme="1"/>
        <rFont val="Times New Roman"/>
        <family val="1"/>
      </rPr>
      <t>Trần Ngọc Hiếu</t>
    </r>
    <r>
      <rPr>
        <sz val="12"/>
        <color rgb="FFFF0000"/>
        <rFont val="Times New Roman"/>
        <family val="1"/>
      </rPr>
      <t xml:space="preserve">  - Đã nộp 300K 22/08/2025 
OVIP38 bảo lưu b12. Học OVIP53 b1</t>
    </r>
  </si>
  <si>
    <t>VIP188 bảo lưu b2</t>
  </si>
  <si>
    <t>W37</t>
  </si>
  <si>
    <r>
      <rPr>
        <sz val="12"/>
        <color theme="1"/>
        <rFont val="Times New Roman"/>
        <family val="1"/>
      </rPr>
      <t xml:space="preserve">Vương Hoàng Ngân </t>
    </r>
    <r>
      <rPr>
        <sz val="12"/>
        <color rgb="FFFF0000"/>
        <rFont val="Times New Roman"/>
        <family val="1"/>
      </rPr>
      <t>- W17 - Đã nộp 300K 27/09/2025
W33 bảo lưu buổi 3. Học W37 buổi 1</t>
    </r>
  </si>
  <si>
    <r>
      <rPr>
        <sz val="12"/>
        <color theme="1"/>
        <rFont val="Times New Roman"/>
        <family val="1"/>
      </rPr>
      <t>Tô Minh Quang</t>
    </r>
    <r>
      <rPr>
        <sz val="12"/>
        <color rgb="FFFF0000"/>
        <rFont val="Times New Roman"/>
        <family val="1"/>
      </rPr>
      <t xml:space="preserve"> </t>
    </r>
  </si>
  <si>
    <r>
      <rPr>
        <sz val="12"/>
        <color theme="1"/>
        <rFont val="Times New Roman"/>
        <family val="1"/>
      </rPr>
      <t xml:space="preserve">Lê Thị Thiều </t>
    </r>
    <r>
      <rPr>
        <sz val="12"/>
        <color rgb="FFFF0000"/>
        <rFont val="Times New Roman"/>
        <family val="1"/>
      </rPr>
      <t>- Đã nộp 300K 16/05/2025
W17 bảo lưu b8. Học W26 b4</t>
    </r>
  </si>
  <si>
    <t>S26</t>
  </si>
  <si>
    <r>
      <rPr>
        <sz val="12"/>
        <color theme="1"/>
        <rFont val="Times New Roman"/>
        <family val="1"/>
      </rPr>
      <t>Cao Nhật Minh</t>
    </r>
    <r>
      <rPr>
        <sz val="12"/>
        <color rgb="FFFF0000"/>
        <rFont val="Times New Roman"/>
        <family val="1"/>
      </rPr>
      <t xml:space="preserve"> 914432554 sđt mẹ - W17
S15 bảo lưu b7. Học S26 b1. Đã nộp 300K 30/07/25</t>
    </r>
  </si>
  <si>
    <r>
      <rPr>
        <sz val="12"/>
        <color theme="1"/>
        <rFont val="Times New Roman"/>
        <family val="1"/>
      </rPr>
      <t>Toàn Khánh Trang Nhi</t>
    </r>
    <r>
      <rPr>
        <sz val="12"/>
        <color rgb="FFFF0000"/>
        <rFont val="Times New Roman"/>
        <family val="1"/>
      </rPr>
      <t xml:space="preserve"> - Đã nộp 300K 11/08/2025</t>
    </r>
    <r>
      <rPr>
        <sz val="12"/>
        <color theme="1"/>
        <rFont val="Times New Roman"/>
        <family val="1"/>
      </rPr>
      <t xml:space="preserve">
</t>
    </r>
    <r>
      <rPr>
        <sz val="12"/>
        <color rgb="FFFF0000"/>
        <rFont val="Times New Roman"/>
        <family val="1"/>
      </rPr>
      <t>VIP156 bảo lưu b6 đi quân sự. Học VIP183 b3</t>
    </r>
  </si>
  <si>
    <r>
      <rPr>
        <sz val="12"/>
        <color theme="1"/>
        <rFont val="Times New Roman"/>
        <family val="1"/>
      </rPr>
      <t>Phạm Thanh Thúy</t>
    </r>
    <r>
      <rPr>
        <sz val="12"/>
        <color rgb="FFFF0000"/>
        <rFont val="Times New Roman"/>
        <family val="1"/>
      </rPr>
      <t xml:space="preserve"> - VIP156 HV thứ 10</t>
    </r>
  </si>
  <si>
    <r>
      <rPr>
        <sz val="12"/>
        <color theme="1"/>
        <rFont val="Times New Roman"/>
        <family val="1"/>
      </rPr>
      <t>Nguyễn Hoàng Linh</t>
    </r>
    <r>
      <rPr>
        <sz val="12"/>
        <color rgb="FFFF0000"/>
        <rFont val="Times New Roman"/>
        <family val="1"/>
      </rPr>
      <t xml:space="preserve"> - S15</t>
    </r>
  </si>
  <si>
    <t>S15 bỏ ngang b10 trùng lịch học trên trường, ôn thi cuối kỳ</t>
  </si>
  <si>
    <t xml:space="preserve"> 22 sông Nhuệ Đức Thắng Bắc Từ Liêm Hà Nội</t>
  </si>
  <si>
    <r>
      <rPr>
        <sz val="12"/>
        <color theme="1"/>
        <rFont val="Times New Roman"/>
        <family val="1"/>
      </rPr>
      <t>Nguyễn Anh Thư</t>
    </r>
    <r>
      <rPr>
        <sz val="12"/>
        <color rgb="FFFF0000"/>
        <rFont val="Times New Roman"/>
        <family val="1"/>
      </rPr>
      <t xml:space="preserve"> - OVIP38 - Đã nộp 300K 17/07/2025
OVIP38 bảo lưu b10. Học VIP176 b7</t>
    </r>
  </si>
  <si>
    <t xml:space="preserve"> 118 Đường Cầu Giấy,HN</t>
  </si>
  <si>
    <t xml:space="preserve">Ngô Kim Yến </t>
  </si>
  <si>
    <r>
      <rPr>
        <sz val="12"/>
        <color theme="1"/>
        <rFont val="Times New Roman"/>
        <family val="1"/>
      </rPr>
      <t>Đào Tú An</t>
    </r>
    <r>
      <rPr>
        <sz val="12"/>
        <color rgb="FFFF0000"/>
        <rFont val="Times New Roman"/>
        <family val="1"/>
      </rPr>
      <t xml:space="preserve"> - Đã nộp 300K 08/09/2025</t>
    </r>
    <r>
      <rPr>
        <sz val="12"/>
        <color theme="1"/>
        <rFont val="Times New Roman"/>
        <family val="1"/>
      </rPr>
      <t xml:space="preserve">
</t>
    </r>
    <r>
      <rPr>
        <sz val="12"/>
        <color rgb="FFFF0000"/>
        <rFont val="Times New Roman"/>
        <family val="1"/>
      </rPr>
      <t>VIP158 bảo lưu b19. Học VIP180 b12</t>
    </r>
  </si>
  <si>
    <t xml:space="preserve">Đào Khánh Hòa </t>
  </si>
  <si>
    <t>https://www.facebook.com/share/1ANKgBQP7z/?mibextid=wwXIfr</t>
  </si>
  <si>
    <t>Vũ Tuấn Huy</t>
  </si>
  <si>
    <t>vutuanhuy06@gmail.com</t>
  </si>
  <si>
    <t>https://drive.google.com/open?id=19ScTIivB5L0U9ggoQpx6wd2vRtYu0I3H; https://drive.google.com/open?id=1WxAi5p8p7OCr5ljagIdJmkNLb5F5zcb9</t>
  </si>
  <si>
    <r>
      <rPr>
        <sz val="12"/>
        <color theme="1"/>
        <rFont val="Times New Roman"/>
        <family val="1"/>
      </rPr>
      <t xml:space="preserve">Lê Mạnh Hùng </t>
    </r>
    <r>
      <rPr>
        <sz val="12"/>
        <color rgb="FFFF0000"/>
        <rFont val="Times New Roman"/>
        <family val="1"/>
      </rPr>
      <t>- Đã nộp 300K 30/07/2025
OVIP38 bảo lưu b5. Học OVIP44 b6</t>
    </r>
  </si>
  <si>
    <t>Số 12 ngách 87/7/2 tổ 12 phố Yên Lộ, Yên Nghĩa, Hà Đông, Hà Nội</t>
  </si>
  <si>
    <t>Cổng chính, Cơ sở 3 đại học công nghiệp hà nội, Phù Vân, Phủ Lý, Hà Nam</t>
  </si>
  <si>
    <t>Cổng phụ, Cơ sở 3 đại học công nghiệp hà nội, Phù Vân, Phủ Lý, Hà Nam</t>
  </si>
  <si>
    <t>Số nhà 8, Ngõ 235, Yên Hoà, Cầu Giấy, Hà Nội</t>
  </si>
  <si>
    <r>
      <rPr>
        <sz val="12"/>
        <color theme="1"/>
        <rFont val="Times New Roman"/>
        <family val="1"/>
      </rPr>
      <t>Nguyễn Thị Khánh Linh</t>
    </r>
    <r>
      <rPr>
        <sz val="12"/>
        <color rgb="FFFF0000"/>
        <rFont val="Times New Roman"/>
        <family val="1"/>
      </rPr>
      <t xml:space="preserve"> - Đã nộp 300K 02/12/2025
VIP153 bảo lưu b4. Học VIP174 buổi 1</t>
    </r>
  </si>
  <si>
    <t>nvieekth@gmail.com</t>
  </si>
  <si>
    <t>U06L02 Khu đô thị Đô Nghĩa- Hà đông- Hà Nội</t>
  </si>
  <si>
    <r>
      <rPr>
        <sz val="12"/>
        <color theme="1"/>
        <rFont val="Times New Roman"/>
        <family val="1"/>
      </rPr>
      <t>Hà Văn Tuấn</t>
    </r>
    <r>
      <rPr>
        <sz val="12"/>
        <color rgb="FFFF0000"/>
        <rFont val="Times New Roman"/>
        <family val="1"/>
      </rPr>
      <t xml:space="preserve"> </t>
    </r>
  </si>
  <si>
    <t>https://www.facebook.com/profile.php?id=100040691562754</t>
  </si>
  <si>
    <r>
      <rPr>
        <sz val="12"/>
        <color theme="1"/>
        <rFont val="Times New Roman"/>
        <family val="1"/>
      </rPr>
      <t>Nguyễn Thị Tuyết Nhi</t>
    </r>
    <r>
      <rPr>
        <sz val="12"/>
        <color rgb="FFFF0000"/>
        <rFont val="Times New Roman"/>
        <family val="1"/>
      </rPr>
      <t xml:space="preserve"> - 0398358623 nhận sách</t>
    </r>
  </si>
  <si>
    <t>nguyenthituyetnhi29122006@email.com</t>
  </si>
  <si>
    <t>Số 1, Ngách 93/23 Đường Hoàng Mai, Phường Hoàng Văn Thụ, Quận Hoàng Mai, Hà Nội</t>
  </si>
  <si>
    <t>05/07/2024 và 17/02/2025</t>
  </si>
  <si>
    <t>https://drive.google.com/open?id=1xvNG9bDzterPq9exavEg3F7R3eDqmTVN; https://drive.google.com/open?id=1oZJbvOCQZCkFS6d6uHtdzZ1BgzP2U9BZ; https://drive.google.com/open?id=1GXMPEdI9oa3ssTlz2YkkA98gtZJtA_4I</t>
  </si>
  <si>
    <t>https://www.facebook.com/nguyenphuongthao.2610</t>
  </si>
  <si>
    <t>Nguyenphuongthao261005@gmail.com</t>
  </si>
  <si>
    <t>74 Cửu Việt 2 thị trấn trâu quỳ gia lâm</t>
  </si>
  <si>
    <t>12/01/2025 và 18/02/2025</t>
  </si>
  <si>
    <t>https://drive.google.com/open?id=1IMKdOVAjOS82k0wQWWPb_4xLLdkiExHJ; https://drive.google.com/open?id=1dQClZ4hTO73kMx7QdZi8tpgVUdYcFHjK; https://drive.google.com/open?id=1nhsOg9cN8D9kaenVZt4ke5sEv68oZXAT</t>
  </si>
  <si>
    <t>https://www.facebook.com/share/1DWi1sbjtM/?mibextid=wwXIfr</t>
  </si>
  <si>
    <t>Đoàn Thị Tươi</t>
  </si>
  <si>
    <t>Nhà số 4, ngách 29, ngõ 296 lĩnh nam, hoàng mai, hà nội</t>
  </si>
  <si>
    <t>https://drive.google.com/open?id=1MZ52ZoyYoHuhrM2uAdW0woG4taqnpWAU; https://drive.google.com/open?id=1P-hyNH8nkmCj-x68OAEZ0-QtsFAhmoLV</t>
  </si>
  <si>
    <t>https://www.facebook.com/share/15nk8y8xW2/?mibextid=wwXIfr</t>
  </si>
  <si>
    <r>
      <rPr>
        <sz val="12"/>
        <color theme="1"/>
        <rFont val="Times New Roman"/>
        <family val="1"/>
      </rPr>
      <t xml:space="preserve">Cao Xuân Thành </t>
    </r>
    <r>
      <rPr>
        <sz val="12"/>
        <color rgb="FFFF0000"/>
        <rFont val="Times New Roman"/>
        <family val="1"/>
      </rPr>
      <t>- 春 高い</t>
    </r>
  </si>
  <si>
    <t xml:space="preserve">godofwar20102006@gmail.com </t>
  </si>
  <si>
    <t xml:space="preserve">Tổ dân phố 11 kiến hưng mậu lương hà đông hà nội </t>
  </si>
  <si>
    <t>https://drive.google.com/open?id=1me7jT9X5BbJwgAOOAR5yX7FHgkqXPcm8; https://drive.google.com/open?id=1yjFlGqKGTYOY2Lh2llOYHw-EQZQPdOpo; https://drive.google.com/open?id=1ErARNcv68yGaLzXe9Aqno3m8Qif5BNSR</t>
  </si>
  <si>
    <r>
      <rPr>
        <sz val="12"/>
        <color theme="1"/>
        <rFont val="Times New Roman"/>
        <family val="1"/>
      </rPr>
      <t>Trần Hà My</t>
    </r>
    <r>
      <rPr>
        <sz val="12"/>
        <color rgb="FFFF0000"/>
        <rFont val="Times New Roman"/>
        <family val="1"/>
      </rPr>
      <t xml:space="preserve"> - test lại do đc 580 - W18</t>
    </r>
  </si>
  <si>
    <r>
      <rPr>
        <sz val="12"/>
        <color theme="1"/>
        <rFont val="Times New Roman"/>
        <family val="1"/>
      </rPr>
      <t xml:space="preserve">Chu Thị Thuỷ </t>
    </r>
    <r>
      <rPr>
        <sz val="12"/>
        <color rgb="FFFF0000"/>
        <rFont val="Times New Roman"/>
        <family val="1"/>
      </rPr>
      <t>- Dương Thủy
Học lại miễn phí</t>
    </r>
  </si>
  <si>
    <t>KTX báo chí, 89 nguyễn phong sắc, dịch vọng hậu, cầu giấy</t>
  </si>
  <si>
    <t>B694</t>
  </si>
  <si>
    <r>
      <rPr>
        <sz val="12"/>
        <color theme="1"/>
        <rFont val="Times New Roman"/>
        <family val="1"/>
      </rPr>
      <t xml:space="preserve">Bùi Trung Hiếu </t>
    </r>
    <r>
      <rPr>
        <sz val="12"/>
        <color rgb="FFFF0000"/>
        <rFont val="Times New Roman"/>
        <family val="1"/>
      </rPr>
      <t>- đổi E3 học PT
Ko theo đc T302 đã học 1 buổi</t>
    </r>
  </si>
  <si>
    <t>Ngõ 37 dịch vọng, cầu giấy, hà nội</t>
  </si>
  <si>
    <t>S23</t>
  </si>
  <si>
    <r>
      <rPr>
        <sz val="12"/>
        <color theme="1"/>
        <rFont val="Times New Roman"/>
        <family val="1"/>
      </rPr>
      <t>Phạm Phương Anh</t>
    </r>
    <r>
      <rPr>
        <sz val="12"/>
        <color rgb="FFFF0000"/>
        <rFont val="Times New Roman"/>
        <family val="1"/>
      </rPr>
      <t xml:space="preserve"> - OS5</t>
    </r>
  </si>
  <si>
    <t>Số 6 Ngách 63/53 Trần Quốc Vượng, làng Vòng, Dịch Vọng Hậu, Cầu Giấy, Hà Nội</t>
  </si>
  <si>
    <t>S32</t>
  </si>
  <si>
    <r>
      <rPr>
        <sz val="12"/>
        <color theme="1"/>
        <rFont val="Times New Roman"/>
        <family val="1"/>
      </rPr>
      <t>Hoàng Thị Tươi</t>
    </r>
    <r>
      <rPr>
        <sz val="12"/>
        <color rgb="FFFF0000"/>
        <rFont val="Times New Roman"/>
        <family val="1"/>
      </rPr>
      <t xml:space="preserve"> - OS5. Muốn nhượng S,W</t>
    </r>
  </si>
  <si>
    <t>Số 15 đường mỹ đình, Mỹ Đình 2, Nam Từ Liêm, Hà Nội</t>
  </si>
  <si>
    <t xml:space="preserve">Dương Ngọc Minh </t>
  </si>
  <si>
    <t xml:space="preserve">Nguyễn Thị Ngọc Anh </t>
  </si>
  <si>
    <t>T302 học buổi 1 ko theo đc</t>
  </si>
  <si>
    <r>
      <rPr>
        <sz val="12"/>
        <color theme="1"/>
        <rFont val="Times New Roman"/>
        <family val="1"/>
      </rPr>
      <t xml:space="preserve">Nguyễn Thị Lan Anh </t>
    </r>
    <r>
      <rPr>
        <sz val="12"/>
        <color rgb="FFFF0000"/>
        <rFont val="Times New Roman"/>
        <family val="1"/>
      </rPr>
      <t xml:space="preserve">- học thay đã nộp 300K 05/05/25
</t>
    </r>
    <r>
      <rPr>
        <sz val="12"/>
        <color theme="1"/>
        <rFont val="Times New Roman"/>
        <family val="1"/>
      </rPr>
      <t xml:space="preserve">Hoàng Lan Anh </t>
    </r>
    <r>
      <rPr>
        <sz val="12"/>
        <color rgb="FFFF0000"/>
        <rFont val="Times New Roman"/>
        <family val="1"/>
      </rPr>
      <t xml:space="preserve">- chuyển nhượng </t>
    </r>
    <r>
      <rPr>
        <sz val="12"/>
        <color theme="1"/>
        <rFont val="Times New Roman"/>
        <family val="1"/>
      </rPr>
      <t>837894789</t>
    </r>
  </si>
  <si>
    <t>Nhài đưa tay sách LV1</t>
  </si>
  <si>
    <t>https://www.facebook.com/share/18yhmrB8S3/</t>
  </si>
  <si>
    <r>
      <rPr>
        <sz val="12"/>
        <color theme="1"/>
        <rFont val="Times New Roman"/>
        <family val="1"/>
      </rPr>
      <t xml:space="preserve">Nguyễn Trần Hải Sơn </t>
    </r>
    <r>
      <rPr>
        <sz val="12"/>
        <color rgb="FFFF0000"/>
        <rFont val="Times New Roman"/>
        <family val="1"/>
      </rPr>
      <t>- nhận học</t>
    </r>
    <r>
      <rPr>
        <sz val="12"/>
        <color theme="1"/>
        <rFont val="Times New Roman"/>
        <family val="1"/>
      </rPr>
      <t xml:space="preserve">
Đỗ Thu Hiền 867449896</t>
    </r>
    <r>
      <rPr>
        <sz val="12"/>
        <color rgb="FFFF0000"/>
        <rFont val="Times New Roman"/>
        <family val="1"/>
      </rPr>
      <t>- chuyển nhượng VIP. 
Đã nộp 300K 13/04/2025</t>
    </r>
  </si>
  <si>
    <t>Nguyenson5122003@gmail.com</t>
  </si>
  <si>
    <t>136 hồ tùng mậu gold mark city toà s1</t>
  </si>
  <si>
    <t>S16</t>
  </si>
  <si>
    <t>Nhà số 18, ngõ 10A nguyễn thị định, trung hòa, cầu giấy, hà nội</t>
  </si>
  <si>
    <t>Nhà 30, xóm Ngò, An Hạ 2, An Thương, Hoài Đức, Hà Nội</t>
  </si>
  <si>
    <t>W18 nghỉ ngang b7. Tra sĩ số thấy lệch nên hỏi Nga</t>
  </si>
  <si>
    <t>28 Lê Văn Hưu , trường Dự bị Đại học Dân tộc Sầm Sơn, phường Bắc Sơn , Tp Sầm Sơn</t>
  </si>
  <si>
    <r>
      <rPr>
        <sz val="12"/>
        <color theme="1"/>
        <rFont val="Times New Roman"/>
        <family val="1"/>
      </rPr>
      <t xml:space="preserve">Lê Ngọc Mỹ </t>
    </r>
    <r>
      <rPr>
        <sz val="12"/>
        <color rgb="FFFF0000"/>
        <rFont val="Times New Roman"/>
        <family val="1"/>
      </rPr>
      <t>- gửi chung sách S, W</t>
    </r>
  </si>
  <si>
    <r>
      <rPr>
        <sz val="12"/>
        <color theme="1"/>
        <rFont val="Times New Roman"/>
        <family val="1"/>
      </rPr>
      <t>Lê Ngọc Mỹ</t>
    </r>
    <r>
      <rPr>
        <sz val="12"/>
        <color rgb="FFFF0000"/>
        <rFont val="Times New Roman"/>
        <family val="1"/>
      </rPr>
      <t xml:space="preserve"> - gửi chung sách S, W
S15 rút phút 89</t>
    </r>
  </si>
  <si>
    <t xml:space="preserve">Số nhà 15 147 tân mai hoàng mai </t>
  </si>
  <si>
    <t>OPT37 bảo lưu buổi 4</t>
  </si>
  <si>
    <t>https://www.facebook.com/profile.php?id=100092656610176</t>
  </si>
  <si>
    <r>
      <rPr>
        <sz val="12"/>
        <color theme="1"/>
        <rFont val="Times New Roman"/>
        <family val="1"/>
      </rPr>
      <t>Trần Khoa Đăng</t>
    </r>
    <r>
      <rPr>
        <sz val="12"/>
        <color rgb="FFFF0000"/>
        <rFont val="Times New Roman"/>
        <family val="1"/>
      </rPr>
      <t xml:space="preserve"> (hợp đồng)</t>
    </r>
  </si>
  <si>
    <t>dangtrantrankhoadang@gmail.com</t>
  </si>
  <si>
    <t>https://drive.google.com/open?id=1AUXzG6-OAdD4KLLLpAvY60j_norUEXQ5</t>
  </si>
  <si>
    <t>https://www.facebook.com/profile.php?id=100071667960522&amp;mibextid=LQQJ4d</t>
  </si>
  <si>
    <t>https://www.facebook.com/profile.php?id=100044827071330&amp;mibextid=ZbWKwL</t>
  </si>
  <si>
    <r>
      <rPr>
        <sz val="12"/>
        <color theme="1"/>
        <rFont val="Times New Roman"/>
        <family val="1"/>
      </rPr>
      <t>Nguyễn Khánh Linh</t>
    </r>
    <r>
      <rPr>
        <sz val="12"/>
        <color rgb="FFFF0000"/>
        <rFont val="Times New Roman"/>
        <family val="1"/>
      </rPr>
      <t xml:space="preserve"> -Linh Hípp  OPT40 rút phút 89
OPT59 bảo lưu b1.Học PT180 b1. Đã nộp 300K 28/02/2025</t>
    </r>
  </si>
  <si>
    <t>22 ngõ 190 Nguyễn Trãi ,Thượng Đình , Thanh Xuân</t>
  </si>
  <si>
    <t>30/09/2024 và 04/10/2024</t>
  </si>
  <si>
    <r>
      <rPr>
        <u/>
        <sz val="12"/>
        <color rgb="FF1155CC"/>
        <rFont val="Times New Roman"/>
        <family val="1"/>
      </rPr>
      <t xml:space="preserve">https://drive.google.com/open?id=1gTQ7-HJbmq0Gdi00k0ZDruqMDV9Y-dY8; https://drive.google.com/open?id=1taNFzFbWnk6o-ot1JblAfQIT01ktv9Tb; </t>
    </r>
    <r>
      <rPr>
        <u/>
        <sz val="12"/>
        <color rgb="FF1155CC"/>
        <rFont val="Times New Roman"/>
        <family val="1"/>
      </rPr>
      <t>https://drive.google.com/open?id=1Ko49SwdB5amZNDROaj98Bug0dAPDQchA</t>
    </r>
  </si>
  <si>
    <t>07/10/2024 sách cũ</t>
  </si>
  <si>
    <t>https://www.facebook.com/profile.php?id=100037325168697&amp;mibextid=ZbWKwL</t>
  </si>
  <si>
    <r>
      <rPr>
        <sz val="12"/>
        <color theme="1"/>
        <rFont val="Times New Roman"/>
        <family val="1"/>
      </rPr>
      <t>Mè Văn Giang</t>
    </r>
    <r>
      <rPr>
        <sz val="12"/>
        <color rgb="FFFF0000"/>
        <rFont val="Times New Roman"/>
        <family val="1"/>
      </rPr>
      <t xml:space="preserve"> - PT171 hv thứ 10 - Trường Giang</t>
    </r>
  </si>
  <si>
    <t>Cổng phụ đại học công nghiệp hà nội cơ sở 3</t>
  </si>
  <si>
    <t>14/11/2024 và 08/03/2025</t>
  </si>
  <si>
    <t>https://drive.google.com/open?id=1tm0Xqsx_9DYqCZHtevs9M4C7e47-KUN-; https://drive.google.com/open?id=15BAw4sySBHL2FxPHUgweJIO17VPa1HMP</t>
  </si>
  <si>
    <r>
      <rPr>
        <sz val="12"/>
        <color theme="1"/>
        <rFont val="Times New Roman"/>
        <family val="1"/>
      </rPr>
      <t>Nghiêm Thị Quỳnh Chang</t>
    </r>
    <r>
      <rPr>
        <sz val="12"/>
        <color rgb="FFFF0000"/>
        <rFont val="Times New Roman"/>
        <family val="1"/>
      </rPr>
      <t xml:space="preserve"> - đã nộp 300K 08/12/2024
OPT55 bảo lưu b1. Học PT159 b1. Nguyệt Hằng Meca chat</t>
    </r>
  </si>
  <si>
    <t>https://www.facebook.com/share/1YBPoL4SAr/?mibextid=LQQJ4d</t>
  </si>
  <si>
    <t>Đào Công Bính</t>
  </si>
  <si>
    <t>daocongbinh0412@gmail.com</t>
  </si>
  <si>
    <t>30/11/2024 và 22/02/2025</t>
  </si>
  <si>
    <t>https://drive.google.com/open?id=1byKjbdek0gxXN-BMmpQ9flp3YwOdmyDs; https://drive.google.com/open?id=1vYsUpIIHufZ6RLEPikoSK8GDAEMJMo9I</t>
  </si>
  <si>
    <t>https://www.facebook.com/profile.php?id=100084189802156</t>
  </si>
  <si>
    <t>Dương Thị Huyền Trang</t>
  </si>
  <si>
    <t>huyentrangduongthi12@gmail.com</t>
  </si>
  <si>
    <t>https://drive.google.com/open?id=1Todez7PT6qqvs9PQJlinD-jOWETDYKrh, https://drive.google.com/open?id=19LDTWO9Sycz4xE0soNIuJtY4FqIm0mwY</t>
  </si>
  <si>
    <t>https://www.facebook.com/Leoses06</t>
  </si>
  <si>
    <t>Vũ Mai Anh</t>
  </si>
  <si>
    <t>04maianh06@gmail.com</t>
  </si>
  <si>
    <t>https://drive.google.com/open?id=1fVxE7Dknrfed4GY-0Fx1MOR8E-aOKqSp</t>
  </si>
  <si>
    <t>https://www.facebook.com/share/1Chj8kD995/?mibextid=wwXIfr</t>
  </si>
  <si>
    <t>Đào Công Bảo</t>
  </si>
  <si>
    <t>bdao19023@gmail.com</t>
  </si>
  <si>
    <t>14/12/2024 và 01/03/2025</t>
  </si>
  <si>
    <r>
      <rPr>
        <u/>
        <sz val="12"/>
        <color rgb="FF1155CC"/>
        <rFont val="Times New Roman"/>
        <family val="1"/>
      </rPr>
      <t xml:space="preserve">; https://drive.google.com/open?id=1YF63TbezP0oV7kmLZ4mg3uo6eKVv9Em3, </t>
    </r>
    <r>
      <rPr>
        <u/>
        <sz val="12"/>
        <color rgb="FF1155CC"/>
        <rFont val="Times New Roman"/>
        <family val="1"/>
      </rPr>
      <t>https://drive.google.com/open?id=1YC_EnYVI9zS6FPyB0G3DHsgabMPM1E0N</t>
    </r>
    <r>
      <rPr>
        <u/>
        <sz val="12"/>
        <color rgb="FF1155CC"/>
        <rFont val="Times New Roman"/>
        <family val="1"/>
      </rPr>
      <t xml:space="preserve">; </t>
    </r>
    <r>
      <rPr>
        <u/>
        <sz val="12"/>
        <color rgb="FF1155CC"/>
        <rFont val="Times New Roman"/>
        <family val="1"/>
      </rPr>
      <t>https://drive.google.com/open?id=1eshcws6uUlUBmwc0CUHGFDFOQ2An7LtO</t>
    </r>
  </si>
  <si>
    <t>https://www.facebook.com/hoangg.giangg.105512</t>
  </si>
  <si>
    <r>
      <rPr>
        <sz val="12"/>
        <color theme="1"/>
        <rFont val="Times New Roman"/>
        <family val="1"/>
      </rPr>
      <t>Hoàng Trường Giang</t>
    </r>
    <r>
      <rPr>
        <sz val="12"/>
        <color rgb="FFFF0000"/>
        <rFont val="Times New Roman"/>
        <family val="1"/>
      </rPr>
      <t xml:space="preserve"> - hợp đồng</t>
    </r>
  </si>
  <si>
    <t>gianghoang10112006@gmail.com</t>
  </si>
  <si>
    <t>19/12/2024 và 24/02/2025</t>
  </si>
  <si>
    <t>https://drive.google.com/open?id=1pwNMXdL4o-CAw9XfDPMJ9eLhSz4r_fai; https://drive.google.com/open?id=1NOfJH0cGGDuS7hrgGNQ44Xj-U8D-Q5Gm; https://drive.google.com/open?id=1QS_vHYkQVNZmp0nZOHcpMRGvBzGSMlCM</t>
  </si>
  <si>
    <t>https://www.facebook.com/share/sMtk6zv9CcogDJwP/?mibextid=wwXIfrS</t>
  </si>
  <si>
    <r>
      <rPr>
        <sz val="12"/>
        <color theme="1"/>
        <rFont val="Times New Roman"/>
        <family val="1"/>
      </rPr>
      <t xml:space="preserve">Nguyễn Thị Kim Phượng - </t>
    </r>
    <r>
      <rPr>
        <sz val="12"/>
        <color rgb="FFFF0000"/>
        <rFont val="Times New Roman"/>
        <family val="1"/>
      </rPr>
      <t xml:space="preserve">Hợp đồng </t>
    </r>
    <r>
      <rPr>
        <sz val="12"/>
        <color theme="1"/>
        <rFont val="Times New Roman"/>
        <family val="1"/>
      </rPr>
      <t>795057049 sđt khác</t>
    </r>
  </si>
  <si>
    <t>bưu điện Nguyễn Bỉnh Khiêm, số 1 Văn Cao, quận Ngô Quyền, Hải Phòng</t>
  </si>
  <si>
    <t>https://drive.google.com/open?id=1ip5EqbWLhQsO8yJPW_NvPyTuB0mcJne_; https://drive.google.com/open?id=1K9zcGB4y9dllFW6Yqj5CqgX0pk0Knp3a</t>
  </si>
  <si>
    <t>https://www.facebook.com/share/1H2LtJTZ7M/?mibextid=LQQJ4d</t>
  </si>
  <si>
    <r>
      <rPr>
        <sz val="12"/>
        <color theme="1"/>
        <rFont val="Times New Roman"/>
        <family val="1"/>
      </rPr>
      <t>Hà Thị Phương Anh</t>
    </r>
    <r>
      <rPr>
        <sz val="12"/>
        <color rgb="FFFF0000"/>
        <rFont val="Times New Roman"/>
        <family val="1"/>
      </rPr>
      <t xml:space="preserve"> - 332347727 số cũ</t>
    </r>
  </si>
  <si>
    <t xml:space="preserve">Hà Thiệp </t>
  </si>
  <si>
    <t>Số nhà 3, ngõ 133, xóm 2, Lai xá, Kim Chung, Hoài Đức, Hà Nội</t>
  </si>
  <si>
    <t>https://drive.google.com/open?id=1s8vOjqIQwgHz4wptJ8UY8hJEHh1eo-mg; https://drive.google.com/open?id=1etEc1TuK-8GK7XiR9wS_aelNS0OxgbyL, https://drive.google.com/open?id=1jja8B6FWdMcI0SQS2zUC70sVc1eiRu1-; https://drive.google.com/open?id=1o5sHxw8RwOuxhIx79Q9r1nh5EVKS4Vab</t>
  </si>
  <si>
    <r>
      <rPr>
        <sz val="12"/>
        <color theme="1"/>
        <rFont val="Times New Roman"/>
        <family val="1"/>
      </rPr>
      <t>Nguyễn Thị Anh Thi</t>
    </r>
    <r>
      <rPr>
        <sz val="12"/>
        <color rgb="FFFF0000"/>
        <rFont val="Times New Roman"/>
        <family val="1"/>
      </rPr>
      <t xml:space="preserve"> - hợp đồng</t>
    </r>
  </si>
  <si>
    <t>văn xá ngô quyền thanh miện hải dương</t>
  </si>
  <si>
    <t>https://www.facebook.com/share/1843WhqDZW/?mibextid=wwXIfr</t>
  </si>
  <si>
    <t>qn2932006@gmail.com</t>
  </si>
  <si>
    <t>24/01/2025 và 16/02/2025</t>
  </si>
  <si>
    <r>
      <rPr>
        <u/>
        <sz val="12"/>
        <color rgb="FF1155CC"/>
        <rFont val="Times New Roman"/>
        <family val="1"/>
      </rPr>
      <t xml:space="preserve">https://drive.google.com/open?id=13MCGk25NRupN3Qtw2PRLVYFJWvi5jLbD; https://drive.google.com/open?id=1wvIoIBMBDAlFqp_vBDNEWJhDxaTbREO0; </t>
    </r>
    <r>
      <rPr>
        <u/>
        <sz val="12"/>
        <color rgb="FF1155CC"/>
        <rFont val="Times New Roman"/>
        <family val="1"/>
      </rPr>
      <t>https://drive.google.com/open?id=11z86Y1PoTS4G-g2jpePIWyL_fCjPQyCq</t>
    </r>
  </si>
  <si>
    <t>https://www.facebook.com/thanhngadang24</t>
  </si>
  <si>
    <t>Đặng Thanh Nga</t>
  </si>
  <si>
    <t>dtnga24@gmail.com</t>
  </si>
  <si>
    <t>số nhà 92B đường liên xã thôn Lực Canh, Xuân Canh. Đông Anh, Hà nội</t>
  </si>
  <si>
    <t>https://drive.google.com/open?id=12Hdl-k381Wlk-5suBTR8govEhyRoNUz2</t>
  </si>
  <si>
    <t>PT163 nghỉ ngang b3. Hạ chat</t>
  </si>
  <si>
    <t>https://www.facebook.com/nguyen.hoang.vu.89.79.2006.hhh</t>
  </si>
  <si>
    <t xml:space="preserve">Nguyễn Hoàng Vũ </t>
  </si>
  <si>
    <t xml:space="preserve">Số 39 ngõ 94 Đường Hoàng Văn Thụ, Thắng lợi, Lê Hồng Phong, Phủ Lý, Hà Nam </t>
  </si>
  <si>
    <t>https://drive.google.com/open?id=1bEZy7h_sLBLPZ3Xx0SKSYzQc5iPuR8Xf</t>
  </si>
  <si>
    <t>https://www.facebook.com/share/1BQgJ71G7x/</t>
  </si>
  <si>
    <t>Hà Việt Anh</t>
  </si>
  <si>
    <t>Cuối Trà chanh 1 xu thôn 1 Phù Vân, Phủ Lý, Hà Nam</t>
  </si>
  <si>
    <r>
      <rPr>
        <u/>
        <sz val="12"/>
        <color rgb="FF1155CC"/>
        <rFont val="Times New Roman"/>
        <family val="1"/>
      </rPr>
      <t xml:space="preserve">https://drive.google.com/open?id=1NAmvcOwRcdp4N9QbeEuoWALEy_YxgA7y; </t>
    </r>
    <r>
      <rPr>
        <u/>
        <sz val="12"/>
        <color rgb="FF1155CC"/>
        <rFont val="Times New Roman"/>
        <family val="1"/>
      </rPr>
      <t>https://drive.google.com/open?id=1jDrge_qzX2rsYigoLp2jdclz3dIDSd_J</t>
    </r>
  </si>
  <si>
    <t>https://www.facebook.com/jqk.zs1308#</t>
  </si>
  <si>
    <t>07/02/2025 và 11/02/2025</t>
  </si>
  <si>
    <t>https://drive.google.com/open?id=12f3HcUNVupLehyTWpKxaGx8_6RGDrD8x; https://drive.google.com/open?id=1O9rQCf_xLniFAeZHqr6xVNI-hL1it2xd</t>
  </si>
  <si>
    <t>https://www.facebook.com/people/Nguy%E1%BB%85n-Kh%C3%A1nh-Vinh/pfbid02ihJtuWYhxqfbjhNChxrUPNpe6Rw24spvM8FkmiXDQ8Xqb12cP3BLhdxnBH98z2Fhl/</t>
  </si>
  <si>
    <t>Nguyễn Khánh Vinh</t>
  </si>
  <si>
    <t>dzken862@gmail.com</t>
  </si>
  <si>
    <r>
      <rPr>
        <u/>
        <sz val="12"/>
        <color rgb="FF1155CC"/>
        <rFont val="Times New Roman"/>
        <family val="1"/>
      </rPr>
      <t xml:space="preserve">https://drive.google.com/open?id=1hxQM-tAH-i3R__G3KBSOTFpmnvBaaTqp; </t>
    </r>
    <r>
      <rPr>
        <u/>
        <sz val="12"/>
        <color rgb="FF1155CC"/>
        <rFont val="Times New Roman"/>
        <family val="1"/>
      </rPr>
      <t>https://drive.google.com/open?id=1f3BWsvU0-jckWtbdschDTHsJ7uTZ5Wce</t>
    </r>
  </si>
  <si>
    <t>https://www.facebook.com/share/15hfVsjjvP/?mibextid=LQQJ4d</t>
  </si>
  <si>
    <t>xóm 1 tràng đà, thành phố Tuyên Quang, tỉnh Tuyên Quang</t>
  </si>
  <si>
    <t>https://drive.google.com/open?id=15_so8yCpGPINAJBzXcWaA-ApOz9xz8gf; https://drive.google.com/open?id=1VCOvF3rm0Kz19sc_xKXubFwPWQGPCeb8</t>
  </si>
  <si>
    <t>https://www.facebook.com/share/14ooGTzM7y/?mibextid=wwXIfr</t>
  </si>
  <si>
    <t xml:space="preserve">Vũ Thị Hồng Nhung </t>
  </si>
  <si>
    <t>hnhungsieucutee@gmail.com</t>
  </si>
  <si>
    <t>đội 6, trạm bơm Thần Quy, Minh Tân, Phú Xuyên, Hà Nội</t>
  </si>
  <si>
    <t>https://drive.google.com/open?id=1zPcVBtAEv2jBqJl6bh9HiGMTZhQFunkA; https://drive.google.com/open?id=1p25ukcVmQY-L4p2kCO2kQLJZWa9o-z5x</t>
  </si>
  <si>
    <r>
      <rPr>
        <sz val="12"/>
        <color theme="1"/>
        <rFont val="Times New Roman"/>
        <family val="1"/>
      </rPr>
      <t xml:space="preserve">Nguyễn Minh Đức </t>
    </r>
    <r>
      <rPr>
        <sz val="12"/>
        <color rgb="FFFF0000"/>
        <rFont val="Times New Roman"/>
        <family val="1"/>
      </rPr>
      <t>- OPT63</t>
    </r>
  </si>
  <si>
    <t>https://www.facebook.com/share/15AWXW6cW5/?mibextid=wwXIfr</t>
  </si>
  <si>
    <t xml:space="preserve">Nguyễn Thị Ngân </t>
  </si>
  <si>
    <t xml:space="preserve">nguyenngan2k6nd@gmail.com </t>
  </si>
  <si>
    <t xml:space="preserve">số nhà 43 ngõ 116 Nguyễn Xiển, Hạ Đình, Thanh Xuân, Hà Nội
 </t>
  </si>
  <si>
    <t>08/02/2025 và 13/02/2025</t>
  </si>
  <si>
    <t>https://drive.google.com/open?id=1u2P40DqLulx5shKzLC_cgdGh4f8n1jRX; https://drive.google.com/open?id=1QHzOyzk0pwXx--e7g79bts77QpFaEO0o; https://drive.google.com/open?id=15tdYSOivEfQy40Wbq20YzodCq1GHs_35</t>
  </si>
  <si>
    <t>https://www.facebook.com/share/18bXALiUyJ/?mibextid=wwXIfr</t>
  </si>
  <si>
    <r>
      <rPr>
        <sz val="12"/>
        <color theme="1"/>
        <rFont val="Times New Roman"/>
        <family val="1"/>
      </rPr>
      <t>Đặng Thị Thu Hương</t>
    </r>
    <r>
      <rPr>
        <sz val="12"/>
        <color rgb="FFFF0000"/>
        <rFont val="Times New Roman"/>
        <family val="1"/>
      </rPr>
      <t xml:space="preserve"> - hợp đồng HV thứ 10</t>
    </r>
  </si>
  <si>
    <t>dangthuhuong060806@gmail.com</t>
  </si>
  <si>
    <t xml:space="preserve"> Học viện chính sách và phát triển, khu đô thị Nam An Khánh, An Thượng, Hoài Đức</t>
  </si>
  <si>
    <t>https://drive.google.com/open?id=1KQFUElxXow5Iq4SX5R1AobvnU6LkEVE6; https://drive.google.com/open?id=1TfrNeDRaiFC2Q1w9tgn7Mls4QYE5W4An</t>
  </si>
  <si>
    <t>https://www.facebook.com/share/15YEt6S4rR/?mibextid=wwXIfr</t>
  </si>
  <si>
    <t>nguyentrangg0309@gmail.com</t>
  </si>
  <si>
    <t>16/01/2025 và 18/02/2025</t>
  </si>
  <si>
    <t>https://drive.google.com/open?id=1zB2zHGvSmlj1BvIFvitQWJZyZfha7nxn; https://drive.google.com/open?id=13OomMTncw9B9YDlEq8yQr0oy5XgzP095</t>
  </si>
  <si>
    <t>https://www.facebook.com/share/1BR1V2z9xT/?mibextid=wwXIfr</t>
  </si>
  <si>
    <r>
      <rPr>
        <sz val="12"/>
        <color theme="1"/>
        <rFont val="Times New Roman"/>
        <family val="1"/>
      </rPr>
      <t xml:space="preserve">Mai Duy Đạt </t>
    </r>
    <r>
      <rPr>
        <sz val="12"/>
        <color rgb="FFFF0000"/>
        <rFont val="Times New Roman"/>
        <family val="1"/>
      </rPr>
      <t>- PT167</t>
    </r>
  </si>
  <si>
    <t>maiduydattg2006@gmail.com</t>
  </si>
  <si>
    <t>Cổng sau đại học Thủy Lợi, 2R4G+GFC, Ng. 165 P. Chùa Bộc, Trung Liệt, Đống Đa, Hà Nội
Tỉnh: Hà Nội</t>
  </si>
  <si>
    <t>09/02/2025 và 10/02/2025</t>
  </si>
  <si>
    <t>https://drive.google.com/open?id=1DC6SyhhGIGHSZIUiIYh1JRNildlxPmhe; https://drive.google.com/open?id=1sAzdiGMphDrVdO5-raqTP15wWziJmnvx</t>
  </si>
  <si>
    <t>nhà số 4, ngách 29, ngõ 296 lĩnh nam, hoàng mai, hà nội</t>
  </si>
  <si>
    <t xml:space="preserve">tổ dân phố 11 kiến hưng mậu lương hà đông hà nội </t>
  </si>
  <si>
    <t>https://www.facebook.com/ngocc.tuann.834893?mibextid=wwXIfr&amp;rdid=DEuyKvCAGrJ1O0Ni&amp;share_url=https%3A%2F%2Fwww.facebook.com%2Fshare%2F1AE8nc4VBy%2F%3Fmibextid%3DwwXIfr#</t>
  </si>
  <si>
    <t>Đặng Tuấn Ngọc</t>
  </si>
  <si>
    <t>23/12/2024 và 07/02/2025</t>
  </si>
  <si>
    <t>https://drive.google.com/open?id=1B-vpo-mQFYEXNMQ40H7f-Cic8O_ed9WS, https://drive.google.com/open?id=16ZzhlZWGPD-jva88ST0F-GxQsyrez7Va; https://drive.google.com/open?id=1ZMmtorQoKNKoOzqE3_QdUr2gsEcOzL0v</t>
  </si>
  <si>
    <t>https://www.facebook.com/ta.thi.ha.linh?mibextid=wwXIfr&amp;rdid=rMHk0fXCqX77M5iB&amp;share_url=https%3A%2F%2Fwww.facebook.com%2Fshare%2F1AmuJDQJXz%2F%3Fmibextid%3DwwXIfr#</t>
  </si>
  <si>
    <t>Tạ Thị Hà Linh</t>
  </si>
  <si>
    <t>linhtathiha@gmail.com</t>
  </si>
  <si>
    <t>Số 46 ngách 22 ngõ trung tả, phường thổ quan đống đa HN</t>
  </si>
  <si>
    <t>https://drive.google.com/open?id=1a95fYioWmTNxBAardWUU3mbbtbiacemS; https://drive.google.com/open?id=16llDq_mg5HsCeJXZCP5UylNJ71tUNgSJ; https://drive.google.com/open?id=1Eva-P9UAmq_cW6tFx1tdlOVUjCNfxjuy</t>
  </si>
  <si>
    <t>https://www.facebook.com/share/1A263wXuDt/?mibextid=wwXIfr</t>
  </si>
  <si>
    <r>
      <rPr>
        <sz val="12"/>
        <color theme="1"/>
        <rFont val="Times New Roman"/>
        <family val="1"/>
      </rPr>
      <t>Nguyễn Hà Ninh</t>
    </r>
    <r>
      <rPr>
        <sz val="12"/>
        <color rgb="FFFF0000"/>
        <rFont val="Times New Roman"/>
        <family val="1"/>
      </rPr>
      <t xml:space="preserve"> - PT166</t>
    </r>
  </si>
  <si>
    <t>nhninh04082006@gmail.com</t>
  </si>
  <si>
    <t>206D Ngõ Thịnh Quang, Phường Thịnh Quang, Quận Đống Đa, Hà Nội</t>
  </si>
  <si>
    <t>https://drive.google.com/open?id=1ZXbWStqtcLzWpkDxhCKFr2azvlNB8jhW; https://drive.google.com/open?id=1EYaXbo2E1IW3t2WnncV5pyIwuWP7ir2Z</t>
  </si>
  <si>
    <r>
      <rPr>
        <sz val="12"/>
        <color theme="1"/>
        <rFont val="Times New Roman"/>
        <family val="1"/>
      </rPr>
      <t xml:space="preserve">Lê Phương Linh </t>
    </r>
    <r>
      <rPr>
        <sz val="12"/>
        <color rgb="FFFF0000"/>
        <rFont val="Times New Roman"/>
        <family val="1"/>
      </rPr>
      <t>- OPT59 HV thứ 25</t>
    </r>
  </si>
  <si>
    <t>https://www.facebook.com/100071478500763/</t>
  </si>
  <si>
    <t>13/02/2025 và 03/03/2025</t>
  </si>
  <si>
    <t>https://drive.google.com/open?id=1qR9cV2NYoQvquLZSyp2QJux_9o2VsK3v; https://drive.google.com/open?id=172D_kuUlCT9e7sVoxZJTHf67TtA1QTCc</t>
  </si>
  <si>
    <t>https://www.facebook.com/share/1EJVC6N2do/?mibextid=wwXIfr</t>
  </si>
  <si>
    <t>Trần Tố Quyên</t>
  </si>
  <si>
    <t>https://www.facebook.com/share/1QzmHUY45C/?mibextid=wwXIfr</t>
  </si>
  <si>
    <t xml:space="preserve">Đinh Thị Anh Thư  </t>
  </si>
  <si>
    <t xml:space="preserve">subaby1608@gmail.com </t>
  </si>
  <si>
    <t>KTX 4B ĐH Công đoàn, Ngõ 167, Tây Sơn , Đống Đa , Hà Nội</t>
  </si>
  <si>
    <t>14/02/2025 và 17/02/2025</t>
  </si>
  <si>
    <t>https://drive.google.com/open?id=1AAdvXX6qM8gRNGRlyvKHhxymjMSXzmnA; https://drive.google.com/open?id=15HibfPFuNebfUJVlNquEbHIiKwXslV5G; https://drive.google.com/open?id=1WFHfTF_hu2ubc16p7fhpVlNDTez7UcC2</t>
  </si>
  <si>
    <t>https://www.facebook.com/share/haTty56TNXe4MLKE/?mibextid=wwXIfr</t>
  </si>
  <si>
    <t>Nguyễn Trần Minh Phương</t>
  </si>
  <si>
    <t>nguyentranminphwng1309@gmail.com</t>
  </si>
  <si>
    <t>163D ngõ 325 Kim Ngưu, phường Thanh Lương, quận Hai Bà Trưng, Hà Nội (SĐT nhận sách:0909881993)</t>
  </si>
  <si>
    <t>01/01/2025 và 14/02/2025</t>
  </si>
  <si>
    <t>https://drive.google.com/open?id=1q0MqxpHtguwfs8Mk4CXq_lyTQYQBEity; https://drive.google.com/open?id=1MPsyxj8zG-mx-fwSpqFMxmwRLn7pY7bT; https://drive.google.com/open?id=1sGIA8FSKZtyBXZY9Bk45JuBjRpkHMi_8</t>
  </si>
  <si>
    <t>https://www.facebook.com/share/1E1v47fnNS/?mibextid=wwXIfr</t>
  </si>
  <si>
    <t xml:space="preserve">Tăng Thuý Linh </t>
  </si>
  <si>
    <t>185tangthuylinh@gmail.com</t>
  </si>
  <si>
    <t>https://drive.google.com/open?id=1r-ihuy_wg9_EVfv_RDqW7Zfcza4YKVyc; https://drive.google.com/open?id=1s1mHtpwIo_ex7ej7Tz3Abh0BlybrNA-E; https://drive.google.com/open?id=1LasSUGfWRYhDcl_lxe_cEOz1C-cQweHu</t>
  </si>
  <si>
    <t>https://www.facebook.com/share/15GihFam5v/?mibextid=wwXIfr</t>
  </si>
  <si>
    <t xml:space="preserve">Nguyễn Như Quỳnh  </t>
  </si>
  <si>
    <t>quynhnguyennhu0306@gmail.com</t>
  </si>
  <si>
    <t>https://drive.google.com/open?id=1Q_nVNVjhiBAwbYC4H8X3yJZPdlCgFvHz; https://drive.google.com/open?id=1oDJt1Md_cCJYGZukn8Z26XTjqsetfxun</t>
  </si>
  <si>
    <t>https://www.facebook.com/share/18YvWnaafM/?mibextid=wwXIfr</t>
  </si>
  <si>
    <t>Trần Thị Ánh Nguyệt</t>
  </si>
  <si>
    <t xml:space="preserve">nguyetnganhi2005@gmail.com </t>
  </si>
  <si>
    <t>https://drive.google.com/open?id=1rqObeodduEG5zdcbvNp6Gr8IgLnjVtAk; https://drive.google.com/open?id=1z2YFsiMmY29u8FVtYZMT2aicr8SuMglZ</t>
  </si>
  <si>
    <t>https://www.facebook.com/share/1KRTZci7fG/?mibextid=wwXIfr</t>
  </si>
  <si>
    <t>Đàm Thị Ngân Hà</t>
  </si>
  <si>
    <t xml:space="preserve">damthinganha2@gmail.com </t>
  </si>
  <si>
    <t>https://drive.google.com/open?id=1QcH9NyMvVC3xXP0BfFalKB7sLJusNxyZ; https://drive.google.com/open?id=13pQVo9bSTlR9xIu-c6sgVEbIL-xXf0My; https://drive.google.com/open?id=1UzzUsTDLA-z-LuhZxVEUJFYx-3e0ITor</t>
  </si>
  <si>
    <t>https://www.facebook.com/share/18cqoKFSkH/?mibextid=wwXIfr</t>
  </si>
  <si>
    <t>Phạm Tiến Hải</t>
  </si>
  <si>
    <t>17-225 phố quan hoa</t>
  </si>
  <si>
    <t>https://drive.google.com/open?id=1_2IOYbmU5zLfh0qCynA08ij1VmJhs-xl; https://drive.google.com/open?id=1zJHCDQouSC9Tz6I5f3DJUuWn8zohh_Yr</t>
  </si>
  <si>
    <t>https://www.facebook.com/share/1QZFF1SLqB/?mibextid=wwXIfr</t>
  </si>
  <si>
    <t>Trần Nguyên An</t>
  </si>
  <si>
    <t>Diễm Quỳnh</t>
  </si>
  <si>
    <t>14/02/2025 và 09/03/2025</t>
  </si>
  <si>
    <t>https://drive.google.com/open?id=1ZIRXS9REeRlCdJTK6kOZLAofUgELrEcs; https://drive.google.com/open?id=1qlni4uqRXM2kiaABolI6YQKal8VuBBpA; https://drive.google.com/open?id=12GwuHXHEqN19LIerjXVmk1eccZEq-mtQ</t>
  </si>
  <si>
    <t>https://www.facebook.com/share/14o8TgJF54/?mibextid=wwXIfr</t>
  </si>
  <si>
    <t>Vương Sĩ Thuý Mị</t>
  </si>
  <si>
    <t>15/02/2025 và 17/02/2025</t>
  </si>
  <si>
    <t>https://drive.google.com/open?id=1BiTm_tZBqT7u-hsRIweupV9yfS6V8gLZ; https://drive.google.com/open?id=1tVGzuQfArcsM2ktjFEvtqvwKMTmlUKPB; https://drive.google.com/open?id=1k_ZH9AwN3sAAK6R2kNfRngcwuocvtbGi</t>
  </si>
  <si>
    <t xml:space="preserve">https://www.facebook.com/share/1DW3NkSB8X/ </t>
  </si>
  <si>
    <t>Đặng Lê Hải</t>
  </si>
  <si>
    <t>codocvuong2807@gmail.com</t>
  </si>
  <si>
    <t>Ktx c17, trường Đại học công nghiệp Hà nội  cơ sở 3, Hà nam</t>
  </si>
  <si>
    <t>https://drive.google.com/open?id=12lxNg9y5awSt2INEZrkD9VeBohJlnDYT; https://drive.google.com/open?id=14CUsjhuQo3gMYRaRUnfsHnHUAQLniqw2</t>
  </si>
  <si>
    <t>https://www.facebook.com/share/12DipMsABm7/?mibextid=wwXIfr</t>
  </si>
  <si>
    <t xml:space="preserve">Vũ Thị Kim Ngọc </t>
  </si>
  <si>
    <t>https://drive.google.com/open?id=1ClxRzrVSTY7KwPadnL99wj6tiPdBKH-1</t>
  </si>
  <si>
    <t>https://www.facebook.com/share/14ynjVU76U/?mibextid=wwXIfr</t>
  </si>
  <si>
    <t xml:space="preserve"> Nguyễn Minh Thư</t>
  </si>
  <si>
    <t>14/02/2025 và 19/02/2025</t>
  </si>
  <si>
    <t>https://drive.google.com/open?id=1k_jeVpvBNBOplORkoH52TtaVlf-cKqRN; https://drive.google.com/open?id=1i0Ju4a6ct6ztvLt0C6Qr5hYy8Xrm5VKm; https://drive.google.com/open?id=1lZzRWB-lyPNwAdQ43NMdb6Sx0fjVX7mw</t>
  </si>
  <si>
    <t>https://www.facebook.com/share/15hFfHSByV/?mibextid=wwXIfr</t>
  </si>
  <si>
    <r>
      <rPr>
        <sz val="12"/>
        <color theme="1"/>
        <rFont val="Times New Roman"/>
        <family val="1"/>
      </rPr>
      <t>Dương Mạnh Hiệp</t>
    </r>
    <r>
      <rPr>
        <sz val="12"/>
        <color rgb="FFFF0000"/>
        <rFont val="Times New Roman"/>
        <family val="1"/>
      </rPr>
      <t xml:space="preserve"> - Trung Dương PT166</t>
    </r>
  </si>
  <si>
    <t>231 chùa bộc, đống đa HN ạ</t>
  </si>
  <si>
    <t>03/01/2025 và 12/02/2025</t>
  </si>
  <si>
    <t>https://drive.google.com/open?id=1w6EjUlJbkmSmiY5p3UXK5aGqgqP5K5UB, https://drive.google.com/open?id=1E_rK93SLNHm67kAK12EcwiOrP_JQ5HJh; https://drive.google.com/open?id=113TQXguXUcwJcEiSu4hn_9Row4IWustF</t>
  </si>
  <si>
    <t>https://www.facebook.com/share/1EbRpcCy95/?mibextid=LQQJ4d</t>
  </si>
  <si>
    <t>Đào Minh Quân</t>
  </si>
  <si>
    <t>07/01/2025 và 22/02/2025</t>
  </si>
  <si>
    <t>https://drive.google.com/open?id=1RaGJtDuYJrIcMDTolKJlXL-Za7FAzykL; https://drive.google.com/open?id=1RSpoZGHlEtHmolVgEsgv2ne_xQQoLiaT; https://drive.google.com/open?id=1fatZtVwkh8U_vLyzXzGv4p7anXmQqsLc</t>
  </si>
  <si>
    <t>https://www.facebook.com/iuanhso1?__cft__%5B0%5D=AZUq3QGuw_Z-u0xX06xEJA6uPzSj7wRBZQiqu8a5kH5wLuttCZjahrMZH1mKsFGl3KdRMG0S-LE1sHOfwNqjGP3hQoUCjTOYxeLGuZTE3o-Is46CCh1fSE6eDdLWzC4nA_Gzz9g534Nznxtp0uHdV636VfI4FBfLzlADJk0Yh5T4dGIy0XgMybp-G2zuf68g_fhTxyMrAx2CR7eWFQcnhuNA9OKbGnEWD_RGZ2goV1DT-A&amp;__tn__=-UC%252CP-R</t>
  </si>
  <si>
    <t>Nguyễn Vân Anh</t>
  </si>
  <si>
    <t>số 8 ngách 185/9 ngõ chùa láng, phường láng thượng, đống đa ạ</t>
  </si>
  <si>
    <t>15/02/2025 và 18/02/2025</t>
  </si>
  <si>
    <t>https://drive.google.com/open?id=18v8AWip72Q7NKgsJKzQLn86IllPE3TZ1; https://drive.google.com/open?id=1MqlFPnA921PJayW7c7HCR3gmfBlz91K0; https://drive.google.com/open?id=1QEBMJZCkD9LtoS3XBWac5HA19KAZfTIj</t>
  </si>
  <si>
    <t>https://www.facebook.com/share/1Kcf5KDHuy/?mibextid=wwXIfr</t>
  </si>
  <si>
    <t xml:space="preserve">Bạch Nhật Anh  </t>
  </si>
  <si>
    <t>bachnhatanh123456789@gmail.com</t>
  </si>
  <si>
    <t xml:space="preserve">ktx đại học thủy lợi  </t>
  </si>
  <si>
    <t>https://drive.google.com/open?id=1XTr93G53f3dQKQPYR5tAl0NAACu6b2B9; https://drive.google.com/open?id=1XxVRdhpaoeyhTpKYd1vlX3bKN0yKyBFY</t>
  </si>
  <si>
    <t>https://www.facebook.com/profile.php?id=100046622954704&amp;mibextid=wwXIfr&amp;rdid=9SRXfcui5kpKyIpq&amp;share_url=https%3A%2F%2Fwww.facebook.com%2Fshare%2F1D7ByhPvhd%2F%3Fmibextid%3DwwXIfr#</t>
  </si>
  <si>
    <t>Nguyễn Trường Giang</t>
  </si>
  <si>
    <t>19/02/2025 và 25/02/2025 và 20/03/2025</t>
  </si>
  <si>
    <t>https://drive.google.com/open?id=1eqbz8e6wTtT2uoPgHnmuBMtZfHvuT14y; https://drive.google.com/open?id=1NPQsJ3t-vYLWSvTjEDQA3qLXMTQjy4qi; https://drive.google.com/open?id=1bkVe9zewYrydvxGbzr9XoxzfKKEDX6X5</t>
  </si>
  <si>
    <r>
      <rPr>
        <sz val="12"/>
        <color theme="1"/>
        <rFont val="Times New Roman"/>
        <family val="1"/>
      </rPr>
      <t>Nguyễn Khánh Ngọc</t>
    </r>
    <r>
      <rPr>
        <sz val="12"/>
        <color rgb="FFFF0000"/>
        <rFont val="Times New Roman"/>
        <family val="1"/>
      </rPr>
      <t xml:space="preserve"> (hợp đồng)</t>
    </r>
  </si>
  <si>
    <t xml:space="preserve"> số 4 ngõ 1/9 phố văn hội đức thắng bắc từ liêm</t>
  </si>
  <si>
    <t>27/02/2025 và 05/03/2025</t>
  </si>
  <si>
    <t>https://drive.google.com/open?id=1QoI-bib-rbmp9Rc8QziXTt3S5nD4u8LB; https://drive.google.com/open?id=16SndYbjD-KsvUkDLnRmvQ7oqXNIxJVSa, https://drive.google.com/open?id=1M4FuJhzlG05aAOuL8lrei81NsQXG1dam</t>
  </si>
  <si>
    <t>Thừa 2 triệu khóa PT</t>
  </si>
  <si>
    <t>https://web.facebook.com/bang.nguyentrong.7739</t>
  </si>
  <si>
    <t>Nguyễn Thị Hiền Trang</t>
  </si>
  <si>
    <t>https://drive.google.com/open?id=1Sxttf8FctgYVaX2vMpJ4iziFc0fxVkLN; https://drive.google.com/open?id=1Sb_zXS0D1HQYgOALquxcGavS_icwN9gm</t>
  </si>
  <si>
    <t>https://www.facebook.com/share/1AGYhtyCQN/?mibextid=wwXIfr</t>
  </si>
  <si>
    <t>Trần Nguyễn Tuấn Vũ</t>
  </si>
  <si>
    <t>Ninh Bình</t>
  </si>
  <si>
    <t>https://drive.google.com/open?id=185Fb3d7TVuqijeqGz5ZBcJ6T5jqxJvod; https://drive.google.com/open?id=1946EjQRpIPHKvOLCalwwXkTCuBz9iBrv</t>
  </si>
  <si>
    <t xml:space="preserve">https://www.facebook.com/share/169hXyXrT6/?mibextid=wwXIfr </t>
  </si>
  <si>
    <r>
      <rPr>
        <sz val="12"/>
        <color theme="1"/>
        <rFont val="Times New Roman"/>
        <family val="1"/>
      </rPr>
      <t>Đỗ Thị Mai</t>
    </r>
    <r>
      <rPr>
        <sz val="12"/>
        <color rgb="FFFF0000"/>
        <rFont val="Times New Roman"/>
        <family val="1"/>
      </rPr>
      <t xml:space="preserve"> - chuyển nhượng S,W cho Uyên 0372914852</t>
    </r>
  </si>
  <si>
    <t>19/02/2025 và 24/02/2025</t>
  </si>
  <si>
    <t>https://drive.google.com/open?id=1EgBMHFUxrLK-9CSRm3sfWNEGBV-I_nAI; https://drive.google.com/open?id=1kMYx-AmX_wowq7xTNtU9jhoFrHvv2Jh4, https://drive.google.com/open?id=1pMCUoOVc2Bk52QLL-sQS_jVpVR9U4exX</t>
  </si>
  <si>
    <t xml:space="preserve">https://www.facebook.com/share/15iGnspYmq/?mibextid=wwXIfr </t>
  </si>
  <si>
    <t>Lê Thị Phương</t>
  </si>
  <si>
    <t>https://drive.google.com/open?id=12z6F-VXPpLT2RZwfjNXhoVmJpWrxpRog; https://drive.google.com/open?id=15SOfXKEZcmPqDAhW3DBMCP_GjfLgQ_8J; https://drive.google.com/open?id=1BD4gmaExFiawkh2shOc6tVcIftVfQWpO</t>
  </si>
  <si>
    <t>https://www.facebook.com/share/18LdtnN2mH/?mibextid=wwXIfr</t>
  </si>
  <si>
    <r>
      <rPr>
        <sz val="12"/>
        <color theme="1"/>
        <rFont val="Times New Roman"/>
        <family val="1"/>
      </rPr>
      <t xml:space="preserve">Phạm Văn Hậu </t>
    </r>
    <r>
      <rPr>
        <sz val="12"/>
        <color rgb="FFFF0000"/>
        <rFont val="Times New Roman"/>
        <family val="1"/>
      </rPr>
      <t>- hợp đồng</t>
    </r>
  </si>
  <si>
    <t>Xóm 4, xã Khánh Hồng, Yên Khánh, Ninh Bình</t>
  </si>
  <si>
    <t>20/02/2025 và 10/03/2025</t>
  </si>
  <si>
    <t>https://drive.google.com/open?id=1H5vtzcuKq-_YEpticU-Ujkah15Xa0GxS; https://drive.google.com/open?id=1fraQa5O6m-OSLb81aUKGInlpJgMLYBUY</t>
  </si>
  <si>
    <t>https://www.facebook.com/share/15zzHJi1NM/?mibextid=wwXIfr</t>
  </si>
  <si>
    <t>Phạm Thái Sơn</t>
  </si>
  <si>
    <t>https://drive.google.com/open?id=1jsSkXCIjI7hnFbbFnEgldOf1eOOOeu_v; https://drive.google.com/open?id=1q8K56ujFgqY7SnlPegNuIt9342I1_cqB</t>
  </si>
  <si>
    <t>https://www.facebook.com/share/18n967LSkv/?mibextid=wwXIfr</t>
  </si>
  <si>
    <r>
      <rPr>
        <sz val="12"/>
        <color theme="1"/>
        <rFont val="Times New Roman"/>
        <family val="1"/>
      </rPr>
      <t xml:space="preserve">Phan Thị Lê </t>
    </r>
    <r>
      <rPr>
        <sz val="12"/>
        <color rgb="FFFF0000"/>
        <rFont val="Times New Roman"/>
        <family val="1"/>
      </rPr>
      <t>- OPT62. Đã nộp 200K bảo lưu cùng học phí
OPT57 bảo lưu b6. Sang học OPT62</t>
    </r>
  </si>
  <si>
    <t>21/02/2025 và 27/02/2025</t>
  </si>
  <si>
    <t>https://drive.google.com/open?id=1dBQfLcgbUDvL_y5M6juGvuXKqwWQm9pL; https://drive.google.com/open?id=1WSyaxrcJZ42jbjYZuJ9XCcf6IpQFegXY; https://drive.google.com/open?id=1jUtWWLUvf_PgxjcTR1tzHfi0_b1x1dil</t>
  </si>
  <si>
    <t>https://www.facebook.com/thu.huong.715015</t>
  </si>
  <si>
    <r>
      <rPr>
        <sz val="12"/>
        <color theme="1"/>
        <rFont val="Times New Roman"/>
        <family val="1"/>
      </rPr>
      <t xml:space="preserve">Phạm Thị Thu Hương </t>
    </r>
    <r>
      <rPr>
        <sz val="12"/>
        <color rgb="FFFF0000"/>
        <rFont val="Times New Roman"/>
        <family val="1"/>
      </rPr>
      <t>- OPT62. Đã nộp 200K bảo lưu cùng học phí
OPT57 bảo lưu buổi 6. Chuyển sang học OPT62</t>
    </r>
  </si>
  <si>
    <t xml:space="preserve"> và 04/03/2025</t>
  </si>
  <si>
    <r>
      <rPr>
        <u/>
        <sz val="12"/>
        <color rgb="FF1155CC"/>
        <rFont val="Times New Roman"/>
        <family val="1"/>
      </rPr>
      <t xml:space="preserve">https://drive.google.com/open?id=12HPJPHGtDcWYenF4UZx19RNUzqVpW9o6; </t>
    </r>
    <r>
      <rPr>
        <u/>
        <sz val="12"/>
        <color rgb="FF1155CC"/>
        <rFont val="Times New Roman"/>
        <family val="1"/>
      </rPr>
      <t>https://drive.google.com/open?id=1zsVMrQj_uOAuugFPBuqdKKfQ3amVlwLd</t>
    </r>
    <r>
      <rPr>
        <u/>
        <sz val="12"/>
        <color rgb="FF1155CC"/>
        <rFont val="Times New Roman"/>
        <family val="1"/>
      </rPr>
      <t>; https://drive.google.com/open?id=1XPsWBFmwJX7-So4Dbo8tTJRgnpqjZG8t</t>
    </r>
  </si>
  <si>
    <t>https://www.facebook.com/profile.php?id=100065370731369&amp;mibextid=wwXIfr&amp;rdid=Gl3LQkedXC4CZJht&amp;share_url=https%3A%2F%2Fwww.facebook.com%2Fshare%2F18Qa8TwZHM%2F%3Fmibextid%3DwwXIfr#</t>
  </si>
  <si>
    <t>minhtrang102206@gmail.com</t>
  </si>
  <si>
    <t>số 5, ngõ 71, đường 1 Đồng Vân, xã Đồng Tháp, huyện Đan Phượng, tp Hà Nội</t>
  </si>
  <si>
    <t>21/02/2025 và 22/02/2025</t>
  </si>
  <si>
    <t>https://drive.google.com/open?id=1eH_IbZvL68jhW3MTfJ-BfSE0cAwJ8qtB; https://drive.google.com/open?id=1-b6zbPrDgANME0RJJWDQhlPonRIhfFA-; https://drive.google.com/open?id=13EDowAvMC7MN_RJtLHvlKPw71gnD1RMd</t>
  </si>
  <si>
    <t>https://www.facebook.com/phuong.linh.737852?mibextid=wwXIfr&amp;rdid=USGRlB4VtcH5G9dI&amp;share_url=https%3A%2F%2Fwww.facebook.com%2Fshare%2F1DajQ11UNB%2F%3Fmibextid%3DwwXIfr#</t>
  </si>
  <si>
    <t>Bùi Phương Linh</t>
  </si>
  <si>
    <t>plinhb2806@gmail.com</t>
  </si>
  <si>
    <t>Số nhà 59, Đường Điện Biên, Thôn Bãi Tháp, Xã Đồng Tháp, Huyện Đan Phượng, TP Hà Nội</t>
  </si>
  <si>
    <t>https://drive.google.com/open?id=1QqbmzPPgMEDFBvdk-BUkfLwbL0LfwmCt; https://drive.google.com/open?id=1vf6m7v_w5PTOhXN9Yjerr3cX-IxYppJa; https://drive.google.com/open?id=1QswUk-JR5Ya5FCuD7G2WMhR9_P3u6veO</t>
  </si>
  <si>
    <t>https://www.facebook.com/share/18Z5GQEFBv/?mibextid=wwXIfr</t>
  </si>
  <si>
    <t xml:space="preserve">Phan Trần Duy Thông </t>
  </si>
  <si>
    <t>phantranduythong062006@gmail.com</t>
  </si>
  <si>
    <t xml:space="preserve"> 31B, 151 Nguyễn Đức Cảnh, Tương Mai, Hoàng Mai, Hà Nội</t>
  </si>
  <si>
    <t xml:space="preserve"> 11/3và 12/03/2025</t>
  </si>
  <si>
    <r>
      <rPr>
        <sz val="12"/>
        <rFont val="Times New Roman"/>
        <family val="1"/>
      </rPr>
      <t xml:space="preserve">https://drive.google.com/open?id=11HhADr9hAzRL75sZ3WvGkGqi37sYtrRr, https://drive.google.com/open?id=1wivCZDDuz4xt02DnfRrrpI-EujtTYhgK; </t>
    </r>
    <r>
      <rPr>
        <u/>
        <sz val="12"/>
        <color rgb="FF1155CC"/>
        <rFont val="Times New Roman"/>
        <family val="1"/>
      </rPr>
      <t>https://drive.google.com/open?id=1KKzIeSIO9BgAdWWo16h-1dlckYLwsQEa</t>
    </r>
    <r>
      <rPr>
        <sz val="12"/>
        <rFont val="Times New Roman"/>
        <family val="1"/>
      </rPr>
      <t>, https://drive.google.com/open?id=19ekkuMl7KljBAQQAmY1T1e0sr_mfaFJK</t>
    </r>
  </si>
  <si>
    <t>https://www.facebook.com/share/1AXLeMpNxQ/?mibextid=wwXIfr</t>
  </si>
  <si>
    <t xml:space="preserve">Trần Thị Hương Giang </t>
  </si>
  <si>
    <t>tranthihuonggiang3008st@gmail.com</t>
  </si>
  <si>
    <t>Số 113 , ngõ 354 khương thượng , phường khương thượng , quận đống đa , hà nội</t>
  </si>
  <si>
    <t>https://drive.google.com/open?id=1SB4_PKdOHWaWa7E4mVFiHHFCEUNq6NHI, https://drive.google.com/open?id=16wieEHtKmFG6kIDRFtZ28hIyURP5UTYW; https://drive.google.com/open?id=1R51_e3YaWAX-BEyQ85TH-aC9AeQVAm8U</t>
  </si>
  <si>
    <t>https://www.facebook.com/share/18F4gKQ1cA/?mibextid=wwXIfr</t>
  </si>
  <si>
    <t>Lưu Thị Minh Phương</t>
  </si>
  <si>
    <t>Học OFFLINE</t>
  </si>
  <si>
    <t>23/02/2025 và 06/03/2025</t>
  </si>
  <si>
    <t>https://drive.google.com/open?id=18z4Tz_9U5o4qcbX8RK8nUV5VTP_fKMjI; https://drive.google.com/open?id=1bjbyAXHEU2DJMr-KHCFFjpxb2mNDRYTl; https://drive.google.com/open?id=1ggDUsBgEhgouxds1XeeL1pDLxMcdh4IE</t>
  </si>
  <si>
    <t>https://www.facebook.com/share/1YZ2WJxKfd/?mibextid=wwXIfr</t>
  </si>
  <si>
    <r>
      <rPr>
        <sz val="12"/>
        <color theme="1"/>
        <rFont val="Times New Roman"/>
        <family val="1"/>
      </rPr>
      <t xml:space="preserve">Nguyễn Thị Yến Nhi - </t>
    </r>
    <r>
      <rPr>
        <sz val="12"/>
        <color rgb="FFFF0000"/>
        <rFont val="Times New Roman"/>
        <family val="1"/>
      </rPr>
      <t>Hợp đồng</t>
    </r>
  </si>
  <si>
    <t>nhi5887@gmail.com</t>
  </si>
  <si>
    <t>toà d2, saigon riverside complex, số 4, đường Đào Trí, phường Phú Thuận, Quận 7, TP Hồ Chí Minh</t>
  </si>
  <si>
    <t>https://drive.google.com/open?id=1mE1B8m3i6uKK_ZM2ZYm2wuvKB4gMGgO7; https://drive.google.com/open?id=1Tx1rs5zPTM11dPR1dLFtrv-5kuKMhJGS</t>
  </si>
  <si>
    <t>https://www.facebook.com/share/1DBuqwwzzt/?mibextid=wwXIfr</t>
  </si>
  <si>
    <t>Bùi Thị Tú Uyên</t>
  </si>
  <si>
    <t>thituuyenbui81@gmail.com</t>
  </si>
  <si>
    <t>Số 30 ngõ 66 Hồ Tùng Mậu, Mai Dịch, Cầu Giấy, Hà Nội</t>
  </si>
  <si>
    <t>https://drive.google.com/open?id=1KJ2hJMGGC4eiCHrEwLPtyHwyWnt1A7yj; https://drive.google.com/open?id=1Qv3ycgsgWXLWJrJKp25W4v1KBvBYD15l</t>
  </si>
  <si>
    <t>https://www.facebook.com/share/1XnqzfMEup/?mibextid=wwXIfr</t>
  </si>
  <si>
    <r>
      <rPr>
        <sz val="12"/>
        <color theme="1"/>
        <rFont val="Times New Roman"/>
        <family val="1"/>
      </rPr>
      <t xml:space="preserve">Phạm Hải Ninh </t>
    </r>
    <r>
      <rPr>
        <sz val="12"/>
        <color rgb="FFFF0000"/>
        <rFont val="Times New Roman"/>
        <family val="1"/>
      </rPr>
      <t>- 588982570 số cũ</t>
    </r>
  </si>
  <si>
    <t>zumentus@gmail.com</t>
  </si>
  <si>
    <t>Số nhà 122, ngõ 115 định công, Hoàng Mai</t>
  </si>
  <si>
    <t>https://drive.google.com/open?id=1l8O6MzFOKff08OnRAvGCaFAR83f4Xw-1; https://drive.google.com/open?id=1YRGAsmw6qkSCigByz4xfMydN59tGFtMZ</t>
  </si>
  <si>
    <t>OPT65</t>
  </si>
  <si>
    <t>https://www.facebook.com/share/1EyPGKpGwo/?mibextid=wwXIfr</t>
  </si>
  <si>
    <r>
      <rPr>
        <sz val="12"/>
        <color theme="1"/>
        <rFont val="Times New Roman"/>
        <family val="1"/>
      </rPr>
      <t xml:space="preserve">Nguyễn Cao Cường </t>
    </r>
    <r>
      <rPr>
        <sz val="12"/>
        <color rgb="FFFF0000"/>
        <rFont val="Times New Roman"/>
        <family val="1"/>
      </rPr>
      <t>- PT171, PT172</t>
    </r>
  </si>
  <si>
    <t>cuong104206@gmail.com</t>
  </si>
  <si>
    <t>số nhà 33, khu tái định cư X2A, cty dây điện triều tiên vina, phường yên sở, quận hoàng mai</t>
  </si>
  <si>
    <t>24/02/2025 và 08/03/2025</t>
  </si>
  <si>
    <t>https://drive.google.com/open?id=1mhahNNRwL1H6bn97ks-BFF2wztpi-2BQ; https://drive.google.com/open?id=1UQo4xHrTzepvGyyh12e27hMVfYv9lRjF</t>
  </si>
  <si>
    <t>OPT63 nghỉ ngang b8. Quân chat</t>
  </si>
  <si>
    <t>https://www.facebook.com/share/12EtbyCVd8n/?mibextid=wwXIfr</t>
  </si>
  <si>
    <t>Đặng Quang Huy</t>
  </si>
  <si>
    <t>25/02/2025 và 04/03/2025</t>
  </si>
  <si>
    <r>
      <rPr>
        <u/>
        <sz val="12"/>
        <color rgb="FF1155CC"/>
        <rFont val="Times New Roman"/>
        <family val="1"/>
      </rPr>
      <t xml:space="preserve">https://drive.google.com/open?id=1gtJG58mvgA2Wtxmh_ou-iuJgw-fDZLa3; </t>
    </r>
    <r>
      <rPr>
        <u/>
        <sz val="12"/>
        <color rgb="FF1155CC"/>
        <rFont val="Times New Roman"/>
        <family val="1"/>
      </rPr>
      <t>https://drive.google.com/open?id=1usjJrxxCrNuPFU-1MHmCRPo1enABRjc4</t>
    </r>
  </si>
  <si>
    <t>https://www.facebook.com/le.van.datt.2024</t>
  </si>
  <si>
    <r>
      <rPr>
        <sz val="12"/>
        <color theme="1"/>
        <rFont val="Times New Roman"/>
        <family val="1"/>
      </rPr>
      <t xml:space="preserve">Lê Văn Đạt - </t>
    </r>
    <r>
      <rPr>
        <sz val="12"/>
        <color rgb="FFFF0000"/>
        <rFont val="Times New Roman"/>
        <family val="1"/>
      </rPr>
      <t>Hợp đồng</t>
    </r>
  </si>
  <si>
    <t xml:space="preserve"> số 4b, ngõ 172 Đại Từ, Đại Kim, Hoàng Mai, Hà Nội</t>
  </si>
  <si>
    <t>https://drive.google.com/open?id=1pbJDEqc6SRmqSifzmGlJwWYzVOz664cO; https://drive.google.com/open?id=1dVIiV0Apfigu9Uw-K6UtYFOmnO2ooETg</t>
  </si>
  <si>
    <t>Up level</t>
  </si>
  <si>
    <r>
      <rPr>
        <sz val="12"/>
        <color theme="1"/>
        <rFont val="Times New Roman"/>
        <family val="1"/>
      </rPr>
      <t>Nguyễn Văn Hoàng Anh</t>
    </r>
    <r>
      <rPr>
        <sz val="12"/>
        <color rgb="FFFF0000"/>
        <rFont val="Times New Roman"/>
        <family val="1"/>
      </rPr>
      <t xml:space="preserve"> - Đã nộp 300K 16/06/2025
OVIP24 bảo lưu b11. Học OVIP39 b7</t>
    </r>
  </si>
  <si>
    <t>https://drive.google.com/open?id=1ZETSqkBvi0l_XyN4cO4m7xtFTuL0ch4i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</si>
</sst>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
    <numFmt numFmtId="165" formatCode="dd/mm/yyyy"/>
    <numFmt numFmtId="166" formatCode="0.0"/>
    <numFmt numFmtId="167" formatCode="m/d/yyyy\ h:mm:ss"/>
    <numFmt numFmtId="168" formatCode="d/m/yyyy"/>
    <numFmt numFmtId="169" formatCode="dd/mm/yy"/>
    <numFmt numFmtId="170" formatCode="dd&quot;/&quot;mm"/>
  </numFmts>
  <fonts count="19" x14ac:knownFonts="1">
    <font>
      <sz val="12"/>
      <color theme="1"/>
      <name val="Calibri"/>
      <family val="2"/>
      <scheme val="minor"/>
    </font>
    <font>
      <b/>
      <sz val="12"/>
      <color theme="1"/>
      <name val="Times New Roman"/>
      <family val="1"/>
    </font>
    <font>
      <sz val="12"/>
      <color theme="1"/>
      <name val="Times New Roman"/>
      <family val="1"/>
    </font>
    <font>
      <u/>
      <sz val="12"/>
      <color rgb="FF1155CC"/>
      <name val="Times New Roman"/>
      <family val="1"/>
    </font>
    <font>
      <sz val="12"/>
      <color rgb="FFFF0000"/>
      <name val="Times New Roman"/>
      <family val="1"/>
    </font>
    <font>
      <u/>
      <sz val="12"/>
      <color rgb="FF0000FF"/>
      <name val="Times New Roman"/>
      <family val="1"/>
    </font>
    <font>
      <sz val="12"/>
      <color rgb="FF000000"/>
      <name val="Times New Roman"/>
      <family val="1"/>
    </font>
    <font>
      <sz val="12"/>
      <name val="Times New Roman"/>
      <family val="1"/>
    </font>
    <font>
      <sz val="12"/>
      <color rgb="FF1F1F1F"/>
      <name val="Times New Roman"/>
      <family val="1"/>
    </font>
    <font>
      <u/>
      <sz val="12"/>
      <color rgb="FFFF0000"/>
      <name val="Times New Roman"/>
      <family val="1"/>
    </font>
    <font>
      <sz val="12"/>
      <color rgb="FF050505"/>
      <name val="Times New Roman"/>
      <family val="1"/>
    </font>
    <font>
      <sz val="12"/>
      <color rgb="FF4A86E8"/>
      <name val="Times New Roman"/>
      <family val="1"/>
    </font>
    <font>
      <u/>
      <sz val="12"/>
      <color rgb="FF000000"/>
      <name val="Times New Roman"/>
      <family val="1"/>
    </font>
    <font>
      <u/>
      <sz val="12"/>
      <color rgb="FF081C36"/>
      <name val="Times New Roman"/>
      <family val="1"/>
    </font>
    <font>
      <sz val="12"/>
      <color rgb="FF080809"/>
      <name val="Times New Roman"/>
      <family val="1"/>
    </font>
    <font>
      <sz val="12"/>
      <color rgb="FFFFFF00"/>
      <name val="Times New Roman"/>
      <family val="1"/>
    </font>
    <font>
      <sz val="12"/>
      <color rgb="FF081B3A"/>
      <name val="Times New Roman"/>
      <family val="1"/>
    </font>
    <font>
      <sz val="12"/>
      <color rgb="FF434343"/>
      <name val="Times New Roman"/>
      <family val="1"/>
    </font>
    <font>
      <sz val="12"/>
      <color rgb="FFFFFFFF"/>
      <name val="Times New Roman"/>
      <family val="1"/>
    </font>
  </fonts>
  <fills count="17">
    <fill>
      <patternFill patternType="none"/>
    </fill>
    <fill>
      <patternFill patternType="gray125"/>
    </fill>
    <fill>
      <patternFill patternType="solid">
        <fgColor rgb="FFFF6D01"/>
        <bgColor rgb="FFFF6D01"/>
      </patternFill>
    </fill>
    <fill>
      <patternFill patternType="solid">
        <fgColor rgb="FFFFFF00"/>
        <bgColor rgb="FFFFFF00"/>
      </patternFill>
    </fill>
    <fill>
      <patternFill patternType="solid">
        <fgColor theme="0"/>
        <bgColor theme="0"/>
      </patternFill>
    </fill>
    <fill>
      <patternFill patternType="solid">
        <fgColor rgb="FF00FFFF"/>
        <bgColor rgb="FF00FFFF"/>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
      <patternFill patternType="solid">
        <fgColor rgb="FF4A86E8"/>
        <bgColor rgb="FF4A86E8"/>
      </patternFill>
    </fill>
    <fill>
      <patternFill patternType="solid">
        <fgColor rgb="FFF3F3F3"/>
        <bgColor rgb="FFF3F3F3"/>
      </patternFill>
    </fill>
    <fill>
      <patternFill patternType="solid">
        <fgColor rgb="FFE4E6EB"/>
        <bgColor rgb="FFE4E6EB"/>
      </patternFill>
    </fill>
    <fill>
      <patternFill patternType="solid">
        <fgColor rgb="FFFF9900"/>
        <bgColor rgb="FFFF9900"/>
      </patternFill>
    </fill>
    <fill>
      <patternFill patternType="solid">
        <fgColor rgb="FFF0F0F0"/>
        <bgColor rgb="FFF0F0F0"/>
      </patternFill>
    </fill>
    <fill>
      <patternFill patternType="solid">
        <fgColor rgb="FF92D050"/>
        <bgColor rgb="FF92D050"/>
      </patternFill>
    </fill>
    <fill>
      <patternFill patternType="solid">
        <fgColor rgb="FFFF00FF"/>
        <bgColor rgb="FFFF00FF"/>
      </patternFill>
    </fill>
    <fill>
      <patternFill patternType="solid">
        <fgColor rgb="FF0084FF"/>
        <bgColor rgb="FF0084FF"/>
      </patternFill>
    </fill>
  </fills>
  <borders count="3">
    <border>
      <left/>
      <right/>
      <top/>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9">
    <xf numFmtId="0" fontId="0" fillId="0" borderId="0" xfId="0"/>
    <xf numFmtId="164" fontId="1" fillId="2" borderId="0" xfId="0" applyNumberFormat="1" applyFont="1" applyFill="1" applyAlignment="1">
      <alignment horizontal="left" vertical="center" wrapText="1"/>
    </xf>
    <xf numFmtId="0" fontId="1" fillId="2" borderId="0" xfId="0" applyFont="1" applyFill="1" applyAlignment="1">
      <alignment horizontal="left" vertical="center" wrapText="1"/>
    </xf>
    <xf numFmtId="165" fontId="1" fillId="3" borderId="0" xfId="0" applyNumberFormat="1" applyFont="1" applyFill="1" applyAlignment="1">
      <alignment horizontal="center" vertical="center" wrapText="1"/>
    </xf>
    <xf numFmtId="0" fontId="1" fillId="2" borderId="0" xfId="0" applyFont="1" applyFill="1" applyAlignment="1">
      <alignment horizontal="center" vertical="center" wrapText="1"/>
    </xf>
    <xf numFmtId="1" fontId="1" fillId="2" borderId="0" xfId="0" applyNumberFormat="1" applyFont="1" applyFill="1" applyAlignment="1">
      <alignment horizontal="center" vertical="center" wrapText="1"/>
    </xf>
    <xf numFmtId="164" fontId="2" fillId="3" borderId="0" xfId="0" applyNumberFormat="1" applyFont="1" applyFill="1" applyAlignment="1">
      <alignment horizontal="center" vertical="center" wrapText="1"/>
    </xf>
    <xf numFmtId="0" fontId="1" fillId="3" borderId="0" xfId="0" applyFont="1" applyFill="1" applyAlignment="1">
      <alignment horizontal="right" vertical="center" wrapText="1"/>
    </xf>
    <xf numFmtId="165" fontId="1" fillId="2" borderId="0" xfId="0" applyNumberFormat="1" applyFont="1" applyFill="1" applyAlignment="1">
      <alignment horizontal="left" vertical="center" wrapText="1"/>
    </xf>
    <xf numFmtId="0" fontId="1" fillId="2" borderId="0" xfId="0" applyFont="1" applyFill="1" applyAlignment="1">
      <alignment horizontal="left" vertical="center"/>
    </xf>
    <xf numFmtId="165" fontId="1" fillId="4" borderId="1" xfId="0" applyNumberFormat="1" applyFont="1" applyFill="1" applyBorder="1" applyAlignment="1">
      <alignment horizontal="left" wrapText="1"/>
    </xf>
    <xf numFmtId="0" fontId="1" fillId="3" borderId="0" xfId="0" applyFont="1" applyFill="1" applyAlignment="1">
      <alignment horizontal="center" vertical="center" wrapText="1"/>
    </xf>
    <xf numFmtId="0" fontId="1" fillId="5" borderId="0" xfId="0" applyFont="1" applyFill="1" applyAlignment="1">
      <alignment horizontal="left" vertical="center" wrapText="1"/>
    </xf>
    <xf numFmtId="166" fontId="1" fillId="5" borderId="0" xfId="0" applyNumberFormat="1" applyFont="1" applyFill="1" applyAlignment="1">
      <alignment horizontal="left" vertical="center" wrapText="1"/>
    </xf>
    <xf numFmtId="165" fontId="2" fillId="4" borderId="0" xfId="0" applyNumberFormat="1" applyFont="1" applyFill="1" applyAlignment="1">
      <alignment horizontal="left"/>
    </xf>
    <xf numFmtId="49" fontId="2" fillId="6" borderId="0" xfId="0" applyNumberFormat="1" applyFont="1" applyFill="1" applyAlignment="1">
      <alignment horizontal="left"/>
    </xf>
    <xf numFmtId="0" fontId="2" fillId="6" borderId="0" xfId="0" applyFont="1" applyFill="1" applyAlignment="1">
      <alignment horizontal="left"/>
    </xf>
    <xf numFmtId="165" fontId="2" fillId="3" borderId="0" xfId="0" applyNumberFormat="1" applyFont="1" applyFill="1" applyAlignment="1">
      <alignment horizontal="center"/>
    </xf>
    <xf numFmtId="1" fontId="2" fillId="6" borderId="0" xfId="0" applyNumberFormat="1" applyFont="1" applyFill="1" applyAlignment="1">
      <alignment horizontal="right"/>
    </xf>
    <xf numFmtId="0" fontId="2" fillId="4" borderId="0" xfId="0" applyFont="1" applyFill="1" applyAlignment="1">
      <alignment horizontal="left"/>
    </xf>
    <xf numFmtId="3" fontId="2" fillId="3" borderId="0" xfId="0" applyNumberFormat="1" applyFont="1" applyFill="1" applyAlignment="1">
      <alignment horizontal="right"/>
    </xf>
    <xf numFmtId="3" fontId="2" fillId="6" borderId="0" xfId="0" applyNumberFormat="1" applyFont="1" applyFill="1" applyAlignment="1">
      <alignment horizontal="left"/>
    </xf>
    <xf numFmtId="0" fontId="2" fillId="3" borderId="0" xfId="0" applyFont="1" applyFill="1" applyAlignment="1">
      <alignment horizontal="right"/>
    </xf>
    <xf numFmtId="0" fontId="2" fillId="7" borderId="0" xfId="0" applyFont="1" applyFill="1" applyAlignment="1">
      <alignment horizontal="center"/>
    </xf>
    <xf numFmtId="0" fontId="2" fillId="3" borderId="0" xfId="0" applyFont="1" applyFill="1" applyAlignment="1">
      <alignment horizontal="center" vertical="center"/>
    </xf>
    <xf numFmtId="166" fontId="2" fillId="4" borderId="0" xfId="0" applyNumberFormat="1" applyFont="1" applyFill="1" applyAlignment="1">
      <alignment horizontal="left" vertical="center"/>
    </xf>
    <xf numFmtId="0" fontId="2" fillId="0" borderId="0" xfId="0" applyFont="1" applyAlignment="1">
      <alignment horizontal="left"/>
    </xf>
    <xf numFmtId="167" fontId="2" fillId="4" borderId="0" xfId="0" applyNumberFormat="1" applyFont="1" applyFill="1" applyAlignment="1">
      <alignment horizontal="left"/>
    </xf>
    <xf numFmtId="49" fontId="2" fillId="0" borderId="0" xfId="0" applyNumberFormat="1" applyFont="1" applyAlignment="1">
      <alignment horizontal="left"/>
    </xf>
    <xf numFmtId="49" fontId="3" fillId="0" borderId="0" xfId="0" applyNumberFormat="1" applyFont="1" applyAlignment="1">
      <alignment horizontal="left"/>
    </xf>
    <xf numFmtId="1" fontId="2" fillId="0" borderId="0" xfId="0" applyNumberFormat="1" applyFont="1" applyAlignment="1">
      <alignment horizontal="right"/>
    </xf>
    <xf numFmtId="3" fontId="2" fillId="0" borderId="0" xfId="0" applyNumberFormat="1" applyFont="1" applyAlignment="1">
      <alignment horizontal="left"/>
    </xf>
    <xf numFmtId="14" fontId="2" fillId="0" borderId="0" xfId="0" applyNumberFormat="1" applyFont="1" applyAlignment="1">
      <alignment horizontal="left"/>
    </xf>
    <xf numFmtId="0" fontId="3" fillId="0" borderId="0" xfId="0" applyFont="1" applyAlignment="1">
      <alignment horizontal="left"/>
    </xf>
    <xf numFmtId="0" fontId="2" fillId="7" borderId="0" xfId="0" applyFont="1" applyFill="1" applyAlignment="1">
      <alignment horizontal="left"/>
    </xf>
    <xf numFmtId="0" fontId="2" fillId="8" borderId="0" xfId="0" applyFont="1" applyFill="1" applyAlignment="1">
      <alignment horizontal="left"/>
    </xf>
    <xf numFmtId="0" fontId="2" fillId="8" borderId="0" xfId="0" applyFont="1" applyFill="1" applyAlignment="1">
      <alignment horizontal="left" vertical="center"/>
    </xf>
    <xf numFmtId="166" fontId="2" fillId="8" borderId="0" xfId="0" applyNumberFormat="1" applyFont="1" applyFill="1" applyAlignment="1">
      <alignment horizontal="left" vertical="center"/>
    </xf>
    <xf numFmtId="165" fontId="2" fillId="0" borderId="0" xfId="0" applyNumberFormat="1" applyFont="1" applyAlignment="1">
      <alignment horizontal="left"/>
    </xf>
    <xf numFmtId="0" fontId="2" fillId="3" borderId="0" xfId="0" applyFont="1" applyFill="1" applyAlignment="1">
      <alignment horizontal="left"/>
    </xf>
    <xf numFmtId="166" fontId="2" fillId="0" borderId="0" xfId="0" applyNumberFormat="1" applyFont="1" applyAlignment="1">
      <alignment horizontal="left"/>
    </xf>
    <xf numFmtId="0" fontId="2" fillId="2" borderId="0" xfId="0" applyFont="1" applyFill="1"/>
    <xf numFmtId="0" fontId="4" fillId="0" borderId="0" xfId="0" applyFont="1" applyAlignment="1">
      <alignment horizontal="left"/>
    </xf>
    <xf numFmtId="168" fontId="2" fillId="3" borderId="0" xfId="0" applyNumberFormat="1" applyFont="1" applyFill="1" applyAlignment="1">
      <alignment horizontal="center"/>
    </xf>
    <xf numFmtId="49" fontId="5" fillId="0" borderId="0" xfId="0" applyNumberFormat="1" applyFont="1" applyAlignment="1">
      <alignment horizontal="left"/>
    </xf>
    <xf numFmtId="169" fontId="2" fillId="0" borderId="0" xfId="0" applyNumberFormat="1" applyFont="1" applyAlignment="1">
      <alignment horizontal="left"/>
    </xf>
    <xf numFmtId="14" fontId="2" fillId="6" borderId="0" xfId="0" applyNumberFormat="1" applyFont="1" applyFill="1" applyAlignment="1">
      <alignment horizontal="left"/>
    </xf>
    <xf numFmtId="1" fontId="2" fillId="4" borderId="0" xfId="0" applyNumberFormat="1" applyFont="1" applyFill="1" applyAlignment="1">
      <alignment horizontal="right"/>
    </xf>
    <xf numFmtId="49" fontId="2" fillId="4" borderId="0" xfId="0" applyNumberFormat="1" applyFont="1" applyFill="1" applyAlignment="1">
      <alignment horizontal="left"/>
    </xf>
    <xf numFmtId="49" fontId="3" fillId="4" borderId="0" xfId="0" applyNumberFormat="1" applyFont="1" applyFill="1" applyAlignment="1">
      <alignment horizontal="left"/>
    </xf>
    <xf numFmtId="3" fontId="2" fillId="4" borderId="0" xfId="0" applyNumberFormat="1" applyFont="1" applyFill="1" applyAlignment="1">
      <alignment horizontal="left"/>
    </xf>
    <xf numFmtId="14" fontId="2" fillId="4" borderId="0" xfId="0" applyNumberFormat="1" applyFont="1" applyFill="1" applyAlignment="1">
      <alignment horizontal="left"/>
    </xf>
    <xf numFmtId="0" fontId="3" fillId="4" borderId="0" xfId="0" applyFont="1" applyFill="1" applyAlignment="1">
      <alignment horizontal="left"/>
    </xf>
    <xf numFmtId="166" fontId="2" fillId="4" borderId="0" xfId="0" applyNumberFormat="1" applyFont="1" applyFill="1" applyAlignment="1">
      <alignment horizontal="left"/>
    </xf>
    <xf numFmtId="49" fontId="4" fillId="0" borderId="0" xfId="0" applyNumberFormat="1" applyFont="1" applyAlignment="1">
      <alignment horizontal="left"/>
    </xf>
    <xf numFmtId="0" fontId="5" fillId="0" borderId="0" xfId="0" applyFont="1" applyAlignment="1">
      <alignment horizontal="left"/>
    </xf>
    <xf numFmtId="49" fontId="3" fillId="8" borderId="0" xfId="0" applyNumberFormat="1" applyFont="1" applyFill="1" applyAlignment="1">
      <alignment horizontal="left"/>
    </xf>
    <xf numFmtId="1" fontId="2" fillId="8" borderId="0" xfId="0" applyNumberFormat="1" applyFont="1" applyFill="1" applyAlignment="1">
      <alignment horizontal="right"/>
    </xf>
    <xf numFmtId="3" fontId="2" fillId="8" borderId="0" xfId="0" applyNumberFormat="1" applyFont="1" applyFill="1" applyAlignment="1">
      <alignment horizontal="left"/>
    </xf>
    <xf numFmtId="14" fontId="2" fillId="8" borderId="0" xfId="0" applyNumberFormat="1" applyFont="1" applyFill="1" applyAlignment="1">
      <alignment horizontal="left"/>
    </xf>
    <xf numFmtId="0" fontId="2" fillId="3" borderId="0" xfId="0" applyFont="1" applyFill="1" applyAlignment="1">
      <alignment horizontal="center"/>
    </xf>
    <xf numFmtId="0" fontId="6" fillId="8" borderId="0" xfId="0" applyFont="1" applyFill="1" applyAlignment="1">
      <alignment horizontal="left"/>
    </xf>
    <xf numFmtId="0" fontId="4" fillId="4" borderId="0" xfId="0" applyFont="1" applyFill="1" applyAlignment="1">
      <alignment horizontal="left"/>
    </xf>
    <xf numFmtId="0" fontId="4" fillId="7" borderId="0" xfId="0" applyFont="1" applyFill="1" applyAlignment="1">
      <alignment horizontal="left"/>
    </xf>
    <xf numFmtId="3" fontId="2" fillId="3" borderId="0" xfId="0" applyNumberFormat="1" applyFont="1" applyFill="1" applyAlignment="1">
      <alignment horizontal="left"/>
    </xf>
    <xf numFmtId="166" fontId="8" fillId="8" borderId="0" xfId="0" applyNumberFormat="1" applyFont="1" applyFill="1"/>
    <xf numFmtId="1" fontId="6" fillId="8" borderId="0" xfId="0" applyNumberFormat="1" applyFont="1" applyFill="1" applyAlignment="1">
      <alignment horizontal="right"/>
    </xf>
    <xf numFmtId="0" fontId="2" fillId="0" borderId="0" xfId="0" quotePrefix="1" applyFont="1" applyAlignment="1">
      <alignment horizontal="left"/>
    </xf>
    <xf numFmtId="49" fontId="2" fillId="8" borderId="0" xfId="0" applyNumberFormat="1" applyFont="1" applyFill="1" applyAlignment="1">
      <alignment horizontal="left"/>
    </xf>
    <xf numFmtId="49" fontId="2" fillId="7" borderId="0" xfId="0" applyNumberFormat="1" applyFont="1" applyFill="1" applyAlignment="1">
      <alignment horizontal="left"/>
    </xf>
    <xf numFmtId="0" fontId="6" fillId="4" borderId="0" xfId="0" applyFont="1" applyFill="1" applyAlignment="1">
      <alignment horizontal="left"/>
    </xf>
    <xf numFmtId="0" fontId="2" fillId="9" borderId="0" xfId="0" applyFont="1" applyFill="1" applyAlignment="1">
      <alignment horizontal="left"/>
    </xf>
    <xf numFmtId="0" fontId="4" fillId="8" borderId="0" xfId="0" applyFont="1" applyFill="1" applyAlignment="1">
      <alignment horizontal="left"/>
    </xf>
    <xf numFmtId="170" fontId="2" fillId="4" borderId="0" xfId="0" applyNumberFormat="1" applyFont="1" applyFill="1" applyAlignment="1">
      <alignment horizontal="left"/>
    </xf>
    <xf numFmtId="168" fontId="2" fillId="0" borderId="0" xfId="0" applyNumberFormat="1" applyFont="1" applyAlignment="1">
      <alignment horizontal="left"/>
    </xf>
    <xf numFmtId="0" fontId="9" fillId="0" borderId="0" xfId="0" applyFont="1" applyAlignment="1">
      <alignment horizontal="left"/>
    </xf>
    <xf numFmtId="49" fontId="4" fillId="8" borderId="0" xfId="0" applyNumberFormat="1" applyFont="1" applyFill="1" applyAlignment="1">
      <alignment horizontal="left"/>
    </xf>
    <xf numFmtId="3" fontId="2" fillId="0" borderId="0" xfId="0" applyNumberFormat="1" applyFont="1"/>
    <xf numFmtId="14" fontId="2" fillId="0" borderId="0" xfId="0" applyNumberFormat="1" applyFont="1"/>
    <xf numFmtId="0" fontId="5" fillId="0" borderId="0" xfId="0" applyFont="1"/>
    <xf numFmtId="0" fontId="2" fillId="0" borderId="0" xfId="0" applyFont="1"/>
    <xf numFmtId="0" fontId="2" fillId="7" borderId="0" xfId="0" applyFont="1" applyFill="1"/>
    <xf numFmtId="0" fontId="2" fillId="10" borderId="0" xfId="0" applyFont="1" applyFill="1"/>
    <xf numFmtId="0" fontId="2" fillId="0" borderId="0" xfId="0" applyFont="1" applyAlignment="1">
      <alignment horizontal="right"/>
    </xf>
    <xf numFmtId="0" fontId="10" fillId="11" borderId="0" xfId="0" applyFont="1" applyFill="1" applyAlignment="1">
      <alignment horizontal="left"/>
    </xf>
    <xf numFmtId="0" fontId="3" fillId="0" borderId="0" xfId="0" applyFont="1"/>
    <xf numFmtId="0" fontId="2" fillId="8" borderId="0" xfId="0" applyFont="1" applyFill="1"/>
    <xf numFmtId="1" fontId="2" fillId="4" borderId="0" xfId="0" applyNumberFormat="1" applyFont="1" applyFill="1" applyAlignment="1">
      <alignment horizontal="left"/>
    </xf>
    <xf numFmtId="0" fontId="2" fillId="5" borderId="0" xfId="0" applyFont="1" applyFill="1" applyAlignment="1">
      <alignment horizontal="left"/>
    </xf>
    <xf numFmtId="49" fontId="5" fillId="4" borderId="0" xfId="0" applyNumberFormat="1" applyFont="1" applyFill="1" applyAlignment="1">
      <alignment horizontal="left"/>
    </xf>
    <xf numFmtId="1" fontId="3" fillId="0" borderId="0" xfId="0" applyNumberFormat="1" applyFont="1" applyAlignment="1">
      <alignment horizontal="left"/>
    </xf>
    <xf numFmtId="166" fontId="2" fillId="8" borderId="0" xfId="0" applyNumberFormat="1" applyFont="1" applyFill="1" applyAlignment="1">
      <alignment horizontal="left"/>
    </xf>
    <xf numFmtId="167" fontId="2" fillId="8" borderId="0" xfId="0" applyNumberFormat="1" applyFont="1" applyFill="1" applyAlignment="1">
      <alignment horizontal="left"/>
    </xf>
    <xf numFmtId="1" fontId="2" fillId="0" borderId="0" xfId="0" applyNumberFormat="1" applyFont="1" applyAlignment="1">
      <alignment horizontal="left"/>
    </xf>
    <xf numFmtId="1" fontId="2" fillId="0" borderId="0" xfId="0" quotePrefix="1" applyNumberFormat="1" applyFont="1" applyAlignment="1">
      <alignment horizontal="right"/>
    </xf>
    <xf numFmtId="3" fontId="2" fillId="0" borderId="0" xfId="0" applyNumberFormat="1" applyFont="1" applyAlignment="1">
      <alignment horizontal="right"/>
    </xf>
    <xf numFmtId="0" fontId="2" fillId="10" borderId="0" xfId="0" applyFont="1" applyFill="1" applyAlignment="1">
      <alignment horizontal="left"/>
    </xf>
    <xf numFmtId="168" fontId="2" fillId="4" borderId="0" xfId="0" applyNumberFormat="1" applyFont="1" applyFill="1" applyAlignment="1">
      <alignment horizontal="left"/>
    </xf>
    <xf numFmtId="0" fontId="2" fillId="2" borderId="0" xfId="0" applyFont="1" applyFill="1" applyAlignment="1">
      <alignment horizontal="left"/>
    </xf>
    <xf numFmtId="165" fontId="2" fillId="8" borderId="0" xfId="0" applyNumberFormat="1" applyFont="1" applyFill="1" applyAlignment="1">
      <alignment horizontal="left"/>
    </xf>
    <xf numFmtId="166" fontId="4" fillId="8" borderId="0" xfId="0" applyNumberFormat="1" applyFont="1" applyFill="1" applyAlignment="1">
      <alignment horizontal="left"/>
    </xf>
    <xf numFmtId="168" fontId="2" fillId="3" borderId="0" xfId="0" applyNumberFormat="1" applyFont="1" applyFill="1" applyAlignment="1">
      <alignment horizontal="center" vertical="center"/>
    </xf>
    <xf numFmtId="165" fontId="2" fillId="3" borderId="0" xfId="0" applyNumberFormat="1" applyFont="1" applyFill="1" applyAlignment="1">
      <alignment horizontal="center" vertical="center"/>
    </xf>
    <xf numFmtId="49" fontId="5" fillId="8" borderId="0" xfId="0" applyNumberFormat="1" applyFont="1" applyFill="1" applyAlignment="1">
      <alignment horizontal="left"/>
    </xf>
    <xf numFmtId="1" fontId="10" fillId="8" borderId="0" xfId="0" applyNumberFormat="1" applyFont="1" applyFill="1" applyAlignment="1">
      <alignment horizontal="right"/>
    </xf>
    <xf numFmtId="0" fontId="2" fillId="0" borderId="0" xfId="0" quotePrefix="1" applyFont="1" applyAlignment="1">
      <alignment horizontal="right"/>
    </xf>
    <xf numFmtId="3" fontId="4" fillId="0" borderId="0" xfId="0" applyNumberFormat="1" applyFont="1" applyAlignment="1">
      <alignment horizontal="left"/>
    </xf>
    <xf numFmtId="168" fontId="2" fillId="3" borderId="0" xfId="0" applyNumberFormat="1" applyFont="1" applyFill="1" applyAlignment="1">
      <alignment horizontal="left"/>
    </xf>
    <xf numFmtId="3" fontId="3" fillId="0" borderId="0" xfId="0" applyNumberFormat="1" applyFont="1" applyAlignment="1">
      <alignment horizontal="left"/>
    </xf>
    <xf numFmtId="0" fontId="2" fillId="12" borderId="0" xfId="0" applyFont="1" applyFill="1" applyAlignment="1">
      <alignment horizontal="left"/>
    </xf>
    <xf numFmtId="0" fontId="11" fillId="0" borderId="0" xfId="0" applyFont="1" applyAlignment="1">
      <alignment horizontal="left"/>
    </xf>
    <xf numFmtId="49" fontId="3" fillId="7" borderId="0" xfId="0" applyNumberFormat="1" applyFont="1" applyFill="1" applyAlignment="1">
      <alignment horizontal="left"/>
    </xf>
    <xf numFmtId="0" fontId="6" fillId="0" borderId="0" xfId="0" applyFont="1" applyAlignment="1">
      <alignment horizontal="left"/>
    </xf>
    <xf numFmtId="1" fontId="10" fillId="13" borderId="0" xfId="0" applyNumberFormat="1" applyFont="1" applyFill="1" applyAlignment="1">
      <alignment horizontal="right"/>
    </xf>
    <xf numFmtId="0" fontId="8" fillId="8" borderId="0" xfId="0" applyFont="1" applyFill="1" applyAlignment="1">
      <alignment horizontal="left"/>
    </xf>
    <xf numFmtId="49" fontId="4" fillId="0" borderId="0" xfId="0" applyNumberFormat="1" applyFont="1"/>
    <xf numFmtId="0" fontId="10" fillId="13" borderId="0" xfId="0" applyFont="1" applyFill="1" applyAlignment="1">
      <alignment wrapText="1"/>
    </xf>
    <xf numFmtId="0" fontId="4" fillId="3" borderId="0" xfId="0" applyFont="1" applyFill="1" applyAlignment="1">
      <alignment horizontal="left"/>
    </xf>
    <xf numFmtId="0" fontId="2" fillId="0" borderId="0" xfId="0" applyFont="1" applyAlignment="1">
      <alignment horizontal="left" vertical="center"/>
    </xf>
    <xf numFmtId="0" fontId="6" fillId="14" borderId="0" xfId="0" applyFont="1" applyFill="1" applyAlignment="1">
      <alignment horizontal="left"/>
    </xf>
    <xf numFmtId="0" fontId="12" fillId="0" borderId="0" xfId="0" applyFont="1" applyAlignment="1">
      <alignment horizontal="left"/>
    </xf>
    <xf numFmtId="1" fontId="4" fillId="8" borderId="0" xfId="0" applyNumberFormat="1" applyFont="1" applyFill="1" applyAlignment="1">
      <alignment horizontal="right"/>
    </xf>
    <xf numFmtId="165" fontId="2" fillId="4" borderId="2" xfId="0" applyNumberFormat="1" applyFont="1" applyFill="1" applyBorder="1" applyAlignment="1">
      <alignment horizontal="left"/>
    </xf>
    <xf numFmtId="0" fontId="2" fillId="0" borderId="2" xfId="0" applyFont="1" applyBorder="1" applyAlignment="1">
      <alignment horizontal="left"/>
    </xf>
    <xf numFmtId="0" fontId="3" fillId="8" borderId="0" xfId="0" applyFont="1" applyFill="1" applyAlignment="1">
      <alignment horizontal="left"/>
    </xf>
    <xf numFmtId="0" fontId="2" fillId="15" borderId="0" xfId="0" applyFont="1" applyFill="1" applyAlignment="1">
      <alignment horizontal="left"/>
    </xf>
    <xf numFmtId="167" fontId="2" fillId="0" borderId="0" xfId="0" applyNumberFormat="1" applyFont="1" applyAlignment="1">
      <alignment horizontal="left"/>
    </xf>
    <xf numFmtId="1" fontId="2" fillId="0" borderId="0" xfId="0" applyNumberFormat="1" applyFont="1" applyAlignment="1">
      <alignment horizontal="center"/>
    </xf>
    <xf numFmtId="0" fontId="2" fillId="8" borderId="0" xfId="0" quotePrefix="1" applyFont="1" applyFill="1" applyAlignment="1">
      <alignment horizontal="left"/>
    </xf>
    <xf numFmtId="3" fontId="5" fillId="0" borderId="0" xfId="0" applyNumberFormat="1" applyFont="1" applyAlignment="1">
      <alignment horizontal="left"/>
    </xf>
    <xf numFmtId="167" fontId="2" fillId="9" borderId="0" xfId="0" applyNumberFormat="1" applyFont="1" applyFill="1" applyAlignment="1">
      <alignment horizontal="left"/>
    </xf>
    <xf numFmtId="166" fontId="2" fillId="10" borderId="0" xfId="0" applyNumberFormat="1" applyFont="1" applyFill="1" applyAlignment="1">
      <alignment horizontal="left"/>
    </xf>
    <xf numFmtId="167" fontId="2" fillId="10" borderId="0" xfId="0" applyNumberFormat="1" applyFont="1" applyFill="1" applyAlignment="1">
      <alignment horizontal="left"/>
    </xf>
    <xf numFmtId="0" fontId="2" fillId="10" borderId="0" xfId="0" quotePrefix="1" applyFont="1" applyFill="1" applyAlignment="1">
      <alignment horizontal="left"/>
    </xf>
    <xf numFmtId="14" fontId="2" fillId="12" borderId="0" xfId="0" applyNumberFormat="1" applyFont="1" applyFill="1" applyAlignment="1">
      <alignment horizontal="left"/>
    </xf>
    <xf numFmtId="170" fontId="2" fillId="0" borderId="0" xfId="0" applyNumberFormat="1" applyFont="1" applyAlignment="1">
      <alignment horizontal="left"/>
    </xf>
    <xf numFmtId="0" fontId="13" fillId="8" borderId="0" xfId="0" applyFont="1" applyFill="1" applyAlignment="1">
      <alignment horizontal="left"/>
    </xf>
    <xf numFmtId="49" fontId="2" fillId="0" borderId="0" xfId="0" applyNumberFormat="1" applyFont="1"/>
    <xf numFmtId="169" fontId="2" fillId="8" borderId="0" xfId="0" applyNumberFormat="1" applyFont="1" applyFill="1" applyAlignment="1">
      <alignment horizontal="left"/>
    </xf>
    <xf numFmtId="165" fontId="2" fillId="3" borderId="0" xfId="0" applyNumberFormat="1" applyFont="1" applyFill="1" applyAlignment="1">
      <alignment horizontal="left"/>
    </xf>
    <xf numFmtId="1" fontId="2" fillId="3" borderId="0" xfId="0" applyNumberFormat="1" applyFont="1" applyFill="1" applyAlignment="1">
      <alignment horizontal="right"/>
    </xf>
    <xf numFmtId="1" fontId="2" fillId="12" borderId="0" xfId="0" applyNumberFormat="1" applyFont="1" applyFill="1" applyAlignment="1">
      <alignment horizontal="right"/>
    </xf>
    <xf numFmtId="0" fontId="2" fillId="15" borderId="0" xfId="0" applyFont="1" applyFill="1"/>
    <xf numFmtId="49" fontId="3" fillId="0" borderId="0" xfId="0" applyNumberFormat="1" applyFont="1"/>
    <xf numFmtId="0" fontId="4" fillId="0" borderId="0" xfId="0" applyFont="1"/>
    <xf numFmtId="0" fontId="2" fillId="4" borderId="0" xfId="0" applyFont="1" applyFill="1"/>
    <xf numFmtId="165" fontId="2" fillId="4" borderId="0" xfId="0" applyNumberFormat="1" applyFont="1" applyFill="1"/>
    <xf numFmtId="166" fontId="2" fillId="0" borderId="0" xfId="0" applyNumberFormat="1" applyFont="1"/>
    <xf numFmtId="14" fontId="2" fillId="0" borderId="0" xfId="0" applyNumberFormat="1" applyFont="1" applyAlignment="1">
      <alignment horizontal="right"/>
    </xf>
    <xf numFmtId="0" fontId="2" fillId="5" borderId="0" xfId="0" applyFont="1" applyFill="1"/>
    <xf numFmtId="166" fontId="2" fillId="8" borderId="0" xfId="0" applyNumberFormat="1" applyFont="1" applyFill="1"/>
    <xf numFmtId="167" fontId="2" fillId="8" borderId="0" xfId="0" applyNumberFormat="1" applyFont="1" applyFill="1"/>
    <xf numFmtId="0" fontId="2" fillId="8" borderId="0" xfId="0" quotePrefix="1" applyFont="1" applyFill="1"/>
    <xf numFmtId="165" fontId="2" fillId="0" borderId="0" xfId="0" applyNumberFormat="1" applyFont="1"/>
    <xf numFmtId="167" fontId="2" fillId="0" borderId="0" xfId="0" applyNumberFormat="1" applyFont="1"/>
    <xf numFmtId="3" fontId="2" fillId="6" borderId="0" xfId="0" applyNumberFormat="1" applyFont="1" applyFill="1"/>
    <xf numFmtId="14" fontId="2" fillId="6" borderId="0" xfId="0" applyNumberFormat="1" applyFont="1" applyFill="1"/>
    <xf numFmtId="165" fontId="2" fillId="8" borderId="0" xfId="0" applyNumberFormat="1" applyFont="1" applyFill="1"/>
    <xf numFmtId="0" fontId="2" fillId="6" borderId="0" xfId="0" applyFont="1" applyFill="1"/>
    <xf numFmtId="3" fontId="6" fillId="7" borderId="0" xfId="0" applyNumberFormat="1" applyFont="1" applyFill="1" applyAlignment="1">
      <alignment horizontal="left"/>
    </xf>
    <xf numFmtId="14" fontId="6" fillId="7" borderId="0" xfId="0" applyNumberFormat="1" applyFont="1" applyFill="1" applyAlignment="1">
      <alignment horizontal="left"/>
    </xf>
    <xf numFmtId="0" fontId="2" fillId="9" borderId="0" xfId="0" applyFont="1" applyFill="1"/>
    <xf numFmtId="0" fontId="2" fillId="0" borderId="0" xfId="0" quotePrefix="1" applyFont="1"/>
    <xf numFmtId="49" fontId="3" fillId="8" borderId="0" xfId="0" applyNumberFormat="1" applyFont="1" applyFill="1"/>
    <xf numFmtId="165" fontId="2" fillId="3" borderId="0" xfId="0" applyNumberFormat="1" applyFont="1" applyFill="1"/>
    <xf numFmtId="167" fontId="2" fillId="10" borderId="0" xfId="0" applyNumberFormat="1" applyFont="1" applyFill="1"/>
    <xf numFmtId="0" fontId="2" fillId="3" borderId="0" xfId="0" applyFont="1" applyFill="1"/>
    <xf numFmtId="170" fontId="2" fillId="0" borderId="0" xfId="0" applyNumberFormat="1" applyFont="1"/>
    <xf numFmtId="3" fontId="2" fillId="6" borderId="0" xfId="0" applyNumberFormat="1" applyFont="1" applyFill="1" applyAlignment="1">
      <alignment horizontal="right"/>
    </xf>
    <xf numFmtId="14" fontId="2" fillId="8" borderId="0" xfId="0" applyNumberFormat="1" applyFont="1" applyFill="1" applyAlignment="1">
      <alignment horizontal="right"/>
    </xf>
    <xf numFmtId="165" fontId="2" fillId="0" borderId="0" xfId="0" applyNumberFormat="1" applyFont="1" applyAlignment="1">
      <alignment horizontal="right"/>
    </xf>
    <xf numFmtId="49" fontId="4" fillId="4" borderId="0" xfId="0" applyNumberFormat="1" applyFont="1" applyFill="1"/>
    <xf numFmtId="49" fontId="5" fillId="0" borderId="0" xfId="0" applyNumberFormat="1" applyFont="1"/>
    <xf numFmtId="3" fontId="2" fillId="8" borderId="0" xfId="0" applyNumberFormat="1" applyFont="1" applyFill="1"/>
    <xf numFmtId="14" fontId="2" fillId="8" borderId="0" xfId="0" applyNumberFormat="1" applyFont="1" applyFill="1"/>
    <xf numFmtId="0" fontId="4" fillId="8" borderId="0" xfId="0" applyFont="1" applyFill="1"/>
    <xf numFmtId="3" fontId="2" fillId="3" borderId="0" xfId="0" applyNumberFormat="1" applyFont="1" applyFill="1"/>
    <xf numFmtId="0" fontId="2" fillId="10" borderId="0" xfId="0" quotePrefix="1" applyFont="1" applyFill="1"/>
    <xf numFmtId="3" fontId="2" fillId="8" borderId="0" xfId="0" applyNumberFormat="1" applyFont="1" applyFill="1" applyAlignment="1">
      <alignment horizontal="right"/>
    </xf>
    <xf numFmtId="0" fontId="2" fillId="8" borderId="0" xfId="0" applyFont="1" applyFill="1" applyAlignment="1">
      <alignment horizontal="right"/>
    </xf>
    <xf numFmtId="0" fontId="2" fillId="10" borderId="0" xfId="0" applyFont="1" applyFill="1" applyAlignment="1">
      <alignment horizontal="left" vertical="center"/>
    </xf>
    <xf numFmtId="165" fontId="2" fillId="4" borderId="0" xfId="0" applyNumberFormat="1" applyFont="1" applyFill="1" applyAlignment="1">
      <alignment horizontal="center"/>
    </xf>
    <xf numFmtId="0" fontId="6" fillId="0" borderId="0" xfId="0" applyFont="1"/>
    <xf numFmtId="0" fontId="3" fillId="3" borderId="0" xfId="0" applyFont="1" applyFill="1"/>
    <xf numFmtId="49" fontId="12" fillId="0" borderId="0" xfId="0" applyNumberFormat="1" applyFont="1"/>
    <xf numFmtId="166" fontId="2" fillId="10" borderId="0" xfId="0" applyNumberFormat="1" applyFont="1" applyFill="1"/>
    <xf numFmtId="0" fontId="4" fillId="3" borderId="0" xfId="0" applyFont="1" applyFill="1"/>
    <xf numFmtId="14" fontId="2" fillId="4" borderId="0" xfId="0" applyNumberFormat="1" applyFont="1" applyFill="1" applyAlignment="1">
      <alignment horizontal="right"/>
    </xf>
    <xf numFmtId="1" fontId="14" fillId="13" borderId="0" xfId="0" applyNumberFormat="1" applyFont="1" applyFill="1"/>
    <xf numFmtId="49" fontId="5" fillId="4" borderId="0" xfId="0" applyNumberFormat="1" applyFont="1" applyFill="1"/>
    <xf numFmtId="0" fontId="3" fillId="8" borderId="0" xfId="0" applyFont="1" applyFill="1"/>
    <xf numFmtId="0" fontId="10" fillId="13" borderId="0" xfId="0" applyFont="1" applyFill="1"/>
    <xf numFmtId="0" fontId="2" fillId="6" borderId="0" xfId="0" applyFont="1" applyFill="1" applyAlignment="1">
      <alignment horizontal="right"/>
    </xf>
    <xf numFmtId="0" fontId="1" fillId="8" borderId="0" xfId="0" applyFont="1" applyFill="1" applyAlignment="1">
      <alignment horizontal="left"/>
    </xf>
    <xf numFmtId="0" fontId="2" fillId="4" borderId="0" xfId="0" applyFont="1" applyFill="1" applyAlignment="1">
      <alignment horizontal="center"/>
    </xf>
    <xf numFmtId="3" fontId="2" fillId="4" borderId="0" xfId="0" applyNumberFormat="1" applyFont="1" applyFill="1"/>
    <xf numFmtId="14" fontId="2" fillId="4" borderId="0" xfId="0" applyNumberFormat="1" applyFont="1" applyFill="1"/>
    <xf numFmtId="0" fontId="3" fillId="4" borderId="0" xfId="0" applyFont="1" applyFill="1"/>
    <xf numFmtId="0" fontId="2" fillId="8" borderId="0" xfId="0" applyFont="1" applyFill="1" applyAlignment="1">
      <alignment horizontal="center"/>
    </xf>
    <xf numFmtId="14" fontId="8" fillId="8" borderId="0" xfId="0" applyNumberFormat="1" applyFont="1" applyFill="1"/>
    <xf numFmtId="168" fontId="2" fillId="0" borderId="0" xfId="0" applyNumberFormat="1" applyFont="1" applyAlignment="1">
      <alignment horizontal="right"/>
    </xf>
    <xf numFmtId="1" fontId="2" fillId="0" borderId="0" xfId="0" applyNumberFormat="1" applyFont="1"/>
    <xf numFmtId="0" fontId="16" fillId="8" borderId="0" xfId="0" applyFont="1" applyFill="1"/>
    <xf numFmtId="0" fontId="4" fillId="10" borderId="0" xfId="0" applyFont="1" applyFill="1"/>
    <xf numFmtId="0" fontId="9" fillId="8" borderId="0" xfId="0" applyFont="1" applyFill="1"/>
    <xf numFmtId="49" fontId="2" fillId="4" borderId="0" xfId="0" applyNumberFormat="1" applyFont="1" applyFill="1"/>
    <xf numFmtId="1" fontId="2" fillId="4" borderId="0" xfId="0" applyNumberFormat="1" applyFont="1" applyFill="1"/>
    <xf numFmtId="0" fontId="18" fillId="16" borderId="0" xfId="0" applyFont="1" applyFill="1"/>
    <xf numFmtId="0" fontId="2" fillId="0" borderId="0" xfId="0" applyFont="1" applyAlignment="1">
      <alignment horizontal="center"/>
    </xf>
    <xf numFmtId="166" fontId="2" fillId="0" borderId="0" xfId="0" applyNumberFormat="1" applyFont="1" applyAlignment="1">
      <alignment horizontal="right"/>
    </xf>
    <xf numFmtId="14" fontId="4" fillId="0" borderId="0" xfId="0" applyNumberFormat="1" applyFont="1"/>
    <xf numFmtId="0" fontId="4" fillId="13" borderId="0" xfId="0" applyFont="1" applyFill="1"/>
    <xf numFmtId="1" fontId="6" fillId="0" borderId="0" xfId="0" applyNumberFormat="1" applyFont="1" applyAlignment="1">
      <alignment horizontal="right"/>
    </xf>
    <xf numFmtId="0" fontId="4" fillId="10" borderId="0" xfId="0" applyFont="1" applyFill="1" applyAlignment="1">
      <alignment horizontal="left"/>
    </xf>
    <xf numFmtId="0" fontId="14" fillId="13" borderId="0" xfId="0" applyFont="1" applyFill="1"/>
    <xf numFmtId="14" fontId="8" fillId="8" borderId="0" xfId="0" applyNumberFormat="1" applyFont="1" applyFill="1" applyAlignment="1">
      <alignment horizontal="right"/>
    </xf>
    <xf numFmtId="0" fontId="4" fillId="4" borderId="0" xfId="0" applyFont="1" applyFill="1"/>
    <xf numFmtId="165" fontId="4" fillId="0" borderId="0" xfId="0" applyNumberFormat="1" applyFont="1"/>
    <xf numFmtId="168" fontId="2" fillId="0" borderId="0" xfId="0" applyNumberFormat="1" applyFont="1"/>
  </cellXfs>
  <cellStyles count="1">
    <cellStyle name="Normal" xfId="0" builtinId="0"/>
  </cellStyles>
  <dxfs count="745">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FF00FF"/>
          <bgColor rgb="FFFF00FF"/>
        </patternFill>
      </fill>
    </dxf>
    <dxf>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ill>
        <patternFill patternType="solid">
          <fgColor rgb="FFFF00FF"/>
          <bgColor rgb="FFFF00FF"/>
        </patternFill>
      </fill>
    </dxf>
    <dxf>
      <fill>
        <patternFill patternType="solid">
          <fgColor rgb="FFEA9999"/>
          <bgColor rgb="FFEA9999"/>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FF0000"/>
          <bgColor rgb="FFFF0000"/>
        </patternFill>
      </fill>
    </dxf>
    <dxf>
      <fill>
        <patternFill patternType="solid">
          <fgColor rgb="FF00FF00"/>
          <bgColor rgb="FF00FF00"/>
        </patternFill>
      </fill>
    </dxf>
    <dxf>
      <fill>
        <patternFill patternType="solid">
          <fgColor rgb="FFEA9999"/>
          <bgColor rgb="FFEA9999"/>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FF0000"/>
          <bgColor rgb="FFFF0000"/>
        </patternFill>
      </fill>
    </dxf>
    <dxf>
      <fill>
        <patternFill patternType="solid">
          <fgColor rgb="FFEA9999"/>
          <bgColor rgb="FFEA9999"/>
        </patternFill>
      </fill>
    </dxf>
    <dxf>
      <fill>
        <patternFill patternType="solid">
          <fgColor rgb="FFFF6D01"/>
          <bgColor rgb="FFFF6D01"/>
        </patternFill>
      </fill>
    </dxf>
    <dxf>
      <fill>
        <patternFill patternType="solid">
          <fgColor rgb="FFFF00FF"/>
          <bgColor rgb="FFFF00FF"/>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FF6D01"/>
          <bgColor rgb="FFFF6D01"/>
        </patternFill>
      </fill>
    </dxf>
    <dxf>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6D01"/>
          <bgColor rgb="FFFF6D01"/>
        </patternFill>
      </fill>
    </dxf>
    <dxf>
      <fill>
        <patternFill patternType="solid">
          <fgColor rgb="FFFF00FF"/>
          <bgColor rgb="FFFF00FF"/>
        </patternFill>
      </fill>
    </dxf>
    <dxf>
      <fill>
        <patternFill patternType="solid">
          <fgColor rgb="FF00FF00"/>
          <bgColor rgb="FF00FF00"/>
        </patternFill>
      </fill>
    </dxf>
    <dxf>
      <fill>
        <patternFill patternType="solid">
          <fgColor rgb="FFEA9999"/>
          <bgColor rgb="FFEA9999"/>
        </patternFill>
      </fill>
    </dxf>
    <dxf>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B7E1CD"/>
          <bgColor rgb="FFB7E1CD"/>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FF6D01"/>
          <bgColor rgb="FFFF6D01"/>
        </patternFill>
      </fill>
    </dxf>
    <dxf>
      <fill>
        <patternFill patternType="solid">
          <fgColor rgb="FFFF00FF"/>
          <bgColor rgb="FFFF00FF"/>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B7E1CD"/>
          <bgColor rgb="FFB7E1CD"/>
        </patternFill>
      </fill>
    </dxf>
    <dxf>
      <fill>
        <patternFill patternType="solid">
          <fgColor rgb="FFFF0000"/>
          <bgColor rgb="FFFF0000"/>
        </patternFill>
      </fill>
    </dxf>
    <dxf>
      <fill>
        <patternFill patternType="solid">
          <fgColor rgb="FFEA9999"/>
          <bgColor rgb="FFEA9999"/>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B7E1CD"/>
          <bgColor rgb="FFB7E1CD"/>
        </patternFill>
      </fill>
    </dxf>
    <dxf>
      <fill>
        <patternFill patternType="solid">
          <fgColor rgb="FFFF6D01"/>
          <bgColor rgb="FFFF6D01"/>
        </patternFill>
      </fill>
    </dxf>
    <dxf>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EA9999"/>
          <bgColor rgb="FFEA9999"/>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00FF00"/>
          <bgColor rgb="FF00FF00"/>
        </patternFill>
      </fill>
    </dxf>
    <dxf>
      <fill>
        <patternFill patternType="solid">
          <fgColor rgb="FFB7E1CD"/>
          <bgColor rgb="FFB7E1CD"/>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EA9999"/>
          <bgColor rgb="FFEA9999"/>
        </patternFill>
      </fill>
    </dxf>
    <dxf>
      <fill>
        <patternFill patternType="solid">
          <fgColor rgb="FFFF0000"/>
          <bgColor rgb="FFFF00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EA9999"/>
          <bgColor rgb="FFEA9999"/>
        </patternFill>
      </fill>
    </dxf>
    <dxf>
      <fill>
        <patternFill patternType="solid">
          <fgColor rgb="FFFF6D01"/>
          <bgColor rgb="FFFF6D01"/>
        </patternFill>
      </fill>
    </dxf>
    <dxf>
      <fill>
        <patternFill patternType="solid">
          <fgColor rgb="FFFF00FF"/>
          <bgColor rgb="FFFF00FF"/>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B7E1CD"/>
          <bgColor rgb="FFB7E1CD"/>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FF6D01"/>
          <bgColor rgb="FFFF6D01"/>
        </patternFill>
      </fill>
    </dxf>
    <dxf>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ill>
        <patternFill patternType="solid">
          <fgColor rgb="FFFF00FF"/>
          <bgColor rgb="FFFF00FF"/>
        </patternFill>
      </fill>
    </dxf>
    <dxf>
      <fill>
        <patternFill patternType="solid">
          <fgColor rgb="FF00FF00"/>
          <bgColor rgb="FF00FF00"/>
        </patternFill>
      </fill>
    </dxf>
    <dxf>
      <fill>
        <patternFill patternType="solid">
          <fgColor rgb="FFEA9999"/>
          <bgColor rgb="FFEA9999"/>
        </patternFill>
      </fill>
    </dxf>
    <dxf>
      <fill>
        <patternFill patternType="solid">
          <fgColor rgb="FF00FF00"/>
          <bgColor rgb="FF00FF00"/>
        </patternFill>
      </fill>
    </dxf>
    <dxf>
      <fill>
        <patternFill patternType="solid">
          <fgColor rgb="FFB7E1CD"/>
          <bgColor rgb="FFB7E1CD"/>
        </patternFill>
      </fill>
    </dxf>
    <dxf>
      <fill>
        <patternFill patternType="solid">
          <fgColor rgb="FFFF0000"/>
          <bgColor rgb="FFFF00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ill>
        <patternFill patternType="solid">
          <fgColor rgb="FFFF6D01"/>
          <bgColor rgb="FFFF6D01"/>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B7E1CD"/>
          <bgColor rgb="FFB7E1CD"/>
        </patternFill>
      </fill>
    </dxf>
    <dxf>
      <fill>
        <patternFill patternType="solid">
          <fgColor rgb="FF00FF00"/>
          <bgColor rgb="FF00FF00"/>
        </patternFill>
      </fill>
    </dxf>
    <dxf>
      <fill>
        <patternFill patternType="solid">
          <fgColor rgb="FFEA9999"/>
          <bgColor rgb="FFEA9999"/>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B7E1CD"/>
          <bgColor rgb="FFB7E1CD"/>
        </patternFill>
      </fill>
    </dxf>
    <dxf>
      <fill>
        <patternFill patternType="solid">
          <fgColor rgb="FF00FF00"/>
          <bgColor rgb="FF00FF00"/>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FF0000"/>
          <bgColor rgb="FFFF0000"/>
        </patternFill>
      </fill>
    </dxf>
    <dxf>
      <fill>
        <patternFill patternType="solid">
          <fgColor rgb="FFB7E1CD"/>
          <bgColor rgb="FFB7E1CD"/>
        </patternFill>
      </fill>
    </dxf>
    <dxf>
      <fill>
        <patternFill patternType="solid">
          <fgColor rgb="FFEA9999"/>
          <bgColor rgb="FFEA9999"/>
        </patternFill>
      </fill>
    </dxf>
    <dxf>
      <fill>
        <patternFill patternType="solid">
          <fgColor rgb="FFFF0000"/>
          <bgColor rgb="FFFF00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EA9999"/>
          <bgColor rgb="FFEA9999"/>
        </patternFill>
      </fill>
    </dxf>
    <dxf>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EA9999"/>
          <bgColor rgb="FFEA9999"/>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0000"/>
          <bgColor rgb="FFFF0000"/>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EA9999"/>
          <bgColor rgb="FFEA9999"/>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D966"/>
          <bgColor rgb="FFFFD966"/>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0000"/>
          <bgColor rgb="FFFF0000"/>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00FF00"/>
          <bgColor rgb="FF00FF00"/>
        </patternFill>
      </fill>
    </dxf>
    <dxf>
      <fill>
        <patternFill patternType="solid">
          <fgColor rgb="FFFF00FF"/>
          <bgColor rgb="FFFF00FF"/>
        </patternFill>
      </fill>
    </dxf>
    <dxf>
      <fill>
        <patternFill patternType="solid">
          <fgColor rgb="FFFF6D01"/>
          <bgColor rgb="FFFF6D01"/>
        </patternFill>
      </fill>
    </dxf>
    <dxf>
      <fill>
        <patternFill patternType="solid">
          <fgColor rgb="FFFF0000"/>
          <bgColor rgb="FFFF0000"/>
        </patternFill>
      </fill>
    </dxf>
    <dxf>
      <fill>
        <patternFill patternType="solid">
          <fgColor rgb="FFEA9999"/>
          <bgColor rgb="FFEA9999"/>
        </patternFill>
      </fill>
    </dxf>
    <dxf>
      <fill>
        <patternFill patternType="solid">
          <fgColor rgb="FFFF0000"/>
          <bgColor rgb="FFFF0000"/>
        </patternFill>
      </fill>
    </dxf>
    <dxf>
      <fill>
        <patternFill patternType="solid">
          <fgColor rgb="FFFF6D01"/>
          <bgColor rgb="FFFF6D01"/>
        </patternFill>
      </fill>
    </dxf>
    <dxf>
      <fill>
        <patternFill patternType="solid">
          <fgColor rgb="FFFF00FF"/>
          <bgColor rgb="FFFF00FF"/>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B7E1CD"/>
          <bgColor rgb="FFB7E1CD"/>
        </patternFill>
      </fill>
    </dxf>
    <dxf>
      <fill>
        <patternFill patternType="solid">
          <fgColor rgb="FFEA9999"/>
          <bgColor rgb="FFEA9999"/>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EA9999"/>
          <bgColor rgb="FFEA9999"/>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ill>
        <patternFill patternType="solid">
          <fgColor rgb="FF666666"/>
          <bgColor rgb="FF666666"/>
        </patternFill>
      </fill>
    </dxf>
    <dxf>
      <fill>
        <patternFill patternType="solid">
          <fgColor rgb="FF00FF00"/>
          <bgColor rgb="FF00FF00"/>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ont>
        <color rgb="FF000000"/>
      </font>
      <fill>
        <patternFill patternType="solid">
          <fgColor rgb="FFFF00FF"/>
          <bgColor rgb="FFFF00FF"/>
        </patternFill>
      </fill>
    </dxf>
    <dxf>
      <fill>
        <patternFill patternType="solid">
          <fgColor rgb="FFEA9999"/>
          <bgColor rgb="FFEA9999"/>
        </patternFill>
      </fill>
    </dxf>
    <dxf>
      <font>
        <color rgb="FF000000"/>
      </font>
      <fill>
        <patternFill patternType="solid">
          <fgColor rgb="FFFF00FF"/>
          <bgColor rgb="FFFF00FF"/>
        </patternFill>
      </fill>
    </dxf>
    <dxf>
      <font>
        <color rgb="FF000000"/>
      </font>
      <fill>
        <patternFill patternType="solid">
          <fgColor rgb="FF4A86E8"/>
          <bgColor rgb="FF4A86E8"/>
        </patternFill>
      </fill>
    </dxf>
    <dxf>
      <font>
        <color rgb="FF000000"/>
      </font>
      <fill>
        <patternFill patternType="solid">
          <fgColor rgb="FFFF6D01"/>
          <bgColor rgb="FFFF6D01"/>
        </patternFill>
      </fill>
    </dxf>
    <dxf>
      <fill>
        <patternFill patternType="solid">
          <fgColor rgb="FF00FFFF"/>
          <bgColor rgb="FF00FFFF"/>
        </patternFill>
      </fill>
    </dxf>
    <dxf>
      <fill>
        <patternFill patternType="solid">
          <fgColor rgb="FFFFFF00"/>
          <bgColor rgb="FFFFFF00"/>
        </patternFill>
      </fill>
    </dxf>
    <dxf>
      <fill>
        <patternFill patternType="solid">
          <fgColor rgb="FF1155CC"/>
          <bgColor rgb="FF1155CC"/>
        </patternFill>
      </fill>
    </dxf>
    <dxf>
      <fill>
        <patternFill patternType="solid">
          <fgColor rgb="FFFF6D01"/>
          <bgColor rgb="FFFF6D01"/>
        </patternFill>
      </fill>
    </dxf>
    <dxf>
      <fill>
        <patternFill patternType="solid">
          <fgColor rgb="FF8E7CC3"/>
          <bgColor rgb="FF8E7CC3"/>
        </patternFill>
      </fill>
    </dxf>
    <dxf>
      <fill>
        <patternFill patternType="solid">
          <fgColor rgb="FF00FF00"/>
          <bgColor rgb="FF00FF00"/>
        </patternFill>
      </fill>
    </dxf>
    <dxf>
      <fill>
        <patternFill patternType="solid">
          <fgColor rgb="FF1155CC"/>
          <bgColor rgb="FF1155CC"/>
        </patternFill>
      </fill>
    </dxf>
    <dxf>
      <fill>
        <patternFill patternType="solid">
          <fgColor rgb="FF8E7CC3"/>
          <bgColor rgb="FF8E7CC3"/>
        </patternFill>
      </fill>
    </dxf>
    <dxf>
      <fill>
        <patternFill patternType="solid">
          <fgColor rgb="FF00FF00"/>
          <bgColor rgb="FF00FF00"/>
        </patternFill>
      </fill>
    </dxf>
    <dxf>
      <fill>
        <patternFill patternType="solid">
          <fgColor rgb="FFFFFF00"/>
          <bgColor rgb="FFFFFF00"/>
        </patternFill>
      </fill>
    </dxf>
    <dxf>
      <fill>
        <patternFill patternType="solid">
          <fgColor rgb="FF00FFFF"/>
          <bgColor rgb="FF00FFFF"/>
        </patternFill>
      </fill>
    </dxf>
    <dxf>
      <font>
        <color rgb="FF000000"/>
      </font>
      <fill>
        <patternFill patternType="solid">
          <fgColor rgb="FFFF6D01"/>
          <bgColor rgb="FFFF6D01"/>
        </patternFill>
      </fill>
    </dxf>
    <dxf>
      <font>
        <color rgb="FF000000"/>
      </font>
      <fill>
        <patternFill patternType="solid">
          <fgColor rgb="FF4A86E8"/>
          <bgColor rgb="FF4A86E8"/>
        </patternFill>
      </fill>
    </dxf>
    <dxf>
      <font>
        <color rgb="FF000000"/>
      </font>
      <fill>
        <patternFill patternType="solid">
          <fgColor rgb="FFFF00FF"/>
          <bgColor rgb="FFFF00FF"/>
        </patternFill>
      </fill>
    </dxf>
    <dxf>
      <font>
        <color rgb="FF000000"/>
      </font>
      <fill>
        <patternFill patternType="solid">
          <fgColor rgb="FFFFD966"/>
          <bgColor rgb="FFFFD966"/>
        </patternFill>
      </fill>
    </dxf>
    <dxf>
      <fill>
        <patternFill patternType="solid">
          <fgColor rgb="FFEA9999"/>
          <bgColor rgb="FFEA9999"/>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666666"/>
          <bgColor rgb="FF666666"/>
        </patternFill>
      </fill>
    </dxf>
    <dxf>
      <font>
        <color rgb="FF000000"/>
      </font>
      <fill>
        <patternFill patternType="solid">
          <fgColor rgb="FFFFFF00"/>
          <bgColor rgb="FFFFFF00"/>
        </patternFill>
      </fill>
    </dxf>
    <dxf>
      <font>
        <color rgb="FF000000"/>
      </font>
      <fill>
        <patternFill patternType="solid">
          <fgColor rgb="FFFF0000"/>
          <bgColor rgb="FFFF0000"/>
        </patternFill>
      </fill>
    </dxf>
    <dxf>
      <fill>
        <patternFill patternType="solid">
          <fgColor rgb="FF00FF00"/>
          <bgColor rgb="FF00FF00"/>
        </patternFill>
      </fill>
    </dxf>
    <dxf>
      <fill>
        <patternFill patternType="solid">
          <fgColor rgb="FF8E7CC3"/>
          <bgColor rgb="FF8E7CC3"/>
        </patternFill>
      </fill>
    </dxf>
    <dxf>
      <fill>
        <patternFill patternType="solid">
          <fgColor rgb="FF1155CC"/>
          <bgColor rgb="FF1155CC"/>
        </patternFill>
      </fill>
    </dxf>
    <dxf>
      <fill>
        <patternFill patternType="solid">
          <fgColor rgb="FF00FF00"/>
          <bgColor rgb="FF00FF00"/>
        </patternFill>
      </fill>
    </dxf>
    <dxf>
      <fill>
        <patternFill patternType="solid">
          <fgColor rgb="FF8E7CC3"/>
          <bgColor rgb="FF8E7CC3"/>
        </patternFill>
      </fill>
    </dxf>
    <dxf>
      <fill>
        <patternFill patternType="solid">
          <fgColor rgb="FFFF6D01"/>
          <bgColor rgb="FFFF6D01"/>
        </patternFill>
      </fill>
    </dxf>
    <dxf>
      <fill>
        <patternFill patternType="solid">
          <fgColor rgb="FF1155CC"/>
          <bgColor rgb="FF1155CC"/>
        </patternFill>
      </fill>
    </dxf>
    <dxf>
      <fill>
        <patternFill patternType="solid">
          <fgColor rgb="FFFF6D01"/>
          <bgColor rgb="FFFF6D01"/>
        </patternFill>
      </fill>
    </dxf>
    <dxf>
      <fill>
        <patternFill patternType="solid">
          <fgColor rgb="FFFF0000"/>
          <bgColor rgb="FFFF0000"/>
        </patternFill>
      </fill>
    </dxf>
    <dxf>
      <fill>
        <patternFill patternType="solid">
          <fgColor rgb="FFFF0000"/>
          <bgColor rgb="FFFF0000"/>
        </patternFill>
      </fill>
    </dxf>
    <dxf>
      <fill>
        <patternFill patternType="solid">
          <fgColor rgb="FFFF6D01"/>
          <bgColor rgb="FFFF6D01"/>
        </patternFill>
      </fill>
    </dxf>
    <dxf>
      <fill>
        <patternFill patternType="solid">
          <fgColor rgb="FF00FF00"/>
          <bgColor rgb="FF00FF00"/>
        </patternFill>
      </fill>
    </dxf>
    <dxf>
      <fill>
        <patternFill patternType="solid">
          <fgColor rgb="FFFF00FF"/>
          <bgColor rgb="FFFF00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mac24h/Downloads/Gu&#777;i%20Co&#770;ng%20TO&#770;&#777;NG%20DATA%20TOEIC%204%20KY&#771;%20NA&#774;NG%20(T07.2023).xlsx" TargetMode="External"/><Relationship Id="rId1" Type="http://schemas.openxmlformats.org/officeDocument/2006/relationships/externalLinkPath" Target="/Users/mac24h/Downloads/Gu&#777;i%20Co&#770;ng%20TO&#770;&#777;NG%20DATA%20TOEIC%204%20KY&#771;%20NA&#774;NG%20(T07.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ỔNG DATA TOEIC MỚI"/>
      <sheetName val="TỔNG DATA TOEIC MỚI 1"/>
      <sheetName val="TỔNG DATA TOEIC CŨ"/>
      <sheetName val="TỔNG DATA TOEIC CŨ 2"/>
      <sheetName val="DS đk học OFF + ôn CT"/>
      <sheetName val="DATA 2022 + 05 THÁNG 2023"/>
      <sheetName val="DOANH SỐ SALE"/>
      <sheetName val="DOANH THU SALE"/>
      <sheetName val="FORM BẢO LƯU"/>
      <sheetName val="QUẢN LÝ FILE"/>
      <sheetName val="TỔNG HỢP CÁC LỚP ĐÃ MỞ"/>
      <sheetName val="Setup_"/>
      <sheetName val="setup MAI"/>
    </sheetNames>
    <sheetDataSet>
      <sheetData sheetId="0">
        <row r="125">
          <cell r="K125" t="str">
            <v>Lê Đức Cường - T283 - Chưa học phí</v>
          </cell>
        </row>
        <row r="126">
          <cell r="K126" t="str">
            <v>Đàm Thị Ngọc Ánh - T283 - Chưa học phí</v>
          </cell>
        </row>
        <row r="127">
          <cell r="K127" t="str">
            <v>Tạ Thị Bích Hồng - T283- Chưa học phí</v>
          </cell>
        </row>
        <row r="128">
          <cell r="K128" t="str">
            <v>Nguyễn Thị Ngọc Ly - T283 - Chưa học phí</v>
          </cell>
        </row>
        <row r="129">
          <cell r="K129" t="str">
            <v>Lê Minh Quang - OPT59</v>
          </cell>
        </row>
        <row r="130">
          <cell r="K130" t="str">
            <v>Trịnh Nguyễn Thoa Trinh - Chưa học phí</v>
          </cell>
        </row>
        <row r="131">
          <cell r="K131" t="str">
            <v>Trần Trúc Linh - Chưa học phí</v>
          </cell>
        </row>
        <row r="132">
          <cell r="K132" t="str">
            <v xml:space="preserve">Nguyễn Thị Mai Anh - chưa học phí     </v>
          </cell>
        </row>
        <row r="133">
          <cell r="K133" t="str">
            <v>Nguyễn Thị Phương Anh - chưa học phí</v>
          </cell>
        </row>
        <row r="134">
          <cell r="K134" t="str">
            <v xml:space="preserve">Nguyễn Đức Thành   </v>
          </cell>
        </row>
        <row r="135">
          <cell r="K135" t="str">
            <v>Cao Thị Loan - Chưa học phí T295 rút phút 89</v>
          </cell>
        </row>
        <row r="136">
          <cell r="K136" t="str">
            <v xml:space="preserve">Trịnh Nguyễn Anh Tú </v>
          </cell>
        </row>
        <row r="137">
          <cell r="K137" t="str">
            <v>Nguyễn Thị Phương Anh - chưa học phí. OVIP25
Check lại bill Phương Anh team Đạt gửi</v>
          </cell>
        </row>
        <row r="138">
          <cell r="K138" t="str">
            <v>Nguyễn Thị Phương Thuỳ - PT172 rút phút 89</v>
          </cell>
        </row>
        <row r="139">
          <cell r="K139" t="str">
            <v>Lã Hoàng Long - OVIP32 chưa học phí</v>
          </cell>
        </row>
        <row r="140">
          <cell r="K140" t="str">
            <v>Trần Thị Tú Anh -  Túa - chưa học phí VIP150</v>
          </cell>
        </row>
        <row r="141">
          <cell r="K141" t="str">
            <v>Nhâm Huyền Trang - OPT64 KG ko đi</v>
          </cell>
        </row>
        <row r="142">
          <cell r="K142" t="str">
            <v>Trần Linh Chi - PT175</v>
          </cell>
        </row>
        <row r="143">
          <cell r="K143" t="str">
            <v>Thu Huế - T299, T302</v>
          </cell>
        </row>
        <row r="144">
          <cell r="K144" t="str">
            <v>Lê Thị Thùy Dung - T299, T302</v>
          </cell>
        </row>
        <row r="145">
          <cell r="K145" t="str">
            <v>Nguyễn Thị Thuỳ Linh - OPT64</v>
          </cell>
        </row>
        <row r="146">
          <cell r="K146" t="str">
            <v>Lê Thị Thuỳ Linh - OPT64</v>
          </cell>
        </row>
        <row r="147">
          <cell r="K147" t="str">
            <v>Trương Ngọc Anh Thuy - chưa học phí- VIP153</v>
          </cell>
        </row>
        <row r="148">
          <cell r="K148" t="str">
            <v>Uông Thị Vân Anh - chưa học phí</v>
          </cell>
        </row>
        <row r="149">
          <cell r="K149" t="str">
            <v>Đinh Huy Khải - nick Khải Phong OPT67
Chưa nộp 1,084K. Học lại 50% học phí</v>
          </cell>
        </row>
        <row r="150">
          <cell r="K150" t="str">
            <v>Ngô Đức Tại - Chưa học phí OVIP36</v>
          </cell>
        </row>
        <row r="151">
          <cell r="K151" t="str">
            <v>Thái Linh Uyên - Chưa học phí</v>
          </cell>
        </row>
        <row r="152">
          <cell r="K152" t="str">
            <v>Bùi Trung Nguyên - VIP163 - Chưa học phí -Thainguyen Bui 
Đến ngày KG gọi điện ko nghe, chat trước đó nhiều ko đc</v>
          </cell>
        </row>
        <row r="153">
          <cell r="K153" t="str">
            <v>Nguyễn Mạnh Cường - OVIP42 - Chưa học phí</v>
          </cell>
        </row>
        <row r="154">
          <cell r="K154" t="str">
            <v>Trần Thị Bích Thảo - đổi E3 học VIP</v>
          </cell>
        </row>
        <row r="155">
          <cell r="K155" t="str">
            <v>Nguyễn Phương Thảo - Chưa học phí</v>
          </cell>
        </row>
        <row r="156">
          <cell r="K156" t="str">
            <v>Đỗ Thị Mai Duyên - Chưa học phí</v>
          </cell>
        </row>
        <row r="157">
          <cell r="K157" t="str">
            <v>Nguyễn Thị Minh Anh - Chưa học phí</v>
          </cell>
        </row>
        <row r="158">
          <cell r="K158" t="str">
            <v>Đinh Thị Thanh Huyền - Chưa học phí, VIP171 rút</v>
          </cell>
        </row>
        <row r="159">
          <cell r="K159" t="str">
            <v>Chu Xuân Bình - OPT68</v>
          </cell>
        </row>
        <row r="160">
          <cell r="K160" t="str">
            <v>Trần Thị Mai - PT186 rút trước ngày KG, PT226</v>
          </cell>
        </row>
        <row r="161">
          <cell r="K161" t="str">
            <v>Đỗ Văn Anh Tuấn - hợp đồng - PT186, PT219 chưa học phí</v>
          </cell>
        </row>
        <row r="162">
          <cell r="K162" t="str">
            <v>Ngô Trọng Hoàng - T321</v>
          </cell>
        </row>
        <row r="163">
          <cell r="K163" t="str">
            <v>Lê Hải Lâm - hợp đồng - PT186</v>
          </cell>
        </row>
        <row r="164">
          <cell r="K164" t="str">
            <v>Phạm Thanh Hồng - hợp đồng - PT204
PT188 nghỉ ngang Yến báo. KO thu 300K</v>
          </cell>
        </row>
        <row r="165">
          <cell r="K165" t="str">
            <v>Nguyễn Thị Ánh Dương - hợp đồng - PT191</v>
          </cell>
        </row>
        <row r="166">
          <cell r="K166" t="str">
            <v>Nguyễn Thu Giang - hợp đồng - PT192</v>
          </cell>
        </row>
        <row r="167">
          <cell r="K167" t="str">
            <v>Nguyễn Văn Mạnh - hợp đồng</v>
          </cell>
        </row>
        <row r="168">
          <cell r="K168" t="str">
            <v>Nguyễn Bình An  - OPT68</v>
          </cell>
        </row>
        <row r="169">
          <cell r="K169" t="str">
            <v>Phạm Bảo Linh - hợp đồng</v>
          </cell>
        </row>
        <row r="170">
          <cell r="K170" t="str">
            <v>Lê Nguyễn Tâm Anh - hợp đồng</v>
          </cell>
        </row>
        <row r="171">
          <cell r="K171" t="str">
            <v>Đỗ Thị Thảo - hợp đồng</v>
          </cell>
        </row>
        <row r="172">
          <cell r="K172" t="str">
            <v>Nguyễn Giang Nam - hợp đồng</v>
          </cell>
        </row>
        <row r="173">
          <cell r="K173" t="str">
            <v>Lê Hà Chi - hợp đồng</v>
          </cell>
        </row>
        <row r="174">
          <cell r="K174" t="str">
            <v xml:space="preserve"> Vũ Hồng Hà - hợp đồng - OPT72</v>
          </cell>
        </row>
        <row r="175">
          <cell r="K175" t="str">
            <v>Nguyễn Xuân Mai - hợp đồng</v>
          </cell>
        </row>
        <row r="176">
          <cell r="K176" t="str">
            <v>Nguyễn Văn Bẩy - hợp đồng</v>
          </cell>
        </row>
        <row r="177">
          <cell r="K177" t="str">
            <v>Lê Thị Thu Trang - hợp đồng - PT193, PT207, PT209 rút khi đã KG</v>
          </cell>
        </row>
        <row r="178">
          <cell r="K178" t="str">
            <v>Nguyễn Thị Lan Anh - hợp đồng PT190</v>
          </cell>
        </row>
        <row r="179">
          <cell r="K179" t="str">
            <v>Vũ Thị Lam Hồng - PT195</v>
          </cell>
        </row>
        <row r="180">
          <cell r="K180" t="str">
            <v>Vũ Dạ Minh Hương - hợp đồng - PT194</v>
          </cell>
        </row>
        <row r="181">
          <cell r="K181" t="str">
            <v>Hoàng Thị Thu Trang - PT192 - hợp đồng</v>
          </cell>
        </row>
        <row r="182">
          <cell r="K182" t="str">
            <v>Doãn Tiến Dũng - hợp đồng PT195</v>
          </cell>
        </row>
        <row r="183">
          <cell r="K183" t="str">
            <v>Vũ Việt Anh - PT195. PT191 - hợp đồng</v>
          </cell>
        </row>
        <row r="184">
          <cell r="K184" t="str">
            <v xml:space="preserve"> Nguyễn Thị Mai - PT193 rút trước giờ KG- hợp đồng</v>
          </cell>
        </row>
        <row r="185">
          <cell r="K185" t="str">
            <v xml:space="preserve"> Hoàng Khánh Linh - PT193 tự rời nhóm trước ngày KG- hợp đồng</v>
          </cell>
        </row>
        <row r="186">
          <cell r="K186" t="str">
            <v>Hà Thiên Thiên - T322 - hợp đồng</v>
          </cell>
        </row>
        <row r="187">
          <cell r="K187" t="str">
            <v>Đỗ Minh Hiếu - PT187 hv thứ 10 - hợp đồng</v>
          </cell>
        </row>
        <row r="188">
          <cell r="K188" t="str">
            <v xml:space="preserve"> Nguyễn Hải Anh - OPT68</v>
          </cell>
        </row>
        <row r="189">
          <cell r="K189" t="str">
            <v>Trần Thị Diễm Quỳnh - hợp đồng</v>
          </cell>
        </row>
        <row r="190">
          <cell r="K190" t="str">
            <v>Hà Văn Ly - T328 - hợp đồng</v>
          </cell>
        </row>
        <row r="191">
          <cell r="K191" t="str">
            <v>Đào Thanh Ngọc Tuấn - PT196 - hợp đồng</v>
          </cell>
        </row>
        <row r="192">
          <cell r="K192" t="str">
            <v>Nguyễn Hải Vân - hợp đồng</v>
          </cell>
        </row>
        <row r="193">
          <cell r="K193" t="str">
            <v>Vũ Thị Linh - PT188 rút sát ngày KG - hợp đồng</v>
          </cell>
        </row>
        <row r="194">
          <cell r="K194" t="str">
            <v>Lê Thu Thủy - PT197 - hợp đồng, PT206 tự rời nhóm</v>
          </cell>
        </row>
        <row r="195">
          <cell r="K195" t="str">
            <v>Trịnh Mai Phương - PT188 - hợp đồng</v>
          </cell>
        </row>
        <row r="196">
          <cell r="K196" t="str">
            <v>Đào Linh Nhi - PT188 - hợp đồng</v>
          </cell>
        </row>
        <row r="197">
          <cell r="K197" t="str">
            <v>Lại Quang Dũng - T327 - hợp đồng</v>
          </cell>
        </row>
        <row r="198">
          <cell r="K198" t="str">
            <v>Vũ Hoàng Linh Đan - T324 - hợp đồng</v>
          </cell>
        </row>
        <row r="199">
          <cell r="K199" t="str">
            <v>Đặng Hồng Thái - hợp đồng</v>
          </cell>
        </row>
        <row r="200">
          <cell r="K200" t="str">
            <v>Trương Mạn Ngọc - hợp đồng - T341</v>
          </cell>
        </row>
        <row r="201">
          <cell r="K201" t="str">
            <v>Đoàn Thị Thanh Huyền - hợp đồng. Chưa nộp 300K
T328 bảo lưu b2. Sĩ số lệch nên hỏi GV. Học T476 b1 - lại rút trước giờ KG</v>
          </cell>
        </row>
        <row r="202">
          <cell r="K202" t="str">
            <v>Lê Thị Duyên - T328 - hợp đồng</v>
          </cell>
        </row>
        <row r="203">
          <cell r="K203" t="str">
            <v>Bạc Thị Xoài - PT190 - hợp đồng</v>
          </cell>
        </row>
        <row r="204">
          <cell r="K204" t="str">
            <v>Phạm Khánh Chi - PT201 - hợp đồng</v>
          </cell>
        </row>
        <row r="205">
          <cell r="K205" t="str">
            <v>Nguyễn Ngọc Thảo Uyên - hợp đồng - PT196 rút nghi lớp học đc 1 buổi</v>
          </cell>
        </row>
        <row r="206">
          <cell r="K206" t="str">
            <v>Nguyễn Văn Tuân - PT196 hv thứ 10, PT193 - hợp đồng</v>
          </cell>
        </row>
        <row r="207">
          <cell r="K207" t="str">
            <v>Trần Vũ Hạnh - hợp đồng</v>
          </cell>
        </row>
        <row r="208">
          <cell r="K208" t="str">
            <v>Trần Vũ Hạnh - hợp đồng</v>
          </cell>
        </row>
        <row r="209">
          <cell r="K209" t="str">
            <v>Quách Phương Thảo - hợp đồng</v>
          </cell>
        </row>
        <row r="210">
          <cell r="K210" t="str">
            <v>Ngô Xuân Quyết - hợp đồng</v>
          </cell>
        </row>
        <row r="211">
          <cell r="K211" t="str">
            <v xml:space="preserve"> Nguyễn Phương Linh - hợp đồng</v>
          </cell>
        </row>
        <row r="212">
          <cell r="K212" t="str">
            <v>Hoàng Anh Quý - hợp đồng</v>
          </cell>
        </row>
        <row r="213">
          <cell r="K213" t="str">
            <v>Lê Phương Thảo - hợp đồng - PT218 chưa học phí</v>
          </cell>
        </row>
        <row r="214">
          <cell r="K214" t="str">
            <v>Đỗ Diệu Thanh - PT200 - hợp đồng</v>
          </cell>
        </row>
        <row r="215">
          <cell r="K215" t="str">
            <v>Đào Thị Thanh Tuyền - PT200, PT198 học 1 buổi ko học. Báo là bố mẹ hướng học ai eo</v>
          </cell>
        </row>
        <row r="216">
          <cell r="K216" t="str">
            <v>Trần Tuấn Anh - PT199 - hợp đồng</v>
          </cell>
        </row>
        <row r="217">
          <cell r="K217" t="str">
            <v>Trần Quang Minh - PT199 - hợp đồng</v>
          </cell>
        </row>
        <row r="218">
          <cell r="K218" t="str">
            <v>Hoàng Trần Ngọc Bích - hợp đồng
GV, TG mất kết nối, sale hỏi bạn bảo bỏ ngang. Bạn bảo nhà bạn có việc
10/7 KG 23/7 nhận thông tin. Nhài hỏi mấy lần ko rep</v>
          </cell>
        </row>
        <row r="219">
          <cell r="K219" t="str">
            <v>Nguyễn Phương Anh - hợp đồng - T342 - T347 chưa học phí</v>
          </cell>
        </row>
        <row r="220">
          <cell r="K220" t="str">
            <v>Lưu Vĩnh Khang - hợp đồng - PT203</v>
          </cell>
        </row>
        <row r="221">
          <cell r="K221" t="str">
            <v>Vũ Khánh Vy - T332 - hợp đồng</v>
          </cell>
        </row>
        <row r="222">
          <cell r="K222" t="str">
            <v>Hoàng Minh Đức - hợp đồng</v>
          </cell>
        </row>
        <row r="223">
          <cell r="K223" t="str">
            <v>Trần Thị Mỹ Hạnh - Hoàn cọc 15/07/25- hợp đồng</v>
          </cell>
        </row>
        <row r="224">
          <cell r="K224" t="str">
            <v xml:space="preserve"> Lê Minh Châu - hợp đồng- PT207</v>
          </cell>
        </row>
        <row r="225">
          <cell r="K225" t="str">
            <v>Nguyễn Khải Tâm - hợp đồng - T335</v>
          </cell>
        </row>
        <row r="226">
          <cell r="K226" t="str">
            <v>Đinh Thị Khánh Liên - hợp đồng - T333</v>
          </cell>
        </row>
        <row r="227">
          <cell r="K227" t="str">
            <v>Hồ Phương Thảo - hợp đồng - T332</v>
          </cell>
        </row>
        <row r="228">
          <cell r="K228" t="str">
            <v>Lại Thu Hiền - hợp đồng - T335</v>
          </cell>
        </row>
        <row r="229">
          <cell r="K229" t="str">
            <v>Nguyễn Hồng Thắm - hợp đồng - PT206</v>
          </cell>
        </row>
        <row r="230">
          <cell r="K230" t="str">
            <v>Phan Thị Anh Thư - PT208 - hợp đồng</v>
          </cell>
        </row>
        <row r="231">
          <cell r="K231" t="str">
            <v>Hoàng Thị Thanh Trúc - PT209, PT210, PT227 - hợp đồng, trả cọc 16/12/2025</v>
          </cell>
        </row>
        <row r="232">
          <cell r="K232" t="str">
            <v>Khánh Ngọc</v>
          </cell>
        </row>
        <row r="233">
          <cell r="K233" t="str">
            <v>Trịnh Nguyễn Kiều Loan - hợp đồng</v>
          </cell>
        </row>
        <row r="234">
          <cell r="K234" t="str">
            <v>Lê Hoàng Anh - PT205 - rút sát ngày KG - hợp đồng</v>
          </cell>
        </row>
        <row r="235">
          <cell r="K235" t="str">
            <v>Nguyễn Thị Mai Anh - T336 - hợp đồng</v>
          </cell>
        </row>
        <row r="236">
          <cell r="K236" t="str">
            <v>Hoàng Thị Thanh Tâm - T336 - hợp đồng</v>
          </cell>
        </row>
        <row r="237">
          <cell r="K237" t="str">
            <v>Đỗ Bảo Châm - PT210 - hợp đồng</v>
          </cell>
        </row>
        <row r="238">
          <cell r="K238" t="str">
            <v xml:space="preserve"> Nguyễn Hoàng Anh - OPT70</v>
          </cell>
        </row>
        <row r="239">
          <cell r="K239" t="str">
            <v>Trịnh Tuấn Tài - T338 - hợp đồng</v>
          </cell>
        </row>
        <row r="240">
          <cell r="K240" t="str">
            <v>Võ Hoàng Bảo Ngọc - PT206 chưa học phí - hợp đồng</v>
          </cell>
        </row>
        <row r="241">
          <cell r="K241" t="str">
            <v>Phan Thị Anh -Anh Hannah - PT210 - hợp đồng</v>
          </cell>
        </row>
        <row r="242">
          <cell r="K242" t="str">
            <v>Trần Mai Chi - PT209 - hợp đồng - Hoàn cọc 21/07/25</v>
          </cell>
        </row>
        <row r="243">
          <cell r="K243" t="str">
            <v>Thanh Nhàn - PT205 rút trước giờ KG - hợp đồng</v>
          </cell>
        </row>
        <row r="244">
          <cell r="K244" t="str">
            <v>Nguyễn Thị Xuân - hợp đồng - PT344 chưa học phí</v>
          </cell>
        </row>
        <row r="245">
          <cell r="K245" t="str">
            <v>Đoàn Văn Hồ - PT211 - hợp đồng</v>
          </cell>
        </row>
        <row r="246">
          <cell r="K246" t="str">
            <v>Dương Quang Huy - hợp đồng - PT211 rút sát giờ KG
OPT84 chưa học phí</v>
          </cell>
        </row>
        <row r="247">
          <cell r="K247" t="str">
            <v>Nguyễn Thị Tùng Chi - hợp đồng - PT211 rút sát giờ KG</v>
          </cell>
        </row>
        <row r="248">
          <cell r="K248" t="str">
            <v>Nguyễn Hoàng Minh - OPT74 - Hoàn cọc 07/08/2025</v>
          </cell>
        </row>
        <row r="249">
          <cell r="K249" t="str">
            <v>Lương Ngọc Anh - hợp đồng</v>
          </cell>
        </row>
        <row r="250">
          <cell r="K250" t="str">
            <v>Nguyễn Đình Vũ  - hợp đồng</v>
          </cell>
        </row>
        <row r="251">
          <cell r="K251" t="str">
            <v>Quách Thị Kim Oanh</v>
          </cell>
        </row>
        <row r="252">
          <cell r="K252" t="str">
            <v>Vũ Anh Tuấn - hợp đồng - OPT75 chưa học phí</v>
          </cell>
        </row>
        <row r="253">
          <cell r="K253" t="str">
            <v>Trần Khánh Huyền - hợp đồng - PT216, PT217</v>
          </cell>
        </row>
        <row r="254">
          <cell r="K254" t="str">
            <v>Trần Hiền Trang - PT211 - hợp đồng</v>
          </cell>
        </row>
        <row r="255">
          <cell r="K255" t="str">
            <v>Nguyễn Phương Quỳnh Anh  - hợp đồng - PT213 chưa học phí</v>
          </cell>
        </row>
        <row r="256">
          <cell r="K256" t="str">
            <v>Trần Kim Ngân  - hợp đồng</v>
          </cell>
        </row>
        <row r="257">
          <cell r="K257" t="str">
            <v>Nguyễn Thị Bảo Ngọc - hợp đồng - OPT75 chưa học phí</v>
          </cell>
        </row>
        <row r="258">
          <cell r="K258" t="str">
            <v>Nông Minh Nhật- hợp đồng</v>
          </cell>
        </row>
        <row r="259">
          <cell r="K259" t="str">
            <v>Đỗ Hồng Sơn - Chưa học phí - OVIP45</v>
          </cell>
        </row>
        <row r="260">
          <cell r="K260" t="str">
            <v>Cáp Trọng Điệp - Hoàn cọc 22/7/25</v>
          </cell>
        </row>
        <row r="261">
          <cell r="K261" t="str">
            <v>Trần Thế Anh - Chưa học phí</v>
          </cell>
        </row>
        <row r="262">
          <cell r="K262" t="str">
            <v>Nguyễn Thị Quỳnh Như  - hợp đồng
PT211 chưa học phí sang PT214. PT218 chưa học phí</v>
          </cell>
        </row>
        <row r="263">
          <cell r="K263" t="str">
            <v>Nguyễn Thị Thảo Nguyên - hợp đồng, PT215 chưa học phí</v>
          </cell>
        </row>
        <row r="264">
          <cell r="K264" t="str">
            <v>Lò Thị Thư - PT214 - hợp đồng</v>
          </cell>
        </row>
        <row r="265">
          <cell r="K265" t="str">
            <v>Đoàn Thị Ngọc Ánh  - hợp đồng, PT214 chưa học phí</v>
          </cell>
        </row>
        <row r="266">
          <cell r="K266" t="str">
            <v>Hoàng Thanh Tùng - hợp đồng, PT215, PT224 chưa học phí</v>
          </cell>
        </row>
        <row r="267">
          <cell r="K267" t="str">
            <v>Lâm Phương Thảo - hợp đồng - PT216</v>
          </cell>
        </row>
        <row r="268">
          <cell r="K268" t="str">
            <v>Trịnh Như Quỳnh - hợp đồng - Hoàn cọc 23/07/25</v>
          </cell>
        </row>
        <row r="269">
          <cell r="K269" t="str">
            <v>Nguyễn Đình Pháp - hợp đồng - PT216 chưa học phí</v>
          </cell>
        </row>
        <row r="270">
          <cell r="K270" t="str">
            <v>Nguyễn Thị Thu Hiền - hợp đồng,  T342 chưa học phí</v>
          </cell>
        </row>
        <row r="271">
          <cell r="K271" t="str">
            <v>Đỗ Đình Anh  - PT217 Hoàn cọc 100k 29/07/25</v>
          </cell>
        </row>
        <row r="272">
          <cell r="K272" t="str">
            <v>Nguyễn Xuân Vũ - Hoàn cọc 21/07/25</v>
          </cell>
        </row>
        <row r="273">
          <cell r="K273" t="str">
            <v>Mai Quốc Khánh - T344 - hợp đồng - OT77</v>
          </cell>
        </row>
        <row r="274">
          <cell r="K274" t="str">
            <v>Đỗ Minh Hải - hợp đồng - đã xin A Đức - PT218
PT219 rut sát ngày KG</v>
          </cell>
        </row>
        <row r="275">
          <cell r="K275" t="str">
            <v>Ngô Bảo Anh - T344 - hợp đồng</v>
          </cell>
        </row>
        <row r="276">
          <cell r="K276" t="str">
            <v>Vũ Thảo Nguyên - T343 tự rời nhóm, OT83, T366 - hợp đồng
16/09/2025 lên trung tâm nhận sách - trả cọc 29/9/25</v>
          </cell>
        </row>
        <row r="277">
          <cell r="K277" t="str">
            <v>Trịnh Tuấn Anh - PT218 - hợp đồng - PT120 chưa học phí</v>
          </cell>
        </row>
        <row r="278">
          <cell r="K278" t="str">
            <v>Tống Minh Trọng - hợp đồng - OT77</v>
          </cell>
        </row>
        <row r="279">
          <cell r="K279" t="str">
            <v>Nguyễn Hải Đăng - hợp đồng - OT79</v>
          </cell>
        </row>
        <row r="280">
          <cell r="K280" t="str">
            <v>Nguyễn Thị Phương Châm - hợp đồng</v>
          </cell>
        </row>
        <row r="281">
          <cell r="K281" t="str">
            <v>Nguyễn Thị Kim Ngân - hợp đồng</v>
          </cell>
        </row>
        <row r="282">
          <cell r="K282" t="str">
            <v>Nguyễn Thị Ngọc Diệp - hợp đồng</v>
          </cell>
        </row>
        <row r="283">
          <cell r="K283" t="str">
            <v>Phạm Sinh Quyền - OPT73 chưa học phí - hợp đồng</v>
          </cell>
        </row>
        <row r="284">
          <cell r="K284" t="str">
            <v>Nghiêm Xuân Hợi - VIP182 chưa học phí - hợp đồng</v>
          </cell>
        </row>
        <row r="285">
          <cell r="K285" t="str">
            <v>Phạm Ngọc Bách - PT220 bỏ ko học</v>
          </cell>
        </row>
        <row r="286">
          <cell r="K286" t="str">
            <v>Nguyễn Ánh Ngọc - OPT75 chưa học phí</v>
          </cell>
        </row>
        <row r="287">
          <cell r="K287" t="str">
            <v xml:space="preserve"> Phạm Quỳnh Anh - T342 - Hoàn cọc 06/08/2025</v>
          </cell>
        </row>
        <row r="288">
          <cell r="K288" t="str">
            <v>Nguyễn Kim Phượng - PT220 - Hoàn cọc 02/08/2025</v>
          </cell>
        </row>
        <row r="289">
          <cell r="K289" t="str">
            <v xml:space="preserve"> Doãn Đinh Ngọc Anh - PT222 - hợp đồng</v>
          </cell>
        </row>
        <row r="290">
          <cell r="K290" t="str">
            <v>Vũ Đình Mỹ - PT222 chưa học phí - hợp đồng</v>
          </cell>
        </row>
        <row r="291">
          <cell r="K291" t="str">
            <v>Phùng Quang Vinh - PT221 - hợp đồng</v>
          </cell>
        </row>
        <row r="292">
          <cell r="K292" t="str">
            <v>Kiều Ngọc Hải - hợp đồng - PT222 - trả lại tiền 31/07/25</v>
          </cell>
        </row>
        <row r="293">
          <cell r="K293" t="str">
            <v>Vũ Tiến Lợi - T345 - hợp đồng</v>
          </cell>
        </row>
        <row r="294">
          <cell r="K294" t="str">
            <v>Trần Mai Anh - hợp đồng - OPT79 chưa học phí</v>
          </cell>
        </row>
        <row r="295">
          <cell r="K295" t="str">
            <v>Trần Thị Hoài Linh - T345 chưa học phí
Rút phút 89. Hồng Anh cam kết nộp 300K</v>
          </cell>
        </row>
        <row r="296">
          <cell r="K296" t="str">
            <v>Lê Khánh Dương - PT215, PT228 chưa học phí - hợp đồng</v>
          </cell>
        </row>
        <row r="297">
          <cell r="K297" t="str">
            <v>Nguyễn Văn Quyết - OPT73</v>
          </cell>
        </row>
        <row r="298">
          <cell r="K298" t="str">
            <v>Hoàng Minh Huyền - hợp đồng- OT78 chưa học phí</v>
          </cell>
        </row>
        <row r="299">
          <cell r="K299" t="str">
            <v>Nguyễn Khánh Dương - hợp đồng, PT382 chưa học phí</v>
          </cell>
        </row>
        <row r="300">
          <cell r="K300" t="str">
            <v>Nguyễn Trường Giang - OVIP48 chưa học phí</v>
          </cell>
        </row>
        <row r="301">
          <cell r="K301" t="str">
            <v>Kiều Việt Thắng - chưa học phí, OVIP48</v>
          </cell>
        </row>
        <row r="302">
          <cell r="K302" t="str">
            <v>Như Quỳnh - hợp đồng</v>
          </cell>
        </row>
        <row r="303">
          <cell r="K303" t="str">
            <v>Nguyễn Ngọc Sơn - hợp đồng - PT226 chưa học phí</v>
          </cell>
        </row>
        <row r="304">
          <cell r="K304" t="str">
            <v>Lê Thị Hương - hợp đồng - OT77</v>
          </cell>
        </row>
        <row r="305">
          <cell r="K305" t="str">
            <v>Trần Thị Đan Lê  - hợp đồng</v>
          </cell>
        </row>
        <row r="306">
          <cell r="K306" t="str">
            <v>Lê Thị Hậu - hợp đồng</v>
          </cell>
        </row>
        <row r="307">
          <cell r="K307" t="str">
            <v>Nguyễn Thị Thu Huyền - PT229 chưa học phí</v>
          </cell>
        </row>
        <row r="308">
          <cell r="K308" t="str">
            <v>Minh Tuấn - hợp đồng - PT229 trả cọc 16/12/2025</v>
          </cell>
        </row>
        <row r="309">
          <cell r="K309" t="str">
            <v>:Nguyễn Văn Hào - hợp đồng - OPT75</v>
          </cell>
        </row>
        <row r="310">
          <cell r="K310" t="str">
            <v>Mai Thanh Tùng - hợp đồng - OPT75</v>
          </cell>
        </row>
        <row r="311">
          <cell r="K311" t="str">
            <v>Nguyễn Công Việt Bách - hợp đồng - OT79 Hoàn cọc 25/8/25</v>
          </cell>
        </row>
        <row r="312">
          <cell r="K312" t="str">
            <v>Vũ Thị Thảo Nguyên - hợp đồng</v>
          </cell>
        </row>
        <row r="313">
          <cell r="K313" t="str">
            <v>Nguyễn Thị Nhật Minh - PT331 - hợp đồng</v>
          </cell>
        </row>
        <row r="314">
          <cell r="K314" t="str">
            <v>Đào Duy Tuấn - học lại nộp 50% học phí
Đã nộp 2,134K + 200K mua sách</v>
          </cell>
        </row>
        <row r="315">
          <cell r="K315" t="str">
            <v>Nguyễn Thị Ánh - PT330 chưa học phí - Học cọc 14/8/25</v>
          </cell>
        </row>
        <row r="316">
          <cell r="K316" t="str">
            <v>Lê Phương Thảo Nhi - hợp đồng</v>
          </cell>
        </row>
        <row r="317">
          <cell r="K317" t="str">
            <v>Trương Thị Hồng Huế - hợp đồng - rút cọc trả lại 9/9/25</v>
          </cell>
        </row>
        <row r="318">
          <cell r="K318" t="str">
            <v>Trang Nhựt Quang - PT330 chưa học phí - hợp đồng</v>
          </cell>
        </row>
        <row r="319">
          <cell r="K319" t="str">
            <v>Bùi Thị Vân Anh - PT331 chưa học phí - hợp đồng</v>
          </cell>
        </row>
        <row r="320">
          <cell r="K320" t="str">
            <v>Phùng Thị Phương Anh - hợp đồng
OT78 tự rời nhóm trước ngày học</v>
          </cell>
        </row>
        <row r="321">
          <cell r="K321" t="str">
            <v>Vương Huy Liên - hợp đồng - OPT77
OPT84 chưa học phí</v>
          </cell>
        </row>
        <row r="322">
          <cell r="K322" t="str">
            <v>Nguyễn Tuấn Phong - hợp đồng</v>
          </cell>
        </row>
        <row r="323">
          <cell r="K323" t="str">
            <v>Phạm Thị Thu Trà - hợp đồng</v>
          </cell>
        </row>
        <row r="324">
          <cell r="K324" t="str">
            <v>Mạc Thị Thanh Thảo - hợp đồng - OT78</v>
          </cell>
        </row>
        <row r="325">
          <cell r="K325" t="str">
            <v>Mai Thành Trung - hợp đồng</v>
          </cell>
        </row>
        <row r="326">
          <cell r="K326" t="str">
            <v>Nghiêm Thị Yến Nhi - hợp đồng</v>
          </cell>
        </row>
        <row r="327">
          <cell r="K327" t="str">
            <v>Phạm Thị Vân - hợp đồng, OPT77</v>
          </cell>
        </row>
        <row r="328">
          <cell r="K328" t="str">
            <v>Lê Ngọc Khánh Linh - hợp đồng - PT367
PT366 chưa học phí</v>
          </cell>
        </row>
        <row r="329">
          <cell r="K329" t="str">
            <v>Lê Hà Phương Anh - T348, T350 chưa học phí, hv thứ 10</v>
          </cell>
        </row>
        <row r="330">
          <cell r="K330" t="str">
            <v>Lê Quý Khoa - PT332 chưa học phí</v>
          </cell>
        </row>
        <row r="331">
          <cell r="K331" t="str">
            <v>Dương Văn Gia Bảo - T350, OT81, T352 chưa học phí</v>
          </cell>
        </row>
        <row r="332">
          <cell r="K332" t="str">
            <v>Nguyễn Anh Tuấn - T351- hợp đồng - Trả cọc 8/10/25</v>
          </cell>
        </row>
        <row r="333">
          <cell r="K333" t="str">
            <v>Nguyễn Thị Lan Anh - PT334 chưa học phí</v>
          </cell>
        </row>
        <row r="334">
          <cell r="K334" t="str">
            <v>Trần Nguyễn Trâm Anh - Hoàn học phí 14/8/25</v>
          </cell>
        </row>
        <row r="335">
          <cell r="K335" t="str">
            <v>Đỗ Thành Đạt - hợp đồng - OPT79, OPT80 - 358494738 số zalo</v>
          </cell>
        </row>
        <row r="336">
          <cell r="K336" t="str">
            <v>Vũ Hoàng Anh - hợp đồng</v>
          </cell>
        </row>
        <row r="337">
          <cell r="K337" t="str">
            <v>Phạm Hoàng Anh - hợp đồng - T357 chưa học phí</v>
          </cell>
        </row>
        <row r="338">
          <cell r="K338" t="str">
            <v>Giang Hoàng Anh - PT336 - hợp đồng</v>
          </cell>
        </row>
        <row r="339">
          <cell r="K339" t="str">
            <v>Phạm Văn Hiếu - OVIP54 chưa học phí
Quá thời hạn 30 ngày. Thu 25% học phí</v>
          </cell>
        </row>
        <row r="340">
          <cell r="K340" t="str">
            <v>Nguyễn Duy Hoàng Nguyên - hợp đồng - PT362, 
PT361 chưa học phí</v>
          </cell>
        </row>
        <row r="341">
          <cell r="K341" t="str">
            <v>Nguyễn Duy Khoa - hợp đồng - OPT77</v>
          </cell>
        </row>
        <row r="342">
          <cell r="K342" t="str">
            <v>Nguyễn Thị Phương - hợp đồng- OPT79</v>
          </cell>
        </row>
        <row r="343">
          <cell r="K343" t="str">
            <v>Nguyễn Viết Tâm - OPT76</v>
          </cell>
        </row>
        <row r="344">
          <cell r="K344" t="str">
            <v>Thân Công Anh - T352 chưa học phí</v>
          </cell>
        </row>
        <row r="345">
          <cell r="K345" t="str">
            <v>Nguyễn Thị Thương</v>
          </cell>
        </row>
        <row r="346">
          <cell r="K346" t="str">
            <v>Bùi Thuỳ Linh - OT80 xin rút 200K cọc</v>
          </cell>
        </row>
        <row r="347">
          <cell r="K347" t="str">
            <v>Trương Ngọc Thoa - OT80</v>
          </cell>
        </row>
        <row r="348">
          <cell r="K348" t="str">
            <v>Nguyễn Quỳnh Chi - hợp đồng - Đã nộp 300K 05/12/2025
OPT80 bảo lưu b1. Học PT383 b1</v>
          </cell>
        </row>
        <row r="349">
          <cell r="K349" t="str">
            <v>Đỗ Khánh Linh - OT93 chưa học phí</v>
          </cell>
        </row>
        <row r="350">
          <cell r="K350" t="str">
            <v>Nguyễn Hoài Linh - OT78 Hoàn cọc 10/9/25</v>
          </cell>
        </row>
        <row r="351">
          <cell r="K351" t="str">
            <v>Trần Thị Thục Quyên - Hoàn cọc 29/08/25</v>
          </cell>
        </row>
        <row r="352">
          <cell r="K352" t="str">
            <v>Nguyễn Trần Ngọc Thành - T357 chưa học phí</v>
          </cell>
        </row>
        <row r="353">
          <cell r="K353" t="str">
            <v>Phan Thị Hồng Na - OPT75</v>
          </cell>
        </row>
        <row r="354">
          <cell r="K354" t="str">
            <v xml:space="preserve">Đặng Dương Liễu </v>
          </cell>
        </row>
        <row r="355">
          <cell r="K355" t="str">
            <v xml:space="preserve">Nguyễn Hồng Nhung </v>
          </cell>
        </row>
        <row r="356">
          <cell r="K356" t="str">
            <v>Lê Trọng Tấn</v>
          </cell>
        </row>
        <row r="357">
          <cell r="K357" t="str">
            <v>Phạm Trung Hiếu - OPT78 chưa học phí</v>
          </cell>
        </row>
        <row r="358">
          <cell r="K358" t="str">
            <v>Vũ Minh Đạt</v>
          </cell>
        </row>
        <row r="359">
          <cell r="K359" t="str">
            <v>Phạm Quỳnh Anh - OPT75</v>
          </cell>
        </row>
        <row r="360">
          <cell r="K360" t="str">
            <v>Trương Thị Ngọc Bích - OPT79</v>
          </cell>
        </row>
        <row r="361">
          <cell r="K361" t="str">
            <v>Đồng Phạm Trâm Anh 
PT340 chưa học phí</v>
          </cell>
        </row>
        <row r="362">
          <cell r="K362" t="str">
            <v>Nguyễn Hồng Thủy - Hoàn cọc 3/9/25</v>
          </cell>
        </row>
        <row r="363">
          <cell r="K363" t="str">
            <v>Nguyễn Thảo Ngân - OPT78 chưa học phí</v>
          </cell>
        </row>
        <row r="364">
          <cell r="K364" t="str">
            <v>Hoàng Mai Thoan - OPT78 chưa học phí</v>
          </cell>
        </row>
        <row r="365">
          <cell r="K365" t="str">
            <v>Vũ Hoàng Việt - OPT75 trả lại cọc 9/9/25</v>
          </cell>
        </row>
        <row r="366">
          <cell r="K366" t="str">
            <v>Đặng Khắc Sỹ
PT340 chưa học phí</v>
          </cell>
        </row>
        <row r="367">
          <cell r="K367" t="str">
            <v>Đỗ Thị Kiều Lan</v>
          </cell>
        </row>
        <row r="368">
          <cell r="K368" t="str">
            <v>Phan Thị Mai Phương
PT340 chưa học phí</v>
          </cell>
        </row>
        <row r="369">
          <cell r="K369" t="str">
            <v>Lại Thị Thanh Trúc - OT81 chưa học phí</v>
          </cell>
        </row>
        <row r="370">
          <cell r="K370" t="str">
            <v>Nguyễn Tiến Đạt - PT343 chưa học phí</v>
          </cell>
        </row>
        <row r="371">
          <cell r="K371" t="str">
            <v>Nguyễn Nhật Anh - PT343 chưa học phí</v>
          </cell>
        </row>
        <row r="372">
          <cell r="K372" t="str">
            <v>Trần Thị Ngọc Huyền - OPT78 chưa học phí</v>
          </cell>
        </row>
        <row r="373">
          <cell r="K373" t="str">
            <v>Nguyễn Hải Đăng - T357</v>
          </cell>
        </row>
        <row r="374">
          <cell r="K374" t="str">
            <v>Phạm Thị Hải Yến - PT343 chưa học phí</v>
          </cell>
        </row>
        <row r="375">
          <cell r="K375" t="str">
            <v>Hoàng Tiến Đạt - PT342 chưa học phí</v>
          </cell>
        </row>
        <row r="376">
          <cell r="K376" t="str">
            <v>Ngô Yến Nhi</v>
          </cell>
        </row>
        <row r="377">
          <cell r="K377" t="str">
            <v>Lê Đức Anh</v>
          </cell>
        </row>
        <row r="378">
          <cell r="K378" t="str">
            <v>Vũ Thị Ngọc Lan - Hoàn cọc 27/8/25</v>
          </cell>
        </row>
        <row r="379">
          <cell r="K379" t="str">
            <v>Phạm Công Hiệu - Hoàn cọc 27/08/25</v>
          </cell>
        </row>
        <row r="380">
          <cell r="K380" t="str">
            <v xml:space="preserve">Đỗ Thị Cẩm Anh </v>
          </cell>
        </row>
        <row r="381">
          <cell r="K381" t="str">
            <v>Bùi Chung Nguyên - OPT81</v>
          </cell>
        </row>
        <row r="382">
          <cell r="K382" t="str">
            <v>Nguyễn Bảo Hân - Rin Nguyễn - T352 chưa học phí</v>
          </cell>
        </row>
        <row r="383">
          <cell r="K383" t="str">
            <v>Ngô Xuân Bằng - PT343</v>
          </cell>
        </row>
        <row r="384">
          <cell r="K384" t="str">
            <v>Bùi Phương Linh</v>
          </cell>
        </row>
        <row r="385">
          <cell r="K385" t="str">
            <v>Nguyễn châu tố Uyên - Trả lại cọc 9/9/25</v>
          </cell>
        </row>
        <row r="386">
          <cell r="K386" t="str">
            <v>Đinh Thị Cẩm Ly - OT97</v>
          </cell>
        </row>
        <row r="387">
          <cell r="K387" t="str">
            <v>Đồng Văn Doanh - PT344</v>
          </cell>
        </row>
        <row r="388">
          <cell r="K388" t="str">
            <v>Ma Vân Giang - OT84</v>
          </cell>
        </row>
        <row r="389">
          <cell r="K389" t="str">
            <v xml:space="preserve">Nguyễn Thành Long </v>
          </cell>
        </row>
        <row r="390">
          <cell r="K390" t="str">
            <v>Ngô Quỳnh Như Ngọc</v>
          </cell>
        </row>
        <row r="391">
          <cell r="K391" t="str">
            <v>Nguyễn Thị Thuỷ - PT344 chưa học phí - trả cọc 17/09/25</v>
          </cell>
        </row>
        <row r="392">
          <cell r="K392" t="str">
            <v>Trần Thu Ngân - OT83</v>
          </cell>
        </row>
        <row r="393">
          <cell r="K393" t="str">
            <v>Nguyễn Văn Tùng - OPT78 chưa học phí</v>
          </cell>
        </row>
        <row r="394">
          <cell r="K394" t="str">
            <v>Hà Đăng Thịnh - nộp 50% học phí học lại
Đã nộp 2,134K + 200K mua sách 06/09/2025</v>
          </cell>
        </row>
        <row r="395">
          <cell r="K395" t="str">
            <v>Nguyễn Thị Quỳnh Chi - OPT79</v>
          </cell>
        </row>
        <row r="396">
          <cell r="K396" t="str">
            <v>Nguyễn Lê Yến Nhi - OT77, OPT85 - 燕儿 - hợp đồng</v>
          </cell>
        </row>
        <row r="397">
          <cell r="K397" t="str">
            <v>Phạm Thị Phương Lan - OT84, Trả lại cọc 3/9/25</v>
          </cell>
        </row>
        <row r="398">
          <cell r="K398" t="str">
            <v>Ngô Thị Vân Anh</v>
          </cell>
        </row>
        <row r="399">
          <cell r="K399" t="str">
            <v>Ngọ Thị Hà Ninh - OPT79</v>
          </cell>
        </row>
        <row r="400">
          <cell r="K400" t="str">
            <v>Hoàng Bảo Lâm - OT79 - Trả cọc 20/10/25</v>
          </cell>
        </row>
        <row r="401">
          <cell r="K401" t="str">
            <v>Nguyễn Thị Thanh Chúc - Trả lại cọc 3/9/25</v>
          </cell>
        </row>
        <row r="402">
          <cell r="K402" t="str">
            <v>Nguyễn Thi Phương Linh - PT341- PT344 chưa học phí</v>
          </cell>
        </row>
        <row r="403">
          <cell r="K403" t="str">
            <v>Phạm Lan Anh - PT346, PT345</v>
          </cell>
        </row>
        <row r="404">
          <cell r="K404" t="str">
            <v>Vũ Đình Trọng - OPT80</v>
          </cell>
        </row>
        <row r="405">
          <cell r="K405" t="str">
            <v>Phạm Thu Thảo - OPT79</v>
          </cell>
        </row>
        <row r="406">
          <cell r="K406" t="str">
            <v>Trần Ngọc Linh - PT346</v>
          </cell>
        </row>
        <row r="407">
          <cell r="K407" t="str">
            <v>Lê Văn Quốc Bảo</v>
          </cell>
        </row>
        <row r="408">
          <cell r="K408" t="str">
            <v>Đoàn Thị Nguyệt Dịu - T360 Chưa học phí</v>
          </cell>
        </row>
        <row r="409">
          <cell r="K409" t="str">
            <v>Nguyễn Thu Hiền - hợp đồng. Đã nộp 300K 16/09/2025
OPT80 bảo lưu b1, Học PT390 b1 =&gt; Ko học nữa</v>
          </cell>
        </row>
        <row r="410">
          <cell r="K410" t="str">
            <v>Nguyễn Duy Hưng - PT345</v>
          </cell>
        </row>
        <row r="411">
          <cell r="K411" t="str">
            <v xml:space="preserve"> Phạm Minh Khôi - OPT81</v>
          </cell>
        </row>
        <row r="412">
          <cell r="K412" t="str">
            <v>Bùi Thị Hà Anh - PT367
PT366 chưa học phí</v>
          </cell>
        </row>
        <row r="413">
          <cell r="K413" t="str">
            <v>Nguyễn Thu Hường - OPT81</v>
          </cell>
        </row>
        <row r="414">
          <cell r="K414" t="str">
            <v>Nguyễn Minh Khánh - T362 Chưa học phí</v>
          </cell>
        </row>
        <row r="415">
          <cell r="K415" t="str">
            <v>Ngô Thị Bảo Nhi - OPT78</v>
          </cell>
        </row>
        <row r="416">
          <cell r="K416" t="str">
            <v>Lê Thị Huyền - Trả lại cọc 4/11/25</v>
          </cell>
        </row>
        <row r="417">
          <cell r="K417" t="str">
            <v>Lê Hoàng Anh Thư</v>
          </cell>
        </row>
        <row r="418">
          <cell r="K418" t="str">
            <v>Nguyễn Quỳnh Trang</v>
          </cell>
        </row>
        <row r="419">
          <cell r="K419" t="str">
            <v>Nguyễn Hà Phương - hợp đồng - Chưa học phí
Bạn nói học hết 1,5 triệu thì thôi. Đủ tiền học 10 buổi</v>
          </cell>
        </row>
        <row r="420">
          <cell r="K420" t="str">
            <v>Tô Ngọc Hà - T364 Chưa học phí</v>
          </cell>
        </row>
        <row r="421">
          <cell r="K421" t="str">
            <v xml:space="preserve"> Nghiêm Thị Tuyết Vy - T365 Chưa HP - trả lại 532k ngày 23/9/25</v>
          </cell>
        </row>
        <row r="422">
          <cell r="K422" t="str">
            <v>Đặng Thị Bích Vân</v>
          </cell>
        </row>
        <row r="423">
          <cell r="K423" t="str">
            <v>Nguyễn Mai Anh - Hoàn cọc 10/9/25</v>
          </cell>
        </row>
        <row r="424">
          <cell r="K424" t="str">
            <v>Lê Diệp Khánh Chi - OT85 ko đi buổi 1</v>
          </cell>
        </row>
        <row r="425">
          <cell r="K425" t="str">
            <v>Nguyễn Thị Ngọc Anh - Ang Ntn - PT346 rút sát ngày học</v>
          </cell>
        </row>
        <row r="426">
          <cell r="K426" t="str">
            <v>Phạm Thị Phương Thảo - OPT78</v>
          </cell>
        </row>
        <row r="427">
          <cell r="K427" t="str">
            <v>Vũ Viết Công - OPT83</v>
          </cell>
        </row>
        <row r="428">
          <cell r="K428" t="str">
            <v>Nguyễn Thu Hằng - Trả cọc 18/09/25</v>
          </cell>
        </row>
        <row r="429">
          <cell r="K429" t="str">
            <v>Hồ Ngọc My</v>
          </cell>
        </row>
        <row r="430">
          <cell r="K430" t="str">
            <v xml:space="preserve">Đoàn Phi Lân </v>
          </cell>
        </row>
        <row r="431">
          <cell r="K431" t="str">
            <v xml:space="preserve">Nguyễn Thị Phương Thảo        </v>
          </cell>
        </row>
        <row r="432">
          <cell r="K432" t="str">
            <v>Cao Ngọc Ánh - OPT82</v>
          </cell>
        </row>
        <row r="433">
          <cell r="K433" t="str">
            <v>Vũ Quỳnh Thảo Minh - OPT74 chưa học phí</v>
          </cell>
        </row>
        <row r="434">
          <cell r="K434" t="str">
            <v>Nguyễn Tường Vy - PT350</v>
          </cell>
        </row>
        <row r="435">
          <cell r="K435" t="str">
            <v>Trần Ngọc Vân Lam - 0965887018 zalo</v>
          </cell>
        </row>
        <row r="436">
          <cell r="K436" t="str">
            <v>Phùng Thị Ngọc Minh - T365</v>
          </cell>
        </row>
        <row r="437">
          <cell r="K437" t="str">
            <v xml:space="preserve">Nguyễn Thành Đạt </v>
          </cell>
        </row>
        <row r="438">
          <cell r="K438" t="str">
            <v>Nguyễn Thế Minh Quân - OT88 chưa học phí</v>
          </cell>
        </row>
        <row r="439">
          <cell r="K439" t="str">
            <v xml:space="preserve">Trần Phương Anh </v>
          </cell>
        </row>
        <row r="440">
          <cell r="K440" t="str">
            <v>Nguyễn Ngọc Thiện - Hoàn cọc 12/9/25</v>
          </cell>
        </row>
        <row r="441">
          <cell r="K441" t="str">
            <v>Nguyễn Thị Yến Nhi - OT93 chưa học phí</v>
          </cell>
        </row>
        <row r="442">
          <cell r="K442" t="str">
            <v>Đỗ Đức Hiếu - OPT86 chưa học học phí
OPT91 chưa học phí</v>
          </cell>
        </row>
        <row r="443">
          <cell r="K443" t="str">
            <v>Trịnh Quyền - OT86 chưa học phí</v>
          </cell>
        </row>
        <row r="444">
          <cell r="K444" t="str">
            <v xml:space="preserve"> Nguyễn Thị Phương Anh - OPT91</v>
          </cell>
        </row>
        <row r="445">
          <cell r="K445" t="str">
            <v>Lưu Thị Mỹ Uyên</v>
          </cell>
        </row>
        <row r="446">
          <cell r="K446" t="str">
            <v>Lê Tấn Đạt - OPT81</v>
          </cell>
        </row>
        <row r="447">
          <cell r="K447" t="str">
            <v>Lê Hoài Thương</v>
          </cell>
        </row>
        <row r="448">
          <cell r="K448" t="str">
            <v>Vũ Chiều Xuân - OS10 Chưa học phí</v>
          </cell>
        </row>
        <row r="449">
          <cell r="K449" t="str">
            <v>Nguyễn Thị Hương giang - OPT94 hv thứ 27</v>
          </cell>
        </row>
        <row r="450">
          <cell r="K450" t="str">
            <v>Nguyễn Thị Hoài Thu</v>
          </cell>
        </row>
        <row r="451">
          <cell r="K451" t="str">
            <v>Mai Văn Thành - Trả cọc 17/09/25</v>
          </cell>
        </row>
        <row r="452">
          <cell r="K452" t="str">
            <v>Nguyễn Thị Thuỳ Linh  - Trả cọc 17/09/25</v>
          </cell>
        </row>
        <row r="453">
          <cell r="K453" t="str">
            <v>Trần Trung Hiếu</v>
          </cell>
        </row>
        <row r="454">
          <cell r="K454" t="str">
            <v>Lê Thị Thu Phương</v>
          </cell>
        </row>
        <row r="455">
          <cell r="K455" t="str">
            <v>Đức Giang - Hoàn cọc 19/9/25 k học nữa</v>
          </cell>
        </row>
        <row r="456">
          <cell r="K456" t="str">
            <v>Trần Văn Việt - OPT85</v>
          </cell>
        </row>
        <row r="457">
          <cell r="K457" t="str">
            <v xml:space="preserve">Vũ Thị Khánh Ly </v>
          </cell>
        </row>
        <row r="458">
          <cell r="K458" t="str">
            <v>Nguyễn Lê Phương Anh - OT85</v>
          </cell>
        </row>
        <row r="459">
          <cell r="K459" t="str">
            <v>Đàm Triệu Anh Tú - OPT85, OPT89 chưa học phí</v>
          </cell>
        </row>
        <row r="460">
          <cell r="K460" t="str">
            <v>Lê Việt Hà - OT85 - OPT86 chưa học học phí</v>
          </cell>
        </row>
        <row r="461">
          <cell r="K461" t="str">
            <v>Nguyễn Anh Tịnh - PT356 chưa học phí</v>
          </cell>
        </row>
        <row r="462">
          <cell r="K462" t="str">
            <v>Đặng Ngọc Dung  - T431</v>
          </cell>
        </row>
        <row r="463">
          <cell r="K463" t="str">
            <v>Nguyễn Thị Vân Anh - Trả lại cọc 25/10/25</v>
          </cell>
        </row>
        <row r="464">
          <cell r="K464" t="str">
            <v xml:space="preserve">Nguyễn Văn Khải </v>
          </cell>
        </row>
        <row r="465">
          <cell r="K465" t="str">
            <v>Phạm quang tùng</v>
          </cell>
        </row>
        <row r="466">
          <cell r="K466" t="str">
            <v>Hà Văn Tuấn Anh - PT363</v>
          </cell>
        </row>
        <row r="467">
          <cell r="K467" t="str">
            <v>Nông Yến Chi - OPT87</v>
          </cell>
        </row>
        <row r="468">
          <cell r="K468" t="str">
            <v xml:space="preserve"> Lương Diệu Linh - PT362</v>
          </cell>
        </row>
        <row r="469">
          <cell r="K469" t="str">
            <v>Đăng Văn Kỳ - PT362 chưa học phí - Trả cọc 02/10/25</v>
          </cell>
        </row>
        <row r="470">
          <cell r="K470" t="str">
            <v>Vương Thị Huệ - PT361 hv thứ 10
PT363 chưa học phí</v>
          </cell>
        </row>
        <row r="471">
          <cell r="K471" t="str">
            <v xml:space="preserve"> Nguyễn Khánh Linh - T373 chưa học phí</v>
          </cell>
        </row>
        <row r="472">
          <cell r="K472" t="str">
            <v xml:space="preserve"> Vũ Tuyết Ngân - OPT86 chưa học học phí</v>
          </cell>
        </row>
        <row r="473">
          <cell r="K473" t="str">
            <v>Ngô Ngọc Lan - OPT86 trả lại cọc 13/01/26</v>
          </cell>
        </row>
        <row r="474">
          <cell r="K474" t="str">
            <v xml:space="preserve">Phạm Lương Quân </v>
          </cell>
        </row>
        <row r="475">
          <cell r="K475" t="str">
            <v>Nguyễn Duy Khánh</v>
          </cell>
        </row>
        <row r="476">
          <cell r="K476" t="str">
            <v>Lường Bình Minh - PT376 hv thứ 11. PT378 rút sát giờ KG</v>
          </cell>
        </row>
        <row r="477">
          <cell r="K477" t="str">
            <v>Nguyễn Thị Hoài Vân - T385 chưa học phí</v>
          </cell>
        </row>
        <row r="478">
          <cell r="K478" t="str">
            <v xml:space="preserve">Hà Hữu Sơn </v>
          </cell>
        </row>
        <row r="479">
          <cell r="K479" t="str">
            <v>Chu Xuân Bắc - PT370</v>
          </cell>
        </row>
        <row r="480">
          <cell r="K480" t="str">
            <v>Nguyễn Việt Anh - OT85</v>
          </cell>
        </row>
        <row r="481">
          <cell r="K481" t="str">
            <v xml:space="preserve">Nguyễn Đức Thành </v>
          </cell>
        </row>
        <row r="482">
          <cell r="K482" t="str">
            <v>Trần Kim Nguyễn - T386 Chưa học phí rút sát giờ trả cọc 16/12/2025</v>
          </cell>
        </row>
        <row r="483">
          <cell r="K483" t="str">
            <v>Giáp Kim Ngân - T368, T383</v>
          </cell>
        </row>
        <row r="484">
          <cell r="K484" t="str">
            <v>Nguyễn Thành Quang</v>
          </cell>
        </row>
        <row r="485">
          <cell r="K485" t="str">
            <v>Hoàng Vĩnh Giang</v>
          </cell>
        </row>
        <row r="486">
          <cell r="K486" t="str">
            <v>Phạm Thị Hương - VIP207 Chưa học phí</v>
          </cell>
        </row>
        <row r="487">
          <cell r="K487" t="str">
            <v>Nguyễn Thị Kim Dung - VIP207 Chưa học phí</v>
          </cell>
        </row>
        <row r="488">
          <cell r="K488" t="str">
            <v xml:space="preserve"> Phạm Mai Bích Ngọc - VIP207 Chưa học phí</v>
          </cell>
        </row>
        <row r="489">
          <cell r="K489" t="str">
            <v xml:space="preserve">Trần Thu Trang </v>
          </cell>
        </row>
        <row r="490">
          <cell r="K490" t="str">
            <v xml:space="preserve">Phạm Hương Giang  </v>
          </cell>
        </row>
        <row r="491">
          <cell r="K491" t="str">
            <v>Trịnh Hà Giang - PT371 chưa học phí</v>
          </cell>
        </row>
        <row r="492">
          <cell r="K492" t="str">
            <v>Phương Linh OT90 - Chưa học phí</v>
          </cell>
        </row>
        <row r="493">
          <cell r="K493" t="str">
            <v>Đặng Nhật Anh - OPT94  - hợp đồng</v>
          </cell>
        </row>
        <row r="494">
          <cell r="K494" t="str">
            <v>Vũ Tiến Dũng - OPT94 ko học nữa</v>
          </cell>
        </row>
        <row r="495">
          <cell r="K495" t="str">
            <v xml:space="preserve"> Lục Nông Ngọc Trâm - OPT94</v>
          </cell>
        </row>
        <row r="496">
          <cell r="K496" t="str">
            <v xml:space="preserve"> Phạm Thị Hà Vy - OPT94</v>
          </cell>
        </row>
        <row r="497">
          <cell r="K497" t="str">
            <v>Quách Ngọc Tuấn - OPT93 - Hải Anh hoàn lại tiền ngay chiều 17/10/25 cho bạn ấy rồi</v>
          </cell>
        </row>
        <row r="498">
          <cell r="K498" t="str">
            <v>Ngô Quốc Huy - OPT94 chưa học phí</v>
          </cell>
        </row>
        <row r="499">
          <cell r="K499" t="str">
            <v>Vũ Tài Quyến - OT94, OT104 rút sát giờ</v>
          </cell>
        </row>
        <row r="500">
          <cell r="K500" t="str">
            <v>Cao Diệu Thảo - OPT98</v>
          </cell>
        </row>
        <row r="501">
          <cell r="K501" t="str">
            <v>Ngô Đình Hưng - T394 Chưa học phí</v>
          </cell>
        </row>
        <row r="502">
          <cell r="K502" t="str">
            <v xml:space="preserve">Trần Thanh Huyền </v>
          </cell>
        </row>
        <row r="503">
          <cell r="K503" t="str">
            <v xml:space="preserve"> Nguyễn Thị Hương Giang</v>
          </cell>
        </row>
        <row r="504">
          <cell r="K504" t="str">
            <v>Phạm Bảo Minh - T391 chưa học phí</v>
          </cell>
        </row>
        <row r="505">
          <cell r="K505" t="str">
            <v>Nguyễn Hải Đăng - OPT96</v>
          </cell>
        </row>
        <row r="506">
          <cell r="K506" t="str">
            <v>Hà Thu Hiền - Trả lại cọc 28/10/2025</v>
          </cell>
        </row>
        <row r="507">
          <cell r="K507" t="str">
            <v>Phúc Duy - OPT97 chưa học phí</v>
          </cell>
        </row>
        <row r="508">
          <cell r="K508" t="str">
            <v>Vũ Thị Minh Duyên - OPT96</v>
          </cell>
        </row>
        <row r="509">
          <cell r="K509" t="str">
            <v>Phạm Văn Khánh Đông - VIP215 chưa học phí</v>
          </cell>
        </row>
        <row r="510">
          <cell r="K510" t="str">
            <v>Vương Khánh Ly - bạn học lại OT và đki thêm lv2
OT92 bảo lưu b1. Học T400 buổi 1. Đã nộp 250K mua sách, bảo lưu 50%</v>
          </cell>
        </row>
        <row r="511">
          <cell r="K511" t="str">
            <v>Đặng Thị Ry Na - T402 Chưa học phí</v>
          </cell>
        </row>
        <row r="512">
          <cell r="K512" t="str">
            <v>Hoàng Xuân Toàn - OT97 Chưa học phí</v>
          </cell>
        </row>
        <row r="513">
          <cell r="K513" t="str">
            <v>Tôn Nguyễn Bảo Khoa</v>
          </cell>
        </row>
        <row r="514">
          <cell r="K514" t="str">
            <v>Bùi Thị Mai Thy - PT382</v>
          </cell>
        </row>
        <row r="515">
          <cell r="K515" t="str">
            <v>Trần Đại Nghĩa - PT381 - trả lại 200k cọc 10/11/25</v>
          </cell>
        </row>
        <row r="516">
          <cell r="K516" t="str">
            <v>Nguyễn Thị Hường - OPT102 - Trả 200k cọc ngày 14/11/25</v>
          </cell>
        </row>
        <row r="517">
          <cell r="K517" t="str">
            <v>Phạm Ngô Khánh Huyền - trả cọc 10/11/25</v>
          </cell>
        </row>
        <row r="518">
          <cell r="K518" t="str">
            <v>Phạm Thị Kiều Nhung - OPT102 chưa học phí</v>
          </cell>
        </row>
        <row r="519">
          <cell r="K519" t="str">
            <v>Trần Thu Hường - PT385 chưa học phí</v>
          </cell>
        </row>
        <row r="520">
          <cell r="K520" t="str">
            <v>Nguyễn Minh Hiếu - OT102 chưa học phí</v>
          </cell>
        </row>
        <row r="521">
          <cell r="K521" t="str">
            <v>Trương Hướng Thiện</v>
          </cell>
        </row>
        <row r="522">
          <cell r="K522" t="str">
            <v>Đinh Đức Mạnh</v>
          </cell>
        </row>
        <row r="523">
          <cell r="K523" t="str">
            <v>Nguyễn Duy Thao</v>
          </cell>
        </row>
        <row r="524">
          <cell r="K524" t="str">
            <v>Tạ Huy Dũng - OPT99</v>
          </cell>
        </row>
        <row r="525">
          <cell r="K525" t="str">
            <v>Bùi Quỳnh Anh - trả lại cọc 25/11/25</v>
          </cell>
        </row>
        <row r="526">
          <cell r="K526" t="str">
            <v>Lê Thị Yến Trang - T411 Chưa học phí</v>
          </cell>
        </row>
        <row r="527">
          <cell r="K527" t="str">
            <v>Đào Xuân Đạt - T411 Chưa học phí rút sát giờ</v>
          </cell>
        </row>
        <row r="528">
          <cell r="K528" t="str">
            <v xml:space="preserve">Hoàng Sinh Khánh </v>
          </cell>
        </row>
        <row r="529">
          <cell r="K529" t="str">
            <v>Nguyễn Hiếu Học - OVIP60 Chưa học phí</v>
          </cell>
        </row>
        <row r="530">
          <cell r="K530" t="str">
            <v>Lê Nguyên Tùng Lâm - PT391 rút sát giờ KG, tự rời nhóm lớp - trả lại cọc 13/01/26</v>
          </cell>
        </row>
        <row r="531">
          <cell r="K531" t="str">
            <v>Trần Nguyễn Minh Sang - Học lại
Đã nộp 2,334K học lại 10/12/2025</v>
          </cell>
        </row>
        <row r="532">
          <cell r="K532" t="str">
            <v>Phạm Nguyễn Hương Giang - Học lại 50% học phí</v>
          </cell>
        </row>
        <row r="533">
          <cell r="K533" t="str">
            <v>Nguyễn Tuấn Anh - OPT103 chưa học phí</v>
          </cell>
        </row>
        <row r="534">
          <cell r="K534" t="str">
            <v>Vũ Hải Nam - OVIP64 Chưa học phí</v>
          </cell>
        </row>
        <row r="535">
          <cell r="K535" t="str">
            <v>Nguyễn Tường Vy - trả cọc 16/12/2025</v>
          </cell>
        </row>
        <row r="536">
          <cell r="K536" t="str">
            <v>Vũ Gia Như - trả cọc 16/12/2025</v>
          </cell>
        </row>
        <row r="537">
          <cell r="K537" t="str">
            <v xml:space="preserve"> Nguyễn Thị Linh Chi - OT108 Chưa học phí</v>
          </cell>
        </row>
        <row r="538">
          <cell r="K538" t="str">
            <v>Phạm Tiến Đức Bình</v>
          </cell>
        </row>
        <row r="539">
          <cell r="K539" t="str">
            <v>Đỗ Châu Anh - Anh Tran - OPT103</v>
          </cell>
        </row>
        <row r="540">
          <cell r="K540" t="str">
            <v>Hoàng Diệu Linh - OPT105 trả lại cọc 16/12/2025</v>
          </cell>
        </row>
        <row r="541">
          <cell r="K541" t="str">
            <v>Trịnh Thị Thuỷ - T422 Chưa học phí</v>
          </cell>
        </row>
        <row r="542">
          <cell r="K542" t="str">
            <v>Nguyễn Thị Minh Thu - PT397</v>
          </cell>
        </row>
        <row r="543">
          <cell r="K543" t="str">
            <v xml:space="preserve"> Trịnh Vân Ánh PT398 - hợp đồng</v>
          </cell>
        </row>
        <row r="544">
          <cell r="K544" t="str">
            <v>Nguyễn Thu Hà PT398 - hợp đồng</v>
          </cell>
        </row>
        <row r="545">
          <cell r="K545" t="str">
            <v>Vũ Khánh Huyền - OPT109</v>
          </cell>
        </row>
        <row r="546">
          <cell r="K546" t="str">
            <v>Nguyễn Tự Trọng - T422</v>
          </cell>
        </row>
        <row r="547">
          <cell r="K547" t="str">
            <v>Trần Minh Quang - OPT103</v>
          </cell>
        </row>
        <row r="548">
          <cell r="K548" t="str">
            <v>Đỗ Đăng Quỳnh - OPT103</v>
          </cell>
        </row>
        <row r="549">
          <cell r="K549" t="str">
            <v xml:space="preserve">Vũ Thị Huyền Anh </v>
          </cell>
        </row>
        <row r="550">
          <cell r="K550" t="str">
            <v>Nguyễn Trọng Bảo - OT112 Chưa học phí</v>
          </cell>
        </row>
        <row r="551">
          <cell r="K551" t="str">
            <v>Cao Thị Phương Hoa - OT113 Chưa học phí</v>
          </cell>
        </row>
        <row r="552">
          <cell r="K552" t="str">
            <v>Nguyễn Tuấn Anh - OT113 Chưa học phí</v>
          </cell>
        </row>
        <row r="553">
          <cell r="K553" t="str">
            <v>Nguyễn Danh Hiệp - OT113 Chưa học phí</v>
          </cell>
        </row>
        <row r="554">
          <cell r="K554" t="str">
            <v>Vũ Thùy Trang - OT111 Chưa học phí</v>
          </cell>
        </row>
        <row r="555">
          <cell r="K555" t="str">
            <v>Hồ Quang Đăng- gửi chung sách S, W</v>
          </cell>
        </row>
        <row r="556">
          <cell r="K556" t="str">
            <v>Trần Thị Thanh Thảo - Chưa học phí</v>
          </cell>
        </row>
        <row r="557">
          <cell r="K557" t="str">
            <v>Nguyễn Đỗ Linh Phương - Trả lại HP 02/1/26 OPT105 lấy hợp đồng Yến soạn</v>
          </cell>
        </row>
        <row r="558">
          <cell r="K558" t="str">
            <v xml:space="preserve">Nguyễn Hữu Đạt </v>
          </cell>
        </row>
        <row r="559">
          <cell r="K559" t="str">
            <v>Trần Thị Thu Thương - Đã nộp 300K 03/03/2026
OPT103 bảo lưu b1. Học OPT111 b1</v>
          </cell>
        </row>
        <row r="560">
          <cell r="K560" t="str">
            <v>Nguyễn Thị Như Quỳnh - T426 Chưa học phí</v>
          </cell>
        </row>
        <row r="561">
          <cell r="K561" t="str">
            <v>Nguyễn Quỳnh Chi - T426 Chưa học phí</v>
          </cell>
        </row>
        <row r="562">
          <cell r="K562" t="str">
            <v>Lê Thị Hà Lê Thu - T433 Chưa có học phí</v>
          </cell>
        </row>
        <row r="563">
          <cell r="K563" t="str">
            <v>Phạm Tiến Đạt - OPT107 chưa học phí</v>
          </cell>
        </row>
        <row r="564">
          <cell r="K564" t="str">
            <v>Đỗ Thành Tây</v>
          </cell>
        </row>
        <row r="565">
          <cell r="K565" t="str">
            <v>Ngô Đức Thắng - gửi chung S,W</v>
          </cell>
        </row>
        <row r="566">
          <cell r="K566" t="str">
            <v>Trần Quốc Trọng - OPT110, OPT112</v>
          </cell>
        </row>
        <row r="567">
          <cell r="K567" t="str">
            <v>Lê Phương Anh</v>
          </cell>
        </row>
        <row r="568">
          <cell r="K568" t="str">
            <v>Lê Quốc Tín</v>
          </cell>
        </row>
        <row r="569">
          <cell r="K569" t="str">
            <v>Nguyễn Thành Đồng - OPT107 chưa học phí</v>
          </cell>
        </row>
        <row r="570">
          <cell r="K570" t="str">
            <v>Phan Dương Anh Khoa - OPT107</v>
          </cell>
        </row>
        <row r="571">
          <cell r="K571" t="str">
            <v>Phạm Tiến Đức Bình - Chưa học phí</v>
          </cell>
        </row>
        <row r="572">
          <cell r="K572" t="str">
            <v>Nguyễn Thị Hiền -OVIP76 Chưa học phí</v>
          </cell>
        </row>
        <row r="573">
          <cell r="K573" t="str">
            <v>Lê Khánh Vân - T440 Chưa học phí</v>
          </cell>
        </row>
        <row r="574">
          <cell r="K574" t="str">
            <v>Lê Hoàng Thanh - T440 Chưa học phí
Rút sát ngày KG</v>
          </cell>
        </row>
        <row r="575">
          <cell r="K575" t="str">
            <v>Sỹ Lan Anh - T441 Chưa học phí</v>
          </cell>
        </row>
        <row r="576">
          <cell r="K576" t="str">
            <v>Mai Thị Thu Hiền - T442 Chưa học phí</v>
          </cell>
        </row>
        <row r="577">
          <cell r="K577" t="str">
            <v>Phạm Việt Hùng - VIP252 Chưa học phí</v>
          </cell>
        </row>
        <row r="578">
          <cell r="K578" t="str">
            <v>Nguyễn Hoàng Yến Nhi</v>
          </cell>
        </row>
        <row r="579">
          <cell r="K579" t="str">
            <v xml:space="preserve">Hứa Trần Duy Hiển  </v>
          </cell>
        </row>
        <row r="580">
          <cell r="K580" t="str">
            <v xml:space="preserve"> Phạm Thị Ánh Ngọc - OPT106</v>
          </cell>
        </row>
        <row r="581">
          <cell r="K581" t="str">
            <v>Trần Minh Ánh - OPT107</v>
          </cell>
        </row>
        <row r="582">
          <cell r="K582" t="str">
            <v>Lê Thị Mai Anh</v>
          </cell>
        </row>
        <row r="583">
          <cell r="K583" t="str">
            <v>Vũ Hồng Đức</v>
          </cell>
        </row>
        <row r="584">
          <cell r="K584" t="str">
            <v xml:space="preserve">Lê Gia Huy </v>
          </cell>
        </row>
        <row r="585">
          <cell r="K585" t="str">
            <v>Ngô Đức Thắng - gửi chung S,W</v>
          </cell>
        </row>
        <row r="586">
          <cell r="K586" t="str">
            <v>Trần Nguyễn Tường Vy - 0374729592 
sđt phụ huynh nhận sách - hợp đồng</v>
          </cell>
        </row>
        <row r="587">
          <cell r="K587" t="str">
            <v>Đỗ Ngọc Anh - OPT110 - hợp đồng</v>
          </cell>
        </row>
        <row r="588">
          <cell r="K588" t="str">
            <v>Ngô Phan Duy Đức - OPT107 chưa học phí
TRẢ LẠI CỌC</v>
          </cell>
        </row>
        <row r="589">
          <cell r="K589" t="str">
            <v>Nguyễn Ngọc Linh - OPT110 chưa học phí</v>
          </cell>
        </row>
        <row r="590">
          <cell r="K590" t="str">
            <v>Hồ Ngọc Thông - PT409 - hợp đồng</v>
          </cell>
        </row>
        <row r="591">
          <cell r="K591" t="str">
            <v>Nguyễn Văn An - Đã nộp 973K học lại 11 buổi + mua sách
OT121 rút sát giờ học</v>
          </cell>
        </row>
        <row r="592">
          <cell r="K592" t="str">
            <v>Cao Duy Hải - mất cam kết
Chưa nộp 50% học phí học lại. S57</v>
          </cell>
        </row>
        <row r="593">
          <cell r="K593" t="str">
            <v>Nguyễn Trương Huyền Nhi - PT411 chưa học phí</v>
          </cell>
        </row>
        <row r="594">
          <cell r="K594" t="str">
            <v>Nguyễn Minh Đức - OPT111</v>
          </cell>
        </row>
        <row r="595">
          <cell r="K595" t="str">
            <v xml:space="preserve">Lê Phương Nhung </v>
          </cell>
        </row>
        <row r="596">
          <cell r="K596" t="str">
            <v>Đỗ Thanh Bình</v>
          </cell>
        </row>
        <row r="597">
          <cell r="K597" t="str">
            <v>Trà My - hv nghỉ nhiều tính học lại
Chưa nộp 50% học phí học lại 2,084K
T448 chưa học phí</v>
          </cell>
        </row>
        <row r="598">
          <cell r="K598" t="str">
            <v>Lê Thị Thùy Anh - số cũ 367600157
VIP263 Chưa học phí rút sát ngày KG</v>
          </cell>
        </row>
        <row r="599">
          <cell r="K599" t="str">
            <v xml:space="preserve">Trương Lê Mỹ Hạnh </v>
          </cell>
        </row>
        <row r="600">
          <cell r="K600" t="str">
            <v>Hồ Lâm Oanh - OPT114</v>
          </cell>
        </row>
        <row r="601">
          <cell r="K601" t="str">
            <v>Đặng Thị Mến Thương - OPT114 tự rời nhóm</v>
          </cell>
        </row>
        <row r="602">
          <cell r="K602" t="str">
            <v>Nguyễn Đức Mạnh - hv thứ 11</v>
          </cell>
        </row>
        <row r="603">
          <cell r="K603" t="str">
            <v>Trương Ngọc Ánh - OPT113 rút cọc 28/3/26</v>
          </cell>
        </row>
        <row r="604">
          <cell r="K604" t="str">
            <v>Phùng Khánh Linh - VIP266 Chưa học phí</v>
          </cell>
        </row>
        <row r="605">
          <cell r="K605" t="str">
            <v>Khánh Huyền VIP266 - Chưa học phí</v>
          </cell>
        </row>
        <row r="606">
          <cell r="K606" t="str">
            <v>Quan Thị Linh - OVIP84 Chưa học phí</v>
          </cell>
        </row>
        <row r="607">
          <cell r="K607" t="str">
            <v>Hoàng Thị Huyền - OVIP82, OVIP92 Chưa học phí</v>
          </cell>
        </row>
        <row r="608">
          <cell r="K608" t="str">
            <v>Lê Thị Kim Oanh</v>
          </cell>
        </row>
        <row r="609">
          <cell r="K609" t="str">
            <v>Phạm Đình Duẩn - hợp đồng</v>
          </cell>
        </row>
        <row r="610">
          <cell r="K610" t="str">
            <v>Hà Thanh Hương</v>
          </cell>
        </row>
        <row r="611">
          <cell r="K611" t="str">
            <v>Nguyễn Thị Thùy Dung</v>
          </cell>
        </row>
        <row r="612">
          <cell r="K612" t="str">
            <v xml:space="preserve">Trần Quỳnh Hương </v>
          </cell>
        </row>
        <row r="613">
          <cell r="K613" t="str">
            <v xml:space="preserve">Đỗ Ngọc Hiếu </v>
          </cell>
        </row>
        <row r="614">
          <cell r="K614" t="str">
            <v xml:space="preserve">Đỗ Ngọc Hiếu </v>
          </cell>
        </row>
        <row r="615">
          <cell r="K615" t="str">
            <v>Nguyễn Hồng Minh</v>
          </cell>
        </row>
        <row r="616">
          <cell r="K616" t="str">
            <v>Đỗ Mai Anh PT413 - hv thứ 10 PT418</v>
          </cell>
        </row>
        <row r="617">
          <cell r="K617" t="str">
            <v xml:space="preserve"> Nguyễn Đức Chung</v>
          </cell>
        </row>
        <row r="618">
          <cell r="K618" t="str">
            <v>Nguyễn Trần Hiền Anh</v>
          </cell>
        </row>
        <row r="619">
          <cell r="K619" t="str">
            <v>Phạm Di Khánh</v>
          </cell>
        </row>
        <row r="620">
          <cell r="K620" t="str">
            <v>Đỗ Vân Trang - Chưa học phí</v>
          </cell>
        </row>
        <row r="621">
          <cell r="K621" t="str">
            <v>Vũ Việt Hoàng OW17 - Chưa học phí</v>
          </cell>
        </row>
        <row r="622">
          <cell r="K622" t="str">
            <v>Nguyễn Thành Vinh 357188971- hợp đồng</v>
          </cell>
        </row>
        <row r="623">
          <cell r="K623" t="str">
            <v xml:space="preserve"> Nguyễn Thị Như Quỳnh</v>
          </cell>
        </row>
        <row r="624">
          <cell r="K624" t="str">
            <v>Trần Lê Ngọc Hân - PT421</v>
          </cell>
        </row>
        <row r="625">
          <cell r="K625" t="str">
            <v>Trần Văn Trung</v>
          </cell>
        </row>
        <row r="626">
          <cell r="K626" t="str">
            <v>Phùng Thị Ngọc Chinh - OVIP88 ko học nữa</v>
          </cell>
        </row>
        <row r="627">
          <cell r="K627" t="str">
            <v>Hà Vi Quỳnh Chi - Chưa học phí</v>
          </cell>
        </row>
        <row r="628">
          <cell r="K628" t="str">
            <v>Nguyễn Ngọc Diêp - Chưa học phí</v>
          </cell>
        </row>
        <row r="629">
          <cell r="K629" t="str">
            <v>Nguyễn Trọng Tuấn - PT413 hv thứ 10</v>
          </cell>
        </row>
        <row r="630">
          <cell r="K630" t="str">
            <v>Dương Thuỳ Dung - S62 Chưa học phí</v>
          </cell>
        </row>
        <row r="631">
          <cell r="K631" t="str">
            <v>Lê Hoàng Bảo Thy - hợp đồng</v>
          </cell>
        </row>
        <row r="632">
          <cell r="K632" t="str">
            <v>Hoàng Ngọc Yến - 384766181</v>
          </cell>
        </row>
        <row r="633">
          <cell r="K633" t="str">
            <v>Phạm Đức Duy - hợp đồng</v>
          </cell>
        </row>
        <row r="634">
          <cell r="K634" t="str">
            <v>Trương Ích Tuấn</v>
          </cell>
        </row>
        <row r="635">
          <cell r="K635" t="str">
            <v>Đào Sỹ Ninh</v>
          </cell>
        </row>
        <row r="636">
          <cell r="K636" t="str">
            <v>Vũ Xuân Tú - hợp đồng</v>
          </cell>
        </row>
        <row r="637">
          <cell r="K637" t="str">
            <v>Lưu Ngọc Toản - PT416 tự rời nhóm</v>
          </cell>
        </row>
        <row r="638">
          <cell r="K638" t="str">
            <v>Đỗ Minh Quân</v>
          </cell>
        </row>
        <row r="639">
          <cell r="K639" t="str">
            <v>Phan Yến Nhi</v>
          </cell>
        </row>
        <row r="640">
          <cell r="K640" t="str">
            <v>Lê Thị Thuỳ Dương OT125 - Chưa học phí</v>
          </cell>
        </row>
        <row r="641">
          <cell r="K641" t="str">
            <v xml:space="preserve">Uông Thị Liên </v>
          </cell>
        </row>
        <row r="642">
          <cell r="K642" t="str">
            <v>Châu Minh Diệu</v>
          </cell>
        </row>
        <row r="643">
          <cell r="K643" t="str">
            <v>Bùi Trần Gia Như</v>
          </cell>
        </row>
        <row r="644">
          <cell r="K644" t="str">
            <v>Kiều Quốc Dũng</v>
          </cell>
        </row>
        <row r="645">
          <cell r="K645" t="str">
            <v>Nguyễn Thị Mỹ Dung</v>
          </cell>
        </row>
        <row r="646">
          <cell r="K646" t="str">
            <v xml:space="preserve">Phạm Lan Anh </v>
          </cell>
        </row>
        <row r="647">
          <cell r="K647" t="str">
            <v>Phạm Quỳnh Trang</v>
          </cell>
        </row>
        <row r="648">
          <cell r="K648" t="str">
            <v>Trịnh Thị Kiều Oanh - PT415</v>
          </cell>
        </row>
        <row r="649">
          <cell r="K649" t="str">
            <v xml:space="preserve">Thào Thị Chu </v>
          </cell>
        </row>
        <row r="650">
          <cell r="K650" t="str">
            <v>Đặng Thị Minh Tuyền</v>
          </cell>
        </row>
        <row r="651">
          <cell r="K651" t="str">
            <v xml:space="preserve">Lê Thị Thanh Thuý </v>
          </cell>
        </row>
        <row r="652">
          <cell r="K652" t="str">
            <v>Lê Văn Minh Vũ</v>
          </cell>
        </row>
        <row r="653">
          <cell r="K653" t="str">
            <v>Trần Tuấn Hưng - PT415</v>
          </cell>
        </row>
        <row r="654">
          <cell r="K654" t="str">
            <v>Nguyễn Huyền Nhân - PT416</v>
          </cell>
        </row>
        <row r="655">
          <cell r="K655" t="str">
            <v xml:space="preserve">Đặng Hà Linh </v>
          </cell>
        </row>
        <row r="656">
          <cell r="K656" t="str">
            <v>Nguyễn Mạnh Tuân - hợp đồng</v>
          </cell>
        </row>
        <row r="657">
          <cell r="K657" t="str">
            <v>Phạm Văn Chiến Thắng</v>
          </cell>
        </row>
        <row r="658">
          <cell r="K658" t="str">
            <v>Đỗ Khánh Dương</v>
          </cell>
        </row>
        <row r="659">
          <cell r="K659" t="str">
            <v xml:space="preserve">Hồ Đắc Thuận </v>
          </cell>
        </row>
        <row r="660">
          <cell r="K660" t="str">
            <v>Vũ Đoàn Khánh Linh</v>
          </cell>
        </row>
        <row r="661">
          <cell r="K661" t="str">
            <v>Võ Văn Lộc - PT424 xin rút cọc</v>
          </cell>
        </row>
        <row r="662">
          <cell r="K662" t="str">
            <v>Nguyễn Minh Kiên</v>
          </cell>
        </row>
        <row r="663">
          <cell r="K663" t="str">
            <v>Ngô Yến Nhi</v>
          </cell>
        </row>
        <row r="664">
          <cell r="K664" t="str">
            <v>Lê Minh Ngọc</v>
          </cell>
        </row>
        <row r="665">
          <cell r="K665" t="str">
            <v>Lê Thanh Hằng - PT422</v>
          </cell>
        </row>
        <row r="666">
          <cell r="K666" t="str">
            <v>Phạm Thị Chuyên</v>
          </cell>
        </row>
        <row r="667">
          <cell r="K667" t="str">
            <v>Nguyễn Đức Long - PT463 hv thứ 15</v>
          </cell>
        </row>
        <row r="668">
          <cell r="K668" t="str">
            <v>Kiều Minh Khôi</v>
          </cell>
        </row>
        <row r="669">
          <cell r="K669" t="str">
            <v xml:space="preserve">Vũ Hồng Lương </v>
          </cell>
        </row>
        <row r="670">
          <cell r="K670" t="str">
            <v>Vũ Thị Thu</v>
          </cell>
        </row>
        <row r="671">
          <cell r="K671" t="str">
            <v>Nguyễn Bá Việt Long</v>
          </cell>
        </row>
        <row r="672">
          <cell r="K672" t="str">
            <v>Nguyễn Thị Bích Liên - OPT118 - Đã nộp 300K 03/06/2026
OPT117 bảo lưu b8. Học PT432 b4</v>
          </cell>
        </row>
        <row r="673">
          <cell r="K673" t="str">
            <v>Nguyễn Phương Thảo</v>
          </cell>
        </row>
        <row r="674">
          <cell r="K674" t="str">
            <v>Lường Thị Duyên - PT416 - hợp đồng</v>
          </cell>
        </row>
        <row r="675">
          <cell r="K675" t="str">
            <v>Bùi Thị Thu Hà - Chưa học phí</v>
          </cell>
        </row>
        <row r="676">
          <cell r="K676" t="str">
            <v>Nguyễn Hương Giang</v>
          </cell>
        </row>
        <row r="677">
          <cell r="K677" t="str">
            <v>Bùi Hoàng Sơn - PT423</v>
          </cell>
        </row>
        <row r="678">
          <cell r="K678" t="str">
            <v xml:space="preserve">Nguyễn Thị Thuỳ Dương </v>
          </cell>
        </row>
        <row r="679">
          <cell r="K679" t="str">
            <v>Lê Mưu</v>
          </cell>
        </row>
        <row r="680">
          <cell r="K680" t="str">
            <v xml:space="preserve">Lê Quỳnh Trang </v>
          </cell>
        </row>
        <row r="681">
          <cell r="K681" t="str">
            <v>Lê Quang Vũ</v>
          </cell>
        </row>
        <row r="682">
          <cell r="K682" t="str">
            <v xml:space="preserve">Nguyễn Thị Yến Nhi </v>
          </cell>
        </row>
        <row r="683">
          <cell r="K683" t="str">
            <v>Vũ Hà Anh</v>
          </cell>
        </row>
        <row r="684">
          <cell r="K684" t="str">
            <v>Nguyễn Bùi Diệu Linh</v>
          </cell>
        </row>
        <row r="685">
          <cell r="K685" t="str">
            <v xml:space="preserve">Tạ Thị Bình </v>
          </cell>
        </row>
        <row r="686">
          <cell r="K686" t="str">
            <v>Nguyễn Tuấn Anh</v>
          </cell>
        </row>
        <row r="687">
          <cell r="K687" t="str">
            <v>Phạm Vũ Mai Trang</v>
          </cell>
        </row>
        <row r="688">
          <cell r="K688" t="str">
            <v xml:space="preserve"> Phạm Thị Yến Nhi - Hạ Hạ</v>
          </cell>
        </row>
        <row r="689">
          <cell r="K689" t="str">
            <v>Nguyễn Hồ Minh Vi - 0355861834 - PT420</v>
          </cell>
        </row>
        <row r="690">
          <cell r="K690" t="str">
            <v xml:space="preserve">Nguyễn Trăm Ngàn </v>
          </cell>
        </row>
        <row r="691">
          <cell r="K691" t="str">
            <v xml:space="preserve">Trần Quỳnh Như </v>
          </cell>
        </row>
        <row r="692">
          <cell r="K692" t="str">
            <v xml:space="preserve">Lê Đức Anh Tuấn </v>
          </cell>
        </row>
        <row r="693">
          <cell r="K693" t="str">
            <v>Nguyễn Bảo Ngọc - PT417</v>
          </cell>
        </row>
        <row r="694">
          <cell r="K694" t="str">
            <v>Phạm Thu Hoài - hợp đồng</v>
          </cell>
        </row>
        <row r="695">
          <cell r="K695" t="str">
            <v xml:space="preserve">Trương Thành Đạt </v>
          </cell>
        </row>
        <row r="696">
          <cell r="K696" t="str">
            <v>Nguyễn Thị Ngọc Anh</v>
          </cell>
        </row>
        <row r="697">
          <cell r="K697" t="str">
            <v>Nguyễn Thảo Trang - PT423</v>
          </cell>
        </row>
        <row r="698">
          <cell r="K698" t="str">
            <v xml:space="preserve">Lưu Tuấn Hoàng - hợp đồng T480 - 868577355 sđt mẹ </v>
          </cell>
        </row>
        <row r="699">
          <cell r="K699" t="str">
            <v>Nguyễn Văn Toàn Thắng - PT467 hv thứ 19
PT453 hv thứ 20</v>
          </cell>
        </row>
        <row r="700">
          <cell r="K700" t="str">
            <v xml:space="preserve">Nguyễn Ngọc Phương Chi </v>
          </cell>
        </row>
        <row r="701">
          <cell r="K701" t="str">
            <v>Trần Thi Việt Trinh - hợp đồng</v>
          </cell>
        </row>
        <row r="702">
          <cell r="K702" t="str">
            <v>Nguyễn Tiến Phát</v>
          </cell>
        </row>
        <row r="703">
          <cell r="K703" t="str">
            <v>Đàm Hoàng Nhật Linh</v>
          </cell>
        </row>
        <row r="704">
          <cell r="K704" t="str">
            <v>Lê Thị Thu Thảo</v>
          </cell>
        </row>
        <row r="705">
          <cell r="K705" t="str">
            <v>Đỗ Trần Thị Hảo - PT427</v>
          </cell>
        </row>
        <row r="706">
          <cell r="K706" t="str">
            <v>Phạm Thảo Chi - PT418</v>
          </cell>
        </row>
        <row r="707">
          <cell r="K707" t="str">
            <v>Trương Gia Hân - PT418</v>
          </cell>
        </row>
        <row r="708">
          <cell r="K708" t="str">
            <v>Lưu Ngọc Anh - PT418</v>
          </cell>
        </row>
        <row r="709">
          <cell r="K709" t="str">
            <v>Hoàng Thị Khánh Thy</v>
          </cell>
        </row>
        <row r="710">
          <cell r="K710" t="str">
            <v>Nguyễn Thị Vân Anh</v>
          </cell>
        </row>
        <row r="711">
          <cell r="K711" t="str">
            <v>Châu Như Ngọc</v>
          </cell>
        </row>
        <row r="712">
          <cell r="K712" t="str">
            <v>Phan Huỳnh Bảo Trân - PT422 - Gia Vũ</v>
          </cell>
        </row>
        <row r="713">
          <cell r="K713" t="str">
            <v>Nguyễn Đặng Quỳnh Anh - T461</v>
          </cell>
        </row>
        <row r="714">
          <cell r="K714" t="str">
            <v>Trịnh Thùy Trang</v>
          </cell>
        </row>
        <row r="715">
          <cell r="K715" t="str">
            <v>Đặng Khánh Linh - PT422</v>
          </cell>
        </row>
        <row r="716">
          <cell r="K716" t="str">
            <v>Trần Thị Hồng Hoa - PT420</v>
          </cell>
        </row>
        <row r="717">
          <cell r="K717" t="str">
            <v xml:space="preserve">Lưu Hải Yến </v>
          </cell>
        </row>
        <row r="718">
          <cell r="K718" t="str">
            <v>Vũ Nhật Vũ - hợp đồng</v>
          </cell>
        </row>
        <row r="719">
          <cell r="K719" t="str">
            <v>Cao Thị Thu Trang</v>
          </cell>
        </row>
        <row r="720">
          <cell r="K720" t="str">
            <v>Nguyễn Thu Hà - VIP279 - Đã hoàn 200K 21/04/2026</v>
          </cell>
        </row>
        <row r="721">
          <cell r="K721" t="str">
            <v xml:space="preserve"> Trương Bảo Anh Thư</v>
          </cell>
        </row>
        <row r="722">
          <cell r="K722" t="str">
            <v>Phan Phi Hùng</v>
          </cell>
        </row>
        <row r="723">
          <cell r="K723" t="str">
            <v xml:space="preserve">Dương Thị Kiều Ngân </v>
          </cell>
        </row>
        <row r="724">
          <cell r="K724" t="str">
            <v>Nguyễn Đức Long</v>
          </cell>
        </row>
        <row r="725">
          <cell r="K725" t="str">
            <v>Hoàng Thanh Liêm</v>
          </cell>
        </row>
        <row r="726">
          <cell r="K726" t="str">
            <v>Ngô Việt Phong</v>
          </cell>
        </row>
        <row r="727">
          <cell r="K727" t="str">
            <v xml:space="preserve">Ngô Thanh Thảo </v>
          </cell>
        </row>
        <row r="728">
          <cell r="K728" t="str">
            <v xml:space="preserve">Dương Quỳnh Chi </v>
          </cell>
        </row>
        <row r="729">
          <cell r="K729" t="str">
            <v>Nguyễn Hương Trà</v>
          </cell>
        </row>
        <row r="730">
          <cell r="K730" t="str">
            <v>Lưu Thị Bảo Ngọc</v>
          </cell>
        </row>
        <row r="731">
          <cell r="K731" t="str">
            <v>Lê Đức Thành Năng</v>
          </cell>
        </row>
        <row r="732">
          <cell r="K732" t="str">
            <v>Nguyễn Thu Hoài</v>
          </cell>
        </row>
        <row r="733">
          <cell r="K733" t="str">
            <v>Nguyễnn Thị Thanh Thảo</v>
          </cell>
        </row>
        <row r="734">
          <cell r="K734" t="str">
            <v xml:space="preserve">Lê Thị Thanh Thuý </v>
          </cell>
        </row>
        <row r="735">
          <cell r="K735" t="str">
            <v>Trịnh Nguyên Ngọc</v>
          </cell>
        </row>
        <row r="736">
          <cell r="K736" t="str">
            <v xml:space="preserve">Trần Thị Hoàng Ngân </v>
          </cell>
        </row>
        <row r="737">
          <cell r="K737" t="str">
            <v>Nguyễn Yến Nhi</v>
          </cell>
        </row>
        <row r="738">
          <cell r="K738" t="str">
            <v>Nguyễn Ngô Gia Linh - PT420</v>
          </cell>
        </row>
        <row r="739">
          <cell r="K739" t="str">
            <v xml:space="preserve">Trần Hoàng Minh Đức </v>
          </cell>
        </row>
        <row r="740">
          <cell r="K740" t="str">
            <v xml:space="preserve">Ngô Nguyệt Hà </v>
          </cell>
        </row>
        <row r="741">
          <cell r="K741" t="str">
            <v xml:space="preserve">Mai Thu Huyền </v>
          </cell>
        </row>
        <row r="742">
          <cell r="K742" t="str">
            <v>Hà Nguyễn Gia Hân</v>
          </cell>
        </row>
        <row r="743">
          <cell r="K743" t="str">
            <v>Đỗ Ngọc Quý  - hợp đồng</v>
          </cell>
        </row>
        <row r="744">
          <cell r="K744" t="str">
            <v>Lê Bùi Việt Anh - hợp đồng</v>
          </cell>
        </row>
        <row r="745">
          <cell r="K745" t="str">
            <v>Bùi Đình Hậu - hợp đồng</v>
          </cell>
        </row>
        <row r="746">
          <cell r="K746" t="str">
            <v>Đinh Việt Huy - hợp đồng</v>
          </cell>
        </row>
        <row r="747">
          <cell r="K747" t="str">
            <v>Bùi Tuấn Sơn - hợp đồng</v>
          </cell>
        </row>
        <row r="748">
          <cell r="K748" t="str">
            <v>Nguyễn Hoàng Phúc - hợp đồng</v>
          </cell>
        </row>
        <row r="749">
          <cell r="K749" t="str">
            <v xml:space="preserve"> Khổng Minh Duy</v>
          </cell>
        </row>
        <row r="750">
          <cell r="K750" t="str">
            <v>Nguyễn Chính Nghĩa</v>
          </cell>
        </row>
        <row r="751">
          <cell r="K751" t="str">
            <v>Hoàng Thị Ánh Tuyết - PT420</v>
          </cell>
        </row>
        <row r="752">
          <cell r="K752" t="str">
            <v>Hồ Phạm Ngọc Mai</v>
          </cell>
        </row>
        <row r="753">
          <cell r="K753" t="str">
            <v>Nguyễn Hà Lâm - PT423</v>
          </cell>
        </row>
        <row r="754">
          <cell r="K754" t="str">
            <v xml:space="preserve">Tô Quỳnh Anh </v>
          </cell>
        </row>
        <row r="755">
          <cell r="K755" t="str">
            <v>Võ Thị Kim Chi</v>
          </cell>
        </row>
        <row r="756">
          <cell r="K756" t="str">
            <v xml:space="preserve">Lê Hải Yến </v>
          </cell>
        </row>
        <row r="757">
          <cell r="K757" t="str">
            <v>Lê Quang Mạnh</v>
          </cell>
        </row>
        <row r="758">
          <cell r="K758" t="str">
            <v>Mai Xuân Tiến</v>
          </cell>
        </row>
        <row r="759">
          <cell r="K759" t="str">
            <v xml:space="preserve">Trương Hương Trà </v>
          </cell>
        </row>
        <row r="760">
          <cell r="K760" t="str">
            <v xml:space="preserve"> Dương Thị Thanh Tuyền </v>
          </cell>
        </row>
        <row r="761">
          <cell r="K761" t="str">
            <v>Mỵ Thị Phương Vy - PT467 hv thứ 18</v>
          </cell>
        </row>
        <row r="762">
          <cell r="K762" t="str">
            <v>Ngô Thị Thanh Lan - PT421</v>
          </cell>
        </row>
        <row r="763">
          <cell r="K763" t="str">
            <v>Nguyễn Phú Trọng - zalo mẹ</v>
          </cell>
        </row>
        <row r="764">
          <cell r="K764" t="str">
            <v>Trần Duyên Như Ý - T462</v>
          </cell>
        </row>
        <row r="765">
          <cell r="K765" t="str">
            <v xml:space="preserve">Đỗ Phạm Gia Hân </v>
          </cell>
        </row>
        <row r="766">
          <cell r="K766" t="str">
            <v>Nguyễn Ngọc Kim Thơ - PT425</v>
          </cell>
        </row>
        <row r="767">
          <cell r="K767" t="str">
            <v>Lê Phạm Kim Ngân - PT417, PT427</v>
          </cell>
        </row>
        <row r="768">
          <cell r="K768" t="str">
            <v xml:space="preserve"> Lê Phú Trọng</v>
          </cell>
        </row>
        <row r="769">
          <cell r="K769" t="str">
            <v>Nguyễn Kim Đô - PT423</v>
          </cell>
        </row>
        <row r="770">
          <cell r="K770" t="str">
            <v>Trịnh Khánh Linh - hợp đồng</v>
          </cell>
        </row>
        <row r="771">
          <cell r="K771" t="str">
            <v xml:space="preserve">Lê Thị Hoa Mai </v>
          </cell>
        </row>
        <row r="772">
          <cell r="K772" t="str">
            <v>Nguyễn Phúc Từ - hv thứ 11</v>
          </cell>
        </row>
        <row r="773">
          <cell r="K773" t="str">
            <v xml:space="preserve">Phạm Thị Kim Thuy </v>
          </cell>
        </row>
        <row r="774">
          <cell r="K774" t="str">
            <v>Lê Minh Đức PT427 - hv thứ 10</v>
          </cell>
        </row>
        <row r="775">
          <cell r="K775" t="str">
            <v>Nguyễn Tùng Lâm - hợp đồng</v>
          </cell>
        </row>
        <row r="776">
          <cell r="K776" t="str">
            <v>Dương Ngọc Mỹ</v>
          </cell>
        </row>
        <row r="777">
          <cell r="K777" t="str">
            <v>Trần Tuấn Anh - PT416</v>
          </cell>
        </row>
        <row r="778">
          <cell r="K778" t="str">
            <v xml:space="preserve"> Lê Thị Thuỳ Linh - PT421</v>
          </cell>
        </row>
        <row r="779">
          <cell r="K779" t="str">
            <v xml:space="preserve">Huỳnh Minh Khoa       </v>
          </cell>
        </row>
        <row r="780">
          <cell r="K780" t="str">
            <v xml:space="preserve">Đỗ Đức Nam - hợp đồng </v>
          </cell>
        </row>
        <row r="781">
          <cell r="K781" t="str">
            <v xml:space="preserve"> Trần Kim Đức Anh</v>
          </cell>
        </row>
        <row r="782">
          <cell r="K782" t="str">
            <v>Trương Thị Trúc Linh - PT424</v>
          </cell>
        </row>
        <row r="783">
          <cell r="K783" t="str">
            <v>Phạm Anh Thư -T461 - hợp đồng</v>
          </cell>
        </row>
        <row r="784">
          <cell r="K784" t="str">
            <v>Phạm Danh Trình</v>
          </cell>
        </row>
        <row r="785">
          <cell r="K785" t="str">
            <v>Nguyễn Tấn Dũng</v>
          </cell>
        </row>
        <row r="786">
          <cell r="K786" t="str">
            <v>Nguyễn Ngọc Trường  - hợp đồng</v>
          </cell>
        </row>
        <row r="787">
          <cell r="K787" t="str">
            <v>Vũ Thị Thảo Dương - PT427</v>
          </cell>
        </row>
        <row r="788">
          <cell r="K788" t="str">
            <v>Vũ Anh Kiệt</v>
          </cell>
        </row>
        <row r="789">
          <cell r="K789" t="str">
            <v>Bùi Thị Quỳnh Như</v>
          </cell>
        </row>
        <row r="790">
          <cell r="K790" t="str">
            <v>Mai Thị Thanh Thảo</v>
          </cell>
        </row>
        <row r="791">
          <cell r="K791" t="str">
            <v>Lê Thị Thanh Ngân</v>
          </cell>
        </row>
        <row r="792">
          <cell r="K792" t="str">
            <v>Nguyễn Khánh Vân - PT426</v>
          </cell>
        </row>
        <row r="793">
          <cell r="K793" t="str">
            <v>Đào Diễm My PT417, PT425- 919147000 số bố</v>
          </cell>
        </row>
        <row r="794">
          <cell r="K794" t="str">
            <v>Nguyễn Thị Thanh Trà</v>
          </cell>
        </row>
        <row r="795">
          <cell r="K795" t="str">
            <v>Nguyễn Lê Phương Như - PT426</v>
          </cell>
        </row>
        <row r="796">
          <cell r="K796" t="str">
            <v xml:space="preserve">Nguyễn Hồng Ngọc     </v>
          </cell>
        </row>
        <row r="797">
          <cell r="K797" t="str">
            <v>Nguyễn Phú Anh - PT417</v>
          </cell>
        </row>
        <row r="798">
          <cell r="K798" t="str">
            <v>Hoàng Thu Thủy</v>
          </cell>
        </row>
        <row r="799">
          <cell r="K799" t="str">
            <v>Vũ Hải Đăng</v>
          </cell>
        </row>
        <row r="800">
          <cell r="K800" t="str">
            <v>Phùng Thị Quảng - Bé Qung</v>
          </cell>
        </row>
        <row r="801">
          <cell r="K801" t="str">
            <v>Ngô Lê Nhật Minh</v>
          </cell>
        </row>
        <row r="802">
          <cell r="K802" t="str">
            <v>Trần Quang Hiếu</v>
          </cell>
        </row>
        <row r="803">
          <cell r="K803" t="str">
            <v>Hoàng Trung Hiếu - hợp đồng</v>
          </cell>
        </row>
        <row r="804">
          <cell r="K804" t="str">
            <v>Trần Thi Ngọc Ánh - PT425 rút sát giờ KG</v>
          </cell>
        </row>
        <row r="805">
          <cell r="K805" t="str">
            <v>Nguyễn Vũ Thùy Duyên</v>
          </cell>
        </row>
        <row r="806">
          <cell r="K806" t="str">
            <v xml:space="preserve">Lê Trần Minh Thư </v>
          </cell>
        </row>
        <row r="807">
          <cell r="K807" t="str">
            <v>Đỗ Đặng Bảo Ngọc</v>
          </cell>
        </row>
        <row r="808">
          <cell r="K808" t="str">
            <v>Nguyễn Tiến Đạt</v>
          </cell>
        </row>
        <row r="809">
          <cell r="K809" t="str">
            <v xml:space="preserve"> Lê Trung Kiên</v>
          </cell>
        </row>
        <row r="810">
          <cell r="K810" t="str">
            <v>Nguyễn Kim Huệ</v>
          </cell>
        </row>
        <row r="811">
          <cell r="K811" t="str">
            <v>Trịnh Trần Vũ</v>
          </cell>
        </row>
        <row r="812">
          <cell r="K812" t="str">
            <v>Đỗ Lê Diệp Quyên PT424 - hv thứ 10 PT467</v>
          </cell>
        </row>
        <row r="813">
          <cell r="K813" t="str">
            <v xml:space="preserve">Nguyễn Thị Lan Anh </v>
          </cell>
        </row>
        <row r="814">
          <cell r="K814" t="str">
            <v>Dương Sa Minh Châu</v>
          </cell>
        </row>
        <row r="815">
          <cell r="K815" t="str">
            <v xml:space="preserve">Lê Nguyễn Ngọc Anh </v>
          </cell>
        </row>
        <row r="816">
          <cell r="K816" t="str">
            <v>Triệu Thị Thiện - 0348499605 sđt cũ</v>
          </cell>
        </row>
        <row r="817">
          <cell r="K817" t="str">
            <v xml:space="preserve"> Trần Đình Mùi - PT428 hợp đồng</v>
          </cell>
        </row>
        <row r="818">
          <cell r="K818" t="str">
            <v>Đỗ Hoàng Vỹ Nguyên</v>
          </cell>
        </row>
        <row r="819">
          <cell r="K819" t="str">
            <v>Vũ Quý Hùng - hv thứ 10</v>
          </cell>
        </row>
        <row r="820">
          <cell r="K820" t="str">
            <v>Trần Anh Thư</v>
          </cell>
        </row>
        <row r="821">
          <cell r="K821" t="str">
            <v xml:space="preserve"> Đoàn Kiến Quốc - hv thứ 10</v>
          </cell>
        </row>
        <row r="822">
          <cell r="K822" t="str">
            <v xml:space="preserve">Phạm Tuấn Anh </v>
          </cell>
        </row>
        <row r="823">
          <cell r="K823" t="str">
            <v xml:space="preserve">Lê Anh Dũng </v>
          </cell>
        </row>
        <row r="824">
          <cell r="K824" t="str">
            <v>Hà Kiều Khôi Nguyên</v>
          </cell>
        </row>
        <row r="825">
          <cell r="K825" t="str">
            <v>Nguyễn Hoàng Phúc</v>
          </cell>
        </row>
        <row r="826">
          <cell r="K826" t="str">
            <v>Nguyễn Thị Thanh Trâm - PT424, T478</v>
          </cell>
        </row>
        <row r="827">
          <cell r="K827" t="str">
            <v xml:space="preserve"> Bùi Lê Khánh Ly - PT429</v>
          </cell>
        </row>
        <row r="828">
          <cell r="K828" t="str">
            <v xml:space="preserve">Nông Quỳnh Chi </v>
          </cell>
        </row>
        <row r="829">
          <cell r="K829" t="str">
            <v>Sủng Hoàng Như Nguyệt</v>
          </cell>
        </row>
        <row r="830">
          <cell r="K830" t="str">
            <v xml:space="preserve">Võ Minh Quân              </v>
          </cell>
        </row>
        <row r="831">
          <cell r="K831" t="str">
            <v xml:space="preserve">Nguyễn Đặng Ngọc Vy </v>
          </cell>
        </row>
        <row r="832">
          <cell r="K832" t="str">
            <v>Lê Văn Anh - hv thứ 11</v>
          </cell>
        </row>
        <row r="833">
          <cell r="K833" t="str">
            <v>Phạm Thu Nga</v>
          </cell>
        </row>
        <row r="834">
          <cell r="K834" t="str">
            <v xml:space="preserve"> Nguyễn Thái Diễm Quỳnh </v>
          </cell>
        </row>
        <row r="835">
          <cell r="K835" t="str">
            <v>Nguyễn Phương Thảo</v>
          </cell>
        </row>
        <row r="836">
          <cell r="K836" t="str">
            <v xml:space="preserve"> Phạm Thị Quỳnh Anh - Hoàn cọc 15/06/26</v>
          </cell>
        </row>
        <row r="837">
          <cell r="K837" t="str">
            <v xml:space="preserve">Lâm Thị Thanh Huyền </v>
          </cell>
        </row>
        <row r="838">
          <cell r="K838" t="str">
            <v xml:space="preserve">Nguyễn Thị Huyền Trang </v>
          </cell>
        </row>
        <row r="839">
          <cell r="K839" t="str">
            <v>Nguyễn Thùy Linh</v>
          </cell>
        </row>
        <row r="840">
          <cell r="K840" t="str">
            <v xml:space="preserve">Bùi Thị Yến Nhi </v>
          </cell>
        </row>
        <row r="841">
          <cell r="K841" t="str">
            <v xml:space="preserve">Đàm Thị Hải Yến </v>
          </cell>
        </row>
        <row r="842">
          <cell r="K842" t="str">
            <v>Lê Thanh Thảo</v>
          </cell>
        </row>
        <row r="843">
          <cell r="K843" t="str">
            <v xml:space="preserve">Bùi Việt Hùng </v>
          </cell>
        </row>
        <row r="844">
          <cell r="K844" t="str">
            <v>Nguyễn Thành Đạt</v>
          </cell>
        </row>
        <row r="845">
          <cell r="K845" t="str">
            <v>Cao Ngọc Quân - OPT116 rút sát giờ học</v>
          </cell>
        </row>
        <row r="846">
          <cell r="K846" t="str">
            <v>Nguyễn Minh Quân - OPT116 rút sát giờ học</v>
          </cell>
        </row>
        <row r="847">
          <cell r="K847" t="str">
            <v xml:space="preserve">Nguyễn Thị Thanh Huệ </v>
          </cell>
        </row>
        <row r="848">
          <cell r="K848" t="str">
            <v>Đỗ Thị Phương Trang</v>
          </cell>
        </row>
        <row r="849">
          <cell r="K849" t="str">
            <v>Triệu Yến Nhi -T461</v>
          </cell>
        </row>
        <row r="850">
          <cell r="K850" t="str">
            <v>Phạm Thị Khánh Trân</v>
          </cell>
        </row>
        <row r="851">
          <cell r="K851" t="str">
            <v xml:space="preserve">Trần Duy Khánh </v>
          </cell>
        </row>
        <row r="852">
          <cell r="K852" t="str">
            <v xml:space="preserve">Vũ Thị Hồng Ngân </v>
          </cell>
        </row>
        <row r="853">
          <cell r="K853" t="str">
            <v>Đặng Hoàng Hà</v>
          </cell>
        </row>
        <row r="854">
          <cell r="K854" t="str">
            <v>Nguyễn Bảo Nhi</v>
          </cell>
        </row>
        <row r="855">
          <cell r="K855" t="str">
            <v xml:space="preserve">Trần Mai Linh </v>
          </cell>
        </row>
        <row r="856">
          <cell r="K856" t="str">
            <v>Nguyễn Thị Ánh tuyết</v>
          </cell>
        </row>
        <row r="857">
          <cell r="K857" t="str">
            <v>Trần Thảo Linh</v>
          </cell>
        </row>
        <row r="858">
          <cell r="K858" t="str">
            <v>Đỗ Thị Hương Giang</v>
          </cell>
        </row>
        <row r="859">
          <cell r="K859" t="str">
            <v>Đặng Khánh Linh Linh</v>
          </cell>
        </row>
        <row r="860">
          <cell r="K860" t="str">
            <v>Bùi Minh Thư</v>
          </cell>
        </row>
        <row r="861">
          <cell r="K861" t="str">
            <v>Thân Văn Thuận - hợp đồng</v>
          </cell>
        </row>
        <row r="862">
          <cell r="K862" t="str">
            <v>Nguyễn Thị Ngọc Lan</v>
          </cell>
        </row>
        <row r="863">
          <cell r="K863" t="str">
            <v>Đỗ Vân Anh - 0323765988</v>
          </cell>
        </row>
        <row r="864">
          <cell r="K864" t="str">
            <v>Nguyễn Thị Hồng Nhung - hv thứ 12</v>
          </cell>
        </row>
        <row r="865">
          <cell r="K865" t="str">
            <v xml:space="preserve"> Hà Ngọc Anh</v>
          </cell>
        </row>
        <row r="866">
          <cell r="K866" t="str">
            <v>Nguyễn Đắc Khánh Linh - Hoàn 05/06/2026</v>
          </cell>
        </row>
        <row r="867">
          <cell r="K867" t="str">
            <v>Trương Quang Long</v>
          </cell>
        </row>
        <row r="868">
          <cell r="K868" t="str">
            <v>Đồng Quang Hùng</v>
          </cell>
        </row>
        <row r="869">
          <cell r="K869" t="str">
            <v>Nguyễn Hoàng Khôi</v>
          </cell>
        </row>
        <row r="870">
          <cell r="K870" t="str">
            <v>Lê Thị Thúy Vy 586259077- hợp đồng - T468 - Thuy Zy Nalin</v>
          </cell>
        </row>
        <row r="871">
          <cell r="K871" t="str">
            <v xml:space="preserve">Trương Trần Ánh Dương </v>
          </cell>
        </row>
        <row r="872">
          <cell r="K872" t="str">
            <v>Nguyễn Minh Nhật</v>
          </cell>
        </row>
        <row r="873">
          <cell r="K873" t="str">
            <v xml:space="preserve">Trần Hà My </v>
          </cell>
        </row>
        <row r="874">
          <cell r="K874" t="str">
            <v>Nguyễn Thị Mai Linh</v>
          </cell>
        </row>
        <row r="875">
          <cell r="K875" t="str">
            <v>Nguyễn Ngọc Quỳnh Phương</v>
          </cell>
        </row>
        <row r="876">
          <cell r="K876" t="str">
            <v>Lê Anh Tuấn - OPT118 - hợp đồng</v>
          </cell>
        </row>
        <row r="877">
          <cell r="K877" t="str">
            <v>Nguyễn Vũ Nhật Minh - OPT118 hủy lớp</v>
          </cell>
        </row>
        <row r="878">
          <cell r="K878" t="str">
            <v>Bùi Thị Thanh Hương</v>
          </cell>
        </row>
        <row r="879">
          <cell r="K879" t="str">
            <v>Đinh Thị Huệ</v>
          </cell>
        </row>
        <row r="880">
          <cell r="K880" t="str">
            <v xml:space="preserve">Nguyễn Thị Hoài </v>
          </cell>
        </row>
        <row r="881">
          <cell r="K881" t="str">
            <v>Nguyễn Văn Đông - hv thứ 11</v>
          </cell>
        </row>
        <row r="882">
          <cell r="K882" t="str">
            <v xml:space="preserve">Ngô Thị Huyền Thắm </v>
          </cell>
        </row>
        <row r="883">
          <cell r="K883" t="str">
            <v xml:space="preserve">Trần Thị Trang Uyên </v>
          </cell>
        </row>
        <row r="884">
          <cell r="K884" t="str">
            <v xml:space="preserve">Đỗ Phương Anh </v>
          </cell>
        </row>
        <row r="885">
          <cell r="K885" t="str">
            <v>Nguyễn Ngọc Hải Anh</v>
          </cell>
        </row>
        <row r="886">
          <cell r="K886" t="str">
            <v>Nguyễn Thu Huyền</v>
          </cell>
        </row>
        <row r="887">
          <cell r="K887" t="str">
            <v>Cao Thị Tuyết Mai - hv thứ 10</v>
          </cell>
        </row>
        <row r="888">
          <cell r="K888" t="str">
            <v>Bùi Thị Bảo An- hợp đồng</v>
          </cell>
        </row>
        <row r="889">
          <cell r="K889" t="str">
            <v>Phạm Minh Huân</v>
          </cell>
        </row>
        <row r="890">
          <cell r="K890" t="str">
            <v>Trần Nguyễn Diệu Linh</v>
          </cell>
        </row>
        <row r="891">
          <cell r="K891" t="str">
            <v xml:space="preserve">Hà Thị Như Quỳnh </v>
          </cell>
        </row>
        <row r="892">
          <cell r="K892" t="str">
            <v>Ngô Văn Tuấn</v>
          </cell>
        </row>
        <row r="893">
          <cell r="K893" t="str">
            <v>Nguyễn Thị Bích Dự</v>
          </cell>
        </row>
        <row r="894">
          <cell r="K894" t="str">
            <v>Ngô Vàng Ngọc Anh - hợp đồng</v>
          </cell>
        </row>
        <row r="895">
          <cell r="K895" t="str">
            <v>Nguyễn Hữu Vĩnh Khang - hợp đồng
Trả học phí 25/05/2026. Trừ tiền sách, ship sách,</v>
          </cell>
        </row>
        <row r="896">
          <cell r="K896" t="str">
            <v>Lê Ngọc Tuấn Anh - PT425 chưa học phí</v>
          </cell>
        </row>
        <row r="897">
          <cell r="K897" t="str">
            <v>Ngô Hoàng Long - hợp đồng</v>
          </cell>
        </row>
        <row r="898">
          <cell r="K898" t="str">
            <v>Nguyễn Đức Trí</v>
          </cell>
        </row>
        <row r="899">
          <cell r="K899" t="str">
            <v>Trần Thế Duy</v>
          </cell>
        </row>
        <row r="900">
          <cell r="K900" t="str">
            <v>Nguyễn Huỳnh Đăng Khoa</v>
          </cell>
        </row>
        <row r="901">
          <cell r="K901" t="str">
            <v>Đoàn Khánh Linh</v>
          </cell>
        </row>
        <row r="902">
          <cell r="K902" t="str">
            <v>Cao Minh Chi</v>
          </cell>
        </row>
        <row r="903">
          <cell r="K903" t="str">
            <v>Nguyễn Anh Thư</v>
          </cell>
        </row>
        <row r="904">
          <cell r="K904" t="str">
            <v>Đỗ Đặng Phương Thảo - Mít Pt. PT430</v>
          </cell>
        </row>
        <row r="905">
          <cell r="K905" t="str">
            <v>Hoàng Quốc Huy</v>
          </cell>
        </row>
        <row r="906">
          <cell r="K906" t="str">
            <v xml:space="preserve"> Nguyễn Thị Ly</v>
          </cell>
        </row>
        <row r="907">
          <cell r="K907" t="str">
            <v xml:space="preserve">Huỳnh Ngọc Như </v>
          </cell>
        </row>
        <row r="908">
          <cell r="K908" t="str">
            <v>Nguyễn Ngọc Linh</v>
          </cell>
        </row>
        <row r="909">
          <cell r="K909" t="str">
            <v xml:space="preserve">Nguyễn Như Ngọc </v>
          </cell>
        </row>
        <row r="910">
          <cell r="K910" t="str">
            <v xml:space="preserve"> Nguyễn Anh Thư </v>
          </cell>
        </row>
        <row r="911">
          <cell r="K911" t="str">
            <v>Nguyễn Đức Tuấn Anh - PT431</v>
          </cell>
        </row>
        <row r="912">
          <cell r="K912" t="str">
            <v>Nguyễn Thị Diễm Quỳnh - hv thứ 10</v>
          </cell>
        </row>
        <row r="913">
          <cell r="K913" t="str">
            <v>Nguyễn Thị Hà Vy - PT427</v>
          </cell>
        </row>
        <row r="914">
          <cell r="K914" t="str">
            <v>Phạm Ngọc Hằng</v>
          </cell>
        </row>
        <row r="915">
          <cell r="K915" t="str">
            <v>Phạm Thị Bông - hv thứ 14</v>
          </cell>
        </row>
        <row r="916">
          <cell r="K916" t="str">
            <v>Nguyễn Phương Trang</v>
          </cell>
        </row>
        <row r="917">
          <cell r="K917" t="str">
            <v>Hoàng Thị Quỳnh Anh - hv thứ 10</v>
          </cell>
        </row>
        <row r="918">
          <cell r="K918" t="str">
            <v xml:space="preserve">Lê Như Thùy                  </v>
          </cell>
        </row>
        <row r="919">
          <cell r="K919" t="str">
            <v>Nguyễn Hoàng Khang</v>
          </cell>
        </row>
        <row r="920">
          <cell r="K920" t="str">
            <v>Dương Thuỳ Linh - OPT116, OPT117</v>
          </cell>
        </row>
        <row r="921">
          <cell r="K921" t="str">
            <v xml:space="preserve">Phạm Nguyễn Như Huỳnh </v>
          </cell>
        </row>
        <row r="922">
          <cell r="K922" t="str">
            <v xml:space="preserve"> Phan Thị Bảo Ngọc </v>
          </cell>
        </row>
        <row r="923">
          <cell r="K923" t="str">
            <v>Nguyễn Văn Nghĩa</v>
          </cell>
        </row>
        <row r="924">
          <cell r="K924" t="str">
            <v>Cù Văn Điều</v>
          </cell>
        </row>
        <row r="925">
          <cell r="K925" t="str">
            <v>Phạm Hồng Văn</v>
          </cell>
        </row>
        <row r="926">
          <cell r="K926" t="str">
            <v>Phạm Ngọc Khánh</v>
          </cell>
        </row>
        <row r="927">
          <cell r="K927" t="str">
            <v xml:space="preserve">Phan Nguyễn Bảo Đan </v>
          </cell>
        </row>
        <row r="928">
          <cell r="K928" t="str">
            <v>Trần Ngọc Ánh - PT417 chưa học phí - hợp đồng</v>
          </cell>
        </row>
        <row r="929">
          <cell r="K929" t="str">
            <v>Nguyễn Ánh Dương - PT425 chưa học phí - hợp đồng</v>
          </cell>
        </row>
        <row r="930">
          <cell r="K930" t="str">
            <v>Lê Thanh Đức</v>
          </cell>
        </row>
        <row r="931">
          <cell r="K931" t="str">
            <v>Nguyễn Huỳnh Khánh Quyên</v>
          </cell>
        </row>
        <row r="932">
          <cell r="K932" t="str">
            <v>Hồ Sỹ Hà</v>
          </cell>
        </row>
        <row r="933">
          <cell r="K933" t="str">
            <v xml:space="preserve">Nguyễn Việt An </v>
          </cell>
        </row>
        <row r="934">
          <cell r="K934" t="str">
            <v>Nguyễn Ngọc Yến Nhi</v>
          </cell>
        </row>
        <row r="935">
          <cell r="K935" t="str">
            <v>Hoàng Minh Hiếu</v>
          </cell>
        </row>
        <row r="936">
          <cell r="K936" t="str">
            <v>Lâm Trấn Khang - hv thứ 11</v>
          </cell>
        </row>
        <row r="937">
          <cell r="K937" t="str">
            <v>Phạm Minh Tin</v>
          </cell>
        </row>
        <row r="938">
          <cell r="K938" t="str">
            <v xml:space="preserve"> Lê Thị Nhật Nam</v>
          </cell>
        </row>
        <row r="939">
          <cell r="K939" t="str">
            <v>Nguyễn Thị Trúc Vi</v>
          </cell>
        </row>
        <row r="940">
          <cell r="K940" t="str">
            <v xml:space="preserve">Trần Nguyễn Đình Nguyên </v>
          </cell>
        </row>
        <row r="941">
          <cell r="K941" t="str">
            <v>Trần Trọng Đức Anh</v>
          </cell>
        </row>
        <row r="942">
          <cell r="K942" t="str">
            <v xml:space="preserve">Trần Thị Cẩm Tú </v>
          </cell>
        </row>
        <row r="943">
          <cell r="K943" t="str">
            <v xml:space="preserve"> Nguyễn Việt Hoàn - Từ Khuyết - hợp đồng</v>
          </cell>
        </row>
        <row r="944">
          <cell r="K944" t="str">
            <v>Lê Nguyễn Hà Vy  - hợp đồng</v>
          </cell>
        </row>
        <row r="945">
          <cell r="K945" t="str">
            <v>Phạm Văn Định</v>
          </cell>
        </row>
        <row r="946">
          <cell r="K946" t="str">
            <v>Trần Thị Anh Thơ</v>
          </cell>
        </row>
        <row r="947">
          <cell r="K947" t="str">
            <v>Phạm Minh Ánh</v>
          </cell>
        </row>
        <row r="948">
          <cell r="K948" t="str">
            <v xml:space="preserve">Bùi Thanh Thảo           </v>
          </cell>
        </row>
        <row r="949">
          <cell r="K949" t="str">
            <v xml:space="preserve">Hoàng Thanh Hà </v>
          </cell>
        </row>
        <row r="950">
          <cell r="K950" t="str">
            <v>Phạm Nguyễn Bình An</v>
          </cell>
        </row>
        <row r="951">
          <cell r="K951" t="str">
            <v xml:space="preserve">Vũ Thị Kiều Duyên </v>
          </cell>
        </row>
        <row r="952">
          <cell r="K952" t="str">
            <v>Vũ Thị Mai Anh</v>
          </cell>
        </row>
        <row r="953">
          <cell r="K953" t="str">
            <v>Vũ Minh Ngọc</v>
          </cell>
        </row>
        <row r="954">
          <cell r="K954" t="str">
            <v>Ngô Gia Huy</v>
          </cell>
        </row>
        <row r="955">
          <cell r="K955" t="str">
            <v>Nguyễn Thảo Nguyên - PT432 hợp đồng</v>
          </cell>
        </row>
        <row r="956">
          <cell r="K956" t="str">
            <v xml:space="preserve">Lê Trọng Đức </v>
          </cell>
        </row>
        <row r="957">
          <cell r="K957" t="str">
            <v>Bùi Thị Phương Linh</v>
          </cell>
        </row>
        <row r="958">
          <cell r="K958" t="str">
            <v>Đặng Thị Phương Nhi</v>
          </cell>
        </row>
        <row r="959">
          <cell r="K959" t="str">
            <v xml:space="preserve"> Nguyễn Ngọc Hoàng Trúc </v>
          </cell>
        </row>
        <row r="960">
          <cell r="K960" t="str">
            <v>Nguyễn Thị Bảo Ngọc</v>
          </cell>
        </row>
        <row r="961">
          <cell r="K961" t="str">
            <v>Nguyễn Thị Quỳnh Trang - 914590365. Hv thứ 13</v>
          </cell>
        </row>
        <row r="962">
          <cell r="K962" t="str">
            <v>Đỗ Lê Mạnh</v>
          </cell>
        </row>
        <row r="963">
          <cell r="K963" t="str">
            <v>Đặng Thu Huyền</v>
          </cell>
        </row>
        <row r="964">
          <cell r="K964" t="str">
            <v xml:space="preserve">Nguyễn Phan Quốc Dũng </v>
          </cell>
        </row>
        <row r="965">
          <cell r="K965" t="str">
            <v xml:space="preserve">Nguyễn Tùng Dương </v>
          </cell>
        </row>
        <row r="966">
          <cell r="K966" t="str">
            <v xml:space="preserve">Quách Thị Bình 	</v>
          </cell>
        </row>
        <row r="967">
          <cell r="K967" t="str">
            <v xml:space="preserve">Vũ Hoàng Hà Trang 	</v>
          </cell>
        </row>
        <row r="968">
          <cell r="K968" t="str">
            <v xml:space="preserve">Nguyễn Khánh Linh 	</v>
          </cell>
        </row>
        <row r="969">
          <cell r="K969" t="str">
            <v>Nguyễn Ngọc Ánh</v>
          </cell>
        </row>
        <row r="970">
          <cell r="K970" t="str">
            <v xml:space="preserve">Trương Đắc Hoàn </v>
          </cell>
        </row>
        <row r="971">
          <cell r="K971" t="str">
            <v>Lê Quang Vinh - OPT117 chưa học phí</v>
          </cell>
        </row>
        <row r="972">
          <cell r="K972" t="str">
            <v>Nguyễn Thanh Đường</v>
          </cell>
        </row>
        <row r="973">
          <cell r="K973" t="str">
            <v>Vũ Thị Kim Hồng - hợp đồng</v>
          </cell>
        </row>
        <row r="974">
          <cell r="K974" t="str">
            <v xml:space="preserve">Trần Thị Ngọc Diệp </v>
          </cell>
        </row>
        <row r="975">
          <cell r="K975" t="str">
            <v>Phạm Diệu Ly</v>
          </cell>
        </row>
        <row r="976">
          <cell r="K976" t="str">
            <v xml:space="preserve">Lê Vĩnh Huy </v>
          </cell>
        </row>
        <row r="977">
          <cell r="K977" t="str">
            <v>Nguyễn Ngô Ngọc Phụng</v>
          </cell>
        </row>
        <row r="978">
          <cell r="K978" t="str">
            <v>Nguyễn Thị Thảo Oanh</v>
          </cell>
        </row>
        <row r="979">
          <cell r="K979" t="str">
            <v>Phan Thị Hải Anh</v>
          </cell>
        </row>
        <row r="980">
          <cell r="K980" t="str">
            <v>Nguyễn Trọng Hiếu</v>
          </cell>
        </row>
        <row r="981">
          <cell r="K981" t="str">
            <v xml:space="preserve"> Lê Hải Long</v>
          </cell>
        </row>
        <row r="982">
          <cell r="K982" t="str">
            <v>Nguyễn Tiến Đạt - Cồ Nguyễn</v>
          </cell>
        </row>
        <row r="983">
          <cell r="K983" t="str">
            <v>Lê Thị Yến</v>
          </cell>
        </row>
        <row r="984">
          <cell r="K984" t="str">
            <v>Đỗ Hoàng Gia Hân - Hoàn cọc 50K 02/06/2026</v>
          </cell>
        </row>
        <row r="985">
          <cell r="K985" t="str">
            <v>Lâm Tâm Như</v>
          </cell>
        </row>
        <row r="986">
          <cell r="K986" t="str">
            <v>Đoàn Khánh Huyền</v>
          </cell>
        </row>
        <row r="987">
          <cell r="K987" t="str">
            <v>Phạm Ngọc Gia Phát</v>
          </cell>
        </row>
        <row r="988">
          <cell r="K988" t="str">
            <v xml:space="preserve">Nguyễn Thị Ngọc </v>
          </cell>
        </row>
        <row r="989">
          <cell r="K989" t="str">
            <v>Hoàng Hà Ngân</v>
          </cell>
        </row>
        <row r="990">
          <cell r="K990" t="str">
            <v>Vũ Khánh Nhi - Hoàn học phí 06/05/2026
Lý do: lớp OFF bị lùi, đồng ý vào lớp ON nhưng ko vào học b1. Hôm sau đòi học phí</v>
          </cell>
        </row>
        <row r="991">
          <cell r="K991" t="str">
            <v>Phạm Anh Minh - hợp đồng</v>
          </cell>
        </row>
        <row r="992">
          <cell r="K992" t="str">
            <v>Phạm Cao Xuân Tiên</v>
          </cell>
        </row>
        <row r="993">
          <cell r="K993" t="str">
            <v>Lê Hữu Trí Thành - PT436 tự rời nhóm</v>
          </cell>
        </row>
        <row r="994">
          <cell r="K994" t="str">
            <v>Nguyễn Tường Bảo Nhi</v>
          </cell>
        </row>
        <row r="995">
          <cell r="K995" t="str">
            <v>Nguyễn Thị Huyền</v>
          </cell>
        </row>
        <row r="996">
          <cell r="K996" t="str">
            <v xml:space="preserve">Dương Thị Thuỳ Linh </v>
          </cell>
        </row>
        <row r="997">
          <cell r="K997" t="str">
            <v>Bùi Minh Quân</v>
          </cell>
        </row>
        <row r="998">
          <cell r="K998" t="str">
            <v>Nguyễn Khánh Vân</v>
          </cell>
        </row>
        <row r="999">
          <cell r="K999" t="str">
            <v>Nguyễn Thị Hoa - hv thứ 10</v>
          </cell>
        </row>
        <row r="1000">
          <cell r="K1000" t="str">
            <v>Lục Thị Ngọc Khuyên - 915136690</v>
          </cell>
        </row>
        <row r="1001">
          <cell r="K1001" t="str">
            <v xml:space="preserve">Phạm Thị Tuyến </v>
          </cell>
        </row>
        <row r="1002">
          <cell r="K1002" t="str">
            <v xml:space="preserve">Đinh Thị Thu Hiền </v>
          </cell>
        </row>
        <row r="1003">
          <cell r="K1003" t="str">
            <v>Trần Xuân Tài</v>
          </cell>
        </row>
        <row r="1004">
          <cell r="K1004" t="str">
            <v>Nguyễn Công Hải</v>
          </cell>
        </row>
        <row r="1005">
          <cell r="K1005" t="str">
            <v xml:space="preserve"> Nguyễn Ngọc Anh Thư </v>
          </cell>
        </row>
        <row r="1006">
          <cell r="K1006" t="str">
            <v>Nguyễn Anh Dương</v>
          </cell>
        </row>
        <row r="1007">
          <cell r="K1007" t="str">
            <v>Phùng Thị Lan - OT126 chưa học phí</v>
          </cell>
        </row>
        <row r="1008">
          <cell r="K1008" t="str">
            <v>Lê Gia Hân - Winn Le. PT426</v>
          </cell>
        </row>
        <row r="1009">
          <cell r="K1009" t="str">
            <v xml:space="preserve">Nguyễn Thị Thuý An </v>
          </cell>
        </row>
        <row r="1010">
          <cell r="K1010" t="str">
            <v>Võ Linh Nhi</v>
          </cell>
        </row>
        <row r="1011">
          <cell r="K1011" t="str">
            <v>Nguyễn Thị Như Tố - PT433</v>
          </cell>
        </row>
        <row r="1012">
          <cell r="K1012" t="str">
            <v>Hoàng Thị Nguyên</v>
          </cell>
        </row>
        <row r="1013">
          <cell r="K1013" t="str">
            <v>Bùi Đức Anh - bill chung Dũng</v>
          </cell>
        </row>
        <row r="1014">
          <cell r="K1014" t="str">
            <v>Nguyễn Việt Dũng - bill chung với Đức Anh</v>
          </cell>
        </row>
        <row r="1015">
          <cell r="K1015" t="str">
            <v xml:space="preserve">Ngô Thị Anh Thư </v>
          </cell>
        </row>
        <row r="1016">
          <cell r="K1016" t="str">
            <v>Phạm Thị Thảo Vân - Xin hoàn 01/06/2026</v>
          </cell>
        </row>
        <row r="1017">
          <cell r="K1017" t="str">
            <v>Nguyễn Ngọc Ly Ly</v>
          </cell>
        </row>
        <row r="1018">
          <cell r="K1018" t="str">
            <v xml:space="preserve">Nguyễn Thị Chúc </v>
          </cell>
        </row>
        <row r="1019">
          <cell r="K1019" t="str">
            <v>Nguyễn Thị Như Thảo</v>
          </cell>
        </row>
        <row r="1020">
          <cell r="K1020" t="str">
            <v>Nguyễn Minh Quỳnh Hương</v>
          </cell>
        </row>
        <row r="1021">
          <cell r="K1021" t="str">
            <v>Lê Thị Thu Hiền PT432 - hợp đồng</v>
          </cell>
        </row>
        <row r="1022">
          <cell r="K1022" t="str">
            <v>Nguyễn Thị Hường</v>
          </cell>
        </row>
        <row r="1023">
          <cell r="K1023" t="str">
            <v>Đào Minh Trang</v>
          </cell>
        </row>
        <row r="1024">
          <cell r="K1024" t="str">
            <v>Nguyễn Mạnh Chiến  - hợp đồng</v>
          </cell>
        </row>
        <row r="1025">
          <cell r="K1025" t="str">
            <v xml:space="preserve">Hùng Thị Hảo </v>
          </cell>
        </row>
        <row r="1026">
          <cell r="K1026" t="str">
            <v>Bùi Phương Linh</v>
          </cell>
        </row>
        <row r="1027">
          <cell r="K1027" t="str">
            <v>Đoàn Thành Thắng</v>
          </cell>
        </row>
        <row r="1028">
          <cell r="K1028" t="str">
            <v xml:space="preserve"> Nguyễn Trọng Tới</v>
          </cell>
        </row>
        <row r="1029">
          <cell r="K1029" t="str">
            <v xml:space="preserve"> Nguyễn Thanh Tâm</v>
          </cell>
        </row>
        <row r="1030">
          <cell r="K1030" t="str">
            <v>Nguyễn Thị Hồng Quyên -PT426</v>
          </cell>
        </row>
        <row r="1031">
          <cell r="K1031" t="str">
            <v>Nguyễn Tất Tùng Anh - hợp dồng</v>
          </cell>
        </row>
        <row r="1032">
          <cell r="K1032" t="str">
            <v>Hoàng Minh Khôi - hợp dồng</v>
          </cell>
        </row>
        <row r="1033">
          <cell r="K1033" t="str">
            <v>Nguyễn Thành Hưng</v>
          </cell>
        </row>
        <row r="1034">
          <cell r="K1034" t="str">
            <v>Đặng Hoàng Anh - T468</v>
          </cell>
        </row>
        <row r="1035">
          <cell r="K1035" t="str">
            <v xml:space="preserve">Lê Phạm Ngọc Anh </v>
          </cell>
        </row>
        <row r="1036">
          <cell r="K1036" t="str">
            <v xml:space="preserve">Bùi Nguyễn Cẩm Như </v>
          </cell>
        </row>
        <row r="1037">
          <cell r="K1037" t="str">
            <v>Lê Văn Quốc Trung</v>
          </cell>
        </row>
        <row r="1038">
          <cell r="K1038" t="str">
            <v xml:space="preserve">Phan Nguyễn Thảo Anh </v>
          </cell>
        </row>
        <row r="1039">
          <cell r="K1039" t="str">
            <v xml:space="preserve">Đào Thị Hoa  </v>
          </cell>
        </row>
        <row r="1040">
          <cell r="K1040" t="str">
            <v>Nguyễn Linh Chi</v>
          </cell>
        </row>
        <row r="1041">
          <cell r="K1041" t="str">
            <v xml:space="preserve">Đỗ Thị Quỳnh Anh </v>
          </cell>
        </row>
        <row r="1042">
          <cell r="K1042" t="str">
            <v xml:space="preserve"> Hà Anh Thư - PT433 Ko học nữa</v>
          </cell>
        </row>
        <row r="1043">
          <cell r="K1043" t="str">
            <v>Nguyễn Hoàng Quân</v>
          </cell>
        </row>
        <row r="1044">
          <cell r="K1044" t="str">
            <v>Nguyễn Thị Thuý Nga - PT435</v>
          </cell>
        </row>
        <row r="1045">
          <cell r="K1045" t="str">
            <v>Đinh Thị Phương Nhi</v>
          </cell>
        </row>
        <row r="1046">
          <cell r="K1046" t="str">
            <v>Ngô Thị Ngọc Lan - T462</v>
          </cell>
        </row>
        <row r="1047">
          <cell r="K1047" t="str">
            <v>Vũ Thu Hằng</v>
          </cell>
        </row>
        <row r="1048">
          <cell r="K1048" t="str">
            <v xml:space="preserve">Nguyễn Phú Thành  </v>
          </cell>
        </row>
        <row r="1049">
          <cell r="K1049" t="str">
            <v xml:space="preserve">Nguyễn Thảo Mai </v>
          </cell>
        </row>
        <row r="1050">
          <cell r="K1050" t="str">
            <v xml:space="preserve">Cao Thế Quang </v>
          </cell>
        </row>
        <row r="1051">
          <cell r="K1051" t="str">
            <v xml:space="preserve">Nguyễn Duy Mạnh </v>
          </cell>
        </row>
        <row r="1052">
          <cell r="K1052" t="str">
            <v>Nguyễn Văn Nhân</v>
          </cell>
        </row>
        <row r="1053">
          <cell r="K1053" t="str">
            <v>Đào Huệ Anh - T468</v>
          </cell>
        </row>
        <row r="1054">
          <cell r="K1054" t="str">
            <v>Ngô Thị Hiền Thảo</v>
          </cell>
        </row>
        <row r="1055">
          <cell r="K1055" t="str">
            <v>Nguyễn Quốc Đạt</v>
          </cell>
        </row>
        <row r="1056">
          <cell r="K1056" t="str">
            <v>Nguyễn Hữu Khánh - T479</v>
          </cell>
        </row>
        <row r="1057">
          <cell r="K1057" t="str">
            <v>Bùi Quang Huy</v>
          </cell>
        </row>
        <row r="1058">
          <cell r="K1058" t="str">
            <v>Bùi Trần Gia</v>
          </cell>
        </row>
        <row r="1059">
          <cell r="K1059" t="str">
            <v>Nguyễn Ngọc Anh</v>
          </cell>
        </row>
        <row r="1060">
          <cell r="K1060" t="str">
            <v xml:space="preserve"> Ngô Thế Chính</v>
          </cell>
        </row>
        <row r="1061">
          <cell r="K1061" t="str">
            <v xml:space="preserve">Nguyễn Thu Vân </v>
          </cell>
        </row>
        <row r="1062">
          <cell r="K1062" t="str">
            <v xml:space="preserve">Trương Thị Thu Hiền   </v>
          </cell>
        </row>
        <row r="1063">
          <cell r="K1063" t="str">
            <v>Nguyễn Thị Tuyết Mai - PT429</v>
          </cell>
        </row>
        <row r="1064">
          <cell r="K1064" t="str">
            <v>Nguyễn Thị Quỳnh Anh</v>
          </cell>
        </row>
        <row r="1065">
          <cell r="K1065" t="str">
            <v>Nguyễn Đặng Việt Hoàng</v>
          </cell>
        </row>
        <row r="1066">
          <cell r="K1066" t="str">
            <v>Hồ Bảo Long</v>
          </cell>
        </row>
        <row r="1067">
          <cell r="K1067" t="str">
            <v>Hà Thị Minh Dung</v>
          </cell>
        </row>
        <row r="1068">
          <cell r="K1068" t="str">
            <v>Nguyễn Thị Phương Anh</v>
          </cell>
        </row>
        <row r="1069">
          <cell r="K1069" t="str">
            <v>Nguyễn Hà Phương - PT433 hv thứ 12</v>
          </cell>
        </row>
        <row r="1070">
          <cell r="K1070" t="str">
            <v>Lưu Võ Thanh Mai</v>
          </cell>
        </row>
        <row r="1071">
          <cell r="K1071" t="str">
            <v>Lâm Ngọc Yến Vy</v>
          </cell>
        </row>
        <row r="1072">
          <cell r="K1072" t="str">
            <v>Phạm Thị Ánh Tuyết</v>
          </cell>
        </row>
        <row r="1073">
          <cell r="K1073" t="str">
            <v>Từ Thị Phương Linh - 974815568</v>
          </cell>
        </row>
        <row r="1074">
          <cell r="K1074" t="str">
            <v>Đào Thu Thuỷ</v>
          </cell>
        </row>
        <row r="1075">
          <cell r="K1075" t="str">
            <v>Nguyễn Thị Thuý Hiển</v>
          </cell>
        </row>
        <row r="1076">
          <cell r="K1076" t="str">
            <v>Trần Thị Uyển Nhi</v>
          </cell>
        </row>
        <row r="1077">
          <cell r="K1077" t="str">
            <v>Nguyễn Ngọc Tú</v>
          </cell>
        </row>
        <row r="1078">
          <cell r="K1078" t="str">
            <v>Phùng Quang Ngọc</v>
          </cell>
        </row>
        <row r="1079">
          <cell r="K1079" t="str">
            <v>Nguyễn Hồ Gia Quỳnh - hv thứ 12</v>
          </cell>
        </row>
        <row r="1080">
          <cell r="K1080" t="str">
            <v>Hoàng Thị Thu Hà</v>
          </cell>
        </row>
        <row r="1081">
          <cell r="K1081" t="str">
            <v>Nguyễn Ngọc Phượng</v>
          </cell>
        </row>
        <row r="1082">
          <cell r="K1082" t="str">
            <v xml:space="preserve">Nguyễn Thị Huế </v>
          </cell>
        </row>
        <row r="1083">
          <cell r="K1083" t="str">
            <v>Vũ Hoàng Long - hv thứ 10</v>
          </cell>
        </row>
        <row r="1084">
          <cell r="K1084" t="str">
            <v>Mai Quốc Tùng</v>
          </cell>
        </row>
        <row r="1085">
          <cell r="K1085" t="str">
            <v xml:space="preserve">Quan Mẩn Chi </v>
          </cell>
        </row>
        <row r="1086">
          <cell r="K1086" t="str">
            <v>Nguyễn Thúy Kiều - Hoa Nhài Nhỏ</v>
          </cell>
        </row>
        <row r="1087">
          <cell r="K1087" t="str">
            <v>Trần Nguyễn Hoàng Vũ</v>
          </cell>
        </row>
        <row r="1088">
          <cell r="K1088" t="str">
            <v>Lê Tiến Đạt</v>
          </cell>
        </row>
        <row r="1089">
          <cell r="K1089" t="str">
            <v>Lê Thị Ánh - PT434</v>
          </cell>
        </row>
        <row r="1090">
          <cell r="K1090" t="str">
            <v>Hoàng Tuấn Tú - 913104927</v>
          </cell>
        </row>
        <row r="1091">
          <cell r="K1091" t="str">
            <v xml:space="preserve">Nguyễn Huy Quý </v>
          </cell>
        </row>
        <row r="1092">
          <cell r="K1092" t="str">
            <v>Lê Khánh Vy - PT433 hv thứ 10</v>
          </cell>
        </row>
        <row r="1093">
          <cell r="K1093" t="str">
            <v>Nguyễn Thị Phương Vy - PT436 - hợp đồng</v>
          </cell>
        </row>
        <row r="1094">
          <cell r="K1094" t="str">
            <v>Lê Thu Trang - hv thứ 10</v>
          </cell>
        </row>
        <row r="1095">
          <cell r="K1095" t="str">
            <v xml:space="preserve">Nguyễn Thị Phương Thảo </v>
          </cell>
        </row>
        <row r="1096">
          <cell r="K1096" t="str">
            <v>Đặng Thị Loan</v>
          </cell>
        </row>
        <row r="1097">
          <cell r="K1097" t="str">
            <v xml:space="preserve"> Đặng Trung Kiên - hv thứ 11</v>
          </cell>
        </row>
        <row r="1098">
          <cell r="K1098" t="str">
            <v>Trần Duy Hưng</v>
          </cell>
        </row>
        <row r="1099">
          <cell r="K1099" t="str">
            <v>Chu Hạnh Nhân - 374829079 số mẹ. PT444</v>
          </cell>
        </row>
        <row r="1100">
          <cell r="K1100" t="str">
            <v xml:space="preserve">Hồ Gia Bảo </v>
          </cell>
        </row>
        <row r="1101">
          <cell r="K1101" t="str">
            <v>Nguyễn Thị Huyền Trang</v>
          </cell>
        </row>
        <row r="1102">
          <cell r="K1102" t="str">
            <v xml:space="preserve">Trần Phương Linh </v>
          </cell>
        </row>
        <row r="1103">
          <cell r="K1103" t="str">
            <v xml:space="preserve">Lương Anh Đức </v>
          </cell>
        </row>
        <row r="1104">
          <cell r="K1104" t="str">
            <v>Chu Thị Hiền - PT433 hv thứ 11</v>
          </cell>
        </row>
        <row r="1105">
          <cell r="K1105" t="str">
            <v xml:space="preserve"> Trần Thị Anh Phương </v>
          </cell>
        </row>
        <row r="1106">
          <cell r="K1106" t="str">
            <v>Lê Thế Lâm</v>
          </cell>
        </row>
        <row r="1107">
          <cell r="K1107" t="str">
            <v>Nguyễn Thị Minh Ánh - hv thứ 11</v>
          </cell>
        </row>
        <row r="1108">
          <cell r="K1108" t="str">
            <v xml:space="preserve">Trần Gia Quyền </v>
          </cell>
        </row>
        <row r="1109">
          <cell r="K1109" t="str">
            <v>Nguyễn Duy Hoàng - PT433 hv thứ 13</v>
          </cell>
        </row>
        <row r="1110">
          <cell r="K1110" t="str">
            <v xml:space="preserve">Hoàng Đức Thắng </v>
          </cell>
        </row>
        <row r="1111">
          <cell r="K1111" t="str">
            <v>Lê Cao Huy</v>
          </cell>
        </row>
        <row r="1112">
          <cell r="K1112" t="str">
            <v>Lê Thành Vinh</v>
          </cell>
        </row>
        <row r="1113">
          <cell r="K1113" t="str">
            <v>Nguyễn Phúc Hùng</v>
          </cell>
        </row>
        <row r="1114">
          <cell r="K1114" t="str">
            <v>Lê Anh Quang</v>
          </cell>
        </row>
        <row r="1115">
          <cell r="K1115" t="str">
            <v>Nguyễn Hải My</v>
          </cell>
        </row>
        <row r="1116">
          <cell r="K1116" t="str">
            <v>Chu Quốc Hưng</v>
          </cell>
        </row>
        <row r="1117">
          <cell r="K1117" t="str">
            <v>Trần Thị Yến Vy - hợp đồng</v>
          </cell>
        </row>
        <row r="1118">
          <cell r="K1118" t="str">
            <v>Đào Minh Anh</v>
          </cell>
        </row>
        <row r="1119">
          <cell r="K1119" t="str">
            <v xml:space="preserve">Nguyễn Lan Phương </v>
          </cell>
        </row>
        <row r="1120">
          <cell r="K1120" t="str">
            <v>Trần Yến Nhi</v>
          </cell>
        </row>
        <row r="1121">
          <cell r="K1121" t="str">
            <v xml:space="preserve">Đoàn Quỳnh Chi </v>
          </cell>
        </row>
        <row r="1122">
          <cell r="K1122" t="str">
            <v>Hoàng Minh Quân</v>
          </cell>
        </row>
        <row r="1123">
          <cell r="K1123" t="str">
            <v xml:space="preserve"> Bùi Tuấn Kiệt</v>
          </cell>
        </row>
        <row r="1124">
          <cell r="K1124" t="str">
            <v>Hoàng Thị Anh Tú</v>
          </cell>
        </row>
        <row r="1125">
          <cell r="K1125" t="str">
            <v>Lê Kiên Định</v>
          </cell>
        </row>
        <row r="1126">
          <cell r="K1126" t="str">
            <v xml:space="preserve"> Nguyễn Hoàng Mai </v>
          </cell>
        </row>
        <row r="1127">
          <cell r="K1127" t="str">
            <v xml:space="preserve">Nguyễn Thị Mỹ Danh </v>
          </cell>
        </row>
        <row r="1128">
          <cell r="K1128" t="str">
            <v>Trần Khánh Huyền</v>
          </cell>
        </row>
        <row r="1129">
          <cell r="K1129" t="str">
            <v xml:space="preserve">Nguyễn Mạnh Hùng </v>
          </cell>
        </row>
        <row r="1130">
          <cell r="K1130" t="str">
            <v xml:space="preserve">nguyễn Thanh hùng </v>
          </cell>
        </row>
        <row r="1131">
          <cell r="K1131" t="str">
            <v>Nguyễn Thùy Trâm - PT438, PT444, PT464</v>
          </cell>
        </row>
        <row r="1132">
          <cell r="K1132" t="str">
            <v>Phạm Minh Uyên</v>
          </cell>
        </row>
        <row r="1133">
          <cell r="K1133" t="str">
            <v>Nguyễn Hà Linh</v>
          </cell>
        </row>
        <row r="1134">
          <cell r="K1134" t="str">
            <v>Nguyễn Thuỳ Trang</v>
          </cell>
        </row>
        <row r="1135">
          <cell r="K1135" t="str">
            <v>Nguyễn Khánh Huyền - hv thứ 10</v>
          </cell>
        </row>
        <row r="1136">
          <cell r="K1136" t="str">
            <v>Nguyễn Thi Thanh Thảo</v>
          </cell>
        </row>
        <row r="1137">
          <cell r="K1137" t="str">
            <v xml:space="preserve">Huỳnh Thúy An </v>
          </cell>
        </row>
        <row r="1138">
          <cell r="K1138" t="str">
            <v>Nguyễn Lê Huyền Trang</v>
          </cell>
        </row>
        <row r="1139">
          <cell r="K1139" t="str">
            <v>Âu Ngọc Khuê - T457</v>
          </cell>
        </row>
        <row r="1140">
          <cell r="K1140" t="str">
            <v>Phạm Vũ Thu Uyên</v>
          </cell>
        </row>
        <row r="1141">
          <cell r="K1141" t="str">
            <v>Nguyễn Ngọc Tuyết Nhi</v>
          </cell>
        </row>
        <row r="1142">
          <cell r="K1142" t="str">
            <v>Nguyễn Thị Hồng Tuyên</v>
          </cell>
        </row>
        <row r="1143">
          <cell r="K1143" t="str">
            <v>Nguyễn Minh Trí</v>
          </cell>
        </row>
        <row r="1144">
          <cell r="K1144" t="str">
            <v>Nguyễn Phương Linh</v>
          </cell>
        </row>
        <row r="1145">
          <cell r="K1145" t="str">
            <v xml:space="preserve"> Cao Bảo Bảo</v>
          </cell>
        </row>
        <row r="1146">
          <cell r="K1146" t="str">
            <v xml:space="preserve">Nguyễn Ngọc Phát </v>
          </cell>
        </row>
        <row r="1147">
          <cell r="K1147" t="str">
            <v xml:space="preserve">Nguyễn Thị Như Quỳnh </v>
          </cell>
        </row>
        <row r="1148">
          <cell r="K1148" t="str">
            <v>Nguyễn Anh Tú</v>
          </cell>
        </row>
        <row r="1149">
          <cell r="K1149" t="str">
            <v xml:space="preserve">Nguyễn Việt Dũng </v>
          </cell>
        </row>
        <row r="1150">
          <cell r="K1150" t="str">
            <v xml:space="preserve">Trần Phạm Trâm Anh </v>
          </cell>
        </row>
        <row r="1151">
          <cell r="K1151" t="str">
            <v xml:space="preserve">Đoàn Ngọc Hà My </v>
          </cell>
        </row>
        <row r="1152">
          <cell r="K1152" t="str">
            <v>Tô Hoài Bảo</v>
          </cell>
        </row>
        <row r="1153">
          <cell r="K1153" t="str">
            <v xml:space="preserve"> Nguyễn Thị Trúc Nữ </v>
          </cell>
        </row>
        <row r="1154">
          <cell r="K1154" t="str">
            <v>Nguyễn Trà My</v>
          </cell>
        </row>
        <row r="1155">
          <cell r="K1155" t="str">
            <v>Mai Thị Hà Phương  - PT429 - hợp đồng</v>
          </cell>
        </row>
        <row r="1156">
          <cell r="K1156" t="str">
            <v>Cao Thị Minh Trang</v>
          </cell>
        </row>
        <row r="1157">
          <cell r="K1157" t="str">
            <v xml:space="preserve">Nguyễn Xuân Đạo </v>
          </cell>
        </row>
        <row r="1158">
          <cell r="K1158" t="str">
            <v xml:space="preserve">Đàm Thị Phương Lan </v>
          </cell>
        </row>
        <row r="1159">
          <cell r="K1159" t="str">
            <v>phạm Thị Hồng Giang - Hoàn cọc 50K 05/06/2026</v>
          </cell>
        </row>
        <row r="1160">
          <cell r="K1160" t="str">
            <v>Nguyễn Đức Minh Quân</v>
          </cell>
        </row>
        <row r="1161">
          <cell r="K1161" t="str">
            <v>Phạm Thành Trung</v>
          </cell>
        </row>
        <row r="1162">
          <cell r="K1162" t="str">
            <v>Hồ Thị Bích Ngân</v>
          </cell>
        </row>
        <row r="1163">
          <cell r="K1163" t="str">
            <v>Mác Hương Thùy Nhung</v>
          </cell>
        </row>
        <row r="1164">
          <cell r="K1164" t="str">
            <v>Nguyễn Thị Hà Trang</v>
          </cell>
        </row>
        <row r="1165">
          <cell r="K1165" t="str">
            <v>Trần Ngọc Khánh Linh</v>
          </cell>
        </row>
        <row r="1166">
          <cell r="K1166" t="str">
            <v xml:space="preserve">Nguyễn Hà Phương </v>
          </cell>
        </row>
        <row r="1167">
          <cell r="K1167" t="str">
            <v>Nguyễn Tiểu Bảo - hợp đồng. T463 lớp học đc 2 buổi tự rời nhóm</v>
          </cell>
        </row>
        <row r="1168">
          <cell r="K1168" t="str">
            <v xml:space="preserve"> Đặng Xuân Long</v>
          </cell>
        </row>
        <row r="1169">
          <cell r="K1169" t="str">
            <v>Lê Quỳnh Anh - T457</v>
          </cell>
        </row>
        <row r="1170">
          <cell r="K1170" t="str">
            <v>Phạm Trường An</v>
          </cell>
        </row>
        <row r="1171">
          <cell r="K1171" t="str">
            <v>Lê Anh Luân</v>
          </cell>
        </row>
        <row r="1172">
          <cell r="K1172" t="str">
            <v>Nguyễn Thành Đạt</v>
          </cell>
        </row>
        <row r="1173">
          <cell r="K1173" t="str">
            <v>Hồ Bảo Anh</v>
          </cell>
        </row>
        <row r="1174">
          <cell r="K1174" t="str">
            <v>Nguyễn Lê Anh Thư</v>
          </cell>
        </row>
        <row r="1175">
          <cell r="K1175" t="str">
            <v>Phạm Hữu Nhân</v>
          </cell>
        </row>
        <row r="1176">
          <cell r="K1176" t="str">
            <v>Nguyễn Đình Khiêm</v>
          </cell>
        </row>
        <row r="1177">
          <cell r="K1177" t="str">
            <v>Lương Ngọc Thành</v>
          </cell>
        </row>
        <row r="1178">
          <cell r="K1178" t="str">
            <v>Phạm Quang Anh</v>
          </cell>
        </row>
        <row r="1179">
          <cell r="K1179" t="str">
            <v>Lê Phương Anh - PT444</v>
          </cell>
        </row>
        <row r="1180">
          <cell r="K1180" t="str">
            <v>Phan Lý Thị Kim Khuyến</v>
          </cell>
        </row>
        <row r="1181">
          <cell r="K1181" t="str">
            <v>Lê Ngọc Khánh</v>
          </cell>
        </row>
        <row r="1182">
          <cell r="K1182" t="str">
            <v>Nhật Nam</v>
          </cell>
        </row>
        <row r="1183">
          <cell r="K1183" t="str">
            <v xml:space="preserve">Nguyễn Thành Vinh </v>
          </cell>
        </row>
        <row r="1184">
          <cell r="K1184" t="str">
            <v xml:space="preserve">Trần Thị Bích Ngọc </v>
          </cell>
        </row>
        <row r="1185">
          <cell r="K1185" t="str">
            <v xml:space="preserve">Lê Thị Lan Anh </v>
          </cell>
        </row>
        <row r="1186">
          <cell r="K1186" t="str">
            <v>Lâm Ngọc Hân</v>
          </cell>
        </row>
        <row r="1187">
          <cell r="K1187" t="str">
            <v xml:space="preserve">Trương Ngọc Ninh  </v>
          </cell>
        </row>
        <row r="1188">
          <cell r="K1188" t="str">
            <v>Cao Xuân Sang</v>
          </cell>
        </row>
        <row r="1189">
          <cell r="K1189" t="str">
            <v>Lương Quốc Duy</v>
          </cell>
        </row>
        <row r="1190">
          <cell r="K1190" t="str">
            <v>Lê Thị Phương Uyên - PT438</v>
          </cell>
        </row>
        <row r="1191">
          <cell r="K1191" t="str">
            <v>Nguyễn Thị Tươi</v>
          </cell>
        </row>
        <row r="1192">
          <cell r="K1192" t="str">
            <v>Nguyễn Ngọc Kiều Anh</v>
          </cell>
        </row>
        <row r="1193">
          <cell r="K1193" t="str">
            <v>Đinh Đức Hiếu</v>
          </cell>
        </row>
        <row r="1194">
          <cell r="K1194" t="str">
            <v>La Chí Tường</v>
          </cell>
        </row>
        <row r="1195">
          <cell r="K1195" t="str">
            <v>Kiều Duy Trung - hợp đồng</v>
          </cell>
        </row>
        <row r="1196">
          <cell r="K1196" t="str">
            <v>Nguyễn Thị Hằng</v>
          </cell>
        </row>
        <row r="1197">
          <cell r="K1197" t="str">
            <v xml:space="preserve">Đặng Nguyễn Minh Phương </v>
          </cell>
        </row>
        <row r="1198">
          <cell r="K1198" t="str">
            <v xml:space="preserve">Vũ Thị Hồng Vinh </v>
          </cell>
        </row>
        <row r="1199">
          <cell r="K1199" t="str">
            <v>Nguyễn Hữu Phúc Nguễn Pika - dùng chung FB</v>
          </cell>
        </row>
        <row r="1200">
          <cell r="K1200" t="str">
            <v>Nguyễn Hữu Dũng Nguễn Pika - dùng chung FB</v>
          </cell>
        </row>
        <row r="1201">
          <cell r="K1201" t="str">
            <v>Cù Mạnh Hà</v>
          </cell>
        </row>
        <row r="1202">
          <cell r="K1202" t="str">
            <v xml:space="preserve">Vũ Minh Đức </v>
          </cell>
        </row>
        <row r="1203">
          <cell r="K1203" t="str">
            <v>Nguyễn Thị Thu Phương</v>
          </cell>
        </row>
        <row r="1204">
          <cell r="K1204" t="str">
            <v>Nguyễn Tiến Trường</v>
          </cell>
        </row>
        <row r="1205">
          <cell r="K1205" t="str">
            <v>Tô Trọng Dũng</v>
          </cell>
        </row>
        <row r="1206">
          <cell r="K1206" t="str">
            <v>Phạm Thị Minh Ngọc - PT444 hv thứ 11</v>
          </cell>
        </row>
        <row r="1207">
          <cell r="K1207" t="str">
            <v>Nguyễn Công Duy</v>
          </cell>
        </row>
        <row r="1208">
          <cell r="K1208" t="str">
            <v>Hoàng Ánh Ngọc - bill chung Triết</v>
          </cell>
        </row>
        <row r="1209">
          <cell r="K1209" t="str">
            <v>Nguyễn Huy Triết - bill chung Ngọc</v>
          </cell>
        </row>
        <row r="1210">
          <cell r="K1210" t="str">
            <v>Nguyễn Ngọc Diệp</v>
          </cell>
        </row>
        <row r="1211">
          <cell r="K1211" t="str">
            <v>Luyện Thanh Sơn</v>
          </cell>
        </row>
        <row r="1212">
          <cell r="K1212" t="str">
            <v>Bùi Thị Mỹ Duyên</v>
          </cell>
        </row>
        <row r="1213">
          <cell r="K1213" t="str">
            <v>Võ Trần Duy Luân</v>
          </cell>
        </row>
        <row r="1214">
          <cell r="K1214" t="str">
            <v>Nguyễn Mạnh Chiến</v>
          </cell>
        </row>
        <row r="1215">
          <cell r="K1215" t="str">
            <v>Hoàng Thị Thùy Dung</v>
          </cell>
        </row>
        <row r="1216">
          <cell r="K1216" t="str">
            <v xml:space="preserve">Huỳnh Thị Kim Hằng </v>
          </cell>
        </row>
        <row r="1217">
          <cell r="K1217" t="str">
            <v>Phạm Thị Lệ Quyên - PT433</v>
          </cell>
        </row>
        <row r="1218">
          <cell r="K1218" t="str">
            <v>Nguyễn Hà Diệp - PT433 - hợp đồng</v>
          </cell>
        </row>
        <row r="1219">
          <cell r="K1219" t="str">
            <v>Hồ Đức Bình</v>
          </cell>
        </row>
        <row r="1220">
          <cell r="K1220" t="str">
            <v xml:space="preserve">Đào Thị Ly  </v>
          </cell>
        </row>
        <row r="1221">
          <cell r="K1221" t="str">
            <v xml:space="preserve">Đỗ Trí Dũng </v>
          </cell>
        </row>
        <row r="1222">
          <cell r="K1222" t="str">
            <v>Mai Việt Anh</v>
          </cell>
        </row>
        <row r="1223">
          <cell r="K1223" t="str">
            <v>Dương Khương - hv thứ 10</v>
          </cell>
        </row>
        <row r="1224">
          <cell r="K1224" t="str">
            <v>Như Phan Ngọc Tâm - PT438</v>
          </cell>
        </row>
        <row r="1225">
          <cell r="K1225" t="str">
            <v>Hoàng Thị Minh Phương PT437 - hv thứ 11 PT445</v>
          </cell>
        </row>
        <row r="1226">
          <cell r="K1226" t="str">
            <v>Nguyễn Hoàng Mai - PT445, PT450 - 839591486 số mẹ, PT459 hv thứ 11</v>
          </cell>
        </row>
        <row r="1227">
          <cell r="K1227" t="str">
            <v>Lê Trung Đức</v>
          </cell>
        </row>
        <row r="1228">
          <cell r="K1228" t="str">
            <v xml:space="preserve">Lê Minh Hiếu </v>
          </cell>
        </row>
        <row r="1229">
          <cell r="K1229" t="str">
            <v xml:space="preserve"> Linh Hoàng Hà </v>
          </cell>
        </row>
        <row r="1230">
          <cell r="K1230" t="str">
            <v>Hà Nguyễn Quỳnh Anh - 0974481267 số zalo</v>
          </cell>
        </row>
        <row r="1231">
          <cell r="K1231" t="str">
            <v>Lê Thị Kim Anh</v>
          </cell>
        </row>
        <row r="1232">
          <cell r="K1232" t="str">
            <v>Ly Dò Đông</v>
          </cell>
        </row>
        <row r="1233">
          <cell r="K1233" t="str">
            <v>Nguyễn An Ly</v>
          </cell>
        </row>
        <row r="1234">
          <cell r="K1234" t="str">
            <v>Ngô Thuỳ Linh</v>
          </cell>
        </row>
        <row r="1235">
          <cell r="K1235" t="str">
            <v>Phan Chung Hiếu</v>
          </cell>
        </row>
        <row r="1236">
          <cell r="K1236" t="str">
            <v>Lê Thị Minh Châu - PT433</v>
          </cell>
        </row>
        <row r="1237">
          <cell r="K1237" t="str">
            <v>Lê Ngọc My - hợp đồng</v>
          </cell>
        </row>
        <row r="1238">
          <cell r="K1238" t="str">
            <v>Phan Minh Hiếu - PT456</v>
          </cell>
        </row>
        <row r="1239">
          <cell r="K1239" t="str">
            <v>Khổng Thị Bảo Thi</v>
          </cell>
        </row>
        <row r="1240">
          <cell r="K1240" t="str">
            <v>Bùi Mai Linh - PT439, PT441</v>
          </cell>
        </row>
        <row r="1241">
          <cell r="K1241" t="str">
            <v>Hoàng Minh Hải - PT439</v>
          </cell>
        </row>
        <row r="1242">
          <cell r="K1242" t="str">
            <v>Đỗ Tiến Đạt</v>
          </cell>
        </row>
        <row r="1243">
          <cell r="K1243" t="str">
            <v xml:space="preserve">Nguyễn Khánh Linh </v>
          </cell>
        </row>
        <row r="1244">
          <cell r="K1244" t="str">
            <v>Vũ Địch Đức Anh</v>
          </cell>
        </row>
        <row r="1245">
          <cell r="K1245" t="str">
            <v>Nguyễn Thị Kim Hoa - PT439 hv thứ 10</v>
          </cell>
        </row>
        <row r="1246">
          <cell r="K1246" t="str">
            <v>Phạm Kim Tường Vy - PT439 hv thứ 11</v>
          </cell>
        </row>
        <row r="1247">
          <cell r="K1247" t="str">
            <v>Triệu Phương Thảo</v>
          </cell>
        </row>
        <row r="1248">
          <cell r="K1248" t="str">
            <v xml:space="preserve"> Phạm Thị Thu Uyên </v>
          </cell>
        </row>
        <row r="1249">
          <cell r="K1249" t="str">
            <v xml:space="preserve">Trần Đăng Đức </v>
          </cell>
        </row>
        <row r="1250">
          <cell r="K1250" t="str">
            <v>Nguyễn Ngọc Tiểu Anh - PT439 hv thứ 12, PT442</v>
          </cell>
        </row>
        <row r="1251">
          <cell r="K1251" t="str">
            <v>Lê Phương Linh - hv thứ 12</v>
          </cell>
        </row>
        <row r="1252">
          <cell r="K1252" t="str">
            <v xml:space="preserve">Nguyễn Thị Tuyết Nhi </v>
          </cell>
        </row>
        <row r="1253">
          <cell r="K1253" t="str">
            <v>Đào Thanh Nguyên</v>
          </cell>
        </row>
        <row r="1254">
          <cell r="K1254" t="str">
            <v>Hoàng Thanh Thảo</v>
          </cell>
        </row>
        <row r="1255">
          <cell r="K1255" t="str">
            <v xml:space="preserve">Nguyễn Thị Hải Vân </v>
          </cell>
        </row>
        <row r="1256">
          <cell r="K1256" t="str">
            <v xml:space="preserve">Đặng Minh Hiếu </v>
          </cell>
        </row>
        <row r="1257">
          <cell r="K1257" t="str">
            <v xml:space="preserve">Huỳnh Xuân Đào </v>
          </cell>
        </row>
        <row r="1258">
          <cell r="K1258" t="str">
            <v>Hoàng Thị Phương Anh - T472</v>
          </cell>
        </row>
        <row r="1259">
          <cell r="K1259" t="str">
            <v>Nguyễn Văn Trung - hv thứ 10</v>
          </cell>
        </row>
        <row r="1260">
          <cell r="K1260" t="str">
            <v>Nguyễn Hồng Quang</v>
          </cell>
        </row>
        <row r="1261">
          <cell r="K1261" t="str">
            <v>Vũ Thị Tuệ Tâm - Dục Thanh - PT440, PT463</v>
          </cell>
        </row>
        <row r="1262">
          <cell r="K1262" t="str">
            <v>Đặng Minh Nguyệt</v>
          </cell>
        </row>
        <row r="1263">
          <cell r="K1263" t="str">
            <v xml:space="preserve"> Lê Minh Ngọc Diệp</v>
          </cell>
        </row>
        <row r="1264">
          <cell r="K1264" t="str">
            <v>Nguyễn Thị Phương Loan - PT445</v>
          </cell>
        </row>
        <row r="1265">
          <cell r="K1265" t="str">
            <v>Phạm Bảo Thy</v>
          </cell>
        </row>
        <row r="1266">
          <cell r="K1266" t="str">
            <v>Nguyễn Hoàng Hải</v>
          </cell>
        </row>
        <row r="1267">
          <cell r="K1267" t="str">
            <v>Phạm Quang Lê</v>
          </cell>
        </row>
        <row r="1268">
          <cell r="K1268" t="str">
            <v>Đinh Ngọc Anh</v>
          </cell>
        </row>
        <row r="1269">
          <cell r="K1269" t="str">
            <v>Vũ Lê Bảo Trâm</v>
          </cell>
        </row>
        <row r="1270">
          <cell r="K1270" t="str">
            <v xml:space="preserve"> Nguyễn Đình Thái - Đã nộp 300K 15/06/2026</v>
          </cell>
        </row>
        <row r="1271">
          <cell r="K1271" t="str">
            <v>Nguyễn Văn Trung - PT445 hv thứ 10</v>
          </cell>
        </row>
        <row r="1272">
          <cell r="K1272" t="str">
            <v>Nguyễn Tố Uyên</v>
          </cell>
        </row>
        <row r="1273">
          <cell r="K1273" t="str">
            <v>Nguyễn Thanh Tâm</v>
          </cell>
        </row>
        <row r="1274">
          <cell r="K1274" t="str">
            <v>Nguyễn Hải Đăng</v>
          </cell>
        </row>
        <row r="1275">
          <cell r="K1275" t="str">
            <v xml:space="preserve">Vũ Diệu Linh </v>
          </cell>
        </row>
        <row r="1276">
          <cell r="K1276" t="str">
            <v xml:space="preserve">Đinh Vũ Phát  </v>
          </cell>
        </row>
        <row r="1277">
          <cell r="K1277" t="str">
            <v>Phạm Hoàng Anh</v>
          </cell>
        </row>
        <row r="1278">
          <cell r="K1278" t="str">
            <v xml:space="preserve"> Bùi Bảo Chi</v>
          </cell>
        </row>
        <row r="1279">
          <cell r="K1279" t="str">
            <v>Phạm Trần Việt An</v>
          </cell>
        </row>
        <row r="1280">
          <cell r="K1280" t="str">
            <v>Nguyễn Kim Bình</v>
          </cell>
        </row>
        <row r="1281">
          <cell r="K1281" t="str">
            <v>Nguyễn Thị Ánh Tuyết</v>
          </cell>
        </row>
        <row r="1282">
          <cell r="K1282" t="str">
            <v xml:space="preserve">Nguyễn Thị Hạ Vy </v>
          </cell>
        </row>
        <row r="1283">
          <cell r="K1283" t="str">
            <v>Đỗ Phương Linh</v>
          </cell>
        </row>
        <row r="1284">
          <cell r="K1284" t="str">
            <v>Hoàng Thị Giang</v>
          </cell>
        </row>
        <row r="1285">
          <cell r="K1285" t="str">
            <v xml:space="preserve">Trần Mỹ Chinh </v>
          </cell>
        </row>
        <row r="1286">
          <cell r="K1286" t="str">
            <v xml:space="preserve">Nguyễn Thị Ngọc Ánh </v>
          </cell>
        </row>
        <row r="1287">
          <cell r="K1287" t="str">
            <v>Nguyễn Bảo Uyên</v>
          </cell>
        </row>
        <row r="1288">
          <cell r="K1288" t="str">
            <v>Trần Thị Thu Hằng</v>
          </cell>
        </row>
        <row r="1289">
          <cell r="K1289" t="str">
            <v xml:space="preserve">Hoàng Khánh Ly </v>
          </cell>
        </row>
        <row r="1290">
          <cell r="K1290" t="str">
            <v>Lê Thị Hiền</v>
          </cell>
        </row>
        <row r="1291">
          <cell r="K1291" t="str">
            <v>Phan Thị Xuân Mai</v>
          </cell>
        </row>
        <row r="1292">
          <cell r="K1292" t="str">
            <v>Hoàng Phương Thanh</v>
          </cell>
        </row>
        <row r="1293">
          <cell r="K1293" t="str">
            <v>Ngô Trần Tú Uyên</v>
          </cell>
        </row>
        <row r="1294">
          <cell r="K1294" t="str">
            <v xml:space="preserve">Phạm Hồng Hải </v>
          </cell>
        </row>
        <row r="1295">
          <cell r="K1295" t="str">
            <v>Nguyễn Ngọc Trâm</v>
          </cell>
        </row>
        <row r="1296">
          <cell r="K1296" t="str">
            <v>Nguyễn Như Quỳnh</v>
          </cell>
        </row>
        <row r="1297">
          <cell r="K1297" t="str">
            <v>Phạm Hà Linh</v>
          </cell>
        </row>
        <row r="1298">
          <cell r="K1298" t="str">
            <v>Nguyễn Quỳnh Hương</v>
          </cell>
        </row>
        <row r="1299">
          <cell r="K1299" t="str">
            <v>Bùi Thu Trang</v>
          </cell>
        </row>
        <row r="1300">
          <cell r="K1300" t="str">
            <v>Ngô Bá Tâm</v>
          </cell>
        </row>
        <row r="1301">
          <cell r="K1301" t="str">
            <v>Nguyễn Thị Thu Huế</v>
          </cell>
        </row>
        <row r="1302">
          <cell r="K1302" t="str">
            <v xml:space="preserve"> Phạm Thùy Mai </v>
          </cell>
        </row>
        <row r="1303">
          <cell r="K1303" t="str">
            <v xml:space="preserve">Vũ Đăng Khiêm </v>
          </cell>
        </row>
        <row r="1304">
          <cell r="K1304" t="str">
            <v xml:space="preserve"> Vũ Thi Ngọc Ánh</v>
          </cell>
        </row>
        <row r="1305">
          <cell r="K1305" t="str">
            <v>Đỗ Minh Ngọc - PT441</v>
          </cell>
        </row>
        <row r="1306">
          <cell r="K1306" t="str">
            <v xml:space="preserve">Nguyễn Như Ngọc </v>
          </cell>
        </row>
        <row r="1307">
          <cell r="K1307" t="str">
            <v>Nguyễn Ngọc Nhi</v>
          </cell>
        </row>
        <row r="1308">
          <cell r="K1308" t="str">
            <v>Phan Trần Ái Hân</v>
          </cell>
        </row>
        <row r="1309">
          <cell r="K1309" t="str">
            <v xml:space="preserve">Nguyễn Thị Mai Liên </v>
          </cell>
        </row>
        <row r="1310">
          <cell r="K1310" t="str">
            <v xml:space="preserve"> Bùi Lan Phương</v>
          </cell>
        </row>
        <row r="1311">
          <cell r="K1311" t="str">
            <v>Trần Nguyên Khang - T457</v>
          </cell>
        </row>
        <row r="1312">
          <cell r="K1312" t="str">
            <v>Nguyễn Cao Bảo Trang</v>
          </cell>
        </row>
        <row r="1313">
          <cell r="K1313" t="str">
            <v>Bùi Mạnh Tuấn - hợp đồng</v>
          </cell>
        </row>
        <row r="1314">
          <cell r="K1314" t="str">
            <v>Bạch Thị Thanh Thùy - PT433</v>
          </cell>
        </row>
        <row r="1315">
          <cell r="K1315" t="str">
            <v>Nguyễn Ngọc Vy</v>
          </cell>
        </row>
        <row r="1316">
          <cell r="K1316" t="str">
            <v>Hồ Tường Vy</v>
          </cell>
        </row>
        <row r="1317">
          <cell r="K1317" t="str">
            <v>Trương Phương Thào</v>
          </cell>
        </row>
        <row r="1318">
          <cell r="K1318" t="str">
            <v xml:space="preserve">Ngô Tuyết Băng </v>
          </cell>
        </row>
        <row r="1319">
          <cell r="K1319" t="str">
            <v>Phạm Tiến Dũng</v>
          </cell>
        </row>
        <row r="1320">
          <cell r="K1320" t="str">
            <v xml:space="preserve">Đinh Hải Lâm </v>
          </cell>
        </row>
        <row r="1321">
          <cell r="K1321" t="str">
            <v xml:space="preserve">Lương Thị Kim Anh  </v>
          </cell>
        </row>
        <row r="1322">
          <cell r="K1322" t="str">
            <v>Nguyễn Thị Kim Ngân</v>
          </cell>
        </row>
        <row r="1323">
          <cell r="K1323" t="str">
            <v xml:space="preserve">Nguyễn Đức Anh </v>
          </cell>
        </row>
        <row r="1324">
          <cell r="K1324" t="str">
            <v xml:space="preserve">Nguyễn Trường An </v>
          </cell>
        </row>
        <row r="1325">
          <cell r="K1325" t="str">
            <v>Cấn Thị Na</v>
          </cell>
        </row>
        <row r="1326">
          <cell r="K1326" t="str">
            <v>Nguyễn Hà Linh</v>
          </cell>
        </row>
        <row r="1327">
          <cell r="K1327" t="str">
            <v>Nguyễn Thị Hương Trà</v>
          </cell>
        </row>
        <row r="1328">
          <cell r="K1328" t="str">
            <v>Bùi Gia Quang</v>
          </cell>
        </row>
        <row r="1329">
          <cell r="K1329" t="str">
            <v>Nguyễn Minh Trí</v>
          </cell>
        </row>
        <row r="1330">
          <cell r="K1330" t="str">
            <v xml:space="preserve">Nguyễn Viết Phú An </v>
          </cell>
        </row>
        <row r="1331">
          <cell r="K1331" t="str">
            <v>Nguyễn Công Tùng</v>
          </cell>
        </row>
        <row r="1332">
          <cell r="K1332" t="str">
            <v>Nguyễn Thành Long</v>
          </cell>
        </row>
        <row r="1333">
          <cell r="K1333" t="str">
            <v>Phong Huy Đạt - Bạch tuộc nướng. HV thứ 11</v>
          </cell>
        </row>
        <row r="1334">
          <cell r="K1334" t="str">
            <v xml:space="preserve">Lê Thị Ngọc Huyền </v>
          </cell>
        </row>
        <row r="1335">
          <cell r="K1335" t="str">
            <v>Nguyễn Thị Mai Quyên - hợp đồng</v>
          </cell>
        </row>
        <row r="1336">
          <cell r="K1336" t="str">
            <v>Vũ Thịnh Hưng</v>
          </cell>
        </row>
        <row r="1337">
          <cell r="K1337" t="str">
            <v xml:space="preserve"> Trần Duy Khánh- bill chung Khiêm</v>
          </cell>
        </row>
        <row r="1338">
          <cell r="K1338" t="str">
            <v>Nguyễn Đức Khiêm - bill chung Khánh</v>
          </cell>
        </row>
        <row r="1339">
          <cell r="K1339" t="str">
            <v>Phạm Văn Đức</v>
          </cell>
        </row>
        <row r="1340">
          <cell r="K1340" t="str">
            <v>khuất thị diệu hương</v>
          </cell>
        </row>
        <row r="1341">
          <cell r="K1341" t="str">
            <v>Phạm Hoài Thương</v>
          </cell>
        </row>
        <row r="1342">
          <cell r="K1342" t="str">
            <v>Phạm Hải Yến</v>
          </cell>
        </row>
        <row r="1343">
          <cell r="K1343" t="str">
            <v>Phạm Thùy Trang - PT445</v>
          </cell>
        </row>
        <row r="1344">
          <cell r="K1344" t="str">
            <v>Trần Bảo Long</v>
          </cell>
        </row>
        <row r="1345">
          <cell r="K1345" t="str">
            <v xml:space="preserve">Bùi Hải Yến </v>
          </cell>
        </row>
        <row r="1346">
          <cell r="K1346" t="str">
            <v>Phạm Ngọc Duy - hợp đồng</v>
          </cell>
        </row>
        <row r="1347">
          <cell r="K1347" t="str">
            <v>Trần Phương Chi</v>
          </cell>
        </row>
        <row r="1348">
          <cell r="K1348" t="str">
            <v>Phạm Trần Ngọc Anh</v>
          </cell>
        </row>
        <row r="1349">
          <cell r="K1349" t="str">
            <v>Đào Hoàng Liên</v>
          </cell>
        </row>
        <row r="1350">
          <cell r="K1350" t="str">
            <v>Phạm Thị Thanh Hằng</v>
          </cell>
        </row>
        <row r="1351">
          <cell r="K1351" t="str">
            <v>Nguyễn Thị Thanh Nhàn</v>
          </cell>
        </row>
        <row r="1352">
          <cell r="K1352" t="str">
            <v>Lương Đinh Khánh</v>
          </cell>
        </row>
        <row r="1353">
          <cell r="K1353" t="str">
            <v>Nguyễn Trà My - T468</v>
          </cell>
        </row>
        <row r="1354">
          <cell r="K1354" t="str">
            <v>Nguyễn Thị Linh Nga</v>
          </cell>
        </row>
        <row r="1355">
          <cell r="K1355" t="str">
            <v xml:space="preserve">Đoàn Lê Anh Thư </v>
          </cell>
        </row>
        <row r="1356">
          <cell r="K1356" t="str">
            <v>Nguyễn Xuân Lâm Anh - hv thứ 10 - Суан Пам Ань</v>
          </cell>
        </row>
        <row r="1357">
          <cell r="K1357" t="str">
            <v xml:space="preserve"> Mai Yến Nhi - Đã hoàn cọc 02/06/2026</v>
          </cell>
        </row>
        <row r="1358">
          <cell r="K1358" t="str">
            <v>Trần Thị Bảo Vân</v>
          </cell>
        </row>
        <row r="1359">
          <cell r="K1359" t="str">
            <v>Hoàng Ngọc Minh</v>
          </cell>
        </row>
        <row r="1360">
          <cell r="K1360" t="str">
            <v>Nguyễn Thị Hương Thuỳ</v>
          </cell>
        </row>
        <row r="1361">
          <cell r="K1361" t="str">
            <v>Nguyễn Trần Ngọc Trâm</v>
          </cell>
        </row>
        <row r="1362">
          <cell r="K1362" t="str">
            <v xml:space="preserve">Nguyễn Bá Trà My </v>
          </cell>
        </row>
        <row r="1363">
          <cell r="K1363" t="str">
            <v>Nguyễn Thuỳ Trang - T472,T471</v>
          </cell>
        </row>
        <row r="1364">
          <cell r="K1364" t="str">
            <v>Cao Thuỳ Dung</v>
          </cell>
        </row>
        <row r="1365">
          <cell r="K1365" t="str">
            <v>Nguyễn Thuỳ Linh</v>
          </cell>
        </row>
        <row r="1366">
          <cell r="K1366" t="str">
            <v>Trần Minh Phú</v>
          </cell>
        </row>
        <row r="1367">
          <cell r="K1367" t="str">
            <v>Nguyễn Trường Sơn</v>
          </cell>
        </row>
        <row r="1368">
          <cell r="K1368" t="str">
            <v>Phạm Ngọc Như Quỳnh</v>
          </cell>
        </row>
        <row r="1369">
          <cell r="K1369" t="str">
            <v>Đinh Công Minh</v>
          </cell>
        </row>
        <row r="1370">
          <cell r="K1370" t="str">
            <v>Lê Trần Hoài Nam - PT443</v>
          </cell>
        </row>
        <row r="1371">
          <cell r="K1371" t="str">
            <v xml:space="preserve">Đoàn Công Đăng Khôi </v>
          </cell>
        </row>
        <row r="1372">
          <cell r="K1372" t="str">
            <v>Nguyễn Thuý Hường</v>
          </cell>
        </row>
        <row r="1373">
          <cell r="K1373" t="str">
            <v>Trương Thị Thúy Hằng</v>
          </cell>
        </row>
        <row r="1374">
          <cell r="K1374" t="str">
            <v>Lê Thị Như Ý</v>
          </cell>
        </row>
        <row r="1375">
          <cell r="K1375" t="str">
            <v>Lê Tiến Cường Thịnh</v>
          </cell>
        </row>
        <row r="1376">
          <cell r="K1376" t="str">
            <v>Vũ Thanh An - PT445 hv thứ 12</v>
          </cell>
        </row>
        <row r="1377">
          <cell r="K1377" t="str">
            <v>Hoàng Thị Như Hoài</v>
          </cell>
        </row>
        <row r="1378">
          <cell r="K1378" t="str">
            <v xml:space="preserve">Lại Văn Hưng </v>
          </cell>
        </row>
        <row r="1379">
          <cell r="K1379" t="str">
            <v>Trương Thị Cẩm Tú - 983236722 sđt bố</v>
          </cell>
        </row>
        <row r="1380">
          <cell r="K1380" t="str">
            <v>Nguyễn Thị Quỳnh Anh số zalo : 0853531676 - hợp đồng</v>
          </cell>
        </row>
        <row r="1381">
          <cell r="K1381" t="str">
            <v>Nguyễn Thuỵ Tuệ Minh</v>
          </cell>
        </row>
        <row r="1382">
          <cell r="K1382" t="str">
            <v xml:space="preserve">Huỳnh Thảo Vy </v>
          </cell>
        </row>
        <row r="1383">
          <cell r="K1383" t="str">
            <v>Nguyễn Minh Khánh - OPT116, PT428 rút sát giờ KG</v>
          </cell>
        </row>
        <row r="1384">
          <cell r="K1384" t="str">
            <v>Lưu Thanh Thảo</v>
          </cell>
        </row>
        <row r="1385">
          <cell r="K1385" t="str">
            <v>Phạm Tuấn Đạt</v>
          </cell>
        </row>
        <row r="1386">
          <cell r="K1386" t="str">
            <v xml:space="preserve">Nguyễn Thị Khánh Xuân </v>
          </cell>
        </row>
        <row r="1387">
          <cell r="K1387" t="str">
            <v>Đào Tiến Dũng</v>
          </cell>
        </row>
        <row r="1388">
          <cell r="K1388" t="str">
            <v xml:space="preserve">Tăng Tuấn Anh </v>
          </cell>
        </row>
        <row r="1389">
          <cell r="K1389" t="str">
            <v>Lê Mỹ Trân</v>
          </cell>
        </row>
        <row r="1390">
          <cell r="K1390" t="str">
            <v>Long Thị Hồng Duyên</v>
          </cell>
        </row>
        <row r="1391">
          <cell r="K1391" t="str">
            <v>Dương Quốc Phong</v>
          </cell>
        </row>
        <row r="1392">
          <cell r="K1392" t="str">
            <v>Đỗ Kiều Linh Phương</v>
          </cell>
        </row>
        <row r="1393">
          <cell r="K1393" t="str">
            <v>Nguyễn Trường Giang - PT450</v>
          </cell>
        </row>
        <row r="1394">
          <cell r="K1394" t="str">
            <v>Ngô Thị Khánh Chi - Chy Khn</v>
          </cell>
        </row>
        <row r="1395">
          <cell r="K1395" t="str">
            <v>Nguyễn Thị Hà Ly</v>
          </cell>
        </row>
        <row r="1396">
          <cell r="K1396" t="str">
            <v xml:space="preserve">Đỗ Phương Thảo </v>
          </cell>
        </row>
        <row r="1397">
          <cell r="K1397" t="str">
            <v>Trần Thị Ánh  PT444, T474 - hv thứ 10</v>
          </cell>
        </row>
        <row r="1398">
          <cell r="K1398" t="str">
            <v>Mang Thanh Trực</v>
          </cell>
        </row>
        <row r="1399">
          <cell r="K1399" t="str">
            <v>Nguyễn Thị Lan Phương - PT444 hv thứ 10</v>
          </cell>
        </row>
        <row r="1400">
          <cell r="K1400" t="str">
            <v>Nguyễn Xuân Tài Tùng</v>
          </cell>
        </row>
        <row r="1401">
          <cell r="K1401" t="str">
            <v>Nguyễn Hồng Nhung</v>
          </cell>
        </row>
        <row r="1402">
          <cell r="K1402" t="str">
            <v>Nguyễn Thị Trung Hiếu</v>
          </cell>
        </row>
        <row r="1403">
          <cell r="K1403" t="str">
            <v>Nguyễn Mai Trà My</v>
          </cell>
        </row>
        <row r="1404">
          <cell r="K1404" t="str">
            <v>Nguyễn Thị Minh Phương - Xuan Nhi</v>
          </cell>
        </row>
        <row r="1405">
          <cell r="K1405" t="str">
            <v>Dương Thị Diệu Bình</v>
          </cell>
        </row>
        <row r="1406">
          <cell r="K1406" t="str">
            <v>Đặng Mỹ Duyên - PT442. Bạch Tuộc Nướngg</v>
          </cell>
        </row>
        <row r="1407">
          <cell r="K1407" t="str">
            <v>Nguyễn Minh Trang - hv thứ 13</v>
          </cell>
        </row>
        <row r="1408">
          <cell r="K1408" t="str">
            <v>Nguyễn Khánh Ly</v>
          </cell>
        </row>
        <row r="1409">
          <cell r="K1409" t="str">
            <v>Nguyễn Văn Đạt</v>
          </cell>
        </row>
        <row r="1410">
          <cell r="K1410" t="str">
            <v>Đào Duy Minh</v>
          </cell>
        </row>
        <row r="1411">
          <cell r="K1411" t="str">
            <v>Hồ Võ Bảo Thi</v>
          </cell>
        </row>
        <row r="1412">
          <cell r="K1412" t="str">
            <v>Nguyễn Thanh Trúc</v>
          </cell>
        </row>
        <row r="1413">
          <cell r="K1413" t="str">
            <v xml:space="preserve"> Kiều Huyền Trang - 0363380783 sđt nhận sách - 
May Bay Bay - PT448 tự rời nhóm</v>
          </cell>
        </row>
        <row r="1414">
          <cell r="K1414" t="str">
            <v>Nguyễn Phạm Khánh Huyền</v>
          </cell>
        </row>
        <row r="1415">
          <cell r="K1415" t="str">
            <v>Hoàng Kim Trơn - hv thứ 11</v>
          </cell>
        </row>
        <row r="1416">
          <cell r="K1416" t="str">
            <v>Trần Ngọc Mai Thuỳ</v>
          </cell>
        </row>
        <row r="1417">
          <cell r="K1417" t="str">
            <v>Nguyễn Hải Anh</v>
          </cell>
        </row>
        <row r="1418">
          <cell r="K1418" t="str">
            <v>Nguyễn Đức Nhật</v>
          </cell>
        </row>
        <row r="1419">
          <cell r="K1419" t="str">
            <v>Phạm Thị Khánh Huyền</v>
          </cell>
        </row>
        <row r="1420">
          <cell r="K1420" t="str">
            <v xml:space="preserve">Đỗ Thị Ngọc Anh </v>
          </cell>
        </row>
        <row r="1421">
          <cell r="K1421" t="str">
            <v>Trần Thanh Tuyền</v>
          </cell>
        </row>
        <row r="1422">
          <cell r="K1422" t="str">
            <v xml:space="preserve">Nguyễn Mai Thùy Nhung </v>
          </cell>
        </row>
        <row r="1423">
          <cell r="K1423" t="str">
            <v>Nguyễn Ngọc Nương</v>
          </cell>
        </row>
        <row r="1424">
          <cell r="K1424" t="str">
            <v>Phan Hà Trang</v>
          </cell>
        </row>
        <row r="1425">
          <cell r="K1425" t="str">
            <v>Nông Ngọc Mai</v>
          </cell>
        </row>
        <row r="1426">
          <cell r="K1426" t="str">
            <v>Nguyễn Thị Minh Nguyên</v>
          </cell>
        </row>
        <row r="1427">
          <cell r="K1427" t="str">
            <v>Lê Thị Huyền</v>
          </cell>
        </row>
        <row r="1428">
          <cell r="K1428" t="str">
            <v>Phạm Thanh Tùng</v>
          </cell>
        </row>
        <row r="1429">
          <cell r="K1429" t="str">
            <v xml:space="preserve"> Hà Thị Hải Minh </v>
          </cell>
        </row>
        <row r="1430">
          <cell r="K1430" t="str">
            <v>Nguyễn Thị Hồng Vân</v>
          </cell>
        </row>
        <row r="1431">
          <cell r="K1431" t="str">
            <v>Đậu Bá Học</v>
          </cell>
        </row>
        <row r="1432">
          <cell r="K1432" t="str">
            <v>Nguyễn Ngọc Giàu</v>
          </cell>
        </row>
        <row r="1433">
          <cell r="K1433" t="str">
            <v>Nguyễn Thị Hồng Nhung</v>
          </cell>
        </row>
        <row r="1434">
          <cell r="K1434" t="str">
            <v xml:space="preserve">Đào Thị Xuân Mai </v>
          </cell>
        </row>
        <row r="1435">
          <cell r="K1435" t="str">
            <v>Đào Bích Hằng</v>
          </cell>
        </row>
        <row r="1436">
          <cell r="K1436" t="str">
            <v>Nguyễn Lê Mai Anh</v>
          </cell>
        </row>
        <row r="1437">
          <cell r="K1437" t="str">
            <v>Nguyễn Thu Huyền</v>
          </cell>
        </row>
        <row r="1438">
          <cell r="K1438" t="str">
            <v xml:space="preserve">Thân Đặng Phương Linh </v>
          </cell>
        </row>
        <row r="1439">
          <cell r="K1439" t="str">
            <v xml:space="preserve">Chu Thanh Tùng </v>
          </cell>
        </row>
        <row r="1440">
          <cell r="K1440" t="str">
            <v>Trần Thị Thương - PT432</v>
          </cell>
        </row>
        <row r="1441">
          <cell r="K1441" t="str">
            <v>Lê Hoàng Thanh Thảo zalo 0377613539</v>
          </cell>
        </row>
        <row r="1442">
          <cell r="K1442" t="str">
            <v>Trần Hoàng Thu Thủy - PT444 hv thứ 14</v>
          </cell>
        </row>
        <row r="1443">
          <cell r="K1443" t="str">
            <v>Hoàng Thị Hằng</v>
          </cell>
        </row>
        <row r="1444">
          <cell r="K1444" t="str">
            <v>Nguyễn Đăng Nam</v>
          </cell>
        </row>
        <row r="1445">
          <cell r="K1445" t="str">
            <v xml:space="preserve">Nguyễn Hương Giang </v>
          </cell>
        </row>
        <row r="1446">
          <cell r="K1446" t="str">
            <v>Trình Nguyễn Mai Phương</v>
          </cell>
        </row>
        <row r="1447">
          <cell r="K1447" t="str">
            <v>Đỗ Kim Ngân</v>
          </cell>
        </row>
        <row r="1448">
          <cell r="K1448" t="str">
            <v xml:space="preserve">Nguyễn Hải Mai Phương </v>
          </cell>
        </row>
        <row r="1449">
          <cell r="K1449" t="str">
            <v xml:space="preserve">Phạm Đình Bộ </v>
          </cell>
        </row>
        <row r="1450">
          <cell r="K1450" t="str">
            <v>Trần Văn Mạnh</v>
          </cell>
        </row>
        <row r="1451">
          <cell r="K1451" t="str">
            <v xml:space="preserve">Trần Thị Dung </v>
          </cell>
        </row>
        <row r="1452">
          <cell r="K1452" t="str">
            <v xml:space="preserve">Bùi Nguyễn Khánh Ly </v>
          </cell>
        </row>
        <row r="1453">
          <cell r="K1453" t="str">
            <v xml:space="preserve">Phạm Quang Huy </v>
          </cell>
        </row>
        <row r="1454">
          <cell r="K1454" t="str">
            <v>Lê Thu Hà</v>
          </cell>
        </row>
        <row r="1455">
          <cell r="K1455" t="str">
            <v>Nguyễn Thị Thuỷ</v>
          </cell>
        </row>
        <row r="1456">
          <cell r="K1456" t="str">
            <v>Nguyễn Thị Diệu Hiền</v>
          </cell>
        </row>
        <row r="1457">
          <cell r="K1457" t="str">
            <v>Nguyễn Diệu Hiền</v>
          </cell>
        </row>
        <row r="1458">
          <cell r="K1458" t="str">
            <v>Vũ Thị Ngọc Lan</v>
          </cell>
        </row>
        <row r="1459">
          <cell r="K1459" t="str">
            <v>Trần Nguyên Thy</v>
          </cell>
        </row>
        <row r="1460">
          <cell r="K1460" t="str">
            <v xml:space="preserve">Nguyễn Thị Mai Trang </v>
          </cell>
        </row>
        <row r="1461">
          <cell r="K1461" t="str">
            <v>Trần Văn Mỹ Ngọc - PT448 tự rời nhóm</v>
          </cell>
        </row>
        <row r="1462">
          <cell r="K1462" t="str">
            <v>Lưu Ngọc Hiển - T470</v>
          </cell>
        </row>
        <row r="1463">
          <cell r="K1463" t="str">
            <v>Nguyễn Thị Huyền Trang - PT444 hv thứ 14
- PT448 tự rời nhóm</v>
          </cell>
        </row>
        <row r="1464">
          <cell r="K1464" t="str">
            <v xml:space="preserve">Nguyễn Hữu Tiến </v>
          </cell>
        </row>
        <row r="1465">
          <cell r="K1465" t="str">
            <v>Trần Tuyết Mai</v>
          </cell>
        </row>
        <row r="1466">
          <cell r="K1466" t="str">
            <v>Nguyễn Văn Thành Đạt - PT428</v>
          </cell>
        </row>
        <row r="1467">
          <cell r="K1467" t="str">
            <v>Huỳnh Hà Trúc Lý</v>
          </cell>
        </row>
        <row r="1468">
          <cell r="K1468" t="str">
            <v xml:space="preserve">Đỗ Quỳnh Anh </v>
          </cell>
        </row>
        <row r="1469">
          <cell r="K1469" t="str">
            <v xml:space="preserve">Cao Thùy Vân </v>
          </cell>
        </row>
        <row r="1470">
          <cell r="K1470" t="str">
            <v xml:space="preserve">Phạm Thị Như Quỳnh </v>
          </cell>
        </row>
        <row r="1471">
          <cell r="K1471" t="str">
            <v>Phạm Văn Hoài Nam</v>
          </cell>
        </row>
        <row r="1472">
          <cell r="K1472" t="str">
            <v>Đỗ Linh Nhi</v>
          </cell>
        </row>
        <row r="1473">
          <cell r="K1473" t="str">
            <v>Phan Thị Duyên</v>
          </cell>
        </row>
        <row r="1474">
          <cell r="K1474" t="str">
            <v>Đào Thị Thuỳ Linh</v>
          </cell>
        </row>
        <row r="1475">
          <cell r="K1475" t="str">
            <v>Phạm Đức Hiếu - Up trước b8</v>
          </cell>
        </row>
        <row r="1476">
          <cell r="K1476" t="str">
            <v>Nguyễn Sử Bích Ngân - hợp đồng</v>
          </cell>
        </row>
        <row r="1477">
          <cell r="K1477" t="str">
            <v>Bùi Ngô Quỳnh Trang</v>
          </cell>
        </row>
        <row r="1478">
          <cell r="K1478" t="str">
            <v>Nguyễn Lệ Quyên - PT448</v>
          </cell>
        </row>
        <row r="1479">
          <cell r="K1479" t="str">
            <v>Nguyễn Thị Tú Liên</v>
          </cell>
        </row>
        <row r="1480">
          <cell r="K1480" t="str">
            <v>Phạm Thị Thanh Hằng - Hoàn cọc 15/06/26</v>
          </cell>
        </row>
        <row r="1481">
          <cell r="K1481" t="str">
            <v xml:space="preserve">Lại Thu Thuỷ </v>
          </cell>
        </row>
        <row r="1482">
          <cell r="K1482" t="str">
            <v>Vũ Thị Thảo</v>
          </cell>
        </row>
        <row r="1483">
          <cell r="K1483" t="str">
            <v>Trần Diệu Linh</v>
          </cell>
        </row>
        <row r="1484">
          <cell r="K1484" t="str">
            <v xml:space="preserve">Lương Thùy Trang </v>
          </cell>
        </row>
        <row r="1485">
          <cell r="K1485" t="str">
            <v xml:space="preserve">Phùng Thị Thu Phương </v>
          </cell>
        </row>
        <row r="1486">
          <cell r="K1486" t="str">
            <v>Hoàng Gia Nhi</v>
          </cell>
        </row>
        <row r="1487">
          <cell r="K1487" t="str">
            <v>Phạm Trung Hoàng</v>
          </cell>
        </row>
        <row r="1488">
          <cell r="K1488" t="str">
            <v>Trịnh Ngọc Vy Thảo</v>
          </cell>
        </row>
        <row r="1489">
          <cell r="K1489" t="str">
            <v>Đinh Nguyễn Hà Anh</v>
          </cell>
        </row>
        <row r="1490">
          <cell r="K1490" t="str">
            <v>Nguyễn Phương Doan</v>
          </cell>
        </row>
        <row r="1491">
          <cell r="K1491" t="str">
            <v>Nguyễn Yến Nhi</v>
          </cell>
        </row>
        <row r="1492">
          <cell r="K1492" t="str">
            <v>Nguyễn Minh Thư</v>
          </cell>
        </row>
        <row r="1493">
          <cell r="K1493" t="str">
            <v xml:space="preserve">Nguyễn Trần Yến Nhi </v>
          </cell>
        </row>
        <row r="1494">
          <cell r="K1494" t="str">
            <v xml:space="preserve">Nguyễn Quang Danh </v>
          </cell>
        </row>
        <row r="1495">
          <cell r="K1495" t="str">
            <v>Nguyễn Bảo Nhi</v>
          </cell>
        </row>
        <row r="1496">
          <cell r="K1496" t="str">
            <v>Hà Diệu Mai Anh</v>
          </cell>
        </row>
        <row r="1497">
          <cell r="K1497" t="str">
            <v xml:space="preserve">Nguyễn Thị Ngọc Ánh </v>
          </cell>
        </row>
        <row r="1498">
          <cell r="K1498" t="str">
            <v>Phạm Anh Tuấn</v>
          </cell>
        </row>
        <row r="1499">
          <cell r="K1499" t="str">
            <v>Nguyễn Thị Kim Ngân - hợp đồng</v>
          </cell>
        </row>
        <row r="1500">
          <cell r="K1500" t="str">
            <v>Nguyễn Đức Phúc</v>
          </cell>
        </row>
        <row r="1501">
          <cell r="K1501" t="str">
            <v>Nguyễn Thị Thanh Hiền</v>
          </cell>
        </row>
        <row r="1502">
          <cell r="K1502" t="str">
            <v>Lê Xuân Bắc - PT448</v>
          </cell>
        </row>
        <row r="1503">
          <cell r="K1503" t="str">
            <v>Bùi Hà Ngân</v>
          </cell>
        </row>
        <row r="1504">
          <cell r="K1504" t="str">
            <v xml:space="preserve"> Hồ Thị Ánh Phúc</v>
          </cell>
        </row>
        <row r="1505">
          <cell r="K1505" t="str">
            <v>Giáp Thị Thu Chúc</v>
          </cell>
        </row>
        <row r="1506">
          <cell r="K1506" t="str">
            <v>Nguyễn Công Khiêm</v>
          </cell>
        </row>
        <row r="1507">
          <cell r="K1507" t="str">
            <v>Cao Văn Hoàng</v>
          </cell>
        </row>
        <row r="1508">
          <cell r="K1508" t="str">
            <v xml:space="preserve">Nguyễn Thị Quỳnh Như </v>
          </cell>
        </row>
        <row r="1509">
          <cell r="K1509" t="str">
            <v xml:space="preserve">Hoàng Thị Phương Thanh </v>
          </cell>
        </row>
        <row r="1510">
          <cell r="K1510" t="str">
            <v>Nguyễn Thị Thuỳ Dương - OT128 Chưa học phí</v>
          </cell>
        </row>
        <row r="1511">
          <cell r="K1511" t="str">
            <v>Chu Thị Thanh Hằng - OT128 Chưa học phí</v>
          </cell>
        </row>
        <row r="1512">
          <cell r="K1512" t="str">
            <v xml:space="preserve">Dương Thị Thanh Hương </v>
          </cell>
        </row>
        <row r="1513">
          <cell r="K1513" t="str">
            <v xml:space="preserve">Hoàng Đức Mạnh </v>
          </cell>
        </row>
        <row r="1514">
          <cell r="K1514" t="str">
            <v>Dương Thị Quỳnh</v>
          </cell>
        </row>
        <row r="1515">
          <cell r="K1515" t="str">
            <v xml:space="preserve">Trần Thị Phương Anh </v>
          </cell>
        </row>
        <row r="1516">
          <cell r="K1516" t="str">
            <v>Vũ Quỳnh Như</v>
          </cell>
        </row>
        <row r="1517">
          <cell r="K1517" t="str">
            <v>Diệp Yến Nhi - OT129</v>
          </cell>
        </row>
        <row r="1518">
          <cell r="K1518" t="str">
            <v>Nguyễn Trần Ánh Minh OT130 - Chưa học phí</v>
          </cell>
        </row>
        <row r="1519">
          <cell r="K1519" t="str">
            <v xml:space="preserve">Đỗ Thị Thu Hằng </v>
          </cell>
        </row>
        <row r="1520">
          <cell r="K1520" t="str">
            <v>Hoàng Thị Hoài Linh - PT442</v>
          </cell>
        </row>
        <row r="1521">
          <cell r="K1521" t="str">
            <v>Nguyễn Đỗ Bảo Anh</v>
          </cell>
        </row>
        <row r="1522">
          <cell r="K1522" t="str">
            <v xml:space="preserve">Phan Đức Phúc </v>
          </cell>
        </row>
        <row r="1523">
          <cell r="K1523" t="str">
            <v>Nguyễn Yến Nhi</v>
          </cell>
        </row>
        <row r="1524">
          <cell r="K1524" t="str">
            <v xml:space="preserve">Nguyễn Viết Anh </v>
          </cell>
        </row>
        <row r="1525">
          <cell r="K1525" t="str">
            <v>Nguyễn Minh Phúc</v>
          </cell>
        </row>
        <row r="1526">
          <cell r="K1526" t="str">
            <v>Trần Nguyễn Minh An</v>
          </cell>
        </row>
        <row r="1527">
          <cell r="K1527" t="str">
            <v>Lê Minh Thu - PT447 rời nhóm</v>
          </cell>
        </row>
        <row r="1528">
          <cell r="K1528" t="str">
            <v>Biện Thanh Mai</v>
          </cell>
        </row>
        <row r="1529">
          <cell r="K1529" t="str">
            <v>Phạm Hữu Đăng Khoa</v>
          </cell>
        </row>
        <row r="1530">
          <cell r="K1530" t="str">
            <v>Trần Đức Khang</v>
          </cell>
        </row>
        <row r="1531">
          <cell r="K1531" t="str">
            <v>Nguyễn Sỹ Hùng</v>
          </cell>
        </row>
        <row r="1532">
          <cell r="K1532" t="str">
            <v>Đỗ Hải Đăng - hv thứ 11</v>
          </cell>
        </row>
        <row r="1533">
          <cell r="K1533" t="str">
            <v xml:space="preserve">Nguyễn Thị Thúy Hường </v>
          </cell>
        </row>
        <row r="1534">
          <cell r="K1534" t="str">
            <v xml:space="preserve">Nguyễn Hữu Hùng  </v>
          </cell>
        </row>
        <row r="1535">
          <cell r="K1535" t="str">
            <v xml:space="preserve">Phạm Quang Nguyên  </v>
          </cell>
        </row>
        <row r="1536">
          <cell r="K1536" t="str">
            <v>Nguyễn Quỳnh Anh</v>
          </cell>
        </row>
        <row r="1537">
          <cell r="K1537" t="str">
            <v>Nguyễn Lệ Chi</v>
          </cell>
        </row>
        <row r="1538">
          <cell r="K1538" t="str">
            <v>Trần Quang Long</v>
          </cell>
        </row>
        <row r="1539">
          <cell r="K1539" t="str">
            <v>Bùi Hải Quang</v>
          </cell>
        </row>
        <row r="1540">
          <cell r="K1540" t="str">
            <v>Đỗ Gia Huy</v>
          </cell>
        </row>
        <row r="1541">
          <cell r="K1541" t="str">
            <v xml:space="preserve">Đặng Minh Thư          </v>
          </cell>
        </row>
        <row r="1542">
          <cell r="K1542" t="str">
            <v>Nguyễn Thu Trang</v>
          </cell>
        </row>
        <row r="1543">
          <cell r="K1543" t="str">
            <v>Nguyễn Đức Duy - PT459</v>
          </cell>
        </row>
        <row r="1544">
          <cell r="K1544" t="str">
            <v>Nguyễn Thanh Mai Khánh</v>
          </cell>
        </row>
        <row r="1545">
          <cell r="K1545" t="str">
            <v>Nguyễn Phương Linh</v>
          </cell>
        </row>
        <row r="1546">
          <cell r="K1546" t="str">
            <v>An Thuỳ Dung - hợp đồng - PT208</v>
          </cell>
        </row>
        <row r="1547">
          <cell r="K1547" t="str">
            <v xml:space="preserve">Thèn Như Loan- bạn ck 2 bill 50k </v>
          </cell>
        </row>
        <row r="1548">
          <cell r="K1548" t="str">
            <v>Đào Văn Dũng - PT450</v>
          </cell>
        </row>
        <row r="1549">
          <cell r="K1549" t="str">
            <v>Phan Nguyễn Tuấn Anh</v>
          </cell>
        </row>
        <row r="1550">
          <cell r="K1550" t="str">
            <v>Nguyễn Hoàng Thanh</v>
          </cell>
        </row>
        <row r="1551">
          <cell r="K1551" t="str">
            <v>Nguyễn Thị Ngân</v>
          </cell>
        </row>
        <row r="1552">
          <cell r="K1552" t="str">
            <v>Nguyễn Khánh Huyền</v>
          </cell>
        </row>
        <row r="1553">
          <cell r="K1553" t="str">
            <v xml:space="preserve">Bùi Thế Vinh </v>
          </cell>
        </row>
        <row r="1554">
          <cell r="K1554" t="str">
            <v xml:space="preserve">Võ Ngọc Cát Tường </v>
          </cell>
        </row>
        <row r="1555">
          <cell r="K1555" t="str">
            <v xml:space="preserve"> Phan Ngọc Thanh Vy - 
V. Thỏ</v>
          </cell>
        </row>
        <row r="1556">
          <cell r="K1556" t="str">
            <v xml:space="preserve">Đào Thị Thanh Loan                   </v>
          </cell>
        </row>
        <row r="1557">
          <cell r="K1557" t="str">
            <v>Nguyễn Đặng Công Vinh - hợp đồng</v>
          </cell>
        </row>
        <row r="1558">
          <cell r="K1558" t="str">
            <v>Vũ Ngọc Huyền</v>
          </cell>
        </row>
        <row r="1559">
          <cell r="K1559" t="str">
            <v>Lương Thị Ngọc Lan - OVIP94 Chưa học phí</v>
          </cell>
        </row>
        <row r="1560">
          <cell r="K1560" t="str">
            <v>Trương Thị Ngọc Hà</v>
          </cell>
        </row>
        <row r="1561">
          <cell r="K1561" t="str">
            <v>Vũ Minh Đức - T476 hợp đồng
KG 1b báo rút</v>
          </cell>
        </row>
        <row r="1562">
          <cell r="K1562" t="str">
            <v>Nguyễn Minh Đức - PT453</v>
          </cell>
        </row>
        <row r="1563">
          <cell r="K1563" t="str">
            <v>Thào Thị Dông - T471, T479</v>
          </cell>
        </row>
        <row r="1564">
          <cell r="K1564" t="str">
            <v>Ngô Hồ Hảo Uyên</v>
          </cell>
        </row>
        <row r="1565">
          <cell r="K1565" t="str">
            <v>Phạm Lê Trung Hiếu - hv thứ15</v>
          </cell>
        </row>
        <row r="1566">
          <cell r="K1566" t="str">
            <v>Nguyễn Ngọc Bảo Thy</v>
          </cell>
        </row>
        <row r="1567">
          <cell r="K1567" t="str">
            <v>Nguyễn Thị Bảo Ngọc - PT442</v>
          </cell>
        </row>
        <row r="1568">
          <cell r="K1568" t="str">
            <v xml:space="preserve"> Nguyễn Văn An</v>
          </cell>
        </row>
        <row r="1569">
          <cell r="K1569" t="str">
            <v xml:space="preserve">Đinh Thị Huyền Trang </v>
          </cell>
        </row>
        <row r="1570">
          <cell r="K1570" t="str">
            <v>Trần Hà Anh</v>
          </cell>
        </row>
        <row r="1571">
          <cell r="K1571" t="str">
            <v>Mai Minh Hoà</v>
          </cell>
        </row>
        <row r="1572">
          <cell r="K1572" t="str">
            <v>Cao Văn Phú</v>
          </cell>
        </row>
        <row r="1573">
          <cell r="K1573" t="str">
            <v>Tôn Thị Hải Yến</v>
          </cell>
        </row>
        <row r="1574">
          <cell r="K1574" t="str">
            <v>Lê Thị Mỹ Hạnh</v>
          </cell>
        </row>
        <row r="1575">
          <cell r="K1575" t="str">
            <v>Vũ Hồng Nhung - PT447</v>
          </cell>
        </row>
        <row r="1576">
          <cell r="K1576" t="str">
            <v>Lê Thị Quỳnh Anh</v>
          </cell>
        </row>
        <row r="1577">
          <cell r="K1577" t="str">
            <v>Đinh Thị Thu Hồng</v>
          </cell>
        </row>
        <row r="1578">
          <cell r="K1578" t="str">
            <v>Bùi Hoàng Duy Thái - PT447</v>
          </cell>
        </row>
        <row r="1579">
          <cell r="K1579" t="str">
            <v>Trần Minh Hoàng - Hoàn cọc 12/06/2026</v>
          </cell>
        </row>
        <row r="1580">
          <cell r="K1580" t="str">
            <v>Nguyễn Thị Hương Giang</v>
          </cell>
        </row>
        <row r="1581">
          <cell r="K1581" t="str">
            <v>Lương Thị Thanh Mai</v>
          </cell>
        </row>
        <row r="1582">
          <cell r="K1582" t="str">
            <v>Lưu Chí Bảo</v>
          </cell>
        </row>
        <row r="1583">
          <cell r="K1583" t="str">
            <v>Lê Quốc Vũ - gửi chung S,W</v>
          </cell>
        </row>
        <row r="1584">
          <cell r="K1584" t="str">
            <v>Hoàng Vũ Ngọc Oanh - hợp đồng</v>
          </cell>
        </row>
        <row r="1585">
          <cell r="K1585" t="str">
            <v xml:space="preserve">Nguyễn Hoàng ngọc Thảo </v>
          </cell>
        </row>
        <row r="1586">
          <cell r="K1586" t="str">
            <v>Đặng Hương Giang</v>
          </cell>
        </row>
        <row r="1587">
          <cell r="K1587" t="str">
            <v>Mai Mạnh Cường</v>
          </cell>
        </row>
        <row r="1588">
          <cell r="K1588" t="str">
            <v>Đặng Ngô Ý Vy - hv thứ 17</v>
          </cell>
        </row>
        <row r="1589">
          <cell r="K1589" t="str">
            <v xml:space="preserve">Nguyễn Thị Phương Thảo </v>
          </cell>
        </row>
        <row r="1590">
          <cell r="K1590" t="str">
            <v xml:space="preserve">Phạm Thanh Thủy </v>
          </cell>
        </row>
        <row r="1591">
          <cell r="K1591" t="str">
            <v xml:space="preserve">Bùi Minh Trang </v>
          </cell>
        </row>
        <row r="1592">
          <cell r="K1592" t="str">
            <v>Đàm Thái Hà</v>
          </cell>
        </row>
        <row r="1593">
          <cell r="K1593" t="str">
            <v xml:space="preserve">Ngô Quang Thiện </v>
          </cell>
        </row>
        <row r="1594">
          <cell r="K1594" t="str">
            <v>Lê Thao Vy</v>
          </cell>
        </row>
        <row r="1595">
          <cell r="K1595" t="str">
            <v xml:space="preserve">Phạm Minh Thư </v>
          </cell>
        </row>
        <row r="1596">
          <cell r="K1596" t="str">
            <v>Phạm Minh Thư</v>
          </cell>
        </row>
        <row r="1597">
          <cell r="K1597" t="str">
            <v>Nguyễn Bảo An</v>
          </cell>
        </row>
        <row r="1598">
          <cell r="K1598" t="str">
            <v xml:space="preserve">Trần Duy Khương </v>
          </cell>
        </row>
        <row r="1599">
          <cell r="K1599" t="str">
            <v>Nguyễn Thanh Vinh</v>
          </cell>
        </row>
        <row r="1600">
          <cell r="K1600" t="str">
            <v>Đoàn Vũ Thuỳ Ngân- Hoàn cọc 15/06/26</v>
          </cell>
        </row>
        <row r="1601">
          <cell r="K1601" t="str">
            <v>Đỗ Thị Thu Hiền</v>
          </cell>
        </row>
        <row r="1602">
          <cell r="K1602" t="str">
            <v>Trịnh Chung Linh</v>
          </cell>
        </row>
        <row r="1603">
          <cell r="K1603" t="str">
            <v>Đỗ Minh Tiến</v>
          </cell>
        </row>
        <row r="1604">
          <cell r="K1604" t="str">
            <v>Nguyễn Hải Nam</v>
          </cell>
        </row>
        <row r="1605">
          <cell r="K1605" t="str">
            <v>Tạ Phương Anh</v>
          </cell>
        </row>
        <row r="1606">
          <cell r="K1606" t="str">
            <v xml:space="preserve">Lê Quỳnh Bảo Trâm        </v>
          </cell>
        </row>
        <row r="1607">
          <cell r="K1607" t="str">
            <v>Đào Yến Nhi</v>
          </cell>
        </row>
        <row r="1608">
          <cell r="K1608" t="str">
            <v>Trần Duy Đức</v>
          </cell>
        </row>
        <row r="1609">
          <cell r="K1609" t="str">
            <v xml:space="preserve">Phan Thu Hiền </v>
          </cell>
        </row>
        <row r="1610">
          <cell r="K1610" t="str">
            <v xml:space="preserve">Nguyễn Thị Hải Linh </v>
          </cell>
        </row>
        <row r="1611">
          <cell r="K1611" t="str">
            <v>Đặng Thanh Luân</v>
          </cell>
        </row>
        <row r="1612">
          <cell r="K1612" t="str">
            <v>Nguyễn Thị Phương Linh</v>
          </cell>
        </row>
        <row r="1613">
          <cell r="K1613" t="str">
            <v>Võ Ngọc Nam</v>
          </cell>
        </row>
        <row r="1614">
          <cell r="K1614" t="str">
            <v xml:space="preserve">Đàm Tuấn Anh </v>
          </cell>
        </row>
        <row r="1615">
          <cell r="K1615" t="str">
            <v xml:space="preserve">Nguyễn Lê Hồng Huyên </v>
          </cell>
        </row>
        <row r="1616">
          <cell r="K1616" t="str">
            <v>Đỗ Hữu Gia Phúc</v>
          </cell>
        </row>
        <row r="1617">
          <cell r="K1617" t="str">
            <v>Bùi Võ Trung Hiếu</v>
          </cell>
        </row>
        <row r="1618">
          <cell r="K1618" t="str">
            <v xml:space="preserve">Ninh Thế Dũng </v>
          </cell>
        </row>
        <row r="1619">
          <cell r="K1619" t="str">
            <v>Ngô Mỹ Tiên - T470</v>
          </cell>
        </row>
        <row r="1620">
          <cell r="K1620" t="str">
            <v>Trịnh Hoàng Anh</v>
          </cell>
        </row>
        <row r="1621">
          <cell r="K1621" t="str">
            <v>Phan Trần Bích Tuyền</v>
          </cell>
        </row>
        <row r="1622">
          <cell r="K1622" t="str">
            <v>Nguyễn Thị Bích Hằng</v>
          </cell>
        </row>
        <row r="1623">
          <cell r="K1623" t="str">
            <v>Nguyễn Huy Hoàng</v>
          </cell>
        </row>
        <row r="1624">
          <cell r="K1624" t="str">
            <v>Nguyễn Thị Bích Thảo</v>
          </cell>
        </row>
        <row r="1625">
          <cell r="K1625" t="str">
            <v>Trần Yến Trang - PT453</v>
          </cell>
        </row>
        <row r="1626">
          <cell r="K1626" t="str">
            <v>Chu Trà My</v>
          </cell>
        </row>
        <row r="1627">
          <cell r="K1627" t="str">
            <v>Đào Đại Phú</v>
          </cell>
        </row>
        <row r="1628">
          <cell r="K1628" t="str">
            <v>Trần Diệu Thư - hv thứ 14</v>
          </cell>
        </row>
        <row r="1629">
          <cell r="K1629" t="str">
            <v xml:space="preserve">Nguyễn Thị Hương Ly </v>
          </cell>
        </row>
        <row r="1630">
          <cell r="K1630" t="str">
            <v xml:space="preserve"> Ngô Quang Tuyến </v>
          </cell>
        </row>
        <row r="1631">
          <cell r="K1631" t="str">
            <v xml:space="preserve">Lương Ngọc Long </v>
          </cell>
        </row>
        <row r="1632">
          <cell r="K1632" t="str">
            <v>Võ Minh Trí</v>
          </cell>
        </row>
        <row r="1633">
          <cell r="K1633" t="str">
            <v xml:space="preserve">Nguyễn Hà Phương </v>
          </cell>
        </row>
        <row r="1634">
          <cell r="K1634" t="str">
            <v>Vương Thị Thanh Quế - PT453</v>
          </cell>
        </row>
        <row r="1635">
          <cell r="K1635" t="str">
            <v>Nguyễn Thị Hải Anh</v>
          </cell>
        </row>
        <row r="1636">
          <cell r="K1636" t="str">
            <v>Nguyễn Thị Diệu Ly - hv thứ 11</v>
          </cell>
        </row>
        <row r="1637">
          <cell r="K1637" t="str">
            <v>Bùi Trung Dũng</v>
          </cell>
        </row>
        <row r="1638">
          <cell r="K1638" t="str">
            <v xml:space="preserve">Nguyễn Văn Tuấn </v>
          </cell>
        </row>
        <row r="1639">
          <cell r="K1639" t="str">
            <v xml:space="preserve">Nguyễn Xuân Mai </v>
          </cell>
        </row>
        <row r="1640">
          <cell r="K1640" t="str">
            <v>Nguyễn Huyền My</v>
          </cell>
        </row>
        <row r="1641">
          <cell r="K1641" t="str">
            <v>Trần Thuỷ Tiên</v>
          </cell>
        </row>
        <row r="1642">
          <cell r="K1642" t="str">
            <v xml:space="preserve">Nguyễn Phương Ngân </v>
          </cell>
        </row>
        <row r="1643">
          <cell r="K1643" t="str">
            <v>Nguyễn Thị Lưu - PT453 rời nhóm</v>
          </cell>
        </row>
        <row r="1644">
          <cell r="K1644" t="str">
            <v>Trần Thu Trang</v>
          </cell>
        </row>
        <row r="1645">
          <cell r="K1645" t="str">
            <v>Đào Thanh Trúc - OPT119</v>
          </cell>
        </row>
        <row r="1646">
          <cell r="K1646" t="str">
            <v xml:space="preserve">Phạm Anh Đức </v>
          </cell>
        </row>
        <row r="1647">
          <cell r="K1647" t="str">
            <v>Nguyễn Ngọc Thuỷ Tiên</v>
          </cell>
        </row>
        <row r="1648">
          <cell r="K1648" t="str">
            <v>Phạm Ngọc Lâm</v>
          </cell>
        </row>
        <row r="1649">
          <cell r="K1649" t="str">
            <v xml:space="preserve">Bùi Thanh Tâm </v>
          </cell>
        </row>
        <row r="1650">
          <cell r="K1650" t="str">
            <v>Trần Hùng Anh</v>
          </cell>
        </row>
        <row r="1651">
          <cell r="K1651" t="str">
            <v>Nguyễn Đức Anh</v>
          </cell>
        </row>
        <row r="1652">
          <cell r="K1652" t="str">
            <v>Lê Minh Phương</v>
          </cell>
        </row>
        <row r="1653">
          <cell r="K1653" t="str">
            <v>Nguyễn Thị Hồng Anh - hv thứ 10</v>
          </cell>
        </row>
        <row r="1654">
          <cell r="K1654" t="str">
            <v>Nguyễn Đức Thịnh</v>
          </cell>
        </row>
        <row r="1655">
          <cell r="K1655" t="str">
            <v xml:space="preserve">Nguyễn Hiền Khanh </v>
          </cell>
        </row>
        <row r="1656">
          <cell r="K1656" t="str">
            <v>Vũ Khánh Linh</v>
          </cell>
        </row>
        <row r="1657">
          <cell r="K1657" t="str">
            <v xml:space="preserve">Nguyễn Ngọc Bảo Anh </v>
          </cell>
        </row>
        <row r="1658">
          <cell r="K1658" t="str">
            <v>Ngô Thị Kim Liên</v>
          </cell>
        </row>
        <row r="1659">
          <cell r="K1659" t="str">
            <v>Phạm Thị Phương Linh</v>
          </cell>
        </row>
        <row r="1660">
          <cell r="K1660" t="str">
            <v>Hoàng Thị Điệp</v>
          </cell>
        </row>
        <row r="1661">
          <cell r="K1661" t="str">
            <v>Vũ Thị Quỳnh Anh</v>
          </cell>
        </row>
        <row r="1662">
          <cell r="K1662" t="str">
            <v>Mai Thùy Dung</v>
          </cell>
        </row>
        <row r="1663">
          <cell r="K1663" t="str">
            <v>Nguyễn Minh Tuệ</v>
          </cell>
        </row>
        <row r="1664">
          <cell r="K1664" t="str">
            <v>Nguyễn Ngọc Như Quỳnh</v>
          </cell>
        </row>
        <row r="1665">
          <cell r="K1665" t="str">
            <v>Cao Trương Hiền Vy</v>
          </cell>
        </row>
        <row r="1666">
          <cell r="K1666" t="str">
            <v>Nguyễn Khánh Ly</v>
          </cell>
        </row>
        <row r="1667">
          <cell r="K1667" t="str">
            <v>Đặng Hồng Bảo Châu OPT119 - PT455 hv thứ 10</v>
          </cell>
        </row>
        <row r="1668">
          <cell r="K1668" t="str">
            <v>Nguyễn Thị Hoà - Chipp Nguyễn</v>
          </cell>
        </row>
        <row r="1669">
          <cell r="K1669" t="str">
            <v>Ngô An Vân</v>
          </cell>
        </row>
        <row r="1670">
          <cell r="K1670" t="str">
            <v xml:space="preserve">Bùi Dân An </v>
          </cell>
        </row>
        <row r="1671">
          <cell r="K1671" t="str">
            <v>Nguyễn Kiều Trinh</v>
          </cell>
        </row>
        <row r="1672">
          <cell r="K1672" t="str">
            <v xml:space="preserve">Vũ Thị Cẩm Tú </v>
          </cell>
        </row>
        <row r="1673">
          <cell r="K1673" t="str">
            <v>Bùi Tiến Hưng - PT452</v>
          </cell>
        </row>
        <row r="1674">
          <cell r="K1674" t="str">
            <v>Hoàng Tuấn Hùng</v>
          </cell>
        </row>
        <row r="1675">
          <cell r="K1675" t="str">
            <v>Vi Thị Tú Trinh</v>
          </cell>
        </row>
        <row r="1676">
          <cell r="K1676" t="str">
            <v>Nguyễn Quang Vinh</v>
          </cell>
        </row>
        <row r="1677">
          <cell r="K1677" t="str">
            <v>Đỗ Phạm Quỳnh Chi</v>
          </cell>
        </row>
        <row r="1678">
          <cell r="K1678" t="str">
            <v>Nguyễn Hữu Hùng</v>
          </cell>
        </row>
        <row r="1679">
          <cell r="K1679" t="str">
            <v>Nguyễn Quốc Khánh - bill chung Anh Thy</v>
          </cell>
        </row>
        <row r="1680">
          <cell r="K1680" t="str">
            <v xml:space="preserve"> Lê Thị Anh Thy - bill chung Khánh</v>
          </cell>
        </row>
        <row r="1681">
          <cell r="K1681" t="str">
            <v>Phạm Nguyễn Thảo Trang - Chang Panda</v>
          </cell>
        </row>
        <row r="1682">
          <cell r="K1682" t="str">
            <v xml:space="preserve">Nguyễn Hồng Quyên </v>
          </cell>
        </row>
        <row r="1683">
          <cell r="K1683" t="str">
            <v xml:space="preserve">Trịnh Thị Thanh Huyền </v>
          </cell>
        </row>
        <row r="1684">
          <cell r="K1684" t="str">
            <v>Trịnh Thị Hải Thảo</v>
          </cell>
        </row>
        <row r="1685">
          <cell r="K1685" t="str">
            <v>Vương Thị Chuyền - Wang Thnh Zhuan</v>
          </cell>
        </row>
        <row r="1686">
          <cell r="K1686" t="str">
            <v>Lưu Ngọc Ánh</v>
          </cell>
        </row>
        <row r="1687">
          <cell r="K1687" t="str">
            <v xml:space="preserve">Trần Hương Giang </v>
          </cell>
        </row>
        <row r="1688">
          <cell r="K1688" t="str">
            <v xml:space="preserve"> Nguyễn Tấn Băng - PT455</v>
          </cell>
        </row>
        <row r="1689">
          <cell r="K1689" t="str">
            <v xml:space="preserve">Nguyễn Trang Hà Nhi </v>
          </cell>
        </row>
        <row r="1690">
          <cell r="K1690" t="str">
            <v>Vũ Mai Anh</v>
          </cell>
        </row>
        <row r="1691">
          <cell r="K1691" t="str">
            <v xml:space="preserve">Dương Thị Huyền Trang </v>
          </cell>
        </row>
        <row r="1692">
          <cell r="K1692" t="str">
            <v>Lâm Minh Thùy</v>
          </cell>
        </row>
        <row r="1693">
          <cell r="K1693" t="str">
            <v xml:space="preserve">Trần Ngọc Bảo Trân </v>
          </cell>
        </row>
        <row r="1694">
          <cell r="K1694" t="str">
            <v>Nguyễn Hải Vân</v>
          </cell>
        </row>
        <row r="1695">
          <cell r="K1695" t="str">
            <v xml:space="preserve">Vũ Hồng Quyên </v>
          </cell>
        </row>
        <row r="1696">
          <cell r="K1696" t="str">
            <v>Ngô Thị Quỳnh Trang</v>
          </cell>
        </row>
        <row r="1697">
          <cell r="K1697" t="str">
            <v>Dương Thị Như Quỳnh</v>
          </cell>
        </row>
        <row r="1698">
          <cell r="K1698" t="str">
            <v>Trần Thị Hà</v>
          </cell>
        </row>
        <row r="1699">
          <cell r="K1699" t="str">
            <v>Trần Thu Giang</v>
          </cell>
        </row>
        <row r="1700">
          <cell r="K1700" t="str">
            <v xml:space="preserve">Vũ Ngọc Hiền Thảo </v>
          </cell>
        </row>
        <row r="1701">
          <cell r="K1701" t="str">
            <v>Nguyễn Thị Vân Anh</v>
          </cell>
        </row>
        <row r="1702">
          <cell r="K1702" t="str">
            <v xml:space="preserve">Nguyễn Bích Ngà </v>
          </cell>
        </row>
        <row r="1703">
          <cell r="K1703" t="str">
            <v xml:space="preserve">Đinh Xuân Việt </v>
          </cell>
        </row>
        <row r="1704">
          <cell r="K1704" t="str">
            <v>Trần Quang Minh</v>
          </cell>
        </row>
        <row r="1705">
          <cell r="K1705" t="str">
            <v>Nguyễn Mai Anh</v>
          </cell>
        </row>
        <row r="1706">
          <cell r="K1706" t="str">
            <v>Nguyễn Lê Trà My</v>
          </cell>
        </row>
        <row r="1707">
          <cell r="K1707" t="str">
            <v>Phạm Quang Bảo - hợp đồng</v>
          </cell>
        </row>
        <row r="1708">
          <cell r="K1708" t="str">
            <v xml:space="preserve">Trịnh Phương Linh </v>
          </cell>
        </row>
        <row r="1709">
          <cell r="K1709" t="str">
            <v xml:space="preserve">Cao Thị Ngọc Hà </v>
          </cell>
        </row>
        <row r="1710">
          <cell r="K1710" t="str">
            <v>Trần Ngọc Khánh</v>
          </cell>
        </row>
        <row r="1711">
          <cell r="K1711" t="str">
            <v xml:space="preserve">Tù Ngạn Dung </v>
          </cell>
        </row>
        <row r="1712">
          <cell r="K1712" t="str">
            <v>Đặng Ngọc Mai - hv thứ 12</v>
          </cell>
        </row>
        <row r="1713">
          <cell r="K1713" t="str">
            <v>Phạm Thị Ngọc Thái</v>
          </cell>
        </row>
        <row r="1714">
          <cell r="K1714" t="str">
            <v>Nguyễn Thị Hoài Linh - PT448</v>
          </cell>
        </row>
        <row r="1715">
          <cell r="K1715" t="str">
            <v>Nguyễn Danh Phát - hv thứ 10</v>
          </cell>
        </row>
        <row r="1716">
          <cell r="K1716" t="str">
            <v>Lê Vân Anh - 966430016</v>
          </cell>
        </row>
        <row r="1717">
          <cell r="K1717" t="str">
            <v xml:space="preserve">Bùi Lê Hồng Ngọc </v>
          </cell>
        </row>
        <row r="1718">
          <cell r="K1718" t="str">
            <v>Nguyễn Thị Hằng</v>
          </cell>
        </row>
        <row r="1719">
          <cell r="K1719" t="str">
            <v>Cao Thị Kim Oanh</v>
          </cell>
        </row>
        <row r="1720">
          <cell r="K1720" t="str">
            <v>Nguyễn Yến Anh</v>
          </cell>
        </row>
        <row r="1721">
          <cell r="K1721" t="str">
            <v>Nông Thị Hoành Yến</v>
          </cell>
        </row>
        <row r="1722">
          <cell r="K1722" t="str">
            <v>Huỳnh Hương Lan Vy</v>
          </cell>
        </row>
        <row r="1723">
          <cell r="K1723" t="str">
            <v xml:space="preserve"> Trần Khánh Linh - hợp đồng</v>
          </cell>
        </row>
        <row r="1724">
          <cell r="K1724" t="str">
            <v>Nguyễn Thị Thùy Linh T474 - hv thứ 10</v>
          </cell>
        </row>
        <row r="1725">
          <cell r="K1725" t="str">
            <v>Hoàng Vân Nhi T474 - T471 hv thứ 12</v>
          </cell>
        </row>
        <row r="1726">
          <cell r="K1726" t="str">
            <v>Phạm Ngọc Khánh T474 - hv thứ 11</v>
          </cell>
        </row>
        <row r="1727">
          <cell r="K1727" t="str">
            <v xml:space="preserve">Lê Nguyễn Thanh Như </v>
          </cell>
        </row>
        <row r="1728">
          <cell r="K1728" t="str">
            <v xml:space="preserve">Hồ Thị Thu Hiền </v>
          </cell>
        </row>
        <row r="1729">
          <cell r="K1729" t="str">
            <v>Phạm Quang Minh</v>
          </cell>
        </row>
        <row r="1730">
          <cell r="K1730" t="str">
            <v>Kim Phương Thảo</v>
          </cell>
        </row>
        <row r="1731">
          <cell r="K1731" t="str">
            <v>Lê Văn Hiển</v>
          </cell>
        </row>
        <row r="1732">
          <cell r="K1732" t="str">
            <v>Phạm Yến Phương</v>
          </cell>
        </row>
        <row r="1733">
          <cell r="K1733" t="str">
            <v>Nguyễn Bảo Ngọc</v>
          </cell>
        </row>
        <row r="1734">
          <cell r="K1734" t="str">
            <v>Phùng Thị Kim Ngân</v>
          </cell>
        </row>
        <row r="1735">
          <cell r="K1735" t="str">
            <v>Tô Quốc Đạt</v>
          </cell>
        </row>
        <row r="1736">
          <cell r="K1736" t="str">
            <v>Vũ Thị Hà Linh</v>
          </cell>
        </row>
        <row r="1737">
          <cell r="K1737" t="str">
            <v>Ngô Thị Hằng Nga</v>
          </cell>
        </row>
        <row r="1738">
          <cell r="K1738" t="str">
            <v>Phạm Tố Quỳnh</v>
          </cell>
        </row>
        <row r="1739">
          <cell r="K1739" t="str">
            <v>Quách Anh Hào</v>
          </cell>
        </row>
        <row r="1740">
          <cell r="K1740" t="str">
            <v xml:space="preserve">Nguyễn Ngọc Thảo My </v>
          </cell>
        </row>
        <row r="1741">
          <cell r="K1741" t="str">
            <v>Phạm Nữ Chinh</v>
          </cell>
        </row>
        <row r="1742">
          <cell r="K1742" t="str">
            <v>Nguyễn Hoàng Hiệp - hv thứ 11</v>
          </cell>
        </row>
        <row r="1743">
          <cell r="K1743" t="str">
            <v>Triệu Quang Tùng</v>
          </cell>
        </row>
        <row r="1744">
          <cell r="K1744" t="str">
            <v>Phạm Phú Nguyên</v>
          </cell>
        </row>
        <row r="1745">
          <cell r="K1745" t="str">
            <v>Lê Thùy Dung</v>
          </cell>
        </row>
        <row r="1746">
          <cell r="K1746" t="str">
            <v>Nguyễn Hà Chi</v>
          </cell>
        </row>
        <row r="1747">
          <cell r="K1747" t="str">
            <v>Lê Sỹ Tuấn Anh</v>
          </cell>
        </row>
        <row r="1748">
          <cell r="K1748" t="str">
            <v>Võ Trung Tâm - hv thứ 10</v>
          </cell>
        </row>
        <row r="1749">
          <cell r="K1749" t="str">
            <v>Hoàng Kiều Loan</v>
          </cell>
        </row>
        <row r="1750">
          <cell r="K1750" t="str">
            <v>Khuất Mạnh Dũng</v>
          </cell>
        </row>
        <row r="1751">
          <cell r="K1751" t="str">
            <v>Lê Hoàng Long</v>
          </cell>
        </row>
        <row r="1752">
          <cell r="K1752" t="str">
            <v>Lâm Thị Thu Hằng</v>
          </cell>
        </row>
        <row r="1753">
          <cell r="K1753" t="str">
            <v xml:space="preserve"> Nguyễn Đỗ Bảo Châu </v>
          </cell>
        </row>
        <row r="1754">
          <cell r="K1754" t="str">
            <v>Trần Hoàng Thuý Vy</v>
          </cell>
        </row>
        <row r="1755">
          <cell r="K1755" t="str">
            <v>Pham Văn Cường</v>
          </cell>
        </row>
        <row r="1756">
          <cell r="K1756" t="str">
            <v>Trần Thanh Vân</v>
          </cell>
        </row>
        <row r="1757">
          <cell r="K1757" t="str">
            <v>Phạm Thị Dịu - OPT118</v>
          </cell>
        </row>
        <row r="1758">
          <cell r="K1758" t="str">
            <v xml:space="preserve">Lê Khánh Ly </v>
          </cell>
        </row>
        <row r="1759">
          <cell r="K1759" t="str">
            <v xml:space="preserve">Hoàng Thị Mỹ Duyên - hợp đồng - facebook tên Phương Ngọc </v>
          </cell>
        </row>
        <row r="1760">
          <cell r="K1760" t="str">
            <v xml:space="preserve"> Huỳnh Ngọc Bảo Trâm </v>
          </cell>
        </row>
        <row r="1761">
          <cell r="K1761" t="str">
            <v>Phan Anh Tú</v>
          </cell>
        </row>
        <row r="1762">
          <cell r="K1762" t="str">
            <v>Vương Quốc Tuấn</v>
          </cell>
        </row>
        <row r="1763">
          <cell r="K1763" t="str">
            <v>Nguyễn Xuân Huỳnh - hv thứ 10</v>
          </cell>
        </row>
        <row r="1764">
          <cell r="K1764" t="str">
            <v>Lương Chí Dũng</v>
          </cell>
        </row>
        <row r="1765">
          <cell r="K1765" t="str">
            <v>Phạm Thị Hà Phương - PT440 hv thứ 10</v>
          </cell>
        </row>
        <row r="1766">
          <cell r="K1766" t="str">
            <v xml:space="preserve">Nguyễn Hải Hoàng </v>
          </cell>
        </row>
        <row r="1767">
          <cell r="K1767" t="str">
            <v>Tiết Quang Huy - T471</v>
          </cell>
        </row>
        <row r="1768">
          <cell r="K1768" t="str">
            <v>Nguyễn Thị Ánh Ngọc - PT454 đã rút cọc</v>
          </cell>
        </row>
        <row r="1769">
          <cell r="K1769" t="str">
            <v>Nguyễn Thị Tuyết Nhi - Chưa học phí</v>
          </cell>
        </row>
        <row r="1770">
          <cell r="K1770" t="str">
            <v>Hoàng Thị Hoa - VIP289 Chưa học phí</v>
          </cell>
        </row>
        <row r="1771">
          <cell r="K1771" t="str">
            <v xml:space="preserve">Trần Phương Lan </v>
          </cell>
        </row>
        <row r="1772">
          <cell r="K1772" t="str">
            <v>Nguyễn Khánh Huyền - VIP289 Chưa học phí</v>
          </cell>
        </row>
        <row r="1773">
          <cell r="K1773" t="str">
            <v xml:space="preserve">Trần Việt Thanh </v>
          </cell>
        </row>
        <row r="1774">
          <cell r="K1774" t="str">
            <v>Lê Đức Minh Quân</v>
          </cell>
        </row>
        <row r="1775">
          <cell r="K1775" t="str">
            <v>Phạm Hoàng Nhật Linh</v>
          </cell>
        </row>
        <row r="1776">
          <cell r="K1776" t="str">
            <v xml:space="preserve"> Lê Bá Việt Anh</v>
          </cell>
        </row>
        <row r="1777">
          <cell r="K1777" t="str">
            <v>Đặng Thanh Thảo</v>
          </cell>
        </row>
        <row r="1778">
          <cell r="K1778" t="str">
            <v>Bùi Tiến Thuận</v>
          </cell>
        </row>
        <row r="1779">
          <cell r="K1779" t="str">
            <v>Trần Quang Thắng</v>
          </cell>
        </row>
        <row r="1780">
          <cell r="K1780" t="str">
            <v>Nguyễn Tường Gia Bảo</v>
          </cell>
        </row>
        <row r="1781">
          <cell r="K1781" t="str">
            <v xml:space="preserve">Lê Ngọc Thơm </v>
          </cell>
        </row>
        <row r="1782">
          <cell r="K1782" t="str">
            <v>Đặng Phương Linh</v>
          </cell>
        </row>
        <row r="1783">
          <cell r="K1783" t="str">
            <v>Trương Ngọc Tuyển</v>
          </cell>
        </row>
        <row r="1784">
          <cell r="K1784" t="str">
            <v>Vũ Thị Ngọc Phượng</v>
          </cell>
        </row>
        <row r="1785">
          <cell r="K1785" t="str">
            <v xml:space="preserve">Nguyễn Đức Hoàng Long </v>
          </cell>
        </row>
        <row r="1786">
          <cell r="K1786" t="str">
            <v xml:space="preserve">Nguyễn Quỳnh Chi </v>
          </cell>
        </row>
        <row r="1787">
          <cell r="K1787" t="str">
            <v xml:space="preserve">Nguyễn Thị Phương Linh </v>
          </cell>
        </row>
        <row r="1788">
          <cell r="K1788" t="str">
            <v xml:space="preserve"> Hà Thị Thu Hương </v>
          </cell>
        </row>
        <row r="1789">
          <cell r="K1789" t="str">
            <v>Nguyễn Hà Chi</v>
          </cell>
        </row>
        <row r="1790">
          <cell r="K1790" t="str">
            <v>Hoàng Khắc Hải Đăng</v>
          </cell>
        </row>
        <row r="1791">
          <cell r="K1791" t="str">
            <v xml:space="preserve">Vũ Thị Thơm </v>
          </cell>
        </row>
        <row r="1792">
          <cell r="K1792" t="str">
            <v>Nguyễn Thị Xuân Mai - PT455</v>
          </cell>
        </row>
        <row r="1793">
          <cell r="K1793" t="str">
            <v>Phan Phương Dung</v>
          </cell>
        </row>
        <row r="1794">
          <cell r="K1794" t="str">
            <v>Đỗ Duy Minh Quân</v>
          </cell>
        </row>
        <row r="1795">
          <cell r="K1795" t="str">
            <v>Huỳnh Nguyễn Hồng Anh - T462</v>
          </cell>
        </row>
        <row r="1796">
          <cell r="K1796" t="str">
            <v xml:space="preserve">Bùi Thị Ánh Minh </v>
          </cell>
        </row>
        <row r="1797">
          <cell r="K1797" t="str">
            <v>Hoàng Thị Ngọc Bích</v>
          </cell>
        </row>
        <row r="1798">
          <cell r="K1798" t="str">
            <v xml:space="preserve">Hồ Bối Nhã </v>
          </cell>
        </row>
        <row r="1799">
          <cell r="K1799" t="str">
            <v>Đặng Hoàng Thái</v>
          </cell>
        </row>
        <row r="1800">
          <cell r="K1800" t="str">
            <v>Trần Văn Nghiệp - hợp đồng</v>
          </cell>
        </row>
        <row r="1801">
          <cell r="K1801" t="str">
            <v>Nguyễn Ngọc Khánh Vy - 22/6 gửi sách</v>
          </cell>
        </row>
        <row r="1802">
          <cell r="K1802" t="str">
            <v>Trần Quang Đại  - hợp đồng</v>
          </cell>
        </row>
        <row r="1803">
          <cell r="K1803" t="str">
            <v>Đào Thị Thuỳ Dương</v>
          </cell>
        </row>
        <row r="1804">
          <cell r="K1804" t="str">
            <v>Nguyễn Lê Yến Nhi</v>
          </cell>
        </row>
        <row r="1805">
          <cell r="K1805" t="str">
            <v>Nguyễn Kim Ngọc</v>
          </cell>
        </row>
        <row r="1806">
          <cell r="K1806" t="str">
            <v>Bùi Thanh Tân</v>
          </cell>
        </row>
        <row r="1807">
          <cell r="K1807" t="str">
            <v>Đinh Thị Anh Thư - PT461 hv thứ 10</v>
          </cell>
        </row>
        <row r="1808">
          <cell r="K1808" t="str">
            <v>Đỗ Đức Duy</v>
          </cell>
        </row>
        <row r="1809">
          <cell r="K1809" t="str">
            <v>Nguyễn Hồng Quyên</v>
          </cell>
        </row>
        <row r="1810">
          <cell r="K1810" t="str">
            <v>Đặng Ánh Dương - T472</v>
          </cell>
        </row>
        <row r="1811">
          <cell r="K1811" t="str">
            <v>Nguyễn Thuỳ Anh</v>
          </cell>
        </row>
        <row r="1812">
          <cell r="K1812" t="str">
            <v xml:space="preserve">Hoàng Trung Kiên </v>
          </cell>
        </row>
        <row r="1813">
          <cell r="K1813" t="str">
            <v xml:space="preserve">Tạ Thị Ánh Dương </v>
          </cell>
        </row>
        <row r="1814">
          <cell r="K1814" t="str">
            <v>Phạm Khánh Ly</v>
          </cell>
        </row>
        <row r="1815">
          <cell r="K1815" t="str">
            <v>Lê Trà My T472 - hv thứ 11</v>
          </cell>
        </row>
        <row r="1816">
          <cell r="K1816" t="str">
            <v xml:space="preserve">Lê Viết Hà </v>
          </cell>
        </row>
        <row r="1817">
          <cell r="K1817" t="str">
            <v>Trịnh Thanh Uyên</v>
          </cell>
        </row>
        <row r="1818">
          <cell r="K1818" t="str">
            <v>Hoàng Thị Mai Nhung - số Zalo 0353562256</v>
          </cell>
        </row>
        <row r="1819">
          <cell r="K1819" t="str">
            <v xml:space="preserve">Lâm Tuyết Tình </v>
          </cell>
        </row>
        <row r="1820">
          <cell r="K1820" t="str">
            <v>Võ Văn Bảo Tuấn</v>
          </cell>
        </row>
        <row r="1821">
          <cell r="K1821" t="str">
            <v>Nguyễn Thúy Ngân</v>
          </cell>
        </row>
        <row r="1822">
          <cell r="K1822" t="str">
            <v>Nguyễn Thị Yến Ngân</v>
          </cell>
        </row>
        <row r="1823">
          <cell r="K1823" t="str">
            <v>Nguyễn Nhật Linh</v>
          </cell>
        </row>
        <row r="1824">
          <cell r="K1824" t="str">
            <v>Trần Minh Nam</v>
          </cell>
        </row>
        <row r="1825">
          <cell r="K1825" t="str">
            <v>Nguyễn Gia Phú  PT456 - PT457 hv thứ 17</v>
          </cell>
        </row>
        <row r="1826">
          <cell r="K1826" t="str">
            <v>Trần Bảo Trân</v>
          </cell>
        </row>
        <row r="1827">
          <cell r="K1827" t="str">
            <v>Trần Thị Mai Lan - hv thứ 11</v>
          </cell>
        </row>
        <row r="1828">
          <cell r="K1828" t="str">
            <v>Vũ Đỗ Tâm Thu</v>
          </cell>
        </row>
        <row r="1829">
          <cell r="K1829" t="str">
            <v>Trần Vân Anh</v>
          </cell>
        </row>
        <row r="1830">
          <cell r="K1830" t="str">
            <v>Nguyễn Xuân Thiết - hv thứ 12</v>
          </cell>
        </row>
        <row r="1831">
          <cell r="K1831" t="str">
            <v>Nguyễn Hữu Công Vinh - PT458</v>
          </cell>
        </row>
        <row r="1832">
          <cell r="K1832" t="str">
            <v>Đàm Minh Hoà</v>
          </cell>
        </row>
        <row r="1833">
          <cell r="K1833" t="str">
            <v xml:space="preserve">Nguyễn Hà Phương </v>
          </cell>
        </row>
        <row r="1834">
          <cell r="K1834" t="str">
            <v>Nguyễn Quang Huy</v>
          </cell>
        </row>
        <row r="1835">
          <cell r="K1835" t="str">
            <v xml:space="preserve">Phạm Thị Thảo </v>
          </cell>
        </row>
        <row r="1836">
          <cell r="K1836" t="str">
            <v>Khuất Như Phương</v>
          </cell>
        </row>
        <row r="1837">
          <cell r="K1837" t="str">
            <v>Nguyễn Ngọc Bảo Như</v>
          </cell>
        </row>
        <row r="1838">
          <cell r="K1838" t="str">
            <v>Nguyễn Hoàng Long</v>
          </cell>
        </row>
        <row r="1839">
          <cell r="K1839" t="str">
            <v>Nguyễn Khánh Chi</v>
          </cell>
        </row>
        <row r="1840">
          <cell r="K1840" t="str">
            <v>Vũ Thị Minh Châu</v>
          </cell>
        </row>
        <row r="1841">
          <cell r="K1841" t="str">
            <v xml:space="preserve">Ngô Hồng Phúc </v>
          </cell>
        </row>
        <row r="1842">
          <cell r="K1842" t="str">
            <v>Trần Văn Huy</v>
          </cell>
        </row>
        <row r="1843">
          <cell r="K1843" t="str">
            <v>Cao Đức Duẩn</v>
          </cell>
        </row>
        <row r="1844">
          <cell r="K1844" t="str">
            <v>Trần Phương Minh Ngọc - T472 KO học nữa</v>
          </cell>
        </row>
        <row r="1845">
          <cell r="K1845" t="str">
            <v xml:space="preserve">Nông Hoàng Bách </v>
          </cell>
        </row>
        <row r="1846">
          <cell r="K1846" t="str">
            <v>Nguyễn Thành Long</v>
          </cell>
        </row>
        <row r="1847">
          <cell r="K1847" t="str">
            <v xml:space="preserve">Nguyễn Thị Hồng Ngọc </v>
          </cell>
        </row>
        <row r="1848">
          <cell r="K1848" t="str">
            <v>Nguyễn Thanh Sang</v>
          </cell>
        </row>
        <row r="1849">
          <cell r="K1849" t="str">
            <v>Vũ Minh Thư</v>
          </cell>
        </row>
        <row r="1850">
          <cell r="K1850" t="str">
            <v>Hoàng Đức Trọng</v>
          </cell>
        </row>
        <row r="1851">
          <cell r="K1851" t="str">
            <v>Lê Duy Hoàng - hỏi hv test đc bao điểm</v>
          </cell>
        </row>
        <row r="1852">
          <cell r="K1852" t="str">
            <v>Chu Thị Diệu Linh</v>
          </cell>
        </row>
        <row r="1853">
          <cell r="K1853" t="str">
            <v xml:space="preserve">Nguyễn Thị Thu Trang </v>
          </cell>
        </row>
        <row r="1854">
          <cell r="K1854" t="str">
            <v>Phạm Tiến Thành</v>
          </cell>
        </row>
        <row r="1855">
          <cell r="K1855" t="str">
            <v>Lê Huỳnh Phương Vy</v>
          </cell>
        </row>
        <row r="1856">
          <cell r="K1856" t="str">
            <v>Đào Thu Huyền</v>
          </cell>
        </row>
        <row r="1857">
          <cell r="K1857" t="str">
            <v xml:space="preserve">Trần Đại Dương </v>
          </cell>
        </row>
        <row r="1858">
          <cell r="K1858" t="str">
            <v xml:space="preserve">Lê Thị Ngân </v>
          </cell>
        </row>
        <row r="1859">
          <cell r="K1859" t="str">
            <v xml:space="preserve">Phạm Lê Cao Tiến </v>
          </cell>
        </row>
        <row r="1860">
          <cell r="K1860" t="str">
            <v xml:space="preserve">Nguyễn Thị Thanh Xuân  </v>
          </cell>
        </row>
        <row r="1861">
          <cell r="K1861" t="str">
            <v xml:space="preserve">Trần Thị Mai  </v>
          </cell>
        </row>
        <row r="1862">
          <cell r="K1862" t="str">
            <v>Phạm Nhật Tân</v>
          </cell>
        </row>
        <row r="1863">
          <cell r="K1863" t="str">
            <v>Lê Nhật Khánh</v>
          </cell>
        </row>
        <row r="1864">
          <cell r="K1864" t="str">
            <v>Đặng Phương Anh</v>
          </cell>
        </row>
        <row r="1865">
          <cell r="K1865" t="str">
            <v xml:space="preserve">Cao Lê Anh Thư </v>
          </cell>
        </row>
        <row r="1866">
          <cell r="K1866" t="str">
            <v>Bùi Thảo Nguyên - hoàn cọc 08/06/2026</v>
          </cell>
        </row>
        <row r="1867">
          <cell r="K1867" t="str">
            <v>Nguyễn Thị Trà</v>
          </cell>
        </row>
        <row r="1868">
          <cell r="K1868" t="str">
            <v>Nguyễn Thị Mai Nhi - PT461</v>
          </cell>
        </row>
        <row r="1869">
          <cell r="K1869" t="str">
            <v xml:space="preserve">Trịnh Thị Ngọc Xuyến </v>
          </cell>
        </row>
        <row r="1870">
          <cell r="K1870" t="str">
            <v>Vũ Thị Minh Châu</v>
          </cell>
        </row>
        <row r="1871">
          <cell r="K1871" t="str">
            <v>Huỳnh Hào</v>
          </cell>
        </row>
        <row r="1872">
          <cell r="K1872" t="str">
            <v>Trần Minh Ánh</v>
          </cell>
        </row>
        <row r="1873">
          <cell r="K1873" t="str">
            <v>Lê Trường - hợp đồng</v>
          </cell>
        </row>
        <row r="1874">
          <cell r="K1874" t="str">
            <v>Nguyễn Anh Tuấn</v>
          </cell>
        </row>
        <row r="1875">
          <cell r="K1875" t="str">
            <v>Đào Đức Thắng</v>
          </cell>
        </row>
        <row r="1876">
          <cell r="K1876" t="str">
            <v xml:space="preserve">Đỗ Hải Nam </v>
          </cell>
        </row>
        <row r="1877">
          <cell r="K1877" t="str">
            <v>Nguyễn Huệ Vy</v>
          </cell>
        </row>
        <row r="1878">
          <cell r="K1878" t="str">
            <v>Phan Thanh Nga</v>
          </cell>
        </row>
        <row r="1879">
          <cell r="K1879" t="str">
            <v>Nguyễn Cao Minh</v>
          </cell>
        </row>
        <row r="1880">
          <cell r="K1880" t="str">
            <v>Lê Thùy Linh</v>
          </cell>
        </row>
        <row r="1881">
          <cell r="K1881" t="str">
            <v xml:space="preserve">Huỳnh Minh Hưng   </v>
          </cell>
        </row>
        <row r="1882">
          <cell r="K1882" t="str">
            <v xml:space="preserve">Nguyễn Thị Ánh Nguyệt </v>
          </cell>
        </row>
        <row r="1883">
          <cell r="K1883" t="str">
            <v>Đỗ Thị Tùng Chi</v>
          </cell>
        </row>
        <row r="1884">
          <cell r="K1884" t="str">
            <v xml:space="preserve"> Nguyễn Ngô Diệu Quỳnh</v>
          </cell>
        </row>
        <row r="1885">
          <cell r="K1885" t="str">
            <v xml:space="preserve">Trần Quốc Tuấn </v>
          </cell>
        </row>
        <row r="1886">
          <cell r="K1886" t="str">
            <v xml:space="preserve"> Hoàng Mai Kim Thạch</v>
          </cell>
        </row>
        <row r="1887">
          <cell r="K1887" t="str">
            <v>Hồ Thị Hoài</v>
          </cell>
        </row>
        <row r="1888">
          <cell r="K1888" t="str">
            <v xml:space="preserve">Nguyễn Thị Kim Chi </v>
          </cell>
        </row>
        <row r="1889">
          <cell r="K1889" t="str">
            <v>Vi Thị Huyền</v>
          </cell>
        </row>
        <row r="1890">
          <cell r="K1890" t="str">
            <v>Hoàng Anh Nhất</v>
          </cell>
        </row>
        <row r="1891">
          <cell r="K1891" t="str">
            <v xml:space="preserve">Lê Vũ Đạt  </v>
          </cell>
        </row>
        <row r="1892">
          <cell r="K1892" t="str">
            <v>Trần Thị Ngọc Hân - hv thứ 11</v>
          </cell>
        </row>
        <row r="1893">
          <cell r="K1893" t="str">
            <v>Nguyễn Ngọc Phương Linh</v>
          </cell>
        </row>
        <row r="1894">
          <cell r="K1894" t="str">
            <v>Hoàng Thị Thanh An</v>
          </cell>
        </row>
        <row r="1895">
          <cell r="K1895" t="str">
            <v xml:space="preserve">Nguyễn Gia Hân </v>
          </cell>
        </row>
        <row r="1896">
          <cell r="K1896" t="str">
            <v>Phạm Khánh Linh</v>
          </cell>
        </row>
        <row r="1897">
          <cell r="K1897" t="str">
            <v>Nguyễn Võ Trà My</v>
          </cell>
        </row>
        <row r="1898">
          <cell r="K1898" t="str">
            <v>Nguyễn Thị Anh Đào</v>
          </cell>
        </row>
        <row r="1899">
          <cell r="K1899" t="str">
            <v>Vũ Lê Ngọc Ánh</v>
          </cell>
        </row>
        <row r="1900">
          <cell r="K1900" t="str">
            <v>Nguyễn Tường Vy</v>
          </cell>
        </row>
        <row r="1901">
          <cell r="K1901" t="str">
            <v>Nguyễn Thị Thảo Nguyên</v>
          </cell>
        </row>
        <row r="1902">
          <cell r="K1902" t="str">
            <v>Nguyễn Thị Tường Vy - OPT119</v>
          </cell>
        </row>
        <row r="1903">
          <cell r="K1903" t="str">
            <v>Hứa Ngọc Hải - hv thứ 11</v>
          </cell>
        </row>
        <row r="1904">
          <cell r="K1904" t="str">
            <v>Khúc Thị Bảo Yến - T470</v>
          </cell>
        </row>
        <row r="1905">
          <cell r="K1905" t="str">
            <v xml:space="preserve">Nguyễn Thị Kim Ngân </v>
          </cell>
        </row>
        <row r="1906">
          <cell r="K1906" t="str">
            <v>Huỳnh Nguyễn Minh Nhật</v>
          </cell>
        </row>
        <row r="1907">
          <cell r="K1907" t="str">
            <v>Nguyễn Phương Linh</v>
          </cell>
        </row>
        <row r="1908">
          <cell r="K1908" t="str">
            <v>Trần Khánh Linh</v>
          </cell>
        </row>
        <row r="1909">
          <cell r="K1909" t="str">
            <v>Nguyễn Nam Khánh</v>
          </cell>
        </row>
        <row r="1910">
          <cell r="K1910" t="str">
            <v>Trương Thị Thúy My</v>
          </cell>
        </row>
        <row r="1911">
          <cell r="K1911" t="str">
            <v>Nguyễn Hoàng Uyên Nhi</v>
          </cell>
        </row>
        <row r="1912">
          <cell r="K1912" t="str">
            <v xml:space="preserve">Nguyễn Thị Thanh Giang    </v>
          </cell>
        </row>
        <row r="1913">
          <cell r="K1913" t="str">
            <v>Trương Thị Ý Nhi</v>
          </cell>
        </row>
        <row r="1914">
          <cell r="K1914" t="str">
            <v xml:space="preserve">Nguyễn Hoàng Long </v>
          </cell>
        </row>
        <row r="1915">
          <cell r="K1915" t="str">
            <v>Trần Ngọc Uyên Phương</v>
          </cell>
        </row>
        <row r="1916">
          <cell r="K1916" t="str">
            <v>Trần Thị Tuyết Mai</v>
          </cell>
        </row>
        <row r="1917">
          <cell r="K1917" t="str">
            <v xml:space="preserve">Nguyễn Công Phú </v>
          </cell>
        </row>
        <row r="1918">
          <cell r="K1918" t="str">
            <v xml:space="preserve">Nguyễn Thị Hà Ngọc </v>
          </cell>
        </row>
        <row r="1919">
          <cell r="K1919" t="str">
            <v>Nguyễn Đăng Khoa</v>
          </cell>
        </row>
        <row r="1920">
          <cell r="K1920" t="str">
            <v xml:space="preserve">Hoàng Ngọc Hà </v>
          </cell>
        </row>
        <row r="1921">
          <cell r="K1921" t="str">
            <v>Trần Thị Hương Giang</v>
          </cell>
        </row>
        <row r="1922">
          <cell r="K1922" t="str">
            <v>Hoàng Phương Thảo</v>
          </cell>
        </row>
        <row r="1923">
          <cell r="K1923" t="str">
            <v>Nguyễn Thành Nhân</v>
          </cell>
        </row>
        <row r="1924">
          <cell r="K1924" t="str">
            <v>Đinh Thị Diệu Châu</v>
          </cell>
        </row>
        <row r="1925">
          <cell r="K1925" t="str">
            <v>Vũ Gia Linh</v>
          </cell>
        </row>
        <row r="1926">
          <cell r="K1926" t="str">
            <v xml:space="preserve">Mai Xuân Dũng </v>
          </cell>
        </row>
        <row r="1927">
          <cell r="K1927" t="str">
            <v xml:space="preserve">Trịnh Thuỳ Dương </v>
          </cell>
        </row>
        <row r="1928">
          <cell r="K1928" t="str">
            <v xml:space="preserve">Hoàng Thu Phương </v>
          </cell>
        </row>
        <row r="1929">
          <cell r="K1929" t="str">
            <v>Vương Thế Mỵ</v>
          </cell>
        </row>
        <row r="1930">
          <cell r="K1930" t="str">
            <v xml:space="preserve">Lê Gia Mỹ </v>
          </cell>
        </row>
        <row r="1931">
          <cell r="K1931" t="str">
            <v>Nguyễn Thuý Loan - PT455 hv thứ 13 
Thảo Ly</v>
          </cell>
        </row>
        <row r="1932">
          <cell r="K1932" t="str">
            <v>Quách Trần Tuấn Anh - hv thứ 15</v>
          </cell>
        </row>
        <row r="1933">
          <cell r="K1933" t="str">
            <v>Vũ Minh Triệu</v>
          </cell>
        </row>
        <row r="1934">
          <cell r="K1934" t="str">
            <v>Quách Phương Hồng</v>
          </cell>
        </row>
        <row r="1935">
          <cell r="K1935" t="str">
            <v>Đặng Phương Thảo</v>
          </cell>
        </row>
        <row r="1936">
          <cell r="K1936" t="str">
            <v>Đinh Hoa Thảo My - PT466</v>
          </cell>
        </row>
        <row r="1937">
          <cell r="K1937" t="str">
            <v>Vũ Nam Hải</v>
          </cell>
        </row>
        <row r="1938">
          <cell r="K1938" t="str">
            <v>Nguyễn Tuấn Anh</v>
          </cell>
        </row>
        <row r="1939">
          <cell r="K1939" t="str">
            <v>Nguyễn Dương Phú Quỳnh</v>
          </cell>
        </row>
        <row r="1940">
          <cell r="K1940" t="str">
            <v>Lê Xuân Phúc</v>
          </cell>
        </row>
        <row r="1941">
          <cell r="K1941" t="str">
            <v>Nguyễn Thị Thanh Dung - số bố 0373350270</v>
          </cell>
        </row>
        <row r="1942">
          <cell r="K1942" t="str">
            <v xml:space="preserve">Đào Thị Mỹ Linh </v>
          </cell>
        </row>
        <row r="1943">
          <cell r="K1943" t="str">
            <v>Đặng Hồng Nhung</v>
          </cell>
        </row>
        <row r="1944">
          <cell r="K1944" t="str">
            <v>Trần Huy Nhật</v>
          </cell>
        </row>
        <row r="1945">
          <cell r="K1945" t="str">
            <v xml:space="preserve">Nguyễn Thị Thanh Hoa </v>
          </cell>
        </row>
        <row r="1946">
          <cell r="K1946" t="str">
            <v xml:space="preserve">Tướng Quỳnh Anh </v>
          </cell>
        </row>
        <row r="1947">
          <cell r="K1947" t="str">
            <v xml:space="preserve">Nguyễn Thị Thanh Thuý </v>
          </cell>
        </row>
        <row r="1948">
          <cell r="K1948" t="str">
            <v>Nguyễn Cao Tiến</v>
          </cell>
        </row>
        <row r="1949">
          <cell r="K1949" t="str">
            <v xml:space="preserve">Đặng Thị Ngọc Lan </v>
          </cell>
        </row>
        <row r="1950">
          <cell r="K1950" t="str">
            <v xml:space="preserve">Nguyễn Thị Thu Hà </v>
          </cell>
        </row>
        <row r="1951">
          <cell r="K1951" t="str">
            <v>Trần Nguyễn Ngọc Nhi</v>
          </cell>
        </row>
        <row r="1952">
          <cell r="K1952" t="str">
            <v>Nguyễn Duy Hiếu</v>
          </cell>
        </row>
        <row r="1953">
          <cell r="K1953" t="str">
            <v>Trần Minh Hoàng</v>
          </cell>
        </row>
        <row r="1954">
          <cell r="K1954" t="str">
            <v>Trương Thanh Tùng</v>
          </cell>
        </row>
        <row r="1955">
          <cell r="K1955" t="str">
            <v>Ngô Minh Thông</v>
          </cell>
        </row>
        <row r="1956">
          <cell r="K1956" t="str">
            <v>Phạm Thiên Hương</v>
          </cell>
        </row>
        <row r="1957">
          <cell r="K1957" t="str">
            <v xml:space="preserve">Nguyễn Bùi Ngọc Ánh </v>
          </cell>
        </row>
        <row r="1958">
          <cell r="K1958" t="str">
            <v xml:space="preserve">Nguyễn Thiện Nhân </v>
          </cell>
        </row>
        <row r="1959">
          <cell r="K1959" t="str">
            <v>Nguyễn Hoà An</v>
          </cell>
        </row>
        <row r="1960">
          <cell r="K1960" t="str">
            <v>Bùi Quang Minh</v>
          </cell>
        </row>
        <row r="1961">
          <cell r="K1961" t="str">
            <v>Đỗ Thuý Hằng</v>
          </cell>
        </row>
        <row r="1962">
          <cell r="K1962" t="str">
            <v xml:space="preserve">Đỗ Thuý Hải </v>
          </cell>
        </row>
        <row r="1963">
          <cell r="K1963" t="str">
            <v>Trần Văn Thành</v>
          </cell>
        </row>
        <row r="1964">
          <cell r="K1964" t="str">
            <v>Đào Đức Tài</v>
          </cell>
        </row>
        <row r="1965">
          <cell r="K1965" t="str">
            <v>Ng Thị Hương Giang</v>
          </cell>
        </row>
        <row r="1966">
          <cell r="K1966" t="str">
            <v>Nguyễn Duy Anh - hv thứ 13</v>
          </cell>
        </row>
        <row r="1967">
          <cell r="K1967" t="str">
            <v>Đặng Phương Nam</v>
          </cell>
        </row>
        <row r="1968">
          <cell r="K1968" t="str">
            <v>Nguyen Thu Hà</v>
          </cell>
        </row>
        <row r="1969">
          <cell r="K1969" t="str">
            <v>Vũ Quốc Anh</v>
          </cell>
        </row>
        <row r="1970">
          <cell r="K1970" t="str">
            <v xml:space="preserve">Kiều Thị Uyên </v>
          </cell>
        </row>
        <row r="1971">
          <cell r="K1971" t="str">
            <v xml:space="preserve">Trần Quỳnh Như </v>
          </cell>
        </row>
        <row r="1972">
          <cell r="K1972" t="str">
            <v xml:space="preserve">Nguyễn Việt Hoàng </v>
          </cell>
        </row>
        <row r="1973">
          <cell r="K1973" t="str">
            <v>Nguyễn Thuỳ Dương</v>
          </cell>
        </row>
        <row r="1974">
          <cell r="K1974" t="str">
            <v>Nguyễn Ngọc Bảo Uyên</v>
          </cell>
        </row>
        <row r="1975">
          <cell r="K1975" t="str">
            <v>Đoàn Nguyễn Thanh Hân</v>
          </cell>
        </row>
        <row r="1976">
          <cell r="K1976" t="str">
            <v>Nguyễn Thanh Lam</v>
          </cell>
        </row>
        <row r="1977">
          <cell r="K1977" t="str">
            <v>Phạm Thị Ngọc Ánh</v>
          </cell>
        </row>
        <row r="1978">
          <cell r="K1978" t="str">
            <v>Phạm Thu Huyền</v>
          </cell>
        </row>
        <row r="1979">
          <cell r="K1979" t="str">
            <v>Hoàng Ngọc</v>
          </cell>
        </row>
        <row r="1980">
          <cell r="K1980" t="str">
            <v>Nguyễn Hoàng Long</v>
          </cell>
        </row>
        <row r="1981">
          <cell r="K1981" t="str">
            <v xml:space="preserve">Đỗ Thị Thu Hương </v>
          </cell>
        </row>
        <row r="1982">
          <cell r="K1982" t="str">
            <v xml:space="preserve">Đào Quang Huy </v>
          </cell>
        </row>
        <row r="1983">
          <cell r="K1983" t="str">
            <v>Nguyễn Minh Đức - hv thứ 13</v>
          </cell>
        </row>
        <row r="1984">
          <cell r="K1984" t="str">
            <v>Trà Xuân Tiến Vững</v>
          </cell>
        </row>
        <row r="1985">
          <cell r="K1985" t="str">
            <v>Phạm Thị Như Mai</v>
          </cell>
        </row>
        <row r="1986">
          <cell r="K1986" t="str">
            <v>Siu Nguyễn Huyền Trang</v>
          </cell>
        </row>
        <row r="1987">
          <cell r="K1987" t="str">
            <v>Nguyễn Ngọc Anh - Hoàn cọc 100k 04/06/2926</v>
          </cell>
        </row>
        <row r="1988">
          <cell r="K1988" t="str">
            <v>Trần Quang Thành</v>
          </cell>
        </row>
        <row r="1989">
          <cell r="K1989" t="str">
            <v>Trần Huỳnh Thanh Thảo</v>
          </cell>
        </row>
        <row r="1990">
          <cell r="K1990" t="str">
            <v>Dương Thị Thanh Hiền</v>
          </cell>
        </row>
        <row r="1991">
          <cell r="K1991" t="str">
            <v>Phùng Tiến Chức</v>
          </cell>
        </row>
        <row r="1992">
          <cell r="K1992" t="str">
            <v xml:space="preserve">Trần Minh Tâm </v>
          </cell>
        </row>
        <row r="1993">
          <cell r="K1993" t="str">
            <v>Nguyễn Hải Yến</v>
          </cell>
        </row>
        <row r="1994">
          <cell r="K1994" t="str">
            <v>Hoàng Ánh Ngọc</v>
          </cell>
        </row>
        <row r="1995">
          <cell r="K1995" t="str">
            <v>Nguyễn Thị Oanh</v>
          </cell>
        </row>
        <row r="1996">
          <cell r="K1996" t="str">
            <v>Hoàng Thiên Ân</v>
          </cell>
        </row>
        <row r="1997">
          <cell r="K1997" t="str">
            <v xml:space="preserve">Nguyễn Thị Thủy Tiên </v>
          </cell>
        </row>
        <row r="1998">
          <cell r="K1998" t="str">
            <v xml:space="preserve">Nguyễn Vương Nhật An </v>
          </cell>
        </row>
        <row r="1999">
          <cell r="K1999" t="str">
            <v>Nguyễn Vi Trang</v>
          </cell>
        </row>
        <row r="2000">
          <cell r="K2000" t="str">
            <v>Phạm Thị Yến Nhi</v>
          </cell>
        </row>
        <row r="2001">
          <cell r="K2001" t="str">
            <v>Trần Nguyễn Hà Linh</v>
          </cell>
        </row>
        <row r="2002">
          <cell r="K2002" t="str">
            <v>Nguyễn Ngọc Huy</v>
          </cell>
        </row>
        <row r="2003">
          <cell r="K2003" t="str">
            <v>Nguyễn Minh Anh</v>
          </cell>
        </row>
        <row r="2004">
          <cell r="K2004" t="str">
            <v>Ngô Đức Đan - hợp đồng</v>
          </cell>
        </row>
        <row r="2005">
          <cell r="K2005" t="str">
            <v>Vũ Việt Tân</v>
          </cell>
        </row>
        <row r="2006">
          <cell r="K2006" t="str">
            <v>Vũ Thị Hồng Vân - gửi chung S, W</v>
          </cell>
        </row>
        <row r="2007">
          <cell r="K2007" t="str">
            <v>Đinh Thị Khánh Hiền</v>
          </cell>
        </row>
        <row r="2008">
          <cell r="K2008" t="str">
            <v>Vũ Thị Thanh Thu - hv thứ 11</v>
          </cell>
        </row>
        <row r="2009">
          <cell r="K2009" t="str">
            <v>Nguyễn Thị Thương - hợp đồng</v>
          </cell>
        </row>
        <row r="2010">
          <cell r="K2010" t="str">
            <v>Bùi Thị Kiều Trang</v>
          </cell>
        </row>
        <row r="2011">
          <cell r="K2011" t="str">
            <v>Đỗ Duy Nam - hợp đồng</v>
          </cell>
        </row>
        <row r="2012">
          <cell r="K2012" t="str">
            <v xml:space="preserve">Nguyễn Thị Diệu Linh </v>
          </cell>
        </row>
        <row r="2013">
          <cell r="K2013" t="str">
            <v>Nguyễn Hà Linh</v>
          </cell>
        </row>
        <row r="2014">
          <cell r="K2014" t="str">
            <v>Trần Thuý Hiền</v>
          </cell>
        </row>
        <row r="2015">
          <cell r="K2015" t="str">
            <v>Phạm Bích Phương</v>
          </cell>
        </row>
        <row r="2016">
          <cell r="K2016" t="str">
            <v>Đỗ Trung Hiếu</v>
          </cell>
        </row>
        <row r="2017">
          <cell r="K2017" t="str">
            <v>Nguyễn Ngọc Ninh</v>
          </cell>
        </row>
        <row r="2018">
          <cell r="K2018" t="str">
            <v xml:space="preserve">Dương Thuỳ Linh </v>
          </cell>
        </row>
        <row r="2019">
          <cell r="K2019" t="str">
            <v>Trần Bích Phượng</v>
          </cell>
        </row>
        <row r="2020">
          <cell r="K2020" t="str">
            <v xml:space="preserve">Trần Phúc Quang   </v>
          </cell>
        </row>
        <row r="2021">
          <cell r="K2021" t="str">
            <v xml:space="preserve">Mai Trang </v>
          </cell>
        </row>
        <row r="2022">
          <cell r="K2022" t="str">
            <v>Bùi Diệu Linh</v>
          </cell>
        </row>
        <row r="2023">
          <cell r="K2023" t="str">
            <v>Lê Thị Ánh Tuyết - hv thứ 22</v>
          </cell>
        </row>
        <row r="2024">
          <cell r="K2024" t="str">
            <v>Lê Thị Lan Hương - hv thứ 10</v>
          </cell>
        </row>
        <row r="2025">
          <cell r="K2025" t="str">
            <v xml:space="preserve">Bùi Huy Hoàng </v>
          </cell>
        </row>
        <row r="2026">
          <cell r="K2026" t="str">
            <v>Đặng Trọng Lê Hiếu</v>
          </cell>
        </row>
        <row r="2027">
          <cell r="K2027" t="str">
            <v>Vũ Văn Anh</v>
          </cell>
        </row>
        <row r="2028">
          <cell r="K2028" t="str">
            <v xml:space="preserve">Nguyễn Thu Trang </v>
          </cell>
        </row>
        <row r="2029">
          <cell r="K2029" t="str">
            <v>Thảo Linh</v>
          </cell>
        </row>
        <row r="2030">
          <cell r="K2030" t="str">
            <v>Phạm Thị Út</v>
          </cell>
        </row>
        <row r="2031">
          <cell r="K2031" t="str">
            <v>Nguyễn Thị Kiều Trang</v>
          </cell>
        </row>
        <row r="2032">
          <cell r="K2032" t="str">
            <v xml:space="preserve">Trần Kim Anh </v>
          </cell>
        </row>
        <row r="2033">
          <cell r="K2033" t="str">
            <v>Trương Thị Anh Thư</v>
          </cell>
        </row>
        <row r="2034">
          <cell r="K2034" t="str">
            <v xml:space="preserve">Nguyễn Thành Tâm  </v>
          </cell>
        </row>
        <row r="2035">
          <cell r="K2035" t="str">
            <v>Nguyễn Thanh Thảo</v>
          </cell>
        </row>
        <row r="2036">
          <cell r="K2036" t="str">
            <v xml:space="preserve">Vũ Huy Phúc </v>
          </cell>
        </row>
        <row r="2037">
          <cell r="K2037" t="str">
            <v>Tạ Ngọc Bảo My</v>
          </cell>
        </row>
        <row r="2038">
          <cell r="K2038" t="str">
            <v>Nguyễn Thị Thùy Dung</v>
          </cell>
        </row>
        <row r="2039">
          <cell r="K2039" t="str">
            <v>Đặng Thùy Trang - PT458</v>
          </cell>
        </row>
        <row r="2040">
          <cell r="K2040" t="str">
            <v xml:space="preserve">Phạm Thị Ngọc An </v>
          </cell>
        </row>
        <row r="2041">
          <cell r="K2041" t="str">
            <v xml:space="preserve"> Nguyễn Đức Kiên</v>
          </cell>
        </row>
        <row r="2042">
          <cell r="K2042" t="str">
            <v>Nguyễn Minh Hiếu</v>
          </cell>
        </row>
        <row r="2043">
          <cell r="K2043" t="str">
            <v xml:space="preserve">Nguyễn Duy Thắng </v>
          </cell>
        </row>
        <row r="2044">
          <cell r="K2044" t="str">
            <v>Tạ Hải Yến - T475</v>
          </cell>
        </row>
        <row r="2045">
          <cell r="K2045" t="str">
            <v>Trần Minh Thương</v>
          </cell>
        </row>
        <row r="2046">
          <cell r="K2046" t="str">
            <v>Phạm Hồng Thắm - hv thứ 12</v>
          </cell>
        </row>
        <row r="2047">
          <cell r="K2047" t="str">
            <v>Đinh Hoàng Diệu Linh</v>
          </cell>
        </row>
        <row r="2048">
          <cell r="K2048" t="str">
            <v>Lã Mai Quỳnh Chi</v>
          </cell>
        </row>
        <row r="2049">
          <cell r="K2049" t="str">
            <v>Nguyễn Công Khoa - 0374989642</v>
          </cell>
        </row>
        <row r="2050">
          <cell r="K2050" t="str">
            <v>Cù Phạm Gia Huy</v>
          </cell>
        </row>
        <row r="2051">
          <cell r="K2051" t="str">
            <v>Vũ Văn Tùng</v>
          </cell>
        </row>
        <row r="2052">
          <cell r="K2052" t="str">
            <v>Mai Thị Mai Phượng</v>
          </cell>
        </row>
        <row r="2053">
          <cell r="K2053" t="str">
            <v xml:space="preserve">Nguyễn Thị Khánh Huyền </v>
          </cell>
        </row>
        <row r="2054">
          <cell r="K2054" t="str">
            <v>Nguyễn Xuân Vinh</v>
          </cell>
        </row>
        <row r="2055">
          <cell r="K2055" t="str">
            <v xml:space="preserve">Đặng Thảo Linh </v>
          </cell>
        </row>
        <row r="2056">
          <cell r="K2056" t="str">
            <v>Nguyễn Hồng Nhung - hv thứ 10</v>
          </cell>
        </row>
        <row r="2057">
          <cell r="K2057" t="str">
            <v>Nguyễn Hữu Nam</v>
          </cell>
        </row>
        <row r="2058">
          <cell r="K2058" t="str">
            <v>Minh Ngô</v>
          </cell>
        </row>
        <row r="2059">
          <cell r="K2059" t="str">
            <v>Đỗ Tiến Thành - hv thứ 10</v>
          </cell>
        </row>
        <row r="2060">
          <cell r="K2060" t="str">
            <v>Triệu Thị Thuỳ Trang</v>
          </cell>
        </row>
        <row r="2061">
          <cell r="K2061" t="str">
            <v xml:space="preserve">Trịnh Đình Trường </v>
          </cell>
        </row>
        <row r="2062">
          <cell r="K2062" t="str">
            <v>Nguyễn Xuân Khang</v>
          </cell>
        </row>
        <row r="2063">
          <cell r="K2063" t="str">
            <v>Nguyễn Tiến Anh</v>
          </cell>
        </row>
        <row r="2064">
          <cell r="K2064" t="str">
            <v>Hà Thị Lệ Chi</v>
          </cell>
        </row>
        <row r="2065">
          <cell r="K2065" t="str">
            <v>Phùng Thị Lan Oanh - OTP120</v>
          </cell>
        </row>
        <row r="2066">
          <cell r="K2066" t="str">
            <v>Ngô Quang Bách</v>
          </cell>
        </row>
        <row r="2067">
          <cell r="K2067" t="str">
            <v>Nguyễn Đặng Quỳnh Hoa</v>
          </cell>
        </row>
        <row r="2068">
          <cell r="K2068" t="str">
            <v xml:space="preserve">Bùi Thị Ngọc Diệp </v>
          </cell>
        </row>
        <row r="2069">
          <cell r="K2069" t="str">
            <v>Nguyễn Song Nguyễn</v>
          </cell>
        </row>
        <row r="2070">
          <cell r="K2070" t="str">
            <v xml:space="preserve">Lường Thị Ngọc Diệp </v>
          </cell>
        </row>
        <row r="2071">
          <cell r="K2071" t="str">
            <v>Nguyễn Huỳnh Thủy Tiên</v>
          </cell>
        </row>
        <row r="2072">
          <cell r="K2072" t="str">
            <v>Phạm Bích Ngọc</v>
          </cell>
        </row>
        <row r="2073">
          <cell r="K2073" t="str">
            <v>Nguyễn Bảo Anh</v>
          </cell>
        </row>
        <row r="2074">
          <cell r="K2074" t="str">
            <v>Tạ Như Quỳnh</v>
          </cell>
        </row>
        <row r="2075">
          <cell r="K2075" t="str">
            <v>Nguyễn Thị Hà Vi</v>
          </cell>
        </row>
        <row r="2076">
          <cell r="K2076" t="str">
            <v xml:space="preserve">Nguyễn Thị Như Quỳnh </v>
          </cell>
        </row>
        <row r="2077">
          <cell r="K2077" t="str">
            <v>Nguyễn Sỹ Việt</v>
          </cell>
        </row>
        <row r="2078">
          <cell r="K2078" t="str">
            <v>Nguyễn Đức Huy - Đỗ Ussh</v>
          </cell>
        </row>
        <row r="2079">
          <cell r="K2079" t="str">
            <v>Cao Nguyễn Thành Công</v>
          </cell>
        </row>
        <row r="2080">
          <cell r="K2080" t="str">
            <v>Vũ Thị Dung</v>
          </cell>
        </row>
        <row r="2081">
          <cell r="K2081" t="str">
            <v>Nguyễn Hoàng Yến Nhi - VIP290 Chưa học phí</v>
          </cell>
        </row>
        <row r="2082">
          <cell r="K2082" t="str">
            <v>Dương Lê Thiên Lý - PT458</v>
          </cell>
        </row>
        <row r="2083">
          <cell r="K2083" t="str">
            <v>Lê Thị Huyền Châm</v>
          </cell>
        </row>
        <row r="2084">
          <cell r="K2084" t="str">
            <v xml:space="preserve">Nguyễn Dương Phú Quỳnh	</v>
          </cell>
        </row>
        <row r="2085">
          <cell r="K2085" t="str">
            <v>Nguyễn Lan Hương</v>
          </cell>
        </row>
        <row r="2086">
          <cell r="K2086" t="str">
            <v>Vũ Nam Hoàng</v>
          </cell>
        </row>
        <row r="2087">
          <cell r="K2087" t="str">
            <v>Bùi Khánh Ly - hợp đồng</v>
          </cell>
        </row>
        <row r="2088">
          <cell r="K2088" t="str">
            <v>Hoàng Thị Hà My</v>
          </cell>
        </row>
        <row r="2089">
          <cell r="K2089" t="str">
            <v>Lê Thế Kiên</v>
          </cell>
        </row>
        <row r="2090">
          <cell r="K2090" t="str">
            <v>Phạm Thị Như Quỳnh - hv thứ 10</v>
          </cell>
        </row>
        <row r="2091">
          <cell r="K2091" t="str">
            <v>Nguyễn Trần Quỳnh Anh</v>
          </cell>
        </row>
        <row r="2092">
          <cell r="K2092" t="str">
            <v>Lê Bảo Toàn</v>
          </cell>
        </row>
        <row r="2093">
          <cell r="K2093" t="str">
            <v xml:space="preserve"> Nguyễn Thị Hoài Anh</v>
          </cell>
        </row>
        <row r="2094">
          <cell r="K2094" t="str">
            <v>Trần Phương Anh</v>
          </cell>
        </row>
        <row r="2095">
          <cell r="K2095" t="str">
            <v xml:space="preserve">Nguyễn Đặng Bảo Viên </v>
          </cell>
        </row>
        <row r="2096">
          <cell r="K2096" t="str">
            <v>Lê Thành Long</v>
          </cell>
        </row>
        <row r="2097">
          <cell r="K2097" t="str">
            <v>Vũ Thị Hiệp</v>
          </cell>
        </row>
        <row r="2098">
          <cell r="K2098" t="str">
            <v>Trương Tuấn An Huy - hv thứ 11 - hợp đồng</v>
          </cell>
        </row>
        <row r="2099">
          <cell r="K2099" t="str">
            <v>Ngô Việt Đức - hv thứ 10</v>
          </cell>
        </row>
        <row r="2100">
          <cell r="K2100" t="str">
            <v xml:space="preserve">Nguyễn Danh Đức </v>
          </cell>
        </row>
        <row r="2101">
          <cell r="K2101" t="str">
            <v>Vũ Thị Ngọc Lan</v>
          </cell>
        </row>
        <row r="2102">
          <cell r="K2102" t="str">
            <v xml:space="preserve">Nguyễn Thị Thanh Lan </v>
          </cell>
        </row>
        <row r="2103">
          <cell r="K2103" t="str">
            <v>Nguyễn Lê Ngọc Diệp</v>
          </cell>
        </row>
        <row r="2104">
          <cell r="K2104" t="str">
            <v>Dương Thuý Nga</v>
          </cell>
        </row>
        <row r="2105">
          <cell r="K2105" t="str">
            <v>Nguyễn Ngọc Huy - hợp đồng</v>
          </cell>
        </row>
        <row r="2106">
          <cell r="K2106" t="str">
            <v>Trần Thanh Tâm</v>
          </cell>
        </row>
        <row r="2107">
          <cell r="K2107" t="str">
            <v xml:space="preserve">Đỗ Lê Kim Yến </v>
          </cell>
        </row>
        <row r="2108">
          <cell r="K2108" t="str">
            <v>Nguyễn Ngọc Diệp</v>
          </cell>
        </row>
        <row r="2109">
          <cell r="K2109" t="str">
            <v>Nguyễn Đức Quân</v>
          </cell>
        </row>
        <row r="2110">
          <cell r="K2110" t="str">
            <v xml:space="preserve">Lê Thu Hà </v>
          </cell>
        </row>
        <row r="2111">
          <cell r="K2111" t="str">
            <v>Hoàng Xuân An</v>
          </cell>
        </row>
        <row r="2112">
          <cell r="K2112" t="str">
            <v xml:space="preserve">Vũ Nguyệt Ánh </v>
          </cell>
        </row>
        <row r="2113">
          <cell r="K2113" t="str">
            <v>Cao Phương Thảo My - T480</v>
          </cell>
        </row>
        <row r="2114">
          <cell r="K2114" t="str">
            <v>Lê Phước An</v>
          </cell>
        </row>
        <row r="2115">
          <cell r="K2115" t="str">
            <v>Nghiêm Thị Thùy Linh</v>
          </cell>
        </row>
        <row r="2116">
          <cell r="K2116" t="str">
            <v>Nguyễn Thị Hà Anh - PT459</v>
          </cell>
        </row>
        <row r="2117">
          <cell r="K2117" t="str">
            <v>Đặng Ngọc Linh</v>
          </cell>
        </row>
        <row r="2118">
          <cell r="K2118" t="str">
            <v>Hoàng Thị Thùy Trang</v>
          </cell>
        </row>
        <row r="2119">
          <cell r="K2119" t="str">
            <v>Đinh Ngọc Ánh - T480 - Le Minh Hoang Anh</v>
          </cell>
        </row>
        <row r="2120">
          <cell r="K2120" t="str">
            <v>Lê Quốc Hoàng</v>
          </cell>
        </row>
        <row r="2121">
          <cell r="K2121" t="str">
            <v xml:space="preserve">Đàm Văn Tú </v>
          </cell>
        </row>
        <row r="2122">
          <cell r="K2122" t="str">
            <v>Trịnh Tiểu Băng</v>
          </cell>
        </row>
        <row r="2123">
          <cell r="K2123" t="str">
            <v xml:space="preserve">Nguyễn Thị Thu Trang </v>
          </cell>
        </row>
        <row r="2124">
          <cell r="K2124" t="str">
            <v>Đoàn Hồng Nhung</v>
          </cell>
        </row>
        <row r="2125">
          <cell r="K2125" t="str">
            <v>Lê Quang Huy</v>
          </cell>
        </row>
        <row r="2126">
          <cell r="K2126" t="str">
            <v>Võ Thị Mai Tuyết - hoàn cọc 10/06/2026</v>
          </cell>
        </row>
        <row r="2127">
          <cell r="K2127" t="str">
            <v>Nguyễn Thị Hải Yến - hoàn cọc 10/06/2026</v>
          </cell>
        </row>
        <row r="2128">
          <cell r="K2128" t="str">
            <v xml:space="preserve">Lầu Mái Xì </v>
          </cell>
        </row>
        <row r="2129">
          <cell r="K2129" t="str">
            <v xml:space="preserve">Nguyễn Văn Thành Phát </v>
          </cell>
        </row>
        <row r="2130">
          <cell r="K2130" t="str">
            <v>Ngô Phương Linh - hv thứ 10</v>
          </cell>
        </row>
        <row r="2131">
          <cell r="K2131" t="str">
            <v>Bùi Phương Mai</v>
          </cell>
        </row>
        <row r="2132">
          <cell r="K2132" t="str">
            <v>Hoàng Thanh Tú</v>
          </cell>
        </row>
        <row r="2133">
          <cell r="K2133" t="str">
            <v>Trần Lê Như Quỳnh</v>
          </cell>
        </row>
        <row r="2134">
          <cell r="K2134" t="str">
            <v>Hà Châu Anh - PT458</v>
          </cell>
        </row>
        <row r="2135">
          <cell r="K2135" t="str">
            <v>Nguyễn Thị Ngọc Yến - PT458</v>
          </cell>
        </row>
        <row r="2136">
          <cell r="K2136" t="str">
            <v xml:space="preserve">Trần Thị Anh Thư </v>
          </cell>
        </row>
        <row r="2137">
          <cell r="K2137" t="str">
            <v xml:space="preserve">Triệu Hoàng Sơn </v>
          </cell>
        </row>
        <row r="2138">
          <cell r="K2138" t="str">
            <v>Nguyễn Trung Hiếu - PT462</v>
          </cell>
        </row>
        <row r="2139">
          <cell r="K2139" t="str">
            <v>Phan Tấn Đông</v>
          </cell>
        </row>
        <row r="2140">
          <cell r="K2140" t="str">
            <v>Trần Thị Lan Anh - PT456</v>
          </cell>
        </row>
        <row r="2141">
          <cell r="K2141" t="str">
            <v>Cầm Quỳnh Chi</v>
          </cell>
        </row>
        <row r="2142">
          <cell r="K2142" t="str">
            <v xml:space="preserve">Nguyễn Văn Hiếu </v>
          </cell>
        </row>
        <row r="2143">
          <cell r="K2143" t="str">
            <v xml:space="preserve">Huỳnh Trần Thảo Ngân </v>
          </cell>
        </row>
        <row r="2144">
          <cell r="K2144" t="str">
            <v>Lê Thị Khánh Ngân - hv thứ 10</v>
          </cell>
        </row>
        <row r="2145">
          <cell r="K2145" t="str">
            <v>Ngô Bảo Chi</v>
          </cell>
        </row>
        <row r="2146">
          <cell r="K2146" t="str">
            <v xml:space="preserve"> Đặng Khải Nguyên</v>
          </cell>
        </row>
        <row r="2147">
          <cell r="K2147" t="str">
            <v>Bùi Quốc Trọng PT459 - bill chung</v>
          </cell>
        </row>
        <row r="2148">
          <cell r="K2148" t="str">
            <v>Hoàng Văn Tuân PT459 - bill chung Trọng</v>
          </cell>
        </row>
        <row r="2149">
          <cell r="K2149" t="str">
            <v>Nguyễn Nam Phương PT459 - bill chung Trọng</v>
          </cell>
        </row>
        <row r="2150">
          <cell r="K2150" t="str">
            <v>Trương Ngọc Mai</v>
          </cell>
        </row>
        <row r="2151">
          <cell r="K2151" t="str">
            <v>Đinh Thị Vân Anh</v>
          </cell>
        </row>
        <row r="2152">
          <cell r="K2152" t="str">
            <v>Hoàng Hà Phương</v>
          </cell>
        </row>
        <row r="2153">
          <cell r="K2153" t="str">
            <v>Võ Sỹ Hoàng</v>
          </cell>
        </row>
        <row r="2154">
          <cell r="K2154" t="str">
            <v xml:space="preserve">Phạm Huy Đức </v>
          </cell>
        </row>
        <row r="2155">
          <cell r="K2155" t="str">
            <v>Nguyễn Thị Thanh Thảo</v>
          </cell>
        </row>
        <row r="2156">
          <cell r="K2156" t="str">
            <v xml:space="preserve">Tạ Mỹ Anh </v>
          </cell>
        </row>
        <row r="2157">
          <cell r="K2157" t="str">
            <v>Lê Thị Thu Hà</v>
          </cell>
        </row>
        <row r="2158">
          <cell r="K2158" t="str">
            <v xml:space="preserve">Phạm Ngọc Thuỳ </v>
          </cell>
        </row>
        <row r="2159">
          <cell r="K2159" t="str">
            <v xml:space="preserve">Hồ Minh Nguyệt </v>
          </cell>
        </row>
        <row r="2160">
          <cell r="K2160" t="str">
            <v>Nguyễn Thị Hoà</v>
          </cell>
        </row>
        <row r="2161">
          <cell r="K2161" t="str">
            <v>Phan Thái Dương</v>
          </cell>
        </row>
        <row r="2162">
          <cell r="K2162" t="str">
            <v>Mai Phương Thảo</v>
          </cell>
        </row>
        <row r="2163">
          <cell r="K2163" t="str">
            <v>Trần Quang Hân</v>
          </cell>
        </row>
        <row r="2164">
          <cell r="K2164" t="str">
            <v>Hoàng Trọng Nhất</v>
          </cell>
        </row>
        <row r="2165">
          <cell r="K2165" t="str">
            <v>Lê Văn Thành Nhân</v>
          </cell>
        </row>
        <row r="2166">
          <cell r="K2166" t="str">
            <v>Trần Thị Thanh Nhường - hv thứ 13</v>
          </cell>
        </row>
        <row r="2167">
          <cell r="K2167" t="str">
            <v>Nguyễn Thanh Hằng</v>
          </cell>
        </row>
        <row r="2168">
          <cell r="K2168" t="str">
            <v>Bùi Thuỳ Linh - hv thứ 13</v>
          </cell>
        </row>
        <row r="2169">
          <cell r="K2169" t="str">
            <v xml:space="preserve">Vũ Hoàng Nam Quốc </v>
          </cell>
        </row>
        <row r="2170">
          <cell r="K2170" t="str">
            <v xml:space="preserve">Nguyễn Thị Ngọc Mỹ </v>
          </cell>
        </row>
        <row r="2171">
          <cell r="K2171" t="str">
            <v xml:space="preserve">Nguyễn Diệu Linh </v>
          </cell>
        </row>
        <row r="2172">
          <cell r="K2172" t="str">
            <v>Trần Tuấn Anh</v>
          </cell>
        </row>
        <row r="2173">
          <cell r="K2173" t="str">
            <v>Phạm Phú Trọng - hoàn cọc 06/06/2026</v>
          </cell>
        </row>
        <row r="2174">
          <cell r="K2174" t="str">
            <v>Hồ Quốc Triều</v>
          </cell>
        </row>
        <row r="2175">
          <cell r="K2175" t="str">
            <v>Nguyễn Minh Tuyền</v>
          </cell>
        </row>
        <row r="2176">
          <cell r="K2176" t="str">
            <v>Lê Nhật Khang</v>
          </cell>
        </row>
        <row r="2177">
          <cell r="K2177" t="str">
            <v>Nguyễn Thuỳ Trâm</v>
          </cell>
        </row>
        <row r="2178">
          <cell r="K2178" t="str">
            <v>Nguyễn Tú Quyên</v>
          </cell>
        </row>
        <row r="2179">
          <cell r="K2179" t="str">
            <v>Lê Thị Thuỳ Trâm</v>
          </cell>
        </row>
        <row r="2180">
          <cell r="K2180" t="str">
            <v xml:space="preserve">Tống Xuân Thọ </v>
          </cell>
        </row>
        <row r="2181">
          <cell r="K2181" t="str">
            <v>Đoàn Lâm Xuân Nữ</v>
          </cell>
        </row>
        <row r="2182">
          <cell r="K2182" t="str">
            <v>Phạm Thu Phương</v>
          </cell>
        </row>
        <row r="2183">
          <cell r="K2183" t="str">
            <v>Lê Ngọc Linh - PT457</v>
          </cell>
        </row>
        <row r="2184">
          <cell r="K2184" t="str">
            <v>Lê Văn Hồng Phát</v>
          </cell>
        </row>
        <row r="2185">
          <cell r="K2185" t="str">
            <v>Võ Anh Tuấn</v>
          </cell>
        </row>
        <row r="2186">
          <cell r="K2186" t="str">
            <v>Trần Thị Thanh thảo</v>
          </cell>
        </row>
        <row r="2187">
          <cell r="K2187" t="str">
            <v xml:space="preserve">Mạc Minh Duẩn </v>
          </cell>
        </row>
        <row r="2188">
          <cell r="K2188" t="str">
            <v xml:space="preserve">Nguyễn Văn Bảo </v>
          </cell>
        </row>
        <row r="2189">
          <cell r="K2189" t="str">
            <v xml:space="preserve"> Quách Minh Mạnh    </v>
          </cell>
        </row>
        <row r="2190">
          <cell r="K2190" t="str">
            <v>Nguyễn Kỳ Duyên - PT458</v>
          </cell>
        </row>
        <row r="2191">
          <cell r="K2191" t="str">
            <v xml:space="preserve">Lương Ngọc Minh </v>
          </cell>
        </row>
        <row r="2192">
          <cell r="K2192" t="str">
            <v>Nguyễn Văn Hải</v>
          </cell>
        </row>
        <row r="2193">
          <cell r="K2193" t="str">
            <v xml:space="preserve">Nguyễn Thị Thanh Hằng </v>
          </cell>
        </row>
        <row r="2194">
          <cell r="K2194" t="str">
            <v>Thạch Huỳnh Nhật Huy</v>
          </cell>
        </row>
        <row r="2195">
          <cell r="K2195" t="str">
            <v xml:space="preserve">Dương Hải Sơn </v>
          </cell>
        </row>
        <row r="2196">
          <cell r="K2196" t="str">
            <v>Cấn Anh Sơn</v>
          </cell>
        </row>
        <row r="2197">
          <cell r="K2197" t="str">
            <v>Lê Quốc Hải</v>
          </cell>
        </row>
        <row r="2198">
          <cell r="K2198" t="str">
            <v>Phạm Thị Diễm Quỳnh</v>
          </cell>
        </row>
        <row r="2199">
          <cell r="K2199" t="str">
            <v>Phạm Ngọc Tân - Hoàn cọc 15/06/2026</v>
          </cell>
        </row>
        <row r="2200">
          <cell r="K2200" t="str">
            <v>Nguyễn Tú Anh - PT420</v>
          </cell>
        </row>
        <row r="2201">
          <cell r="K2201" t="str">
            <v>Trần Yến Nhi</v>
          </cell>
        </row>
        <row r="2202">
          <cell r="K2202" t="str">
            <v xml:space="preserve">An Hà Vy </v>
          </cell>
        </row>
        <row r="2203">
          <cell r="K2203" t="str">
            <v>Nguyễn Thị Thanh Huyền</v>
          </cell>
        </row>
        <row r="2204">
          <cell r="K2204" t="str">
            <v xml:space="preserve">Nguyễn Thị Phương Ánh </v>
          </cell>
        </row>
        <row r="2205">
          <cell r="K2205" t="str">
            <v>Phùng Thị Thảo Nguyên</v>
          </cell>
        </row>
        <row r="2206">
          <cell r="K2206" t="str">
            <v>Lê Dịu Linh</v>
          </cell>
        </row>
        <row r="2207">
          <cell r="K2207" t="str">
            <v>Phan Thị Mai Thương</v>
          </cell>
        </row>
        <row r="2208">
          <cell r="K2208" t="str">
            <v>Vũ Nguyễn Đăng Khoa</v>
          </cell>
        </row>
        <row r="2209">
          <cell r="K2209" t="str">
            <v>Vũ Thị Hương Giang</v>
          </cell>
        </row>
        <row r="2210">
          <cell r="K2210" t="str">
            <v>Lê Quang Minh</v>
          </cell>
        </row>
        <row r="2211">
          <cell r="K2211" t="str">
            <v>Nguyễn Thị Thanh Thảo</v>
          </cell>
        </row>
        <row r="2212">
          <cell r="K2212" t="str">
            <v>Trương Nguyễn Ngọc Quỳnh - Mây Mây</v>
          </cell>
        </row>
        <row r="2213">
          <cell r="K2213" t="str">
            <v>Hứa Thị Hường</v>
          </cell>
        </row>
        <row r="2214">
          <cell r="K2214" t="str">
            <v>Nguyễn Minh Tú</v>
          </cell>
        </row>
        <row r="2215">
          <cell r="K2215" t="str">
            <v>Trần Thị Bảo Trân</v>
          </cell>
        </row>
        <row r="2216">
          <cell r="K2216" t="str">
            <v>Nguyễn Thị Trà My</v>
          </cell>
        </row>
        <row r="2217">
          <cell r="K2217" t="str">
            <v>Lê Đặng Trung Tín</v>
          </cell>
        </row>
        <row r="2218">
          <cell r="K2218" t="str">
            <v xml:space="preserve">Lê Thị Thùy Dương </v>
          </cell>
        </row>
        <row r="2219">
          <cell r="K2219" t="str">
            <v>Trương Huy Phong</v>
          </cell>
        </row>
        <row r="2220">
          <cell r="K2220" t="str">
            <v>Ngô Anh Phương</v>
          </cell>
        </row>
        <row r="2221">
          <cell r="K2221" t="str">
            <v>Nguyễn Thị Lan Anh</v>
          </cell>
        </row>
        <row r="2222">
          <cell r="K2222" t="str">
            <v>Nguyễn Thị Hà Anh</v>
          </cell>
        </row>
        <row r="2223">
          <cell r="K2223" t="str">
            <v xml:space="preserve">Đinh Thị Lan Anh </v>
          </cell>
        </row>
        <row r="2224">
          <cell r="K2224" t="str">
            <v>Nguyễn Thị Quỳnh</v>
          </cell>
        </row>
        <row r="2225">
          <cell r="K2225" t="str">
            <v>Phan Thị Ngọc Châu</v>
          </cell>
        </row>
        <row r="2226">
          <cell r="K2226" t="str">
            <v xml:space="preserve"> Lê Thị Yến Nhi</v>
          </cell>
        </row>
        <row r="2227">
          <cell r="K2227" t="str">
            <v xml:space="preserve">Trần Phương Vy </v>
          </cell>
        </row>
        <row r="2228">
          <cell r="K2228" t="str">
            <v>Nguyễn Hồng Doan</v>
          </cell>
        </row>
        <row r="2229">
          <cell r="K2229" t="str">
            <v>Ngô Thị Quỳnh Như</v>
          </cell>
        </row>
        <row r="2230">
          <cell r="K2230" t="str">
            <v>Tạ Thị Thu Trang</v>
          </cell>
        </row>
        <row r="2231">
          <cell r="K2231" t="str">
            <v>Nguyễn Anh Đức</v>
          </cell>
        </row>
        <row r="2232">
          <cell r="K2232" t="str">
            <v>Trịnh Hoàng Linh</v>
          </cell>
        </row>
        <row r="2233">
          <cell r="K2233" t="str">
            <v>Nguyễn Hà Linh</v>
          </cell>
        </row>
        <row r="2234">
          <cell r="K2234" t="str">
            <v>Lê Quang Lâm</v>
          </cell>
        </row>
        <row r="2235">
          <cell r="K2235" t="str">
            <v>Phạm Thị Hồng Nhung - Rose Vered - hợp đồng</v>
          </cell>
        </row>
        <row r="2236">
          <cell r="K2236" t="str">
            <v>Nguyễn Đức Tuấn</v>
          </cell>
        </row>
        <row r="2237">
          <cell r="K2237" t="str">
            <v xml:space="preserve">Phạm Duy Anh </v>
          </cell>
        </row>
        <row r="2238">
          <cell r="K2238" t="str">
            <v>Hà Thị Ngọc Anh</v>
          </cell>
        </row>
        <row r="2239">
          <cell r="K2239" t="str">
            <v>Phạm Thu Hiền</v>
          </cell>
        </row>
        <row r="2240">
          <cell r="K2240" t="str">
            <v>Nguyễn Như Yến</v>
          </cell>
        </row>
        <row r="2241">
          <cell r="K2241" t="str">
            <v xml:space="preserve">Lương Gia Huy </v>
          </cell>
        </row>
        <row r="2242">
          <cell r="K2242" t="str">
            <v xml:space="preserve">Nguyễn Thu Trang </v>
          </cell>
        </row>
        <row r="2243">
          <cell r="K2243" t="str">
            <v>Mạc Văn Minh Phúc</v>
          </cell>
        </row>
        <row r="2244">
          <cell r="K2244" t="str">
            <v xml:space="preserve">Nguyễn Mạnh Quang </v>
          </cell>
        </row>
        <row r="2245">
          <cell r="K2245" t="str">
            <v xml:space="preserve">Nguyễn Hoàng Phúc </v>
          </cell>
        </row>
        <row r="2246">
          <cell r="K2246" t="str">
            <v>Trần Quang Huy</v>
          </cell>
        </row>
        <row r="2247">
          <cell r="K2247" t="str">
            <v xml:space="preserve">Trần Thị Trúc </v>
          </cell>
        </row>
        <row r="2248">
          <cell r="K2248" t="str">
            <v>Đoàn Khương Hà Thu</v>
          </cell>
        </row>
        <row r="2249">
          <cell r="K2249" t="str">
            <v xml:space="preserve">Nguyễn Ngọc Ánh </v>
          </cell>
        </row>
        <row r="2250">
          <cell r="K2250" t="str">
            <v>Nguyễn Thúy Anh</v>
          </cell>
        </row>
        <row r="2251">
          <cell r="K2251" t="str">
            <v>Lê Quang Huy</v>
          </cell>
        </row>
        <row r="2252">
          <cell r="K2252" t="str">
            <v>Tạ Bảo Huyền Châu</v>
          </cell>
        </row>
        <row r="2253">
          <cell r="K2253" t="str">
            <v xml:space="preserve">Lê Thùy Trang </v>
          </cell>
        </row>
        <row r="2254">
          <cell r="K2254" t="str">
            <v>Đinh Thị Thu Hương</v>
          </cell>
        </row>
        <row r="2255">
          <cell r="K2255" t="str">
            <v xml:space="preserve">Nguyễn Lâm Xuân Mai </v>
          </cell>
        </row>
        <row r="2256">
          <cell r="K2256" t="str">
            <v xml:space="preserve">Nguyễn Thị Ngọc Hà </v>
          </cell>
        </row>
        <row r="2257">
          <cell r="K2257" t="str">
            <v>Phạm Thị Ngọc Quý</v>
          </cell>
        </row>
        <row r="2258">
          <cell r="K2258" t="str">
            <v>Lương Thị Diễm Như</v>
          </cell>
        </row>
        <row r="2259">
          <cell r="K2259" t="str">
            <v>Nguyễn Thị Hiền Trân</v>
          </cell>
        </row>
        <row r="2260">
          <cell r="K2260" t="str">
            <v>Bùi Công Duy</v>
          </cell>
        </row>
        <row r="2261">
          <cell r="K2261" t="str">
            <v>Lê Huyền Chi</v>
          </cell>
        </row>
        <row r="2262">
          <cell r="K2262" t="str">
            <v xml:space="preserve">Nguyễn Thị Linh </v>
          </cell>
        </row>
        <row r="2263">
          <cell r="K2263" t="str">
            <v>Vũ Mai Thanh</v>
          </cell>
        </row>
        <row r="2264">
          <cell r="K2264" t="str">
            <v>Cù Ngọc Khánh</v>
          </cell>
        </row>
        <row r="2265">
          <cell r="K2265" t="str">
            <v>Lý Thị Liên</v>
          </cell>
        </row>
        <row r="2266">
          <cell r="K2266" t="str">
            <v xml:space="preserve">Hồ Thị Anh  </v>
          </cell>
        </row>
        <row r="2267">
          <cell r="K2267" t="str">
            <v>Đồng Văn Duy</v>
          </cell>
        </row>
        <row r="2268">
          <cell r="K2268" t="str">
            <v>Lâm Gia Huy</v>
          </cell>
        </row>
        <row r="2269">
          <cell r="K2269" t="str">
            <v>Lê Ngọc Thủy Tiên - hv thứ 10</v>
          </cell>
        </row>
        <row r="2270">
          <cell r="K2270" t="str">
            <v>Nguyễn Trà Giang - zalo của mẹ</v>
          </cell>
        </row>
        <row r="2271">
          <cell r="K2271" t="str">
            <v>Nguyễn Thị Hồng Anh</v>
          </cell>
        </row>
        <row r="2272">
          <cell r="K2272" t="str">
            <v>Nguyễn Thảo Vân</v>
          </cell>
        </row>
        <row r="2273">
          <cell r="K2273" t="str">
            <v>Trần Nhật Minh</v>
          </cell>
        </row>
        <row r="2274">
          <cell r="K2274" t="str">
            <v>Ngô Đức Gia Hải</v>
          </cell>
        </row>
        <row r="2275">
          <cell r="K2275" t="str">
            <v>Võ Thị Hồng Giang - hv thứ 11</v>
          </cell>
        </row>
        <row r="2276">
          <cell r="K2276" t="str">
            <v xml:space="preserve">Trần Quỳnh Như </v>
          </cell>
        </row>
        <row r="2277">
          <cell r="K2277" t="str">
            <v xml:space="preserve">Chu Thị Thúy Nga </v>
          </cell>
        </row>
        <row r="2278">
          <cell r="K2278" t="str">
            <v>Tiêu Công Vinh</v>
          </cell>
        </row>
        <row r="2279">
          <cell r="K2279" t="str">
            <v>Nguyễn Minh Tú</v>
          </cell>
        </row>
        <row r="2280">
          <cell r="K2280" t="str">
            <v>Nguyễn Thiện Nghiêm</v>
          </cell>
        </row>
        <row r="2281">
          <cell r="K2281" t="str">
            <v>Vũ Thị Thanh Huyền</v>
          </cell>
        </row>
        <row r="2282">
          <cell r="K2282" t="str">
            <v>Phan Thị Thanh Thảo</v>
          </cell>
        </row>
        <row r="2283">
          <cell r="K2283" t="str">
            <v>Đặng Thuỳ Trang</v>
          </cell>
        </row>
        <row r="2284">
          <cell r="K2284" t="str">
            <v xml:space="preserve">Nguyễn Thị Ngọc Anh </v>
          </cell>
        </row>
        <row r="2285">
          <cell r="K2285" t="str">
            <v>Nguyễn Trà My</v>
          </cell>
        </row>
        <row r="2286">
          <cell r="K2286" t="str">
            <v xml:space="preserve">Nguyễn Thị Ngọc Linh </v>
          </cell>
        </row>
        <row r="2287">
          <cell r="K2287" t="str">
            <v xml:space="preserve"> Phạm Quang Minh</v>
          </cell>
        </row>
        <row r="2288">
          <cell r="K2288" t="str">
            <v>Thân Gia Khánh</v>
          </cell>
        </row>
        <row r="2289">
          <cell r="K2289" t="str">
            <v>Đào Tuấn Anh</v>
          </cell>
        </row>
        <row r="2290">
          <cell r="K2290" t="str">
            <v>Nguyễn Trí Chung</v>
          </cell>
        </row>
        <row r="2291">
          <cell r="K2291" t="str">
            <v>Nguyễn Thị Tươi</v>
          </cell>
        </row>
        <row r="2292">
          <cell r="K2292" t="str">
            <v>Hoàng Minh Vũ</v>
          </cell>
        </row>
        <row r="2293">
          <cell r="K2293" t="str">
            <v>Nguyễn Công Bách</v>
          </cell>
        </row>
        <row r="2294">
          <cell r="K2294" t="str">
            <v xml:space="preserve">Nguyễn Trà Giang </v>
          </cell>
        </row>
        <row r="2295">
          <cell r="K2295" t="str">
            <v xml:space="preserve">Nguyễn Mai Anh </v>
          </cell>
        </row>
        <row r="2296">
          <cell r="K2296" t="str">
            <v xml:space="preserve">Võ Hiếu Văn </v>
          </cell>
        </row>
        <row r="2297">
          <cell r="K2297" t="str">
            <v>Nguyễn Thị Kiều Hoa</v>
          </cell>
        </row>
        <row r="2298">
          <cell r="K2298" t="str">
            <v xml:space="preserve">Hồ Tiến Dũng </v>
          </cell>
        </row>
        <row r="2299">
          <cell r="K2299" t="str">
            <v>Lê Anh Bình</v>
          </cell>
        </row>
        <row r="2300">
          <cell r="K2300" t="str">
            <v xml:space="preserve">Nguyễn Minh Tâm </v>
          </cell>
        </row>
        <row r="2301">
          <cell r="K2301" t="str">
            <v xml:space="preserve">Vũ Hữu Lộc </v>
          </cell>
        </row>
        <row r="2302">
          <cell r="K2302" t="str">
            <v>Nguyễn Quỳnh Như</v>
          </cell>
        </row>
        <row r="2303">
          <cell r="K2303" t="str">
            <v xml:space="preserve">Võ Hoàng Huy </v>
          </cell>
        </row>
        <row r="2304">
          <cell r="K2304" t="str">
            <v>Lê Anh Vũ</v>
          </cell>
        </row>
        <row r="2305">
          <cell r="K2305" t="str">
            <v xml:space="preserve">Dương Mai Hoàng Giang </v>
          </cell>
        </row>
        <row r="2306">
          <cell r="K2306" t="str">
            <v>Văn Thái Dương</v>
          </cell>
        </row>
        <row r="2307">
          <cell r="K2307" t="str">
            <v>Phạm Nguyễn Bích Ngọc</v>
          </cell>
        </row>
        <row r="2308">
          <cell r="K2308" t="str">
            <v>Tô Thị Hồng Phượng - hv thứ 10 - hợp đồng</v>
          </cell>
        </row>
        <row r="2309">
          <cell r="K2309" t="str">
            <v xml:space="preserve">Nguyễn Thị Hiền     </v>
          </cell>
        </row>
        <row r="2310">
          <cell r="K2310" t="str">
            <v>Phạm Thị Minh Thư</v>
          </cell>
        </row>
        <row r="2311">
          <cell r="K2311" t="str">
            <v xml:space="preserve">Nguyễn Chí Hà </v>
          </cell>
        </row>
        <row r="2312">
          <cell r="K2312" t="str">
            <v xml:space="preserve">Nguyễn Bảo Ngọc </v>
          </cell>
        </row>
        <row r="2313">
          <cell r="K2313" t="str">
            <v>Nguyễn Kỳ An</v>
          </cell>
        </row>
        <row r="2314">
          <cell r="K2314" t="str">
            <v xml:space="preserve">Trần Hậu Thắng </v>
          </cell>
        </row>
        <row r="2315">
          <cell r="K2315" t="str">
            <v>Nguyễn Thanh Hải</v>
          </cell>
        </row>
        <row r="2316">
          <cell r="K2316" t="str">
            <v>Tống Thị Thảo Vi</v>
          </cell>
        </row>
        <row r="2317">
          <cell r="K2317" t="str">
            <v>Phạm Hoàng Như Phương</v>
          </cell>
        </row>
        <row r="2318">
          <cell r="K2318" t="str">
            <v>Mai Văn Tiến Nam - hv thứ 10</v>
          </cell>
        </row>
        <row r="2319">
          <cell r="K2319" t="str">
            <v xml:space="preserve">Ngô Thị Thuỳ Nga  </v>
          </cell>
        </row>
        <row r="2320">
          <cell r="K2320" t="str">
            <v xml:space="preserve">Nguyễn Phước Thiện </v>
          </cell>
        </row>
        <row r="2321">
          <cell r="K2321" t="str">
            <v xml:space="preserve">Nguyễn Thanh Thùy </v>
          </cell>
        </row>
        <row r="2322">
          <cell r="K2322" t="str">
            <v xml:space="preserve">Trần Nguyễn Thư Thi </v>
          </cell>
        </row>
        <row r="2323">
          <cell r="K2323" t="str">
            <v xml:space="preserve">Nguyễn Ngọc Phương Kiều </v>
          </cell>
        </row>
        <row r="2324">
          <cell r="K2324" t="str">
            <v xml:space="preserve">Lê Nhựt Tân </v>
          </cell>
        </row>
        <row r="2325">
          <cell r="K2325" t="str">
            <v>Văn Công Minh</v>
          </cell>
        </row>
        <row r="2326">
          <cell r="K2326" t="str">
            <v>Nguyễn Thị Lan Anh</v>
          </cell>
        </row>
        <row r="2327">
          <cell r="K2327" t="str">
            <v>Lâm Anh Thư</v>
          </cell>
        </row>
        <row r="2328">
          <cell r="K2328" t="str">
            <v xml:space="preserve">Nguyễn Thị Phương Thảo </v>
          </cell>
        </row>
        <row r="2329">
          <cell r="K2329" t="str">
            <v>Trần Thị Anh Thư</v>
          </cell>
        </row>
        <row r="2330">
          <cell r="K2330" t="str">
            <v>Nguyễn Thảo Ly</v>
          </cell>
        </row>
        <row r="2331">
          <cell r="K2331" t="str">
            <v>Bùi Như Ý</v>
          </cell>
        </row>
        <row r="2332">
          <cell r="K2332" t="str">
            <v>Nguyễn Phương Linh</v>
          </cell>
        </row>
        <row r="2333">
          <cell r="K2333" t="str">
            <v>Vũ Khánh Huyên</v>
          </cell>
        </row>
        <row r="2334">
          <cell r="K2334" t="str">
            <v xml:space="preserve">Lê Nhựt Lan </v>
          </cell>
        </row>
        <row r="2335">
          <cell r="K2335" t="str">
            <v>Trần Hà Linh</v>
          </cell>
        </row>
        <row r="2336">
          <cell r="K2336" t="str">
            <v>Đỗ Tường Vy</v>
          </cell>
        </row>
        <row r="2337">
          <cell r="K2337" t="str">
            <v>Nguyễn Ngọc Mai Nguyên</v>
          </cell>
        </row>
        <row r="2338">
          <cell r="K2338" t="str">
            <v>Lê Thị Nguyệt Minh</v>
          </cell>
        </row>
        <row r="2339">
          <cell r="K2339" t="str">
            <v>Trần Thị Hồng Hạnh</v>
          </cell>
        </row>
        <row r="2340">
          <cell r="K2340" t="str">
            <v>Cao Hồ Phúc</v>
          </cell>
        </row>
        <row r="2341">
          <cell r="K2341" t="str">
            <v xml:space="preserve">Cao Đại Phát </v>
          </cell>
        </row>
        <row r="2342">
          <cell r="K2342" t="str">
            <v xml:space="preserve">Đinh Hồ Thiên Kim </v>
          </cell>
        </row>
        <row r="2343">
          <cell r="K2343" t="str">
            <v>Trịnh Thị Phương Anh</v>
          </cell>
        </row>
        <row r="2344">
          <cell r="K2344" t="str">
            <v>Đào Đắc Quang Dũng - 961590686 zalo của mẹ</v>
          </cell>
        </row>
        <row r="2345">
          <cell r="K2345" t="str">
            <v>Phan Thị Như Quỳnh</v>
          </cell>
        </row>
        <row r="2346">
          <cell r="K2346" t="str">
            <v>Nguyễn Khắc Khánh</v>
          </cell>
        </row>
        <row r="2347">
          <cell r="K2347" t="str">
            <v xml:space="preserve">Nguyễn Ngọc Minh Triết </v>
          </cell>
        </row>
        <row r="2348">
          <cell r="K2348" t="str">
            <v>Trần Nguyễn Phương Anh</v>
          </cell>
        </row>
        <row r="2349">
          <cell r="K2349" t="str">
            <v>Hoàng Công Quý</v>
          </cell>
        </row>
        <row r="2350">
          <cell r="K2350" t="str">
            <v>Cao Thuỳ Linh</v>
          </cell>
        </row>
        <row r="2351">
          <cell r="K2351" t="str">
            <v>Nguyễn Thanh Hương</v>
          </cell>
        </row>
        <row r="2352">
          <cell r="K2352" t="str">
            <v>Trương Văn Quang - 868387308</v>
          </cell>
        </row>
        <row r="2353">
          <cell r="K2353" t="str">
            <v>Nguyễn Hoàng Thanh Loan</v>
          </cell>
        </row>
        <row r="2354">
          <cell r="K2354" t="str">
            <v>Lục Đức Hiệp</v>
          </cell>
        </row>
        <row r="2355">
          <cell r="K2355" t="str">
            <v>Nguyễn Thị Thuỳ Trang</v>
          </cell>
        </row>
        <row r="2356">
          <cell r="K2356" t="str">
            <v xml:space="preserve">Nguyễn Hồng Nhung </v>
          </cell>
        </row>
        <row r="2357">
          <cell r="K2357" t="str">
            <v xml:space="preserve">Võ Tấn Phát </v>
          </cell>
        </row>
        <row r="2358">
          <cell r="K2358" t="str">
            <v>Ngô Thị Hằng Nga</v>
          </cell>
        </row>
        <row r="2359">
          <cell r="K2359" t="str">
            <v xml:space="preserve">Nguyễn Thị Tú Uyên </v>
          </cell>
        </row>
        <row r="2360">
          <cell r="K2360" t="str">
            <v>Lục Thị Lợi</v>
          </cell>
        </row>
        <row r="2361">
          <cell r="K2361" t="str">
            <v>Nguyễn Ánh Ngọc</v>
          </cell>
        </row>
        <row r="2362">
          <cell r="K2362" t="str">
            <v>Nguyễn Mai Hương</v>
          </cell>
        </row>
        <row r="2363">
          <cell r="K2363" t="str">
            <v>Hồ Lê Mai Khanh</v>
          </cell>
        </row>
        <row r="2364">
          <cell r="K2364" t="str">
            <v>Nguyễn Tuấn Hưng</v>
          </cell>
        </row>
        <row r="2365">
          <cell r="K2365" t="str">
            <v>Trần Gia Hân - hv thứ 10</v>
          </cell>
        </row>
        <row r="2366">
          <cell r="K2366" t="str">
            <v>Lê Thị Thuỳ Linh</v>
          </cell>
        </row>
        <row r="2367">
          <cell r="K2367" t="str">
            <v>Lê Văn Sơn</v>
          </cell>
        </row>
        <row r="2368">
          <cell r="K2368" t="str">
            <v xml:space="preserve">Nguyễn Thị Tường Vi </v>
          </cell>
        </row>
        <row r="2369">
          <cell r="K2369" t="str">
            <v>Hà Linh Nga</v>
          </cell>
        </row>
        <row r="2370">
          <cell r="K2370" t="str">
            <v>Trần Hoàng Mai Hương</v>
          </cell>
        </row>
        <row r="2371">
          <cell r="K2371" t="str">
            <v xml:space="preserve">Nguyễn Mậu Linh </v>
          </cell>
        </row>
        <row r="2372">
          <cell r="K2372" t="str">
            <v>Hồ Sỹ Nhật - hv thứ 16</v>
          </cell>
        </row>
        <row r="2373">
          <cell r="K2373" t="str">
            <v>Dương Thị Cẩm Tú</v>
          </cell>
        </row>
        <row r="2374">
          <cell r="K2374" t="str">
            <v xml:space="preserve">Lạc Thanh Thúy </v>
          </cell>
        </row>
        <row r="2375">
          <cell r="K2375" t="str">
            <v>Nguyễn Hồng Hà</v>
          </cell>
        </row>
        <row r="2376">
          <cell r="K2376" t="str">
            <v>Khánh Linh</v>
          </cell>
        </row>
        <row r="2377">
          <cell r="K2377" t="str">
            <v>Đỗ Ánh Dương</v>
          </cell>
        </row>
        <row r="2378">
          <cell r="K2378" t="str">
            <v>Đinh Thị Mai Hoa</v>
          </cell>
        </row>
        <row r="2379">
          <cell r="K2379" t="str">
            <v>Lương Nhật Huy</v>
          </cell>
        </row>
        <row r="2380">
          <cell r="K2380" t="str">
            <v>Lưu Thị Hương Giang</v>
          </cell>
        </row>
        <row r="2381">
          <cell r="K2381" t="str">
            <v xml:space="preserve">Hoàng Yến Nhi </v>
          </cell>
        </row>
        <row r="2382">
          <cell r="K2382" t="str">
            <v xml:space="preserve">Trần Thị Thu Huyền </v>
          </cell>
        </row>
        <row r="2383">
          <cell r="K2383" t="str">
            <v xml:space="preserve">Ngô Đức Quang </v>
          </cell>
        </row>
        <row r="2384">
          <cell r="K2384" t="str">
            <v>Phan Khắc Huy</v>
          </cell>
        </row>
        <row r="2385">
          <cell r="K2385" t="str">
            <v>Nguyễn Ngọc Minh</v>
          </cell>
        </row>
        <row r="2386">
          <cell r="K2386" t="str">
            <v>Trần Thị Thanh Thiện</v>
          </cell>
        </row>
        <row r="2387">
          <cell r="K2387" t="str">
            <v>Nguyễn Minh Đăng</v>
          </cell>
        </row>
        <row r="2388">
          <cell r="K2388" t="str">
            <v>Trần Hoàng Phi Thiên</v>
          </cell>
        </row>
        <row r="2389">
          <cell r="K2389" t="str">
            <v>Nguyễn Thị Kim Tứ</v>
          </cell>
        </row>
        <row r="2390">
          <cell r="K2390" t="str">
            <v>Nguyễn Thị Huyền Diệu</v>
          </cell>
        </row>
        <row r="2391">
          <cell r="K2391" t="str">
            <v>Ngô Lan Hương</v>
          </cell>
        </row>
        <row r="2392">
          <cell r="K2392" t="str">
            <v xml:space="preserve"> Vương Thị Mai Linh</v>
          </cell>
        </row>
        <row r="2393">
          <cell r="K2393" t="str">
            <v>Nguyễn Đỗ Yến Nhi</v>
          </cell>
        </row>
        <row r="2394">
          <cell r="K2394" t="str">
            <v>Phạm Đức Kiên - zalo của mẹ</v>
          </cell>
        </row>
        <row r="2395">
          <cell r="K2395" t="str">
            <v>Trần Sơn Tùng</v>
          </cell>
        </row>
        <row r="2396">
          <cell r="K2396" t="str">
            <v xml:space="preserve">Nguyễn Lê Tuấn Anh </v>
          </cell>
        </row>
        <row r="2397">
          <cell r="K2397" t="str">
            <v xml:space="preserve">Nguyễn Thị Thuý Nga </v>
          </cell>
        </row>
        <row r="2398">
          <cell r="K2398" t="str">
            <v>Nguyễn Phương Anh</v>
          </cell>
        </row>
        <row r="2399">
          <cell r="K2399" t="str">
            <v>Hoàng Thuỳ Trang</v>
          </cell>
        </row>
        <row r="2400">
          <cell r="K2400" t="str">
            <v>Mai Đức Phúc</v>
          </cell>
        </row>
        <row r="2401">
          <cell r="K2401" t="str">
            <v>Hoàng Lê Bảo Ngọc</v>
          </cell>
        </row>
        <row r="2402">
          <cell r="K2402" t="str">
            <v>Ngô Thị Hồng Nhung</v>
          </cell>
        </row>
        <row r="2403">
          <cell r="K2403" t="str">
            <v xml:space="preserve">Vũ Thị Lan Anh </v>
          </cell>
        </row>
        <row r="2404">
          <cell r="K2404" t="str">
            <v xml:space="preserve">Lý Hoàng Hải Yến </v>
          </cell>
        </row>
        <row r="2405">
          <cell r="K2405" t="str">
            <v>Ngô Yến Nhi</v>
          </cell>
        </row>
        <row r="2406">
          <cell r="K2406" t="str">
            <v>Đỗ Thành Định - hv thứ 11</v>
          </cell>
        </row>
        <row r="2407">
          <cell r="K2407" t="str">
            <v>Tạ Phương Linh</v>
          </cell>
        </row>
        <row r="2408">
          <cell r="K2408" t="str">
            <v>Phan Hương Thảo</v>
          </cell>
        </row>
        <row r="2409">
          <cell r="K2409" t="str">
            <v>Vũ Thị Như Ý</v>
          </cell>
        </row>
        <row r="2410">
          <cell r="K2410" t="str">
            <v>Dương Thuỳ Dung</v>
          </cell>
        </row>
        <row r="2411">
          <cell r="K2411" t="str">
            <v xml:space="preserve">Vũ Thanh Hà </v>
          </cell>
        </row>
        <row r="2412">
          <cell r="K2412" t="str">
            <v xml:space="preserve">Hồ Trần Tiểu Diễm </v>
          </cell>
        </row>
        <row r="2413">
          <cell r="K2413" t="str">
            <v>Trần Trung Dũng</v>
          </cell>
        </row>
        <row r="2414">
          <cell r="K2414" t="str">
            <v>Trần Mai Chi Na</v>
          </cell>
        </row>
        <row r="2415">
          <cell r="K2415" t="str">
            <v>Nguyễn Thuỳ Dương</v>
          </cell>
        </row>
        <row r="2416">
          <cell r="K2416" t="str">
            <v>Nguyễn Hồng Phương Uyên</v>
          </cell>
        </row>
        <row r="2417">
          <cell r="K2417" t="str">
            <v>Trần Tuấn Đạt</v>
          </cell>
        </row>
        <row r="2418">
          <cell r="K2418" t="str">
            <v xml:space="preserve">Dương Thị Nam Phương </v>
          </cell>
        </row>
        <row r="2419">
          <cell r="K2419" t="str">
            <v>Thiên Hồng Hạnh</v>
          </cell>
        </row>
        <row r="2420">
          <cell r="K2420" t="str">
            <v>Đặng Thị Châu Loan</v>
          </cell>
        </row>
        <row r="2421">
          <cell r="K2421" t="str">
            <v>Nguyễn Tinh Kỳ - 0877552084</v>
          </cell>
        </row>
        <row r="2422">
          <cell r="K2422" t="str">
            <v>Nguyễn Thị Hường</v>
          </cell>
        </row>
        <row r="2423">
          <cell r="K2423" t="str">
            <v>Hoàng Thu Huyền</v>
          </cell>
        </row>
        <row r="2424">
          <cell r="K2424" t="str">
            <v xml:space="preserve">Ngô Linh Chi </v>
          </cell>
        </row>
        <row r="2425">
          <cell r="K2425" t="str">
            <v xml:space="preserve">Nguyễn Thị Kim Anh </v>
          </cell>
        </row>
        <row r="2426">
          <cell r="K2426" t="str">
            <v>Tạ Phương Ly</v>
          </cell>
        </row>
        <row r="2427">
          <cell r="K2427" t="str">
            <v>Đàm Thị Ngọc Hà</v>
          </cell>
        </row>
        <row r="2428">
          <cell r="K2428" t="str">
            <v xml:space="preserve">Vũ Thị Thanh Huyền </v>
          </cell>
        </row>
        <row r="2429">
          <cell r="K2429" t="str">
            <v xml:space="preserve">Nguyễn Trà My </v>
          </cell>
        </row>
        <row r="2430">
          <cell r="K2430" t="str">
            <v>Phạm Như Quỳnh</v>
          </cell>
        </row>
        <row r="2431">
          <cell r="K2431" t="str">
            <v xml:space="preserve">Đặng Thị Mến  </v>
          </cell>
        </row>
        <row r="2432">
          <cell r="K2432" t="str">
            <v>Phạm Thuỳ Dương</v>
          </cell>
        </row>
        <row r="2433">
          <cell r="K2433" t="str">
            <v>Bùi Thị Mai Lan</v>
          </cell>
        </row>
        <row r="2434">
          <cell r="K2434" t="str">
            <v>Nguyễn Ngọc Ánh. đt bố/mẹ: 0834386467</v>
          </cell>
        </row>
        <row r="2435">
          <cell r="K2435" t="str">
            <v>Phạm Thị Nga</v>
          </cell>
        </row>
        <row r="2436">
          <cell r="K2436" t="str">
            <v>Trần Xuân Tín</v>
          </cell>
        </row>
        <row r="2437">
          <cell r="K2437" t="str">
            <v xml:space="preserve">Huỳnh Tuyết Phương </v>
          </cell>
        </row>
        <row r="2438">
          <cell r="K2438" t="str">
            <v>Đoàn Thuỳ Trang</v>
          </cell>
        </row>
        <row r="2439">
          <cell r="K2439" t="str">
            <v xml:space="preserve"> Phạm Huyền Trân </v>
          </cell>
        </row>
        <row r="2440">
          <cell r="K2440" t="str">
            <v>Nguyễn Minh Thuận</v>
          </cell>
        </row>
        <row r="2441">
          <cell r="K2441" t="str">
            <v>Nguyễn Thiên Kim</v>
          </cell>
        </row>
        <row r="2442">
          <cell r="K2442" t="str">
            <v>Nguyễn Thị Thùy Dương</v>
          </cell>
        </row>
        <row r="2443">
          <cell r="K2443" t="str">
            <v xml:space="preserve">Hoàng Châu </v>
          </cell>
        </row>
        <row r="2444">
          <cell r="K2444" t="str">
            <v>Vũ Thị Hảo</v>
          </cell>
        </row>
        <row r="2445">
          <cell r="K2445" t="str">
            <v>Nguyễn Mạnh Cường</v>
          </cell>
        </row>
        <row r="2446">
          <cell r="K2446" t="str">
            <v>Phạm Thế Quân</v>
          </cell>
        </row>
        <row r="2447">
          <cell r="K2447" t="str">
            <v>Hoàng Hải Đăng</v>
          </cell>
        </row>
        <row r="2448">
          <cell r="K2448" t="str">
            <v>Đặng Thị Mỹ Hằng</v>
          </cell>
        </row>
        <row r="2449">
          <cell r="K2449" t="str">
            <v>Nguyễn Tiến Hậu</v>
          </cell>
        </row>
        <row r="2450">
          <cell r="K2450" t="str">
            <v>Nguyễn Thị Hương Giang - hoàn cọc</v>
          </cell>
        </row>
        <row r="2451">
          <cell r="K2451" t="str">
            <v>Bùi Thị Quỳnh</v>
          </cell>
        </row>
        <row r="2452">
          <cell r="K2452" t="str">
            <v>Đặng Phương Linh</v>
          </cell>
        </row>
        <row r="2453">
          <cell r="K2453" t="str">
            <v>Trịnh Thị Diệp</v>
          </cell>
        </row>
        <row r="2454">
          <cell r="K2454" t="str">
            <v>Nguyễn Thị Ngọc Hà</v>
          </cell>
        </row>
        <row r="2455">
          <cell r="K2455" t="str">
            <v>Đỗ Thị Lan</v>
          </cell>
        </row>
        <row r="2456">
          <cell r="K2456" t="str">
            <v>Nguyễn Như Quỳnh Anh</v>
          </cell>
        </row>
        <row r="2457">
          <cell r="K2457" t="str">
            <v>Nguyễn Hà My</v>
          </cell>
        </row>
        <row r="2458">
          <cell r="K2458" t="str">
            <v xml:space="preserve">Khúc Quỳnh Lan </v>
          </cell>
        </row>
        <row r="2459">
          <cell r="K2459" t="str">
            <v>Nguyễn Phạm Ngọc Bảo - hv thứ 11. Bố: 0974156376</v>
          </cell>
        </row>
        <row r="2460">
          <cell r="K2460" t="str">
            <v>Đặng Thuỳ Trang</v>
          </cell>
        </row>
        <row r="2461">
          <cell r="K2461" t="str">
            <v>Nguyễn Thị Ban Mai</v>
          </cell>
        </row>
        <row r="2462">
          <cell r="K2462" t="str">
            <v>Nguyễn Phương Nhi</v>
          </cell>
        </row>
        <row r="2463">
          <cell r="K2463" t="str">
            <v xml:space="preserve">Trần Thị Yến Nhi </v>
          </cell>
        </row>
        <row r="2464">
          <cell r="K2464" t="str">
            <v>Nguyễn Ngọc Thành</v>
          </cell>
        </row>
        <row r="2465">
          <cell r="K2465" t="str">
            <v>Trịnh Gia Huy</v>
          </cell>
        </row>
        <row r="2466">
          <cell r="K2466" t="str">
            <v xml:space="preserve">Đàm Ngọc Bảo Chi </v>
          </cell>
        </row>
        <row r="2467">
          <cell r="K2467" t="str">
            <v>Lưu Diệp Phi</v>
          </cell>
        </row>
        <row r="2468">
          <cell r="K2468" t="str">
            <v>Bùi Tuấn Anh</v>
          </cell>
        </row>
        <row r="2469">
          <cell r="K2469" t="str">
            <v xml:space="preserve">Nguyễn Như Bảo Nhi </v>
          </cell>
        </row>
        <row r="2470">
          <cell r="K2470" t="str">
            <v xml:space="preserve">Triệu Mai Anh </v>
          </cell>
        </row>
        <row r="2471">
          <cell r="K2471" t="str">
            <v>Nguyễn Văn Hiếu</v>
          </cell>
        </row>
        <row r="2472">
          <cell r="K2472" t="str">
            <v>Bùi Thị Thuý - OVIP95 - Brighteen</v>
          </cell>
        </row>
        <row r="2473">
          <cell r="K2473" t="str">
            <v>Đậu Thanh Hoàn</v>
          </cell>
        </row>
        <row r="2474">
          <cell r="K2474" t="str">
            <v>Nguyễn Đỗ Huyền Trang</v>
          </cell>
        </row>
        <row r="2475">
          <cell r="K2475" t="str">
            <v>Mạ Thị Thuỳ Trang</v>
          </cell>
        </row>
        <row r="2476">
          <cell r="K2476" t="str">
            <v>Phạm Trịnh Hà Linh</v>
          </cell>
        </row>
        <row r="2477">
          <cell r="K2477" t="str">
            <v>Trần Ngọc Thúy Văn</v>
          </cell>
        </row>
        <row r="2478">
          <cell r="K2478" t="str">
            <v>Nguyễn Phương Thủy</v>
          </cell>
        </row>
        <row r="2479">
          <cell r="K2479" t="str">
            <v xml:space="preserve">Trương Bùi Gia Như </v>
          </cell>
        </row>
        <row r="2480">
          <cell r="K2480" t="str">
            <v xml:space="preserve">Dương Quốc Kim </v>
          </cell>
        </row>
        <row r="2481">
          <cell r="K2481" t="str">
            <v>Phùng Mai Chi</v>
          </cell>
        </row>
        <row r="2482">
          <cell r="K2482" t="str">
            <v xml:space="preserve">Lê Thị Thảo </v>
          </cell>
        </row>
        <row r="2483">
          <cell r="K2483" t="str">
            <v>Dương Phúc Hiếu  - hợp đồng</v>
          </cell>
        </row>
        <row r="2484">
          <cell r="K2484" t="str">
            <v>Nguyễn Văn Nhân</v>
          </cell>
        </row>
        <row r="2485">
          <cell r="K2485" t="str">
            <v>Trần Trà My</v>
          </cell>
        </row>
        <row r="2486">
          <cell r="K2486" t="str">
            <v>Trần Thị Thùy</v>
          </cell>
        </row>
        <row r="2487">
          <cell r="K2487" t="str">
            <v>Thào Thị Dây</v>
          </cell>
        </row>
        <row r="2488">
          <cell r="K2488" t="str">
            <v>Nguyễn Hà Anh</v>
          </cell>
        </row>
        <row r="2489">
          <cell r="K2489" t="str">
            <v xml:space="preserve">Vũ Quỳnh Trang </v>
          </cell>
        </row>
        <row r="2490">
          <cell r="K2490" t="str">
            <v>Nguyễn Duy Anh</v>
          </cell>
        </row>
        <row r="2491">
          <cell r="K2491" t="str">
            <v>Nguyễn Phương Bảo Ngọc</v>
          </cell>
        </row>
        <row r="2492">
          <cell r="K2492" t="str">
            <v xml:space="preserve">Lê Gia Bách </v>
          </cell>
        </row>
        <row r="2493">
          <cell r="K2493" t="str">
            <v>Đỗ Thị Hiền Mai</v>
          </cell>
        </row>
        <row r="2494">
          <cell r="K2494" t="str">
            <v>Phan Thi Huyền</v>
          </cell>
        </row>
        <row r="2495">
          <cell r="K2495" t="str">
            <v>Vũ Kỳ Diệu</v>
          </cell>
        </row>
        <row r="2496">
          <cell r="K2496" t="str">
            <v>Nguyễn Quốc An</v>
          </cell>
        </row>
        <row r="2497">
          <cell r="K2497" t="str">
            <v xml:space="preserve">Nguyễn Hồng Ly </v>
          </cell>
        </row>
        <row r="2498">
          <cell r="K2498" t="str">
            <v xml:space="preserve"> Trần Khánh Hưng</v>
          </cell>
        </row>
        <row r="2499">
          <cell r="K2499" t="str">
            <v>Lê Thị Ánh Tuyết - hv thứ 12</v>
          </cell>
        </row>
        <row r="2500">
          <cell r="K2500" t="str">
            <v>Vũ Đức Duy</v>
          </cell>
        </row>
        <row r="2501">
          <cell r="K2501" t="str">
            <v>Nguyễn Thị Nhung - PT463 rút cọc</v>
          </cell>
        </row>
        <row r="2502">
          <cell r="K2502" t="str">
            <v>Trương Thị Diệu Hồng - PT463 hv thứ 14</v>
          </cell>
        </row>
        <row r="2503">
          <cell r="K2503" t="str">
            <v>Nguyễn Thị Nhật Linh</v>
          </cell>
        </row>
        <row r="2504">
          <cell r="K2504" t="str">
            <v xml:space="preserve">Lê Thị Hải Yến </v>
          </cell>
        </row>
        <row r="2505">
          <cell r="K2505" t="str">
            <v>Trần Thị Thanh</v>
          </cell>
        </row>
        <row r="2506">
          <cell r="K2506" t="str">
            <v xml:space="preserve">Nguyễn Thị Ánh Tuyết  </v>
          </cell>
        </row>
        <row r="2507">
          <cell r="K2507" t="str">
            <v xml:space="preserve">Nguyễn Ngọc Huyền </v>
          </cell>
        </row>
        <row r="2508">
          <cell r="K2508" t="str">
            <v xml:space="preserve">Nguyễn Thị Hồng Nhung </v>
          </cell>
        </row>
        <row r="2509">
          <cell r="K2509" t="str">
            <v>Nguyễn Đức Đạt</v>
          </cell>
        </row>
        <row r="2510">
          <cell r="K2510" t="str">
            <v xml:space="preserve">Phạm Thị Thùy Linh </v>
          </cell>
        </row>
        <row r="2511">
          <cell r="K2511" t="str">
            <v>Nguyễn Khánh Linh</v>
          </cell>
        </row>
        <row r="2512">
          <cell r="K2512" t="str">
            <v>Phạm Thị Vân Anh</v>
          </cell>
        </row>
        <row r="2513">
          <cell r="K2513" t="str">
            <v>Lê Xuân Cường</v>
          </cell>
        </row>
        <row r="2514">
          <cell r="K2514" t="str">
            <v>Tạ Thị Trà My - hợp đồng</v>
          </cell>
        </row>
        <row r="2515">
          <cell r="K2515" t="str">
            <v>Đào Thị Ánh Tuyết</v>
          </cell>
        </row>
        <row r="2516">
          <cell r="K2516" t="str">
            <v>Nguyễn Thuỳ Trang</v>
          </cell>
        </row>
        <row r="2517">
          <cell r="K2517" t="str">
            <v xml:space="preserve">Vũ Minh Thư </v>
          </cell>
        </row>
        <row r="2518">
          <cell r="K2518" t="str">
            <v>Hà Thị Thùy Linh</v>
          </cell>
        </row>
        <row r="2519">
          <cell r="K2519" t="str">
            <v>Nguyễn Thuỳ Dương - Chưa học phí</v>
          </cell>
        </row>
        <row r="2520">
          <cell r="K2520" t="str">
            <v xml:space="preserve">Trịnh Mai Hương </v>
          </cell>
        </row>
        <row r="2521">
          <cell r="K2521" t="str">
            <v xml:space="preserve">Nguyễn Thị Phương Thảo </v>
          </cell>
        </row>
        <row r="2522">
          <cell r="K2522" t="str">
            <v xml:space="preserve">Đỗ Thị Phương Thảo </v>
          </cell>
        </row>
        <row r="2523">
          <cell r="K2523" t="str">
            <v>Trần Thu Hường</v>
          </cell>
        </row>
        <row r="2524">
          <cell r="K2524" t="str">
            <v>Nguyễn Đình Hưng</v>
          </cell>
        </row>
        <row r="2525">
          <cell r="K2525" t="str">
            <v xml:space="preserve">Bùi Tấn Bình </v>
          </cell>
        </row>
        <row r="2526">
          <cell r="K2526" t="str">
            <v xml:space="preserve">Lê Đình Hoàng  </v>
          </cell>
        </row>
        <row r="2527">
          <cell r="K2527" t="str">
            <v>Bích Tuyền</v>
          </cell>
        </row>
        <row r="2528">
          <cell r="K2528" t="str">
            <v>Trịnh Trung Hải.</v>
          </cell>
        </row>
        <row r="2529">
          <cell r="K2529" t="str">
            <v>Hà Thu Hiền</v>
          </cell>
        </row>
        <row r="2530">
          <cell r="K2530" t="str">
            <v xml:space="preserve">Dương Gia Thành Công </v>
          </cell>
        </row>
        <row r="2531">
          <cell r="K2531" t="str">
            <v>Nguyễn Thanh Huyền</v>
          </cell>
        </row>
        <row r="2532">
          <cell r="K2532" t="str">
            <v>Nguyễn Đăng Khôi</v>
          </cell>
        </row>
        <row r="2533">
          <cell r="K2533" t="str">
            <v>Nguyễn Hà Vy</v>
          </cell>
        </row>
        <row r="2534">
          <cell r="K2534" t="str">
            <v>Dương Thanh Thảo - Tớ Là Luca</v>
          </cell>
        </row>
        <row r="2535">
          <cell r="K2535" t="str">
            <v>Lê Đặng Tuấn Phong - hợp đồng</v>
          </cell>
        </row>
        <row r="2536">
          <cell r="K2536" t="str">
            <v>Nguyễn Viết Hoàng Vũ</v>
          </cell>
        </row>
        <row r="2537">
          <cell r="K2537" t="str">
            <v>Nguyễn Thị Hả Giang</v>
          </cell>
        </row>
        <row r="2538">
          <cell r="K2538" t="str">
            <v>Trần Gia Hân</v>
          </cell>
        </row>
        <row r="2539">
          <cell r="K2539" t="str">
            <v>Phan Thị Ái Vy</v>
          </cell>
        </row>
        <row r="2540">
          <cell r="K2540" t="str">
            <v>Đỗ Anh Khiêm</v>
          </cell>
        </row>
        <row r="2541">
          <cell r="K2541" t="str">
            <v>Nguyễn Bảo Ngọc</v>
          </cell>
        </row>
        <row r="2542">
          <cell r="K2542" t="str">
            <v>Nguyễn Thị Anh Tú</v>
          </cell>
        </row>
        <row r="2543">
          <cell r="K2543" t="str">
            <v xml:space="preserve"> Mai Nam Anh</v>
          </cell>
        </row>
        <row r="2544">
          <cell r="K2544" t="str">
            <v xml:space="preserve">Lê Huỳnh Gia Lộc </v>
          </cell>
        </row>
        <row r="2545">
          <cell r="K2545" t="str">
            <v xml:space="preserve">Nguyễn Thành Đạt </v>
          </cell>
        </row>
        <row r="2546">
          <cell r="K2546" t="str">
            <v xml:space="preserve"> Nguyễn Thị Ngọc Khánh </v>
          </cell>
        </row>
        <row r="2547">
          <cell r="K2547" t="str">
            <v>Bùi Văn Trường</v>
          </cell>
        </row>
        <row r="2548">
          <cell r="K2548" t="str">
            <v>Nguyễn Tiến Dũng</v>
          </cell>
        </row>
        <row r="2549">
          <cell r="K2549" t="str">
            <v xml:space="preserve">Hoàng Thu Huyền </v>
          </cell>
        </row>
        <row r="2550">
          <cell r="K2550" t="str">
            <v>Chu Tuyết Nhi - hoàn cọc 15/06/2026</v>
          </cell>
        </row>
        <row r="2551">
          <cell r="K2551" t="str">
            <v xml:space="preserve">Nguyễn Thành Đạt </v>
          </cell>
        </row>
        <row r="2552">
          <cell r="K2552" t="str">
            <v>Nguyễn Xuân Vũ</v>
          </cell>
        </row>
        <row r="2553">
          <cell r="K2553" t="str">
            <v>Phạm Thị Phương Thảo</v>
          </cell>
        </row>
        <row r="2554">
          <cell r="K2554" t="str">
            <v xml:space="preserve">Đỗ Thanh Huyền </v>
          </cell>
        </row>
        <row r="2555">
          <cell r="K2555" t="str">
            <v>Nguyễn Đức Khánh</v>
          </cell>
        </row>
        <row r="2556">
          <cell r="K2556" t="str">
            <v>Phạm Đăng An</v>
          </cell>
        </row>
        <row r="2557">
          <cell r="K2557" t="str">
            <v>Nguyễn Hà Vi</v>
          </cell>
        </row>
        <row r="2558">
          <cell r="K2558" t="str">
            <v>Nguyễn Hoàng Hải</v>
          </cell>
        </row>
        <row r="2559">
          <cell r="K2559" t="str">
            <v xml:space="preserve">Hoàng Thế Vinh </v>
          </cell>
        </row>
        <row r="2560">
          <cell r="K2560" t="str">
            <v>Nguyễn Tiến Mạnh</v>
          </cell>
        </row>
        <row r="2561">
          <cell r="K2561" t="str">
            <v>Phạm Mai Linh</v>
          </cell>
        </row>
        <row r="2562">
          <cell r="K2562" t="str">
            <v xml:space="preserve">Lộc Ánh Nguyệt </v>
          </cell>
        </row>
        <row r="2563">
          <cell r="K2563" t="str">
            <v>Vũ Ngọc Diệp</v>
          </cell>
        </row>
        <row r="2564">
          <cell r="K2564" t="str">
            <v>Nguyễn Thị Thu Trang - 0986148325 số mẹ. hv thứ 10</v>
          </cell>
        </row>
        <row r="2565">
          <cell r="K2565" t="str">
            <v>Trần Ngọc Minh</v>
          </cell>
        </row>
        <row r="2566">
          <cell r="K2566" t="str">
            <v>Hoàng Hải Nam</v>
          </cell>
        </row>
        <row r="2567">
          <cell r="K2567" t="str">
            <v>Đỗ Minh Đức</v>
          </cell>
        </row>
        <row r="2568">
          <cell r="K2568" t="str">
            <v>Trần Gia Hiếu</v>
          </cell>
        </row>
        <row r="2569">
          <cell r="K2569" t="str">
            <v>Đỗ Tú Anh</v>
          </cell>
        </row>
        <row r="2570">
          <cell r="K2570" t="str">
            <v>Phạm Thị Vân Anh</v>
          </cell>
        </row>
        <row r="2571">
          <cell r="K2571" t="str">
            <v>Huỳnh Châu Linh Chi</v>
          </cell>
        </row>
        <row r="2572">
          <cell r="K2572" t="str">
            <v>Hồ Ngọc Tùng Lâm</v>
          </cell>
        </row>
        <row r="2573">
          <cell r="K2573" t="str">
            <v xml:space="preserve">Dạ Trần Thị Ngọc </v>
          </cell>
        </row>
        <row r="2574">
          <cell r="K2574" t="str">
            <v xml:space="preserve">Nghiêm Hoàng Dương </v>
          </cell>
        </row>
        <row r="2575">
          <cell r="K2575" t="str">
            <v>Võ Tấn</v>
          </cell>
        </row>
        <row r="2576">
          <cell r="K2576" t="str">
            <v>Vũ Thị Thảo</v>
          </cell>
        </row>
        <row r="2577">
          <cell r="K2577" t="str">
            <v>Vũ Thị Thảo</v>
          </cell>
        </row>
        <row r="2578">
          <cell r="K2578" t="str">
            <v>Tạ Xuân Bách</v>
          </cell>
        </row>
        <row r="2579">
          <cell r="K2579" t="str">
            <v>Phạm Đức Dũng</v>
          </cell>
        </row>
        <row r="2580">
          <cell r="K2580" t="str">
            <v>Nguyễn Thị Yến Vi</v>
          </cell>
        </row>
        <row r="2581">
          <cell r="K2581" t="str">
            <v>Trần Thị Kim Ngân</v>
          </cell>
        </row>
        <row r="2582">
          <cell r="K2582" t="str">
            <v>Châu Quang Đạo</v>
          </cell>
        </row>
        <row r="2583">
          <cell r="K2583" t="str">
            <v>Đỗ Đức Anh</v>
          </cell>
        </row>
        <row r="2584">
          <cell r="K2584" t="str">
            <v>Lê Ngọc Quỳnh Châu</v>
          </cell>
        </row>
        <row r="2585">
          <cell r="K2585" t="str">
            <v>Nguyễn Mậu Đạt - hv thứ 10</v>
          </cell>
        </row>
        <row r="2586">
          <cell r="K2586" t="str">
            <v>Trần Anh Quang Minh</v>
          </cell>
        </row>
        <row r="2587">
          <cell r="K2587" t="str">
            <v xml:space="preserve">Vũ Huy Hoàng </v>
          </cell>
        </row>
        <row r="2588">
          <cell r="K2588" t="str">
            <v>Trần Thị Thanh Thảo - 0356964817 nhận sách</v>
          </cell>
        </row>
        <row r="2589">
          <cell r="K2589" t="str">
            <v>Đào Ánh Dương</v>
          </cell>
        </row>
        <row r="2590">
          <cell r="K2590" t="str">
            <v>Nguyễn Thị Ánh Dương</v>
          </cell>
        </row>
        <row r="2591">
          <cell r="K2591" t="str">
            <v xml:space="preserve">Dương Đoàn Quỳnh Anh </v>
          </cell>
        </row>
        <row r="2592">
          <cell r="K2592" t="str">
            <v>Chu Thị Tú Linh</v>
          </cell>
        </row>
        <row r="2593">
          <cell r="K2593" t="str">
            <v xml:space="preserve">Võ Lâm Hùng </v>
          </cell>
        </row>
        <row r="2594">
          <cell r="K2594" t="str">
            <v xml:space="preserve">Đào Đình Hải </v>
          </cell>
        </row>
        <row r="2595">
          <cell r="K2595" t="str">
            <v>Trần Quang Huy</v>
          </cell>
        </row>
        <row r="2596">
          <cell r="K2596" t="str">
            <v xml:space="preserve">Trương Thanh Ngọc </v>
          </cell>
        </row>
        <row r="2597">
          <cell r="K2597" t="str">
            <v>Hoàng Mai Vy</v>
          </cell>
        </row>
        <row r="2598">
          <cell r="K2598" t="str">
            <v xml:space="preserve">Trần Thuỳ Trang </v>
          </cell>
        </row>
        <row r="2599">
          <cell r="K2599" t="str">
            <v xml:space="preserve">Bùi Phương Thảo </v>
          </cell>
        </row>
        <row r="2600">
          <cell r="K2600" t="str">
            <v>Don Thị Học - hv thứ 14</v>
          </cell>
        </row>
        <row r="2601">
          <cell r="K2601" t="str">
            <v>Trần An Giang</v>
          </cell>
        </row>
        <row r="2602">
          <cell r="K2602" t="str">
            <v>Lê Tuấn Anh</v>
          </cell>
        </row>
        <row r="2603">
          <cell r="K2603" t="str">
            <v>Trương Thị Yến Nhi</v>
          </cell>
        </row>
        <row r="2604">
          <cell r="K2604" t="str">
            <v>Lê Thị Thanh Hằng</v>
          </cell>
        </row>
        <row r="2605">
          <cell r="K2605" t="str">
            <v xml:space="preserve">Cao Khánh Hưng </v>
          </cell>
        </row>
        <row r="2606">
          <cell r="K2606" t="str">
            <v>Đỗ Đình Chiến</v>
          </cell>
        </row>
        <row r="2607">
          <cell r="K2607" t="str">
            <v>Bùi Hà My</v>
          </cell>
        </row>
        <row r="2608">
          <cell r="K2608" t="str">
            <v>Bùi Minh Tâm</v>
          </cell>
        </row>
        <row r="2609">
          <cell r="K2609" t="str">
            <v>Nguyễn Đức Long - hv thứ 12</v>
          </cell>
        </row>
        <row r="2610">
          <cell r="K2610" t="str">
            <v>Nguyễn Thúy Vân - PT471</v>
          </cell>
        </row>
        <row r="2611">
          <cell r="K2611" t="str">
            <v xml:space="preserve">Nguyễn Gia Bách </v>
          </cell>
        </row>
        <row r="2612">
          <cell r="K2612" t="str">
            <v xml:space="preserve">Nguyễn Hoàng Duy </v>
          </cell>
        </row>
        <row r="2613">
          <cell r="K2613" t="str">
            <v>Thái Quốc An</v>
          </cell>
        </row>
        <row r="2614">
          <cell r="K2614" t="str">
            <v>Đặng Thị Minh Anh - hv thứ 19</v>
          </cell>
        </row>
        <row r="2615">
          <cell r="K2615" t="str">
            <v>Phan Quỳnh Như</v>
          </cell>
        </row>
        <row r="2616">
          <cell r="K2616" t="str">
            <v>Trịnh Thị Mai Phương</v>
          </cell>
        </row>
        <row r="2617">
          <cell r="K2617" t="str">
            <v>Ngô Ngọc Mai</v>
          </cell>
        </row>
        <row r="2618">
          <cell r="K2618" t="str">
            <v>Phạm Minh Thanh Lan - hv thứ 20</v>
          </cell>
        </row>
        <row r="2619">
          <cell r="K2619" t="str">
            <v>Lê Trần Gia Phú</v>
          </cell>
        </row>
        <row r="2620">
          <cell r="K2620" t="str">
            <v>Lê Thùy Linh</v>
          </cell>
        </row>
        <row r="2621">
          <cell r="K2621" t="str">
            <v>Trần Quang Huy</v>
          </cell>
        </row>
        <row r="2622">
          <cell r="K2622" t="str">
            <v>Đinh Tùng Dương</v>
          </cell>
        </row>
        <row r="2623">
          <cell r="K2623" t="str">
            <v>Hồ Nguyễn Bảo Ngọc PT418 - PT453 hv thứ 23</v>
          </cell>
        </row>
        <row r="2624">
          <cell r="K2624" t="str">
            <v>Vũ Thị Vân Anh</v>
          </cell>
        </row>
        <row r="2625">
          <cell r="K2625" t="str">
            <v xml:space="preserve">Vũ Thị Kim Liên </v>
          </cell>
        </row>
        <row r="2626">
          <cell r="K2626" t="str">
            <v xml:space="preserve">Đoàn Thị Hải An </v>
          </cell>
        </row>
        <row r="2627">
          <cell r="K2627" t="str">
            <v>Đỗ Đình Nguyên</v>
          </cell>
        </row>
        <row r="2628">
          <cell r="K2628" t="str">
            <v>Đoàn Thị Quỳnh Nhi</v>
          </cell>
        </row>
        <row r="2629">
          <cell r="K2629" t="str">
            <v>Trần Thị Ngọc Diệp</v>
          </cell>
        </row>
        <row r="2630">
          <cell r="K2630" t="str">
            <v>Trần Thanh Nhàn</v>
          </cell>
        </row>
        <row r="2631">
          <cell r="K2631" t="str">
            <v xml:space="preserve">Nguyễn Trần Linh Chi </v>
          </cell>
        </row>
        <row r="2632">
          <cell r="K2632" t="str">
            <v>Trần Quang Phú</v>
          </cell>
        </row>
        <row r="2633">
          <cell r="K2633" t="str">
            <v>Hồ Bạch Khánh Nam</v>
          </cell>
        </row>
        <row r="2634">
          <cell r="K2634" t="str">
            <v>Phạm Huyền Linh</v>
          </cell>
        </row>
        <row r="2635">
          <cell r="K2635" t="str">
            <v>Ngô Thị Lan Anh PT440 - hv thứ 16 PT453</v>
          </cell>
        </row>
        <row r="2636">
          <cell r="K2636" t="str">
            <v>Dương Thị Quỳnh Anh</v>
          </cell>
        </row>
        <row r="2637">
          <cell r="K2637" t="str">
            <v>Trần Ánh Quỳnh</v>
          </cell>
        </row>
        <row r="2638">
          <cell r="K2638" t="str">
            <v xml:space="preserve">Nguyễn Thu Trang  </v>
          </cell>
        </row>
        <row r="2639">
          <cell r="K2639" t="str">
            <v>Nguyễn Thị Hồng Quyên</v>
          </cell>
        </row>
        <row r="2640">
          <cell r="K2640" t="str">
            <v>Ngô Minh Tân</v>
          </cell>
        </row>
        <row r="2641">
          <cell r="K2641" t="str">
            <v>Vũ Thị Thuý Hằng</v>
          </cell>
        </row>
        <row r="2642">
          <cell r="K2642" t="str">
            <v>Trần Thị Thanh Dung</v>
          </cell>
        </row>
        <row r="2643">
          <cell r="K2643" t="str">
            <v xml:space="preserve">Nguyễn Hà Linh </v>
          </cell>
        </row>
        <row r="2644">
          <cell r="K2644" t="str">
            <v>Nguyễn Quỳnh Trang - hv thứ 12</v>
          </cell>
        </row>
        <row r="2645">
          <cell r="K2645" t="str">
            <v xml:space="preserve">Nguyễn Hoàng Anh </v>
          </cell>
        </row>
        <row r="2646">
          <cell r="K2646" t="str">
            <v>Nguyễn Thị Lan Anh</v>
          </cell>
        </row>
        <row r="2647">
          <cell r="K2647" t="str">
            <v xml:space="preserve">Nguyễn Thị Diệu Linh </v>
          </cell>
        </row>
        <row r="2648">
          <cell r="K2648" t="str">
            <v>Trần Nguyên Phương</v>
          </cell>
        </row>
        <row r="2649">
          <cell r="K2649" t="str">
            <v>Nguyễn Thị Ngọc Tuyền</v>
          </cell>
        </row>
        <row r="2650">
          <cell r="K2650" t="str">
            <v>Bùi Thanh Xuân</v>
          </cell>
        </row>
        <row r="2651">
          <cell r="K2651" t="str">
            <v>Bùi Thị Yến Nhi</v>
          </cell>
        </row>
        <row r="2652">
          <cell r="K2652" t="str">
            <v>Lê Hà Ngọc Bích</v>
          </cell>
        </row>
        <row r="2653">
          <cell r="K2653" t="str">
            <v>Nguyễn Triệu Lan Phương</v>
          </cell>
        </row>
        <row r="2654">
          <cell r="K2654" t="str">
            <v>Đỗ Phương Thảo</v>
          </cell>
        </row>
        <row r="2655">
          <cell r="K2655" t="str">
            <v>Nguyễn Thị Thuý Hằng</v>
          </cell>
        </row>
        <row r="2656">
          <cell r="K2656" t="str">
            <v>Trần Phạm Hà Linh</v>
          </cell>
        </row>
        <row r="2657">
          <cell r="K2657" t="str">
            <v>Đỗ Vũ Hoàng Quân</v>
          </cell>
        </row>
        <row r="2658">
          <cell r="K2658" t="str">
            <v xml:space="preserve">Trần Thị Diệu Linh </v>
          </cell>
        </row>
        <row r="2659">
          <cell r="K2659" t="str">
            <v>Nguyễn Diệu Linh</v>
          </cell>
        </row>
        <row r="2660">
          <cell r="K2660" t="str">
            <v>Bùi Nguyễn Xuân Mai</v>
          </cell>
        </row>
        <row r="2661">
          <cell r="K2661" t="str">
            <v>Hoàng Thị Thu Hồng</v>
          </cell>
        </row>
        <row r="2662">
          <cell r="K2662" t="str">
            <v>Nguyễn Văn Nam</v>
          </cell>
        </row>
        <row r="2663">
          <cell r="K2663" t="str">
            <v>Vũ Minh Quân</v>
          </cell>
        </row>
        <row r="2664">
          <cell r="K2664" t="str">
            <v xml:space="preserve">Bùi Thúy Hường </v>
          </cell>
        </row>
        <row r="2665">
          <cell r="K2665" t="str">
            <v>Nguyễn Hồng Minh</v>
          </cell>
        </row>
        <row r="2666">
          <cell r="K2666" t="str">
            <v>Đỗ Thành Nam</v>
          </cell>
        </row>
        <row r="2667">
          <cell r="K2667" t="str">
            <v xml:space="preserve">Bùi Cẩm Vân </v>
          </cell>
        </row>
        <row r="2668">
          <cell r="K2668" t="str">
            <v xml:space="preserve">Phan Trần Ngọc Quyên </v>
          </cell>
        </row>
        <row r="2669">
          <cell r="K2669" t="str">
            <v>Nguyen Thi Ngoc Lan</v>
          </cell>
        </row>
        <row r="2670">
          <cell r="K2670" t="str">
            <v>Nguyễn Thị Hàn Phương</v>
          </cell>
        </row>
        <row r="2671">
          <cell r="K2671" t="str">
            <v>Hoàng Khánh Linh</v>
          </cell>
        </row>
        <row r="2672">
          <cell r="K2672" t="str">
            <v>Nguyễn Thái Bảo Anh</v>
          </cell>
        </row>
        <row r="2673">
          <cell r="K2673" t="str">
            <v>Trần Như Thịnh</v>
          </cell>
        </row>
        <row r="2674">
          <cell r="K2674" t="str">
            <v>Quách Thị Ngọc Trâm</v>
          </cell>
        </row>
        <row r="2675">
          <cell r="K2675" t="str">
            <v>Nguyễn Huy Hoàng</v>
          </cell>
        </row>
        <row r="2676">
          <cell r="K2676" t="str">
            <v>Ngô Thanh Tùng</v>
          </cell>
        </row>
        <row r="2677">
          <cell r="K2677" t="str">
            <v>Vũ Thị Quỳnh Như</v>
          </cell>
        </row>
        <row r="2678">
          <cell r="K2678" t="str">
            <v xml:space="preserve">Hà Minh Ái </v>
          </cell>
        </row>
        <row r="2679">
          <cell r="K2679" t="str">
            <v>Nguyễn Phương Vi  - hợp đồng</v>
          </cell>
        </row>
        <row r="2680">
          <cell r="K2680" t="str">
            <v>Nguyễn Anh Thư</v>
          </cell>
        </row>
        <row r="2681">
          <cell r="K2681" t="str">
            <v>Nguyễn Khánh Hoà</v>
          </cell>
        </row>
        <row r="2682">
          <cell r="K2682" t="str">
            <v>Trương Thị Trúc Linh - hv thứ 13</v>
          </cell>
        </row>
        <row r="2683">
          <cell r="K2683" t="str">
            <v xml:space="preserve">Đào Duy Anh </v>
          </cell>
        </row>
        <row r="2684">
          <cell r="K2684" t="str">
            <v>Trần Minh Cường</v>
          </cell>
        </row>
        <row r="2685">
          <cell r="K2685" t="str">
            <v xml:space="preserve">Trần Gia Hùng </v>
          </cell>
        </row>
        <row r="2686">
          <cell r="K2686" t="str">
            <v xml:space="preserve">Tạ Ngọc Hà </v>
          </cell>
        </row>
        <row r="2687">
          <cell r="K2687" t="str">
            <v>Phạm Lan Hương</v>
          </cell>
        </row>
        <row r="2688">
          <cell r="K2688" t="str">
            <v>Lê Minh Phương - hv thứ 12</v>
          </cell>
        </row>
        <row r="2689">
          <cell r="K2689" t="str">
            <v>Trần Thị Khánh</v>
          </cell>
        </row>
        <row r="2690">
          <cell r="K2690" t="str">
            <v xml:space="preserve">Phan Tuấn Mạnh </v>
          </cell>
        </row>
        <row r="2691">
          <cell r="K2691" t="str">
            <v>Hồ Thị Trang Ngân</v>
          </cell>
        </row>
        <row r="2692">
          <cell r="K2692" t="str">
            <v>Nguyễn Thị Thu Hà</v>
          </cell>
        </row>
        <row r="2693">
          <cell r="K2693" t="str">
            <v>Đỗ Diệu My</v>
          </cell>
        </row>
        <row r="2694">
          <cell r="K2694" t="str">
            <v xml:space="preserve">Hà Thu Thảo Linh </v>
          </cell>
        </row>
        <row r="2695">
          <cell r="K2695" t="str">
            <v xml:space="preserve">Nguyễn Thị Vân Anh </v>
          </cell>
        </row>
        <row r="2696">
          <cell r="K2696" t="str">
            <v>Hoàng Thị Bích Trâm</v>
          </cell>
        </row>
        <row r="2697">
          <cell r="K2697" t="str">
            <v xml:space="preserve">Nguyễn Hải Đăng </v>
          </cell>
        </row>
        <row r="2698">
          <cell r="K2698" t="str">
            <v xml:space="preserve">Nguyễn Trung Đức </v>
          </cell>
        </row>
        <row r="2699">
          <cell r="K2699" t="str">
            <v xml:space="preserve">Nguyễn Kim Oanh </v>
          </cell>
        </row>
        <row r="2700">
          <cell r="K2700" t="str">
            <v>Hoàng Huyền Anh</v>
          </cell>
        </row>
        <row r="2701">
          <cell r="K2701" t="str">
            <v>Trần Thị Thùy Dương</v>
          </cell>
        </row>
        <row r="2702">
          <cell r="K2702" t="str">
            <v>Đinh Diệu Linh</v>
          </cell>
        </row>
        <row r="2703">
          <cell r="K2703" t="str">
            <v xml:space="preserve">Nguyễn Thị Quỳnh Anh  </v>
          </cell>
        </row>
        <row r="2704">
          <cell r="K2704" t="str">
            <v>Trần Ngọc Tuấn Dũng</v>
          </cell>
        </row>
        <row r="2705">
          <cell r="K2705" t="str">
            <v>Nguyễn Thu Hương - hợp đồng</v>
          </cell>
        </row>
        <row r="2706">
          <cell r="K2706" t="str">
            <v xml:space="preserve">Nguyễn Đặng Thuỳ Trâm </v>
          </cell>
        </row>
        <row r="2707">
          <cell r="K2707" t="str">
            <v>Nguyễn Thu Thảo</v>
          </cell>
        </row>
        <row r="2708">
          <cell r="K2708" t="str">
            <v xml:space="preserve">Đoàn Hải Minh </v>
          </cell>
        </row>
        <row r="2709">
          <cell r="K2709" t="str">
            <v>Phạm Tâm Như</v>
          </cell>
        </row>
        <row r="2710">
          <cell r="K2710" t="str">
            <v>Phan Văn Quốc Đạt</v>
          </cell>
        </row>
        <row r="2711">
          <cell r="K2711" t="str">
            <v>Lại Yến Nhi</v>
          </cell>
        </row>
        <row r="2712">
          <cell r="K2712" t="str">
            <v xml:space="preserve"> Phan Thị Thuỳ </v>
          </cell>
        </row>
        <row r="2713">
          <cell r="K2713" t="str">
            <v xml:space="preserve">Lê Ngọc Khánh </v>
          </cell>
        </row>
        <row r="2714">
          <cell r="K2714" t="str">
            <v>Trần Minh Ánh</v>
          </cell>
        </row>
        <row r="2715">
          <cell r="K2715" t="str">
            <v>Nguyễn Thị Khánh Hằng - hv thứ 10</v>
          </cell>
        </row>
        <row r="2716">
          <cell r="K2716" t="str">
            <v>Đào Thị Quỳnh Chi</v>
          </cell>
        </row>
        <row r="2717">
          <cell r="K2717" t="str">
            <v xml:space="preserve">Nguyễn Mai Trang  </v>
          </cell>
        </row>
        <row r="2718">
          <cell r="K2718" t="str">
            <v>Nguyễn Tài Kiệm</v>
          </cell>
        </row>
        <row r="2719">
          <cell r="K2719" t="str">
            <v>Lê Trần Bảo Ngọc</v>
          </cell>
        </row>
        <row r="2720">
          <cell r="K2720" t="str">
            <v xml:space="preserve">Phạm Thị Hồng  </v>
          </cell>
        </row>
        <row r="2721">
          <cell r="K2721" t="str">
            <v xml:space="preserve">Lâm Minh Ngọc </v>
          </cell>
        </row>
        <row r="2722">
          <cell r="K2722" t="str">
            <v>Nguyễn Thị Quỳnh Trang</v>
          </cell>
        </row>
        <row r="2723">
          <cell r="K2723" t="str">
            <v>Phạm Ngọc Ánh Dương</v>
          </cell>
        </row>
        <row r="2724">
          <cell r="K2724" t="str">
            <v xml:space="preserve"> Ngô Phương Anh</v>
          </cell>
        </row>
        <row r="2725">
          <cell r="K2725" t="str">
            <v xml:space="preserve"> Nguyễn Diệu Linh</v>
          </cell>
        </row>
        <row r="2726">
          <cell r="K2726" t="str">
            <v>Vũ Bá Thiều</v>
          </cell>
        </row>
        <row r="2727">
          <cell r="K2727" t="str">
            <v xml:space="preserve">Bùi Thị Phương Thanh </v>
          </cell>
        </row>
        <row r="2728">
          <cell r="K2728" t="str">
            <v>Đỗ Văn Khoa</v>
          </cell>
        </row>
        <row r="2729">
          <cell r="K2729" t="str">
            <v>Hà Chi</v>
          </cell>
        </row>
        <row r="2730">
          <cell r="K2730" t="str">
            <v>Nguyễn Trung Kiên</v>
          </cell>
        </row>
        <row r="2731">
          <cell r="K2731" t="str">
            <v>Đặng Thế Thành</v>
          </cell>
        </row>
        <row r="2732">
          <cell r="K2732" t="str">
            <v>Nguyễn Thị Cẩm Tú</v>
          </cell>
        </row>
        <row r="2733">
          <cell r="K2733" t="str">
            <v>Nguyễn Thị Anh Thư - hv thứ 13</v>
          </cell>
        </row>
        <row r="2734">
          <cell r="K2734" t="str">
            <v xml:space="preserve">Cao Ngọc Linh </v>
          </cell>
        </row>
        <row r="2735">
          <cell r="K2735" t="str">
            <v xml:space="preserve">Lưu Văn Đức </v>
          </cell>
        </row>
        <row r="2736">
          <cell r="K2736" t="str">
            <v xml:space="preserve">Đàm Thu Thủy </v>
          </cell>
        </row>
        <row r="2737">
          <cell r="K2737" t="str">
            <v>Đoàn Quang Minh</v>
          </cell>
        </row>
        <row r="2738">
          <cell r="K2738" t="str">
            <v>Nguyễn Lê Diệu Linh</v>
          </cell>
        </row>
        <row r="2739">
          <cell r="K2739" t="str">
            <v>Nguyễn Thị Hiền Mai</v>
          </cell>
        </row>
        <row r="2740">
          <cell r="K2740" t="str">
            <v>Nguyễn Văn Dũng Năm</v>
          </cell>
        </row>
        <row r="2741">
          <cell r="K2741" t="str">
            <v>Nguyễn Yến Nhi</v>
          </cell>
        </row>
        <row r="2742">
          <cell r="K2742" t="str">
            <v>Nguyễn Minh Anh</v>
          </cell>
        </row>
        <row r="2743">
          <cell r="K2743" t="str">
            <v xml:space="preserve">Nguyễn Văn Long </v>
          </cell>
        </row>
        <row r="2744">
          <cell r="K2744" t="str">
            <v>Nguyễn Trung Anh</v>
          </cell>
        </row>
        <row r="2745">
          <cell r="K2745" t="str">
            <v>Trần Thị Hà Linh</v>
          </cell>
        </row>
        <row r="2746">
          <cell r="K2746" t="str">
            <v>Nguyễn Tấn Dũng</v>
          </cell>
        </row>
        <row r="2747">
          <cell r="K2747" t="str">
            <v>Đặng Mai Nhung</v>
          </cell>
        </row>
        <row r="2748">
          <cell r="K2748" t="str">
            <v>Ngô Sách Khải</v>
          </cell>
        </row>
        <row r="2749">
          <cell r="K2749" t="str">
            <v>Tô Phương Nhi</v>
          </cell>
        </row>
        <row r="2750">
          <cell r="K2750" t="str">
            <v>Bùi Thị Quỳnh chi</v>
          </cell>
        </row>
        <row r="2751">
          <cell r="K2751" t="str">
            <v>Ngô Phương Mai</v>
          </cell>
        </row>
        <row r="2752">
          <cell r="K2752" t="str">
            <v xml:space="preserve">Trần Nguyễn Phương Anh </v>
          </cell>
        </row>
        <row r="2753">
          <cell r="K2753" t="str">
            <v>Nguyễ Ngọc Duệ</v>
          </cell>
        </row>
        <row r="2754">
          <cell r="K2754" t="str">
            <v>Hà Thị Mai Thuỳ</v>
          </cell>
        </row>
        <row r="2755">
          <cell r="K2755" t="str">
            <v>Diệp Trịnh Gia Hân</v>
          </cell>
        </row>
        <row r="2756">
          <cell r="K2756" t="str">
            <v xml:space="preserve">Nguyễn Phạm Anh Thư </v>
          </cell>
        </row>
        <row r="2757">
          <cell r="K2757" t="str">
            <v xml:space="preserve">Vũ Kiều Trang - PT420 </v>
          </cell>
        </row>
        <row r="2758">
          <cell r="K2758" t="str">
            <v>Lê Đình Huy</v>
          </cell>
        </row>
        <row r="2759">
          <cell r="K2759" t="str">
            <v>Nguyễn Thị Thanh Thảo</v>
          </cell>
        </row>
        <row r="2760">
          <cell r="K2760" t="str">
            <v>Nguyễn Hùng Cường</v>
          </cell>
        </row>
        <row r="2761">
          <cell r="K2761" t="str">
            <v>Đinh Thị Thu Hiền</v>
          </cell>
        </row>
        <row r="2762">
          <cell r="K2762" t="str">
            <v>Lê Hà Sơn</v>
          </cell>
        </row>
        <row r="2763">
          <cell r="K2763" t="str">
            <v>Trần Văn Hưng</v>
          </cell>
        </row>
        <row r="2764">
          <cell r="K2764" t="str">
            <v xml:space="preserve">Nguyễn Thị Thu </v>
          </cell>
        </row>
        <row r="2765">
          <cell r="K2765" t="str">
            <v>Nguyễn Văn Chiến</v>
          </cell>
        </row>
        <row r="2766">
          <cell r="K2766" t="str">
            <v xml:space="preserve">Lê Nguyễn Ngọc Thạnh </v>
          </cell>
        </row>
        <row r="2767">
          <cell r="K2767" t="str">
            <v xml:space="preserve">Trần Thị Ngọc Diệp </v>
          </cell>
        </row>
        <row r="2768">
          <cell r="K2768" t="str">
            <v>Vì Thị Hoài Thương</v>
          </cell>
        </row>
        <row r="2769">
          <cell r="K2769" t="str">
            <v>Nguyễn Trà My</v>
          </cell>
        </row>
        <row r="2770">
          <cell r="K2770" t="str">
            <v>Lương Việt Hoàng</v>
          </cell>
        </row>
        <row r="2771">
          <cell r="K2771" t="str">
            <v>Lê Văn Thông</v>
          </cell>
        </row>
        <row r="2772">
          <cell r="K2772" t="str">
            <v>Đinh Thị Lan Anh</v>
          </cell>
        </row>
        <row r="2773">
          <cell r="K2773" t="str">
            <v>Nguyễn Đặng Quế Liên</v>
          </cell>
        </row>
        <row r="2774">
          <cell r="K2774" t="str">
            <v>Phạm Việt Hoàng</v>
          </cell>
        </row>
        <row r="2775">
          <cell r="K2775" t="str">
            <v>Trần Minh Anh</v>
          </cell>
        </row>
        <row r="2776">
          <cell r="K2776" t="str">
            <v>Phạm Thị Quyên</v>
          </cell>
        </row>
        <row r="2777">
          <cell r="K2777" t="str">
            <v xml:space="preserve">Nguyễn Minh Đức </v>
          </cell>
        </row>
        <row r="2778">
          <cell r="K2778" t="str">
            <v>Nguyễn Võ Minh</v>
          </cell>
        </row>
        <row r="2779">
          <cell r="K2779" t="str">
            <v>Nguyễn Trần Minh Hiếu</v>
          </cell>
        </row>
        <row r="2780">
          <cell r="K2780" t="str">
            <v>Hà Thị Minh Châu</v>
          </cell>
        </row>
        <row r="2781">
          <cell r="K2781" t="str">
            <v>Nguyễn Hiền Mai</v>
          </cell>
        </row>
        <row r="2782">
          <cell r="K2782" t="str">
            <v>Nguyễn Ngọc Phương Trinh</v>
          </cell>
        </row>
        <row r="2783">
          <cell r="K2783" t="str">
            <v>Tạ Huỳnh Đan</v>
          </cell>
        </row>
        <row r="2784">
          <cell r="K2784" t="str">
            <v>Trần Xuân Trường</v>
          </cell>
        </row>
        <row r="2785">
          <cell r="K2785" t="str">
            <v>Nguyễn Khắc Năng</v>
          </cell>
        </row>
        <row r="2786">
          <cell r="K2786" t="str">
            <v>Nguyễn Đức Công</v>
          </cell>
        </row>
        <row r="2787">
          <cell r="K2787" t="str">
            <v>Dương Văn Nam</v>
          </cell>
        </row>
        <row r="2788">
          <cell r="K2788" t="str">
            <v xml:space="preserve">Lương Gia Minh </v>
          </cell>
        </row>
        <row r="2789">
          <cell r="K2789" t="str">
            <v>Lê MInh Lin Đa</v>
          </cell>
        </row>
        <row r="2790">
          <cell r="K2790" t="str">
            <v>Nguyễn Thị Thu Hường</v>
          </cell>
        </row>
        <row r="2791">
          <cell r="K2791" t="str">
            <v>Đồng Thị Ngọc Tâm</v>
          </cell>
        </row>
        <row r="2792">
          <cell r="K2792" t="str">
            <v>Lê Ngọc Gia Khang</v>
          </cell>
        </row>
        <row r="2793">
          <cell r="K2793" t="str">
            <v xml:space="preserve">Ninh Thị Quỳnh Thu </v>
          </cell>
        </row>
        <row r="2794">
          <cell r="K2794" t="str">
            <v>Nguyễn Duy Hưng</v>
          </cell>
        </row>
        <row r="2795">
          <cell r="K2795" t="str">
            <v>Phạm Thị Tường Vy - hv thứ 11</v>
          </cell>
        </row>
        <row r="2796">
          <cell r="K2796" t="str">
            <v xml:space="preserve">Đinh Trung Hiếu </v>
          </cell>
        </row>
        <row r="2797">
          <cell r="K2797" t="str">
            <v>Phạm Anh Nghĩa</v>
          </cell>
        </row>
        <row r="2798">
          <cell r="K2798" t="str">
            <v xml:space="preserve">Nguyễn Thị Bảo Trâm </v>
          </cell>
        </row>
        <row r="2799">
          <cell r="K2799" t="str">
            <v>Mai Thị Thanh Huyền - PT473 hv thứ 12
PT470 hv thứ 14</v>
          </cell>
        </row>
        <row r="2800">
          <cell r="K2800" t="str">
            <v>Nguyễn Duy Hải</v>
          </cell>
        </row>
        <row r="2801">
          <cell r="K2801" t="str">
            <v>Đỗ Trọng Chiến</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https://www.facebook.com/profile.php?id=100059167544127" TargetMode="External"/><Relationship Id="rId4233" Type="http://schemas.openxmlformats.org/officeDocument/2006/relationships/hyperlink" Target="https://www.facebook.com/profile.php?id=100033483693889&amp;mibextid=LQQJ4d" TargetMode="External"/><Relationship Id="rId8854" Type="http://schemas.openxmlformats.org/officeDocument/2006/relationships/hyperlink" Target="https://www.facebook.com/txinqq.205" TargetMode="External"/><Relationship Id="rId7456" Type="http://schemas.openxmlformats.org/officeDocument/2006/relationships/hyperlink" Target="https://www.facebook.com/profile.php?id=100025022552929&amp;mibextid=ZbWKwL" TargetMode="External"/><Relationship Id="rId8507" Type="http://schemas.openxmlformats.org/officeDocument/2006/relationships/hyperlink" Target="https://www.facebook.com/profile.php?id=61567283288752&amp;mibextid=LQQJ4d" TargetMode="External"/><Relationship Id="rId6058" Type="http://schemas.openxmlformats.org/officeDocument/2006/relationships/hyperlink" Target="https://www.facebook.com/profile.php?id=61551901147171&amp;mibextid=LQQJ4d" TargetMode="External"/><Relationship Id="rId7109" Type="http://schemas.openxmlformats.org/officeDocument/2006/relationships/hyperlink" Target="https://www.facebook.com/trung.trannhat.944?mibextid=LQQJ4d" TargetMode="External"/><Relationship Id="rId987" Type="http://schemas.openxmlformats.org/officeDocument/2006/relationships/hyperlink" Target="https://drive.google.com/open?id=1vIc7CJWvMxE5Yyaq1Rwd8g9QzEQw9Nmu" TargetMode="External"/><Relationship Id="rId2668" Type="http://schemas.openxmlformats.org/officeDocument/2006/relationships/hyperlink" Target="https://drive.google.com/open?id=1Pw23xwtq_BR74mnPdvGO1hE6iAxqPMbj" TargetMode="External"/><Relationship Id="rId3719" Type="http://schemas.openxmlformats.org/officeDocument/2006/relationships/hyperlink" Target="https://www.facebook.com/nhinhnguyen.nhinhnguyen.5" TargetMode="External"/><Relationship Id="rId4090" Type="http://schemas.openxmlformats.org/officeDocument/2006/relationships/hyperlink" Target="https://drive.google.com/open?id=1dQB_6byLFuQwGT-nqfy_nAiEnPZ7wHkm" TargetMode="External"/><Relationship Id="rId5141" Type="http://schemas.openxmlformats.org/officeDocument/2006/relationships/hyperlink" Target="https://drive.google.com/open?id=1jZZ6xB3TcpYVwV8hwEmVbcA4Ug5lWyAU" TargetMode="External"/><Relationship Id="rId1751" Type="http://schemas.openxmlformats.org/officeDocument/2006/relationships/hyperlink" Target="https://www.facebook.com/profile.php?id=100048033708706&amp;mibextid=LQQJ4d" TargetMode="External"/><Relationship Id="rId2802" Type="http://schemas.openxmlformats.org/officeDocument/2006/relationships/hyperlink" Target="https://www.facebook.com/tinh.cuc.1426?mibextid=LQQJ4d" TargetMode="External"/><Relationship Id="rId8364" Type="http://schemas.openxmlformats.org/officeDocument/2006/relationships/hyperlink" Target="https://www.facebook.com/profile.php?id=100043885262717&amp;mibextid=LQQJ4d" TargetMode="External"/><Relationship Id="rId9415" Type="http://schemas.openxmlformats.org/officeDocument/2006/relationships/hyperlink" Target="https://www.facebook.com/nongly1606?mibextid=LQQJ4d" TargetMode="External"/><Relationship Id="rId1404" Type="http://schemas.openxmlformats.org/officeDocument/2006/relationships/hyperlink" Target="https://www.facebook.com/profile.php?id=100037406925975" TargetMode="External"/><Relationship Id="rId8017" Type="http://schemas.openxmlformats.org/officeDocument/2006/relationships/hyperlink" Target="https://www.facebook.com/people/Nhi-Tran-Thao/pfbid02CrQYe2RC716X4SXZRUUNGwhT4gDkPLTJiYLrA8g1LYxyKJyB5og7r5zDjEbtNjQhl/" TargetMode="External"/><Relationship Id="rId3576" Type="http://schemas.openxmlformats.org/officeDocument/2006/relationships/hyperlink" Target="https://www.facebook.com/profile.php?id=100021701801813" TargetMode="External"/><Relationship Id="rId4627" Type="http://schemas.openxmlformats.org/officeDocument/2006/relationships/hyperlink" Target="https://www.facebook.com/profile.php?id=100026139698127&amp;mibextid=LQQJ4d" TargetMode="External"/><Relationship Id="rId4974" Type="http://schemas.openxmlformats.org/officeDocument/2006/relationships/hyperlink" Target="https://www.facebook.com/khanh.hong.3998263?mibextid=ZbWKwL" TargetMode="External"/><Relationship Id="rId497" Type="http://schemas.openxmlformats.org/officeDocument/2006/relationships/hyperlink" Target="https://www.facebook.com/profile.php?id=100070654260752" TargetMode="External"/><Relationship Id="rId2178" Type="http://schemas.openxmlformats.org/officeDocument/2006/relationships/hyperlink" Target="https://www.facebook.com/quangthp.33?mibextid=D4KYlr" TargetMode="External"/><Relationship Id="rId3229" Type="http://schemas.openxmlformats.org/officeDocument/2006/relationships/hyperlink" Target="https://drive.google.com/open?id=1PdaulM2rd7j-LvzZ0tK6ycrC6I1n6FhX" TargetMode="External"/><Relationship Id="rId7100" Type="http://schemas.openxmlformats.org/officeDocument/2006/relationships/hyperlink" Target="https://www.facebook.com/profile.php?id=100064494558875&amp;mibextid=ZbWKwL" TargetMode="External"/><Relationship Id="rId6799" Type="http://schemas.openxmlformats.org/officeDocument/2006/relationships/hyperlink" Target="https://www.facebook.com/profile.php?id=61559897206802&amp;mibextid=ZbWKwL" TargetMode="External"/><Relationship Id="rId3710" Type="http://schemas.openxmlformats.org/officeDocument/2006/relationships/hyperlink" Target="https://drive.google.com/open?id=1fuRKNk22LQ8HHiODMHmBpXI1DGV89oZJ" TargetMode="External"/><Relationship Id="rId9272" Type="http://schemas.openxmlformats.org/officeDocument/2006/relationships/hyperlink" Target="https://www.facebook.com/thanh.hoa.340968" TargetMode="External"/><Relationship Id="rId631" Type="http://schemas.openxmlformats.org/officeDocument/2006/relationships/hyperlink" Target="https://drive.google.com/open?id=14f3Cukcxq9toy9fxV8x7U82yZlR78sv4" TargetMode="External"/><Relationship Id="rId1261" Type="http://schemas.openxmlformats.org/officeDocument/2006/relationships/hyperlink" Target="https://www.facebook.com/profile.php?id=100089950433632&amp;mibextid=LQQJ4d" TargetMode="External"/><Relationship Id="rId2312" Type="http://schemas.openxmlformats.org/officeDocument/2006/relationships/hyperlink" Target="https://www.facebook.com/profile.php?id=100081252877427" TargetMode="External"/><Relationship Id="rId5882" Type="http://schemas.openxmlformats.org/officeDocument/2006/relationships/hyperlink" Target="https://www.facebook.com/hoanganh.pha.3" TargetMode="External"/><Relationship Id="rId6933" Type="http://schemas.openxmlformats.org/officeDocument/2006/relationships/hyperlink" Target="https://drive.google.com/open?id=1e6fuX6eyuAsL7jH5pYbcRXeA252XPF7h" TargetMode="External"/><Relationship Id="rId4484" Type="http://schemas.openxmlformats.org/officeDocument/2006/relationships/hyperlink" Target="https://www.facebook.com/vuyenthanhh0908?mibextid=ZbWKwL" TargetMode="External"/><Relationship Id="rId5535" Type="http://schemas.openxmlformats.org/officeDocument/2006/relationships/hyperlink" Target="https://www.facebook.com/lan.rumi" TargetMode="External"/><Relationship Id="rId3086" Type="http://schemas.openxmlformats.org/officeDocument/2006/relationships/hyperlink" Target="https://drive.google.com/open?id=190jZDvABUv0rQZ-b0m45qPYJwLnJXIPj" TargetMode="External"/><Relationship Id="rId4137" Type="http://schemas.openxmlformats.org/officeDocument/2006/relationships/hyperlink" Target="https://www.facebook.com/profile.php?id=100034373992828&amp;locale=vi_VN" TargetMode="External"/><Relationship Id="rId8758" Type="http://schemas.openxmlformats.org/officeDocument/2006/relationships/hyperlink" Target="https://www.facebook.com/huong.cat.583" TargetMode="External"/><Relationship Id="rId141" Type="http://schemas.openxmlformats.org/officeDocument/2006/relationships/hyperlink" Target="https://www.facebook.com/phamducminh2608" TargetMode="External"/><Relationship Id="rId3220" Type="http://schemas.openxmlformats.org/officeDocument/2006/relationships/hyperlink" Target="https://www.facebook.com/profile.php?id=100048871915296" TargetMode="External"/><Relationship Id="rId6790" Type="http://schemas.openxmlformats.org/officeDocument/2006/relationships/hyperlink" Target="https://www.facebook.com/bao02032006" TargetMode="External"/><Relationship Id="rId7841" Type="http://schemas.openxmlformats.org/officeDocument/2006/relationships/hyperlink" Target="https://www.facebook.com/profile.php?id=61550518141920&amp;mibextid=LQQJ4d" TargetMode="External"/><Relationship Id="rId7" Type="http://schemas.openxmlformats.org/officeDocument/2006/relationships/hyperlink" Target="https://www.facebook.com/profile.php?id=100093125886317&amp;mibextid=LQQJ4d" TargetMode="External"/><Relationship Id="rId5392" Type="http://schemas.openxmlformats.org/officeDocument/2006/relationships/hyperlink" Target="https://www.facebook.com/hquun?mibextid=LQQJ4d" TargetMode="External"/><Relationship Id="rId6443" Type="http://schemas.openxmlformats.org/officeDocument/2006/relationships/hyperlink" Target="https://www.facebook.com/nefertari10122006" TargetMode="External"/><Relationship Id="rId5045" Type="http://schemas.openxmlformats.org/officeDocument/2006/relationships/hyperlink" Target="https://www.facebook.com/jinny.nguyen.3110?mibextid=LQQJ4d" TargetMode="External"/><Relationship Id="rId1655" Type="http://schemas.openxmlformats.org/officeDocument/2006/relationships/hyperlink" Target="https://drive.google.com/open?id=1echULaNQMq4RPqXchnDKg5I_AQqAf4Jx" TargetMode="External"/><Relationship Id="rId2706" Type="http://schemas.openxmlformats.org/officeDocument/2006/relationships/hyperlink" Target="https://www.facebook.com/habaotrang.nguyen.9?mibextid=nwBsNb" TargetMode="External"/><Relationship Id="rId8268" Type="http://schemas.openxmlformats.org/officeDocument/2006/relationships/hyperlink" Target="https://drive.google.com/open?id=1KTopQZ3LJeifcqUh23fxfoCToD52AUCA" TargetMode="External"/><Relationship Id="rId9319" Type="http://schemas.openxmlformats.org/officeDocument/2006/relationships/hyperlink" Target="https://www.facebook.com/share/1BBwuKjA4W/" TargetMode="External"/><Relationship Id="rId1308" Type="http://schemas.openxmlformats.org/officeDocument/2006/relationships/hyperlink" Target="https://drive.google.com/open?id=10pvboRkCPKsxYHr0m0dyqXu0zQkslZfC" TargetMode="External"/><Relationship Id="rId4878" Type="http://schemas.openxmlformats.org/officeDocument/2006/relationships/hyperlink" Target="https://www.facebook.com/ngocctienn.nguyenn.1?mibextid=ZbWKwL" TargetMode="External"/><Relationship Id="rId5929" Type="http://schemas.openxmlformats.org/officeDocument/2006/relationships/hyperlink" Target="https://www.facebook.com/profile.php?id=100040451982471&amp;locale=vi_VN" TargetMode="External"/><Relationship Id="rId14" Type="http://schemas.openxmlformats.org/officeDocument/2006/relationships/hyperlink" Target="https://drive.google.com/open?id=1qWTHfQujNH4WIupoLoDovjMff6rOoLZG" TargetMode="External"/><Relationship Id="rId7004" Type="http://schemas.openxmlformats.org/officeDocument/2006/relationships/hyperlink" Target="https://www.facebook.com/namwee18406?mibextid=LQQJ4d" TargetMode="External"/><Relationship Id="rId7351" Type="http://schemas.openxmlformats.org/officeDocument/2006/relationships/hyperlink" Target="https://www.facebook.com/profile.php?id=100069904971500&amp;mibextid=LQQJ4d" TargetMode="External"/><Relationship Id="rId8402" Type="http://schemas.openxmlformats.org/officeDocument/2006/relationships/hyperlink" Target="https://www.facebook.com/share/18Fp2BeMUE/" TargetMode="External"/><Relationship Id="rId3961" Type="http://schemas.openxmlformats.org/officeDocument/2006/relationships/hyperlink" Target="https://www.facebook.com/profile.php?id=100057481457095&amp;mibextid=ZbWKwL" TargetMode="External"/><Relationship Id="rId882" Type="http://schemas.openxmlformats.org/officeDocument/2006/relationships/hyperlink" Target="https://www.facebook.com/profile.php?id=100063595983104" TargetMode="External"/><Relationship Id="rId2563" Type="http://schemas.openxmlformats.org/officeDocument/2006/relationships/hyperlink" Target="https://www.facebook.com/iammeii3003?mibextid=LQQJ4d" TargetMode="External"/><Relationship Id="rId3614" Type="http://schemas.openxmlformats.org/officeDocument/2006/relationships/hyperlink" Target="https://www.facebook.com/profile.php?id=100072341902443&amp;mibextid=kFxxJD" TargetMode="External"/><Relationship Id="rId9176" Type="http://schemas.openxmlformats.org/officeDocument/2006/relationships/hyperlink" Target="https://www.facebook.com/profile.php?id=100038586503147&amp;mibextid=LQQJ4d" TargetMode="External"/><Relationship Id="rId535" Type="http://schemas.openxmlformats.org/officeDocument/2006/relationships/hyperlink" Target="https://www.facebook.com/phonqg.trann?mibextid=LQQJ4d" TargetMode="External"/><Relationship Id="rId1165" Type="http://schemas.openxmlformats.org/officeDocument/2006/relationships/hyperlink" Target="https://drive.google.com/open?id=1Nq_qx2dFxA4WLNuLPNFT02L3n3cxVRAX" TargetMode="External"/><Relationship Id="rId2216" Type="http://schemas.openxmlformats.org/officeDocument/2006/relationships/hyperlink" Target="https://www.facebook.com/profile.php?id=100034538379360&amp;mibextid=LQQJ4d" TargetMode="External"/><Relationship Id="rId5786" Type="http://schemas.openxmlformats.org/officeDocument/2006/relationships/hyperlink" Target="https://www.facebook.com/xuan.hoangthanh.3597?mibextid=LQQJ4d" TargetMode="External"/><Relationship Id="rId6837" Type="http://schemas.openxmlformats.org/officeDocument/2006/relationships/hyperlink" Target="https://www.facebook.com/profile.php?id=100032613424992&amp;mibextid=LQQJ4d" TargetMode="External"/><Relationship Id="rId4388" Type="http://schemas.openxmlformats.org/officeDocument/2006/relationships/hyperlink" Target="https://www.facebook.com/profile.php?id=100059169914982" TargetMode="External"/><Relationship Id="rId5439" Type="http://schemas.openxmlformats.org/officeDocument/2006/relationships/hyperlink" Target="https://www.facebook.com/do.xuanbach.7" TargetMode="External"/><Relationship Id="rId9310" Type="http://schemas.openxmlformats.org/officeDocument/2006/relationships/hyperlink" Target="https://www.facebook.com/profile.php?id=100027602074304" TargetMode="External"/><Relationship Id="rId5920" Type="http://schemas.openxmlformats.org/officeDocument/2006/relationships/hyperlink" Target="https://www.facebook.com/profile.php?id=61561345451973&amp;mibextid=LQQJ4d" TargetMode="External"/><Relationship Id="rId3471" Type="http://schemas.openxmlformats.org/officeDocument/2006/relationships/hyperlink" Target="https://www.facebook.com/hanh.enduring" TargetMode="External"/><Relationship Id="rId4522" Type="http://schemas.openxmlformats.org/officeDocument/2006/relationships/hyperlink" Target="https://www.facebook.com/khanh.thaihoang.96" TargetMode="External"/><Relationship Id="rId392" Type="http://schemas.openxmlformats.org/officeDocument/2006/relationships/hyperlink" Target="https://www.facebook.com/profile.php?id=100054963064964" TargetMode="External"/><Relationship Id="rId2073" Type="http://schemas.openxmlformats.org/officeDocument/2006/relationships/hyperlink" Target="https://www.facebook.com/kieutrang247.ajc?mibextid=LQQJ4d" TargetMode="External"/><Relationship Id="rId3124" Type="http://schemas.openxmlformats.org/officeDocument/2006/relationships/hyperlink" Target="https://www.facebook.com/profile.php?id=100046494195453&amp;mibextid=LQQJ4d" TargetMode="External"/><Relationship Id="rId6694" Type="http://schemas.openxmlformats.org/officeDocument/2006/relationships/hyperlink" Target="https://www.facebook.com/n.p.linh2006?mibextid=LQQJ4d" TargetMode="External"/><Relationship Id="rId7745" Type="http://schemas.openxmlformats.org/officeDocument/2006/relationships/hyperlink" Target="https://www.facebook.com/sin.thuong.5?mibextid=ZbWKwL" TargetMode="External"/><Relationship Id="rId5296" Type="http://schemas.openxmlformats.org/officeDocument/2006/relationships/hyperlink" Target="https://www.facebook.com/profile.php?id=100012552584398&amp;mibextid=ZbWKwL" TargetMode="External"/><Relationship Id="rId6347" Type="http://schemas.openxmlformats.org/officeDocument/2006/relationships/hyperlink" Target="https://drive.google.com/open?id=1dJeS43byI8i2RjORKeDaXfyOPSiDzU5p" TargetMode="External"/><Relationship Id="rId2957" Type="http://schemas.openxmlformats.org/officeDocument/2006/relationships/hyperlink" Target="https://drive.google.com/open?id=1RHVoSTwA3ouubziqeEnthfwemleR1Vkx" TargetMode="External"/><Relationship Id="rId929" Type="http://schemas.openxmlformats.org/officeDocument/2006/relationships/hyperlink" Target="https://www.facebook.com/profile.php?id=100041188943855" TargetMode="External"/><Relationship Id="rId1559" Type="http://schemas.openxmlformats.org/officeDocument/2006/relationships/hyperlink" Target="https://www.facebook.com/tuandang2805?mibextid=LQQJ4d" TargetMode="External"/><Relationship Id="rId4032" Type="http://schemas.openxmlformats.org/officeDocument/2006/relationships/hyperlink" Target="https://www.facebook.com/nguyen.haanh24?mibextid=LQQJ4d" TargetMode="External"/><Relationship Id="rId5430" Type="http://schemas.openxmlformats.org/officeDocument/2006/relationships/hyperlink" Target="https://www.facebook.com/thuuhienn25" TargetMode="External"/><Relationship Id="rId8653" Type="http://schemas.openxmlformats.org/officeDocument/2006/relationships/hyperlink" Target="https://drive.google.com/open?id=1wTezdJifAP-6Pha_dh_NCklVuOAr3jV3" TargetMode="External"/><Relationship Id="rId7255" Type="http://schemas.openxmlformats.org/officeDocument/2006/relationships/hyperlink" Target="https://www.facebook.com/profile.php?id=100057585060425" TargetMode="External"/><Relationship Id="rId8306" Type="http://schemas.openxmlformats.org/officeDocument/2006/relationships/hyperlink" Target="https://www.facebook.com/profile.php?id=100037272410855&amp;mibextid=LQQJ4d" TargetMode="External"/><Relationship Id="rId3865" Type="http://schemas.openxmlformats.org/officeDocument/2006/relationships/hyperlink" Target="https://www.facebook.com/do.phuong.thao.278?mibextid=LQQJ4d" TargetMode="External"/><Relationship Id="rId4916" Type="http://schemas.openxmlformats.org/officeDocument/2006/relationships/hyperlink" Target="https://www.facebook.com/profile.php?id=100026343185072&amp;mibextid=LQQJ4d" TargetMode="External"/><Relationship Id="rId786" Type="http://schemas.openxmlformats.org/officeDocument/2006/relationships/hyperlink" Target="https://drive.google.com/open?id=1qS8PpQettaqlxTZVAzehflcSW4mbC4Oo" TargetMode="External"/><Relationship Id="rId2467" Type="http://schemas.openxmlformats.org/officeDocument/2006/relationships/hyperlink" Target="https://drive.google.com/open?id=1CfhgC0XAojL15XX2gFgoqX7N4lgZqDwm" TargetMode="External"/><Relationship Id="rId3518" Type="http://schemas.openxmlformats.org/officeDocument/2006/relationships/hyperlink" Target="https://www.facebook.com/profile.php?id=100082769193918&amp;mibextid=opq0tG" TargetMode="External"/><Relationship Id="rId439" Type="http://schemas.openxmlformats.org/officeDocument/2006/relationships/hyperlink" Target="https://drive.google.com/open?id=1JPegg5BCMYFNsD4Hb02d4Be0X64e6Lqh" TargetMode="External"/><Relationship Id="rId1069" Type="http://schemas.openxmlformats.org/officeDocument/2006/relationships/hyperlink" Target="https://drive.google.com/open?id=1UPSv4kr0BksKfegLXVbdJuYvAX9CRbvd" TargetMode="External"/><Relationship Id="rId8163" Type="http://schemas.openxmlformats.org/officeDocument/2006/relationships/hyperlink" Target="https://www.facebook.com/haviethoang.nguyen?mibextid=LQQJ4d&amp;rdid=KlABDsfw6fvFqJVP&amp;share_url=https%3A%2F%2Fwww.facebook.com%2Fshare%2F8HnSwiVR6JDdZHdc%2F%3Fmibextid%3DLQQJ4d" TargetMode="External"/><Relationship Id="rId9214" Type="http://schemas.openxmlformats.org/officeDocument/2006/relationships/hyperlink" Target="https://www.facebook.com/dangducdangiu?mibextid=LQQJ4d" TargetMode="External"/><Relationship Id="rId9561" Type="http://schemas.openxmlformats.org/officeDocument/2006/relationships/hyperlink" Target="https://www.facebook.com/share/169hXyXrT6/?mibextid=wwXIfr" TargetMode="External"/><Relationship Id="rId920" Type="http://schemas.openxmlformats.org/officeDocument/2006/relationships/hyperlink" Target="https://drive.google.com/open?id=1Zlw9LFyKAWmrxtn0RQhqzYyhyQWnzJxk" TargetMode="External"/><Relationship Id="rId1550" Type="http://schemas.openxmlformats.org/officeDocument/2006/relationships/hyperlink" Target="https://www.facebook.com/profile.php?id=100011830594555" TargetMode="External"/><Relationship Id="rId2601" Type="http://schemas.openxmlformats.org/officeDocument/2006/relationships/hyperlink" Target="https://www.facebook.com/yuzan0806?mibextid=LQQJ4d" TargetMode="External"/><Relationship Id="rId1203" Type="http://schemas.openxmlformats.org/officeDocument/2006/relationships/hyperlink" Target="https://www.facebook.com/profile.php?id=100027236721375&amp;mibextid=ZbWKwL" TargetMode="External"/><Relationship Id="rId4773" Type="http://schemas.openxmlformats.org/officeDocument/2006/relationships/hyperlink" Target="https://drive.google.com/open?id=1y56sNOjW7FfknsyJw-7YAwHEJnqm2UrK" TargetMode="External"/><Relationship Id="rId5824" Type="http://schemas.openxmlformats.org/officeDocument/2006/relationships/hyperlink" Target="https://www.facebook.com/nghaidang.206?mibextid=LQQJ4d" TargetMode="External"/><Relationship Id="rId3375" Type="http://schemas.openxmlformats.org/officeDocument/2006/relationships/hyperlink" Target="https://drive.google.com/open?id=1P0Il6VM0VoWx7aHzmOAkrhOUvfSEgla4" TargetMode="External"/><Relationship Id="rId4426" Type="http://schemas.openxmlformats.org/officeDocument/2006/relationships/hyperlink" Target="https://www.facebook.com/profile.php?id=100043481324600&amp;mibextid=LQQJ4d" TargetMode="External"/><Relationship Id="rId7996" Type="http://schemas.openxmlformats.org/officeDocument/2006/relationships/hyperlink" Target="https://www.facebook.com/HuongPeo.26?mibextid=LQQJ4d" TargetMode="External"/><Relationship Id="rId296" Type="http://schemas.openxmlformats.org/officeDocument/2006/relationships/hyperlink" Target="https://www.facebook.com/profile.php?id=100018766781066&amp;mibextid=LQQJ4d" TargetMode="External"/><Relationship Id="rId3028" Type="http://schemas.openxmlformats.org/officeDocument/2006/relationships/hyperlink" Target="https://www.facebook.com/profile.php?id=100031459809254" TargetMode="External"/><Relationship Id="rId6598" Type="http://schemas.openxmlformats.org/officeDocument/2006/relationships/hyperlink" Target="https://www.facebook.com/baoanh.157206" TargetMode="External"/><Relationship Id="rId7649" Type="http://schemas.openxmlformats.org/officeDocument/2006/relationships/hyperlink" Target="https://drive.google.com/open?id=1evrzzLzo3XMISLXlGrDebHVRhzn5yuDT" TargetMode="External"/><Relationship Id="rId9071" Type="http://schemas.openxmlformats.org/officeDocument/2006/relationships/hyperlink" Target="https://www.facebook.com/303hmy?mibextid=LQQJ4d" TargetMode="External"/><Relationship Id="rId430" Type="http://schemas.openxmlformats.org/officeDocument/2006/relationships/hyperlink" Target="https://drive.google.com/open?id=12sv_xsf3weGmPlQEiyMUQZc6jcAW6SxW" TargetMode="External"/><Relationship Id="rId1060" Type="http://schemas.openxmlformats.org/officeDocument/2006/relationships/hyperlink" Target="https://www.facebook.com/profile.php?id=100069984714656" TargetMode="External"/><Relationship Id="rId2111" Type="http://schemas.openxmlformats.org/officeDocument/2006/relationships/hyperlink" Target="https://www.facebook.com/ngthiuyn190?mibextid=ZbWKwL" TargetMode="External"/><Relationship Id="rId5681" Type="http://schemas.openxmlformats.org/officeDocument/2006/relationships/hyperlink" Target="https://www.facebook.com/profile.php?id=100084530147718&amp;mibextid=LQQJ4d" TargetMode="External"/><Relationship Id="rId6732" Type="http://schemas.openxmlformats.org/officeDocument/2006/relationships/hyperlink" Target="https://www.facebook.com/millionnguyenn" TargetMode="External"/><Relationship Id="rId4283" Type="http://schemas.openxmlformats.org/officeDocument/2006/relationships/hyperlink" Target="https://www.facebook.com/profile.php?id=100023733975113&amp;mibextid=LQQJ4d" TargetMode="External"/><Relationship Id="rId5334" Type="http://schemas.openxmlformats.org/officeDocument/2006/relationships/hyperlink" Target="https://www.facebook.com/profile.php?id=100072704288188" TargetMode="External"/><Relationship Id="rId1944" Type="http://schemas.openxmlformats.org/officeDocument/2006/relationships/hyperlink" Target="https://www.facebook.com/huong.t.n.huong.t.n.5?mibextid=LQQJ4d" TargetMode="External"/><Relationship Id="rId8557" Type="http://schemas.openxmlformats.org/officeDocument/2006/relationships/hyperlink" Target="https://www.facebook.com/profile.php?id=100051070864960&amp;mibextid=LQQJ4d" TargetMode="External"/><Relationship Id="rId7159" Type="http://schemas.openxmlformats.org/officeDocument/2006/relationships/hyperlink" Target="https://www.facebook.com/le.n.nhi.1042" TargetMode="External"/><Relationship Id="rId3769" Type="http://schemas.openxmlformats.org/officeDocument/2006/relationships/hyperlink" Target="https://www.facebook.com/profile.php?id=100083703557658&amp;mibextid=ZbWKwL" TargetMode="External"/><Relationship Id="rId5191" Type="http://schemas.openxmlformats.org/officeDocument/2006/relationships/hyperlink" Target="https://www.facebook.com/ngocyennhi.nguyen.777158?mibextid=LQQJ4d" TargetMode="External"/><Relationship Id="rId6242" Type="http://schemas.openxmlformats.org/officeDocument/2006/relationships/hyperlink" Target="https://www.facebook.com/profile.php?id=100059679503777&amp;mibextid=LQQJ4d" TargetMode="External"/><Relationship Id="rId7640" Type="http://schemas.openxmlformats.org/officeDocument/2006/relationships/hyperlink" Target="https://www.facebook.com/profile.php?id=100068275904676&amp;mibextid=LQQJ4d" TargetMode="External"/><Relationship Id="rId2852" Type="http://schemas.openxmlformats.org/officeDocument/2006/relationships/hyperlink" Target="https://www.facebook.com/profile.php?id=100015391931578&amp;mibextid=LQQJ4d" TargetMode="External"/><Relationship Id="rId3903" Type="http://schemas.openxmlformats.org/officeDocument/2006/relationships/hyperlink" Target="https://drive.google.com/open?id=1-bvjq1iSvmbdDchnQdNf7-67kXjuiOke" TargetMode="External"/><Relationship Id="rId9465" Type="http://schemas.openxmlformats.org/officeDocument/2006/relationships/hyperlink" Target="https://drive.google.com/open?id=1r9iCzjvONqQbCMxUw9v8oCBFcXIFQJst" TargetMode="External"/><Relationship Id="rId824" Type="http://schemas.openxmlformats.org/officeDocument/2006/relationships/hyperlink" Target="https://drive.google.com/open?id=1gS-OdbP-6uodefnE4nLqLNOQeUKQVCo0" TargetMode="External"/><Relationship Id="rId1454" Type="http://schemas.openxmlformats.org/officeDocument/2006/relationships/hyperlink" Target="https://www.facebook.com/Thanhthuy562005?mibextid=LQQJ4d" TargetMode="External"/><Relationship Id="rId2505" Type="http://schemas.openxmlformats.org/officeDocument/2006/relationships/hyperlink" Target="https://drive.google.com/open?id=1wGZIF8QtiHwYMqpeiN7mgNZFq5Mu_cFn" TargetMode="External"/><Relationship Id="rId8067" Type="http://schemas.openxmlformats.org/officeDocument/2006/relationships/hyperlink" Target="https://www.facebook.com/profile.php?id=100050539413642&amp;mibextid=ZbWKwL" TargetMode="External"/><Relationship Id="rId9118" Type="http://schemas.openxmlformats.org/officeDocument/2006/relationships/hyperlink" Target="https://www.facebook.com/kimyen.vuthi.585?mibextid=ZbWKwL" TargetMode="External"/><Relationship Id="rId1107" Type="http://schemas.openxmlformats.org/officeDocument/2006/relationships/hyperlink" Target="https://www.facebook.com/khankchii" TargetMode="External"/><Relationship Id="rId4677" Type="http://schemas.openxmlformats.org/officeDocument/2006/relationships/hyperlink" Target="https://www.facebook.com/profile.php?id=100028863792167" TargetMode="External"/><Relationship Id="rId5728" Type="http://schemas.openxmlformats.org/officeDocument/2006/relationships/hyperlink" Target="https://www.facebook.com/profile.php?id=100077083423024" TargetMode="External"/><Relationship Id="rId3279" Type="http://schemas.openxmlformats.org/officeDocument/2006/relationships/hyperlink" Target="https://www.facebook.com/tranhuong6323" TargetMode="External"/><Relationship Id="rId7150" Type="http://schemas.openxmlformats.org/officeDocument/2006/relationships/hyperlink" Target="https://www.facebook.com/trantuanh.15.03?mibextid=LQQJ4d" TargetMode="External"/><Relationship Id="rId8201" Type="http://schemas.openxmlformats.org/officeDocument/2006/relationships/hyperlink" Target="https://drive.google.com/open?id=1Ym2YLYjri1rBrr1GHx4aLilD6QCB6YVG" TargetMode="External"/><Relationship Id="rId3760" Type="http://schemas.openxmlformats.org/officeDocument/2006/relationships/hyperlink" Target="https://www.facebook.com/profile.php?id=100015570667027&amp;mibextid=LQQJ4d" TargetMode="External"/><Relationship Id="rId4811" Type="http://schemas.openxmlformats.org/officeDocument/2006/relationships/hyperlink" Target="https://www.facebook.com/profile.php?id=100034866668305&amp;mibextid=LQQJ4d" TargetMode="External"/><Relationship Id="rId681" Type="http://schemas.openxmlformats.org/officeDocument/2006/relationships/hyperlink" Target="https://www.facebook.com/profile.php?id=100009326690894" TargetMode="External"/><Relationship Id="rId2362" Type="http://schemas.openxmlformats.org/officeDocument/2006/relationships/hyperlink" Target="https://www.facebook.com/t.yuhthunz?mibextid=LQQJ4d" TargetMode="External"/><Relationship Id="rId3413" Type="http://schemas.openxmlformats.org/officeDocument/2006/relationships/hyperlink" Target="https://drive.google.com/open?id=10dEH9XEZK-wPgL14u8zsdHzxTe2kEO5K" TargetMode="External"/><Relationship Id="rId6983" Type="http://schemas.openxmlformats.org/officeDocument/2006/relationships/hyperlink" Target="https://www.facebook.com/profile.php?id=100054439155168" TargetMode="External"/><Relationship Id="rId334" Type="http://schemas.openxmlformats.org/officeDocument/2006/relationships/hyperlink" Target="https://www.facebook.com/chukimngan06112003?mibextid=LQQJ4d" TargetMode="External"/><Relationship Id="rId2015" Type="http://schemas.openxmlformats.org/officeDocument/2006/relationships/hyperlink" Target="https://www.facebook.com/kii.ntluong" TargetMode="External"/><Relationship Id="rId5585" Type="http://schemas.openxmlformats.org/officeDocument/2006/relationships/hyperlink" Target="https://www.facebook.com/hai.vantrong.73?mibextid=ZbWKwL" TargetMode="External"/><Relationship Id="rId6636" Type="http://schemas.openxmlformats.org/officeDocument/2006/relationships/hyperlink" Target="https://www.facebook.com/hb.duong.31" TargetMode="External"/><Relationship Id="rId4187" Type="http://schemas.openxmlformats.org/officeDocument/2006/relationships/hyperlink" Target="https://www.facebook.com/profile.php?id=100052899632503" TargetMode="External"/><Relationship Id="rId5238" Type="http://schemas.openxmlformats.org/officeDocument/2006/relationships/hyperlink" Target="https://drive.google.com/open?id=1nzGGB4oxUL493l5ZN2-WgFlEa_RwsYXi" TargetMode="External"/><Relationship Id="rId1848" Type="http://schemas.openxmlformats.org/officeDocument/2006/relationships/hyperlink" Target="https://www.facebook.com/profile.php?id=100036295161082&amp;mibextid=ZbWKwL" TargetMode="External"/><Relationship Id="rId3270" Type="http://schemas.openxmlformats.org/officeDocument/2006/relationships/hyperlink" Target="https://www.facebook.com/profile.php?id=100049003191055" TargetMode="External"/><Relationship Id="rId4321" Type="http://schemas.openxmlformats.org/officeDocument/2006/relationships/hyperlink" Target="http://huyhoangfc28gmail.com/" TargetMode="External"/><Relationship Id="rId191" Type="http://schemas.openxmlformats.org/officeDocument/2006/relationships/hyperlink" Target="https://drive.google.com/open?id=1n0O4J5rw_TVg243duToTVfSavBANhlrs" TargetMode="External"/><Relationship Id="rId7891" Type="http://schemas.openxmlformats.org/officeDocument/2006/relationships/hyperlink" Target="https://www.facebook.com/profile.php?id=100037745978100&amp;mibextid=LQQJ4d" TargetMode="External"/><Relationship Id="rId8942" Type="http://schemas.openxmlformats.org/officeDocument/2006/relationships/hyperlink" Target="https://www.facebook.com/kh.linh160" TargetMode="External"/><Relationship Id="rId5095" Type="http://schemas.openxmlformats.org/officeDocument/2006/relationships/hyperlink" Target="https://www.facebook.com/tranvantuan632004?mibextid=LQQJ4d" TargetMode="External"/><Relationship Id="rId6493" Type="http://schemas.openxmlformats.org/officeDocument/2006/relationships/hyperlink" Target="https://www.facebook.com/profile.php?id=100027170370012" TargetMode="External"/><Relationship Id="rId7544" Type="http://schemas.openxmlformats.org/officeDocument/2006/relationships/hyperlink" Target="https://drive.google.com/open?id=1t9BmT9J9lgHRtlF8e6nBV6EQkAPH4kY8" TargetMode="External"/><Relationship Id="rId6146" Type="http://schemas.openxmlformats.org/officeDocument/2006/relationships/hyperlink" Target="https://www.facebook.com/ngoc.trung.2006?mibextid=ZbWKwL" TargetMode="External"/><Relationship Id="rId2756" Type="http://schemas.openxmlformats.org/officeDocument/2006/relationships/hyperlink" Target="https://www.facebook.com/profile.php?id=100016725184628" TargetMode="External"/><Relationship Id="rId3807" Type="http://schemas.openxmlformats.org/officeDocument/2006/relationships/hyperlink" Target="https://drive.google.com/open?id=1AGpCGs0ZvWxCWCGYlgi2Qf-3PIJtPRww" TargetMode="External"/><Relationship Id="rId9369" Type="http://schemas.openxmlformats.org/officeDocument/2006/relationships/hyperlink" Target="https://web.facebook.com/ngo.tu.95547?_rdc=1&amp;_rdr" TargetMode="External"/><Relationship Id="rId728" Type="http://schemas.openxmlformats.org/officeDocument/2006/relationships/hyperlink" Target="https://www.facebook.com/profile.php?id=100090443478263&amp;mibextid=ZbWKwL" TargetMode="External"/><Relationship Id="rId1358" Type="http://schemas.openxmlformats.org/officeDocument/2006/relationships/hyperlink" Target="https://www.facebook.com/profile.php?id=100048067520793&amp;mibextid=ZbWKwL" TargetMode="External"/><Relationship Id="rId2409" Type="http://schemas.openxmlformats.org/officeDocument/2006/relationships/hyperlink" Target="https://www.facebook.com/profile.php?id=100047604945035" TargetMode="External"/><Relationship Id="rId5979" Type="http://schemas.openxmlformats.org/officeDocument/2006/relationships/hyperlink" Target="https://www.facebook.com/huanvu27?mibextid=LQQJ4d" TargetMode="External"/><Relationship Id="rId64" Type="http://schemas.openxmlformats.org/officeDocument/2006/relationships/hyperlink" Target="https://drive.google.com/open?id=1qszoT15SWL47ObEN60jsuffr7kDX9bae" TargetMode="External"/><Relationship Id="rId8452" Type="http://schemas.openxmlformats.org/officeDocument/2006/relationships/hyperlink" Target="https://www.facebook.com/profile.php?id=100050902834061" TargetMode="External"/><Relationship Id="rId9503" Type="http://schemas.openxmlformats.org/officeDocument/2006/relationships/hyperlink" Target="https://www.facebook.com/share/1843WhqDZW/?mibextid=wwXIfr" TargetMode="External"/><Relationship Id="rId7054" Type="http://schemas.openxmlformats.org/officeDocument/2006/relationships/hyperlink" Target="https://www.facebook.com/profile.php?id=100068592291148&amp;mibextid=LQQJ4d" TargetMode="External"/><Relationship Id="rId8105" Type="http://schemas.openxmlformats.org/officeDocument/2006/relationships/hyperlink" Target="https://web.facebook.com/ngocs.baos.7165" TargetMode="External"/><Relationship Id="rId3664" Type="http://schemas.openxmlformats.org/officeDocument/2006/relationships/hyperlink" Target="https://drive.google.com/open?id=1ZmmSM6ZAJAqBTu8Ug6o-Z0CdK2wMF9NZ" TargetMode="External"/><Relationship Id="rId4715" Type="http://schemas.openxmlformats.org/officeDocument/2006/relationships/hyperlink" Target="https://www.facebook.com/profile.php?id=100009241086429&amp;mibextid=LQQJ4d" TargetMode="External"/><Relationship Id="rId585" Type="http://schemas.openxmlformats.org/officeDocument/2006/relationships/hyperlink" Target="https://www.facebook.com/profile.php?id=100081621557135" TargetMode="External"/><Relationship Id="rId2266" Type="http://schemas.openxmlformats.org/officeDocument/2006/relationships/hyperlink" Target="https://www.facebook.com/truongg.phamquang" TargetMode="External"/><Relationship Id="rId3317" Type="http://schemas.openxmlformats.org/officeDocument/2006/relationships/hyperlink" Target="https://www.facebook.com/profile.php?id=100023732472955&amp;mibextid=LQQJ4d" TargetMode="External"/><Relationship Id="rId6887" Type="http://schemas.openxmlformats.org/officeDocument/2006/relationships/hyperlink" Target="https://drive.google.com/open?id=1O7KkDFyHUfQw6MMPYhB2yterBz0qFKqX" TargetMode="External"/><Relationship Id="rId7938" Type="http://schemas.openxmlformats.org/officeDocument/2006/relationships/hyperlink" Target="https://www.facebook.com/nguyen.nhung005?mibextid=opq0tG" TargetMode="External"/><Relationship Id="rId238" Type="http://schemas.openxmlformats.org/officeDocument/2006/relationships/hyperlink" Target="https://www.facebook.com/profile.php?id=100064179216510&amp;mibextid=ZbWKwL" TargetMode="External"/><Relationship Id="rId5489" Type="http://schemas.openxmlformats.org/officeDocument/2006/relationships/hyperlink" Target="https://drive.google.com/open?id=1n9pr0XXiZno93SGQg4rfbkG8wbmuYUPV" TargetMode="External"/><Relationship Id="rId9360" Type="http://schemas.openxmlformats.org/officeDocument/2006/relationships/hyperlink" Target="https://www.facebook.com/anvan5959" TargetMode="External"/><Relationship Id="rId2400" Type="http://schemas.openxmlformats.org/officeDocument/2006/relationships/hyperlink" Target="https://drive.google.com/open?id=16ULGV43o8GzEGmP-KYTG48MySBHCTSBB" TargetMode="External"/><Relationship Id="rId9013" Type="http://schemas.openxmlformats.org/officeDocument/2006/relationships/hyperlink" Target="https://www.facebook.com/profile.php?id=100073403865487" TargetMode="External"/><Relationship Id="rId1002" Type="http://schemas.openxmlformats.org/officeDocument/2006/relationships/hyperlink" Target="https://www.facebook.com/61551501339638/" TargetMode="External"/><Relationship Id="rId5970" Type="http://schemas.openxmlformats.org/officeDocument/2006/relationships/hyperlink" Target="https://www.facebook.com/profile.php?id=100070856023268&amp;mibextid=LQQJ4d" TargetMode="External"/><Relationship Id="rId3174" Type="http://schemas.openxmlformats.org/officeDocument/2006/relationships/hyperlink" Target="https://www.facebook.com/profile.php?id=100057790480030&amp;__cft__%5B0%5D=AZWpMGXUYJ8itslvoE5XZv5KHoqN2obeHhJhZlwPe9yxho60eviTR5rQ92dgosd5lMI40CZQqiBtNllaTbUdk1ykrOZCsx1Dli11r_SNB0p4X3hHvzdS4qm6RPj1_Rcp2vqG3SNQZyg9uBeC8c87JamlOr3S19QFtN8t9eMP7dyAmg&amp;__tn__=-UC%2CP-R" TargetMode="External"/><Relationship Id="rId4572" Type="http://schemas.openxmlformats.org/officeDocument/2006/relationships/hyperlink" Target="https://drive.google.com/open?id=1bfRCXUI3R7XTOGYOs4OX27A1VRDTuSg8" TargetMode="External"/><Relationship Id="rId5623" Type="http://schemas.openxmlformats.org/officeDocument/2006/relationships/hyperlink" Target="https://www.facebook.com/profile.php?id=100063520550582&amp;mibextid=LQQJ4d" TargetMode="External"/><Relationship Id="rId4225" Type="http://schemas.openxmlformats.org/officeDocument/2006/relationships/hyperlink" Target="https://drive.google.com/open?id=1a67u9naQ7IU2PfwngNweaeGcrQhDIjmQ" TargetMode="External"/><Relationship Id="rId7795" Type="http://schemas.openxmlformats.org/officeDocument/2006/relationships/hyperlink" Target="https://www.facebook.com/share/1A5MhViefg/?mibextid=wwXIfr" TargetMode="External"/><Relationship Id="rId8846" Type="http://schemas.openxmlformats.org/officeDocument/2006/relationships/hyperlink" Target="https://www.facebook.com/linhh.mai.735944" TargetMode="External"/><Relationship Id="rId6397" Type="http://schemas.openxmlformats.org/officeDocument/2006/relationships/hyperlink" Target="https://www.facebook.com/profile.php?id=100081057949691&amp;mibextid=LQQJ4d" TargetMode="External"/><Relationship Id="rId7448" Type="http://schemas.openxmlformats.org/officeDocument/2006/relationships/hyperlink" Target="https://www.facebook.com/ngo.huong.giang.16503323?mibextid=LQQJ4d" TargetMode="External"/><Relationship Id="rId979" Type="http://schemas.openxmlformats.org/officeDocument/2006/relationships/hyperlink" Target="https://www.facebook.com/100035829859949/" TargetMode="External"/><Relationship Id="rId5480" Type="http://schemas.openxmlformats.org/officeDocument/2006/relationships/hyperlink" Target="https://www.facebook.com/profile.php?id=100020612886223" TargetMode="External"/><Relationship Id="rId6531" Type="http://schemas.openxmlformats.org/officeDocument/2006/relationships/hyperlink" Target="https://www.facebook.com/tuandvck?mibextid=LQQJ4d" TargetMode="External"/><Relationship Id="rId4082" Type="http://schemas.openxmlformats.org/officeDocument/2006/relationships/hyperlink" Target="https://www.facebook.com/profile.php?id=100072222349866&amp;mibextid=JRoKGi" TargetMode="External"/><Relationship Id="rId5133" Type="http://schemas.openxmlformats.org/officeDocument/2006/relationships/hyperlink" Target="https://drive.google.com/open?id=1HC5y1rL6IQmexEkYeHEkbId9ezwDsDki" TargetMode="External"/><Relationship Id="rId1743" Type="http://schemas.openxmlformats.org/officeDocument/2006/relationships/hyperlink" Target="https://www.facebook.com/profile.php?id=100092208241207&amp;mibextid=LQQJ4d" TargetMode="External"/><Relationship Id="rId8009" Type="http://schemas.openxmlformats.org/officeDocument/2006/relationships/hyperlink" Target="https://www.facebook.com/profile.php?id=100063554557165" TargetMode="External"/><Relationship Id="rId8356" Type="http://schemas.openxmlformats.org/officeDocument/2006/relationships/hyperlink" Target="https://drive.google.com/open?id=1KZr_vgPROtRZiQatwbuthWOPYMdNWBgA" TargetMode="External"/><Relationship Id="rId9407" Type="http://schemas.openxmlformats.org/officeDocument/2006/relationships/hyperlink" Target="https://www.facebook.com/hieuu.ngoc.3?mibextid=LQQJ4d" TargetMode="External"/><Relationship Id="rId4966" Type="http://schemas.openxmlformats.org/officeDocument/2006/relationships/hyperlink" Target="https://www.facebook.com/profile.php?id=100084079350305&amp;mibextid=LQQJ4d" TargetMode="External"/><Relationship Id="rId3568" Type="http://schemas.openxmlformats.org/officeDocument/2006/relationships/hyperlink" Target="https://www.facebook.com/profile.php?id=100063547159931&amp;mibextid=LQQJ4d" TargetMode="External"/><Relationship Id="rId4619" Type="http://schemas.openxmlformats.org/officeDocument/2006/relationships/hyperlink" Target="https://www.facebook.com/mi.hoa.9461?mibextid=ZbWKwL" TargetMode="External"/><Relationship Id="rId489" Type="http://schemas.openxmlformats.org/officeDocument/2006/relationships/hyperlink" Target="https://www.facebook.com/profile.php?id=100045912873450" TargetMode="External"/><Relationship Id="rId6041" Type="http://schemas.openxmlformats.org/officeDocument/2006/relationships/hyperlink" Target="https://www.facebook.com/profile.php?id=100027839644491&amp;mibextid=LQQJ4d" TargetMode="External"/><Relationship Id="rId9264" Type="http://schemas.openxmlformats.org/officeDocument/2006/relationships/hyperlink" Target="https://www.facebook.com/le.hoaa.90682" TargetMode="External"/><Relationship Id="rId970" Type="http://schemas.openxmlformats.org/officeDocument/2006/relationships/hyperlink" Target="https://drive.google.com/open?id=1t5HFrFJrXxT_dGPwTpkceRiYVyIfEU5s" TargetMode="External"/><Relationship Id="rId1253" Type="http://schemas.openxmlformats.org/officeDocument/2006/relationships/hyperlink" Target="https://www.facebook.com/giaa.uyenn?mibextid=LQQJ4d" TargetMode="External"/><Relationship Id="rId2651" Type="http://schemas.openxmlformats.org/officeDocument/2006/relationships/hyperlink" Target="https://www.facebook.com/phong.hoangxuan.94?mibextid=ZbWKwL" TargetMode="External"/><Relationship Id="rId3702" Type="http://schemas.openxmlformats.org/officeDocument/2006/relationships/hyperlink" Target="https://www.facebook.com/kieuthichbuncha" TargetMode="External"/><Relationship Id="rId623" Type="http://schemas.openxmlformats.org/officeDocument/2006/relationships/hyperlink" Target="https://www.facebook.com/profile.php?id=100008675144616" TargetMode="External"/><Relationship Id="rId2304" Type="http://schemas.openxmlformats.org/officeDocument/2006/relationships/hyperlink" Target="https://www.facebook.com/tulinh.bachhoang.18" TargetMode="External"/><Relationship Id="rId5874" Type="http://schemas.openxmlformats.org/officeDocument/2006/relationships/hyperlink" Target="https://web.facebook.com/hackers.truong.5?_rdc=1&amp;_rdr" TargetMode="External"/><Relationship Id="rId6925" Type="http://schemas.openxmlformats.org/officeDocument/2006/relationships/hyperlink" Target="https://www.facebook.com/kimngannn269" TargetMode="External"/><Relationship Id="rId4476" Type="http://schemas.openxmlformats.org/officeDocument/2006/relationships/hyperlink" Target="https://drive.google.com/open?id=1s3rm3AgmhpA6BsIIzJM7KJevGo4thrau" TargetMode="External"/><Relationship Id="rId5527" Type="http://schemas.openxmlformats.org/officeDocument/2006/relationships/hyperlink" Target="https://www.facebook.com/vodlkathai?mibextid=ZbWKwL" TargetMode="External"/><Relationship Id="rId3078" Type="http://schemas.openxmlformats.org/officeDocument/2006/relationships/hyperlink" Target="https://www.facebook.com/WhyRU.0" TargetMode="External"/><Relationship Id="rId4129" Type="http://schemas.openxmlformats.org/officeDocument/2006/relationships/hyperlink" Target="https://drive.google.com/open?id=1_BB13EPfe9lOANST2BcFAtw8G1oa3kuI" TargetMode="External"/><Relationship Id="rId7699" Type="http://schemas.openxmlformats.org/officeDocument/2006/relationships/hyperlink" Target="https://drive.google.com/open?id=1c4fheJHUJZ6rNmAQUCURAEl-FQP9KTdY" TargetMode="External"/><Relationship Id="rId8000" Type="http://schemas.openxmlformats.org/officeDocument/2006/relationships/hyperlink" Target="https://drive.google.com/open?id=13Z49ivBg2z6ukQhk4kcvuqol2kMvp6qO" TargetMode="External"/><Relationship Id="rId4610" Type="http://schemas.openxmlformats.org/officeDocument/2006/relationships/hyperlink" Target="https://drive.google.com/open?id=1V6KcI3u3KtEYJeu4n69kc1F39vH9ZM-D" TargetMode="External"/><Relationship Id="rId480" Type="http://schemas.openxmlformats.org/officeDocument/2006/relationships/hyperlink" Target="https://www.facebook.com/lee.phuonganh.125" TargetMode="External"/><Relationship Id="rId2161" Type="http://schemas.openxmlformats.org/officeDocument/2006/relationships/hyperlink" Target="https://www.facebook.com/profile.php?id=100086954523874" TargetMode="External"/><Relationship Id="rId3212" Type="http://schemas.openxmlformats.org/officeDocument/2006/relationships/hyperlink" Target="https://www.facebook.com/abeno.seimei.50?mibextid=ZbWKwL" TargetMode="External"/><Relationship Id="rId133" Type="http://schemas.openxmlformats.org/officeDocument/2006/relationships/hyperlink" Target="https://drive.google.com/open?id=1vYtfZuK8zOyuzKUdPkGfITvoL1eaLg3d" TargetMode="External"/><Relationship Id="rId5384" Type="http://schemas.openxmlformats.org/officeDocument/2006/relationships/hyperlink" Target="https://www.facebook.com/nynhbong.cutevcll.888?mibextid=LQQJ4d" TargetMode="External"/><Relationship Id="rId6782" Type="http://schemas.openxmlformats.org/officeDocument/2006/relationships/hyperlink" Target="https://www.facebook.com/profile.php?id=100018329598954" TargetMode="External"/><Relationship Id="rId7833" Type="http://schemas.openxmlformats.org/officeDocument/2006/relationships/hyperlink" Target="https://www.facebook.com/share/1BWpxEJHQy/?mibextid=wwXIfr" TargetMode="External"/><Relationship Id="rId5037" Type="http://schemas.openxmlformats.org/officeDocument/2006/relationships/hyperlink" Target="https://drive.google.com/open?id=11DMVB4H8V2K5MiWTnmZLp0u0YXgU5LvO" TargetMode="External"/><Relationship Id="rId6435" Type="http://schemas.openxmlformats.org/officeDocument/2006/relationships/hyperlink" Target="https://drive.google.com/open?id=14riZ-nGqbyZ5DdBEqPebuRC-2SVcW5xa" TargetMode="External"/><Relationship Id="rId1994" Type="http://schemas.openxmlformats.org/officeDocument/2006/relationships/hyperlink" Target="https://www.facebook.com/miuka.takahashi" TargetMode="External"/><Relationship Id="rId1647" Type="http://schemas.openxmlformats.org/officeDocument/2006/relationships/hyperlink" Target="https://www.facebook.com/lamhoa128?mibextid=LQQJ4d" TargetMode="External"/><Relationship Id="rId4120" Type="http://schemas.openxmlformats.org/officeDocument/2006/relationships/hyperlink" Target="https://www.facebook.com/hara.san.524?mibextid=LQQJ4d" TargetMode="External"/><Relationship Id="rId7690" Type="http://schemas.openxmlformats.org/officeDocument/2006/relationships/hyperlink" Target="https://drive.google.com/open?id=1YnzZizsUUs0o5ekjaT7PW5Ogpq7pOyNf" TargetMode="External"/><Relationship Id="rId8741" Type="http://schemas.openxmlformats.org/officeDocument/2006/relationships/hyperlink" Target="https://www.facebook.com/profile.php?id=100055870506596&amp;mibextid=ZbWKwL" TargetMode="External"/><Relationship Id="rId6292" Type="http://schemas.openxmlformats.org/officeDocument/2006/relationships/hyperlink" Target="https://www.facebook.com/quynhcong16.05?mibextid=LQQJ4d" TargetMode="External"/><Relationship Id="rId7343" Type="http://schemas.openxmlformats.org/officeDocument/2006/relationships/hyperlink" Target="https://www.facebook.com/profile.php?id=100045321765542" TargetMode="External"/><Relationship Id="rId3953" Type="http://schemas.openxmlformats.org/officeDocument/2006/relationships/hyperlink" Target="https://www.facebook.com/superstartiuttbinhs1tg?locale=vi_VN" TargetMode="External"/><Relationship Id="rId9168" Type="http://schemas.openxmlformats.org/officeDocument/2006/relationships/hyperlink" Target="https://www.facebook.com/nnhung180706?mibextid=LQQJ4d" TargetMode="External"/><Relationship Id="rId874" Type="http://schemas.openxmlformats.org/officeDocument/2006/relationships/hyperlink" Target="https://drive.google.com/open?id=18EiZjZkkwk6Y308DNaHl6LxcxoUqhs-i" TargetMode="External"/><Relationship Id="rId2555" Type="http://schemas.openxmlformats.org/officeDocument/2006/relationships/hyperlink" Target="https://www.facebook.com/oanh.oanhh.5895" TargetMode="External"/><Relationship Id="rId3606" Type="http://schemas.openxmlformats.org/officeDocument/2006/relationships/hyperlink" Target="https://drive.google.com/open?id=1YxGJvwjFoiGsPCbeaTbBRSXoecAQ_jEB" TargetMode="External"/><Relationship Id="rId527" Type="http://schemas.openxmlformats.org/officeDocument/2006/relationships/hyperlink" Target="https://www.facebook.com/vu.xuan.toan.2101" TargetMode="External"/><Relationship Id="rId1157" Type="http://schemas.openxmlformats.org/officeDocument/2006/relationships/hyperlink" Target="https://www.facebook.com/profile.php?id=100026342468506&amp;mibextid=ZbWKwL" TargetMode="External"/><Relationship Id="rId2208" Type="http://schemas.openxmlformats.org/officeDocument/2006/relationships/hyperlink" Target="https://www.facebook.com/profile.php?id=100086294516767&amp;mibextid=ZbWKwL" TargetMode="External"/><Relationship Id="rId5778" Type="http://schemas.openxmlformats.org/officeDocument/2006/relationships/hyperlink" Target="https://www.facebook.com/profile.php?id=100016986661381&amp;mibextid=LQQJ4d" TargetMode="External"/><Relationship Id="rId6829" Type="http://schemas.openxmlformats.org/officeDocument/2006/relationships/hyperlink" Target="https://www.facebook.com/profile.php?id=100073241498766&amp;mibextid=LQQJ4d" TargetMode="External"/><Relationship Id="rId8251" Type="http://schemas.openxmlformats.org/officeDocument/2006/relationships/hyperlink" Target="https://www.facebook.com/share/1622zHuXdy/?mibextid=LQQJ4d" TargetMode="External"/><Relationship Id="rId9302" Type="http://schemas.openxmlformats.org/officeDocument/2006/relationships/hyperlink" Target="https://www.facebook.com/profile.php?id=100032702200312" TargetMode="External"/><Relationship Id="rId3463" Type="http://schemas.openxmlformats.org/officeDocument/2006/relationships/hyperlink" Target="https://www.facebook.com/minh.panda.12" TargetMode="External"/><Relationship Id="rId4861" Type="http://schemas.openxmlformats.org/officeDocument/2006/relationships/hyperlink" Target="https://www.facebook.com/profile.php?id=100071283850663" TargetMode="External"/><Relationship Id="rId5912" Type="http://schemas.openxmlformats.org/officeDocument/2006/relationships/hyperlink" Target="https://drive.google.com/open?id=11-TftdIuUHEIAZohVuFV-_H2avXWZm49" TargetMode="External"/><Relationship Id="rId384" Type="http://schemas.openxmlformats.org/officeDocument/2006/relationships/hyperlink" Target="https://www.facebook.com/profile.php?id=100054819611066&amp;mibextid=LQQJ4d" TargetMode="External"/><Relationship Id="rId2065" Type="http://schemas.openxmlformats.org/officeDocument/2006/relationships/hyperlink" Target="https://www.facebook.com/profile.php?id=100024996890113&amp;mibextid=ZbWKwL" TargetMode="External"/><Relationship Id="rId3116" Type="http://schemas.openxmlformats.org/officeDocument/2006/relationships/hyperlink" Target="https://drive.google.com/open?id=1Cb-OARYOya04MQL8OEy8gISuvbUVoJZb" TargetMode="External"/><Relationship Id="rId4514" Type="http://schemas.openxmlformats.org/officeDocument/2006/relationships/hyperlink" Target="https://www.facebook.com/minh.phannhat.3954" TargetMode="External"/><Relationship Id="rId6686" Type="http://schemas.openxmlformats.org/officeDocument/2006/relationships/hyperlink" Target="https://www.facebook.com/profile.php?id=100070948735020&amp;mibextid=LQQJ4d" TargetMode="External"/><Relationship Id="rId7737" Type="http://schemas.openxmlformats.org/officeDocument/2006/relationships/hyperlink" Target="https://drive.google.com/open?id=1Y-pbitCmzM1PkV4CuM0NRAzrrX2aEJ_5" TargetMode="External"/><Relationship Id="rId5288" Type="http://schemas.openxmlformats.org/officeDocument/2006/relationships/hyperlink" Target="https://drive.google.com/open?id=1GFSO3hIwWvk8Ah9q90AybPQDvZrxF5MX" TargetMode="External"/><Relationship Id="rId6339" Type="http://schemas.openxmlformats.org/officeDocument/2006/relationships/hyperlink" Target="https://www.facebook.com/trungg.tran.14?mibextid=LQQJ4d" TargetMode="External"/><Relationship Id="rId1898" Type="http://schemas.openxmlformats.org/officeDocument/2006/relationships/hyperlink" Target="https://www.facebook.com/tulinh.bachhoang.18" TargetMode="External"/><Relationship Id="rId2949" Type="http://schemas.openxmlformats.org/officeDocument/2006/relationships/hyperlink" Target="https://www.facebook.com/profile.php?id=100087957833842&amp;mibextid=LQQJ4d" TargetMode="External"/><Relationship Id="rId6820" Type="http://schemas.openxmlformats.org/officeDocument/2006/relationships/hyperlink" Target="https://www.facebook.com/profile.php?id=100008900434957" TargetMode="External"/><Relationship Id="rId4371" Type="http://schemas.openxmlformats.org/officeDocument/2006/relationships/hyperlink" Target="https://facebook.com/profile.php?id=100070096759831" TargetMode="External"/><Relationship Id="rId5422" Type="http://schemas.openxmlformats.org/officeDocument/2006/relationships/hyperlink" Target="https://www.facebook.com/profile.php?id=100011895188813&amp;mibextid=PzaGJu" TargetMode="External"/><Relationship Id="rId4024" Type="http://schemas.openxmlformats.org/officeDocument/2006/relationships/hyperlink" Target="https://drive.google.com/open?id=1y56sNOjW7FfknsyJw-7YAwHEJnqm2UrK" TargetMode="External"/><Relationship Id="rId7594" Type="http://schemas.openxmlformats.org/officeDocument/2006/relationships/hyperlink" Target="https://www.facebook.com/profile.php?id=100070770458263&amp;mibextid=LQQJ4d" TargetMode="External"/><Relationship Id="rId8992" Type="http://schemas.openxmlformats.org/officeDocument/2006/relationships/hyperlink" Target="https://drive.google.com/open?id=1oqvRPjTXkAu0InGhgMQ_eAg2mrzspcfg" TargetMode="External"/><Relationship Id="rId6196" Type="http://schemas.openxmlformats.org/officeDocument/2006/relationships/hyperlink" Target="https://www.facebook.com/profile.php?id=61555413374015" TargetMode="External"/><Relationship Id="rId7247" Type="http://schemas.openxmlformats.org/officeDocument/2006/relationships/hyperlink" Target="https://drive.google.com/open?id=1ELpfFmiiu5fiqCYyfSXDUoTCR1qh9TfX" TargetMode="External"/><Relationship Id="rId8645" Type="http://schemas.openxmlformats.org/officeDocument/2006/relationships/hyperlink" Target="https://www.facebook.com/profile.php?id=100063675914396" TargetMode="External"/><Relationship Id="rId3857" Type="http://schemas.openxmlformats.org/officeDocument/2006/relationships/hyperlink" Target="https://www.facebook.com/profile.php?id=100080149758467" TargetMode="External"/><Relationship Id="rId4908" Type="http://schemas.openxmlformats.org/officeDocument/2006/relationships/hyperlink" Target="https://www.facebook.com/son.lethe.58173?mibextid=LQQJ4d" TargetMode="External"/><Relationship Id="rId778" Type="http://schemas.openxmlformats.org/officeDocument/2006/relationships/hyperlink" Target="https://www.facebook.com/zittbee06hynp?mibextid=LQQJ4d" TargetMode="External"/><Relationship Id="rId2459" Type="http://schemas.openxmlformats.org/officeDocument/2006/relationships/hyperlink" Target="https://www.facebook.com/profile.php?id=100055870506596&amp;mibextid=ZbWKwL" TargetMode="External"/><Relationship Id="rId6330" Type="http://schemas.openxmlformats.org/officeDocument/2006/relationships/hyperlink" Target="https://www.facebook.com/tuanbinh.2k6?mibextid=LQQJ4d" TargetMode="External"/><Relationship Id="rId9553" Type="http://schemas.openxmlformats.org/officeDocument/2006/relationships/hyperlink" Target="https://www.facebook.com/share/1Kcf5KDHuy/?mibextid=wwXIfr" TargetMode="External"/><Relationship Id="rId1542" Type="http://schemas.openxmlformats.org/officeDocument/2006/relationships/hyperlink" Target="https://drive.google.com/open?id=16qh5n9CCkR6_BIElvcTf8-EWXi7ATBNL" TargetMode="External"/><Relationship Id="rId2940" Type="http://schemas.openxmlformats.org/officeDocument/2006/relationships/hyperlink" Target="https://www.facebook.com/Thanhthuy562005?mibextid=LQQJ4d" TargetMode="External"/><Relationship Id="rId8155" Type="http://schemas.openxmlformats.org/officeDocument/2006/relationships/hyperlink" Target="https://drive.google.com/open?id=1GVPJ8v0mNdOMCrch1UKFkPqkNeG91CcQ" TargetMode="External"/><Relationship Id="rId9206" Type="http://schemas.openxmlformats.org/officeDocument/2006/relationships/hyperlink" Target="https://www.facebook.com/profile.php?id=100047450116298&amp;mibextid=LQQJ4d" TargetMode="External"/><Relationship Id="rId912" Type="http://schemas.openxmlformats.org/officeDocument/2006/relationships/hyperlink" Target="https://www.facebook.com/profile.php?id=100069462744726&amp;mibextid=ZbWKwL" TargetMode="External"/><Relationship Id="rId4765" Type="http://schemas.openxmlformats.org/officeDocument/2006/relationships/hyperlink" Target="https://drive.google.com/open?id=1aAERdJTYPblvYy6Xmpa2hUpO1KrpD9Um" TargetMode="External"/><Relationship Id="rId5816" Type="http://schemas.openxmlformats.org/officeDocument/2006/relationships/hyperlink" Target="https://www.facebook.com/vu.nguyenba.374549?locale=vi_VN" TargetMode="External"/><Relationship Id="rId288" Type="http://schemas.openxmlformats.org/officeDocument/2006/relationships/hyperlink" Target="https://www.facebook.com/duongs.duongs.92372?mibextid=LQQJ4d" TargetMode="External"/><Relationship Id="rId3367" Type="http://schemas.openxmlformats.org/officeDocument/2006/relationships/hyperlink" Target="https://www.facebook.com/mthang.hosint" TargetMode="External"/><Relationship Id="rId4418" Type="http://schemas.openxmlformats.org/officeDocument/2006/relationships/hyperlink" Target="https://drive.google.com/open?id=1bjOmsMdOMKhdFB2fMX7ZgBi-sC-hWJZl;https://drive.google.com/open?id=1A4bRqGDxQB2Ny1VEpdIDGMGIDIJOJRBO" TargetMode="External"/><Relationship Id="rId7988" Type="http://schemas.openxmlformats.org/officeDocument/2006/relationships/hyperlink" Target="https://www.facebook.com/profile.php?id=100034925930087&amp;mibextid=LQQJ4d" TargetMode="External"/><Relationship Id="rId2450" Type="http://schemas.openxmlformats.org/officeDocument/2006/relationships/hyperlink" Target="https://drive.google.com/open?id=1LNblMee3gAftajwc3UtiP9PV3tmyU-_1" TargetMode="External"/><Relationship Id="rId3501" Type="http://schemas.openxmlformats.org/officeDocument/2006/relationships/hyperlink" Target="https://www.facebook.com/Trinh.quynhanh.37.habbit?mibextid=ZbWKwL" TargetMode="External"/><Relationship Id="rId9063" Type="http://schemas.openxmlformats.org/officeDocument/2006/relationships/hyperlink" Target="https://www.facebook.com/profile.php?id=61559897206802&amp;mibextid=ZbWKwL" TargetMode="External"/><Relationship Id="rId422" Type="http://schemas.openxmlformats.org/officeDocument/2006/relationships/hyperlink" Target="https://drive.google.com/open?id=1QS3Zp_SRAORhvjLV5rMWIDUNGQm1i4Oy" TargetMode="External"/><Relationship Id="rId1052" Type="http://schemas.openxmlformats.org/officeDocument/2006/relationships/hyperlink" Target="https://drive.google.com/open?id=1-6sQDXXIKyd9kjeRcFw5QucGw5YjNg3S" TargetMode="External"/><Relationship Id="rId2103" Type="http://schemas.openxmlformats.org/officeDocument/2006/relationships/hyperlink" Target="https://www.facebook.com/profile.php?id=100027844110320" TargetMode="External"/><Relationship Id="rId5673" Type="http://schemas.openxmlformats.org/officeDocument/2006/relationships/hyperlink" Target="https://drive.google.com/open?id=1bBnBmvChZ27oE2rAwro6CUZu3zXd5c-m" TargetMode="External"/><Relationship Id="rId4275" Type="http://schemas.openxmlformats.org/officeDocument/2006/relationships/hyperlink" Target="https://drive.google.com/open?id=1KSXcqRz-RcMXDydI0prYvmFkkm5LvWtR" TargetMode="External"/><Relationship Id="rId5326" Type="http://schemas.openxmlformats.org/officeDocument/2006/relationships/hyperlink" Target="https://www.facebook.com/kanh.nguyen.75098364?mibextid=LQQJ4d" TargetMode="External"/><Relationship Id="rId6724" Type="http://schemas.openxmlformats.org/officeDocument/2006/relationships/hyperlink" Target="https://www.facebook.com/profile.php?id=100094011439870&amp;mibextid=LQQJ4d" TargetMode="External"/><Relationship Id="rId8896" Type="http://schemas.openxmlformats.org/officeDocument/2006/relationships/hyperlink" Target="https://drive.google.com/open?id=1FgOpaKdR71m6txoDdEBqWOGklrxhCI4z" TargetMode="External"/><Relationship Id="rId1936" Type="http://schemas.openxmlformats.org/officeDocument/2006/relationships/hyperlink" Target="https://www.facebook.com/hoan.ga.3591267?mibextid=ZbWKwL" TargetMode="External"/><Relationship Id="rId7498" Type="http://schemas.openxmlformats.org/officeDocument/2006/relationships/hyperlink" Target="https://www.facebook.com/profile.php?id=100052674230901&amp;mibextid=LQQJ4d" TargetMode="External"/><Relationship Id="rId8549" Type="http://schemas.openxmlformats.org/officeDocument/2006/relationships/hyperlink" Target="https://www.facebook.com/pppppp.05" TargetMode="External"/><Relationship Id="rId3011" Type="http://schemas.openxmlformats.org/officeDocument/2006/relationships/hyperlink" Target="https://www.facebook.com/profile.php?id=100040114420336" TargetMode="External"/><Relationship Id="rId6581" Type="http://schemas.openxmlformats.org/officeDocument/2006/relationships/hyperlink" Target="https://www.facebook.com/chang.phamthithu.9?mibextid=LQQJ4d" TargetMode="External"/><Relationship Id="rId7632" Type="http://schemas.openxmlformats.org/officeDocument/2006/relationships/hyperlink" Target="https://www.facebook.com/profile.php?id=100081003225561&amp;mibextid=LQQJ4d" TargetMode="External"/><Relationship Id="rId5183" Type="http://schemas.openxmlformats.org/officeDocument/2006/relationships/hyperlink" Target="https://www.facebook.com/profile.php?id=100028993292584&amp;mibextid=kFxxJD" TargetMode="External"/><Relationship Id="rId6234" Type="http://schemas.openxmlformats.org/officeDocument/2006/relationships/hyperlink" Target="https://www.facebook.com/de6nn?mibextid=ZbWKwL" TargetMode="External"/><Relationship Id="rId9457" Type="http://schemas.openxmlformats.org/officeDocument/2006/relationships/hyperlink" Target="https://www.facebook.com/mduc2489" TargetMode="External"/><Relationship Id="rId1793" Type="http://schemas.openxmlformats.org/officeDocument/2006/relationships/hyperlink" Target="https://www.facebook.com/profile.php?id=100051147399166&amp;mibextid=LQQJ4d" TargetMode="External"/><Relationship Id="rId2844" Type="http://schemas.openxmlformats.org/officeDocument/2006/relationships/hyperlink" Target="https://drive.google.com/open?id=14ByZhihsvFoKHyKjstofXK-Aou_NJK4i" TargetMode="External"/><Relationship Id="rId8059" Type="http://schemas.openxmlformats.org/officeDocument/2006/relationships/hyperlink" Target="https://www.facebook.com/profile.php?id=100080183169311&amp;mibextid=ZbWKwL" TargetMode="External"/><Relationship Id="rId816" Type="http://schemas.openxmlformats.org/officeDocument/2006/relationships/hyperlink" Target="https://drive.google.com/open?id=1yoY8lCvbH5VNZEGXNVDkjmSrPFJRhn86" TargetMode="External"/><Relationship Id="rId1446" Type="http://schemas.openxmlformats.org/officeDocument/2006/relationships/hyperlink" Target="https://www.facebook.com/phunphun1234" TargetMode="External"/><Relationship Id="rId4669" Type="http://schemas.openxmlformats.org/officeDocument/2006/relationships/hyperlink" Target="https://drive.google.com/open?id=17SVe3BeR7touDBuywTiZUJzeSApg81Cd" TargetMode="External"/><Relationship Id="rId8540" Type="http://schemas.openxmlformats.org/officeDocument/2006/relationships/hyperlink" Target="https://www.facebook.com/profile.php?id=100061160496559&amp;mibextid=LQQJ4d" TargetMode="External"/><Relationship Id="rId6091" Type="http://schemas.openxmlformats.org/officeDocument/2006/relationships/hyperlink" Target="https://www.facebook.com/viei.ngo" TargetMode="External"/><Relationship Id="rId7142" Type="http://schemas.openxmlformats.org/officeDocument/2006/relationships/hyperlink" Target="https://drive.google.com/open?id=13UXfdoUNCRePaQ1fWnbK17EUtuhtMSh1" TargetMode="External"/><Relationship Id="rId3752" Type="http://schemas.openxmlformats.org/officeDocument/2006/relationships/hyperlink" Target="https://www.facebook.com/profile.php?id=100025333098909&amp;mibextid=ZbWKwL" TargetMode="External"/><Relationship Id="rId673" Type="http://schemas.openxmlformats.org/officeDocument/2006/relationships/hyperlink" Target="https://www.facebook.com/tuantom.sneaker?mibextid=ZbWKwL" TargetMode="External"/><Relationship Id="rId2354" Type="http://schemas.openxmlformats.org/officeDocument/2006/relationships/hyperlink" Target="https://www.facebook.com/profile.php?id=100085035108699" TargetMode="External"/><Relationship Id="rId3405" Type="http://schemas.openxmlformats.org/officeDocument/2006/relationships/hyperlink" Target="https://www.facebook.com/tong.thuha.56" TargetMode="External"/><Relationship Id="rId4803" Type="http://schemas.openxmlformats.org/officeDocument/2006/relationships/hyperlink" Target="https://www.facebook.com/profile.php?id=100082995225366&amp;mibextid=LQQJ4d" TargetMode="External"/><Relationship Id="rId326" Type="http://schemas.openxmlformats.org/officeDocument/2006/relationships/hyperlink" Target="https://drive.google.com/open?id=1knnBq2QgCl0b11sKi-6Mz1ClLBM06_mN" TargetMode="External"/><Relationship Id="rId2007" Type="http://schemas.openxmlformats.org/officeDocument/2006/relationships/hyperlink" Target="https://www.facebook.com/phong.hoangxuan.94?mibextid=ZbWKwL" TargetMode="External"/><Relationship Id="rId6975" Type="http://schemas.openxmlformats.org/officeDocument/2006/relationships/hyperlink" Target="https://www.facebook.com/profile.php?id=100028269906264&amp;mibextid=LQQJ4d" TargetMode="External"/><Relationship Id="rId4179" Type="http://schemas.openxmlformats.org/officeDocument/2006/relationships/hyperlink" Target="https://www.facebook.com/profile.php?id=100081908287230" TargetMode="External"/><Relationship Id="rId5577" Type="http://schemas.openxmlformats.org/officeDocument/2006/relationships/hyperlink" Target="https://www.facebook.com/ngoc.hong.1117?mibextid=ZbWKwL" TargetMode="External"/><Relationship Id="rId6628" Type="http://schemas.openxmlformats.org/officeDocument/2006/relationships/hyperlink" Target="https://www.facebook.com/profile.php?id=100032702200312" TargetMode="External"/><Relationship Id="rId8050" Type="http://schemas.openxmlformats.org/officeDocument/2006/relationships/hyperlink" Target="https://www.facebook.com/profile.php?id=100070663873801" TargetMode="External"/><Relationship Id="rId9101" Type="http://schemas.openxmlformats.org/officeDocument/2006/relationships/hyperlink" Target="https://www.facebook.com/profile.php?id=100035389053518&amp;mibextid=LQQJ4d" TargetMode="External"/><Relationship Id="rId4660" Type="http://schemas.openxmlformats.org/officeDocument/2006/relationships/hyperlink" Target="https://drive.google.com/open?id=1fO-sv0P1tTz8MroR5RRCaLIUe4bLjUM7" TargetMode="External"/><Relationship Id="rId5711" Type="http://schemas.openxmlformats.org/officeDocument/2006/relationships/hyperlink" Target="https://www.facebook.com/profile.php?id=100017039298394&amp;mibextid=LQQJ4d" TargetMode="External"/><Relationship Id="rId3262" Type="http://schemas.openxmlformats.org/officeDocument/2006/relationships/hyperlink" Target="https://www.facebook.com/profile.php?id=100037006024924&amp;mibextid=LQQJ4d" TargetMode="External"/><Relationship Id="rId4313" Type="http://schemas.openxmlformats.org/officeDocument/2006/relationships/hyperlink" Target="https://www.facebook.com/chippi.151?mibextid=ZbWKwL" TargetMode="External"/><Relationship Id="rId7883" Type="http://schemas.openxmlformats.org/officeDocument/2006/relationships/hyperlink" Target="https://www.facebook.com/profile.php?id=100044647252027&amp;mibextid=LQQJ4d" TargetMode="External"/><Relationship Id="rId183" Type="http://schemas.openxmlformats.org/officeDocument/2006/relationships/hyperlink" Target="https://drive.google.com/open?id=1BbWgEu5S0XefqqXQvmptEFU2iVMPkCqH" TargetMode="External"/><Relationship Id="rId6485" Type="http://schemas.openxmlformats.org/officeDocument/2006/relationships/hyperlink" Target="https://drive.google.com/open?id=1qN2d_ugVptBJZJT4zqEl_w8lKygWARhL" TargetMode="External"/><Relationship Id="rId7536" Type="http://schemas.openxmlformats.org/officeDocument/2006/relationships/hyperlink" Target="https://www.facebook.com/nhattan.hoang.1848?mibextid=ZbWKwL" TargetMode="External"/><Relationship Id="rId8934" Type="http://schemas.openxmlformats.org/officeDocument/2006/relationships/hyperlink" Target="https://www.facebook.com/share/15gQa4HQYZ/" TargetMode="External"/><Relationship Id="rId5087" Type="http://schemas.openxmlformats.org/officeDocument/2006/relationships/hyperlink" Target="https://www.facebook.com/huynchhang" TargetMode="External"/><Relationship Id="rId6138" Type="http://schemas.openxmlformats.org/officeDocument/2006/relationships/hyperlink" Target="https://www.facebook.com/profile.php?id=100070830191767&amp;mibextid=LQQJ4d" TargetMode="External"/><Relationship Id="rId1697" Type="http://schemas.openxmlformats.org/officeDocument/2006/relationships/hyperlink" Target="https://www.facebook.com/profile.php?id=100047202201379" TargetMode="External"/><Relationship Id="rId2748" Type="http://schemas.openxmlformats.org/officeDocument/2006/relationships/hyperlink" Target="https://drive.google.com/open?id=1P0Il6VM0VoWx7aHzmOAkrhOUvfSEgla4" TargetMode="External"/><Relationship Id="rId4170" Type="http://schemas.openxmlformats.org/officeDocument/2006/relationships/hyperlink" Target="https://www.facebook.com/profile.php?id=100050065650756&amp;mibextid=LQQJ4d" TargetMode="External"/><Relationship Id="rId5221" Type="http://schemas.openxmlformats.org/officeDocument/2006/relationships/hyperlink" Target="https://drive.google.com/open?id=1nYdkp6oXu3tEwf4BW7owpQJXt1wDPf-q" TargetMode="External"/><Relationship Id="rId8791" Type="http://schemas.openxmlformats.org/officeDocument/2006/relationships/hyperlink" Target="https://www.facebook.com/tao.sugia.56?mibextid=JRoKGi" TargetMode="External"/><Relationship Id="rId56" Type="http://schemas.openxmlformats.org/officeDocument/2006/relationships/hyperlink" Target="https://www.facebook.com/tranleanhthu246" TargetMode="External"/><Relationship Id="rId1831" Type="http://schemas.openxmlformats.org/officeDocument/2006/relationships/hyperlink" Target="https://www.facebook.com/profile.php?id=100049667761353&amp;mibextid=ZbWKwL" TargetMode="External"/><Relationship Id="rId7393" Type="http://schemas.openxmlformats.org/officeDocument/2006/relationships/hyperlink" Target="https://www.facebook.com/quynhtrang.tran.50746444?mibextid=LQQJ4d" TargetMode="External"/><Relationship Id="rId8444" Type="http://schemas.openxmlformats.org/officeDocument/2006/relationships/hyperlink" Target="https://drive.google.com/open?id=1Sa-nuq9YiA5PCd5jgOaZU0wLuzuEIsEm" TargetMode="External"/><Relationship Id="rId7046" Type="http://schemas.openxmlformats.org/officeDocument/2006/relationships/hyperlink" Target="https://www.facebook.com/profile.php?id=100026365031497&amp;mibextid=LQQJ4d" TargetMode="External"/><Relationship Id="rId577" Type="http://schemas.openxmlformats.org/officeDocument/2006/relationships/hyperlink" Target="https://drive.google.com/open?id=1KJ7V1Acy9jr89O1c6HCq0ss3YWCF0NSA" TargetMode="External"/><Relationship Id="rId2258" Type="http://schemas.openxmlformats.org/officeDocument/2006/relationships/hyperlink" Target="https://www.facebook.com/4ygdyijfee7i22ufdeugde6ibvsr7jZZZZZZZZZZZZZZZZZZZZZZZZZZZZZZZZZZZZZZZZZZZZZZZZZZZZZZZZZZZZZZZZZZZZZZZZZZZZZZZZZZZZZZZZZZZZZZZZZZZZZZZZZZZZZZZZZZZZZZZZZZZZZZZZZZZZZZZZZZZZZZZZZZZZZZZZZZZZZZZZZZZZZZZZZ" TargetMode="External"/><Relationship Id="rId3656" Type="http://schemas.openxmlformats.org/officeDocument/2006/relationships/hyperlink" Target="https://www.facebook.com/hoangthien.01556" TargetMode="External"/><Relationship Id="rId4707" Type="http://schemas.openxmlformats.org/officeDocument/2006/relationships/hyperlink" Target="https://www.facebook.com/pham.linhlinh.1441" TargetMode="External"/><Relationship Id="rId3309" Type="http://schemas.openxmlformats.org/officeDocument/2006/relationships/hyperlink" Target="https://www.facebook.com/tuongan.tieu.7" TargetMode="External"/><Relationship Id="rId6879" Type="http://schemas.openxmlformats.org/officeDocument/2006/relationships/hyperlink" Target="https://www.facebook.com/anhnguyet.bui.543908?mibextid=LQQJ4d" TargetMode="External"/><Relationship Id="rId9352" Type="http://schemas.openxmlformats.org/officeDocument/2006/relationships/hyperlink" Target="https://www.facebook.com/share/19pnTcH9f9/" TargetMode="External"/><Relationship Id="rId711" Type="http://schemas.openxmlformats.org/officeDocument/2006/relationships/hyperlink" Target="https://www.facebook.com/profile.php?id=61550369713683" TargetMode="External"/><Relationship Id="rId1341" Type="http://schemas.openxmlformats.org/officeDocument/2006/relationships/hyperlink" Target="https://drive.google.com/open?id=1QVP2ouxnPDpXuqC4ytrPLIvUnvKSs53o" TargetMode="External"/><Relationship Id="rId5962" Type="http://schemas.openxmlformats.org/officeDocument/2006/relationships/hyperlink" Target="https://www.facebook.com/profile.php?id=100070897725521&amp;mibextid=ZbWKwL" TargetMode="External"/><Relationship Id="rId9005" Type="http://schemas.openxmlformats.org/officeDocument/2006/relationships/hyperlink" Target="https://www.facebook.com/share/19m1hnjcAN/?mibextid=LQQJ4d" TargetMode="External"/><Relationship Id="rId4564" Type="http://schemas.openxmlformats.org/officeDocument/2006/relationships/hyperlink" Target="https://drive.google.com/open?id=1VxvoTqcr41zlIbKkWrQFZHsYTP9qhEjC" TargetMode="External"/><Relationship Id="rId5615" Type="http://schemas.openxmlformats.org/officeDocument/2006/relationships/hyperlink" Target="https://www.facebook.com/nongmahonghanh?mibextid=LQQJ4d" TargetMode="External"/><Relationship Id="rId3166" Type="http://schemas.openxmlformats.org/officeDocument/2006/relationships/hyperlink" Target="https://www.facebook.com/profile.php?id=100041470830739&amp;mibextid=ZbWKwL" TargetMode="External"/><Relationship Id="rId4217" Type="http://schemas.openxmlformats.org/officeDocument/2006/relationships/hyperlink" Target="https://www.facebook.com/profile.php?id=100043512092162&amp;mib" TargetMode="External"/><Relationship Id="rId6389" Type="http://schemas.openxmlformats.org/officeDocument/2006/relationships/hyperlink" Target="https://www.facebook.com/profile.php?id=100025791998137&amp;mibextid=ZbWKwL" TargetMode="External"/><Relationship Id="rId7787" Type="http://schemas.openxmlformats.org/officeDocument/2006/relationships/hyperlink" Target="https://www.facebook.com/jayhong911?mibextid=ZbWKwL" TargetMode="External"/><Relationship Id="rId8838" Type="http://schemas.openxmlformats.org/officeDocument/2006/relationships/hyperlink" Target="https://www.facebook.com/tran.tuan.392293" TargetMode="External"/><Relationship Id="rId2999" Type="http://schemas.openxmlformats.org/officeDocument/2006/relationships/hyperlink" Target="https://www.facebook.com/le.dao.30" TargetMode="External"/><Relationship Id="rId3300" Type="http://schemas.openxmlformats.org/officeDocument/2006/relationships/hyperlink" Target="https://www.facebook.com/profile.php?id=100031890683917" TargetMode="External"/><Relationship Id="rId6870" Type="http://schemas.openxmlformats.org/officeDocument/2006/relationships/hyperlink" Target="https://www.facebook.com/hoang.thi.nga.6306?mibextid=LQQJ4d" TargetMode="External"/><Relationship Id="rId7921" Type="http://schemas.openxmlformats.org/officeDocument/2006/relationships/hyperlink" Target="https://www.facebook.com/profile.php?id=61565446552977&amp;mibextid=LQQJ4d" TargetMode="External"/><Relationship Id="rId221" Type="http://schemas.openxmlformats.org/officeDocument/2006/relationships/hyperlink" Target="https://www.facebook.com/jun.giung.3?mibextid=LQQJ4d" TargetMode="External"/><Relationship Id="rId5472" Type="http://schemas.openxmlformats.org/officeDocument/2006/relationships/hyperlink" Target="https://www.facebook.com/t1end4t0305" TargetMode="External"/><Relationship Id="rId6523" Type="http://schemas.openxmlformats.org/officeDocument/2006/relationships/hyperlink" Target="https://www.facebook.com/profile.php?id=100037629497206&amp;mibextid=LQQJ4d" TargetMode="External"/><Relationship Id="rId4074" Type="http://schemas.openxmlformats.org/officeDocument/2006/relationships/hyperlink" Target="https://drive.google.com/open?id=1g83VKrXhI1TTY6W0vFGhUMvDjZxS9bVO" TargetMode="External"/><Relationship Id="rId5125" Type="http://schemas.openxmlformats.org/officeDocument/2006/relationships/hyperlink" Target="https://drive.google.com/open?id=1AAOqFMr5KjRcqp71FfrOqLHHlAg7ckCd" TargetMode="External"/><Relationship Id="rId8695" Type="http://schemas.openxmlformats.org/officeDocument/2006/relationships/hyperlink" Target="https://www.facebook.com/nabiboo5116" TargetMode="External"/><Relationship Id="rId7297" Type="http://schemas.openxmlformats.org/officeDocument/2006/relationships/hyperlink" Target="https://drive.google.com/open?id=1OqpW0rXbQuCLpp1Ct78e7TJBf7ev7Q2Q" TargetMode="External"/><Relationship Id="rId8348" Type="http://schemas.openxmlformats.org/officeDocument/2006/relationships/hyperlink" Target="https://drive.google.com/open?id=1K8tf2C1WPjl9QHSr7rNSrD1DLnOzp-vp" TargetMode="External"/><Relationship Id="rId1735" Type="http://schemas.openxmlformats.org/officeDocument/2006/relationships/hyperlink" Target="https://www.facebook.com/t.yuhthunz?mibextid=LQQJ4d" TargetMode="External"/><Relationship Id="rId4958" Type="http://schemas.openxmlformats.org/officeDocument/2006/relationships/hyperlink" Target="https://drive.google.com/open?id=1PxroNQhVp68YvvUCoFV6ZFNoSgcr2UFa" TargetMode="External"/><Relationship Id="rId6380" Type="http://schemas.openxmlformats.org/officeDocument/2006/relationships/hyperlink" Target="https://www.facebook.com/thienhoang.pham.1232" TargetMode="External"/><Relationship Id="rId7431" Type="http://schemas.openxmlformats.org/officeDocument/2006/relationships/hyperlink" Target="https://www.facebook.com/dung0104000000000000" TargetMode="External"/><Relationship Id="rId2990" Type="http://schemas.openxmlformats.org/officeDocument/2006/relationships/hyperlink" Target="https://drive.google.com/open?id=1ubkvk7gDBIy5Pof5fYEbreTB7eXjn7hj" TargetMode="External"/><Relationship Id="rId6033" Type="http://schemas.openxmlformats.org/officeDocument/2006/relationships/hyperlink" Target="https://www.facebook.com/profile.php?id=100013178014642&amp;mibextid=LQQJ4d" TargetMode="External"/><Relationship Id="rId962" Type="http://schemas.openxmlformats.org/officeDocument/2006/relationships/hyperlink" Target="https://drive.google.com/open?id=1CKGNd0dXu60xsLWBYMxOIPi00XP-_ll0" TargetMode="External"/><Relationship Id="rId1592" Type="http://schemas.openxmlformats.org/officeDocument/2006/relationships/hyperlink" Target="https://www.facebook.com/profile.php?id=100024345584658&amp;mibextid=LQQJ4d" TargetMode="External"/><Relationship Id="rId2643" Type="http://schemas.openxmlformats.org/officeDocument/2006/relationships/hyperlink" Target="https://www.facebook.com/giaa.uyenn?mibextid=LQQJ4d" TargetMode="External"/><Relationship Id="rId9256" Type="http://schemas.openxmlformats.org/officeDocument/2006/relationships/hyperlink" Target="https://drive.google.com/open?id=1tWYfWNX4ZVlnT6bkGKa5EXO7TfFDKqYi" TargetMode="External"/><Relationship Id="rId615" Type="http://schemas.openxmlformats.org/officeDocument/2006/relationships/hyperlink" Target="https://www.facebook.com/profile.php?id=100050588161587" TargetMode="External"/><Relationship Id="rId1245" Type="http://schemas.openxmlformats.org/officeDocument/2006/relationships/hyperlink" Target="https://drive.google.com/open?id=137Ah3OYxYh3cf_txXTv-wAgKqLkOsuer" TargetMode="External"/><Relationship Id="rId4468" Type="http://schemas.openxmlformats.org/officeDocument/2006/relationships/hyperlink" Target="https://www.facebook.com/profile.php?id=61555581805079&amp;mibextid=ZbWKwL" TargetMode="External"/><Relationship Id="rId5866" Type="http://schemas.openxmlformats.org/officeDocument/2006/relationships/hyperlink" Target="https://drive.google.com/open?id=1s6VvujnpxqaQMyx5VtSYwmWNWNkYMKGs" TargetMode="External"/><Relationship Id="rId6917" Type="http://schemas.openxmlformats.org/officeDocument/2006/relationships/hyperlink" Target="https://www.facebook.com/monsiuer.Lentuna?mibextid=LQQJ4d" TargetMode="External"/><Relationship Id="rId5519" Type="http://schemas.openxmlformats.org/officeDocument/2006/relationships/hyperlink" Target="https://www.facebook.com/thuylinhtt4?mibextid=LQQJ4d" TargetMode="External"/><Relationship Id="rId3551" Type="http://schemas.openxmlformats.org/officeDocument/2006/relationships/hyperlink" Target="https://www.facebook.com/profile.php?id=100015138136258" TargetMode="External"/><Relationship Id="rId4602" Type="http://schemas.openxmlformats.org/officeDocument/2006/relationships/hyperlink" Target="https://www.facebook.com/WhyRU.0" TargetMode="External"/><Relationship Id="rId472" Type="http://schemas.openxmlformats.org/officeDocument/2006/relationships/hyperlink" Target="https://www.facebook.com/profile.php?id=100026503724027" TargetMode="External"/><Relationship Id="rId2153" Type="http://schemas.openxmlformats.org/officeDocument/2006/relationships/hyperlink" Target="https://www.facebook.com/profile.php?id=100035926786530" TargetMode="External"/><Relationship Id="rId3204" Type="http://schemas.openxmlformats.org/officeDocument/2006/relationships/hyperlink" Target="https://www.facebook.com/tuz.mie48?mibextid=LQQJ4d" TargetMode="External"/><Relationship Id="rId6774" Type="http://schemas.openxmlformats.org/officeDocument/2006/relationships/hyperlink" Target="https://www.facebook.com/baongoc.phung.7545" TargetMode="External"/><Relationship Id="rId7825" Type="http://schemas.openxmlformats.org/officeDocument/2006/relationships/hyperlink" Target="https://www.facebook.com/dpn1408" TargetMode="External"/><Relationship Id="rId125" Type="http://schemas.openxmlformats.org/officeDocument/2006/relationships/hyperlink" Target="https://drive.google.com/open?id=10nzS14NsW2g3v1Vo3ooanN33pheCt9gC" TargetMode="External"/><Relationship Id="rId5376" Type="http://schemas.openxmlformats.org/officeDocument/2006/relationships/hyperlink" Target="https://www.facebook.com/yen.nguyen.2507?mibextid=ZbWKwL" TargetMode="External"/><Relationship Id="rId6427" Type="http://schemas.openxmlformats.org/officeDocument/2006/relationships/hyperlink" Target="https://www.facebook.com/leduy.manh.35513?mibextid=ZbWKwL" TargetMode="External"/><Relationship Id="rId5029" Type="http://schemas.openxmlformats.org/officeDocument/2006/relationships/hyperlink" Target="https://www.facebook.com/profile.php?id=100053891419767&amp;mibextid=LQQJ4d" TargetMode="External"/><Relationship Id="rId8599" Type="http://schemas.openxmlformats.org/officeDocument/2006/relationships/hyperlink" Target="https://www.facebook.com/hoanganhkocony?mibextid=LQQJ4d" TargetMode="External"/><Relationship Id="rId1986" Type="http://schemas.openxmlformats.org/officeDocument/2006/relationships/hyperlink" Target="https://www.facebook.com/haiyen.1192005" TargetMode="External"/><Relationship Id="rId1639" Type="http://schemas.openxmlformats.org/officeDocument/2006/relationships/hyperlink" Target="https://www.facebook.com/vuvanphong.P?mibextid=LQQJ4d" TargetMode="External"/><Relationship Id="rId3061" Type="http://schemas.openxmlformats.org/officeDocument/2006/relationships/hyperlink" Target="https://www.facebook.com/profile.php?id=100052899632503" TargetMode="External"/><Relationship Id="rId5510" Type="http://schemas.openxmlformats.org/officeDocument/2006/relationships/hyperlink" Target="https://www.facebook.com/lna9825?mibextid=LQQJ4d" TargetMode="External"/><Relationship Id="rId4112" Type="http://schemas.openxmlformats.org/officeDocument/2006/relationships/hyperlink" Target="https://www.facebook.com/hieu.maicong.902" TargetMode="External"/><Relationship Id="rId7682" Type="http://schemas.openxmlformats.org/officeDocument/2006/relationships/hyperlink" Target="https://www.facebook.com/profile.php?id=100067840624649" TargetMode="External"/><Relationship Id="rId8733" Type="http://schemas.openxmlformats.org/officeDocument/2006/relationships/hyperlink" Target="https://www.facebook.com/tra.ledinh.58?mibextid=ZbWKwL" TargetMode="External"/><Relationship Id="rId6284" Type="http://schemas.openxmlformats.org/officeDocument/2006/relationships/hyperlink" Target="https://drive.google.com/open?id=1J7UCFthkKce6IBCeLJInUMlVG9ldoqAz" TargetMode="External"/><Relationship Id="rId7335" Type="http://schemas.openxmlformats.org/officeDocument/2006/relationships/hyperlink" Target="https://www.facebook.com/trmihnkhue?mibextid=LQQJ4d" TargetMode="External"/><Relationship Id="rId2894" Type="http://schemas.openxmlformats.org/officeDocument/2006/relationships/hyperlink" Target="https://www.facebook.com/cairo.ha.12" TargetMode="External"/><Relationship Id="rId866" Type="http://schemas.openxmlformats.org/officeDocument/2006/relationships/hyperlink" Target="https://drive.google.com/open?id=1hP76JvREh5HEjkiKgbMxsU9jkO0lK9GY" TargetMode="External"/><Relationship Id="rId1496" Type="http://schemas.openxmlformats.org/officeDocument/2006/relationships/hyperlink" Target="https://www.facebook.com/profile.php?id=100030345557304" TargetMode="External"/><Relationship Id="rId2547" Type="http://schemas.openxmlformats.org/officeDocument/2006/relationships/hyperlink" Target="https://www.facebook.com/profile.php?id=100025479514703&amp;locale=vi_VN" TargetMode="External"/><Relationship Id="rId3945" Type="http://schemas.openxmlformats.org/officeDocument/2006/relationships/hyperlink" Target="https://www.facebook.com/profile.php?id=100043015757469&amp;mibextid=LQQJ4d" TargetMode="External"/><Relationship Id="rId519" Type="http://schemas.openxmlformats.org/officeDocument/2006/relationships/hyperlink" Target="https://www.facebook.com/profile.php?id=100094374782615&amp;mibextid=LQQJ4d" TargetMode="External"/><Relationship Id="rId1149" Type="http://schemas.openxmlformats.org/officeDocument/2006/relationships/hyperlink" Target="https://www.facebook.com/profile.php?id=100012985931022&amp;mibextid=LQQJ4d" TargetMode="External"/><Relationship Id="rId5020" Type="http://schemas.openxmlformats.org/officeDocument/2006/relationships/hyperlink" Target="https://www.facebook.com/profile.php?id=100048268313887&amp;mibextid=LQQJ4d" TargetMode="External"/><Relationship Id="rId7192" Type="http://schemas.openxmlformats.org/officeDocument/2006/relationships/hyperlink" Target="https://www.facebook.com/1702dat" TargetMode="External"/><Relationship Id="rId8590" Type="http://schemas.openxmlformats.org/officeDocument/2006/relationships/hyperlink" Target="https://www.facebook.com/mai.lyna.5203?mibextid=hu50Ix" TargetMode="External"/><Relationship Id="rId1630" Type="http://schemas.openxmlformats.org/officeDocument/2006/relationships/hyperlink" Target="https://www.facebook.com/huyenhuyen.251003?mibextid=LQQJ4d" TargetMode="External"/><Relationship Id="rId8243" Type="http://schemas.openxmlformats.org/officeDocument/2006/relationships/hyperlink" Target="https://www.facebook.com/profile.php?id=100054369004487&amp;mibextid=wwXIfr&amp;rdid=LeLmjedm8rWpBzWe&amp;share_url=https%3A%2F%2Fwww.facebook.com%2Fshare%2F1KqHnj6mG7%2F%3Fmibextid%3DwwXIfr" TargetMode="External"/><Relationship Id="rId4853" Type="http://schemas.openxmlformats.org/officeDocument/2006/relationships/hyperlink" Target="https://www.facebook.com/vantuan.lai.54" TargetMode="External"/><Relationship Id="rId5904" Type="http://schemas.openxmlformats.org/officeDocument/2006/relationships/hyperlink" Target="https://www.facebook.com/profile.php?id=100029188029456&amp;mibextid=LQQJ4d" TargetMode="External"/><Relationship Id="rId3455" Type="http://schemas.openxmlformats.org/officeDocument/2006/relationships/hyperlink" Target="https://drive.google.com/open?id=1dNT3HIGVI03LXdzjqRg7WJ9Pq2SkQAES" TargetMode="External"/><Relationship Id="rId4506" Type="http://schemas.openxmlformats.org/officeDocument/2006/relationships/hyperlink" Target="https://www.facebook.com/profile.php?id=100044647252027&amp;mibextid=LQQJ4d" TargetMode="External"/><Relationship Id="rId376" Type="http://schemas.openxmlformats.org/officeDocument/2006/relationships/hyperlink" Target="https://drive.google.com/open?id=1jtTlHjB-Ap7QE1PLfPpxUYC-akChHhpq" TargetMode="External"/><Relationship Id="rId2057" Type="http://schemas.openxmlformats.org/officeDocument/2006/relationships/hyperlink" Target="https://www.facebook.com/yennhi.phanhoang.12" TargetMode="External"/><Relationship Id="rId3108" Type="http://schemas.openxmlformats.org/officeDocument/2006/relationships/hyperlink" Target="https://www.facebook.com/profile.php?id=100065390782148" TargetMode="External"/><Relationship Id="rId6678" Type="http://schemas.openxmlformats.org/officeDocument/2006/relationships/hyperlink" Target="https://www.facebook.com/anhduong.trannguyen.39" TargetMode="External"/><Relationship Id="rId7729" Type="http://schemas.openxmlformats.org/officeDocument/2006/relationships/hyperlink" Target="https://www.facebook.com/profile.php?id=100063710853967" TargetMode="External"/><Relationship Id="rId9151" Type="http://schemas.openxmlformats.org/officeDocument/2006/relationships/hyperlink" Target="https://www.facebook.com/people/Nguy%E1%BB%85n-Thu-H%C3%A0/pfbid02gTjq3H4vZgPUtCPWeCF7ExSUX917ECARKeLVMMPLYNVa8dtLp6a2Hk7Xkp3oq64Pl/" TargetMode="External"/><Relationship Id="rId1140" Type="http://schemas.openxmlformats.org/officeDocument/2006/relationships/hyperlink" Target="https://www.facebook.com/profile.php?id=100091950354514&amp;mibextid=LQQJ4d" TargetMode="External"/><Relationship Id="rId510" Type="http://schemas.openxmlformats.org/officeDocument/2006/relationships/hyperlink" Target="https://drive.google.com/open?id=1EY3_ene2QhKkdlc4R2-43LUYb_wmBhHm" TargetMode="External"/><Relationship Id="rId5761" Type="http://schemas.openxmlformats.org/officeDocument/2006/relationships/hyperlink" Target="https://www.facebook.com/profile.php?id=100055173304754&amp;mibextid=LQQJ4d" TargetMode="External"/><Relationship Id="rId6812" Type="http://schemas.openxmlformats.org/officeDocument/2006/relationships/hyperlink" Target="https://www.facebook.com/profile.php?id=100017482186717&amp;mibextid=LQQJ4d" TargetMode="External"/><Relationship Id="rId4363" Type="http://schemas.openxmlformats.org/officeDocument/2006/relationships/hyperlink" Target="https://web.facebook.com/profile.php?id=100041128033638" TargetMode="External"/><Relationship Id="rId5414" Type="http://schemas.openxmlformats.org/officeDocument/2006/relationships/hyperlink" Target="https://www.facebook.com/profile.php?id=100069689043114&amp;mibextid=LQQJ4d" TargetMode="External"/><Relationship Id="rId8984" Type="http://schemas.openxmlformats.org/officeDocument/2006/relationships/hyperlink" Target="https://www.facebook.com/huonggiangnoan" TargetMode="External"/><Relationship Id="rId4016" Type="http://schemas.openxmlformats.org/officeDocument/2006/relationships/hyperlink" Target="https://www.facebook.com/profile.php?id=100087730050715&amp;mibextid=LQQJ4d" TargetMode="External"/><Relationship Id="rId7586" Type="http://schemas.openxmlformats.org/officeDocument/2006/relationships/hyperlink" Target="https://www.facebook.com/profile.php?id=100035821178427&amp;mibextid=LQQJ4d" TargetMode="External"/><Relationship Id="rId8637" Type="http://schemas.openxmlformats.org/officeDocument/2006/relationships/hyperlink" Target="https://www.facebook.com/tanjirou.kamado.35728?mibextid=ZbWKwL" TargetMode="External"/><Relationship Id="rId6188" Type="http://schemas.openxmlformats.org/officeDocument/2006/relationships/hyperlink" Target="https://www.facebook.com/profile.php?id=100025994993279&amp;mibextid=LQQJ4d" TargetMode="External"/><Relationship Id="rId7239" Type="http://schemas.openxmlformats.org/officeDocument/2006/relationships/hyperlink" Target="https://drive.google.com/open?id=1YFB0sGqTQWfzIy3KOJ3d0hk4FI0S9Jns" TargetMode="External"/><Relationship Id="rId2798" Type="http://schemas.openxmlformats.org/officeDocument/2006/relationships/hyperlink" Target="https://www.facebook.com/profile.php?id=100090338867100&amp;mibextid=LQQJ4d" TargetMode="External"/><Relationship Id="rId3849" Type="http://schemas.openxmlformats.org/officeDocument/2006/relationships/hyperlink" Target="https://www.facebook.com/hoang8531?mibextid=LQQJ4d" TargetMode="External"/><Relationship Id="rId5271" Type="http://schemas.openxmlformats.org/officeDocument/2006/relationships/hyperlink" Target="https://drive.google.com/open?id=1_RCPzn4LctMKubt_NKE1k18r8ttR1nuA" TargetMode="External"/><Relationship Id="rId7720" Type="http://schemas.openxmlformats.org/officeDocument/2006/relationships/hyperlink" Target="https://www.facebook.com/profile.php?id=100063554557165" TargetMode="External"/><Relationship Id="rId6322" Type="http://schemas.openxmlformats.org/officeDocument/2006/relationships/hyperlink" Target="https://www.facebook.com/profile.php?id=100055555522440" TargetMode="External"/><Relationship Id="rId1881" Type="http://schemas.openxmlformats.org/officeDocument/2006/relationships/hyperlink" Target="https://drive.google.com/open?id=1ic7joawBvEps-lbOTRRPM-djOQWuKyzp" TargetMode="External"/><Relationship Id="rId2932" Type="http://schemas.openxmlformats.org/officeDocument/2006/relationships/hyperlink" Target="https://www.facebook.com/profile.php?id=100024367782945" TargetMode="External"/><Relationship Id="rId8494" Type="http://schemas.openxmlformats.org/officeDocument/2006/relationships/hyperlink" Target="https://www.facebook.com/nguyen.thicham.1088?mibextid=PtKPJ9" TargetMode="External"/><Relationship Id="rId9545" Type="http://schemas.openxmlformats.org/officeDocument/2006/relationships/hyperlink" Target="https://www.facebook.com/share/1Ba2ZZvAid/?mibextid=LQQJ4d" TargetMode="External"/><Relationship Id="rId904" Type="http://schemas.openxmlformats.org/officeDocument/2006/relationships/hyperlink" Target="https://www.facebook.com/trongg.viett.7?mibextid=nW3QTL" TargetMode="External"/><Relationship Id="rId1534" Type="http://schemas.openxmlformats.org/officeDocument/2006/relationships/hyperlink" Target="https://www.facebook.com/mythi.phuongthao.1" TargetMode="External"/><Relationship Id="rId7096" Type="http://schemas.openxmlformats.org/officeDocument/2006/relationships/hyperlink" Target="https://www.facebook.com/profile.php?id=100033472095151" TargetMode="External"/><Relationship Id="rId8147" Type="http://schemas.openxmlformats.org/officeDocument/2006/relationships/hyperlink" Target="https://www.facebook.com/phianhthu2006?mibextid=LQQJ4d" TargetMode="External"/><Relationship Id="rId4757" Type="http://schemas.openxmlformats.org/officeDocument/2006/relationships/hyperlink" Target="https://www.facebook.com/profile.php?id=100047600375011&amp;mibextid=LQQJ4d" TargetMode="External"/><Relationship Id="rId3359" Type="http://schemas.openxmlformats.org/officeDocument/2006/relationships/hyperlink" Target="https://www.facebook.com/profile.php?id=100075766762403&amp;mibextid=ibOpuV" TargetMode="External"/><Relationship Id="rId5808" Type="http://schemas.openxmlformats.org/officeDocument/2006/relationships/hyperlink" Target="https://www.facebook.com/dole.ducanh.52" TargetMode="External"/><Relationship Id="rId7230" Type="http://schemas.openxmlformats.org/officeDocument/2006/relationships/hyperlink" Target="https://drive.google.com/open?id=1cOFgK-iDtlKvO_OPgGYZJEEcy5doC6eO" TargetMode="External"/><Relationship Id="rId3840" Type="http://schemas.openxmlformats.org/officeDocument/2006/relationships/hyperlink" Target="https://www.facebook.com/profile.php?id=100022723895220" TargetMode="External"/><Relationship Id="rId9055" Type="http://schemas.openxmlformats.org/officeDocument/2006/relationships/hyperlink" Target="https://drive.google.com/open?id=1nEn7Pp1OZGJQUu0YBA6WftPEbIbzjeqA" TargetMode="External"/><Relationship Id="rId761" Type="http://schemas.openxmlformats.org/officeDocument/2006/relationships/hyperlink" Target="https://www.facebook.com/genoussss?mibextid=LQQJ4d" TargetMode="External"/><Relationship Id="rId1391" Type="http://schemas.openxmlformats.org/officeDocument/2006/relationships/hyperlink" Target="https://www.facebook.com/vutduythanh25?mibextid=LQQJ4d" TargetMode="External"/><Relationship Id="rId2442" Type="http://schemas.openxmlformats.org/officeDocument/2006/relationships/hyperlink" Target="https://www.facebook.com/profile.php?id=100047964951574" TargetMode="External"/><Relationship Id="rId414" Type="http://schemas.openxmlformats.org/officeDocument/2006/relationships/hyperlink" Target="https://www.facebook.com/profile.php?id=100041532832959&amp;mibextid=ZbWKwL" TargetMode="External"/><Relationship Id="rId1044" Type="http://schemas.openxmlformats.org/officeDocument/2006/relationships/hyperlink" Target="https://drive.google.com/open?id=1Wz8aKpxKHy2HVEduowRQ0uc0N6UDWHx1" TargetMode="External"/><Relationship Id="rId5665" Type="http://schemas.openxmlformats.org/officeDocument/2006/relationships/hyperlink" Target="https://www.facebook.com/profile.php?id=61553525664066&amp;mibextid=LQQJ4d" TargetMode="External"/><Relationship Id="rId6716" Type="http://schemas.openxmlformats.org/officeDocument/2006/relationships/hyperlink" Target="https://www.facebook.com/piggi.pie.1605?mibextid=ZbWKwL" TargetMode="External"/><Relationship Id="rId4267" Type="http://schemas.openxmlformats.org/officeDocument/2006/relationships/hyperlink" Target="https://www.facebook.com/profile.php?id=100060470957137" TargetMode="External"/><Relationship Id="rId5318" Type="http://schemas.openxmlformats.org/officeDocument/2006/relationships/hyperlink" Target="https://www.facebook.com/profile.php?id=100052427267459" TargetMode="External"/><Relationship Id="rId8888" Type="http://schemas.openxmlformats.org/officeDocument/2006/relationships/hyperlink" Target="https://www.facebook.com/profile.php?id=100036441483655" TargetMode="External"/><Relationship Id="rId1928" Type="http://schemas.openxmlformats.org/officeDocument/2006/relationships/hyperlink" Target="https://www.facebook.com/nguyena2mk?mibextid=LQQJ4d" TargetMode="External"/><Relationship Id="rId3350" Type="http://schemas.openxmlformats.org/officeDocument/2006/relationships/hyperlink" Target="https://www.facebook.com/giang.phamthitruong.7" TargetMode="External"/><Relationship Id="rId271" Type="http://schemas.openxmlformats.org/officeDocument/2006/relationships/hyperlink" Target="https://drive.google.com/open?id=1BkAER3vONcTXiZboii1C6PglP_Mvs4yk" TargetMode="External"/><Relationship Id="rId3003" Type="http://schemas.openxmlformats.org/officeDocument/2006/relationships/hyperlink" Target="https://www.facebook.com/hngocxinhdep?mibextid=LQQJ4d" TargetMode="External"/><Relationship Id="rId4401" Type="http://schemas.openxmlformats.org/officeDocument/2006/relationships/hyperlink" Target="https://www.facebook.com/kophaidinhkien" TargetMode="External"/><Relationship Id="rId7971" Type="http://schemas.openxmlformats.org/officeDocument/2006/relationships/hyperlink" Target="https://www.facebook.com/profile.php?id=100033370592311&amp;mibextid=LQQJ4d" TargetMode="External"/><Relationship Id="rId6573" Type="http://schemas.openxmlformats.org/officeDocument/2006/relationships/hyperlink" Target="https://www.facebook.com/profile.php?id=100031652410059" TargetMode="External"/><Relationship Id="rId7624" Type="http://schemas.openxmlformats.org/officeDocument/2006/relationships/hyperlink" Target="https://www.facebook.com/profile.php?id=100048386502777&amp;mibextid=LQQJ4d" TargetMode="External"/><Relationship Id="rId5175" Type="http://schemas.openxmlformats.org/officeDocument/2006/relationships/hyperlink" Target="https://drive.google.com/open?id=1GNfYT1dk5xnhE8OTSWyNVSseEexJkeyF" TargetMode="External"/><Relationship Id="rId6226" Type="http://schemas.openxmlformats.org/officeDocument/2006/relationships/hyperlink" Target="https://www.facebook.com/namson.ngo.52?mibextid=LQQJ4d" TargetMode="External"/><Relationship Id="rId1785" Type="http://schemas.openxmlformats.org/officeDocument/2006/relationships/hyperlink" Target="https://www.facebook.com/profile.php?id=100009069173989&amp;mibextid=ZbWKwL" TargetMode="External"/><Relationship Id="rId2836" Type="http://schemas.openxmlformats.org/officeDocument/2006/relationships/hyperlink" Target="https://drive.google.com/open?id=1GhF2k5opLPKe5DrF3uC8Z03_RI_VRuKC" TargetMode="External"/><Relationship Id="rId8398" Type="http://schemas.openxmlformats.org/officeDocument/2006/relationships/hyperlink" Target="https://www.facebook.com/profile.php?id=100024447983410" TargetMode="External"/><Relationship Id="rId9449" Type="http://schemas.openxmlformats.org/officeDocument/2006/relationships/hyperlink" Target="https://drive.google.com/open?id=1b9qvHgFhUyF33wHv6LvCRds8c3VLDiFm" TargetMode="External"/><Relationship Id="rId808" Type="http://schemas.openxmlformats.org/officeDocument/2006/relationships/hyperlink" Target="https://drive.google.com/open?id=1z0zEp0XsdS17nrfJH6t8MhvmjOAAvWV1" TargetMode="External"/><Relationship Id="rId1438" Type="http://schemas.openxmlformats.org/officeDocument/2006/relationships/hyperlink" Target="https://www.facebook.com/profile.php?id=100034927894171" TargetMode="External"/><Relationship Id="rId7481" Type="http://schemas.openxmlformats.org/officeDocument/2006/relationships/hyperlink" Target="https://www.facebook.com/profile.php?id=100053472249308" TargetMode="External"/><Relationship Id="rId6083" Type="http://schemas.openxmlformats.org/officeDocument/2006/relationships/hyperlink" Target="https://www.facebook.com/profile.php?id=100060411934732&amp;mibextid=LQQJ4d" TargetMode="External"/><Relationship Id="rId7134" Type="http://schemas.openxmlformats.org/officeDocument/2006/relationships/hyperlink" Target="https://www.facebook.com/giaophan1223?mibextid=JRoKGi&amp;rdid=hXFKtaSLb1uqWcG7&amp;share_url=https%3A%2F%2Fwww.facebook.com%2Fshare%2FbS9oFsfQxTnUrtS9%2F%3Fmibextid%3DJRoKGi" TargetMode="External"/><Relationship Id="rId8532" Type="http://schemas.openxmlformats.org/officeDocument/2006/relationships/hyperlink" Target="https://www.facebook.com/profile.php?id=100009241086429&amp;mibextid=LQQJ4d" TargetMode="External"/><Relationship Id="rId2693" Type="http://schemas.openxmlformats.org/officeDocument/2006/relationships/hyperlink" Target="https://www.facebook.com/trang.ng.39501789?mibextid=eHce3h" TargetMode="External"/><Relationship Id="rId3744" Type="http://schemas.openxmlformats.org/officeDocument/2006/relationships/hyperlink" Target="https://www.facebook.com/profile.php?id=100040114420336" TargetMode="External"/><Relationship Id="rId665" Type="http://schemas.openxmlformats.org/officeDocument/2006/relationships/hyperlink" Target="https://www.facebook.com/nguyenhongngoc01012003?mibextid=LQQJ4d" TargetMode="External"/><Relationship Id="rId1295" Type="http://schemas.openxmlformats.org/officeDocument/2006/relationships/hyperlink" Target="https://www.facebook.com/profile.php?id=100010554601685" TargetMode="External"/><Relationship Id="rId2346" Type="http://schemas.openxmlformats.org/officeDocument/2006/relationships/hyperlink" Target="https://www.facebook.com/100012356231271/" TargetMode="External"/><Relationship Id="rId6967" Type="http://schemas.openxmlformats.org/officeDocument/2006/relationships/hyperlink" Target="https://www.facebook.com/htu.chanie?mibextid=LQQJ4d" TargetMode="External"/><Relationship Id="rId318" Type="http://schemas.openxmlformats.org/officeDocument/2006/relationships/hyperlink" Target="https://www.facebook.com/profile.php?id=100063893850944&amp;mibextid=LQQJ4d" TargetMode="External"/><Relationship Id="rId5569" Type="http://schemas.openxmlformats.org/officeDocument/2006/relationships/hyperlink" Target="https://www.facebook.com/profile.php?id=100033652637820&amp;mibextid=ZbWKwL" TargetMode="External"/><Relationship Id="rId9440" Type="http://schemas.openxmlformats.org/officeDocument/2006/relationships/hyperlink" Target="https://www.facebook.com/profile.php?id=100070686476338" TargetMode="External"/><Relationship Id="rId8042" Type="http://schemas.openxmlformats.org/officeDocument/2006/relationships/hyperlink" Target="https://www.facebook.com/thuuhienn25" TargetMode="External"/><Relationship Id="rId4652" Type="http://schemas.openxmlformats.org/officeDocument/2006/relationships/hyperlink" Target="https://drive.google.com/open?id=18dg_9idQnkv00ZIVy5itLwbG7RyjtBSs" TargetMode="External"/><Relationship Id="rId5703" Type="http://schemas.openxmlformats.org/officeDocument/2006/relationships/hyperlink" Target="https://drive.google.com/open?id=1gWsjlBGLhbdVQMoR-MLM_Ay8PujEohFb" TargetMode="External"/><Relationship Id="rId175" Type="http://schemas.openxmlformats.org/officeDocument/2006/relationships/hyperlink" Target="https://drive.google.com/open?id=1JVfc0Tjy3FC-PhffLGVH0dTmVExTh1bA" TargetMode="External"/><Relationship Id="rId3254" Type="http://schemas.openxmlformats.org/officeDocument/2006/relationships/hyperlink" Target="https://www.facebook.com/profile.php?id=100055021920921&amp;mibextid=LQQJ4d" TargetMode="External"/><Relationship Id="rId4305" Type="http://schemas.openxmlformats.org/officeDocument/2006/relationships/hyperlink" Target="https://www.facebook.com/myoanh.vu.58?mibextid=LQQJ4d" TargetMode="External"/><Relationship Id="rId7875" Type="http://schemas.openxmlformats.org/officeDocument/2006/relationships/hyperlink" Target="https://www.facebook.com/profile.php?id=100051866059703&amp;mibextid=ZbWKwL" TargetMode="External"/><Relationship Id="rId8926" Type="http://schemas.openxmlformats.org/officeDocument/2006/relationships/hyperlink" Target="https://www.facebook.com/thao.phuong.125721" TargetMode="External"/><Relationship Id="rId6477" Type="http://schemas.openxmlformats.org/officeDocument/2006/relationships/hyperlink" Target="https://www.facebook.com/suns.bes.161" TargetMode="External"/><Relationship Id="rId7528" Type="http://schemas.openxmlformats.org/officeDocument/2006/relationships/hyperlink" Target="https://drive.google.com/open?id=1O-_v3mVSrF_pOU2XVwICWkkXNIodpe5E" TargetMode="External"/><Relationship Id="rId5079" Type="http://schemas.openxmlformats.org/officeDocument/2006/relationships/hyperlink" Target="https://www.facebook.com/phamthai246?mibextid=LQQJ4d" TargetMode="External"/><Relationship Id="rId1689" Type="http://schemas.openxmlformats.org/officeDocument/2006/relationships/hyperlink" Target="https://www.facebook.com/profile.php?id=100078478845459&amp;mibextid=LQQJ4d" TargetMode="External"/><Relationship Id="rId5560" Type="http://schemas.openxmlformats.org/officeDocument/2006/relationships/hyperlink" Target="https://www.facebook.com/profile.php?id=100079516868281&amp;mibextid=LQQJ4d" TargetMode="External"/><Relationship Id="rId4162" Type="http://schemas.openxmlformats.org/officeDocument/2006/relationships/hyperlink" Target="https://www.facebook.com/vuthi.maiphuong.2606?mibextid=LQQJ4d" TargetMode="External"/><Relationship Id="rId5213" Type="http://schemas.openxmlformats.org/officeDocument/2006/relationships/hyperlink" Target="https://drive.google.com/open?id=1Vn_icJwYeIZQ76dcZmy_eG1FjD7XBgpd" TargetMode="External"/><Relationship Id="rId6611" Type="http://schemas.openxmlformats.org/officeDocument/2006/relationships/hyperlink" Target="https://www.facebook.com/nthn200306?mibextid=wwXIfr&amp;rdid=zr39HddKlQTOeiJV&amp;share_url=https%3A%2F%2Fwww.facebook.com%2Fshare%2F1ZJUV9NWui%2F%3Fmibextid%3DwwXIfr" TargetMode="External"/><Relationship Id="rId8783" Type="http://schemas.openxmlformats.org/officeDocument/2006/relationships/hyperlink" Target="https://www.facebook.com/profile.php?id=100041499977920&amp;mibextid=LQQJ4d" TargetMode="External"/><Relationship Id="rId48" Type="http://schemas.openxmlformats.org/officeDocument/2006/relationships/hyperlink" Target="https://drive.google.com/open?id=1IlwDh1AQLg0uC6ItnnVGoSPMpaXF9n2w" TargetMode="External"/><Relationship Id="rId1823" Type="http://schemas.openxmlformats.org/officeDocument/2006/relationships/hyperlink" Target="https://www.facebook.com/profile.php?id=100027434617702&amp;mibextid=ZbWKwL" TargetMode="External"/><Relationship Id="rId7385" Type="http://schemas.openxmlformats.org/officeDocument/2006/relationships/hyperlink" Target="https://www.facebook.com/profile.php?id=100035254335354" TargetMode="External"/><Relationship Id="rId8436" Type="http://schemas.openxmlformats.org/officeDocument/2006/relationships/hyperlink" Target="https://www.facebook.com/profile.php?id=100064278098622&amp;mibextid=LQQJ4d" TargetMode="External"/><Relationship Id="rId3995" Type="http://schemas.openxmlformats.org/officeDocument/2006/relationships/hyperlink" Target="https://drive.google.com/open?id=1W6R941J0Plo9YC3v4lvNeKb-brO33wWr" TargetMode="External"/><Relationship Id="rId7038" Type="http://schemas.openxmlformats.org/officeDocument/2006/relationships/hyperlink" Target="https://www.facebook.com/t.tt1426hj?mibextid=ZbWKwL" TargetMode="External"/><Relationship Id="rId2597" Type="http://schemas.openxmlformats.org/officeDocument/2006/relationships/hyperlink" Target="https://drive.google.com/open?id=1DlGQGn9CumfD3JnrpwLbfCe3VV17_PWJ" TargetMode="External"/><Relationship Id="rId3648" Type="http://schemas.openxmlformats.org/officeDocument/2006/relationships/hyperlink" Target="https://drive.google.com/open?id=1oQpj2pM3v_Pu3DoIN_vWMlpz2O4ucDCP" TargetMode="External"/><Relationship Id="rId569" Type="http://schemas.openxmlformats.org/officeDocument/2006/relationships/hyperlink" Target="https://drive.google.com/open?id=1V0GTtsQqBJeH2ONRUOIkIwxiHNyNITST" TargetMode="External"/><Relationship Id="rId1199" Type="http://schemas.openxmlformats.org/officeDocument/2006/relationships/hyperlink" Target="https://www.facebook.com/profile.php?id=100017660326396&amp;mibextid=LQQJ4d" TargetMode="External"/><Relationship Id="rId5070" Type="http://schemas.openxmlformats.org/officeDocument/2006/relationships/hyperlink" Target="https://www.facebook.com/profile.php?id=100041144304274" TargetMode="External"/><Relationship Id="rId6121" Type="http://schemas.openxmlformats.org/officeDocument/2006/relationships/hyperlink" Target="https://www.facebook.com/profile.php?id=61551888129363&amp;mibextid=LQQJ4d" TargetMode="External"/><Relationship Id="rId8293" Type="http://schemas.openxmlformats.org/officeDocument/2006/relationships/hyperlink" Target="https://drive.google.com/open?id=1hSAxHSGhu0et18U3DXKL8CSSI9hFMvWf" TargetMode="External"/><Relationship Id="rId9344" Type="http://schemas.openxmlformats.org/officeDocument/2006/relationships/hyperlink" Target="https://drive.google.com/open?id=1Abjzd-xJcE_VAM7TV98QgaFFaAf0_w1h" TargetMode="External"/><Relationship Id="rId1680" Type="http://schemas.openxmlformats.org/officeDocument/2006/relationships/hyperlink" Target="https://www.facebook.com/comai.co.31" TargetMode="External"/><Relationship Id="rId2731" Type="http://schemas.openxmlformats.org/officeDocument/2006/relationships/hyperlink" Target="https://drive.google.com/open?id=1s_iokdGu9aDDeGH1FRwMILY02BB3OcUG" TargetMode="External"/><Relationship Id="rId703" Type="http://schemas.openxmlformats.org/officeDocument/2006/relationships/hyperlink" Target="https://drive.google.com/open?id=18y7UzaLHQIUcnto6G2TRiVj28f8VXANm" TargetMode="External"/><Relationship Id="rId1333" Type="http://schemas.openxmlformats.org/officeDocument/2006/relationships/hyperlink" Target="https://www.facebook.com/mai.co.9406?mibextid=LQQJ4d" TargetMode="External"/><Relationship Id="rId5954" Type="http://schemas.openxmlformats.org/officeDocument/2006/relationships/hyperlink" Target="https://www.facebook.com/profile.php?id=100078337239347&amp;mibextid=LQQJ4d" TargetMode="External"/><Relationship Id="rId4556" Type="http://schemas.openxmlformats.org/officeDocument/2006/relationships/hyperlink" Target="https://drive.google.com/open?id=1BKfOKYy9JQzakWXaITNEONQlIPftaOcq" TargetMode="External"/><Relationship Id="rId5607" Type="http://schemas.openxmlformats.org/officeDocument/2006/relationships/hyperlink" Target="https://drive.google.com/open?id=1K8tf2C1WPjl9QHSr7rNSrD1DLnOzp-vp" TargetMode="External"/><Relationship Id="rId3158" Type="http://schemas.openxmlformats.org/officeDocument/2006/relationships/hyperlink" Target="https://drive.google.com/open?id=1hXXIUHdcxrgoRmTSmPOXl7gwiQFsUFFF" TargetMode="External"/><Relationship Id="rId4209" Type="http://schemas.openxmlformats.org/officeDocument/2006/relationships/hyperlink" Target="https://drive.google.com/open?id=1FNDZRxa172sRY0zc6h4JoSvpq1bQkvxX" TargetMode="External"/><Relationship Id="rId7779" Type="http://schemas.openxmlformats.org/officeDocument/2006/relationships/hyperlink" Target="https://www.facebook.com/chhuwng?locale=vi_VN" TargetMode="External"/><Relationship Id="rId560" Type="http://schemas.openxmlformats.org/officeDocument/2006/relationships/hyperlink" Target="https://www.facebook.com/profile.php?id=100079284081038" TargetMode="External"/><Relationship Id="rId1190" Type="http://schemas.openxmlformats.org/officeDocument/2006/relationships/hyperlink" Target="https://drive.google.com/open?id=1lbeT4AErDtDXUSaMtVkxSFnX39HJMuIG" TargetMode="External"/><Relationship Id="rId2241" Type="http://schemas.openxmlformats.org/officeDocument/2006/relationships/hyperlink" Target="https://drive.google.com/open?id=1mfkkSHhvmkoRhiaJPSrU7lUq5S94stVY" TargetMode="External"/><Relationship Id="rId213" Type="http://schemas.openxmlformats.org/officeDocument/2006/relationships/hyperlink" Target="https://drive.google.com/open?id=1cHr0fbJMzfge2fN8wC_cdxf0MnXJZ_ej" TargetMode="External"/><Relationship Id="rId6862" Type="http://schemas.openxmlformats.org/officeDocument/2006/relationships/hyperlink" Target="https://www.facebook.com/trinh.quan.9843499?mibextid=LQQJ4d" TargetMode="External"/><Relationship Id="rId7913" Type="http://schemas.openxmlformats.org/officeDocument/2006/relationships/hyperlink" Target="https://drive.google.com/open?id=1gyHUypdQD_ju0RPSPHv5d1cRnd8KZqXf" TargetMode="External"/><Relationship Id="rId4066" Type="http://schemas.openxmlformats.org/officeDocument/2006/relationships/hyperlink" Target="https://drive.google.com/open?id=1IR1Ohtb9ec0hvF7CrgYB5EFKeHkK0HFF" TargetMode="External"/><Relationship Id="rId5464" Type="http://schemas.openxmlformats.org/officeDocument/2006/relationships/hyperlink" Target="https://www.facebook.com/profile.php?id=100025568838096" TargetMode="External"/><Relationship Id="rId6515" Type="http://schemas.openxmlformats.org/officeDocument/2006/relationships/hyperlink" Target="https://www.facebook.com/thanthuong.bo.2k6?mibextid=ZbWKwL" TargetMode="External"/><Relationship Id="rId5117" Type="http://schemas.openxmlformats.org/officeDocument/2006/relationships/hyperlink" Target="https://www.facebook.com/profile.php?id=100070105029264&amp;mibextid=ZbWKwL" TargetMode="External"/><Relationship Id="rId8687" Type="http://schemas.openxmlformats.org/officeDocument/2006/relationships/hyperlink" Target="https://drive.google.com/open?id=137IrIS7Y3N40selh-PfC8e6WM9p8J8Hu" TargetMode="External"/><Relationship Id="rId1727" Type="http://schemas.openxmlformats.org/officeDocument/2006/relationships/hyperlink" Target="https://drive.google.com/open?id=1BGmHAqw8YM4-e0g89ajof9T7yvWm9myY" TargetMode="External"/><Relationship Id="rId7289" Type="http://schemas.openxmlformats.org/officeDocument/2006/relationships/hyperlink" Target="https://www.facebook.com/nguyen.giabao.52643821?mibextid=LQQJ4d" TargetMode="External"/><Relationship Id="rId3899" Type="http://schemas.openxmlformats.org/officeDocument/2006/relationships/hyperlink" Target="https://www.facebook.com/share/4FZfNAxa4bokTj6H/?mibextid=qi2Omg" TargetMode="External"/><Relationship Id="rId4200" Type="http://schemas.openxmlformats.org/officeDocument/2006/relationships/hyperlink" Target="https://www.facebook.com/people/Nguy%E1%BB%85n-Anh-%C4%90%E1%BB%A9c/pfbid0kAV3x5a11YSXWtgqeCCh3hZ9NteMm5Cz5EbFGSfLJocoeydMT5gdF838bcgXvHJYl/" TargetMode="External"/><Relationship Id="rId7770" Type="http://schemas.openxmlformats.org/officeDocument/2006/relationships/hyperlink" Target="https://drive.google.com/open?id=173iempHlY-Oz31TyjD05Ey2YEtvYy46g" TargetMode="External"/><Relationship Id="rId6372" Type="http://schemas.openxmlformats.org/officeDocument/2006/relationships/hyperlink" Target="https://www.facebook.com/profile.php?id=100025328475546" TargetMode="External"/><Relationship Id="rId7423" Type="http://schemas.openxmlformats.org/officeDocument/2006/relationships/hyperlink" Target="https://www.facebook.com/truongthanhha986?mibextid=LQQJ4d" TargetMode="External"/><Relationship Id="rId8821" Type="http://schemas.openxmlformats.org/officeDocument/2006/relationships/hyperlink" Target="https://www.facebook.com/profile.php?id=100017660326396&amp;mibextid=LQQJ4d" TargetMode="External"/><Relationship Id="rId6025" Type="http://schemas.openxmlformats.org/officeDocument/2006/relationships/hyperlink" Target="https://www.facebook.com/yeuanh0505" TargetMode="External"/><Relationship Id="rId2982" Type="http://schemas.openxmlformats.org/officeDocument/2006/relationships/hyperlink" Target="https://www.facebook.com/100050375943846/" TargetMode="External"/><Relationship Id="rId8197" Type="http://schemas.openxmlformats.org/officeDocument/2006/relationships/hyperlink" Target="https://drive.google.com/open?id=1UXs7hlSHJQJDPzi-w1uXipyzJdjHJS-8" TargetMode="External"/><Relationship Id="rId954" Type="http://schemas.openxmlformats.org/officeDocument/2006/relationships/hyperlink" Target="https://drive.google.com/open?id=1u9X1NnlGXCrztMHRMr9CVgBNTdvLKfqL" TargetMode="External"/><Relationship Id="rId1584" Type="http://schemas.openxmlformats.org/officeDocument/2006/relationships/hyperlink" Target="https://www.facebook.com/profile.php?id=100063633332946&amp;mibextid=ZbWKwL" TargetMode="External"/><Relationship Id="rId2635" Type="http://schemas.openxmlformats.org/officeDocument/2006/relationships/hyperlink" Target="https://www.facebook.com/danghoa.no1?mibextid=LQQJ4d" TargetMode="External"/><Relationship Id="rId9248" Type="http://schemas.openxmlformats.org/officeDocument/2006/relationships/hyperlink" Target="https://www.facebook.com/profile.php?id=100015172781227&amp;mibextid=LQQJ4d" TargetMode="External"/><Relationship Id="rId607" Type="http://schemas.openxmlformats.org/officeDocument/2006/relationships/hyperlink" Target="https://www.facebook.com/profile.php?id=100022494742241" TargetMode="External"/><Relationship Id="rId1237" Type="http://schemas.openxmlformats.org/officeDocument/2006/relationships/hyperlink" Target="https://www.facebook.com/gas.chy.5?mibextid=LQQJ4d" TargetMode="External"/><Relationship Id="rId5858" Type="http://schemas.openxmlformats.org/officeDocument/2006/relationships/hyperlink" Target="https://www.facebook.com/61551501339638/" TargetMode="External"/><Relationship Id="rId6909" Type="http://schemas.openxmlformats.org/officeDocument/2006/relationships/hyperlink" Target="https://www.facebook.com/githe.cailol.5?mibextid=LQQJ4d&amp;rdid=NEhEkUEKKolhHYhT&amp;share_url=https%3A%2F%2Fwww.facebook.com%2Fshare%2FpZeifQpdmhKz7uvX%2F%3Fmibextid%3DLQQJ4d" TargetMode="External"/><Relationship Id="rId7280" Type="http://schemas.openxmlformats.org/officeDocument/2006/relationships/hyperlink" Target="https://www.facebook.com/phmquang4?mibextid=LQQJ4d" TargetMode="External"/><Relationship Id="rId8331" Type="http://schemas.openxmlformats.org/officeDocument/2006/relationships/hyperlink" Target="https://www.facebook.com/people/Nam-Kh%C3%A1nh/pfbid0PgEUvT79ZLdBYTvTNuQ8jExHveLYDaq8qDLSJ6rsDoWbyUfZeEX8CFnMyGou9pe2l/" TargetMode="External"/><Relationship Id="rId2492" Type="http://schemas.openxmlformats.org/officeDocument/2006/relationships/hyperlink" Target="https://www.facebook.com/profile.php?id=100016663984094" TargetMode="External"/><Relationship Id="rId3890" Type="http://schemas.openxmlformats.org/officeDocument/2006/relationships/hyperlink" Target="https://www.facebook.com/profile.php?id=100043338184769&amp;mibextid=LQQJ4d" TargetMode="External"/><Relationship Id="rId4941" Type="http://schemas.openxmlformats.org/officeDocument/2006/relationships/hyperlink" Target="https://www.facebook.com/profile.php?id=100068967093681&amp;rdid=0POMhtA1o6PbzYq8&amp;share_url=https%3A%2F%2Fwww.facebook.com%2Fshare%2FRFMwhwP3MgKE8iAk%2F" TargetMode="External"/><Relationship Id="rId464" Type="http://schemas.openxmlformats.org/officeDocument/2006/relationships/hyperlink" Target="https://www.facebook.com/profile.php?id=100077531748562" TargetMode="External"/><Relationship Id="rId1094" Type="http://schemas.openxmlformats.org/officeDocument/2006/relationships/hyperlink" Target="https://www.facebook.com/quang.buiduy.3344?mibextid=LQQJ4d" TargetMode="External"/><Relationship Id="rId2145" Type="http://schemas.openxmlformats.org/officeDocument/2006/relationships/hyperlink" Target="https://drive.google.com/open?id=1Hi71hc0T7Dtv7zXTxjd8X_q3QdsjPW04" TargetMode="External"/><Relationship Id="rId3543" Type="http://schemas.openxmlformats.org/officeDocument/2006/relationships/hyperlink" Target="https://www.facebook.com/profile.php?id=100038469549957" TargetMode="External"/><Relationship Id="rId117" Type="http://schemas.openxmlformats.org/officeDocument/2006/relationships/hyperlink" Target="https://drive.google.com/open?id=1L1GhcWR_WtbsBGUiHSVMGb_mOVSuEnuV" TargetMode="External"/><Relationship Id="rId6766" Type="http://schemas.openxmlformats.org/officeDocument/2006/relationships/hyperlink" Target="https://www.facebook.com/buithuyhienltpt?mibextid=ZbWKwL" TargetMode="External"/><Relationship Id="rId7817" Type="http://schemas.openxmlformats.org/officeDocument/2006/relationships/hyperlink" Target="https://www.facebook.com/people/%C4%90%E1%BA%B7ng-H%E1%BB%AFu-S%C6%A1n/pfbid0t6MX2K9ViDB7SmjxKf7uUNoN51kzzMTLJxkACqCMoQg3Ze4WMQ189Md7LtbbgfLRl/" TargetMode="External"/><Relationship Id="rId5368" Type="http://schemas.openxmlformats.org/officeDocument/2006/relationships/hyperlink" Target="https://www.facebook.com/profile.php?id=100048240561673&amp;mibextid=Z" TargetMode="External"/><Relationship Id="rId6419" Type="http://schemas.openxmlformats.org/officeDocument/2006/relationships/hyperlink" Target="https://www.facebook.com/millionnguyenn" TargetMode="External"/><Relationship Id="rId1978" Type="http://schemas.openxmlformats.org/officeDocument/2006/relationships/hyperlink" Target="https://www.facebook.com/danghoa.no1?mibextid=LQQJ4d" TargetMode="External"/><Relationship Id="rId4451" Type="http://schemas.openxmlformats.org/officeDocument/2006/relationships/hyperlink" Target="https://www.facebook.com/loc.vuquoc.54?mibextid=LQQJ4d" TargetMode="External"/><Relationship Id="rId5502" Type="http://schemas.openxmlformats.org/officeDocument/2006/relationships/hyperlink" Target="https://www.facebook.com/profile.php?id=100061145917880&amp;mibextid=ZbWKwL" TargetMode="External"/><Relationship Id="rId6900" Type="http://schemas.openxmlformats.org/officeDocument/2006/relationships/hyperlink" Target="https://www.facebook.com/profile.php?id=100024646614349&amp;mibextid=LQQJ4d" TargetMode="External"/><Relationship Id="rId3053" Type="http://schemas.openxmlformats.org/officeDocument/2006/relationships/hyperlink" Target="https://www.facebook.com/nam.khuc.7792" TargetMode="External"/><Relationship Id="rId4104" Type="http://schemas.openxmlformats.org/officeDocument/2006/relationships/hyperlink" Target="https://www.facebook.com/profile.php?id=100061160496559&amp;mibextid=LQQJ4d" TargetMode="External"/><Relationship Id="rId6276" Type="http://schemas.openxmlformats.org/officeDocument/2006/relationships/hyperlink" Target="https://www.facebook.com/quiht.rangg2006?mibextid=LQQJ4d" TargetMode="External"/><Relationship Id="rId7674" Type="http://schemas.openxmlformats.org/officeDocument/2006/relationships/hyperlink" Target="https://www.facebook.com/thhong102?mibextid=LQQJ4d" TargetMode="External"/><Relationship Id="rId8725" Type="http://schemas.openxmlformats.org/officeDocument/2006/relationships/hyperlink" Target="https://drive.google.com/open?id=1XkkKVdJNBl8mV8xwKqDohifPn6n62Ytb" TargetMode="External"/><Relationship Id="rId7327" Type="http://schemas.openxmlformats.org/officeDocument/2006/relationships/hyperlink" Target="https://drive.google.com/open?id=1PdaulM2rd7j-LvzZ0tK6ycrC6I1n6FhX" TargetMode="External"/><Relationship Id="rId2886" Type="http://schemas.openxmlformats.org/officeDocument/2006/relationships/hyperlink" Target="https://www.facebook.com/profile.php?id=100056958707502&amp;mibextid=LQQJ4d" TargetMode="External"/><Relationship Id="rId3937" Type="http://schemas.openxmlformats.org/officeDocument/2006/relationships/hyperlink" Target="https://www.facebook.com/nhtt2766?mibextid=LQQJ4d" TargetMode="External"/><Relationship Id="rId9499" Type="http://schemas.openxmlformats.org/officeDocument/2006/relationships/hyperlink" Target="https://www.facebook.com/vu.quynh.5030927" TargetMode="External"/><Relationship Id="rId858" Type="http://schemas.openxmlformats.org/officeDocument/2006/relationships/hyperlink" Target="https://www.facebook.com/profile.php?id=100081728318155" TargetMode="External"/><Relationship Id="rId1488" Type="http://schemas.openxmlformats.org/officeDocument/2006/relationships/hyperlink" Target="https://www.facebook.com/ngaos.nhos.359" TargetMode="External"/><Relationship Id="rId2539" Type="http://schemas.openxmlformats.org/officeDocument/2006/relationships/hyperlink" Target="https://drive.google.com/open?id=1uR5zPyHsoHhhR77u7jTkrBP4dyvnoYmm" TargetMode="External"/><Relationship Id="rId6410" Type="http://schemas.openxmlformats.org/officeDocument/2006/relationships/hyperlink" Target="https://drive.google.com/open?id=1-rmK3XKvZunRW75ducArEFuHO7U6LISd" TargetMode="External"/><Relationship Id="rId5012" Type="http://schemas.openxmlformats.org/officeDocument/2006/relationships/hyperlink" Target="https://www.facebook.com/profile.php?id=100072467122412&amp;mibextid=ZbWKwL" TargetMode="External"/><Relationship Id="rId8582" Type="http://schemas.openxmlformats.org/officeDocument/2006/relationships/hyperlink" Target="https://www.facebook.com/nhlg.29s?mibextid=LQQJ4d" TargetMode="External"/><Relationship Id="rId7184" Type="http://schemas.openxmlformats.org/officeDocument/2006/relationships/hyperlink" Target="https://www.facebook.com/profile.php?id=100024252188905" TargetMode="External"/><Relationship Id="rId8235" Type="http://schemas.openxmlformats.org/officeDocument/2006/relationships/hyperlink" Target="https://www.facebook.com/share/19pnTcH9f9/" TargetMode="External"/><Relationship Id="rId1622" Type="http://schemas.openxmlformats.org/officeDocument/2006/relationships/hyperlink" Target="https://drive.google.com/open?id=1DVuKWjtm4qc8jLpzEsgIgSod4_8wL7XW" TargetMode="External"/><Relationship Id="rId3794" Type="http://schemas.openxmlformats.org/officeDocument/2006/relationships/hyperlink" Target="https://www.facebook.com/profile.php?id=100033009053752" TargetMode="External"/><Relationship Id="rId4845" Type="http://schemas.openxmlformats.org/officeDocument/2006/relationships/hyperlink" Target="https://www.facebook.com/profile.php?id=61558656486528&amp;mibextid=LQQJ4d" TargetMode="External"/><Relationship Id="rId2396" Type="http://schemas.openxmlformats.org/officeDocument/2006/relationships/hyperlink" Target="https://www.facebook.com/profile.php?id=100081297048500" TargetMode="External"/><Relationship Id="rId3447" Type="http://schemas.openxmlformats.org/officeDocument/2006/relationships/hyperlink" Target="https://drive.google.com/open?id=1iRUFrXAgOBOxydIDDtPNIRY8HE6cd_Tj" TargetMode="External"/><Relationship Id="rId368" Type="http://schemas.openxmlformats.org/officeDocument/2006/relationships/hyperlink" Target="https://drive.google.com/open?id=1pHMjjuAXBmcgNmlrPCbF1R7qGdRHZx1c" TargetMode="External"/><Relationship Id="rId2049" Type="http://schemas.openxmlformats.org/officeDocument/2006/relationships/hyperlink" Target="https://www.facebook.com/profile.php?id=100037188972287&amp;mibextid=ZbWKwL" TargetMode="External"/><Relationship Id="rId9490" Type="http://schemas.openxmlformats.org/officeDocument/2006/relationships/hyperlink" Target="https://www.facebook.com/Leoses06" TargetMode="External"/><Relationship Id="rId2530" Type="http://schemas.openxmlformats.org/officeDocument/2006/relationships/hyperlink" Target="https://drive.google.com/open?id=12_ejDwyyy4fprlC277z1EFKesdAuTCDc" TargetMode="External"/><Relationship Id="rId8092" Type="http://schemas.openxmlformats.org/officeDocument/2006/relationships/hyperlink" Target="https://www.facebook.com/susu.nu.146" TargetMode="External"/><Relationship Id="rId9143" Type="http://schemas.openxmlformats.org/officeDocument/2006/relationships/hyperlink" Target="https://www.facebook.com/profile.php?id=100074863656983" TargetMode="External"/><Relationship Id="rId502" Type="http://schemas.openxmlformats.org/officeDocument/2006/relationships/hyperlink" Target="https://drive.google.com/open?id=1W3P1vkkfzgkZqPg0L1tAPE_wgDHuhsXh" TargetMode="External"/><Relationship Id="rId1132" Type="http://schemas.openxmlformats.org/officeDocument/2006/relationships/hyperlink" Target="https://www.facebook.com/profile.php?id=100055829710316&amp;mibextid=LQQJ4d" TargetMode="External"/><Relationship Id="rId4355" Type="http://schemas.openxmlformats.org/officeDocument/2006/relationships/hyperlink" Target="https://www.facebook.com/bphuongn.92465?mibextid=LQQJ4d" TargetMode="External"/><Relationship Id="rId5753" Type="http://schemas.openxmlformats.org/officeDocument/2006/relationships/hyperlink" Target="https://www.facebook.com/profile.php?id=100038639533657&amp;mibextid=LQQJ4d" TargetMode="External"/><Relationship Id="rId6804" Type="http://schemas.openxmlformats.org/officeDocument/2006/relationships/hyperlink" Target="https://www.facebook.com/profile.php?id=100023910827689&amp;mibextid=LQQJ4d" TargetMode="External"/><Relationship Id="rId4008" Type="http://schemas.openxmlformats.org/officeDocument/2006/relationships/hyperlink" Target="https://drive.google.com/open?id=1KMI5FVuujRAr9a6SHGf1WoGPshALKvem" TargetMode="External"/><Relationship Id="rId5406" Type="http://schemas.openxmlformats.org/officeDocument/2006/relationships/hyperlink" Target="https://www.facebook.com/profile.php?id=100027478186045&amp;mibextid=ZbWKwL" TargetMode="External"/><Relationship Id="rId8976" Type="http://schemas.openxmlformats.org/officeDocument/2006/relationships/hyperlink" Target="https://drive.google.com/open?id=1usKAn4j6W84k-vcVfuqavnJT-kS2-4wT" TargetMode="External"/><Relationship Id="rId7578" Type="http://schemas.openxmlformats.org/officeDocument/2006/relationships/hyperlink" Target="https://www.facebook.com/profile.php?id=100067051635196&amp;mibextid=LQQJ4d&amp;_rdc=2&amp;_rdr" TargetMode="External"/><Relationship Id="rId8629" Type="http://schemas.openxmlformats.org/officeDocument/2006/relationships/hyperlink" Target="https://www.facebook.com/profile.php?id=100051797326074&amp;mibextid=LQQJ4d" TargetMode="External"/><Relationship Id="rId2040" Type="http://schemas.openxmlformats.org/officeDocument/2006/relationships/hyperlink" Target="https://www.facebook.com/BuiHau.Official?mibextid=LQQJ4d" TargetMode="External"/><Relationship Id="rId6661" Type="http://schemas.openxmlformats.org/officeDocument/2006/relationships/hyperlink" Target="https://www.facebook.com/profile.php?id=100074008293389&amp;mibextid=ZbWKwL" TargetMode="External"/><Relationship Id="rId7712" Type="http://schemas.openxmlformats.org/officeDocument/2006/relationships/hyperlink" Target="https://www.facebook.com/coutinho.phillipes.3?mibextid=LQQJ4d&amp;rdid=esLGHdsb2ogug2Ne&amp;share_url=https%3A%2F%2Fwww.facebook.com%2Fshare%2Fp5QaqUmMyHyCMEa5%2F%3Fmibextid%3DLQQJ4d" TargetMode="External"/><Relationship Id="rId5263" Type="http://schemas.openxmlformats.org/officeDocument/2006/relationships/hyperlink" Target="https://drive.google.com/open?id=1XVl4IVhpbBEvzqVWCgkl71HYb1uedl66" TargetMode="External"/><Relationship Id="rId6314" Type="http://schemas.openxmlformats.org/officeDocument/2006/relationships/hyperlink" Target="https://www.facebook.com/giangg.ha.982" TargetMode="External"/><Relationship Id="rId8486" Type="http://schemas.openxmlformats.org/officeDocument/2006/relationships/hyperlink" Target="https://www.facebook.com/profile.php?id=100033505097108" TargetMode="External"/><Relationship Id="rId98" Type="http://schemas.openxmlformats.org/officeDocument/2006/relationships/hyperlink" Target="https://www.facebook.com/kieuvy2695" TargetMode="External"/><Relationship Id="rId1873" Type="http://schemas.openxmlformats.org/officeDocument/2006/relationships/hyperlink" Target="https://www.facebook.com/profile.php?id=100089268710130&amp;mibextid=kFxxJD" TargetMode="External"/><Relationship Id="rId2924" Type="http://schemas.openxmlformats.org/officeDocument/2006/relationships/hyperlink" Target="https://www.facebook.com/profile.php?id=100073546531560&amp;mibextid=ZbWKwL" TargetMode="External"/><Relationship Id="rId7088" Type="http://schemas.openxmlformats.org/officeDocument/2006/relationships/hyperlink" Target="https://www.facebook.com/100043813478034/" TargetMode="External"/><Relationship Id="rId8139" Type="http://schemas.openxmlformats.org/officeDocument/2006/relationships/hyperlink" Target="https://www.facebook.com/profile.php?id=100040637981440&amp;mibextid=ZbWKwL" TargetMode="External"/><Relationship Id="rId9537" Type="http://schemas.openxmlformats.org/officeDocument/2006/relationships/hyperlink" Target="https://www.facebook.com/share/haTty56TNXe4MLKE/?mibextid=wwXIfr" TargetMode="External"/><Relationship Id="rId1526" Type="http://schemas.openxmlformats.org/officeDocument/2006/relationships/hyperlink" Target="https://www.facebook.com/profile.php?id=100022290245494" TargetMode="External"/><Relationship Id="rId3698" Type="http://schemas.openxmlformats.org/officeDocument/2006/relationships/hyperlink" Target="https://www.facebook.com/tong.dung.547?mibextid=LQQJ4d" TargetMode="External"/><Relationship Id="rId4749" Type="http://schemas.openxmlformats.org/officeDocument/2006/relationships/hyperlink" Target="https://www.facebook.com/hoanglananh23022016" TargetMode="External"/><Relationship Id="rId8620" Type="http://schemas.openxmlformats.org/officeDocument/2006/relationships/hyperlink" Target="https://www.facebook.com/people/Le-Duc-Anh/pfbid02hdFnrAbUzaGfkx16j8dQe1zXNEyGuN8gvfwSpieHEH88QTuqfsTdiVT89CDwyLLVl/" TargetMode="External"/><Relationship Id="rId6171" Type="http://schemas.openxmlformats.org/officeDocument/2006/relationships/hyperlink" Target="https://www.facebook.com/profile.php?id=100065635864535&amp;mibextid=LQQJ4d" TargetMode="External"/><Relationship Id="rId7222" Type="http://schemas.openxmlformats.org/officeDocument/2006/relationships/hyperlink" Target="https://www.facebook.com/profile.php?id=61553422124803" TargetMode="External"/><Relationship Id="rId2781" Type="http://schemas.openxmlformats.org/officeDocument/2006/relationships/hyperlink" Target="https://www.facebook.com/profile.php?id=100028621913331" TargetMode="External"/><Relationship Id="rId9394" Type="http://schemas.openxmlformats.org/officeDocument/2006/relationships/hyperlink" Target="https://www.facebook.com/profile.php?id=100069842299124&amp;mibextid=LQQJ4d" TargetMode="External"/><Relationship Id="rId753" Type="http://schemas.openxmlformats.org/officeDocument/2006/relationships/hyperlink" Target="https://www.facebook.com/profile.php?id=100073792536605&amp;mibextid=LQQJ4d" TargetMode="External"/><Relationship Id="rId1383" Type="http://schemas.openxmlformats.org/officeDocument/2006/relationships/hyperlink" Target="https://drive.google.com/open?id=1anDkAF9PlH-03HXq1DZA0QsxREqf35zy" TargetMode="External"/><Relationship Id="rId2434" Type="http://schemas.openxmlformats.org/officeDocument/2006/relationships/hyperlink" Target="https://www.facebook.com/profile.php?id=100073650213923" TargetMode="External"/><Relationship Id="rId3832" Type="http://schemas.openxmlformats.org/officeDocument/2006/relationships/hyperlink" Target="https://www.facebook.com/profile.php?id=100051755737603" TargetMode="External"/><Relationship Id="rId9047" Type="http://schemas.openxmlformats.org/officeDocument/2006/relationships/hyperlink" Target="https://drive.google.com/open?id=1mtG0KaEreoJliaXYVQ70YzKJX-by5LaY" TargetMode="External"/><Relationship Id="rId406" Type="http://schemas.openxmlformats.org/officeDocument/2006/relationships/hyperlink" Target="https://drive.google.com/open?id=1Pf2Ixa-_w_P65gV51zvqaLTp8vYUQbcH" TargetMode="External"/><Relationship Id="rId1036" Type="http://schemas.openxmlformats.org/officeDocument/2006/relationships/hyperlink" Target="https://drive.google.com/open?id=1YxCXCOdk-L8B8osFMqpXCIzRKNmuxCpE" TargetMode="External"/><Relationship Id="rId5657" Type="http://schemas.openxmlformats.org/officeDocument/2006/relationships/hyperlink" Target="https://www.facebook.com/profile.php?id=100072542288600" TargetMode="External"/><Relationship Id="rId6708" Type="http://schemas.openxmlformats.org/officeDocument/2006/relationships/hyperlink" Target="https://drive.google.com/open?id=1gDIwqzd4RKOJwleRSSgHDEr87Z-QM6nZ" TargetMode="External"/><Relationship Id="rId4259" Type="http://schemas.openxmlformats.org/officeDocument/2006/relationships/hyperlink" Target="https://www.facebook.com/profile.php?id=100059167544127" TargetMode="External"/><Relationship Id="rId8130" Type="http://schemas.openxmlformats.org/officeDocument/2006/relationships/hyperlink" Target="https://www.facebook.com/share/15h9QPMYEQ/?mibextid=LQQJ4d" TargetMode="External"/><Relationship Id="rId4740" Type="http://schemas.openxmlformats.org/officeDocument/2006/relationships/hyperlink" Target="https://drive.google.com/open?id=1dp_qMBxxE4gEg9lYYQtP6Hur5GMGQqvh" TargetMode="External"/><Relationship Id="rId2291" Type="http://schemas.openxmlformats.org/officeDocument/2006/relationships/hyperlink" Target="https://www.facebook.com/100050086240609/" TargetMode="External"/><Relationship Id="rId3342" Type="http://schemas.openxmlformats.org/officeDocument/2006/relationships/hyperlink" Target="https://www.facebook.com/profile.php?id=100055962870577&amp;mibextid=LQQJ4d" TargetMode="External"/><Relationship Id="rId263" Type="http://schemas.openxmlformats.org/officeDocument/2006/relationships/hyperlink" Target="https://www.facebook.com/profile.php?id=100061915163064&amp;mibextid=ZbWKwL" TargetMode="External"/><Relationship Id="rId6565" Type="http://schemas.openxmlformats.org/officeDocument/2006/relationships/hyperlink" Target="https://www.facebook.com/tranthikimhue2110?mibextid=LQQJ4d" TargetMode="External"/><Relationship Id="rId7963" Type="http://schemas.openxmlformats.org/officeDocument/2006/relationships/hyperlink" Target="https://www.facebook.com/profile.php?id=100074026626767" TargetMode="External"/><Relationship Id="rId5167" Type="http://schemas.openxmlformats.org/officeDocument/2006/relationships/hyperlink" Target="https://www.facebook.com/profile.php?id=100041064667496&amp;mibextid=LQQJ4d" TargetMode="External"/><Relationship Id="rId6218" Type="http://schemas.openxmlformats.org/officeDocument/2006/relationships/hyperlink" Target="https://www.facebook.com/profile.php?id=100064964923983&amp;mibextid=ZbWKwL" TargetMode="External"/><Relationship Id="rId7616" Type="http://schemas.openxmlformats.org/officeDocument/2006/relationships/hyperlink" Target="https://www.facebook.com/nongly1606?mibextid=LQQJ4d" TargetMode="External"/><Relationship Id="rId1777" Type="http://schemas.openxmlformats.org/officeDocument/2006/relationships/hyperlink" Target="https://www.facebook.com/thuylinhtt4?mibextid=LQQJ4d" TargetMode="External"/><Relationship Id="rId2828" Type="http://schemas.openxmlformats.org/officeDocument/2006/relationships/hyperlink" Target="https://www.facebook.com/di.men.942" TargetMode="External"/><Relationship Id="rId4250" Type="http://schemas.openxmlformats.org/officeDocument/2006/relationships/hyperlink" Target="https://www.facebook.com/profile.php?id=100093135186160&amp;mibextid=LQQJ4d" TargetMode="External"/><Relationship Id="rId5301" Type="http://schemas.openxmlformats.org/officeDocument/2006/relationships/hyperlink" Target="https://www.facebook.com/baolinh.nguyenle.31" TargetMode="External"/><Relationship Id="rId8871" Type="http://schemas.openxmlformats.org/officeDocument/2006/relationships/hyperlink" Target="https://www.facebook.com/thien.lac.50364" TargetMode="External"/><Relationship Id="rId7473" Type="http://schemas.openxmlformats.org/officeDocument/2006/relationships/hyperlink" Target="https://www.facebook.com/nguyenlinh.edu.abc" TargetMode="External"/><Relationship Id="rId8524" Type="http://schemas.openxmlformats.org/officeDocument/2006/relationships/hyperlink" Target="https://www.facebook.com/xmathee?mibextid=LQQJ4d" TargetMode="External"/><Relationship Id="rId1911" Type="http://schemas.openxmlformats.org/officeDocument/2006/relationships/hyperlink" Target="https://www.facebook.com/nhunn95?mibextid=ZbWKwL" TargetMode="External"/><Relationship Id="rId6075" Type="http://schemas.openxmlformats.org/officeDocument/2006/relationships/hyperlink" Target="https://www.facebook.com/profile.php?id=100034825217811&amp;mibextid=LQQJ4d" TargetMode="External"/><Relationship Id="rId7126" Type="http://schemas.openxmlformats.org/officeDocument/2006/relationships/hyperlink" Target="https://drive.google.com/open?id=1UGL_vzeosVNpldzWcA7w6a3HuqQS89Rz" TargetMode="External"/><Relationship Id="rId9298" Type="http://schemas.openxmlformats.org/officeDocument/2006/relationships/hyperlink" Target="https://www.facebook.com/yen.nga.801303" TargetMode="External"/><Relationship Id="rId1287" Type="http://schemas.openxmlformats.org/officeDocument/2006/relationships/hyperlink" Target="https://drive.google.com/open?id=1jkCzdHg4Q1-8qb4v_KHSY-eKQ6Z-zPn8" TargetMode="External"/><Relationship Id="rId2685" Type="http://schemas.openxmlformats.org/officeDocument/2006/relationships/hyperlink" Target="https://www.facebook.com/profile.php?id=100031991585827&amp;mibextid=LQQJ4d" TargetMode="External"/><Relationship Id="rId3736" Type="http://schemas.openxmlformats.org/officeDocument/2006/relationships/hyperlink" Target="https://www.facebook.com/comai.co.31" TargetMode="External"/><Relationship Id="rId657" Type="http://schemas.openxmlformats.org/officeDocument/2006/relationships/hyperlink" Target="https://www.facebook.com/Nghia.viet1203" TargetMode="External"/><Relationship Id="rId2338" Type="http://schemas.openxmlformats.org/officeDocument/2006/relationships/hyperlink" Target="https://drive.google.com/open?id=1kr0lAab_tkL7XNyJ4qeJ_23fPQoCRHje" TargetMode="External"/><Relationship Id="rId6959" Type="http://schemas.openxmlformats.org/officeDocument/2006/relationships/hyperlink" Target="https://www.facebook.com/profile.php?id=100066860296995&amp;mibextid=LQQJ4d" TargetMode="External"/><Relationship Id="rId8381" Type="http://schemas.openxmlformats.org/officeDocument/2006/relationships/hyperlink" Target="https://www.facebook.com/profile.php?id=100058795752879" TargetMode="External"/><Relationship Id="rId9432" Type="http://schemas.openxmlformats.org/officeDocument/2006/relationships/hyperlink" Target="https://www.facebook.com/profile.php?id=100017482186717&amp;mibextid=LQQJ4d" TargetMode="External"/><Relationship Id="rId1421" Type="http://schemas.openxmlformats.org/officeDocument/2006/relationships/hyperlink" Target="https://www.facebook.com/profile.php?id=100042605533324&amp;mibextid=LQQJ4d" TargetMode="External"/><Relationship Id="rId4991" Type="http://schemas.openxmlformats.org/officeDocument/2006/relationships/hyperlink" Target="https://drive.google.com/open?id=1Jh6sc23584LB3GXV-gsJgsO6rPcGu3Bb" TargetMode="External"/><Relationship Id="rId8034" Type="http://schemas.openxmlformats.org/officeDocument/2006/relationships/hyperlink" Target="https://www.facebook.com/le.vanphong.12914216" TargetMode="External"/><Relationship Id="rId3593" Type="http://schemas.openxmlformats.org/officeDocument/2006/relationships/hyperlink" Target="https://www.facebook.com/profile.php?id=100011574829401" TargetMode="External"/><Relationship Id="rId4644" Type="http://schemas.openxmlformats.org/officeDocument/2006/relationships/hyperlink" Target="https://drive.google.com/open?id=1UUlxiaDhWSBtwqcjuNQAyeLC7E2CjYZ-" TargetMode="External"/><Relationship Id="rId2195" Type="http://schemas.openxmlformats.org/officeDocument/2006/relationships/hyperlink" Target="https://www.facebook.com/profile.php?id=100048034382576&amp;mibextid=LQQJ4d" TargetMode="External"/><Relationship Id="rId3246" Type="http://schemas.openxmlformats.org/officeDocument/2006/relationships/hyperlink" Target="https://www.facebook.com/profile.php?id=100029544200002&amp;mibextid=LQQJ4d" TargetMode="External"/><Relationship Id="rId167" Type="http://schemas.openxmlformats.org/officeDocument/2006/relationships/hyperlink" Target="https://drive.google.com/open?id=1_trW3WE2kxGKRR0aDr0xAWrw5RBi42VY" TargetMode="External"/><Relationship Id="rId7867" Type="http://schemas.openxmlformats.org/officeDocument/2006/relationships/hyperlink" Target="https://www.facebook.com/diem.duong.5280" TargetMode="External"/><Relationship Id="rId8918" Type="http://schemas.openxmlformats.org/officeDocument/2006/relationships/hyperlink" Target="https://www.facebook.com/profile.php?id=100088155785166" TargetMode="External"/><Relationship Id="rId6469" Type="http://schemas.openxmlformats.org/officeDocument/2006/relationships/hyperlink" Target="https://www.facebook.com/robbie.kien.26" TargetMode="External"/><Relationship Id="rId6950" Type="http://schemas.openxmlformats.org/officeDocument/2006/relationships/hyperlink" Target="https://www.facebook.com/vu.quangdung.12382" TargetMode="External"/><Relationship Id="rId301" Type="http://schemas.openxmlformats.org/officeDocument/2006/relationships/hyperlink" Target="https://drive.google.com/open?id=1hnL2FUfFl7cZxNQf6BWBJ74e1QXpcrFJ" TargetMode="External"/><Relationship Id="rId5552" Type="http://schemas.openxmlformats.org/officeDocument/2006/relationships/hyperlink" Target="https://drive.google.com/open?id=1w8hyh1WZhNVyfpkX0uaGAvKygb8Gb5fy" TargetMode="External"/><Relationship Id="rId6603" Type="http://schemas.openxmlformats.org/officeDocument/2006/relationships/hyperlink" Target="https://www.facebook.com/profile.php?id=100053270559845&amp;mibextid=LQQJ4d" TargetMode="External"/><Relationship Id="rId4154" Type="http://schemas.openxmlformats.org/officeDocument/2006/relationships/hyperlink" Target="https://www.facebook.com/vukhanhlinh226?mibextid=LQQJ4d" TargetMode="External"/><Relationship Id="rId5205" Type="http://schemas.openxmlformats.org/officeDocument/2006/relationships/hyperlink" Target="https://drive.google.com/open?id=1ad17eVqXaUg2nA4uNidYjNirSgf1BkMA" TargetMode="External"/><Relationship Id="rId8775" Type="http://schemas.openxmlformats.org/officeDocument/2006/relationships/hyperlink" Target="https://web.facebook.com/hackers.truong.5?_rdc=1&amp;_rdr" TargetMode="External"/><Relationship Id="rId7377" Type="http://schemas.openxmlformats.org/officeDocument/2006/relationships/hyperlink" Target="https://www.facebook.com/nongly1606?mibextid=LQQJ4d" TargetMode="External"/><Relationship Id="rId8428" Type="http://schemas.openxmlformats.org/officeDocument/2006/relationships/hyperlink" Target="https://www.facebook.com/profile.php?id=100088147969185&amp;mibextid=LQQJ4d" TargetMode="External"/><Relationship Id="rId1815" Type="http://schemas.openxmlformats.org/officeDocument/2006/relationships/hyperlink" Target="https://www.facebook.com/custe.dung.5?mibextid=LQQJ4d" TargetMode="External"/><Relationship Id="rId3987" Type="http://schemas.openxmlformats.org/officeDocument/2006/relationships/hyperlink" Target="https://www.facebook.com/profile.php?id=100071852317246&amp;mibextid=ZbWKwL" TargetMode="External"/><Relationship Id="rId2589" Type="http://schemas.openxmlformats.org/officeDocument/2006/relationships/hyperlink" Target="https://www.facebook.com/changlovebaozi?mibextid=LQQJ4d" TargetMode="External"/><Relationship Id="rId6460" Type="http://schemas.openxmlformats.org/officeDocument/2006/relationships/hyperlink" Target="https://drive.google.com/open?id=10Q3Dvnp1C4jwCHvSUKOg4xOCUXJYnPdk" TargetMode="External"/><Relationship Id="rId7511" Type="http://schemas.openxmlformats.org/officeDocument/2006/relationships/hyperlink" Target="https://www.facebook.com/khanh.phan.29?mibextid=ZbWKwL" TargetMode="External"/><Relationship Id="rId5062" Type="http://schemas.openxmlformats.org/officeDocument/2006/relationships/hyperlink" Target="https://drive.google.com/open?id=1kcNje0tlOpRc-ghykyzscwotw04X7yr6" TargetMode="External"/><Relationship Id="rId6113" Type="http://schemas.openxmlformats.org/officeDocument/2006/relationships/hyperlink" Target="https://www.facebook.com/profile.php?id=100051521319827&amp;mibextid=ZbWKwL" TargetMode="External"/><Relationship Id="rId1672" Type="http://schemas.openxmlformats.org/officeDocument/2006/relationships/hyperlink" Target="https://www.facebook.com/profile.php?id=100045312784518&amp;mibextid=LQQJ4d" TargetMode="External"/><Relationship Id="rId2723" Type="http://schemas.openxmlformats.org/officeDocument/2006/relationships/hyperlink" Target="https://drive.google.com/open?id=1nYYfmo4XGdOTIFNd9I68t7nKu5Rmz7i5" TargetMode="External"/><Relationship Id="rId8285" Type="http://schemas.openxmlformats.org/officeDocument/2006/relationships/hyperlink" Target="https://www.facebook.com/nguyen.ngoc.phanh.2024" TargetMode="External"/><Relationship Id="rId9336" Type="http://schemas.openxmlformats.org/officeDocument/2006/relationships/hyperlink" Target="https://www.facebook.com/profile.php?id=100046544449382" TargetMode="External"/><Relationship Id="rId1325" Type="http://schemas.openxmlformats.org/officeDocument/2006/relationships/hyperlink" Target="https://www.facebook.com/profile.php?id=100016000028877&amp;mibextid=LQQJ4d" TargetMode="External"/><Relationship Id="rId3497" Type="http://schemas.openxmlformats.org/officeDocument/2006/relationships/hyperlink" Target="https://www.facebook.com/profile.php?id=100064492684292&amp;mibextid=LQQJ4d" TargetMode="External"/><Relationship Id="rId4895" Type="http://schemas.openxmlformats.org/officeDocument/2006/relationships/hyperlink" Target="https://www.facebook.com/profile.php?id=100069988412588&amp;mibextid=LQQJ4d" TargetMode="External"/><Relationship Id="rId5946" Type="http://schemas.openxmlformats.org/officeDocument/2006/relationships/hyperlink" Target="https://www.facebook.com/profile.php?id=61564198285388&amp;locale=vi_VN" TargetMode="External"/><Relationship Id="rId31" Type="http://schemas.openxmlformats.org/officeDocument/2006/relationships/hyperlink" Target="https://drive.google.com/open?id=1iL0d0wD4MeowIt_imyiF1DeQ-6f4XNhq" TargetMode="External"/><Relationship Id="rId2099" Type="http://schemas.openxmlformats.org/officeDocument/2006/relationships/hyperlink" Target="https://www.facebook.com/qanhdethws1?mibextid=LQQJ4d" TargetMode="External"/><Relationship Id="rId4548" Type="http://schemas.openxmlformats.org/officeDocument/2006/relationships/hyperlink" Target="https://drive.google.com/open?id=1I5qmEHreT7JVUQwiQJURevXl-ovPt2XT" TargetMode="External"/><Relationship Id="rId7021" Type="http://schemas.openxmlformats.org/officeDocument/2006/relationships/hyperlink" Target="https://www.facebook.com/profile.php?id=100057503253533&amp;mibextid=ZbWKwL" TargetMode="External"/><Relationship Id="rId2580" Type="http://schemas.openxmlformats.org/officeDocument/2006/relationships/hyperlink" Target="https://www.facebook.com/chang912005?mibextid=ZbWKwL" TargetMode="External"/><Relationship Id="rId3631" Type="http://schemas.openxmlformats.org/officeDocument/2006/relationships/hyperlink" Target="https://www.facebook.com/hongvan.trieu.9883?mibextid=LQQJ4d" TargetMode="External"/><Relationship Id="rId9193" Type="http://schemas.openxmlformats.org/officeDocument/2006/relationships/hyperlink" Target="https://www.facebook.com/share/18Qh8RCx6n/" TargetMode="External"/><Relationship Id="rId552" Type="http://schemas.openxmlformats.org/officeDocument/2006/relationships/hyperlink" Target="https://drive.google.com/open?id=13aluIA6Y26sx3e1q-MLYBCAp4R9VftXW" TargetMode="External"/><Relationship Id="rId1182" Type="http://schemas.openxmlformats.org/officeDocument/2006/relationships/hyperlink" Target="https://www.facebook.com/profile.php?id=100013044976419&amp;mibextid=ZbWKwL" TargetMode="External"/><Relationship Id="rId2233" Type="http://schemas.openxmlformats.org/officeDocument/2006/relationships/hyperlink" Target="https://www.facebook.com/thich.thichemm" TargetMode="External"/><Relationship Id="rId6854" Type="http://schemas.openxmlformats.org/officeDocument/2006/relationships/hyperlink" Target="https://www.facebook.com/baoanh.157206" TargetMode="External"/><Relationship Id="rId205" Type="http://schemas.openxmlformats.org/officeDocument/2006/relationships/hyperlink" Target="https://drive.google.com/open?id=1q7H05cZRnJLH-hqGateJt0KECYOMSCBL" TargetMode="External"/><Relationship Id="rId5456" Type="http://schemas.openxmlformats.org/officeDocument/2006/relationships/hyperlink" Target="https://www.facebook.com/profile.php?id=100075158750998&amp;mibextid=ZbWKwL" TargetMode="External"/><Relationship Id="rId6507" Type="http://schemas.openxmlformats.org/officeDocument/2006/relationships/hyperlink" Target="https://drive.google.com/open?id=11nSPoYg0BNQYkpk5DvpSzUG97I8pgK4m" TargetMode="External"/><Relationship Id="rId7905" Type="http://schemas.openxmlformats.org/officeDocument/2006/relationships/hyperlink" Target="https://www.facebook.com/profile.php?id=100015016457859&amp;mibextid=LQQJ4d" TargetMode="External"/><Relationship Id="rId4058" Type="http://schemas.openxmlformats.org/officeDocument/2006/relationships/hyperlink" Target="https://www.facebook.com/profile.php?id=100036216728283&amp;comment_id=Y29tbWVudDoxNjY0ODkxMzA0MjU5NjgzXzgyNTQ1OTM4OTEyNDAzNTc%3D" TargetMode="External"/><Relationship Id="rId5109" Type="http://schemas.openxmlformats.org/officeDocument/2006/relationships/hyperlink" Target="https://www.facebook.com/profile.php?id=100035499592151&amp;mibextid=LQQJ4d" TargetMode="External"/><Relationship Id="rId8679" Type="http://schemas.openxmlformats.org/officeDocument/2006/relationships/hyperlink" Target="https://www.facebook.com/profile.php?id=100064195123792&amp;mibextid=ZbWKwL" TargetMode="External"/><Relationship Id="rId1719" Type="http://schemas.openxmlformats.org/officeDocument/2006/relationships/hyperlink" Target="https://www.facebook.com/its.louie.hilton?mibextid=V3Yony" TargetMode="External"/><Relationship Id="rId2090" Type="http://schemas.openxmlformats.org/officeDocument/2006/relationships/hyperlink" Target="https://www.facebook.com/profile.php?id=100072629540110" TargetMode="External"/><Relationship Id="rId3141" Type="http://schemas.openxmlformats.org/officeDocument/2006/relationships/hyperlink" Target="https://www.facebook.com/profile.php?id=100009610839948&amp;mibextid=LQQJ4d" TargetMode="External"/><Relationship Id="rId7762" Type="http://schemas.openxmlformats.org/officeDocument/2006/relationships/hyperlink" Target="https://drive.google.com/open?id=1i3CvgGd0UiKhdcphXFbaKAVKaWCxdfOf" TargetMode="External"/><Relationship Id="rId8813" Type="http://schemas.openxmlformats.org/officeDocument/2006/relationships/hyperlink" Target="https://www.facebook.com/lmhrosie.hanng?mibextid=LQQJ4d" TargetMode="External"/><Relationship Id="rId6364" Type="http://schemas.openxmlformats.org/officeDocument/2006/relationships/hyperlink" Target="https://www.facebook.com/profile.php?id=100078156776680&amp;mibextid=LQQJ4d" TargetMode="External"/><Relationship Id="rId7415" Type="http://schemas.openxmlformats.org/officeDocument/2006/relationships/hyperlink" Target="https://www.facebook.com/profile.php?id=100068912166364" TargetMode="External"/><Relationship Id="rId6017" Type="http://schemas.openxmlformats.org/officeDocument/2006/relationships/hyperlink" Target="https://drive.google.com/open?id=137IrIS7Y3N40selh-PfC8e6WM9p8J8Hu" TargetMode="External"/><Relationship Id="rId1576" Type="http://schemas.openxmlformats.org/officeDocument/2006/relationships/hyperlink" Target="https://www.facebook.com/dieulinh.lo.520?mibextid=LQQJ4d" TargetMode="External"/><Relationship Id="rId2974" Type="http://schemas.openxmlformats.org/officeDocument/2006/relationships/hyperlink" Target="https://www.facebook.com/profile.php?id=100038469549957" TargetMode="External"/><Relationship Id="rId8189" Type="http://schemas.openxmlformats.org/officeDocument/2006/relationships/hyperlink" Target="https://drive.google.com/open?id=1Q08MPX0_1oBvo_hsJBMjq4DND7Q_g7Ds" TargetMode="External"/><Relationship Id="rId946" Type="http://schemas.openxmlformats.org/officeDocument/2006/relationships/hyperlink" Target="https://drive.google.com/open?id=1oOIF7ihRJWoKkpgy6ve7Q8T73AHSOCWK" TargetMode="External"/><Relationship Id="rId1229" Type="http://schemas.openxmlformats.org/officeDocument/2006/relationships/hyperlink" Target="https://www.facebook.com/kanh.nguyen.75098364?mibextid=LQQJ4d" TargetMode="External"/><Relationship Id="rId2627" Type="http://schemas.openxmlformats.org/officeDocument/2006/relationships/hyperlink" Target="https://drive.google.com/open?id=1tQaCcj608ERiv58vDbk1-1UsiBE554lB" TargetMode="External"/><Relationship Id="rId5100" Type="http://schemas.openxmlformats.org/officeDocument/2006/relationships/hyperlink" Target="https://www.facebook.com/hoanganh.pha.3" TargetMode="External"/><Relationship Id="rId4799" Type="http://schemas.openxmlformats.org/officeDocument/2006/relationships/hyperlink" Target="https://www.facebook.com/profile.php?id=100075963546253&amp;mibextid=ZbWKwL" TargetMode="External"/><Relationship Id="rId8670" Type="http://schemas.openxmlformats.org/officeDocument/2006/relationships/hyperlink" Target="https://www.facebook.com/vuthi.quynhtrang.10" TargetMode="External"/><Relationship Id="rId1710" Type="http://schemas.openxmlformats.org/officeDocument/2006/relationships/hyperlink" Target="https://www.facebook.com/profile.php?id=100055137439133" TargetMode="External"/><Relationship Id="rId7272" Type="http://schemas.openxmlformats.org/officeDocument/2006/relationships/hyperlink" Target="https://www.facebook.com/huy.nguyenviet.3954546?mibextid=kFxxJD" TargetMode="External"/><Relationship Id="rId8323" Type="http://schemas.openxmlformats.org/officeDocument/2006/relationships/hyperlink" Target="https://www.facebook.com/profile.php?id=100068407743435&amp;locale=vi_VN" TargetMode="External"/><Relationship Id="rId3882" Type="http://schemas.openxmlformats.org/officeDocument/2006/relationships/hyperlink" Target="https://www.facebook.com/profile.php?id=100083478494806&amp;mibextid=ZbWKwL" TargetMode="External"/><Relationship Id="rId4933" Type="http://schemas.openxmlformats.org/officeDocument/2006/relationships/hyperlink" Target="https://www.facebook.com/huongthumai1207?mibextid=LQQJ4d" TargetMode="External"/><Relationship Id="rId2484" Type="http://schemas.openxmlformats.org/officeDocument/2006/relationships/hyperlink" Target="https://drive.google.com/open?id=1dvLX0eEzLyoD8HqPinmMrf8YTLD_0Cbo" TargetMode="External"/><Relationship Id="rId3535" Type="http://schemas.openxmlformats.org/officeDocument/2006/relationships/hyperlink" Target="https://drive.google.com/open?id=10dEH9XEZK-wPgL14u8zsdHzxTe2kEO5K" TargetMode="External"/><Relationship Id="rId9097" Type="http://schemas.openxmlformats.org/officeDocument/2006/relationships/hyperlink" Target="https://drive.google.com/open?id=1XabbEAK_4WTPI81OZyobLg-Oy4BNR4Zt" TargetMode="External"/><Relationship Id="rId456" Type="http://schemas.openxmlformats.org/officeDocument/2006/relationships/hyperlink" Target="https://www.facebook.com/profile.php?id=100043678471186" TargetMode="External"/><Relationship Id="rId1086" Type="http://schemas.openxmlformats.org/officeDocument/2006/relationships/hyperlink" Target="https://www.facebook.com/profile.php?id=100026601651747&amp;mibextid=LQQJ4d" TargetMode="External"/><Relationship Id="rId2137" Type="http://schemas.openxmlformats.org/officeDocument/2006/relationships/hyperlink" Target="https://drive.google.com/open?id=1CKGNd0dXu60xsLWBYMxOIPi00XP-_ll0" TargetMode="External"/><Relationship Id="rId109" Type="http://schemas.openxmlformats.org/officeDocument/2006/relationships/hyperlink" Target="https://drive.google.com/open?id=1565FsrYC1MCNfhMuXDF8SzuOLM66M5m7" TargetMode="External"/><Relationship Id="rId6758" Type="http://schemas.openxmlformats.org/officeDocument/2006/relationships/hyperlink" Target="https://www.facebook.com/profile.php?id=100065727186199&amp;mibextid=ZbWKwL" TargetMode="External"/><Relationship Id="rId7809" Type="http://schemas.openxmlformats.org/officeDocument/2006/relationships/hyperlink" Target="https://drive.google.com/open?id=17ah9ao2jhuhsTRnOvFqnBtdtka9aXeWi" TargetMode="External"/><Relationship Id="rId8180" Type="http://schemas.openxmlformats.org/officeDocument/2006/relationships/hyperlink" Target="https://www.facebook.com/p.ngochuyen" TargetMode="External"/><Relationship Id="rId9231" Type="http://schemas.openxmlformats.org/officeDocument/2006/relationships/hyperlink" Target="https://www.facebook.com/profile.php?id=100041674671913&amp;mibextid=LQQJ4d&amp;rdid=ZLC0nWrO3If8C5ax&amp;share_url=https%3A%2F%2Fwww.facebook.com%2Fshare%2FWRmnBJUHMmgTkksG%2F%3Fmibextid%3DLQQJ4d" TargetMode="External"/><Relationship Id="rId1220" Type="http://schemas.openxmlformats.org/officeDocument/2006/relationships/hyperlink" Target="https://www.facebook.com/profile.php?id=61550987284328&amp;mibextid=ZbWKwL" TargetMode="External"/><Relationship Id="rId4790" Type="http://schemas.openxmlformats.org/officeDocument/2006/relationships/hyperlink" Target="https://www.facebook.com/phu.nguyenthien.509994?mibextid=LQQJ4d" TargetMode="External"/><Relationship Id="rId5841" Type="http://schemas.openxmlformats.org/officeDocument/2006/relationships/hyperlink" Target="https://www.facebook.com/profile.php?id=100028085446602&amp;mibextid=kFxxJD" TargetMode="External"/><Relationship Id="rId3392" Type="http://schemas.openxmlformats.org/officeDocument/2006/relationships/hyperlink" Target="https://www.facebook.com/profile.php?id=100025732269796" TargetMode="External"/><Relationship Id="rId4443" Type="http://schemas.openxmlformats.org/officeDocument/2006/relationships/hyperlink" Target="https://www.facebook.com/huz.huzq.06?mibextid=LQQJ4d" TargetMode="External"/><Relationship Id="rId3045" Type="http://schemas.openxmlformats.org/officeDocument/2006/relationships/hyperlink" Target="https://drive.google.com/open?id=1rg1PLFIhmKv8JylA3WDDr7xYjyH175DQ" TargetMode="External"/><Relationship Id="rId7666" Type="http://schemas.openxmlformats.org/officeDocument/2006/relationships/hyperlink" Target="https://www.facebook.com/profile.php?id=100036423282838" TargetMode="External"/><Relationship Id="rId8717" Type="http://schemas.openxmlformats.org/officeDocument/2006/relationships/hyperlink" Target="https://www.facebook.com/chan.hazimoon" TargetMode="External"/><Relationship Id="rId6268" Type="http://schemas.openxmlformats.org/officeDocument/2006/relationships/hyperlink" Target="https://www.facebook.com/profile.php?id=100060291661482&amp;mibextid=LQQJ4d" TargetMode="External"/><Relationship Id="rId7319" Type="http://schemas.openxmlformats.org/officeDocument/2006/relationships/hyperlink" Target="https://www.facebook.com/profile.php?id=100069842390652&amp;mibextid=LQQJ4d" TargetMode="External"/><Relationship Id="rId100" Type="http://schemas.openxmlformats.org/officeDocument/2006/relationships/hyperlink" Target="https://drive.google.com/open?id=1zQ2GEP2FhZ1i2GwW56GEKd8HVoY_uPsq" TargetMode="External"/><Relationship Id="rId2878" Type="http://schemas.openxmlformats.org/officeDocument/2006/relationships/hyperlink" Target="https://www.facebook.com/profile.php?id=100075717146213&amp;mibextid=ZbWKwL" TargetMode="External"/><Relationship Id="rId3929" Type="http://schemas.openxmlformats.org/officeDocument/2006/relationships/hyperlink" Target="https://www.facebook.com/profile.php?id=100009454617574" TargetMode="External"/><Relationship Id="rId7800" Type="http://schemas.openxmlformats.org/officeDocument/2006/relationships/hyperlink" Target="https://www.facebook.com/ngochuyen11122005" TargetMode="External"/><Relationship Id="rId5351" Type="http://schemas.openxmlformats.org/officeDocument/2006/relationships/hyperlink" Target="https://www.facebook.com/Trangg2602" TargetMode="External"/><Relationship Id="rId6402" Type="http://schemas.openxmlformats.org/officeDocument/2006/relationships/hyperlink" Target="https://www.facebook.com/nguyen.hann.1447" TargetMode="External"/><Relationship Id="rId1961" Type="http://schemas.openxmlformats.org/officeDocument/2006/relationships/hyperlink" Target="https://www.facebook.com/cairo.ha.12" TargetMode="External"/><Relationship Id="rId5004" Type="http://schemas.openxmlformats.org/officeDocument/2006/relationships/hyperlink" Target="https://drive.google.com/open?id=1gbkZCHN0maiv7REMGCyijf6ic2G656Ou" TargetMode="External"/><Relationship Id="rId8574" Type="http://schemas.openxmlformats.org/officeDocument/2006/relationships/hyperlink" Target="https://drive.google.com/open?id=1dp_qMBxxE4gEg9lYYQtP6Hur5GMGQqvh" TargetMode="External"/><Relationship Id="rId1614" Type="http://schemas.openxmlformats.org/officeDocument/2006/relationships/hyperlink" Target="https://drive.google.com/open?id=10pvboRkCPKsxYHr0m0dyqXu0zQkslZfC" TargetMode="External"/><Relationship Id="rId7176" Type="http://schemas.openxmlformats.org/officeDocument/2006/relationships/hyperlink" Target="https://drive.google.com/open?id=1fROQgx3QiQQrUfbsrpbJUpuioZj-5Udw" TargetMode="External"/><Relationship Id="rId8227" Type="http://schemas.openxmlformats.org/officeDocument/2006/relationships/hyperlink" Target="https://drive.google.com/open?id=1QSXrSsIBwKb6dPCP4EnwOIOa0URbpaV5" TargetMode="External"/><Relationship Id="rId3786" Type="http://schemas.openxmlformats.org/officeDocument/2006/relationships/hyperlink" Target="https://www.facebook.com/profile.php?id=100025022552929&amp;mibextid=ZbWKwL" TargetMode="External"/><Relationship Id="rId2388" Type="http://schemas.openxmlformats.org/officeDocument/2006/relationships/hyperlink" Target="https://drive.google.com/open?id=1rmYCAExBp4OpeLrTsFh5l9HXvzuBhFeW" TargetMode="External"/><Relationship Id="rId3439" Type="http://schemas.openxmlformats.org/officeDocument/2006/relationships/hyperlink" Target="https://drive.google.com/open?id=1LYQewBNTT4Nlo8oRmRq6sB-vEdfUysP9" TargetMode="External"/><Relationship Id="rId4837" Type="http://schemas.openxmlformats.org/officeDocument/2006/relationships/hyperlink" Target="https://www.facebook.com/profile.php?id=100055939339898&amp;mibextid=LQQJ4d" TargetMode="External"/><Relationship Id="rId7310" Type="http://schemas.openxmlformats.org/officeDocument/2006/relationships/hyperlink" Target="https://www.facebook.com/thanhh.tam.148?mibextid=LQQJ4d" TargetMode="External"/><Relationship Id="rId3853" Type="http://schemas.openxmlformats.org/officeDocument/2006/relationships/hyperlink" Target="https://www.facebook.com/profile.php?id=100054984527305&amp;mibextid=LQQJ4d" TargetMode="External"/><Relationship Id="rId4904" Type="http://schemas.openxmlformats.org/officeDocument/2006/relationships/hyperlink" Target="https://www.facebook.com/profile.php?id=100064220854075&amp;mibextid=LQQJ4d" TargetMode="External"/><Relationship Id="rId9068" Type="http://schemas.openxmlformats.org/officeDocument/2006/relationships/hyperlink" Target="https://www.facebook.com/khoa.kenvil.5?mibextid=ZbWKwL" TargetMode="External"/><Relationship Id="rId774" Type="http://schemas.openxmlformats.org/officeDocument/2006/relationships/hyperlink" Target="https://www.facebook.com/hung.hong.7" TargetMode="External"/><Relationship Id="rId1057" Type="http://schemas.openxmlformats.org/officeDocument/2006/relationships/hyperlink" Target="https://drive.google.com/open?id=1aPIRGLwG9rFugPM5PsiC5tlaZvfjFaVF" TargetMode="External"/><Relationship Id="rId2455" Type="http://schemas.openxmlformats.org/officeDocument/2006/relationships/hyperlink" Target="https://www.facebook.com/thientam.1607" TargetMode="External"/><Relationship Id="rId3506" Type="http://schemas.openxmlformats.org/officeDocument/2006/relationships/hyperlink" Target="https://www.facebook.com/profile.php?id=100020353726446" TargetMode="External"/><Relationship Id="rId3920" Type="http://schemas.openxmlformats.org/officeDocument/2006/relationships/hyperlink" Target="https://www.facebook.com/vuthi.quynhtrang.10" TargetMode="External"/><Relationship Id="rId8084" Type="http://schemas.openxmlformats.org/officeDocument/2006/relationships/hyperlink" Target="https://drive.google.com/open?id=1SY1_JJRFOV1PelELRMYJT7Tf7WcR3UJO" TargetMode="External"/><Relationship Id="rId9482" Type="http://schemas.openxmlformats.org/officeDocument/2006/relationships/hyperlink" Target="https://www.facebook.com/profile.php?id=100071667960522&amp;mibextid=LQQJ4d" TargetMode="External"/><Relationship Id="rId427" Type="http://schemas.openxmlformats.org/officeDocument/2006/relationships/hyperlink" Target="https://www.facebook.com/profile.php?id=100014397455858&amp;mibextid=ZbWKwL" TargetMode="External"/><Relationship Id="rId841" Type="http://schemas.openxmlformats.org/officeDocument/2006/relationships/hyperlink" Target="https://www.facebook.com/nthankha1810?mibextid=ZbWKwL" TargetMode="External"/><Relationship Id="rId1471" Type="http://schemas.openxmlformats.org/officeDocument/2006/relationships/hyperlink" Target="https://www.facebook.com/ngphuong28072005" TargetMode="External"/><Relationship Id="rId2108" Type="http://schemas.openxmlformats.org/officeDocument/2006/relationships/hyperlink" Target="https://www.facebook.com/phong.cao.946954" TargetMode="External"/><Relationship Id="rId2522" Type="http://schemas.openxmlformats.org/officeDocument/2006/relationships/hyperlink" Target="https://drive.google.com/open?id=1r-uma7LsK60aY1jYAENE-Uwff3_Ou2Ug" TargetMode="External"/><Relationship Id="rId5678" Type="http://schemas.openxmlformats.org/officeDocument/2006/relationships/hyperlink" Target="https://www.facebook.com/profile.php?id=100093332287452" TargetMode="External"/><Relationship Id="rId6729" Type="http://schemas.openxmlformats.org/officeDocument/2006/relationships/hyperlink" Target="https://www.facebook.com/profile.php?id=100051163014177&amp;mibextid=LQQJ4d" TargetMode="External"/><Relationship Id="rId9135" Type="http://schemas.openxmlformats.org/officeDocument/2006/relationships/hyperlink" Target="https://drive.google.com/open?id=1loZliT-NXlZdppI6pRjNxy2_IFuh08FK" TargetMode="External"/><Relationship Id="rId1124" Type="http://schemas.openxmlformats.org/officeDocument/2006/relationships/hyperlink" Target="https://www.facebook.com/profile.php?id=100040869501071&amp;mibextid=LQQJ4d" TargetMode="External"/><Relationship Id="rId4694" Type="http://schemas.openxmlformats.org/officeDocument/2006/relationships/hyperlink" Target="https://drive.google.com/open?id=1jiCaL8eTJRj2irEZiJIJ7g5tfpL_nQ-j" TargetMode="External"/><Relationship Id="rId5745" Type="http://schemas.openxmlformats.org/officeDocument/2006/relationships/hyperlink" Target="https://www.facebook.com/profile.php?id=100051147399166&amp;mibextid=LQQJ4d" TargetMode="External"/><Relationship Id="rId8151" Type="http://schemas.openxmlformats.org/officeDocument/2006/relationships/hyperlink" Target="https://www.facebook.com/profile.php?id=100077358394698&amp;mibextid=LQQJ4d" TargetMode="External"/><Relationship Id="rId9202" Type="http://schemas.openxmlformats.org/officeDocument/2006/relationships/hyperlink" Target="https://web.facebook.com/profile.php?id=100070760588215&amp;mibextid=ZbWKwL&amp;_rdc=1&amp;_rdr" TargetMode="External"/><Relationship Id="rId3296" Type="http://schemas.openxmlformats.org/officeDocument/2006/relationships/hyperlink" Target="https://www.facebook.com/thieuthi.bich.96" TargetMode="External"/><Relationship Id="rId4347" Type="http://schemas.openxmlformats.org/officeDocument/2006/relationships/hyperlink" Target="https://www.facebook.com/profile.php?id=100075426403262&amp;mibextid=LQQJ4d" TargetMode="External"/><Relationship Id="rId4761" Type="http://schemas.openxmlformats.org/officeDocument/2006/relationships/hyperlink" Target="https://www.facebook.com/huz.huzq.06?mibextid=LQQJ4d" TargetMode="External"/><Relationship Id="rId3363" Type="http://schemas.openxmlformats.org/officeDocument/2006/relationships/hyperlink" Target="https://www.facebook.com/nghitran2k5/" TargetMode="External"/><Relationship Id="rId4414" Type="http://schemas.openxmlformats.org/officeDocument/2006/relationships/hyperlink" Target="https://www.facebook.com/zz.hhaiuwu?mibextid=LQQJ4d" TargetMode="External"/><Relationship Id="rId5812" Type="http://schemas.openxmlformats.org/officeDocument/2006/relationships/hyperlink" Target="https://www.facebook.com/dieulinh.25526?mibextid=LQQJ4d" TargetMode="External"/><Relationship Id="rId8968" Type="http://schemas.openxmlformats.org/officeDocument/2006/relationships/hyperlink" Target="https://drive.google.com/open?id=1HiXqqNP8eyk69JG3kifK5Gk-frY-qK1C" TargetMode="External"/><Relationship Id="rId284" Type="http://schemas.openxmlformats.org/officeDocument/2006/relationships/hyperlink" Target="https://drive.google.com/open?id=1MlFNwlpVAsgYasHax1WOFJspPdXEQSdh" TargetMode="External"/><Relationship Id="rId3016" Type="http://schemas.openxmlformats.org/officeDocument/2006/relationships/hyperlink" Target="https://drive.google.com/open?id=1pjEK6QIoL1nHCS_WVdpApL7LkEicluh7" TargetMode="External"/><Relationship Id="rId7984" Type="http://schemas.openxmlformats.org/officeDocument/2006/relationships/hyperlink" Target="https://www.facebook.com/profile.php?id=100071312686743&amp;mibextid=ZbWKwL" TargetMode="External"/><Relationship Id="rId3430" Type="http://schemas.openxmlformats.org/officeDocument/2006/relationships/hyperlink" Target="https://m.facebook.com/len.nguyenthi.37625843?mibextid=LQQJ4d" TargetMode="External"/><Relationship Id="rId5188" Type="http://schemas.openxmlformats.org/officeDocument/2006/relationships/hyperlink" Target="https://www.facebook.com/profile.php?id=100086408799210" TargetMode="External"/><Relationship Id="rId6586" Type="http://schemas.openxmlformats.org/officeDocument/2006/relationships/hyperlink" Target="https://www.facebook.com/kophaidinhkien" TargetMode="External"/><Relationship Id="rId7637" Type="http://schemas.openxmlformats.org/officeDocument/2006/relationships/hyperlink" Target="https://www.facebook.com/people/Thu-Hi%E1%BB%81n/pfbid033WpGSNCdJn6xg34dDXX67frk2wQ3oB9fotvzMHvoWQwFo9fhjKRRjQ3oTKAFaeP3l/" TargetMode="External"/><Relationship Id="rId351" Type="http://schemas.openxmlformats.org/officeDocument/2006/relationships/hyperlink" Target="https://www.facebook.com/ngphuong28072005" TargetMode="External"/><Relationship Id="rId2032" Type="http://schemas.openxmlformats.org/officeDocument/2006/relationships/hyperlink" Target="https://www.facebook.com/profile.php?id=100092208241207&amp;mibextid=LQQJ4d" TargetMode="External"/><Relationship Id="rId6239" Type="http://schemas.openxmlformats.org/officeDocument/2006/relationships/hyperlink" Target="https://www.facebook.com/profile.php?id=100094386626142&amp;mibextid=ZbWKwL" TargetMode="External"/><Relationship Id="rId6653" Type="http://schemas.openxmlformats.org/officeDocument/2006/relationships/hyperlink" Target="https://www.facebook.com/hung.chaico" TargetMode="External"/><Relationship Id="rId7704" Type="http://schemas.openxmlformats.org/officeDocument/2006/relationships/hyperlink" Target="https://www.facebook.com/profile.php?id=100071400645920" TargetMode="External"/><Relationship Id="rId1798" Type="http://schemas.openxmlformats.org/officeDocument/2006/relationships/hyperlink" Target="https://www.facebook.com/kaly.bin.986?mibextid=ZbWKwL" TargetMode="External"/><Relationship Id="rId2849" Type="http://schemas.openxmlformats.org/officeDocument/2006/relationships/hyperlink" Target="https://drive.google.com/open?id=1dRphuB_v6uhrr-t19g37ffpgX2QmV3aM" TargetMode="External"/><Relationship Id="rId5255" Type="http://schemas.openxmlformats.org/officeDocument/2006/relationships/hyperlink" Target="https://drive.google.com/open?id=15iPyGYkAOXIscW-eiiDpChN3dy2cYJzn" TargetMode="External"/><Relationship Id="rId6306" Type="http://schemas.openxmlformats.org/officeDocument/2006/relationships/hyperlink" Target="https://www.facebook.com/haquang.nghia.10?mibextid=LQQJ4d" TargetMode="External"/><Relationship Id="rId6720" Type="http://schemas.openxmlformats.org/officeDocument/2006/relationships/hyperlink" Target="https://www.facebook.com/profile.php?id=100045859323172" TargetMode="External"/><Relationship Id="rId1865" Type="http://schemas.openxmlformats.org/officeDocument/2006/relationships/hyperlink" Target="https://www.facebook.com/hac.thuy.927" TargetMode="External"/><Relationship Id="rId4271" Type="http://schemas.openxmlformats.org/officeDocument/2006/relationships/hyperlink" Target="https://www.facebook.com/profile.php?id=100040485382059" TargetMode="External"/><Relationship Id="rId5322" Type="http://schemas.openxmlformats.org/officeDocument/2006/relationships/hyperlink" Target="https://drive.google.com/open?id=13W7JMpKxnBoLvnS1OmtSbskc0S6hD3Cf" TargetMode="External"/><Relationship Id="rId8478" Type="http://schemas.openxmlformats.org/officeDocument/2006/relationships/hyperlink" Target="https://www.facebook.com/profile.php?id=100048349662044&amp;mibextid=LQQJ4d" TargetMode="External"/><Relationship Id="rId8892" Type="http://schemas.openxmlformats.org/officeDocument/2006/relationships/hyperlink" Target="https://www.facebook.com/panda.apink.94?mibextid=LQQJ4d" TargetMode="External"/><Relationship Id="rId9529" Type="http://schemas.openxmlformats.org/officeDocument/2006/relationships/hyperlink" Target="https://www.facebook.com/LTTSHU" TargetMode="External"/><Relationship Id="rId1518" Type="http://schemas.openxmlformats.org/officeDocument/2006/relationships/hyperlink" Target="https://drive.google.com/open?id=1U9fgIECHTL2JRyhD2nv8zem17hqH-dm2" TargetMode="External"/><Relationship Id="rId2916" Type="http://schemas.openxmlformats.org/officeDocument/2006/relationships/hyperlink" Target="https://www.facebook.com/khs.huyen" TargetMode="External"/><Relationship Id="rId7494" Type="http://schemas.openxmlformats.org/officeDocument/2006/relationships/hyperlink" Target="https://www.facebook.com/profile.php?id=100054602395138&amp;mibextid=LQQJ4d" TargetMode="External"/><Relationship Id="rId8545" Type="http://schemas.openxmlformats.org/officeDocument/2006/relationships/hyperlink" Target="https://drive.google.com/open?id=1LKp38BUSX5Qp-oR6sEJk1j7VTHY67v4H" TargetMode="External"/><Relationship Id="rId1932" Type="http://schemas.openxmlformats.org/officeDocument/2006/relationships/hyperlink" Target="https://drive.google.com/open?id=1q-n7lVn277YpJG6iavRsI0rTQbKOSrNg" TargetMode="External"/><Relationship Id="rId6096" Type="http://schemas.openxmlformats.org/officeDocument/2006/relationships/hyperlink" Target="https://www.facebook.com/profile.php?id=100070330999372&amp;mibextid=ZbWKwL" TargetMode="External"/><Relationship Id="rId7147" Type="http://schemas.openxmlformats.org/officeDocument/2006/relationships/hyperlink" Target="https://www.facebook.com/trinh.quan.9843499?mibextid=LQQJ4d" TargetMode="External"/><Relationship Id="rId6163" Type="http://schemas.openxmlformats.org/officeDocument/2006/relationships/hyperlink" Target="https://www.facebook.com/thanhthien9054?mibextid=ZbWKwL" TargetMode="External"/><Relationship Id="rId7561" Type="http://schemas.openxmlformats.org/officeDocument/2006/relationships/hyperlink" Target="https://www.facebook.com/hha.cp?mibextid=LQQJ4d" TargetMode="External"/><Relationship Id="rId8612" Type="http://schemas.openxmlformats.org/officeDocument/2006/relationships/hyperlink" Target="https://drive.google.com/open?id=1NyaQiYwYp2nKGcD3_6IWPSF0UX3D2UDx" TargetMode="External"/><Relationship Id="rId3757" Type="http://schemas.openxmlformats.org/officeDocument/2006/relationships/hyperlink" Target="https://drive.google.com/open?id=1u5dpR0hgZVFWHJ0n9m21gw4smqHOMxj8" TargetMode="External"/><Relationship Id="rId4808" Type="http://schemas.openxmlformats.org/officeDocument/2006/relationships/hyperlink" Target="https://www.facebook.com/jenius345?mibextid=ZbWKwL" TargetMode="External"/><Relationship Id="rId7214" Type="http://schemas.openxmlformats.org/officeDocument/2006/relationships/hyperlink" Target="https://www.facebook.com/profile.php?id=100080701576514" TargetMode="External"/><Relationship Id="rId678" Type="http://schemas.openxmlformats.org/officeDocument/2006/relationships/hyperlink" Target="https://drive.google.com/open?id=1I1UWtPFxLOuc_O-ZY7TG2SpUlNl3PlvD" TargetMode="External"/><Relationship Id="rId2359" Type="http://schemas.openxmlformats.org/officeDocument/2006/relationships/hyperlink" Target="https://www.facebook.com/profile.php?id=100022723487090&amp;mibextid=LQQJ4d" TargetMode="External"/><Relationship Id="rId2773" Type="http://schemas.openxmlformats.org/officeDocument/2006/relationships/hyperlink" Target="https://drive.google.com/open?id=1hO40OOCX8CktiRrPTzQUwe5S2VmZd8q6" TargetMode="External"/><Relationship Id="rId3824" Type="http://schemas.openxmlformats.org/officeDocument/2006/relationships/hyperlink" Target="https://www.facebook.com/dangminh.220905?mibextid=LQQJ4d" TargetMode="External"/><Relationship Id="rId6230" Type="http://schemas.openxmlformats.org/officeDocument/2006/relationships/hyperlink" Target="https://www.facebook.com/profile.php?id=100075152136568&amp;mibextid=LQQJ4d" TargetMode="External"/><Relationship Id="rId9386" Type="http://schemas.openxmlformats.org/officeDocument/2006/relationships/hyperlink" Target="https://www.facebook.com/profile.php?id=100019084566910&amp;mibextid=ZbWKwL" TargetMode="External"/><Relationship Id="rId745" Type="http://schemas.openxmlformats.org/officeDocument/2006/relationships/hyperlink" Target="https://drive.google.com/open?id=11fARCe61bukQLU23P5S8g-06Cy0ChAeO" TargetMode="External"/><Relationship Id="rId1375" Type="http://schemas.openxmlformats.org/officeDocument/2006/relationships/hyperlink" Target="https://drive.google.com/open?id=1KLS1WH8GnR3sltHS7vlyaOtkKtuEITSd" TargetMode="External"/><Relationship Id="rId2426" Type="http://schemas.openxmlformats.org/officeDocument/2006/relationships/hyperlink" Target="https://drive.google.com/open?id=1yoY8lCvbH5VNZEGXNVDkjmSrPFJRhn86" TargetMode="External"/><Relationship Id="rId5996" Type="http://schemas.openxmlformats.org/officeDocument/2006/relationships/hyperlink" Target="https://www.facebook.com/profile.php?id=100055091917677&amp;mibextid=LQQJ4d" TargetMode="External"/><Relationship Id="rId9039" Type="http://schemas.openxmlformats.org/officeDocument/2006/relationships/hyperlink" Target="https://www.facebook.com/ngoc.hong.1117" TargetMode="External"/><Relationship Id="rId9453" Type="http://schemas.openxmlformats.org/officeDocument/2006/relationships/hyperlink" Target="https://www.facebook.com/share/15nk8y8xW2/?mibextid=wwXIfr" TargetMode="External"/><Relationship Id="rId81" Type="http://schemas.openxmlformats.org/officeDocument/2006/relationships/hyperlink" Target="https://www.facebook.com/profile.php?id=100037239527588" TargetMode="External"/><Relationship Id="rId812" Type="http://schemas.openxmlformats.org/officeDocument/2006/relationships/hyperlink" Target="https://drive.google.com/open?id=13oTC_B8ecs-pF7zxYvYy2-GPVZeHi7rL" TargetMode="External"/><Relationship Id="rId1028" Type="http://schemas.openxmlformats.org/officeDocument/2006/relationships/hyperlink" Target="https://www.facebook.com/profile.php?id=100024419641356" TargetMode="External"/><Relationship Id="rId1442" Type="http://schemas.openxmlformats.org/officeDocument/2006/relationships/hyperlink" Target="https://www.facebook.com/gia.mai.7798" TargetMode="External"/><Relationship Id="rId2840" Type="http://schemas.openxmlformats.org/officeDocument/2006/relationships/hyperlink" Target="https://www.facebook.com/profile.php?id=100054677354890" TargetMode="External"/><Relationship Id="rId4598" Type="http://schemas.openxmlformats.org/officeDocument/2006/relationships/hyperlink" Target="https://drive.google.com/open?id=1GR4SwT_tjm4CN_YMRtMv-aphrqxPV-be" TargetMode="External"/><Relationship Id="rId5649" Type="http://schemas.openxmlformats.org/officeDocument/2006/relationships/hyperlink" Target="https://www.facebook.com/profile.php?id=100094996368429&amp;mibextid=LQQJ4d" TargetMode="External"/><Relationship Id="rId8055" Type="http://schemas.openxmlformats.org/officeDocument/2006/relationships/hyperlink" Target="https://www.facebook.com/profile.php?id=100090655640239&amp;mibextid=LQQJ4d" TargetMode="External"/><Relationship Id="rId9106" Type="http://schemas.openxmlformats.org/officeDocument/2006/relationships/hyperlink" Target="https://www.facebook.com/profile.php?id=100070948735020&amp;mibextid=LQQJ4d" TargetMode="External"/><Relationship Id="rId9520" Type="http://schemas.openxmlformats.org/officeDocument/2006/relationships/hyperlink" Target="https://www.facebook.com/share/18bXALiUyJ/?mibextid=wwXIfr" TargetMode="External"/><Relationship Id="rId7071" Type="http://schemas.openxmlformats.org/officeDocument/2006/relationships/hyperlink" Target="https://www.facebook.com/profile.php?id=100048299379606&amp;mibextid=LQQJ4d" TargetMode="External"/><Relationship Id="rId8122" Type="http://schemas.openxmlformats.org/officeDocument/2006/relationships/hyperlink" Target="https://www.facebook.com/vanhai.22" TargetMode="External"/><Relationship Id="rId3267" Type="http://schemas.openxmlformats.org/officeDocument/2006/relationships/hyperlink" Target="https://www.facebook.com/sjd19" TargetMode="External"/><Relationship Id="rId4665" Type="http://schemas.openxmlformats.org/officeDocument/2006/relationships/hyperlink" Target="https://www.facebook.com/profile.php?id=100031268655971&amp;mibextid=LQQJ4d" TargetMode="External"/><Relationship Id="rId5716" Type="http://schemas.openxmlformats.org/officeDocument/2006/relationships/hyperlink" Target="https://www.facebook.com/hoaa.hoaa.16" TargetMode="External"/><Relationship Id="rId188" Type="http://schemas.openxmlformats.org/officeDocument/2006/relationships/hyperlink" Target="https://www.facebook.com/pk.phuc.5667?mibextid=LQQJ4d" TargetMode="External"/><Relationship Id="rId3681" Type="http://schemas.openxmlformats.org/officeDocument/2006/relationships/hyperlink" Target="https://www.facebook.com/profile.php?id=100022293270487&amp;mibextid=LQQJ4d" TargetMode="External"/><Relationship Id="rId4318" Type="http://schemas.openxmlformats.org/officeDocument/2006/relationships/hyperlink" Target="https://drive.google.com/open?id=1heMQI_t22i98rpdvj6UD8Z_bLSlMdINN" TargetMode="External"/><Relationship Id="rId4732" Type="http://schemas.openxmlformats.org/officeDocument/2006/relationships/hyperlink" Target="https://www.facebook.com/nguyen.dp.792?mibextid=LQQJ4d" TargetMode="External"/><Relationship Id="rId7888" Type="http://schemas.openxmlformats.org/officeDocument/2006/relationships/hyperlink" Target="https://drive.google.com/open?id=1dIYbxIvBHu0rgGL130Y_r1QtK6gE43LM" TargetMode="External"/><Relationship Id="rId8939" Type="http://schemas.openxmlformats.org/officeDocument/2006/relationships/hyperlink" Target="https://www.facebook.com/profile.php?id=100068076919331" TargetMode="External"/><Relationship Id="rId2283" Type="http://schemas.openxmlformats.org/officeDocument/2006/relationships/hyperlink" Target="https://www.facebook.com/hanhpando?mibextid=LQQJ4d" TargetMode="External"/><Relationship Id="rId3334" Type="http://schemas.openxmlformats.org/officeDocument/2006/relationships/hyperlink" Target="https://www.facebook.com/buithuyhienltpt?mibextid=ZbWKwL" TargetMode="External"/><Relationship Id="rId7955" Type="http://schemas.openxmlformats.org/officeDocument/2006/relationships/hyperlink" Target="https://www.facebook.com/duong.yenngoc.944?mibextid=LQQJ4d" TargetMode="External"/><Relationship Id="rId255" Type="http://schemas.openxmlformats.org/officeDocument/2006/relationships/hyperlink" Target="https://www.facebook.com/profile.php?id=100026027928814&amp;mibextid=LQQJ4d" TargetMode="External"/><Relationship Id="rId2350" Type="http://schemas.openxmlformats.org/officeDocument/2006/relationships/hyperlink" Target="https://www.facebook.com/profile.php?id=100057029438672&amp;locale=vi_VN" TargetMode="External"/><Relationship Id="rId3401" Type="http://schemas.openxmlformats.org/officeDocument/2006/relationships/hyperlink" Target="https://www.facebook.com/profile.php?id=100089181947573&amp;mibextid=LQQJ4d" TargetMode="External"/><Relationship Id="rId6557" Type="http://schemas.openxmlformats.org/officeDocument/2006/relationships/hyperlink" Target="https://www.facebook.com/chan.hazimoon" TargetMode="External"/><Relationship Id="rId6971" Type="http://schemas.openxmlformats.org/officeDocument/2006/relationships/hyperlink" Target="https://www.facebook.com/profile.php?id=100045321765542" TargetMode="External"/><Relationship Id="rId7608" Type="http://schemas.openxmlformats.org/officeDocument/2006/relationships/hyperlink" Target="https://www.facebook.com/chi.huaquynh.2006?mibextid=LQQJ4d" TargetMode="External"/><Relationship Id="rId322" Type="http://schemas.openxmlformats.org/officeDocument/2006/relationships/hyperlink" Target="https://www.facebook.com/anh.04.59" TargetMode="External"/><Relationship Id="rId2003" Type="http://schemas.openxmlformats.org/officeDocument/2006/relationships/hyperlink" Target="https://drive.google.com/open?id=1_RRIzR_UUcDxsBvP-N0ND0oto2-IjFU4" TargetMode="External"/><Relationship Id="rId5159" Type="http://schemas.openxmlformats.org/officeDocument/2006/relationships/hyperlink" Target="https://drive.google.com/open?id=1sX3qD32t0bX4tmx7peeMIsPdF55br8bz" TargetMode="External"/><Relationship Id="rId5573" Type="http://schemas.openxmlformats.org/officeDocument/2006/relationships/hyperlink" Target="https://www.facebook.com/profile.php?id=100043022559403&amp;mibextid=LQQJ4d" TargetMode="External"/><Relationship Id="rId6624" Type="http://schemas.openxmlformats.org/officeDocument/2006/relationships/hyperlink" Target="https://www.facebook.com/pinksheepyaw?mibextid=LQQJ4d" TargetMode="External"/><Relationship Id="rId9030" Type="http://schemas.openxmlformats.org/officeDocument/2006/relationships/hyperlink" Target="https://drive.google.com/open?id=1GptFaGzKVRhxmSHW8JOEHUsxYfNL0iPF" TargetMode="External"/><Relationship Id="rId4175" Type="http://schemas.openxmlformats.org/officeDocument/2006/relationships/hyperlink" Target="https://www.facebook.com/vuduongtrunghieu?mibextid=JRoKGi" TargetMode="External"/><Relationship Id="rId5226" Type="http://schemas.openxmlformats.org/officeDocument/2006/relationships/hyperlink" Target="https://www.facebook.com/profile.php?id=100018329598954" TargetMode="External"/><Relationship Id="rId1769" Type="http://schemas.openxmlformats.org/officeDocument/2006/relationships/hyperlink" Target="https://www.facebook.com/khanhhuyendangiuca?mibextid=LQQJ4d" TargetMode="External"/><Relationship Id="rId3191" Type="http://schemas.openxmlformats.org/officeDocument/2006/relationships/hyperlink" Target="https://www.facebook.com/BuiHau.Official?mibextid=LQQJ4d" TargetMode="External"/><Relationship Id="rId4242" Type="http://schemas.openxmlformats.org/officeDocument/2006/relationships/hyperlink" Target="https://www.facebook.com/alice.uyen.73?mibextid=ZbWKwL" TargetMode="External"/><Relationship Id="rId5640" Type="http://schemas.openxmlformats.org/officeDocument/2006/relationships/hyperlink" Target="https://www.facebook.com/profile.php?id=100041144304274" TargetMode="External"/><Relationship Id="rId7398" Type="http://schemas.openxmlformats.org/officeDocument/2006/relationships/hyperlink" Target="https://www.facebook.com/lananh.ha.1007" TargetMode="External"/><Relationship Id="rId8796" Type="http://schemas.openxmlformats.org/officeDocument/2006/relationships/hyperlink" Target="https://www.facebook.com/quynh.kudo.3" TargetMode="External"/><Relationship Id="rId1836" Type="http://schemas.openxmlformats.org/officeDocument/2006/relationships/hyperlink" Target="https://www.facebook.com/lananh.vuthi.16547?mibextid=LQQJ4d" TargetMode="External"/><Relationship Id="rId8449" Type="http://schemas.openxmlformats.org/officeDocument/2006/relationships/hyperlink" Target="https://www.facebook.com/profile.php?id=100025330666009" TargetMode="External"/><Relationship Id="rId8863" Type="http://schemas.openxmlformats.org/officeDocument/2006/relationships/hyperlink" Target="https://www.facebook.com/profile.php?id=100078687640326" TargetMode="External"/><Relationship Id="rId1903" Type="http://schemas.openxmlformats.org/officeDocument/2006/relationships/hyperlink" Target="https://drive.google.com/open?id=1-C2XIGj2f4k8RCQmYkEblBdRYzosk82l" TargetMode="External"/><Relationship Id="rId7465" Type="http://schemas.openxmlformats.org/officeDocument/2006/relationships/hyperlink" Target="https://www.facebook.com/profile.php?id=100089055393138&amp;mibextid=LQQJ4d" TargetMode="External"/><Relationship Id="rId8516" Type="http://schemas.openxmlformats.org/officeDocument/2006/relationships/hyperlink" Target="https://www.facebook.com/profilecuazang" TargetMode="External"/><Relationship Id="rId8930" Type="http://schemas.openxmlformats.org/officeDocument/2006/relationships/hyperlink" Target="https://www.facebook.com/share/1FGF4TsqdE/?mibextid=wwXIfr" TargetMode="External"/><Relationship Id="rId6067" Type="http://schemas.openxmlformats.org/officeDocument/2006/relationships/hyperlink" Target="https://www.facebook.com/profile.php?id=100063720286177&amp;mibextid=LQQJ4d" TargetMode="External"/><Relationship Id="rId6481" Type="http://schemas.openxmlformats.org/officeDocument/2006/relationships/hyperlink" Target="https://drive.google.com/open?id=1Qdha69kP4tylctWHsURe2feF4v-a2wjQ" TargetMode="External"/><Relationship Id="rId7118" Type="http://schemas.openxmlformats.org/officeDocument/2006/relationships/hyperlink" Target="https://www.facebook.com/profile.php?id=100040461849967" TargetMode="External"/><Relationship Id="rId7532" Type="http://schemas.openxmlformats.org/officeDocument/2006/relationships/hyperlink" Target="https://www.facebook.com/tranquocvuong1080?mibextid=LQQJ4d" TargetMode="External"/><Relationship Id="rId996" Type="http://schemas.openxmlformats.org/officeDocument/2006/relationships/hyperlink" Target="https://www.facebook.com/vuxuan.hoa.3532?mibextid=LQQJ4d" TargetMode="External"/><Relationship Id="rId2677" Type="http://schemas.openxmlformats.org/officeDocument/2006/relationships/hyperlink" Target="https://www.facebook.com/profile.php?id=100092587253979" TargetMode="External"/><Relationship Id="rId3728" Type="http://schemas.openxmlformats.org/officeDocument/2006/relationships/hyperlink" Target="https://www.facebook.com/laosphats.gias" TargetMode="External"/><Relationship Id="rId5083" Type="http://schemas.openxmlformats.org/officeDocument/2006/relationships/hyperlink" Target="https://drive.google.com/open?id=1GLzKM2_DwfBe16bD7a0ShqvfEdkTCc9G" TargetMode="External"/><Relationship Id="rId6134" Type="http://schemas.openxmlformats.org/officeDocument/2006/relationships/hyperlink" Target="https://www.facebook.com/share/X74vXRT2bQ9mJq39/?mibextid=qi2Omg" TargetMode="External"/><Relationship Id="rId649" Type="http://schemas.openxmlformats.org/officeDocument/2006/relationships/hyperlink" Target="https://www.facebook.com/dinh.ngoc.9484941" TargetMode="External"/><Relationship Id="rId1279" Type="http://schemas.openxmlformats.org/officeDocument/2006/relationships/hyperlink" Target="https://www.facebook.com/profile.php?id=100065642561551" TargetMode="External"/><Relationship Id="rId5150" Type="http://schemas.openxmlformats.org/officeDocument/2006/relationships/hyperlink" Target="https://drive.google.com/open?id=1NWDHfPeOp3KYLc3sSDw9KaprhwBOyqZ2" TargetMode="External"/><Relationship Id="rId6201" Type="http://schemas.openxmlformats.org/officeDocument/2006/relationships/hyperlink" Target="https://web.facebook.com/profile.php?id=100066581014264&amp;mibextid=ZbWKwL&amp;ext=1727187888&amp;hash=%2501%2501%2592%25D8Zp%25003%25A3%25A6%2526%25EB%25D75%253Cx%257D%25E3&amp;_rdc=1&amp;_rdr" TargetMode="External"/><Relationship Id="rId9357" Type="http://schemas.openxmlformats.org/officeDocument/2006/relationships/hyperlink" Target="https://drive.google.com/open?id=1E8RFPpRpPZROecD3SkqaBMpRA4JLPkbG" TargetMode="External"/><Relationship Id="rId1346" Type="http://schemas.openxmlformats.org/officeDocument/2006/relationships/hyperlink" Target="https://www.facebook.com/end.heath?mibextid=LQQJ4d" TargetMode="External"/><Relationship Id="rId1693" Type="http://schemas.openxmlformats.org/officeDocument/2006/relationships/hyperlink" Target="https://www.facebook.com/buiha.trang.7773" TargetMode="External"/><Relationship Id="rId2744" Type="http://schemas.openxmlformats.org/officeDocument/2006/relationships/hyperlink" Target="https://drive.google.com/open?id=1yaXkdbPwDcfY3KDK8gHK8lfjEy4KRIJ3" TargetMode="External"/><Relationship Id="rId8373" Type="http://schemas.openxmlformats.org/officeDocument/2006/relationships/hyperlink" Target="https://www.facebook.com/profile.php?id=100080664566956&amp;mibextid=LQQJ4d" TargetMode="External"/><Relationship Id="rId716" Type="http://schemas.openxmlformats.org/officeDocument/2006/relationships/hyperlink" Target="https://drive.google.com/open?id=1SUzT2FpIVkd1T93lPVYhwe7PS_DqRa1G" TargetMode="External"/><Relationship Id="rId1760" Type="http://schemas.openxmlformats.org/officeDocument/2006/relationships/hyperlink" Target="https://www.facebook.com/profile.php?id=100042320381844&amp;mibextid=ZbWKwL" TargetMode="External"/><Relationship Id="rId2811" Type="http://schemas.openxmlformats.org/officeDocument/2006/relationships/hyperlink" Target="https://www.facebook.com/xuyen.chu.1023?mibextid=cejktS" TargetMode="External"/><Relationship Id="rId5967" Type="http://schemas.openxmlformats.org/officeDocument/2006/relationships/hyperlink" Target="https://drive.google.com/open?id=1LZHPWMHMERr5BceY6u_Kwim-zsSdhdeC" TargetMode="External"/><Relationship Id="rId8026" Type="http://schemas.openxmlformats.org/officeDocument/2006/relationships/hyperlink" Target="https://www.facebook.com/thienky.doan.169" TargetMode="External"/><Relationship Id="rId9424" Type="http://schemas.openxmlformats.org/officeDocument/2006/relationships/hyperlink" Target="https://www.facebook.com/chang.phamthithu.9?mibextid=LQQJ4d" TargetMode="External"/><Relationship Id="rId52" Type="http://schemas.openxmlformats.org/officeDocument/2006/relationships/hyperlink" Target="https://drive.google.com/open?id=1xCn1s18VNJ1W5yVrPUHRhYHoD4NQgKsW" TargetMode="External"/><Relationship Id="rId1413" Type="http://schemas.openxmlformats.org/officeDocument/2006/relationships/hyperlink" Target="https://www.facebook.com/profile.php?id=100013439014984" TargetMode="External"/><Relationship Id="rId4569" Type="http://schemas.openxmlformats.org/officeDocument/2006/relationships/hyperlink" Target="https://www.facebook.com/profile.php?id=100089075710185&amp;mibextid=LQQJ4d" TargetMode="External"/><Relationship Id="rId4983" Type="http://schemas.openxmlformats.org/officeDocument/2006/relationships/hyperlink" Target="https://m.facebook.com/dung.lethuy.526438/" TargetMode="External"/><Relationship Id="rId8440" Type="http://schemas.openxmlformats.org/officeDocument/2006/relationships/hyperlink" Target="https://drive.google.com/open?id=1vsScdb6_VTQvDW-wUA78pzrxmIu4RinT" TargetMode="External"/><Relationship Id="rId3585" Type="http://schemas.openxmlformats.org/officeDocument/2006/relationships/hyperlink" Target="https://www.facebook.com/profile.php?id=100028176672530" TargetMode="External"/><Relationship Id="rId4636" Type="http://schemas.openxmlformats.org/officeDocument/2006/relationships/hyperlink" Target="https://www.facebook.com/profile.php?id=100026558622526" TargetMode="External"/><Relationship Id="rId7042" Type="http://schemas.openxmlformats.org/officeDocument/2006/relationships/hyperlink" Target="https://www.facebook.com/profile.php?id=100080248431415&amp;mibextid=LQQJ4d" TargetMode="External"/><Relationship Id="rId2187" Type="http://schemas.openxmlformats.org/officeDocument/2006/relationships/hyperlink" Target="https://www.facebook.com/profile.php?id=100064405215875&amp;mibextid=LQQJ4d" TargetMode="External"/><Relationship Id="rId3238" Type="http://schemas.openxmlformats.org/officeDocument/2006/relationships/hyperlink" Target="https://www.facebook.com/profile.php?id=100066889153310&amp;mibextid=LQQJ4d" TargetMode="External"/><Relationship Id="rId3652" Type="http://schemas.openxmlformats.org/officeDocument/2006/relationships/hyperlink" Target="https://drive.google.com/open?id=1pIOYmmW5LG3iijcwz8fc_vb4jXQT-QSu" TargetMode="External"/><Relationship Id="rId4703" Type="http://schemas.openxmlformats.org/officeDocument/2006/relationships/hyperlink" Target="https://drive.google.com/open?id=16dJ21xvXESdKZkJrRbmjKRavZ_-l8NvC" TargetMode="External"/><Relationship Id="rId7859" Type="http://schemas.openxmlformats.org/officeDocument/2006/relationships/hyperlink" Target="https://drive.google.com/open?id=14_fpu1sUAAgqxezUMvv2AV8Nwrw8Vkly" TargetMode="External"/><Relationship Id="rId159" Type="http://schemas.openxmlformats.org/officeDocument/2006/relationships/hyperlink" Target="https://drive.google.com/open?id=1JqAHnlj7vHcuZHvmJQU_dmN5dVeK3ic7" TargetMode="External"/><Relationship Id="rId573" Type="http://schemas.openxmlformats.org/officeDocument/2006/relationships/hyperlink" Target="https://drive.google.com/open?id=1Wo2NIZi5gW8a9JLK0R0JIMWGE7CzE5x2" TargetMode="External"/><Relationship Id="rId2254" Type="http://schemas.openxmlformats.org/officeDocument/2006/relationships/hyperlink" Target="https://drive.google.com/open?id=1wE1VkBuAB5oG31RdxlJNvHb10Afc0yoi" TargetMode="External"/><Relationship Id="rId3305" Type="http://schemas.openxmlformats.org/officeDocument/2006/relationships/hyperlink" Target="https://drive.google.com/open?id=1LfTklu_GReX-b9PCRQQcK__Sltgwemwe" TargetMode="External"/><Relationship Id="rId9281" Type="http://schemas.openxmlformats.org/officeDocument/2006/relationships/hyperlink" Target="https://www.facebook.com/profile.php?id=100026706547966&amp;mibextid=LQQJ4d" TargetMode="External"/><Relationship Id="rId226" Type="http://schemas.openxmlformats.org/officeDocument/2006/relationships/hyperlink" Target="https://drive.google.com/open?id=1JyRDA3DwM-5FEfl915_flo_Me0XH8DFP" TargetMode="External"/><Relationship Id="rId1270" Type="http://schemas.openxmlformats.org/officeDocument/2006/relationships/hyperlink" Target="https://drive.google.com/open?id=1FjddWEHNoK4JQCayT7zELaQHy8JU1Upw" TargetMode="External"/><Relationship Id="rId5477" Type="http://schemas.openxmlformats.org/officeDocument/2006/relationships/hyperlink" Target="https://www.facebook.com/nhoks2tjt" TargetMode="External"/><Relationship Id="rId6875" Type="http://schemas.openxmlformats.org/officeDocument/2006/relationships/hyperlink" Target="https://drive.google.com/open?id=1G8YkjG9A01rjwD-i5lqrDgXguY1fl2lg" TargetMode="External"/><Relationship Id="rId7926" Type="http://schemas.openxmlformats.org/officeDocument/2006/relationships/hyperlink" Target="https://www.facebook.com/profile.php?id=61550109591741&amp;mibextid=ZbWKwL" TargetMode="External"/><Relationship Id="rId640" Type="http://schemas.openxmlformats.org/officeDocument/2006/relationships/hyperlink" Target="https://drive.google.com/open?id=17C4Ow4q8Kv2BwItyhhJK-YFeL88Wpnzx" TargetMode="External"/><Relationship Id="rId2321" Type="http://schemas.openxmlformats.org/officeDocument/2006/relationships/hyperlink" Target="https://www.facebook.com/profile.php?id=100083444226959&amp;mibextid=ZbWKwL" TargetMode="External"/><Relationship Id="rId4079" Type="http://schemas.openxmlformats.org/officeDocument/2006/relationships/hyperlink" Target="https://www.facebook.com/quangthp.33?mibextid=D4KYlr" TargetMode="External"/><Relationship Id="rId5891" Type="http://schemas.openxmlformats.org/officeDocument/2006/relationships/hyperlink" Target="https://drive.google.com/open?id=1KFNKYvTO4UKlB-GrswkCVoGgudbMr6mQ" TargetMode="External"/><Relationship Id="rId6528" Type="http://schemas.openxmlformats.org/officeDocument/2006/relationships/hyperlink" Target="https://www.facebook.com/profile.php?id=100066811717767&amp;mibextid=ZbWKwL" TargetMode="External"/><Relationship Id="rId6942" Type="http://schemas.openxmlformats.org/officeDocument/2006/relationships/hyperlink" Target="https://www.facebook.com/munss.munss.357622?mibextid=LQQJ4d" TargetMode="External"/><Relationship Id="rId9001" Type="http://schemas.openxmlformats.org/officeDocument/2006/relationships/hyperlink" Target="https://www.facebook.com/hass.nguyen.92" TargetMode="External"/><Relationship Id="rId4493" Type="http://schemas.openxmlformats.org/officeDocument/2006/relationships/hyperlink" Target="https://www.facebook.com/profile.php?id=100035726622234&amp;mibextid=LQQJ4d" TargetMode="External"/><Relationship Id="rId5544" Type="http://schemas.openxmlformats.org/officeDocument/2006/relationships/hyperlink" Target="https://www.facebook.com/phuongoanhng05?mibextid=LQQJ4d" TargetMode="External"/><Relationship Id="rId3095" Type="http://schemas.openxmlformats.org/officeDocument/2006/relationships/hyperlink" Target="https://www.facebook.com/profile.php?id=100073001694750&amp;mibextid=ZbWKwL" TargetMode="External"/><Relationship Id="rId4146" Type="http://schemas.openxmlformats.org/officeDocument/2006/relationships/hyperlink" Target="https://www.facebook.com/nhims.29?mibextid=LQQJ4d" TargetMode="External"/><Relationship Id="rId4560" Type="http://schemas.openxmlformats.org/officeDocument/2006/relationships/hyperlink" Target="https://www.facebook.com/profile.php?id=100074365172832&amp;mibextid=LQQJ4d" TargetMode="External"/><Relationship Id="rId5611" Type="http://schemas.openxmlformats.org/officeDocument/2006/relationships/hyperlink" Target="https://www.facebook.com/profile.php?id=100052929704384" TargetMode="External"/><Relationship Id="rId8767" Type="http://schemas.openxmlformats.org/officeDocument/2006/relationships/hyperlink" Target="https://m.facebook.com/buiquocbao19?mibextid=LQQJ4d" TargetMode="External"/><Relationship Id="rId1807" Type="http://schemas.openxmlformats.org/officeDocument/2006/relationships/hyperlink" Target="https://www.facebook.com/ngthiuyn190?mibextid=ZbWKwL" TargetMode="External"/><Relationship Id="rId3162" Type="http://schemas.openxmlformats.org/officeDocument/2006/relationships/hyperlink" Target="https://drive.google.com/open?id=143D6YpRp01I1MI4fYOTiOZ0s2ENQIjZF" TargetMode="External"/><Relationship Id="rId4213" Type="http://schemas.openxmlformats.org/officeDocument/2006/relationships/hyperlink" Target="https://www.facebook.com/100063891177033/" TargetMode="External"/><Relationship Id="rId7369" Type="http://schemas.openxmlformats.org/officeDocument/2006/relationships/hyperlink" Target="https://www.facebook.com/gia.khanhhhs?mibextid=LQQJ4d" TargetMode="External"/><Relationship Id="rId7783" Type="http://schemas.openxmlformats.org/officeDocument/2006/relationships/hyperlink" Target="https://www.facebook.com/quynhduong.nguyen.501?mibextid=ZbWKwL" TargetMode="External"/><Relationship Id="rId8834" Type="http://schemas.openxmlformats.org/officeDocument/2006/relationships/hyperlink" Target="https://www.facebook.com/dao.anh.viet.419083" TargetMode="External"/><Relationship Id="rId6385" Type="http://schemas.openxmlformats.org/officeDocument/2006/relationships/hyperlink" Target="https://www.facebook.com/profile.php?id=100085011623082&amp;mibextid=LQQJ4d" TargetMode="External"/><Relationship Id="rId7436" Type="http://schemas.openxmlformats.org/officeDocument/2006/relationships/hyperlink" Target="https://drive.google.com/open?id=1HHraJeMz0ycx8NzAHzTs_heLk6ID1S7o" TargetMode="External"/><Relationship Id="rId150" Type="http://schemas.openxmlformats.org/officeDocument/2006/relationships/hyperlink" Target="https://drive.google.com/open?id=1rVvRMrVDjvc0P1aT8zp8YAlq_VdbVT3Q" TargetMode="External"/><Relationship Id="rId3979" Type="http://schemas.openxmlformats.org/officeDocument/2006/relationships/hyperlink" Target="https://drive.google.com/open?id=1W0j-KOM8HsFKWe3Djh3yPt1N4VxCUC0s" TargetMode="External"/><Relationship Id="rId6038" Type="http://schemas.openxmlformats.org/officeDocument/2006/relationships/hyperlink" Target="https://www.facebook.com/taxanhtaxanh?mibextid=LQQJ4d" TargetMode="External"/><Relationship Id="rId6452" Type="http://schemas.openxmlformats.org/officeDocument/2006/relationships/hyperlink" Target="https://www.facebook.com/profile.php?id=100075037448094&amp;mibextid=LQQJ4d" TargetMode="External"/><Relationship Id="rId7850" Type="http://schemas.openxmlformats.org/officeDocument/2006/relationships/hyperlink" Target="https://www.facebook.com/share/4FZfNAxa4bokTj6H/?mibextid=qi2Omg" TargetMode="External"/><Relationship Id="rId8901" Type="http://schemas.openxmlformats.org/officeDocument/2006/relationships/hyperlink" Target="https://www.facebook.com/profile.php?id=100022100826681&amp;mibextid=LQQJ4d" TargetMode="External"/><Relationship Id="rId2995" Type="http://schemas.openxmlformats.org/officeDocument/2006/relationships/hyperlink" Target="https://www.facebook.com/profile.php?id=100013988956601" TargetMode="External"/><Relationship Id="rId5054" Type="http://schemas.openxmlformats.org/officeDocument/2006/relationships/hyperlink" Target="https://www.facebook.com/dole.ducanh.52" TargetMode="External"/><Relationship Id="rId6105" Type="http://schemas.openxmlformats.org/officeDocument/2006/relationships/hyperlink" Target="https://www.facebook.com/ngquanh1006?mibextid=LQQJ4d" TargetMode="External"/><Relationship Id="rId7503" Type="http://schemas.openxmlformats.org/officeDocument/2006/relationships/hyperlink" Target="https://www.facebook.com/kim.anh2k6.qn?mibextid=ZbWKwL" TargetMode="External"/><Relationship Id="rId967" Type="http://schemas.openxmlformats.org/officeDocument/2006/relationships/hyperlink" Target="https://www.facebook.com/youareonlyversion?mibextid=ZbWKwL" TargetMode="External"/><Relationship Id="rId1597" Type="http://schemas.openxmlformats.org/officeDocument/2006/relationships/hyperlink" Target="https://drive.google.com/open?id=1pEpQTj2feIBeYyNseNKBnca5BCTP7ZCS" TargetMode="External"/><Relationship Id="rId2648" Type="http://schemas.openxmlformats.org/officeDocument/2006/relationships/hyperlink" Target="https://www.facebook.com/profile.php?id=100069162640832&amp;mibextid=ZbWKwL" TargetMode="External"/><Relationship Id="rId1664" Type="http://schemas.openxmlformats.org/officeDocument/2006/relationships/hyperlink" Target="https://drive.google.com/open?id=1T8z0ydsbjyIIBKIL-uVOF3W0AlKbQTqE" TargetMode="External"/><Relationship Id="rId2715" Type="http://schemas.openxmlformats.org/officeDocument/2006/relationships/hyperlink" Target="https://www.facebook.com/profile.php?id=100072225052998&amp;mibextid=LQQJ4d" TargetMode="External"/><Relationship Id="rId4070" Type="http://schemas.openxmlformats.org/officeDocument/2006/relationships/hyperlink" Target="https://drive.google.com/open?id=14jvvO8IZPAA3YKvAcKrAQHe1-DeYMsbv" TargetMode="External"/><Relationship Id="rId5121" Type="http://schemas.openxmlformats.org/officeDocument/2006/relationships/hyperlink" Target="https://www.facebook.com/trang.ducan.9" TargetMode="External"/><Relationship Id="rId8277" Type="http://schemas.openxmlformats.org/officeDocument/2006/relationships/hyperlink" Target="https://www.facebook.com/share/19dnSMys7a/?mibextid=wwXIfr" TargetMode="External"/><Relationship Id="rId8691" Type="http://schemas.openxmlformats.org/officeDocument/2006/relationships/hyperlink" Target="https://www.facebook.com/profile.php?id=100029596322166&amp;mibextid=LQQJ4d" TargetMode="External"/><Relationship Id="rId9328" Type="http://schemas.openxmlformats.org/officeDocument/2006/relationships/hyperlink" Target="https://www.facebook.com/duonghung7825?mibextid=LQQJ4d" TargetMode="External"/><Relationship Id="rId1317" Type="http://schemas.openxmlformats.org/officeDocument/2006/relationships/hyperlink" Target="https://www.facebook.com/profile.php?id=100054706222073&amp;mibextid=LQQJ4d" TargetMode="External"/><Relationship Id="rId1731" Type="http://schemas.openxmlformats.org/officeDocument/2006/relationships/hyperlink" Target="https://www.facebook.com/profile.php?id=100053355834062&amp;mibextid=LQQJ4d" TargetMode="External"/><Relationship Id="rId4887" Type="http://schemas.openxmlformats.org/officeDocument/2006/relationships/hyperlink" Target="https://www.facebook.com/profile.php?id=100061840426250&amp;mibextid=LQQJ4d" TargetMode="External"/><Relationship Id="rId5938" Type="http://schemas.openxmlformats.org/officeDocument/2006/relationships/hyperlink" Target="https://www.facebook.com/vu.nguyenba.374549?locale=vi_VN" TargetMode="External"/><Relationship Id="rId7293" Type="http://schemas.openxmlformats.org/officeDocument/2006/relationships/hyperlink" Target="https://www.facebook.com/ngocmy.le.9231712?mibextid=LQQJ4d" TargetMode="External"/><Relationship Id="rId8344" Type="http://schemas.openxmlformats.org/officeDocument/2006/relationships/hyperlink" Target="https://drive.google.com/open?id=1LaED5UlxjWQku4N15_moX0HKIHjhPIRw" TargetMode="External"/><Relationship Id="rId23" Type="http://schemas.openxmlformats.org/officeDocument/2006/relationships/hyperlink" Target="https://www.facebook.com/profile.php?id=100028728332274&amp;mibextid=LQQJ4d" TargetMode="External"/><Relationship Id="rId3489" Type="http://schemas.openxmlformats.org/officeDocument/2006/relationships/hyperlink" Target="https://www.facebook.com/pess.trang.77" TargetMode="External"/><Relationship Id="rId7360" Type="http://schemas.openxmlformats.org/officeDocument/2006/relationships/hyperlink" Target="https://drive.google.com/open?id=1ony2uX1q4Lf3AnCkR-4K9l4azWrayWMa" TargetMode="External"/><Relationship Id="rId8411" Type="http://schemas.openxmlformats.org/officeDocument/2006/relationships/hyperlink" Target="https://www.facebook.com/people/HT-Huyenn/pfbid0qboHM9Sx7NEQSPKzcKQu4fE6sZeQVj4vQtgj4ymB8MJsa2aXi5oNszEfb4pYfRiAl/" TargetMode="External"/><Relationship Id="rId3556" Type="http://schemas.openxmlformats.org/officeDocument/2006/relationships/hyperlink" Target="https://www.facebook.com/luong.ngoc.1466126?mibextid=PlNXYD" TargetMode="External"/><Relationship Id="rId4954" Type="http://schemas.openxmlformats.org/officeDocument/2006/relationships/hyperlink" Target="https://www.facebook.com/profile.php?id=100011229794448&amp;mibextid=ZbWKwL" TargetMode="External"/><Relationship Id="rId7013" Type="http://schemas.openxmlformats.org/officeDocument/2006/relationships/hyperlink" Target="https://www.facebook.com/profile.php?id=100038095920945&amp;mibextid=LQQJ4d" TargetMode="External"/><Relationship Id="rId477" Type="http://schemas.openxmlformats.org/officeDocument/2006/relationships/hyperlink" Target="https://www.facebook.com/Ruseehs0702?mibextid=LQQJ4d" TargetMode="External"/><Relationship Id="rId2158" Type="http://schemas.openxmlformats.org/officeDocument/2006/relationships/hyperlink" Target="https://www.facebook.com/maihoang282001?mibextid=LQQJ4d" TargetMode="External"/><Relationship Id="rId3209" Type="http://schemas.openxmlformats.org/officeDocument/2006/relationships/hyperlink" Target="https://www.facebook.com/khaideptraiv?mibextid=ZbWKwL" TargetMode="External"/><Relationship Id="rId3970" Type="http://schemas.openxmlformats.org/officeDocument/2006/relationships/hyperlink" Target="https://www.facebook.com/Trangg2602" TargetMode="External"/><Relationship Id="rId4607" Type="http://schemas.openxmlformats.org/officeDocument/2006/relationships/hyperlink" Target="https://drive.google.com/open?id=1kcvG_85Sp3-WvZHTLAEXcJ_dKKL4XZoc" TargetMode="External"/><Relationship Id="rId9185" Type="http://schemas.openxmlformats.org/officeDocument/2006/relationships/hyperlink" Target="https://www.facebook.com/profile.php?id=100054369004487&amp;mibextid=wwXIfr&amp;rdid=LeLmjedm8rWpBzWe&amp;share_url=https%3A%2F%2Fwww.facebook.com%2Fshare%2F1KqHnj6mG7%2F%3Fmibextid%3DwwXIfr" TargetMode="External"/><Relationship Id="rId891" Type="http://schemas.openxmlformats.org/officeDocument/2006/relationships/hyperlink" Target="https://drive.google.com/open?id=1KxcJTPHVwLvFnFXi1zV0AyDuFaBvDWnq" TargetMode="External"/><Relationship Id="rId2572" Type="http://schemas.openxmlformats.org/officeDocument/2006/relationships/hyperlink" Target="https://www.facebook.com/Lkhuyen3107?mibextid=LQQJ4d" TargetMode="External"/><Relationship Id="rId3623" Type="http://schemas.openxmlformats.org/officeDocument/2006/relationships/hyperlink" Target="https://drive.google.com/open?id=1JlJE51ECAeyLuE95o6U5c9GRLUxl68E9" TargetMode="External"/><Relationship Id="rId6779" Type="http://schemas.openxmlformats.org/officeDocument/2006/relationships/hyperlink" Target="https://www.facebook.com/profile.php?id=100064855133896&amp;mibextid=LQQJ4d" TargetMode="External"/><Relationship Id="rId544" Type="http://schemas.openxmlformats.org/officeDocument/2006/relationships/hyperlink" Target="https://www.facebook.com/hoangdieuquynh582002?mibextid=LQQJ4d" TargetMode="External"/><Relationship Id="rId1174" Type="http://schemas.openxmlformats.org/officeDocument/2006/relationships/hyperlink" Target="https://www.facebook.com/nguyentiendung910" TargetMode="External"/><Relationship Id="rId2225" Type="http://schemas.openxmlformats.org/officeDocument/2006/relationships/hyperlink" Target="https://www.facebook.com/long.duongbuingoc" TargetMode="External"/><Relationship Id="rId5795" Type="http://schemas.openxmlformats.org/officeDocument/2006/relationships/hyperlink" Target="https://www.facebook.com/profile.php?id=100078684363424" TargetMode="External"/><Relationship Id="rId6846" Type="http://schemas.openxmlformats.org/officeDocument/2006/relationships/hyperlink" Target="https://www.facebook.com/linhnam.tran.568?mibextid=ZbWKwL" TargetMode="External"/><Relationship Id="rId9252" Type="http://schemas.openxmlformats.org/officeDocument/2006/relationships/hyperlink" Target="https://www.facebook.com/profile.php?id=100019748934690&amp;mibextid=LQQJ4d" TargetMode="External"/><Relationship Id="rId611" Type="http://schemas.openxmlformats.org/officeDocument/2006/relationships/hyperlink" Target="https://www.facebook.com/myhuyen041203?mibextid=ZbWKwL" TargetMode="External"/><Relationship Id="rId1241" Type="http://schemas.openxmlformats.org/officeDocument/2006/relationships/hyperlink" Target="https://www.facebook.com/profile.php?id=100034721226509" TargetMode="External"/><Relationship Id="rId4397" Type="http://schemas.openxmlformats.org/officeDocument/2006/relationships/hyperlink" Target="https://www.facebook.com/profile.php?id=100038496949033&amp;mibextid=LQQJ4d" TargetMode="External"/><Relationship Id="rId5448" Type="http://schemas.openxmlformats.org/officeDocument/2006/relationships/hyperlink" Target="https://www.facebook.com/ngvanhiu.125?mibextid=LQQJ4d" TargetMode="External"/><Relationship Id="rId5862" Type="http://schemas.openxmlformats.org/officeDocument/2006/relationships/hyperlink" Target="https://drive.google.com/open?id=1ZMRIMJf5sRVBWVOjEz4BZ-U0MijfEpPs" TargetMode="External"/><Relationship Id="rId6913" Type="http://schemas.openxmlformats.org/officeDocument/2006/relationships/hyperlink" Target="https://www.facebook.com/profile.php?id=100039919934651&amp;locale=vi_VN" TargetMode="External"/><Relationship Id="rId4464" Type="http://schemas.openxmlformats.org/officeDocument/2006/relationships/hyperlink" Target="https://www.facebook.com/profile.php?id=100092486949896" TargetMode="External"/><Relationship Id="rId5515" Type="http://schemas.openxmlformats.org/officeDocument/2006/relationships/hyperlink" Target="https://drive.google.com/open?id=12VlQzjm1L6zCsWjQl_gz-l-7ZAbxqj3d" TargetMode="External"/><Relationship Id="rId3066" Type="http://schemas.openxmlformats.org/officeDocument/2006/relationships/hyperlink" Target="https://drive.google.com/open?id=1GROaG86s8yP323xLKRNLaVOs0S_on5at" TargetMode="External"/><Relationship Id="rId3480" Type="http://schemas.openxmlformats.org/officeDocument/2006/relationships/hyperlink" Target="https://www.facebook.com/anddy.hoang.94?mibextid=LQQJ4dq" TargetMode="External"/><Relationship Id="rId4117" Type="http://schemas.openxmlformats.org/officeDocument/2006/relationships/hyperlink" Target="https://drive.google.com/open?id=15rMV2QhD5FahEiNyMnD2YSPXK-UAKJcs" TargetMode="External"/><Relationship Id="rId4531" Type="http://schemas.openxmlformats.org/officeDocument/2006/relationships/hyperlink" Target="https://www.facebook.com/profile.php?id=100069946414457&amp;mibextid=LQQJ4d" TargetMode="External"/><Relationship Id="rId7687" Type="http://schemas.openxmlformats.org/officeDocument/2006/relationships/hyperlink" Target="https://drive.google.com/open?id=1AS-tVLAiPlbf9PZ3pGRq6XIh1J5fieM_" TargetMode="External"/><Relationship Id="rId2082" Type="http://schemas.openxmlformats.org/officeDocument/2006/relationships/hyperlink" Target="https://www.facebook.com/diep.thien.75470" TargetMode="External"/><Relationship Id="rId3133" Type="http://schemas.openxmlformats.org/officeDocument/2006/relationships/hyperlink" Target="https://www.facebook.com/profile.php?id=100054963064964" TargetMode="External"/><Relationship Id="rId6289" Type="http://schemas.openxmlformats.org/officeDocument/2006/relationships/hyperlink" Target="https://www.facebook.com/profile.php?id=61561326142471&amp;mibextid=LQQJ4d" TargetMode="External"/><Relationship Id="rId8738" Type="http://schemas.openxmlformats.org/officeDocument/2006/relationships/hyperlink" Target="https://www.facebook.com/nhims.29?mibextid=LQQJ4d" TargetMode="External"/><Relationship Id="rId7754" Type="http://schemas.openxmlformats.org/officeDocument/2006/relationships/hyperlink" Target="https://drive.google.com/open?id=1_69bvUsZdgmRUZwa31YlvE0CkSclHdLL" TargetMode="External"/><Relationship Id="rId8805" Type="http://schemas.openxmlformats.org/officeDocument/2006/relationships/hyperlink" Target="https://www.facebook.com/profile.php?id=100027478186045&amp;mibextid=ZbWKwL" TargetMode="External"/><Relationship Id="rId2899" Type="http://schemas.openxmlformats.org/officeDocument/2006/relationships/hyperlink" Target="https://drive.google.com/open?id=1jW9w3mtunXPlLRUUhvBOSicFZf07e0II" TargetMode="External"/><Relationship Id="rId3200" Type="http://schemas.openxmlformats.org/officeDocument/2006/relationships/hyperlink" Target="https://www.facebook.com/hung.nguyenlam.1614" TargetMode="External"/><Relationship Id="rId6356" Type="http://schemas.openxmlformats.org/officeDocument/2006/relationships/hyperlink" Target="https://www.facebook.com/profile.php?id=100051930849905" TargetMode="External"/><Relationship Id="rId6770" Type="http://schemas.openxmlformats.org/officeDocument/2006/relationships/hyperlink" Target="https://www.facebook.com/VTHMadridistaChicken2006?mibextid=LQQJ4d" TargetMode="External"/><Relationship Id="rId7407" Type="http://schemas.openxmlformats.org/officeDocument/2006/relationships/hyperlink" Target="https://www.facebook.com/profile.php?id=100064100315420&amp;mibextid=LQQJ4d" TargetMode="External"/><Relationship Id="rId7821" Type="http://schemas.openxmlformats.org/officeDocument/2006/relationships/hyperlink" Target="https://drive.google.com/open?id=1v81optcwWHIdrV32VeqeBgju7kBWo1b7" TargetMode="External"/><Relationship Id="rId121" Type="http://schemas.openxmlformats.org/officeDocument/2006/relationships/hyperlink" Target="https://drive.google.com/open?id=1RCZrskQPGtImmyJFkx4AzNhSTRqGi8BO" TargetMode="External"/><Relationship Id="rId2966" Type="http://schemas.openxmlformats.org/officeDocument/2006/relationships/hyperlink" Target="https://www.facebook.com/100056734222796/" TargetMode="External"/><Relationship Id="rId5372" Type="http://schemas.openxmlformats.org/officeDocument/2006/relationships/hyperlink" Target="https://www.facebook.com/tuanminh.truong.9461?mibextid=LQQJ4d" TargetMode="External"/><Relationship Id="rId6009" Type="http://schemas.openxmlformats.org/officeDocument/2006/relationships/hyperlink" Target="https://www.facebook.com/quynhnhu.kh" TargetMode="External"/><Relationship Id="rId6423" Type="http://schemas.openxmlformats.org/officeDocument/2006/relationships/hyperlink" Target="https://www.facebook.com/sin.thuong.5?mibextid=ZbWKwL" TargetMode="External"/><Relationship Id="rId9579" Type="http://schemas.openxmlformats.org/officeDocument/2006/relationships/hyperlink" Target="https://www.facebook.com/share/12EtbyCVd8n/?mibextid=wwXIfr" TargetMode="External"/><Relationship Id="rId938" Type="http://schemas.openxmlformats.org/officeDocument/2006/relationships/hyperlink" Target="https://drive.google.com/open?id=1rC8OqZ1JWKv2v0ktMRNFM4tohD_VYPHg" TargetMode="External"/><Relationship Id="rId1568" Type="http://schemas.openxmlformats.org/officeDocument/2006/relationships/hyperlink" Target="https://www.facebook.com/quang.buiduy.3344?mibextid=LQQJ4d" TargetMode="External"/><Relationship Id="rId2619" Type="http://schemas.openxmlformats.org/officeDocument/2006/relationships/hyperlink" Target="https://www.facebook.com/nongmahonghanh?mibextid=LQQJ4d" TargetMode="External"/><Relationship Id="rId5025" Type="http://schemas.openxmlformats.org/officeDocument/2006/relationships/hyperlink" Target="https://drive.google.com/open?id=1C5Bm3ZGDrDaCZF5SRY33_KKP2hN_QYn0" TargetMode="External"/><Relationship Id="rId8595" Type="http://schemas.openxmlformats.org/officeDocument/2006/relationships/hyperlink" Target="https://www.facebook.com/ptpthao0311?mibextid=LQQJ4d" TargetMode="External"/><Relationship Id="rId1635" Type="http://schemas.openxmlformats.org/officeDocument/2006/relationships/hyperlink" Target="https://www.facebook.com/profile.php?id=100009775327696&amp;mibextid=ZbWKwL" TargetMode="External"/><Relationship Id="rId1982" Type="http://schemas.openxmlformats.org/officeDocument/2006/relationships/hyperlink" Target="https://www.facebook.com/baoobinhh.gaii.3?mibextid=7cd5pb" TargetMode="External"/><Relationship Id="rId4041" Type="http://schemas.openxmlformats.org/officeDocument/2006/relationships/hyperlink" Target="https://www.facebook.com/profile.php?id=100078507665971" TargetMode="External"/><Relationship Id="rId7197" Type="http://schemas.openxmlformats.org/officeDocument/2006/relationships/hyperlink" Target="https://drive.google.com/open?id=1nY7JDA-KPD_wftCkbG-omGzLgHIu30h5" TargetMode="External"/><Relationship Id="rId8248" Type="http://schemas.openxmlformats.org/officeDocument/2006/relationships/hyperlink" Target="https://drive.google.com/open?id=18qyaNLzBUoP-UjoXaPLSd6KH_h98KANx" TargetMode="External"/><Relationship Id="rId8662" Type="http://schemas.openxmlformats.org/officeDocument/2006/relationships/hyperlink" Target="https://www.facebook.com/ptpthao0311?mibextid=LQQJ4d" TargetMode="External"/><Relationship Id="rId7264" Type="http://schemas.openxmlformats.org/officeDocument/2006/relationships/hyperlink" Target="https://www.facebook.com/nhanlinkbayacc?mibextid=kFxxJ" TargetMode="External"/><Relationship Id="rId8315" Type="http://schemas.openxmlformats.org/officeDocument/2006/relationships/hyperlink" Target="https://www.facebook.com/hoang.thi.nga.6306?mibextid=LQQJ4d" TargetMode="External"/><Relationship Id="rId1702" Type="http://schemas.openxmlformats.org/officeDocument/2006/relationships/hyperlink" Target="https://www.facebook.com/profile.php?id=100046750959676" TargetMode="External"/><Relationship Id="rId4858" Type="http://schemas.openxmlformats.org/officeDocument/2006/relationships/hyperlink" Target="https://drive.google.com/open?id=1HaH_6ICs-zgXrMmnWoYiisaSW8cwUAmt" TargetMode="External"/><Relationship Id="rId5909" Type="http://schemas.openxmlformats.org/officeDocument/2006/relationships/hyperlink" Target="https://www.facebook.com/binhan.vu.568" TargetMode="External"/><Relationship Id="rId3874" Type="http://schemas.openxmlformats.org/officeDocument/2006/relationships/hyperlink" Target="https://www.facebook.com/ngockhanh.nguyenthi.5855?mibextid=LQQJ4d" TargetMode="External"/><Relationship Id="rId4925" Type="http://schemas.openxmlformats.org/officeDocument/2006/relationships/hyperlink" Target="https://www.facebook.com/profile.php?id=100041499977920&amp;mibextid=LQQJ4d" TargetMode="External"/><Relationship Id="rId6280" Type="http://schemas.openxmlformats.org/officeDocument/2006/relationships/hyperlink" Target="https://www.facebook.com/profile.php?id=100041252289902&amp;mibextid=LQQJ4d" TargetMode="External"/><Relationship Id="rId7331" Type="http://schemas.openxmlformats.org/officeDocument/2006/relationships/hyperlink" Target="https://drive.google.com/open?id=1Aom08Oq7eOcjEj4BWgTaDQNY7SMmWPrr" TargetMode="External"/><Relationship Id="rId9089" Type="http://schemas.openxmlformats.org/officeDocument/2006/relationships/hyperlink" Target="https://www.facebook.com/2imPhamHung?mibextid=LQQJ4d" TargetMode="External"/><Relationship Id="rId795" Type="http://schemas.openxmlformats.org/officeDocument/2006/relationships/hyperlink" Target="https://www.facebook.com/profile.php?id=100015278533454" TargetMode="External"/><Relationship Id="rId2476" Type="http://schemas.openxmlformats.org/officeDocument/2006/relationships/hyperlink" Target="https://drive.google.com/open?id=11cbtLgWNdsUABmQNOuOyRsvR55z43MJx" TargetMode="External"/><Relationship Id="rId2890" Type="http://schemas.openxmlformats.org/officeDocument/2006/relationships/hyperlink" Target="https://www.facebook.com/profile.php?id=100024704403873&amp;mibextid=LQQJ4d" TargetMode="External"/><Relationship Id="rId3527" Type="http://schemas.openxmlformats.org/officeDocument/2006/relationships/hyperlink" Target="https://www.facebook.com/profile.php?id=100042279292111&amp;mibextid=LQQJ4d" TargetMode="External"/><Relationship Id="rId3941" Type="http://schemas.openxmlformats.org/officeDocument/2006/relationships/hyperlink" Target="https://drive.google.com/open?id=1tpPF41FUb4s1uTbt3TZqH_Ne113vzR4z" TargetMode="External"/><Relationship Id="rId448" Type="http://schemas.openxmlformats.org/officeDocument/2006/relationships/hyperlink" Target="https://www.facebook.com/profile.php?id=100030106772382&amp;mibextid=ZbWKwL" TargetMode="External"/><Relationship Id="rId862" Type="http://schemas.openxmlformats.org/officeDocument/2006/relationships/hyperlink" Target="https://drive.google.com/open?id=1QvKrwqgrpcpzOTQFFjGhPLt77-dMsotv" TargetMode="External"/><Relationship Id="rId1078" Type="http://schemas.openxmlformats.org/officeDocument/2006/relationships/hyperlink" Target="https://www.facebook.com/profile.php?id=100020612886223" TargetMode="External"/><Relationship Id="rId1492" Type="http://schemas.openxmlformats.org/officeDocument/2006/relationships/hyperlink" Target="https://drive.google.com/open?id=1fuRKNk22LQ8HHiODMHmBpXI1DGV89oZJ" TargetMode="External"/><Relationship Id="rId2129" Type="http://schemas.openxmlformats.org/officeDocument/2006/relationships/hyperlink" Target="https://drive.google.com/open?id=1gHR4R93S0Xh-JDFlJBlWOxnxA1Fz8KJb" TargetMode="External"/><Relationship Id="rId2543" Type="http://schemas.openxmlformats.org/officeDocument/2006/relationships/hyperlink" Target="https://drive.google.com/open?id=1UwMrlvWtjyKncsvBGJc2-hM4H_9orXOP" TargetMode="External"/><Relationship Id="rId5699" Type="http://schemas.openxmlformats.org/officeDocument/2006/relationships/hyperlink" Target="https://www.facebook.com/heogay.pepu?mibextid=LQQJ4d" TargetMode="External"/><Relationship Id="rId6000" Type="http://schemas.openxmlformats.org/officeDocument/2006/relationships/hyperlink" Target="https://www.facebook.com/nguyenddat.2006" TargetMode="External"/><Relationship Id="rId9156" Type="http://schemas.openxmlformats.org/officeDocument/2006/relationships/hyperlink" Target="https://web.facebook.com/profile.php?id=100066581014264&amp;mibextid=ZbWKwL&amp;ext=1727187888&amp;hash=%2501%2501%2592%25D8Zp%25003%25A3%25A6%2526%25EB%25D75%253Cx%257D%25E3&amp;_rdc=1&amp;_rdr" TargetMode="External"/><Relationship Id="rId9570" Type="http://schemas.openxmlformats.org/officeDocument/2006/relationships/hyperlink" Target="https://www.facebook.com/phuong.linh.737852?mibextid=wwXIfr&amp;rdid=USGRlB4VtcH5G9dI&amp;share_url=https%3A%2F%2Fwww.facebook.com%2Fshare%2F1DajQ11UNB%2F%3Fmibextid%3DwwXIfr" TargetMode="External"/><Relationship Id="rId515" Type="http://schemas.openxmlformats.org/officeDocument/2006/relationships/hyperlink" Target="https://www.facebook.com/duongs.duongs.92372?mibextid=LQQJ4d" TargetMode="External"/><Relationship Id="rId1145" Type="http://schemas.openxmlformats.org/officeDocument/2006/relationships/hyperlink" Target="https://www.facebook.com/xuyen.chu.1023?mibextid=cejktS" TargetMode="External"/><Relationship Id="rId5766" Type="http://schemas.openxmlformats.org/officeDocument/2006/relationships/hyperlink" Target="https://www.facebook.com/vchuongneeee?mibextid=LQQJ4d" TargetMode="External"/><Relationship Id="rId8172" Type="http://schemas.openxmlformats.org/officeDocument/2006/relationships/hyperlink" Target="https://drive.google.com/open?id=1Aq5xekwSYKIsRTk4Tyj3eTGlg_lklq7d" TargetMode="External"/><Relationship Id="rId9223" Type="http://schemas.openxmlformats.org/officeDocument/2006/relationships/hyperlink" Target="https://www.facebook.com/profile.php?id=100062182376196" TargetMode="External"/><Relationship Id="rId1212" Type="http://schemas.openxmlformats.org/officeDocument/2006/relationships/hyperlink" Target="https://drive.google.com/open?id=1E73LplaDTOJpmffChtWk9i8lMxCUZeUb" TargetMode="External"/><Relationship Id="rId2610" Type="http://schemas.openxmlformats.org/officeDocument/2006/relationships/hyperlink" Target="https://www.facebook.com/mythi.phuongthao.1" TargetMode="External"/><Relationship Id="rId4368" Type="http://schemas.openxmlformats.org/officeDocument/2006/relationships/hyperlink" Target="https://drive.google.com/open?id=1OJLrpQoydk64QQLBlIXD2qkJWA8y3CNI" TargetMode="External"/><Relationship Id="rId5419" Type="http://schemas.openxmlformats.org/officeDocument/2006/relationships/hyperlink" Target="https://www.facebook.com/Minah2611" TargetMode="External"/><Relationship Id="rId6817" Type="http://schemas.openxmlformats.org/officeDocument/2006/relationships/hyperlink" Target="https://www.facebook.com/profile.php?id=100052889808624&amp;mibextid=ZbWKwL" TargetMode="External"/><Relationship Id="rId4782" Type="http://schemas.openxmlformats.org/officeDocument/2006/relationships/hyperlink" Target="https://www.facebook.com/profile.php?id=100037810461808&amp;mibextid=LQQJ4d" TargetMode="External"/><Relationship Id="rId5833" Type="http://schemas.openxmlformats.org/officeDocument/2006/relationships/hyperlink" Target="https://www.facebook.com/profile.php?id=100049931901005&amp;mibextid=ZbWKwL" TargetMode="External"/><Relationship Id="rId8989" Type="http://schemas.openxmlformats.org/officeDocument/2006/relationships/hyperlink" Target="https://drive.google.com/open?id=1zOONBjbywEGIlAkenG3vZIK1enLGy9Wq" TargetMode="External"/><Relationship Id="rId3037" Type="http://schemas.openxmlformats.org/officeDocument/2006/relationships/hyperlink" Target="https://drive.google.com/open?id=1TVWG9PDSPQQzdzHKsnGlr6qNR_g92Jrt" TargetMode="External"/><Relationship Id="rId3384" Type="http://schemas.openxmlformats.org/officeDocument/2006/relationships/hyperlink" Target="https://www.facebook.com/hao.henry.739?mibextid=LQQJ4d" TargetMode="External"/><Relationship Id="rId4435" Type="http://schemas.openxmlformats.org/officeDocument/2006/relationships/hyperlink" Target="https://www.facebook.com/nynhbong.cutevcll.888?mibextid=LQQJ4d" TargetMode="External"/><Relationship Id="rId5900" Type="http://schemas.openxmlformats.org/officeDocument/2006/relationships/hyperlink" Target="https://www.facebook.com/vytham.hoang.31?mibextid=ZbWKwL" TargetMode="External"/><Relationship Id="rId3451" Type="http://schemas.openxmlformats.org/officeDocument/2006/relationships/hyperlink" Target="https://drive.google.com/open?id=1Naf7liX8eq-5cX7KvX7k36mNVFXDp39S" TargetMode="External"/><Relationship Id="rId4502" Type="http://schemas.openxmlformats.org/officeDocument/2006/relationships/hyperlink" Target="https://www.facebook.com/share/jLdeDuaS6Yek3tcj/?mibextid=LQQJ4d" TargetMode="External"/><Relationship Id="rId7658" Type="http://schemas.openxmlformats.org/officeDocument/2006/relationships/hyperlink" Target="https://www.facebook.com/nt.quynh.06?mibextid=kFxxJD" TargetMode="External"/><Relationship Id="rId8709" Type="http://schemas.openxmlformats.org/officeDocument/2006/relationships/hyperlink" Target="https://drive.google.com/open?id=1kcNje0tlOpRc-ghykyzscwotw04X7yr6" TargetMode="External"/><Relationship Id="rId372" Type="http://schemas.openxmlformats.org/officeDocument/2006/relationships/hyperlink" Target="https://www.facebook.com/profile.php?id=100026077692896" TargetMode="External"/><Relationship Id="rId2053" Type="http://schemas.openxmlformats.org/officeDocument/2006/relationships/hyperlink" Target="https://www.facebook.com/quynhnhu.hoangthi.39?mibextid=LQQJ4d" TargetMode="External"/><Relationship Id="rId3104" Type="http://schemas.openxmlformats.org/officeDocument/2006/relationships/hyperlink" Target="https://www.facebook.com/hanhpando?mibextid=LQQJ4d" TargetMode="External"/><Relationship Id="rId6674" Type="http://schemas.openxmlformats.org/officeDocument/2006/relationships/hyperlink" Target="https://www.facebook.com/profile.php?id=61561326142471&amp;mibextid=LQQJ4d" TargetMode="External"/><Relationship Id="rId7725" Type="http://schemas.openxmlformats.org/officeDocument/2006/relationships/hyperlink" Target="https://www.facebook.com/profile.php?id=100052134877722" TargetMode="External"/><Relationship Id="rId9080" Type="http://schemas.openxmlformats.org/officeDocument/2006/relationships/hyperlink" Target="https://www.facebook.com/phhuutuan?mibextid=LQQJ4d" TargetMode="External"/><Relationship Id="rId2120" Type="http://schemas.openxmlformats.org/officeDocument/2006/relationships/hyperlink" Target="https://www.facebook.com/uyenn.vuongg.52?mibextid=LQQJ4d" TargetMode="External"/><Relationship Id="rId5276" Type="http://schemas.openxmlformats.org/officeDocument/2006/relationships/hyperlink" Target="https://www.facebook.com/profile.php?id=61559132601091" TargetMode="External"/><Relationship Id="rId5690" Type="http://schemas.openxmlformats.org/officeDocument/2006/relationships/hyperlink" Target="https://www.facebook.com/profile.php?id=100079302884382" TargetMode="External"/><Relationship Id="rId6327" Type="http://schemas.openxmlformats.org/officeDocument/2006/relationships/hyperlink" Target="https://www.facebook.com/profile.php?id=100080701576514" TargetMode="External"/><Relationship Id="rId6741" Type="http://schemas.openxmlformats.org/officeDocument/2006/relationships/hyperlink" Target="https://www.facebook.com/share/15dNeo7rHu/?mibextid=LQQJ4d" TargetMode="External"/><Relationship Id="rId4292" Type="http://schemas.openxmlformats.org/officeDocument/2006/relationships/hyperlink" Target="https://www.facebook.com/dung.chuhung.7" TargetMode="External"/><Relationship Id="rId5343" Type="http://schemas.openxmlformats.org/officeDocument/2006/relationships/hyperlink" Target="https://www.facebook.com/profile.php?id=100034196131502" TargetMode="External"/><Relationship Id="rId8499" Type="http://schemas.openxmlformats.org/officeDocument/2006/relationships/hyperlink" Target="https://www.facebook.com/profile.php?id=100066183375705&amp;mibextid=LQQJ4d" TargetMode="External"/><Relationship Id="rId1886" Type="http://schemas.openxmlformats.org/officeDocument/2006/relationships/hyperlink" Target="https://www.facebook.com/profile.php?id=100069149421333" TargetMode="External"/><Relationship Id="rId2937" Type="http://schemas.openxmlformats.org/officeDocument/2006/relationships/hyperlink" Target="https://drive.google.com/open?id=1s8wAhT2HyKRVeZux18nupVHUjzuVfpVS" TargetMode="External"/><Relationship Id="rId909" Type="http://schemas.openxmlformats.org/officeDocument/2006/relationships/hyperlink" Target="https://www.facebook.com/profile.php?id=100007187147773" TargetMode="External"/><Relationship Id="rId1539" Type="http://schemas.openxmlformats.org/officeDocument/2006/relationships/hyperlink" Target="https://www.facebook.com/llmsao" TargetMode="External"/><Relationship Id="rId1953" Type="http://schemas.openxmlformats.org/officeDocument/2006/relationships/hyperlink" Target="https://www.facebook.com/profile.php?id=100044719773594&amp;mibextid=LQQJ4d" TargetMode="External"/><Relationship Id="rId5410" Type="http://schemas.openxmlformats.org/officeDocument/2006/relationships/hyperlink" Target="https://www.facebook.com/tranthanh.van.50999405?mibextid=LQQJ4d" TargetMode="External"/><Relationship Id="rId7168" Type="http://schemas.openxmlformats.org/officeDocument/2006/relationships/hyperlink" Target="https://www.facebook.com/profile.php?id=100064195123792&amp;mibextid=ZbWKwL" TargetMode="External"/><Relationship Id="rId8566" Type="http://schemas.openxmlformats.org/officeDocument/2006/relationships/hyperlink" Target="https://www.facebook.com/profile.php?id=100064200363767&amp;mibextid=LQQJ4d" TargetMode="External"/><Relationship Id="rId8980" Type="http://schemas.openxmlformats.org/officeDocument/2006/relationships/hyperlink" Target="https://drive.google.com/open?id=1AN_FJBQ4Bx9mTd1k06pL_pm0_drrRmo4" TargetMode="External"/><Relationship Id="rId1606" Type="http://schemas.openxmlformats.org/officeDocument/2006/relationships/hyperlink" Target="https://drive.google.com/open?id=1ctMV9gkMzmS71mHomvBxR1dVs_RQy_4j" TargetMode="External"/><Relationship Id="rId4012" Type="http://schemas.openxmlformats.org/officeDocument/2006/relationships/hyperlink" Target="https://drive.google.com/open?id=1mVB8FeUjkDtHST_hVdnl5T28YnebEfEr" TargetMode="External"/><Relationship Id="rId7582" Type="http://schemas.openxmlformats.org/officeDocument/2006/relationships/hyperlink" Target="https://www.facebook.com/profile.php?id=100040896285230&amp;rdid=zHMyVy9GDkrIWu3k&amp;share_url=https%3A%2F%2Fwww.facebook.com%2Fshare%2FWVfXbCYs3P8f6Uzq%2F" TargetMode="External"/><Relationship Id="rId8219" Type="http://schemas.openxmlformats.org/officeDocument/2006/relationships/hyperlink" Target="https://www.facebook.com/share/1BBwuKjA4W/" TargetMode="External"/><Relationship Id="rId8633" Type="http://schemas.openxmlformats.org/officeDocument/2006/relationships/hyperlink" Target="https://www.facebook.com/profile.php?id=100089556412919&amp;mibextid=JRoKGi" TargetMode="External"/><Relationship Id="rId3778" Type="http://schemas.openxmlformats.org/officeDocument/2006/relationships/hyperlink" Target="https://m.facebook.com/len.nguyenthi.37625843?mibextid=LQQJ4d" TargetMode="External"/><Relationship Id="rId4829" Type="http://schemas.openxmlformats.org/officeDocument/2006/relationships/hyperlink" Target="https://drive.google.com/open?id=10UkqQge66dy3S0A0LfI1aey2rp_SkcPN" TargetMode="External"/><Relationship Id="rId6184" Type="http://schemas.openxmlformats.org/officeDocument/2006/relationships/hyperlink" Target="https://www.facebook.com/profile.php?id=100019320176480&amp;mibextid=LQQJ4d" TargetMode="External"/><Relationship Id="rId7235" Type="http://schemas.openxmlformats.org/officeDocument/2006/relationships/hyperlink" Target="https://www.facebook.com/100087514287247/" TargetMode="External"/><Relationship Id="rId8700" Type="http://schemas.openxmlformats.org/officeDocument/2006/relationships/hyperlink" Target="https://www.facebook.com/profile.php?id=100013090092474&amp;mibextid=LQQJ4d" TargetMode="External"/><Relationship Id="rId699" Type="http://schemas.openxmlformats.org/officeDocument/2006/relationships/hyperlink" Target="https://www.facebook.com/doan.trung.3538" TargetMode="External"/><Relationship Id="rId2794" Type="http://schemas.openxmlformats.org/officeDocument/2006/relationships/hyperlink" Target="https://www.facebook.com/profile.php?id=100040160680689&amp;mibextid=LQQJ4d" TargetMode="External"/><Relationship Id="rId3845" Type="http://schemas.openxmlformats.org/officeDocument/2006/relationships/hyperlink" Target="https://drive.google.com/open?id=1WXQxLU5fstxRTC2sIn68IPV-VRaf-2QG" TargetMode="External"/><Relationship Id="rId6251" Type="http://schemas.openxmlformats.org/officeDocument/2006/relationships/hyperlink" Target="https://www.facebook.com/havyhoang149?mibextid=LQQJ4d" TargetMode="External"/><Relationship Id="rId7302" Type="http://schemas.openxmlformats.org/officeDocument/2006/relationships/hyperlink" Target="https://www.facebook.com/profile.php?id=100083491641273&amp;mibextid=LQQJ4d" TargetMode="External"/><Relationship Id="rId766" Type="http://schemas.openxmlformats.org/officeDocument/2006/relationships/hyperlink" Target="https://drive.google.com/open?id=1HHN1YJpohzDWG-k40j2_oQqWtSkI4Zzc" TargetMode="External"/><Relationship Id="rId1396" Type="http://schemas.openxmlformats.org/officeDocument/2006/relationships/hyperlink" Target="https://drive.google.com/open?id=1K8tf2C1WPjl9QHSr7rNSrD1DLnOzp-vp" TargetMode="External"/><Relationship Id="rId2447" Type="http://schemas.openxmlformats.org/officeDocument/2006/relationships/hyperlink" Target="https://www.facebook.com/profile.php?id=100007187147773" TargetMode="External"/><Relationship Id="rId9474" Type="http://schemas.openxmlformats.org/officeDocument/2006/relationships/hyperlink" Target="https://www.facebook.com/profile.php?id=100043301829744&amp;mibextid=LQQJ4d" TargetMode="External"/><Relationship Id="rId419" Type="http://schemas.openxmlformats.org/officeDocument/2006/relationships/hyperlink" Target="https://drive.google.com/open?id=1aPIRGLwG9rFugPM5PsiC5tlaZvfjFaVF" TargetMode="External"/><Relationship Id="rId1049" Type="http://schemas.openxmlformats.org/officeDocument/2006/relationships/hyperlink" Target="https://www.facebook.com/trinhphuonganh21?mibextid=haYZDX" TargetMode="External"/><Relationship Id="rId2861" Type="http://schemas.openxmlformats.org/officeDocument/2006/relationships/hyperlink" Target="https://www.facebook.com/hoang8531?mibextid=LQQJ4d" TargetMode="External"/><Relationship Id="rId3912" Type="http://schemas.openxmlformats.org/officeDocument/2006/relationships/hyperlink" Target="https://www.facebook.com/profile.php?id=100033659448836&amp;mibextid=LQQJ4d" TargetMode="External"/><Relationship Id="rId8076" Type="http://schemas.openxmlformats.org/officeDocument/2006/relationships/hyperlink" Target="https://drive.google.com/open?id=14HD2QdzC6SZwG0DB0nwdTjGaxdAny9B5" TargetMode="External"/><Relationship Id="rId9127" Type="http://schemas.openxmlformats.org/officeDocument/2006/relationships/hyperlink" Target="https://www.facebook.com/thytrmnek" TargetMode="External"/><Relationship Id="rId833" Type="http://schemas.openxmlformats.org/officeDocument/2006/relationships/hyperlink" Target="https://www.facebook.com/thu.phuong21010" TargetMode="External"/><Relationship Id="rId1116" Type="http://schemas.openxmlformats.org/officeDocument/2006/relationships/hyperlink" Target="https://drive.google.com/open?id=1UD9-LLhblAufuTrDkUwKvGPmBK2Cyxw2" TargetMode="External"/><Relationship Id="rId1463" Type="http://schemas.openxmlformats.org/officeDocument/2006/relationships/hyperlink" Target="https://www.facebook.com/le.kimchi.10004" TargetMode="External"/><Relationship Id="rId2514" Type="http://schemas.openxmlformats.org/officeDocument/2006/relationships/hyperlink" Target="https://drive.google.com/open?id=1TjlHMBgpk06R-XmHSNi4rYirm-FbncQF" TargetMode="External"/><Relationship Id="rId7092" Type="http://schemas.openxmlformats.org/officeDocument/2006/relationships/hyperlink" Target="https://drive.google.com/open?id=17k6sx9inQq5TL3RPhO1mZ5bCfzkqPmPc" TargetMode="External"/><Relationship Id="rId8143" Type="http://schemas.openxmlformats.org/officeDocument/2006/relationships/hyperlink" Target="https://www.facebook.com/profile.php?id=100072391633140" TargetMode="External"/><Relationship Id="rId8490" Type="http://schemas.openxmlformats.org/officeDocument/2006/relationships/hyperlink" Target="https://drive.google.com/open?id=1qS8PpQettaqlxTZVAzehflcSW4mbC4Oo" TargetMode="External"/><Relationship Id="rId9541" Type="http://schemas.openxmlformats.org/officeDocument/2006/relationships/hyperlink" Target="https://www.facebook.com/share/1KRTZci7fG/?mibextid=wwXIfr" TargetMode="External"/><Relationship Id="rId900" Type="http://schemas.openxmlformats.org/officeDocument/2006/relationships/hyperlink" Target="https://www.facebook.com/ducminn1103?mibextid=eBUYbo" TargetMode="External"/><Relationship Id="rId1530" Type="http://schemas.openxmlformats.org/officeDocument/2006/relationships/hyperlink" Target="https://www.facebook.com/hoang.maihuong.182" TargetMode="External"/><Relationship Id="rId4686" Type="http://schemas.openxmlformats.org/officeDocument/2006/relationships/hyperlink" Target="https://drive.google.com/open?id=1jLh4tB9_dlepvfJXFIWcGrJYSxexftpd" TargetMode="External"/><Relationship Id="rId5737" Type="http://schemas.openxmlformats.org/officeDocument/2006/relationships/hyperlink" Target="https://www.facebook.com/profile.php?id=100077395614775&amp;mibextid=ZbWKwL" TargetMode="External"/><Relationship Id="rId3288" Type="http://schemas.openxmlformats.org/officeDocument/2006/relationships/hyperlink" Target="https://www.facebook.com/xuu.thuongg.3?mibextid=LQQJ4d" TargetMode="External"/><Relationship Id="rId4339" Type="http://schemas.openxmlformats.org/officeDocument/2006/relationships/hyperlink" Target="https://www.facebook.com/le.vanphong.12914216" TargetMode="External"/><Relationship Id="rId4753" Type="http://schemas.openxmlformats.org/officeDocument/2006/relationships/hyperlink" Target="https://drive.google.com/open?id=1CfO7zdRQrutUlubnxEpRGt9zaC8vdDRO" TargetMode="External"/><Relationship Id="rId5804" Type="http://schemas.openxmlformats.org/officeDocument/2006/relationships/hyperlink" Target="https://drive.google.com/open?id=1JiuEXzU2qOHiRcfRkBjsJNANwk6egHCc" TargetMode="External"/><Relationship Id="rId8210" Type="http://schemas.openxmlformats.org/officeDocument/2006/relationships/hyperlink" Target="https://www.facebook.com/canhxuongngonngot?mibextid=LQQJ4d" TargetMode="External"/><Relationship Id="rId3355" Type="http://schemas.openxmlformats.org/officeDocument/2006/relationships/hyperlink" Target="https://www.facebook.com/profile.php?id=100055021920921&amp;mibextid=LQQJ4d" TargetMode="External"/><Relationship Id="rId4406" Type="http://schemas.openxmlformats.org/officeDocument/2006/relationships/hyperlink" Target="https://www.facebook.com/profile.php?id=100069689043114&amp;mibextid=LQQJ4d" TargetMode="External"/><Relationship Id="rId7976" Type="http://schemas.openxmlformats.org/officeDocument/2006/relationships/hyperlink" Target="https://www.facebook.com/vuthi.maiphuong.2606?mibextid=LQQJ4d" TargetMode="External"/><Relationship Id="rId276" Type="http://schemas.openxmlformats.org/officeDocument/2006/relationships/hyperlink" Target="https://www.facebook.com/quyen.huyen.9256?mibextid=LQQJ4d" TargetMode="External"/><Relationship Id="rId690" Type="http://schemas.openxmlformats.org/officeDocument/2006/relationships/hyperlink" Target="https://www.facebook.com/huyen.thuong.1605?mibextid=LQQJ4d" TargetMode="External"/><Relationship Id="rId2371" Type="http://schemas.openxmlformats.org/officeDocument/2006/relationships/hyperlink" Target="https://www.facebook.com/profile.php?id=100029583483959&amp;mibextid=ZbWKwL" TargetMode="External"/><Relationship Id="rId3008" Type="http://schemas.openxmlformats.org/officeDocument/2006/relationships/hyperlink" Target="https://drive.google.com/open?id=1B9txwRF0qOKwzzqJTGAOLm1tPhwAE75A" TargetMode="External"/><Relationship Id="rId3422" Type="http://schemas.openxmlformats.org/officeDocument/2006/relationships/hyperlink" Target="https://www.facebook.com/100024453649476/" TargetMode="External"/><Relationship Id="rId4820" Type="http://schemas.openxmlformats.org/officeDocument/2006/relationships/hyperlink" Target="https://www.facebook.com/trang17ngo" TargetMode="External"/><Relationship Id="rId6578" Type="http://schemas.openxmlformats.org/officeDocument/2006/relationships/hyperlink" Target="https://www.facebook.com/nhiss.bangss.54?mibextid=LQQJ4d" TargetMode="External"/><Relationship Id="rId7629" Type="http://schemas.openxmlformats.org/officeDocument/2006/relationships/hyperlink" Target="https://www.facebook.com/profile.php?id=100048103996534&amp;mibextid=LQQJ4d" TargetMode="External"/><Relationship Id="rId343" Type="http://schemas.openxmlformats.org/officeDocument/2006/relationships/hyperlink" Target="https://drive.google.com/open?id=18Z_jtm8biXDkzNL6hxja-YhqGRHk65tT" TargetMode="External"/><Relationship Id="rId2024" Type="http://schemas.openxmlformats.org/officeDocument/2006/relationships/hyperlink" Target="https://www.facebook.com/profile.php?id=100015391931578&amp;mibextid=LQQJ4d" TargetMode="External"/><Relationship Id="rId6992" Type="http://schemas.openxmlformats.org/officeDocument/2006/relationships/hyperlink" Target="https://www.facebook.com/profile.php?id=61565299397940&amp;mibextid=LQQJ4d" TargetMode="External"/><Relationship Id="rId9051" Type="http://schemas.openxmlformats.org/officeDocument/2006/relationships/hyperlink" Target="https://www.facebook.com/profile.php?id=100062272704696&amp;mibextid=LQQJ4d" TargetMode="External"/><Relationship Id="rId1040" Type="http://schemas.openxmlformats.org/officeDocument/2006/relationships/hyperlink" Target="https://drive.google.com/open?id=1LNblMee3gAftajwc3UtiP9PV3tmyU-_1" TargetMode="External"/><Relationship Id="rId4196" Type="http://schemas.openxmlformats.org/officeDocument/2006/relationships/hyperlink" Target="https://www.facebook.com/profile.php?id=100030286573099&amp;mibextid=LQQJ4d" TargetMode="External"/><Relationship Id="rId5247" Type="http://schemas.openxmlformats.org/officeDocument/2006/relationships/hyperlink" Target="https://drive.google.com/open?id=1VzxfK5sD8M978OzDBiPpv_qSnX09nhKI" TargetMode="External"/><Relationship Id="rId5594" Type="http://schemas.openxmlformats.org/officeDocument/2006/relationships/hyperlink" Target="https://www.facebook.com/profile.php?id=100045263265116" TargetMode="External"/><Relationship Id="rId6645" Type="http://schemas.openxmlformats.org/officeDocument/2006/relationships/hyperlink" Target="https://www.facebook.com/lehung15.08.06?mibextid=LQQJ4d" TargetMode="External"/><Relationship Id="rId410" Type="http://schemas.openxmlformats.org/officeDocument/2006/relationships/hyperlink" Target="https://www.facebook.com/profile.php?id=100086800088725&amp;mibextid=LQQJ4d" TargetMode="External"/><Relationship Id="rId5661" Type="http://schemas.openxmlformats.org/officeDocument/2006/relationships/hyperlink" Target="https://www.facebook.com/profile.php?id=100021788392729" TargetMode="External"/><Relationship Id="rId6712" Type="http://schemas.openxmlformats.org/officeDocument/2006/relationships/hyperlink" Target="https://www.facebook.com/profile.php?id=100026376623678&amp;mibextid=ZbWKwL" TargetMode="External"/><Relationship Id="rId1857" Type="http://schemas.openxmlformats.org/officeDocument/2006/relationships/hyperlink" Target="https://www.facebook.com/profile.php?id=100071255825626&amp;mibextid=ZbWKwL" TargetMode="External"/><Relationship Id="rId2908" Type="http://schemas.openxmlformats.org/officeDocument/2006/relationships/hyperlink" Target="https://drive.google.com/open?id=1Cmf24girt0jmnAqpXIwa0xkdeMlyXNvo" TargetMode="External"/><Relationship Id="rId4263" Type="http://schemas.openxmlformats.org/officeDocument/2006/relationships/hyperlink" Target="https://www.facebook.com/profile.php?id=100064553701831&amp;mibextid=LQQJ4d" TargetMode="External"/><Relationship Id="rId5314" Type="http://schemas.openxmlformats.org/officeDocument/2006/relationships/hyperlink" Target="https://www.facebook.com/profile.php?id=100087006656747&amp;mibextid=LQQJ4d" TargetMode="External"/><Relationship Id="rId8884" Type="http://schemas.openxmlformats.org/officeDocument/2006/relationships/hyperlink" Target="https://www.facebook.com/share/1EMEWJhW7U/?mibextid=wwXIfr" TargetMode="External"/><Relationship Id="rId1924" Type="http://schemas.openxmlformats.org/officeDocument/2006/relationships/hyperlink" Target="https://www.facebook.com/profile.php?id=100044599085831&amp;mibextid=LQQJ4d" TargetMode="External"/><Relationship Id="rId4330" Type="http://schemas.openxmlformats.org/officeDocument/2006/relationships/hyperlink" Target="https://www.facebook.com/avery.taijun?mibextid=LQQJ4d" TargetMode="External"/><Relationship Id="rId7486" Type="http://schemas.openxmlformats.org/officeDocument/2006/relationships/hyperlink" Target="https://m.facebook.com/khoa.anhdoan06?mibextid=wwXIfr&amp;mibextid=wwXIfr" TargetMode="External"/><Relationship Id="rId8537" Type="http://schemas.openxmlformats.org/officeDocument/2006/relationships/hyperlink" Target="https://www.facebook.com/cut.cuc.750331?mibextid=LQQJ4d" TargetMode="External"/><Relationship Id="rId8951" Type="http://schemas.openxmlformats.org/officeDocument/2006/relationships/hyperlink" Target="https://redirect.zalo.me/v3/verifyv2/pc?token=OsRmmznoKGbW2VR2t1vKPc0BzhFO0L1-UnJml0&amp;continue=https%3A%2F%2Fwww.facebook.com%2Fshare%2F1B6pmj2yyG%2F%3Fmibextid%3DwwXIfr" TargetMode="External"/><Relationship Id="rId6088" Type="http://schemas.openxmlformats.org/officeDocument/2006/relationships/hyperlink" Target="https://www.facebook.com/profile.php?id=100094545836375&amp;mibextid=LQQJ4d" TargetMode="External"/><Relationship Id="rId7139" Type="http://schemas.openxmlformats.org/officeDocument/2006/relationships/hyperlink" Target="https://drive.google.com/open?id=1wykKko5nd-v_s4_XwCg5zbKHsTH0pw-8" TargetMode="External"/><Relationship Id="rId7553" Type="http://schemas.openxmlformats.org/officeDocument/2006/relationships/hyperlink" Target="https://www.facebook.com/karry.nguyen.906638?mibextid=LQQJ4d" TargetMode="External"/><Relationship Id="rId8604" Type="http://schemas.openxmlformats.org/officeDocument/2006/relationships/hyperlink" Target="https://www.facebook.com/ann.phamxuan.56" TargetMode="External"/><Relationship Id="rId2698" Type="http://schemas.openxmlformats.org/officeDocument/2006/relationships/hyperlink" Target="https://www.facebook.com/share/mVNqBXZN2izXKoyH/?" TargetMode="External"/><Relationship Id="rId6155" Type="http://schemas.openxmlformats.org/officeDocument/2006/relationships/hyperlink" Target="https://www.facebook.com/icua.06?mibextid=LQQJ4d" TargetMode="External"/><Relationship Id="rId7206" Type="http://schemas.openxmlformats.org/officeDocument/2006/relationships/hyperlink" Target="https://drive.google.com/open?id=10Wd5noefnSqZYim56-bE4EwcQKEOyJcn" TargetMode="External"/><Relationship Id="rId3749" Type="http://schemas.openxmlformats.org/officeDocument/2006/relationships/hyperlink" Target="https://www.facebook.com/profile.php?id=100079541583900&amp;mibextid=LQQJ4d" TargetMode="External"/><Relationship Id="rId5171" Type="http://schemas.openxmlformats.org/officeDocument/2006/relationships/hyperlink" Target="https://www.facebook.com/profile.php?id=61551051837121" TargetMode="External"/><Relationship Id="rId6222" Type="http://schemas.openxmlformats.org/officeDocument/2006/relationships/hyperlink" Target="https://www.facebook.com/profile.php?id=100023403321768" TargetMode="External"/><Relationship Id="rId7620" Type="http://schemas.openxmlformats.org/officeDocument/2006/relationships/hyperlink" Target="https://www.facebook.com/lone.linhlinh" TargetMode="External"/><Relationship Id="rId9378" Type="http://schemas.openxmlformats.org/officeDocument/2006/relationships/hyperlink" Target="https://drive.google.com/open?id=1FY1401HE3NjDDEMGQJw9hoFhErxl6s5i" TargetMode="External"/><Relationship Id="rId2765" Type="http://schemas.openxmlformats.org/officeDocument/2006/relationships/hyperlink" Target="https://drive.google.com/open?id=1qkC0Kmub1gpj891SsZdelWB0cefFN0wX" TargetMode="External"/><Relationship Id="rId3816" Type="http://schemas.openxmlformats.org/officeDocument/2006/relationships/hyperlink" Target="https://drive.google.com/open?id=1el3SHnXVYshmA6xKdj7UZ3SMRFUyjevz" TargetMode="External"/><Relationship Id="rId737" Type="http://schemas.openxmlformats.org/officeDocument/2006/relationships/hyperlink" Target="https://www.facebook.com/gnahuv?mibextid=LQQJ4d" TargetMode="External"/><Relationship Id="rId1367" Type="http://schemas.openxmlformats.org/officeDocument/2006/relationships/hyperlink" Target="https://www.facebook.com/khanhvi.nguyen.5623" TargetMode="External"/><Relationship Id="rId1781" Type="http://schemas.openxmlformats.org/officeDocument/2006/relationships/hyperlink" Target="https://www.facebook.com/profile.php?id=100056958707502&amp;mibextid=LQQJ4d" TargetMode="External"/><Relationship Id="rId2418" Type="http://schemas.openxmlformats.org/officeDocument/2006/relationships/hyperlink" Target="https://www.facebook.com/profile.php?id=100071549422419" TargetMode="External"/><Relationship Id="rId2832" Type="http://schemas.openxmlformats.org/officeDocument/2006/relationships/hyperlink" Target="https://drive.google.com/open?id=1DQZUqIutxl90MC8Nujf8QnhrDr8ZfkK7" TargetMode="External"/><Relationship Id="rId5988" Type="http://schemas.openxmlformats.org/officeDocument/2006/relationships/hyperlink" Target="https://www.facebook.com/doanh.bui.31521301?mibextid=LQQJ4d" TargetMode="External"/><Relationship Id="rId8394" Type="http://schemas.openxmlformats.org/officeDocument/2006/relationships/hyperlink" Target="https://drive.google.com/open?id=12VlQzjm1L6zCsWjQl_gz-l-7ZAbxqj3d" TargetMode="External"/><Relationship Id="rId9445" Type="http://schemas.openxmlformats.org/officeDocument/2006/relationships/hyperlink" Target="https://www.facebook.com/nguyennklin" TargetMode="External"/><Relationship Id="rId73" Type="http://schemas.openxmlformats.org/officeDocument/2006/relationships/hyperlink" Target="https://www.facebook.com/profile.php?id=100022222849444&amp;mibextid=LQQJ4d" TargetMode="External"/><Relationship Id="rId804" Type="http://schemas.openxmlformats.org/officeDocument/2006/relationships/hyperlink" Target="https://drive.google.com/open?id=1G4sYg2oXzbjVuN3WVk1r7kR7f3v424S4" TargetMode="External"/><Relationship Id="rId1434" Type="http://schemas.openxmlformats.org/officeDocument/2006/relationships/hyperlink" Target="https://www.facebook.com/profile.php?id=100078859430172&amp;mibextid=ZbWKwL" TargetMode="External"/><Relationship Id="rId8047" Type="http://schemas.openxmlformats.org/officeDocument/2006/relationships/hyperlink" Target="https://www.facebook.com/profile.php?id=100088365222409&amp;mibextid=LQQJ4d" TargetMode="External"/><Relationship Id="rId8461" Type="http://schemas.openxmlformats.org/officeDocument/2006/relationships/hyperlink" Target="https://www.facebook.com/profile.php?id=100071852317246&amp;mibextid=ZbWKwL" TargetMode="External"/><Relationship Id="rId9512" Type="http://schemas.openxmlformats.org/officeDocument/2006/relationships/hyperlink" Target="https://www.facebook.com/jqk.zs1308" TargetMode="External"/><Relationship Id="rId1501" Type="http://schemas.openxmlformats.org/officeDocument/2006/relationships/hyperlink" Target="https://www.facebook.com/profile.php?id=100034391682722&amp;mibextid=LQQJ4d" TargetMode="External"/><Relationship Id="rId4657" Type="http://schemas.openxmlformats.org/officeDocument/2006/relationships/hyperlink" Target="https://www.facebook.com/giaophan1223?mibextid=JRoKGi&amp;rdid=hXFKtaSLb1uqWcG7&amp;share_url=https%3A%2F%2Fwww.facebook.com%2Fshare%2FbS9oFsfQxTnUrtS9%2F%3Fmibextid%3DJRoKGi" TargetMode="External"/><Relationship Id="rId5708" Type="http://schemas.openxmlformats.org/officeDocument/2006/relationships/hyperlink" Target="https://www.facebook.com/profile.php?id=100055091917677&amp;mibextid=LQQJ4d" TargetMode="External"/><Relationship Id="rId7063" Type="http://schemas.openxmlformats.org/officeDocument/2006/relationships/hyperlink" Target="https://www.facebook.com/pdl.06?mibextid=ZbWKwL" TargetMode="External"/><Relationship Id="rId8114" Type="http://schemas.openxmlformats.org/officeDocument/2006/relationships/hyperlink" Target="https://www.facebook.com/lamhoa128?mibextid=LQQJ4d" TargetMode="External"/><Relationship Id="rId3259" Type="http://schemas.openxmlformats.org/officeDocument/2006/relationships/hyperlink" Target="https://www.facebook.com/vhopng1904?mibextid=eQY6cl" TargetMode="External"/><Relationship Id="rId7130" Type="http://schemas.openxmlformats.org/officeDocument/2006/relationships/hyperlink" Target="https://www.facebook.com/profile.php?id=100017442690165" TargetMode="External"/><Relationship Id="rId594" Type="http://schemas.openxmlformats.org/officeDocument/2006/relationships/hyperlink" Target="https://www.facebook.com/profile.php?id=100022374960663&amp;mibextid=ZbWKwL" TargetMode="External"/><Relationship Id="rId2275" Type="http://schemas.openxmlformats.org/officeDocument/2006/relationships/hyperlink" Target="https://drive.google.com/open?id=1atnoJ-mPPrhbra3O74VNvipj_481HFib" TargetMode="External"/><Relationship Id="rId3326" Type="http://schemas.openxmlformats.org/officeDocument/2006/relationships/hyperlink" Target="https://www.facebook.com/profile.php?id=100040114420336" TargetMode="External"/><Relationship Id="rId3673" Type="http://schemas.openxmlformats.org/officeDocument/2006/relationships/hyperlink" Target="https://www.facebook.com/tranthikimhue2110?mibextid=LQQJ4d" TargetMode="External"/><Relationship Id="rId4724" Type="http://schemas.openxmlformats.org/officeDocument/2006/relationships/hyperlink" Target="https://www.facebook.com/profile.php?id=100050539413642&amp;mibextid=ZbWKwL" TargetMode="External"/><Relationship Id="rId247" Type="http://schemas.openxmlformats.org/officeDocument/2006/relationships/hyperlink" Target="https://www.facebook.com/Lekimanh204" TargetMode="External"/><Relationship Id="rId3740" Type="http://schemas.openxmlformats.org/officeDocument/2006/relationships/hyperlink" Target="https://www.facebook.com/profile.php?id=100013597984848&amp;mibextid=LQQJ4d" TargetMode="External"/><Relationship Id="rId6896" Type="http://schemas.openxmlformats.org/officeDocument/2006/relationships/hyperlink" Target="https://www.facebook.com/profile.php?id=100034612563053" TargetMode="External"/><Relationship Id="rId7947" Type="http://schemas.openxmlformats.org/officeDocument/2006/relationships/hyperlink" Target="https://www.facebook.com/profile.php?id=100076204042639&amp;mibextid=LQQJ4d" TargetMode="External"/><Relationship Id="rId661" Type="http://schemas.openxmlformats.org/officeDocument/2006/relationships/hyperlink" Target="https://www.facebook.com/profile.php?id=100082805363678&amp;mibextid=LQQJ4d" TargetMode="External"/><Relationship Id="rId1291" Type="http://schemas.openxmlformats.org/officeDocument/2006/relationships/hyperlink" Target="https://www.facebook.com/profile.php?id=61550659032570" TargetMode="External"/><Relationship Id="rId2342" Type="http://schemas.openxmlformats.org/officeDocument/2006/relationships/hyperlink" Target="https://www.facebook.com/thanhtam160904" TargetMode="External"/><Relationship Id="rId5498" Type="http://schemas.openxmlformats.org/officeDocument/2006/relationships/hyperlink" Target="https://www.facebook.com/100056734222796/" TargetMode="External"/><Relationship Id="rId6549" Type="http://schemas.openxmlformats.org/officeDocument/2006/relationships/hyperlink" Target="https://www.facebook.com/trang.ducan.9" TargetMode="External"/><Relationship Id="rId6963" Type="http://schemas.openxmlformats.org/officeDocument/2006/relationships/hyperlink" Target="https://www.facebook.com/caucinh.cong.5?mibextid=LQQJ4d" TargetMode="External"/><Relationship Id="rId314" Type="http://schemas.openxmlformats.org/officeDocument/2006/relationships/hyperlink" Target="https://www.facebook.com/phuong.hoangquynh.963" TargetMode="External"/><Relationship Id="rId5565" Type="http://schemas.openxmlformats.org/officeDocument/2006/relationships/hyperlink" Target="https://www.facebook.com/profile.php?id=100077442223974" TargetMode="External"/><Relationship Id="rId6616" Type="http://schemas.openxmlformats.org/officeDocument/2006/relationships/hyperlink" Target="https://www.facebook.com/profile.php?id=100055875903759&amp;mibextid=LQQJ4d" TargetMode="External"/><Relationship Id="rId9022" Type="http://schemas.openxmlformats.org/officeDocument/2006/relationships/hyperlink" Target="https://drive.google.com/open?id=1kKyfRT2QanqnX2bMpqSYnfYbwzqyYf97" TargetMode="External"/><Relationship Id="rId1011" Type="http://schemas.openxmlformats.org/officeDocument/2006/relationships/hyperlink" Target="https://drive.google.com/open?id=1Ev5YOXwu2-lRbTbDRMkMpjCpdPnw_ihP" TargetMode="External"/><Relationship Id="rId4167" Type="http://schemas.openxmlformats.org/officeDocument/2006/relationships/hyperlink" Target="https://www.facebook.com/profile.php?id=100051807124056" TargetMode="External"/><Relationship Id="rId4581" Type="http://schemas.openxmlformats.org/officeDocument/2006/relationships/hyperlink" Target="https://drive.google.com/open?id=132Plo_KCIXvhbb0GYfDNofE5fUGRZrKo" TargetMode="External"/><Relationship Id="rId5218" Type="http://schemas.openxmlformats.org/officeDocument/2006/relationships/hyperlink" Target="https://www.facebook.com/khanh.luongquoc.716" TargetMode="External"/><Relationship Id="rId5632" Type="http://schemas.openxmlformats.org/officeDocument/2006/relationships/hyperlink" Target="https://www.facebook.com/profile.php?id=100088147969185&amp;mibextid=LQQJ4d" TargetMode="External"/><Relationship Id="rId8788" Type="http://schemas.openxmlformats.org/officeDocument/2006/relationships/hyperlink" Target="https://drive.google.com/open?id=1uFD5a1nwmCrckXiun8UTyuDX5_Cxs4m8" TargetMode="External"/><Relationship Id="rId3183" Type="http://schemas.openxmlformats.org/officeDocument/2006/relationships/hyperlink" Target="https://drive.google.com/open?id=1riFMG4tPE0ANaFDgliKgvzUVnKMKDYiX" TargetMode="External"/><Relationship Id="rId4234" Type="http://schemas.openxmlformats.org/officeDocument/2006/relationships/hyperlink" Target="https://www.facebook.com/profile.php?id=100076625193438&amp;mibextid=LQQJ4d" TargetMode="External"/><Relationship Id="rId1828" Type="http://schemas.openxmlformats.org/officeDocument/2006/relationships/hyperlink" Target="https://www.facebook.com/trinh.thuthuy.961?mibextid=ZbWKwL" TargetMode="External"/><Relationship Id="rId3250" Type="http://schemas.openxmlformats.org/officeDocument/2006/relationships/hyperlink" Target="https://www.facebook.com/Mityubi16?mibextid=PtKPJ9" TargetMode="External"/><Relationship Id="rId7457" Type="http://schemas.openxmlformats.org/officeDocument/2006/relationships/hyperlink" Target="https://www.facebook.com/profile.php?id=100025243657037&amp;mibextid=ZbWKwL" TargetMode="External"/><Relationship Id="rId8855" Type="http://schemas.openxmlformats.org/officeDocument/2006/relationships/hyperlink" Target="https://www.facebook.com/profile.php?id=61552594259644&amp;mibextid=ZbWKwL" TargetMode="External"/><Relationship Id="rId171" Type="http://schemas.openxmlformats.org/officeDocument/2006/relationships/hyperlink" Target="https://drive.google.com/open?id=10XsBcOdARnHn38I7YlCmGwSJHluWotpt" TargetMode="External"/><Relationship Id="rId4301" Type="http://schemas.openxmlformats.org/officeDocument/2006/relationships/hyperlink" Target="https://www.facebook.com/touocbanthanlamnenvaidieukidieu?mibextid=LQQJ4d" TargetMode="External"/><Relationship Id="rId6059" Type="http://schemas.openxmlformats.org/officeDocument/2006/relationships/hyperlink" Target="https://www.facebook.com/profile.php?id=100072114332884" TargetMode="External"/><Relationship Id="rId7871" Type="http://schemas.openxmlformats.org/officeDocument/2006/relationships/hyperlink" Target="https://www.facebook.com/tho.trinhhuu.3511?mibextid=ZbWKwL" TargetMode="External"/><Relationship Id="rId8508" Type="http://schemas.openxmlformats.org/officeDocument/2006/relationships/hyperlink" Target="https://www.facebook.com/profile.php?id=100075717146213&amp;mibextid=ZbWKwL" TargetMode="External"/><Relationship Id="rId8922" Type="http://schemas.openxmlformats.org/officeDocument/2006/relationships/hyperlink" Target="https://drive.google.com/open?id=14cCW5z7-IuvyBeqhbzhXyH7oNwfYHDPs" TargetMode="External"/><Relationship Id="rId6473" Type="http://schemas.openxmlformats.org/officeDocument/2006/relationships/hyperlink" Target="https://www.facebook.com/phanh0660101122003?mibextid=LQQJ4d" TargetMode="External"/><Relationship Id="rId7524" Type="http://schemas.openxmlformats.org/officeDocument/2006/relationships/hyperlink" Target="https://www.facebook.com/profile.php?id=100062137960120&amp;mibextid=LQQJ4d" TargetMode="External"/><Relationship Id="rId988" Type="http://schemas.openxmlformats.org/officeDocument/2006/relationships/hyperlink" Target="https://www.facebook.com/profile.php?id=100064236200804&amp;mibextid=LQQJ4d" TargetMode="External"/><Relationship Id="rId2669" Type="http://schemas.openxmlformats.org/officeDocument/2006/relationships/hyperlink" Target="https://www.facebook.com/profile.php?id=100035082633789&amp;mibextid=LQQJ4d" TargetMode="External"/><Relationship Id="rId5075" Type="http://schemas.openxmlformats.org/officeDocument/2006/relationships/hyperlink" Target="https://m.facebook.com/n.huowzng06?mibextid=LQQJ4d" TargetMode="External"/><Relationship Id="rId6126" Type="http://schemas.openxmlformats.org/officeDocument/2006/relationships/hyperlink" Target="https://www.facebook.com/dungg.nguyenn.522?mibextid=LQQJ4d" TargetMode="External"/><Relationship Id="rId6540" Type="http://schemas.openxmlformats.org/officeDocument/2006/relationships/hyperlink" Target="https://www.facebook.com/profile.php?id=100034720028349" TargetMode="External"/><Relationship Id="rId1685" Type="http://schemas.openxmlformats.org/officeDocument/2006/relationships/hyperlink" Target="https://www.facebook.com/hieu.maicong.902" TargetMode="External"/><Relationship Id="rId2736" Type="http://schemas.openxmlformats.org/officeDocument/2006/relationships/hyperlink" Target="https://www.facebook.com/profile.php?id=61550985276689&amp;mibextid=LQQJ4d" TargetMode="External"/><Relationship Id="rId4091" Type="http://schemas.openxmlformats.org/officeDocument/2006/relationships/hyperlink" Target="https://www.facebook.com/profile.php?id=100023733975113&amp;mibextid=LQQJ4d" TargetMode="External"/><Relationship Id="rId5142" Type="http://schemas.openxmlformats.org/officeDocument/2006/relationships/hyperlink" Target="https://www.facebook.com/profile.php?id=100064278098622&amp;mibextid=LQQJ4d" TargetMode="External"/><Relationship Id="rId8298" Type="http://schemas.openxmlformats.org/officeDocument/2006/relationships/hyperlink" Target="https://drive.google.com/open?id=19z77GSyFh6rCm4N7fAoJxoJ1_2GLy4Le" TargetMode="External"/><Relationship Id="rId9349" Type="http://schemas.openxmlformats.org/officeDocument/2006/relationships/hyperlink" Target="https://www.facebook.com/haquang.nghia.10?mibextid=LQQJ4d" TargetMode="External"/><Relationship Id="rId708" Type="http://schemas.openxmlformats.org/officeDocument/2006/relationships/hyperlink" Target="https://www.facebook.com/thanhong101?mibextid=LQQJ4d" TargetMode="External"/><Relationship Id="rId1338" Type="http://schemas.openxmlformats.org/officeDocument/2006/relationships/hyperlink" Target="https://www.facebook.com/kien.tranduc.3745?mibextid=LQQJ4d" TargetMode="External"/><Relationship Id="rId8365" Type="http://schemas.openxmlformats.org/officeDocument/2006/relationships/hyperlink" Target="https://www.facebook.com/profile.php?id=100017148787985&amp;mibextid=LQQJ4d" TargetMode="External"/><Relationship Id="rId9416" Type="http://schemas.openxmlformats.org/officeDocument/2006/relationships/hyperlink" Target="https://www.facebook.com/vuong.hoangngan.79?mibextid=LQQJ4d" TargetMode="External"/><Relationship Id="rId1405" Type="http://schemas.openxmlformats.org/officeDocument/2006/relationships/hyperlink" Target="https://www.facebook.com/phuongloan.nguyenthi.3572?mibextid=LQQJ4d" TargetMode="External"/><Relationship Id="rId1752" Type="http://schemas.openxmlformats.org/officeDocument/2006/relationships/hyperlink" Target="https://www.facebook.com/profile.php?id=100028058356403&amp;mibextid=LQQJ4d" TargetMode="External"/><Relationship Id="rId2803" Type="http://schemas.openxmlformats.org/officeDocument/2006/relationships/hyperlink" Target="https://www.facebook.com/profile.php?id=100011778961135&amp;mibextid=LQQJ4d" TargetMode="External"/><Relationship Id="rId5959" Type="http://schemas.openxmlformats.org/officeDocument/2006/relationships/hyperlink" Target="https://www.facebook.com/profile.php?id=100064282836442&amp;mibextid=LQQJ4d" TargetMode="External"/><Relationship Id="rId7381" Type="http://schemas.openxmlformats.org/officeDocument/2006/relationships/hyperlink" Target="https://www.facebook.com/profile.php?id=100049327514504&amp;mibextid=LQQJ4d" TargetMode="External"/><Relationship Id="rId8018" Type="http://schemas.openxmlformats.org/officeDocument/2006/relationships/hyperlink" Target="https://www.facebook.com/profile.php?id=100035344247836&amp;mibextid=LQQJ4d" TargetMode="External"/><Relationship Id="rId8432" Type="http://schemas.openxmlformats.org/officeDocument/2006/relationships/hyperlink" Target="https://www.facebook.com/share/1FkvFsZdZf/" TargetMode="External"/><Relationship Id="rId44" Type="http://schemas.openxmlformats.org/officeDocument/2006/relationships/hyperlink" Target="https://www.facebook.com/hungbeo88" TargetMode="External"/><Relationship Id="rId4975" Type="http://schemas.openxmlformats.org/officeDocument/2006/relationships/hyperlink" Target="https://www.facebook.com/profile.php?id=100072391633140" TargetMode="External"/><Relationship Id="rId7034" Type="http://schemas.openxmlformats.org/officeDocument/2006/relationships/hyperlink" Target="https://www.facebook.com/profile.php?id=100076356548759&amp;mibextid=ZbWKwL" TargetMode="External"/><Relationship Id="rId498" Type="http://schemas.openxmlformats.org/officeDocument/2006/relationships/hyperlink" Target="https://drive.google.com/open?id=1sp3ExMyTo5-9teGqukDMEfGEVo_m5kK8" TargetMode="External"/><Relationship Id="rId2179" Type="http://schemas.openxmlformats.org/officeDocument/2006/relationships/hyperlink" Target="https://www.facebook.com/HuyHoang3103" TargetMode="External"/><Relationship Id="rId3577" Type="http://schemas.openxmlformats.org/officeDocument/2006/relationships/hyperlink" Target="https://drive.google.com/open?id=1QNhBmqLb_yP0l791mrCZeum1G0eKVqOn" TargetMode="External"/><Relationship Id="rId3991" Type="http://schemas.openxmlformats.org/officeDocument/2006/relationships/hyperlink" Target="https://drive.google.com/open?id=1t9BmT9J9lgHRtlF8e6nBV6EQkAPH4kY8" TargetMode="External"/><Relationship Id="rId4628" Type="http://schemas.openxmlformats.org/officeDocument/2006/relationships/hyperlink" Target="https://www.facebook.com/profile.php?id=100093332287452" TargetMode="External"/><Relationship Id="rId2593" Type="http://schemas.openxmlformats.org/officeDocument/2006/relationships/hyperlink" Target="https://www.facebook.com/profile.php?id=100033009053752" TargetMode="External"/><Relationship Id="rId3644" Type="http://schemas.openxmlformats.org/officeDocument/2006/relationships/hyperlink" Target="https://www.facebook.com/Thowm99?mibextid=ZbWKwL" TargetMode="External"/><Relationship Id="rId6050" Type="http://schemas.openxmlformats.org/officeDocument/2006/relationships/hyperlink" Target="https://www.facebook.com/profile.php?id=100088147969185&amp;mibextid=LQQJ4d" TargetMode="External"/><Relationship Id="rId7101" Type="http://schemas.openxmlformats.org/officeDocument/2006/relationships/hyperlink" Target="https://www.facebook.com/my.thaithi.908?mibextid=ZbWKwL" TargetMode="External"/><Relationship Id="rId565" Type="http://schemas.openxmlformats.org/officeDocument/2006/relationships/hyperlink" Target="https://www.facebook.com/profile.php?id=100027358657621" TargetMode="External"/><Relationship Id="rId1195" Type="http://schemas.openxmlformats.org/officeDocument/2006/relationships/hyperlink" Target="https://www.facebook.com/danghoa.no1?mibextid=LQQJ4d" TargetMode="External"/><Relationship Id="rId2246" Type="http://schemas.openxmlformats.org/officeDocument/2006/relationships/hyperlink" Target="https://drive.google.com/open?id=1wj602WYgnbl4v10Le32qbEJaixFFxNHz" TargetMode="External"/><Relationship Id="rId2660" Type="http://schemas.openxmlformats.org/officeDocument/2006/relationships/hyperlink" Target="https://www.facebook.com/tu.am.5245?mibextid=ZbWKwL" TargetMode="External"/><Relationship Id="rId3711" Type="http://schemas.openxmlformats.org/officeDocument/2006/relationships/hyperlink" Target="https://www.facebook.com/profile.php?id=100013554614322&amp;mibextid=ZbWKwL" TargetMode="External"/><Relationship Id="rId6867" Type="http://schemas.openxmlformats.org/officeDocument/2006/relationships/hyperlink" Target="https://www.facebook.com/profile.php?id=100044376366230&amp;locale=vi_VN" TargetMode="External"/><Relationship Id="rId7918" Type="http://schemas.openxmlformats.org/officeDocument/2006/relationships/hyperlink" Target="https://www.facebook.com/profile.php?id=100034196131502" TargetMode="External"/><Relationship Id="rId9273" Type="http://schemas.openxmlformats.org/officeDocument/2006/relationships/hyperlink" Target="http://phamthanhhoa2006nbgamil.com/" TargetMode="External"/><Relationship Id="rId218" Type="http://schemas.openxmlformats.org/officeDocument/2006/relationships/hyperlink" Target="https://www.facebook.com/profile.php?id=100023805314792&amp;mibextid=ZbWKwL" TargetMode="External"/><Relationship Id="rId632" Type="http://schemas.openxmlformats.org/officeDocument/2006/relationships/hyperlink" Target="https://www.facebook.com/hocc.haa.9" TargetMode="External"/><Relationship Id="rId1262" Type="http://schemas.openxmlformats.org/officeDocument/2006/relationships/hyperlink" Target="https://drive.google.com/open?id=1lrr5EX0t2anXjXwO5w8uDRc1FxLjXJ4H" TargetMode="External"/><Relationship Id="rId2313" Type="http://schemas.openxmlformats.org/officeDocument/2006/relationships/hyperlink" Target="https://www.facebook.com/tung.nguyenxuan.9849" TargetMode="External"/><Relationship Id="rId5469" Type="http://schemas.openxmlformats.org/officeDocument/2006/relationships/hyperlink" Target="https://drive.google.com/open?id=1P0Il6VM0VoWx7aHzmOAkrhOUvfSEgla4" TargetMode="External"/><Relationship Id="rId9340" Type="http://schemas.openxmlformats.org/officeDocument/2006/relationships/hyperlink" Target="https://www.facebook.com/profile.php?id=100051163014177&amp;mibextid=LQQJ4d" TargetMode="External"/><Relationship Id="rId4485" Type="http://schemas.openxmlformats.org/officeDocument/2006/relationships/hyperlink" Target="https://www.facebook.com/nguyentunglnq?mibextid=LQQJ4d" TargetMode="External"/><Relationship Id="rId5536" Type="http://schemas.openxmlformats.org/officeDocument/2006/relationships/hyperlink" Target="https://drive.google.com/open?id=1jMP2-Lj9ooFhrpAc2CI0nsc3pCDPxWWZ" TargetMode="External"/><Relationship Id="rId5883" Type="http://schemas.openxmlformats.org/officeDocument/2006/relationships/hyperlink" Target="https://drive.google.com/open?id=1PVFI5UMPbqb2UG9sRkdgrxfzJbQ3N82g" TargetMode="External"/><Relationship Id="rId6934" Type="http://schemas.openxmlformats.org/officeDocument/2006/relationships/hyperlink" Target="https://www.facebook.com/profile.php?id=100065098003458&amp;mibextid=ZbWKwL" TargetMode="External"/><Relationship Id="rId3087" Type="http://schemas.openxmlformats.org/officeDocument/2006/relationships/hyperlink" Target="https://www.facebook.com/100069984714656/" TargetMode="External"/><Relationship Id="rId4138" Type="http://schemas.openxmlformats.org/officeDocument/2006/relationships/hyperlink" Target="https://www.facebook.com/profile.php?id=100068214031099" TargetMode="External"/><Relationship Id="rId5950" Type="http://schemas.openxmlformats.org/officeDocument/2006/relationships/hyperlink" Target="https://www.facebook.com/303hmy?mibextid=LQQJ4d" TargetMode="External"/><Relationship Id="rId4552" Type="http://schemas.openxmlformats.org/officeDocument/2006/relationships/hyperlink" Target="https://www.facebook.com/profile.php?id=100038051739051" TargetMode="External"/><Relationship Id="rId5603" Type="http://schemas.openxmlformats.org/officeDocument/2006/relationships/hyperlink" Target="https://drive.google.com/open?id=1s2X3VTGpKjUd-e562_seYfLFawGqxNVS" TargetMode="External"/><Relationship Id="rId8759" Type="http://schemas.openxmlformats.org/officeDocument/2006/relationships/hyperlink" Target="https://drive.google.com/open?id=1tXwoo7NxQcXpf8ukiVKC4RsFhYLXZI39" TargetMode="External"/><Relationship Id="rId3154" Type="http://schemas.openxmlformats.org/officeDocument/2006/relationships/hyperlink" Target="https://www.facebook.com/profile.php?id=100047756716400&amp;mibextid=LQQJ4d" TargetMode="External"/><Relationship Id="rId4205" Type="http://schemas.openxmlformats.org/officeDocument/2006/relationships/hyperlink" Target="https://www.facebook.com/profile.php?id=100080183169311&amp;mibextid=ZbWKwL" TargetMode="External"/><Relationship Id="rId7775" Type="http://schemas.openxmlformats.org/officeDocument/2006/relationships/hyperlink" Target="https://drive.google.com/open?id=1WOIUsjFByRftog_bS9QdW6WLvQcQJo4E" TargetMode="External"/><Relationship Id="rId8826" Type="http://schemas.openxmlformats.org/officeDocument/2006/relationships/hyperlink" Target="https://www.facebook.com/profile.php?id=100052631708699&amp;mibextid=ZbWKwL" TargetMode="External"/><Relationship Id="rId2170" Type="http://schemas.openxmlformats.org/officeDocument/2006/relationships/hyperlink" Target="https://www.facebook.com/profile.php?id=100078943436910" TargetMode="External"/><Relationship Id="rId3221" Type="http://schemas.openxmlformats.org/officeDocument/2006/relationships/hyperlink" Target="https://www.facebook.com/100049110434383/" TargetMode="External"/><Relationship Id="rId6377" Type="http://schemas.openxmlformats.org/officeDocument/2006/relationships/hyperlink" Target="https://www.facebook.com/profile.php?id=100027602074304" TargetMode="External"/><Relationship Id="rId6791" Type="http://schemas.openxmlformats.org/officeDocument/2006/relationships/hyperlink" Target="https://www.facebook.com/profile.php?id=100068830412854&amp;mibextid=LQQJ4d" TargetMode="External"/><Relationship Id="rId7428" Type="http://schemas.openxmlformats.org/officeDocument/2006/relationships/hyperlink" Target="https://www.facebook.com/hahoangson.23.9?mibextid=LQQJ4d" TargetMode="External"/><Relationship Id="rId7842" Type="http://schemas.openxmlformats.org/officeDocument/2006/relationships/hyperlink" Target="https://drive.google.com/open?id=1WKcfH6Y-ps8MQ22REGQj3xvKvrR_Qy70" TargetMode="External"/><Relationship Id="rId8" Type="http://schemas.openxmlformats.org/officeDocument/2006/relationships/hyperlink" Target="https://drive.google.com/open?id=10lS-lw9IK1UVQN_Kz35_yZ_9YYqjv8Iq" TargetMode="External"/><Relationship Id="rId142" Type="http://schemas.openxmlformats.org/officeDocument/2006/relationships/hyperlink" Target="https://drive.google.com/open?id=1JhAgf_KzZgKbiU64oe05eIFRne2tqChN" TargetMode="External"/><Relationship Id="rId2987" Type="http://schemas.openxmlformats.org/officeDocument/2006/relationships/hyperlink" Target="https://drive.google.com/open?id=1ZyIx9i0cRdS-Ga-IPg-vAkF_kTvix3iU" TargetMode="External"/><Relationship Id="rId5393" Type="http://schemas.openxmlformats.org/officeDocument/2006/relationships/hyperlink" Target="https://www.facebook.com/profile.php?id=100035726622234&amp;mibextid=LQQJ4d" TargetMode="External"/><Relationship Id="rId6444" Type="http://schemas.openxmlformats.org/officeDocument/2006/relationships/hyperlink" Target="https://drive.google.com/open?id=1s44f9hnsvnjudkbxhk4SQ8WcFB4aInMW" TargetMode="External"/><Relationship Id="rId959" Type="http://schemas.openxmlformats.org/officeDocument/2006/relationships/hyperlink" Target="https://drive.google.com/open?id=1NZ8qyax4-xxQZx2yTglyxffIbCgoqyKV" TargetMode="External"/><Relationship Id="rId1589" Type="http://schemas.openxmlformats.org/officeDocument/2006/relationships/hyperlink" Target="https://www.facebook.com/buithuyhienltpt?mibextid=ZbWKwL" TargetMode="External"/><Relationship Id="rId5046" Type="http://schemas.openxmlformats.org/officeDocument/2006/relationships/hyperlink" Target="https://www.facebook.com/agruu.tran" TargetMode="External"/><Relationship Id="rId5460" Type="http://schemas.openxmlformats.org/officeDocument/2006/relationships/hyperlink" Target="https://www.facebook.com/profile.php?id=100078877636977&amp;mibextid=ZbWKwL" TargetMode="External"/><Relationship Id="rId6511" Type="http://schemas.openxmlformats.org/officeDocument/2006/relationships/hyperlink" Target="https://drive.google.com/open?id=1xZxXP7y9Go9WiZy5-XJouT3Yhtw2QDbh" TargetMode="External"/><Relationship Id="rId4062" Type="http://schemas.openxmlformats.org/officeDocument/2006/relationships/hyperlink" Target="https://drive.google.com/open?id=14j8eBrHlKERC-aRH6LdXXNyVd0nE39eS" TargetMode="External"/><Relationship Id="rId5113" Type="http://schemas.openxmlformats.org/officeDocument/2006/relationships/hyperlink" Target="https://www.facebook.com/profile.php?id=100036473514140" TargetMode="External"/><Relationship Id="rId8269" Type="http://schemas.openxmlformats.org/officeDocument/2006/relationships/hyperlink" Target="https://www.facebook.com/le.hoaa.90682" TargetMode="External"/><Relationship Id="rId1656" Type="http://schemas.openxmlformats.org/officeDocument/2006/relationships/hyperlink" Target="https://www.facebook.com/profile.php?id=100017964186783" TargetMode="External"/><Relationship Id="rId2707" Type="http://schemas.openxmlformats.org/officeDocument/2006/relationships/hyperlink" Target="https://www.facebook.com/codai89" TargetMode="External"/><Relationship Id="rId8683" Type="http://schemas.openxmlformats.org/officeDocument/2006/relationships/hyperlink" Target="https://www.facebook.com/profile.php?id=100069943934078" TargetMode="External"/><Relationship Id="rId1309" Type="http://schemas.openxmlformats.org/officeDocument/2006/relationships/hyperlink" Target="https://www.facebook.com/thanhvan.phamthi.5099" TargetMode="External"/><Relationship Id="rId1723" Type="http://schemas.openxmlformats.org/officeDocument/2006/relationships/hyperlink" Target="https://www.facebook.com/nthuyentrang219?mibextid=haYZDX" TargetMode="External"/><Relationship Id="rId4879" Type="http://schemas.openxmlformats.org/officeDocument/2006/relationships/hyperlink" Target="https://www.facebook.com/profile.php?id=100065159253377&amp;mibextid=LQQJ4d" TargetMode="External"/><Relationship Id="rId7285" Type="http://schemas.openxmlformats.org/officeDocument/2006/relationships/hyperlink" Target="https://www.facebook.com/linh.dethuong.9847" TargetMode="External"/><Relationship Id="rId8336" Type="http://schemas.openxmlformats.org/officeDocument/2006/relationships/hyperlink" Target="https://www.facebook.com/Dothanh1010" TargetMode="External"/><Relationship Id="rId8750" Type="http://schemas.openxmlformats.org/officeDocument/2006/relationships/hyperlink" Target="https://drive.google.com/open?id=1KTr0JjtOLtwvL1kawu1I3Tm1thor-hj4" TargetMode="External"/><Relationship Id="rId15" Type="http://schemas.openxmlformats.org/officeDocument/2006/relationships/hyperlink" Target="https://www.facebook.com/profile.php?id=100045682095109" TargetMode="External"/><Relationship Id="rId3895" Type="http://schemas.openxmlformats.org/officeDocument/2006/relationships/hyperlink" Target="https://drive.google.com/open?id=1tSyksWXkQZHFnRTE22ZBpxlYBnI2bqHA" TargetMode="External"/><Relationship Id="rId4946" Type="http://schemas.openxmlformats.org/officeDocument/2006/relationships/hyperlink" Target="https://www.facebook.com/slime.nguyen.56?mibextid=ZbWKwL" TargetMode="External"/><Relationship Id="rId7352" Type="http://schemas.openxmlformats.org/officeDocument/2006/relationships/hyperlink" Target="https://www.facebook.com/trung.trannhat.944?mibextid=LQQJ4d" TargetMode="External"/><Relationship Id="rId8403" Type="http://schemas.openxmlformats.org/officeDocument/2006/relationships/hyperlink" Target="https://www.facebook.com/profile.php?id=100052806093629&amp;mibextid=LQQJ4d" TargetMode="External"/><Relationship Id="rId2497" Type="http://schemas.openxmlformats.org/officeDocument/2006/relationships/hyperlink" Target="https://drive.google.com/open?id=1eJvAkUb_-LCYM4cJs6ze4kafIDIm4tuK" TargetMode="External"/><Relationship Id="rId3548" Type="http://schemas.openxmlformats.org/officeDocument/2006/relationships/hyperlink" Target="https://www.facebook.com/tuandang2805?mibextid=LQQJ4d" TargetMode="External"/><Relationship Id="rId7005" Type="http://schemas.openxmlformats.org/officeDocument/2006/relationships/hyperlink" Target="https://www.facebook.com/profile.php?id=61552602274665" TargetMode="External"/><Relationship Id="rId469" Type="http://schemas.openxmlformats.org/officeDocument/2006/relationships/hyperlink" Target="https://drive.google.com/open?id=1DQZUqIutxl90MC8Nujf8QnhrDr8ZfkK7" TargetMode="External"/><Relationship Id="rId883" Type="http://schemas.openxmlformats.org/officeDocument/2006/relationships/hyperlink" Target="https://drive.google.com/open?id=1O9w6SBAUDmHp-1gPGFz77woQt8Rmxp9Y" TargetMode="External"/><Relationship Id="rId1099" Type="http://schemas.openxmlformats.org/officeDocument/2006/relationships/hyperlink" Target="https://www.facebook.com/profile.php?id=100013248129700&amp;mibextid=LQQJ4d" TargetMode="External"/><Relationship Id="rId2564" Type="http://schemas.openxmlformats.org/officeDocument/2006/relationships/hyperlink" Target="https://www.facebook.com/Dlyy16?mibextid=LQQJ4d" TargetMode="External"/><Relationship Id="rId3615" Type="http://schemas.openxmlformats.org/officeDocument/2006/relationships/hyperlink" Target="https://drive.google.com/open?id=1bI2yWeTccfZEGpU-DNHRSWDsxKxckMP2" TargetMode="External"/><Relationship Id="rId3962" Type="http://schemas.openxmlformats.org/officeDocument/2006/relationships/hyperlink" Target="https://www.facebook.com/profile.php?id=100048658095353" TargetMode="External"/><Relationship Id="rId6021" Type="http://schemas.openxmlformats.org/officeDocument/2006/relationships/hyperlink" Target="https://www.facebook.com/profile.php?id=100077390928171&amp;mibextid=LQQJ4d" TargetMode="External"/><Relationship Id="rId9177" Type="http://schemas.openxmlformats.org/officeDocument/2006/relationships/hyperlink" Target="https://www.facebook.com/ngockien.trinh.188?mibextid=LQQJ4d" TargetMode="External"/><Relationship Id="rId536" Type="http://schemas.openxmlformats.org/officeDocument/2006/relationships/hyperlink" Target="https://drive.google.com/open?id=1Dy7iQEnS-z1uq2u0oyAjD3gESR-kDEUN" TargetMode="External"/><Relationship Id="rId1166" Type="http://schemas.openxmlformats.org/officeDocument/2006/relationships/hyperlink" Target="https://www.facebook.com/profile.php?id=100021314841373&amp;mibextid=LQQJ4d" TargetMode="External"/><Relationship Id="rId2217" Type="http://schemas.openxmlformats.org/officeDocument/2006/relationships/hyperlink" Target="https://www.facebook.com/profile.php?id=100057029438672&amp;locale=vi_VN" TargetMode="External"/><Relationship Id="rId8193" Type="http://schemas.openxmlformats.org/officeDocument/2006/relationships/hyperlink" Target="https://drive.google.com/open?id=1xbPuu6IP-mvtUG3Rce18AGlW3KuBtNue" TargetMode="External"/><Relationship Id="rId9244" Type="http://schemas.openxmlformats.org/officeDocument/2006/relationships/hyperlink" Target="https://www.facebook.com/share/14ViF5D45K/?mibextid=LQQJ4d" TargetMode="External"/><Relationship Id="rId950" Type="http://schemas.openxmlformats.org/officeDocument/2006/relationships/hyperlink" Target="https://drive.google.com/open?id=1mj7M4LK59O7N12ytBSHTFTAOV-ZlYqi8" TargetMode="External"/><Relationship Id="rId1580" Type="http://schemas.openxmlformats.org/officeDocument/2006/relationships/hyperlink" Target="https://www.facebook.com/profile.php?id=100076412443603&amp;mibextid=ZbWKwL" TargetMode="External"/><Relationship Id="rId2631" Type="http://schemas.openxmlformats.org/officeDocument/2006/relationships/hyperlink" Target="https://www.facebook.com/profile.php?id=100010355377269" TargetMode="External"/><Relationship Id="rId4389" Type="http://schemas.openxmlformats.org/officeDocument/2006/relationships/hyperlink" Target="https://www.facebook.com/ngocnhine846?mibextid=LQQJ4d" TargetMode="External"/><Relationship Id="rId5787" Type="http://schemas.openxmlformats.org/officeDocument/2006/relationships/hyperlink" Target="https://www.facebook.com/profile.php?id=100070906030423&amp;mibextid=ZbWKwL" TargetMode="External"/><Relationship Id="rId6838" Type="http://schemas.openxmlformats.org/officeDocument/2006/relationships/hyperlink" Target="https://drive.google.com/open?id=14riZ-nGqbyZ5DdBEqPebuRC-2SVcW5xa" TargetMode="External"/><Relationship Id="rId603" Type="http://schemas.openxmlformats.org/officeDocument/2006/relationships/hyperlink" Target="https://drive.google.com/open?id=1S4OdWa7ag6qksUfWrmInWomo_jWVISUt" TargetMode="External"/><Relationship Id="rId1233" Type="http://schemas.openxmlformats.org/officeDocument/2006/relationships/hyperlink" Target="https://www.facebook.com/profile.php?id=100046410123834" TargetMode="External"/><Relationship Id="rId5854" Type="http://schemas.openxmlformats.org/officeDocument/2006/relationships/hyperlink" Target="https://www.facebook.com/samua05?mibextid=ZbWKwL" TargetMode="External"/><Relationship Id="rId6905" Type="http://schemas.openxmlformats.org/officeDocument/2006/relationships/hyperlink" Target="https://www.facebook.com/Nthm2003?mibextid=LQQJ4d" TargetMode="External"/><Relationship Id="rId8260" Type="http://schemas.openxmlformats.org/officeDocument/2006/relationships/hyperlink" Target="https://drive.google.com/open?id=1Mml-h5gs5CvWEqRAJAh6927fDqFg5_zB" TargetMode="External"/><Relationship Id="rId9311" Type="http://schemas.openxmlformats.org/officeDocument/2006/relationships/hyperlink" Target="https://www.facebook.com/hiep.buiquyhoang.7?mibextid=LQQJ4d" TargetMode="External"/><Relationship Id="rId1300" Type="http://schemas.openxmlformats.org/officeDocument/2006/relationships/hyperlink" Target="https://drive.google.com/open?id=1LGlrChF4PD1wQV6RfRLyUy0JIFstrgyo" TargetMode="External"/><Relationship Id="rId4456" Type="http://schemas.openxmlformats.org/officeDocument/2006/relationships/hyperlink" Target="https://drive.google.com/open?id=1Khf4xYVEbOz-n8SuX1nny3oStsHPuTch" TargetMode="External"/><Relationship Id="rId4870" Type="http://schemas.openxmlformats.org/officeDocument/2006/relationships/hyperlink" Target="https://www.facebook.com/profile.php?id=100049576642033" TargetMode="External"/><Relationship Id="rId5507" Type="http://schemas.openxmlformats.org/officeDocument/2006/relationships/hyperlink" Target="https://www.facebook.com/tranger.bw?mibextid=LQQJ4d" TargetMode="External"/><Relationship Id="rId5921" Type="http://schemas.openxmlformats.org/officeDocument/2006/relationships/hyperlink" Target="https://www.facebook.com/profile.php?id=100037272410855&amp;mibextid=LQQJ4d" TargetMode="External"/><Relationship Id="rId3058" Type="http://schemas.openxmlformats.org/officeDocument/2006/relationships/hyperlink" Target="https://drive.google.com/open?id=1sX_wN9Ah5aGv4FTOmkSK8vYXbRZcESqT" TargetMode="External"/><Relationship Id="rId3472" Type="http://schemas.openxmlformats.org/officeDocument/2006/relationships/hyperlink" Target="https://drive.google.com/open?id=1cqITzbvRBaWNxaHLMRHWMTKsGOFC2FcJ" TargetMode="External"/><Relationship Id="rId4109" Type="http://schemas.openxmlformats.org/officeDocument/2006/relationships/hyperlink" Target="https://www.facebook.com/kookie.huyen.5832?mibextid=LQQJ4d" TargetMode="External"/><Relationship Id="rId4523" Type="http://schemas.openxmlformats.org/officeDocument/2006/relationships/hyperlink" Target="https://drive.google.com/open?id=1HHraJeMz0ycx8NzAHzTs_heLk6ID1S7o" TargetMode="External"/><Relationship Id="rId7679" Type="http://schemas.openxmlformats.org/officeDocument/2006/relationships/hyperlink" Target="https://drive.google.com/open?id=1a7lY_J7BZAlqxOdRQWpYzDkNioAmClTO" TargetMode="External"/><Relationship Id="rId393" Type="http://schemas.openxmlformats.org/officeDocument/2006/relationships/hyperlink" Target="https://drive.google.com/open?id=1xhPt9-ynJ8WQe74b3G3HOSNNP66_jB4P" TargetMode="External"/><Relationship Id="rId2074" Type="http://schemas.openxmlformats.org/officeDocument/2006/relationships/hyperlink" Target="https://www.facebook.com/profile.php?id=100035404651110&amp;mibextid=D4KYlr" TargetMode="External"/><Relationship Id="rId3125" Type="http://schemas.openxmlformats.org/officeDocument/2006/relationships/hyperlink" Target="https://www.facebook.com/naolihtt" TargetMode="External"/><Relationship Id="rId6695" Type="http://schemas.openxmlformats.org/officeDocument/2006/relationships/hyperlink" Target="https://www.facebook.com/profile.php?id=100046552938881&amp;mibextid=LQQJ4d" TargetMode="External"/><Relationship Id="rId7746" Type="http://schemas.openxmlformats.org/officeDocument/2006/relationships/hyperlink" Target="https://drive.google.com/open?id=1tWYfWNX4ZVlnT6bkGKa5EXO7TfFDKqYi" TargetMode="External"/><Relationship Id="rId460" Type="http://schemas.openxmlformats.org/officeDocument/2006/relationships/hyperlink" Target="https://www.facebook.com/thiluong.nguyen.9400984?mibextid=ZbWKwL" TargetMode="External"/><Relationship Id="rId1090" Type="http://schemas.openxmlformats.org/officeDocument/2006/relationships/hyperlink" Target="https://www.facebook.com/phuong.sunflower.2312?mibextid=D4KYlr" TargetMode="External"/><Relationship Id="rId2141" Type="http://schemas.openxmlformats.org/officeDocument/2006/relationships/hyperlink" Target="https://www.facebook.com/ntp.agnes?mibextid=LQQJ4d" TargetMode="External"/><Relationship Id="rId5297" Type="http://schemas.openxmlformats.org/officeDocument/2006/relationships/hyperlink" Target="https://www.facebook.com/profile.php?id=100070079411711" TargetMode="External"/><Relationship Id="rId6348" Type="http://schemas.openxmlformats.org/officeDocument/2006/relationships/hyperlink" Target="https://www.facebook.com/profile.php?id=100073623382891&amp;mibextid=LQQJ4d" TargetMode="External"/><Relationship Id="rId113" Type="http://schemas.openxmlformats.org/officeDocument/2006/relationships/hyperlink" Target="https://drive.google.com/open?id=1SkkWsIWvVtuiFkcPZG_aI9w5wjlOldCo" TargetMode="External"/><Relationship Id="rId6762" Type="http://schemas.openxmlformats.org/officeDocument/2006/relationships/hyperlink" Target="https://www.facebook.com/profile.php?id=100013600353070&amp;mibextid=LQQJ4d" TargetMode="External"/><Relationship Id="rId7813" Type="http://schemas.openxmlformats.org/officeDocument/2006/relationships/hyperlink" Target="https://drive.google.com/open?id=1eSH2vYN-WUn0AOXX15Vqhiq-2B6eZO6u" TargetMode="External"/><Relationship Id="rId2958" Type="http://schemas.openxmlformats.org/officeDocument/2006/relationships/hyperlink" Target="https://www.facebook.com/profile.php?id=100046494195453&amp;mibextid=LQQJ4d" TargetMode="External"/><Relationship Id="rId5017" Type="http://schemas.openxmlformats.org/officeDocument/2006/relationships/hyperlink" Target="https://www.facebook.com/chglilie20.90lilichg" TargetMode="External"/><Relationship Id="rId5364" Type="http://schemas.openxmlformats.org/officeDocument/2006/relationships/hyperlink" Target="https://www.facebook.com/my.nguyentrayen.7" TargetMode="External"/><Relationship Id="rId6415" Type="http://schemas.openxmlformats.org/officeDocument/2006/relationships/hyperlink" Target="https://drive.google.com/open?id=1AY82FzON758tuVmsUQFs2FWXzdgNqdrP" TargetMode="External"/><Relationship Id="rId1974" Type="http://schemas.openxmlformats.org/officeDocument/2006/relationships/hyperlink" Target="https://www.facebook.com/profile.php?id=100015057487165" TargetMode="External"/><Relationship Id="rId4380" Type="http://schemas.openxmlformats.org/officeDocument/2006/relationships/hyperlink" Target="https://www.facebook.com/profile.php?id=100042510983495" TargetMode="External"/><Relationship Id="rId5431" Type="http://schemas.openxmlformats.org/officeDocument/2006/relationships/hyperlink" Target="https://drive.google.com/open?id=1RAk3rpH-zbNU3A_QPQLcDi0q4Q9MVYx0" TargetMode="External"/><Relationship Id="rId8587" Type="http://schemas.openxmlformats.org/officeDocument/2006/relationships/hyperlink" Target="https://www.facebook.com/profile.php?id=100079302884382" TargetMode="External"/><Relationship Id="rId1627" Type="http://schemas.openxmlformats.org/officeDocument/2006/relationships/hyperlink" Target="https://drive.google.com/open?id=1aa9jvFmNG3KXTrkImnoU0fAQluDXPZ4l" TargetMode="External"/><Relationship Id="rId4033" Type="http://schemas.openxmlformats.org/officeDocument/2006/relationships/hyperlink" Target="https://www.facebook.com/sweet.heart.04122004?mibextid=ZbWKwL" TargetMode="External"/><Relationship Id="rId7189" Type="http://schemas.openxmlformats.org/officeDocument/2006/relationships/hyperlink" Target="https://www.facebook.com/vanhai.22" TargetMode="External"/><Relationship Id="rId8654" Type="http://schemas.openxmlformats.org/officeDocument/2006/relationships/hyperlink" Target="https://www.facebook.com/profile.php?id=100042999638025" TargetMode="External"/><Relationship Id="rId3799" Type="http://schemas.openxmlformats.org/officeDocument/2006/relationships/hyperlink" Target="https://www.facebook.com/profile.php?id=100013248129700&amp;mibextid=LQQJ4d" TargetMode="External"/><Relationship Id="rId4100" Type="http://schemas.openxmlformats.org/officeDocument/2006/relationships/hyperlink" Target="https://www.facebook.com/profile.php?id=100035395291497" TargetMode="External"/><Relationship Id="rId7256" Type="http://schemas.openxmlformats.org/officeDocument/2006/relationships/hyperlink" Target="https://drive.google.com/open?id=13m6nOYG2nBtuRzkO-gQS8vmB0r5ITuKX" TargetMode="External"/><Relationship Id="rId7670" Type="http://schemas.openxmlformats.org/officeDocument/2006/relationships/hyperlink" Target="https://www.facebook.com/profile.php?id=100022604864018" TargetMode="External"/><Relationship Id="rId8307" Type="http://schemas.openxmlformats.org/officeDocument/2006/relationships/hyperlink" Target="https://www.facebook.com/profile.php?id=100045263265116" TargetMode="External"/><Relationship Id="rId8721" Type="http://schemas.openxmlformats.org/officeDocument/2006/relationships/hyperlink" Target="https://drive.google.com/open?id=1HC5y1rL6IQmexEkYeHEkbId9ezwDsDki" TargetMode="External"/><Relationship Id="rId6272" Type="http://schemas.openxmlformats.org/officeDocument/2006/relationships/hyperlink" Target="https://www.facebook.com/profile.php?id=100069855795925&amp;mibextid=LQQJ4d" TargetMode="External"/><Relationship Id="rId7323" Type="http://schemas.openxmlformats.org/officeDocument/2006/relationships/hyperlink" Target="http://maylythi205gmail.com/" TargetMode="External"/><Relationship Id="rId3866" Type="http://schemas.openxmlformats.org/officeDocument/2006/relationships/hyperlink" Target="https://drive.google.com/open?id=1NDSX8wZwZtTy6ghyzhUJXiRHkpZOJ3tb" TargetMode="External"/><Relationship Id="rId4917" Type="http://schemas.openxmlformats.org/officeDocument/2006/relationships/hyperlink" Target="https://drive.google.com/open?id=1G_6Lr8ARnEsst68-N0f2MAJewn7VKYSN" TargetMode="External"/><Relationship Id="rId9495" Type="http://schemas.openxmlformats.org/officeDocument/2006/relationships/hyperlink" Target="https://www.facebook.com/share/sMtk6zv9CcogDJwP/?mibextid=wwXIfrS" TargetMode="External"/><Relationship Id="rId787" Type="http://schemas.openxmlformats.org/officeDocument/2006/relationships/hyperlink" Target="https://www.facebook.com/profile.php?id=100080364080727&amp;mibextid=LQQJ4d" TargetMode="External"/><Relationship Id="rId2468" Type="http://schemas.openxmlformats.org/officeDocument/2006/relationships/hyperlink" Target="https://www.facebook.com/profile.php?id=100022824795575" TargetMode="External"/><Relationship Id="rId2882" Type="http://schemas.openxmlformats.org/officeDocument/2006/relationships/hyperlink" Target="https://www.facebook.com/sonhai05dzai?mibextid=LQQJ4d" TargetMode="External"/><Relationship Id="rId3519" Type="http://schemas.openxmlformats.org/officeDocument/2006/relationships/hyperlink" Target="https://www.facebook.com/profile.php?id=100054602395138&amp;mibextid=LQQJ4d" TargetMode="External"/><Relationship Id="rId3933" Type="http://schemas.openxmlformats.org/officeDocument/2006/relationships/hyperlink" Target="https://www.facebook.com/share/kVWTteMwQCFY4bD4/?mibextid=qi2Omg" TargetMode="External"/><Relationship Id="rId8097" Type="http://schemas.openxmlformats.org/officeDocument/2006/relationships/hyperlink" Target="https://www.facebook.com/chi.huaquynh.2006?mibextid=LQQJ4d" TargetMode="External"/><Relationship Id="rId9148" Type="http://schemas.openxmlformats.org/officeDocument/2006/relationships/hyperlink" Target="https://www.facebook.com/thuys.thanh.5095?mibextid=ZbWKwL" TargetMode="External"/><Relationship Id="rId854" Type="http://schemas.openxmlformats.org/officeDocument/2006/relationships/hyperlink" Target="https://www.facebook.com/huyndh1905?mibextid=LQQJ4d" TargetMode="External"/><Relationship Id="rId1484" Type="http://schemas.openxmlformats.org/officeDocument/2006/relationships/hyperlink" Target="https://www.facebook.com/thienbinh.tran.167189?mibextid=2JQ9oc" TargetMode="External"/><Relationship Id="rId2535" Type="http://schemas.openxmlformats.org/officeDocument/2006/relationships/hyperlink" Target="https://drive.google.com/open?id=1hDFZnMi2pU-NrgosGPFF2T7iBE4eSYqd" TargetMode="External"/><Relationship Id="rId9562" Type="http://schemas.openxmlformats.org/officeDocument/2006/relationships/hyperlink" Target="https://www.facebook.com/share/15iGnspYmq/?mibextid=wwXIfr" TargetMode="External"/><Relationship Id="rId507" Type="http://schemas.openxmlformats.org/officeDocument/2006/relationships/hyperlink" Target="https://www.facebook.com/profile.php?id=100022279866938&amp;mibextid=ZbWKwL" TargetMode="External"/><Relationship Id="rId921" Type="http://schemas.openxmlformats.org/officeDocument/2006/relationships/hyperlink" Target="https://www.facebook.com/khs.huyen" TargetMode="External"/><Relationship Id="rId1137" Type="http://schemas.openxmlformats.org/officeDocument/2006/relationships/hyperlink" Target="https://www.facebook.com/nhunn95?mibextid=ZbWKwL" TargetMode="External"/><Relationship Id="rId1551" Type="http://schemas.openxmlformats.org/officeDocument/2006/relationships/hyperlink" Target="https://drive.google.com/open?id=1qszoT15SWL47ObEN60jsuffr7kDX9bae" TargetMode="External"/><Relationship Id="rId2602" Type="http://schemas.openxmlformats.org/officeDocument/2006/relationships/hyperlink" Target="https://www.facebook.com/diemquynh.3104" TargetMode="External"/><Relationship Id="rId5758" Type="http://schemas.openxmlformats.org/officeDocument/2006/relationships/hyperlink" Target="https://www.facebook.com/thuyf.trang.03" TargetMode="External"/><Relationship Id="rId6809" Type="http://schemas.openxmlformats.org/officeDocument/2006/relationships/hyperlink" Target="https://www.facebook.com/profile.php?id=100056490060170&amp;mibextid=LQQJ4d" TargetMode="External"/><Relationship Id="rId8164" Type="http://schemas.openxmlformats.org/officeDocument/2006/relationships/hyperlink" Target="https://www.facebook.com/ng.quang15K" TargetMode="External"/><Relationship Id="rId9215" Type="http://schemas.openxmlformats.org/officeDocument/2006/relationships/hyperlink" Target="https://www.facebook.com/thuhang.2286?mibextid=LQQJ4d" TargetMode="External"/><Relationship Id="rId1204" Type="http://schemas.openxmlformats.org/officeDocument/2006/relationships/hyperlink" Target="https://www.facebook.com/profile.php?id=100023939925693&amp;mibextid=9R9pXO" TargetMode="External"/><Relationship Id="rId4774" Type="http://schemas.openxmlformats.org/officeDocument/2006/relationships/hyperlink" Target="https://www.facebook.com/profile.php?id=100040290976241" TargetMode="External"/><Relationship Id="rId5825" Type="http://schemas.openxmlformats.org/officeDocument/2006/relationships/hyperlink" Target="https://www.facebook.com/profile.php?id=100065433816577" TargetMode="External"/><Relationship Id="rId7180" Type="http://schemas.openxmlformats.org/officeDocument/2006/relationships/hyperlink" Target="https://www.facebook.com/uynmieee" TargetMode="External"/><Relationship Id="rId8231" Type="http://schemas.openxmlformats.org/officeDocument/2006/relationships/hyperlink" Target="https://www.facebook.com/share/15GvN6R7ZV/?mibextid=LQQJ4d" TargetMode="External"/><Relationship Id="rId3376" Type="http://schemas.openxmlformats.org/officeDocument/2006/relationships/hyperlink" Target="https://www.facebook.com/profile.php?id=100041939258170" TargetMode="External"/><Relationship Id="rId4427" Type="http://schemas.openxmlformats.org/officeDocument/2006/relationships/hyperlink" Target="https://www.facebook.com/profile.php?id=100074940558707&amp;mibextid=ZbWKwL" TargetMode="External"/><Relationship Id="rId297" Type="http://schemas.openxmlformats.org/officeDocument/2006/relationships/hyperlink" Target="https://www.facebook.com/profile.php?id=100018121942767&amp;mibextid=LQQJ4d" TargetMode="External"/><Relationship Id="rId2392" Type="http://schemas.openxmlformats.org/officeDocument/2006/relationships/hyperlink" Target="https://www.facebook.com/profile.php?id=100052064853162&amp;mibextid=LQQJ4d" TargetMode="External"/><Relationship Id="rId3029" Type="http://schemas.openxmlformats.org/officeDocument/2006/relationships/hyperlink" Target="https://drive.google.com/open?id=1aAgv_Fm6NKRADd7xHMtZ4Lb3xeKNFaAj" TargetMode="External"/><Relationship Id="rId3790" Type="http://schemas.openxmlformats.org/officeDocument/2006/relationships/hyperlink" Target="https://www.facebook.com/huuchien.nguyen.9469" TargetMode="External"/><Relationship Id="rId4841" Type="http://schemas.openxmlformats.org/officeDocument/2006/relationships/hyperlink" Target="https://www.facebook.com/profile.php?id=100076518772224&amp;mibextid=LQQJ4d" TargetMode="External"/><Relationship Id="rId6599" Type="http://schemas.openxmlformats.org/officeDocument/2006/relationships/hyperlink" Target="https://www.facebook.com/phobietbay.tung.3?mibextid=LQQJ4d" TargetMode="External"/><Relationship Id="rId7997" Type="http://schemas.openxmlformats.org/officeDocument/2006/relationships/hyperlink" Target="https://www.facebook.com/tranger.bw?mibextid=LQQJ4d" TargetMode="External"/><Relationship Id="rId364" Type="http://schemas.openxmlformats.org/officeDocument/2006/relationships/hyperlink" Target="https://drive.google.com/open?id=1wsyG-JWvcLwCG6eniQDz9Jva11JujZ_I" TargetMode="External"/><Relationship Id="rId2045" Type="http://schemas.openxmlformats.org/officeDocument/2006/relationships/hyperlink" Target="https://www.facebook.com/profile.php?id=100066183375705&amp;mibextid=LQQJ4d" TargetMode="External"/><Relationship Id="rId3443" Type="http://schemas.openxmlformats.org/officeDocument/2006/relationships/hyperlink" Target="https://drive.google.com/open?id=12n2d3J5SB_TpcF8x23cFQQ53s7zSjJkk" TargetMode="External"/><Relationship Id="rId9072" Type="http://schemas.openxmlformats.org/officeDocument/2006/relationships/hyperlink" Target="https://www.facebook.com/profile.php?id=61551901147171&amp;mibextid=LQQJ4d" TargetMode="External"/><Relationship Id="rId3510" Type="http://schemas.openxmlformats.org/officeDocument/2006/relationships/hyperlink" Target="https://www.facebook.com/profile.php?id=100023215820848" TargetMode="External"/><Relationship Id="rId6666" Type="http://schemas.openxmlformats.org/officeDocument/2006/relationships/hyperlink" Target="https://www.facebook.com/profile.php?id=100074863656983" TargetMode="External"/><Relationship Id="rId7717" Type="http://schemas.openxmlformats.org/officeDocument/2006/relationships/hyperlink" Target="https://www.facebook.com/minhhien13082003" TargetMode="External"/><Relationship Id="rId431" Type="http://schemas.openxmlformats.org/officeDocument/2006/relationships/hyperlink" Target="https://www.facebook.com/profile.php?id=100060910664844&amp;mibextid=ZbWKwL" TargetMode="External"/><Relationship Id="rId1061" Type="http://schemas.openxmlformats.org/officeDocument/2006/relationships/hyperlink" Target="https://drive.google.com/open?id=1WL-4QrLW0nuv_DDjx7BeQwE3O7CeHuEW" TargetMode="External"/><Relationship Id="rId2112" Type="http://schemas.openxmlformats.org/officeDocument/2006/relationships/hyperlink" Target="https://www.facebook.com/profile.php?id=100026744381320" TargetMode="External"/><Relationship Id="rId5268" Type="http://schemas.openxmlformats.org/officeDocument/2006/relationships/hyperlink" Target="https://www.facebook.com/profile.php?id=100076524429411&amp;mibextid=LQQJ4d" TargetMode="External"/><Relationship Id="rId5682" Type="http://schemas.openxmlformats.org/officeDocument/2006/relationships/hyperlink" Target="https://www.facebook.com/jinny.nguyen.3110?mibextid=LQQJ4d" TargetMode="External"/><Relationship Id="rId6319" Type="http://schemas.openxmlformats.org/officeDocument/2006/relationships/hyperlink" Target="https://drive.google.com/open?id=1ijhxwW8U_50PfbUpBK7d47r6RP7-Bjbl" TargetMode="External"/><Relationship Id="rId6733" Type="http://schemas.openxmlformats.org/officeDocument/2006/relationships/hyperlink" Target="https://drive.google.com/open?id=1MQUY2Zc_2AUZYCiYePcJKRXQ500tJ3wI" TargetMode="External"/><Relationship Id="rId1878" Type="http://schemas.openxmlformats.org/officeDocument/2006/relationships/hyperlink" Target="https://drive.google.com/open?id=1aYUOSQRTNOwcP1uhLtn7L9FDdrP8wjrS" TargetMode="External"/><Relationship Id="rId2929" Type="http://schemas.openxmlformats.org/officeDocument/2006/relationships/hyperlink" Target="https://www.facebook.com/thanhthuy5552" TargetMode="External"/><Relationship Id="rId4284" Type="http://schemas.openxmlformats.org/officeDocument/2006/relationships/hyperlink" Target="https://www.facebook.com/nguyen.giabao.52643821?mibextid=LQQJ4d" TargetMode="External"/><Relationship Id="rId5335" Type="http://schemas.openxmlformats.org/officeDocument/2006/relationships/hyperlink" Target="https://www.facebook.com/profile.php?id=100029946350055&amp;mibextid=LQQJ4d" TargetMode="External"/><Relationship Id="rId4351" Type="http://schemas.openxmlformats.org/officeDocument/2006/relationships/hyperlink" Target="https://www.facebook.com/caovan.tran.9028?mibextid=LQQJ4d" TargetMode="External"/><Relationship Id="rId5402" Type="http://schemas.openxmlformats.org/officeDocument/2006/relationships/hyperlink" Target="https://www.facebook.com/mat.mit.77398?mibextid=cejktS" TargetMode="External"/><Relationship Id="rId6800" Type="http://schemas.openxmlformats.org/officeDocument/2006/relationships/hyperlink" Target="https://drive.google.com/open?id=1UZs6jo02KEHvPi1nfna55CUL5-n9b7B6" TargetMode="External"/><Relationship Id="rId8558" Type="http://schemas.openxmlformats.org/officeDocument/2006/relationships/hyperlink" Target="https://www.facebook.com/share/14ZbSgrQY8/?mibextid=wwXIfr" TargetMode="External"/><Relationship Id="rId1945" Type="http://schemas.openxmlformats.org/officeDocument/2006/relationships/hyperlink" Target="https://drive.google.com/open?id=1x0MbO4WTsadH7C3ug8arMbWei4xkRqdr" TargetMode="External"/><Relationship Id="rId4004" Type="http://schemas.openxmlformats.org/officeDocument/2006/relationships/hyperlink" Target="https://drive.google.com/open?id=1nUg9_ZGI9-H1WOSZvkbV3HvWXZCpj8tN" TargetMode="External"/><Relationship Id="rId8972" Type="http://schemas.openxmlformats.org/officeDocument/2006/relationships/hyperlink" Target="https://drive.google.com/open?id=1tKuf30MZmUe2gtXAIbY4dZz01Bpr1vTV" TargetMode="External"/><Relationship Id="rId3020" Type="http://schemas.openxmlformats.org/officeDocument/2006/relationships/hyperlink" Target="https://drive.google.com/open?id=1PdaulM2rd7j-LvzZ0tK6ycrC6I1n6FhX" TargetMode="External"/><Relationship Id="rId6176" Type="http://schemas.openxmlformats.org/officeDocument/2006/relationships/hyperlink" Target="https://www.facebook.com/trmihnkhue?mibextid=LQQJ4d" TargetMode="External"/><Relationship Id="rId7227" Type="http://schemas.openxmlformats.org/officeDocument/2006/relationships/hyperlink" Target="https://www.facebook.com/nguyenngoc.ton.33" TargetMode="External"/><Relationship Id="rId7574" Type="http://schemas.openxmlformats.org/officeDocument/2006/relationships/hyperlink" Target="https://www.facebook.com/profile.php?id=100054558464007&amp;mibextid=LQQJ4d" TargetMode="External"/><Relationship Id="rId8625" Type="http://schemas.openxmlformats.org/officeDocument/2006/relationships/hyperlink" Target="https://drive.google.com/open?id=1bBnBmvChZ27oE2rAwro6CUZu3zXd5c-m" TargetMode="External"/><Relationship Id="rId6590" Type="http://schemas.openxmlformats.org/officeDocument/2006/relationships/hyperlink" Target="https://www.facebook.com/profile.php?id=100069894230057&amp;mibextid=LQQJ4d" TargetMode="External"/><Relationship Id="rId7641" Type="http://schemas.openxmlformats.org/officeDocument/2006/relationships/hyperlink" Target="https://www.facebook.com/levu2707?mibextid=LQQJ4d" TargetMode="External"/><Relationship Id="rId2786" Type="http://schemas.openxmlformats.org/officeDocument/2006/relationships/hyperlink" Target="https://www.facebook.com/HariKayn002?mibextid=ZbWKwL" TargetMode="External"/><Relationship Id="rId3837" Type="http://schemas.openxmlformats.org/officeDocument/2006/relationships/hyperlink" Target="https://www.facebook.com/tucoiss.05032005?mibextid=LQQJ4d" TargetMode="External"/><Relationship Id="rId5192" Type="http://schemas.openxmlformats.org/officeDocument/2006/relationships/hyperlink" Target="https://drive.google.com/open?id=1Cnj_tVwovnE5ypdBRuNjvWrIk9MQ_Gdk" TargetMode="External"/><Relationship Id="rId6243" Type="http://schemas.openxmlformats.org/officeDocument/2006/relationships/hyperlink" Target="https://www.facebook.com/profile.php?id=100069210262090&amp;mibextid=LQQJ4d" TargetMode="External"/><Relationship Id="rId9399" Type="http://schemas.openxmlformats.org/officeDocument/2006/relationships/hyperlink" Target="https://www.facebook.com/nguyenn.ngoc.anh.395017" TargetMode="External"/><Relationship Id="rId758" Type="http://schemas.openxmlformats.org/officeDocument/2006/relationships/hyperlink" Target="https://www.facebook.com/tue.do.1485" TargetMode="External"/><Relationship Id="rId1388" Type="http://schemas.openxmlformats.org/officeDocument/2006/relationships/hyperlink" Target="https://www.facebook.com/profile.php?id=100015278533454" TargetMode="External"/><Relationship Id="rId2439" Type="http://schemas.openxmlformats.org/officeDocument/2006/relationships/hyperlink" Target="https://www.facebook.com/profile.php?id=100088674544844" TargetMode="External"/><Relationship Id="rId2853" Type="http://schemas.openxmlformats.org/officeDocument/2006/relationships/hyperlink" Target="https://www.facebook.com/profile.php?id=100054706222073&amp;mibextid=LQQJ4d" TargetMode="External"/><Relationship Id="rId3904" Type="http://schemas.openxmlformats.org/officeDocument/2006/relationships/hyperlink" Target="https://www.facebook.com/profile.php?id=100042311855995&amp;mibextid=LQQJ4d" TargetMode="External"/><Relationship Id="rId6310" Type="http://schemas.openxmlformats.org/officeDocument/2006/relationships/hyperlink" Target="https://drive.google.com/open?id=1ORMcqtmis2PTPxc1Q4rrGdV1XybgBFmI" TargetMode="External"/><Relationship Id="rId9466" Type="http://schemas.openxmlformats.org/officeDocument/2006/relationships/hyperlink" Target="https://www.facebook.com/hoanglananh23022016" TargetMode="External"/><Relationship Id="rId94" Type="http://schemas.openxmlformats.org/officeDocument/2006/relationships/hyperlink" Target="https://www.facebook.com/profile.php?id=100094427041607" TargetMode="External"/><Relationship Id="rId825" Type="http://schemas.openxmlformats.org/officeDocument/2006/relationships/hyperlink" Target="https://www.facebook.com/profile.php?id=100022816041256&amp;mibextid=2JQ9oc" TargetMode="External"/><Relationship Id="rId1455" Type="http://schemas.openxmlformats.org/officeDocument/2006/relationships/hyperlink" Target="https://www.facebook.com/profile.php?id=100040352595040" TargetMode="External"/><Relationship Id="rId2506" Type="http://schemas.openxmlformats.org/officeDocument/2006/relationships/hyperlink" Target="https://www.facebook.com/100068526194238/" TargetMode="External"/><Relationship Id="rId8068" Type="http://schemas.openxmlformats.org/officeDocument/2006/relationships/hyperlink" Target="https://www.facebook.com/profile.php?id=100054343832305&amp;mibextid=LQQJ4d" TargetMode="External"/><Relationship Id="rId8482" Type="http://schemas.openxmlformats.org/officeDocument/2006/relationships/hyperlink" Target="https://www.facebook.com/profile.php?id=100052837290679&amp;mibextid=ZbWKwL" TargetMode="External"/><Relationship Id="rId9119" Type="http://schemas.openxmlformats.org/officeDocument/2006/relationships/hyperlink" Target="https://www.facebook.com/pham.uc.thuan.540771" TargetMode="External"/><Relationship Id="rId9533" Type="http://schemas.openxmlformats.org/officeDocument/2006/relationships/hyperlink" Target="https://www.facebook.com/share/1KDxz7PWDp/?mibextid=wwXIfr" TargetMode="External"/><Relationship Id="rId1108" Type="http://schemas.openxmlformats.org/officeDocument/2006/relationships/hyperlink" Target="https://drive.google.com/open?id=19lxtdFsm8DwW7_SHxE208bLqkqGDGgTq" TargetMode="External"/><Relationship Id="rId2920" Type="http://schemas.openxmlformats.org/officeDocument/2006/relationships/hyperlink" Target="https://drive.google.com/open?id=1q0yIIGZk9FB0wOrb9_tmcaAkoV7icCce" TargetMode="External"/><Relationship Id="rId4678" Type="http://schemas.openxmlformats.org/officeDocument/2006/relationships/hyperlink" Target="https://www.facebook.com/quynh.kudo.3" TargetMode="External"/><Relationship Id="rId7084" Type="http://schemas.openxmlformats.org/officeDocument/2006/relationships/hyperlink" Target="https://www.facebook.com/profile.php?id=100050559190122" TargetMode="External"/><Relationship Id="rId8135" Type="http://schemas.openxmlformats.org/officeDocument/2006/relationships/hyperlink" Target="https://www.facebook.com/profile.php?id=100062219615429&amp;mibextid=ZbWKwL" TargetMode="External"/><Relationship Id="rId1522" Type="http://schemas.openxmlformats.org/officeDocument/2006/relationships/hyperlink" Target="https://www.facebook.com/thientam.1607" TargetMode="External"/><Relationship Id="rId5729" Type="http://schemas.openxmlformats.org/officeDocument/2006/relationships/hyperlink" Target="https://www.facebook.com/profile.php?id=100070856023268&amp;mibextid=LQQJ4d" TargetMode="External"/><Relationship Id="rId7151" Type="http://schemas.openxmlformats.org/officeDocument/2006/relationships/hyperlink" Target="https://drive.google.com/open?id=1nTtt0-sGE9WqABVnOM843MhT1c6b9hPu" TargetMode="External"/><Relationship Id="rId8202" Type="http://schemas.openxmlformats.org/officeDocument/2006/relationships/hyperlink" Target="https://www.facebook.com/quynh.nhu.222678/" TargetMode="External"/><Relationship Id="rId3694" Type="http://schemas.openxmlformats.org/officeDocument/2006/relationships/hyperlink" Target="https://drive.google.com/open?id=1PZC9QrR16vVWphruV0VfqRFRtkNNWAyG" TargetMode="External"/><Relationship Id="rId4745" Type="http://schemas.openxmlformats.org/officeDocument/2006/relationships/hyperlink" Target="https://www.facebook.com/chippi.151?mibextid=ZbWKwL" TargetMode="External"/><Relationship Id="rId2296" Type="http://schemas.openxmlformats.org/officeDocument/2006/relationships/hyperlink" Target="https://www.facebook.com/le.tanh.10004?mibextid=ZbWKwL" TargetMode="External"/><Relationship Id="rId3347" Type="http://schemas.openxmlformats.org/officeDocument/2006/relationships/hyperlink" Target="https://drive.google.com/open?id=16AjLq6_QX4eZalMcCnoR6M4IQONLkCxo" TargetMode="External"/><Relationship Id="rId3761" Type="http://schemas.openxmlformats.org/officeDocument/2006/relationships/hyperlink" Target="https://drive.google.com/open?id=1ubkvk7gDBIy5Pof5fYEbreTB7eXjn7hj" TargetMode="External"/><Relationship Id="rId4812" Type="http://schemas.openxmlformats.org/officeDocument/2006/relationships/hyperlink" Target="https://www.facebook.com/profile.php?id=100040570543477&amp;mibextid=LQQJ4d" TargetMode="External"/><Relationship Id="rId7968" Type="http://schemas.openxmlformats.org/officeDocument/2006/relationships/hyperlink" Target="https://www.facebook.com/jenna.yee.nguyen2903?mibextid=LQQJ4d" TargetMode="External"/><Relationship Id="rId268" Type="http://schemas.openxmlformats.org/officeDocument/2006/relationships/hyperlink" Target="https://www.facebook.com/profile.php?id=100026555210524&amp;mibextid=LQQJ4d" TargetMode="External"/><Relationship Id="rId682" Type="http://schemas.openxmlformats.org/officeDocument/2006/relationships/hyperlink" Target="https://www.facebook.com/profile.php?id=100074041792490" TargetMode="External"/><Relationship Id="rId2363" Type="http://schemas.openxmlformats.org/officeDocument/2006/relationships/hyperlink" Target="https://www.facebook.com/profile.php?id=100022293270487&amp;mibextid=LQQJ4d" TargetMode="External"/><Relationship Id="rId3414" Type="http://schemas.openxmlformats.org/officeDocument/2006/relationships/hyperlink" Target="https://www.facebook.com/profile.php?id=100090309125596" TargetMode="External"/><Relationship Id="rId6984" Type="http://schemas.openxmlformats.org/officeDocument/2006/relationships/hyperlink" Target="https://www.facebook.com/profile.php?id=100048038284486" TargetMode="External"/><Relationship Id="rId9390" Type="http://schemas.openxmlformats.org/officeDocument/2006/relationships/hyperlink" Target="https://www.facebook.com/profile.php?id=100069904971500&amp;mibextid=LQQJ4d" TargetMode="External"/><Relationship Id="rId335" Type="http://schemas.openxmlformats.org/officeDocument/2006/relationships/hyperlink" Target="https://drive.google.com/open?id=1_9Esvg8XdcFD99E_6qWAdnLT9PJev69Q" TargetMode="External"/><Relationship Id="rId2016" Type="http://schemas.openxmlformats.org/officeDocument/2006/relationships/hyperlink" Target="https://drive.google.com/open?id=1-4LjSdye3SNYSmsaGAfaA8iY-x42e7kD" TargetMode="External"/><Relationship Id="rId2430" Type="http://schemas.openxmlformats.org/officeDocument/2006/relationships/hyperlink" Target="https://drive.google.com/open?id=1ERs5wIZ19bPDgOmP-u55-J1UuDZb-zTK" TargetMode="External"/><Relationship Id="rId5586" Type="http://schemas.openxmlformats.org/officeDocument/2006/relationships/hyperlink" Target="https://drive.google.com/open?id=1iVEGAabzHWUWuW0qbTG9DywOvkxcbwbG" TargetMode="External"/><Relationship Id="rId6637" Type="http://schemas.openxmlformats.org/officeDocument/2006/relationships/hyperlink" Target="https://www.facebook.com/share/1CGU5hYz8h/" TargetMode="External"/><Relationship Id="rId9043" Type="http://schemas.openxmlformats.org/officeDocument/2006/relationships/hyperlink" Target="https://drive.google.com/open?id=1o3OnKND4lbCyqGy-rXLzWoa1dMG6dWla" TargetMode="External"/><Relationship Id="rId402" Type="http://schemas.openxmlformats.org/officeDocument/2006/relationships/hyperlink" Target="https://www.facebook.com/phamnamhykc?mibextid=ZbWKwL" TargetMode="External"/><Relationship Id="rId1032" Type="http://schemas.openxmlformats.org/officeDocument/2006/relationships/hyperlink" Target="https://www.facebook.com/bth1406" TargetMode="External"/><Relationship Id="rId4188" Type="http://schemas.openxmlformats.org/officeDocument/2006/relationships/hyperlink" Target="https://drive.google.com/open?id=1h2RTNSjqpNz3dAyY7pazkMzHkEqP-IcY" TargetMode="External"/><Relationship Id="rId5239" Type="http://schemas.openxmlformats.org/officeDocument/2006/relationships/hyperlink" Target="https://www.facebook.com/profile.php?id=61551501339638&amp;mibextid=ZbWKwL" TargetMode="External"/><Relationship Id="rId9110" Type="http://schemas.openxmlformats.org/officeDocument/2006/relationships/hyperlink" Target="https://www.facebook.com/profile.php?id=100033489904013&amp;mibextid=LQQJ4d" TargetMode="External"/><Relationship Id="rId4255" Type="http://schemas.openxmlformats.org/officeDocument/2006/relationships/hyperlink" Target="https://drive.google.com/open?id=14HV0uyAXQv0AYYs8Kwh9kSqXyhGrrOWz" TargetMode="External"/><Relationship Id="rId5306" Type="http://schemas.openxmlformats.org/officeDocument/2006/relationships/hyperlink" Target="https://www.facebook.com/duonghung7825?mibextid=LQQJ4d" TargetMode="External"/><Relationship Id="rId5653" Type="http://schemas.openxmlformats.org/officeDocument/2006/relationships/hyperlink" Target="https://www.facebook.com/khanh.thaihoang.96" TargetMode="External"/><Relationship Id="rId6704" Type="http://schemas.openxmlformats.org/officeDocument/2006/relationships/hyperlink" Target="https://www.facebook.com/profile.php?id=100033489904013&amp;mibextid=LQQJ4d" TargetMode="External"/><Relationship Id="rId1849" Type="http://schemas.openxmlformats.org/officeDocument/2006/relationships/hyperlink" Target="https://www.facebook.com/profile.php?id=100024816816776&amp;mibextid=ZbWKwL" TargetMode="External"/><Relationship Id="rId5720" Type="http://schemas.openxmlformats.org/officeDocument/2006/relationships/hyperlink" Target="https://www.facebook.com/buonvailonhuhuhu" TargetMode="External"/><Relationship Id="rId8876" Type="http://schemas.openxmlformats.org/officeDocument/2006/relationships/hyperlink" Target="https://www.facebook.com/hapss.hai" TargetMode="External"/><Relationship Id="rId192" Type="http://schemas.openxmlformats.org/officeDocument/2006/relationships/hyperlink" Target="https://www.facebook.com/profile.php?id=100004686769201" TargetMode="External"/><Relationship Id="rId1916" Type="http://schemas.openxmlformats.org/officeDocument/2006/relationships/hyperlink" Target="https://www.facebook.com/bivhhao?mibextid=7cd5pb" TargetMode="External"/><Relationship Id="rId3271" Type="http://schemas.openxmlformats.org/officeDocument/2006/relationships/hyperlink" Target="https://drive.google.com/open?id=1Y7oaEXzbqYhgdgfaFnKk5WruIG11mmh2" TargetMode="External"/><Relationship Id="rId4322" Type="http://schemas.openxmlformats.org/officeDocument/2006/relationships/hyperlink" Target="https://www.facebook.com/profile.php?id=100030286573099&amp;mibextid=LQQJ4d" TargetMode="External"/><Relationship Id="rId7478" Type="http://schemas.openxmlformats.org/officeDocument/2006/relationships/hyperlink" Target="https://drive.google.com/open?id=1CfO7zdRQrutUlubnxEpRGt9zaC8vdDRO" TargetMode="External"/><Relationship Id="rId7892" Type="http://schemas.openxmlformats.org/officeDocument/2006/relationships/hyperlink" Target="https://drive.google.com/open?id=1q9JIi-IJ8226P68Lf2fcjVj4-YWXCeCy" TargetMode="External"/><Relationship Id="rId8529" Type="http://schemas.openxmlformats.org/officeDocument/2006/relationships/hyperlink" Target="https://www.facebook.com/profile.php?id=100083791062278" TargetMode="External"/><Relationship Id="rId8943" Type="http://schemas.openxmlformats.org/officeDocument/2006/relationships/hyperlink" Target="https://drive.google.com/open?id=1WhqK25-ljFomN1njeLTYoAH3OEwKCxhC" TargetMode="External"/><Relationship Id="rId6494" Type="http://schemas.openxmlformats.org/officeDocument/2006/relationships/hyperlink" Target="https://www.facebook.com/anh.cheery.94" TargetMode="External"/><Relationship Id="rId7545" Type="http://schemas.openxmlformats.org/officeDocument/2006/relationships/hyperlink" Target="https://www.facebook.com/profile.php?id=100094386626142&amp;mibextid=ZbWKwL" TargetMode="External"/><Relationship Id="rId5096" Type="http://schemas.openxmlformats.org/officeDocument/2006/relationships/hyperlink" Target="https://www.facebook.com/vuthikhanhninh2401" TargetMode="External"/><Relationship Id="rId6147" Type="http://schemas.openxmlformats.org/officeDocument/2006/relationships/hyperlink" Target="https://www.facebook.com/profile.php?id=100070830233559" TargetMode="External"/><Relationship Id="rId6561" Type="http://schemas.openxmlformats.org/officeDocument/2006/relationships/hyperlink" Target="https://www.facebook.com/khanh.luongquoc.716" TargetMode="External"/><Relationship Id="rId7612" Type="http://schemas.openxmlformats.org/officeDocument/2006/relationships/hyperlink" Target="https://www.facebook.com/profile.php?id=100023334592154&amp;mibextid=LQQJ4d" TargetMode="External"/><Relationship Id="rId5163" Type="http://schemas.openxmlformats.org/officeDocument/2006/relationships/hyperlink" Target="https://drive.google.com/open?id=1-eSWOy61-JulKifdI3jRU3T0b4ttpl5b" TargetMode="External"/><Relationship Id="rId6214" Type="http://schemas.openxmlformats.org/officeDocument/2006/relationships/hyperlink" Target="https://www.facebook.com/xuan.hoangthanh.3597?mibextid=LQQJ4d" TargetMode="External"/><Relationship Id="rId729" Type="http://schemas.openxmlformats.org/officeDocument/2006/relationships/hyperlink" Target="https://www.facebook.com/phundo.onthemicc.05?mibextid=LQQJ4d" TargetMode="External"/><Relationship Id="rId1359" Type="http://schemas.openxmlformats.org/officeDocument/2006/relationships/hyperlink" Target="https://www.facebook.com/profile.php?id=100041532832959&amp;mibextid=ZbWKwL" TargetMode="External"/><Relationship Id="rId2757" Type="http://schemas.openxmlformats.org/officeDocument/2006/relationships/hyperlink" Target="https://drive.google.com/open?id=1c_OBh3KX4fMSP1-hyV5BPAwwCTPwBX2B" TargetMode="External"/><Relationship Id="rId3808" Type="http://schemas.openxmlformats.org/officeDocument/2006/relationships/hyperlink" Target="https://www.facebook.com/changlovebaozi?mibextid=LQQJ4d" TargetMode="External"/><Relationship Id="rId5230" Type="http://schemas.openxmlformats.org/officeDocument/2006/relationships/hyperlink" Target="https://www.facebook.com/100052872287637/" TargetMode="External"/><Relationship Id="rId8386" Type="http://schemas.openxmlformats.org/officeDocument/2006/relationships/hyperlink" Target="https://www.facebook.com/huuquan.le.167" TargetMode="External"/><Relationship Id="rId9437" Type="http://schemas.openxmlformats.org/officeDocument/2006/relationships/hyperlink" Target="https://drive.google.com/open?id=17hfo7rVWXqLgp7stEoqC1LYG9X5brDA6" TargetMode="External"/><Relationship Id="rId1773" Type="http://schemas.openxmlformats.org/officeDocument/2006/relationships/hyperlink" Target="https://www.facebook.com/HuyHoang3103" TargetMode="External"/><Relationship Id="rId2824" Type="http://schemas.openxmlformats.org/officeDocument/2006/relationships/hyperlink" Target="https://www.facebook.com/hanh.enduring" TargetMode="External"/><Relationship Id="rId8039" Type="http://schemas.openxmlformats.org/officeDocument/2006/relationships/hyperlink" Target="https://www.facebook.com/ngothuhang2005?mibextid=LQQJ4d" TargetMode="External"/><Relationship Id="rId65" Type="http://schemas.openxmlformats.org/officeDocument/2006/relationships/hyperlink" Target="https://www.facebook.com/hang.nguyenthithuy.96155?mibextid=LQQJ4d" TargetMode="External"/><Relationship Id="rId1426" Type="http://schemas.openxmlformats.org/officeDocument/2006/relationships/hyperlink" Target="https://www.facebook.com/profile.php?id=100023689659717" TargetMode="External"/><Relationship Id="rId1840" Type="http://schemas.openxmlformats.org/officeDocument/2006/relationships/hyperlink" Target="https://www.facebook.com/heituinanga?mibextid=LQQJ4d" TargetMode="External"/><Relationship Id="rId4996" Type="http://schemas.openxmlformats.org/officeDocument/2006/relationships/hyperlink" Target="https://www.facebook.com/profile.php?id=100076888877010" TargetMode="External"/><Relationship Id="rId8453" Type="http://schemas.openxmlformats.org/officeDocument/2006/relationships/hyperlink" Target="https://www.facebook.com/profile.php?id=100033376013445&amp;mibextid=LQQJ4d" TargetMode="External"/><Relationship Id="rId9504" Type="http://schemas.openxmlformats.org/officeDocument/2006/relationships/hyperlink" Target="https://drive.google.com/open?id=11z86Y1PoTS4G-g2jpePIWyL_fCjPQyCq" TargetMode="External"/><Relationship Id="rId3598" Type="http://schemas.openxmlformats.org/officeDocument/2006/relationships/hyperlink" Target="https://www.facebook.com/nhanlinkbayacc?mibextid=kFxxJ" TargetMode="External"/><Relationship Id="rId4649" Type="http://schemas.openxmlformats.org/officeDocument/2006/relationships/hyperlink" Target="https://www.facebook.com/maychalchan?mibextid=LQQJ4d" TargetMode="External"/><Relationship Id="rId7055" Type="http://schemas.openxmlformats.org/officeDocument/2006/relationships/hyperlink" Target="https://www.facebook.com/gia.khanhhhs?mibextid=LQQJ4d" TargetMode="External"/><Relationship Id="rId8106" Type="http://schemas.openxmlformats.org/officeDocument/2006/relationships/hyperlink" Target="https://www.facebook.com/profile.php?id=100015570667027&amp;mibextid=LQQJ4d" TargetMode="External"/><Relationship Id="rId8520" Type="http://schemas.openxmlformats.org/officeDocument/2006/relationships/hyperlink" Target="https://m.facebook.com/lthg20?mibextid=LQQJ4d" TargetMode="External"/><Relationship Id="rId3665" Type="http://schemas.openxmlformats.org/officeDocument/2006/relationships/hyperlink" Target="https://www.facebook.com/profile.php?id=100066362700204&amp;mibextid=LQQJ4d" TargetMode="External"/><Relationship Id="rId4716" Type="http://schemas.openxmlformats.org/officeDocument/2006/relationships/hyperlink" Target="https://drive.google.com/open?id=1gWsjlBGLhbdVQMoR-MLM_Ay8PujEohFb" TargetMode="External"/><Relationship Id="rId6071" Type="http://schemas.openxmlformats.org/officeDocument/2006/relationships/hyperlink" Target="https://drive.google.com/open?id=1pmFWpYTYWUV5RhnxPbiCvrPg41q_ARJj" TargetMode="External"/><Relationship Id="rId7122" Type="http://schemas.openxmlformats.org/officeDocument/2006/relationships/hyperlink" Target="https://drive.google.com/open?id=1RWswhB88VJ4HE12EwwZYJmD9LQhj-UwL" TargetMode="External"/><Relationship Id="rId586" Type="http://schemas.openxmlformats.org/officeDocument/2006/relationships/hyperlink" Target="https://drive.google.com/open?id=1WBhRCrTRrohWqiCA6-Fy7LrqEY4210Ne" TargetMode="External"/><Relationship Id="rId2267" Type="http://schemas.openxmlformats.org/officeDocument/2006/relationships/hyperlink" Target="https://drive.google.com/open?id=17nOZLTeCfrOJUGELqMGlgcrKqIfL7YSI" TargetMode="External"/><Relationship Id="rId2681" Type="http://schemas.openxmlformats.org/officeDocument/2006/relationships/hyperlink" Target="https://drive.google.com/open?id=1xS9pJSqf9u-dBbX2MbCk1Zp5caTKK7pw" TargetMode="External"/><Relationship Id="rId3318" Type="http://schemas.openxmlformats.org/officeDocument/2006/relationships/hyperlink" Target="https://www.facebook.com/profile.php?id=100047018533763&amp;mibextid=ZbWKwL" TargetMode="External"/><Relationship Id="rId6888" Type="http://schemas.openxmlformats.org/officeDocument/2006/relationships/hyperlink" Target="https://www.facebook.com/tao.sugia.56?mibextid=JRoKGi" TargetMode="External"/><Relationship Id="rId9294" Type="http://schemas.openxmlformats.org/officeDocument/2006/relationships/hyperlink" Target="https://www.facebook.com/thien.lac.50364" TargetMode="External"/><Relationship Id="rId239" Type="http://schemas.openxmlformats.org/officeDocument/2006/relationships/hyperlink" Target="https://drive.google.com/open?id=1NC2jewKyXWYvJd7g17ZUvwwf2csE1aCC" TargetMode="External"/><Relationship Id="rId653" Type="http://schemas.openxmlformats.org/officeDocument/2006/relationships/hyperlink" Target="https://drive.google.com/open?id=1zYoe6moVXN1dDd7rIABghFQdgDku_IIo" TargetMode="External"/><Relationship Id="rId1283" Type="http://schemas.openxmlformats.org/officeDocument/2006/relationships/hyperlink" Target="https://drive.google.com/open?id=17uZIYfq7f4GNXSPNPF0vJJDLF-gHGeIo" TargetMode="External"/><Relationship Id="rId2334" Type="http://schemas.openxmlformats.org/officeDocument/2006/relationships/hyperlink" Target="https://drive.google.com/open?id=1tJuO0a9mdU2gNsRntKhzEH__wPM-WmLH" TargetMode="External"/><Relationship Id="rId3732" Type="http://schemas.openxmlformats.org/officeDocument/2006/relationships/hyperlink" Target="https://www.facebook.com/profile.php?id=100011778961135&amp;mibextid=LQQJ4d" TargetMode="External"/><Relationship Id="rId7939" Type="http://schemas.openxmlformats.org/officeDocument/2006/relationships/hyperlink" Target="https://www.facebook.com/profile.php?id=100026686776406&amp;mibextid=LQQJ4d" TargetMode="External"/><Relationship Id="rId9361" Type="http://schemas.openxmlformats.org/officeDocument/2006/relationships/hyperlink" Target="https://www.facebook.com/people/%C4%90%E1%BB%97-H%E1%BB%93ng-S%C6%A1n/pfbid0buqJXX1bkcreujxA8Z4XH81p7GfNgT428UQzFz3YeCjC4yqfDA6KLoYXcoT8EziJl/" TargetMode="External"/><Relationship Id="rId306" Type="http://schemas.openxmlformats.org/officeDocument/2006/relationships/hyperlink" Target="https://www.facebook.com/profile.php?id=100048904483883" TargetMode="External"/><Relationship Id="rId6955" Type="http://schemas.openxmlformats.org/officeDocument/2006/relationships/hyperlink" Target="https://www.facebook.com/buisykiem.kiem?mibextid=LQQJ4d" TargetMode="External"/><Relationship Id="rId9014" Type="http://schemas.openxmlformats.org/officeDocument/2006/relationships/hyperlink" Target="https://drive.google.com/open?id=1HfyfbHP3IWuiPDBCIOHdI6LNztOCyWqW" TargetMode="External"/><Relationship Id="rId720" Type="http://schemas.openxmlformats.org/officeDocument/2006/relationships/hyperlink" Target="https://www.facebook.com/profile.php?id=100027844110320" TargetMode="External"/><Relationship Id="rId1350" Type="http://schemas.openxmlformats.org/officeDocument/2006/relationships/hyperlink" Target="https://www.facebook.com/romei.chem" TargetMode="External"/><Relationship Id="rId2401" Type="http://schemas.openxmlformats.org/officeDocument/2006/relationships/hyperlink" Target="https://www.facebook.com/profile.php?id=100029625845720" TargetMode="External"/><Relationship Id="rId4159" Type="http://schemas.openxmlformats.org/officeDocument/2006/relationships/hyperlink" Target="https://www.facebook.com/profile.php?id=100049637704551&amp;mibextid=LQQJ4d" TargetMode="External"/><Relationship Id="rId5557" Type="http://schemas.openxmlformats.org/officeDocument/2006/relationships/hyperlink" Target="https://www.facebook.com/tuan.thien.585559?mibextid=LQQJ4d" TargetMode="External"/><Relationship Id="rId5971" Type="http://schemas.openxmlformats.org/officeDocument/2006/relationships/hyperlink" Target="https://www.facebook.com/profile.php?id=61562863024763&amp;mibextid=LQQJ4d" TargetMode="External"/><Relationship Id="rId6608" Type="http://schemas.openxmlformats.org/officeDocument/2006/relationships/hyperlink" Target="https://www.facebook.com/profile.php?id=100070830233559" TargetMode="External"/><Relationship Id="rId1003" Type="http://schemas.openxmlformats.org/officeDocument/2006/relationships/hyperlink" Target="https://drive.google.com/open?id=12A76CQjVbxbyeEvFEMQ5qYvTFvk6xJwC" TargetMode="External"/><Relationship Id="rId4573" Type="http://schemas.openxmlformats.org/officeDocument/2006/relationships/hyperlink" Target="https://www.facebook.com/profile.php?id=100009719767989&amp;_rdc=1&amp;_rdr" TargetMode="External"/><Relationship Id="rId5624" Type="http://schemas.openxmlformats.org/officeDocument/2006/relationships/hyperlink" Target="https://drive.google.com/open?id=1uPSUpUstrnA8AVLIFvYaHHYcWyJU3vLd" TargetMode="External"/><Relationship Id="rId8030" Type="http://schemas.openxmlformats.org/officeDocument/2006/relationships/hyperlink" Target="https://drive.google.com/open?id=1o3SIHs8ZXcErfge10bGlg3PEhmAAQkbJ" TargetMode="External"/><Relationship Id="rId3175" Type="http://schemas.openxmlformats.org/officeDocument/2006/relationships/hyperlink" Target="https://drive.google.com/open?id=1EBVh4373bb-Zm_sTWJBm2u5rFmwggNgd" TargetMode="External"/><Relationship Id="rId4226" Type="http://schemas.openxmlformats.org/officeDocument/2006/relationships/hyperlink" Target="https://www.facebook.com/profile.php?id=100069456338036&amp;mibextid=LQQJ4d" TargetMode="External"/><Relationship Id="rId4640" Type="http://schemas.openxmlformats.org/officeDocument/2006/relationships/hyperlink" Target="https://drive.google.com/open?id=1ir29OGRx2iWSFXHId1T6Ua4969rGb4D-" TargetMode="External"/><Relationship Id="rId7796" Type="http://schemas.openxmlformats.org/officeDocument/2006/relationships/hyperlink" Target="https://www.facebook.com/share/19uidNNStB/?mibextid=wwXIfr" TargetMode="External"/><Relationship Id="rId8847" Type="http://schemas.openxmlformats.org/officeDocument/2006/relationships/hyperlink" Target="https://drive.google.com/open?id=1m2GAPvPM0teny3RkG10MK4woXrxUui20" TargetMode="External"/><Relationship Id="rId2191" Type="http://schemas.openxmlformats.org/officeDocument/2006/relationships/hyperlink" Target="https://drive.google.com/open?id=1Q8VIJgidq5XKPIXnJvQ3WiwwMOpaJavW" TargetMode="External"/><Relationship Id="rId3242" Type="http://schemas.openxmlformats.org/officeDocument/2006/relationships/hyperlink" Target="https://www.facebook.com/profile.php?id=100082769193918&amp;mibextid=opq0tG" TargetMode="External"/><Relationship Id="rId6398" Type="http://schemas.openxmlformats.org/officeDocument/2006/relationships/hyperlink" Target="https://www.facebook.com/ngtthuyen.8122006" TargetMode="External"/><Relationship Id="rId7449" Type="http://schemas.openxmlformats.org/officeDocument/2006/relationships/hyperlink" Target="https://www.facebook.com/nguyenhuu.quyen.3386?mibextid=ZbWKwL" TargetMode="External"/><Relationship Id="rId163" Type="http://schemas.openxmlformats.org/officeDocument/2006/relationships/hyperlink" Target="https://drive.google.com/open?id=1-pkqer4P6upITmRQT_HmAL4OQXtuD0Hu" TargetMode="External"/><Relationship Id="rId6465" Type="http://schemas.openxmlformats.org/officeDocument/2006/relationships/hyperlink" Target="https://www.facebook.com/profile.php?id=100041770623495" TargetMode="External"/><Relationship Id="rId7516" Type="http://schemas.openxmlformats.org/officeDocument/2006/relationships/hyperlink" Target="https://www.facebook.com/profile.php?id=100083022805316" TargetMode="External"/><Relationship Id="rId7863" Type="http://schemas.openxmlformats.org/officeDocument/2006/relationships/hyperlink" Target="https://drive.google.com/open?id=1bzXjYeB8pnzbjZUxNwsYQJQWDd9usv6S" TargetMode="External"/><Relationship Id="rId8914" Type="http://schemas.openxmlformats.org/officeDocument/2006/relationships/hyperlink" Target="https://www.facebook.com/tran.quyen.382956" TargetMode="External"/><Relationship Id="rId230" Type="http://schemas.openxmlformats.org/officeDocument/2006/relationships/hyperlink" Target="https://drive.google.com/open?id=1fsK0KRi-GMyzeYaD_qoDm322xD1QuYML" TargetMode="External"/><Relationship Id="rId5067" Type="http://schemas.openxmlformats.org/officeDocument/2006/relationships/hyperlink" Target="https://www.facebook.com/profile.php?id=100040423844232" TargetMode="External"/><Relationship Id="rId6118" Type="http://schemas.openxmlformats.org/officeDocument/2006/relationships/hyperlink" Target="https://www.facebook.com/trantuanh.15.03" TargetMode="External"/><Relationship Id="rId7930" Type="http://schemas.openxmlformats.org/officeDocument/2006/relationships/hyperlink" Target="https://www.facebook.com/profile.php?id=100078822623412&amp;mibextid=LQQJ4d" TargetMode="External"/><Relationship Id="rId4083" Type="http://schemas.openxmlformats.org/officeDocument/2006/relationships/hyperlink" Target="https://www.facebook.com/nguyen.giabao.52643821?mibextid=LQQJ4d" TargetMode="External"/><Relationship Id="rId5481" Type="http://schemas.openxmlformats.org/officeDocument/2006/relationships/hyperlink" Target="https://drive.google.com/open?id=1oOIF7ihRJWoKkpgy6ve7Q8T73AHSOCWK" TargetMode="External"/><Relationship Id="rId6532" Type="http://schemas.openxmlformats.org/officeDocument/2006/relationships/hyperlink" Target="https://www.facebook.com/profile.php?id=100055137439133" TargetMode="External"/><Relationship Id="rId1677" Type="http://schemas.openxmlformats.org/officeDocument/2006/relationships/hyperlink" Target="https://drive.google.com/open?id=1f9ZfKnAEF049OMMyElQgAoL-bS2cI2ui" TargetMode="External"/><Relationship Id="rId2728" Type="http://schemas.openxmlformats.org/officeDocument/2006/relationships/hyperlink" Target="https://www.facebook.com/quynhnga.ta.186?mibextid=ZbWKwL" TargetMode="External"/><Relationship Id="rId5134" Type="http://schemas.openxmlformats.org/officeDocument/2006/relationships/hyperlink" Target="https://www.facebook.com/profile.php?id=100052929704384" TargetMode="External"/><Relationship Id="rId1744" Type="http://schemas.openxmlformats.org/officeDocument/2006/relationships/hyperlink" Target="https://www.facebook.com/profile.php?id=100086758733211&amp;mibextid=LQQJ4d" TargetMode="External"/><Relationship Id="rId4150" Type="http://schemas.openxmlformats.org/officeDocument/2006/relationships/hyperlink" Target="https://www.facebook.com/profile.php?id=100024645811244&amp;mibextid=LQQJ4d" TargetMode="External"/><Relationship Id="rId5201" Type="http://schemas.openxmlformats.org/officeDocument/2006/relationships/hyperlink" Target="https://drive.google.com/open?id=1mm0o1tQVTQ9s1GOsmWq_GfW3Op9KbGSK" TargetMode="External"/><Relationship Id="rId8357" Type="http://schemas.openxmlformats.org/officeDocument/2006/relationships/hyperlink" Target="https://web.facebook.com/ltvanh.06/" TargetMode="External"/><Relationship Id="rId8771" Type="http://schemas.openxmlformats.org/officeDocument/2006/relationships/hyperlink" Target="https://www.facebook.com/hoaii.thu.2006?mibextid=ZbWKwL" TargetMode="External"/><Relationship Id="rId9408" Type="http://schemas.openxmlformats.org/officeDocument/2006/relationships/hyperlink" Target="https://www.facebook.com/gia.khanhhhs?mibextid=LQQJ4d" TargetMode="External"/><Relationship Id="rId36" Type="http://schemas.openxmlformats.org/officeDocument/2006/relationships/hyperlink" Target="https://www.facebook.com/myhuyen041203" TargetMode="External"/><Relationship Id="rId4967" Type="http://schemas.openxmlformats.org/officeDocument/2006/relationships/hyperlink" Target="https://www.facebook.com/profile.php?id=100078684363424" TargetMode="External"/><Relationship Id="rId7373" Type="http://schemas.openxmlformats.org/officeDocument/2006/relationships/hyperlink" Target="https://www.facebook.com/mijun.kim.969" TargetMode="External"/><Relationship Id="rId8424" Type="http://schemas.openxmlformats.org/officeDocument/2006/relationships/hyperlink" Target="https://www.facebook.com/profile.php?id=100029614685738&amp;mibextid=LQQJ4d" TargetMode="External"/><Relationship Id="rId1811" Type="http://schemas.openxmlformats.org/officeDocument/2006/relationships/hyperlink" Target="https://www.facebook.com/truong.t.h.nhi1501?mibextid=LQQJ4d" TargetMode="External"/><Relationship Id="rId3569" Type="http://schemas.openxmlformats.org/officeDocument/2006/relationships/hyperlink" Target="https://www.facebook.com/share/mVNqBXZN2izXKoyH/?" TargetMode="External"/><Relationship Id="rId7026" Type="http://schemas.openxmlformats.org/officeDocument/2006/relationships/hyperlink" Target="https://www.facebook.com/phuongnhi.toan.3?mibextid=LQQJ4d" TargetMode="External"/><Relationship Id="rId7440" Type="http://schemas.openxmlformats.org/officeDocument/2006/relationships/hyperlink" Target="https://www.facebook.com/pham.ngoc.anh240623" TargetMode="External"/><Relationship Id="rId3983" Type="http://schemas.openxmlformats.org/officeDocument/2006/relationships/hyperlink" Target="https://drive.google.com/open?id=1zOcLZn-sSepsue3pe5ziPGRdKveA551u" TargetMode="External"/><Relationship Id="rId6042" Type="http://schemas.openxmlformats.org/officeDocument/2006/relationships/hyperlink" Target="https://www.facebook.com/profile.php?id=61551340534168&amp;mibextid=LQQJ4d" TargetMode="External"/><Relationship Id="rId9198" Type="http://schemas.openxmlformats.org/officeDocument/2006/relationships/hyperlink" Target="https://www.facebook.com/profile.php?id=100053817425059&amp;mibextid=LQQJ4d" TargetMode="External"/><Relationship Id="rId1187" Type="http://schemas.openxmlformats.org/officeDocument/2006/relationships/hyperlink" Target="https://drive.google.com/open?id=16_Kjuhf5vL_8T72z7fTkyVYufUqazI6w" TargetMode="External"/><Relationship Id="rId2585" Type="http://schemas.openxmlformats.org/officeDocument/2006/relationships/hyperlink" Target="https://www.facebook.com/profile.php?id=100008848980005&amp;mibextid=LQQJ4d" TargetMode="External"/><Relationship Id="rId3636" Type="http://schemas.openxmlformats.org/officeDocument/2006/relationships/hyperlink" Target="https://www.facebook.com/chinhnghia.ngo.986?mibextid=LQQJ4d" TargetMode="External"/><Relationship Id="rId557" Type="http://schemas.openxmlformats.org/officeDocument/2006/relationships/hyperlink" Target="https://drive.google.com/open?id=10nTO16n1v--JP-XCSa_Rk2Ji7u1Ky9dX" TargetMode="External"/><Relationship Id="rId971" Type="http://schemas.openxmlformats.org/officeDocument/2006/relationships/hyperlink" Target="https://www.facebook.com/profile.php?id=100022279866938&amp;mibextid=9R9pXO" TargetMode="External"/><Relationship Id="rId2238" Type="http://schemas.openxmlformats.org/officeDocument/2006/relationships/hyperlink" Target="https://drive.google.com/open?id=17EUmP-ZT1OzQBE777VJ49bCL-hsxWG7e" TargetMode="External"/><Relationship Id="rId2652" Type="http://schemas.openxmlformats.org/officeDocument/2006/relationships/hyperlink" Target="https://www.facebook.com/phanduyhihi?mibextid=ZbWKwL" TargetMode="External"/><Relationship Id="rId3703" Type="http://schemas.openxmlformats.org/officeDocument/2006/relationships/hyperlink" Target="https://drive.google.com/open?id=1ttu_LOZ5L8tQ_scXdLzlTMucpwysGfcY" TargetMode="External"/><Relationship Id="rId6859" Type="http://schemas.openxmlformats.org/officeDocument/2006/relationships/hyperlink" Target="https://www.facebook.com/profile.php?id=100023479863150&amp;mibextid=LQQJ4d" TargetMode="External"/><Relationship Id="rId9265" Type="http://schemas.openxmlformats.org/officeDocument/2006/relationships/hyperlink" Target="https://drive.google.com/open?id=1bPmInnT7VYM-ip7eX-u85qfQ2ESAFogz" TargetMode="External"/><Relationship Id="rId624" Type="http://schemas.openxmlformats.org/officeDocument/2006/relationships/hyperlink" Target="https://drive.google.com/open?id=1rwsQNG3tmqM5iJII3jrcfzhLxGZBYK5w" TargetMode="External"/><Relationship Id="rId1254" Type="http://schemas.openxmlformats.org/officeDocument/2006/relationships/hyperlink" Target="https://drive.google.com/open?id=1WXQxLU5fstxRTC2sIn68IPV-VRaf-2QG" TargetMode="External"/><Relationship Id="rId2305" Type="http://schemas.openxmlformats.org/officeDocument/2006/relationships/hyperlink" Target="https://www.facebook.com/profile.php?id=100021701801813" TargetMode="External"/><Relationship Id="rId5875" Type="http://schemas.openxmlformats.org/officeDocument/2006/relationships/hyperlink" Target="https://www.facebook.com/share/1DezDFw3fN/?mibextid=LQQJ4d" TargetMode="External"/><Relationship Id="rId6926" Type="http://schemas.openxmlformats.org/officeDocument/2006/relationships/hyperlink" Target="https://www.facebook.com/profile.php?id=100072135765311&amp;mibextid=LQQJ4d" TargetMode="External"/><Relationship Id="rId8281" Type="http://schemas.openxmlformats.org/officeDocument/2006/relationships/hyperlink" Target="https://www.facebook.com/share/1HgiPa2yCU/" TargetMode="External"/><Relationship Id="rId9332" Type="http://schemas.openxmlformats.org/officeDocument/2006/relationships/hyperlink" Target="https://drive.google.com/open?id=1c4u0o7UFWYAENxPHshbBso7pHD2SX7Sd" TargetMode="External"/><Relationship Id="rId1321" Type="http://schemas.openxmlformats.org/officeDocument/2006/relationships/hyperlink" Target="https://www.facebook.com/mi.hoa.9461?mibextid=ZbWKwL" TargetMode="External"/><Relationship Id="rId4477" Type="http://schemas.openxmlformats.org/officeDocument/2006/relationships/hyperlink" Target="https://www.facebook.com/koy.vanh.5" TargetMode="External"/><Relationship Id="rId4891" Type="http://schemas.openxmlformats.org/officeDocument/2006/relationships/hyperlink" Target="https://www.facebook.com/fangglingg.11?mibextid=LQQJ4d" TargetMode="External"/><Relationship Id="rId5528" Type="http://schemas.openxmlformats.org/officeDocument/2006/relationships/hyperlink" Target="https://www.facebook.com/profile.php?id=100037188972287&amp;mibextid=ZbWKwL" TargetMode="External"/><Relationship Id="rId3079" Type="http://schemas.openxmlformats.org/officeDocument/2006/relationships/hyperlink" Target="https://drive.google.com/open?id=1AA2gRu22xZ0qKDRi79HdyLm3tCJlJ05N" TargetMode="External"/><Relationship Id="rId3493" Type="http://schemas.openxmlformats.org/officeDocument/2006/relationships/hyperlink" Target="https://www.facebook.com/profile.php?id=100040160680689&amp;mibextid=LQQJ4d" TargetMode="External"/><Relationship Id="rId4544" Type="http://schemas.openxmlformats.org/officeDocument/2006/relationships/hyperlink" Target="https://www.facebook.com/trong.phamxuan.522" TargetMode="External"/><Relationship Id="rId5942" Type="http://schemas.openxmlformats.org/officeDocument/2006/relationships/hyperlink" Target="https://www.facebook.com/profile.php?id=61551046004847&amp;mibextid=LQQJ4d" TargetMode="External"/><Relationship Id="rId8001" Type="http://schemas.openxmlformats.org/officeDocument/2006/relationships/hyperlink" Target="https://www.facebook.com/nganie.thao?mibextid=LQQJ4d" TargetMode="External"/><Relationship Id="rId2095" Type="http://schemas.openxmlformats.org/officeDocument/2006/relationships/hyperlink" Target="https://drive.google.com/open?id=1KLS1WH8GnR3sltHS7vlyaOtkKtuEITSd" TargetMode="External"/><Relationship Id="rId3146" Type="http://schemas.openxmlformats.org/officeDocument/2006/relationships/hyperlink" Target="https://drive.google.com/open?id=1WL-4QrLW0nuv_DDjx7BeQwE3O7CeHuEW" TargetMode="External"/><Relationship Id="rId481" Type="http://schemas.openxmlformats.org/officeDocument/2006/relationships/hyperlink" Target="https://www.facebook.com/profile.php?id=100068526194238&amp;mibextid=LQQJ4d" TargetMode="External"/><Relationship Id="rId2162" Type="http://schemas.openxmlformats.org/officeDocument/2006/relationships/hyperlink" Target="https://drive.google.com/open?id=1V7yKYuEHRj8TQIM_pX-0D3eotND2QYli" TargetMode="External"/><Relationship Id="rId3560" Type="http://schemas.openxmlformats.org/officeDocument/2006/relationships/hyperlink" Target="https://www.facebook.com/vhopng.194?mibextid=ZbWKwL" TargetMode="External"/><Relationship Id="rId4611" Type="http://schemas.openxmlformats.org/officeDocument/2006/relationships/hyperlink" Target="https://www.facebook.com/share/QhbsBLn7uJEogJ2J/?mibextid=qi2Omg" TargetMode="External"/><Relationship Id="rId6369" Type="http://schemas.openxmlformats.org/officeDocument/2006/relationships/hyperlink" Target="https://drive.google.com/open?id=19ajYIE0gWay0pG2EYQEnudDtET4yg37l" TargetMode="External"/><Relationship Id="rId7767" Type="http://schemas.openxmlformats.org/officeDocument/2006/relationships/hyperlink" Target="https://www.facebook.com/share/19dW2PargE/?mibextid=LQQJ4d" TargetMode="External"/><Relationship Id="rId8818" Type="http://schemas.openxmlformats.org/officeDocument/2006/relationships/hyperlink" Target="https://www.facebook.com/profile.php?id=100071138073583" TargetMode="External"/><Relationship Id="rId134" Type="http://schemas.openxmlformats.org/officeDocument/2006/relationships/hyperlink" Target="https://www.facebook.com/buihoang.kim.583" TargetMode="External"/><Relationship Id="rId3213" Type="http://schemas.openxmlformats.org/officeDocument/2006/relationships/hyperlink" Target="https://www.facebook.com/profile.php?id=100069746552749&amp;mibextid=zLoPMf" TargetMode="External"/><Relationship Id="rId6783" Type="http://schemas.openxmlformats.org/officeDocument/2006/relationships/hyperlink" Target="https://drive.google.com/open?id=12gXpqdyiElEcfzfcoJwhfMbhslpgndWx" TargetMode="External"/><Relationship Id="rId7834" Type="http://schemas.openxmlformats.org/officeDocument/2006/relationships/hyperlink" Target="https://drive.google.com/open?id=1Yy4krW_0k7zy_SZHDaon-StjK6onBsS6" TargetMode="External"/><Relationship Id="rId2979" Type="http://schemas.openxmlformats.org/officeDocument/2006/relationships/hyperlink" Target="https://www.facebook.com/profile.php?id=100059167544127" TargetMode="External"/><Relationship Id="rId5385" Type="http://schemas.openxmlformats.org/officeDocument/2006/relationships/hyperlink" Target="https://www.facebook.com/profile.php?id=100042510983495" TargetMode="External"/><Relationship Id="rId6436" Type="http://schemas.openxmlformats.org/officeDocument/2006/relationships/hyperlink" Target="https://www.facebook.com/people/Lan-Anh/pfbid0VGMvgyHXgnEx1jnjUS859ehBAccA9W2tJBy7fxXT4NJPLKeoqMqjr83PFhijvff9l/" TargetMode="External"/><Relationship Id="rId6850" Type="http://schemas.openxmlformats.org/officeDocument/2006/relationships/hyperlink" Target="https://www.facebook.com/profile.php?id=100070612756062&amp;mibextid=ZbWKwL" TargetMode="External"/><Relationship Id="rId7901" Type="http://schemas.openxmlformats.org/officeDocument/2006/relationships/hyperlink" Target="https://www.facebook.com/xuyen.chu.1023?mibextid=cejktS" TargetMode="External"/><Relationship Id="rId201" Type="http://schemas.openxmlformats.org/officeDocument/2006/relationships/hyperlink" Target="https://www.facebook.com/100022489362947/" TargetMode="External"/><Relationship Id="rId1995" Type="http://schemas.openxmlformats.org/officeDocument/2006/relationships/hyperlink" Target="https://www.facebook.com/profile.php?id=100042279292111&amp;mibextid=LQQJ4d" TargetMode="External"/><Relationship Id="rId5038" Type="http://schemas.openxmlformats.org/officeDocument/2006/relationships/hyperlink" Target="https://www.facebook.com/linhne2405" TargetMode="External"/><Relationship Id="rId5452" Type="http://schemas.openxmlformats.org/officeDocument/2006/relationships/hyperlink" Target="https://www.facebook.com/son.lethe.58173?mibextid=LQQJ4d" TargetMode="External"/><Relationship Id="rId6503" Type="http://schemas.openxmlformats.org/officeDocument/2006/relationships/hyperlink" Target="https://drive.google.com/open?id=1NZX5lwtSc1n-pXewD4cyzLStnLak6nSi" TargetMode="External"/><Relationship Id="rId1648" Type="http://schemas.openxmlformats.org/officeDocument/2006/relationships/hyperlink" Target="https://www.facebook.com/profile.php?id=100030047623035&amp;mibextid=LQQJ4d" TargetMode="External"/><Relationship Id="rId4054" Type="http://schemas.openxmlformats.org/officeDocument/2006/relationships/hyperlink" Target="https://www.facebook.com/ThTPZ?mibextid=LQQJ4d" TargetMode="External"/><Relationship Id="rId5105" Type="http://schemas.openxmlformats.org/officeDocument/2006/relationships/hyperlink" Target="https://www.facebook.com/profile.php?id=100068577055817&amp;mibextid=LQQJ4d" TargetMode="External"/><Relationship Id="rId8675" Type="http://schemas.openxmlformats.org/officeDocument/2006/relationships/hyperlink" Target="https://www.facebook.com/profile.php?id=100046999778013&amp;rdid=uWiAt2B6mVXm6A4x&amp;share_url=https%3A%2F%2Fwww.facebook.com%2Fshare%2FsHXTBE8oEAe9e1No%2F" TargetMode="External"/><Relationship Id="rId3070" Type="http://schemas.openxmlformats.org/officeDocument/2006/relationships/hyperlink" Target="https://drive.google.com/open?id=1tqbVMG9avdVJXHvCeeOOioQQI7QzqniR" TargetMode="External"/><Relationship Id="rId4121" Type="http://schemas.openxmlformats.org/officeDocument/2006/relationships/hyperlink" Target="https://www.facebook.com/yuno1226" TargetMode="External"/><Relationship Id="rId7277" Type="http://schemas.openxmlformats.org/officeDocument/2006/relationships/hyperlink" Target="https://www.facebook.com/share/14ViF5D45K/?mibextid=LQQJ4d" TargetMode="External"/><Relationship Id="rId8328" Type="http://schemas.openxmlformats.org/officeDocument/2006/relationships/hyperlink" Target="https://www.facebook.com/doan.mai.anh.2476?mibextid=LQQJ4d" TargetMode="External"/><Relationship Id="rId1715" Type="http://schemas.openxmlformats.org/officeDocument/2006/relationships/hyperlink" Target="https://www.facebook.com/profile.php?id=100034381580737&amp;mibextid=LQQJ4d" TargetMode="External"/><Relationship Id="rId6293" Type="http://schemas.openxmlformats.org/officeDocument/2006/relationships/hyperlink" Target="https://www.facebook.com/profile.php?id=100064178556802&amp;mibextid=LQQJ4d" TargetMode="External"/><Relationship Id="rId7691" Type="http://schemas.openxmlformats.org/officeDocument/2006/relationships/hyperlink" Target="https://www.facebook.com/profile.php?id=100044011598387" TargetMode="External"/><Relationship Id="rId8742" Type="http://schemas.openxmlformats.org/officeDocument/2006/relationships/hyperlink" Target="https://www.facebook.com/profile.php?id=100042474554584&amp;mibextid=LQQJ4d" TargetMode="External"/><Relationship Id="rId3887" Type="http://schemas.openxmlformats.org/officeDocument/2006/relationships/hyperlink" Target="https://www.facebook.com/profile.php?id=100073975956413&amp;mibextid=LQQJ4d" TargetMode="External"/><Relationship Id="rId4938" Type="http://schemas.openxmlformats.org/officeDocument/2006/relationships/hyperlink" Target="https://www.facebook.com/profile.php?id=100035254335354" TargetMode="External"/><Relationship Id="rId7344" Type="http://schemas.openxmlformats.org/officeDocument/2006/relationships/hyperlink" Target="https://www.facebook.com/lily.kawaiii?mibextid=LQQJ4d" TargetMode="External"/><Relationship Id="rId2489" Type="http://schemas.openxmlformats.org/officeDocument/2006/relationships/hyperlink" Target="https://www.facebook.com/profile.php?id=100054409000741&amp;mibextid=LQQJ4d" TargetMode="External"/><Relationship Id="rId3954" Type="http://schemas.openxmlformats.org/officeDocument/2006/relationships/hyperlink" Target="https://www.facebook.com/profile.php?id=100029597259116&amp;mibextid=LQQJ4d" TargetMode="External"/><Relationship Id="rId6360" Type="http://schemas.openxmlformats.org/officeDocument/2006/relationships/hyperlink" Target="https://www.facebook.com/profile.php?id=100050902834061" TargetMode="External"/><Relationship Id="rId7411" Type="http://schemas.openxmlformats.org/officeDocument/2006/relationships/hyperlink" Target="https://www.facebook.com/dieplinhcuakemm?mibextid=ZbWKwL" TargetMode="External"/><Relationship Id="rId875" Type="http://schemas.openxmlformats.org/officeDocument/2006/relationships/hyperlink" Target="https://www.facebook.com/profile.php?id=100079809225379&amp;mibextid=LQQJ4d" TargetMode="External"/><Relationship Id="rId2556" Type="http://schemas.openxmlformats.org/officeDocument/2006/relationships/hyperlink" Target="https://www.facebook.com/profile.php?id=100021457712592&amp;mibextid=LQQJ4d" TargetMode="External"/><Relationship Id="rId2970" Type="http://schemas.openxmlformats.org/officeDocument/2006/relationships/hyperlink" Target="https://www.facebook.com/profile.php?id=100048372600127" TargetMode="External"/><Relationship Id="rId3607" Type="http://schemas.openxmlformats.org/officeDocument/2006/relationships/hyperlink" Target="https://www.facebook.com/profile.php?id=100051930849905" TargetMode="External"/><Relationship Id="rId6013" Type="http://schemas.openxmlformats.org/officeDocument/2006/relationships/hyperlink" Target="https://www.facebook.com/minhthu.tu.127" TargetMode="External"/><Relationship Id="rId9169" Type="http://schemas.openxmlformats.org/officeDocument/2006/relationships/hyperlink" Target="https://www.facebook.com/khanhhuyendangiuca?mibextid=LQQJ4d" TargetMode="External"/><Relationship Id="rId9583" Type="http://schemas.openxmlformats.org/officeDocument/2006/relationships/hyperlink" Target="https://drive.google.com/open?id=1ZETSqkBvi0l_XyN4cO4m7xtFTuL0ch4i" TargetMode="External"/><Relationship Id="rId528" Type="http://schemas.openxmlformats.org/officeDocument/2006/relationships/hyperlink" Target="https://drive.google.com/open?id=1ET_5azx5EjD2vUItubEPvyYP_5bLeRjQ" TargetMode="External"/><Relationship Id="rId942" Type="http://schemas.openxmlformats.org/officeDocument/2006/relationships/hyperlink" Target="https://drive.google.com/open?id=1LGMHDw1pdY8YdqshJl3Swho5qCxnxcsY" TargetMode="External"/><Relationship Id="rId1158" Type="http://schemas.openxmlformats.org/officeDocument/2006/relationships/hyperlink" Target="https://www.facebook.com/profile.php?id=100057919225364&amp;mibextid=ZbWKwL" TargetMode="External"/><Relationship Id="rId1572" Type="http://schemas.openxmlformats.org/officeDocument/2006/relationships/hyperlink" Target="https://www.facebook.com/thainhat.minhkhoi" TargetMode="External"/><Relationship Id="rId2209" Type="http://schemas.openxmlformats.org/officeDocument/2006/relationships/hyperlink" Target="https://drive.google.com/open?id=1pLbfU_cTkzlVOSyCylwHz6Xfu0XGLOkN" TargetMode="External"/><Relationship Id="rId2623" Type="http://schemas.openxmlformats.org/officeDocument/2006/relationships/hyperlink" Target="https://www.facebook.com/profile.php?id=100064236200804&amp;mibextid=LQQJ4d" TargetMode="External"/><Relationship Id="rId5779" Type="http://schemas.openxmlformats.org/officeDocument/2006/relationships/hyperlink" Target="https://web.facebook.com/ltvanh.06/" TargetMode="External"/><Relationship Id="rId8185" Type="http://schemas.openxmlformats.org/officeDocument/2006/relationships/hyperlink" Target="https://www.facebook.com/nguyen.nguyen.nguyen.972530" TargetMode="External"/><Relationship Id="rId9236" Type="http://schemas.openxmlformats.org/officeDocument/2006/relationships/hyperlink" Target="https://drive.google.com/open?id=1GFSO3hIwWvk8Ah9q90AybPQDvZrxF5MX" TargetMode="External"/><Relationship Id="rId1225" Type="http://schemas.openxmlformats.org/officeDocument/2006/relationships/hyperlink" Target="https://www.facebook.com/profile.php?id=100073546531560&amp;mibextid=ZbWKwL" TargetMode="External"/><Relationship Id="rId8252" Type="http://schemas.openxmlformats.org/officeDocument/2006/relationships/hyperlink" Target="https://drive.google.com/open?id=1jeYl__F5SIVLnlpTycuTXu99cOasD4qF" TargetMode="External"/><Relationship Id="rId9303" Type="http://schemas.openxmlformats.org/officeDocument/2006/relationships/hyperlink" Target="https://www.facebook.com/profile.php?id=100084958115621" TargetMode="External"/><Relationship Id="rId3397" Type="http://schemas.openxmlformats.org/officeDocument/2006/relationships/hyperlink" Target="https://www.facebook.com/profile.php?id=100022279866938&amp;mibextid=9R9pXO" TargetMode="External"/><Relationship Id="rId4795" Type="http://schemas.openxmlformats.org/officeDocument/2006/relationships/hyperlink" Target="https://www.facebook.com/maivietha2006?mibextid=ZbWKwL" TargetMode="External"/><Relationship Id="rId5846" Type="http://schemas.openxmlformats.org/officeDocument/2006/relationships/hyperlink" Target="https://drive.google.com/open?id=137IrIS7Y3N40selh-PfC8e6WM9p8J8Hu" TargetMode="External"/><Relationship Id="rId4448" Type="http://schemas.openxmlformats.org/officeDocument/2006/relationships/hyperlink" Target="https://www.facebook.com/profile.php?id=100047600375011&amp;mibextid=LQQJ4d" TargetMode="External"/><Relationship Id="rId4862" Type="http://schemas.openxmlformats.org/officeDocument/2006/relationships/hyperlink" Target="https://www.facebook.com/profile.php?id=100055334854811&amp;mibextid=LQQJ4d" TargetMode="External"/><Relationship Id="rId5913" Type="http://schemas.openxmlformats.org/officeDocument/2006/relationships/hyperlink" Target="https://www.facebook.com/profile.php?id=100029614685738&amp;mibextid=LQQJ4d" TargetMode="External"/><Relationship Id="rId3464" Type="http://schemas.openxmlformats.org/officeDocument/2006/relationships/hyperlink" Target="https://www.facebook.com/profile.php?id=100017061139482" TargetMode="External"/><Relationship Id="rId4515" Type="http://schemas.openxmlformats.org/officeDocument/2006/relationships/hyperlink" Target="https://www.facebook.com/nong.phu.7505" TargetMode="External"/><Relationship Id="rId385" Type="http://schemas.openxmlformats.org/officeDocument/2006/relationships/hyperlink" Target="https://drive.google.com/open?id=1NsrGUDgs_PqMUADfL202fLWQmdseIror" TargetMode="External"/><Relationship Id="rId2066" Type="http://schemas.openxmlformats.org/officeDocument/2006/relationships/hyperlink" Target="https://drive.google.com/open?id=1pMpDHIDpk_MVVZ__hc5d7tMtJC6S5nZo" TargetMode="External"/><Relationship Id="rId2480" Type="http://schemas.openxmlformats.org/officeDocument/2006/relationships/hyperlink" Target="https://drive.google.com/open?id=1G-yRHA8DWDuzCD58OdWAVEcadxhxgfEh" TargetMode="External"/><Relationship Id="rId3117" Type="http://schemas.openxmlformats.org/officeDocument/2006/relationships/hyperlink" Target="https://www.facebook.com/100013465806896/" TargetMode="External"/><Relationship Id="rId3531" Type="http://schemas.openxmlformats.org/officeDocument/2006/relationships/hyperlink" Target="https://www.facebook.com/lai.thai.98871" TargetMode="External"/><Relationship Id="rId6687" Type="http://schemas.openxmlformats.org/officeDocument/2006/relationships/hyperlink" Target="https://www.facebook.com/profile.php?id=100037073986691&amp;mibextid=LQQJ4d" TargetMode="External"/><Relationship Id="rId7738" Type="http://schemas.openxmlformats.org/officeDocument/2006/relationships/hyperlink" Target="https://www.facebook.com/share/18GwbE7ZNv/?mibextid=LQQJ4d" TargetMode="External"/><Relationship Id="rId9093" Type="http://schemas.openxmlformats.org/officeDocument/2006/relationships/hyperlink" Target="https://www.facebook.com/share/1AA6wT3uku/?mibextid=wwXIfr" TargetMode="External"/><Relationship Id="rId452" Type="http://schemas.openxmlformats.org/officeDocument/2006/relationships/hyperlink" Target="https://www.facebook.com/profile.php?id=100029625845720" TargetMode="External"/><Relationship Id="rId1082" Type="http://schemas.openxmlformats.org/officeDocument/2006/relationships/hyperlink" Target="https://www.facebook.com/Candyvirusss?mibextid=ZbWKwL" TargetMode="External"/><Relationship Id="rId2133" Type="http://schemas.openxmlformats.org/officeDocument/2006/relationships/hyperlink" Target="https://www.facebook.com/phuong.hoangquynh.963" TargetMode="External"/><Relationship Id="rId5289" Type="http://schemas.openxmlformats.org/officeDocument/2006/relationships/hyperlink" Target="https://www.facebook.com/profile.php?id=100034925930087&amp;mibextid=LQQJ4d" TargetMode="External"/><Relationship Id="rId6754" Type="http://schemas.openxmlformats.org/officeDocument/2006/relationships/hyperlink" Target="https://www.facebook.com/profile.php?id=100068214031099" TargetMode="External"/><Relationship Id="rId7805" Type="http://schemas.openxmlformats.org/officeDocument/2006/relationships/hyperlink" Target="https://drive.google.com/open?id=15QZJquKX1wbXiCdKb8udkureGrTSH95d" TargetMode="External"/><Relationship Id="rId9160" Type="http://schemas.openxmlformats.org/officeDocument/2006/relationships/hyperlink" Target="https://www.facebook.com/profile.php?id=100046552938881&amp;mibextid=LQQJ4d" TargetMode="External"/><Relationship Id="rId105" Type="http://schemas.openxmlformats.org/officeDocument/2006/relationships/hyperlink" Target="https://drive.google.com/open?id=19oIPj5e1H584-Zf8CkIJh3TEHkU-tY_e" TargetMode="External"/><Relationship Id="rId2200" Type="http://schemas.openxmlformats.org/officeDocument/2006/relationships/hyperlink" Target="https://drive.google.com/open?id=1zoFwuVS9JLdedXF36gPh5bIlPu9GBfF7" TargetMode="External"/><Relationship Id="rId5356" Type="http://schemas.openxmlformats.org/officeDocument/2006/relationships/hyperlink" Target="https://drive.google.com/open?id=1GR4SwT_tjm4CN_YMRtMv-aphrqxPV-be" TargetMode="External"/><Relationship Id="rId6407" Type="http://schemas.openxmlformats.org/officeDocument/2006/relationships/hyperlink" Target="https://www.facebook.com/profile.php?id=100080044917605&amp;mibextid=LQQJ4d" TargetMode="External"/><Relationship Id="rId1899" Type="http://schemas.openxmlformats.org/officeDocument/2006/relationships/hyperlink" Target="https://drive.google.com/open?id=12U6UQJvsyvehR-wvHU8jqlTcezLDt0AW" TargetMode="External"/><Relationship Id="rId4372" Type="http://schemas.openxmlformats.org/officeDocument/2006/relationships/hyperlink" Target="https://www.facebook.com/profile.php?id=100073660903422&amp;mibextid=ZbWKwL" TargetMode="External"/><Relationship Id="rId5009" Type="http://schemas.openxmlformats.org/officeDocument/2006/relationships/hyperlink" Target="https://www.facebook.com/van.maivan.9678?mibextid=LQQJ4d" TargetMode="External"/><Relationship Id="rId5770" Type="http://schemas.openxmlformats.org/officeDocument/2006/relationships/hyperlink" Target="https://www.facebook.com/profile.php?id=61551051837121" TargetMode="External"/><Relationship Id="rId6821" Type="http://schemas.openxmlformats.org/officeDocument/2006/relationships/hyperlink" Target="https://www.facebook.com/profile.php?id=100047265876298&amp;mibextid=LQQJ4d" TargetMode="External"/><Relationship Id="rId8579" Type="http://schemas.openxmlformats.org/officeDocument/2006/relationships/hyperlink" Target="https://www.facebook.com/taxanhtaxanh?mibextid=LQQJ4d" TargetMode="External"/><Relationship Id="rId1966" Type="http://schemas.openxmlformats.org/officeDocument/2006/relationships/hyperlink" Target="https://www.facebook.com/thanh.t.nghiep?mibextid=cejktS" TargetMode="External"/><Relationship Id="rId4025" Type="http://schemas.openxmlformats.org/officeDocument/2006/relationships/hyperlink" Target="https://www.facebook.com/phuong.nguyenba.16718" TargetMode="External"/><Relationship Id="rId5423" Type="http://schemas.openxmlformats.org/officeDocument/2006/relationships/hyperlink" Target="https://www.facebook.com/behien2tui?mibextid=LQQJ4d" TargetMode="External"/><Relationship Id="rId8993" Type="http://schemas.openxmlformats.org/officeDocument/2006/relationships/hyperlink" Target="https://www.facebook.com/ngochuyen.hoang.9028194" TargetMode="External"/><Relationship Id="rId1619" Type="http://schemas.openxmlformats.org/officeDocument/2006/relationships/hyperlink" Target="https://drive.google.com/open?id=1Uohn20e08TS3VBrjd2J8Ld9XathpAxG8" TargetMode="External"/><Relationship Id="rId7595" Type="http://schemas.openxmlformats.org/officeDocument/2006/relationships/hyperlink" Target="https://www.facebook.com/profile.php?id=61561785834331&amp;mibextid=LQQJ4d" TargetMode="External"/><Relationship Id="rId8646" Type="http://schemas.openxmlformats.org/officeDocument/2006/relationships/hyperlink" Target="https://www.facebook.com/profile.php?id=100068600049163&amp;mibextid=LQQJ4d" TargetMode="External"/><Relationship Id="rId3041" Type="http://schemas.openxmlformats.org/officeDocument/2006/relationships/hyperlink" Target="https://www.facebook.com/profile.php?id=100043041522190" TargetMode="External"/><Relationship Id="rId6197" Type="http://schemas.openxmlformats.org/officeDocument/2006/relationships/hyperlink" Target="https://www.facebook.com/share/184UYNxtAh/?mibextid=wwXIfr" TargetMode="External"/><Relationship Id="rId7248" Type="http://schemas.openxmlformats.org/officeDocument/2006/relationships/hyperlink" Target="https://www.facebook.com/share/17qPMRz27z/?mibextid=LQQJ4d" TargetMode="External"/><Relationship Id="rId7662" Type="http://schemas.openxmlformats.org/officeDocument/2006/relationships/hyperlink" Target="https://www.facebook.com/profile.php?id=100081040835992&amp;mibextid=ZbWKwL" TargetMode="External"/><Relationship Id="rId8713" Type="http://schemas.openxmlformats.org/officeDocument/2006/relationships/hyperlink" Target="https://www.facebook.com/profile.php?id=100013248129700&amp;mibextid=LQQJ4d" TargetMode="External"/><Relationship Id="rId3858" Type="http://schemas.openxmlformats.org/officeDocument/2006/relationships/hyperlink" Target="https://www.facebook.com/minh.panda.12" TargetMode="External"/><Relationship Id="rId4909" Type="http://schemas.openxmlformats.org/officeDocument/2006/relationships/hyperlink" Target="https://www.facebook.com/profile.php?id=100054763129246&amp;mibextid=LQQJ4d" TargetMode="External"/><Relationship Id="rId6264" Type="http://schemas.openxmlformats.org/officeDocument/2006/relationships/hyperlink" Target="https://www.facebook.com/profile.php?id=100047087293140&amp;mibextid=ZbWKwL" TargetMode="External"/><Relationship Id="rId7315" Type="http://schemas.openxmlformats.org/officeDocument/2006/relationships/hyperlink" Target="https://www.facebook.com/profile.php?id=100040451982471&amp;locale=vi_VN" TargetMode="External"/><Relationship Id="rId779" Type="http://schemas.openxmlformats.org/officeDocument/2006/relationships/hyperlink" Target="https://drive.google.com/open?id=1BxnbNhAZRjCj2Cd1h-1NML4wgt-OCYIn" TargetMode="External"/><Relationship Id="rId5280" Type="http://schemas.openxmlformats.org/officeDocument/2006/relationships/hyperlink" Target="https://www.facebook.com/profile.php?id=100073238649893&amp;mibextid=LQQJ4d" TargetMode="External"/><Relationship Id="rId6331" Type="http://schemas.openxmlformats.org/officeDocument/2006/relationships/hyperlink" Target="https://www.facebook.com/profile.php?id=100034230766906&amp;mibextid=ZbWKwL" TargetMode="External"/><Relationship Id="rId9487" Type="http://schemas.openxmlformats.org/officeDocument/2006/relationships/hyperlink" Target="https://drive.google.com/open?id=10Mt-Ffc-AT-MSzTNI5nfITuF9281A08l" TargetMode="External"/><Relationship Id="rId1476" Type="http://schemas.openxmlformats.org/officeDocument/2006/relationships/hyperlink" Target="https://www.facebook.com/profile.php?id=100052064853162&amp;mibextid=LQQJ4d" TargetMode="External"/><Relationship Id="rId2874" Type="http://schemas.openxmlformats.org/officeDocument/2006/relationships/hyperlink" Target="https://www.facebook.com/profile.php?id=100071287430797&amp;mibextid=2JQ9oc" TargetMode="External"/><Relationship Id="rId3925" Type="http://schemas.openxmlformats.org/officeDocument/2006/relationships/hyperlink" Target="https://drive.google.com/open?id=19RwH93H62R0O12ZSzZ1jBdsqcPQDjUrV" TargetMode="External"/><Relationship Id="rId8089" Type="http://schemas.openxmlformats.org/officeDocument/2006/relationships/hyperlink" Target="https://www.facebook.com/profile.php?id=100022824795575" TargetMode="External"/><Relationship Id="rId846" Type="http://schemas.openxmlformats.org/officeDocument/2006/relationships/hyperlink" Target="https://www.facebook.com/nguyenbao.ngoc.35977" TargetMode="External"/><Relationship Id="rId1129" Type="http://schemas.openxmlformats.org/officeDocument/2006/relationships/hyperlink" Target="https://www.facebook.com/dieulinh.lo.520?mibextid=LQQJ4d" TargetMode="External"/><Relationship Id="rId1890" Type="http://schemas.openxmlformats.org/officeDocument/2006/relationships/hyperlink" Target="https://www.facebook.com/minion.trieu" TargetMode="External"/><Relationship Id="rId2527" Type="http://schemas.openxmlformats.org/officeDocument/2006/relationships/hyperlink" Target="https://www.facebook.com/100037393459198/" TargetMode="External"/><Relationship Id="rId2941" Type="http://schemas.openxmlformats.org/officeDocument/2006/relationships/hyperlink" Target="https://www.facebook.com/profile.php?id=100017038781929" TargetMode="External"/><Relationship Id="rId5000" Type="http://schemas.openxmlformats.org/officeDocument/2006/relationships/hyperlink" Target="https://www.facebook.com/profile.php?id=100043022559403&amp;mibextid=LQQJ4d" TargetMode="External"/><Relationship Id="rId8156" Type="http://schemas.openxmlformats.org/officeDocument/2006/relationships/hyperlink" Target="https://www.facebook.com/siro.linh.12382" TargetMode="External"/><Relationship Id="rId9207" Type="http://schemas.openxmlformats.org/officeDocument/2006/relationships/hyperlink" Target="https://www.facebook.com/huy.nguyenviet.3954546?mibextid=kFxxJD" TargetMode="External"/><Relationship Id="rId9554" Type="http://schemas.openxmlformats.org/officeDocument/2006/relationships/hyperlink" Target="https://www.facebook.com/share/18oo4u6YpK/?mibextid=wwXIfr" TargetMode="External"/><Relationship Id="rId913" Type="http://schemas.openxmlformats.org/officeDocument/2006/relationships/hyperlink" Target="https://www.facebook.com/your.trng" TargetMode="External"/><Relationship Id="rId1543" Type="http://schemas.openxmlformats.org/officeDocument/2006/relationships/hyperlink" Target="https://www.facebook.com/nguyenhanh.nguyenthi.902?mibextid=LQQJ4d" TargetMode="External"/><Relationship Id="rId4699" Type="http://schemas.openxmlformats.org/officeDocument/2006/relationships/hyperlink" Target="https://www.facebook.com/peoscaca26?mibextid=JRoKGi" TargetMode="External"/><Relationship Id="rId8570" Type="http://schemas.openxmlformats.org/officeDocument/2006/relationships/hyperlink" Target="https://drive.google.com/open?id=1y27_qsHRFj0tvo5_-0yjBbkI-0os9Ksu" TargetMode="External"/><Relationship Id="rId1610" Type="http://schemas.openxmlformats.org/officeDocument/2006/relationships/hyperlink" Target="https://www.facebook.com/profile.php?id=100024905732733&amp;mibextid=ZbWKwL" TargetMode="External"/><Relationship Id="rId4766" Type="http://schemas.openxmlformats.org/officeDocument/2006/relationships/hyperlink" Target="https://www.facebook.com/Coldboy2004" TargetMode="External"/><Relationship Id="rId5817" Type="http://schemas.openxmlformats.org/officeDocument/2006/relationships/hyperlink" Target="https://www.facebook.com/profile.php?id=100015146614910&amp;mibextid=ZbWKwL" TargetMode="External"/><Relationship Id="rId7172" Type="http://schemas.openxmlformats.org/officeDocument/2006/relationships/hyperlink" Target="https://drive.google.com/open?id=1hivFKHByiVOWbPfF1YGMYTIBH4x-56Ha" TargetMode="External"/><Relationship Id="rId8223" Type="http://schemas.openxmlformats.org/officeDocument/2006/relationships/hyperlink" Target="https://www.facebook.com/hong.nhung.241155?mibextid=ZbWKwL" TargetMode="External"/><Relationship Id="rId3368" Type="http://schemas.openxmlformats.org/officeDocument/2006/relationships/hyperlink" Target="https://www.facebook.com/profile.php?id=100053375477011&amp;mibextid=PlNXYD" TargetMode="External"/><Relationship Id="rId3782" Type="http://schemas.openxmlformats.org/officeDocument/2006/relationships/hyperlink" Target="https://www.facebook.com/ngocchuyenh" TargetMode="External"/><Relationship Id="rId4419" Type="http://schemas.openxmlformats.org/officeDocument/2006/relationships/hyperlink" Target="https://www.facebook.com/profile.php?id=100037133753499&amp;locale=vi_VN" TargetMode="External"/><Relationship Id="rId4833" Type="http://schemas.openxmlformats.org/officeDocument/2006/relationships/hyperlink" Target="https://drive.google.com/open?id=1UI2Xvh3j_xj8KNOd2p4GKAdQB5xfMozX" TargetMode="External"/><Relationship Id="rId7989" Type="http://schemas.openxmlformats.org/officeDocument/2006/relationships/hyperlink" Target="https://www.facebook.com/profile.php?id=100017006374085&amp;mibextid=LQQJ4d" TargetMode="External"/><Relationship Id="rId289" Type="http://schemas.openxmlformats.org/officeDocument/2006/relationships/hyperlink" Target="https://www.facebook.com/profile.php?id=100024223297195&amp;mibextid=LQQJ4d" TargetMode="External"/><Relationship Id="rId2384" Type="http://schemas.openxmlformats.org/officeDocument/2006/relationships/hyperlink" Target="https://www.facebook.com/profile.php?id=100084109511089&amp;mibextid=LQQJ4d" TargetMode="External"/><Relationship Id="rId3435" Type="http://schemas.openxmlformats.org/officeDocument/2006/relationships/hyperlink" Target="https://www.facebook.com/ngocchuyenh" TargetMode="External"/><Relationship Id="rId356" Type="http://schemas.openxmlformats.org/officeDocument/2006/relationships/hyperlink" Target="https://www.facebook.com/profile.php?id=100075529997389&amp;mibextid=LQQJ4d" TargetMode="External"/><Relationship Id="rId770" Type="http://schemas.openxmlformats.org/officeDocument/2006/relationships/hyperlink" Target="https://drive.google.com/open?id=1a5CtzngG8cmp4hR7lcui7o6p9fl8EnTI" TargetMode="External"/><Relationship Id="rId2037" Type="http://schemas.openxmlformats.org/officeDocument/2006/relationships/hyperlink" Target="https://www.facebook.com/profile.php?id=100064855133896&amp;mibextid=LQQJ4d" TargetMode="External"/><Relationship Id="rId2451" Type="http://schemas.openxmlformats.org/officeDocument/2006/relationships/hyperlink" Target="https://www.facebook.com/hac.thuy.927" TargetMode="External"/><Relationship Id="rId4900" Type="http://schemas.openxmlformats.org/officeDocument/2006/relationships/hyperlink" Target="https://www.facebook.com/profile.php?id=100048240561673&amp;mibextid=Z" TargetMode="External"/><Relationship Id="rId6658" Type="http://schemas.openxmlformats.org/officeDocument/2006/relationships/hyperlink" Target="https://www.facebook.com/profile.php?id=100071130908559" TargetMode="External"/><Relationship Id="rId9064" Type="http://schemas.openxmlformats.org/officeDocument/2006/relationships/hyperlink" Target="https://drive.google.com/open?id=1UZs6jo02KEHvPi1nfna55CUL5-n9b7B6" TargetMode="External"/><Relationship Id="rId423" Type="http://schemas.openxmlformats.org/officeDocument/2006/relationships/hyperlink" Target="https://www.facebook.com/hoang.maihuong.182" TargetMode="External"/><Relationship Id="rId1053" Type="http://schemas.openxmlformats.org/officeDocument/2006/relationships/hyperlink" Target="https://www.facebook.com/diep.nt.17102004?mibextid=LQQJ4d" TargetMode="External"/><Relationship Id="rId2104" Type="http://schemas.openxmlformats.org/officeDocument/2006/relationships/hyperlink" Target="https://www.facebook.com/nguyenthao0125?mibextid=2JQ9oc" TargetMode="External"/><Relationship Id="rId3502" Type="http://schemas.openxmlformats.org/officeDocument/2006/relationships/hyperlink" Target="https://www.facebook.com/profile.php?id=100055173304754&amp;mibextid=LQQJ4d" TargetMode="External"/><Relationship Id="rId7709" Type="http://schemas.openxmlformats.org/officeDocument/2006/relationships/hyperlink" Target="https://drive.google.com/open?id=1dzvQjhvFmC5UrJUs9l-w-0DLa-H8y_2m" TargetMode="External"/><Relationship Id="rId8080" Type="http://schemas.openxmlformats.org/officeDocument/2006/relationships/hyperlink" Target="https://www.facebook.com/profile.php?id=100014998389791&amp;locale=vi_VN" TargetMode="External"/><Relationship Id="rId9131" Type="http://schemas.openxmlformats.org/officeDocument/2006/relationships/hyperlink" Target="https://www.facebook.com/profile.php?id=100033196391979" TargetMode="External"/><Relationship Id="rId5674" Type="http://schemas.openxmlformats.org/officeDocument/2006/relationships/hyperlink" Target="https://www.facebook.com/profile.php?id=100053333910106&amp;mibextid=LQQJ4d" TargetMode="External"/><Relationship Id="rId6725" Type="http://schemas.openxmlformats.org/officeDocument/2006/relationships/hyperlink" Target="https://www.facebook.com/profile.php?id=100017575055851&amp;mibextid=LQQJ4d" TargetMode="External"/><Relationship Id="rId1120" Type="http://schemas.openxmlformats.org/officeDocument/2006/relationships/hyperlink" Target="https://www.facebook.com/minion.trieu?mibextid=ZbWKwL" TargetMode="External"/><Relationship Id="rId4276" Type="http://schemas.openxmlformats.org/officeDocument/2006/relationships/hyperlink" Target="https://www.facebook.com/nong.phu.7505" TargetMode="External"/><Relationship Id="rId4690" Type="http://schemas.openxmlformats.org/officeDocument/2006/relationships/hyperlink" Target="https://www.facebook.com/daongocyeumoinguoi" TargetMode="External"/><Relationship Id="rId5327" Type="http://schemas.openxmlformats.org/officeDocument/2006/relationships/hyperlink" Target="https://www.facebook.com/profile.php?id=100078320827254&amp;mibextid=LQQJ4d" TargetMode="External"/><Relationship Id="rId5741" Type="http://schemas.openxmlformats.org/officeDocument/2006/relationships/hyperlink" Target="https://www.facebook.com/profile.php?id=100038625307055" TargetMode="External"/><Relationship Id="rId8897" Type="http://schemas.openxmlformats.org/officeDocument/2006/relationships/hyperlink" Target="https://www.facebook.com/share/19nrf9r3xr/?mibextid=wwXIfr" TargetMode="External"/><Relationship Id="rId1937" Type="http://schemas.openxmlformats.org/officeDocument/2006/relationships/hyperlink" Target="https://www.facebook.com/profile.php?id=100024704403873&amp;mibextid=LQQJ4d" TargetMode="External"/><Relationship Id="rId3292" Type="http://schemas.openxmlformats.org/officeDocument/2006/relationships/hyperlink" Target="https://www.facebook.com/profile.php?id=100030473256433" TargetMode="External"/><Relationship Id="rId4343" Type="http://schemas.openxmlformats.org/officeDocument/2006/relationships/hyperlink" Target="https://www.facebook.com/profile.php?id=100045980970295&amp;mibextid=LQQJ4d" TargetMode="External"/><Relationship Id="rId7499" Type="http://schemas.openxmlformats.org/officeDocument/2006/relationships/hyperlink" Target="https://www.facebook.com/Lequoctrung.1408" TargetMode="External"/><Relationship Id="rId8964" Type="http://schemas.openxmlformats.org/officeDocument/2006/relationships/hyperlink" Target="https://web.facebook.com/aoquochuy.27756" TargetMode="External"/><Relationship Id="rId4410" Type="http://schemas.openxmlformats.org/officeDocument/2006/relationships/hyperlink" Target="https://drive.google.com/open?id=1kXXEwEVGVJCSdchwyB1I_xZRskZIZ5hV" TargetMode="External"/><Relationship Id="rId7566" Type="http://schemas.openxmlformats.org/officeDocument/2006/relationships/hyperlink" Target="https://www.facebook.com/ngocss.pes.98434" TargetMode="External"/><Relationship Id="rId8617" Type="http://schemas.openxmlformats.org/officeDocument/2006/relationships/hyperlink" Target="https://drive.google.com/open?id=12WCNoYGCumzsAcTWUwH9HUQ1RIBoggTk" TargetMode="External"/><Relationship Id="rId280" Type="http://schemas.openxmlformats.org/officeDocument/2006/relationships/hyperlink" Target="https://www.facebook.com/meodibui012" TargetMode="External"/><Relationship Id="rId3012" Type="http://schemas.openxmlformats.org/officeDocument/2006/relationships/hyperlink" Target="https://drive.google.com/open?id=1e8w2fioGmNEnIeOESloknrE4DbrHStjT" TargetMode="External"/><Relationship Id="rId6168" Type="http://schemas.openxmlformats.org/officeDocument/2006/relationships/hyperlink" Target="https://www.facebook.com/linhs.ngocd" TargetMode="External"/><Relationship Id="rId6582" Type="http://schemas.openxmlformats.org/officeDocument/2006/relationships/hyperlink" Target="https://www.facebook.com/profile.php?id=100026136255631" TargetMode="External"/><Relationship Id="rId7219" Type="http://schemas.openxmlformats.org/officeDocument/2006/relationships/hyperlink" Target="https://drive.google.com/open?id=1VXvn2qn7LB7paUdInojZGWDk6qtyEdUt" TargetMode="External"/><Relationship Id="rId7980" Type="http://schemas.openxmlformats.org/officeDocument/2006/relationships/hyperlink" Target="https://drive.google.com/open?id=1qWfdBqvD9o9Nv0mKUzgJaTZ8uAeOl7dB" TargetMode="External"/><Relationship Id="rId5184" Type="http://schemas.openxmlformats.org/officeDocument/2006/relationships/hyperlink" Target="https://drive.google.com/open?id=1oe-FImJlT6h7X3Dx0YRWUF-MYkDwIbuG" TargetMode="External"/><Relationship Id="rId6235" Type="http://schemas.openxmlformats.org/officeDocument/2006/relationships/hyperlink" Target="https://www.facebook.com/kim.anh2k6.qn?mibextid=ZbWKwL" TargetMode="External"/><Relationship Id="rId7633" Type="http://schemas.openxmlformats.org/officeDocument/2006/relationships/hyperlink" Target="https://www.facebook.com/profile.php?id=100063584329979&amp;mibextid=LQQJ4d" TargetMode="External"/><Relationship Id="rId2778" Type="http://schemas.openxmlformats.org/officeDocument/2006/relationships/hyperlink" Target="https://drive.google.com/open?id=1UtFNUE9eVOLfniPlylNWO4-CzkZd7RxR" TargetMode="External"/><Relationship Id="rId3829" Type="http://schemas.openxmlformats.org/officeDocument/2006/relationships/hyperlink" Target="https://www.facebook.com/khaideptraiv?mibextid=ZbWKwL" TargetMode="External"/><Relationship Id="rId7700" Type="http://schemas.openxmlformats.org/officeDocument/2006/relationships/hyperlink" Target="https://www.facebook.com/share/15h8UhuvVm/?mibextid=LQQJ4d" TargetMode="External"/><Relationship Id="rId1794" Type="http://schemas.openxmlformats.org/officeDocument/2006/relationships/hyperlink" Target="https://www.facebook.com/ThuyDung05?mibextid=ZbWKwL" TargetMode="External"/><Relationship Id="rId2845" Type="http://schemas.openxmlformats.org/officeDocument/2006/relationships/hyperlink" Target="https://www.facebook.com/lai.thai.98871" TargetMode="External"/><Relationship Id="rId5251" Type="http://schemas.openxmlformats.org/officeDocument/2006/relationships/hyperlink" Target="https://drive.google.com/open?id=1s3yEA7pZXssn7TrevQ5-Wz48eUT-hBC-" TargetMode="External"/><Relationship Id="rId6302" Type="http://schemas.openxmlformats.org/officeDocument/2006/relationships/hyperlink" Target="https://drive.google.com/open?id=1SeEty9EgxGNNT5UPRjGBbmb0u3ZKs4Ap" TargetMode="External"/><Relationship Id="rId9458" Type="http://schemas.openxmlformats.org/officeDocument/2006/relationships/hyperlink" Target="https://drive.google.com/open?id=1J-gRqK72TR9O76qoeZXxaJOY25Jz7ODG" TargetMode="External"/><Relationship Id="rId86" Type="http://schemas.openxmlformats.org/officeDocument/2006/relationships/hyperlink" Target="https://drive.google.com/open?id=1wH093QLsToqkXuFiGWAsxD7WilWbbjqv" TargetMode="External"/><Relationship Id="rId817" Type="http://schemas.openxmlformats.org/officeDocument/2006/relationships/hyperlink" Target="https://www.facebook.com/cuong.nm.782005?mibextid=9R9pXO" TargetMode="External"/><Relationship Id="rId1447" Type="http://schemas.openxmlformats.org/officeDocument/2006/relationships/hyperlink" Target="https://www.facebook.com/profile.php?id=100016053931943" TargetMode="External"/><Relationship Id="rId1861" Type="http://schemas.openxmlformats.org/officeDocument/2006/relationships/hyperlink" Target="https://www.facebook.com/lan.rumi" TargetMode="External"/><Relationship Id="rId2912" Type="http://schemas.openxmlformats.org/officeDocument/2006/relationships/hyperlink" Target="https://www.facebook.com/minion.trieu?mibextid=LQQJ4d" TargetMode="External"/><Relationship Id="rId8474" Type="http://schemas.openxmlformats.org/officeDocument/2006/relationships/hyperlink" Target="https://drive.google.com/open?id=1RTASuxdgH1txfQXM4QwNrbV2_iDLv8MU" TargetMode="External"/><Relationship Id="rId9525" Type="http://schemas.openxmlformats.org/officeDocument/2006/relationships/hyperlink" Target="https://www.facebook.com/share/1BJXqWLM2B/?mibextid=wwXIfr" TargetMode="External"/><Relationship Id="rId1514" Type="http://schemas.openxmlformats.org/officeDocument/2006/relationships/hyperlink" Target="https://www.facebook.com/profile.php?id=100013239433059&amp;mibextid=LQQJ4d" TargetMode="External"/><Relationship Id="rId7076" Type="http://schemas.openxmlformats.org/officeDocument/2006/relationships/hyperlink" Target="https://drive.google.com/open?id=1CGPbOGzLBFHVsjEWZRqaRivxYxNzA4V6" TargetMode="External"/><Relationship Id="rId7490" Type="http://schemas.openxmlformats.org/officeDocument/2006/relationships/hyperlink" Target="https://www.facebook.com/profile.php?id=100025967235319&amp;mibextid=ZbWKwL" TargetMode="External"/><Relationship Id="rId8127" Type="http://schemas.openxmlformats.org/officeDocument/2006/relationships/hyperlink" Target="https://www.facebook.com/share/18Hvaw9sLe/?mibextid=LQQJ4d" TargetMode="External"/><Relationship Id="rId8541" Type="http://schemas.openxmlformats.org/officeDocument/2006/relationships/hyperlink" Target="https://www.facebook.com/yun.bao.188?mibextid=ZbWKwL" TargetMode="External"/><Relationship Id="rId3686" Type="http://schemas.openxmlformats.org/officeDocument/2006/relationships/hyperlink" Target="https://www.facebook.com/daocute16?mibextid=LQQJ4d" TargetMode="External"/><Relationship Id="rId6092" Type="http://schemas.openxmlformats.org/officeDocument/2006/relationships/hyperlink" Target="https://www.facebook.com/baby.hik6?locale=vi_VN" TargetMode="External"/><Relationship Id="rId7143" Type="http://schemas.openxmlformats.org/officeDocument/2006/relationships/hyperlink" Target="https://www.facebook.com/profile.php?id=100032078971048&amp;mibextid=nW3QTL" TargetMode="External"/><Relationship Id="rId2288" Type="http://schemas.openxmlformats.org/officeDocument/2006/relationships/hyperlink" Target="https://drive.google.com/open?id=1rWFFacOHR81ff2N43UtY6D9AudItqRih" TargetMode="External"/><Relationship Id="rId3339" Type="http://schemas.openxmlformats.org/officeDocument/2006/relationships/hyperlink" Target="https://www.facebook.com/profile.php?id=100068901310447&amp;mibextid=LQQJ4d" TargetMode="External"/><Relationship Id="rId4737" Type="http://schemas.openxmlformats.org/officeDocument/2006/relationships/hyperlink" Target="https://drive.google.com/open?id=1KrO23bc0dYyoS4hvOKQHBOjj4c5IUoh8" TargetMode="External"/><Relationship Id="rId7210" Type="http://schemas.openxmlformats.org/officeDocument/2006/relationships/hyperlink" Target="https://www.facebook.com/hoangminhanhh171" TargetMode="External"/><Relationship Id="rId3753" Type="http://schemas.openxmlformats.org/officeDocument/2006/relationships/hyperlink" Target="https://www.facebook.com/profile.php?id=100048871915296" TargetMode="External"/><Relationship Id="rId4804" Type="http://schemas.openxmlformats.org/officeDocument/2006/relationships/hyperlink" Target="https://www.facebook.com/iamQuangHung?mibextid=ZbWKwL" TargetMode="External"/><Relationship Id="rId674" Type="http://schemas.openxmlformats.org/officeDocument/2006/relationships/hyperlink" Target="https://drive.google.com/open?id=1NE51g0a_muS6O6Echa76gHX7wlmGEoUR" TargetMode="External"/><Relationship Id="rId2355" Type="http://schemas.openxmlformats.org/officeDocument/2006/relationships/hyperlink" Target="https://www.facebook.com/profile.php?id=100074764418449&amp;mibextid=LQQJ4d" TargetMode="External"/><Relationship Id="rId3406" Type="http://schemas.openxmlformats.org/officeDocument/2006/relationships/hyperlink" Target="https://drive.google.com/open?id=1olNOFxKC7Cy43-DAnY9MQjJUQV46SxGW" TargetMode="External"/><Relationship Id="rId3820" Type="http://schemas.openxmlformats.org/officeDocument/2006/relationships/hyperlink" Target="https://drive.google.com/open?id=1sp3ExMyTo5-9teGqukDMEfGEVo_m5kK8" TargetMode="External"/><Relationship Id="rId6976" Type="http://schemas.openxmlformats.org/officeDocument/2006/relationships/hyperlink" Target="https://www.facebook.com/profile.php?id=100068830412854&amp;mibextid=LQQJ4d" TargetMode="External"/><Relationship Id="rId9382" Type="http://schemas.openxmlformats.org/officeDocument/2006/relationships/hyperlink" Target="https://www.facebook.com/profile.php?id=100037318473924" TargetMode="External"/><Relationship Id="rId327" Type="http://schemas.openxmlformats.org/officeDocument/2006/relationships/hyperlink" Target="https://www.facebook.com/profile.php?id=100050086240609&amp;mibextid=ZbWKwL" TargetMode="External"/><Relationship Id="rId741" Type="http://schemas.openxmlformats.org/officeDocument/2006/relationships/hyperlink" Target="https://www.facebook.com/traungao.266" TargetMode="External"/><Relationship Id="rId1371" Type="http://schemas.openxmlformats.org/officeDocument/2006/relationships/hyperlink" Target="https://drive.google.com/open?id=1Rf6IEp6YyGQ5n-TbtGe2vzVS_d-8ao_i" TargetMode="External"/><Relationship Id="rId2008" Type="http://schemas.openxmlformats.org/officeDocument/2006/relationships/hyperlink" Target="https://www.facebook.com/profile.php?id=100069162640832&amp;mibextid=ZbWKwL" TargetMode="External"/><Relationship Id="rId2422" Type="http://schemas.openxmlformats.org/officeDocument/2006/relationships/hyperlink" Target="https://www.facebook.com/profile.php?id=100071474766942&amp;mibextid=LQQJ4d" TargetMode="External"/><Relationship Id="rId5578" Type="http://schemas.openxmlformats.org/officeDocument/2006/relationships/hyperlink" Target="https://www.facebook.com/quynhuong.ahg?mibextid=LQQJ4d" TargetMode="External"/><Relationship Id="rId5992" Type="http://schemas.openxmlformats.org/officeDocument/2006/relationships/hyperlink" Target="https://www.facebook.com/profile.php?id=100046937511258&amp;mibextid=LQQJ4d" TargetMode="External"/><Relationship Id="rId6629" Type="http://schemas.openxmlformats.org/officeDocument/2006/relationships/hyperlink" Target="https://www.facebook.com/ngquanghuy76?mibextid=LQQJ4d" TargetMode="External"/><Relationship Id="rId9035" Type="http://schemas.openxmlformats.org/officeDocument/2006/relationships/hyperlink" Target="https://www.facebook.com/dieuthu2107?mibextid=LQQJ4d" TargetMode="External"/><Relationship Id="rId1024" Type="http://schemas.openxmlformats.org/officeDocument/2006/relationships/hyperlink" Target="https://www.facebook.com/profile.php?id=100077426512188&amp;mibextid=ZbWKwL" TargetMode="External"/><Relationship Id="rId4594" Type="http://schemas.openxmlformats.org/officeDocument/2006/relationships/hyperlink" Target="https://drive.google.com/open?id=1VO29SUIsr40tnexd4GX1RKT2bEJP_Jdk" TargetMode="External"/><Relationship Id="rId5645" Type="http://schemas.openxmlformats.org/officeDocument/2006/relationships/hyperlink" Target="https://www.facebook.com/phuong.chi.18294053" TargetMode="External"/><Relationship Id="rId8051" Type="http://schemas.openxmlformats.org/officeDocument/2006/relationships/hyperlink" Target="https://drive.google.com/open?id=10iUbdftpVa0AqQyv7NZnbhXM9JSTz2OE" TargetMode="External"/><Relationship Id="rId9102" Type="http://schemas.openxmlformats.org/officeDocument/2006/relationships/hyperlink" Target="https://www.facebook.com/profile.php?id=100017039298394&amp;mibextid=LQQJ4d" TargetMode="External"/><Relationship Id="rId3196" Type="http://schemas.openxmlformats.org/officeDocument/2006/relationships/hyperlink" Target="https://drive.google.com/open?id=1n2KvZSDNg8wj8oTdINz46HO8JNAaeqPO" TargetMode="External"/><Relationship Id="rId4247" Type="http://schemas.openxmlformats.org/officeDocument/2006/relationships/hyperlink" Target="https://drive.google.com/open?id=16-uwKq9hv28fvVNtN1jVMVZ7AatRlH6J" TargetMode="External"/><Relationship Id="rId4661" Type="http://schemas.openxmlformats.org/officeDocument/2006/relationships/hyperlink" Target="https://www.facebook.com/profile.php?id=100024672163796&amp;mibextid=ZbWKwL" TargetMode="External"/><Relationship Id="rId8868" Type="http://schemas.openxmlformats.org/officeDocument/2006/relationships/hyperlink" Target="https://drive.google.com/open?id=1Gu91ukbt-z-Y4jso-LFw5y-EXbO0jQgh" TargetMode="External"/><Relationship Id="rId3263" Type="http://schemas.openxmlformats.org/officeDocument/2006/relationships/hyperlink" Target="https://www.facebook.com/huongthom.vuthi.98?mibextid=LQQJ4d" TargetMode="External"/><Relationship Id="rId4314" Type="http://schemas.openxmlformats.org/officeDocument/2006/relationships/hyperlink" Target="https://www.facebook.com/lam.oanh.524?mibextid=ZbWKwL" TargetMode="External"/><Relationship Id="rId5712" Type="http://schemas.openxmlformats.org/officeDocument/2006/relationships/hyperlink" Target="https://www.facebook.com/profile.php?id=100025994993279&amp;mibextid=LQQJ4d" TargetMode="External"/><Relationship Id="rId184" Type="http://schemas.openxmlformats.org/officeDocument/2006/relationships/hyperlink" Target="https://www.facebook.com/100030724050819/" TargetMode="External"/><Relationship Id="rId1908" Type="http://schemas.openxmlformats.org/officeDocument/2006/relationships/hyperlink" Target="https://www.facebook.com/comai.co.31?mibextid=LQQJ4d" TargetMode="External"/><Relationship Id="rId7884" Type="http://schemas.openxmlformats.org/officeDocument/2006/relationships/hyperlink" Target="https://www.facebook.com/profile.php?id=100092214427806" TargetMode="External"/><Relationship Id="rId8935" Type="http://schemas.openxmlformats.org/officeDocument/2006/relationships/hyperlink" Target="https://drive.google.com/open?id=1r8oXJ9_RraUQ4yWSLuk5OzFMZIlDK0wj" TargetMode="External"/><Relationship Id="rId251" Type="http://schemas.openxmlformats.org/officeDocument/2006/relationships/hyperlink" Target="https://www.facebook.com/profile.php?id=100040282274197&amp;mibextid=LQQJ4d" TargetMode="External"/><Relationship Id="rId3330" Type="http://schemas.openxmlformats.org/officeDocument/2006/relationships/hyperlink" Target="https://www.facebook.com/profile.php?id=100052715798257&amp;mibextid=ZbWKwL" TargetMode="External"/><Relationship Id="rId5088" Type="http://schemas.openxmlformats.org/officeDocument/2006/relationships/hyperlink" Target="https://www.facebook.com/profile.php?id=100034135998464" TargetMode="External"/><Relationship Id="rId6139" Type="http://schemas.openxmlformats.org/officeDocument/2006/relationships/hyperlink" Target="https://www.facebook.com/tuannpham06?mibextid=LQQJ4d" TargetMode="External"/><Relationship Id="rId6486" Type="http://schemas.openxmlformats.org/officeDocument/2006/relationships/hyperlink" Target="https://www.facebook.com/profile.php?id=100058455973431&amp;mibextid=LQQJ4d" TargetMode="External"/><Relationship Id="rId7537" Type="http://schemas.openxmlformats.org/officeDocument/2006/relationships/hyperlink" Target="https://www.facebook.com/profile.php?id=100025671799135&amp;mibextid=LQQJ4d" TargetMode="External"/><Relationship Id="rId7951" Type="http://schemas.openxmlformats.org/officeDocument/2006/relationships/hyperlink" Target="https://www.facebook.com/share/15wz6zRgqf/" TargetMode="External"/><Relationship Id="rId6553" Type="http://schemas.openxmlformats.org/officeDocument/2006/relationships/hyperlink" Target="https://drive.google.com/open?id=1VzxfK5sD8M978OzDBiPpv_qSnX09nhKI" TargetMode="External"/><Relationship Id="rId7604" Type="http://schemas.openxmlformats.org/officeDocument/2006/relationships/hyperlink" Target="https://www.facebook.com/profile.php?id=100019084566910&amp;mibextid=ZbWKwL" TargetMode="External"/><Relationship Id="rId1698" Type="http://schemas.openxmlformats.org/officeDocument/2006/relationships/hyperlink" Target="https://www.facebook.com/profile.php?id=100023420285275" TargetMode="External"/><Relationship Id="rId2749" Type="http://schemas.openxmlformats.org/officeDocument/2006/relationships/hyperlink" Target="https://www.facebook.com/profile.php?id=100054256994032" TargetMode="External"/><Relationship Id="rId5155" Type="http://schemas.openxmlformats.org/officeDocument/2006/relationships/hyperlink" Target="https://drive.google.com/open?id=1uPSUpUstrnA8AVLIFvYaHHYcWyJU3vLd" TargetMode="External"/><Relationship Id="rId6206" Type="http://schemas.openxmlformats.org/officeDocument/2006/relationships/hyperlink" Target="https://www.facebook.com/profile.php?id=100013600353070&amp;mibextid=LQQJ4d" TargetMode="External"/><Relationship Id="rId6620" Type="http://schemas.openxmlformats.org/officeDocument/2006/relationships/hyperlink" Target="https://www.facebook.com/profile.php?id=100059679503777&amp;mibextid=LQQJ4d" TargetMode="External"/><Relationship Id="rId1765" Type="http://schemas.openxmlformats.org/officeDocument/2006/relationships/hyperlink" Target="https://www.facebook.com/nguyenkiemphuong1732004?mibextid=LQQJ4d" TargetMode="External"/><Relationship Id="rId4171" Type="http://schemas.openxmlformats.org/officeDocument/2006/relationships/hyperlink" Target="https://www.facebook.com/profile.php?id=100041284066252" TargetMode="External"/><Relationship Id="rId5222" Type="http://schemas.openxmlformats.org/officeDocument/2006/relationships/hyperlink" Target="https://www.facebook.com/Truong.Nguyen567?locale=vi_VN" TargetMode="External"/><Relationship Id="rId8378" Type="http://schemas.openxmlformats.org/officeDocument/2006/relationships/hyperlink" Target="https://www.facebook.com/profile.php?id=100069162640832&amp;mibextid=ZbWKwL" TargetMode="External"/><Relationship Id="rId8792" Type="http://schemas.openxmlformats.org/officeDocument/2006/relationships/hyperlink" Target="https://www.facebook.com/profile.php?id=100068795874097" TargetMode="External"/><Relationship Id="rId9429" Type="http://schemas.openxmlformats.org/officeDocument/2006/relationships/hyperlink" Target="https://www.facebook.com/profile.php?id=100030047623035&amp;mibextid=LQQJ4d" TargetMode="External"/><Relationship Id="rId57" Type="http://schemas.openxmlformats.org/officeDocument/2006/relationships/hyperlink" Target="https://www.facebook.com/profile.php?id=100031557363600" TargetMode="External"/><Relationship Id="rId1418" Type="http://schemas.openxmlformats.org/officeDocument/2006/relationships/hyperlink" Target="https://www.facebook.com/trananhvukm22.vn" TargetMode="External"/><Relationship Id="rId2816" Type="http://schemas.openxmlformats.org/officeDocument/2006/relationships/hyperlink" Target="https://www.facebook.com/ba.vinh.940641?mibextid=LQQJ4d" TargetMode="External"/><Relationship Id="rId7394" Type="http://schemas.openxmlformats.org/officeDocument/2006/relationships/hyperlink" Target="https://www.facebook.com/na.ngan.5249?mibextid=LQQJ4d" TargetMode="External"/><Relationship Id="rId8445" Type="http://schemas.openxmlformats.org/officeDocument/2006/relationships/hyperlink" Target="https://www.facebook.com/hinni.lan.5?mibextidLQQJ4" TargetMode="External"/><Relationship Id="rId1832" Type="http://schemas.openxmlformats.org/officeDocument/2006/relationships/hyperlink" Target="https://www.facebook.com/profile.php?id=100014966648126" TargetMode="External"/><Relationship Id="rId4988" Type="http://schemas.openxmlformats.org/officeDocument/2006/relationships/hyperlink" Target="https://drive.google.com/open?id=1-o9HNa87dv-UtbC4502YIvcgReRW7vxe" TargetMode="External"/><Relationship Id="rId7047" Type="http://schemas.openxmlformats.org/officeDocument/2006/relationships/hyperlink" Target="https://www.facebook.com/profile.php?id=100043301829744&amp;mibextid=LQQJ4d" TargetMode="External"/><Relationship Id="rId6063" Type="http://schemas.openxmlformats.org/officeDocument/2006/relationships/hyperlink" Target="https://www.facebook.com/kquang.lee.4" TargetMode="External"/><Relationship Id="rId7461" Type="http://schemas.openxmlformats.org/officeDocument/2006/relationships/hyperlink" Target="https://drive.google.com/open?id=1suoa78T-tteS1JIb6vwiAi-kO48F44d7" TargetMode="External"/><Relationship Id="rId8512" Type="http://schemas.openxmlformats.org/officeDocument/2006/relationships/hyperlink" Target="https://www.facebook.com/profile.php?id=100037798292019&amp;mibextid=LQQJ4d" TargetMode="External"/><Relationship Id="rId3657" Type="http://schemas.openxmlformats.org/officeDocument/2006/relationships/hyperlink" Target="https://www.facebook.com/profile.php?id=100077442223974" TargetMode="External"/><Relationship Id="rId4708" Type="http://schemas.openxmlformats.org/officeDocument/2006/relationships/hyperlink" Target="https://drive.google.com/open?id=1jodxQ8yoVzMsVornhmZMKYXAcziiDuP0" TargetMode="External"/><Relationship Id="rId7114" Type="http://schemas.openxmlformats.org/officeDocument/2006/relationships/hyperlink" Target="https://www.facebook.com/profile.php?id=100060974444532&amp;mibextid=LQQJ4d" TargetMode="External"/><Relationship Id="rId578" Type="http://schemas.openxmlformats.org/officeDocument/2006/relationships/hyperlink" Target="https://www.facebook.com/thanhh.maii.180" TargetMode="External"/><Relationship Id="rId992" Type="http://schemas.openxmlformats.org/officeDocument/2006/relationships/hyperlink" Target="https://www.facebook.com/ndm.manh" TargetMode="External"/><Relationship Id="rId2259" Type="http://schemas.openxmlformats.org/officeDocument/2006/relationships/hyperlink" Target="https://drive.google.com/open?id=1dJ06F1Skiyz6DPtbcsmZfnKuveGxPoaD" TargetMode="External"/><Relationship Id="rId2673" Type="http://schemas.openxmlformats.org/officeDocument/2006/relationships/hyperlink" Target="https://drive.google.com/open?id=1R5JoAuYJqvQlJPJChiEY9VMFotYUoarh" TargetMode="External"/><Relationship Id="rId3724" Type="http://schemas.openxmlformats.org/officeDocument/2006/relationships/hyperlink" Target="https://www.facebook.com/profile.php?id=100013044976419&amp;mibextid=ZbWKwL" TargetMode="External"/><Relationship Id="rId6130" Type="http://schemas.openxmlformats.org/officeDocument/2006/relationships/hyperlink" Target="https://web.facebook.com/xuanthanh.hnue13" TargetMode="External"/><Relationship Id="rId9286" Type="http://schemas.openxmlformats.org/officeDocument/2006/relationships/hyperlink" Target="https://www.facebook.com/hong.nhung.241155?mibextid=ZbWKwL" TargetMode="External"/><Relationship Id="rId645" Type="http://schemas.openxmlformats.org/officeDocument/2006/relationships/hyperlink" Target="https://drive.google.com/open?id=1DO8T_sxVEutc9ZguXgsmE0ryOoEWyLld" TargetMode="External"/><Relationship Id="rId1275" Type="http://schemas.openxmlformats.org/officeDocument/2006/relationships/hyperlink" Target="https://www.facebook.com/profile.php?id=100093969684383&amp;mibextid=LQQJ4d" TargetMode="External"/><Relationship Id="rId2326" Type="http://schemas.openxmlformats.org/officeDocument/2006/relationships/hyperlink" Target="https://drive.google.com/open?id=1iy7ehSZFGHgKp12VqxAjSzt5oZnGT7Gl" TargetMode="External"/><Relationship Id="rId2740" Type="http://schemas.openxmlformats.org/officeDocument/2006/relationships/hyperlink" Target="https://drive.google.com/open?id=1DHm9r21Rmflw8-BpX2muhLD1BEoW12KU" TargetMode="External"/><Relationship Id="rId5896" Type="http://schemas.openxmlformats.org/officeDocument/2006/relationships/hyperlink" Target="https://www.facebook.com/quynhmike11?mibextid=LQQJ4d" TargetMode="External"/><Relationship Id="rId6947" Type="http://schemas.openxmlformats.org/officeDocument/2006/relationships/hyperlink" Target="https://www.facebook.com/cuong.machiko?mibextid=LQQJ4d" TargetMode="External"/><Relationship Id="rId9353" Type="http://schemas.openxmlformats.org/officeDocument/2006/relationships/hyperlink" Target="https://drive.google.com/open?id=1xJD2T5i08k41ElKzDYnYQ1z3KjbTyf44" TargetMode="External"/><Relationship Id="rId712" Type="http://schemas.openxmlformats.org/officeDocument/2006/relationships/hyperlink" Target="https://www.facebook.com/profile.php?id=100034730831462&amp;mibextid=LQQJ4d" TargetMode="External"/><Relationship Id="rId1342" Type="http://schemas.openxmlformats.org/officeDocument/2006/relationships/hyperlink" Target="https://www.facebook.com/Trinh.quynhanh.37.habbit?mibextid=ZbWKwL" TargetMode="External"/><Relationship Id="rId4498" Type="http://schemas.openxmlformats.org/officeDocument/2006/relationships/hyperlink" Target="https://www.facebook.com/profile.php?id=100082997329944&amp;mibextid=LQQJ4d" TargetMode="External"/><Relationship Id="rId5549" Type="http://schemas.openxmlformats.org/officeDocument/2006/relationships/hyperlink" Target="https://www.facebook.com/phianhthu2006?mibextid=LQQJ4d" TargetMode="External"/><Relationship Id="rId9006" Type="http://schemas.openxmlformats.org/officeDocument/2006/relationships/hyperlink" Target="https://drive.google.com/open?id=1DbYNAwjL-uWsV3oAOjD1l2Qdsu8Yb0Om" TargetMode="External"/><Relationship Id="rId9420" Type="http://schemas.openxmlformats.org/officeDocument/2006/relationships/hyperlink" Target="https://www.facebook.com/profile.php?id=100090526551169" TargetMode="External"/><Relationship Id="rId5963" Type="http://schemas.openxmlformats.org/officeDocument/2006/relationships/hyperlink" Target="https://www.facebook.com/profile.php?id=61551713493176&amp;mibextid=LQQJ4d" TargetMode="External"/><Relationship Id="rId8022" Type="http://schemas.openxmlformats.org/officeDocument/2006/relationships/hyperlink" Target="https://drive.google.com/open?id=16ZUPqw7iKmFWm2jjCzDEt2yedCcl4Q5v" TargetMode="External"/><Relationship Id="rId3167" Type="http://schemas.openxmlformats.org/officeDocument/2006/relationships/hyperlink" Target="https://www.facebook.com/profile.php?id=100024198198569" TargetMode="External"/><Relationship Id="rId4565" Type="http://schemas.openxmlformats.org/officeDocument/2006/relationships/hyperlink" Target="https://www.facebook.com/phanh0660101122003?mibextid=LQQJ4d" TargetMode="External"/><Relationship Id="rId5616" Type="http://schemas.openxmlformats.org/officeDocument/2006/relationships/hyperlink" Target="https://www.facebook.com/profile.php?id=100029614685738&amp;mibextid=LQQJ4d" TargetMode="External"/><Relationship Id="rId3581" Type="http://schemas.openxmlformats.org/officeDocument/2006/relationships/hyperlink" Target="https://www.facebook.com/duonghung7825?mibextid=LQQJ4d" TargetMode="External"/><Relationship Id="rId4218" Type="http://schemas.openxmlformats.org/officeDocument/2006/relationships/hyperlink" Target="https://www.facebook.com/100055143096630/" TargetMode="External"/><Relationship Id="rId4632" Type="http://schemas.openxmlformats.org/officeDocument/2006/relationships/hyperlink" Target="https://drive.google.com/open?id=1G7Dj2LcC8mzj2MTwAU9fQ6AgL-fhbAMn" TargetMode="External"/><Relationship Id="rId7788" Type="http://schemas.openxmlformats.org/officeDocument/2006/relationships/hyperlink" Target="https://drive.google.com/open?id=1w5PwZQNWMQ6CXnIQHPWC5o90hRItmluG" TargetMode="External"/><Relationship Id="rId8839" Type="http://schemas.openxmlformats.org/officeDocument/2006/relationships/hyperlink" Target="https://www.facebook.com/nam.chun.969?mibextid=ZbWKwL" TargetMode="External"/><Relationship Id="rId2183" Type="http://schemas.openxmlformats.org/officeDocument/2006/relationships/hyperlink" Target="https://drive.google.com/open?id=1u9o5kYSGYwpwZgQnAkcRWpPq8LP2kBlr" TargetMode="External"/><Relationship Id="rId3234" Type="http://schemas.openxmlformats.org/officeDocument/2006/relationships/hyperlink" Target="https://drive.google.com/open?id=1P8Ea_x0o00i-_7G4mE94yeAbDy1vcYC7" TargetMode="External"/><Relationship Id="rId7855" Type="http://schemas.openxmlformats.org/officeDocument/2006/relationships/hyperlink" Target="https://www.facebook.com/baby.hik6?locale=vi_VN" TargetMode="External"/><Relationship Id="rId8906" Type="http://schemas.openxmlformats.org/officeDocument/2006/relationships/hyperlink" Target="https://www.facebook.com/jocasta.0509" TargetMode="External"/><Relationship Id="rId155" Type="http://schemas.openxmlformats.org/officeDocument/2006/relationships/hyperlink" Target="https://www.facebook.com/profile.php?id=100006895214841&amp;mibextid=LQQJ4d" TargetMode="External"/><Relationship Id="rId2250" Type="http://schemas.openxmlformats.org/officeDocument/2006/relationships/hyperlink" Target="https://drive.google.com/open?id=1wak2vBO2JBJGEQfxQ_nt4GrP7YZMzHUH" TargetMode="External"/><Relationship Id="rId3301" Type="http://schemas.openxmlformats.org/officeDocument/2006/relationships/hyperlink" Target="https://drive.google.com/open?id=1bFGCru7XWO8JMi6vS0EUSl3kZAICN9ft" TargetMode="External"/><Relationship Id="rId6457" Type="http://schemas.openxmlformats.org/officeDocument/2006/relationships/hyperlink" Target="https://www.facebook.com/profile.php?id=100047627437775&amp;mibextid=ZbWKwL" TargetMode="External"/><Relationship Id="rId6871" Type="http://schemas.openxmlformats.org/officeDocument/2006/relationships/hyperlink" Target="https://drive.google.com/open?id=1YmzkIBkTpncnQZqhKFEYp1CXG15H6tmA" TargetMode="External"/><Relationship Id="rId7508" Type="http://schemas.openxmlformats.org/officeDocument/2006/relationships/hyperlink" Target="https://www.facebook.com/profile.php?id=100040122104753&amp;mibextid=LQQJ4d" TargetMode="External"/><Relationship Id="rId222" Type="http://schemas.openxmlformats.org/officeDocument/2006/relationships/hyperlink" Target="https://drive.google.com/open?id=1xUZOS8h1NjEw2ZWfajwU2gBuXgPTzuUs" TargetMode="External"/><Relationship Id="rId5059" Type="http://schemas.openxmlformats.org/officeDocument/2006/relationships/hyperlink" Target="https://www.facebook.com/profile.php?id=100076602368995" TargetMode="External"/><Relationship Id="rId5473" Type="http://schemas.openxmlformats.org/officeDocument/2006/relationships/hyperlink" Target="https://drive.google.com/open?id=1QSnScqKAyRiUaCQfg4g6E-_TSR9LlEQE" TargetMode="External"/><Relationship Id="rId6524" Type="http://schemas.openxmlformats.org/officeDocument/2006/relationships/hyperlink" Target="https://www.facebook.com/profile.php?id=100028993292584&amp;mibextid=kFxxJD" TargetMode="External"/><Relationship Id="rId7922" Type="http://schemas.openxmlformats.org/officeDocument/2006/relationships/hyperlink" Target="https://drive.google.com/open?id=17Tf9tKUBB_D3247gVppX9k1oY-TuHe2X" TargetMode="External"/><Relationship Id="rId4075" Type="http://schemas.openxmlformats.org/officeDocument/2006/relationships/hyperlink" Target="https://www.facebook.com/anhdangiuso1tg?mibextid=LQQJ4d" TargetMode="External"/><Relationship Id="rId5126" Type="http://schemas.openxmlformats.org/officeDocument/2006/relationships/hyperlink" Target="https://www.facebook.com/leanhthu0716" TargetMode="External"/><Relationship Id="rId1669" Type="http://schemas.openxmlformats.org/officeDocument/2006/relationships/hyperlink" Target="https://drive.google.com/open?id=1AiEsm2RYbuPoXxgbe8-gtrC3N_N3TEHN" TargetMode="External"/><Relationship Id="rId3091" Type="http://schemas.openxmlformats.org/officeDocument/2006/relationships/hyperlink" Target="https://www.facebook.com/profile.php?id=100069162640832&amp;mibextid=ZbWKwL" TargetMode="External"/><Relationship Id="rId4142" Type="http://schemas.openxmlformats.org/officeDocument/2006/relationships/hyperlink" Target="https://www.facebook.com/profile.php?id=100035784653136&amp;locale=vi_VN" TargetMode="External"/><Relationship Id="rId5540" Type="http://schemas.openxmlformats.org/officeDocument/2006/relationships/hyperlink" Target="https://drive.google.com/open?id=1LNblMee3gAftajwc3UtiP9PV3tmyU-_1" TargetMode="External"/><Relationship Id="rId7298" Type="http://schemas.openxmlformats.org/officeDocument/2006/relationships/hyperlink" Target="https://www.facebook.com/profile.php?id=100072543545151" TargetMode="External"/><Relationship Id="rId8349" Type="http://schemas.openxmlformats.org/officeDocument/2006/relationships/hyperlink" Target="https://www.facebook.com/profile.php?id=100053191901444&amp;mibextid=LQQJ4d" TargetMode="External"/><Relationship Id="rId8696" Type="http://schemas.openxmlformats.org/officeDocument/2006/relationships/hyperlink" Target="https://www.facebook.com/profile.php?id=100090338867100&amp;mibextid=LQQJ4d" TargetMode="External"/><Relationship Id="rId1736" Type="http://schemas.openxmlformats.org/officeDocument/2006/relationships/hyperlink" Target="https://www.facebook.com/profile.php?id=100023494071905" TargetMode="External"/><Relationship Id="rId8763" Type="http://schemas.openxmlformats.org/officeDocument/2006/relationships/hyperlink" Target="https://www.facebook.com/share/1ZVUDKQ6nL/?mibextid=wwXIfr" TargetMode="External"/><Relationship Id="rId28" Type="http://schemas.openxmlformats.org/officeDocument/2006/relationships/hyperlink" Target="https://www.facebook.com/Huynieeee/" TargetMode="External"/><Relationship Id="rId1803" Type="http://schemas.openxmlformats.org/officeDocument/2006/relationships/hyperlink" Target="https://www.facebook.com/bile7662?mibextid=ZbWKwL" TargetMode="External"/><Relationship Id="rId4959" Type="http://schemas.openxmlformats.org/officeDocument/2006/relationships/hyperlink" Target="https://www.facebook.com/profile.php?id=100075037448094&amp;mibextid=LQQJ4d" TargetMode="External"/><Relationship Id="rId7365" Type="http://schemas.openxmlformats.org/officeDocument/2006/relationships/hyperlink" Target="https://www.facebook.com/profile.php?id=100088037691117&amp;mibextid=LQQJ4d" TargetMode="External"/><Relationship Id="rId8416" Type="http://schemas.openxmlformats.org/officeDocument/2006/relationships/hyperlink" Target="https://www.facebook.com/profile.php?id=100027014680185" TargetMode="External"/><Relationship Id="rId8830" Type="http://schemas.openxmlformats.org/officeDocument/2006/relationships/hyperlink" Target="https://www.facebook.com/profile.php?id=100053167103627&amp;mibextid=ZbWKwL" TargetMode="External"/><Relationship Id="rId3975" Type="http://schemas.openxmlformats.org/officeDocument/2006/relationships/hyperlink" Target="https://drive.google.com/open?id=1Q8bMbszvmkJXfMWqeIpxDoxB0h8UUCDl" TargetMode="External"/><Relationship Id="rId6381" Type="http://schemas.openxmlformats.org/officeDocument/2006/relationships/hyperlink" Target="https://www.facebook.com/profile.php?id=100040545213406" TargetMode="External"/><Relationship Id="rId7018" Type="http://schemas.openxmlformats.org/officeDocument/2006/relationships/hyperlink" Target="https://www.facebook.com/nganie.thao?mibextid=LQQJ4d" TargetMode="External"/><Relationship Id="rId7432" Type="http://schemas.openxmlformats.org/officeDocument/2006/relationships/hyperlink" Target="https://www.facebook.com/profile.php?id=100054632042158" TargetMode="External"/><Relationship Id="rId896" Type="http://schemas.openxmlformats.org/officeDocument/2006/relationships/hyperlink" Target="https://drive.google.com/open?id=17rW6RPWyYaI4S4I3F5rNm9tK6VISQYQL" TargetMode="External"/><Relationship Id="rId2577" Type="http://schemas.openxmlformats.org/officeDocument/2006/relationships/hyperlink" Target="https://www.facebook.com/profile.php?id=100078320827254&amp;mibextid=LQQJ4d" TargetMode="External"/><Relationship Id="rId3628" Type="http://schemas.openxmlformats.org/officeDocument/2006/relationships/hyperlink" Target="https://www.facebook.com/profile.php?id=100054409000741&amp;mibextid=LQQJ4d" TargetMode="External"/><Relationship Id="rId6034" Type="http://schemas.openxmlformats.org/officeDocument/2006/relationships/hyperlink" Target="https://www.facebook.com/dai.do.319247" TargetMode="External"/><Relationship Id="rId549" Type="http://schemas.openxmlformats.org/officeDocument/2006/relationships/hyperlink" Target="https://www.facebook.com/profile.php?id=100012319530902" TargetMode="External"/><Relationship Id="rId1179" Type="http://schemas.openxmlformats.org/officeDocument/2006/relationships/hyperlink" Target="https://www.facebook.com/profile.php?id=100033472703715" TargetMode="External"/><Relationship Id="rId1593" Type="http://schemas.openxmlformats.org/officeDocument/2006/relationships/hyperlink" Target="https://www.facebook.com/profile.php?id=100035530000674&amp;mibextid=LQQJ4d" TargetMode="External"/><Relationship Id="rId2991" Type="http://schemas.openxmlformats.org/officeDocument/2006/relationships/hyperlink" Target="https://www.facebook.com/pppppp.05" TargetMode="External"/><Relationship Id="rId5050" Type="http://schemas.openxmlformats.org/officeDocument/2006/relationships/hyperlink" Target="https://www.facebook.com/profile.php?id=100051933434918" TargetMode="External"/><Relationship Id="rId6101" Type="http://schemas.openxmlformats.org/officeDocument/2006/relationships/hyperlink" Target="https://drive.google.com/open?id=197nBazdUw1zK0vebOe6sbN1573VvYIrk" TargetMode="External"/><Relationship Id="rId9257" Type="http://schemas.openxmlformats.org/officeDocument/2006/relationships/hyperlink" Target="https://www.facebook.com/profile.php?id=100077677489767&amp;mibextid=LQQJ4d" TargetMode="External"/><Relationship Id="rId963" Type="http://schemas.openxmlformats.org/officeDocument/2006/relationships/hyperlink" Target="https://www.facebook.com/kii.ntluong" TargetMode="External"/><Relationship Id="rId1246" Type="http://schemas.openxmlformats.org/officeDocument/2006/relationships/hyperlink" Target="https://www.facebook.com/profile.php?id=100064855133896&amp;mibextid=LQQJ4d" TargetMode="External"/><Relationship Id="rId2644" Type="http://schemas.openxmlformats.org/officeDocument/2006/relationships/hyperlink" Target="https://drive.google.com/open?id=1WXQxLU5fstxRTC2sIn68IPV-VRaf-2QG" TargetMode="External"/><Relationship Id="rId8273" Type="http://schemas.openxmlformats.org/officeDocument/2006/relationships/hyperlink" Target="https://www.facebook.com/share/1899TRBWVb/?mibextid=wwXIfr" TargetMode="External"/><Relationship Id="rId616" Type="http://schemas.openxmlformats.org/officeDocument/2006/relationships/hyperlink" Target="https://drive.google.com/open?id=1dFvjshTDczUfXGkwrNe2KddWhkAteKb7" TargetMode="External"/><Relationship Id="rId1660" Type="http://schemas.openxmlformats.org/officeDocument/2006/relationships/hyperlink" Target="https://www.facebook.com/tuanminh.truong.9461?mibextid=LQQJ4d" TargetMode="External"/><Relationship Id="rId2711" Type="http://schemas.openxmlformats.org/officeDocument/2006/relationships/hyperlink" Target="https://www.facebook.com/profile.php?id=100090309125596" TargetMode="External"/><Relationship Id="rId5867" Type="http://schemas.openxmlformats.org/officeDocument/2006/relationships/hyperlink" Target="https://www.facebook.com/profile.php?id=100053788391474" TargetMode="External"/><Relationship Id="rId6918" Type="http://schemas.openxmlformats.org/officeDocument/2006/relationships/hyperlink" Target="https://www.facebook.com/anhduong.trannguyen.39" TargetMode="External"/><Relationship Id="rId9324" Type="http://schemas.openxmlformats.org/officeDocument/2006/relationships/hyperlink" Target="https://drive.google.com/open?id=1SWVP9HcXuCNlUKzypNb87Vkky11pAsmV" TargetMode="External"/><Relationship Id="rId1313" Type="http://schemas.openxmlformats.org/officeDocument/2006/relationships/hyperlink" Target="https://www.facebook.com/trang.vuhuyen.7121614" TargetMode="External"/><Relationship Id="rId4469" Type="http://schemas.openxmlformats.org/officeDocument/2006/relationships/hyperlink" Target="https://www.facebook.com/nuoi.congai.7?locale=vi_VN" TargetMode="External"/><Relationship Id="rId4883" Type="http://schemas.openxmlformats.org/officeDocument/2006/relationships/hyperlink" Target="https://www.facebook.com/ngocduong.minh.9883739?mibextid=LQQJ4d" TargetMode="External"/><Relationship Id="rId5934" Type="http://schemas.openxmlformats.org/officeDocument/2006/relationships/hyperlink" Target="https://www.facebook.com/profile.php?id=100079266637088&amp;mibextid=LQQJ4d" TargetMode="External"/><Relationship Id="rId8340" Type="http://schemas.openxmlformats.org/officeDocument/2006/relationships/hyperlink" Target="https://www.facebook.com/profile.php?id=100082058310453" TargetMode="External"/><Relationship Id="rId3485" Type="http://schemas.openxmlformats.org/officeDocument/2006/relationships/hyperlink" Target="https://www.facebook.com/profile.php?id=100061769598015&amp;mibextid=LQQJ4d" TargetMode="External"/><Relationship Id="rId4536" Type="http://schemas.openxmlformats.org/officeDocument/2006/relationships/hyperlink" Target="https://www.facebook.com/huy.nguyenviet.3954546?mibextid=kFxxJD" TargetMode="External"/><Relationship Id="rId4950" Type="http://schemas.openxmlformats.org/officeDocument/2006/relationships/hyperlink" Target="https://www.facebook.com/lehaduong16122006?mibextid=ZbWKwL" TargetMode="External"/><Relationship Id="rId2087" Type="http://schemas.openxmlformats.org/officeDocument/2006/relationships/hyperlink" Target="https://drive.google.com/open?id=1_2V2qw1RjmyyCSU82ufiR-uaViGMvOa1" TargetMode="External"/><Relationship Id="rId3138" Type="http://schemas.openxmlformats.org/officeDocument/2006/relationships/hyperlink" Target="https://www.facebook.com/profile.php?id=100013860276661&amp;mibextid=LQQJ4d" TargetMode="External"/><Relationship Id="rId3552" Type="http://schemas.openxmlformats.org/officeDocument/2006/relationships/hyperlink" Target="https://drive.google.com/open?id=1gZwJ52l4vZ6to1B3HrSz3QVsiJ-aLgcI" TargetMode="External"/><Relationship Id="rId4603" Type="http://schemas.openxmlformats.org/officeDocument/2006/relationships/hyperlink" Target="https://drive.google.com/open?id=1bMuiktAGYmtbKopWcOzNFBzacY0optIy" TargetMode="External"/><Relationship Id="rId7759" Type="http://schemas.openxmlformats.org/officeDocument/2006/relationships/hyperlink" Target="https://www.facebook.com/buiqvu.04?mibextid=LQQJ4d" TargetMode="External"/><Relationship Id="rId473" Type="http://schemas.openxmlformats.org/officeDocument/2006/relationships/hyperlink" Target="https://drive.google.com/open?id=1aVVaP-5jl4jFUH8wCAoImKbsFBn6tTh0" TargetMode="External"/><Relationship Id="rId2154" Type="http://schemas.openxmlformats.org/officeDocument/2006/relationships/hyperlink" Target="https://drive.google.com/open?id=1IDoyaI_SmV-kw5oTVCnEa00V4ZgdB9Kj" TargetMode="External"/><Relationship Id="rId3205" Type="http://schemas.openxmlformats.org/officeDocument/2006/relationships/hyperlink" Target="https://www.facebook.com/profile.php?id=100028837680095" TargetMode="External"/><Relationship Id="rId9181" Type="http://schemas.openxmlformats.org/officeDocument/2006/relationships/hyperlink" Target="https://www.facebook.com/100031790824249/" TargetMode="External"/><Relationship Id="rId126" Type="http://schemas.openxmlformats.org/officeDocument/2006/relationships/hyperlink" Target="https://www.facebook.com/profile.php?id=100040352595040" TargetMode="External"/><Relationship Id="rId540" Type="http://schemas.openxmlformats.org/officeDocument/2006/relationships/hyperlink" Target="https://drive.google.com/open?id=1P-vOVul34TS_0PdhUWwk8PZDd2-DQoB_" TargetMode="External"/><Relationship Id="rId1170" Type="http://schemas.openxmlformats.org/officeDocument/2006/relationships/hyperlink" Target="https://www.facebook.com/profile.php?id=100022723895220" TargetMode="External"/><Relationship Id="rId2221" Type="http://schemas.openxmlformats.org/officeDocument/2006/relationships/hyperlink" Target="https://www.facebook.com/profile.php?id=100079541583900&amp;mibextid=LQQJ4d" TargetMode="External"/><Relationship Id="rId5377" Type="http://schemas.openxmlformats.org/officeDocument/2006/relationships/hyperlink" Target="https://www.facebook.com/nguyen.thicham.1088?mibextid=PtKPJ9" TargetMode="External"/><Relationship Id="rId6428" Type="http://schemas.openxmlformats.org/officeDocument/2006/relationships/hyperlink" Target="https://www.facebook.com/luong.nguyen07.11?mibextid=ZbWKwL" TargetMode="External"/><Relationship Id="rId6775" Type="http://schemas.openxmlformats.org/officeDocument/2006/relationships/hyperlink" Target="https://drive.google.com/open?id=1NI2fE-LZZ5zCzjBeYEGsDg5yZb0Zcpg2" TargetMode="External"/><Relationship Id="rId7826" Type="http://schemas.openxmlformats.org/officeDocument/2006/relationships/hyperlink" Target="https://drive.google.com/open?id=198i9d62CE6FMCPSBd7gKyh1LkJGx6f7T" TargetMode="External"/><Relationship Id="rId5791" Type="http://schemas.openxmlformats.org/officeDocument/2006/relationships/hyperlink" Target="https://www.facebook.com/ngocs.bich.77" TargetMode="External"/><Relationship Id="rId6842" Type="http://schemas.openxmlformats.org/officeDocument/2006/relationships/hyperlink" Target="https://drive.google.com/open?id=1Abjzd-xJcE_VAM7TV98QgaFFaAf0_w1h" TargetMode="External"/><Relationship Id="rId1987" Type="http://schemas.openxmlformats.org/officeDocument/2006/relationships/hyperlink" Target="https://www.facebook.com/profile.php?id=100053355834062&amp;mibextid=LQQJ4d" TargetMode="External"/><Relationship Id="rId4393" Type="http://schemas.openxmlformats.org/officeDocument/2006/relationships/hyperlink" Target="https://drive.google.com/open?id=1-ldHCyaBgbvBezS7AyjHnHJGcFQdq8eE" TargetMode="External"/><Relationship Id="rId5444" Type="http://schemas.openxmlformats.org/officeDocument/2006/relationships/hyperlink" Target="https://drive.google.com/open?id=1dRphuB_v6uhrr-t19g37ffpgX2QmV3aM" TargetMode="External"/><Relationship Id="rId4046" Type="http://schemas.openxmlformats.org/officeDocument/2006/relationships/hyperlink" Target="https://www.facebook.com/share/4JaysMkut8mSCkpE/?mibextid=qi2Omg" TargetMode="External"/><Relationship Id="rId4460" Type="http://schemas.openxmlformats.org/officeDocument/2006/relationships/hyperlink" Target="https://www.facebook.com/profile.php?id=100053903194742&amp;mibextid=LQQJ4d" TargetMode="External"/><Relationship Id="rId5511" Type="http://schemas.openxmlformats.org/officeDocument/2006/relationships/hyperlink" Target="https://www.facebook.com/profile.php?id=100045638570732" TargetMode="External"/><Relationship Id="rId8667" Type="http://schemas.openxmlformats.org/officeDocument/2006/relationships/hyperlink" Target="https://www.facebook.com/profile.php?id=100068967093681&amp;rdid=0POMhtA1o6PbzYq8&amp;share_url=https%3A%2F%2Fwww.facebook.com%2Fshare%2FRFMwhwP3MgKE8iAk%2F" TargetMode="External"/><Relationship Id="rId1707" Type="http://schemas.openxmlformats.org/officeDocument/2006/relationships/hyperlink" Target="https://drive.google.com/open?id=19uYfVCeqbaQoXRDxTRvbVMcwZzU3qW1I" TargetMode="External"/><Relationship Id="rId3062" Type="http://schemas.openxmlformats.org/officeDocument/2006/relationships/hyperlink" Target="https://drive.google.com/open?id=1h2RTNSjqpNz3dAyY7pazkMzHkEqP-IcY" TargetMode="External"/><Relationship Id="rId4113" Type="http://schemas.openxmlformats.org/officeDocument/2006/relationships/hyperlink" Target="https://drive.google.com/open?id=1Fw-HaxXS9IZUsotYyJScX2-_7WB4lRkT" TargetMode="External"/><Relationship Id="rId7269" Type="http://schemas.openxmlformats.org/officeDocument/2006/relationships/hyperlink" Target="https://www.facebook.com/profile.php?id=100050264077049" TargetMode="External"/><Relationship Id="rId7683" Type="http://schemas.openxmlformats.org/officeDocument/2006/relationships/hyperlink" Target="https://www.facebook.com/share/15h9QPMYEQ/?mibextid=LQQJ4d" TargetMode="External"/><Relationship Id="rId8734" Type="http://schemas.openxmlformats.org/officeDocument/2006/relationships/hyperlink" Target="https://www.facebook.com/profile.php?id=100004358086165" TargetMode="External"/><Relationship Id="rId6285" Type="http://schemas.openxmlformats.org/officeDocument/2006/relationships/hyperlink" Target="https://www.facebook.com/trong.lehong.7165" TargetMode="External"/><Relationship Id="rId7336" Type="http://schemas.openxmlformats.org/officeDocument/2006/relationships/hyperlink" Target="https://www.facebook.com/profile.php?id=100075273060574&amp;mibextid=ZbWKwL" TargetMode="External"/><Relationship Id="rId3879" Type="http://schemas.openxmlformats.org/officeDocument/2006/relationships/hyperlink" Target="https://drive.google.com/open?id=1xYyaIn6y4erKbkHYTJKTThfumbWMnigT" TargetMode="External"/><Relationship Id="rId6352" Type="http://schemas.openxmlformats.org/officeDocument/2006/relationships/hyperlink" Target="https://www.facebook.com/nguyenthihaiyen22122006iuuuuuu" TargetMode="External"/><Relationship Id="rId7750" Type="http://schemas.openxmlformats.org/officeDocument/2006/relationships/hyperlink" Target="https://drive.google.com/open?id=1jyQoh4ay5Twz5UUa7wO-HcB20WVXpREU" TargetMode="External"/><Relationship Id="rId8801" Type="http://schemas.openxmlformats.org/officeDocument/2006/relationships/hyperlink" Target="https://www.facebook.com/profile.php?id=100045812565863&amp;mibextid=kFxxJD" TargetMode="External"/><Relationship Id="rId2895" Type="http://schemas.openxmlformats.org/officeDocument/2006/relationships/hyperlink" Target="https://drive.google.com/open?id=14VmrFDOhNhlmQQzwMMs7ZcM06W3jFAnF" TargetMode="External"/><Relationship Id="rId3946" Type="http://schemas.openxmlformats.org/officeDocument/2006/relationships/hyperlink" Target="https://www.facebook.com/tranthingocnhung.2003?mibextid=LQQJ4d" TargetMode="External"/><Relationship Id="rId6005" Type="http://schemas.openxmlformats.org/officeDocument/2006/relationships/hyperlink" Target="https://www.facebook.com/profile.php?id=100025243657037&amp;mibextid=ZbWKwL" TargetMode="External"/><Relationship Id="rId7403" Type="http://schemas.openxmlformats.org/officeDocument/2006/relationships/hyperlink" Target="https://www.facebook.com/profile.php?id=100019748934690&amp;mibextid=LQQJ4d" TargetMode="External"/><Relationship Id="rId867" Type="http://schemas.openxmlformats.org/officeDocument/2006/relationships/hyperlink" Target="https://www.facebook.com/thequyn28" TargetMode="External"/><Relationship Id="rId1497" Type="http://schemas.openxmlformats.org/officeDocument/2006/relationships/hyperlink" Target="https://www.facebook.com/ducwepi2302" TargetMode="External"/><Relationship Id="rId2548" Type="http://schemas.openxmlformats.org/officeDocument/2006/relationships/hyperlink" Target="https://www.facebook.com/profile.php?id=100070654260752" TargetMode="External"/><Relationship Id="rId2962" Type="http://schemas.openxmlformats.org/officeDocument/2006/relationships/hyperlink" Target="https://www.facebook.com/profile.php?id=61553967831189&amp;mibextid=PtKPJ9" TargetMode="External"/><Relationship Id="rId9575" Type="http://schemas.openxmlformats.org/officeDocument/2006/relationships/hyperlink" Target="https://www.facebook.com/share/1YZ2WJxKfd/?mibextid=wwXIfr" TargetMode="External"/><Relationship Id="rId934" Type="http://schemas.openxmlformats.org/officeDocument/2006/relationships/hyperlink" Target="https://drive.google.com/open?id=1I_lOqKaVHvp6X3Undzl3uPEx2IeyJZXi" TargetMode="External"/><Relationship Id="rId1564" Type="http://schemas.openxmlformats.org/officeDocument/2006/relationships/hyperlink" Target="https://www.facebook.com/profile.php?id=100071989111012&amp;mibextid=9R9pXO" TargetMode="External"/><Relationship Id="rId2615" Type="http://schemas.openxmlformats.org/officeDocument/2006/relationships/hyperlink" Target="https://www.facebook.com/nguyenmy5505" TargetMode="External"/><Relationship Id="rId5021" Type="http://schemas.openxmlformats.org/officeDocument/2006/relationships/hyperlink" Target="https://www.facebook.com/lunss.nam.9887" TargetMode="External"/><Relationship Id="rId8177" Type="http://schemas.openxmlformats.org/officeDocument/2006/relationships/hyperlink" Target="https://drive.google.com/open?id=1j0fqutiYtVlSDdXt8y43lzyotjIAIhmL" TargetMode="External"/><Relationship Id="rId8591" Type="http://schemas.openxmlformats.org/officeDocument/2006/relationships/hyperlink" Target="https://www.facebook.com/share/4hJa6vtvuTqF7MTZ/?" TargetMode="External"/><Relationship Id="rId9228" Type="http://schemas.openxmlformats.org/officeDocument/2006/relationships/hyperlink" Target="https://www.facebook.com/profile.php?id=100053795720330&amp;mibextid=LQQJ4d" TargetMode="External"/><Relationship Id="rId1217" Type="http://schemas.openxmlformats.org/officeDocument/2006/relationships/hyperlink" Target="https://www.facebook.com/PVTLong?mibextid=ZbWKwL" TargetMode="External"/><Relationship Id="rId1631" Type="http://schemas.openxmlformats.org/officeDocument/2006/relationships/hyperlink" Target="https://drive.google.com/open?id=1a5CtzngG8cmp4hR7lcui7o6p9fl8EnTI" TargetMode="External"/><Relationship Id="rId4787" Type="http://schemas.openxmlformats.org/officeDocument/2006/relationships/hyperlink" Target="https://www.facebook.com/profile.php?id=100083278200920" TargetMode="External"/><Relationship Id="rId5838" Type="http://schemas.openxmlformats.org/officeDocument/2006/relationships/hyperlink" Target="https://www.facebook.com/daongoc2006?mibextid=JRoKGi" TargetMode="External"/><Relationship Id="rId7193" Type="http://schemas.openxmlformats.org/officeDocument/2006/relationships/hyperlink" Target="https://drive.google.com/open?id=1xwrw3kIgZsvN5jpTzZNpuEKT1ghMpOLd" TargetMode="External"/><Relationship Id="rId8244" Type="http://schemas.openxmlformats.org/officeDocument/2006/relationships/hyperlink" Target="https://drive.google.com/open?id=1Bz7DJD0CWf7CmD-61KEhTfWuF2EGLcwl" TargetMode="External"/><Relationship Id="rId3389" Type="http://schemas.openxmlformats.org/officeDocument/2006/relationships/hyperlink" Target="https://www.facebook.com/profile.php?id=100029946350055&amp;mibextid=LQQJ4d" TargetMode="External"/><Relationship Id="rId7260" Type="http://schemas.openxmlformats.org/officeDocument/2006/relationships/hyperlink" Target="https://drive.google.com/open?id=1ppkboeeumHqN23UAlzZNxvzYtqnCfnhw" TargetMode="External"/><Relationship Id="rId8311" Type="http://schemas.openxmlformats.org/officeDocument/2006/relationships/hyperlink" Target="https://www.facebook.com/profile.php?id=100053489927589&amp;mibextid=LQQJ4d" TargetMode="External"/><Relationship Id="rId3456" Type="http://schemas.openxmlformats.org/officeDocument/2006/relationships/hyperlink" Target="https://www.facebook.com/profile.php?id=100077087346539" TargetMode="External"/><Relationship Id="rId4854" Type="http://schemas.openxmlformats.org/officeDocument/2006/relationships/hyperlink" Target="https://www.facebook.com/mina.giang.50" TargetMode="External"/><Relationship Id="rId5905" Type="http://schemas.openxmlformats.org/officeDocument/2006/relationships/hyperlink" Target="https://drive.google.com/open?id=13bjwe24wZerINiwRXAIKKWoylvVdMIkI" TargetMode="External"/><Relationship Id="rId377" Type="http://schemas.openxmlformats.org/officeDocument/2006/relationships/hyperlink" Target="https://www.facebook.com/en.li.5243?mibextid=ZbWKwL" TargetMode="External"/><Relationship Id="rId2058" Type="http://schemas.openxmlformats.org/officeDocument/2006/relationships/hyperlink" Target="https://www.facebook.com/kaly.bin.986?mibextid=ZbWKwL" TargetMode="External"/><Relationship Id="rId3109" Type="http://schemas.openxmlformats.org/officeDocument/2006/relationships/hyperlink" Target="https://www.facebook.com/thuminhdao123?mibextid=D4KYlr" TargetMode="External"/><Relationship Id="rId3870" Type="http://schemas.openxmlformats.org/officeDocument/2006/relationships/hyperlink" Target="https://www.facebook.com/profile.php?id=61557904851058&amp;mibextid=LQQJ4d" TargetMode="External"/><Relationship Id="rId4507" Type="http://schemas.openxmlformats.org/officeDocument/2006/relationships/hyperlink" Target="https://www.facebook.com/profile.php?id=100060503630929&amp;mibextid=ZbWKwL" TargetMode="External"/><Relationship Id="rId4921" Type="http://schemas.openxmlformats.org/officeDocument/2006/relationships/hyperlink" Target="https://drive.google.com/open?id=1dVzWIOUPpe5oZMHOsy6NjcvjNEn1Bhwl" TargetMode="External"/><Relationship Id="rId9085" Type="http://schemas.openxmlformats.org/officeDocument/2006/relationships/hyperlink" Target="https://www.facebook.com/share/18ErMoWNXQ/?mibextid=LQQJ4d" TargetMode="External"/><Relationship Id="rId791" Type="http://schemas.openxmlformats.org/officeDocument/2006/relationships/hyperlink" Target="https://www.facebook.com/profile.php?id=100017482186717&amp;mibextid=LQQJ4d" TargetMode="External"/><Relationship Id="rId1074" Type="http://schemas.openxmlformats.org/officeDocument/2006/relationships/hyperlink" Target="https://www.facebook.com/d.meyyyy" TargetMode="External"/><Relationship Id="rId2472" Type="http://schemas.openxmlformats.org/officeDocument/2006/relationships/hyperlink" Target="https://drive.google.com/open?id=1wFi1EAyslHe91cbgPWvyDzwARxZkAudD" TargetMode="External"/><Relationship Id="rId3523" Type="http://schemas.openxmlformats.org/officeDocument/2006/relationships/hyperlink" Target="https://www.facebook.com/profile.php?id=100012785173295&amp;mibextid=LQQJ4d" TargetMode="External"/><Relationship Id="rId6679" Type="http://schemas.openxmlformats.org/officeDocument/2006/relationships/hyperlink" Target="https://www.facebook.com/phuong.nguyenba.16718" TargetMode="External"/><Relationship Id="rId444" Type="http://schemas.openxmlformats.org/officeDocument/2006/relationships/hyperlink" Target="https://www.facebook.com/profile.php?id=100058279219156&amp;mibextid=LQQJ4d" TargetMode="External"/><Relationship Id="rId2125" Type="http://schemas.openxmlformats.org/officeDocument/2006/relationships/hyperlink" Target="https://www.facebook.com/profile.php?id=100025022552929&amp;mibextid=ZbWKwL" TargetMode="External"/><Relationship Id="rId5695" Type="http://schemas.openxmlformats.org/officeDocument/2006/relationships/hyperlink" Target="https://www.facebook.com/share/tAK8StqQ8EJBo5pq/?mibextid=LQQJ4d" TargetMode="External"/><Relationship Id="rId6746" Type="http://schemas.openxmlformats.org/officeDocument/2006/relationships/hyperlink" Target="https://www.facebook.com/m.me.nguyen.925" TargetMode="External"/><Relationship Id="rId9152" Type="http://schemas.openxmlformats.org/officeDocument/2006/relationships/hyperlink" Target="https://drive.google.com/open?id=1TTpherzwTU7pYxMmTUyT0gIS2f5C6uuT" TargetMode="External"/><Relationship Id="rId511" Type="http://schemas.openxmlformats.org/officeDocument/2006/relationships/hyperlink" Target="https://www.facebook.com/phuonganh.hoang.127648?" TargetMode="External"/><Relationship Id="rId1141" Type="http://schemas.openxmlformats.org/officeDocument/2006/relationships/hyperlink" Target="https://www.facebook.com/ntp.agnes?mibextid=LQQJ4d" TargetMode="External"/><Relationship Id="rId4297" Type="http://schemas.openxmlformats.org/officeDocument/2006/relationships/hyperlink" Target="https://www.facebook.com/profile.php?id=100095281517967&amp;mibextid=LQQJ4d" TargetMode="External"/><Relationship Id="rId5348" Type="http://schemas.openxmlformats.org/officeDocument/2006/relationships/hyperlink" Target="https://www.facebook.com/profile.php?id=100015260144680&amp;mibextid=ZbWKwL" TargetMode="External"/><Relationship Id="rId5762" Type="http://schemas.openxmlformats.org/officeDocument/2006/relationships/hyperlink" Target="https://www.facebook.com/profile.php?id=100050241463752&amp;mibextid=LQQJ4d" TargetMode="External"/><Relationship Id="rId6813" Type="http://schemas.openxmlformats.org/officeDocument/2006/relationships/hyperlink" Target="https://www.facebook.com/profile.php?id=100025479514703&amp;locale=vi_VN" TargetMode="External"/><Relationship Id="rId4364" Type="http://schemas.openxmlformats.org/officeDocument/2006/relationships/hyperlink" Target="https://www.facebook.com/Ngatdang11" TargetMode="External"/><Relationship Id="rId5415" Type="http://schemas.openxmlformats.org/officeDocument/2006/relationships/hyperlink" Target="https://www.facebook.com/phuong.uyen.367?mibextid=LQQJ4d" TargetMode="External"/><Relationship Id="rId1958" Type="http://schemas.openxmlformats.org/officeDocument/2006/relationships/hyperlink" Target="https://www.facebook.com/profile.php?id=100022120253231&amp;mibextid=LQQJ4d" TargetMode="External"/><Relationship Id="rId3380" Type="http://schemas.openxmlformats.org/officeDocument/2006/relationships/hyperlink" Target="https://drive.google.com/open?id=1yqwCT791dNrFeIS_Nj0vUIMpMsxgCQjt" TargetMode="External"/><Relationship Id="rId4017" Type="http://schemas.openxmlformats.org/officeDocument/2006/relationships/hyperlink" Target="https://drive.google.com/open?id=1LbRKDOX1CRhzyJXlDXR57rrm_Gb4cAVP" TargetMode="External"/><Relationship Id="rId4431" Type="http://schemas.openxmlformats.org/officeDocument/2006/relationships/hyperlink" Target="https://drive.google.com/open?id=1G_F1oW_7lJ-phO2QV6KT1nxlOJrRoJy5" TargetMode="External"/><Relationship Id="rId7587" Type="http://schemas.openxmlformats.org/officeDocument/2006/relationships/hyperlink" Target="https://www.facebook.com/profile.php?id=100026055969340&amp;mibextid=ZbWKwL" TargetMode="External"/><Relationship Id="rId8638" Type="http://schemas.openxmlformats.org/officeDocument/2006/relationships/hyperlink" Target="https://www.facebook.com/profile.php?id=100053331317618" TargetMode="External"/><Relationship Id="rId8985" Type="http://schemas.openxmlformats.org/officeDocument/2006/relationships/hyperlink" Target="https://drive.google.com/open?id=1qaiWD9gMcMwtf14lxjTkyBmPN9PNXwyj" TargetMode="External"/><Relationship Id="rId3033" Type="http://schemas.openxmlformats.org/officeDocument/2006/relationships/hyperlink" Target="https://drive.google.com/open?id=1BD7zL95x_dXS4JrM-l2XJyAIUYyiZ2xI" TargetMode="External"/><Relationship Id="rId6189" Type="http://schemas.openxmlformats.org/officeDocument/2006/relationships/hyperlink" Target="https://www.facebook.com/profile.php?id=100033855780964&amp;mibextid=ZbWKwL" TargetMode="External"/><Relationship Id="rId7654" Type="http://schemas.openxmlformats.org/officeDocument/2006/relationships/hyperlink" Target="https://www.facebook.com/people/Nguy%E1%BB%85n-Huy-Nam/pfbid0wdRtBAZDD9eeXSxPEegWkLmAbXN8unPhsVW9GwRT6pJtCu2knXxGkAPTNVgwGSS9l/" TargetMode="External"/><Relationship Id="rId8705" Type="http://schemas.openxmlformats.org/officeDocument/2006/relationships/hyperlink" Target="https://www.facebook.com/profile.php?id=100040546273789&amp;mibextid=LQQJ4d" TargetMode="External"/><Relationship Id="rId2799" Type="http://schemas.openxmlformats.org/officeDocument/2006/relationships/hyperlink" Target="https://www.facebook.com/thuongthuong2501?mibextid=LQQJ4d" TargetMode="External"/><Relationship Id="rId3100" Type="http://schemas.openxmlformats.org/officeDocument/2006/relationships/hyperlink" Target="https://drive.google.com/open?id=1qS8PpQettaqlxTZVAzehflcSW4mbC4Oo" TargetMode="External"/><Relationship Id="rId6256" Type="http://schemas.openxmlformats.org/officeDocument/2006/relationships/hyperlink" Target="https://www.facebook.com/profile.php?id=100036485239910" TargetMode="External"/><Relationship Id="rId6670" Type="http://schemas.openxmlformats.org/officeDocument/2006/relationships/hyperlink" Target="https://www.facebook.com/profile.php?id=100048932802593&amp;mibextid=ZbWKwL" TargetMode="External"/><Relationship Id="rId7307" Type="http://schemas.openxmlformats.org/officeDocument/2006/relationships/hyperlink" Target="https://www.facebook.com/profile.php?id=100053732010323" TargetMode="External"/><Relationship Id="rId7721" Type="http://schemas.openxmlformats.org/officeDocument/2006/relationships/hyperlink" Target="https://drive.google.com/open?id=1E8sEkdCtOKVXHMIYEyJ5vx9PSgd9rsIB" TargetMode="External"/><Relationship Id="rId2866" Type="http://schemas.openxmlformats.org/officeDocument/2006/relationships/hyperlink" Target="https://drive.google.com/open?id=13qxNCC5g1vBpCyGr4yijtFRnPj7ZoLgT" TargetMode="External"/><Relationship Id="rId3917" Type="http://schemas.openxmlformats.org/officeDocument/2006/relationships/hyperlink" Target="https://www.facebook.com/phuongnga.01245" TargetMode="External"/><Relationship Id="rId5272" Type="http://schemas.openxmlformats.org/officeDocument/2006/relationships/hyperlink" Target="https://www.facebook.com/heosieuuucuteee?mibextid=ZbWKwL" TargetMode="External"/><Relationship Id="rId6323" Type="http://schemas.openxmlformats.org/officeDocument/2006/relationships/hyperlink" Target="https://www.facebook.com/profile.php?id=100038161606459&amp;mibextid=LQQJ4d" TargetMode="External"/><Relationship Id="rId9479" Type="http://schemas.openxmlformats.org/officeDocument/2006/relationships/hyperlink" Target="https://www.facebook.com/profile.php?id=100040691562754" TargetMode="External"/><Relationship Id="rId838" Type="http://schemas.openxmlformats.org/officeDocument/2006/relationships/hyperlink" Target="https://drive.google.com/open?id=1qweBaP0Icz_xJhtgKgM9s6TfaS87gnMN" TargetMode="External"/><Relationship Id="rId1468" Type="http://schemas.openxmlformats.org/officeDocument/2006/relationships/hyperlink" Target="https://drive.google.com/open?id=1rXl2HbXp2eVYETZMxflrp4Gns9auETqo" TargetMode="External"/><Relationship Id="rId1882" Type="http://schemas.openxmlformats.org/officeDocument/2006/relationships/hyperlink" Target="https://www.facebook.com/phamthimai.huong.1205?mibextid=ZbWKwL" TargetMode="External"/><Relationship Id="rId2519" Type="http://schemas.openxmlformats.org/officeDocument/2006/relationships/hyperlink" Target="https://drive.google.com/open?id=1KwrCGbrSURmTPo0R4Uab5Vnx2WhTxFIf" TargetMode="External"/><Relationship Id="rId8495" Type="http://schemas.openxmlformats.org/officeDocument/2006/relationships/hyperlink" Target="https://www.facebook.com/profile.php?id=61553358308895&amp;mibextid=LQQJ4d" TargetMode="External"/><Relationship Id="rId9546" Type="http://schemas.openxmlformats.org/officeDocument/2006/relationships/hyperlink" Target="https://www.facebook.com/share/1DW3NkSB8X/" TargetMode="External"/><Relationship Id="rId1535" Type="http://schemas.openxmlformats.org/officeDocument/2006/relationships/hyperlink" Target="https://www.facebook.com/profile.php?id=100013950254935&amp;mibextid=LQQJ4d" TargetMode="External"/><Relationship Id="rId2933" Type="http://schemas.openxmlformats.org/officeDocument/2006/relationships/hyperlink" Target="https://www.facebook.com/profile.php?id=100087405245902" TargetMode="External"/><Relationship Id="rId7097" Type="http://schemas.openxmlformats.org/officeDocument/2006/relationships/hyperlink" Target="https://drive.google.com/open?id=16hO6ohhZXsewJ5x9Lic1JoBuZ-nOCn_R" TargetMode="External"/><Relationship Id="rId8148" Type="http://schemas.openxmlformats.org/officeDocument/2006/relationships/hyperlink" Target="https://www.facebook.com/profile.php?id=100053263943923&amp;mibextid=LQQJ4d" TargetMode="External"/><Relationship Id="rId8562" Type="http://schemas.openxmlformats.org/officeDocument/2006/relationships/hyperlink" Target="https://www.facebook.com/profile.php?id=100055334854811&amp;mibextid=LQQJ4d" TargetMode="External"/><Relationship Id="rId905" Type="http://schemas.openxmlformats.org/officeDocument/2006/relationships/hyperlink" Target="https://drive.google.com/open?id=1AvTmrf1stQy6rCgHmz91T94QQQgJzgZz" TargetMode="External"/><Relationship Id="rId7164" Type="http://schemas.openxmlformats.org/officeDocument/2006/relationships/hyperlink" Target="https://www.facebook.com/people/Nguy%E1%BB%85n-Thu-H%C3%A0/pfbid02gTjq3H4vZgPUtCPWeCF7ExSUX917ECARKeLVMMPLYNVa8dtLp6a2Hk7Xkp3oq64Pl/" TargetMode="External"/><Relationship Id="rId8215" Type="http://schemas.openxmlformats.org/officeDocument/2006/relationships/hyperlink" Target="https://drive.google.com/open?id=1hnijUDBhu9DNIKY6ll9iDhtGnKt7AMJS" TargetMode="External"/><Relationship Id="rId1602" Type="http://schemas.openxmlformats.org/officeDocument/2006/relationships/hyperlink" Target="https://www.facebook.com/giaa.uyenn?mibextid=LQQJ4d" TargetMode="External"/><Relationship Id="rId4758" Type="http://schemas.openxmlformats.org/officeDocument/2006/relationships/hyperlink" Target="https://www.facebook.com/nguyennklin" TargetMode="External"/><Relationship Id="rId5809" Type="http://schemas.openxmlformats.org/officeDocument/2006/relationships/hyperlink" Target="https://www.facebook.com/long014?mibextid=ZbWKwL" TargetMode="External"/><Relationship Id="rId6180" Type="http://schemas.openxmlformats.org/officeDocument/2006/relationships/hyperlink" Target="https://www.facebook.com/linh.co.73157203?mibextid=LQQJ4d" TargetMode="External"/><Relationship Id="rId3774" Type="http://schemas.openxmlformats.org/officeDocument/2006/relationships/hyperlink" Target="https://www.facebook.com/mai.lyna.5203?mibextid=hu50Ix" TargetMode="External"/><Relationship Id="rId4825" Type="http://schemas.openxmlformats.org/officeDocument/2006/relationships/hyperlink" Target="https://www.facebook.com/hongg.nhungg.2910?mibextid=ZbWKwL" TargetMode="External"/><Relationship Id="rId7231" Type="http://schemas.openxmlformats.org/officeDocument/2006/relationships/hyperlink" Target="https://web.facebook.com/truong.vucong.2308?_rdc=1&amp;_rdr" TargetMode="External"/><Relationship Id="rId695" Type="http://schemas.openxmlformats.org/officeDocument/2006/relationships/hyperlink" Target="https://drive.google.com/open?id=1a87aq1pU2FHL7_mE7xUtVNOOwaEPfi67" TargetMode="External"/><Relationship Id="rId2376" Type="http://schemas.openxmlformats.org/officeDocument/2006/relationships/hyperlink" Target="https://drive.google.com/open?id=17E1GiGCj4lW8nLpXS0FZRA7_NHA44P0z" TargetMode="External"/><Relationship Id="rId2790" Type="http://schemas.openxmlformats.org/officeDocument/2006/relationships/hyperlink" Target="https://www.facebook.com/nam.hoduy.33?mibextid=ZbWKwL" TargetMode="External"/><Relationship Id="rId3427" Type="http://schemas.openxmlformats.org/officeDocument/2006/relationships/hyperlink" Target="https://drive.google.com/open?id=1E5I7V_g-vF8t104f5b2y6Jow6vdJdWj-" TargetMode="External"/><Relationship Id="rId3841" Type="http://schemas.openxmlformats.org/officeDocument/2006/relationships/hyperlink" Target="https://www.facebook.com/lannh18?mibextid=LQQJ4d" TargetMode="External"/><Relationship Id="rId6997" Type="http://schemas.openxmlformats.org/officeDocument/2006/relationships/hyperlink" Target="https://www.facebook.com/tammi0496?mibextid=LQQJ4d" TargetMode="External"/><Relationship Id="rId348" Type="http://schemas.openxmlformats.org/officeDocument/2006/relationships/hyperlink" Target="https://www.facebook.com/profile.php?id=100051882647417&amp;mibextid=LQQJ4d" TargetMode="External"/><Relationship Id="rId762" Type="http://schemas.openxmlformats.org/officeDocument/2006/relationships/hyperlink" Target="https://drive.google.com/open?id=1GGggCU3NKv0-8C_O3oI-mbgQIt2bBTwV" TargetMode="External"/><Relationship Id="rId1392" Type="http://schemas.openxmlformats.org/officeDocument/2006/relationships/hyperlink" Target="https://drive.google.com/open?id=1LKp38BUSX5Qp-oR6sEJk1j7VTHY67v4H" TargetMode="External"/><Relationship Id="rId2029" Type="http://schemas.openxmlformats.org/officeDocument/2006/relationships/hyperlink" Target="https://www.facebook.com/share/1DYGrozZLM/" TargetMode="External"/><Relationship Id="rId2443" Type="http://schemas.openxmlformats.org/officeDocument/2006/relationships/hyperlink" Target="https://drive.google.com/open?id=1Zlw9LFyKAWmrxtn0RQhqzYyhyQWnzJxk" TargetMode="External"/><Relationship Id="rId5599" Type="http://schemas.openxmlformats.org/officeDocument/2006/relationships/hyperlink" Target="https://m.facebook.com/buiquocbao19?mibextid=LQQJ4d" TargetMode="External"/><Relationship Id="rId9056" Type="http://schemas.openxmlformats.org/officeDocument/2006/relationships/hyperlink" Target="https://www.facebook.com/profile.php?id=100039982610149&amp;mibextid=LQQJ4d" TargetMode="External"/><Relationship Id="rId9470" Type="http://schemas.openxmlformats.org/officeDocument/2006/relationships/hyperlink" Target="https://www.facebook.com/profile.php?id=100060470957137" TargetMode="External"/><Relationship Id="rId415" Type="http://schemas.openxmlformats.org/officeDocument/2006/relationships/hyperlink" Target="https://drive.google.com/open?id=1dK2AMc61ILt7zDj6H8ghnO35n2703Z8B" TargetMode="External"/><Relationship Id="rId1045" Type="http://schemas.openxmlformats.org/officeDocument/2006/relationships/hyperlink" Target="https://www.facebook.com/profile.php?id=100022786640362&amp;mibextid=LQQJ4d" TargetMode="External"/><Relationship Id="rId2510" Type="http://schemas.openxmlformats.org/officeDocument/2006/relationships/hyperlink" Target="https://drive.google.com/open?id=1GFoCHXzNu1kplFCG3QOrypYPXBegNJN3" TargetMode="External"/><Relationship Id="rId5666" Type="http://schemas.openxmlformats.org/officeDocument/2006/relationships/hyperlink" Target="https://www.facebook.com/profile.php?id=100069943934078" TargetMode="External"/><Relationship Id="rId8072" Type="http://schemas.openxmlformats.org/officeDocument/2006/relationships/hyperlink" Target="https://www.facebook.com/profile.php?id=100036929378539&amp;mibextid=ZbWKwL" TargetMode="External"/><Relationship Id="rId9123" Type="http://schemas.openxmlformats.org/officeDocument/2006/relationships/hyperlink" Target="https://www.facebook.com/sjd19" TargetMode="External"/><Relationship Id="rId1112" Type="http://schemas.openxmlformats.org/officeDocument/2006/relationships/hyperlink" Target="https://www.facebook.com/profile.php?id=100070895330214&amp;mibextid=LQQJ4d" TargetMode="External"/><Relationship Id="rId4268" Type="http://schemas.openxmlformats.org/officeDocument/2006/relationships/hyperlink" Target="https://drive.google.com/open?id=1W0j-KOM8HsFKWe3Djh3yPt1N4VxCUC0s" TargetMode="External"/><Relationship Id="rId5319" Type="http://schemas.openxmlformats.org/officeDocument/2006/relationships/hyperlink" Target="https://www.facebook.com/profile.php?id=100057245475877" TargetMode="External"/><Relationship Id="rId6717" Type="http://schemas.openxmlformats.org/officeDocument/2006/relationships/hyperlink" Target="https://www.facebook.com/duongdoai2422006" TargetMode="External"/><Relationship Id="rId3284" Type="http://schemas.openxmlformats.org/officeDocument/2006/relationships/hyperlink" Target="https://drive.google.com/open?id=1ar7A9YXkF2NYfsDsORARkX7AulktYcU6" TargetMode="External"/><Relationship Id="rId4682" Type="http://schemas.openxmlformats.org/officeDocument/2006/relationships/hyperlink" Target="https://www.facebook.com/profile.php?id=100046651876097&amp;mibextid=LQQJ4d" TargetMode="External"/><Relationship Id="rId5733" Type="http://schemas.openxmlformats.org/officeDocument/2006/relationships/hyperlink" Target="https://www.facebook.com/profile.php?id=100031961559669&amp;mibextid=LQQJ4d" TargetMode="External"/><Relationship Id="rId8889" Type="http://schemas.openxmlformats.org/officeDocument/2006/relationships/hyperlink" Target="https://drive.google.com/open?id=1HHrWgpJHEYb-wUpRoZSh-f1Rhyy8kZeu" TargetMode="External"/><Relationship Id="rId1929" Type="http://schemas.openxmlformats.org/officeDocument/2006/relationships/hyperlink" Target="https://drive.google.com/open?id=1P-vOVul34TS_0PdhUWwk8PZDd2-DQoB_" TargetMode="External"/><Relationship Id="rId4335" Type="http://schemas.openxmlformats.org/officeDocument/2006/relationships/hyperlink" Target="https://www.facebook.com/truongthanhha986?mibextid=LQQJ4d" TargetMode="External"/><Relationship Id="rId5800" Type="http://schemas.openxmlformats.org/officeDocument/2006/relationships/hyperlink" Target="https://www.facebook.com/profile.php?id=100040992468199&amp;mibextid=LQQJ4d" TargetMode="External"/><Relationship Id="rId8956" Type="http://schemas.openxmlformats.org/officeDocument/2006/relationships/hyperlink" Target="https://www.facebook.com/ho.khai.946017" TargetMode="External"/><Relationship Id="rId3351" Type="http://schemas.openxmlformats.org/officeDocument/2006/relationships/hyperlink" Target="https://www.facebook.com/profile.php?id=100037452787584" TargetMode="External"/><Relationship Id="rId4402" Type="http://schemas.openxmlformats.org/officeDocument/2006/relationships/hyperlink" Target="https://drive.google.com/open?id=1YBLCsVf6LWs3qZCcplXRlpS9Yt6Z8kGv" TargetMode="External"/><Relationship Id="rId7558" Type="http://schemas.openxmlformats.org/officeDocument/2006/relationships/hyperlink" Target="https://drive.google.com/open?id=1ubkvk7gDBIy5Pof5fYEbreTB7eXjn7hj" TargetMode="External"/><Relationship Id="rId7972" Type="http://schemas.openxmlformats.org/officeDocument/2006/relationships/hyperlink" Target="https://drive.google.com/open?id=1mVat33Fjr0X5zsbCxwf2uuufvp1ABkht" TargetMode="External"/><Relationship Id="rId8609" Type="http://schemas.openxmlformats.org/officeDocument/2006/relationships/hyperlink" Target="https://www.facebook.com/tammi0496?mibextid=LQQJ4d" TargetMode="External"/><Relationship Id="rId272" Type="http://schemas.openxmlformats.org/officeDocument/2006/relationships/hyperlink" Target="https://www.facebook.com/oanh.oanhh.5895" TargetMode="External"/><Relationship Id="rId3004" Type="http://schemas.openxmlformats.org/officeDocument/2006/relationships/hyperlink" Target="https://www.facebook.com/share/vgumdzJaND5zPaWH/?mibextid=dGKdO6" TargetMode="External"/><Relationship Id="rId6574" Type="http://schemas.openxmlformats.org/officeDocument/2006/relationships/hyperlink" Target="https://www.facebook.com/thuhaa.206" TargetMode="External"/><Relationship Id="rId7625" Type="http://schemas.openxmlformats.org/officeDocument/2006/relationships/hyperlink" Target="https://www.facebook.com/profile.php?id=100051129220455&amp;mibextid=LQQJ4d" TargetMode="External"/><Relationship Id="rId2020" Type="http://schemas.openxmlformats.org/officeDocument/2006/relationships/hyperlink" Target="https://www.facebook.com/nhatxom.nguyen.7?locale=vi_VN" TargetMode="External"/><Relationship Id="rId5176" Type="http://schemas.openxmlformats.org/officeDocument/2006/relationships/hyperlink" Target="https://www.facebook.com/thanh.thao.291" TargetMode="External"/><Relationship Id="rId5590" Type="http://schemas.openxmlformats.org/officeDocument/2006/relationships/hyperlink" Target="https://www.facebook.com/profile.php?id=100037272410855&amp;mibextid=LQQJ4d" TargetMode="External"/><Relationship Id="rId6227" Type="http://schemas.openxmlformats.org/officeDocument/2006/relationships/hyperlink" Target="https://www.facebook.com/profile.php?id=100080426880874&amp;mibextid=LQQJ4d" TargetMode="External"/><Relationship Id="rId6641" Type="http://schemas.openxmlformats.org/officeDocument/2006/relationships/hyperlink" Target="https://www.facebook.com/profile.php?id=100027602074304" TargetMode="External"/><Relationship Id="rId4192" Type="http://schemas.openxmlformats.org/officeDocument/2006/relationships/hyperlink" Target="https://drive.google.com/open?id=1WKcfH6Y-ps8MQ22REGQj3xvKvrR_Qy70" TargetMode="External"/><Relationship Id="rId5243" Type="http://schemas.openxmlformats.org/officeDocument/2006/relationships/hyperlink" Target="https://www.facebook.com/profile.php?id=100027294765900" TargetMode="External"/><Relationship Id="rId8399" Type="http://schemas.openxmlformats.org/officeDocument/2006/relationships/hyperlink" Target="https://www.facebook.com/profile.php?id=100072490397858&amp;mibextid=LQQJ4d" TargetMode="External"/><Relationship Id="rId1786" Type="http://schemas.openxmlformats.org/officeDocument/2006/relationships/hyperlink" Target="https://www.facebook.com/profile.php?id=100064405215875&amp;mibextid=LQQJ4d" TargetMode="External"/><Relationship Id="rId2837" Type="http://schemas.openxmlformats.org/officeDocument/2006/relationships/hyperlink" Target="https://www.facebook.com/profile.php?id=100082847074343&amp;mibextid=LQQJ4d" TargetMode="External"/><Relationship Id="rId78" Type="http://schemas.openxmlformats.org/officeDocument/2006/relationships/hyperlink" Target="https://drive.google.com/open?id=1FBgDv3ofjdPIkL3DjRF3W_GT-onCbRiE" TargetMode="External"/><Relationship Id="rId809" Type="http://schemas.openxmlformats.org/officeDocument/2006/relationships/hyperlink" Target="https://www.facebook.com/profile.php?id=100024567521696&amp;mibextid=ZbWKwL" TargetMode="External"/><Relationship Id="rId1439" Type="http://schemas.openxmlformats.org/officeDocument/2006/relationships/hyperlink" Target="https://www.facebook.com/profile.php?id=100092587253979" TargetMode="External"/><Relationship Id="rId1853" Type="http://schemas.openxmlformats.org/officeDocument/2006/relationships/hyperlink" Target="https://www.facebook.com/profile.php?id=100054075519702&amp;mibextid=LQQJ4d" TargetMode="External"/><Relationship Id="rId2904" Type="http://schemas.openxmlformats.org/officeDocument/2006/relationships/hyperlink" Target="https://www.facebook.com/profile.php?id=100082221109776" TargetMode="External"/><Relationship Id="rId5310" Type="http://schemas.openxmlformats.org/officeDocument/2006/relationships/hyperlink" Target="https://drive.google.com/open?id=1Qti0Oq9RsOJddPIepzjkaop6a6V5VwnI" TargetMode="External"/><Relationship Id="rId7068" Type="http://schemas.openxmlformats.org/officeDocument/2006/relationships/hyperlink" Target="https://drive.google.com/open?id=1RtLRKswTF3DKZ0fnLWQVYeGCwF3246a_" TargetMode="External"/><Relationship Id="rId8119" Type="http://schemas.openxmlformats.org/officeDocument/2006/relationships/hyperlink" Target="https://www.facebook.com/nohopefreemoney?mibextid=LQQJ4d" TargetMode="External"/><Relationship Id="rId8466" Type="http://schemas.openxmlformats.org/officeDocument/2006/relationships/hyperlink" Target="https://www.facebook.com/githe.cailol.5?mibextid=LQQJ4d&amp;rdid=NEhEkUEKKolhHYhT&amp;share_url=https%3A%2F%2Fwww.facebook.com%2Fshare%2FpZeifQpdmhKz7uvX%2F%3Fmibextid%3DLQQJ4d" TargetMode="External"/><Relationship Id="rId8880" Type="http://schemas.openxmlformats.org/officeDocument/2006/relationships/hyperlink" Target="https://www.facebook.com/nhu.vu.105097?mibextid=wwXIfr&amp;mibextid=wwXIfr" TargetMode="External"/><Relationship Id="rId9517" Type="http://schemas.openxmlformats.org/officeDocument/2006/relationships/hyperlink" Target="https://www.facebook.com/share/14ooGTzM7y/?mibextid=wwXIfr" TargetMode="External"/><Relationship Id="rId1506" Type="http://schemas.openxmlformats.org/officeDocument/2006/relationships/hyperlink" Target="https://www.facebook.com/tienanh.nguyen.2812?mibextid=ZbWKwL" TargetMode="External"/><Relationship Id="rId1920" Type="http://schemas.openxmlformats.org/officeDocument/2006/relationships/hyperlink" Target="https://www.facebook.com/profile.php?id=100015260144680&amp;mibextid=ZbWKwL" TargetMode="External"/><Relationship Id="rId7482" Type="http://schemas.openxmlformats.org/officeDocument/2006/relationships/hyperlink" Target="https://www.facebook.com/profile.php?id=61559132601091" TargetMode="External"/><Relationship Id="rId8533" Type="http://schemas.openxmlformats.org/officeDocument/2006/relationships/hyperlink" Target="https://drive.google.com/open?id=1gWsjlBGLhbdVQMoR-MLM_Ay8PujEohFb" TargetMode="External"/><Relationship Id="rId3678" Type="http://schemas.openxmlformats.org/officeDocument/2006/relationships/hyperlink" Target="https://www.facebook.com/heituinanga?mibextid=LQQJ4d" TargetMode="External"/><Relationship Id="rId4729" Type="http://schemas.openxmlformats.org/officeDocument/2006/relationships/hyperlink" Target="https://www.facebook.com/profile.php?id=100069681955399" TargetMode="External"/><Relationship Id="rId6084" Type="http://schemas.openxmlformats.org/officeDocument/2006/relationships/hyperlink" Target="https://www.facebook.com/profile.php?id=100053270559845&amp;mibextid=LQQJ4d" TargetMode="External"/><Relationship Id="rId7135" Type="http://schemas.openxmlformats.org/officeDocument/2006/relationships/hyperlink" Target="https://drive.google.com/open?id=1ZflodeJMb4qKN8_THqXHJz7ZHLAxVkKW" TargetMode="External"/><Relationship Id="rId8600" Type="http://schemas.openxmlformats.org/officeDocument/2006/relationships/hyperlink" Target="https://www.facebook.com/profile.php?id=100037188972287&amp;mibextid=ZbWKwL" TargetMode="External"/><Relationship Id="rId599" Type="http://schemas.openxmlformats.org/officeDocument/2006/relationships/hyperlink" Target="https://drive.google.com/open?id=1uoXaVGkNak5ZDRL3b1IJx_WEh4W3GERu" TargetMode="External"/><Relationship Id="rId2694" Type="http://schemas.openxmlformats.org/officeDocument/2006/relationships/hyperlink" Target="https://www.facebook.com/profile.php?id=100075717146213&amp;mibextid=ZbWKwL" TargetMode="External"/><Relationship Id="rId3745" Type="http://schemas.openxmlformats.org/officeDocument/2006/relationships/hyperlink" Target="https://drive.google.com/open?id=1e8w2fioGmNEnIeOESloknrE4DbrHStjT" TargetMode="External"/><Relationship Id="rId6151" Type="http://schemas.openxmlformats.org/officeDocument/2006/relationships/hyperlink" Target="https://www.facebook.com/profile.php?id=100092214427806" TargetMode="External"/><Relationship Id="rId7202" Type="http://schemas.openxmlformats.org/officeDocument/2006/relationships/hyperlink" Target="https://www.facebook.com/profile.php?id=100037745978100&amp;mibextid=LQQJ4d" TargetMode="External"/><Relationship Id="rId666" Type="http://schemas.openxmlformats.org/officeDocument/2006/relationships/hyperlink" Target="https://www.facebook.com/thithanhnhan.le.750?mibextid=LQQJ4d" TargetMode="External"/><Relationship Id="rId1296" Type="http://schemas.openxmlformats.org/officeDocument/2006/relationships/hyperlink" Target="https://drive.google.com/open?id=1aa9jvFmNG3KXTrkImnoU0fAQluDXPZ4l" TargetMode="External"/><Relationship Id="rId2347" Type="http://schemas.openxmlformats.org/officeDocument/2006/relationships/hyperlink" Target="https://drive.google.com/open?id=1mfEsA2f-IGOuuape4YRLRYNgtoLP_Qcn" TargetMode="External"/><Relationship Id="rId9374" Type="http://schemas.openxmlformats.org/officeDocument/2006/relationships/hyperlink" Target="https://www.facebook.com/profile.php?id=100018149588896&amp;mibextid=LQQJ4d" TargetMode="External"/><Relationship Id="rId319" Type="http://schemas.openxmlformats.org/officeDocument/2006/relationships/hyperlink" Target="https://www.facebook.com/ngungo.linh.902" TargetMode="External"/><Relationship Id="rId1363" Type="http://schemas.openxmlformats.org/officeDocument/2006/relationships/hyperlink" Target="https://www.facebook.com/profile.php?id=100026453388749&amp;mibextid=ZbWKwL" TargetMode="External"/><Relationship Id="rId2761" Type="http://schemas.openxmlformats.org/officeDocument/2006/relationships/hyperlink" Target="https://drive.google.com/open?id=1VhfTVpUK01d1FF0-UQbUQ1fu5VT466Zn" TargetMode="External"/><Relationship Id="rId3812" Type="http://schemas.openxmlformats.org/officeDocument/2006/relationships/hyperlink" Target="https://www.facebook.com/profile.php?id=100046458185879&amp;mibextid=LQQJ4d" TargetMode="External"/><Relationship Id="rId6968" Type="http://schemas.openxmlformats.org/officeDocument/2006/relationships/hyperlink" Target="https://www.facebook.com/profile.php?id=100044846827490&amp;mibextid=LQQJ4d" TargetMode="External"/><Relationship Id="rId8390" Type="http://schemas.openxmlformats.org/officeDocument/2006/relationships/hyperlink" Target="https://www.facebook.com/profile.php?id=100036076632805" TargetMode="External"/><Relationship Id="rId9027" Type="http://schemas.openxmlformats.org/officeDocument/2006/relationships/hyperlink" Target="https://www.facebook.com/share/1AEd3RsQtW/?mibextid=wwXIfr" TargetMode="External"/><Relationship Id="rId733" Type="http://schemas.openxmlformats.org/officeDocument/2006/relationships/hyperlink" Target="https://www.facebook.com/nguyenhanh.nguyenthi.902?mibextid=LQQJ4d" TargetMode="External"/><Relationship Id="rId1016" Type="http://schemas.openxmlformats.org/officeDocument/2006/relationships/hyperlink" Target="https://www.facebook.com/profile.php?id=100059375382549&amp;mibextid=LQQJ4d" TargetMode="External"/><Relationship Id="rId2414" Type="http://schemas.openxmlformats.org/officeDocument/2006/relationships/hyperlink" Target="https://www.facebook.com/ThuyDung05?mibextid=ZbWKwL" TargetMode="External"/><Relationship Id="rId5984" Type="http://schemas.openxmlformats.org/officeDocument/2006/relationships/hyperlink" Target="https://www.facebook.com/phuongdieu.tran.7792?mibextid=LQQJ4d" TargetMode="External"/><Relationship Id="rId8043" Type="http://schemas.openxmlformats.org/officeDocument/2006/relationships/hyperlink" Target="https://drive.google.com/open?id=1RAk3rpH-zbNU3A_QPQLcDi0q4Q9MVYx0" TargetMode="External"/><Relationship Id="rId9441" Type="http://schemas.openxmlformats.org/officeDocument/2006/relationships/hyperlink" Target="https://www.facebook.com/profile.php?id=61563650609650" TargetMode="External"/><Relationship Id="rId800" Type="http://schemas.openxmlformats.org/officeDocument/2006/relationships/hyperlink" Target="https://drive.google.com/open?id=1echULaNQMq4RPqXchnDKg5I_AQqAf4Jx" TargetMode="External"/><Relationship Id="rId1430" Type="http://schemas.openxmlformats.org/officeDocument/2006/relationships/hyperlink" Target="https://www.facebook.com/profile.php?id=100033897848894" TargetMode="External"/><Relationship Id="rId4586" Type="http://schemas.openxmlformats.org/officeDocument/2006/relationships/hyperlink" Target="https://www.facebook.com/profile.php?id=100013199598491" TargetMode="External"/><Relationship Id="rId5637" Type="http://schemas.openxmlformats.org/officeDocument/2006/relationships/hyperlink" Target="https://www.facebook.com/profile.php?id=100027839644491&amp;mibextid=LQQJ4d" TargetMode="External"/><Relationship Id="rId3188" Type="http://schemas.openxmlformats.org/officeDocument/2006/relationships/hyperlink" Target="https://www.facebook.com/profile.php?id=100047081933532" TargetMode="External"/><Relationship Id="rId4239" Type="http://schemas.openxmlformats.org/officeDocument/2006/relationships/hyperlink" Target="https://www.facebook.com/profile.php?id=100043481324600&amp;mibextid=LQQJ4d" TargetMode="External"/><Relationship Id="rId4653" Type="http://schemas.openxmlformats.org/officeDocument/2006/relationships/hyperlink" Target="https://www.facebook.com/profile.php?id=100023873380037" TargetMode="External"/><Relationship Id="rId5704" Type="http://schemas.openxmlformats.org/officeDocument/2006/relationships/hyperlink" Target="https://www.facebook.com/trong.ngoc.79827803" TargetMode="External"/><Relationship Id="rId8110" Type="http://schemas.openxmlformats.org/officeDocument/2006/relationships/hyperlink" Target="https://www.facebook.com/dangminh.220905?mibextid=LQQJ4d" TargetMode="External"/><Relationship Id="rId3255" Type="http://schemas.openxmlformats.org/officeDocument/2006/relationships/hyperlink" Target="https://www.facebook.com/profile.php?id=100053375477011&amp;mibextid=PlNXYD" TargetMode="External"/><Relationship Id="rId4306" Type="http://schemas.openxmlformats.org/officeDocument/2006/relationships/hyperlink" Target="https://drive.google.com/open?id=1N6zIypjRnM3v_mbpUntMYcB0CWBwBlq-" TargetMode="External"/><Relationship Id="rId4720" Type="http://schemas.openxmlformats.org/officeDocument/2006/relationships/hyperlink" Target="https://drive.google.com/open?id=185TnKy6vw8hVe4ibm98GhpfTcfmCLv78" TargetMode="External"/><Relationship Id="rId7876" Type="http://schemas.openxmlformats.org/officeDocument/2006/relationships/hyperlink" Target="https://www.facebook.com/profile.php?id=100079076088573" TargetMode="External"/><Relationship Id="rId8927" Type="http://schemas.openxmlformats.org/officeDocument/2006/relationships/hyperlink" Target="https://drive.google.com/open?id=1t4SDQXPebl1KIDWp979EKbCfyyUHyCzM" TargetMode="External"/><Relationship Id="rId176" Type="http://schemas.openxmlformats.org/officeDocument/2006/relationships/hyperlink" Target="https://www.facebook.com/profile.php?id=100023802907797&amp;mibextid=LQQJ4d" TargetMode="External"/><Relationship Id="rId590" Type="http://schemas.openxmlformats.org/officeDocument/2006/relationships/hyperlink" Target="https://drive.google.com/open?id=1CI3WxsxCtXDNhpvsNzAvFXUOkNxMjk5f" TargetMode="External"/><Relationship Id="rId2271" Type="http://schemas.openxmlformats.org/officeDocument/2006/relationships/hyperlink" Target="https://drive.google.com/open?id=16VxfryWftniWgJobyB_RcliXnH-1_seY" TargetMode="External"/><Relationship Id="rId3322" Type="http://schemas.openxmlformats.org/officeDocument/2006/relationships/hyperlink" Target="https://drive.google.com/open?id=1kdwGyWIQ_SKbBwUpC4lJexRvEsLoTSz-" TargetMode="External"/><Relationship Id="rId6478" Type="http://schemas.openxmlformats.org/officeDocument/2006/relationships/hyperlink" Target="https://www.facebook.com/profile.php?id=100022486800398&amp;mibextid=LQQJ4d" TargetMode="External"/><Relationship Id="rId7529" Type="http://schemas.openxmlformats.org/officeDocument/2006/relationships/hyperlink" Target="https://www.facebook.com/profile.php?id=100073530880095&amp;mibextid=LQQJ4d" TargetMode="External"/><Relationship Id="rId243" Type="http://schemas.openxmlformats.org/officeDocument/2006/relationships/hyperlink" Target="https://drive.google.com/open?id=1Aae_hqOpTJ73MK0NxxDLrruYug2uyl8e" TargetMode="External"/><Relationship Id="rId5494" Type="http://schemas.openxmlformats.org/officeDocument/2006/relationships/hyperlink" Target="https://www.facebook.com/vy.nguyet.528" TargetMode="External"/><Relationship Id="rId6892" Type="http://schemas.openxmlformats.org/officeDocument/2006/relationships/hyperlink" Target="https://www.facebook.com/bosslcg.thanhan.2312?mibextid=JRoKGi" TargetMode="External"/><Relationship Id="rId7943" Type="http://schemas.openxmlformats.org/officeDocument/2006/relationships/hyperlink" Target="https://www.facebook.com/people/Nguy%E1%BB%85n-Anh-%C4%90%E1%BB%A9c/pfbid0kAV3x5a11YSXWtgqeCCh3hZ9NteMm5Cz5EbFGSfLJocoeydMT5gdF838bcgXvHJYl/" TargetMode="External"/><Relationship Id="rId310" Type="http://schemas.openxmlformats.org/officeDocument/2006/relationships/hyperlink" Target="https://www.facebook.com/profile.php?id=100013860276661&amp;mibextid=LQQJ4d" TargetMode="External"/><Relationship Id="rId4096" Type="http://schemas.openxmlformats.org/officeDocument/2006/relationships/hyperlink" Target="https://www.facebook.com/dtn0602" TargetMode="External"/><Relationship Id="rId5147" Type="http://schemas.openxmlformats.org/officeDocument/2006/relationships/hyperlink" Target="https://www.facebook.com/bach.bui.1694059?mibextid=LQQJ4d" TargetMode="External"/><Relationship Id="rId6545" Type="http://schemas.openxmlformats.org/officeDocument/2006/relationships/hyperlink" Target="https://www.facebook.com/harehare.ta?mibextid=ZbWKwL" TargetMode="External"/><Relationship Id="rId5561" Type="http://schemas.openxmlformats.org/officeDocument/2006/relationships/hyperlink" Target="https://www.facebook.com/profile.php?id=100064200363767&amp;mibextid=LQQJ4d" TargetMode="External"/><Relationship Id="rId6612" Type="http://schemas.openxmlformats.org/officeDocument/2006/relationships/hyperlink" Target="https://www.facebook.com/nguyenn.hangg.589?mibextid=LQQJ4d" TargetMode="External"/><Relationship Id="rId1757" Type="http://schemas.openxmlformats.org/officeDocument/2006/relationships/hyperlink" Target="https://www.facebook.com/profile.php?id=100069162640832&amp;mibextid=ZbWKwL" TargetMode="External"/><Relationship Id="rId2808" Type="http://schemas.openxmlformats.org/officeDocument/2006/relationships/hyperlink" Target="https://www.facebook.com/profile.php?id=100012985931022&amp;mibextid=LQQJ4d" TargetMode="External"/><Relationship Id="rId4163" Type="http://schemas.openxmlformats.org/officeDocument/2006/relationships/hyperlink" Target="https://www.facebook.com/profile.php?id=100094035241863&amp;mibextid=LQQJ4d" TargetMode="External"/><Relationship Id="rId5214" Type="http://schemas.openxmlformats.org/officeDocument/2006/relationships/hyperlink" Target="https://www.facebook.com/nam0366658597" TargetMode="External"/><Relationship Id="rId8784" Type="http://schemas.openxmlformats.org/officeDocument/2006/relationships/hyperlink" Target="https://www.facebook.com/khanh.luongquoc.716" TargetMode="External"/><Relationship Id="rId49" Type="http://schemas.openxmlformats.org/officeDocument/2006/relationships/hyperlink" Target="https://www.facebook.com/profile.php?id=100062389046823&amp;mibextid=LQQJ4d" TargetMode="External"/><Relationship Id="rId1824" Type="http://schemas.openxmlformats.org/officeDocument/2006/relationships/hyperlink" Target="https://www.facebook.com/profile.php?id=100081059021537&amp;mibextid=ZbWKwL" TargetMode="External"/><Relationship Id="rId4230" Type="http://schemas.openxmlformats.org/officeDocument/2006/relationships/hyperlink" Target="https://www.facebook.com/profile.php?id=100083491641273&amp;mibextid=LQQJ4d" TargetMode="External"/><Relationship Id="rId7386" Type="http://schemas.openxmlformats.org/officeDocument/2006/relationships/hyperlink" Target="https://www.facebook.com/profile.php?id=61565299397940&amp;mibextid=LQQJ4d" TargetMode="External"/><Relationship Id="rId8437" Type="http://schemas.openxmlformats.org/officeDocument/2006/relationships/hyperlink" Target="https://www.facebook.com/profile.php?id=100041144304274" TargetMode="External"/><Relationship Id="rId8851" Type="http://schemas.openxmlformats.org/officeDocument/2006/relationships/hyperlink" Target="https://drive.google.com/open?id=1fq3EV6hKWgaqPCc9Q7mOCoil550o0ZGy" TargetMode="External"/><Relationship Id="rId7039" Type="http://schemas.openxmlformats.org/officeDocument/2006/relationships/hyperlink" Target="https://www.facebook.com/khoa.kenvil.5?mibextid=ZbWKwL" TargetMode="External"/><Relationship Id="rId7453" Type="http://schemas.openxmlformats.org/officeDocument/2006/relationships/hyperlink" Target="https://www.facebook.com/luongbinh.nguyen.927?mibextid=LQQJ4d" TargetMode="External"/><Relationship Id="rId8504" Type="http://schemas.openxmlformats.org/officeDocument/2006/relationships/hyperlink" Target="https://drive.google.com/open?id=1nTYVbBJPkllghAi6hV-LDYco5EG96tsp" TargetMode="External"/><Relationship Id="rId2598" Type="http://schemas.openxmlformats.org/officeDocument/2006/relationships/hyperlink" Target="https://www.facebook.com/phanthanhthao205?mibextid=LQQJ4d" TargetMode="External"/><Relationship Id="rId3996" Type="http://schemas.openxmlformats.org/officeDocument/2006/relationships/hyperlink" Target="https://www.facebook.com/phuongthao.nl?mibextid=LQQJ4d" TargetMode="External"/><Relationship Id="rId6055" Type="http://schemas.openxmlformats.org/officeDocument/2006/relationships/hyperlink" Target="https://www.facebook.com/tra.ledinh.58?mibextid=ZbWKwL" TargetMode="External"/><Relationship Id="rId7106" Type="http://schemas.openxmlformats.org/officeDocument/2006/relationships/hyperlink" Target="https://www.facebook.com/TeacherYethro1408" TargetMode="External"/><Relationship Id="rId3649" Type="http://schemas.openxmlformats.org/officeDocument/2006/relationships/hyperlink" Target="https://www.facebook.com/profile.php?id=100025100658519&amp;mibextid=opq0tG" TargetMode="External"/><Relationship Id="rId5071" Type="http://schemas.openxmlformats.org/officeDocument/2006/relationships/hyperlink" Target="https://web.facebook.com/profile.php?id=100067968690758&amp;mibextid=LQQJ4d&amp;_rdc=1&amp;_rdr" TargetMode="External"/><Relationship Id="rId6122" Type="http://schemas.openxmlformats.org/officeDocument/2006/relationships/hyperlink" Target="https://www.facebook.com/iamchip04?mibextid=LQQJ4d" TargetMode="External"/><Relationship Id="rId7520" Type="http://schemas.openxmlformats.org/officeDocument/2006/relationships/hyperlink" Target="https://www.facebook.com/profile.php?id=100046267123946&amp;mibextid=ZbWKwL" TargetMode="External"/><Relationship Id="rId9278" Type="http://schemas.openxmlformats.org/officeDocument/2006/relationships/hyperlink" Target="https://www.facebook.com/share/1KEyyXYCbD/?mibextid=wwXIfr" TargetMode="External"/><Relationship Id="rId984" Type="http://schemas.openxmlformats.org/officeDocument/2006/relationships/hyperlink" Target="https://www.facebook.com/profile.php?id=100081297048500" TargetMode="External"/><Relationship Id="rId2665" Type="http://schemas.openxmlformats.org/officeDocument/2006/relationships/hyperlink" Target="https://www.facebook.com/profile.php?id=100065642561551" TargetMode="External"/><Relationship Id="rId3716" Type="http://schemas.openxmlformats.org/officeDocument/2006/relationships/hyperlink" Target="https://drive.google.com/open?id=1i7nxrdpzyiIOanP-4zBHMwjtMqvX9xis" TargetMode="External"/><Relationship Id="rId637" Type="http://schemas.openxmlformats.org/officeDocument/2006/relationships/hyperlink" Target="https://www.facebook.com/di.men.942" TargetMode="External"/><Relationship Id="rId1267" Type="http://schemas.openxmlformats.org/officeDocument/2006/relationships/hyperlink" Target="https://drive.google.com/open?id=1DVuKWjtm4qc8jLpzEsgIgSod4_8wL7XW" TargetMode="External"/><Relationship Id="rId1681" Type="http://schemas.openxmlformats.org/officeDocument/2006/relationships/hyperlink" Target="https://drive.google.com/open?id=1QVP2ouxnPDpXuqC4ytrPLIvUnvKSs53o" TargetMode="External"/><Relationship Id="rId2318" Type="http://schemas.openxmlformats.org/officeDocument/2006/relationships/hyperlink" Target="https://drive.google.com/open?id=1l1l7HKJTuXVyFfXL49gMvuPlnFspmkGy" TargetMode="External"/><Relationship Id="rId2732" Type="http://schemas.openxmlformats.org/officeDocument/2006/relationships/hyperlink" Target="https://www.facebook.com/thinhedard" TargetMode="External"/><Relationship Id="rId5888" Type="http://schemas.openxmlformats.org/officeDocument/2006/relationships/hyperlink" Target="https://www.facebook.com/masami.takei.963" TargetMode="External"/><Relationship Id="rId6939" Type="http://schemas.openxmlformats.org/officeDocument/2006/relationships/hyperlink" Target="http://tanpham220106z2gmail.com/" TargetMode="External"/><Relationship Id="rId8294" Type="http://schemas.openxmlformats.org/officeDocument/2006/relationships/hyperlink" Target="https://www.facebook.com/sagatoga.nguyen" TargetMode="External"/><Relationship Id="rId9345" Type="http://schemas.openxmlformats.org/officeDocument/2006/relationships/hyperlink" Target="https://www.facebook.com/nie.life.158" TargetMode="External"/><Relationship Id="rId704" Type="http://schemas.openxmlformats.org/officeDocument/2006/relationships/hyperlink" Target="https://www.facebook.com/VuNguyetAnhs" TargetMode="External"/><Relationship Id="rId1334" Type="http://schemas.openxmlformats.org/officeDocument/2006/relationships/hyperlink" Target="https://www.facebook.com/messages/t/100047756716400" TargetMode="External"/><Relationship Id="rId5955" Type="http://schemas.openxmlformats.org/officeDocument/2006/relationships/hyperlink" Target="https://www.facebook.com/buithibicham0411?mibextid=LQQJ4d" TargetMode="External"/><Relationship Id="rId8361" Type="http://schemas.openxmlformats.org/officeDocument/2006/relationships/hyperlink" Target="https://www.facebook.com/profile.php?id=100013044976419&amp;mibextid=ZbWKwL" TargetMode="External"/><Relationship Id="rId9412" Type="http://schemas.openxmlformats.org/officeDocument/2006/relationships/hyperlink" Target="https://www.facebook.com/mijun.kim.969" TargetMode="External"/><Relationship Id="rId40" Type="http://schemas.openxmlformats.org/officeDocument/2006/relationships/hyperlink" Target="https://www.facebook.com/ngoc.nguyenanh.9843499?mibextid=LQQJ4d" TargetMode="External"/><Relationship Id="rId1401" Type="http://schemas.openxmlformats.org/officeDocument/2006/relationships/hyperlink" Target="https://drive.google.com/open?id=1bGUs3JLAI0rPoA7XJhjYjKSNYxN0bFgX" TargetMode="External"/><Relationship Id="rId4557" Type="http://schemas.openxmlformats.org/officeDocument/2006/relationships/hyperlink" Target="https://www.facebook.com/profile.php?id=100054995033274&amp;mibextid=LQQJ4d" TargetMode="External"/><Relationship Id="rId5608" Type="http://schemas.openxmlformats.org/officeDocument/2006/relationships/hyperlink" Target="https://www.facebook.com/profile.php?id=100041939258170" TargetMode="External"/><Relationship Id="rId8014" Type="http://schemas.openxmlformats.org/officeDocument/2006/relationships/hyperlink" Target="https://www.facebook.com/share/1Fw7CNLSS6/?mibextid=qi2Omg" TargetMode="External"/><Relationship Id="rId3159" Type="http://schemas.openxmlformats.org/officeDocument/2006/relationships/hyperlink" Target="https://www.facebook.com/profile.php?id=100036099408765&amp;mibextid=ZbWKwL" TargetMode="External"/><Relationship Id="rId3573" Type="http://schemas.openxmlformats.org/officeDocument/2006/relationships/hyperlink" Target="https://www.facebook.com/ngthiuyn190?mibextid=ZbWKwL" TargetMode="External"/><Relationship Id="rId4971" Type="http://schemas.openxmlformats.org/officeDocument/2006/relationships/hyperlink" Target="https://www.facebook.com/profile.php?id=61560335199759" TargetMode="External"/><Relationship Id="rId7030" Type="http://schemas.openxmlformats.org/officeDocument/2006/relationships/hyperlink" Target="https://www.facebook.com/people/%C4%90%E1%BA%B7ng-Phuong-Ng%E1%BB%8Dc/pfbid02VDQzVgr4E9V7PaV5BvPeCCNHvvN65eoYf86mRJEBR6ZKewBxn76fhV1H2UEVQRy3l/" TargetMode="External"/><Relationship Id="rId494" Type="http://schemas.openxmlformats.org/officeDocument/2006/relationships/hyperlink" Target="https://drive.google.com/open?id=16gSfdpwx5NsQ5CgV-_KIzuSqGVeSvZqu" TargetMode="External"/><Relationship Id="rId2175" Type="http://schemas.openxmlformats.org/officeDocument/2006/relationships/hyperlink" Target="https://www.facebook.com/xmathee?mibextid=LQQJ4d" TargetMode="External"/><Relationship Id="rId3226" Type="http://schemas.openxmlformats.org/officeDocument/2006/relationships/hyperlink" Target="https://www.facebook.com/ibrahisonvic11" TargetMode="External"/><Relationship Id="rId4624" Type="http://schemas.openxmlformats.org/officeDocument/2006/relationships/hyperlink" Target="https://drive.google.com/open?id=1xAkan_te2fCm26LF7jmhn9TpCCrdx3qi" TargetMode="External"/><Relationship Id="rId147" Type="http://schemas.openxmlformats.org/officeDocument/2006/relationships/hyperlink" Target="https://www.facebook.com/quynh.nguyenmanh.10297?mibextid=ZbWKwL" TargetMode="External"/><Relationship Id="rId1191" Type="http://schemas.openxmlformats.org/officeDocument/2006/relationships/hyperlink" Target="https://www.facebook.com/kthuwwwne?mibextid=LQQJ4d" TargetMode="External"/><Relationship Id="rId3640" Type="http://schemas.openxmlformats.org/officeDocument/2006/relationships/hyperlink" Target="https://www.facebook.com/profile.php?id=100025769701468" TargetMode="External"/><Relationship Id="rId6796" Type="http://schemas.openxmlformats.org/officeDocument/2006/relationships/hyperlink" Target="https://www.facebook.com/profile.php?id=100036863714470&amp;mibextid=LQQJ4d&amp;rdid=yMY5kmc2EPw6tccs&amp;share_url=https%3A%2F%2Fwww.facebook.com%2Fshare%2FuUTCYPsXwvQnwyoo%2F%3Fmibextid%3DLQQJ4d" TargetMode="External"/><Relationship Id="rId7847" Type="http://schemas.openxmlformats.org/officeDocument/2006/relationships/hyperlink" Target="https://www.facebook.com/profile.php?id=100068117717709&amp;mibextid=LQQJ4d" TargetMode="External"/><Relationship Id="rId561" Type="http://schemas.openxmlformats.org/officeDocument/2006/relationships/hyperlink" Target="https://www.facebook.com/nguyenhongngoc01012003?mibextid=LQQJ4d" TargetMode="External"/><Relationship Id="rId2242" Type="http://schemas.openxmlformats.org/officeDocument/2006/relationships/hyperlink" Target="https://www.facebook.com/profile.php?id=100036129136359&amp;mibextid=ZbWKwL" TargetMode="External"/><Relationship Id="rId5398" Type="http://schemas.openxmlformats.org/officeDocument/2006/relationships/hyperlink" Target="https://www.facebook.com/profile.php?id=100026139698127&amp;mibextid=LQQJ4d" TargetMode="External"/><Relationship Id="rId6449" Type="http://schemas.openxmlformats.org/officeDocument/2006/relationships/hyperlink" Target="https://www.facebook.com/profile.php?id=100074633121836" TargetMode="External"/><Relationship Id="rId6863" Type="http://schemas.openxmlformats.org/officeDocument/2006/relationships/hyperlink" Target="https://www.facebook.com/phanducanhdtd?mibextid=LQQJ4d" TargetMode="External"/><Relationship Id="rId7914" Type="http://schemas.openxmlformats.org/officeDocument/2006/relationships/hyperlink" Target="https://www.facebook.com/nguyenddat.2006" TargetMode="External"/><Relationship Id="rId214" Type="http://schemas.openxmlformats.org/officeDocument/2006/relationships/hyperlink" Target="https://www.facebook.com/profile.php?id=100053094699688&amp;mibextid=LQQJ4d" TargetMode="External"/><Relationship Id="rId5465" Type="http://schemas.openxmlformats.org/officeDocument/2006/relationships/hyperlink" Target="https://drive.google.com/open?id=1mVB8FeUjkDtHST_hVdnl5T28YnebEfEr" TargetMode="External"/><Relationship Id="rId6516" Type="http://schemas.openxmlformats.org/officeDocument/2006/relationships/hyperlink" Target="https://www.facebook.com/profile.php?id=100046999778013&amp;rdid=uWiAt2B6mVXm6A4x&amp;share_url=https%3A%2F%2Fwww.facebook.com%2Fshare%2FsHXTBE8oEAe9e1No%2F" TargetMode="External"/><Relationship Id="rId6930" Type="http://schemas.openxmlformats.org/officeDocument/2006/relationships/hyperlink" Target="https://www.facebook.com/profile.php?id=100073978627888" TargetMode="External"/><Relationship Id="rId4067" Type="http://schemas.openxmlformats.org/officeDocument/2006/relationships/hyperlink" Target="https://www.facebook.com/profile.php?id=100091223334263&amp;mibextid=LQQJ4d" TargetMode="External"/><Relationship Id="rId4481" Type="http://schemas.openxmlformats.org/officeDocument/2006/relationships/hyperlink" Target="https://drive.google.com/open?id=1m1aywb6IiiMDio2c0p3O1nhVzVLyKA43" TargetMode="External"/><Relationship Id="rId5118" Type="http://schemas.openxmlformats.org/officeDocument/2006/relationships/hyperlink" Target="https://drive.google.com/open?id=152FaN10LYMC1dHaSJ_VwX8ja4OOLP7rm" TargetMode="External"/><Relationship Id="rId5532" Type="http://schemas.openxmlformats.org/officeDocument/2006/relationships/hyperlink" Target="https://www.facebook.com/phanduyhihi?mibextid=ZbWKwL" TargetMode="External"/><Relationship Id="rId8688" Type="http://schemas.openxmlformats.org/officeDocument/2006/relationships/hyperlink" Target="https://www.facebook.com/tran.hoang.anh.duong.2025?mibextid=ZbWKwL" TargetMode="External"/><Relationship Id="rId3083" Type="http://schemas.openxmlformats.org/officeDocument/2006/relationships/hyperlink" Target="https://drive.google.com/open?id=141Sr3JyIvYNty3aBPQ81JZtrDlxpncBX" TargetMode="External"/><Relationship Id="rId4134" Type="http://schemas.openxmlformats.org/officeDocument/2006/relationships/hyperlink" Target="https://drive.google.com/open?id=12HOy0_KjMMg7AViYVKV2jsE0zwggt2_2" TargetMode="External"/><Relationship Id="rId1728" Type="http://schemas.openxmlformats.org/officeDocument/2006/relationships/hyperlink" Target="https://www.facebook.com/profile.php?id=100082259929779&amp;mibextid=LQQJ4d" TargetMode="External"/><Relationship Id="rId3150" Type="http://schemas.openxmlformats.org/officeDocument/2006/relationships/hyperlink" Target="https://www.facebook.com/kanh.nguyen.75098364?mibextid=LQQJ4d" TargetMode="External"/><Relationship Id="rId4201" Type="http://schemas.openxmlformats.org/officeDocument/2006/relationships/hyperlink" Target="https://drive.google.com/open?id=11He35-nEpM2330YaUO28iUFEgUOCj9O2" TargetMode="External"/><Relationship Id="rId7357" Type="http://schemas.openxmlformats.org/officeDocument/2006/relationships/hyperlink" Target="https://www.facebook.com/profile.php?id=100081057949691&amp;mibextid=LQQJ4d" TargetMode="External"/><Relationship Id="rId8408" Type="http://schemas.openxmlformats.org/officeDocument/2006/relationships/hyperlink" Target="https://www.facebook.com/profile.php?id=100024012766361&amp;mibextid=ZbWKwL" TargetMode="External"/><Relationship Id="rId8755" Type="http://schemas.openxmlformats.org/officeDocument/2006/relationships/hyperlink" Target="https://drive.google.com/open?id=1q0OiWV_42W60OkXI-nEOOaDkO_lAQD-w" TargetMode="External"/><Relationship Id="rId7771" Type="http://schemas.openxmlformats.org/officeDocument/2006/relationships/hyperlink" Target="https://www.facebook.com/share/14ZbSgrQY8/?mibextid=wwXIfr" TargetMode="External"/><Relationship Id="rId8822" Type="http://schemas.openxmlformats.org/officeDocument/2006/relationships/hyperlink" Target="https://www.facebook.com/yennhi.phanhoang.12" TargetMode="External"/><Relationship Id="rId3967" Type="http://schemas.openxmlformats.org/officeDocument/2006/relationships/hyperlink" Target="https://drive.google.com/open?id=1Eo3IIE4Kfiu9jPHFmOjDD5EPIZjHOROY" TargetMode="External"/><Relationship Id="rId6373" Type="http://schemas.openxmlformats.org/officeDocument/2006/relationships/hyperlink" Target="https://drive.google.com/open?id=1L0XINB-IgPEXW_Z-fxy8AoqwUu_TqEYr" TargetMode="External"/><Relationship Id="rId7424" Type="http://schemas.openxmlformats.org/officeDocument/2006/relationships/hyperlink" Target="https://www.facebook.com/dan.choi.94849?mibextid=LQQJ4d" TargetMode="External"/><Relationship Id="rId4" Type="http://schemas.openxmlformats.org/officeDocument/2006/relationships/hyperlink" Target="https://drive.google.com/open?id=12mCgm2zPcPvHg6t0n0ISYq6Z4H0s1soW" TargetMode="External"/><Relationship Id="rId888" Type="http://schemas.openxmlformats.org/officeDocument/2006/relationships/hyperlink" Target="https://www.facebook.com/profile.php?id=100028895446257" TargetMode="External"/><Relationship Id="rId2569" Type="http://schemas.openxmlformats.org/officeDocument/2006/relationships/hyperlink" Target="https://www.facebook.com/profile.php?id=100071003629942" TargetMode="External"/><Relationship Id="rId2983" Type="http://schemas.openxmlformats.org/officeDocument/2006/relationships/hyperlink" Target="https://www.facebook.com/profile.php?id=100041789941116&amp;mibextid=PtKPJ9" TargetMode="External"/><Relationship Id="rId6026" Type="http://schemas.openxmlformats.org/officeDocument/2006/relationships/hyperlink" Target="https://www.facebook.com/profile.php?id=100084622908657&amp;mibextid=ZbWKwL" TargetMode="External"/><Relationship Id="rId6440" Type="http://schemas.openxmlformats.org/officeDocument/2006/relationships/hyperlink" Target="https://drive.google.com/open?id=1c4u0o7UFWYAENxPHshbBso7pHD2SX7Sd" TargetMode="External"/><Relationship Id="rId955" Type="http://schemas.openxmlformats.org/officeDocument/2006/relationships/hyperlink" Target="https://www.facebook.com/profile.php?id=100057673704717&amp;mibextid=LQQJ4d" TargetMode="External"/><Relationship Id="rId1585" Type="http://schemas.openxmlformats.org/officeDocument/2006/relationships/hyperlink" Target="https://www.facebook.com/profile.php?id=100041470830739&amp;mibextid=ZbWKwL" TargetMode="External"/><Relationship Id="rId2636" Type="http://schemas.openxmlformats.org/officeDocument/2006/relationships/hyperlink" Target="https://www.facebook.com/daocute16?mibextid=LQQJ4d" TargetMode="External"/><Relationship Id="rId5042" Type="http://schemas.openxmlformats.org/officeDocument/2006/relationships/hyperlink" Target="https://www.facebook.com/t.hieu7126?mibextid=LQQJ4d" TargetMode="External"/><Relationship Id="rId8198" Type="http://schemas.openxmlformats.org/officeDocument/2006/relationships/hyperlink" Target="https://www.facebook.com/mdangggggg" TargetMode="External"/><Relationship Id="rId9249" Type="http://schemas.openxmlformats.org/officeDocument/2006/relationships/hyperlink" Target="https://www.facebook.com/profile.php?id=61555117019690&amp;mibextid=LQQJ4d" TargetMode="External"/><Relationship Id="rId608" Type="http://schemas.openxmlformats.org/officeDocument/2006/relationships/hyperlink" Target="https://www.facebook.com/100028454732107/" TargetMode="External"/><Relationship Id="rId1238" Type="http://schemas.openxmlformats.org/officeDocument/2006/relationships/hyperlink" Target="https://drive.google.com/open?id=11ibqWFEObrsCJQTZSjs-7WUGMg83HIxr" TargetMode="External"/><Relationship Id="rId1652" Type="http://schemas.openxmlformats.org/officeDocument/2006/relationships/hyperlink" Target="https://drive.google.com/open?id=1JGpunTTZyxBLGWDypY6DuaYjV3N5_5BY" TargetMode="External"/><Relationship Id="rId8265" Type="http://schemas.openxmlformats.org/officeDocument/2006/relationships/hyperlink" Target="https://www.facebook.com/cap.huong.89722" TargetMode="External"/><Relationship Id="rId9316" Type="http://schemas.openxmlformats.org/officeDocument/2006/relationships/hyperlink" Target="https://www.facebook.com/profile.php?id=100043973596052" TargetMode="External"/><Relationship Id="rId1305" Type="http://schemas.openxmlformats.org/officeDocument/2006/relationships/hyperlink" Target="https://www.facebook.com/chimte.trinn" TargetMode="External"/><Relationship Id="rId2703" Type="http://schemas.openxmlformats.org/officeDocument/2006/relationships/hyperlink" Target="https://www.facebook.com/profile.php?id=100073001694750&amp;mibextid=ZbWKwL" TargetMode="External"/><Relationship Id="rId5859" Type="http://schemas.openxmlformats.org/officeDocument/2006/relationships/hyperlink" Target="https://drive.google.com/open?id=1x6gCkq8uT1lAj70WmALFXPq1eelPhIla" TargetMode="External"/><Relationship Id="rId7281" Type="http://schemas.openxmlformats.org/officeDocument/2006/relationships/hyperlink" Target="https://www.facebook.com/dothang.1710" TargetMode="External"/><Relationship Id="rId8332" Type="http://schemas.openxmlformats.org/officeDocument/2006/relationships/hyperlink" Target="https://www.facebook.com/Linhkngutks?mibextid=LQQJ4d" TargetMode="External"/><Relationship Id="rId4875" Type="http://schemas.openxmlformats.org/officeDocument/2006/relationships/hyperlink" Target="https://drive.google.com/open?id=1hbtRI1xiWv_bAzwbcDDdvDaWgLLGvzvg" TargetMode="External"/><Relationship Id="rId5926" Type="http://schemas.openxmlformats.org/officeDocument/2006/relationships/hyperlink" Target="https://www.facebook.com/profile.php?id=100051913898244&amp;mibextid=LQQJ4d" TargetMode="External"/><Relationship Id="rId11" Type="http://schemas.openxmlformats.org/officeDocument/2006/relationships/hyperlink" Target="https://www.facebook.com/ten.latu.9" TargetMode="External"/><Relationship Id="rId398" Type="http://schemas.openxmlformats.org/officeDocument/2006/relationships/hyperlink" Target="https://www.facebook.com/profile.php?id=100047882830686&amp;mibextid=LQQJ4d" TargetMode="External"/><Relationship Id="rId2079" Type="http://schemas.openxmlformats.org/officeDocument/2006/relationships/hyperlink" Target="https://drive.google.com/open?id=1JqAHnlj7vHcuZHvmJQU_dmN5dVeK3ic7" TargetMode="External"/><Relationship Id="rId3477" Type="http://schemas.openxmlformats.org/officeDocument/2006/relationships/hyperlink" Target="https://www.facebook.com/thanhtam160904" TargetMode="External"/><Relationship Id="rId3891" Type="http://schemas.openxmlformats.org/officeDocument/2006/relationships/hyperlink" Target="https://www.facebook.com/profile.php?id=100024645811244&amp;mibextid=LQQJ4d" TargetMode="External"/><Relationship Id="rId4528" Type="http://schemas.openxmlformats.org/officeDocument/2006/relationships/hyperlink" Target="https://www.facebook.com/profile.php?id=100073124824731&amp;mibextid=LQQJ4d" TargetMode="External"/><Relationship Id="rId4942" Type="http://schemas.openxmlformats.org/officeDocument/2006/relationships/hyperlink" Target="https://www.facebook.com/conich.khong.9277?rdid=cRyRkXbuP8OUdo7O&amp;share_url=https%3A%2F%2Fwww.facebook.com%2Fshare%2FMaMJvWz4pXduH4iK%2F" TargetMode="External"/><Relationship Id="rId2493" Type="http://schemas.openxmlformats.org/officeDocument/2006/relationships/hyperlink" Target="https://www.facebook.com/profile.php?id=100063494654302" TargetMode="External"/><Relationship Id="rId3544" Type="http://schemas.openxmlformats.org/officeDocument/2006/relationships/hyperlink" Target="https://www.facebook.com/profile.php?id=100024067505946" TargetMode="External"/><Relationship Id="rId7001" Type="http://schemas.openxmlformats.org/officeDocument/2006/relationships/hyperlink" Target="https://www.facebook.com/phmquang4?mibextid=LQQJ4d" TargetMode="External"/><Relationship Id="rId465" Type="http://schemas.openxmlformats.org/officeDocument/2006/relationships/hyperlink" Target="https://drive.google.com/open?id=1rHPuB0cAbapWRIacUadmQ_8ZV03-YVbG" TargetMode="External"/><Relationship Id="rId1095" Type="http://schemas.openxmlformats.org/officeDocument/2006/relationships/hyperlink" Target="https://www.facebook.com/profile.php?id=100041031022477&amp;mibextid=LQQJ4d" TargetMode="External"/><Relationship Id="rId2146" Type="http://schemas.openxmlformats.org/officeDocument/2006/relationships/hyperlink" Target="https://www.facebook.com/nguyen.yenyen.20.7" TargetMode="External"/><Relationship Id="rId2560" Type="http://schemas.openxmlformats.org/officeDocument/2006/relationships/hyperlink" Target="https://www.facebook.com/profile.php?id=100023494071905" TargetMode="External"/><Relationship Id="rId3611" Type="http://schemas.openxmlformats.org/officeDocument/2006/relationships/hyperlink" Target="https://drive.google.com/open?id=15nEnuirSfdteRp623CS6psCtZOHk7jQv" TargetMode="External"/><Relationship Id="rId6767" Type="http://schemas.openxmlformats.org/officeDocument/2006/relationships/hyperlink" Target="https://www.facebook.com/profile.php?id=61555721258053&amp;mibextid=ZbWKwL" TargetMode="External"/><Relationship Id="rId7818" Type="http://schemas.openxmlformats.org/officeDocument/2006/relationships/hyperlink" Target="https://www.facebook.com/share/1AwhSbkrvU/?mibextid=wwXIfr" TargetMode="External"/><Relationship Id="rId9173" Type="http://schemas.openxmlformats.org/officeDocument/2006/relationships/hyperlink" Target="https://www.facebook.com/p.hiu.0508" TargetMode="External"/><Relationship Id="rId118" Type="http://schemas.openxmlformats.org/officeDocument/2006/relationships/hyperlink" Target="https://www.facebook.com/hailinh.phan.505?mibextid=LQQJ4d" TargetMode="External"/><Relationship Id="rId532" Type="http://schemas.openxmlformats.org/officeDocument/2006/relationships/hyperlink" Target="https://www.facebook.com/nguyenhuuduc05042003?mibextid=LQQJ4d" TargetMode="External"/><Relationship Id="rId1162" Type="http://schemas.openxmlformats.org/officeDocument/2006/relationships/hyperlink" Target="https://www.facebook.com/profile.php?id=100034390011315&amp;mibextid=LQQJ4d" TargetMode="External"/><Relationship Id="rId2213" Type="http://schemas.openxmlformats.org/officeDocument/2006/relationships/hyperlink" Target="https://www.facebook.com/profile.php?id=100082751963513&amp;mibextid=LQQJ4d" TargetMode="External"/><Relationship Id="rId5369" Type="http://schemas.openxmlformats.org/officeDocument/2006/relationships/hyperlink" Target="https://www.facebook.com/profile.php?id=100009454617574" TargetMode="External"/><Relationship Id="rId5783" Type="http://schemas.openxmlformats.org/officeDocument/2006/relationships/hyperlink" Target="https://www.facebook.com/profile.php?id=100090526551169" TargetMode="External"/><Relationship Id="rId9240" Type="http://schemas.openxmlformats.org/officeDocument/2006/relationships/hyperlink" Target="https://www.facebook.com/profile.php?id=100045638570732" TargetMode="External"/><Relationship Id="rId4385" Type="http://schemas.openxmlformats.org/officeDocument/2006/relationships/hyperlink" Target="https://www.facebook.com/doremon.mui.5?mibextid=ZbWKwL" TargetMode="External"/><Relationship Id="rId5436" Type="http://schemas.openxmlformats.org/officeDocument/2006/relationships/hyperlink" Target="https://www.facebook.com/profile.php?id=100079310375696&amp;mibextid=LQQJ4d" TargetMode="External"/><Relationship Id="rId6834" Type="http://schemas.openxmlformats.org/officeDocument/2006/relationships/hyperlink" Target="https://www.facebook.com/vananh.uong.35" TargetMode="External"/><Relationship Id="rId1979" Type="http://schemas.openxmlformats.org/officeDocument/2006/relationships/hyperlink" Target="https://www.facebook.com/profile.php?id=100054382825090&amp;mibextid=LQQJ4d" TargetMode="External"/><Relationship Id="rId4038" Type="http://schemas.openxmlformats.org/officeDocument/2006/relationships/hyperlink" Target="https://drive.google.com/open?id=1Pxero2aLSW0HVQDJR2tnD9x_oPjyR_VF" TargetMode="External"/><Relationship Id="rId5850" Type="http://schemas.openxmlformats.org/officeDocument/2006/relationships/hyperlink" Target="https://www.facebook.com/profile.php?id=100040546273789&amp;mibextid=LQQJ4d" TargetMode="External"/><Relationship Id="rId6901" Type="http://schemas.openxmlformats.org/officeDocument/2006/relationships/hyperlink" Target="https://drive.google.com/open?id=1VS-sW2HkOHQX3M1Bqh0hX_4ybPL8u_RN" TargetMode="External"/><Relationship Id="rId3054" Type="http://schemas.openxmlformats.org/officeDocument/2006/relationships/hyperlink" Target="https://drive.google.com/open?id=1HkY6iRCHPtpuYTEUt0NsDVXkV_rXD7Rc" TargetMode="External"/><Relationship Id="rId4452" Type="http://schemas.openxmlformats.org/officeDocument/2006/relationships/hyperlink" Target="https://www.facebook.com/profile.php?id=100075285229568&amp;mibextid=ZbWKwL" TargetMode="External"/><Relationship Id="rId5503" Type="http://schemas.openxmlformats.org/officeDocument/2006/relationships/hyperlink" Target="https://www.facebook.com/ownerbanhcuoncha?mibextid=LQQJ4d" TargetMode="External"/><Relationship Id="rId8659" Type="http://schemas.openxmlformats.org/officeDocument/2006/relationships/hyperlink" Target="http://manhdinh2005sgmail.com/" TargetMode="External"/><Relationship Id="rId4105" Type="http://schemas.openxmlformats.org/officeDocument/2006/relationships/hyperlink" Target="https://www.facebook.com/profile.php?id=100071130908559" TargetMode="External"/><Relationship Id="rId7675" Type="http://schemas.openxmlformats.org/officeDocument/2006/relationships/hyperlink" Target="https://www.facebook.com/manhhung.2991" TargetMode="External"/><Relationship Id="rId8726" Type="http://schemas.openxmlformats.org/officeDocument/2006/relationships/hyperlink" Target="https://www.facebook.com/slime.nguyen.56?mibextid=ZbWKwL" TargetMode="External"/><Relationship Id="rId2070" Type="http://schemas.openxmlformats.org/officeDocument/2006/relationships/hyperlink" Target="https://drive.google.com/open?id=1o3SIHs8ZXcErfge10bGlg3PEhmAAQkbJ" TargetMode="External"/><Relationship Id="rId3121" Type="http://schemas.openxmlformats.org/officeDocument/2006/relationships/hyperlink" Target="https://www.facebook.com/oanhh0" TargetMode="External"/><Relationship Id="rId6277" Type="http://schemas.openxmlformats.org/officeDocument/2006/relationships/hyperlink" Target="https://www.facebook.com/profile.php?id=100074008293389&amp;mibextid=ZbWKwL" TargetMode="External"/><Relationship Id="rId6691" Type="http://schemas.openxmlformats.org/officeDocument/2006/relationships/hyperlink" Target="https://web.facebook.com/profile.php?id=100066581014264&amp;mibextid=ZbWKwL&amp;ext=1727187888&amp;hash=%2501%2501%2592%25D8Zp%25003%25A3%25A6%2526%25EB%25D75%253Cx%257D%25E3&amp;_rdc=1&amp;_rdr" TargetMode="External"/><Relationship Id="rId7328" Type="http://schemas.openxmlformats.org/officeDocument/2006/relationships/hyperlink" Target="https://www.facebook.com/profile.php?id=100030286573099&amp;mibextid=LQQJ4d" TargetMode="External"/><Relationship Id="rId7742" Type="http://schemas.openxmlformats.org/officeDocument/2006/relationships/hyperlink" Target="https://drive.google.com/open?id=1pZZiH-I-vFmbfqmLpZRcXETlnHvwr57-" TargetMode="External"/><Relationship Id="rId2887" Type="http://schemas.openxmlformats.org/officeDocument/2006/relationships/hyperlink" Target="http://manhdinh2005sgmail.com/" TargetMode="External"/><Relationship Id="rId5293" Type="http://schemas.openxmlformats.org/officeDocument/2006/relationships/hyperlink" Target="https://www.facebook.com/ngoxuantan27?mibextid=LQQJ4d" TargetMode="External"/><Relationship Id="rId6344" Type="http://schemas.openxmlformats.org/officeDocument/2006/relationships/hyperlink" Target="https://www.facebook.com/profile.php?id=100038149786362" TargetMode="External"/><Relationship Id="rId859" Type="http://schemas.openxmlformats.org/officeDocument/2006/relationships/hyperlink" Target="https://www.facebook.com/profile.php?id=100035926786530" TargetMode="External"/><Relationship Id="rId1489" Type="http://schemas.openxmlformats.org/officeDocument/2006/relationships/hyperlink" Target="https://drive.google.com/open?id=1voym0D-Ui1UgalMNeW66t7iYDrU8KwG0" TargetMode="External"/><Relationship Id="rId3938" Type="http://schemas.openxmlformats.org/officeDocument/2006/relationships/hyperlink" Target="https://drive.google.com/open?id=1ljANHxipP2MkUW4bHA7JZnNl1OcjkEUO" TargetMode="External"/><Relationship Id="rId5360" Type="http://schemas.openxmlformats.org/officeDocument/2006/relationships/hyperlink" Target="https://drive.google.com/open?id=1pCBvd6mN2a-SLoilPNQEuDYocypon_aa" TargetMode="External"/><Relationship Id="rId6411" Type="http://schemas.openxmlformats.org/officeDocument/2006/relationships/hyperlink" Target="https://www.facebook.com/duy.an.7906932" TargetMode="External"/><Relationship Id="rId9567" Type="http://schemas.openxmlformats.org/officeDocument/2006/relationships/hyperlink" Target="https://www.facebook.com/thu.huong.715015" TargetMode="External"/><Relationship Id="rId2954" Type="http://schemas.openxmlformats.org/officeDocument/2006/relationships/hyperlink" Target="https://www.facebook.com/profile.php?id=100017626177322&amp;mibextid=LQQJ4d" TargetMode="External"/><Relationship Id="rId5013" Type="http://schemas.openxmlformats.org/officeDocument/2006/relationships/hyperlink" Target="https://www.facebook.com/profile.php?id=100041674671913&amp;mibextid=LQQJ4d&amp;rdid=ZLC0nWrO3If8C5ax&amp;share_url=https%3A%2F%2Fwww.facebook.com%2Fshare%2FWRmnBJUHMmgTkksG%2F%3Fmibextid%3DLQQJ4d" TargetMode="External"/><Relationship Id="rId8169" Type="http://schemas.openxmlformats.org/officeDocument/2006/relationships/hyperlink" Target="https://www.facebook.com/b.thao.750950?mibextid=ZbWKwL" TargetMode="External"/><Relationship Id="rId926" Type="http://schemas.openxmlformats.org/officeDocument/2006/relationships/hyperlink" Target="https://drive.google.com/open?id=1gHR4R93S0Xh-JDFlJBlWOxnxA1Fz8KJb" TargetMode="External"/><Relationship Id="rId1556" Type="http://schemas.openxmlformats.org/officeDocument/2006/relationships/hyperlink" Target="https://www.facebook.com/profile.php?id=100068901310447&amp;mibextid=LQQJ4d" TargetMode="External"/><Relationship Id="rId1970" Type="http://schemas.openxmlformats.org/officeDocument/2006/relationships/hyperlink" Target="https://www.facebook.com/maihoang282001?mibextid=LQQJ4d" TargetMode="External"/><Relationship Id="rId2607" Type="http://schemas.openxmlformats.org/officeDocument/2006/relationships/hyperlink" Target="https://drive.google.com/open?id=1lCThYDms9F3fPOBdcaAByTiq9oY-qx5y" TargetMode="External"/><Relationship Id="rId7185" Type="http://schemas.openxmlformats.org/officeDocument/2006/relationships/hyperlink" Target="https://drive.google.com/open?id=17KS9vy5cvEEQ2otpHLiVRERMnyr_TyKB" TargetMode="External"/><Relationship Id="rId8583" Type="http://schemas.openxmlformats.org/officeDocument/2006/relationships/hyperlink" Target="https://www.facebook.com/profile.php?id=100071989111012&amp;mibextid=9R9pXO" TargetMode="External"/><Relationship Id="rId1209" Type="http://schemas.openxmlformats.org/officeDocument/2006/relationships/hyperlink" Target="https://www.facebook.com/tay.minh.7121614?mibextid=LQQJ4d" TargetMode="External"/><Relationship Id="rId1623" Type="http://schemas.openxmlformats.org/officeDocument/2006/relationships/hyperlink" Target="https://www.facebook.com/lans.lans.10297" TargetMode="External"/><Relationship Id="rId4779" Type="http://schemas.openxmlformats.org/officeDocument/2006/relationships/hyperlink" Target="https://www.facebook.com/profile.php?id=100046955887548" TargetMode="External"/><Relationship Id="rId8236" Type="http://schemas.openxmlformats.org/officeDocument/2006/relationships/hyperlink" Target="https://drive.google.com/open?id=1xJD2T5i08k41ElKzDYnYQ1z3KjbTyf44" TargetMode="External"/><Relationship Id="rId8650" Type="http://schemas.openxmlformats.org/officeDocument/2006/relationships/hyperlink" Target="https://www.facebook.com/profile.php?id=100055137439133" TargetMode="External"/><Relationship Id="rId3795" Type="http://schemas.openxmlformats.org/officeDocument/2006/relationships/hyperlink" Target="https://www.facebook.com/nam.hoduy.33?mibextid=ZbWKwL" TargetMode="External"/><Relationship Id="rId4846" Type="http://schemas.openxmlformats.org/officeDocument/2006/relationships/hyperlink" Target="https://drive.google.com/open?id=1KbX10mdxBndu2R4d4zNp4AzwEhCTlcqs" TargetMode="External"/><Relationship Id="rId7252" Type="http://schemas.openxmlformats.org/officeDocument/2006/relationships/hyperlink" Target="https://www.facebook.com/lychew.95" TargetMode="External"/><Relationship Id="rId8303" Type="http://schemas.openxmlformats.org/officeDocument/2006/relationships/hyperlink" Target="https://www.facebook.com/profile.php?id=61573963681613" TargetMode="External"/><Relationship Id="rId2397" Type="http://schemas.openxmlformats.org/officeDocument/2006/relationships/hyperlink" Target="https://drive.google.com/open?id=1ujeLhaB9TGbDSI7ZfOqj0fm_7ED5E8lO" TargetMode="External"/><Relationship Id="rId3448" Type="http://schemas.openxmlformats.org/officeDocument/2006/relationships/hyperlink" Target="https://www.facebook.com/crila.sunflower" TargetMode="External"/><Relationship Id="rId3862" Type="http://schemas.openxmlformats.org/officeDocument/2006/relationships/hyperlink" Target="https://www.facebook.com/hoang.thucdung" TargetMode="External"/><Relationship Id="rId369" Type="http://schemas.openxmlformats.org/officeDocument/2006/relationships/hyperlink" Target="https://www.facebook.com/profile.php?id=100069390811499&amp;mibextid=LQQJ4d" TargetMode="External"/><Relationship Id="rId783" Type="http://schemas.openxmlformats.org/officeDocument/2006/relationships/hyperlink" Target="https://drive.google.com/open?id=1fN9D-4mMnNI7Qetn5A561OpUpqE3RCQI" TargetMode="External"/><Relationship Id="rId2464" Type="http://schemas.openxmlformats.org/officeDocument/2006/relationships/hyperlink" Target="https://www.facebook.com/profile.php?id=100076641697977&amp;mibextid=LQQJ4d" TargetMode="External"/><Relationship Id="rId3515" Type="http://schemas.openxmlformats.org/officeDocument/2006/relationships/hyperlink" Target="https://www.facebook.com/thanhkun.cute?mibextid=ZbWKwL" TargetMode="External"/><Relationship Id="rId4913" Type="http://schemas.openxmlformats.org/officeDocument/2006/relationships/hyperlink" Target="https://www.facebook.com/profile.php?id=100058795752879" TargetMode="External"/><Relationship Id="rId9077" Type="http://schemas.openxmlformats.org/officeDocument/2006/relationships/hyperlink" Target="https://www.facebook.com/baoanh.157206" TargetMode="External"/><Relationship Id="rId9491" Type="http://schemas.openxmlformats.org/officeDocument/2006/relationships/hyperlink" Target="https://drive.google.com/open?id=1fVxE7Dknrfed4GY-0Fx1MOR8E-aOKqSp" TargetMode="External"/><Relationship Id="rId436" Type="http://schemas.openxmlformats.org/officeDocument/2006/relationships/hyperlink" Target="https://drive.google.com/open?id=1OX6S4ilAMqDb_ayBtJpiO3qBoiwIsUxT" TargetMode="External"/><Relationship Id="rId1066" Type="http://schemas.openxmlformats.org/officeDocument/2006/relationships/hyperlink" Target="https://www.facebook.com/moctra2905?mibextid=LQQJ4d" TargetMode="External"/><Relationship Id="rId1480" Type="http://schemas.openxmlformats.org/officeDocument/2006/relationships/hyperlink" Target="https://www.facebook.com/profile.php?id=100009736714629" TargetMode="External"/><Relationship Id="rId2117" Type="http://schemas.openxmlformats.org/officeDocument/2006/relationships/hyperlink" Target="https://drive.google.com/open?id=1rC8OqZ1JWKv2v0ktMRNFM4tohD_VYPHg" TargetMode="External"/><Relationship Id="rId8093" Type="http://schemas.openxmlformats.org/officeDocument/2006/relationships/hyperlink" Target="https://www.facebook.com/profile.php?id=100073978627888" TargetMode="External"/><Relationship Id="rId9144" Type="http://schemas.openxmlformats.org/officeDocument/2006/relationships/hyperlink" Target="https://www.facebook.com/profile.php?id=100051882647417&amp;mibextid=LQQJ4d" TargetMode="External"/><Relationship Id="rId850" Type="http://schemas.openxmlformats.org/officeDocument/2006/relationships/hyperlink" Target="https://www.facebook.com/cairo.ha.12" TargetMode="External"/><Relationship Id="rId1133" Type="http://schemas.openxmlformats.org/officeDocument/2006/relationships/hyperlink" Target="https://www.facebook.com/nam.nguyenss.3?mibextid=LQQJ4d" TargetMode="External"/><Relationship Id="rId2531" Type="http://schemas.openxmlformats.org/officeDocument/2006/relationships/hyperlink" Target="https://www.facebook.com/phuong.xus.180" TargetMode="External"/><Relationship Id="rId4289" Type="http://schemas.openxmlformats.org/officeDocument/2006/relationships/hyperlink" Target="https://www.facebook.com/profile.php?id=100049793138721" TargetMode="External"/><Relationship Id="rId5687" Type="http://schemas.openxmlformats.org/officeDocument/2006/relationships/hyperlink" Target="https://www.facebook.com/profile.php?id=100046544449382" TargetMode="External"/><Relationship Id="rId6738" Type="http://schemas.openxmlformats.org/officeDocument/2006/relationships/hyperlink" Target="https://www.facebook.com/profile.php?id=100070347000827&amp;mibextid=ZbWKwL" TargetMode="External"/><Relationship Id="rId8160" Type="http://schemas.openxmlformats.org/officeDocument/2006/relationships/hyperlink" Target="https://www.facebook.com/share/15L7Tzo24y/?mibextid=LQQJ4d" TargetMode="External"/><Relationship Id="rId503" Type="http://schemas.openxmlformats.org/officeDocument/2006/relationships/hyperlink" Target="https://www.facebook.com/kieuloan.doanthi.73" TargetMode="External"/><Relationship Id="rId5754" Type="http://schemas.openxmlformats.org/officeDocument/2006/relationships/hyperlink" Target="https://www.facebook.com/htp14.06.205" TargetMode="External"/><Relationship Id="rId6805" Type="http://schemas.openxmlformats.org/officeDocument/2006/relationships/hyperlink" Target="https://drive.google.com/open?id=12dPdKzjLW4iGPq-EWOQzancDxEzSCyNH" TargetMode="External"/><Relationship Id="rId9211" Type="http://schemas.openxmlformats.org/officeDocument/2006/relationships/hyperlink" Target="https://www.facebook.com/profile.php?id=100079033491185&amp;mibextid=LQQJ4d" TargetMode="External"/><Relationship Id="rId1200" Type="http://schemas.openxmlformats.org/officeDocument/2006/relationships/hyperlink" Target="https://www.facebook.com/vy.nguyet.528" TargetMode="External"/><Relationship Id="rId4356" Type="http://schemas.openxmlformats.org/officeDocument/2006/relationships/hyperlink" Target="https://www.facebook.com/profile.php?id=100040485382059" TargetMode="External"/><Relationship Id="rId4770" Type="http://schemas.openxmlformats.org/officeDocument/2006/relationships/hyperlink" Target="https://www.facebook.com/nnp1712?mibextid=LQQJ4d" TargetMode="External"/><Relationship Id="rId5407" Type="http://schemas.openxmlformats.org/officeDocument/2006/relationships/hyperlink" Target="https://www.facebook.com/profile.php?id=100043973596052" TargetMode="External"/><Relationship Id="rId5821" Type="http://schemas.openxmlformats.org/officeDocument/2006/relationships/hyperlink" Target="https://www.facebook.com/profile.php?id=100080974934700" TargetMode="External"/><Relationship Id="rId8977" Type="http://schemas.openxmlformats.org/officeDocument/2006/relationships/hyperlink" Target="https://www.facebook.com/tan.hoang.650998" TargetMode="External"/><Relationship Id="rId3372" Type="http://schemas.openxmlformats.org/officeDocument/2006/relationships/hyperlink" Target="https://www.facebook.com/100051994800082/" TargetMode="External"/><Relationship Id="rId4009" Type="http://schemas.openxmlformats.org/officeDocument/2006/relationships/hyperlink" Target="https://www.facebook.com/profile.php?id=100067756221489" TargetMode="External"/><Relationship Id="rId4423" Type="http://schemas.openxmlformats.org/officeDocument/2006/relationships/hyperlink" Target="https://www.facebook.com/trangtran.0407?mibextid=LQQJ4d" TargetMode="External"/><Relationship Id="rId7579" Type="http://schemas.openxmlformats.org/officeDocument/2006/relationships/hyperlink" Target="https://drive.google.com/open?id=1-6Cuo85lX4-8BPQ03g3hiHVyzFNg3hVm" TargetMode="External"/><Relationship Id="rId7993" Type="http://schemas.openxmlformats.org/officeDocument/2006/relationships/hyperlink" Target="https://m.facebook.com/100024727153633/" TargetMode="External"/><Relationship Id="rId293" Type="http://schemas.openxmlformats.org/officeDocument/2006/relationships/hyperlink" Target="https://drive.google.com/open?id=13CZ0lLtdbJLTRvmQU5ulrqQYy8q5IDD2" TargetMode="External"/><Relationship Id="rId3025" Type="http://schemas.openxmlformats.org/officeDocument/2006/relationships/hyperlink" Target="https://www.facebook.com/maihuyen0101" TargetMode="External"/><Relationship Id="rId6595" Type="http://schemas.openxmlformats.org/officeDocument/2006/relationships/hyperlink" Target="https://www.facebook.com/profile.php?id=100087752305754&amp;mibextid=ZbWKwL" TargetMode="External"/><Relationship Id="rId7646" Type="http://schemas.openxmlformats.org/officeDocument/2006/relationships/hyperlink" Target="https://www.facebook.com/profile.php?id=100073530880095&amp;mibextid=LQQJ4d" TargetMode="External"/><Relationship Id="rId360" Type="http://schemas.openxmlformats.org/officeDocument/2006/relationships/hyperlink" Target="https://drive.google.com/open?id=1Owpasr2eobU9CvUPfG6fcB8825lSQdKF" TargetMode="External"/><Relationship Id="rId2041" Type="http://schemas.openxmlformats.org/officeDocument/2006/relationships/hyperlink" Target="https://drive.google.com/open?id=1Cz1pntVvkUl-hH3npLneKe6OT6Wku_2X" TargetMode="External"/><Relationship Id="rId5197" Type="http://schemas.openxmlformats.org/officeDocument/2006/relationships/hyperlink" Target="https://www.facebook.com/profile.php?id=100048235356015" TargetMode="External"/><Relationship Id="rId6248" Type="http://schemas.openxmlformats.org/officeDocument/2006/relationships/hyperlink" Target="https://www.facebook.com/profile.php?id=100068896482398&amp;mibextid=LQQJ4d" TargetMode="External"/><Relationship Id="rId5264" Type="http://schemas.openxmlformats.org/officeDocument/2006/relationships/hyperlink" Target="https://www.facebook.com/profile.php?id=100023910827689&amp;mibextid=LQQJ4d" TargetMode="External"/><Relationship Id="rId6662" Type="http://schemas.openxmlformats.org/officeDocument/2006/relationships/hyperlink" Target="https://www.facebook.com/thanhtam.truong.292006" TargetMode="External"/><Relationship Id="rId7713" Type="http://schemas.openxmlformats.org/officeDocument/2006/relationships/hyperlink" Target="https://www.facebook.com/profile.php?id=100069960662403&amp;mibextid=LQQJ4d&amp;rdid=qT5G1dJDRHnWDt9y&amp;share_url=https%3A%2F%2Fwww.facebook.com%2Fshare%2FkroBCtVM2kVg4r5d%2F%3Fmibextid%3DLQQJ4d" TargetMode="External"/><Relationship Id="rId2858" Type="http://schemas.openxmlformats.org/officeDocument/2006/relationships/hyperlink" Target="https://www.facebook.com/bac.covan.1?mibextid=ZbWKwL" TargetMode="External"/><Relationship Id="rId3909" Type="http://schemas.openxmlformats.org/officeDocument/2006/relationships/hyperlink" Target="https://drive.google.com/open?id=10WtTFjXZz7JaIDLRcGMzab-JodBgC-Ni" TargetMode="External"/><Relationship Id="rId6315" Type="http://schemas.openxmlformats.org/officeDocument/2006/relationships/hyperlink" Target="https://drive.google.com/open?id=1taCF1czrPcQQNC-MQJ6t1ZbqkEExdaGg" TargetMode="External"/><Relationship Id="rId99" Type="http://schemas.openxmlformats.org/officeDocument/2006/relationships/hyperlink" Target="https://www.facebook.com/profile.php?id=100034927894171" TargetMode="External"/><Relationship Id="rId1874" Type="http://schemas.openxmlformats.org/officeDocument/2006/relationships/hyperlink" Target="https://drive.google.com/open?id=1uDIr2BgdRk5XbctBSWpZ8A5KgBJDUX_c" TargetMode="External"/><Relationship Id="rId2925" Type="http://schemas.openxmlformats.org/officeDocument/2006/relationships/hyperlink" Target="https://www.facebook.com/profile.php?id=100014630508123&amp;mibextid=LQQJ4d" TargetMode="External"/><Relationship Id="rId4280" Type="http://schemas.openxmlformats.org/officeDocument/2006/relationships/hyperlink" Target="https://www.facebook.com/profile.php?id=100078749571126" TargetMode="External"/><Relationship Id="rId5331" Type="http://schemas.openxmlformats.org/officeDocument/2006/relationships/hyperlink" Target="https://www.facebook.com/profile.php?id=100038512759256&amp;mibextid=LQQJ4d" TargetMode="External"/><Relationship Id="rId8487" Type="http://schemas.openxmlformats.org/officeDocument/2006/relationships/hyperlink" Target="https://www.facebook.com/profile.php?id=100054984527305&amp;mibextid=LQQJ4d" TargetMode="External"/><Relationship Id="rId9538" Type="http://schemas.openxmlformats.org/officeDocument/2006/relationships/hyperlink" Target="https://www.facebook.com/share/1E1v47fnNS/?mibextid=wwXIfr" TargetMode="External"/><Relationship Id="rId1527" Type="http://schemas.openxmlformats.org/officeDocument/2006/relationships/hyperlink" Target="https://www.facebook.com/profile.php?id=100072388993506" TargetMode="External"/><Relationship Id="rId1941" Type="http://schemas.openxmlformats.org/officeDocument/2006/relationships/hyperlink" Target="https://drive.google.com/open?id=1OYqeGz7Jiwi5CYpSvcBtZBRh4fCuseLh" TargetMode="External"/><Relationship Id="rId7089" Type="http://schemas.openxmlformats.org/officeDocument/2006/relationships/hyperlink" Target="https://www.facebook.com/ngoclong.the?mibextid=LQQJ4d" TargetMode="External"/><Relationship Id="rId8554" Type="http://schemas.openxmlformats.org/officeDocument/2006/relationships/hyperlink" Target="https://www.facebook.com/profile.php?id=100013178014642&amp;mibextid=LQQJ4d" TargetMode="External"/><Relationship Id="rId3699" Type="http://schemas.openxmlformats.org/officeDocument/2006/relationships/hyperlink" Target="https://www.facebook.com/haoo.km?mibextid=LQQJ4d" TargetMode="External"/><Relationship Id="rId4000" Type="http://schemas.openxmlformats.org/officeDocument/2006/relationships/hyperlink" Target="https://drive.google.com/open?id=1L5NF9zLlConwW_40jDSmERpCyppCRXju" TargetMode="External"/><Relationship Id="rId7156" Type="http://schemas.openxmlformats.org/officeDocument/2006/relationships/hyperlink" Target="https://www.facebook.com/profile.php?id=100039419690455" TargetMode="External"/><Relationship Id="rId7570" Type="http://schemas.openxmlformats.org/officeDocument/2006/relationships/hyperlink" Target="https://www.facebook.com/share/19j6xLqhAH/?mibextid=LQQJ4d" TargetMode="External"/><Relationship Id="rId8207" Type="http://schemas.openxmlformats.org/officeDocument/2006/relationships/hyperlink" Target="https://drive.google.com/open?id=1kq88r5t8YYmfU89Tq7ry3duBMNKztsrq" TargetMode="External"/><Relationship Id="rId8621" Type="http://schemas.openxmlformats.org/officeDocument/2006/relationships/hyperlink" Target="https://www.facebook.com/nguyen.nguyen.nguyen.972530" TargetMode="External"/><Relationship Id="rId6172" Type="http://schemas.openxmlformats.org/officeDocument/2006/relationships/hyperlink" Target="https://www.facebook.com/ndiem.ne?mibextid=LQQJ4d" TargetMode="External"/><Relationship Id="rId7223" Type="http://schemas.openxmlformats.org/officeDocument/2006/relationships/hyperlink" Target="https://www.facebook.com/profile.php?id=100050092731490" TargetMode="External"/><Relationship Id="rId687" Type="http://schemas.openxmlformats.org/officeDocument/2006/relationships/hyperlink" Target="https://drive.google.com/open?id=1RCQaEWqK_Jgi3QRPhvHQ4mjr6-b7cEXP" TargetMode="External"/><Relationship Id="rId2368" Type="http://schemas.openxmlformats.org/officeDocument/2006/relationships/hyperlink" Target="https://www.facebook.com/vy.nguyet.528" TargetMode="External"/><Relationship Id="rId3766" Type="http://schemas.openxmlformats.org/officeDocument/2006/relationships/hyperlink" Target="https://www.facebook.com/Bichtae3012" TargetMode="External"/><Relationship Id="rId4817" Type="http://schemas.openxmlformats.org/officeDocument/2006/relationships/hyperlink" Target="https://drive.google.com/open?id=14xOf5ptdvdA14gmqWjwXjwDD4IABayZW" TargetMode="External"/><Relationship Id="rId9395" Type="http://schemas.openxmlformats.org/officeDocument/2006/relationships/hyperlink" Target="https://www.facebook.com/profile.php?id=100054632042158" TargetMode="External"/><Relationship Id="rId2782" Type="http://schemas.openxmlformats.org/officeDocument/2006/relationships/hyperlink" Target="https://drive.google.com/open?id=1QsVDE9Hiv2R4enhC-7zt8th5aXtAMakq" TargetMode="External"/><Relationship Id="rId3419" Type="http://schemas.openxmlformats.org/officeDocument/2006/relationships/hyperlink" Target="https://www.facebook.com/100041755752966/" TargetMode="External"/><Relationship Id="rId3833" Type="http://schemas.openxmlformats.org/officeDocument/2006/relationships/hyperlink" Target="https://drive.google.com/open?id=1ckzgHUnFqnKl1tF8HmwY7kOrII6-HaH-" TargetMode="External"/><Relationship Id="rId6989" Type="http://schemas.openxmlformats.org/officeDocument/2006/relationships/hyperlink" Target="https://drive.google.com/open?id=11xWPfLNXnvfpsHFbdoOaeI9AME_oAFzj" TargetMode="External"/><Relationship Id="rId9048" Type="http://schemas.openxmlformats.org/officeDocument/2006/relationships/hyperlink" Target="https://www.facebook.com/linhne2405" TargetMode="External"/><Relationship Id="rId754" Type="http://schemas.openxmlformats.org/officeDocument/2006/relationships/hyperlink" Target="https://www.facebook.com/phongnee.050?mibextid=LQQJ4d" TargetMode="External"/><Relationship Id="rId1384" Type="http://schemas.openxmlformats.org/officeDocument/2006/relationships/hyperlink" Target="https://www.facebook.com/hai.dangvipvailon" TargetMode="External"/><Relationship Id="rId2435" Type="http://schemas.openxmlformats.org/officeDocument/2006/relationships/hyperlink" Target="https://www.facebook.com/gnahuv?mibextid=LQQJ4d" TargetMode="External"/><Relationship Id="rId3900" Type="http://schemas.openxmlformats.org/officeDocument/2006/relationships/hyperlink" Target="https://www.facebook.com/pham.kelvin.733" TargetMode="External"/><Relationship Id="rId9462" Type="http://schemas.openxmlformats.org/officeDocument/2006/relationships/hyperlink" Target="https://www.facebook.com/yns.nieexinchao?mibextid=LQQJ4d" TargetMode="External"/><Relationship Id="rId90" Type="http://schemas.openxmlformats.org/officeDocument/2006/relationships/hyperlink" Target="https://www.facebook.com/thanhnghia.ho.5811" TargetMode="External"/><Relationship Id="rId407" Type="http://schemas.openxmlformats.org/officeDocument/2006/relationships/hyperlink" Target="https://www.facebook.com/htu.uienz" TargetMode="External"/><Relationship Id="rId821" Type="http://schemas.openxmlformats.org/officeDocument/2006/relationships/hyperlink" Target="https://www.facebook.com/profile.php?id=100055718940633&amp;mibextid=ZbWKwL" TargetMode="External"/><Relationship Id="rId1037" Type="http://schemas.openxmlformats.org/officeDocument/2006/relationships/hyperlink" Target="https://www.facebook.com/profile.php?id=100041928701331&amp;mibextid=LQQJ4d" TargetMode="External"/><Relationship Id="rId1451" Type="http://schemas.openxmlformats.org/officeDocument/2006/relationships/hyperlink" Target="https://www.facebook.com/profile.php?id=100041502606719" TargetMode="External"/><Relationship Id="rId2502" Type="http://schemas.openxmlformats.org/officeDocument/2006/relationships/hyperlink" Target="https://www.facebook.com/ngthgiang204?mibextid=JRoKGi" TargetMode="External"/><Relationship Id="rId5658" Type="http://schemas.openxmlformats.org/officeDocument/2006/relationships/hyperlink" Target="https://www.facebook.com/conich.khong.9277?rdid=cRyRkXbuP8OUdo7O&amp;share_url=https%3A%2F%2Fwww.facebook.com%2Fshare%2FMaMJvWz4pXduH4iK%2F" TargetMode="External"/><Relationship Id="rId6709" Type="http://schemas.openxmlformats.org/officeDocument/2006/relationships/hyperlink" Target="https://www.facebook.com/trungg.tran.14?mibextid=LQQJ4d" TargetMode="External"/><Relationship Id="rId8064" Type="http://schemas.openxmlformats.org/officeDocument/2006/relationships/hyperlink" Target="https://www.facebook.com/chin.pham.71271466?mibextid=LQQJ4d" TargetMode="External"/><Relationship Id="rId9115" Type="http://schemas.openxmlformats.org/officeDocument/2006/relationships/hyperlink" Target="https://www.facebook.com/phuong.uyen.367?mibextid=LQQJ4d" TargetMode="External"/><Relationship Id="rId1104" Type="http://schemas.openxmlformats.org/officeDocument/2006/relationships/hyperlink" Target="https://www.facebook.com/profile.php?id=100037131578308&amp;mibextid=LQQJ4d" TargetMode="External"/><Relationship Id="rId4674" Type="http://schemas.openxmlformats.org/officeDocument/2006/relationships/hyperlink" Target="https://drive.google.com/open?id=1YdpTcqVBuBo3AejAGtFGPySV06d-sZmC" TargetMode="External"/><Relationship Id="rId5725" Type="http://schemas.openxmlformats.org/officeDocument/2006/relationships/hyperlink" Target="https://www.facebook.com/elias.ainsworth.75436?mibextid=ZbWKwL" TargetMode="External"/><Relationship Id="rId7080" Type="http://schemas.openxmlformats.org/officeDocument/2006/relationships/hyperlink" Target="https://www.facebook.com/huong.cat.583?mibextid=kFxxJD" TargetMode="External"/><Relationship Id="rId8131" Type="http://schemas.openxmlformats.org/officeDocument/2006/relationships/hyperlink" Target="https://www.facebook.com/profile.php?id=100031708566448" TargetMode="External"/><Relationship Id="rId3276" Type="http://schemas.openxmlformats.org/officeDocument/2006/relationships/hyperlink" Target="https://www.facebook.com/100080139341439/" TargetMode="External"/><Relationship Id="rId3690" Type="http://schemas.openxmlformats.org/officeDocument/2006/relationships/hyperlink" Target="https://drive.google.com/open?id=1SY1_JJRFOV1PelELRMYJT7Tf7WcR3UJO" TargetMode="External"/><Relationship Id="rId4327" Type="http://schemas.openxmlformats.org/officeDocument/2006/relationships/hyperlink" Target="https://www.facebook.com/profile.php?id=100049637704551&amp;mibextid=LQQJ4d" TargetMode="External"/><Relationship Id="rId197" Type="http://schemas.openxmlformats.org/officeDocument/2006/relationships/hyperlink" Target="https://drive.google.com/open?id=1SUzT2FpIVkd1T93lPVYhwe7PS_DqRa1G" TargetMode="External"/><Relationship Id="rId2292" Type="http://schemas.openxmlformats.org/officeDocument/2006/relationships/hyperlink" Target="https://drive.google.com/open?id=1kHrJOIZ0Y7EYCT1I9LrOz6BJGfPWPV44" TargetMode="External"/><Relationship Id="rId3343" Type="http://schemas.openxmlformats.org/officeDocument/2006/relationships/hyperlink" Target="https://www.facebook.com/ducwepi2302" TargetMode="External"/><Relationship Id="rId4741" Type="http://schemas.openxmlformats.org/officeDocument/2006/relationships/hyperlink" Target="https://www.facebook.com/phuong.hee.9" TargetMode="External"/><Relationship Id="rId6499" Type="http://schemas.openxmlformats.org/officeDocument/2006/relationships/hyperlink" Target="https://drive.google.com/open?id=1Go2TbPof5UmlfZa78A1QtvyogA7YavPg" TargetMode="External"/><Relationship Id="rId7897" Type="http://schemas.openxmlformats.org/officeDocument/2006/relationships/hyperlink" Target="https://www.facebook.com/thhong102?mibextid=LQQJ4d" TargetMode="External"/><Relationship Id="rId8948" Type="http://schemas.openxmlformats.org/officeDocument/2006/relationships/hyperlink" Target="https://drive.google.com/open?id=1UfP2jWV3f_RWpbPMONrMTDft6CZXDIhD" TargetMode="External"/><Relationship Id="rId264" Type="http://schemas.openxmlformats.org/officeDocument/2006/relationships/hyperlink" Target="https://www.facebook.com/chinhnghia.ngo.986?mibextid=LQQJ4d" TargetMode="External"/><Relationship Id="rId7964" Type="http://schemas.openxmlformats.org/officeDocument/2006/relationships/hyperlink" Target="https://drive.google.com/open?id=1mrgOND4hsjmuyuo1X0DMCi9W3BjlJ9Yf" TargetMode="External"/><Relationship Id="rId3410" Type="http://schemas.openxmlformats.org/officeDocument/2006/relationships/hyperlink" Target="https://www.facebook.com/habaotrang.nguyen.9" TargetMode="External"/><Relationship Id="rId6566" Type="http://schemas.openxmlformats.org/officeDocument/2006/relationships/hyperlink" Target="https://www.facebook.com/profile.php?id=100012985931022&amp;mibextid=LQQJ4d" TargetMode="External"/><Relationship Id="rId6980" Type="http://schemas.openxmlformats.org/officeDocument/2006/relationships/hyperlink" Target="https://www.facebook.com/profile.php?id=100022352087938" TargetMode="External"/><Relationship Id="rId7617" Type="http://schemas.openxmlformats.org/officeDocument/2006/relationships/hyperlink" Target="https://www.facebook.com/thanhbinh.lethi.12764?mibextid=LQQJ4d" TargetMode="External"/><Relationship Id="rId331" Type="http://schemas.openxmlformats.org/officeDocument/2006/relationships/hyperlink" Target="https://www.facebook.com/profile.php?id=100086682072967&amp;mibextid=LQQJ4d" TargetMode="External"/><Relationship Id="rId2012" Type="http://schemas.openxmlformats.org/officeDocument/2006/relationships/hyperlink" Target="https://www.facebook.com/dinoamorebambusbaum?mibextid=ZbWKwL" TargetMode="External"/><Relationship Id="rId5168" Type="http://schemas.openxmlformats.org/officeDocument/2006/relationships/hyperlink" Target="https://www.facebook.com/profile.php?id=100065459359644&amp;mibextid=LQQJ4d" TargetMode="External"/><Relationship Id="rId5582" Type="http://schemas.openxmlformats.org/officeDocument/2006/relationships/hyperlink" Target="https://drive.google.com/open?id=18dg_9idQnkv00ZIVy5itLwbG7RyjtBSs" TargetMode="External"/><Relationship Id="rId6219" Type="http://schemas.openxmlformats.org/officeDocument/2006/relationships/hyperlink" Target="https://www.facebook.com/2imPhamHung?mibextid=LQQJ4d" TargetMode="External"/><Relationship Id="rId6633" Type="http://schemas.openxmlformats.org/officeDocument/2006/relationships/hyperlink" Target="https://www.facebook.com/profile.php?id=100049438391287&amp;mibextid=LQQJ4d" TargetMode="External"/><Relationship Id="rId1778" Type="http://schemas.openxmlformats.org/officeDocument/2006/relationships/hyperlink" Target="https://www.facebook.com/profile.php?id=100066362700204&amp;mibextid=LQQJ4d" TargetMode="External"/><Relationship Id="rId2829" Type="http://schemas.openxmlformats.org/officeDocument/2006/relationships/hyperlink" Target="https://drive.google.com/open?id=1dHnjBBMLV6uXuf-MYt17l-PE1sD82syU" TargetMode="External"/><Relationship Id="rId4184" Type="http://schemas.openxmlformats.org/officeDocument/2006/relationships/hyperlink" Target="https://drive.google.com/open?id=1DVuKWjtm4qc8jLpzEsgIgSod4_8wL7XW" TargetMode="External"/><Relationship Id="rId5235" Type="http://schemas.openxmlformats.org/officeDocument/2006/relationships/hyperlink" Target="https://www.facebook.com/profile.php?id=100065342919196&amp;mibextid=LQQJ4d" TargetMode="External"/><Relationship Id="rId6700" Type="http://schemas.openxmlformats.org/officeDocument/2006/relationships/hyperlink" Target="https://www.facebook.com/thienanhiselsey?mibextid=LQQJ4d" TargetMode="External"/><Relationship Id="rId4251" Type="http://schemas.openxmlformats.org/officeDocument/2006/relationships/hyperlink" Target="https://www.facebook.com/u.chaniw" TargetMode="External"/><Relationship Id="rId5302" Type="http://schemas.openxmlformats.org/officeDocument/2006/relationships/hyperlink" Target="https://www.facebook.com/profile.php?id=100023814316104" TargetMode="External"/><Relationship Id="rId8458" Type="http://schemas.openxmlformats.org/officeDocument/2006/relationships/hyperlink" Target="https://www.facebook.com/pchiixinhiu" TargetMode="External"/><Relationship Id="rId9509" Type="http://schemas.openxmlformats.org/officeDocument/2006/relationships/hyperlink" Target="https://www.facebook.com/share/1BQgJ71G7x/" TargetMode="External"/><Relationship Id="rId1845" Type="http://schemas.openxmlformats.org/officeDocument/2006/relationships/hyperlink" Target="https://drive.google.com/open?id=14c5dnJlpyGos3uj1j8mtnl62gVwhVHkW" TargetMode="External"/><Relationship Id="rId7474" Type="http://schemas.openxmlformats.org/officeDocument/2006/relationships/hyperlink" Target="https://drive.google.com/open?id=1kFIOqjwIrs8c5QxnJh3M1K2ikn81sUfO" TargetMode="External"/><Relationship Id="rId8872" Type="http://schemas.openxmlformats.org/officeDocument/2006/relationships/hyperlink" Target="https://www.facebook.com/thanh.hoa.340968" TargetMode="External"/><Relationship Id="rId1912" Type="http://schemas.openxmlformats.org/officeDocument/2006/relationships/hyperlink" Target="https://www.facebook.com/profile.php?id=100025333098909&amp;mibextid=ZbWKwL" TargetMode="External"/><Relationship Id="rId6076" Type="http://schemas.openxmlformats.org/officeDocument/2006/relationships/hyperlink" Target="https://www.facebook.com/profile.php?id=100024006441359&amp;mibextid=LQQJ4d" TargetMode="External"/><Relationship Id="rId7127" Type="http://schemas.openxmlformats.org/officeDocument/2006/relationships/hyperlink" Target="https://www.facebook.com/profile.php?id=100036857977489&amp;mibextid=LQQJ4d" TargetMode="External"/><Relationship Id="rId8525" Type="http://schemas.openxmlformats.org/officeDocument/2006/relationships/hyperlink" Target="https://www.facebook.com/anhdangiuso1tg?mibextid=LQQJ4d" TargetMode="External"/><Relationship Id="rId5092" Type="http://schemas.openxmlformats.org/officeDocument/2006/relationships/hyperlink" Target="https://drive.google.com/open?id=1ShW-dEAQMJCKJcYOaQc46RQ5JaQxizky" TargetMode="External"/><Relationship Id="rId6490" Type="http://schemas.openxmlformats.org/officeDocument/2006/relationships/hyperlink" Target="https://drive.google.com/open?id=1dGEePSjSB7gsG9anJY0hMZW6BGPzk4by" TargetMode="External"/><Relationship Id="rId7541" Type="http://schemas.openxmlformats.org/officeDocument/2006/relationships/hyperlink" Target="https://web.facebook.com/people/Nguy%E1%BB%85n-Tr%C3%A0-My/pfbid0hkW5sTbdaPpzepndjDKCCieAP6afZTvT7zyxsqzDULfJSPcS4hu7hVZpTNfprFAnl/" TargetMode="External"/><Relationship Id="rId2686" Type="http://schemas.openxmlformats.org/officeDocument/2006/relationships/hyperlink" Target="https://www.facebook.com/tuyetmai.ngo.752?mibextid=LQQJ4d" TargetMode="External"/><Relationship Id="rId3737" Type="http://schemas.openxmlformats.org/officeDocument/2006/relationships/hyperlink" Target="https://drive.google.com/open?id=1QVP2ouxnPDpXuqC4ytrPLIvUnvKSs53o" TargetMode="External"/><Relationship Id="rId6143" Type="http://schemas.openxmlformats.org/officeDocument/2006/relationships/hyperlink" Target="https://www.facebook.com/profile.php?id=61550477724490&amp;mibextid=LQQJ4d" TargetMode="External"/><Relationship Id="rId9299" Type="http://schemas.openxmlformats.org/officeDocument/2006/relationships/hyperlink" Target="https://www.facebook.com/share/1KDxz7PWDp/?mibextid=wwXIfr" TargetMode="External"/><Relationship Id="rId658" Type="http://schemas.openxmlformats.org/officeDocument/2006/relationships/hyperlink" Target="https://drive.google.com/open?id=1EWueKdF6OW4f6cdCSn7lErZgQ7f4ieHK" TargetMode="External"/><Relationship Id="rId1288" Type="http://schemas.openxmlformats.org/officeDocument/2006/relationships/hyperlink" Target="https://www.facebook.com/profile.php?id=100074784340201" TargetMode="External"/><Relationship Id="rId2339" Type="http://schemas.openxmlformats.org/officeDocument/2006/relationships/hyperlink" Target="https://www.facebook.com/profile.php?id=100076475740515" TargetMode="External"/><Relationship Id="rId2753" Type="http://schemas.openxmlformats.org/officeDocument/2006/relationships/hyperlink" Target="https://www.facebook.com/profile.php?id=100015913807767&amp;locale=vi_VN" TargetMode="External"/><Relationship Id="rId3804" Type="http://schemas.openxmlformats.org/officeDocument/2006/relationships/hyperlink" Target="https://www.facebook.com/oanhlam06?mibextid=LQQJ4d" TargetMode="External"/><Relationship Id="rId6210" Type="http://schemas.openxmlformats.org/officeDocument/2006/relationships/hyperlink" Target="https://www.facebook.com/profile.php?id=100081510570274&amp;mibextid=LQQJ4d" TargetMode="External"/><Relationship Id="rId9366" Type="http://schemas.openxmlformats.org/officeDocument/2006/relationships/hyperlink" Target="https://www.facebook.com/share/1Ba2ZZvAid/?mibextid=LQQJ4d" TargetMode="External"/><Relationship Id="rId725" Type="http://schemas.openxmlformats.org/officeDocument/2006/relationships/hyperlink" Target="https://www.facebook.com/profile.php?id=100050905101698" TargetMode="External"/><Relationship Id="rId1355" Type="http://schemas.openxmlformats.org/officeDocument/2006/relationships/hyperlink" Target="https://www.facebook.com/profile.php?id=100021701801813" TargetMode="External"/><Relationship Id="rId2406" Type="http://schemas.openxmlformats.org/officeDocument/2006/relationships/hyperlink" Target="https://drive.google.com/open?id=1n8RNkCKjDQtIJpfehG3BaCuxODt0BB7y" TargetMode="External"/><Relationship Id="rId8382" Type="http://schemas.openxmlformats.org/officeDocument/2006/relationships/hyperlink" Target="https://www.facebook.com/nguyen.ngocha.26" TargetMode="External"/><Relationship Id="rId9019" Type="http://schemas.openxmlformats.org/officeDocument/2006/relationships/hyperlink" Target="https://www.facebook.com/profile.php?id=100048138592987" TargetMode="External"/><Relationship Id="rId9433" Type="http://schemas.openxmlformats.org/officeDocument/2006/relationships/hyperlink" Target="https://www.facebook.com/profile.php?id=100042165469021" TargetMode="External"/><Relationship Id="rId1008" Type="http://schemas.openxmlformats.org/officeDocument/2006/relationships/hyperlink" Target="https://drive.google.com/open?id=1JPegg5BCMYFNsD4Hb02d4Be0X64e6Lqh" TargetMode="External"/><Relationship Id="rId1422" Type="http://schemas.openxmlformats.org/officeDocument/2006/relationships/hyperlink" Target="https://drive.google.com/open?id=1sC7XujA5pW3MGKQEbneUKdHVTptipg2S" TargetMode="External"/><Relationship Id="rId2820" Type="http://schemas.openxmlformats.org/officeDocument/2006/relationships/hyperlink" Target="https://www.facebook.com/le.tanh.10004?mibextid=ZbWKwL" TargetMode="External"/><Relationship Id="rId4578" Type="http://schemas.openxmlformats.org/officeDocument/2006/relationships/hyperlink" Target="https://www.facebook.com/nhungkiu5211" TargetMode="External"/><Relationship Id="rId5976" Type="http://schemas.openxmlformats.org/officeDocument/2006/relationships/hyperlink" Target="https://www.facebook.com/profile.php?id=100081108164028&amp;mibextid=ZbWKwL" TargetMode="External"/><Relationship Id="rId8035" Type="http://schemas.openxmlformats.org/officeDocument/2006/relationships/hyperlink" Target="https://www.facebook.com/profile.php?id=61555581805079&amp;mibextid=ZbWKwL" TargetMode="External"/><Relationship Id="rId61" Type="http://schemas.openxmlformats.org/officeDocument/2006/relationships/hyperlink" Target="https://www.facebook.com/profile.php?id=100027424446622&amp;mibextid=ZbWKwL" TargetMode="External"/><Relationship Id="rId4992" Type="http://schemas.openxmlformats.org/officeDocument/2006/relationships/hyperlink" Target="https://www.facebook.com/minhphong15" TargetMode="External"/><Relationship Id="rId5629" Type="http://schemas.openxmlformats.org/officeDocument/2006/relationships/hyperlink" Target="https://www.facebook.com/bmhuong.2906?mibextid=LQQJ4d" TargetMode="External"/><Relationship Id="rId7051" Type="http://schemas.openxmlformats.org/officeDocument/2006/relationships/hyperlink" Target="https://drive.google.com/open?id=1PP3uXTEWsfMlf-3SG3RoTMY3n0PG4a6T" TargetMode="External"/><Relationship Id="rId8102" Type="http://schemas.openxmlformats.org/officeDocument/2006/relationships/hyperlink" Target="https://www.facebook.com/profile.php?id=61559472645104&amp;mibextid=LQQJ4d" TargetMode="External"/><Relationship Id="rId9500" Type="http://schemas.openxmlformats.org/officeDocument/2006/relationships/hyperlink" Target="https://www.facebook.com/ngo.the.cuong.2024" TargetMode="External"/><Relationship Id="rId2196" Type="http://schemas.openxmlformats.org/officeDocument/2006/relationships/hyperlink" Target="https://www.facebook.com/profile.php?id=100034044590012&amp;mibextid=ZbWKwL" TargetMode="External"/><Relationship Id="rId3594" Type="http://schemas.openxmlformats.org/officeDocument/2006/relationships/hyperlink" Target="https://www.facebook.com/hung.haxuan.1407" TargetMode="External"/><Relationship Id="rId4645" Type="http://schemas.openxmlformats.org/officeDocument/2006/relationships/hyperlink" Target="https://www.facebook.com/profile.php?id=100025328475546" TargetMode="External"/><Relationship Id="rId168" Type="http://schemas.openxmlformats.org/officeDocument/2006/relationships/hyperlink" Target="https://www.facebook.com/ngaos.nhos.359" TargetMode="External"/><Relationship Id="rId3247" Type="http://schemas.openxmlformats.org/officeDocument/2006/relationships/hyperlink" Target="https://www.facebook.com/profile.php?id=100053103499604&amp;mibextid=LQQJ4d" TargetMode="External"/><Relationship Id="rId3661" Type="http://schemas.openxmlformats.org/officeDocument/2006/relationships/hyperlink" Target="https://drive.google.com/open?id=1-QCJ8Gd8Vyq1sd_addWDvoA3GfWlMki1" TargetMode="External"/><Relationship Id="rId4712" Type="http://schemas.openxmlformats.org/officeDocument/2006/relationships/hyperlink" Target="https://drive.google.com/open?id=12VlQzjm1L6zCsWjQl_gz-l-7ZAbxqj3d" TargetMode="External"/><Relationship Id="rId7868" Type="http://schemas.openxmlformats.org/officeDocument/2006/relationships/hyperlink" Target="https://www.facebook.com/profile.php?id=100012247006319" TargetMode="External"/><Relationship Id="rId8919" Type="http://schemas.openxmlformats.org/officeDocument/2006/relationships/hyperlink" Target="https://drive.google.com/open?id=1acONL-TGBV8YoPlCw8PxiIiVAvD3pvap" TargetMode="External"/><Relationship Id="rId582" Type="http://schemas.openxmlformats.org/officeDocument/2006/relationships/hyperlink" Target="https://www.facebook.com/profile.php?id=100040926909600" TargetMode="External"/><Relationship Id="rId2263" Type="http://schemas.openxmlformats.org/officeDocument/2006/relationships/hyperlink" Target="https://drive.google.com/open?id=17Y8vsJ64QU0clrKueW0_mInsipw_gJif" TargetMode="External"/><Relationship Id="rId3314" Type="http://schemas.openxmlformats.org/officeDocument/2006/relationships/hyperlink" Target="https://www.facebook.com/hi.phuong.3975?mibextid=ZbWKwL" TargetMode="External"/><Relationship Id="rId6884" Type="http://schemas.openxmlformats.org/officeDocument/2006/relationships/hyperlink" Target="https://www.facebook.com/profile.php?id=100019748934690&amp;mibextid=LQQJ4d" TargetMode="External"/><Relationship Id="rId7935" Type="http://schemas.openxmlformats.org/officeDocument/2006/relationships/hyperlink" Target="https://www.facebook.com/profile.php?id=100049606880781&amp;mibextid=LQQJ4d" TargetMode="External"/><Relationship Id="rId9290" Type="http://schemas.openxmlformats.org/officeDocument/2006/relationships/hyperlink" Target="https://www.facebook.com/ngo.quy.thai?mibextid=wwXIfr&amp;rdid=X4z0nmznhe5CXIpx&amp;share_url=https%3A%2F%2Fwww.facebook.com%2Fshare%2F15s96aKMZQ%2F%3Fmibextid%3DwwXIfr" TargetMode="External"/><Relationship Id="rId235" Type="http://schemas.openxmlformats.org/officeDocument/2006/relationships/hyperlink" Target="https://www.facebook.com/profile.php?id=100017119905197" TargetMode="External"/><Relationship Id="rId2330" Type="http://schemas.openxmlformats.org/officeDocument/2006/relationships/hyperlink" Target="https://drive.google.com/open?id=1dgn3pyTML5tRMfxQqdaa7Xj6XXMTJyVa" TargetMode="External"/><Relationship Id="rId5486" Type="http://schemas.openxmlformats.org/officeDocument/2006/relationships/hyperlink" Target="https://drive.google.com/open?id=1PHs4iLz4_P4JUIGFWQi5u2eAL9XGRrWR" TargetMode="External"/><Relationship Id="rId6537" Type="http://schemas.openxmlformats.org/officeDocument/2006/relationships/hyperlink" Target="https://www.facebook.com/crishoang10a2?mibextid=LQQJ4d" TargetMode="External"/><Relationship Id="rId302" Type="http://schemas.openxmlformats.org/officeDocument/2006/relationships/hyperlink" Target="https://www.facebook.com/minhhangg84?mibextid=LQQJ4d" TargetMode="External"/><Relationship Id="rId4088" Type="http://schemas.openxmlformats.org/officeDocument/2006/relationships/hyperlink" Target="https://drive.google.com/open?id=1pMpDHIDpk_MVVZ__hc5d7tMtJC6S5nZo" TargetMode="External"/><Relationship Id="rId5139" Type="http://schemas.openxmlformats.org/officeDocument/2006/relationships/hyperlink" Target="https://drive.google.com/open?id=17U6NgWCGQh40T8kHwtPlz_pgQA6Y5_P8" TargetMode="External"/><Relationship Id="rId5553" Type="http://schemas.openxmlformats.org/officeDocument/2006/relationships/hyperlink" Target="https://www.facebook.com/profile.php?id=100055334854811&amp;mibextid=LQQJ4d" TargetMode="External"/><Relationship Id="rId6951" Type="http://schemas.openxmlformats.org/officeDocument/2006/relationships/hyperlink" Target="https://www.facebook.com/wus.pih?mibextid=LQQJ4d" TargetMode="External"/><Relationship Id="rId9010" Type="http://schemas.openxmlformats.org/officeDocument/2006/relationships/hyperlink" Target="https://drive.google.com/open?id=1iYibntCnsVHAhE4X0XE9isxUfpOxB3Jb" TargetMode="External"/><Relationship Id="rId4155" Type="http://schemas.openxmlformats.org/officeDocument/2006/relationships/hyperlink" Target="https://www.facebook.com/profile.php?id=100046289793298" TargetMode="External"/><Relationship Id="rId5206" Type="http://schemas.openxmlformats.org/officeDocument/2006/relationships/hyperlink" Target="https://www.facebook.com/profile.php?id=100078864744984" TargetMode="External"/><Relationship Id="rId6604" Type="http://schemas.openxmlformats.org/officeDocument/2006/relationships/hyperlink" Target="https://www.facebook.com/profile.php?id=100029185264513" TargetMode="External"/><Relationship Id="rId1749" Type="http://schemas.openxmlformats.org/officeDocument/2006/relationships/hyperlink" Target="https://www.facebook.com/profile.php?id=100063547159931&amp;mibextid=LQQJ4d" TargetMode="External"/><Relationship Id="rId3171" Type="http://schemas.openxmlformats.org/officeDocument/2006/relationships/hyperlink" Target="https://www.facebook.com/profile.php?id=100042705532110&amp;mibextid=2JQ9oc" TargetMode="External"/><Relationship Id="rId5620" Type="http://schemas.openxmlformats.org/officeDocument/2006/relationships/hyperlink" Target="https://www.facebook.com/profile.php?id=100087206744949&amp;mibextid=LQQJ4d" TargetMode="External"/><Relationship Id="rId8776" Type="http://schemas.openxmlformats.org/officeDocument/2006/relationships/hyperlink" Target="https://www.facebook.com/profile.php?id=100045577670584" TargetMode="External"/><Relationship Id="rId1816" Type="http://schemas.openxmlformats.org/officeDocument/2006/relationships/hyperlink" Target="https://www.facebook.com/profile.php?id=100054615952893&amp;mibextid=LQQJ4d" TargetMode="External"/><Relationship Id="rId4222" Type="http://schemas.openxmlformats.org/officeDocument/2006/relationships/hyperlink" Target="https://www.facebook.com/profile.php?id=100051070864960&amp;mibextid=LQQJ4d" TargetMode="External"/><Relationship Id="rId7378" Type="http://schemas.openxmlformats.org/officeDocument/2006/relationships/hyperlink" Target="https://www.facebook.com/thingocanh.kieu.754?mibextid=LQQJ4d" TargetMode="External"/><Relationship Id="rId7792" Type="http://schemas.openxmlformats.org/officeDocument/2006/relationships/hyperlink" Target="https://drive.google.com/open?id=1jTsZIk2UA9hcnT-NJmrsIUyQogkF7PcR" TargetMode="External"/><Relationship Id="rId8429" Type="http://schemas.openxmlformats.org/officeDocument/2006/relationships/hyperlink" Target="https://www.facebook.com/profile.php?id=100059509046999" TargetMode="External"/><Relationship Id="rId8843" Type="http://schemas.openxmlformats.org/officeDocument/2006/relationships/hyperlink" Target="https://drive.google.com/open?id=13YrVaDqDW4CvYyalAniAYOyghCtjGR2i" TargetMode="External"/><Relationship Id="rId3988" Type="http://schemas.openxmlformats.org/officeDocument/2006/relationships/hyperlink" Target="https://www.facebook.com/anh.tran.942145?mibextid=ZbWKwL" TargetMode="External"/><Relationship Id="rId6394" Type="http://schemas.openxmlformats.org/officeDocument/2006/relationships/hyperlink" Target="https://www.facebook.com/nguyen.ngocha.26" TargetMode="External"/><Relationship Id="rId7445" Type="http://schemas.openxmlformats.org/officeDocument/2006/relationships/hyperlink" Target="https://www.facebook.com/Tt.ngaan.tt?mibextid=ZbWKwL" TargetMode="External"/><Relationship Id="rId8910" Type="http://schemas.openxmlformats.org/officeDocument/2006/relationships/hyperlink" Target="https://drive.google.com/open?id=1jp7ZYjtUaD4M708lJasnzyVd-PHYYcxE" TargetMode="External"/><Relationship Id="rId6047" Type="http://schemas.openxmlformats.org/officeDocument/2006/relationships/hyperlink" Target="https://drive.google.com/open?id=1htP7Prj6XrrJaeKXgRn-bK_1JgOiJLHY" TargetMode="External"/><Relationship Id="rId6461" Type="http://schemas.openxmlformats.org/officeDocument/2006/relationships/hyperlink" Target="https://www.facebook.com/profile.php?id=100063710853967" TargetMode="External"/><Relationship Id="rId7512" Type="http://schemas.openxmlformats.org/officeDocument/2006/relationships/hyperlink" Target="https://www.facebook.com/profile.php?id=100054794198790&amp;mibextid=LQQJ4d" TargetMode="External"/><Relationship Id="rId976" Type="http://schemas.openxmlformats.org/officeDocument/2006/relationships/hyperlink" Target="https://www.facebook.com/thanh2104207?mibextid=2JQ9oc" TargetMode="External"/><Relationship Id="rId2657" Type="http://schemas.openxmlformats.org/officeDocument/2006/relationships/hyperlink" Target="https://www.facebook.com/tragiang.tranthi.111?mibextid=ZbWKwL" TargetMode="External"/><Relationship Id="rId5063" Type="http://schemas.openxmlformats.org/officeDocument/2006/relationships/hyperlink" Target="https://www.facebook.com/profile.php?id=100056706477069&amp;mibextid=LQQJ4d" TargetMode="External"/><Relationship Id="rId6114" Type="http://schemas.openxmlformats.org/officeDocument/2006/relationships/hyperlink" Target="https://www.facebook.com/heogay.pepu?mibextid=LQQJ4d" TargetMode="External"/><Relationship Id="rId629" Type="http://schemas.openxmlformats.org/officeDocument/2006/relationships/hyperlink" Target="https://www.facebook.com/profile.php?id=100041939258170" TargetMode="External"/><Relationship Id="rId1259" Type="http://schemas.openxmlformats.org/officeDocument/2006/relationships/hyperlink" Target="https://www.facebook.com/profile.php?id=100033990849589" TargetMode="External"/><Relationship Id="rId3708" Type="http://schemas.openxmlformats.org/officeDocument/2006/relationships/hyperlink" Target="https://drive.google.com/open?id=1Owpasr2eobU9CvUPfG6fcB8825lSQdKF" TargetMode="External"/><Relationship Id="rId5130" Type="http://schemas.openxmlformats.org/officeDocument/2006/relationships/hyperlink" Target="https://www.facebook.com/mat.troi.378537?mibextid=LQQJ4d" TargetMode="External"/><Relationship Id="rId8286" Type="http://schemas.openxmlformats.org/officeDocument/2006/relationships/hyperlink" Target="https://drive.google.com/open?id=1JAmIrZBbAjGJPodokL00v0nVCg_P1MNb" TargetMode="External"/><Relationship Id="rId9337" Type="http://schemas.openxmlformats.org/officeDocument/2006/relationships/hyperlink" Target="https://drive.google.com/open?id=1F5mS2ltDpEl7tO0BuDEoeSNSfqNWJtTr" TargetMode="External"/><Relationship Id="rId1673" Type="http://schemas.openxmlformats.org/officeDocument/2006/relationships/hyperlink" Target="https://drive.google.com/open?id=1XYOnbkZQetMxgLmLsDhdr7pS95CwX1l1" TargetMode="External"/><Relationship Id="rId2724" Type="http://schemas.openxmlformats.org/officeDocument/2006/relationships/hyperlink" Target="https://www.facebook.com/nguyen.quoctrung.98096" TargetMode="External"/><Relationship Id="rId1326" Type="http://schemas.openxmlformats.org/officeDocument/2006/relationships/hyperlink" Target="https://drive.google.com/open?id=1el3SHnXVYshmA6xKdj7UZ3SMRFUyjevz" TargetMode="External"/><Relationship Id="rId1740" Type="http://schemas.openxmlformats.org/officeDocument/2006/relationships/hyperlink" Target="https://drive.google.com/open?id=1OkNXHbPm5LJ--z5O9AbNlXj8MPNbeYE9" TargetMode="External"/><Relationship Id="rId4896" Type="http://schemas.openxmlformats.org/officeDocument/2006/relationships/hyperlink" Target="https://drive.google.com/open?id=1zXR1FvHjhA1osNQt-LhWlFFHcjF3ZlKd" TargetMode="External"/><Relationship Id="rId5947" Type="http://schemas.openxmlformats.org/officeDocument/2006/relationships/hyperlink" Target="https://www.facebook.com/profile.php?id=100035363684944&amp;locale=vi_VN" TargetMode="External"/><Relationship Id="rId8353" Type="http://schemas.openxmlformats.org/officeDocument/2006/relationships/hyperlink" Target="https://drive.google.com/open?id=152FaN10LYMC1dHaSJ_VwX8ja4OOLP7rm" TargetMode="External"/><Relationship Id="rId9404" Type="http://schemas.openxmlformats.org/officeDocument/2006/relationships/hyperlink" Target="https://drive.google.com/open?id=1H0bbu9J2LYDDDJAPlKBbelbMg0oGLhbH" TargetMode="External"/><Relationship Id="rId32" Type="http://schemas.openxmlformats.org/officeDocument/2006/relationships/hyperlink" Target="https://www.facebook.com/phuongthao.mqnc?mibextid=LQQJ4d" TargetMode="External"/><Relationship Id="rId3498" Type="http://schemas.openxmlformats.org/officeDocument/2006/relationships/hyperlink" Target="https://www.facebook.com/profile.php?id=100051147399166&amp;mibextid=LQQJ4d" TargetMode="External"/><Relationship Id="rId4549" Type="http://schemas.openxmlformats.org/officeDocument/2006/relationships/hyperlink" Target="https://www.facebook.com/bachlam2209?mibextid=ZbWKwL" TargetMode="External"/><Relationship Id="rId4963" Type="http://schemas.openxmlformats.org/officeDocument/2006/relationships/hyperlink" Target="https://drive.google.com/open?id=1w8hyh1WZhNVyfpkX0uaGAvKygb8Gb5fy" TargetMode="External"/><Relationship Id="rId8006" Type="http://schemas.openxmlformats.org/officeDocument/2006/relationships/hyperlink" Target="https://www.facebook.com/share/1AQx9GRtnE/" TargetMode="External"/><Relationship Id="rId8420" Type="http://schemas.openxmlformats.org/officeDocument/2006/relationships/hyperlink" Target="https://www.facebook.com/ndlambinh30706?mibextid=LQQJ4d" TargetMode="External"/><Relationship Id="rId3565" Type="http://schemas.openxmlformats.org/officeDocument/2006/relationships/hyperlink" Target="https://www.facebook.com/profile.php?id=100050241463752&amp;mibextid=LQQJ4d" TargetMode="External"/><Relationship Id="rId4616" Type="http://schemas.openxmlformats.org/officeDocument/2006/relationships/hyperlink" Target="https://www.facebook.com/hosu.bae.1?mibextid=ZbWKwL" TargetMode="External"/><Relationship Id="rId7022" Type="http://schemas.openxmlformats.org/officeDocument/2006/relationships/hyperlink" Target="https://www.facebook.com/profile.php?id=100088898736351" TargetMode="External"/><Relationship Id="rId486" Type="http://schemas.openxmlformats.org/officeDocument/2006/relationships/hyperlink" Target="https://drive.google.com/open?id=1dSTcUlfFZJCVud3aja1Ln8h3wQgEsohG" TargetMode="External"/><Relationship Id="rId2167" Type="http://schemas.openxmlformats.org/officeDocument/2006/relationships/hyperlink" Target="https://drive.google.com/open?id=18EiZjZkkwk6Y308DNaHl6LxcxoUqhs-i" TargetMode="External"/><Relationship Id="rId2581" Type="http://schemas.openxmlformats.org/officeDocument/2006/relationships/hyperlink" Target="https://www.facebook.com/nhunn95?mibextid=ZbWKwL" TargetMode="External"/><Relationship Id="rId3218" Type="http://schemas.openxmlformats.org/officeDocument/2006/relationships/hyperlink" Target="https://www.facebook.com/share/4hJa6vtvuTqF7MTZ/?" TargetMode="External"/><Relationship Id="rId3632" Type="http://schemas.openxmlformats.org/officeDocument/2006/relationships/hyperlink" Target="https://drive.google.com/open?id=13nXEY6K-FNvxvxuSvfxhHNpqBIqlAeM2" TargetMode="External"/><Relationship Id="rId6788" Type="http://schemas.openxmlformats.org/officeDocument/2006/relationships/hyperlink" Target="https://www.facebook.com/profile.php?id=100039982610149&amp;mibextid=LQQJ4d" TargetMode="External"/><Relationship Id="rId9194" Type="http://schemas.openxmlformats.org/officeDocument/2006/relationships/hyperlink" Target="https://www.facebook.com/nguyen.ngoc.phanh.2024" TargetMode="External"/><Relationship Id="rId139" Type="http://schemas.openxmlformats.org/officeDocument/2006/relationships/hyperlink" Target="https://drive.google.com/open?id=1IFIypTQ1GHlc5-tp91uG1yzEujKgLb7O" TargetMode="External"/><Relationship Id="rId553" Type="http://schemas.openxmlformats.org/officeDocument/2006/relationships/hyperlink" Target="https://www.facebook.com/profile.php?id=61550369713683" TargetMode="External"/><Relationship Id="rId1183" Type="http://schemas.openxmlformats.org/officeDocument/2006/relationships/hyperlink" Target="https://www.facebook.com/profile.php?id=100025022552929&amp;mibextid=ZbWKwL" TargetMode="External"/><Relationship Id="rId2234" Type="http://schemas.openxmlformats.org/officeDocument/2006/relationships/hyperlink" Target="https://www.facebook.com/profile.php?id=100030563131798&amp;mibextid=ZbWKwL" TargetMode="External"/><Relationship Id="rId7839" Type="http://schemas.openxmlformats.org/officeDocument/2006/relationships/hyperlink" Target="https://www.facebook.com/pham.uc.thuan.540771" TargetMode="External"/><Relationship Id="rId9261" Type="http://schemas.openxmlformats.org/officeDocument/2006/relationships/hyperlink" Target="https://www.facebook.com/share/1XELjbdiux/?mibextid=wwXIfr" TargetMode="External"/><Relationship Id="rId206" Type="http://schemas.openxmlformats.org/officeDocument/2006/relationships/hyperlink" Target="https://www.facebook.com/thanhvan.phamthi.5099?mibextid=2JQ9oc" TargetMode="External"/><Relationship Id="rId6855" Type="http://schemas.openxmlformats.org/officeDocument/2006/relationships/hyperlink" Target="https://www.facebook.com/profile.php?id=100044857876354&amp;mibextid=LQQJ4d" TargetMode="External"/><Relationship Id="rId7906" Type="http://schemas.openxmlformats.org/officeDocument/2006/relationships/hyperlink" Target="https://www.facebook.com/quangthp.33?mibextid=D4KYlr" TargetMode="External"/><Relationship Id="rId620" Type="http://schemas.openxmlformats.org/officeDocument/2006/relationships/hyperlink" Target="https://www.facebook.com/nguyennhung.7777777" TargetMode="External"/><Relationship Id="rId1250" Type="http://schemas.openxmlformats.org/officeDocument/2006/relationships/hyperlink" Target="https://www.facebook.com/profile.php?id=100068940620275&amp;mibextid=ZbWKwL" TargetMode="External"/><Relationship Id="rId2301" Type="http://schemas.openxmlformats.org/officeDocument/2006/relationships/hyperlink" Target="https://www.facebook.com/profile.php?id=100033984751662&amp;mibextid=LQQJ4d" TargetMode="External"/><Relationship Id="rId4059" Type="http://schemas.openxmlformats.org/officeDocument/2006/relationships/hyperlink" Target="https://www.facebook.com/chimte.trinn" TargetMode="External"/><Relationship Id="rId5457" Type="http://schemas.openxmlformats.org/officeDocument/2006/relationships/hyperlink" Target="https://www.facebook.com/ngeynnahng?mibextid=ZbWKwL" TargetMode="External"/><Relationship Id="rId5871" Type="http://schemas.openxmlformats.org/officeDocument/2006/relationships/hyperlink" Target="https://www.facebook.com/do.huyen.006?mibextid=JRoKGi" TargetMode="External"/><Relationship Id="rId6508" Type="http://schemas.openxmlformats.org/officeDocument/2006/relationships/hyperlink" Target="https://www.facebook.com/profile.php?id=100069946414457&amp;mibextid=LQQJ4d" TargetMode="External"/><Relationship Id="rId6922" Type="http://schemas.openxmlformats.org/officeDocument/2006/relationships/hyperlink" Target="https://drive.google.com/open?id=16QSK1Bo0mW8b94xQoKMO8Cqqogn4G-5w" TargetMode="External"/><Relationship Id="rId4473" Type="http://schemas.openxmlformats.org/officeDocument/2006/relationships/hyperlink" Target="https://drive.google.com/open?id=1ZPocA7h30PGUYReegl50AdbwNVZgCY1H" TargetMode="External"/><Relationship Id="rId5524" Type="http://schemas.openxmlformats.org/officeDocument/2006/relationships/hyperlink" Target="https://www.facebook.com/profile.php?id=100027632799025&amp;mibextid=ZbWKwL" TargetMode="External"/><Relationship Id="rId3075" Type="http://schemas.openxmlformats.org/officeDocument/2006/relationships/hyperlink" Target="https://drive.google.com/open?id=1RMGjvb6dxifkoA7QKKmZPcBRpyf6yDK2" TargetMode="External"/><Relationship Id="rId4126" Type="http://schemas.openxmlformats.org/officeDocument/2006/relationships/hyperlink" Target="https://www.facebook.com/cut.cuc.750331?mibextid=LQQJ4d" TargetMode="External"/><Relationship Id="rId4540" Type="http://schemas.openxmlformats.org/officeDocument/2006/relationships/hyperlink" Target="https://drive.google.com/open?id=1FnI4pm4UM_iRpP33Cs54LN7h8TQtJHdz" TargetMode="External"/><Relationship Id="rId7696" Type="http://schemas.openxmlformats.org/officeDocument/2006/relationships/hyperlink" Target="https://drive.google.com/open?id=131sA2G_swpwuQBrzNOOPA6IjW71MNOMN" TargetMode="External"/><Relationship Id="rId8747" Type="http://schemas.openxmlformats.org/officeDocument/2006/relationships/hyperlink" Target="https://www.facebook.com/profile.php?id=100039192302063&amp;locale=vi_VN" TargetMode="External"/><Relationship Id="rId2091" Type="http://schemas.openxmlformats.org/officeDocument/2006/relationships/hyperlink" Target="https://drive.google.com/open?id=1anDkAF9PlH-03HXq1DZA0QsxREqf35zy" TargetMode="External"/><Relationship Id="rId3142" Type="http://schemas.openxmlformats.org/officeDocument/2006/relationships/hyperlink" Target="https://www.facebook.com/nguyenhokhanhlinh2810?mibextid=ZbWKwL" TargetMode="External"/><Relationship Id="rId6298" Type="http://schemas.openxmlformats.org/officeDocument/2006/relationships/hyperlink" Target="https://drive.google.com/open?id=1zIKErrOWRTrDXrO7Wn1_ue_bJORZuFAU" TargetMode="External"/><Relationship Id="rId7349" Type="http://schemas.openxmlformats.org/officeDocument/2006/relationships/hyperlink" Target="https://www.facebook.com/mat.troi.378537?mibextid=LQQJ4d" TargetMode="External"/><Relationship Id="rId7763" Type="http://schemas.openxmlformats.org/officeDocument/2006/relationships/hyperlink" Target="https://www.facebook.com/khac.duc.64087" TargetMode="External"/><Relationship Id="rId6365" Type="http://schemas.openxmlformats.org/officeDocument/2006/relationships/hyperlink" Target="https://www.facebook.com/nguyenn.ngoc.anh.395017" TargetMode="External"/><Relationship Id="rId7416" Type="http://schemas.openxmlformats.org/officeDocument/2006/relationships/hyperlink" Target="https://www.facebook.com/nguyenthithiem.nguyen.5?mibextid=ZbWKwL" TargetMode="External"/><Relationship Id="rId8814" Type="http://schemas.openxmlformats.org/officeDocument/2006/relationships/hyperlink" Target="https://drive.google.com/open?id=1u5dpR0hgZVFWHJ0n9m21gw4smqHOMxj8" TargetMode="External"/><Relationship Id="rId130" Type="http://schemas.openxmlformats.org/officeDocument/2006/relationships/hyperlink" Target="https://www.facebook.com/profile.php?id=100053790885244" TargetMode="External"/><Relationship Id="rId3959" Type="http://schemas.openxmlformats.org/officeDocument/2006/relationships/hyperlink" Target="https://www.facebook.com/profile.php?id=100080183169311&amp;mibextid=ZbWKwL" TargetMode="External"/><Relationship Id="rId5381" Type="http://schemas.openxmlformats.org/officeDocument/2006/relationships/hyperlink" Target="https://www.facebook.com/teo.ruby.1?mibextid=ZbWKwL" TargetMode="External"/><Relationship Id="rId6018" Type="http://schemas.openxmlformats.org/officeDocument/2006/relationships/hyperlink" Target="https://www.facebook.com/profile.php?id=100093152869591" TargetMode="External"/><Relationship Id="rId7830" Type="http://schemas.openxmlformats.org/officeDocument/2006/relationships/hyperlink" Target="https://drive.google.com/open?id=12WCNoYGCumzsAcTWUwH9HUQ1RIBoggTk" TargetMode="External"/><Relationship Id="rId2975" Type="http://schemas.openxmlformats.org/officeDocument/2006/relationships/hyperlink" Target="https://www.facebook.com/profile.php?id=100026686776406&amp;mibextid=LQQJ4d" TargetMode="External"/><Relationship Id="rId5034" Type="http://schemas.openxmlformats.org/officeDocument/2006/relationships/hyperlink" Target="https://www.facebook.com/profile.php?id=100046544449382" TargetMode="External"/><Relationship Id="rId6432" Type="http://schemas.openxmlformats.org/officeDocument/2006/relationships/hyperlink" Target="https://www.facebook.com/profile.php?id=100046703358017" TargetMode="External"/><Relationship Id="rId947" Type="http://schemas.openxmlformats.org/officeDocument/2006/relationships/hyperlink" Target="https://www.facebook.com/profile.php?id=100053464005023" TargetMode="External"/><Relationship Id="rId1577" Type="http://schemas.openxmlformats.org/officeDocument/2006/relationships/hyperlink" Target="https://www.facebook.com/domhieu2212?mibextid=LQQJ4d" TargetMode="External"/><Relationship Id="rId1991" Type="http://schemas.openxmlformats.org/officeDocument/2006/relationships/hyperlink" Target="https://www.facebook.com/profile.php?id=100041939258170" TargetMode="External"/><Relationship Id="rId2628" Type="http://schemas.openxmlformats.org/officeDocument/2006/relationships/hyperlink" Target="https://www.facebook.com/profile.php?id=100023805314792&amp;mibextid=ZbWKwL" TargetMode="External"/><Relationship Id="rId1644" Type="http://schemas.openxmlformats.org/officeDocument/2006/relationships/hyperlink" Target="https://www.facebook.com/bevdly.2107?mibextid=ZbWKwL" TargetMode="External"/><Relationship Id="rId4050" Type="http://schemas.openxmlformats.org/officeDocument/2006/relationships/hyperlink" Target="https://www.facebook.com/profile.php?id=100053314312379" TargetMode="External"/><Relationship Id="rId5101" Type="http://schemas.openxmlformats.org/officeDocument/2006/relationships/hyperlink" Target="https://drive.google.com/open?id=1PVFI5UMPbqb2UG9sRkdgrxfzJbQ3N82g" TargetMode="External"/><Relationship Id="rId8257" Type="http://schemas.openxmlformats.org/officeDocument/2006/relationships/hyperlink" Target="https://www.facebook.com/le.n.nhi.1042" TargetMode="External"/><Relationship Id="rId8671" Type="http://schemas.openxmlformats.org/officeDocument/2006/relationships/hyperlink" Target="https://drive.google.com/open?id=1LWnYok6JanFH7ss4u08xDyFT7-x6KWYF" TargetMode="External"/><Relationship Id="rId9308" Type="http://schemas.openxmlformats.org/officeDocument/2006/relationships/hyperlink" Target="https://www.facebook.com/profile.php?id=100055633174795&amp;mibextid=LQQJ4d" TargetMode="External"/><Relationship Id="rId1711" Type="http://schemas.openxmlformats.org/officeDocument/2006/relationships/hyperlink" Target="https://drive.google.com/open?id=1ZVjqM63FeXvElFbSKZkij7TjeyNZIUFV" TargetMode="External"/><Relationship Id="rId4867" Type="http://schemas.openxmlformats.org/officeDocument/2006/relationships/hyperlink" Target="https://drive.google.com/open?id=1s5fx32j_gd5AwQBzf3CKrn1dWR0vs-hb" TargetMode="External"/><Relationship Id="rId7273" Type="http://schemas.openxmlformats.org/officeDocument/2006/relationships/hyperlink" Target="https://www.facebook.com/profile.php?id=100094035241863&amp;mibextid=LQQJ4d" TargetMode="External"/><Relationship Id="rId8324" Type="http://schemas.openxmlformats.org/officeDocument/2006/relationships/hyperlink" Target="https://www.facebook.com/profile.php?id=100040608488575&amp;mibextid=LQQJ4d" TargetMode="External"/><Relationship Id="rId3469" Type="http://schemas.openxmlformats.org/officeDocument/2006/relationships/hyperlink" Target="https://www.facebook.com/nguyenkiemphuong1732004?mibextid=LQQJ4d" TargetMode="External"/><Relationship Id="rId5918" Type="http://schemas.openxmlformats.org/officeDocument/2006/relationships/hyperlink" Target="https://www.facebook.com/profile.php?id=100068117717709&amp;mibextid=LQQJ4d" TargetMode="External"/><Relationship Id="rId7340" Type="http://schemas.openxmlformats.org/officeDocument/2006/relationships/hyperlink" Target="https://www.facebook.com/wus.pih?mibextid=LQQJ4d" TargetMode="External"/><Relationship Id="rId2485" Type="http://schemas.openxmlformats.org/officeDocument/2006/relationships/hyperlink" Target="https://www.facebook.com/PhongvnTV.2005" TargetMode="External"/><Relationship Id="rId3883" Type="http://schemas.openxmlformats.org/officeDocument/2006/relationships/hyperlink" Target="https://www.facebook.com/ongtho.sua.73345?mibextid=LQQJ4d" TargetMode="External"/><Relationship Id="rId4934" Type="http://schemas.openxmlformats.org/officeDocument/2006/relationships/hyperlink" Target="https://www.facebook.com/tuan.thien.585559?mibextid=LQQJ4d" TargetMode="External"/><Relationship Id="rId9098" Type="http://schemas.openxmlformats.org/officeDocument/2006/relationships/hyperlink" Target="https://www.facebook.com/ngphanh2106?mibextid=LQQJ4d" TargetMode="External"/><Relationship Id="rId457" Type="http://schemas.openxmlformats.org/officeDocument/2006/relationships/hyperlink" Target="https://drive.google.com/open?id=1Qpt-ZbeNC71NeuXO3Tx_qXAfUYwPHCKB" TargetMode="External"/><Relationship Id="rId1087" Type="http://schemas.openxmlformats.org/officeDocument/2006/relationships/hyperlink" Target="https://www.facebook.com/profile.php?id=100024345584658&amp;mibextid=LQQJ4d" TargetMode="External"/><Relationship Id="rId2138" Type="http://schemas.openxmlformats.org/officeDocument/2006/relationships/hyperlink" Target="https://www.facebook.com/profile.php?id=100042893208693&amp;mibextid=LQQJ4d" TargetMode="External"/><Relationship Id="rId3536" Type="http://schemas.openxmlformats.org/officeDocument/2006/relationships/hyperlink" Target="https://www.facebook.com/100043773935614/" TargetMode="External"/><Relationship Id="rId3950" Type="http://schemas.openxmlformats.org/officeDocument/2006/relationships/hyperlink" Target="https://www.facebook.com/profile.php?id=100040795310732&amp;mibextid=LQQJ4d" TargetMode="External"/><Relationship Id="rId9165" Type="http://schemas.openxmlformats.org/officeDocument/2006/relationships/hyperlink" Target="https://www.facebook.com/profile.php?id=100045199383833&amp;mibextid=ZbWKwL" TargetMode="External"/><Relationship Id="rId871" Type="http://schemas.openxmlformats.org/officeDocument/2006/relationships/hyperlink" Target="https://www.facebook.com/thanhthuy5552" TargetMode="External"/><Relationship Id="rId2552" Type="http://schemas.openxmlformats.org/officeDocument/2006/relationships/hyperlink" Target="https://www.facebook.com/profile.php?id=100076475740515" TargetMode="External"/><Relationship Id="rId3603" Type="http://schemas.openxmlformats.org/officeDocument/2006/relationships/hyperlink" Target="https://www.facebook.com/profile.php?id=100044395065651" TargetMode="External"/><Relationship Id="rId6759" Type="http://schemas.openxmlformats.org/officeDocument/2006/relationships/hyperlink" Target="https://www.facebook.com/profile.php?id=100079033491185&amp;mibextid=LQQJ4d" TargetMode="External"/><Relationship Id="rId524" Type="http://schemas.openxmlformats.org/officeDocument/2006/relationships/hyperlink" Target="https://drive.google.com/open?id=1rfpSHD83MJMY12zPLv5_eyF7w5EyMOmJ" TargetMode="External"/><Relationship Id="rId1154" Type="http://schemas.openxmlformats.org/officeDocument/2006/relationships/hyperlink" Target="https://www.facebook.com/profile.php?id=100030563131798&amp;mibextid=ZbWKwL" TargetMode="External"/><Relationship Id="rId2205" Type="http://schemas.openxmlformats.org/officeDocument/2006/relationships/hyperlink" Target="https://www.facebook.com/profile.php?id=100029583483959&amp;mibextid=ZbWKwL" TargetMode="External"/><Relationship Id="rId5775" Type="http://schemas.openxmlformats.org/officeDocument/2006/relationships/hyperlink" Target="https://www.facebook.com/share/XVGFhQSjdFA7sW9A/?mibextid=qi2Omg" TargetMode="External"/><Relationship Id="rId6826" Type="http://schemas.openxmlformats.org/officeDocument/2006/relationships/hyperlink" Target="https://drive.google.com/open?id=1qtPIIVYFgAomvgawbiF0QsvA61bEucSS" TargetMode="External"/><Relationship Id="rId8181" Type="http://schemas.openxmlformats.org/officeDocument/2006/relationships/hyperlink" Target="https://www.facebook.com/quynhanh406" TargetMode="External"/><Relationship Id="rId9232" Type="http://schemas.openxmlformats.org/officeDocument/2006/relationships/hyperlink" Target="https://drive.google.com/open?id=1yXVx0RGqGTftXiEIN7JaNtEQPSBo46XT" TargetMode="External"/><Relationship Id="rId1221" Type="http://schemas.openxmlformats.org/officeDocument/2006/relationships/hyperlink" Target="https://www.facebook.com/profile.php?id=100035275702321&amp;mibextid=ZbWKwL" TargetMode="External"/><Relationship Id="rId4377" Type="http://schemas.openxmlformats.org/officeDocument/2006/relationships/hyperlink" Target="https://www.facebook.com/profile.php?id=100055516715457&amp;mibextid=LQQJ4d" TargetMode="External"/><Relationship Id="rId4791" Type="http://schemas.openxmlformats.org/officeDocument/2006/relationships/hyperlink" Target="https://www.facebook.com/ruykhanhxtrai?mibextid=LQQJ4d" TargetMode="External"/><Relationship Id="rId5428" Type="http://schemas.openxmlformats.org/officeDocument/2006/relationships/hyperlink" Target="https://www.facebook.com/eynnhixinkdepk?mibextid=LQQJ4d" TargetMode="External"/><Relationship Id="rId5842" Type="http://schemas.openxmlformats.org/officeDocument/2006/relationships/hyperlink" Target="https://www.facebook.com/profile.php?id=100006571127868&amp;mibextid=kFxxJD" TargetMode="External"/><Relationship Id="rId8998" Type="http://schemas.openxmlformats.org/officeDocument/2006/relationships/hyperlink" Target="https://drive.google.com/open?id=13o001MNWTwTwt_mWfNqgC3KoAqKWdDug" TargetMode="External"/><Relationship Id="rId3393" Type="http://schemas.openxmlformats.org/officeDocument/2006/relationships/hyperlink" Target="https://drive.google.com/open?id=1Cz1pntVvkUl-hH3npLneKe6OT6Wku_2X" TargetMode="External"/><Relationship Id="rId4444" Type="http://schemas.openxmlformats.org/officeDocument/2006/relationships/hyperlink" Target="https://www.facebook.com/profile.php?id=100021535482052" TargetMode="External"/><Relationship Id="rId3046" Type="http://schemas.openxmlformats.org/officeDocument/2006/relationships/hyperlink" Target="https://www.facebook.com/profile.php?id=61550985276689&amp;mibextid=LQQJ4d" TargetMode="External"/><Relationship Id="rId3460" Type="http://schemas.openxmlformats.org/officeDocument/2006/relationships/hyperlink" Target="https://drive.google.com/open?id=14-zx-xu8uymIn5AC8nhN7fSo9vLEO1z_" TargetMode="External"/><Relationship Id="rId381" Type="http://schemas.openxmlformats.org/officeDocument/2006/relationships/hyperlink" Target="https://drive.google.com/open?id=137RXq8c6CMUthFLKAvQfE57A0a9tJ4n5" TargetMode="External"/><Relationship Id="rId2062" Type="http://schemas.openxmlformats.org/officeDocument/2006/relationships/hyperlink" Target="https://www.facebook.com/profile.php?id=100066570931154&amp;mibextid=ZbWKwL" TargetMode="External"/><Relationship Id="rId3113" Type="http://schemas.openxmlformats.org/officeDocument/2006/relationships/hyperlink" Target="https://www.facebook.com/profile.php?id=100071003629942" TargetMode="External"/><Relationship Id="rId4511" Type="http://schemas.openxmlformats.org/officeDocument/2006/relationships/hyperlink" Target="https://drive.google.com/open?id=1v6c_a22l5D8pi5h8phU1WkM1Gu8XVjVz" TargetMode="External"/><Relationship Id="rId6269" Type="http://schemas.openxmlformats.org/officeDocument/2006/relationships/hyperlink" Target="https://www.facebook.com/hongthuy.vu.9" TargetMode="External"/><Relationship Id="rId7667" Type="http://schemas.openxmlformats.org/officeDocument/2006/relationships/hyperlink" Target="https://www.facebook.com/100052767833055/" TargetMode="External"/><Relationship Id="rId8718" Type="http://schemas.openxmlformats.org/officeDocument/2006/relationships/hyperlink" Target="https://www.facebook.com/profile.php?id=100034612563053" TargetMode="External"/><Relationship Id="rId6683" Type="http://schemas.openxmlformats.org/officeDocument/2006/relationships/hyperlink" Target="https://www.facebook.com/profile.php?id=100049156987923&amp;mibextid=LQQJ4d" TargetMode="External"/><Relationship Id="rId7734" Type="http://schemas.openxmlformats.org/officeDocument/2006/relationships/hyperlink" Target="https://drive.google.com/open?id=1hlkTMIEFSjEdjATTf5k_zwdVQ4r2cBcw" TargetMode="External"/><Relationship Id="rId2879" Type="http://schemas.openxmlformats.org/officeDocument/2006/relationships/hyperlink" Target="https://www.facebook.com/profile.php?id=100071811621482&amp;mibextid=LQQJ4d" TargetMode="External"/><Relationship Id="rId5285" Type="http://schemas.openxmlformats.org/officeDocument/2006/relationships/hyperlink" Target="https://drive.google.com/open?id=1kf2IgqAvFW3-KvV7FcTRoaNHM2_E5x9D" TargetMode="External"/><Relationship Id="rId6336" Type="http://schemas.openxmlformats.org/officeDocument/2006/relationships/hyperlink" Target="https://www.facebook.com/profile.php?id=100092636036861" TargetMode="External"/><Relationship Id="rId6750" Type="http://schemas.openxmlformats.org/officeDocument/2006/relationships/hyperlink" Target="https://www.facebook.com/profile.php?id=100074960386103&amp;mibextid=LQQJ4d" TargetMode="External"/><Relationship Id="rId7801" Type="http://schemas.openxmlformats.org/officeDocument/2006/relationships/hyperlink" Target="https://drive.google.com/open?id=1Zbb_LJX3dbPh6dDb2Z6C53f0tN3CujcD" TargetMode="External"/><Relationship Id="rId101" Type="http://schemas.openxmlformats.org/officeDocument/2006/relationships/hyperlink" Target="https://www.facebook.com/nguyen.yenyen.20.7" TargetMode="External"/><Relationship Id="rId1895" Type="http://schemas.openxmlformats.org/officeDocument/2006/relationships/hyperlink" Target="https://drive.google.com/open?id=1QHdQlIrY9hzmhN_frk-9AIjnrjFKg1Iw" TargetMode="External"/><Relationship Id="rId2946" Type="http://schemas.openxmlformats.org/officeDocument/2006/relationships/hyperlink" Target="https://www.facebook.com/profile.php?id=100012278056703&amp;mibextid=gik2fB" TargetMode="External"/><Relationship Id="rId5352" Type="http://schemas.openxmlformats.org/officeDocument/2006/relationships/hyperlink" Target="https://drive.google.com/open?id=1ybMmknOBo9VTjOJpCmUI8ibiiOaH8w0f" TargetMode="External"/><Relationship Id="rId6403" Type="http://schemas.openxmlformats.org/officeDocument/2006/relationships/hyperlink" Target="https://drive.google.com/open?id=1x0LhT9QgvXYQkjLr89SNJAJu5T3xRh3d" TargetMode="External"/><Relationship Id="rId9559" Type="http://schemas.openxmlformats.org/officeDocument/2006/relationships/hyperlink" Target="https://web.facebook.com/bang.nguyentrong.7739" TargetMode="External"/><Relationship Id="rId918" Type="http://schemas.openxmlformats.org/officeDocument/2006/relationships/hyperlink" Target="https://drive.google.com/open?id=1WNnoV7QYgqduZEcimDZ7c1pJOqhfCl5Z" TargetMode="External"/><Relationship Id="rId1548" Type="http://schemas.openxmlformats.org/officeDocument/2006/relationships/hyperlink" Target="https://www.facebook.com/100022489362947/" TargetMode="External"/><Relationship Id="rId5005" Type="http://schemas.openxmlformats.org/officeDocument/2006/relationships/hyperlink" Target="https://www.facebook.com/profile.php?id=100072543545151" TargetMode="External"/><Relationship Id="rId8575" Type="http://schemas.openxmlformats.org/officeDocument/2006/relationships/hyperlink" Target="https://www.facebook.com/minh.anhs.12720?mibextid=LQQJ4d" TargetMode="External"/><Relationship Id="rId1962" Type="http://schemas.openxmlformats.org/officeDocument/2006/relationships/hyperlink" Target="https://drive.google.com/open?id=14VmrFDOhNhlmQQzwMMs7ZcM06W3jFAnF" TargetMode="External"/><Relationship Id="rId4021" Type="http://schemas.openxmlformats.org/officeDocument/2006/relationships/hyperlink" Target="https://www.facebook.com/profile.php?id=100015083231541" TargetMode="External"/><Relationship Id="rId7177" Type="http://schemas.openxmlformats.org/officeDocument/2006/relationships/hyperlink" Target="https://www.facebook.com/profile.php?id=100042474554584&amp;mibextid=LQQJ4d" TargetMode="External"/><Relationship Id="rId7591" Type="http://schemas.openxmlformats.org/officeDocument/2006/relationships/hyperlink" Target="https://www.facebook.com/profile.php?id=100069842299124&amp;mibextid=LQQJ4d" TargetMode="External"/><Relationship Id="rId8228" Type="http://schemas.openxmlformats.org/officeDocument/2006/relationships/hyperlink" Target="https://www.facebook.com/share/19tkP5DRff/?mibextid=wwXIfr" TargetMode="External"/><Relationship Id="rId1615" Type="http://schemas.openxmlformats.org/officeDocument/2006/relationships/hyperlink" Target="https://www.facebook.com/profile.php?id=100054706222073&amp;mibextid=LQQJ4d" TargetMode="External"/><Relationship Id="rId6193" Type="http://schemas.openxmlformats.org/officeDocument/2006/relationships/hyperlink" Target="https://facebook.com/profile.php?id=100043341967834" TargetMode="External"/><Relationship Id="rId7244" Type="http://schemas.openxmlformats.org/officeDocument/2006/relationships/hyperlink" Target="https://www.facebook.com/tem.sang.3" TargetMode="External"/><Relationship Id="rId8642" Type="http://schemas.openxmlformats.org/officeDocument/2006/relationships/hyperlink" Target="https://drive.google.com/open?id=1htP7Prj6XrrJaeKXgRn-bK_1JgOiJLHY" TargetMode="External"/><Relationship Id="rId3787" Type="http://schemas.openxmlformats.org/officeDocument/2006/relationships/hyperlink" Target="https://www.facebook.com/profile.php?id=100031459809254" TargetMode="External"/><Relationship Id="rId4838" Type="http://schemas.openxmlformats.org/officeDocument/2006/relationships/hyperlink" Target="https://www.facebook.com/profile.php?id=100056528906205" TargetMode="External"/><Relationship Id="rId2389" Type="http://schemas.openxmlformats.org/officeDocument/2006/relationships/hyperlink" Target="https://www.facebook.com/profile.php?id=100054602395138&amp;mibextid=LQQJ4d" TargetMode="External"/><Relationship Id="rId3854" Type="http://schemas.openxmlformats.org/officeDocument/2006/relationships/hyperlink" Target="https://www.facebook.com/khanhhuyendangiuca?mibextid=LQQJ4d" TargetMode="External"/><Relationship Id="rId4905" Type="http://schemas.openxmlformats.org/officeDocument/2006/relationships/hyperlink" Target="https://drive.google.com/open?id=1jRPEvkFD_RnsczWnKb_3FTQJxhuj2Mht" TargetMode="External"/><Relationship Id="rId6260" Type="http://schemas.openxmlformats.org/officeDocument/2006/relationships/hyperlink" Target="https://www.facebook.com/profile.php?id=100090758208693" TargetMode="External"/><Relationship Id="rId7311" Type="http://schemas.openxmlformats.org/officeDocument/2006/relationships/hyperlink" Target="https://www.facebook.com/profile.php?id=100022415686199&amp;mibextid=LQQJ4d" TargetMode="External"/><Relationship Id="rId775" Type="http://schemas.openxmlformats.org/officeDocument/2006/relationships/hyperlink" Target="https://drive.google.com/open?id=1BETsSVAy50yFEO7sDi3m6xZXBXXEjea_" TargetMode="External"/><Relationship Id="rId2456" Type="http://schemas.openxmlformats.org/officeDocument/2006/relationships/hyperlink" Target="https://drive.google.com/open?id=1wYcICh2L7VSZVup3GY3PjvWvxYb5Fjdh" TargetMode="External"/><Relationship Id="rId2870" Type="http://schemas.openxmlformats.org/officeDocument/2006/relationships/hyperlink" Target="https://www.facebook.com/vananh22082003?mibextid=LQQJ4d" TargetMode="External"/><Relationship Id="rId3507" Type="http://schemas.openxmlformats.org/officeDocument/2006/relationships/hyperlink" Target="https://www.facebook.com/profile.php?id=100055973930908" TargetMode="External"/><Relationship Id="rId3921" Type="http://schemas.openxmlformats.org/officeDocument/2006/relationships/hyperlink" Target="https://drive.google.com/open?id=1LWnYok6JanFH7ss4u08xDyFT7-x6KWYF" TargetMode="External"/><Relationship Id="rId9069" Type="http://schemas.openxmlformats.org/officeDocument/2006/relationships/hyperlink" Target="https://www.facebook.com/profile.php?id=100072106314806&amp;mibextid=ZbWKwL" TargetMode="External"/><Relationship Id="rId9483" Type="http://schemas.openxmlformats.org/officeDocument/2006/relationships/hyperlink" Target="https://www.facebook.com/profile.php?id=100044827071330&amp;mibextid=ZbWKwL" TargetMode="External"/><Relationship Id="rId428" Type="http://schemas.openxmlformats.org/officeDocument/2006/relationships/hyperlink" Target="https://drive.google.com/open?id=1THlLd-DieqfFClTSQ4xrCuIVfM0ITBli" TargetMode="External"/><Relationship Id="rId842" Type="http://schemas.openxmlformats.org/officeDocument/2006/relationships/hyperlink" Target="https://www.facebook.com/100012733303086/" TargetMode="External"/><Relationship Id="rId1058" Type="http://schemas.openxmlformats.org/officeDocument/2006/relationships/hyperlink" Target="https://www.facebook.com/profile.php?id=100080364080727&amp;mibextid=LQQJ4d" TargetMode="External"/><Relationship Id="rId1472" Type="http://schemas.openxmlformats.org/officeDocument/2006/relationships/hyperlink" Target="https://www.facebook.com/luuly.le.12327608?mibextid=LQQJ4d" TargetMode="External"/><Relationship Id="rId2109" Type="http://schemas.openxmlformats.org/officeDocument/2006/relationships/hyperlink" Target="https://www.facebook.com/profile.php?id=100036295161082&amp;mibextid=ZbWKwL" TargetMode="External"/><Relationship Id="rId2523" Type="http://schemas.openxmlformats.org/officeDocument/2006/relationships/hyperlink" Target="https://www.facebook.com/xuanthu.dongxuanthu.0105/" TargetMode="External"/><Relationship Id="rId5679" Type="http://schemas.openxmlformats.org/officeDocument/2006/relationships/hyperlink" Target="https://drive.google.com/open?id=1RlXLV5vqPH7q1bdkhZ0-sqdEHDEDEm6d" TargetMode="External"/><Relationship Id="rId8085" Type="http://schemas.openxmlformats.org/officeDocument/2006/relationships/hyperlink" Target="https://www.facebook.com/lam.oanh.524?mibextid=ZbWKwL" TargetMode="External"/><Relationship Id="rId9136" Type="http://schemas.openxmlformats.org/officeDocument/2006/relationships/hyperlink" Target="https://www.facebook.com/profile.php?id=100048078816710&amp;mibextid=LQQJ4d" TargetMode="External"/><Relationship Id="rId9550" Type="http://schemas.openxmlformats.org/officeDocument/2006/relationships/hyperlink" Target="https://www.facebook.com/share/15hFfHSByV/?mibextid=wwXIfr" TargetMode="External"/><Relationship Id="rId1125" Type="http://schemas.openxmlformats.org/officeDocument/2006/relationships/hyperlink" Target="https://www.facebook.com/profile.php?id=100081252877427" TargetMode="External"/><Relationship Id="rId4695" Type="http://schemas.openxmlformats.org/officeDocument/2006/relationships/hyperlink" Target="https://www.facebook.com/profile.php?id=100064195123792&amp;mibextid=ZbWKwL" TargetMode="External"/><Relationship Id="rId8152" Type="http://schemas.openxmlformats.org/officeDocument/2006/relationships/hyperlink" Target="https://drive.google.com/open?id=1vRerV279P_EARl_xU8Ump_G74kgytu6C" TargetMode="External"/><Relationship Id="rId9203" Type="http://schemas.openxmlformats.org/officeDocument/2006/relationships/hyperlink" Target="https://www.facebook.com/profile.php?id=100032613424992&amp;mibextid=LQQJ4d" TargetMode="External"/><Relationship Id="rId3297" Type="http://schemas.openxmlformats.org/officeDocument/2006/relationships/hyperlink" Target="https://drive.google.com/open?id=1eXfsmqL0pCimv0zByn3dvN-VfNnnInd9" TargetMode="External"/><Relationship Id="rId4348" Type="http://schemas.openxmlformats.org/officeDocument/2006/relationships/hyperlink" Target="https://www.facebook.com/profile.php?id=100035784653136&amp;locale=vi_VN" TargetMode="External"/><Relationship Id="rId5746" Type="http://schemas.openxmlformats.org/officeDocument/2006/relationships/hyperlink" Target="https://www.facebook.com/profile.php?id=100053489927589&amp;mibextid=LQQJ4d" TargetMode="External"/><Relationship Id="rId4762" Type="http://schemas.openxmlformats.org/officeDocument/2006/relationships/hyperlink" Target="https://www.facebook.com/profile.php?id=100044647252027&amp;mibextid=LQQJ4d" TargetMode="External"/><Relationship Id="rId5813" Type="http://schemas.openxmlformats.org/officeDocument/2006/relationships/hyperlink" Target="https://www.facebook.com/profile.php?id=100064282836442&amp;mibextid=LQQJ4d" TargetMode="External"/><Relationship Id="rId8969" Type="http://schemas.openxmlformats.org/officeDocument/2006/relationships/hyperlink" Target="https://www.facebook.com/profile.php?id=100041321554374" TargetMode="External"/><Relationship Id="rId285" Type="http://schemas.openxmlformats.org/officeDocument/2006/relationships/hyperlink" Target="https://www.facebook.com/thuongthuong2501?mibextid=LQQJ4d" TargetMode="External"/><Relationship Id="rId3364" Type="http://schemas.openxmlformats.org/officeDocument/2006/relationships/hyperlink" Target="https://drive.google.com/open?id=1Pf4vx-EC83JkYppYPHm5ibXlJoiBsBn6" TargetMode="External"/><Relationship Id="rId4415" Type="http://schemas.openxmlformats.org/officeDocument/2006/relationships/hyperlink" Target="https://www.facebook.com/bthvan20?mibextid=ZbWKwL" TargetMode="External"/><Relationship Id="rId7985" Type="http://schemas.openxmlformats.org/officeDocument/2006/relationships/hyperlink" Target="https://drive.google.com/open?id=1ACGi-n5VhcX25abbZiZMAiGV67Z3U3e7" TargetMode="External"/><Relationship Id="rId2380" Type="http://schemas.openxmlformats.org/officeDocument/2006/relationships/hyperlink" Target="https://www.facebook.com/long.duongbuingoc" TargetMode="External"/><Relationship Id="rId3017" Type="http://schemas.openxmlformats.org/officeDocument/2006/relationships/hyperlink" Target="https://www.facebook.com/profile.php?id=100063494654302" TargetMode="External"/><Relationship Id="rId3431" Type="http://schemas.openxmlformats.org/officeDocument/2006/relationships/hyperlink" Target="https://drive.google.com/open?id=1_Rq6l2G0ZvRgL9rcTzlhe2R-V8AuCMhU" TargetMode="External"/><Relationship Id="rId6587" Type="http://schemas.openxmlformats.org/officeDocument/2006/relationships/hyperlink" Target="https://drive.google.com/open?id=1YBLCsVf6LWs3qZCcplXRlpS9Yt6Z8kGv" TargetMode="External"/><Relationship Id="rId7638" Type="http://schemas.openxmlformats.org/officeDocument/2006/relationships/hyperlink" Target="https://drive.google.com/open?id=1GSnekrCf3O7k-XlRYUILHpTt7RmUvSJn" TargetMode="External"/><Relationship Id="rId352" Type="http://schemas.openxmlformats.org/officeDocument/2006/relationships/hyperlink" Target="https://www.facebook.com/profile.php?id=100057006189538&amp;mibextid=ZbWKwL" TargetMode="External"/><Relationship Id="rId2033" Type="http://schemas.openxmlformats.org/officeDocument/2006/relationships/hyperlink" Target="https://www.facebook.com/hoang8531?mibextid=LQQJ4d" TargetMode="External"/><Relationship Id="rId5189" Type="http://schemas.openxmlformats.org/officeDocument/2006/relationships/hyperlink" Target="https://drive.google.com/open?id=1_n7vFAEhYswuNYAqvT385kHHjm5T6iOJ" TargetMode="External"/><Relationship Id="rId6654" Type="http://schemas.openxmlformats.org/officeDocument/2006/relationships/hyperlink" Target="https://www.facebook.com/profile.php?id=61561831156050" TargetMode="External"/><Relationship Id="rId7705" Type="http://schemas.openxmlformats.org/officeDocument/2006/relationships/hyperlink" Target="https://www.facebook.com/thienky.doan.169" TargetMode="External"/><Relationship Id="rId9060" Type="http://schemas.openxmlformats.org/officeDocument/2006/relationships/hyperlink" Target="https://drive.google.com/open?id=1p2Wb7QGX00jKXePLv3AUOuU0YuSDXXT8" TargetMode="External"/><Relationship Id="rId1799" Type="http://schemas.openxmlformats.org/officeDocument/2006/relationships/hyperlink" Target="https://www.facebook.com/duyenlonn.0?mibextid=LQQJ4d" TargetMode="External"/><Relationship Id="rId2100" Type="http://schemas.openxmlformats.org/officeDocument/2006/relationships/hyperlink" Target="https://www.facebook.com/profile.php?id=100012926197311" TargetMode="External"/><Relationship Id="rId5256" Type="http://schemas.openxmlformats.org/officeDocument/2006/relationships/hyperlink" Target="https://www.facebook.com/profile.php?id=100030286601588&amp;mibextid=LQQJ4d" TargetMode="External"/><Relationship Id="rId5670" Type="http://schemas.openxmlformats.org/officeDocument/2006/relationships/hyperlink" Target="https://www.facebook.com/nguyentunglnq?mibextid=LQQJ4d" TargetMode="External"/><Relationship Id="rId6307" Type="http://schemas.openxmlformats.org/officeDocument/2006/relationships/hyperlink" Target="https://www.facebook.com/share/8iftS3ghoq4SGSQq/?mibextid=LQQJ4d" TargetMode="External"/><Relationship Id="rId4272" Type="http://schemas.openxmlformats.org/officeDocument/2006/relationships/hyperlink" Target="https://drive.google.com/open?id=1VD_5yyibP_tNrhpwYM5t09-9g_IAYli0" TargetMode="External"/><Relationship Id="rId5323" Type="http://schemas.openxmlformats.org/officeDocument/2006/relationships/hyperlink" Target="https://www.facebook.com/nam.nguyenss.3?mibextid=LQQJ4d" TargetMode="External"/><Relationship Id="rId6721" Type="http://schemas.openxmlformats.org/officeDocument/2006/relationships/hyperlink" Target="https://drive.google.com/open?id=17BPg6eMeG77aAvkWirRKMNQSaqtwz8VR" TargetMode="External"/><Relationship Id="rId8479" Type="http://schemas.openxmlformats.org/officeDocument/2006/relationships/hyperlink" Target="https://www.facebook.com/do.xuanbach.7" TargetMode="External"/><Relationship Id="rId1866" Type="http://schemas.openxmlformats.org/officeDocument/2006/relationships/hyperlink" Target="https://www.facebook.com/100013747296579/" TargetMode="External"/><Relationship Id="rId2917" Type="http://schemas.openxmlformats.org/officeDocument/2006/relationships/hyperlink" Target="https://drive.google.com/open?id=18hwkkQVf556lncsh2spMdf8gOTCZrhtk" TargetMode="External"/><Relationship Id="rId8893" Type="http://schemas.openxmlformats.org/officeDocument/2006/relationships/hyperlink" Target="https://www.facebook.com/share/1KhSwFfxCH/?mibextid=LQQJ4d" TargetMode="External"/><Relationship Id="rId1519" Type="http://schemas.openxmlformats.org/officeDocument/2006/relationships/hyperlink" Target="https://www.facebook.com/thuylinh.pham.589583" TargetMode="External"/><Relationship Id="rId1933" Type="http://schemas.openxmlformats.org/officeDocument/2006/relationships/hyperlink" Target="https://www.facebook.com/profile.php?id=100053649780855&amp;mibextid=LQQJ4d" TargetMode="External"/><Relationship Id="rId6097" Type="http://schemas.openxmlformats.org/officeDocument/2006/relationships/hyperlink" Target="https://www.facebook.com/profile.php?id=100077494404326&amp;mibextid=ZbWKwL" TargetMode="External"/><Relationship Id="rId7495" Type="http://schemas.openxmlformats.org/officeDocument/2006/relationships/hyperlink" Target="https://www.facebook.com/manhtai.nguyen.9216?mibextid=ZbWKwL" TargetMode="External"/><Relationship Id="rId8546" Type="http://schemas.openxmlformats.org/officeDocument/2006/relationships/hyperlink" Target="https://www.facebook.com/profile.php?id=100056490060170&amp;mibextid=LQQJ4d" TargetMode="External"/><Relationship Id="rId8960" Type="http://schemas.openxmlformats.org/officeDocument/2006/relationships/hyperlink" Target="https://drive.google.com/open?id=1TSpil3W817npJiOqgMP1iBKfzBivsrHL" TargetMode="External"/><Relationship Id="rId7148" Type="http://schemas.openxmlformats.org/officeDocument/2006/relationships/hyperlink" Target="https://drive.google.com/open?id=1rfIW4GYYE5DYJ9UpSo8MGbzbruPPe3RN" TargetMode="External"/><Relationship Id="rId7562" Type="http://schemas.openxmlformats.org/officeDocument/2006/relationships/hyperlink" Target="https://drive.google.com/open?id=1228MzfGHuSV3encxyFS61dubGdR2gpcg" TargetMode="External"/><Relationship Id="rId8613" Type="http://schemas.openxmlformats.org/officeDocument/2006/relationships/hyperlink" Target="https://www.facebook.com/linh.trang.381505" TargetMode="External"/><Relationship Id="rId3758" Type="http://schemas.openxmlformats.org/officeDocument/2006/relationships/hyperlink" Target="https://www.facebook.com/yennhi.phanhoang.12" TargetMode="External"/><Relationship Id="rId4809" Type="http://schemas.openxmlformats.org/officeDocument/2006/relationships/hyperlink" Target="https://drive.google.com/open?id=1mBsqwX3PADRU6MSe1PNmESQQK15kUPGA" TargetMode="External"/><Relationship Id="rId6164" Type="http://schemas.openxmlformats.org/officeDocument/2006/relationships/hyperlink" Target="https://www.facebook.com/profile.php?id=100049931901005&amp;mibextid=ZbWKwL" TargetMode="External"/><Relationship Id="rId7215" Type="http://schemas.openxmlformats.org/officeDocument/2006/relationships/hyperlink" Target="https://drive.google.com/open?id=1FErmLj6MWZr_13ZG-yTIi1IbKUGSv41H" TargetMode="External"/><Relationship Id="rId679" Type="http://schemas.openxmlformats.org/officeDocument/2006/relationships/hyperlink" Target="https://www.facebook.com/tramanh.bangtan" TargetMode="External"/><Relationship Id="rId2774" Type="http://schemas.openxmlformats.org/officeDocument/2006/relationships/hyperlink" Target="https://www.facebook.com/profile.php?id=100056607744461" TargetMode="External"/><Relationship Id="rId5180" Type="http://schemas.openxmlformats.org/officeDocument/2006/relationships/hyperlink" Target="https://drive.google.com/open?id=1IcAO4BgDZyHUVE5SfFzcAruvFhDSMUNq" TargetMode="External"/><Relationship Id="rId6231" Type="http://schemas.openxmlformats.org/officeDocument/2006/relationships/hyperlink" Target="https://www.facebook.com/nguyen.pun.54?mibextid=ZbWKwL" TargetMode="External"/><Relationship Id="rId9387" Type="http://schemas.openxmlformats.org/officeDocument/2006/relationships/hyperlink" Target="https://www.facebook.com/profile.php?id=100053180659288" TargetMode="External"/><Relationship Id="rId746" Type="http://schemas.openxmlformats.org/officeDocument/2006/relationships/hyperlink" Target="https://www.facebook.com/profile.php?id=100080484740584&amp;mibextid=ZbWKwL" TargetMode="External"/><Relationship Id="rId1376" Type="http://schemas.openxmlformats.org/officeDocument/2006/relationships/hyperlink" Target="https://www.facebook.com/nthdao" TargetMode="External"/><Relationship Id="rId2427" Type="http://schemas.openxmlformats.org/officeDocument/2006/relationships/hyperlink" Target="https://www.facebook.com/hao.ki.39395" TargetMode="External"/><Relationship Id="rId3825" Type="http://schemas.openxmlformats.org/officeDocument/2006/relationships/hyperlink" Target="https://www.facebook.com/profile.php?id=100029544200002&amp;mibextid=LQQJ4d" TargetMode="External"/><Relationship Id="rId9454" Type="http://schemas.openxmlformats.org/officeDocument/2006/relationships/hyperlink" Target="https://www.facebook.com/profile.php?id=100054763129246&amp;mibextid=LQQJ4d" TargetMode="External"/><Relationship Id="rId1029" Type="http://schemas.openxmlformats.org/officeDocument/2006/relationships/hyperlink" Target="https://drive.google.com/open?id=1I3Z4Zp5vfnPbBlTZAc4dURsF21R_Ok6T" TargetMode="External"/><Relationship Id="rId1790" Type="http://schemas.openxmlformats.org/officeDocument/2006/relationships/hyperlink" Target="https://www.facebook.com/profile.php?id=100055962870577&amp;mibextid=LQQJ4d" TargetMode="External"/><Relationship Id="rId2841" Type="http://schemas.openxmlformats.org/officeDocument/2006/relationships/hyperlink" Target="https://drive.google.com/open?id=154TBN44YshyR4tALFpTUCeYcrEUOUdVn" TargetMode="External"/><Relationship Id="rId5997" Type="http://schemas.openxmlformats.org/officeDocument/2006/relationships/hyperlink" Target="https://www.facebook.com/profile.php?id=100084530147718&amp;mibextid=LQQJ4d" TargetMode="External"/><Relationship Id="rId8056" Type="http://schemas.openxmlformats.org/officeDocument/2006/relationships/hyperlink" Target="https://www.facebook.com/profile.php?id=100039339647890&amp;mibextid=ZbWKwL" TargetMode="External"/><Relationship Id="rId9107" Type="http://schemas.openxmlformats.org/officeDocument/2006/relationships/hyperlink" Target="https://www.facebook.com/profile.php?id=100037073986691&amp;mibextid=LQQJ4d" TargetMode="External"/><Relationship Id="rId82" Type="http://schemas.openxmlformats.org/officeDocument/2006/relationships/hyperlink" Target="https://drive.google.com/open?id=1EGhjkUF5mdDjapfoM2hvGuH72l9wRjhe" TargetMode="External"/><Relationship Id="rId813" Type="http://schemas.openxmlformats.org/officeDocument/2006/relationships/hyperlink" Target="https://www.facebook.com/profile.php?id=100054375046302&amp;mibextid=cejktS" TargetMode="External"/><Relationship Id="rId1443" Type="http://schemas.openxmlformats.org/officeDocument/2006/relationships/hyperlink" Target="https://drive.google.com/open?id=1ZBJ6rvt457UyRAdEamVOaEAo2OyKUgWc" TargetMode="External"/><Relationship Id="rId4599" Type="http://schemas.openxmlformats.org/officeDocument/2006/relationships/hyperlink" Target="https://www.facebook.com/profile.php?id=100004416879075" TargetMode="External"/><Relationship Id="rId7072" Type="http://schemas.openxmlformats.org/officeDocument/2006/relationships/hyperlink" Target="https://drive.google.com/open?id=1wVDsUEBpQOECuC4Jq0QW2LeaRtEQnpHD" TargetMode="External"/><Relationship Id="rId8470" Type="http://schemas.openxmlformats.org/officeDocument/2006/relationships/hyperlink" Target="https://www.facebook.com/profile.php?id=100070897725521&amp;mibextid=ZbWKwL" TargetMode="External"/><Relationship Id="rId9521" Type="http://schemas.openxmlformats.org/officeDocument/2006/relationships/hyperlink" Target="https://www.facebook.com/share/15YEt6S4rR/?mibextid=wwXIfr" TargetMode="External"/><Relationship Id="rId1510" Type="http://schemas.openxmlformats.org/officeDocument/2006/relationships/hyperlink" Target="https://drive.google.com/open?id=1-QCJ8Gd8Vyq1sd_addWDvoA3GfWlMki1" TargetMode="External"/><Relationship Id="rId4666" Type="http://schemas.openxmlformats.org/officeDocument/2006/relationships/hyperlink" Target="https://www.facebook.com/share/5ydzNFqtar4Z5pwZ/?mibextid=qi2Omg" TargetMode="External"/><Relationship Id="rId5717" Type="http://schemas.openxmlformats.org/officeDocument/2006/relationships/hyperlink" Target="https://www.facebook.com/profile.php?id=100063675914396" TargetMode="External"/><Relationship Id="rId8123" Type="http://schemas.openxmlformats.org/officeDocument/2006/relationships/hyperlink" Target="https://drive.google.com/open?id=1eLxBZA9JxiSr0NdF7CmpJiCVSZAwffJV" TargetMode="External"/><Relationship Id="rId3268" Type="http://schemas.openxmlformats.org/officeDocument/2006/relationships/hyperlink" Target="https://drive.google.com/open?id=1M_R5qpYlV55C9inv0KPfaI3SBi2Osbgj" TargetMode="External"/><Relationship Id="rId3682" Type="http://schemas.openxmlformats.org/officeDocument/2006/relationships/hyperlink" Target="https://drive.google.com/open?id=1AYZLI5oYIO4557QI96UuGr3PH3fbdZF8" TargetMode="External"/><Relationship Id="rId4319" Type="http://schemas.openxmlformats.org/officeDocument/2006/relationships/hyperlink" Target="https://www.facebook.com/na.ngan.5249?mibextid=LQQJ4d" TargetMode="External"/><Relationship Id="rId4733" Type="http://schemas.openxmlformats.org/officeDocument/2006/relationships/hyperlink" Target="https://www.facebook.com/profile.php?id=100043872978064" TargetMode="External"/><Relationship Id="rId7889" Type="http://schemas.openxmlformats.org/officeDocument/2006/relationships/hyperlink" Target="https://www.facebook.com/hieubeo2108.info?mibextid=LQQJ4d" TargetMode="External"/><Relationship Id="rId189" Type="http://schemas.openxmlformats.org/officeDocument/2006/relationships/hyperlink" Target="https://drive.google.com/open?id=1mfbY5qkz460phpSPrC5XJGPaKcDAP2Jn" TargetMode="External"/><Relationship Id="rId2284" Type="http://schemas.openxmlformats.org/officeDocument/2006/relationships/hyperlink" Target="https://www.facebook.com/quyen.vu217?mibextid=ZbWKwL" TargetMode="External"/><Relationship Id="rId3335" Type="http://schemas.openxmlformats.org/officeDocument/2006/relationships/hyperlink" Target="https://www.facebook.com/profile.php?id=100022786640362&amp;mibextid=LQQJ4d" TargetMode="External"/><Relationship Id="rId256" Type="http://schemas.openxmlformats.org/officeDocument/2006/relationships/hyperlink" Target="https://drive.google.com/open?id=1-7LmXwAiIac2oRz_E8zXEbAtK-w0OocP" TargetMode="External"/><Relationship Id="rId670" Type="http://schemas.openxmlformats.org/officeDocument/2006/relationships/hyperlink" Target="https://www.facebook.com/profile.php?id=100023420285275" TargetMode="External"/><Relationship Id="rId2351" Type="http://schemas.openxmlformats.org/officeDocument/2006/relationships/hyperlink" Target="https://www.facebook.com/profile.php?id=100054842181564" TargetMode="External"/><Relationship Id="rId3402" Type="http://schemas.openxmlformats.org/officeDocument/2006/relationships/hyperlink" Target="https://www.facebook.com/profile.php?id=100025479514703&amp;locale=vi_VN" TargetMode="External"/><Relationship Id="rId4800" Type="http://schemas.openxmlformats.org/officeDocument/2006/relationships/hyperlink" Target="https://drive.google.com/open?id=1MtscLSjJ0N0F0NdiM5iU0uWDcT4cUgxa" TargetMode="External"/><Relationship Id="rId6558" Type="http://schemas.openxmlformats.org/officeDocument/2006/relationships/hyperlink" Target="https://www.facebook.com/profile.php?id=100034612563053" TargetMode="External"/><Relationship Id="rId7956" Type="http://schemas.openxmlformats.org/officeDocument/2006/relationships/hyperlink" Target="https://www.facebook.com/profile.php?id=100023773683772&amp;mibextid=LQQJ4d" TargetMode="External"/><Relationship Id="rId323" Type="http://schemas.openxmlformats.org/officeDocument/2006/relationships/hyperlink" Target="https://drive.google.com/open?id=1x1YvOSvUCJNDqsTs4vMd9I3Xl5-g6sOF" TargetMode="External"/><Relationship Id="rId2004" Type="http://schemas.openxmlformats.org/officeDocument/2006/relationships/hyperlink" Target="https://www.facebook.com/tranthanhthu.1675?mibextid=LQQJ4d" TargetMode="External"/><Relationship Id="rId6972" Type="http://schemas.openxmlformats.org/officeDocument/2006/relationships/hyperlink" Target="https://www.facebook.com/profile.php?id=100074960386103&amp;mibextid=LQQJ4d" TargetMode="External"/><Relationship Id="rId7609" Type="http://schemas.openxmlformats.org/officeDocument/2006/relationships/hyperlink" Target="https://www.facebook.com/profile.php?id=100036064361875&amp;mibextid=JRoKGi" TargetMode="External"/><Relationship Id="rId9031" Type="http://schemas.openxmlformats.org/officeDocument/2006/relationships/hyperlink" Target="https://www.facebook.com/share/18XF7CzGLA/?mibextid=wwXIfr" TargetMode="External"/><Relationship Id="rId4176" Type="http://schemas.openxmlformats.org/officeDocument/2006/relationships/hyperlink" Target="https://www.facebook.com/100075415644518/" TargetMode="External"/><Relationship Id="rId5574" Type="http://schemas.openxmlformats.org/officeDocument/2006/relationships/hyperlink" Target="https://www.facebook.com/profile.php?id=100050306023727" TargetMode="External"/><Relationship Id="rId6625" Type="http://schemas.openxmlformats.org/officeDocument/2006/relationships/hyperlink" Target="https://www.facebook.com/ngphanh2106?mibextid=LQQJ4d" TargetMode="External"/><Relationship Id="rId1020" Type="http://schemas.openxmlformats.org/officeDocument/2006/relationships/hyperlink" Target="https://drive.google.com/open?id=1rajXbc0GjmE5NPQZWWVLRSYMqfaoj0rb" TargetMode="External"/><Relationship Id="rId4590" Type="http://schemas.openxmlformats.org/officeDocument/2006/relationships/hyperlink" Target="https://www.facebook.com/profile.php?id=100044314365627" TargetMode="External"/><Relationship Id="rId5227" Type="http://schemas.openxmlformats.org/officeDocument/2006/relationships/hyperlink" Target="https://drive.google.com/open?id=12gXpqdyiElEcfzfcoJwhfMbhslpgndWx" TargetMode="External"/><Relationship Id="rId5641" Type="http://schemas.openxmlformats.org/officeDocument/2006/relationships/hyperlink" Target="https://www.facebook.com/profile.php?id=100055516715457&amp;mibextid=LQQJ4d" TargetMode="External"/><Relationship Id="rId8797" Type="http://schemas.openxmlformats.org/officeDocument/2006/relationships/hyperlink" Target="https://www.facebook.com/olongkemchese?mibextid=LQQJ4d" TargetMode="External"/><Relationship Id="rId1837" Type="http://schemas.openxmlformats.org/officeDocument/2006/relationships/hyperlink" Target="https://drive.google.com/open?id=1_2V2qw1RjmyyCSU82ufiR-uaViGMvOa1" TargetMode="External"/><Relationship Id="rId3192" Type="http://schemas.openxmlformats.org/officeDocument/2006/relationships/hyperlink" Target="https://drive.google.com/open?id=1Cz1pntVvkUl-hH3npLneKe6OT6Wku_2X" TargetMode="External"/><Relationship Id="rId4243" Type="http://schemas.openxmlformats.org/officeDocument/2006/relationships/hyperlink" Target="https://www.facebook.com/trangtran.0407?mibextid=LQQJ4d" TargetMode="External"/><Relationship Id="rId7399" Type="http://schemas.openxmlformats.org/officeDocument/2006/relationships/hyperlink" Target="https://web.facebook.com/profile.php?id=100039400337877&amp;mibextid=ZbWKwL&amp;ext=1727248290&amp;hash=%2501%2501%25C6%25FC%25AB%25B1%25FA%25D3%2510%2527%2502%2505%25F3%2505g%258E%258AD&amp;_rdc=1&amp;_rdr" TargetMode="External"/><Relationship Id="rId8864" Type="http://schemas.openxmlformats.org/officeDocument/2006/relationships/hyperlink" Target="https://drive.google.com/open?id=1wPs62idIFa8NaiSPGwtrmJ14QtH1Pymz" TargetMode="External"/><Relationship Id="rId4310" Type="http://schemas.openxmlformats.org/officeDocument/2006/relationships/hyperlink" Target="https://www.facebook.com/black.kieu.71" TargetMode="External"/><Relationship Id="rId7466" Type="http://schemas.openxmlformats.org/officeDocument/2006/relationships/hyperlink" Target="https://www.facebook.com/profile.php?id=100019320176480&amp;mibextid=LQQJ4d" TargetMode="External"/><Relationship Id="rId7880" Type="http://schemas.openxmlformats.org/officeDocument/2006/relationships/hyperlink" Target="https://www.facebook.com/profile.php?id=100073975956413&amp;mibextid=LQQJ4d" TargetMode="External"/><Relationship Id="rId8517" Type="http://schemas.openxmlformats.org/officeDocument/2006/relationships/hyperlink" Target="https://drive.google.com/open?id=1sHJZpDLDXLer54s6DoR5-HY3YE8Z57IP" TargetMode="External"/><Relationship Id="rId180" Type="http://schemas.openxmlformats.org/officeDocument/2006/relationships/hyperlink" Target="https://www.facebook.com/profile.php?id=100010054516446" TargetMode="External"/><Relationship Id="rId1904" Type="http://schemas.openxmlformats.org/officeDocument/2006/relationships/hyperlink" Target="https://www.facebook.com/profile.php?id=100091339616414&amp;mibextid=LQQJ4d" TargetMode="External"/><Relationship Id="rId6068" Type="http://schemas.openxmlformats.org/officeDocument/2006/relationships/hyperlink" Target="https://www.facebook.com/thuyf.trang.03" TargetMode="External"/><Relationship Id="rId6482" Type="http://schemas.openxmlformats.org/officeDocument/2006/relationships/hyperlink" Target="https://www.facebook.com/pham.linhlinh.1441" TargetMode="External"/><Relationship Id="rId7119" Type="http://schemas.openxmlformats.org/officeDocument/2006/relationships/hyperlink" Target="https://www.facebook.com/profile.php?id=100034135998464" TargetMode="External"/><Relationship Id="rId7533" Type="http://schemas.openxmlformats.org/officeDocument/2006/relationships/hyperlink" Target="https://www.facebook.com/profile.php?id=61553967831189&amp;mibextid=PtKPJ9" TargetMode="External"/><Relationship Id="rId8931" Type="http://schemas.openxmlformats.org/officeDocument/2006/relationships/hyperlink" Target="https://drive.google.com/open?id=1H6GNEV7fRBdGLTerPC5H4QfHkApUG29D" TargetMode="External"/><Relationship Id="rId5084" Type="http://schemas.openxmlformats.org/officeDocument/2006/relationships/hyperlink" Target="https://www.facebook.com/pii.truc.3" TargetMode="External"/><Relationship Id="rId6135" Type="http://schemas.openxmlformats.org/officeDocument/2006/relationships/hyperlink" Target="https://www.facebook.com/duong.yenngoc.944?mibextid=LQQJ4d" TargetMode="External"/><Relationship Id="rId997" Type="http://schemas.openxmlformats.org/officeDocument/2006/relationships/hyperlink" Target="https://www.facebook.com/phuthanh.nguyen.7146557?mibextid=LQQJ4d" TargetMode="External"/><Relationship Id="rId2678" Type="http://schemas.openxmlformats.org/officeDocument/2006/relationships/hyperlink" Target="https://www.facebook.com/huyen.toan.731572" TargetMode="External"/><Relationship Id="rId3729" Type="http://schemas.openxmlformats.org/officeDocument/2006/relationships/hyperlink" Target="https://www.facebook.com/profile.php?id=100016075486300" TargetMode="External"/><Relationship Id="rId5151" Type="http://schemas.openxmlformats.org/officeDocument/2006/relationships/hyperlink" Target="https://www.facebook.com/profile.php?id=100089055393138&amp;mibextid=LQQJ4d" TargetMode="External"/><Relationship Id="rId7600" Type="http://schemas.openxmlformats.org/officeDocument/2006/relationships/hyperlink" Target="https://www.facebook.com/kienne43?mibextid=LQQJ4d" TargetMode="External"/><Relationship Id="rId1694" Type="http://schemas.openxmlformats.org/officeDocument/2006/relationships/hyperlink" Target="https://www.facebook.com/di.men.942" TargetMode="External"/><Relationship Id="rId2745" Type="http://schemas.openxmlformats.org/officeDocument/2006/relationships/hyperlink" Target="https://www.facebook.com/profile.php?id=100006846613832&amp;mibextid=LQQJ4d" TargetMode="External"/><Relationship Id="rId6202" Type="http://schemas.openxmlformats.org/officeDocument/2006/relationships/hyperlink" Target="https://www.facebook.com/pmq258?mibextid=ZbWKwL" TargetMode="External"/><Relationship Id="rId9358" Type="http://schemas.openxmlformats.org/officeDocument/2006/relationships/hyperlink" Target="https://www.facebook.com/hien.con.336?mibextid=wwXIfr&amp;mibextid=wwXIfr" TargetMode="External"/><Relationship Id="rId717" Type="http://schemas.openxmlformats.org/officeDocument/2006/relationships/hyperlink" Target="https://www.facebook.com/qanhdethws1?mibextid=LQQJ4d" TargetMode="External"/><Relationship Id="rId1347" Type="http://schemas.openxmlformats.org/officeDocument/2006/relationships/hyperlink" Target="https://drive.google.com/open?id=1N3UuRF7nQH7TWI9z6cYERg1sX00oa6OS" TargetMode="External"/><Relationship Id="rId1761" Type="http://schemas.openxmlformats.org/officeDocument/2006/relationships/hyperlink" Target="https://www.facebook.com/profile.php?id=100046548901220&amp;mibextid=LQQJ4d" TargetMode="External"/><Relationship Id="rId2812" Type="http://schemas.openxmlformats.org/officeDocument/2006/relationships/hyperlink" Target="https://www.facebook.com/heituinanga?mibextid=LQQJ4d" TargetMode="External"/><Relationship Id="rId5968" Type="http://schemas.openxmlformats.org/officeDocument/2006/relationships/hyperlink" Target="https://www.facebook.com/profile.php?id=100028763377477&amp;mibextid=LQQJ4d" TargetMode="External"/><Relationship Id="rId8374" Type="http://schemas.openxmlformats.org/officeDocument/2006/relationships/hyperlink" Target="https://www.facebook.com/profile.php?id=100073795158275&amp;mibextid=LQQJ4d" TargetMode="External"/><Relationship Id="rId9425" Type="http://schemas.openxmlformats.org/officeDocument/2006/relationships/hyperlink" Target="https://www.facebook.com/profile.php?id=100078628117619" TargetMode="External"/><Relationship Id="rId53" Type="http://schemas.openxmlformats.org/officeDocument/2006/relationships/hyperlink" Target="https://www.facebook.com/kido.hoangviet?mibextid=LQQJ4d" TargetMode="External"/><Relationship Id="rId1414" Type="http://schemas.openxmlformats.org/officeDocument/2006/relationships/hyperlink" Target="https://www.facebook.com/mduc2489" TargetMode="External"/><Relationship Id="rId4984" Type="http://schemas.openxmlformats.org/officeDocument/2006/relationships/hyperlink" Target="https://www.facebook.com/profile.php?id=100042881387967&amp;mibextid=LQQJ4d" TargetMode="External"/><Relationship Id="rId7390" Type="http://schemas.openxmlformats.org/officeDocument/2006/relationships/hyperlink" Target="https://www.facebook.com/profile.php?id=100079856153816&amp;mibextid=ZbWKwL" TargetMode="External"/><Relationship Id="rId8027" Type="http://schemas.openxmlformats.org/officeDocument/2006/relationships/hyperlink" Target="https://www.facebook.com/nguynhongghank.2806" TargetMode="External"/><Relationship Id="rId8441" Type="http://schemas.openxmlformats.org/officeDocument/2006/relationships/hyperlink" Target="https://www.facebook.com/profile.php?id=100079266637088&amp;mibextid=LQQJ4d" TargetMode="External"/><Relationship Id="rId3586" Type="http://schemas.openxmlformats.org/officeDocument/2006/relationships/hyperlink" Target="https://drive.google.com/open?id=11NHqzHt4P3h-gLvV775cVcGo8RAMyMP_" TargetMode="External"/><Relationship Id="rId4637" Type="http://schemas.openxmlformats.org/officeDocument/2006/relationships/hyperlink" Target="https://drive.google.com/open?id=1evvSTvmYV5uzLtllkSqWhg7HJ6S307RZ" TargetMode="External"/><Relationship Id="rId7043" Type="http://schemas.openxmlformats.org/officeDocument/2006/relationships/hyperlink" Target="https://drive.google.com/open?id=1g4uN5MTHfwW_yPPNHE7xa5Ev2vovIucF" TargetMode="External"/><Relationship Id="rId2188" Type="http://schemas.openxmlformats.org/officeDocument/2006/relationships/hyperlink" Target="https://www.facebook.com/cuong.nm.782005?mibextid=9R9pXO" TargetMode="External"/><Relationship Id="rId3239" Type="http://schemas.openxmlformats.org/officeDocument/2006/relationships/hyperlink" Target="https://www.facebook.com/profile.php?id=100033523038621" TargetMode="External"/><Relationship Id="rId7110" Type="http://schemas.openxmlformats.org/officeDocument/2006/relationships/hyperlink" Target="https://www.facebook.com/mduc2489" TargetMode="External"/><Relationship Id="rId574" Type="http://schemas.openxmlformats.org/officeDocument/2006/relationships/hyperlink" Target="https://www.facebook.com/profile.php?id=100048370714074" TargetMode="External"/><Relationship Id="rId2255" Type="http://schemas.openxmlformats.org/officeDocument/2006/relationships/hyperlink" Target="https://www.facebook.com/naolihtt" TargetMode="External"/><Relationship Id="rId3653" Type="http://schemas.openxmlformats.org/officeDocument/2006/relationships/hyperlink" Target="https://www.facebook.com/profile.php?id=100024428884733&amp;mibextid=ZbWKwL" TargetMode="External"/><Relationship Id="rId4704" Type="http://schemas.openxmlformats.org/officeDocument/2006/relationships/hyperlink" Target="https://www.facebook.com/profile.php?id=100022730001454" TargetMode="External"/><Relationship Id="rId9282" Type="http://schemas.openxmlformats.org/officeDocument/2006/relationships/hyperlink" Target="https://www.facebook.com/share/19m1hnjcAN/?mibextid=LQQJ4d" TargetMode="External"/><Relationship Id="rId227" Type="http://schemas.openxmlformats.org/officeDocument/2006/relationships/hyperlink" Target="https://www.facebook.com/profile.php?id=100072704288188&amp;mibextid=ZbWKwL" TargetMode="External"/><Relationship Id="rId3306" Type="http://schemas.openxmlformats.org/officeDocument/2006/relationships/hyperlink" Target="https://www.facebook.com/codai89" TargetMode="External"/><Relationship Id="rId3720" Type="http://schemas.openxmlformats.org/officeDocument/2006/relationships/hyperlink" Target="https://drive.google.com/open?id=1Dp85i7KSwapPdecL9MGheckgNAqYE14j" TargetMode="External"/><Relationship Id="rId6876" Type="http://schemas.openxmlformats.org/officeDocument/2006/relationships/hyperlink" Target="https://www.facebook.com/profile.php?id=100068911432006&amp;mibextid=LQQJ4d" TargetMode="External"/><Relationship Id="rId7927" Type="http://schemas.openxmlformats.org/officeDocument/2006/relationships/hyperlink" Target="https://drive.google.com/open?id=1_BB13EPfe9lOANST2BcFAtw8G1oa3kuI" TargetMode="External"/><Relationship Id="rId641" Type="http://schemas.openxmlformats.org/officeDocument/2006/relationships/hyperlink" Target="https://www.facebook.com/ngocanhle.tm" TargetMode="External"/><Relationship Id="rId1271" Type="http://schemas.openxmlformats.org/officeDocument/2006/relationships/hyperlink" Target="https://www.facebook.com/leekymchee" TargetMode="External"/><Relationship Id="rId2322" Type="http://schemas.openxmlformats.org/officeDocument/2006/relationships/hyperlink" Target="https://drive.google.com/open?id=1n2KvZSDNg8wj8oTdINz46HO8JNAaeqPO" TargetMode="External"/><Relationship Id="rId5478" Type="http://schemas.openxmlformats.org/officeDocument/2006/relationships/hyperlink" Target="https://drive.google.com/open?id=15nEnuirSfdteRp623CS6psCtZOHk7jQv" TargetMode="External"/><Relationship Id="rId5892" Type="http://schemas.openxmlformats.org/officeDocument/2006/relationships/hyperlink" Target="https://www.facebook.com/profile.php?id=100077506261937&amp;mibextid=LQQJ4d" TargetMode="External"/><Relationship Id="rId6529" Type="http://schemas.openxmlformats.org/officeDocument/2006/relationships/hyperlink" Target="https://www.facebook.com/profile.php?id=100039459440751&amp;mibextid=LQQJ4d" TargetMode="External"/><Relationship Id="rId6943" Type="http://schemas.openxmlformats.org/officeDocument/2006/relationships/hyperlink" Target="https://drive.google.com/open?id=1eBc4cPTbh6GUeN6MNg5Bd7NjMzG6pzQE" TargetMode="External"/><Relationship Id="rId4494" Type="http://schemas.openxmlformats.org/officeDocument/2006/relationships/hyperlink" Target="https://www.facebook.com/profile.php?id=100052674230901&amp;mibextid=LQQJ4d" TargetMode="External"/><Relationship Id="rId5545" Type="http://schemas.openxmlformats.org/officeDocument/2006/relationships/hyperlink" Target="https://www.facebook.com/profile.php?id=100057589418916&amp;mibextid=LQQJ4d" TargetMode="External"/><Relationship Id="rId9002" Type="http://schemas.openxmlformats.org/officeDocument/2006/relationships/hyperlink" Target="https://drive.google.com/open?id=1j_Ay7nEzmHb1MtvR0IjzXBzO28WbIWpf" TargetMode="External"/><Relationship Id="rId3096" Type="http://schemas.openxmlformats.org/officeDocument/2006/relationships/hyperlink" Target="https://www.facebook.com/thanhthuy5552" TargetMode="External"/><Relationship Id="rId4147" Type="http://schemas.openxmlformats.org/officeDocument/2006/relationships/hyperlink" Target="https://www.facebook.com/nthankha1810?mibextid=ZbWKwL" TargetMode="External"/><Relationship Id="rId4561" Type="http://schemas.openxmlformats.org/officeDocument/2006/relationships/hyperlink" Target="https://www.facebook.com/profile.php?id=100075440863082" TargetMode="External"/><Relationship Id="rId5612" Type="http://schemas.openxmlformats.org/officeDocument/2006/relationships/hyperlink" Target="https://www.facebook.com/profile.php?id=100040608488575&amp;mibextid=LQQJ4d" TargetMode="External"/><Relationship Id="rId8768" Type="http://schemas.openxmlformats.org/officeDocument/2006/relationships/hyperlink" Target="https://www.facebook.com/profile.php?id=100065433816577" TargetMode="External"/><Relationship Id="rId3163" Type="http://schemas.openxmlformats.org/officeDocument/2006/relationships/hyperlink" Target="https://www.facebook.com/profile.php?id=100017660326396&amp;mibextid=LQQJ4d" TargetMode="External"/><Relationship Id="rId4214" Type="http://schemas.openxmlformats.org/officeDocument/2006/relationships/hyperlink" Target="https://drive.google.com/open?id=1VWiG9lG_6FoCKTQGkr6T-yeMZ4xOvw8S" TargetMode="External"/><Relationship Id="rId1808" Type="http://schemas.openxmlformats.org/officeDocument/2006/relationships/hyperlink" Target="https://www.facebook.com/thibichngoc.ta.902?mibextid=LQQJ4d" TargetMode="External"/><Relationship Id="rId6386" Type="http://schemas.openxmlformats.org/officeDocument/2006/relationships/hyperlink" Target="https://drive.google.com/open?id=1gZ65Yjcsc_RirCUT5XlszNvgHc5QHOa_" TargetMode="External"/><Relationship Id="rId7784" Type="http://schemas.openxmlformats.org/officeDocument/2006/relationships/hyperlink" Target="https://drive.google.com/open?id=1vDu7_txCaeielmaQ6YE2gKnsjuhDWr-Q" TargetMode="External"/><Relationship Id="rId8835" Type="http://schemas.openxmlformats.org/officeDocument/2006/relationships/hyperlink" Target="https://www.facebook.com/profile.php?id=100012624180483&amp;mibextid=LQQJ4d" TargetMode="External"/><Relationship Id="rId151" Type="http://schemas.openxmlformats.org/officeDocument/2006/relationships/hyperlink" Target="https://www.facebook.com/namson229?mibextid=LQQJ4d" TargetMode="External"/><Relationship Id="rId3230" Type="http://schemas.openxmlformats.org/officeDocument/2006/relationships/hyperlink" Target="https://www.facebook.com/100012356231271/" TargetMode="External"/><Relationship Id="rId6039" Type="http://schemas.openxmlformats.org/officeDocument/2006/relationships/hyperlink" Target="https://www.facebook.com/profile.php?id=100054902799261" TargetMode="External"/><Relationship Id="rId7437" Type="http://schemas.openxmlformats.org/officeDocument/2006/relationships/hyperlink" Target="https://www.facebook.com/profile.php?id=100048658095353" TargetMode="External"/><Relationship Id="rId7851" Type="http://schemas.openxmlformats.org/officeDocument/2006/relationships/hyperlink" Target="https://www.facebook.com/profile.php?id=100086762724144&amp;mibextid=LQQJ4d" TargetMode="External"/><Relationship Id="rId8902" Type="http://schemas.openxmlformats.org/officeDocument/2006/relationships/hyperlink" Target="https://www.facebook.com/duong.hoangthuy.50999" TargetMode="External"/><Relationship Id="rId2996" Type="http://schemas.openxmlformats.org/officeDocument/2006/relationships/hyperlink" Target="https://drive.google.com/open?id=1P8Ea_x0o00i-_7G4mE94yeAbDy1vcYC7" TargetMode="External"/><Relationship Id="rId6453" Type="http://schemas.openxmlformats.org/officeDocument/2006/relationships/hyperlink" Target="https://drive.google.com/open?id=1kBTRxhm11Ws6Ec-KZJNbpOTh_qSFKxP-" TargetMode="External"/><Relationship Id="rId7504" Type="http://schemas.openxmlformats.org/officeDocument/2006/relationships/hyperlink" Target="https://www.facebook.com/profile.php?id=100090467447702&amp;mibextid=ZbWKwL" TargetMode="External"/><Relationship Id="rId968" Type="http://schemas.openxmlformats.org/officeDocument/2006/relationships/hyperlink" Target="https://drive.google.com/open?id=1rMEXH16j_CPOiAeuQYaqq9GPvXU1ZEaG" TargetMode="External"/><Relationship Id="rId1598" Type="http://schemas.openxmlformats.org/officeDocument/2006/relationships/hyperlink" Target="https://drive.google.com/open?id=1lbeT4AErDtDXUSaMtVkxSFnX39HJMuIG" TargetMode="External"/><Relationship Id="rId2649" Type="http://schemas.openxmlformats.org/officeDocument/2006/relationships/hyperlink" Target="https://www.facebook.com/profile.php?id=100033990849589" TargetMode="External"/><Relationship Id="rId5055" Type="http://schemas.openxmlformats.org/officeDocument/2006/relationships/hyperlink" Target="https://www.facebook.com/nohopefreemoney?mibextid=LQQJ4d" TargetMode="External"/><Relationship Id="rId6106" Type="http://schemas.openxmlformats.org/officeDocument/2006/relationships/hyperlink" Target="https://www.facebook.com/profile.php?id=100063563108404&amp;locale=vi_VN" TargetMode="External"/><Relationship Id="rId6520" Type="http://schemas.openxmlformats.org/officeDocument/2006/relationships/hyperlink" Target="https://www.facebook.com/trnathuy?mibextid=kFxxJD" TargetMode="External"/><Relationship Id="rId1665" Type="http://schemas.openxmlformats.org/officeDocument/2006/relationships/hyperlink" Target="https://www.facebook.com/profile.php?id=100061160496559&amp;mibextid=LQQJ4d" TargetMode="External"/><Relationship Id="rId2716" Type="http://schemas.openxmlformats.org/officeDocument/2006/relationships/hyperlink" Target="https://drive.google.com/open?id=1DknLqO3hY1482fhqD4axIBQ0m6gjmw3w" TargetMode="External"/><Relationship Id="rId4071" Type="http://schemas.openxmlformats.org/officeDocument/2006/relationships/hyperlink" Target="https://www.facebook.com/profile.php?id=100081831721895" TargetMode="External"/><Relationship Id="rId5122" Type="http://schemas.openxmlformats.org/officeDocument/2006/relationships/hyperlink" Target="https://www.facebook.com/profile.php?id=100078507665971" TargetMode="External"/><Relationship Id="rId8278" Type="http://schemas.openxmlformats.org/officeDocument/2006/relationships/hyperlink" Target="https://drive.google.com/open?id=129l40so9dqYxdS0l5CfgXVtv_smTSWio" TargetMode="External"/><Relationship Id="rId8692" Type="http://schemas.openxmlformats.org/officeDocument/2006/relationships/hyperlink" Target="https://www.facebook.com/ownerbanhcuoncha?mibextid=LQQJ4d" TargetMode="External"/><Relationship Id="rId9329" Type="http://schemas.openxmlformats.org/officeDocument/2006/relationships/hyperlink" Target="https://www.facebook.com/haviethoang.nguyen?mibextid=LQQJ4d&amp;rdid=KlABDsfw6fvFqJVP&amp;share_url=https%3A%2F%2Fwww.facebook.com%2Fshare%2F8HnSwiVR6JDdZHdc%2F%3Fmibextid%3DLQQJ4d" TargetMode="External"/><Relationship Id="rId1318" Type="http://schemas.openxmlformats.org/officeDocument/2006/relationships/hyperlink" Target="https://drive.google.com/open?id=1_SPmTFn6jJmBMRN_LZhYJIRfbMKX9o37" TargetMode="External"/><Relationship Id="rId7294" Type="http://schemas.openxmlformats.org/officeDocument/2006/relationships/hyperlink" Target="https://www.facebook.com/profile.php?id=100013199598491" TargetMode="External"/><Relationship Id="rId8345" Type="http://schemas.openxmlformats.org/officeDocument/2006/relationships/hyperlink" Target="https://www.facebook.com/ngthiuyn190?mibextid=ZbWKwL" TargetMode="External"/><Relationship Id="rId1732" Type="http://schemas.openxmlformats.org/officeDocument/2006/relationships/hyperlink" Target="https://www.facebook.com/profile.php?id=100023687449541&amp;mibextid=LQQJ4d" TargetMode="External"/><Relationship Id="rId4888" Type="http://schemas.openxmlformats.org/officeDocument/2006/relationships/hyperlink" Target="https://drive.google.com/open?id=1-vtRjyIzQWR8UZ2hXIwrcvaIdkygoEa-" TargetMode="External"/><Relationship Id="rId5939" Type="http://schemas.openxmlformats.org/officeDocument/2006/relationships/hyperlink" Target="https://www.facebook.com/profile.php?id=100091881070888&amp;mibextid=LQQJ4d" TargetMode="External"/><Relationship Id="rId7361" Type="http://schemas.openxmlformats.org/officeDocument/2006/relationships/hyperlink" Target="https://www.facebook.com/profile.php?id=100059533226726" TargetMode="External"/><Relationship Id="rId24" Type="http://schemas.openxmlformats.org/officeDocument/2006/relationships/hyperlink" Target="https://www.facebook.com/profile.php?id=100031588725737&amp;mibextid=LQQJ4d" TargetMode="External"/><Relationship Id="rId4955" Type="http://schemas.openxmlformats.org/officeDocument/2006/relationships/hyperlink" Target="https://www.facebook.com/co.mai.9277583?mibextid=LQQJ4d" TargetMode="External"/><Relationship Id="rId7014" Type="http://schemas.openxmlformats.org/officeDocument/2006/relationships/hyperlink" Target="https://www.facebook.com/hai.caoduy.3781" TargetMode="External"/><Relationship Id="rId8412" Type="http://schemas.openxmlformats.org/officeDocument/2006/relationships/hyperlink" Target="https://www.facebook.com/profile.php?id=100047600375011&amp;mibextid=LQQJ4d" TargetMode="External"/><Relationship Id="rId3557" Type="http://schemas.openxmlformats.org/officeDocument/2006/relationships/hyperlink" Target="https://drive.google.com/open?id=1emS-XpGgroRKwkD15OToBc1SxkVC0kAR" TargetMode="External"/><Relationship Id="rId3971" Type="http://schemas.openxmlformats.org/officeDocument/2006/relationships/hyperlink" Target="https://drive.google.com/open?id=1ybMmknOBo9VTjOJpCmUI8ibiiOaH8w0f" TargetMode="External"/><Relationship Id="rId4608" Type="http://schemas.openxmlformats.org/officeDocument/2006/relationships/hyperlink" Target="https://www.facebook.com/leekhoi6905/?locale=vi_VN" TargetMode="External"/><Relationship Id="rId478" Type="http://schemas.openxmlformats.org/officeDocument/2006/relationships/hyperlink" Target="https://drive.google.com/open?id=1O5RyrhDx_7odX0YlMkNt6iwkzSVFmTL9" TargetMode="External"/><Relationship Id="rId892" Type="http://schemas.openxmlformats.org/officeDocument/2006/relationships/hyperlink" Target="https://www.facebook.com/manhtai.nguyen.9216?mibextid=ZbWKwL" TargetMode="External"/><Relationship Id="rId2159" Type="http://schemas.openxmlformats.org/officeDocument/2006/relationships/hyperlink" Target="https://drive.google.com/open?id=1_vzpGc6hzIYlmxrfdtbAbkfNhg3G7keV" TargetMode="External"/><Relationship Id="rId2573" Type="http://schemas.openxmlformats.org/officeDocument/2006/relationships/hyperlink" Target="https://drive.google.com/open?id=14lX_9ZNXkjsaAoWn0rK-gCQ2S8O-gDvg" TargetMode="External"/><Relationship Id="rId3624" Type="http://schemas.openxmlformats.org/officeDocument/2006/relationships/hyperlink" Target="https://www.facebook.com/profile.php?id=100055558790977&amp;mibextid=LQQJ4d" TargetMode="External"/><Relationship Id="rId6030" Type="http://schemas.openxmlformats.org/officeDocument/2006/relationships/hyperlink" Target="https://www.facebook.com/profile.php?id=100035770404304&amp;mibextid=LQQJ4d" TargetMode="External"/><Relationship Id="rId9186" Type="http://schemas.openxmlformats.org/officeDocument/2006/relationships/hyperlink" Target="https://drive.google.com/open?id=1Bz7DJD0CWf7CmD-61KEhTfWuF2EGLcwl" TargetMode="External"/><Relationship Id="rId545" Type="http://schemas.openxmlformats.org/officeDocument/2006/relationships/hyperlink" Target="https://drive.google.com/open?id=1mUs_LRXhzqtZeH1GPrT48q98ZAu8t-VT" TargetMode="External"/><Relationship Id="rId1175" Type="http://schemas.openxmlformats.org/officeDocument/2006/relationships/hyperlink" Target="https://www.facebook.com/huyenmy.nguyen.581525?mibextid=LQQJ4d" TargetMode="External"/><Relationship Id="rId2226" Type="http://schemas.openxmlformats.org/officeDocument/2006/relationships/hyperlink" Target="https://www.facebook.com/profile.php?id=100049470287690&amp;mibextid=LQQJ4d" TargetMode="External"/><Relationship Id="rId2640" Type="http://schemas.openxmlformats.org/officeDocument/2006/relationships/hyperlink" Target="https://www.facebook.com/profile.php?id=100054984527305&amp;mibextid=LQQJ4d" TargetMode="External"/><Relationship Id="rId5796" Type="http://schemas.openxmlformats.org/officeDocument/2006/relationships/hyperlink" Target="https://drive.google.com/open?id=1Dwj60sAyUKYIoyXs_Hr73nRLkIKrUghU" TargetMode="External"/><Relationship Id="rId6847" Type="http://schemas.openxmlformats.org/officeDocument/2006/relationships/hyperlink" Target="https://drive.google.com/open?id=1iuwET60Jn2wLU2_cZSCxHmYAbRYzmzWB" TargetMode="External"/><Relationship Id="rId9253" Type="http://schemas.openxmlformats.org/officeDocument/2006/relationships/hyperlink" Target="https://www.facebook.com/profile.php?id=100047743476566&amp;mibextid=ZbWKwL" TargetMode="External"/><Relationship Id="rId612" Type="http://schemas.openxmlformats.org/officeDocument/2006/relationships/hyperlink" Target="https://drive.google.com/open?id=15peMy_pMe2nVWoPDV5w90Ug76zEnZOjh" TargetMode="External"/><Relationship Id="rId1242" Type="http://schemas.openxmlformats.org/officeDocument/2006/relationships/hyperlink" Target="https://drive.google.com/open?id=1hB1Z0Lo2JIhlmT4N2aHyz1TtU92G8vsv" TargetMode="External"/><Relationship Id="rId4398" Type="http://schemas.openxmlformats.org/officeDocument/2006/relationships/hyperlink" Target="https://www.facebook.com/profile.php?id=100061145917880&amp;mibextid=ZbWKwL" TargetMode="External"/><Relationship Id="rId5449" Type="http://schemas.openxmlformats.org/officeDocument/2006/relationships/hyperlink" Target="https://www.facebook.com/jenius345?mibextid=ZbWKwL" TargetMode="External"/><Relationship Id="rId9320" Type="http://schemas.openxmlformats.org/officeDocument/2006/relationships/hyperlink" Target="https://drive.google.com/open?id=149-pmX_TFlqhOSDxTiaC_C3t2h9fTZf7" TargetMode="External"/><Relationship Id="rId4465" Type="http://schemas.openxmlformats.org/officeDocument/2006/relationships/hyperlink" Target="https://www.facebook.com/profile.php?id=100015782592389&amp;mibextid=LQQJ4d" TargetMode="External"/><Relationship Id="rId5863" Type="http://schemas.openxmlformats.org/officeDocument/2006/relationships/hyperlink" Target="https://www.facebook.com/hoaii.thu.2006?mibextid=ZbWKwL" TargetMode="External"/><Relationship Id="rId6914" Type="http://schemas.openxmlformats.org/officeDocument/2006/relationships/hyperlink" Target="https://www.facebook.com/trang.com.5205?mibextid=LQQJ4d" TargetMode="External"/><Relationship Id="rId3067" Type="http://schemas.openxmlformats.org/officeDocument/2006/relationships/hyperlink" Target="https://www.facebook.com/100051994800082/" TargetMode="External"/><Relationship Id="rId4118" Type="http://schemas.openxmlformats.org/officeDocument/2006/relationships/hyperlink" Target="https://www.facebook.com/100050375943846/" TargetMode="External"/><Relationship Id="rId5516" Type="http://schemas.openxmlformats.org/officeDocument/2006/relationships/hyperlink" Target="https://www.facebook.com/profile.php?id=100011229794448&amp;mibextid=ZbWKwL" TargetMode="External"/><Relationship Id="rId5930" Type="http://schemas.openxmlformats.org/officeDocument/2006/relationships/hyperlink" Target="https://www.facebook.com/Gnourt11.06?mibextid=LQQJ4d" TargetMode="External"/><Relationship Id="rId3481" Type="http://schemas.openxmlformats.org/officeDocument/2006/relationships/hyperlink" Target="https://www.facebook.com/profile.php?id=100021873186776&amp;mibextid=LQQJ4d" TargetMode="External"/><Relationship Id="rId4532" Type="http://schemas.openxmlformats.org/officeDocument/2006/relationships/hyperlink" Target="https://www.facebook.com/profile.php?id=100075708604086&amp;mibextid=ZbWKwL" TargetMode="External"/><Relationship Id="rId7688" Type="http://schemas.openxmlformats.org/officeDocument/2006/relationships/hyperlink" Target="https://www.facebook.com/profile.php?id=100040769432910" TargetMode="External"/><Relationship Id="rId8739" Type="http://schemas.openxmlformats.org/officeDocument/2006/relationships/hyperlink" Target="https://www.facebook.com/profile.php?id=100064334715846" TargetMode="External"/><Relationship Id="rId2083" Type="http://schemas.openxmlformats.org/officeDocument/2006/relationships/hyperlink" Target="https://drive.google.com/open?id=1bXpGHiVrlGgFkVTT4KlfbT1zHxlLSxcK" TargetMode="External"/><Relationship Id="rId3134" Type="http://schemas.openxmlformats.org/officeDocument/2006/relationships/hyperlink" Target="https://drive.google.com/open?id=1xhPt9-ynJ8WQe74b3G3HOSNNP66_jB4P" TargetMode="External"/><Relationship Id="rId7755" Type="http://schemas.openxmlformats.org/officeDocument/2006/relationships/hyperlink" Target="https://www.facebook.com/lunss.nam.9887" TargetMode="External"/><Relationship Id="rId8806" Type="http://schemas.openxmlformats.org/officeDocument/2006/relationships/hyperlink" Target="https://www.facebook.com/hip.vu.1865?mibextid=LQQJ4d" TargetMode="External"/><Relationship Id="rId2150" Type="http://schemas.openxmlformats.org/officeDocument/2006/relationships/hyperlink" Target="https://www.facebook.com/nthankha1810?mibextid=ZbWKwL" TargetMode="External"/><Relationship Id="rId3201" Type="http://schemas.openxmlformats.org/officeDocument/2006/relationships/hyperlink" Target="https://drive.google.com/open?id=1TS6R9Sp2oF7X8-FpgGkko4IQJeWb9aYp" TargetMode="External"/><Relationship Id="rId6357" Type="http://schemas.openxmlformats.org/officeDocument/2006/relationships/hyperlink" Target="https://drive.google.com/open?id=1zrjgCbEnHHW8G2XbNRxqsrRTaiot_mf0" TargetMode="External"/><Relationship Id="rId6771" Type="http://schemas.openxmlformats.org/officeDocument/2006/relationships/hyperlink" Target="https://www.facebook.com/profile.php?id=100016771843639&amp;mibextid=LQQJ4d" TargetMode="External"/><Relationship Id="rId7408" Type="http://schemas.openxmlformats.org/officeDocument/2006/relationships/hyperlink" Target="https://www.facebook.com/profile.php?id=100019941062582" TargetMode="External"/><Relationship Id="rId7822" Type="http://schemas.openxmlformats.org/officeDocument/2006/relationships/hyperlink" Target="https://www.facebook.com/profile.php?id=100071548576161" TargetMode="External"/><Relationship Id="rId122" Type="http://schemas.openxmlformats.org/officeDocument/2006/relationships/hyperlink" Target="https://www.facebook.com/embecuaanh0901?mibextid=LQQJ4d" TargetMode="External"/><Relationship Id="rId5373" Type="http://schemas.openxmlformats.org/officeDocument/2006/relationships/hyperlink" Target="https://drive.google.com/open?id=1uAh1HekRHmi6sGrCgDoP7H0iK2SQnogL" TargetMode="External"/><Relationship Id="rId6424" Type="http://schemas.openxmlformats.org/officeDocument/2006/relationships/hyperlink" Target="https://drive.google.com/open?id=1zI1pYtaKxOiQ2ATKsHXD_O78McPPru3P" TargetMode="External"/><Relationship Id="rId1569" Type="http://schemas.openxmlformats.org/officeDocument/2006/relationships/hyperlink" Target="https://www.facebook.com/profile.php?id=100034112291776" TargetMode="External"/><Relationship Id="rId2967" Type="http://schemas.openxmlformats.org/officeDocument/2006/relationships/hyperlink" Target="https://www.facebook.com/profile.php?id=100033652637820&amp;mibextid=ZbWKwL" TargetMode="External"/><Relationship Id="rId5026" Type="http://schemas.openxmlformats.org/officeDocument/2006/relationships/hyperlink" Target="https://www.facebook.com/profile.php?id=100054827530926&amp;mibextid=LQQJ4d" TargetMode="External"/><Relationship Id="rId5440" Type="http://schemas.openxmlformats.org/officeDocument/2006/relationships/hyperlink" Target="https://www.facebook.com/thibichngoc.ta.902?mibextid=LQQJ4d" TargetMode="External"/><Relationship Id="rId8596" Type="http://schemas.openxmlformats.org/officeDocument/2006/relationships/hyperlink" Target="https://www.facebook.com/people/Tr%E1%BA%A7n-Kh%E1%BA%AFc-Tr%E1%BB%8Dng/pfbid0234Wx6oGqTbjQTGYPWwxmoiKWBdrYvbEfzV6SHjW148ZrMwAxiwZijmL3HYU9o7p9l/" TargetMode="External"/><Relationship Id="rId939" Type="http://schemas.openxmlformats.org/officeDocument/2006/relationships/hyperlink" Target="https://www.facebook.com/profile.php?id=100057443211582" TargetMode="External"/><Relationship Id="rId1983" Type="http://schemas.openxmlformats.org/officeDocument/2006/relationships/hyperlink" Target="https://www.facebook.com/dumpling.1206" TargetMode="External"/><Relationship Id="rId4042" Type="http://schemas.openxmlformats.org/officeDocument/2006/relationships/hyperlink" Target="https://drive.google.com/open?id=1aPQxFylXYlbfHkZldyrGt89OgmPsED1v" TargetMode="External"/><Relationship Id="rId7198" Type="http://schemas.openxmlformats.org/officeDocument/2006/relationships/hyperlink" Target="https://www.facebook.com/profile.php?id=100070686594586&amp;mibextid=ZbWKwL" TargetMode="External"/><Relationship Id="rId8249" Type="http://schemas.openxmlformats.org/officeDocument/2006/relationships/hyperlink" Target="https://www.facebook.com/share/18pmivzyi3/" TargetMode="External"/><Relationship Id="rId1636" Type="http://schemas.openxmlformats.org/officeDocument/2006/relationships/hyperlink" Target="https://www.facebook.com/profile.php?id=100018327258203" TargetMode="External"/><Relationship Id="rId8663" Type="http://schemas.openxmlformats.org/officeDocument/2006/relationships/hyperlink" Target="https://www.facebook.com/TeacherYethro1408" TargetMode="External"/><Relationship Id="rId1703" Type="http://schemas.openxmlformats.org/officeDocument/2006/relationships/hyperlink" Target="https://drive.google.com/open?id=17uZIYfq7f4GNXSPNPF0vJJDLF-gHGeIo" TargetMode="External"/><Relationship Id="rId4859" Type="http://schemas.openxmlformats.org/officeDocument/2006/relationships/hyperlink" Target="https://www.facebook.com/profile.php?id=100026376623678&amp;mibextid=ZbWKwL" TargetMode="External"/><Relationship Id="rId7265" Type="http://schemas.openxmlformats.org/officeDocument/2006/relationships/hyperlink" Target="https://www.facebook.com/profile.php?id=100083726784472&amp;mibextid=ZbWKwL" TargetMode="External"/><Relationship Id="rId8316" Type="http://schemas.openxmlformats.org/officeDocument/2006/relationships/hyperlink" Target="https://drive.google.com/open?id=1GVPJ8v0mNdOMCrch1UKFkPqkNeG91CcQ" TargetMode="External"/><Relationship Id="rId8730" Type="http://schemas.openxmlformats.org/officeDocument/2006/relationships/hyperlink" Target="https://www.facebook.com/thanhthien9054?mibextid=ZbWKwL" TargetMode="External"/><Relationship Id="rId3875" Type="http://schemas.openxmlformats.org/officeDocument/2006/relationships/hyperlink" Target="https://www.facebook.com/thu.trangg.1293575?locale=vi_VN" TargetMode="External"/><Relationship Id="rId4926" Type="http://schemas.openxmlformats.org/officeDocument/2006/relationships/hyperlink" Target="https://www.facebook.com/profile.php?id=100056420499437&amp;mibextid=ZbWKwL" TargetMode="External"/><Relationship Id="rId6281" Type="http://schemas.openxmlformats.org/officeDocument/2006/relationships/hyperlink" Target="https://www.facebook.com/profile.php?id=100040960082985&amp;mibextid=ZbWKwL" TargetMode="External"/><Relationship Id="rId7332" Type="http://schemas.openxmlformats.org/officeDocument/2006/relationships/hyperlink" Target="https://www.facebook.com/profile.php?id=100071178555248&amp;mibextid=LQQJ4d" TargetMode="External"/><Relationship Id="rId796" Type="http://schemas.openxmlformats.org/officeDocument/2006/relationships/hyperlink" Target="https://drive.google.com/open?id=1cc0U1ITI1mqrqRNDWReWEQGybRmJIXPh" TargetMode="External"/><Relationship Id="rId2477" Type="http://schemas.openxmlformats.org/officeDocument/2006/relationships/hyperlink" Target="https://www.facebook.com/100014203269575/" TargetMode="External"/><Relationship Id="rId3528" Type="http://schemas.openxmlformats.org/officeDocument/2006/relationships/hyperlink" Target="https://www.facebook.com/profile.php?id=100088674544844" TargetMode="External"/><Relationship Id="rId449" Type="http://schemas.openxmlformats.org/officeDocument/2006/relationships/hyperlink" Target="https://drive.google.com/open?id=1PcNjrbc8d4tW-ZtUGLGx-fDBHB545tbc" TargetMode="External"/><Relationship Id="rId863" Type="http://schemas.openxmlformats.org/officeDocument/2006/relationships/hyperlink" Target="https://www.facebook.com/mit.ngoc.56211497?mibextid=2JQ9oc" TargetMode="External"/><Relationship Id="rId1079" Type="http://schemas.openxmlformats.org/officeDocument/2006/relationships/hyperlink" Target="https://drive.google.com/open?id=1oOIF7ihRJWoKkpgy6ve7Q8T73AHSOCWK" TargetMode="External"/><Relationship Id="rId1493" Type="http://schemas.openxmlformats.org/officeDocument/2006/relationships/hyperlink" Target="https://www.facebook.com/profile.php?id=100023805314792&amp;mibextid=ZbWKwL" TargetMode="External"/><Relationship Id="rId2544" Type="http://schemas.openxmlformats.org/officeDocument/2006/relationships/hyperlink" Target="https://www.facebook.com/vithao.nguyenhoang.3" TargetMode="External"/><Relationship Id="rId2891" Type="http://schemas.openxmlformats.org/officeDocument/2006/relationships/hyperlink" Target="https://drive.google.com/open?id=1jMJ80TA6kjF45Hw2sBbFchBjmZXcyvYW" TargetMode="External"/><Relationship Id="rId3942" Type="http://schemas.openxmlformats.org/officeDocument/2006/relationships/hyperlink" Target="https://www.facebook.com/lephuonglinh.06" TargetMode="External"/><Relationship Id="rId6001" Type="http://schemas.openxmlformats.org/officeDocument/2006/relationships/hyperlink" Target="https://www.facebook.com/profile.php?id=100076231881553&amp;mibextid=LQQJ4d" TargetMode="External"/><Relationship Id="rId9157" Type="http://schemas.openxmlformats.org/officeDocument/2006/relationships/hyperlink" Target="https://www.facebook.com/pmq258?mibextid=ZbWKwL" TargetMode="External"/><Relationship Id="rId9571" Type="http://schemas.openxmlformats.org/officeDocument/2006/relationships/hyperlink" Target="https://www.facebook.com/share/18Z5GQEFBv/?mibextid=wwXIfr" TargetMode="External"/><Relationship Id="rId516" Type="http://schemas.openxmlformats.org/officeDocument/2006/relationships/hyperlink" Target="https://drive.google.com/open?id=16AjLq6_QX4eZalMcCnoR6M4IQONLkCxo" TargetMode="External"/><Relationship Id="rId1146" Type="http://schemas.openxmlformats.org/officeDocument/2006/relationships/hyperlink" Target="https://www.facebook.com/yns.nieexinchao?mibextid=LQQJ4d" TargetMode="External"/><Relationship Id="rId8173" Type="http://schemas.openxmlformats.org/officeDocument/2006/relationships/hyperlink" Target="https://www.facebook.com/profile.php?id=100062182376196" TargetMode="External"/><Relationship Id="rId9224" Type="http://schemas.openxmlformats.org/officeDocument/2006/relationships/hyperlink" Target="https://www.facebook.com/bmt.huy.545?mibextid=LQQJ4d" TargetMode="External"/><Relationship Id="rId930" Type="http://schemas.openxmlformats.org/officeDocument/2006/relationships/hyperlink" Target="https://drive.google.com/open?id=14A4BJJHOrt5D24nzEDlezY_Gt_DGqJje" TargetMode="External"/><Relationship Id="rId1560" Type="http://schemas.openxmlformats.org/officeDocument/2006/relationships/hyperlink" Target="https://www.facebook.com/profile.php?id=100013248129700&amp;mibextid=LQQJ4d" TargetMode="External"/><Relationship Id="rId2611" Type="http://schemas.openxmlformats.org/officeDocument/2006/relationships/hyperlink" Target="https://www.facebook.com/profile.php?id=100034391682722&amp;mibextid=LQQJ4d" TargetMode="External"/><Relationship Id="rId5767" Type="http://schemas.openxmlformats.org/officeDocument/2006/relationships/hyperlink" Target="https://www.facebook.com/profile.php?id=61567283288752&amp;mibextid=LQQJ4d" TargetMode="External"/><Relationship Id="rId6818" Type="http://schemas.openxmlformats.org/officeDocument/2006/relationships/hyperlink" Target="https://www.facebook.com/nguyenhokhanhlinh2810?mibextid=ZbWKwL" TargetMode="External"/><Relationship Id="rId1213" Type="http://schemas.openxmlformats.org/officeDocument/2006/relationships/hyperlink" Target="https://www.facebook.com/profile.php?id=100022308904824&amp;mibextid=LQQJ4d" TargetMode="External"/><Relationship Id="rId4369" Type="http://schemas.openxmlformats.org/officeDocument/2006/relationships/hyperlink" Target="https://www.facebook.com/profile.php?id=100034363549687&amp;mibextid=LQQJ4d" TargetMode="External"/><Relationship Id="rId4783" Type="http://schemas.openxmlformats.org/officeDocument/2006/relationships/hyperlink" Target="https://www.facebook.com/profile.php?id=100037460615955&amp;mibextid=LQQJ4d" TargetMode="External"/><Relationship Id="rId5834" Type="http://schemas.openxmlformats.org/officeDocument/2006/relationships/hyperlink" Target="https://www.facebook.com/profile.php?id=100049001372635" TargetMode="External"/><Relationship Id="rId8240" Type="http://schemas.openxmlformats.org/officeDocument/2006/relationships/hyperlink" Target="https://drive.google.com/open?id=1zgwzH3yqzCaN3MBLxwC-s00BZCrsdR9y" TargetMode="External"/><Relationship Id="rId3385" Type="http://schemas.openxmlformats.org/officeDocument/2006/relationships/hyperlink" Target="https://drive.google.com/open?id=1_p-VCHJivR5Soazk80oxjCQJQB535VGT" TargetMode="External"/><Relationship Id="rId4436" Type="http://schemas.openxmlformats.org/officeDocument/2006/relationships/hyperlink" Target="https://www.facebook.com/profile.php?id=100056802892619&amp;mibextid=LQQJ4d" TargetMode="External"/><Relationship Id="rId4850" Type="http://schemas.openxmlformats.org/officeDocument/2006/relationships/hyperlink" Target="https://www.facebook.com/hhuong1101" TargetMode="External"/><Relationship Id="rId5901" Type="http://schemas.openxmlformats.org/officeDocument/2006/relationships/hyperlink" Target="https://www.facebook.com/profile.php?id=100069075580392&amp;mibextid=LQQJ4d" TargetMode="External"/><Relationship Id="rId3038" Type="http://schemas.openxmlformats.org/officeDocument/2006/relationships/hyperlink" Target="https://www.facebook.com/100049110434383/" TargetMode="External"/><Relationship Id="rId3452" Type="http://schemas.openxmlformats.org/officeDocument/2006/relationships/hyperlink" Target="https://www.facebook.com/profile.php?id=100013554614322&amp;mibextid=ZbWKwL" TargetMode="External"/><Relationship Id="rId4503" Type="http://schemas.openxmlformats.org/officeDocument/2006/relationships/hyperlink" Target="https://www.facebook.com/profile.php?id=100004358086165" TargetMode="External"/><Relationship Id="rId7659" Type="http://schemas.openxmlformats.org/officeDocument/2006/relationships/hyperlink" Target="https://www.facebook.com/profile.php?id=61553308353439&amp;mibextid=LQQJ4d" TargetMode="External"/><Relationship Id="rId373" Type="http://schemas.openxmlformats.org/officeDocument/2006/relationships/hyperlink" Target="https://drive.google.com/open?id=1il8kq-gfXDe2fBSvYZlv-25HqHpSEU9d" TargetMode="External"/><Relationship Id="rId2054" Type="http://schemas.openxmlformats.org/officeDocument/2006/relationships/hyperlink" Target="https://www.facebook.com/profile.php?id=100050241463752&amp;mibextid=LQQJ4d" TargetMode="External"/><Relationship Id="rId3105" Type="http://schemas.openxmlformats.org/officeDocument/2006/relationships/hyperlink" Target="https://www.facebook.com/quynhnhu.hoangthi.39?mibextid=LQQJ4d" TargetMode="External"/><Relationship Id="rId6675" Type="http://schemas.openxmlformats.org/officeDocument/2006/relationships/hyperlink" Target="https://www.facebook.com/profile.php?id=100055555522440" TargetMode="External"/><Relationship Id="rId9081" Type="http://schemas.openxmlformats.org/officeDocument/2006/relationships/hyperlink" Target="https://www.facebook.com/profile.php?id=100053270559845&amp;mibextid=LQQJ4d" TargetMode="External"/><Relationship Id="rId440" Type="http://schemas.openxmlformats.org/officeDocument/2006/relationships/hyperlink" Target="https://www.facebook.com/profile.php?id=100081297048500" TargetMode="External"/><Relationship Id="rId1070" Type="http://schemas.openxmlformats.org/officeDocument/2006/relationships/hyperlink" Target="https://www.facebook.com/profile.php?id=100057673704717&amp;mibextid=LQQJ4d" TargetMode="External"/><Relationship Id="rId2121" Type="http://schemas.openxmlformats.org/officeDocument/2006/relationships/hyperlink" Target="https://www.facebook.com/so.vu.3110" TargetMode="External"/><Relationship Id="rId5277" Type="http://schemas.openxmlformats.org/officeDocument/2006/relationships/hyperlink" Target="https://drive.google.com/open?id=1bdcEJYCBijCEumpi4pt9K146j0IVqBzm" TargetMode="External"/><Relationship Id="rId6328" Type="http://schemas.openxmlformats.org/officeDocument/2006/relationships/hyperlink" Target="https://www.facebook.com/baongoc.phung.7545" TargetMode="External"/><Relationship Id="rId7726" Type="http://schemas.openxmlformats.org/officeDocument/2006/relationships/hyperlink" Target="https://drive.google.com/open?id=1ivD8HPSEd8M5H_15AWHyMMe7Wvw0VFpf" TargetMode="External"/><Relationship Id="rId5691" Type="http://schemas.openxmlformats.org/officeDocument/2006/relationships/hyperlink" Target="https://www.facebook.com/profile.php?id=61560335199759" TargetMode="External"/><Relationship Id="rId6742" Type="http://schemas.openxmlformats.org/officeDocument/2006/relationships/hyperlink" Target="https://drive.google.com/open?id=16XS7qyMQUMjucS9u8bcrMnbzGaN3ovqv" TargetMode="External"/><Relationship Id="rId1887" Type="http://schemas.openxmlformats.org/officeDocument/2006/relationships/hyperlink" Target="https://www.facebook.com/profilecuazang" TargetMode="External"/><Relationship Id="rId2938" Type="http://schemas.openxmlformats.org/officeDocument/2006/relationships/hyperlink" Target="https://www.facebook.com/share/K4e4kdqGJSWQBaxC/?mibextid=LQQJ4d" TargetMode="External"/><Relationship Id="rId4293" Type="http://schemas.openxmlformats.org/officeDocument/2006/relationships/hyperlink" Target="https://www.facebook.com/share/jeYVz5kuk52a6DEw/?mibextid=LQQJ4d" TargetMode="External"/><Relationship Id="rId5344" Type="http://schemas.openxmlformats.org/officeDocument/2006/relationships/hyperlink" Target="https://www.facebook.com/profile.php?id=100036929378539&amp;mibextid=ZbWKwL" TargetMode="External"/><Relationship Id="rId1954" Type="http://schemas.openxmlformats.org/officeDocument/2006/relationships/hyperlink" Target="https://www.facebook.com/tra012345?comment_id=Y29tbWVudDoyMzQ5ODg4MDE4NTQ1NzYyXzg5ODU0NTE2NDQ1OTMzMw%3D%3D" TargetMode="External"/><Relationship Id="rId4360" Type="http://schemas.openxmlformats.org/officeDocument/2006/relationships/hyperlink" Target="https://www.facebook.com/cut.cuc.750331?mibextid=LQQJ4d" TargetMode="External"/><Relationship Id="rId5411" Type="http://schemas.openxmlformats.org/officeDocument/2006/relationships/hyperlink" Target="https://drive.google.com/open?id=14hpA1xgUjq7ggxHbh1DDPHryAMyB0ybI" TargetMode="External"/><Relationship Id="rId8567" Type="http://schemas.openxmlformats.org/officeDocument/2006/relationships/hyperlink" Target="https://www.facebook.com/profile.php?id=100052367741451&amp;mibextid=LQQJ4d" TargetMode="External"/><Relationship Id="rId8981" Type="http://schemas.openxmlformats.org/officeDocument/2006/relationships/hyperlink" Target="https://www.facebook.com/profile.php?id=100015083231541" TargetMode="External"/><Relationship Id="rId1607" Type="http://schemas.openxmlformats.org/officeDocument/2006/relationships/hyperlink" Target="https://www.facebook.com/profile.php?id=100054984843903" TargetMode="External"/><Relationship Id="rId4013" Type="http://schemas.openxmlformats.org/officeDocument/2006/relationships/hyperlink" Target="https://www.facebook.com/profile.php?id=100078115046747&amp;mibextid=LQQJ4d" TargetMode="External"/><Relationship Id="rId7169" Type="http://schemas.openxmlformats.org/officeDocument/2006/relationships/hyperlink" Target="https://drive.google.com/open?id=1AP9sJ_vigVHynZdFLKHMNRo_BxaSylJO" TargetMode="External"/><Relationship Id="rId7583" Type="http://schemas.openxmlformats.org/officeDocument/2006/relationships/hyperlink" Target="https://www.facebook.com/thanhuyen267" TargetMode="External"/><Relationship Id="rId8634" Type="http://schemas.openxmlformats.org/officeDocument/2006/relationships/hyperlink" Target="https://www.facebook.com/masami.takei.963" TargetMode="External"/><Relationship Id="rId3779" Type="http://schemas.openxmlformats.org/officeDocument/2006/relationships/hyperlink" Target="https://drive.google.com/open?id=1_Rq6l2G0ZvRgL9rcTzlhe2R-V8AuCMhU" TargetMode="External"/><Relationship Id="rId6185" Type="http://schemas.openxmlformats.org/officeDocument/2006/relationships/hyperlink" Target="https://www.facebook.com/profile.php?id=100017407721206&amp;mibextid=LQQJ4d" TargetMode="External"/><Relationship Id="rId7236" Type="http://schemas.openxmlformats.org/officeDocument/2006/relationships/hyperlink" Target="https://drive.google.com/open?id=1mxpTYYJSmheyvA7nYE34oQfy0OhxbD8N" TargetMode="External"/><Relationship Id="rId7650" Type="http://schemas.openxmlformats.org/officeDocument/2006/relationships/hyperlink" Target="https://www.facebook.com/profile.php?id=100069227738191&amp;mibextid=LQQJ4d" TargetMode="External"/><Relationship Id="rId6252" Type="http://schemas.openxmlformats.org/officeDocument/2006/relationships/hyperlink" Target="https://www.facebook.com/phamss.oanh.7?mibextid=LQQJ4d" TargetMode="External"/><Relationship Id="rId7303" Type="http://schemas.openxmlformats.org/officeDocument/2006/relationships/hyperlink" Target="https://m.facebook.com/profile.php?id=100057692332379&amp;mibextid=LQQJ4d" TargetMode="External"/><Relationship Id="rId8701" Type="http://schemas.openxmlformats.org/officeDocument/2006/relationships/hyperlink" Target="https://www.facebook.com/dieulinh.25526?mibextid=LQQJ4d" TargetMode="External"/><Relationship Id="rId1397" Type="http://schemas.openxmlformats.org/officeDocument/2006/relationships/hyperlink" Target="https://www.facebook.com/profile.php?id=100036130631600&amp;mibextid=ZbWKwL" TargetMode="External"/><Relationship Id="rId2795" Type="http://schemas.openxmlformats.org/officeDocument/2006/relationships/hyperlink" Target="https://drive.google.com/open?id=1-EZAvJU3KxoHA1fQYyBmVReTUBR90_AM" TargetMode="External"/><Relationship Id="rId3846" Type="http://schemas.openxmlformats.org/officeDocument/2006/relationships/hyperlink" Target="https://www.facebook.com/kthuwwwne?mibextid=LQQJ4d" TargetMode="External"/><Relationship Id="rId767" Type="http://schemas.openxmlformats.org/officeDocument/2006/relationships/hyperlink" Target="https://www.facebook.com/profile.php?id=100027948397360&amp;mibextid=ZbWKwL" TargetMode="External"/><Relationship Id="rId2448" Type="http://schemas.openxmlformats.org/officeDocument/2006/relationships/hyperlink" Target="https://drive.google.com/open?id=14vLYXCJ5v1kZW0gAHRrwWxyYKZ4-ijev" TargetMode="External"/><Relationship Id="rId2862" Type="http://schemas.openxmlformats.org/officeDocument/2006/relationships/hyperlink" Target="https://www.facebook.com/profile.php?id=61550659032570" TargetMode="External"/><Relationship Id="rId3913" Type="http://schemas.openxmlformats.org/officeDocument/2006/relationships/hyperlink" Target="https://www.facebook.com/xuankhoa2905?mibextid=LQQJ4d" TargetMode="External"/><Relationship Id="rId8077" Type="http://schemas.openxmlformats.org/officeDocument/2006/relationships/hyperlink" Target="https://www.facebook.com/tuanhung.nguyentran.1?mibextid=LQQJ4d" TargetMode="External"/><Relationship Id="rId9475" Type="http://schemas.openxmlformats.org/officeDocument/2006/relationships/hyperlink" Target="https://www.facebook.com/profile.php?id=100073241498766&amp;mibextid=LQQJ4d" TargetMode="External"/><Relationship Id="rId834" Type="http://schemas.openxmlformats.org/officeDocument/2006/relationships/hyperlink" Target="https://drive.google.com/open?id=1gQbD-lF7jAiBWiPXsz2X1oWh0FaDKXTD" TargetMode="External"/><Relationship Id="rId1464" Type="http://schemas.openxmlformats.org/officeDocument/2006/relationships/hyperlink" Target="https://www.facebook.com/100079707937410/" TargetMode="External"/><Relationship Id="rId2515" Type="http://schemas.openxmlformats.org/officeDocument/2006/relationships/hyperlink" Target="https://www.facebook.com/minhtrang.vo.71" TargetMode="External"/><Relationship Id="rId8491" Type="http://schemas.openxmlformats.org/officeDocument/2006/relationships/hyperlink" Target="https://www.facebook.com/profile.php?id=100033483693889&amp;mibextid=LQQJ4d" TargetMode="External"/><Relationship Id="rId9128" Type="http://schemas.openxmlformats.org/officeDocument/2006/relationships/hyperlink" Target="https://drive.google.com/open?id=1Qdha69kP4tylctWHsURe2feF4v-a2wjQ" TargetMode="External"/><Relationship Id="rId9542" Type="http://schemas.openxmlformats.org/officeDocument/2006/relationships/hyperlink" Target="https://www.facebook.com/share/18cqoKFSkH/?mibextid=wwXIfr" TargetMode="External"/><Relationship Id="rId901" Type="http://schemas.openxmlformats.org/officeDocument/2006/relationships/hyperlink" Target="https://drive.google.com/open?id=1K6MPofaee1VtZUbdMB9vH-7JOgzj7M6q" TargetMode="External"/><Relationship Id="rId1117" Type="http://schemas.openxmlformats.org/officeDocument/2006/relationships/hyperlink" Target="https://www.facebook.com/profile.php?id=100016840446932&amp;mibextid=7cd5pb" TargetMode="External"/><Relationship Id="rId1531" Type="http://schemas.openxmlformats.org/officeDocument/2006/relationships/hyperlink" Target="https://www.facebook.com/profile.php?id=100071312686743&amp;mibextid=ZbWKwL" TargetMode="External"/><Relationship Id="rId4687" Type="http://schemas.openxmlformats.org/officeDocument/2006/relationships/hyperlink" Target="https://www.facebook.com/profile.php?id=61555899834826" TargetMode="External"/><Relationship Id="rId5738" Type="http://schemas.openxmlformats.org/officeDocument/2006/relationships/hyperlink" Target="https://www.facebook.com/profile.php?id=100023936400619&amp;mibextid=JRoKGi" TargetMode="External"/><Relationship Id="rId7093" Type="http://schemas.openxmlformats.org/officeDocument/2006/relationships/hyperlink" Target="https://www.facebook.com/ruykhanhdeptryy" TargetMode="External"/><Relationship Id="rId8144" Type="http://schemas.openxmlformats.org/officeDocument/2006/relationships/hyperlink" Target="https://www.facebook.com/huongthom.vuthi.98?mibextid=LQQJ4d" TargetMode="External"/><Relationship Id="rId3289" Type="http://schemas.openxmlformats.org/officeDocument/2006/relationships/hyperlink" Target="https://drive.google.com/open?id=1bfKEOr4upOmJ01pB-cj1S4Wc40oYreqN" TargetMode="External"/><Relationship Id="rId4754" Type="http://schemas.openxmlformats.org/officeDocument/2006/relationships/hyperlink" Target="https://www.facebook.com/profile.php?id=100068083747091&amp;mibextid=LQQJ4d" TargetMode="External"/><Relationship Id="rId7160" Type="http://schemas.openxmlformats.org/officeDocument/2006/relationships/hyperlink" Target="https://www.facebook.com/dienmoiibaczang?mibextid=LQQJ4d" TargetMode="External"/><Relationship Id="rId8211" Type="http://schemas.openxmlformats.org/officeDocument/2006/relationships/hyperlink" Target="https://drive.google.com/open?id=1BUwJ35k9RNlq8POi6BgCjRfSWkabCl_d" TargetMode="External"/><Relationship Id="rId3356" Type="http://schemas.openxmlformats.org/officeDocument/2006/relationships/hyperlink" Target="https://www.facebook.com/profile.php?id=100091269283564&amp;mibextid=ZbWKwL" TargetMode="External"/><Relationship Id="rId4407" Type="http://schemas.openxmlformats.org/officeDocument/2006/relationships/hyperlink" Target="https://www.facebook.com/profile.php?id=100027632799025&amp;mibextid=ZbWKwL" TargetMode="External"/><Relationship Id="rId5805" Type="http://schemas.openxmlformats.org/officeDocument/2006/relationships/hyperlink" Target="https://www.facebook.com/profile.php?id=100042160840444&amp;mibextid=LQQJ4d" TargetMode="External"/><Relationship Id="rId277" Type="http://schemas.openxmlformats.org/officeDocument/2006/relationships/hyperlink" Target="https://drive.google.com/open?id=1DlNdOZj129cUH0x6UY_shmIyO7a0YFlb" TargetMode="External"/><Relationship Id="rId3009" Type="http://schemas.openxmlformats.org/officeDocument/2006/relationships/hyperlink" Target="https://www.facebook.com/duyen.nguyenthimy.16718?mibextid=LQQJ4d" TargetMode="External"/><Relationship Id="rId3770" Type="http://schemas.openxmlformats.org/officeDocument/2006/relationships/hyperlink" Target="https://www.facebook.com/profile.php?id=100092331591591" TargetMode="External"/><Relationship Id="rId4821" Type="http://schemas.openxmlformats.org/officeDocument/2006/relationships/hyperlink" Target="https://drive.google.com/open?id=1j9NUegW0pn04_NzHfzT2tJ_iVT25KshU" TargetMode="External"/><Relationship Id="rId7977" Type="http://schemas.openxmlformats.org/officeDocument/2006/relationships/hyperlink" Target="https://www.facebook.com/profile.php?id=61560878502180&amp;mibextid=wwXIfr&amp;mibextid=wwXIfr" TargetMode="External"/><Relationship Id="rId344" Type="http://schemas.openxmlformats.org/officeDocument/2006/relationships/hyperlink" Target="https://www.facebook.com/profile.php?id=100050644639455&amp;mibextid=LQQJ4d" TargetMode="External"/><Relationship Id="rId691" Type="http://schemas.openxmlformats.org/officeDocument/2006/relationships/hyperlink" Target="https://drive.google.com/open?id=1OQldqbMerL0JHjZGyDk7Y3uZ6l1tkGG7" TargetMode="External"/><Relationship Id="rId2025" Type="http://schemas.openxmlformats.org/officeDocument/2006/relationships/hyperlink" Target="https://www.facebook.com/bac.covan.1?mibextid=ZbWKwL" TargetMode="External"/><Relationship Id="rId2372" Type="http://schemas.openxmlformats.org/officeDocument/2006/relationships/hyperlink" Target="https://www.facebook.com/profile.php?id=100044973280897" TargetMode="External"/><Relationship Id="rId3423" Type="http://schemas.openxmlformats.org/officeDocument/2006/relationships/hyperlink" Target="https://drive.google.com/open?id=12ZCgDPAKOVKeX3zvwASQPA5c73gsrEdJ" TargetMode="External"/><Relationship Id="rId6579" Type="http://schemas.openxmlformats.org/officeDocument/2006/relationships/hyperlink" Target="https://www.facebook.com/profile.php?id=100050474742336&amp;mibextid=LQQJ4d" TargetMode="External"/><Relationship Id="rId6993" Type="http://schemas.openxmlformats.org/officeDocument/2006/relationships/hyperlink" Target="https://www.facebook.com/profile.php?id=100050935754964&amp;mibextid=LQQJ4d" TargetMode="External"/><Relationship Id="rId9052" Type="http://schemas.openxmlformats.org/officeDocument/2006/relationships/hyperlink" Target="https://www.facebook.com/profile.php?id=100018329598954" TargetMode="External"/><Relationship Id="rId5595" Type="http://schemas.openxmlformats.org/officeDocument/2006/relationships/hyperlink" Target="https://www.facebook.com/profile.php?id=100071852317246&amp;mibextid=ZbWKwL" TargetMode="External"/><Relationship Id="rId6646" Type="http://schemas.openxmlformats.org/officeDocument/2006/relationships/hyperlink" Target="https://www.facebook.com/tlinhz.19?mibextid=LQQJ4d" TargetMode="External"/><Relationship Id="rId411" Type="http://schemas.openxmlformats.org/officeDocument/2006/relationships/hyperlink" Target="https://drive.google.com/open?id=1G1opC_bcLURUWe1Bl7uSyOG6pEG212tI" TargetMode="External"/><Relationship Id="rId1041" Type="http://schemas.openxmlformats.org/officeDocument/2006/relationships/hyperlink" Target="https://www.facebook.com/TK21.1925?mibextid=ZbWKwL" TargetMode="External"/><Relationship Id="rId4197" Type="http://schemas.openxmlformats.org/officeDocument/2006/relationships/hyperlink" Target="https://www.facebook.com/thanhthao081105?locale=vi_VNhttps://www.facebook.com/thanhthao081105?locale=vi_VN" TargetMode="External"/><Relationship Id="rId5248" Type="http://schemas.openxmlformats.org/officeDocument/2006/relationships/hyperlink" Target="https://www.facebook.com/profile.php?id=100048420973160" TargetMode="External"/><Relationship Id="rId5662" Type="http://schemas.openxmlformats.org/officeDocument/2006/relationships/hyperlink" Target="https://www.facebook.com/profile.php?id=100068577055817&amp;mibextid=LQQJ4d" TargetMode="External"/><Relationship Id="rId6713" Type="http://schemas.openxmlformats.org/officeDocument/2006/relationships/hyperlink" Target="https://www.facebook.com/thu.trangg.1293575?locale=vi_VN" TargetMode="External"/><Relationship Id="rId1858" Type="http://schemas.openxmlformats.org/officeDocument/2006/relationships/hyperlink" Target="https://www.facebook.com/profile.php?id=100014630508123&amp;mibextid=LQQJ4d" TargetMode="External"/><Relationship Id="rId4264" Type="http://schemas.openxmlformats.org/officeDocument/2006/relationships/hyperlink" Target="https://www.facebook.com/Tt.ngaan.tt?mibextid=ZbWKwL" TargetMode="External"/><Relationship Id="rId5315" Type="http://schemas.openxmlformats.org/officeDocument/2006/relationships/hyperlink" Target="https://www.facebook.com/profile.php?id=100054794198790&amp;mibextid=LQQJ4d" TargetMode="External"/><Relationship Id="rId8885" Type="http://schemas.openxmlformats.org/officeDocument/2006/relationships/hyperlink" Target="https://drive.google.com/open?id=1b9qvHgFhUyF33wHv6LvCRds8c3VLDiFm" TargetMode="External"/><Relationship Id="rId2909" Type="http://schemas.openxmlformats.org/officeDocument/2006/relationships/hyperlink" Target="https://www.facebook.com/nhatxom.nguyen.7?locale=vi_VN" TargetMode="External"/><Relationship Id="rId3280" Type="http://schemas.openxmlformats.org/officeDocument/2006/relationships/hyperlink" Target="https://drive.google.com/open?id=1SWimVVx36h9L7qTGR9U8sxqGVS8sRaC_" TargetMode="External"/><Relationship Id="rId4331" Type="http://schemas.openxmlformats.org/officeDocument/2006/relationships/hyperlink" Target="https://drive.google.com/open?id=1pKLgVs-9jUKC0Hoa_YB4k0fLUztAe6Fw" TargetMode="External"/><Relationship Id="rId7487" Type="http://schemas.openxmlformats.org/officeDocument/2006/relationships/hyperlink" Target="https://www.facebook.com/profile.php?id=100065471689035&amp;mibextid=LQQJ4d" TargetMode="External"/><Relationship Id="rId8538" Type="http://schemas.openxmlformats.org/officeDocument/2006/relationships/hyperlink" Target="https://www.facebook.com/lgtihjtuhhaf?mibextid=kFxxJD" TargetMode="External"/><Relationship Id="rId1925" Type="http://schemas.openxmlformats.org/officeDocument/2006/relationships/hyperlink" Target="https://www.facebook.com/nam.nguyenss.3?mibextid=LQQJ4d" TargetMode="External"/><Relationship Id="rId6089" Type="http://schemas.openxmlformats.org/officeDocument/2006/relationships/hyperlink" Target="https://www.facebook.com/bmhuong.2906?mibextid=LQQJ4d" TargetMode="External"/><Relationship Id="rId8952" Type="http://schemas.openxmlformats.org/officeDocument/2006/relationships/hyperlink" Target="https://www.facebook.com/emm.uyen.735" TargetMode="External"/><Relationship Id="rId6156" Type="http://schemas.openxmlformats.org/officeDocument/2006/relationships/hyperlink" Target="https://www.facebook.com/profile.php?id=100064049806877&amp;mibextid=kFxxJD" TargetMode="External"/><Relationship Id="rId7554" Type="http://schemas.openxmlformats.org/officeDocument/2006/relationships/hyperlink" Target="https://www.facebook.com/profile.php?id=100054415896885&amp;mibextid=LQQJ4d" TargetMode="External"/><Relationship Id="rId8605" Type="http://schemas.openxmlformats.org/officeDocument/2006/relationships/hyperlink" Target="https://www.facebook.com/tharo05" TargetMode="External"/><Relationship Id="rId2699" Type="http://schemas.openxmlformats.org/officeDocument/2006/relationships/hyperlink" Target="https://drive.google.com/open?id=1Iu_nmbZxqF9POkTLQ5I3VZ-Qch1XQxmk" TargetMode="External"/><Relationship Id="rId3000" Type="http://schemas.openxmlformats.org/officeDocument/2006/relationships/hyperlink" Target="https://drive.google.com/open?id=11dRzsTqxYrx7oSkgVj19NMmQcgoN7NlK" TargetMode="External"/><Relationship Id="rId6570" Type="http://schemas.openxmlformats.org/officeDocument/2006/relationships/hyperlink" Target="https://www.facebook.com/luong.ngoc.1466126?mibextid=PlNXYD" TargetMode="External"/><Relationship Id="rId7207" Type="http://schemas.openxmlformats.org/officeDocument/2006/relationships/hyperlink" Target="https://www.facebook.com/Minhtamm.2807" TargetMode="External"/><Relationship Id="rId7621" Type="http://schemas.openxmlformats.org/officeDocument/2006/relationships/hyperlink" Target="https://www.facebook.com/profile.php?id=100045577670584" TargetMode="External"/><Relationship Id="rId2766" Type="http://schemas.openxmlformats.org/officeDocument/2006/relationships/hyperlink" Target="https://www.facebook.com/profile.php?id=100020353726446&amp;locale=vi_VN" TargetMode="External"/><Relationship Id="rId3817" Type="http://schemas.openxmlformats.org/officeDocument/2006/relationships/hyperlink" Target="https://www.facebook.com/profile.php?id=100010602313757&amp;mibextid=LQQJ4d" TargetMode="External"/><Relationship Id="rId5172" Type="http://schemas.openxmlformats.org/officeDocument/2006/relationships/hyperlink" Target="https://drive.google.com/open?id=1KZr_vgPROtRZiQatwbuthWOPYMdNWBgA" TargetMode="External"/><Relationship Id="rId6223" Type="http://schemas.openxmlformats.org/officeDocument/2006/relationships/hyperlink" Target="https://www.facebook.com/profile.php?id=100032702200312" TargetMode="External"/><Relationship Id="rId9379" Type="http://schemas.openxmlformats.org/officeDocument/2006/relationships/hyperlink" Target="https://www.facebook.com/share/1BH71YEffL/" TargetMode="External"/><Relationship Id="rId738" Type="http://schemas.openxmlformats.org/officeDocument/2006/relationships/hyperlink" Target="https://www.facebook.com/phuchieu.ho.56?mibextid=LQQJ4d" TargetMode="External"/><Relationship Id="rId1368" Type="http://schemas.openxmlformats.org/officeDocument/2006/relationships/hyperlink" Target="https://drive.google.com/open?id=1j0jvBRMSu4hEhD7KnBpfNzv5ymLlmlQZ" TargetMode="External"/><Relationship Id="rId1782" Type="http://schemas.openxmlformats.org/officeDocument/2006/relationships/hyperlink" Target="http://manhdinh2005sgmail.com/" TargetMode="External"/><Relationship Id="rId2419" Type="http://schemas.openxmlformats.org/officeDocument/2006/relationships/hyperlink" Target="https://drive.google.com/open?id=1tb8Py3-7FsF1V86qikD1XBwnbBRaoLfE" TargetMode="External"/><Relationship Id="rId2833" Type="http://schemas.openxmlformats.org/officeDocument/2006/relationships/hyperlink" Target="https://www.facebook.com/ledangduc083?mibextid=LQQJ4d" TargetMode="External"/><Relationship Id="rId5989" Type="http://schemas.openxmlformats.org/officeDocument/2006/relationships/hyperlink" Target="https://www.facebook.com/tnnie.06?mibextid=LQQJ4d" TargetMode="External"/><Relationship Id="rId8395" Type="http://schemas.openxmlformats.org/officeDocument/2006/relationships/hyperlink" Target="https://www.facebook.com/trangtran.0407?mibextid=LQQJ4d" TargetMode="External"/><Relationship Id="rId9446" Type="http://schemas.openxmlformats.org/officeDocument/2006/relationships/hyperlink" Target="https://drive.google.com/open?id=1m1aywb6IiiMDio2c0p3O1nhVzVLyKA43" TargetMode="External"/><Relationship Id="rId74" Type="http://schemas.openxmlformats.org/officeDocument/2006/relationships/hyperlink" Target="https://www.facebook.com/em.chien.509994" TargetMode="External"/><Relationship Id="rId805" Type="http://schemas.openxmlformats.org/officeDocument/2006/relationships/hyperlink" Target="https://www.facebook.com/stel03la" TargetMode="External"/><Relationship Id="rId1435" Type="http://schemas.openxmlformats.org/officeDocument/2006/relationships/hyperlink" Target="https://www.facebook.com/maianh09112004?mibextid=LQQJ4d" TargetMode="External"/><Relationship Id="rId8048" Type="http://schemas.openxmlformats.org/officeDocument/2006/relationships/hyperlink" Target="https://www.facebook.com/profile.php?id=100021503648410" TargetMode="External"/><Relationship Id="rId8462" Type="http://schemas.openxmlformats.org/officeDocument/2006/relationships/hyperlink" Target="https://www.facebook.com/profile.php?id=100039716587982&amp;mibextid=LQQJ4d" TargetMode="External"/><Relationship Id="rId9513" Type="http://schemas.openxmlformats.org/officeDocument/2006/relationships/hyperlink" Target="https://www.facebook.com/people/Nguy%E1%BB%85n-Kh%C3%A1nh-Vinh/pfbid02ihJtuWYhxqfbjhNChxrUPNpe6Rw24spvM8FkmiXDQ8Xqb12cP3BLhdxnBH98z2Fhl/" TargetMode="External"/><Relationship Id="rId2900" Type="http://schemas.openxmlformats.org/officeDocument/2006/relationships/hyperlink" Target="https://www.facebook.com/profile.php?id=61554088962578" TargetMode="External"/><Relationship Id="rId7064" Type="http://schemas.openxmlformats.org/officeDocument/2006/relationships/hyperlink" Target="https://www.facebook.com/profile.php?id=100053890674211&amp;mibextid=LQQJ4d" TargetMode="External"/><Relationship Id="rId8115" Type="http://schemas.openxmlformats.org/officeDocument/2006/relationships/hyperlink" Target="https://www.facebook.com/phganhha182?mibextid=LQQJ4d" TargetMode="External"/><Relationship Id="rId1502" Type="http://schemas.openxmlformats.org/officeDocument/2006/relationships/hyperlink" Target="https://www.facebook.com/profile.php?id=100010179973657&amp;mibextid=LQQJ4d" TargetMode="External"/><Relationship Id="rId4658" Type="http://schemas.openxmlformats.org/officeDocument/2006/relationships/hyperlink" Target="https://drive.google.com/open?id=1M6ZAawMNOetkn1eTeLBFyZTraZuB2Mz3" TargetMode="External"/><Relationship Id="rId5709" Type="http://schemas.openxmlformats.org/officeDocument/2006/relationships/hyperlink" Target="https://www.facebook.com/profile.php?id=100050964512037" TargetMode="External"/><Relationship Id="rId6080" Type="http://schemas.openxmlformats.org/officeDocument/2006/relationships/hyperlink" Target="https://www.facebook.com/profile.php?id=100069247754400&amp;mibextid=LQQJ4d" TargetMode="External"/><Relationship Id="rId7131" Type="http://schemas.openxmlformats.org/officeDocument/2006/relationships/hyperlink" Target="https://drive.google.com/open?id=1jRvw6WD8f8lipfEvGMr7XVTgTfQ4u2Id" TargetMode="External"/><Relationship Id="rId3674" Type="http://schemas.openxmlformats.org/officeDocument/2006/relationships/hyperlink" Target="https://www.facebook.com/profile.php?id=100030047623035&amp;mibextid=LQQJ4d" TargetMode="External"/><Relationship Id="rId4725" Type="http://schemas.openxmlformats.org/officeDocument/2006/relationships/hyperlink" Target="https://www.facebook.com/profile.php?id=61565446552977&amp;mibextid=LQQJ4d" TargetMode="External"/><Relationship Id="rId595" Type="http://schemas.openxmlformats.org/officeDocument/2006/relationships/hyperlink" Target="https://www.facebook.com/profile.php?id=100033723120888" TargetMode="External"/><Relationship Id="rId2276" Type="http://schemas.openxmlformats.org/officeDocument/2006/relationships/hyperlink" Target="https://www.facebook.com/100035052991685/" TargetMode="External"/><Relationship Id="rId2690" Type="http://schemas.openxmlformats.org/officeDocument/2006/relationships/hyperlink" Target="https://www.facebook.com/profile.php?id=100022486800398&amp;mibextid=LQQJ4d" TargetMode="External"/><Relationship Id="rId3327" Type="http://schemas.openxmlformats.org/officeDocument/2006/relationships/hyperlink" Target="https://drive.google.com/open?id=1e8w2fioGmNEnIeOESloknrE4DbrHStjT" TargetMode="External"/><Relationship Id="rId3741" Type="http://schemas.openxmlformats.org/officeDocument/2006/relationships/hyperlink" Target="https://www.facebook.com/Mityubi16?mibextid=PtKPJ9" TargetMode="External"/><Relationship Id="rId6897" Type="http://schemas.openxmlformats.org/officeDocument/2006/relationships/hyperlink" Target="https://www.facebook.com/100052767833055/" TargetMode="External"/><Relationship Id="rId7948" Type="http://schemas.openxmlformats.org/officeDocument/2006/relationships/hyperlink" Target="https://www.facebook.com/profile.php?id=100036857977489&amp;mibextid=LQQJ4d" TargetMode="External"/><Relationship Id="rId248" Type="http://schemas.openxmlformats.org/officeDocument/2006/relationships/hyperlink" Target="https://drive.google.com/open?id=1g0V2B5-VcYHvoneevb1baioEF0pSlYmW" TargetMode="External"/><Relationship Id="rId662" Type="http://schemas.openxmlformats.org/officeDocument/2006/relationships/hyperlink" Target="https://drive.google.com/open?id=1aULROURS4TjtPz03nXZgyVxjBe0aeLKJ" TargetMode="External"/><Relationship Id="rId1292" Type="http://schemas.openxmlformats.org/officeDocument/2006/relationships/hyperlink" Target="https://drive.google.com/open?id=1t7T7rGB7Tpim8lEeqhdwaS9rAzIDHWZI" TargetMode="External"/><Relationship Id="rId2343" Type="http://schemas.openxmlformats.org/officeDocument/2006/relationships/hyperlink" Target="https://drive.google.com/open?id=1efkAbwmekCiNpfbxq-CnXw1-Vloy7IQJ" TargetMode="External"/><Relationship Id="rId5499" Type="http://schemas.openxmlformats.org/officeDocument/2006/relationships/hyperlink" Target="https://www.facebook.com/wppupy" TargetMode="External"/><Relationship Id="rId6964" Type="http://schemas.openxmlformats.org/officeDocument/2006/relationships/hyperlink" Target="https://www.facebook.com/profile.php?id=100038586503147&amp;mibextid=LQQJ4d" TargetMode="External"/><Relationship Id="rId9370" Type="http://schemas.openxmlformats.org/officeDocument/2006/relationships/hyperlink" Target="https://www.facebook.com/nnlongg" TargetMode="External"/><Relationship Id="rId315" Type="http://schemas.openxmlformats.org/officeDocument/2006/relationships/hyperlink" Target="https://www.facebook.com/ducwepi2302?mibextid=LQQJ4d" TargetMode="External"/><Relationship Id="rId2410" Type="http://schemas.openxmlformats.org/officeDocument/2006/relationships/hyperlink" Target="https://www.facebook.com/tuandang2805?mibextid=LQQJ4d" TargetMode="External"/><Relationship Id="rId5566" Type="http://schemas.openxmlformats.org/officeDocument/2006/relationships/hyperlink" Target="https://www.facebook.com/manhcuonglovefamily?mibextid=LQQJ4d" TargetMode="External"/><Relationship Id="rId6617" Type="http://schemas.openxmlformats.org/officeDocument/2006/relationships/hyperlink" Target="https://www.facebook.com/trinhphuong1406?mibextid=LQQJ4d" TargetMode="External"/><Relationship Id="rId9023" Type="http://schemas.openxmlformats.org/officeDocument/2006/relationships/hyperlink" Target="https://www.facebook.com/kahs.liee" TargetMode="External"/><Relationship Id="rId1012" Type="http://schemas.openxmlformats.org/officeDocument/2006/relationships/hyperlink" Target="https://www.facebook.com/profile.php?id=100032250003399&amp;mibextid=LQQJ4d" TargetMode="External"/><Relationship Id="rId4168" Type="http://schemas.openxmlformats.org/officeDocument/2006/relationships/hyperlink" Target="https://drive.google.com/open?id=1-_vMWFUK0EOxLT-7Llh92ZdJc3RoJhZh" TargetMode="External"/><Relationship Id="rId5219" Type="http://schemas.openxmlformats.org/officeDocument/2006/relationships/hyperlink" Target="https://www.facebook.com/profile.php?id=100013667520206&amp;mibextid=LQQJ4d" TargetMode="External"/><Relationship Id="rId5980" Type="http://schemas.openxmlformats.org/officeDocument/2006/relationships/hyperlink" Target="https://m.facebook.com/buiquocbao19?mibextid=LQQJ4d" TargetMode="External"/><Relationship Id="rId3184" Type="http://schemas.openxmlformats.org/officeDocument/2006/relationships/hyperlink" Target="https://www.facebook.com/profile.php?id=100047116779792&amp;mibextid=LQQJ4d" TargetMode="External"/><Relationship Id="rId4235" Type="http://schemas.openxmlformats.org/officeDocument/2006/relationships/hyperlink" Target="https://www.facebook.com/profile.php?id=100047604945035" TargetMode="External"/><Relationship Id="rId4582" Type="http://schemas.openxmlformats.org/officeDocument/2006/relationships/hyperlink" Target="https://www.facebook.com/profile.php?id=100085514019698&amp;mibextid=LQQJ4d" TargetMode="External"/><Relationship Id="rId5633" Type="http://schemas.openxmlformats.org/officeDocument/2006/relationships/hyperlink" Target="https://www.facebook.com/profile.php?id=100079266637088&amp;mibextid=LQQJ4d" TargetMode="External"/><Relationship Id="rId8789" Type="http://schemas.openxmlformats.org/officeDocument/2006/relationships/hyperlink" Target="https://www.facebook.com/khang.nguyenthi.5667?mibextid=LQQJ4d" TargetMode="External"/><Relationship Id="rId1829" Type="http://schemas.openxmlformats.org/officeDocument/2006/relationships/hyperlink" Target="https://drive.google.com/open?id=197mJ593G29C26uVg7rIAGBxrWt4A1Vny" TargetMode="External"/><Relationship Id="rId5700" Type="http://schemas.openxmlformats.org/officeDocument/2006/relationships/hyperlink" Target="https://www.facebook.com/profile.php?id=61550891798675" TargetMode="External"/><Relationship Id="rId8856" Type="http://schemas.openxmlformats.org/officeDocument/2006/relationships/hyperlink" Target="https://drive.google.com/open?id=1c4xi71YRHcwP0JUE9fpAoLyWjQaOxkiF" TargetMode="External"/><Relationship Id="rId3251" Type="http://schemas.openxmlformats.org/officeDocument/2006/relationships/hyperlink" Target="https://www.facebook.com/vuive.thienyet.9" TargetMode="External"/><Relationship Id="rId4302" Type="http://schemas.openxmlformats.org/officeDocument/2006/relationships/hyperlink" Target="https://www.facebook.com/teo.ruby.1?mibextid=ZbWKwL" TargetMode="External"/><Relationship Id="rId7458" Type="http://schemas.openxmlformats.org/officeDocument/2006/relationships/hyperlink" Target="https://www.facebook.com/profile.php?id=100075199842472" TargetMode="External"/><Relationship Id="rId7872" Type="http://schemas.openxmlformats.org/officeDocument/2006/relationships/hyperlink" Target="https://www.facebook.com/thanhbinh.lethi.12764?mibextid=LQQJ4d" TargetMode="External"/><Relationship Id="rId8509" Type="http://schemas.openxmlformats.org/officeDocument/2006/relationships/hyperlink" Target="https://www.facebook.com/ngocyennhi.nguyen.777158?mibextid=LQQJ4d" TargetMode="External"/><Relationship Id="rId8923" Type="http://schemas.openxmlformats.org/officeDocument/2006/relationships/hyperlink" Target="https://www.facebook.com/thuy.hathithu.167" TargetMode="External"/><Relationship Id="rId172" Type="http://schemas.openxmlformats.org/officeDocument/2006/relationships/hyperlink" Target="https://www.facebook.com/profile.php?id=100050614066292&amp;mibextid=ZbWKwL" TargetMode="External"/><Relationship Id="rId6474" Type="http://schemas.openxmlformats.org/officeDocument/2006/relationships/hyperlink" Target="https://drive.google.com/open?id=10yRXjOykigCxEkmdphFAK7HyIfGevIRj" TargetMode="External"/><Relationship Id="rId7525" Type="http://schemas.openxmlformats.org/officeDocument/2006/relationships/hyperlink" Target="https://www.facebook.com/profile.php?id=100051129220455&amp;mibextid=LQQJ4d" TargetMode="External"/><Relationship Id="rId989" Type="http://schemas.openxmlformats.org/officeDocument/2006/relationships/hyperlink" Target="https://drive.google.com/open?id=1_RRIzR_UUcDxsBvP-N0ND0oto2-IjFU4" TargetMode="External"/><Relationship Id="rId5076" Type="http://schemas.openxmlformats.org/officeDocument/2006/relationships/hyperlink" Target="https://www.facebook.com/profile.php?id=61550105780885&amp;mibextid=LQQJ4d" TargetMode="External"/><Relationship Id="rId5490" Type="http://schemas.openxmlformats.org/officeDocument/2006/relationships/hyperlink" Target="https://www.facebook.com/tran.sarah.1238292?mibextid=LQQJ4d" TargetMode="External"/><Relationship Id="rId6127" Type="http://schemas.openxmlformats.org/officeDocument/2006/relationships/hyperlink" Target="https://www.facebook.com/profile.php?id=100049001372635" TargetMode="External"/><Relationship Id="rId6541" Type="http://schemas.openxmlformats.org/officeDocument/2006/relationships/hyperlink" Target="https://drive.google.com/open?id=14jvvO8IZPAA3YKvAcKrAQHe1-DeYMsbv" TargetMode="External"/><Relationship Id="rId1686" Type="http://schemas.openxmlformats.org/officeDocument/2006/relationships/hyperlink" Target="https://drive.google.com/open?id=1Fw-HaxXS9IZUsotYyJScX2-_7WB4lRkT" TargetMode="External"/><Relationship Id="rId4092" Type="http://schemas.openxmlformats.org/officeDocument/2006/relationships/hyperlink" Target="https://www.facebook.com/profile.php?id=100033472703715" TargetMode="External"/><Relationship Id="rId5143" Type="http://schemas.openxmlformats.org/officeDocument/2006/relationships/hyperlink" Target="https://www.facebook.com/huynnt168?locale=vi_VN" TargetMode="External"/><Relationship Id="rId8299" Type="http://schemas.openxmlformats.org/officeDocument/2006/relationships/hyperlink" Target="https://www.facebook.com/share/1D8iTtJ9bF/" TargetMode="External"/><Relationship Id="rId1339" Type="http://schemas.openxmlformats.org/officeDocument/2006/relationships/hyperlink" Target="https://drive.google.com/open?id=1BWE7Iyth3Y-Q7NJTZXW8vtrVduEBbXKI" TargetMode="External"/><Relationship Id="rId2737" Type="http://schemas.openxmlformats.org/officeDocument/2006/relationships/hyperlink" Target="https://drive.google.com/open?id=1biPZjreaXhytYk-6PMkBQ7_tXjN0X2ic" TargetMode="External"/><Relationship Id="rId5210" Type="http://schemas.openxmlformats.org/officeDocument/2006/relationships/hyperlink" Target="https://www.facebook.com/abcdzj" TargetMode="External"/><Relationship Id="rId8366" Type="http://schemas.openxmlformats.org/officeDocument/2006/relationships/hyperlink" Target="https://www.facebook.com/ngocanh.10122005?mibextid=LQQJ4d" TargetMode="External"/><Relationship Id="rId709" Type="http://schemas.openxmlformats.org/officeDocument/2006/relationships/hyperlink" Target="https://www.facebook.com/profile.php?id=100054645571155&amp;mibextid=LQQJ4d" TargetMode="External"/><Relationship Id="rId1753" Type="http://schemas.openxmlformats.org/officeDocument/2006/relationships/hyperlink" Target="https://www.facebook.com/ngc.anh1006?mibextid=LQQJ4d" TargetMode="External"/><Relationship Id="rId2804" Type="http://schemas.openxmlformats.org/officeDocument/2006/relationships/hyperlink" Target="https://www.facebook.com/profile.php?id=100078194207173&amp;mibextid=LQQJ4d" TargetMode="External"/><Relationship Id="rId8019" Type="http://schemas.openxmlformats.org/officeDocument/2006/relationships/hyperlink" Target="https://www.facebook.com/coutinho.phillipes.3?mibextid=LQQJ4d&amp;rdid=esLGHdsb2ogug2Ne&amp;share_url=https%3A%2F%2Fwww.facebook.com%2Fshare%2Fp5QaqUmMyHyCMEa5%2F%3Fmibextid%3DLQQJ4d" TargetMode="External"/><Relationship Id="rId8780" Type="http://schemas.openxmlformats.org/officeDocument/2006/relationships/hyperlink" Target="https://www.facebook.com/anhduc864" TargetMode="External"/><Relationship Id="rId9417" Type="http://schemas.openxmlformats.org/officeDocument/2006/relationships/hyperlink" Target="https://www.facebook.com/profile.php?id=100078348354304" TargetMode="External"/><Relationship Id="rId45" Type="http://schemas.openxmlformats.org/officeDocument/2006/relationships/hyperlink" Target="https://drive.google.com/open?id=11P4gJl1MLeaMbozup3D2k_LWEj-yQmXs" TargetMode="External"/><Relationship Id="rId1406" Type="http://schemas.openxmlformats.org/officeDocument/2006/relationships/hyperlink" Target="https://drive.google.com/open?id=1vV7g5nF8579W5mxv3wsRgIQGZmqE0ea5" TargetMode="External"/><Relationship Id="rId1820" Type="http://schemas.openxmlformats.org/officeDocument/2006/relationships/hyperlink" Target="https://drive.google.com/open?id=1u5dpR0hgZVFWHJ0n9m21gw4smqHOMxj8" TargetMode="External"/><Relationship Id="rId4976" Type="http://schemas.openxmlformats.org/officeDocument/2006/relationships/hyperlink" Target="https://www.facebook.com/hoaii.thu.2006?mibextid=ZbWKwL" TargetMode="External"/><Relationship Id="rId7382" Type="http://schemas.openxmlformats.org/officeDocument/2006/relationships/hyperlink" Target="https://www.facebook.com/profile.php?id=100072114332884" TargetMode="External"/><Relationship Id="rId8433" Type="http://schemas.openxmlformats.org/officeDocument/2006/relationships/hyperlink" Target="https://www.facebook.com/profile.php?id=100070534600835&amp;mibextid=LQQJ4d" TargetMode="External"/><Relationship Id="rId3578" Type="http://schemas.openxmlformats.org/officeDocument/2006/relationships/hyperlink" Target="https://www.facebook.com/long.duongbuingoc" TargetMode="External"/><Relationship Id="rId3992" Type="http://schemas.openxmlformats.org/officeDocument/2006/relationships/hyperlink" Target="https://www.facebook.com/people/Nguy%E1%BB%85n-Anh-%C4%90%E1%BB%A9c/pfbid0kAV3x5a11YSXWtgqeCCh3hZ9NteMm5Cz5EbFGSfLJocoeydMT5gdF838bcgXvHJYl/" TargetMode="External"/><Relationship Id="rId4629" Type="http://schemas.openxmlformats.org/officeDocument/2006/relationships/hyperlink" Target="https://drive.google.com/open?id=1RlXLV5vqPH7q1bdkhZ0-sqdEHDEDEm6d" TargetMode="External"/><Relationship Id="rId7035" Type="http://schemas.openxmlformats.org/officeDocument/2006/relationships/hyperlink" Target="https://www.facebook.com/profile.php?id=61555117019690&amp;mibextid=LQQJ4d" TargetMode="External"/><Relationship Id="rId8500" Type="http://schemas.openxmlformats.org/officeDocument/2006/relationships/hyperlink" Target="https://www.facebook.com/profile.php?id=100051755737603" TargetMode="External"/><Relationship Id="rId499" Type="http://schemas.openxmlformats.org/officeDocument/2006/relationships/hyperlink" Target="https://www.facebook.com/100049071831094/" TargetMode="External"/><Relationship Id="rId2594" Type="http://schemas.openxmlformats.org/officeDocument/2006/relationships/hyperlink" Target="https://www.facebook.com/profile.php?id=100072388993506" TargetMode="External"/><Relationship Id="rId3645" Type="http://schemas.openxmlformats.org/officeDocument/2006/relationships/hyperlink" Target="https://drive.google.com/open?id=1MYY2xkz5hW-UAjJgXUkcbCLVHHxXpkcD" TargetMode="External"/><Relationship Id="rId6051" Type="http://schemas.openxmlformats.org/officeDocument/2006/relationships/hyperlink" Target="https://www.facebook.com/profile.php?id=100044745587792&amp;mibextid=LQQJ4d" TargetMode="External"/><Relationship Id="rId7102" Type="http://schemas.openxmlformats.org/officeDocument/2006/relationships/hyperlink" Target="https://www.facebook.com/mijun.kim.969" TargetMode="External"/><Relationship Id="rId566" Type="http://schemas.openxmlformats.org/officeDocument/2006/relationships/hyperlink" Target="https://www.facebook.com/profile.php?id=100093969684383&amp;mibextid=LQQJ4d" TargetMode="External"/><Relationship Id="rId1196" Type="http://schemas.openxmlformats.org/officeDocument/2006/relationships/hyperlink" Target="https://www.facebook.com/profile.php?id=100018149588896&amp;mibextid=LQQJ4d" TargetMode="External"/><Relationship Id="rId2247" Type="http://schemas.openxmlformats.org/officeDocument/2006/relationships/hyperlink" Target="https://www.facebook.com/profile.php?id=100059552605876&amp;locale=vi_VN" TargetMode="External"/><Relationship Id="rId9274" Type="http://schemas.openxmlformats.org/officeDocument/2006/relationships/hyperlink" Target="https://www.facebook.com/share/15fYWunyRJ/?mibextid=wwXIfr" TargetMode="External"/><Relationship Id="rId219" Type="http://schemas.openxmlformats.org/officeDocument/2006/relationships/hyperlink" Target="https://drive.google.com/open?id=1PqwFQwAV1qjBjQ06I8crFONMsre1jo5u" TargetMode="External"/><Relationship Id="rId633" Type="http://schemas.openxmlformats.org/officeDocument/2006/relationships/hyperlink" Target="https://drive.google.com/open?id=1EgbcxDm_7mZi1gYD0qbXm4tQzlzqLD27" TargetMode="External"/><Relationship Id="rId980" Type="http://schemas.openxmlformats.org/officeDocument/2006/relationships/hyperlink" Target="https://drive.google.com/open?id=1xPrxI3Ep6Qgle6GnyuW2ybp03yphjYdk" TargetMode="External"/><Relationship Id="rId1263" Type="http://schemas.openxmlformats.org/officeDocument/2006/relationships/hyperlink" Target="https://www.facebook.com/casnef215?mibextid=LQQJ4d" TargetMode="External"/><Relationship Id="rId2314" Type="http://schemas.openxmlformats.org/officeDocument/2006/relationships/hyperlink" Target="https://drive.google.com/open?id=1_miPB14smaLoUthCfe0JE5NpLjzCb0ra" TargetMode="External"/><Relationship Id="rId2661" Type="http://schemas.openxmlformats.org/officeDocument/2006/relationships/hyperlink" Target="https://www.facebook.com/100004905730053/" TargetMode="External"/><Relationship Id="rId3712" Type="http://schemas.openxmlformats.org/officeDocument/2006/relationships/hyperlink" Target="https://drive.google.com/open?id=1lTuEIC2-l6GgaLbSeWbjca_b9OP34TBP" TargetMode="External"/><Relationship Id="rId6868" Type="http://schemas.openxmlformats.org/officeDocument/2006/relationships/hyperlink" Target="https://www.facebook.com/profile.php?id=100068912166364" TargetMode="External"/><Relationship Id="rId7919" Type="http://schemas.openxmlformats.org/officeDocument/2006/relationships/hyperlink" Target="https://www.facebook.com/linh.co.73157203?mibextid=LQQJ4d" TargetMode="External"/><Relationship Id="rId8290" Type="http://schemas.openxmlformats.org/officeDocument/2006/relationships/hyperlink" Target="https://www.facebook.com/share/19HhTBqX27/?mibextid=wwXIfr" TargetMode="External"/><Relationship Id="rId9341" Type="http://schemas.openxmlformats.org/officeDocument/2006/relationships/hyperlink" Target="https://www.facebook.com/profile.php?id=100046219148216&amp;mibextid=ZbWKwL" TargetMode="External"/><Relationship Id="rId5884" Type="http://schemas.openxmlformats.org/officeDocument/2006/relationships/hyperlink" Target="https://www.facebook.com/ngocyennhi.nguyen.777158?mibextid=LQQJ4d" TargetMode="External"/><Relationship Id="rId6935" Type="http://schemas.openxmlformats.org/officeDocument/2006/relationships/hyperlink" Target="https://www.facebook.com/profile.php?id=61555721258053&amp;mibextid=ZbWKwL" TargetMode="External"/><Relationship Id="rId700" Type="http://schemas.openxmlformats.org/officeDocument/2006/relationships/hyperlink" Target="https://www.facebook.com/tang.luu.3979?mibextid=LQQJ4d" TargetMode="External"/><Relationship Id="rId1330" Type="http://schemas.openxmlformats.org/officeDocument/2006/relationships/hyperlink" Target="https://drive.google.com/open?id=1hnTDAGKr2ATZ0CC7I8Hu_Obm8DWF1vr6" TargetMode="External"/><Relationship Id="rId3088" Type="http://schemas.openxmlformats.org/officeDocument/2006/relationships/hyperlink" Target="https://drive.google.com/open?id=1Q-P0zo1sSO1-RBWwK-N1HQuq-p6ej1aD" TargetMode="External"/><Relationship Id="rId4486" Type="http://schemas.openxmlformats.org/officeDocument/2006/relationships/hyperlink" Target="https://www.facebook.com/jerry.dat.3" TargetMode="External"/><Relationship Id="rId5537" Type="http://schemas.openxmlformats.org/officeDocument/2006/relationships/hyperlink" Target="https://www.facebook.com/pess.trang.77" TargetMode="External"/><Relationship Id="rId5951" Type="http://schemas.openxmlformats.org/officeDocument/2006/relationships/hyperlink" Target="https://www.facebook.com/htpps.facebook.com.guys26" TargetMode="External"/><Relationship Id="rId4139" Type="http://schemas.openxmlformats.org/officeDocument/2006/relationships/hyperlink" Target="https://drive.google.com/open?id=1LDMkArLnIj_soFpzn70PQnGftE4jgg_A" TargetMode="External"/><Relationship Id="rId4553" Type="http://schemas.openxmlformats.org/officeDocument/2006/relationships/hyperlink" Target="https://drive.google.com/open?id=1H1Q5YkHznvlsA_w9iHQhTPbDuKdrnJmD" TargetMode="External"/><Relationship Id="rId5604" Type="http://schemas.openxmlformats.org/officeDocument/2006/relationships/hyperlink" Target="https://www.facebook.com/profile.php?id=100022786640362&amp;mibextid=LQQJ4d" TargetMode="External"/><Relationship Id="rId8010" Type="http://schemas.openxmlformats.org/officeDocument/2006/relationships/hyperlink" Target="https://drive.google.com/open?id=1E8sEkdCtOKVXHMIYEyJ5vx9PSgd9rsIB" TargetMode="External"/><Relationship Id="rId3155" Type="http://schemas.openxmlformats.org/officeDocument/2006/relationships/hyperlink" Target="https://drive.google.com/open?id=1PEzggk6h19DS_uCsFKf4P-GH7YmP0yCf" TargetMode="External"/><Relationship Id="rId4206" Type="http://schemas.openxmlformats.org/officeDocument/2006/relationships/hyperlink" Target="https://drive.google.com/open?id=1Mw8sRBbT7_8GnMltyFNbFqwRcljIaL0G" TargetMode="External"/><Relationship Id="rId4620" Type="http://schemas.openxmlformats.org/officeDocument/2006/relationships/hyperlink" Target="https://drive.google.com/open?id=1k5WczGMotvKtrH31dAGsK1RkvH2P1n45" TargetMode="External"/><Relationship Id="rId7776" Type="http://schemas.openxmlformats.org/officeDocument/2006/relationships/hyperlink" Target="https://www.facebook.com/fwngnhi06" TargetMode="External"/><Relationship Id="rId8827" Type="http://schemas.openxmlformats.org/officeDocument/2006/relationships/hyperlink" Target="https://www.facebook.com/linh.trang.381505" TargetMode="External"/><Relationship Id="rId490" Type="http://schemas.openxmlformats.org/officeDocument/2006/relationships/hyperlink" Target="https://drive.google.com/open?id=1RsFqzvHmVefj1yezrg2Ry1Sb-N5ubTaj" TargetMode="External"/><Relationship Id="rId2171" Type="http://schemas.openxmlformats.org/officeDocument/2006/relationships/hyperlink" Target="https://drive.google.com/open?id=1opF6uXJhoN-Z1k92VkfyGt6Uop9vPN25" TargetMode="External"/><Relationship Id="rId3222" Type="http://schemas.openxmlformats.org/officeDocument/2006/relationships/hyperlink" Target="https://www.facebook.com/100049276033676/" TargetMode="External"/><Relationship Id="rId6378" Type="http://schemas.openxmlformats.org/officeDocument/2006/relationships/hyperlink" Target="https://www.facebook.com/vh.anh07?mibextid=LQQJ4d" TargetMode="External"/><Relationship Id="rId7429" Type="http://schemas.openxmlformats.org/officeDocument/2006/relationships/hyperlink" Target="https://www.facebook.com/hanguyen.443?mibextid=ZbWKwL" TargetMode="External"/><Relationship Id="rId143" Type="http://schemas.openxmlformats.org/officeDocument/2006/relationships/hyperlink" Target="https://www.facebook.com/profile.php?id=100011891973959" TargetMode="External"/><Relationship Id="rId5394" Type="http://schemas.openxmlformats.org/officeDocument/2006/relationships/hyperlink" Target="https://www.facebook.com/otori.kirino?mibextid=ZbWKwL" TargetMode="External"/><Relationship Id="rId6445" Type="http://schemas.openxmlformats.org/officeDocument/2006/relationships/hyperlink" Target="https://www.facebook.com/people/H%E1%BB%93ng-Ch%C3%A2m/pfbid02UKeZcPTnLZcqEd4ithnzaKqUqHCkCBwa5e2b8rybsgirp9U4vXu81ZPr4mzpLzHkl/" TargetMode="External"/><Relationship Id="rId6792" Type="http://schemas.openxmlformats.org/officeDocument/2006/relationships/hyperlink" Target="https://www.facebook.com/profile.php?id=100040545213406" TargetMode="External"/><Relationship Id="rId7843" Type="http://schemas.openxmlformats.org/officeDocument/2006/relationships/hyperlink" Target="https://www.facebook.com/profile.php?id=100076475740515" TargetMode="External"/><Relationship Id="rId9" Type="http://schemas.openxmlformats.org/officeDocument/2006/relationships/hyperlink" Target="https://www.facebook.com/yeongmoon97?mibextid=LQQJ4d" TargetMode="External"/><Relationship Id="rId210" Type="http://schemas.openxmlformats.org/officeDocument/2006/relationships/hyperlink" Target="https://www.facebook.com/profile.php?id=100048078816710&amp;mibextid=LQQJ4d" TargetMode="External"/><Relationship Id="rId2988" Type="http://schemas.openxmlformats.org/officeDocument/2006/relationships/hyperlink" Target="https://www.facebook.com/profile.php?id=100026960076425&amp;mibextid=LQQJ4d" TargetMode="External"/><Relationship Id="rId5047" Type="http://schemas.openxmlformats.org/officeDocument/2006/relationships/hyperlink" Target="https://www.facebook.com/profile.php?id=100065856843030&amp;mibextid=LQQJ4d" TargetMode="External"/><Relationship Id="rId7910" Type="http://schemas.openxmlformats.org/officeDocument/2006/relationships/hyperlink" Target="https://www.facebook.com/profile.php?id=100067756221489" TargetMode="External"/><Relationship Id="rId5461" Type="http://schemas.openxmlformats.org/officeDocument/2006/relationships/hyperlink" Target="https://www.facebook.com/heosieuuucuteee?mibextid=ZbWKwL" TargetMode="External"/><Relationship Id="rId6512" Type="http://schemas.openxmlformats.org/officeDocument/2006/relationships/hyperlink" Target="https://www.facebook.com/binbin205" TargetMode="External"/><Relationship Id="rId1657" Type="http://schemas.openxmlformats.org/officeDocument/2006/relationships/hyperlink" Target="https://www.facebook.com/profile.php?id=61550659032570" TargetMode="External"/><Relationship Id="rId2708" Type="http://schemas.openxmlformats.org/officeDocument/2006/relationships/hyperlink" Target="https://drive.google.com/open?id=1NDGCUnXxgo_o593jh77db_PI0et9No5z" TargetMode="External"/><Relationship Id="rId4063" Type="http://schemas.openxmlformats.org/officeDocument/2006/relationships/hyperlink" Target="https://www.facebook.com/profile.php?id=100048227416551" TargetMode="External"/><Relationship Id="rId5114" Type="http://schemas.openxmlformats.org/officeDocument/2006/relationships/hyperlink" Target="https://drive.google.com/open?id=149_JABj5ZYdvxqzCLBSj79yyCvvr8geJ" TargetMode="External"/><Relationship Id="rId8684" Type="http://schemas.openxmlformats.org/officeDocument/2006/relationships/hyperlink" Target="https://www.facebook.com/con.cuong.71465?mibextid=LQQJ4d" TargetMode="External"/><Relationship Id="rId1724" Type="http://schemas.openxmlformats.org/officeDocument/2006/relationships/hyperlink" Target="https://www.facebook.com/mat.mit.77398?mibextid=cejktS" TargetMode="External"/><Relationship Id="rId4130" Type="http://schemas.openxmlformats.org/officeDocument/2006/relationships/hyperlink" Target="https://www.facebook.com/profile.php?id=100014998389791&amp;locale=vi_VN" TargetMode="External"/><Relationship Id="rId7286" Type="http://schemas.openxmlformats.org/officeDocument/2006/relationships/hyperlink" Target="https://www.facebook.com/profile.php?id=100034633688337" TargetMode="External"/><Relationship Id="rId8337" Type="http://schemas.openxmlformats.org/officeDocument/2006/relationships/hyperlink" Target="https://drive.google.com/open?id=1NHKU2sfHQ5aDfgIMnQq5ubk-chPoLPNy" TargetMode="External"/><Relationship Id="rId8751" Type="http://schemas.openxmlformats.org/officeDocument/2006/relationships/hyperlink" Target="https://www.facebook.com/profile.php?id=100070531825886" TargetMode="External"/><Relationship Id="rId16" Type="http://schemas.openxmlformats.org/officeDocument/2006/relationships/hyperlink" Target="https://drive.google.com/open?id=1WhTmY6zMrC57aXEMz85iaLVahfIoJeBX" TargetMode="External"/><Relationship Id="rId3896" Type="http://schemas.openxmlformats.org/officeDocument/2006/relationships/hyperlink" Target="https://www.facebook.com/profile.php?id=100023773683772&amp;mibextid=LQQJ4d" TargetMode="External"/><Relationship Id="rId7353" Type="http://schemas.openxmlformats.org/officeDocument/2006/relationships/hyperlink" Target="https://www.facebook.com/profile.php?id=100041723526602&amp;mibextid=LQQJ4d" TargetMode="External"/><Relationship Id="rId8404" Type="http://schemas.openxmlformats.org/officeDocument/2006/relationships/hyperlink" Target="https://www.facebook.com/profile.php?id=100040290976241" TargetMode="External"/><Relationship Id="rId2498" Type="http://schemas.openxmlformats.org/officeDocument/2006/relationships/hyperlink" Target="https://www.facebook.com/profile.php?id=100092331591591" TargetMode="External"/><Relationship Id="rId3549" Type="http://schemas.openxmlformats.org/officeDocument/2006/relationships/hyperlink" Target="https://www.facebook.com/gnahuv?mibextid=LQQJ4d" TargetMode="External"/><Relationship Id="rId4947" Type="http://schemas.openxmlformats.org/officeDocument/2006/relationships/hyperlink" Target="https://www.facebook.com/profile.php?id=100052367741451&amp;mibextid=LQQJ4d" TargetMode="External"/><Relationship Id="rId7006" Type="http://schemas.openxmlformats.org/officeDocument/2006/relationships/hyperlink" Target="https://www.facebook.com/profile.php?id=100049492994539&amp;mibextid=LQQJ4d" TargetMode="External"/><Relationship Id="rId7420" Type="http://schemas.openxmlformats.org/officeDocument/2006/relationships/hyperlink" Target="https://www.facebook.com/profile.php?id=100068592291148&amp;mibextid=LQQJ4d" TargetMode="External"/><Relationship Id="rId3963" Type="http://schemas.openxmlformats.org/officeDocument/2006/relationships/hyperlink" Target="https://drive.google.com/open?id=1a67u9naQ7IU2PfwngNweaeGcrQhDIjmQ" TargetMode="External"/><Relationship Id="rId6022" Type="http://schemas.openxmlformats.org/officeDocument/2006/relationships/hyperlink" Target="https://www.facebook.com/ngoc.hong.1117?mibextid=ZbWKwL" TargetMode="External"/><Relationship Id="rId9178" Type="http://schemas.openxmlformats.org/officeDocument/2006/relationships/hyperlink" Target="https://www.facebook.com/baongoc.phung.7545" TargetMode="External"/><Relationship Id="rId884" Type="http://schemas.openxmlformats.org/officeDocument/2006/relationships/hyperlink" Target="https://www.facebook.com/trinhphuonganh21?mibextid=haYZDX" TargetMode="External"/><Relationship Id="rId2565" Type="http://schemas.openxmlformats.org/officeDocument/2006/relationships/hyperlink" Target="https://www.facebook.com/tuz.mie48?mibextid=LQQJ4d" TargetMode="External"/><Relationship Id="rId3616" Type="http://schemas.openxmlformats.org/officeDocument/2006/relationships/hyperlink" Target="https://www.facebook.com/profile.php?id=100068214031099" TargetMode="External"/><Relationship Id="rId8194" Type="http://schemas.openxmlformats.org/officeDocument/2006/relationships/hyperlink" Target="https://www.facebook.com/thg.hh2111" TargetMode="External"/><Relationship Id="rId537" Type="http://schemas.openxmlformats.org/officeDocument/2006/relationships/hyperlink" Target="https://www.facebook.com/bun.bunn.127?mibextid=LQQJ4d" TargetMode="External"/><Relationship Id="rId951" Type="http://schemas.openxmlformats.org/officeDocument/2006/relationships/hyperlink" Target="https://www.facebook.com/karry.trang.7311" TargetMode="External"/><Relationship Id="rId1167" Type="http://schemas.openxmlformats.org/officeDocument/2006/relationships/hyperlink" Target="https://www.facebook.com/vodlkathai?mibextid=ZbWKwL" TargetMode="External"/><Relationship Id="rId1581" Type="http://schemas.openxmlformats.org/officeDocument/2006/relationships/hyperlink" Target="https://www.facebook.com/dangchauanh2207?mibextid=2JQ9oc" TargetMode="External"/><Relationship Id="rId2218" Type="http://schemas.openxmlformats.org/officeDocument/2006/relationships/hyperlink" Target="https://www.facebook.com/profile.php?id=100078320827254&amp;mibextid=LQQJ4d" TargetMode="External"/><Relationship Id="rId2632" Type="http://schemas.openxmlformats.org/officeDocument/2006/relationships/hyperlink" Target="https://www.facebook.com/profile.php?id=100022793390038" TargetMode="External"/><Relationship Id="rId5788" Type="http://schemas.openxmlformats.org/officeDocument/2006/relationships/hyperlink" Target="https://www.facebook.com/profile.php?id=100026342468506&amp;mibextid=ZbWKwL" TargetMode="External"/><Relationship Id="rId6839" Type="http://schemas.openxmlformats.org/officeDocument/2006/relationships/hyperlink" Target="https://www.facebook.com/lu.quan.9028?mibextid=JRoKGi" TargetMode="External"/><Relationship Id="rId9245" Type="http://schemas.openxmlformats.org/officeDocument/2006/relationships/hyperlink" Target="https://www.facebook.com/profile.php?id=100069113527674" TargetMode="External"/><Relationship Id="rId604" Type="http://schemas.openxmlformats.org/officeDocument/2006/relationships/hyperlink" Target="https://www.facebook.com/100035052991685/" TargetMode="External"/><Relationship Id="rId1234" Type="http://schemas.openxmlformats.org/officeDocument/2006/relationships/hyperlink" Target="https://www.facebook.com/profile.php?id=100080149758467" TargetMode="External"/><Relationship Id="rId5855" Type="http://schemas.openxmlformats.org/officeDocument/2006/relationships/hyperlink" Target="https://drive.google.com/open?id=1kcNje0tlOpRc-ghykyzscwotw04X7yr6" TargetMode="External"/><Relationship Id="rId6906" Type="http://schemas.openxmlformats.org/officeDocument/2006/relationships/hyperlink" Target="https://www.facebook.com/crishoang10a2?mibextid=LQQJ4d" TargetMode="External"/><Relationship Id="rId8261" Type="http://schemas.openxmlformats.org/officeDocument/2006/relationships/hyperlink" Target="https://www.facebook.com/ngochuyen.nguyenthi.3194" TargetMode="External"/><Relationship Id="rId9312" Type="http://schemas.openxmlformats.org/officeDocument/2006/relationships/hyperlink" Target="https://drive.google.com/open?id=1hUGanhnYZfST4DfBYIEBv8ZaYNgAUYDa" TargetMode="External"/><Relationship Id="rId1301" Type="http://schemas.openxmlformats.org/officeDocument/2006/relationships/hyperlink" Target="https://www.facebook.com/profile.php?id=100057816013502&amp;mibextid=ZbWKwL" TargetMode="External"/><Relationship Id="rId4457" Type="http://schemas.openxmlformats.org/officeDocument/2006/relationships/hyperlink" Target="https://www.facebook.com/profile.php?id=100047520251921&amp;mibextid=LQQJ4d" TargetMode="External"/><Relationship Id="rId5508" Type="http://schemas.openxmlformats.org/officeDocument/2006/relationships/hyperlink" Target="https://www.facebook.com/profile.php?id=100033196391979" TargetMode="External"/><Relationship Id="rId3059" Type="http://schemas.openxmlformats.org/officeDocument/2006/relationships/hyperlink" Target="https://www.facebook.com/linh.tranthi.5209000" TargetMode="External"/><Relationship Id="rId3473" Type="http://schemas.openxmlformats.org/officeDocument/2006/relationships/hyperlink" Target="https://www.facebook.com/profile.php?id=100054963064964" TargetMode="External"/><Relationship Id="rId4524" Type="http://schemas.openxmlformats.org/officeDocument/2006/relationships/hyperlink" Target="https://www.facebook.com/trancong.vinh.31924?mibextid=LQQJ4d" TargetMode="External"/><Relationship Id="rId4871" Type="http://schemas.openxmlformats.org/officeDocument/2006/relationships/hyperlink" Target="https://www.facebook.com/ngvanhiu.125?mibextid=LQQJ4d" TargetMode="External"/><Relationship Id="rId5922" Type="http://schemas.openxmlformats.org/officeDocument/2006/relationships/hyperlink" Target="https://www.facebook.com/profile.php?id=100090749863152&amp;mibextid=LQQJ4d" TargetMode="External"/><Relationship Id="rId394" Type="http://schemas.openxmlformats.org/officeDocument/2006/relationships/hyperlink" Target="https://www.facebook.com/profile.php?id=100061160496559&amp;mibextid=LQQJ4d" TargetMode="External"/><Relationship Id="rId2075" Type="http://schemas.openxmlformats.org/officeDocument/2006/relationships/hyperlink" Target="https://www.facebook.com/profile.php?id=100026601651747&amp;mibextid=LQQJ4d" TargetMode="External"/><Relationship Id="rId3126" Type="http://schemas.openxmlformats.org/officeDocument/2006/relationships/hyperlink" Target="https://drive.google.com/open?id=17E1GiGCj4lW8nLpXS0FZRA7_NHA44P0z" TargetMode="External"/><Relationship Id="rId1091" Type="http://schemas.openxmlformats.org/officeDocument/2006/relationships/hyperlink" Target="https://drive.google.com/open?id=1QqQC8TenqDItX8JBOdacy7Emf7rz4dm6" TargetMode="External"/><Relationship Id="rId3540" Type="http://schemas.openxmlformats.org/officeDocument/2006/relationships/hyperlink" Target="https://www.facebook.com/phamtu.info" TargetMode="External"/><Relationship Id="rId5298" Type="http://schemas.openxmlformats.org/officeDocument/2006/relationships/hyperlink" Target="https://www.facebook.com/profile.php?id=100056802892619&amp;mibextid=LQQJ4d" TargetMode="External"/><Relationship Id="rId6696" Type="http://schemas.openxmlformats.org/officeDocument/2006/relationships/hyperlink" Target="https://www.facebook.com/share/1AiUoL9pwu/?mibextid=LQQJ4d" TargetMode="External"/><Relationship Id="rId7747" Type="http://schemas.openxmlformats.org/officeDocument/2006/relationships/hyperlink" Target="https://www.facebook.com/profile.php?id=100023270074212" TargetMode="External"/><Relationship Id="rId114" Type="http://schemas.openxmlformats.org/officeDocument/2006/relationships/hyperlink" Target="https://www.facebook.com/profile.php?id=100039979488343&amp;sk=friends_mutual" TargetMode="External"/><Relationship Id="rId461" Type="http://schemas.openxmlformats.org/officeDocument/2006/relationships/hyperlink" Target="https://drive.google.com/open?id=1A2gAcNAYjXXaVcDG6KSpP_jCcXgQSWNI" TargetMode="External"/><Relationship Id="rId2142" Type="http://schemas.openxmlformats.org/officeDocument/2006/relationships/hyperlink" Target="https://www.facebook.com/profile.php?id=61552186963643&amp;mibextid=kFxxJD" TargetMode="External"/><Relationship Id="rId6349" Type="http://schemas.openxmlformats.org/officeDocument/2006/relationships/hyperlink" Target="https://www.facebook.com/trangg.1308?mibextid=LQQJ4d" TargetMode="External"/><Relationship Id="rId6763" Type="http://schemas.openxmlformats.org/officeDocument/2006/relationships/hyperlink" Target="https://www.facebook.com/profile.php?id=61565543312217&amp;mibextid=ZbWKwL" TargetMode="External"/><Relationship Id="rId7814" Type="http://schemas.openxmlformats.org/officeDocument/2006/relationships/hyperlink" Target="https://www.facebook.com/share/19m1hnjcAN/?mibextid=LQQJ4d" TargetMode="External"/><Relationship Id="rId2959" Type="http://schemas.openxmlformats.org/officeDocument/2006/relationships/hyperlink" Target="https://www.facebook.com/hanghuehuy?mibextid=hu50Ix" TargetMode="External"/><Relationship Id="rId5365" Type="http://schemas.openxmlformats.org/officeDocument/2006/relationships/hyperlink" Target="https://drive.google.com/open?id=19RwH93H62R0O12ZSzZ1jBdsqcPQDjUrV" TargetMode="External"/><Relationship Id="rId6416" Type="http://schemas.openxmlformats.org/officeDocument/2006/relationships/hyperlink" Target="https://www.facebook.com/profile.php?id=100069530143176" TargetMode="External"/><Relationship Id="rId6830" Type="http://schemas.openxmlformats.org/officeDocument/2006/relationships/hyperlink" Target="https://www.facebook.com/profile.php?id=100055710823021&amp;mibextid=LQQJ4d" TargetMode="External"/><Relationship Id="rId4381" Type="http://schemas.openxmlformats.org/officeDocument/2006/relationships/hyperlink" Target="https://www.facebook.com/profile.php?id=100076625193438&amp;mibextid=LQQJ4d" TargetMode="External"/><Relationship Id="rId5018" Type="http://schemas.openxmlformats.org/officeDocument/2006/relationships/hyperlink" Target="https://www.facebook.com/profile.php?id=100074417411677&amp;mibextid=LQQJ4d" TargetMode="External"/><Relationship Id="rId5432" Type="http://schemas.openxmlformats.org/officeDocument/2006/relationships/hyperlink" Target="https://www.facebook.com/ThuHien311023" TargetMode="External"/><Relationship Id="rId8588" Type="http://schemas.openxmlformats.org/officeDocument/2006/relationships/hyperlink" Target="https://www.facebook.com/profile.php?id=100052895930101&amp;mibextid=LQQJ4d" TargetMode="External"/><Relationship Id="rId1628" Type="http://schemas.openxmlformats.org/officeDocument/2006/relationships/hyperlink" Target="https://www.facebook.com/thong.ngovan.7906" TargetMode="External"/><Relationship Id="rId1975" Type="http://schemas.openxmlformats.org/officeDocument/2006/relationships/hyperlink" Target="https://drive.google.com/open?id=1u9X1NnlGXCrztMHRMr9CVgBNTdvLKfqL" TargetMode="External"/><Relationship Id="rId4034" Type="http://schemas.openxmlformats.org/officeDocument/2006/relationships/hyperlink" Target="https://drive.google.com/open?id=1mY2Xj4VKDls-D35vq6hbuvT0F9tyR_zN" TargetMode="External"/><Relationship Id="rId8655" Type="http://schemas.openxmlformats.org/officeDocument/2006/relationships/hyperlink" Target="https://www.facebook.com/minhthu.tu.127" TargetMode="External"/><Relationship Id="rId3050" Type="http://schemas.openxmlformats.org/officeDocument/2006/relationships/hyperlink" Target="https://drive.google.com/open?id=1Bt4xVR7AqdMCqHg-FgxZxzZ3duQ2S9Te" TargetMode="External"/><Relationship Id="rId4101" Type="http://schemas.openxmlformats.org/officeDocument/2006/relationships/hyperlink" Target="https://www.facebook.com/profile.php?id=100025241209305" TargetMode="External"/><Relationship Id="rId7257" Type="http://schemas.openxmlformats.org/officeDocument/2006/relationships/hyperlink" Target="https://www.facebook.com/profile.php?id=100073276835593" TargetMode="External"/><Relationship Id="rId8308" Type="http://schemas.openxmlformats.org/officeDocument/2006/relationships/hyperlink" Target="https://www.facebook.com/aduanhpham?mibextid=ZbWKwL" TargetMode="External"/><Relationship Id="rId7671" Type="http://schemas.openxmlformats.org/officeDocument/2006/relationships/hyperlink" Target="https://www.facebook.com/profile.php?id=100094385667489&amp;mibextid=ZbWKwL" TargetMode="External"/><Relationship Id="rId8722" Type="http://schemas.openxmlformats.org/officeDocument/2006/relationships/hyperlink" Target="https://www.facebook.com/dai.do.319247" TargetMode="External"/><Relationship Id="rId3867" Type="http://schemas.openxmlformats.org/officeDocument/2006/relationships/hyperlink" Target="https://www.facebook.com/profile.php?id=100034925930087&amp;mibextid=LQQJ4d" TargetMode="External"/><Relationship Id="rId4918" Type="http://schemas.openxmlformats.org/officeDocument/2006/relationships/hyperlink" Target="https://www.facebook.com/behien2tui?mibextid=LQQJ4d" TargetMode="External"/><Relationship Id="rId6273" Type="http://schemas.openxmlformats.org/officeDocument/2006/relationships/hyperlink" Target="https://www.facebook.com/profile.php?id=100008413472154" TargetMode="External"/><Relationship Id="rId7324" Type="http://schemas.openxmlformats.org/officeDocument/2006/relationships/hyperlink" Target="https://www.facebook.com/ibrahisonvic11" TargetMode="External"/><Relationship Id="rId788" Type="http://schemas.openxmlformats.org/officeDocument/2006/relationships/hyperlink" Target="https://www.facebook.com/profile.php?id=100039676313404" TargetMode="External"/><Relationship Id="rId2469" Type="http://schemas.openxmlformats.org/officeDocument/2006/relationships/hyperlink" Target="https://drive.google.com/open?id=1dRphuB_v6uhrr-t19g37ffpgX2QmV3aM" TargetMode="External"/><Relationship Id="rId2883" Type="http://schemas.openxmlformats.org/officeDocument/2006/relationships/hyperlink" Target="https://www.facebook.com/profile.php?id=100043678471186" TargetMode="External"/><Relationship Id="rId3934" Type="http://schemas.openxmlformats.org/officeDocument/2006/relationships/hyperlink" Target="https://drive.google.com/open?id=1mWw5DQZk69B6kdivntiCBCSr2JYyTcAz" TargetMode="External"/><Relationship Id="rId6340" Type="http://schemas.openxmlformats.org/officeDocument/2006/relationships/hyperlink" Target="https://drive.google.com/open?id=1jMHYwAujFvd58dM-jL3q4pwz-OteAQmF" TargetMode="External"/><Relationship Id="rId9496" Type="http://schemas.openxmlformats.org/officeDocument/2006/relationships/hyperlink" Target="https://www.facebook.com/long.bi.794" TargetMode="External"/><Relationship Id="rId855" Type="http://schemas.openxmlformats.org/officeDocument/2006/relationships/hyperlink" Target="https://www.facebook.com/profile.php?id=100024816816776&amp;mibextid=ZbWKwL" TargetMode="External"/><Relationship Id="rId1485" Type="http://schemas.openxmlformats.org/officeDocument/2006/relationships/hyperlink" Target="https://www.facebook.com/profile.php?id=100022182499519" TargetMode="External"/><Relationship Id="rId2536" Type="http://schemas.openxmlformats.org/officeDocument/2006/relationships/hyperlink" Target="https://www.facebook.com/tong.thuha.56" TargetMode="External"/><Relationship Id="rId8098" Type="http://schemas.openxmlformats.org/officeDocument/2006/relationships/hyperlink" Target="https://www.facebook.com/profile.php?id=100072135765311&amp;mibextid=LQQJ4d" TargetMode="External"/><Relationship Id="rId9149" Type="http://schemas.openxmlformats.org/officeDocument/2006/relationships/hyperlink" Target="https://www.facebook.com/nhiss.bangss.54?mibextid=LQQJ4d" TargetMode="External"/><Relationship Id="rId9563" Type="http://schemas.openxmlformats.org/officeDocument/2006/relationships/hyperlink" Target="https://www.facebook.com/share/18LdtnN2mH/?mibextid=wwXIfr" TargetMode="External"/><Relationship Id="rId508" Type="http://schemas.openxmlformats.org/officeDocument/2006/relationships/hyperlink" Target="https://drive.google.com/open?id=1Pi0EPwzaO24L81-k2nYi9tuSr1t4FZXq" TargetMode="External"/><Relationship Id="rId922" Type="http://schemas.openxmlformats.org/officeDocument/2006/relationships/hyperlink" Target="https://drive.google.com/open?id=18hwkkQVf556lncsh2spMdf8gOTCZrhtk" TargetMode="External"/><Relationship Id="rId1138" Type="http://schemas.openxmlformats.org/officeDocument/2006/relationships/hyperlink" Target="https://www.facebook.com/profile.php?id=100089181947573&amp;mibextid=LQQJ4d" TargetMode="External"/><Relationship Id="rId1552" Type="http://schemas.openxmlformats.org/officeDocument/2006/relationships/hyperlink" Target="https://www.facebook.com/profile.php?id=100038714745574" TargetMode="External"/><Relationship Id="rId2603" Type="http://schemas.openxmlformats.org/officeDocument/2006/relationships/hyperlink" Target="https://drive.google.com/open?id=1YxCXCOdk-L8B8osFMqpXCIzRKNmuxCpE" TargetMode="External"/><Relationship Id="rId2950" Type="http://schemas.openxmlformats.org/officeDocument/2006/relationships/hyperlink" Target="https://www.facebook.com/profile.php?id=100082847074343&amp;mibextid=LQQJ4d" TargetMode="External"/><Relationship Id="rId5759" Type="http://schemas.openxmlformats.org/officeDocument/2006/relationships/hyperlink" Target="https://www.facebook.com/people/Huy%E1%BB%81n-Tr%C3%A2m/pfbid0ZJVEXssjcEyjVbbagjVr6jSHpMj181dJPJ6z3zRGZ87FRGRDnQfY5NUxXpG1QPrRl/" TargetMode="External"/><Relationship Id="rId8165" Type="http://schemas.openxmlformats.org/officeDocument/2006/relationships/hyperlink" Target="https://www.facebook.com/profile.php?id=100064118670185" TargetMode="External"/><Relationship Id="rId9216" Type="http://schemas.openxmlformats.org/officeDocument/2006/relationships/hyperlink" Target="https://www.facebook.com/ngquanghuy76?mibextid=LQQJ4d" TargetMode="External"/><Relationship Id="rId1205" Type="http://schemas.openxmlformats.org/officeDocument/2006/relationships/hyperlink" Target="https://drive.google.com/open?id=1_RxPeE-sNNnthQDwVPNKHma_N_TuuCVl" TargetMode="External"/><Relationship Id="rId7181" Type="http://schemas.openxmlformats.org/officeDocument/2006/relationships/hyperlink" Target="https://drive.google.com/open?id=1TzuPazb-sFjc5II4wF-aHBeJeYDnxHNx" TargetMode="External"/><Relationship Id="rId8232" Type="http://schemas.openxmlformats.org/officeDocument/2006/relationships/hyperlink" Target="https://drive.google.com/open?id=1tGpDKaESUSVOqienSbYYLohBxa9B3rMY" TargetMode="External"/><Relationship Id="rId3377" Type="http://schemas.openxmlformats.org/officeDocument/2006/relationships/hyperlink" Target="https://www.facebook.com/profile.php?id=100038989638210" TargetMode="External"/><Relationship Id="rId4775" Type="http://schemas.openxmlformats.org/officeDocument/2006/relationships/hyperlink" Target="https://www.facebook.com/profile.php?id=100032637979147" TargetMode="External"/><Relationship Id="rId5826" Type="http://schemas.openxmlformats.org/officeDocument/2006/relationships/hyperlink" Target="https://www.facebook.com/profile.php?id=100070216384371&amp;mibextid=ZbWKwL" TargetMode="External"/><Relationship Id="rId298" Type="http://schemas.openxmlformats.org/officeDocument/2006/relationships/hyperlink" Target="https://www.facebook.com/yuzan0806?mibextid=LQQJ4d" TargetMode="External"/><Relationship Id="rId3791" Type="http://schemas.openxmlformats.org/officeDocument/2006/relationships/hyperlink" Target="https://drive.google.com/open?id=1CQhvjs5PGO0mk3b3apgi2lx2zPbvDm9c" TargetMode="External"/><Relationship Id="rId4428" Type="http://schemas.openxmlformats.org/officeDocument/2006/relationships/hyperlink" Target="https://www.facebook.com/profile.php?id=100072704288188" TargetMode="External"/><Relationship Id="rId4842" Type="http://schemas.openxmlformats.org/officeDocument/2006/relationships/hyperlink" Target="https://www.facebook.com/profile.php?id=100045263265116" TargetMode="External"/><Relationship Id="rId7998" Type="http://schemas.openxmlformats.org/officeDocument/2006/relationships/hyperlink" Target="https://www.facebook.com/profile.php?id=100011229794448&amp;mibextid=ZbWKwL" TargetMode="External"/><Relationship Id="rId2393" Type="http://schemas.openxmlformats.org/officeDocument/2006/relationships/hyperlink" Target="https://www.facebook.com/profile.php?id=100009177409621&amp;mibextid=ZbWKwL" TargetMode="External"/><Relationship Id="rId3444" Type="http://schemas.openxmlformats.org/officeDocument/2006/relationships/hyperlink" Target="https://www.facebook.com/nhinhnguyen.nhinhnguyen.5" TargetMode="External"/><Relationship Id="rId365" Type="http://schemas.openxmlformats.org/officeDocument/2006/relationships/hyperlink" Target="https://www.facebook.com/buiha.trang.7773" TargetMode="External"/><Relationship Id="rId2046" Type="http://schemas.openxmlformats.org/officeDocument/2006/relationships/hyperlink" Target="https://www.facebook.com/tu.am.5245?mibextid=ZbWKwL" TargetMode="External"/><Relationship Id="rId2460" Type="http://schemas.openxmlformats.org/officeDocument/2006/relationships/hyperlink" Target="https://www.facebook.com/linh.luongthuy.5249" TargetMode="External"/><Relationship Id="rId3511" Type="http://schemas.openxmlformats.org/officeDocument/2006/relationships/hyperlink" Target="https://www.facebook.com/ndm.manh" TargetMode="External"/><Relationship Id="rId6667" Type="http://schemas.openxmlformats.org/officeDocument/2006/relationships/hyperlink" Target="https://www.facebook.com/dnanhwrqq" TargetMode="External"/><Relationship Id="rId7718" Type="http://schemas.openxmlformats.org/officeDocument/2006/relationships/hyperlink" Target="https://www.facebook.com/profile.php?id=100054337882283" TargetMode="External"/><Relationship Id="rId9073" Type="http://schemas.openxmlformats.org/officeDocument/2006/relationships/hyperlink" Target="https://www.facebook.com/lammy.besun?mibextid=LQQJ4d" TargetMode="External"/><Relationship Id="rId432" Type="http://schemas.openxmlformats.org/officeDocument/2006/relationships/hyperlink" Target="https://drive.google.com/open?id=1xI0jzHeWotYaqFeTfJEYKZw38VZvgCnn" TargetMode="External"/><Relationship Id="rId1062" Type="http://schemas.openxmlformats.org/officeDocument/2006/relationships/hyperlink" Target="https://www.facebook.com/malong.trung" TargetMode="External"/><Relationship Id="rId2113" Type="http://schemas.openxmlformats.org/officeDocument/2006/relationships/hyperlink" Target="https://drive.google.com/open?id=10CZhQEWWxEAHDJBL2I5wzZ9PC9C4OFPX" TargetMode="External"/><Relationship Id="rId5269" Type="http://schemas.openxmlformats.org/officeDocument/2006/relationships/hyperlink" Target="https://www.facebook.com/profile.php?id=100086150673578" TargetMode="External"/><Relationship Id="rId5683" Type="http://schemas.openxmlformats.org/officeDocument/2006/relationships/hyperlink" Target="https://www.facebook.com/profile.php?id=100054902799261" TargetMode="External"/><Relationship Id="rId6734" Type="http://schemas.openxmlformats.org/officeDocument/2006/relationships/hyperlink" Target="https://www.facebook.com/profile.php?id=100046219148216&amp;mibextid=ZbWKwL" TargetMode="External"/><Relationship Id="rId9140" Type="http://schemas.openxmlformats.org/officeDocument/2006/relationships/hyperlink" Target="https://www.facebook.com/profile.php?id=100040869501071&amp;mibextid=LQQJ4d" TargetMode="External"/><Relationship Id="rId4285" Type="http://schemas.openxmlformats.org/officeDocument/2006/relationships/hyperlink" Target="https://www.facebook.com/ohmycat173?mibextid=LQQJ4d" TargetMode="External"/><Relationship Id="rId5336" Type="http://schemas.openxmlformats.org/officeDocument/2006/relationships/hyperlink" Target="https://drive.google.com/open?id=1lg4rZggUmwEUmczdEtL-Dv6VsB1dba0z" TargetMode="External"/><Relationship Id="rId1879" Type="http://schemas.openxmlformats.org/officeDocument/2006/relationships/hyperlink" Target="https://www.facebook.com/profile.php?id=100091912520398&amp;mibextid=LQQJ4d" TargetMode="External"/><Relationship Id="rId5750" Type="http://schemas.openxmlformats.org/officeDocument/2006/relationships/hyperlink" Target="https://www.facebook.com/nv.long.55" TargetMode="External"/><Relationship Id="rId6801" Type="http://schemas.openxmlformats.org/officeDocument/2006/relationships/hyperlink" Target="https://www.facebook.com/profile.php?id=100038095920945&amp;mibextid=LQQJ4d" TargetMode="External"/><Relationship Id="rId1946" Type="http://schemas.openxmlformats.org/officeDocument/2006/relationships/hyperlink" Target="https://www.facebook.com/MaiChi2304?mibextid=LQQJ4d" TargetMode="External"/><Relationship Id="rId4005" Type="http://schemas.openxmlformats.org/officeDocument/2006/relationships/hyperlink" Target="https://www.facebook.com/profile.php?id=100045577670584" TargetMode="External"/><Relationship Id="rId4352" Type="http://schemas.openxmlformats.org/officeDocument/2006/relationships/hyperlink" Target="https://www.facebook.com/profile.php?id=100071130908559" TargetMode="External"/><Relationship Id="rId5403" Type="http://schemas.openxmlformats.org/officeDocument/2006/relationships/hyperlink" Target="https://www.facebook.com/NhuMoVu05?mibextid=LQQJ4d" TargetMode="External"/><Relationship Id="rId8559" Type="http://schemas.openxmlformats.org/officeDocument/2006/relationships/hyperlink" Target="https://www.facebook.com/profile.php?id=100061145917880&amp;mibextid=ZbWKwL" TargetMode="External"/><Relationship Id="rId8973" Type="http://schemas.openxmlformats.org/officeDocument/2006/relationships/hyperlink" Target="https://web.facebook.com/thang.kieu.503092?mibextid=LQQJ4d&amp;rdid=YFkTggPBxB8wbzrW&amp;share_url=https%3A%2F%2Fweb.facebook.com%2Fshare%2F14xVmN2rhm%2F%3Fmibextid%3DLQQJ4d%26_rdc%3D1%26_rdr" TargetMode="External"/><Relationship Id="rId7575" Type="http://schemas.openxmlformats.org/officeDocument/2006/relationships/hyperlink" Target="http://www.facebook.com/profile.php?id=100074403545236&amp;mibextid=LQQJ4d" TargetMode="External"/><Relationship Id="rId8626" Type="http://schemas.openxmlformats.org/officeDocument/2006/relationships/hyperlink" Target="https://www.facebook.com/profile.php?id=100037629497206&amp;mibextid=LQQJ4d" TargetMode="External"/><Relationship Id="rId3021" Type="http://schemas.openxmlformats.org/officeDocument/2006/relationships/hyperlink" Target="https://www.facebook.com/ken.pham.52206" TargetMode="External"/><Relationship Id="rId6177" Type="http://schemas.openxmlformats.org/officeDocument/2006/relationships/hyperlink" Target="https://www.facebook.com/profile.php?id=100050120806753&amp;mibextid=LQQJ4d" TargetMode="External"/><Relationship Id="rId6591" Type="http://schemas.openxmlformats.org/officeDocument/2006/relationships/hyperlink" Target="https://www.facebook.com/d.hien.798/about" TargetMode="External"/><Relationship Id="rId7228" Type="http://schemas.openxmlformats.org/officeDocument/2006/relationships/hyperlink" Target="https://drive.google.com/open?id=1uFD5a1nwmCrckXiun8UTyuDX5_Cxs4m8" TargetMode="External"/><Relationship Id="rId7642" Type="http://schemas.openxmlformats.org/officeDocument/2006/relationships/hyperlink" Target="https://drive.google.com/open?id=1O-_v3mVSrF_pOU2XVwICWkkXNIodpe5E" TargetMode="External"/><Relationship Id="rId2787" Type="http://schemas.openxmlformats.org/officeDocument/2006/relationships/hyperlink" Target="https://drive.google.com/open?id=1bs7e6EbzpSgVebqjvsVqFZRo6N3Q8BWJ" TargetMode="External"/><Relationship Id="rId3838" Type="http://schemas.openxmlformats.org/officeDocument/2006/relationships/hyperlink" Target="https://drive.google.com/open?id=1o3SIHs8ZXcErfge10bGlg3PEhmAAQkbJ" TargetMode="External"/><Relationship Id="rId5193" Type="http://schemas.openxmlformats.org/officeDocument/2006/relationships/hyperlink" Target="https://www.facebook.com/profile.php?id=100017258983477" TargetMode="External"/><Relationship Id="rId6244" Type="http://schemas.openxmlformats.org/officeDocument/2006/relationships/hyperlink" Target="https://www.facebook.com/ngquanghuy76?mibextid=LQQJ4d" TargetMode="External"/><Relationship Id="rId759" Type="http://schemas.openxmlformats.org/officeDocument/2006/relationships/hyperlink" Target="https://www.facebook.com/hoan.ga.3591267?mibextid=ZbWKwL" TargetMode="External"/><Relationship Id="rId1389" Type="http://schemas.openxmlformats.org/officeDocument/2006/relationships/hyperlink" Target="https://drive.google.com/open?id=1xQpnizyuejoINDAb8rKxTe6K1tTld_zf" TargetMode="External"/><Relationship Id="rId5260" Type="http://schemas.openxmlformats.org/officeDocument/2006/relationships/hyperlink" Target="https://www.facebook.com/profile.php?id=100085011623082&amp;mibextid=LQQJ4d" TargetMode="External"/><Relationship Id="rId6311" Type="http://schemas.openxmlformats.org/officeDocument/2006/relationships/hyperlink" Target="https://www.facebook.com/hiep.buiquyhoang.7?mibextid=LQQJ4d" TargetMode="External"/><Relationship Id="rId9467" Type="http://schemas.openxmlformats.org/officeDocument/2006/relationships/hyperlink" Target="https://www.facebook.com/tong.thaonhi.0401?mibextid=LQQJ4d" TargetMode="External"/><Relationship Id="rId2854" Type="http://schemas.openxmlformats.org/officeDocument/2006/relationships/hyperlink" Target="https://drive.google.com/open?id=1_SPmTFn6jJmBMRN_LZhYJIRfbMKX9o37" TargetMode="External"/><Relationship Id="rId3905" Type="http://schemas.openxmlformats.org/officeDocument/2006/relationships/hyperlink" Target="https://drive.google.com/open?id=1GFSO3hIwWvk8Ah9q90AybPQDvZrxF5MX" TargetMode="External"/><Relationship Id="rId8069" Type="http://schemas.openxmlformats.org/officeDocument/2006/relationships/hyperlink" Target="https://www.facebook.com/kthahndatiumeo" TargetMode="External"/><Relationship Id="rId8483" Type="http://schemas.openxmlformats.org/officeDocument/2006/relationships/hyperlink" Target="https://drive.google.com/open?id=1-sHXyCFlAilahOaMMx-XBjrZojb8fgpa" TargetMode="External"/><Relationship Id="rId95" Type="http://schemas.openxmlformats.org/officeDocument/2006/relationships/hyperlink" Target="https://drive.google.com/open?id=1iPCK5AAB3nhHMx4rAn1FEEGwiqOnSsTJ" TargetMode="External"/><Relationship Id="rId826" Type="http://schemas.openxmlformats.org/officeDocument/2006/relationships/hyperlink" Target="https://drive.google.com/open?id=1T5phmX5eJtGMVS52YC7AmGu3JRzzduwE" TargetMode="External"/><Relationship Id="rId1109" Type="http://schemas.openxmlformats.org/officeDocument/2006/relationships/hyperlink" Target="https://www.facebook.com/profile.php?id=100022120253231&amp;mibextid=LQQJ4d" TargetMode="External"/><Relationship Id="rId1456" Type="http://schemas.openxmlformats.org/officeDocument/2006/relationships/hyperlink" Target="https://www.facebook.com/profile.php?id=100012926197311" TargetMode="External"/><Relationship Id="rId1870" Type="http://schemas.openxmlformats.org/officeDocument/2006/relationships/hyperlink" Target="https://www.facebook.com/profile.php?id=100070663873801" TargetMode="External"/><Relationship Id="rId2507" Type="http://schemas.openxmlformats.org/officeDocument/2006/relationships/hyperlink" Target="https://www.facebook.com/profile.php?id=100073300362753&amp;mibextid=LQQJ4d" TargetMode="External"/><Relationship Id="rId2921" Type="http://schemas.openxmlformats.org/officeDocument/2006/relationships/hyperlink" Target="https://www.facebook.com/thanh2104207?mibextid=2JQ9oc" TargetMode="External"/><Relationship Id="rId7085" Type="http://schemas.openxmlformats.org/officeDocument/2006/relationships/hyperlink" Target="https://www.facebook.com/quan.quann.7106" TargetMode="External"/><Relationship Id="rId8136" Type="http://schemas.openxmlformats.org/officeDocument/2006/relationships/hyperlink" Target="https://www.facebook.com/share/1JaMEjbhVd/?mibextid=LQQJ4d" TargetMode="External"/><Relationship Id="rId9534" Type="http://schemas.openxmlformats.org/officeDocument/2006/relationships/hyperlink" Target="https://www.facebook.com/100071478500763/" TargetMode="External"/><Relationship Id="rId1523" Type="http://schemas.openxmlformats.org/officeDocument/2006/relationships/hyperlink" Target="https://drive.google.com/open?id=1wYcICh2L7VSZVup3GY3PjvWvxYb5Fjdh" TargetMode="External"/><Relationship Id="rId4679" Type="http://schemas.openxmlformats.org/officeDocument/2006/relationships/hyperlink" Target="https://www.facebook.com/profile.php?id=100054580623119" TargetMode="External"/><Relationship Id="rId8550" Type="http://schemas.openxmlformats.org/officeDocument/2006/relationships/hyperlink" Target="https://www.facebook.com/profile.php?id=100070534600835&amp;mibextid=LQQJ4d" TargetMode="External"/><Relationship Id="rId3695" Type="http://schemas.openxmlformats.org/officeDocument/2006/relationships/hyperlink" Target="https://www.facebook.com/profile.php?id=100032486327563" TargetMode="External"/><Relationship Id="rId4746" Type="http://schemas.openxmlformats.org/officeDocument/2006/relationships/hyperlink" Target="https://www.facebook.com/bevdly.2107?mibextid=ZbWKwL" TargetMode="External"/><Relationship Id="rId7152" Type="http://schemas.openxmlformats.org/officeDocument/2006/relationships/hyperlink" Target="https://www.facebook.com/huong.rubi.7547031" TargetMode="External"/><Relationship Id="rId8203" Type="http://schemas.openxmlformats.org/officeDocument/2006/relationships/hyperlink" Target="https://drive.google.com/open?id=11DvnvXsnK4LBTnY0d9RaIAAQg7xQt4K5" TargetMode="External"/><Relationship Id="rId2297" Type="http://schemas.openxmlformats.org/officeDocument/2006/relationships/hyperlink" Target="https://www.facebook.com/profile.php?id=100054677354890" TargetMode="External"/><Relationship Id="rId3348" Type="http://schemas.openxmlformats.org/officeDocument/2006/relationships/hyperlink" Target="https://www.facebook.com/profile.php?id=100081252877427" TargetMode="External"/><Relationship Id="rId3762" Type="http://schemas.openxmlformats.org/officeDocument/2006/relationships/hyperlink" Target="https://www.facebook.com/profile.php?id=100022124713905&amp;mibextid=JRoKGi" TargetMode="External"/><Relationship Id="rId4813" Type="http://schemas.openxmlformats.org/officeDocument/2006/relationships/hyperlink" Target="https://www.facebook.com/profile.php?id=100048324272670&amp;mibextid=LQQJ4d" TargetMode="External"/><Relationship Id="rId7969" Type="http://schemas.openxmlformats.org/officeDocument/2006/relationships/hyperlink" Target="https://www.facebook.com/phamss.oanh.7?mibextid=LQQJ4d" TargetMode="External"/><Relationship Id="rId269" Type="http://schemas.openxmlformats.org/officeDocument/2006/relationships/hyperlink" Target="https://drive.google.com/open?id=1NyzpMyypMzMiVVdWn6CZqcbcmd935tAJ" TargetMode="External"/><Relationship Id="rId683" Type="http://schemas.openxmlformats.org/officeDocument/2006/relationships/hyperlink" Target="https://drive.google.com/open?id=1rwUqUs_Uzyqt51Skv0itinwd9lZ1Bpgr" TargetMode="External"/><Relationship Id="rId2364" Type="http://schemas.openxmlformats.org/officeDocument/2006/relationships/hyperlink" Target="https://drive.google.com/open?id=1AYZLI5oYIO4557QI96UuGr3PH3fbdZF8" TargetMode="External"/><Relationship Id="rId3415" Type="http://schemas.openxmlformats.org/officeDocument/2006/relationships/hyperlink" Target="https://drive.google.com/open?id=1NJ_tyXDgIHH032Ap9jzD2fJAkEBIH0y3" TargetMode="External"/><Relationship Id="rId9391" Type="http://schemas.openxmlformats.org/officeDocument/2006/relationships/hyperlink" Target="https://www.facebook.com/trung.trannhat.944?mibextid=LQQJ4d" TargetMode="External"/><Relationship Id="rId336" Type="http://schemas.openxmlformats.org/officeDocument/2006/relationships/hyperlink" Target="https://www.facebook.com/profile.php?id=100053388811628&amp;mibextid=LQQJ4d" TargetMode="External"/><Relationship Id="rId1380" Type="http://schemas.openxmlformats.org/officeDocument/2006/relationships/hyperlink" Target="https://www.facebook.com/profile.php?id=100029946350055&amp;mibextid=LQQJ4d" TargetMode="External"/><Relationship Id="rId2017" Type="http://schemas.openxmlformats.org/officeDocument/2006/relationships/hyperlink" Target="https://www.facebook.com/phanduyhihi?mibextid=ZbWKwL" TargetMode="External"/><Relationship Id="rId5587" Type="http://schemas.openxmlformats.org/officeDocument/2006/relationships/hyperlink" Target="https://www.facebook.com/vanluon.duong.777?mibextid=LQQJ4d" TargetMode="External"/><Relationship Id="rId6985" Type="http://schemas.openxmlformats.org/officeDocument/2006/relationships/hyperlink" Target="https://www.facebook.com/profile.php?id=100022234133203&amp;mibextid=ZbWKwL" TargetMode="External"/><Relationship Id="rId9044" Type="http://schemas.openxmlformats.org/officeDocument/2006/relationships/hyperlink" Target="https://www.facebook.com/hong.nt.92505" TargetMode="External"/><Relationship Id="rId403" Type="http://schemas.openxmlformats.org/officeDocument/2006/relationships/hyperlink" Target="https://drive.google.com/open?id=1lxmoh18_P3V9zvQaseQKLjVdm3J3dae-" TargetMode="External"/><Relationship Id="rId750" Type="http://schemas.openxmlformats.org/officeDocument/2006/relationships/hyperlink" Target="https://www.facebook.com/hao.ki.39395" TargetMode="External"/><Relationship Id="rId1033" Type="http://schemas.openxmlformats.org/officeDocument/2006/relationships/hyperlink" Target="https://drive.google.com/open?id=1oFE6DPp2WDfjT5iSVH2Nwsljli68fSQt" TargetMode="External"/><Relationship Id="rId2431" Type="http://schemas.openxmlformats.org/officeDocument/2006/relationships/hyperlink" Target="https://www.facebook.com/dtn0602" TargetMode="External"/><Relationship Id="rId4189" Type="http://schemas.openxmlformats.org/officeDocument/2006/relationships/hyperlink" Target="https://www.facebook.com/lam.oanh.524?mibextid=ZbWKwL" TargetMode="External"/><Relationship Id="rId6638" Type="http://schemas.openxmlformats.org/officeDocument/2006/relationships/hyperlink" Target="https://www.facebook.com/caucinh.cong.5?mibextid=LQQJ4d" TargetMode="External"/><Relationship Id="rId8060" Type="http://schemas.openxmlformats.org/officeDocument/2006/relationships/hyperlink" Target="https://drive.google.com/open?id=1Mw8sRBbT7_8GnMltyFNbFqwRcljIaL0G" TargetMode="External"/><Relationship Id="rId9111" Type="http://schemas.openxmlformats.org/officeDocument/2006/relationships/hyperlink" Target="https://www.facebook.com/profile.php?id=100064245103043&amp;mibextid=LQQJ4d" TargetMode="External"/><Relationship Id="rId5654" Type="http://schemas.openxmlformats.org/officeDocument/2006/relationships/hyperlink" Target="https://drive.google.com/open?id=1aes1PCFyCLY4qbTOnMFPyThRfWToxsuL" TargetMode="External"/><Relationship Id="rId6705" Type="http://schemas.openxmlformats.org/officeDocument/2006/relationships/hyperlink" Target="https://www.facebook.com/profile.php?id=100065159253377&amp;mibextid=LQQJ4d" TargetMode="External"/><Relationship Id="rId1100" Type="http://schemas.openxmlformats.org/officeDocument/2006/relationships/hyperlink" Target="https://www.facebook.com/longphaidau" TargetMode="External"/><Relationship Id="rId4256" Type="http://schemas.openxmlformats.org/officeDocument/2006/relationships/hyperlink" Target="https://www.facebook.com/quochinhhyhy.0202?mibextid=LQQJ4d" TargetMode="External"/><Relationship Id="rId4670" Type="http://schemas.openxmlformats.org/officeDocument/2006/relationships/hyperlink" Target="https://www.facebook.com/profile.php?id=100017807978827&amp;mibextid=LQQJ4d" TargetMode="External"/><Relationship Id="rId5307" Type="http://schemas.openxmlformats.org/officeDocument/2006/relationships/hyperlink" Target="https://www.facebook.com/profile.php?id=100083478494806&amp;mibextid=ZbWKwL" TargetMode="External"/><Relationship Id="rId5721" Type="http://schemas.openxmlformats.org/officeDocument/2006/relationships/hyperlink" Target="https://www.facebook.com/profile.php?id=100044745587792&amp;mibextid=LQQJ4d" TargetMode="External"/><Relationship Id="rId8877" Type="http://schemas.openxmlformats.org/officeDocument/2006/relationships/hyperlink" Target="https://drive.google.com/open?id=102EPu7yivdcXgOtOy96wlSL4s3JkuVqd" TargetMode="External"/><Relationship Id="rId1917" Type="http://schemas.openxmlformats.org/officeDocument/2006/relationships/hyperlink" Target="https://drive.google.com/open?id=1JN2gDBMcdXQd72gtf9VVORha6vwBBElC" TargetMode="External"/><Relationship Id="rId3272" Type="http://schemas.openxmlformats.org/officeDocument/2006/relationships/hyperlink" Target="https://www.facebook.com/hamie02?mibextid=dGKdO6&amp;paipv=0&amp;eav=Afbc8l1XjQn6QF1tUx8cg6xSNXoKSnCMUCxFHnkyOFny5Omwg-8pqWtzDChkHMEGiZE&amp;_rdr" TargetMode="External"/><Relationship Id="rId4323" Type="http://schemas.openxmlformats.org/officeDocument/2006/relationships/hyperlink" Target="https://www.facebook.com/profile.php?id=100071178555248&amp;mibextid=LQQJ4d" TargetMode="External"/><Relationship Id="rId7479" Type="http://schemas.openxmlformats.org/officeDocument/2006/relationships/hyperlink" Target="https://www.facebook.com/profile.php?id=100013726547863&amp;mibextid=LQQJ4d" TargetMode="External"/><Relationship Id="rId7893" Type="http://schemas.openxmlformats.org/officeDocument/2006/relationships/hyperlink" Target="https://www.facebook.com/profile.php?id=100067302000360&amp;mibextid=LQQJ4d" TargetMode="External"/><Relationship Id="rId8944" Type="http://schemas.openxmlformats.org/officeDocument/2006/relationships/hyperlink" Target="https://www.facebook.com/oanh.phuong.465947" TargetMode="External"/><Relationship Id="rId193" Type="http://schemas.openxmlformats.org/officeDocument/2006/relationships/hyperlink" Target="https://drive.google.com/open?id=13voZhb1hzcabIHbsbutbeOkgiDVY7xVC" TargetMode="External"/><Relationship Id="rId6495" Type="http://schemas.openxmlformats.org/officeDocument/2006/relationships/hyperlink" Target="https://drive.google.com/open?id=1bYbCy3r3xpr0TV4ApnrW_7JVftJ5XsOI" TargetMode="External"/><Relationship Id="rId7546" Type="http://schemas.openxmlformats.org/officeDocument/2006/relationships/hyperlink" Target="https://www.facebook.com/profile.php?id=100084276400662&amp;mibextid=ZbWKwL" TargetMode="External"/><Relationship Id="rId260" Type="http://schemas.openxmlformats.org/officeDocument/2006/relationships/hyperlink" Target="https://www.facebook.com/thanhong101?mibextid=LQQJ4d" TargetMode="External"/><Relationship Id="rId5097" Type="http://schemas.openxmlformats.org/officeDocument/2006/relationships/hyperlink" Target="https://drive.google.com/open?id=19CfOhyXBqnMM4pKSSe8EGUI-NmXLJBeV" TargetMode="External"/><Relationship Id="rId6148" Type="http://schemas.openxmlformats.org/officeDocument/2006/relationships/hyperlink" Target="https://www.facebook.com/profile.php?id=100024812469201" TargetMode="External"/><Relationship Id="rId7960" Type="http://schemas.openxmlformats.org/officeDocument/2006/relationships/hyperlink" Target="https://www.facebook.com/kienvutrann?mibextid=ZbWKwL" TargetMode="External"/><Relationship Id="rId5164" Type="http://schemas.openxmlformats.org/officeDocument/2006/relationships/hyperlink" Target="https://www.facebook.com/profile.php?id=100046113581455&amp;mibextid=ZbWKwL" TargetMode="External"/><Relationship Id="rId6215" Type="http://schemas.openxmlformats.org/officeDocument/2006/relationships/hyperlink" Target="https://www.facebook.com/vananh.phamthi.739978?mibextid=LQQJ4d" TargetMode="External"/><Relationship Id="rId6562" Type="http://schemas.openxmlformats.org/officeDocument/2006/relationships/hyperlink" Target="https://www.facebook.com/profile.php?id=100015220728009&amp;mibextid=LQQJ4d" TargetMode="External"/><Relationship Id="rId7613" Type="http://schemas.openxmlformats.org/officeDocument/2006/relationships/hyperlink" Target="https://www.facebook.com/tho.trinhhuu.3511?mibextid=ZbWKwL" TargetMode="External"/><Relationship Id="rId2758" Type="http://schemas.openxmlformats.org/officeDocument/2006/relationships/hyperlink" Target="https://www.facebook.com/linh.tranthi.5209000" TargetMode="External"/><Relationship Id="rId3809" Type="http://schemas.openxmlformats.org/officeDocument/2006/relationships/hyperlink" Target="https://www.facebook.com/profile.php?id=100051692146426" TargetMode="External"/><Relationship Id="rId1774" Type="http://schemas.openxmlformats.org/officeDocument/2006/relationships/hyperlink" Target="https://www.facebook.com/sonhai05dzai?mibextid=LQQJ4d" TargetMode="External"/><Relationship Id="rId2825" Type="http://schemas.openxmlformats.org/officeDocument/2006/relationships/hyperlink" Target="https://drive.google.com/open?id=1cqITzbvRBaWNxaHLMRHWMTKsGOFC2FcJ" TargetMode="External"/><Relationship Id="rId4180" Type="http://schemas.openxmlformats.org/officeDocument/2006/relationships/hyperlink" Target="https://www.facebook.com/profile.php?id=100078657773888&amp;mibextid=LQQJ4d" TargetMode="External"/><Relationship Id="rId5231" Type="http://schemas.openxmlformats.org/officeDocument/2006/relationships/hyperlink" Target="https://drive.google.com/open?id=1vFdMyjr24oWOIZi0bUVIHI2BUqKBM4Kc" TargetMode="External"/><Relationship Id="rId8387" Type="http://schemas.openxmlformats.org/officeDocument/2006/relationships/hyperlink" Target="https://drive.google.com/open?id=1YnzZizsUUs0o5ekjaT7PW5Ogpq7pOyNf" TargetMode="External"/><Relationship Id="rId9438" Type="http://schemas.openxmlformats.org/officeDocument/2006/relationships/hyperlink" Target="https://www.facebook.com/share/1ANKgBQP7z/?mibextid=wwXIfr" TargetMode="External"/><Relationship Id="rId66" Type="http://schemas.openxmlformats.org/officeDocument/2006/relationships/hyperlink" Target="https://www.facebook.com/stel03la" TargetMode="External"/><Relationship Id="rId1427" Type="http://schemas.openxmlformats.org/officeDocument/2006/relationships/hyperlink" Target="https://www.facebook.com/profile.php?id=100022222849444&amp;mibextid=LQQJ4d" TargetMode="External"/><Relationship Id="rId1841" Type="http://schemas.openxmlformats.org/officeDocument/2006/relationships/hyperlink" Target="https://www.facebook.com/profile.php?id=100008848980005&amp;mibextid=LQQJ4d" TargetMode="External"/><Relationship Id="rId4997" Type="http://schemas.openxmlformats.org/officeDocument/2006/relationships/hyperlink" Target="https://drive.google.com/open?id=1vsScdb6_VTQvDW-wUA78pzrxmIu4RinT" TargetMode="External"/><Relationship Id="rId8454" Type="http://schemas.openxmlformats.org/officeDocument/2006/relationships/hyperlink" Target="https://www.facebook.com/trngpm?mibextid=LQQJ4d" TargetMode="External"/><Relationship Id="rId9505" Type="http://schemas.openxmlformats.org/officeDocument/2006/relationships/hyperlink" Target="https://www.facebook.com/thanhngadang24" TargetMode="External"/><Relationship Id="rId3599" Type="http://schemas.openxmlformats.org/officeDocument/2006/relationships/hyperlink" Target="https://www.facebook.com/xuu.thuongg.3?mibextid=LQQJ4d" TargetMode="External"/><Relationship Id="rId7056" Type="http://schemas.openxmlformats.org/officeDocument/2006/relationships/hyperlink" Target="https://www.facebook.com/may.lythi.5099?mibextid=LQQJ4d" TargetMode="External"/><Relationship Id="rId7470" Type="http://schemas.openxmlformats.org/officeDocument/2006/relationships/hyperlink" Target="https://www.facebook.com/profile.php?id=100041786445477&amp;mibextid=LQQJ4d" TargetMode="External"/><Relationship Id="rId8107" Type="http://schemas.openxmlformats.org/officeDocument/2006/relationships/hyperlink" Target="https://drive.google.com/open?id=1ubkvk7gDBIy5Pof5fYEbreTB7eXjn7hj" TargetMode="External"/><Relationship Id="rId8521" Type="http://schemas.openxmlformats.org/officeDocument/2006/relationships/hyperlink" Target="https://www.facebook.com/share/tAK8StqQ8EJBo5pq/?mibextid=LQQJ4d" TargetMode="External"/><Relationship Id="rId3666" Type="http://schemas.openxmlformats.org/officeDocument/2006/relationships/hyperlink" Target="https://www.facebook.com/profile.php?id=100056490060170&amp;mibextid=LQQJ4d" TargetMode="External"/><Relationship Id="rId6072" Type="http://schemas.openxmlformats.org/officeDocument/2006/relationships/hyperlink" Target="https://www.facebook.com/thuvan1876?mibextid=LQQJ4d" TargetMode="External"/><Relationship Id="rId7123" Type="http://schemas.openxmlformats.org/officeDocument/2006/relationships/hyperlink" Target="https://www.facebook.com/profile.php?id=100086750164031" TargetMode="External"/><Relationship Id="rId587" Type="http://schemas.openxmlformats.org/officeDocument/2006/relationships/hyperlink" Target="https://www.facebook.com/profile.php?id=100081196431258&amp;mibextid=LQQJ4d" TargetMode="External"/><Relationship Id="rId2268" Type="http://schemas.openxmlformats.org/officeDocument/2006/relationships/hyperlink" Target="https://www.facebook.com/profile.php?id=100074317250535&amp;mibextid=ZbWKwL" TargetMode="External"/><Relationship Id="rId3319" Type="http://schemas.openxmlformats.org/officeDocument/2006/relationships/hyperlink" Target="https://www.facebook.com/profile.php?id=100017344118210&amp;mibextid=zLoPMf" TargetMode="External"/><Relationship Id="rId4717" Type="http://schemas.openxmlformats.org/officeDocument/2006/relationships/hyperlink" Target="https://www.facebook.com/profile.php?id=100064334715846" TargetMode="External"/><Relationship Id="rId9295" Type="http://schemas.openxmlformats.org/officeDocument/2006/relationships/hyperlink" Target="https://web.facebook.com/duong.hoangthuy.06" TargetMode="External"/><Relationship Id="rId2682" Type="http://schemas.openxmlformats.org/officeDocument/2006/relationships/hyperlink" Target="https://www.facebook.com/luuly.le.12327608?mibextid=LQQJ4d" TargetMode="External"/><Relationship Id="rId3733" Type="http://schemas.openxmlformats.org/officeDocument/2006/relationships/hyperlink" Target="https://www.facebook.com/profile.php?id=100073001694750&amp;mibextid=ZbWKwL" TargetMode="External"/><Relationship Id="rId6889" Type="http://schemas.openxmlformats.org/officeDocument/2006/relationships/hyperlink" Target="https://www.facebook.com/profile.php?id=100051603641806" TargetMode="External"/><Relationship Id="rId654" Type="http://schemas.openxmlformats.org/officeDocument/2006/relationships/hyperlink" Target="https://www.facebook.com/Nguyenmanhcuong204" TargetMode="External"/><Relationship Id="rId1284" Type="http://schemas.openxmlformats.org/officeDocument/2006/relationships/hyperlink" Target="https://www.facebook.com/profile.php?id=100083540146965&amp;mibextid=9R9pXO" TargetMode="External"/><Relationship Id="rId2335" Type="http://schemas.openxmlformats.org/officeDocument/2006/relationships/hyperlink" Target="https://web.facebook.com/profile.php?id=100079227851276" TargetMode="External"/><Relationship Id="rId3800" Type="http://schemas.openxmlformats.org/officeDocument/2006/relationships/hyperlink" Target="https://www.facebook.com/profile.php?id=100018629419886&amp;mibextid=LQQJ4d" TargetMode="External"/><Relationship Id="rId6956" Type="http://schemas.openxmlformats.org/officeDocument/2006/relationships/hyperlink" Target="https://www.facebook.com/ngockien.trinh.188?mibextid=LQQJ4d" TargetMode="External"/><Relationship Id="rId9362" Type="http://schemas.openxmlformats.org/officeDocument/2006/relationships/hyperlink" Target="https://www.facebook.com/share/14yNQG8eAx/?mibextid=wwXIfr" TargetMode="External"/><Relationship Id="rId307" Type="http://schemas.openxmlformats.org/officeDocument/2006/relationships/hyperlink" Target="https://www.facebook.com/profile.php?id=100090443478263&amp;mibextid=ZbWKwL" TargetMode="External"/><Relationship Id="rId721" Type="http://schemas.openxmlformats.org/officeDocument/2006/relationships/hyperlink" Target="https://www.facebook.com/profile.php?id=100048078816710&amp;mibextid=LQQJ4d" TargetMode="External"/><Relationship Id="rId1351" Type="http://schemas.openxmlformats.org/officeDocument/2006/relationships/hyperlink" Target="https://drive.google.com/open?id=1jbyXeESqz49rpUQw2vmix9mJG0jCzSk7" TargetMode="External"/><Relationship Id="rId2402" Type="http://schemas.openxmlformats.org/officeDocument/2006/relationships/hyperlink" Target="https://drive.google.com/open?id=1PYjmCZ3JbXUvacUEhsItrM9YKvvtybfH" TargetMode="External"/><Relationship Id="rId5558" Type="http://schemas.openxmlformats.org/officeDocument/2006/relationships/hyperlink" Target="https://www.facebook.com/penowtifxelpec" TargetMode="External"/><Relationship Id="rId5972" Type="http://schemas.openxmlformats.org/officeDocument/2006/relationships/hyperlink" Target="https://www.facebook.com/huuquyen.le.77?mibextid=LQQJ4d" TargetMode="External"/><Relationship Id="rId6609" Type="http://schemas.openxmlformats.org/officeDocument/2006/relationships/hyperlink" Target="https://www.facebook.com/profile.php?id=100060411934732&amp;mibextid=LQQJ4d" TargetMode="External"/><Relationship Id="rId9015" Type="http://schemas.openxmlformats.org/officeDocument/2006/relationships/hyperlink" Target="https://www.facebook.com/profile.php?id=100024137994086" TargetMode="External"/><Relationship Id="rId1004" Type="http://schemas.openxmlformats.org/officeDocument/2006/relationships/hyperlink" Target="https://www.facebook.com/profile.php?id=100039188224407&amp;mibextid=LQQJ4d" TargetMode="External"/><Relationship Id="rId4574" Type="http://schemas.openxmlformats.org/officeDocument/2006/relationships/hyperlink" Target="https://www.facebook.com/linh.bibi.54922" TargetMode="External"/><Relationship Id="rId5625" Type="http://schemas.openxmlformats.org/officeDocument/2006/relationships/hyperlink" Target="https://www.facebook.com/303hmy?mibextid=LQQJ4d" TargetMode="External"/><Relationship Id="rId8031" Type="http://schemas.openxmlformats.org/officeDocument/2006/relationships/hyperlink" Target="https://www.facebook.com/htu.chanie?mibextid=LQQJ4d" TargetMode="External"/><Relationship Id="rId3176" Type="http://schemas.openxmlformats.org/officeDocument/2006/relationships/hyperlink" Target="https://www.facebook.com/xuan.bac.50999" TargetMode="External"/><Relationship Id="rId3590" Type="http://schemas.openxmlformats.org/officeDocument/2006/relationships/hyperlink" Target="https://www.facebook.com/Bichtae3012" TargetMode="External"/><Relationship Id="rId4227" Type="http://schemas.openxmlformats.org/officeDocument/2006/relationships/hyperlink" Target="https://www.facebook.com/profile.php?id=100071178555248&amp;mibextid=LQQJ4d" TargetMode="External"/><Relationship Id="rId7797" Type="http://schemas.openxmlformats.org/officeDocument/2006/relationships/hyperlink" Target="https://www.facebook.com/nguyen.tuan.huy.166370/" TargetMode="External"/><Relationship Id="rId2192" Type="http://schemas.openxmlformats.org/officeDocument/2006/relationships/hyperlink" Target="https://www.facebook.com/profile.php?id=100035819032904&amp;mibextid=ZbWKwL" TargetMode="External"/><Relationship Id="rId3243" Type="http://schemas.openxmlformats.org/officeDocument/2006/relationships/hyperlink" Target="https://www.facebook.com/mai.lyna.5203?mibextid=hu50Ix" TargetMode="External"/><Relationship Id="rId4641" Type="http://schemas.openxmlformats.org/officeDocument/2006/relationships/hyperlink" Target="https://www.facebook.com/linhnam.tran.568?mibextid=ZbWKwL" TargetMode="External"/><Relationship Id="rId6399" Type="http://schemas.openxmlformats.org/officeDocument/2006/relationships/hyperlink" Target="https://www.facebook.com/profile.php?id=100084446328096" TargetMode="External"/><Relationship Id="rId8848" Type="http://schemas.openxmlformats.org/officeDocument/2006/relationships/hyperlink" Target="https://www.facebook.com/thuthuy.nt.332" TargetMode="External"/><Relationship Id="rId164" Type="http://schemas.openxmlformats.org/officeDocument/2006/relationships/hyperlink" Target="https://www.facebook.com/profile.php?id=100090553308626" TargetMode="External"/><Relationship Id="rId7864" Type="http://schemas.openxmlformats.org/officeDocument/2006/relationships/hyperlink" Target="https://www.facebook.com/people/Ngoc-Anh-Le/pfbid0wsAhnUPaXWWZyrF2nww9SPtCYscrpFHqByHfTbpFczwnLBHN4ZtosEEzRR83dGQEl/" TargetMode="External"/><Relationship Id="rId8915" Type="http://schemas.openxmlformats.org/officeDocument/2006/relationships/hyperlink" Target="https://drive.google.com/open?id=1NzhGM9fM950q1wjUK3U52F8aqJG6HJbb" TargetMode="External"/><Relationship Id="rId3310" Type="http://schemas.openxmlformats.org/officeDocument/2006/relationships/hyperlink" Target="https://drive.google.com/open?id=1GsFRRWaSPq92-DmyR27QN3vlqklis__-" TargetMode="External"/><Relationship Id="rId5068" Type="http://schemas.openxmlformats.org/officeDocument/2006/relationships/hyperlink" Target="https://drive.google.com/open?id=1BfRM8X_LQZEjiZwcjxkNxRKFl-zvFQGC" TargetMode="External"/><Relationship Id="rId6466" Type="http://schemas.openxmlformats.org/officeDocument/2006/relationships/hyperlink" Target="https://www.facebook.com/profile.php?id=100038180711950&amp;locale=vi_VN" TargetMode="External"/><Relationship Id="rId6880" Type="http://schemas.openxmlformats.org/officeDocument/2006/relationships/hyperlink" Target="https://www.facebook.com/profile.php?id=100049715497713&amp;rdid=hXeRXPJFObanK4RL&amp;share_url=https%3A%2F%2Fwww.facebook.com%2Fshare%2FQ5JHnCLSKbdywZfp%2F" TargetMode="External"/><Relationship Id="rId7517" Type="http://schemas.openxmlformats.org/officeDocument/2006/relationships/hyperlink" Target="https://www.facebook.com/tangvan.hao.9865?mibextid=LQQJ4d" TargetMode="External"/><Relationship Id="rId7931" Type="http://schemas.openxmlformats.org/officeDocument/2006/relationships/hyperlink" Target="https://www.facebook.com/profile.php?id=100071986992255" TargetMode="External"/><Relationship Id="rId231" Type="http://schemas.openxmlformats.org/officeDocument/2006/relationships/hyperlink" Target="https://www.facebook.com/profile.php?id=100013788977735" TargetMode="External"/><Relationship Id="rId5482" Type="http://schemas.openxmlformats.org/officeDocument/2006/relationships/hyperlink" Target="https://www.facebook.com/profile.php?id=100043678471186" TargetMode="External"/><Relationship Id="rId6119" Type="http://schemas.openxmlformats.org/officeDocument/2006/relationships/hyperlink" Target="https://drive.google.com/open?id=1gqzu7NKTJ0su5BmwIn5iEJDVVLouqfKR" TargetMode="External"/><Relationship Id="rId6533" Type="http://schemas.openxmlformats.org/officeDocument/2006/relationships/hyperlink" Target="https://drive.google.com/open?id=1ZVjqM63FeXvElFbSKZkij7TjeyNZIUFV" TargetMode="External"/><Relationship Id="rId1678" Type="http://schemas.openxmlformats.org/officeDocument/2006/relationships/hyperlink" Target="https://www.facebook.com/profile.php?id=100078719882796" TargetMode="External"/><Relationship Id="rId2729" Type="http://schemas.openxmlformats.org/officeDocument/2006/relationships/hyperlink" Target="https://drive.google.com/open?id=1czF3F0JIvDWYymy8iZ1EYmTQTkSoLeVJ" TargetMode="External"/><Relationship Id="rId4084" Type="http://schemas.openxmlformats.org/officeDocument/2006/relationships/hyperlink" Target="https://www.facebook.com/profile.php?id=100071978934465&amp;mibextid=LQQJ4d" TargetMode="External"/><Relationship Id="rId5135" Type="http://schemas.openxmlformats.org/officeDocument/2006/relationships/hyperlink" Target="https://www.facebook.com/hip.vu.1865?mibextid=LQQJ4d" TargetMode="External"/><Relationship Id="rId6600" Type="http://schemas.openxmlformats.org/officeDocument/2006/relationships/hyperlink" Target="https://www.facebook.com/profile.php?id=100086150673578" TargetMode="External"/><Relationship Id="rId4151" Type="http://schemas.openxmlformats.org/officeDocument/2006/relationships/hyperlink" Target="https://www.facebook.com/profile.php?id=100011360961349&amp;mibextid=kFxxJD" TargetMode="External"/><Relationship Id="rId5202" Type="http://schemas.openxmlformats.org/officeDocument/2006/relationships/hyperlink" Target="https://www.facebook.com/profile.php?id=100048299379606&amp;mibextid=LQQJ4d" TargetMode="External"/><Relationship Id="rId8358" Type="http://schemas.openxmlformats.org/officeDocument/2006/relationships/hyperlink" Target="https://drive.google.com/open?id=1AAOqFMr5KjRcqp71FfrOqLHHlAg7ckCd" TargetMode="External"/><Relationship Id="rId9409" Type="http://schemas.openxmlformats.org/officeDocument/2006/relationships/hyperlink" Target="https://www.facebook.com/profile.php?id=100075990271785&amp;mibextid=LQQJ4d" TargetMode="External"/><Relationship Id="rId1745" Type="http://schemas.openxmlformats.org/officeDocument/2006/relationships/hyperlink" Target="https://www.facebook.com/profile.php?id=61551697815631&amp;mibextid=LQQJ4d" TargetMode="External"/><Relationship Id="rId7374" Type="http://schemas.openxmlformats.org/officeDocument/2006/relationships/hyperlink" Target="https://drive.google.com/open?id=1aMV_srdC6GDE3MQAYFxR9QNcg0qi9GLI" TargetMode="External"/><Relationship Id="rId8425" Type="http://schemas.openxmlformats.org/officeDocument/2006/relationships/hyperlink" Target="https://www.facebook.com/profile.php?id=100063520550582&amp;mibextid=LQQJ4d" TargetMode="External"/><Relationship Id="rId8772" Type="http://schemas.openxmlformats.org/officeDocument/2006/relationships/hyperlink" Target="https://www.facebook.com/profile.php?id=100078684349712&amp;mibextid=LQQJ4d" TargetMode="External"/><Relationship Id="rId37" Type="http://schemas.openxmlformats.org/officeDocument/2006/relationships/hyperlink" Target="https://drive.google.com/open?id=1BxIKJDXkjZtB_hh-eZc77IirlkYrYGv9" TargetMode="External"/><Relationship Id="rId1812" Type="http://schemas.openxmlformats.org/officeDocument/2006/relationships/hyperlink" Target="https://drive.google.com/open?id=1Y3sQ8KY95r8PCxgxeRnlhbbou4RJ_t17" TargetMode="External"/><Relationship Id="rId4968" Type="http://schemas.openxmlformats.org/officeDocument/2006/relationships/hyperlink" Target="https://drive.google.com/open?id=1Dwj60sAyUKYIoyXs_Hr73nRLkIKrUghU" TargetMode="External"/><Relationship Id="rId7027" Type="http://schemas.openxmlformats.org/officeDocument/2006/relationships/hyperlink" Target="https://www.facebook.com/trngpm?mibextid=LQQJ4d" TargetMode="External"/><Relationship Id="rId3984" Type="http://schemas.openxmlformats.org/officeDocument/2006/relationships/hyperlink" Target="https://www.facebook.com/chung.ta.da.quen.nhau?mibextid=ZbWKwL" TargetMode="External"/><Relationship Id="rId6390" Type="http://schemas.openxmlformats.org/officeDocument/2006/relationships/hyperlink" Target="https://drive.google.com/open?id=1iK75XpjtKnEdDJzPpnimC2JHWNlfn4Xl" TargetMode="External"/><Relationship Id="rId7441" Type="http://schemas.openxmlformats.org/officeDocument/2006/relationships/hyperlink" Target="https://www.facebook.com/profile.php?id=100043481324600&amp;mibextid=LQQJ4d" TargetMode="External"/><Relationship Id="rId9199" Type="http://schemas.openxmlformats.org/officeDocument/2006/relationships/hyperlink" Target="https://www.facebook.com/kozoumaru?mibextid=LQQJ4d" TargetMode="External"/><Relationship Id="rId2586" Type="http://schemas.openxmlformats.org/officeDocument/2006/relationships/hyperlink" Target="https://www.facebook.com/profile.php?id=100040869501071&amp;mibextid=LQQJ4d" TargetMode="External"/><Relationship Id="rId3637" Type="http://schemas.openxmlformats.org/officeDocument/2006/relationships/hyperlink" Target="https://www.facebook.com/minhhangg84?mibextid=LQQJ4d" TargetMode="External"/><Relationship Id="rId6043" Type="http://schemas.openxmlformats.org/officeDocument/2006/relationships/hyperlink" Target="https://www.facebook.com/profile.php?id=100031961559669&amp;mibextid=LQQJ4d" TargetMode="External"/><Relationship Id="rId558" Type="http://schemas.openxmlformats.org/officeDocument/2006/relationships/hyperlink" Target="https://www.facebook.com/a.thu344" TargetMode="External"/><Relationship Id="rId972" Type="http://schemas.openxmlformats.org/officeDocument/2006/relationships/hyperlink" Target="https://drive.google.com/open?id=1M3iSnCbH8tDiHa9Ny10EWS6-O4o9D5Lq" TargetMode="External"/><Relationship Id="rId1188" Type="http://schemas.openxmlformats.org/officeDocument/2006/relationships/hyperlink" Target="https://www.facebook.com/profile.php?id=100039610624819&amp;mibextid=ZbWKwL" TargetMode="External"/><Relationship Id="rId2239" Type="http://schemas.openxmlformats.org/officeDocument/2006/relationships/hyperlink" Target="https://www.facebook.com/profile.php?id=100054602395138&amp;mibextid=LQQJ4d" TargetMode="External"/><Relationship Id="rId2653" Type="http://schemas.openxmlformats.org/officeDocument/2006/relationships/hyperlink" Target="https://drive.google.com/open?id=1OkNXHbPm5LJ--z5O9AbNlXj8MPNbeYE9" TargetMode="External"/><Relationship Id="rId3704" Type="http://schemas.openxmlformats.org/officeDocument/2006/relationships/hyperlink" Target="https://www.facebook.com/profile.php?id=100055195807282" TargetMode="External"/><Relationship Id="rId6110" Type="http://schemas.openxmlformats.org/officeDocument/2006/relationships/hyperlink" Target="https://www.facebook.com/profile.php?id=100053489927589&amp;mibextid=LQQJ4d" TargetMode="External"/><Relationship Id="rId9266" Type="http://schemas.openxmlformats.org/officeDocument/2006/relationships/hyperlink" Target="https://www.facebook.com/profile.php?id=100037560360996" TargetMode="External"/><Relationship Id="rId625" Type="http://schemas.openxmlformats.org/officeDocument/2006/relationships/hyperlink" Target="https://www.facebook.com/profile.php?id=100047994105350" TargetMode="External"/><Relationship Id="rId1255" Type="http://schemas.openxmlformats.org/officeDocument/2006/relationships/hyperlink" Target="https://drive.google.com/open?id=1nBOXq5iQAqVKW1WApS5S4NBaA9HnoBbL" TargetMode="External"/><Relationship Id="rId2306" Type="http://schemas.openxmlformats.org/officeDocument/2006/relationships/hyperlink" Target="https://drive.google.com/open?id=1QNhBmqLb_yP0l791mrCZeum1G0eKVqOn" TargetMode="External"/><Relationship Id="rId5876" Type="http://schemas.openxmlformats.org/officeDocument/2006/relationships/hyperlink" Target="https://www.facebook.com/minh.anhs.12720?mibextid=LQQJ4d" TargetMode="External"/><Relationship Id="rId8282" Type="http://schemas.openxmlformats.org/officeDocument/2006/relationships/hyperlink" Target="https://www.facebook.com/tran.linh.226269" TargetMode="External"/><Relationship Id="rId9333" Type="http://schemas.openxmlformats.org/officeDocument/2006/relationships/hyperlink" Target="https://www.facebook.com/profile.php?id=100064734206219" TargetMode="External"/><Relationship Id="rId1322" Type="http://schemas.openxmlformats.org/officeDocument/2006/relationships/hyperlink" Target="https://drive.google.com/open?id=1B2eZXfucS84x0fC7ugAfHLqvX6BdcUyg" TargetMode="External"/><Relationship Id="rId2720" Type="http://schemas.openxmlformats.org/officeDocument/2006/relationships/hyperlink" Target="https://www.facebook.com/nt.ngan.7311?mibextid=LQQJ4d" TargetMode="External"/><Relationship Id="rId4478" Type="http://schemas.openxmlformats.org/officeDocument/2006/relationships/hyperlink" Target="https://drive.google.com/open?id=1vLZSVoxe5E5X9cacrsmk1plFjKWtHTEQ" TargetMode="External"/><Relationship Id="rId5529" Type="http://schemas.openxmlformats.org/officeDocument/2006/relationships/hyperlink" Target="https://drive.google.com/open?id=1JN2gDBMcdXQd72gtf9VVORha6vwBBElC" TargetMode="External"/><Relationship Id="rId6927" Type="http://schemas.openxmlformats.org/officeDocument/2006/relationships/hyperlink" Target="https://www.facebook.com/DuongNguyen754570810000?mibextid=LQQJ4d" TargetMode="External"/><Relationship Id="rId9400" Type="http://schemas.openxmlformats.org/officeDocument/2006/relationships/hyperlink" Target="https://www.facebook.com/people/Lan-Anh/pfbid0VGMvgyHXgnEx1jnjUS859ehBAccA9W2tJBy7fxXT4NJPLKeoqMqjr83PFhijvff9l/" TargetMode="External"/><Relationship Id="rId4892" Type="http://schemas.openxmlformats.org/officeDocument/2006/relationships/hyperlink" Target="https://www.facebook.com/vuong.hoangngan.79?mibextid=LQQJ4d" TargetMode="External"/><Relationship Id="rId5943" Type="http://schemas.openxmlformats.org/officeDocument/2006/relationships/hyperlink" Target="https://www.facebook.com/profile.php?id=100033093603556&amp;mibextid=LQQJ4d" TargetMode="External"/><Relationship Id="rId8002" Type="http://schemas.openxmlformats.org/officeDocument/2006/relationships/hyperlink" Target="https://www.facebook.com/haianh.cutexiu" TargetMode="External"/><Relationship Id="rId2096" Type="http://schemas.openxmlformats.org/officeDocument/2006/relationships/hyperlink" Target="https://www.facebook.com/profile.php?id=100028728332274&amp;mibextid=LQQJ4d" TargetMode="External"/><Relationship Id="rId3494" Type="http://schemas.openxmlformats.org/officeDocument/2006/relationships/hyperlink" Target="https://drive.google.com/open?id=1-EZAvJU3KxoHA1fQYyBmVReTUBR90_AM" TargetMode="External"/><Relationship Id="rId4545" Type="http://schemas.openxmlformats.org/officeDocument/2006/relationships/hyperlink" Target="https://www.facebook.com/profile.php?id=100083726784472&amp;mibextid=ZbWKwL" TargetMode="External"/><Relationship Id="rId3147" Type="http://schemas.openxmlformats.org/officeDocument/2006/relationships/hyperlink" Target="https://www.facebook.com/nguyen.yenyen.20.7" TargetMode="External"/><Relationship Id="rId3561" Type="http://schemas.openxmlformats.org/officeDocument/2006/relationships/hyperlink" Target="https://www.facebook.com/thanhh.tam.148?mibextid=LQQJ4d" TargetMode="External"/><Relationship Id="rId4612" Type="http://schemas.openxmlformats.org/officeDocument/2006/relationships/hyperlink" Target="https://drive.google.com/open?id=1IiiOK0CKJSrMVNCQP-qa-yt-XWaTQfat" TargetMode="External"/><Relationship Id="rId7768" Type="http://schemas.openxmlformats.org/officeDocument/2006/relationships/hyperlink" Target="https://drive.google.com/open?id=11R5MePZsyewmA336LTs4RlacC7TF2fxD" TargetMode="External"/><Relationship Id="rId8819" Type="http://schemas.openxmlformats.org/officeDocument/2006/relationships/hyperlink" Target="https://drive.google.com/open?id=1gsya1j6wF8QRdfVvSKKwjHcBPv0IY0Jt" TargetMode="External"/><Relationship Id="rId482" Type="http://schemas.openxmlformats.org/officeDocument/2006/relationships/hyperlink" Target="https://drive.google.com/open?id=12OUC-7PaQ5oVDE54Pe1BLws43VLdKjxV" TargetMode="External"/><Relationship Id="rId2163" Type="http://schemas.openxmlformats.org/officeDocument/2006/relationships/hyperlink" Target="https://www.facebook.com/phuong.xus.180" TargetMode="External"/><Relationship Id="rId3214" Type="http://schemas.openxmlformats.org/officeDocument/2006/relationships/hyperlink" Target="https://www.facebook.com/Hieuanh060817" TargetMode="External"/><Relationship Id="rId6784" Type="http://schemas.openxmlformats.org/officeDocument/2006/relationships/hyperlink" Target="https://www.facebook.com/profile.php?id=61559013475279&amp;mibextid=ZbWKwL" TargetMode="External"/><Relationship Id="rId7835" Type="http://schemas.openxmlformats.org/officeDocument/2006/relationships/hyperlink" Target="https://www.facebook.com/ha.at.293214" TargetMode="External"/><Relationship Id="rId9190" Type="http://schemas.openxmlformats.org/officeDocument/2006/relationships/hyperlink" Target="https://drive.google.com/open?id=13YrVaDqDW4CvYyalAniAYOyghCtjGR2i" TargetMode="External"/><Relationship Id="rId135" Type="http://schemas.openxmlformats.org/officeDocument/2006/relationships/hyperlink" Target="https://drive.google.com/open?id=1AiEsm2RYbuPoXxgbe8-gtrC3N_N3TEHN" TargetMode="External"/><Relationship Id="rId2230" Type="http://schemas.openxmlformats.org/officeDocument/2006/relationships/hyperlink" Target="https://www.facebook.com/lannh18?mibextid=LQQJ4d" TargetMode="External"/><Relationship Id="rId5386" Type="http://schemas.openxmlformats.org/officeDocument/2006/relationships/hyperlink" Target="https://www.facebook.com/phuongdungowi" TargetMode="External"/><Relationship Id="rId6437" Type="http://schemas.openxmlformats.org/officeDocument/2006/relationships/hyperlink" Target="https://www.facebook.com/dooz.thuyy?mibextid=LQQJ4d" TargetMode="External"/><Relationship Id="rId202" Type="http://schemas.openxmlformats.org/officeDocument/2006/relationships/hyperlink" Target="https://drive.google.com/open?id=1-qt1tZ3Li90oha-2sPZqREdRRnHvZcvP" TargetMode="External"/><Relationship Id="rId5039" Type="http://schemas.openxmlformats.org/officeDocument/2006/relationships/hyperlink" Target="https://drive.google.com/open?id=1QRRO4WkCkOvWITuY0EkJnIdHzQsNRyNz" TargetMode="External"/><Relationship Id="rId5453" Type="http://schemas.openxmlformats.org/officeDocument/2006/relationships/hyperlink" Target="https://www.facebook.com/profile.php?id=100070663873801" TargetMode="External"/><Relationship Id="rId6504" Type="http://schemas.openxmlformats.org/officeDocument/2006/relationships/hyperlink" Target="https://www.facebook.com/Cogaisiucutezadangiu?mibextid=ZbWKwL" TargetMode="External"/><Relationship Id="rId6851" Type="http://schemas.openxmlformats.org/officeDocument/2006/relationships/hyperlink" Target="https://www.facebook.com/pham.ngoc.anh240623" TargetMode="External"/><Relationship Id="rId7902" Type="http://schemas.openxmlformats.org/officeDocument/2006/relationships/hyperlink" Target="https://www.facebook.com/pham.kelvin.733" TargetMode="External"/><Relationship Id="rId1996" Type="http://schemas.openxmlformats.org/officeDocument/2006/relationships/hyperlink" Target="https://www.facebook.com/chang.phuong.984" TargetMode="External"/><Relationship Id="rId4055" Type="http://schemas.openxmlformats.org/officeDocument/2006/relationships/hyperlink" Target="https://drive.google.com/open?id=1sOk7eLuh9rM4gEPPvUCCVIHkzSdnVNCC" TargetMode="External"/><Relationship Id="rId5106" Type="http://schemas.openxmlformats.org/officeDocument/2006/relationships/hyperlink" Target="https://www.facebook.com/hai.vantrong.73?mibextid=ZbWKwL" TargetMode="External"/><Relationship Id="rId1649" Type="http://schemas.openxmlformats.org/officeDocument/2006/relationships/hyperlink" Target="https://www.facebook.com/leekymchee" TargetMode="External"/><Relationship Id="rId3071" Type="http://schemas.openxmlformats.org/officeDocument/2006/relationships/hyperlink" Target="https://www.facebook.com/profile.php?id=100038028320905&amp;mibextid=LQQJ4d" TargetMode="External"/><Relationship Id="rId5520" Type="http://schemas.openxmlformats.org/officeDocument/2006/relationships/hyperlink" Target="https://www.facebook.com/profile.php?id=100057485294762" TargetMode="External"/><Relationship Id="rId7278" Type="http://schemas.openxmlformats.org/officeDocument/2006/relationships/hyperlink" Target="https://www.facebook.com/profile.php?id=100069113527674" TargetMode="External"/><Relationship Id="rId8676" Type="http://schemas.openxmlformats.org/officeDocument/2006/relationships/hyperlink" Target="https://www.facebook.com/people/Thu-V%C3%A2nn/pfbid02oRSqm2MenpMSdihKpMKxYVRscnEzp672hnW8Uzo89Ab3xCihCM17ewnEuvyPDSdAl/" TargetMode="External"/><Relationship Id="rId1716" Type="http://schemas.openxmlformats.org/officeDocument/2006/relationships/hyperlink" Target="https://drive.google.com/open?id=1TUoC3ZmpbRhDmuXOoVoBSanl1sRZm6Qw" TargetMode="External"/><Relationship Id="rId4122" Type="http://schemas.openxmlformats.org/officeDocument/2006/relationships/hyperlink" Target="https://www.facebook.com/xuankhoa2905?mibextid=LQQJ4d" TargetMode="External"/><Relationship Id="rId7692" Type="http://schemas.openxmlformats.org/officeDocument/2006/relationships/hyperlink" Target="https://drive.google.com/open?id=1_egk-kJxBSU0S5gvWahow3aGfxMWKDC2" TargetMode="External"/><Relationship Id="rId8329" Type="http://schemas.openxmlformats.org/officeDocument/2006/relationships/hyperlink" Target="https://www.facebook.com/shins.bes.73" TargetMode="External"/><Relationship Id="rId8743" Type="http://schemas.openxmlformats.org/officeDocument/2006/relationships/hyperlink" Target="https://www.facebook.com/profile.php?id=100081108164028&amp;mibextid=ZbWKwL" TargetMode="External"/><Relationship Id="rId3888" Type="http://schemas.openxmlformats.org/officeDocument/2006/relationships/hyperlink" Target="https://www.facebook.com/profile.php?id=100050870228043" TargetMode="External"/><Relationship Id="rId4939" Type="http://schemas.openxmlformats.org/officeDocument/2006/relationships/hyperlink" Target="https://www.facebook.com/profile.php?id=100046999778013&amp;rdid=uWiAt2B6mVXm6A4x&amp;share_url=https%3A%2F%2Fwww.facebook.com%2Fshare%2FsHXTBE8oEAe9e1No%2F" TargetMode="External"/><Relationship Id="rId6294" Type="http://schemas.openxmlformats.org/officeDocument/2006/relationships/hyperlink" Target="https://www.facebook.com/profile.php?id=100041695456674" TargetMode="External"/><Relationship Id="rId7345" Type="http://schemas.openxmlformats.org/officeDocument/2006/relationships/hyperlink" Target="https://www.facebook.com/profile.php?id=61552602274665" TargetMode="External"/><Relationship Id="rId8810" Type="http://schemas.openxmlformats.org/officeDocument/2006/relationships/hyperlink" Target="https://www.facebook.com/100087514287247/" TargetMode="External"/><Relationship Id="rId6361" Type="http://schemas.openxmlformats.org/officeDocument/2006/relationships/hyperlink" Target="https://www.facebook.com/profile.php?id=100055633174795&amp;mibextid=LQQJ4d" TargetMode="External"/><Relationship Id="rId7412" Type="http://schemas.openxmlformats.org/officeDocument/2006/relationships/hyperlink" Target="https://www.facebook.com/profile.php?id=100046703358017" TargetMode="External"/><Relationship Id="rId876" Type="http://schemas.openxmlformats.org/officeDocument/2006/relationships/hyperlink" Target="https://drive.google.com/open?id=1E297dN8aerEEWpvjnPu7i67UNdorRzln" TargetMode="External"/><Relationship Id="rId2557" Type="http://schemas.openxmlformats.org/officeDocument/2006/relationships/hyperlink" Target="https://www.facebook.com/mat.mit.77398?mibextid=cejktS" TargetMode="External"/><Relationship Id="rId3608" Type="http://schemas.openxmlformats.org/officeDocument/2006/relationships/hyperlink" Target="https://drive.google.com/open?id=15-HxZOspGa2g5-6xoHV23OC54mkhYmUt" TargetMode="External"/><Relationship Id="rId3955" Type="http://schemas.openxmlformats.org/officeDocument/2006/relationships/hyperlink" Target="https://drive.google.com/open?id=1lMPdhciNP7DX0NkR4F1D-tOlnsnkWFyB" TargetMode="External"/><Relationship Id="rId6014" Type="http://schemas.openxmlformats.org/officeDocument/2006/relationships/hyperlink" Target="https://www.facebook.com/profile.php?id=100015243876824" TargetMode="External"/><Relationship Id="rId529" Type="http://schemas.openxmlformats.org/officeDocument/2006/relationships/hyperlink" Target="https://www.facebook.com/profile.php?id=100094427041607&amp;mibextid=LQQJ4d" TargetMode="External"/><Relationship Id="rId1159" Type="http://schemas.openxmlformats.org/officeDocument/2006/relationships/hyperlink" Target="https://www.facebook.com/tong.dung.547?mibextid=LQQJ4d" TargetMode="External"/><Relationship Id="rId2971" Type="http://schemas.openxmlformats.org/officeDocument/2006/relationships/hyperlink" Target="https://www.facebook.com/profile.php?id=100012785173295&amp;mibextid=LQQJ4d" TargetMode="External"/><Relationship Id="rId5030" Type="http://schemas.openxmlformats.org/officeDocument/2006/relationships/hyperlink" Target="https://www.facebook.com/profile.php?id=61564361962160" TargetMode="External"/><Relationship Id="rId8186" Type="http://schemas.openxmlformats.org/officeDocument/2006/relationships/hyperlink" Target="https://drive.google.com/open?id=1CTTUwjCxY4xnMglc84E-ArIS0rUMTpWP" TargetMode="External"/><Relationship Id="rId9237" Type="http://schemas.openxmlformats.org/officeDocument/2006/relationships/hyperlink" Target="https://www.facebook.com/profile.php?id=100033472095151" TargetMode="External"/><Relationship Id="rId943" Type="http://schemas.openxmlformats.org/officeDocument/2006/relationships/hyperlink" Target="https://www.facebook.com/profile.php?id=100054984843903" TargetMode="External"/><Relationship Id="rId1573" Type="http://schemas.openxmlformats.org/officeDocument/2006/relationships/hyperlink" Target="https://www.facebook.com/profile.php?id=100018629419886&amp;mibextid=LQQJ4d" TargetMode="External"/><Relationship Id="rId2624" Type="http://schemas.openxmlformats.org/officeDocument/2006/relationships/hyperlink" Target="https://drive.google.com/open?id=1_RRIzR_UUcDxsBvP-N0ND0oto2-IjFU4" TargetMode="External"/><Relationship Id="rId1226" Type="http://schemas.openxmlformats.org/officeDocument/2006/relationships/hyperlink" Target="https://www.facebook.com/profile.php?id=100024445582090" TargetMode="External"/><Relationship Id="rId1640" Type="http://schemas.openxmlformats.org/officeDocument/2006/relationships/hyperlink" Target="https://www.facebook.com/profile.php?id=100036076632805" TargetMode="External"/><Relationship Id="rId4796" Type="http://schemas.openxmlformats.org/officeDocument/2006/relationships/hyperlink" Target="https://drive.google.com/open?id=1Sth4yeRvgfIpp9JWjKQtl6Z_3NEkVY6D" TargetMode="External"/><Relationship Id="rId5847" Type="http://schemas.openxmlformats.org/officeDocument/2006/relationships/hyperlink" Target="https://www.facebook.com/profile.php?id=61551713493176&amp;mibextid=LQQJ4d" TargetMode="External"/><Relationship Id="rId8253" Type="http://schemas.openxmlformats.org/officeDocument/2006/relationships/hyperlink" Target="https://www.facebook.com/share/19sXMk5yVw/?mibextid=LQQJ4d" TargetMode="External"/><Relationship Id="rId9304" Type="http://schemas.openxmlformats.org/officeDocument/2006/relationships/hyperlink" Target="https://www.facebook.com/cuong.machiko?mibextid=LQQJ4d" TargetMode="External"/><Relationship Id="rId3398" Type="http://schemas.openxmlformats.org/officeDocument/2006/relationships/hyperlink" Target="https://drive.google.com/open?id=1M3iSnCbH8tDiHa9Ny10EWS6-O4o9D5Lq" TargetMode="External"/><Relationship Id="rId4449" Type="http://schemas.openxmlformats.org/officeDocument/2006/relationships/hyperlink" Target="https://www.facebook.com/profile.php?id=100049667761353&amp;mibextid=LQQJ4d" TargetMode="External"/><Relationship Id="rId4863" Type="http://schemas.openxmlformats.org/officeDocument/2006/relationships/hyperlink" Target="https://www.facebook.com/profile.php?id=100051055165545&amp;mibextid=LQQJ4d" TargetMode="External"/><Relationship Id="rId5914" Type="http://schemas.openxmlformats.org/officeDocument/2006/relationships/hyperlink" Target="https://www.facebook.com/anhanhtram.iny?mibextid=LQQJ4d" TargetMode="External"/><Relationship Id="rId8320" Type="http://schemas.openxmlformats.org/officeDocument/2006/relationships/hyperlink" Target="https://drive.google.com/open?id=1iVEGAabzHWUWuW0qbTG9DywOvkxcbwbG" TargetMode="External"/><Relationship Id="rId3465" Type="http://schemas.openxmlformats.org/officeDocument/2006/relationships/hyperlink" Target="https://www.facebook.com/100041937482319/" TargetMode="External"/><Relationship Id="rId4516" Type="http://schemas.openxmlformats.org/officeDocument/2006/relationships/hyperlink" Target="https://www.facebook.com/profile.php?id=100050049226034" TargetMode="External"/><Relationship Id="rId386" Type="http://schemas.openxmlformats.org/officeDocument/2006/relationships/hyperlink" Target="https://www.facebook.com/chuyen.nguyenthi.3975012" TargetMode="External"/><Relationship Id="rId2067" Type="http://schemas.openxmlformats.org/officeDocument/2006/relationships/hyperlink" Target="https://www.facebook.com/profile.php?id=100009069173989&amp;mibextid=ZbWKwL" TargetMode="External"/><Relationship Id="rId2481" Type="http://schemas.openxmlformats.org/officeDocument/2006/relationships/hyperlink" Target="https://www.facebook.com/profile.php?id=100075587312475" TargetMode="External"/><Relationship Id="rId3118" Type="http://schemas.openxmlformats.org/officeDocument/2006/relationships/hyperlink" Target="https://drive.google.com/open?id=1fuRKNk22LQ8HHiODMHmBpXI1DGV89oZJ" TargetMode="External"/><Relationship Id="rId3532" Type="http://schemas.openxmlformats.org/officeDocument/2006/relationships/hyperlink" Target="https://www.facebook.com/profile.php?id=100067619229825" TargetMode="External"/><Relationship Id="rId4930" Type="http://schemas.openxmlformats.org/officeDocument/2006/relationships/hyperlink" Target="https://www.facebook.com/profile.php?id=100033489904013&amp;mibextid=LQQJ4d" TargetMode="External"/><Relationship Id="rId6688" Type="http://schemas.openxmlformats.org/officeDocument/2006/relationships/hyperlink" Target="https://www.facebook.com/profile.php?id=100040960082985&amp;mibextid=ZbWKwL" TargetMode="External"/><Relationship Id="rId7739" Type="http://schemas.openxmlformats.org/officeDocument/2006/relationships/hyperlink" Target="https://www.facebook.com/tran.thien.thien.100618" TargetMode="External"/><Relationship Id="rId9094" Type="http://schemas.openxmlformats.org/officeDocument/2006/relationships/hyperlink" Target="https://www.facebook.com/profile.php?id=100059679503777&amp;mibextid=LQQJ4d" TargetMode="External"/><Relationship Id="rId453" Type="http://schemas.openxmlformats.org/officeDocument/2006/relationships/hyperlink" Target="https://drive.google.com/open?id=1PYjmCZ3JbXUvacUEhsItrM9YKvvtybfH" TargetMode="External"/><Relationship Id="rId1083" Type="http://schemas.openxmlformats.org/officeDocument/2006/relationships/hyperlink" Target="https://www.facebook.com/lna9825?mibextid=LQQJ4d" TargetMode="External"/><Relationship Id="rId2134" Type="http://schemas.openxmlformats.org/officeDocument/2006/relationships/hyperlink" Target="https://www.facebook.com/trananhvukm22.vn" TargetMode="External"/><Relationship Id="rId9161" Type="http://schemas.openxmlformats.org/officeDocument/2006/relationships/hyperlink" Target="https://www.facebook.com/profile.php?id=100055631994421&amp;mibextid=LQQJ4d" TargetMode="External"/><Relationship Id="rId106" Type="http://schemas.openxmlformats.org/officeDocument/2006/relationships/hyperlink" Target="https://www.facebook.com/dieulinh.mai.1004" TargetMode="External"/><Relationship Id="rId1150" Type="http://schemas.openxmlformats.org/officeDocument/2006/relationships/hyperlink" Target="https://www.facebook.com/nguyenthuyhau205" TargetMode="External"/><Relationship Id="rId5357" Type="http://schemas.openxmlformats.org/officeDocument/2006/relationships/hyperlink" Target="https://www.facebook.com/khang.nguyenthi.5667?mibextid=LQQJ4d" TargetMode="External"/><Relationship Id="rId6755" Type="http://schemas.openxmlformats.org/officeDocument/2006/relationships/hyperlink" Target="https://drive.google.com/open?id=1LDMkArLnIj_soFpzn70PQnGftE4jgg_A" TargetMode="External"/><Relationship Id="rId7806" Type="http://schemas.openxmlformats.org/officeDocument/2006/relationships/hyperlink" Target="https://www.facebook.com/tamthuy.nguyen.549" TargetMode="External"/><Relationship Id="rId520" Type="http://schemas.openxmlformats.org/officeDocument/2006/relationships/hyperlink" Target="https://drive.google.com/open?id=1ILPuy519N4uh08lccf3wIVn6a80M_Ymf" TargetMode="External"/><Relationship Id="rId2201" Type="http://schemas.openxmlformats.org/officeDocument/2006/relationships/hyperlink" Target="https://www.facebook.com/profile.php?id=100054852484773&amp;mibextid=LQQJ4d" TargetMode="External"/><Relationship Id="rId5771" Type="http://schemas.openxmlformats.org/officeDocument/2006/relationships/hyperlink" Target="https://drive.google.com/open?id=1KZr_vgPROtRZiQatwbuthWOPYMdNWBgA" TargetMode="External"/><Relationship Id="rId6408" Type="http://schemas.openxmlformats.org/officeDocument/2006/relationships/hyperlink" Target="https://drive.google.com/open?id=1xwYQ5WIh3R6OHlJau_1wu56pNryVG8Nv" TargetMode="External"/><Relationship Id="rId6822" Type="http://schemas.openxmlformats.org/officeDocument/2006/relationships/hyperlink" Target="https://www.facebook.com/profile.php?id=100076518772224&amp;mibextid=LQQJ4d" TargetMode="External"/><Relationship Id="rId1967" Type="http://schemas.openxmlformats.org/officeDocument/2006/relationships/hyperlink" Target="https://www.facebook.com/quynh.phamnhu.921677?mibextid=LQQJ4d" TargetMode="External"/><Relationship Id="rId4373" Type="http://schemas.openxmlformats.org/officeDocument/2006/relationships/hyperlink" Target="https://www.facebook.com/profile.php?id=100078920353180&amp;mibextid=LQQJ4d" TargetMode="External"/><Relationship Id="rId5424" Type="http://schemas.openxmlformats.org/officeDocument/2006/relationships/hyperlink" Target="https://www.facebook.com/profile.php?id=100027014680185" TargetMode="External"/><Relationship Id="rId8994" Type="http://schemas.openxmlformats.org/officeDocument/2006/relationships/hyperlink" Target="https://www.facebook.com/khanhvi.nguyen.4040" TargetMode="External"/><Relationship Id="rId4026" Type="http://schemas.openxmlformats.org/officeDocument/2006/relationships/hyperlink" Target="https://drive.google.com/open?id=14-gpMEY-IO3_AJfvbEXqtYH45-f3LCUm" TargetMode="External"/><Relationship Id="rId4440" Type="http://schemas.openxmlformats.org/officeDocument/2006/relationships/hyperlink" Target="https://www.facebook.com/profile.php?id=100052806093629&amp;mibextid=LQQJ4d" TargetMode="External"/><Relationship Id="rId7596" Type="http://schemas.openxmlformats.org/officeDocument/2006/relationships/hyperlink" Target="https://www.facebook.com/profile.php?id=100022902711394&amp;mibextid=LQQJ4d" TargetMode="External"/><Relationship Id="rId8647" Type="http://schemas.openxmlformats.org/officeDocument/2006/relationships/hyperlink" Target="https://www.facebook.com/profile.php?id=100078684363424" TargetMode="External"/><Relationship Id="rId3042" Type="http://schemas.openxmlformats.org/officeDocument/2006/relationships/hyperlink" Target="https://www.facebook.com/100022489362947/" TargetMode="External"/><Relationship Id="rId6198" Type="http://schemas.openxmlformats.org/officeDocument/2006/relationships/hyperlink" Target="https://www.facebook.com/profile.php?id=100049156987923&amp;mibextid=LQQJ4d" TargetMode="External"/><Relationship Id="rId7249" Type="http://schemas.openxmlformats.org/officeDocument/2006/relationships/hyperlink" Target="https://www.facebook.com/daothimydung010806?mibextid=LQQJ4d" TargetMode="External"/><Relationship Id="rId7663" Type="http://schemas.openxmlformats.org/officeDocument/2006/relationships/hyperlink" Target="https://www.facebook.com/profile.php?id=61557904851058&amp;mibextid=LQQJ4d" TargetMode="External"/><Relationship Id="rId8714" Type="http://schemas.openxmlformats.org/officeDocument/2006/relationships/hyperlink" Target="https://www.facebook.com/profile.php?id=100018629419886&amp;mibextid=LQQJ4d" TargetMode="External"/><Relationship Id="rId6265" Type="http://schemas.openxmlformats.org/officeDocument/2006/relationships/hyperlink" Target="https://www.facebook.com/profile.php?id=100048932802593&amp;mibextid=ZbWKwL" TargetMode="External"/><Relationship Id="rId7316" Type="http://schemas.openxmlformats.org/officeDocument/2006/relationships/hyperlink" Target="https://www.facebook.com/profile.php?id=100040451982471&amp;locale=vi_VN" TargetMode="External"/><Relationship Id="rId3859" Type="http://schemas.openxmlformats.org/officeDocument/2006/relationships/hyperlink" Target="https://www.facebook.com/profile.php?id=100050197142581" TargetMode="External"/><Relationship Id="rId5281" Type="http://schemas.openxmlformats.org/officeDocument/2006/relationships/hyperlink" Target="https://drive.google.com/open?id=1JO0bbnqqGnEh1gkmVuxPlfznTZh3RW5G" TargetMode="External"/><Relationship Id="rId7730" Type="http://schemas.openxmlformats.org/officeDocument/2006/relationships/hyperlink" Target="https://drive.google.com/open?id=1kva_mgcl48RLX2SaYsSxAd-y1LXw38LT" TargetMode="External"/><Relationship Id="rId9488" Type="http://schemas.openxmlformats.org/officeDocument/2006/relationships/hyperlink" Target="https://www.facebook.com/share/1YBPoL4SAr/?mibextid=LQQJ4d" TargetMode="External"/><Relationship Id="rId2875" Type="http://schemas.openxmlformats.org/officeDocument/2006/relationships/hyperlink" Target="https://www.facebook.com/huong.t.n.huong.t.n.5?mibextid=LQQJ4d" TargetMode="External"/><Relationship Id="rId3926" Type="http://schemas.openxmlformats.org/officeDocument/2006/relationships/hyperlink" Target="https://www.facebook.com/nhu1204?mibextid=LQQJ4d" TargetMode="External"/><Relationship Id="rId6332" Type="http://schemas.openxmlformats.org/officeDocument/2006/relationships/hyperlink" Target="https://www.facebook.com/nhatdevjr" TargetMode="External"/><Relationship Id="rId847" Type="http://schemas.openxmlformats.org/officeDocument/2006/relationships/hyperlink" Target="https://drive.google.com/open?id=1njy85JnFxVoNSWrUUnsb057r4abhhzHY" TargetMode="External"/><Relationship Id="rId1477" Type="http://schemas.openxmlformats.org/officeDocument/2006/relationships/hyperlink" Target="https://www.facebook.com/profile.php?id=100022293270487&amp;mibextid=LQQJ4d" TargetMode="External"/><Relationship Id="rId1891" Type="http://schemas.openxmlformats.org/officeDocument/2006/relationships/hyperlink" Target="https://www.facebook.com/ththuneee" TargetMode="External"/><Relationship Id="rId2528" Type="http://schemas.openxmlformats.org/officeDocument/2006/relationships/hyperlink" Target="https://drive.google.com/open?id=1OEVExVjFqQ4AvUl4aJGUOB0zq0AikZfs" TargetMode="External"/><Relationship Id="rId2942" Type="http://schemas.openxmlformats.org/officeDocument/2006/relationships/hyperlink" Target="https://drive.google.com/open?id=1OYqeGz7Jiwi5CYpSvcBtZBRh4fCuseLh" TargetMode="External"/><Relationship Id="rId9555" Type="http://schemas.openxmlformats.org/officeDocument/2006/relationships/hyperlink" Target="https://web.facebook.com/phung.thi.thu.huyen.2024?mibextid=wwXIfr&amp;rdid=gFgguzxcIksHsIm5&amp;share_url=https%3A%2F%2Fweb.facebook.com%2Fshare%2F14XPxQbVNS%2F%3Fmibextid%3DwwXIfr%26_rdc%3D1%26_rdr" TargetMode="External"/><Relationship Id="rId914" Type="http://schemas.openxmlformats.org/officeDocument/2006/relationships/hyperlink" Target="https://drive.google.com/open?id=1LbIJIs9zkJsnb9O0y4q9uv-bABLHqftQ" TargetMode="External"/><Relationship Id="rId1544" Type="http://schemas.openxmlformats.org/officeDocument/2006/relationships/hyperlink" Target="https://www.facebook.com/profile.php?id=100024996890113&amp;mibextid=ZbWKwL" TargetMode="External"/><Relationship Id="rId5001" Type="http://schemas.openxmlformats.org/officeDocument/2006/relationships/hyperlink" Target="https://www.facebook.com/profile.php?id=100049689072715&amp;mibextid=LQQJ4d" TargetMode="External"/><Relationship Id="rId8157" Type="http://schemas.openxmlformats.org/officeDocument/2006/relationships/hyperlink" Target="https://www.facebook.com/people/L%C3%AA-A%C4%90%E1%BB%A9c/pfbid02PyHbSip4DFfiJqWE3TZ1F4CQU8JhPpNqFrgUgnj3y7Lc1yxx6NsN2aPhecV1d8u7l/" TargetMode="External"/><Relationship Id="rId8571" Type="http://schemas.openxmlformats.org/officeDocument/2006/relationships/hyperlink" Target="https://www.facebook.com/profile.php?id=100072222349866&amp;mibextid=JRoKGi" TargetMode="External"/><Relationship Id="rId9208" Type="http://schemas.openxmlformats.org/officeDocument/2006/relationships/hyperlink" Target="https://www.facebook.com/buisykiem.kiem?mibextid=LQQJ4d" TargetMode="External"/><Relationship Id="rId1611" Type="http://schemas.openxmlformats.org/officeDocument/2006/relationships/hyperlink" Target="https://www.facebook.com/profile.php?id=100023101955678" TargetMode="External"/><Relationship Id="rId4767" Type="http://schemas.openxmlformats.org/officeDocument/2006/relationships/hyperlink" Target="https://www.facebook.com/profile.php?id=100052806093629&amp;mibextid=LQQJ4d" TargetMode="External"/><Relationship Id="rId5818" Type="http://schemas.openxmlformats.org/officeDocument/2006/relationships/hyperlink" Target="https://drive.google.com/open?id=17SVe3BeR7touDBuywTiZUJzeSApg81Cd" TargetMode="External"/><Relationship Id="rId7173" Type="http://schemas.openxmlformats.org/officeDocument/2006/relationships/hyperlink" Target="https://www.facebook.com/profile.php?id=100042809693099" TargetMode="External"/><Relationship Id="rId8224" Type="http://schemas.openxmlformats.org/officeDocument/2006/relationships/hyperlink" Target="https://drive.google.com/open?id=1NKSb3uKL4k9h0u6QdK50XpB4jFKdt-fb" TargetMode="External"/><Relationship Id="rId3369" Type="http://schemas.openxmlformats.org/officeDocument/2006/relationships/hyperlink" Target="https://www.facebook.com/100058530712335/" TargetMode="External"/><Relationship Id="rId7240" Type="http://schemas.openxmlformats.org/officeDocument/2006/relationships/hyperlink" Target="https://www.facebook.com/nefertari10122006" TargetMode="External"/><Relationship Id="rId2385" Type="http://schemas.openxmlformats.org/officeDocument/2006/relationships/hyperlink" Target="https://www.facebook.com/Trinh.quynhanh.37.habbit?mibextid=ZbWKwL" TargetMode="External"/><Relationship Id="rId3783" Type="http://schemas.openxmlformats.org/officeDocument/2006/relationships/hyperlink" Target="https://www.facebook.com/phundo.onthemicc.05?mibextid=LQQJ4d" TargetMode="External"/><Relationship Id="rId4834" Type="http://schemas.openxmlformats.org/officeDocument/2006/relationships/hyperlink" Target="https://www.facebook.com/profile.php?id=100044840352324" TargetMode="External"/><Relationship Id="rId357" Type="http://schemas.openxmlformats.org/officeDocument/2006/relationships/hyperlink" Target="https://drive.google.com/open?id=1XwW67OcIDo7pOeq-yHLq-d-gm114yCNY" TargetMode="External"/><Relationship Id="rId2038" Type="http://schemas.openxmlformats.org/officeDocument/2006/relationships/hyperlink" Target="https://www.facebook.com/an.buihuu.142?mibextid=MKOS29" TargetMode="External"/><Relationship Id="rId3436" Type="http://schemas.openxmlformats.org/officeDocument/2006/relationships/hyperlink" Target="https://www.facebook.com/profile.php?id=100054904665711" TargetMode="External"/><Relationship Id="rId3850" Type="http://schemas.openxmlformats.org/officeDocument/2006/relationships/hyperlink" Target="https://www.facebook.com/phuong.hoangquynh.963" TargetMode="External"/><Relationship Id="rId4901" Type="http://schemas.openxmlformats.org/officeDocument/2006/relationships/hyperlink" Target="https://www.facebook.com/profile.php?id=100071648568562&amp;mibextid=LQQJ4d" TargetMode="External"/><Relationship Id="rId9065" Type="http://schemas.openxmlformats.org/officeDocument/2006/relationships/hyperlink" Target="https://www.facebook.com/profile.php?id=100038095920945&amp;mibextid=LQQJ4d" TargetMode="External"/><Relationship Id="rId771" Type="http://schemas.openxmlformats.org/officeDocument/2006/relationships/hyperlink" Target="https://www.facebook.com/profile.php?id=100022415686199&amp;mibextid=LQQJ4d" TargetMode="External"/><Relationship Id="rId2452" Type="http://schemas.openxmlformats.org/officeDocument/2006/relationships/hyperlink" Target="https://www.facebook.com/chuot.linh.7140" TargetMode="External"/><Relationship Id="rId3503" Type="http://schemas.openxmlformats.org/officeDocument/2006/relationships/hyperlink" Target="https://www.facebook.com/profile.php?id=100014966648126" TargetMode="External"/><Relationship Id="rId6659" Type="http://schemas.openxmlformats.org/officeDocument/2006/relationships/hyperlink" Target="https://www.facebook.com/profile.php?id=100054763129246&amp;mibextid=LQQJ4d" TargetMode="External"/><Relationship Id="rId424" Type="http://schemas.openxmlformats.org/officeDocument/2006/relationships/hyperlink" Target="https://drive.google.com/open?id=13Ecl5hn8sJtrge0W5DrUUgTgGaHs0LUe" TargetMode="External"/><Relationship Id="rId1054" Type="http://schemas.openxmlformats.org/officeDocument/2006/relationships/hyperlink" Target="https://www.facebook.com/profile.php?id=100074468111491" TargetMode="External"/><Relationship Id="rId2105" Type="http://schemas.openxmlformats.org/officeDocument/2006/relationships/hyperlink" Target="https://www.facebook.com/profile.php?id=100027844110320" TargetMode="External"/><Relationship Id="rId5675" Type="http://schemas.openxmlformats.org/officeDocument/2006/relationships/hyperlink" Target="https://www.facebook.com/profile.php?id=100054867307518&amp;mibextid=LQQJ4d" TargetMode="External"/><Relationship Id="rId6726" Type="http://schemas.openxmlformats.org/officeDocument/2006/relationships/hyperlink" Target="https://drive.google.com/open?id=1rvOdW440_aeccbsAwFJimQXG-rYnOcCj" TargetMode="External"/><Relationship Id="rId8081" Type="http://schemas.openxmlformats.org/officeDocument/2006/relationships/hyperlink" Target="https://www.facebook.com/nguyen.dp.792?mibextid=LQQJ4d" TargetMode="External"/><Relationship Id="rId9132" Type="http://schemas.openxmlformats.org/officeDocument/2006/relationships/hyperlink" Target="https://www.facebook.com/black.kieu.71" TargetMode="External"/><Relationship Id="rId1121" Type="http://schemas.openxmlformats.org/officeDocument/2006/relationships/hyperlink" Target="https://www.facebook.com/chang912005?mibextid=ZbWKwL" TargetMode="External"/><Relationship Id="rId4277" Type="http://schemas.openxmlformats.org/officeDocument/2006/relationships/hyperlink" Target="https://www.facebook.com/profile.php?id=100024445582090" TargetMode="External"/><Relationship Id="rId4691" Type="http://schemas.openxmlformats.org/officeDocument/2006/relationships/hyperlink" Target="https://www.facebook.com/profile.php?id=100077656863126&amp;mibextid=LQQJ4d" TargetMode="External"/><Relationship Id="rId5328" Type="http://schemas.openxmlformats.org/officeDocument/2006/relationships/hyperlink" Target="https://www.facebook.com/profile.php?id=100008848980005&amp;mibextid=LQQJ4d" TargetMode="External"/><Relationship Id="rId5742" Type="http://schemas.openxmlformats.org/officeDocument/2006/relationships/hyperlink" Target="https://www.facebook.com/profile.php?id=100027554113172&amp;mibextid=LQQJ4d" TargetMode="External"/><Relationship Id="rId8898" Type="http://schemas.openxmlformats.org/officeDocument/2006/relationships/hyperlink" Target="https://www.facebook.com/hien.con.336?mibextid=wwXIfr&amp;mibextid=wwXIfr" TargetMode="External"/><Relationship Id="rId3293" Type="http://schemas.openxmlformats.org/officeDocument/2006/relationships/hyperlink" Target="https://drive.google.com/open?id=1bxkAj4cz5Ptog9GmXjMSog0_jlElHDyj" TargetMode="External"/><Relationship Id="rId4344" Type="http://schemas.openxmlformats.org/officeDocument/2006/relationships/hyperlink" Target="https://www.facebook.com/profile.php?id=100078657773888&amp;mibextid=LQQJ4d" TargetMode="External"/><Relationship Id="rId1938" Type="http://schemas.openxmlformats.org/officeDocument/2006/relationships/hyperlink" Target="https://drive.google.com/open?id=1jMJ80TA6kjF45Hw2sBbFchBjmZXcyvYW" TargetMode="External"/><Relationship Id="rId3360" Type="http://schemas.openxmlformats.org/officeDocument/2006/relationships/hyperlink" Target="https://drive.google.com/open?id=1GROaG86s8yP323xLKRNLaVOs0S_on5at" TargetMode="External"/><Relationship Id="rId7567" Type="http://schemas.openxmlformats.org/officeDocument/2006/relationships/hyperlink" Target="https://drive.google.com/open?id=1sOs6Q4bZ5EOIecsqvmack6uqqLXSruL_" TargetMode="External"/><Relationship Id="rId8965" Type="http://schemas.openxmlformats.org/officeDocument/2006/relationships/hyperlink" Target="https://www.facebook.com/b.thao.750950?mibextid=ZbWKwL" TargetMode="External"/><Relationship Id="rId281" Type="http://schemas.openxmlformats.org/officeDocument/2006/relationships/hyperlink" Target="https://drive.google.com/open?id=1k-ZXjJcVx3OgueH0nPTh-vwlkGEie4hV" TargetMode="External"/><Relationship Id="rId3013" Type="http://schemas.openxmlformats.org/officeDocument/2006/relationships/hyperlink" Target="https://www.facebook.com/khaideptraiv?mibextid=ZbWKwL" TargetMode="External"/><Relationship Id="rId4411" Type="http://schemas.openxmlformats.org/officeDocument/2006/relationships/hyperlink" Target="https://www.facebook.com/profile.php?id=100065490800509&amp;mibextid=ZbWKwL" TargetMode="External"/><Relationship Id="rId6169" Type="http://schemas.openxmlformats.org/officeDocument/2006/relationships/hyperlink" Target="https://www.facebook.com/HuyenTrinh2612?mibextid=LQQJ4d" TargetMode="External"/><Relationship Id="rId7981" Type="http://schemas.openxmlformats.org/officeDocument/2006/relationships/hyperlink" Target="https://www.facebook.com/profile.php?id=100043338184769&amp;mibextid=LQQJ4d" TargetMode="External"/><Relationship Id="rId8618" Type="http://schemas.openxmlformats.org/officeDocument/2006/relationships/hyperlink" Target="https://www.facebook.com/profile.php?id=100053263943923&amp;mibextid=LQQJ4d" TargetMode="External"/><Relationship Id="rId6583" Type="http://schemas.openxmlformats.org/officeDocument/2006/relationships/hyperlink" Target="https://www.facebook.com/profile.php?id=100063274654528&amp;mibextid=LQQJ4d" TargetMode="External"/><Relationship Id="rId7634" Type="http://schemas.openxmlformats.org/officeDocument/2006/relationships/hyperlink" Target="https://www.facebook.com/profile.php?id=100076204042639&amp;mibextid=LQQJ4d" TargetMode="External"/><Relationship Id="rId2779" Type="http://schemas.openxmlformats.org/officeDocument/2006/relationships/hyperlink" Target="https://www.facebook.com/linh.bibi.54922" TargetMode="External"/><Relationship Id="rId5185" Type="http://schemas.openxmlformats.org/officeDocument/2006/relationships/hyperlink" Target="https://www.facebook.com/trnathuy?mibextid=kFxxJD" TargetMode="External"/><Relationship Id="rId6236" Type="http://schemas.openxmlformats.org/officeDocument/2006/relationships/hyperlink" Target="https://www.facebook.com/profile.php?id=100066611832206" TargetMode="External"/><Relationship Id="rId6650" Type="http://schemas.openxmlformats.org/officeDocument/2006/relationships/hyperlink" Target="https://www.facebook.com/profile.php?id=100049576642033" TargetMode="External"/><Relationship Id="rId7701" Type="http://schemas.openxmlformats.org/officeDocument/2006/relationships/hyperlink" Target="https://drive.google.com/open?id=1XabbEAK_4WTPI81OZyobLg-Oy4BNR4Zt" TargetMode="External"/><Relationship Id="rId1795" Type="http://schemas.openxmlformats.org/officeDocument/2006/relationships/hyperlink" Target="https://www.facebook.com/profile.php?id=100056490060170&amp;mibextid=LQQJ4d" TargetMode="External"/><Relationship Id="rId2846" Type="http://schemas.openxmlformats.org/officeDocument/2006/relationships/hyperlink" Target="https://www.facebook.com/profile.php?id=100057774236787" TargetMode="External"/><Relationship Id="rId5252" Type="http://schemas.openxmlformats.org/officeDocument/2006/relationships/hyperlink" Target="https://www.facebook.com/nguyenn.hangg.589?mibextid=LQQJ4d" TargetMode="External"/><Relationship Id="rId6303" Type="http://schemas.openxmlformats.org/officeDocument/2006/relationships/hyperlink" Target="https://www.facebook.com/profile.php?id=100041218637892&amp;mibextid=LQQJ4d" TargetMode="External"/><Relationship Id="rId9459" Type="http://schemas.openxmlformats.org/officeDocument/2006/relationships/hyperlink" Target="https://www.facebook.com/profile.php?id=100022058163157&amp;mibextid=LQQJ4d" TargetMode="External"/><Relationship Id="rId87" Type="http://schemas.openxmlformats.org/officeDocument/2006/relationships/hyperlink" Target="https://www.facebook.com/profile.php?id=100008900434957" TargetMode="External"/><Relationship Id="rId818" Type="http://schemas.openxmlformats.org/officeDocument/2006/relationships/hyperlink" Target="https://drive.google.com/open?id=11i3QqJWjZGmE78OEE1-fyXhe2nC0XBUk" TargetMode="External"/><Relationship Id="rId1448" Type="http://schemas.openxmlformats.org/officeDocument/2006/relationships/hyperlink" Target="https://www.facebook.com/tuyetmai.ngo.752?mibextid=LQQJ4d" TargetMode="External"/><Relationship Id="rId8475" Type="http://schemas.openxmlformats.org/officeDocument/2006/relationships/hyperlink" Target="https://www.facebook.com/profile.php?id=100083692651135" TargetMode="External"/><Relationship Id="rId9526" Type="http://schemas.openxmlformats.org/officeDocument/2006/relationships/hyperlink" Target="https://www.facebook.com/share/14yNQG8eAx/?mibextid=wwXIfr" TargetMode="External"/><Relationship Id="rId1862" Type="http://schemas.openxmlformats.org/officeDocument/2006/relationships/hyperlink" Target="https://drive.google.com/open?id=1jMP2-Lj9ooFhrpAc2CI0nsc3pCDPxWWZ" TargetMode="External"/><Relationship Id="rId2913" Type="http://schemas.openxmlformats.org/officeDocument/2006/relationships/hyperlink" Target="https://www.facebook.com/profile.php?id=100024367782945" TargetMode="External"/><Relationship Id="rId7077" Type="http://schemas.openxmlformats.org/officeDocument/2006/relationships/hyperlink" Target="https://www.facebook.com/profile.php?id=100073531524068" TargetMode="External"/><Relationship Id="rId7491" Type="http://schemas.openxmlformats.org/officeDocument/2006/relationships/hyperlink" Target="https://www.facebook.com/profile.php?id=100039610624819&amp;mibextid=ZbWKwL" TargetMode="External"/><Relationship Id="rId8128" Type="http://schemas.openxmlformats.org/officeDocument/2006/relationships/hyperlink" Target="https://www.facebook.com/share/1MvYkLWxpm/?mibextid=LQQJ4d" TargetMode="External"/><Relationship Id="rId1515" Type="http://schemas.openxmlformats.org/officeDocument/2006/relationships/hyperlink" Target="https://www.facebook.com/profile.php?id=100043588389033" TargetMode="External"/><Relationship Id="rId6093" Type="http://schemas.openxmlformats.org/officeDocument/2006/relationships/hyperlink" Target="https://www.facebook.com/profile.php?id=100067681272274" TargetMode="External"/><Relationship Id="rId7144" Type="http://schemas.openxmlformats.org/officeDocument/2006/relationships/hyperlink" Target="https://drive.google.com/open?id=1RTASuxdgH1txfQXM4QwNrbV2_iDLv8MU" TargetMode="External"/><Relationship Id="rId8542" Type="http://schemas.openxmlformats.org/officeDocument/2006/relationships/hyperlink" Target="https://www.facebook.com/ndlambinh30706?mibextid=LQQJ4d" TargetMode="External"/><Relationship Id="rId3687" Type="http://schemas.openxmlformats.org/officeDocument/2006/relationships/hyperlink" Target="https://www.facebook.com/dttv.12" TargetMode="External"/><Relationship Id="rId4738" Type="http://schemas.openxmlformats.org/officeDocument/2006/relationships/hyperlink" Target="https://www.facebook.com/leekymchee" TargetMode="External"/><Relationship Id="rId2289" Type="http://schemas.openxmlformats.org/officeDocument/2006/relationships/hyperlink" Target="https://www.facebook.com/mhctx.m?mibextid=LQQJ4d" TargetMode="External"/><Relationship Id="rId3754" Type="http://schemas.openxmlformats.org/officeDocument/2006/relationships/hyperlink" Target="https://www.facebook.com/profile.php?id=100022293270487&amp;mibextid=LQQJ4d" TargetMode="External"/><Relationship Id="rId4805" Type="http://schemas.openxmlformats.org/officeDocument/2006/relationships/hyperlink" Target="https://www.facebook.com/01thg12.03?mibextid=LQQJ4d" TargetMode="External"/><Relationship Id="rId6160" Type="http://schemas.openxmlformats.org/officeDocument/2006/relationships/hyperlink" Target="https://www.facebook.com/profile.php?id=100076133767673" TargetMode="External"/><Relationship Id="rId7211" Type="http://schemas.openxmlformats.org/officeDocument/2006/relationships/hyperlink" Target="https://drive.google.com/open?id=1g85sCo4-w9b6YkPCwERP8-vQqgqaZC8P" TargetMode="External"/><Relationship Id="rId675" Type="http://schemas.openxmlformats.org/officeDocument/2006/relationships/hyperlink" Target="https://www.facebook.com/profile.php?id=100013950254935&amp;mibextid=LQQJ4d" TargetMode="External"/><Relationship Id="rId2356" Type="http://schemas.openxmlformats.org/officeDocument/2006/relationships/hyperlink" Target="https://drive.google.com/open?id=1K8tf2C1WPjl9QHSr7rNSrD1DLnOzp-vp" TargetMode="External"/><Relationship Id="rId2770" Type="http://schemas.openxmlformats.org/officeDocument/2006/relationships/hyperlink" Target="https://www.facebook.com/profile.php?id=100022040521712" TargetMode="External"/><Relationship Id="rId3407" Type="http://schemas.openxmlformats.org/officeDocument/2006/relationships/hyperlink" Target="https://www.facebook.com/profile.php?id=100054794198790&amp;mibextid=LQQJ4d" TargetMode="External"/><Relationship Id="rId3821" Type="http://schemas.openxmlformats.org/officeDocument/2006/relationships/hyperlink" Target="https://www.facebook.com/mhctx.m?mibextid=LQQJ4d" TargetMode="External"/><Relationship Id="rId6977" Type="http://schemas.openxmlformats.org/officeDocument/2006/relationships/hyperlink" Target="https://www.facebook.com/profile.php?id=100040637981440&amp;mibextid=ZbWKwL" TargetMode="External"/><Relationship Id="rId9383" Type="http://schemas.openxmlformats.org/officeDocument/2006/relationships/hyperlink" Target="https://www.facebook.com/lily.kawaiii?mibextid=LQQJ4d" TargetMode="External"/><Relationship Id="rId328" Type="http://schemas.openxmlformats.org/officeDocument/2006/relationships/hyperlink" Target="https://drive.google.com/open?id=1pMm09me21f3pg3Nqop1gXGOU_FMnngX9" TargetMode="External"/><Relationship Id="rId742" Type="http://schemas.openxmlformats.org/officeDocument/2006/relationships/hyperlink" Target="https://www.facebook.com/hailinh.2504?mibextid=ZbWKwL" TargetMode="External"/><Relationship Id="rId1372" Type="http://schemas.openxmlformats.org/officeDocument/2006/relationships/hyperlink" Target="https://www.facebook.com/minhkhoi2k3?mibextid=ZbWKwL" TargetMode="External"/><Relationship Id="rId2009" Type="http://schemas.openxmlformats.org/officeDocument/2006/relationships/hyperlink" Target="https://www.facebook.com/liinxing?mibextid=PzaGJu" TargetMode="External"/><Relationship Id="rId2423" Type="http://schemas.openxmlformats.org/officeDocument/2006/relationships/hyperlink" Target="https://drive.google.com/open?id=1saRS4TBUNNwIlYjF4kIJhZ5w0aQZc7kY" TargetMode="External"/><Relationship Id="rId5579" Type="http://schemas.openxmlformats.org/officeDocument/2006/relationships/hyperlink" Target="https://www.facebook.com/huuquyen.le.77?mibextid=LQQJ4d" TargetMode="External"/><Relationship Id="rId9036" Type="http://schemas.openxmlformats.org/officeDocument/2006/relationships/hyperlink" Target="https://www.facebook.com/profile.php?id=100029185264513" TargetMode="External"/><Relationship Id="rId9450" Type="http://schemas.openxmlformats.org/officeDocument/2006/relationships/hyperlink" Target="https://www.facebook.com/profile.php?id=100040691562754" TargetMode="External"/><Relationship Id="rId1025" Type="http://schemas.openxmlformats.org/officeDocument/2006/relationships/hyperlink" Target="https://drive.google.com/open?id=1jGM84e4EepT1b6v-wpJOh6GPt0HX3h8E" TargetMode="External"/><Relationship Id="rId4595" Type="http://schemas.openxmlformats.org/officeDocument/2006/relationships/hyperlink" Target="https://www.facebook.com/manh5208" TargetMode="External"/><Relationship Id="rId5646" Type="http://schemas.openxmlformats.org/officeDocument/2006/relationships/hyperlink" Target="https://www.facebook.com/profile.php?id=100032381684683" TargetMode="External"/><Relationship Id="rId5993" Type="http://schemas.openxmlformats.org/officeDocument/2006/relationships/hyperlink" Target="https://m.facebook.com/profile.php?id=100057692332379&amp;mibextid=LQQJ4d" TargetMode="External"/><Relationship Id="rId8052" Type="http://schemas.openxmlformats.org/officeDocument/2006/relationships/hyperlink" Target="https://www.facebook.com/profile.php?id=100075158750998&amp;mibextid=ZbWKwL" TargetMode="External"/><Relationship Id="rId9103" Type="http://schemas.openxmlformats.org/officeDocument/2006/relationships/hyperlink" Target="https://www.facebook.com/profile.php?id=61561326142471&amp;mibextid=LQQJ4d" TargetMode="External"/><Relationship Id="rId3197" Type="http://schemas.openxmlformats.org/officeDocument/2006/relationships/hyperlink" Target="https://www.facebook.com/profile.php?id=100013974739686&amp;mibextid=REkXMA" TargetMode="External"/><Relationship Id="rId4248" Type="http://schemas.openxmlformats.org/officeDocument/2006/relationships/hyperlink" Target="https://www.facebook.com/cuong.nm.782005?mibextid=9R9pXO" TargetMode="External"/><Relationship Id="rId4662" Type="http://schemas.openxmlformats.org/officeDocument/2006/relationships/hyperlink" Target="https://drive.google.com/open?id=11ec6uDpsRk-oLAH7mk2v0XwapWyvRTWO" TargetMode="External"/><Relationship Id="rId5713" Type="http://schemas.openxmlformats.org/officeDocument/2006/relationships/hyperlink" Target="https://www.facebook.com/profile.php?id=100034742862187&amp;mibextid=LQQJ4d" TargetMode="External"/><Relationship Id="rId8869" Type="http://schemas.openxmlformats.org/officeDocument/2006/relationships/hyperlink" Target="https://www.facebook.com/duc.anh.188678" TargetMode="External"/><Relationship Id="rId185" Type="http://schemas.openxmlformats.org/officeDocument/2006/relationships/hyperlink" Target="https://drive.google.com/open?id=1oRrjpj6PqtZsKwDZ7gBwp8YNoDOL_Tbr" TargetMode="External"/><Relationship Id="rId1909" Type="http://schemas.openxmlformats.org/officeDocument/2006/relationships/hyperlink" Target="https://www.facebook.com/thinhnghhnbsba?mibextid=LQQJ4d" TargetMode="External"/><Relationship Id="rId3264" Type="http://schemas.openxmlformats.org/officeDocument/2006/relationships/hyperlink" Target="https://drive.google.com/open?id=1d7EjoXf1FU7tUC-dEPkffwJ15yYpgb36" TargetMode="External"/><Relationship Id="rId4315" Type="http://schemas.openxmlformats.org/officeDocument/2006/relationships/hyperlink" Target="https://www.facebook.com/profile.php?id=100026390200113" TargetMode="External"/><Relationship Id="rId7885" Type="http://schemas.openxmlformats.org/officeDocument/2006/relationships/hyperlink" Target="https://www.facebook.com/nhinguyen2011.2006" TargetMode="External"/><Relationship Id="rId8936" Type="http://schemas.openxmlformats.org/officeDocument/2006/relationships/hyperlink" Target="https://www.facebook.com/nguyen.hong.quan.955372" TargetMode="External"/><Relationship Id="rId2280" Type="http://schemas.openxmlformats.org/officeDocument/2006/relationships/hyperlink" Target="https://drive.google.com/open?id=10hCLel_dGsRg83o-RyUTTQHlWE9Ljv76" TargetMode="External"/><Relationship Id="rId3331" Type="http://schemas.openxmlformats.org/officeDocument/2006/relationships/hyperlink" Target="https://www.facebook.com/profile.php?id=100053103499604&amp;mibextid=LQQJ4d" TargetMode="External"/><Relationship Id="rId6487" Type="http://schemas.openxmlformats.org/officeDocument/2006/relationships/hyperlink" Target="https://www.facebook.com/Minhtamm.2807?mibextid=LQQJ4d" TargetMode="External"/><Relationship Id="rId7538" Type="http://schemas.openxmlformats.org/officeDocument/2006/relationships/hyperlink" Target="https://www.facebook.com/profile.php?id=100044973280897" TargetMode="External"/><Relationship Id="rId7952" Type="http://schemas.openxmlformats.org/officeDocument/2006/relationships/hyperlink" Target="https://www.facebook.com/nguyentiendung910" TargetMode="External"/><Relationship Id="rId252" Type="http://schemas.openxmlformats.org/officeDocument/2006/relationships/hyperlink" Target="https://www.facebook.com/doan.trung.3538" TargetMode="External"/><Relationship Id="rId5089" Type="http://schemas.openxmlformats.org/officeDocument/2006/relationships/hyperlink" Target="https://drive.google.com/open?id=1T37gkbRUTsxBUyKQbeoOnoSnmiM8xsTa" TargetMode="External"/><Relationship Id="rId6554" Type="http://schemas.openxmlformats.org/officeDocument/2006/relationships/hyperlink" Target="https://www.facebook.com/profile.php?id=100075171725439&amp;mibextid=ZbWKwL" TargetMode="External"/><Relationship Id="rId7605" Type="http://schemas.openxmlformats.org/officeDocument/2006/relationships/hyperlink" Target="https://www.facebook.com/profile.php?id=100062967435251&amp;mibextid=LQQJ4d" TargetMode="External"/><Relationship Id="rId1699" Type="http://schemas.openxmlformats.org/officeDocument/2006/relationships/hyperlink" Target="https://drive.google.com/open?id=1nBOXq5iQAqVKW1WApS5S4NBaA9HnoBbL" TargetMode="External"/><Relationship Id="rId2000" Type="http://schemas.openxmlformats.org/officeDocument/2006/relationships/hyperlink" Target="https://www.facebook.com/profile.php?id=100053464005023" TargetMode="External"/><Relationship Id="rId5156" Type="http://schemas.openxmlformats.org/officeDocument/2006/relationships/hyperlink" Target="https://www.facebook.com/iamhcong?mibextid=LQQJ4d" TargetMode="External"/><Relationship Id="rId5570" Type="http://schemas.openxmlformats.org/officeDocument/2006/relationships/hyperlink" Target="https://www.facebook.com/profile.php?id=100026390200113" TargetMode="External"/><Relationship Id="rId6207" Type="http://schemas.openxmlformats.org/officeDocument/2006/relationships/hyperlink" Target="https://www.facebook.com/profile.php?id=100013090092474&amp;mibextid=LQQJ4d" TargetMode="External"/><Relationship Id="rId4172" Type="http://schemas.openxmlformats.org/officeDocument/2006/relationships/hyperlink" Target="https://drive.google.com/open?id=1OVxi8yRVSRCa70rkoZjocrkSXftm6EK2" TargetMode="External"/><Relationship Id="rId5223" Type="http://schemas.openxmlformats.org/officeDocument/2006/relationships/hyperlink" Target="https://www.facebook.com/profile.php?id=100036282616590&amp;locale=vi_VN" TargetMode="External"/><Relationship Id="rId6621" Type="http://schemas.openxmlformats.org/officeDocument/2006/relationships/hyperlink" Target="https://www.facebook.com/profile.php?id=100069210262090&amp;mibextid=LQQJ4d" TargetMode="External"/><Relationship Id="rId8379" Type="http://schemas.openxmlformats.org/officeDocument/2006/relationships/hyperlink" Target="https://www.facebook.com/nguyenhokhanhlinh2810?mibextid=ZbWKwL" TargetMode="External"/><Relationship Id="rId1766" Type="http://schemas.openxmlformats.org/officeDocument/2006/relationships/hyperlink" Target="https://www.facebook.com/profile.php?id=100025671799135&amp;mibextid=LQQJ4d" TargetMode="External"/><Relationship Id="rId2817" Type="http://schemas.openxmlformats.org/officeDocument/2006/relationships/hyperlink" Target="https://www.facebook.com/thinhnghhnbsba?mibextid=LQQJ4d" TargetMode="External"/><Relationship Id="rId8793" Type="http://schemas.openxmlformats.org/officeDocument/2006/relationships/hyperlink" Target="https://www.facebook.com/NgoCongDanh.18?mibextid=LQQJ4d" TargetMode="External"/><Relationship Id="rId58" Type="http://schemas.openxmlformats.org/officeDocument/2006/relationships/hyperlink" Target="https://drive.google.com/open?id=1DaHYVfaNrmSBHu5Jli3ACGd2PU4I4ut_" TargetMode="External"/><Relationship Id="rId1419" Type="http://schemas.openxmlformats.org/officeDocument/2006/relationships/hyperlink" Target="https://www.facebook.com/profile.php?id=100008929629915&amp;mibextid=LQQJ4d" TargetMode="External"/><Relationship Id="rId1833" Type="http://schemas.openxmlformats.org/officeDocument/2006/relationships/hyperlink" Target="https://drive.google.com/open?id=1jSUbk6CWoWxpVKgUH-Hq0Oh4vzG_R1Z9" TargetMode="External"/><Relationship Id="rId4989" Type="http://schemas.openxmlformats.org/officeDocument/2006/relationships/hyperlink" Target="https://www.facebook.com/profile.php?id=100029499502239&amp;mibextid=LQQJ4d" TargetMode="External"/><Relationship Id="rId7048" Type="http://schemas.openxmlformats.org/officeDocument/2006/relationships/hyperlink" Target="https://www.facebook.com/profile.php?id=100020077930596&amp;mibextid=LQQJ4d" TargetMode="External"/><Relationship Id="rId7395" Type="http://schemas.openxmlformats.org/officeDocument/2006/relationships/hyperlink" Target="https://www.facebook.com/profile.php?id=100053903194742&amp;mibextid=LQQJ4d" TargetMode="External"/><Relationship Id="rId8446" Type="http://schemas.openxmlformats.org/officeDocument/2006/relationships/hyperlink" Target="https://www.facebook.com/profile.php?id=100038496949033&amp;mibextid=LQQJ4d" TargetMode="External"/><Relationship Id="rId8860" Type="http://schemas.openxmlformats.org/officeDocument/2006/relationships/hyperlink" Target="https://drive.google.com/open?id=1ywfY0EzKMy5HObs8953lT0EtL3MryMBs" TargetMode="External"/><Relationship Id="rId1900" Type="http://schemas.openxmlformats.org/officeDocument/2006/relationships/hyperlink" Target="https://m.facebook.com/profile.php?id=100080615280171&amp;mibextid=LQQJ4d" TargetMode="External"/><Relationship Id="rId7462" Type="http://schemas.openxmlformats.org/officeDocument/2006/relationships/hyperlink" Target="https://www.facebook.com/profile.php?id=100068561501764" TargetMode="External"/><Relationship Id="rId8513" Type="http://schemas.openxmlformats.org/officeDocument/2006/relationships/hyperlink" Target="https://www.facebook.com/profile.php?id=100054867307518&amp;mibextid=LQQJ4d" TargetMode="External"/><Relationship Id="rId3658" Type="http://schemas.openxmlformats.org/officeDocument/2006/relationships/hyperlink" Target="https://www.facebook.com/MaiChi2304?mibextid=LQQJ4d" TargetMode="External"/><Relationship Id="rId4709" Type="http://schemas.openxmlformats.org/officeDocument/2006/relationships/hyperlink" Target="https://www.facebook.com/hongngoc.tranthi.5623" TargetMode="External"/><Relationship Id="rId6064" Type="http://schemas.openxmlformats.org/officeDocument/2006/relationships/hyperlink" Target="https://www.facebook.com/profile.php?id=61555073977405&amp;mibextid=LQQJ4d" TargetMode="External"/><Relationship Id="rId7115" Type="http://schemas.openxmlformats.org/officeDocument/2006/relationships/hyperlink" Target="https://drive.google.com/open?id=1jFeBvCn9Fdh1bCGJ1yuFfezz_F5ZZyDP" TargetMode="External"/><Relationship Id="rId579" Type="http://schemas.openxmlformats.org/officeDocument/2006/relationships/hyperlink" Target="https://www.facebook.com/thanhh.maii.180" TargetMode="External"/><Relationship Id="rId993" Type="http://schemas.openxmlformats.org/officeDocument/2006/relationships/hyperlink" Target="https://www.facebook.com/an.buihuu.142?mibextid=MKOS29" TargetMode="External"/><Relationship Id="rId2674" Type="http://schemas.openxmlformats.org/officeDocument/2006/relationships/hyperlink" Target="https://www.facebook.com/profile.php?id=100027300275613&amp;mibextid=LQQJ4d" TargetMode="External"/><Relationship Id="rId5080" Type="http://schemas.openxmlformats.org/officeDocument/2006/relationships/hyperlink" Target="https://www.facebook.com/profile.php?id=100075273060574&amp;mibextid=ZbWKwL" TargetMode="External"/><Relationship Id="rId6131" Type="http://schemas.openxmlformats.org/officeDocument/2006/relationships/hyperlink" Target="https://www.facebook.com/profile.php?id=100021599711484&amp;mibextid=LQQJ4d" TargetMode="External"/><Relationship Id="rId9287" Type="http://schemas.openxmlformats.org/officeDocument/2006/relationships/hyperlink" Target="https://drive.google.com/open?id=1NKSb3uKL4k9h0u6QdK50XpB4jFKdt-fb" TargetMode="External"/><Relationship Id="rId646" Type="http://schemas.openxmlformats.org/officeDocument/2006/relationships/hyperlink" Target="https://www.facebook.com/profile.php?id=100052357243432" TargetMode="External"/><Relationship Id="rId1276" Type="http://schemas.openxmlformats.org/officeDocument/2006/relationships/hyperlink" Target="https://www.facebook.com/BuiHau.Official?mibextid=LQQJ4d" TargetMode="External"/><Relationship Id="rId2327" Type="http://schemas.openxmlformats.org/officeDocument/2006/relationships/hyperlink" Target="https://www.facebook.com/profile.php?id=100080482395080&amp;mibextid=ZbWKwL" TargetMode="External"/><Relationship Id="rId3725" Type="http://schemas.openxmlformats.org/officeDocument/2006/relationships/hyperlink" Target="https://www.facebook.com/profile.php?id=100017482186717&amp;mibextid=LQQJ4d" TargetMode="External"/><Relationship Id="rId9354" Type="http://schemas.openxmlformats.org/officeDocument/2006/relationships/hyperlink" Target="https://www.facebook.com/vananh.forget.me.not" TargetMode="External"/><Relationship Id="rId1690" Type="http://schemas.openxmlformats.org/officeDocument/2006/relationships/hyperlink" Target="https://drive.google.com/open?id=10XsBcOdARnHn38I7YlCmGwSJHluWotpt" TargetMode="External"/><Relationship Id="rId2741" Type="http://schemas.openxmlformats.org/officeDocument/2006/relationships/hyperlink" Target="https://www.facebook.com/huog.1204?locale=vi_VN" TargetMode="External"/><Relationship Id="rId5897" Type="http://schemas.openxmlformats.org/officeDocument/2006/relationships/hyperlink" Target="https://www.facebook.com/profile.php?id=100058350620910" TargetMode="External"/><Relationship Id="rId6948" Type="http://schemas.openxmlformats.org/officeDocument/2006/relationships/hyperlink" Target="https://www.facebook.com/profile.php?id=61551822216858&amp;mibextid=LQQJ4d" TargetMode="External"/><Relationship Id="rId9007" Type="http://schemas.openxmlformats.org/officeDocument/2006/relationships/hyperlink" Target="https://www.facebook.com/minh.anh.403382" TargetMode="External"/><Relationship Id="rId713" Type="http://schemas.openxmlformats.org/officeDocument/2006/relationships/hyperlink" Target="https://www.facebook.com/bxmai09" TargetMode="External"/><Relationship Id="rId1343" Type="http://schemas.openxmlformats.org/officeDocument/2006/relationships/hyperlink" Target="https://drive.google.com/open?id=1oMYPi119lwJxvEMK63jdlqhIA-93DIxl" TargetMode="External"/><Relationship Id="rId4499" Type="http://schemas.openxmlformats.org/officeDocument/2006/relationships/hyperlink" Target="https://www.facebook.com/profile.php?id=100087006656747&amp;mibextid=LQQJ4d" TargetMode="External"/><Relationship Id="rId5964" Type="http://schemas.openxmlformats.org/officeDocument/2006/relationships/hyperlink" Target="https://www.facebook.com/vungocmai190?mibextid=LQQJ4d" TargetMode="External"/><Relationship Id="rId8370" Type="http://schemas.openxmlformats.org/officeDocument/2006/relationships/hyperlink" Target="https://www.facebook.com/viet.khang.9404?mibextid=LQQJ4d" TargetMode="External"/><Relationship Id="rId9421" Type="http://schemas.openxmlformats.org/officeDocument/2006/relationships/hyperlink" Target="https://drive.google.com/open?id=1i7nxrdpzyiIOanP-4zBHMwjtMqvX9xis" TargetMode="External"/><Relationship Id="rId1410" Type="http://schemas.openxmlformats.org/officeDocument/2006/relationships/hyperlink" Target="https://drive.google.com/open?id=1s150wYGyE6X-BptB0MeBuK5EQX076OCg" TargetMode="External"/><Relationship Id="rId4566" Type="http://schemas.openxmlformats.org/officeDocument/2006/relationships/hyperlink" Target="https://drive.google.com/open?id=1m5n716FYTm8YWPXltE1AG3k9LztHq0go" TargetMode="External"/><Relationship Id="rId4980" Type="http://schemas.openxmlformats.org/officeDocument/2006/relationships/hyperlink" Target="https://www.facebook.com/phvanh1301?mibextid=ZbWKwL" TargetMode="External"/><Relationship Id="rId5617" Type="http://schemas.openxmlformats.org/officeDocument/2006/relationships/hyperlink" Target="https://www.facebook.com/thao.nguyenhuong.7792" TargetMode="External"/><Relationship Id="rId8023" Type="http://schemas.openxmlformats.org/officeDocument/2006/relationships/hyperlink" Target="https://www.facebook.com/profile.php?id=100066611832206" TargetMode="External"/><Relationship Id="rId3168" Type="http://schemas.openxmlformats.org/officeDocument/2006/relationships/hyperlink" Target="https://drive.google.com/open?id=11yfIMz19RZT_9QUHL02noLMJ2an_0qPh" TargetMode="External"/><Relationship Id="rId3582" Type="http://schemas.openxmlformats.org/officeDocument/2006/relationships/hyperlink" Target="https://www.facebook.com/huyntrng.ea.2813" TargetMode="External"/><Relationship Id="rId4219" Type="http://schemas.openxmlformats.org/officeDocument/2006/relationships/hyperlink" Target="https://drive.google.com/open?id=1LYQewBNTT4Nlo8oRmRq6sB-vEdfUysP9" TargetMode="External"/><Relationship Id="rId4633" Type="http://schemas.openxmlformats.org/officeDocument/2006/relationships/hyperlink" Target="https://www.facebook.com/profile.php?id=100070207608596" TargetMode="External"/><Relationship Id="rId7789" Type="http://schemas.openxmlformats.org/officeDocument/2006/relationships/hyperlink" Target="https://www.facebook.com/ngophuongchi.05?mibextid=ZbWKwL" TargetMode="External"/><Relationship Id="rId2184" Type="http://schemas.openxmlformats.org/officeDocument/2006/relationships/hyperlink" Target="https://www.facebook.com/profile.php?id=100023939925693&amp;mibextid=9R9pXO" TargetMode="External"/><Relationship Id="rId3235" Type="http://schemas.openxmlformats.org/officeDocument/2006/relationships/hyperlink" Target="https://www.facebook.com/profile.php?id=100022040521712" TargetMode="External"/><Relationship Id="rId7856" Type="http://schemas.openxmlformats.org/officeDocument/2006/relationships/hyperlink" Target="https://www.facebook.com/bui.haianh.1297?mibextid=ZbWKwL" TargetMode="External"/><Relationship Id="rId156" Type="http://schemas.openxmlformats.org/officeDocument/2006/relationships/hyperlink" Target="https://drive.google.com/open?id=14ESFhQRu4bVumNNu6qSqyJB8zdRSRJGk" TargetMode="External"/><Relationship Id="rId570" Type="http://schemas.openxmlformats.org/officeDocument/2006/relationships/hyperlink" Target="https://www.facebook.com/le.quy.3781?mibextid=ZbWKwL" TargetMode="External"/><Relationship Id="rId2251" Type="http://schemas.openxmlformats.org/officeDocument/2006/relationships/hyperlink" Target="https://www.facebook.com/thao.top.391" TargetMode="External"/><Relationship Id="rId3302" Type="http://schemas.openxmlformats.org/officeDocument/2006/relationships/hyperlink" Target="https://www.facebook.com/phamhong.ngat203" TargetMode="External"/><Relationship Id="rId4700" Type="http://schemas.openxmlformats.org/officeDocument/2006/relationships/hyperlink" Target="https://www.facebook.com/hongg.bichh12345?mibextid=LQQJ4d" TargetMode="External"/><Relationship Id="rId6458" Type="http://schemas.openxmlformats.org/officeDocument/2006/relationships/hyperlink" Target="https://drive.google.com/open?id=132Y2wbQFaBbMA4qVWPGXNBLwJeECy0LT" TargetMode="External"/><Relationship Id="rId7509" Type="http://schemas.openxmlformats.org/officeDocument/2006/relationships/hyperlink" Target="https://www.facebook.com/profile.php?id=100058929063027&amp;mibextid=LQQJ4d" TargetMode="External"/><Relationship Id="rId8907" Type="http://schemas.openxmlformats.org/officeDocument/2006/relationships/hyperlink" Target="https://www.facebook.com/tanmie01" TargetMode="External"/><Relationship Id="rId223" Type="http://schemas.openxmlformats.org/officeDocument/2006/relationships/hyperlink" Target="https://www.facebook.com/profile.php?id=100037868242476&amp;mibextid=LQQJ4d" TargetMode="External"/><Relationship Id="rId6872" Type="http://schemas.openxmlformats.org/officeDocument/2006/relationships/hyperlink" Target="https://www.facebook.com/linhh.nguyenkhanh.752?mibextid=LQQJ4d" TargetMode="External"/><Relationship Id="rId7923" Type="http://schemas.openxmlformats.org/officeDocument/2006/relationships/hyperlink" Target="https://www.facebook.com/profile.php?id=100069681955399" TargetMode="External"/><Relationship Id="rId4076" Type="http://schemas.openxmlformats.org/officeDocument/2006/relationships/hyperlink" Target="https://drive.google.com/open?id=1gYkP28lkHGxBB24iY0eZvXL3VVFp7me6" TargetMode="External"/><Relationship Id="rId5474" Type="http://schemas.openxmlformats.org/officeDocument/2006/relationships/hyperlink" Target="https://www.facebook.com/realltd158" TargetMode="External"/><Relationship Id="rId6525" Type="http://schemas.openxmlformats.org/officeDocument/2006/relationships/hyperlink" Target="https://drive.google.com/open?id=1oe-FImJlT6h7X3Dx0YRWUF-MYkDwIbuG" TargetMode="External"/><Relationship Id="rId4490" Type="http://schemas.openxmlformats.org/officeDocument/2006/relationships/hyperlink" Target="https://www.facebook.com/profile.php?id=100053817425059&amp;mibextid=LQQJ4d" TargetMode="External"/><Relationship Id="rId5127" Type="http://schemas.openxmlformats.org/officeDocument/2006/relationships/hyperlink" Target="https://drive.google.com/open?id=1gyHUypdQD_ju0RPSPHv5d1cRnd8KZqXf" TargetMode="External"/><Relationship Id="rId5541" Type="http://schemas.openxmlformats.org/officeDocument/2006/relationships/hyperlink" Target="https://www.facebook.com/ptpthao0311?mibextid=LQQJ4d" TargetMode="External"/><Relationship Id="rId8697" Type="http://schemas.openxmlformats.org/officeDocument/2006/relationships/hyperlink" Target="https://www.facebook.com/profile.php?id=100070686594586&amp;mibextid=ZbWKwL" TargetMode="External"/><Relationship Id="rId1737" Type="http://schemas.openxmlformats.org/officeDocument/2006/relationships/hyperlink" Target="https://www.facebook.com/dinoamorebambusbaum?mibextid=ZbWKwL" TargetMode="External"/><Relationship Id="rId3092" Type="http://schemas.openxmlformats.org/officeDocument/2006/relationships/hyperlink" Target="https://drive.google.com/open?id=1WSGWqKQUrrVM3pXClf505fbxJQdOa0We" TargetMode="External"/><Relationship Id="rId4143" Type="http://schemas.openxmlformats.org/officeDocument/2006/relationships/hyperlink" Target="https://www.facebook.com/truongthanhha986?mibextid=LQQJ4d" TargetMode="External"/><Relationship Id="rId7299" Type="http://schemas.openxmlformats.org/officeDocument/2006/relationships/hyperlink" Target="https://www.facebook.com/profile.php?id=100024494588749" TargetMode="External"/><Relationship Id="rId8764" Type="http://schemas.openxmlformats.org/officeDocument/2006/relationships/hyperlink" Target="https://www.facebook.com/profile.php?id=61562863024763&amp;mibextid=LQQJ4d" TargetMode="External"/><Relationship Id="rId29" Type="http://schemas.openxmlformats.org/officeDocument/2006/relationships/hyperlink" Target="https://drive.google.com/open?id=1mjk56UL3GXKYG4mpw5ykx5VqVZD6z3S5" TargetMode="External"/><Relationship Id="rId4210" Type="http://schemas.openxmlformats.org/officeDocument/2006/relationships/hyperlink" Target="https://www.facebook.com/dieplinhcuakemm?mibextid=ZbWKwL" TargetMode="External"/><Relationship Id="rId7366" Type="http://schemas.openxmlformats.org/officeDocument/2006/relationships/hyperlink" Target="https://www.facebook.com/profile.php?id=100007810727148&amp;mibextid=LQQJ4d" TargetMode="External"/><Relationship Id="rId7780" Type="http://schemas.openxmlformats.org/officeDocument/2006/relationships/hyperlink" Target="https://drive.google.com/open?id=1LaOjYLIVQpnUriiyFON1w_cKq2Fx5-Cs" TargetMode="External"/><Relationship Id="rId8417" Type="http://schemas.openxmlformats.org/officeDocument/2006/relationships/hyperlink" Target="https://www.facebook.com/profile.php?id=100025100658519&amp;mibextid=opq0tG" TargetMode="External"/><Relationship Id="rId1804" Type="http://schemas.openxmlformats.org/officeDocument/2006/relationships/hyperlink" Target="https://www.facebook.com/profile.php?id=100086599022392" TargetMode="External"/><Relationship Id="rId6382" Type="http://schemas.openxmlformats.org/officeDocument/2006/relationships/hyperlink" Target="https://drive.google.com/open?id=1p2Wb7QGX00jKXePLv3AUOuU0YuSDXXT8" TargetMode="External"/><Relationship Id="rId7019" Type="http://schemas.openxmlformats.org/officeDocument/2006/relationships/hyperlink" Target="https://www.facebook.com/hieuu.ngoc.3?mibextid=LQQJ4d" TargetMode="External"/><Relationship Id="rId7433" Type="http://schemas.openxmlformats.org/officeDocument/2006/relationships/hyperlink" Target="https://drive.google.com/open?id=1sL0v5cqcgv0GwGwU44fEhk60orvXmWZh" TargetMode="External"/><Relationship Id="rId8831" Type="http://schemas.openxmlformats.org/officeDocument/2006/relationships/hyperlink" Target="https://www.facebook.com/100052872287637/" TargetMode="External"/><Relationship Id="rId3976" Type="http://schemas.openxmlformats.org/officeDocument/2006/relationships/hyperlink" Target="https://www.facebook.com/profile.php?id=100078222559444" TargetMode="External"/><Relationship Id="rId6035" Type="http://schemas.openxmlformats.org/officeDocument/2006/relationships/hyperlink" Target="https://www.facebook.com/profile.php?id=100031813923024" TargetMode="External"/><Relationship Id="rId897" Type="http://schemas.openxmlformats.org/officeDocument/2006/relationships/hyperlink" Target="https://www.facebook.com/profile.php?id=100041491178432&amp;mibextid=ZbWKwL" TargetMode="External"/><Relationship Id="rId2578" Type="http://schemas.openxmlformats.org/officeDocument/2006/relationships/hyperlink" Target="https://www.facebook.com/profile.php?id=100044599085831&amp;mibextid=LQQJ4d" TargetMode="External"/><Relationship Id="rId2992" Type="http://schemas.openxmlformats.org/officeDocument/2006/relationships/hyperlink" Target="https://www.facebook.com/profile.php?id=100036072453080" TargetMode="External"/><Relationship Id="rId3629" Type="http://schemas.openxmlformats.org/officeDocument/2006/relationships/hyperlink" Target="https://www.facebook.com/profile.php?id=100029565101296" TargetMode="External"/><Relationship Id="rId5051" Type="http://schemas.openxmlformats.org/officeDocument/2006/relationships/hyperlink" Target="https://drive.google.com/open?id=1n9pr0XXiZno93SGQg4rfbkG8wbmuYUPV" TargetMode="External"/><Relationship Id="rId7500" Type="http://schemas.openxmlformats.org/officeDocument/2006/relationships/hyperlink" Target="https://facebook.com/profile.php?id=100043341967834" TargetMode="External"/><Relationship Id="rId9258" Type="http://schemas.openxmlformats.org/officeDocument/2006/relationships/hyperlink" Target="https://www.facebook.com/hues.chanhs.31" TargetMode="External"/><Relationship Id="rId964" Type="http://schemas.openxmlformats.org/officeDocument/2006/relationships/hyperlink" Target="https://drive.google.com/open?id=1-4LjSdye3SNYSmsaGAfaA8iY-x42e7kD" TargetMode="External"/><Relationship Id="rId1594" Type="http://schemas.openxmlformats.org/officeDocument/2006/relationships/hyperlink" Target="https://www.facebook.com/profile.php?id=100059375382549&amp;mibextid=LQQJ4d" TargetMode="External"/><Relationship Id="rId2645" Type="http://schemas.openxmlformats.org/officeDocument/2006/relationships/hyperlink" Target="https://www.facebook.com/dinoamorebambusbaum?mibextid=ZbWKwL" TargetMode="External"/><Relationship Id="rId6102" Type="http://schemas.openxmlformats.org/officeDocument/2006/relationships/hyperlink" Target="https://www.facebook.com/sam.huyen.735?mibextid=LQQJ4d" TargetMode="External"/><Relationship Id="rId617" Type="http://schemas.openxmlformats.org/officeDocument/2006/relationships/hyperlink" Target="https://www.facebook.com/profile.php?id=100048806928478" TargetMode="External"/><Relationship Id="rId1247" Type="http://schemas.openxmlformats.org/officeDocument/2006/relationships/hyperlink" Target="https://www.facebook.com/profile.php?id=100050653210630&amp;mibextid=LQQJ4d" TargetMode="External"/><Relationship Id="rId1661" Type="http://schemas.openxmlformats.org/officeDocument/2006/relationships/hyperlink" Target="https://drive.google.com/open?id=1uAh1HekRHmi6sGrCgDoP7H0iK2SQnogL" TargetMode="External"/><Relationship Id="rId2712" Type="http://schemas.openxmlformats.org/officeDocument/2006/relationships/hyperlink" Target="https://drive.google.com/open?id=173njptM3S0zzXhIfdAMiwtUFMqwtL3w1" TargetMode="External"/><Relationship Id="rId5868" Type="http://schemas.openxmlformats.org/officeDocument/2006/relationships/hyperlink" Target="https://drive.google.com/open?id=11Raez6oAIfkCnbkMIG9TWMjtuWd8_dCc" TargetMode="External"/><Relationship Id="rId6919" Type="http://schemas.openxmlformats.org/officeDocument/2006/relationships/hyperlink" Target="https://www.facebook.com/hue.nguyenthanh.5661?mibextid=ZbWKwL" TargetMode="External"/><Relationship Id="rId8274" Type="http://schemas.openxmlformats.org/officeDocument/2006/relationships/hyperlink" Target="https://drive.google.com/open?id=1E8RFPpRpPZROecD3SkqaBMpRA4JLPkbG" TargetMode="External"/><Relationship Id="rId9325" Type="http://schemas.openxmlformats.org/officeDocument/2006/relationships/hyperlink" Target="https://www.facebook.com/profile.php?id=100065175406449" TargetMode="External"/><Relationship Id="rId1314" Type="http://schemas.openxmlformats.org/officeDocument/2006/relationships/hyperlink" Target="https://drive.google.com/open?id=1apbWWg91tF9nTOIb7J_1ydhQ2-OI62LJ" TargetMode="External"/><Relationship Id="rId4884" Type="http://schemas.openxmlformats.org/officeDocument/2006/relationships/hyperlink" Target="https://www.facebook.com/profile.php?id=100073795158275&amp;mibextid=LQQJ4d" TargetMode="External"/><Relationship Id="rId5935" Type="http://schemas.openxmlformats.org/officeDocument/2006/relationships/hyperlink" Target="https://www.facebook.com/profile.php?id=100053732010323" TargetMode="External"/><Relationship Id="rId7290" Type="http://schemas.openxmlformats.org/officeDocument/2006/relationships/hyperlink" Target="https://www.facebook.com/profile.php?id=100023733975113&amp;mibextid=LQQJ4d" TargetMode="External"/><Relationship Id="rId8341" Type="http://schemas.openxmlformats.org/officeDocument/2006/relationships/hyperlink" Target="https://www.facebook.com/miuka.takahashi" TargetMode="External"/><Relationship Id="rId3486" Type="http://schemas.openxmlformats.org/officeDocument/2006/relationships/hyperlink" Target="https://drive.google.com/open?id=1s_dzUtrCsfju2WqsgleLrRYCGnjRvFTW" TargetMode="External"/><Relationship Id="rId4537" Type="http://schemas.openxmlformats.org/officeDocument/2006/relationships/hyperlink" Target="https://www.facebook.com/profile.php?id=100015192751574&amp;mibextid=ZbWKwL" TargetMode="External"/><Relationship Id="rId20" Type="http://schemas.openxmlformats.org/officeDocument/2006/relationships/hyperlink" Target="https://www.facebook.com/profile.php?id=100042605533324&amp;mibextid=LQQJ4d" TargetMode="External"/><Relationship Id="rId2088" Type="http://schemas.openxmlformats.org/officeDocument/2006/relationships/hyperlink" Target="https://www.facebook.com/minhkhoi2k3?mibextid=ZbWKwL" TargetMode="External"/><Relationship Id="rId3139" Type="http://schemas.openxmlformats.org/officeDocument/2006/relationships/hyperlink" Target="https://www.facebook.com/profile.php?id=100012514540453" TargetMode="External"/><Relationship Id="rId4951" Type="http://schemas.openxmlformats.org/officeDocument/2006/relationships/hyperlink" Target="https://www.facebook.com/ngocchau.nguyenthi.1291?mibextid=LQQJ4d" TargetMode="External"/><Relationship Id="rId7010" Type="http://schemas.openxmlformats.org/officeDocument/2006/relationships/hyperlink" Target="https://www.facebook.com/profile.php?id=100039339647890&amp;mibextid=ZbWKwL" TargetMode="External"/><Relationship Id="rId474" Type="http://schemas.openxmlformats.org/officeDocument/2006/relationships/hyperlink" Target="https://www.facebook.com/profile.php?id=100016243144447" TargetMode="External"/><Relationship Id="rId2155" Type="http://schemas.openxmlformats.org/officeDocument/2006/relationships/hyperlink" Target="https://www.facebook.com/profile.php?id=100056960747186&amp;mibextid=ZbWKwL" TargetMode="External"/><Relationship Id="rId3553" Type="http://schemas.openxmlformats.org/officeDocument/2006/relationships/hyperlink" Target="https://www.facebook.com/duongthianh.huyen.9?mibextid=LQQJ4d" TargetMode="External"/><Relationship Id="rId4604" Type="http://schemas.openxmlformats.org/officeDocument/2006/relationships/hyperlink" Target="https://www.facebook.com/profile.php?id=100041092247906&amp;mibextid=LQQJ4d" TargetMode="External"/><Relationship Id="rId9182" Type="http://schemas.openxmlformats.org/officeDocument/2006/relationships/hyperlink" Target="https://www.facebook.com/hylary.le" TargetMode="External"/><Relationship Id="rId127" Type="http://schemas.openxmlformats.org/officeDocument/2006/relationships/hyperlink" Target="https://drive.google.com/open?id=1T8Yu1PFspzT4Cosl6hEP10QHzMKE8bsj" TargetMode="External"/><Relationship Id="rId3206" Type="http://schemas.openxmlformats.org/officeDocument/2006/relationships/hyperlink" Target="https://drive.google.com/open?id=12HOy0_KjMMg7AViYVKV2jsE0zwggt2_2" TargetMode="External"/><Relationship Id="rId3620" Type="http://schemas.openxmlformats.org/officeDocument/2006/relationships/hyperlink" Target="https://www.facebook.com/black.kieu.71" TargetMode="External"/><Relationship Id="rId6776" Type="http://schemas.openxmlformats.org/officeDocument/2006/relationships/hyperlink" Target="https://www.facebook.com/profile.php?id=100060291661482&amp;mibextid=LQQJ4d" TargetMode="External"/><Relationship Id="rId7827" Type="http://schemas.openxmlformats.org/officeDocument/2006/relationships/hyperlink" Target="https://www.facebook.com/linhanhisthebest" TargetMode="External"/><Relationship Id="rId541" Type="http://schemas.openxmlformats.org/officeDocument/2006/relationships/hyperlink" Target="https://www.facebook.com/profile.php?id=100018116437438" TargetMode="External"/><Relationship Id="rId1171" Type="http://schemas.openxmlformats.org/officeDocument/2006/relationships/hyperlink" Target="https://www.facebook.com/profile.php?id=100017257006542" TargetMode="External"/><Relationship Id="rId2222" Type="http://schemas.openxmlformats.org/officeDocument/2006/relationships/hyperlink" Target="https://www.facebook.com/profile.php?id=100009610839948&amp;locale=vi_VN" TargetMode="External"/><Relationship Id="rId5378" Type="http://schemas.openxmlformats.org/officeDocument/2006/relationships/hyperlink" Target="https://www.facebook.com/hanh.enduring" TargetMode="External"/><Relationship Id="rId5792" Type="http://schemas.openxmlformats.org/officeDocument/2006/relationships/hyperlink" Target="https://www.facebook.com/profile.php?id=100033473475296" TargetMode="External"/><Relationship Id="rId6429" Type="http://schemas.openxmlformats.org/officeDocument/2006/relationships/hyperlink" Target="https://drive.google.com/open?id=1EDPD5zwKH5CNCCwrpQIhQ4nMgXhYfFgA" TargetMode="External"/><Relationship Id="rId6843" Type="http://schemas.openxmlformats.org/officeDocument/2006/relationships/hyperlink" Target="https://www.facebook.com/profile.php?id=100047450116298&amp;mibextid=LQQJ4d" TargetMode="External"/><Relationship Id="rId1988" Type="http://schemas.openxmlformats.org/officeDocument/2006/relationships/hyperlink" Target="https://www.facebook.com/profile.php?id=100034044590012&amp;mibextid=ZbWKwL" TargetMode="External"/><Relationship Id="rId4394" Type="http://schemas.openxmlformats.org/officeDocument/2006/relationships/hyperlink" Target="https://www.facebook.com/haanh.nguyenngoc.1029" TargetMode="External"/><Relationship Id="rId5445" Type="http://schemas.openxmlformats.org/officeDocument/2006/relationships/hyperlink" Target="https://www.facebook.com/profile.php?id=100088365222409&amp;mibextid=LQQJ4d" TargetMode="External"/><Relationship Id="rId4047" Type="http://schemas.openxmlformats.org/officeDocument/2006/relationships/hyperlink" Target="https://drive.google.com/open?id=1A7Sqqf5D1jKuYyWeOYfsPtpd0hvO7X3L" TargetMode="External"/><Relationship Id="rId4461" Type="http://schemas.openxmlformats.org/officeDocument/2006/relationships/hyperlink" Target="https://www.facebook.com/profile.php?id=100052895930101&amp;mibextid=LQQJ4d" TargetMode="External"/><Relationship Id="rId5512" Type="http://schemas.openxmlformats.org/officeDocument/2006/relationships/hyperlink" Target="https://drive.google.com/open?id=1gbkZCHN0maiv7REMGCyijf6ic2G656Ou" TargetMode="External"/><Relationship Id="rId6910" Type="http://schemas.openxmlformats.org/officeDocument/2006/relationships/hyperlink" Target="https://www.facebook.com/profile.php?id=100040512525059&amp;locale=vi_VN" TargetMode="External"/><Relationship Id="rId8668" Type="http://schemas.openxmlformats.org/officeDocument/2006/relationships/hyperlink" Target="https://www.facebook.com/profile.php?id=100046565180114&amp;rdid=BfyvBaSzIgtvVZqj&amp;share_url=https%3A%2F%2Fwww.facebook.com%2Fshare%2FiAvDicD1teCeE1gW%2F" TargetMode="External"/><Relationship Id="rId3063" Type="http://schemas.openxmlformats.org/officeDocument/2006/relationships/hyperlink" Target="https://www.facebook.com/profile.php?id=100085530074169&amp;mibextid=ibOpuV" TargetMode="External"/><Relationship Id="rId4114" Type="http://schemas.openxmlformats.org/officeDocument/2006/relationships/hyperlink" Target="https://www.facebook.com/profile.php?id=100011830594555" TargetMode="External"/><Relationship Id="rId1708" Type="http://schemas.openxmlformats.org/officeDocument/2006/relationships/hyperlink" Target="https://www.facebook.com/superidol.hd?mibextid=LQQJ4d" TargetMode="External"/><Relationship Id="rId3130" Type="http://schemas.openxmlformats.org/officeDocument/2006/relationships/hyperlink" Target="https://www.facebook.com/profile.php?id=100041481080562" TargetMode="External"/><Relationship Id="rId6286" Type="http://schemas.openxmlformats.org/officeDocument/2006/relationships/hyperlink" Target="https://www.facebook.com/profile.php?id=100086762724144&amp;mibextid=LQQJ4d" TargetMode="External"/><Relationship Id="rId7337" Type="http://schemas.openxmlformats.org/officeDocument/2006/relationships/hyperlink" Target="https://www.facebook.com/profile.php?id=100054674450583&amp;mibextid=ZbWKwL" TargetMode="External"/><Relationship Id="rId7684" Type="http://schemas.openxmlformats.org/officeDocument/2006/relationships/hyperlink" Target="https://www.facebook.com/share/15HJHo6bx1/?mibextid=LQQJ4d" TargetMode="External"/><Relationship Id="rId8735" Type="http://schemas.openxmlformats.org/officeDocument/2006/relationships/hyperlink" Target="https://www.facebook.com/profile.php?id=100046494195453&amp;mibextid=LQQJ4d" TargetMode="External"/><Relationship Id="rId7751" Type="http://schemas.openxmlformats.org/officeDocument/2006/relationships/hyperlink" Target="https://www.facebook.com/share/5ydzNFqtar4Z5pwZ/?mibextid=qi2Omg" TargetMode="External"/><Relationship Id="rId8802" Type="http://schemas.openxmlformats.org/officeDocument/2006/relationships/hyperlink" Target="https://www.facebook.com/profile.php?id=100045812565863&amp;mibextid=kFxxJD" TargetMode="External"/><Relationship Id="rId2896" Type="http://schemas.openxmlformats.org/officeDocument/2006/relationships/hyperlink" Target="https://www.facebook.com/messages/t/100039920566539" TargetMode="External"/><Relationship Id="rId3947" Type="http://schemas.openxmlformats.org/officeDocument/2006/relationships/hyperlink" Target="https://drive.google.com/open?id=1CL2bY3_lhfKXjbJLW5kIgvTC_NFUW3HB" TargetMode="External"/><Relationship Id="rId6353" Type="http://schemas.openxmlformats.org/officeDocument/2006/relationships/hyperlink" Target="https://www.facebook.com/toan.tu.9678067?mibextid=LQQJ4d" TargetMode="External"/><Relationship Id="rId7404" Type="http://schemas.openxmlformats.org/officeDocument/2006/relationships/hyperlink" Target="https://www.facebook.com/share/15bg1WjkWL/?mibextid=LQQJ4d" TargetMode="External"/><Relationship Id="rId868" Type="http://schemas.openxmlformats.org/officeDocument/2006/relationships/hyperlink" Target="https://drive.google.com/open?id=1KawOC4jOOw6ukt64CyU-N2TmaEuw8cGx" TargetMode="External"/><Relationship Id="rId1498" Type="http://schemas.openxmlformats.org/officeDocument/2006/relationships/hyperlink" Target="https://www.facebook.com/profile.php?id=100024367782945" TargetMode="External"/><Relationship Id="rId2549" Type="http://schemas.openxmlformats.org/officeDocument/2006/relationships/hyperlink" Target="https://drive.google.com/open?id=1sp3ExMyTo5-9teGqukDMEfGEVo_m5kK8" TargetMode="External"/><Relationship Id="rId2963" Type="http://schemas.openxmlformats.org/officeDocument/2006/relationships/hyperlink" Target="https://www.facebook.com/profile.php?id=100013109224813&amp;mibextid=LQQJ4d" TargetMode="External"/><Relationship Id="rId6006" Type="http://schemas.openxmlformats.org/officeDocument/2006/relationships/hyperlink" Target="https://www.facebook.com/profile.php?id=100069943934078" TargetMode="External"/><Relationship Id="rId6420" Type="http://schemas.openxmlformats.org/officeDocument/2006/relationships/hyperlink" Target="https://drive.google.com/open?id=1MQUY2Zc_2AUZYCiYePcJKRXQ500tJ3wI" TargetMode="External"/><Relationship Id="rId9576" Type="http://schemas.openxmlformats.org/officeDocument/2006/relationships/hyperlink" Target="https://www.facebook.com/share/1DBuqwwzzt/?mibextid=wwXIfr" TargetMode="External"/><Relationship Id="rId935" Type="http://schemas.openxmlformats.org/officeDocument/2006/relationships/hyperlink" Target="https://www.facebook.com/panhhh.05?mibextid=LQQJ4d" TargetMode="External"/><Relationship Id="rId1565" Type="http://schemas.openxmlformats.org/officeDocument/2006/relationships/hyperlink" Target="https://www.facebook.com/profile.php?id=100071474766942&amp;mibextid=LQQJ4d" TargetMode="External"/><Relationship Id="rId2616" Type="http://schemas.openxmlformats.org/officeDocument/2006/relationships/hyperlink" Target="https://www.facebook.com/profile.php?id=100072241211958&amp;mibextid=LQQJ4d" TargetMode="External"/><Relationship Id="rId5022" Type="http://schemas.openxmlformats.org/officeDocument/2006/relationships/hyperlink" Target="https://drive.google.com/open?id=1-ek5Jc7FD1IsbbXW1L1ML26jtVfjF1Hq" TargetMode="External"/><Relationship Id="rId8178" Type="http://schemas.openxmlformats.org/officeDocument/2006/relationships/hyperlink" Target="https://www.facebook.com/nguyen.toan.153249" TargetMode="External"/><Relationship Id="rId8592" Type="http://schemas.openxmlformats.org/officeDocument/2006/relationships/hyperlink" Target="https://drive.google.com/open?id=1B54ku8uNiiDPvU6a_4g-T8xP2w73wWVi" TargetMode="External"/><Relationship Id="rId9229" Type="http://schemas.openxmlformats.org/officeDocument/2006/relationships/hyperlink" Target="https://www.facebook.com/profile.php?id=100024905732733&amp;mibextid=ZbWKwL" TargetMode="External"/><Relationship Id="rId1218" Type="http://schemas.openxmlformats.org/officeDocument/2006/relationships/hyperlink" Target="https://drive.google.com/open?id=1qNJbnyDFGyPLk_LdkIRcT1Ldi4KBcVd2" TargetMode="External"/><Relationship Id="rId7194" Type="http://schemas.openxmlformats.org/officeDocument/2006/relationships/hyperlink" Target="https://www.facebook.com/profile.php?id=100046113581455&amp;mibextid=ZbWKwL" TargetMode="External"/><Relationship Id="rId8245" Type="http://schemas.openxmlformats.org/officeDocument/2006/relationships/hyperlink" Target="https://www.facebook.com/huongquynh.nguyen.90260?mibextid=wwXIfr&amp;rdid=9CUKy3xAtb763RKK&amp;share_url=https%3A%2F%2Fwww.facebook.com%2Fshare%2F1FTL6cuVgS%2F%3Fmibextid%3DwwXIfr" TargetMode="External"/><Relationship Id="rId1632" Type="http://schemas.openxmlformats.org/officeDocument/2006/relationships/hyperlink" Target="https://www.facebook.com/profile.php?id=100054959320588&amp;mibextid=ZbWKwL" TargetMode="External"/><Relationship Id="rId4788" Type="http://schemas.openxmlformats.org/officeDocument/2006/relationships/hyperlink" Target="https://www.facebook.com/nhunhu.pham.777?mibextid=ZbWKwL" TargetMode="External"/><Relationship Id="rId5839" Type="http://schemas.openxmlformats.org/officeDocument/2006/relationships/hyperlink" Target="https://www.facebook.com/profile.php?id=100042307159348&amp;mibextid=LQQJ4d" TargetMode="External"/><Relationship Id="rId7261" Type="http://schemas.openxmlformats.org/officeDocument/2006/relationships/hyperlink" Target="https://www.facebook.com/profile.php?id=100071255825626&amp;mibextid=ZbWKwL" TargetMode="External"/><Relationship Id="rId4855" Type="http://schemas.openxmlformats.org/officeDocument/2006/relationships/hyperlink" Target="https://www.facebook.com/profile.php?id=100045199383833&amp;mibextid=ZbWKwL" TargetMode="External"/><Relationship Id="rId5906" Type="http://schemas.openxmlformats.org/officeDocument/2006/relationships/hyperlink" Target="https://www.facebook.com/giaiky.tong.3?mibextid=LQQJ4d" TargetMode="External"/><Relationship Id="rId8312" Type="http://schemas.openxmlformats.org/officeDocument/2006/relationships/hyperlink" Target="https://www.facebook.com/profile.php?id=100058350620910" TargetMode="External"/><Relationship Id="rId3457" Type="http://schemas.openxmlformats.org/officeDocument/2006/relationships/hyperlink" Target="https://drive.google.com/open?id=1Sa-nuq9YiA5PCd5jgOaZU0wLuzuEIsEm" TargetMode="External"/><Relationship Id="rId3871" Type="http://schemas.openxmlformats.org/officeDocument/2006/relationships/hyperlink" Target="https://www.facebook.com/phuong.uyen.367?mibextid=LQQJ4d" TargetMode="External"/><Relationship Id="rId4508" Type="http://schemas.openxmlformats.org/officeDocument/2006/relationships/hyperlink" Target="https://www.facebook.com/profile.php?id=100050539413642&amp;mibextid=ZbWKwL" TargetMode="External"/><Relationship Id="rId4922" Type="http://schemas.openxmlformats.org/officeDocument/2006/relationships/hyperlink" Target="https://www.facebook.com/profile.php?id=100074376703016&amp;mibextid=LQQJ4d" TargetMode="External"/><Relationship Id="rId378" Type="http://schemas.openxmlformats.org/officeDocument/2006/relationships/hyperlink" Target="https://www.facebook.com/hang.nt.9693?mibextid=ZbWKwL" TargetMode="External"/><Relationship Id="rId792" Type="http://schemas.openxmlformats.org/officeDocument/2006/relationships/hyperlink" Target="https://www.facebook.com/leeq.16.12?mibextid=nW3QTL" TargetMode="External"/><Relationship Id="rId2059" Type="http://schemas.openxmlformats.org/officeDocument/2006/relationships/hyperlink" Target="https://www.facebook.com/profile.php?id=100079856153816&amp;mibextid=ZbWKwL" TargetMode="External"/><Relationship Id="rId2473" Type="http://schemas.openxmlformats.org/officeDocument/2006/relationships/hyperlink" Target="https://www.facebook.com/tuquyen.lamm" TargetMode="External"/><Relationship Id="rId3524" Type="http://schemas.openxmlformats.org/officeDocument/2006/relationships/hyperlink" Target="https://www.facebook.com/tuanminh.truong.9461?mibextid=LQQJ4d" TargetMode="External"/><Relationship Id="rId9086" Type="http://schemas.openxmlformats.org/officeDocument/2006/relationships/hyperlink" Target="https://drive.google.com/open?id=1ZznzDcly4kDJe7FheQk_sgVpDAy8I84Y" TargetMode="External"/><Relationship Id="rId445" Type="http://schemas.openxmlformats.org/officeDocument/2006/relationships/hyperlink" Target="https://www.facebook.com/XxxbgdrgnNT?mibextid=ZbWKwL" TargetMode="External"/><Relationship Id="rId1075" Type="http://schemas.openxmlformats.org/officeDocument/2006/relationships/hyperlink" Target="https://drive.google.com/open?id=1BBO8UXJ6f6NzP9qha2kPGrPCcXSlXUbg" TargetMode="External"/><Relationship Id="rId2126" Type="http://schemas.openxmlformats.org/officeDocument/2006/relationships/hyperlink" Target="https://www.facebook.com/nam.hoduy.33?mibextid=ZbWKwL" TargetMode="External"/><Relationship Id="rId2540" Type="http://schemas.openxmlformats.org/officeDocument/2006/relationships/hyperlink" Target="https://www.facebook.com/chungoc.anh.794?mibextid=ZbWKwL" TargetMode="External"/><Relationship Id="rId5696" Type="http://schemas.openxmlformats.org/officeDocument/2006/relationships/hyperlink" Target="https://www.facebook.com/profile.php?id=100081108164028&amp;mibextid=ZbWKwL" TargetMode="External"/><Relationship Id="rId6747" Type="http://schemas.openxmlformats.org/officeDocument/2006/relationships/hyperlink" Target="https://www.facebook.com/profile.php?id=100094522587192&amp;mibextid=LQQJ4d" TargetMode="External"/><Relationship Id="rId9153" Type="http://schemas.openxmlformats.org/officeDocument/2006/relationships/hyperlink" Target="https://www.facebook.com/profile.php?id=100049793138721" TargetMode="External"/><Relationship Id="rId512" Type="http://schemas.openxmlformats.org/officeDocument/2006/relationships/hyperlink" Target="https://drive.google.com/open?id=1LNblMee3gAftajwc3UtiP9PV3tmyU-_1" TargetMode="External"/><Relationship Id="rId1142" Type="http://schemas.openxmlformats.org/officeDocument/2006/relationships/hyperlink" Target="https://www.facebook.com/mcii05?mibextid=LQQJ4d" TargetMode="External"/><Relationship Id="rId4298" Type="http://schemas.openxmlformats.org/officeDocument/2006/relationships/hyperlink" Target="https://drive.google.com/open?id=1iWENSdRAOmno5eENzTVJyUZbrKdsktDj" TargetMode="External"/><Relationship Id="rId5349" Type="http://schemas.openxmlformats.org/officeDocument/2006/relationships/hyperlink" Target="https://www.facebook.com/profile.php?id=100083022805316" TargetMode="External"/><Relationship Id="rId9220" Type="http://schemas.openxmlformats.org/officeDocument/2006/relationships/hyperlink" Target="https://www.facebook.com/baonhi.vu.75491856?mibextid=LQQJ4d" TargetMode="External"/><Relationship Id="rId4365" Type="http://schemas.openxmlformats.org/officeDocument/2006/relationships/hyperlink" Target="https://drive.google.com/open?id=17Tf9tKUBB_D3247gVppX9k1oY-TuHe2X" TargetMode="External"/><Relationship Id="rId5763" Type="http://schemas.openxmlformats.org/officeDocument/2006/relationships/hyperlink" Target="https://www.facebook.com/profile.php?id=100070830191767&amp;mibextid=LQQJ4d" TargetMode="External"/><Relationship Id="rId6814" Type="http://schemas.openxmlformats.org/officeDocument/2006/relationships/hyperlink" Target="https://www.facebook.com/profile.php?id=100087957833842&amp;mibextid=LQQJ4d" TargetMode="External"/><Relationship Id="rId1959" Type="http://schemas.openxmlformats.org/officeDocument/2006/relationships/hyperlink" Target="https://www.facebook.com/minh.ngo.k4" TargetMode="External"/><Relationship Id="rId4018" Type="http://schemas.openxmlformats.org/officeDocument/2006/relationships/hyperlink" Target="https://www.facebook.com/profile.php?id=100058357764562" TargetMode="External"/><Relationship Id="rId5416" Type="http://schemas.openxmlformats.org/officeDocument/2006/relationships/hyperlink" Target="https://www.facebook.com/nguyen.haanh24?mibextid=LQQJ4d" TargetMode="External"/><Relationship Id="rId5830" Type="http://schemas.openxmlformats.org/officeDocument/2006/relationships/hyperlink" Target="https://www.facebook.com/profile.php?id=100082260104717&amp;mibextid=LQQJ4d" TargetMode="External"/><Relationship Id="rId8986" Type="http://schemas.openxmlformats.org/officeDocument/2006/relationships/hyperlink" Target="https://www.facebook.com/su.bing.182" TargetMode="External"/><Relationship Id="rId3381" Type="http://schemas.openxmlformats.org/officeDocument/2006/relationships/hyperlink" Target="https://www.facebook.com/profile.php?id=100057443211582" TargetMode="External"/><Relationship Id="rId4432" Type="http://schemas.openxmlformats.org/officeDocument/2006/relationships/hyperlink" Target="https://www.facebook.com/profile.php?id=100073241498766&amp;mibextid=LQQJ4d" TargetMode="External"/><Relationship Id="rId7588" Type="http://schemas.openxmlformats.org/officeDocument/2006/relationships/hyperlink" Target="https://www.facebook.com/profile.php?id=100069227738191&amp;mibextid=LQQJ4d" TargetMode="External"/><Relationship Id="rId8639" Type="http://schemas.openxmlformats.org/officeDocument/2006/relationships/hyperlink" Target="https://www.facebook.com/profile.php?id=100025994993279&amp;mibextid=LQQJ4d" TargetMode="External"/><Relationship Id="rId3034" Type="http://schemas.openxmlformats.org/officeDocument/2006/relationships/hyperlink" Target="https://www.facebook.com/profile.php?id=100016924980098&amp;mibextid=PlNXYD" TargetMode="External"/><Relationship Id="rId7655" Type="http://schemas.openxmlformats.org/officeDocument/2006/relationships/hyperlink" Target="https://www.facebook.com/share/15YoqG1tYU/" TargetMode="External"/><Relationship Id="rId8706" Type="http://schemas.openxmlformats.org/officeDocument/2006/relationships/hyperlink" Target="https://www.facebook.com/profile.php?id=100023629125085" TargetMode="External"/><Relationship Id="rId2050" Type="http://schemas.openxmlformats.org/officeDocument/2006/relationships/hyperlink" Target="https://drive.google.com/open?id=1JN2gDBMcdXQd72gtf9VVORha6vwBBElC" TargetMode="External"/><Relationship Id="rId3101" Type="http://schemas.openxmlformats.org/officeDocument/2006/relationships/hyperlink" Target="https://www.facebook.com/dieulinh.lo.520?mibextid=LQQJ4d" TargetMode="External"/><Relationship Id="rId6257" Type="http://schemas.openxmlformats.org/officeDocument/2006/relationships/hyperlink" Target="https://www.facebook.com/tthuycutes111111?mibextid=LQQJ4d" TargetMode="External"/><Relationship Id="rId6671" Type="http://schemas.openxmlformats.org/officeDocument/2006/relationships/hyperlink" Target="https://www.facebook.com/profile.php?id=61550848836636&amp;mibextid=LQQJ4d" TargetMode="External"/><Relationship Id="rId7308" Type="http://schemas.openxmlformats.org/officeDocument/2006/relationships/hyperlink" Target="https://www.facebook.com/vungocmai190?mibextid=LQQJ4d" TargetMode="External"/><Relationship Id="rId7722" Type="http://schemas.openxmlformats.org/officeDocument/2006/relationships/hyperlink" Target="https://www.facebook.com/profile.php?id=100014125962341&amp;mibextid=ZbWKwL" TargetMode="External"/><Relationship Id="rId5273" Type="http://schemas.openxmlformats.org/officeDocument/2006/relationships/hyperlink" Target="https://www.facebook.com/profile.php?id=100050036314961&amp;mibextid=ZbWKwL" TargetMode="External"/><Relationship Id="rId6324" Type="http://schemas.openxmlformats.org/officeDocument/2006/relationships/hyperlink" Target="https://www.facebook.com/profile.php?id=100079033491185&amp;mibextid=LQQJ4d" TargetMode="External"/><Relationship Id="rId839" Type="http://schemas.openxmlformats.org/officeDocument/2006/relationships/hyperlink" Target="https://www.facebook.com/hai.thieu.96387?mibextid=ZbWKwL" TargetMode="External"/><Relationship Id="rId1469" Type="http://schemas.openxmlformats.org/officeDocument/2006/relationships/hyperlink" Target="https://www.facebook.com/profile.php?id=100047202201379" TargetMode="External"/><Relationship Id="rId2867" Type="http://schemas.openxmlformats.org/officeDocument/2006/relationships/hyperlink" Target="https://www.facebook.com/profile.php?id=100018149588896&amp;mibextid=LQQJ4d" TargetMode="External"/><Relationship Id="rId3918" Type="http://schemas.openxmlformats.org/officeDocument/2006/relationships/hyperlink" Target="https://www.facebook.com/profile.php?id=100019941062582" TargetMode="External"/><Relationship Id="rId5340" Type="http://schemas.openxmlformats.org/officeDocument/2006/relationships/hyperlink" Target="https://www.facebook.com/hung09122006?mibextid=LQQJ4d" TargetMode="External"/><Relationship Id="rId8496" Type="http://schemas.openxmlformats.org/officeDocument/2006/relationships/hyperlink" Target="https://drive.google.com/open?id=1oMYPi119lwJxvEMK63jdlqhIA-93DIxl" TargetMode="External"/><Relationship Id="rId9547" Type="http://schemas.openxmlformats.org/officeDocument/2006/relationships/hyperlink" Target="https://www.facebook.com/share/12DipMsABm7/?mibextid=wwXIfr" TargetMode="External"/><Relationship Id="rId1883" Type="http://schemas.openxmlformats.org/officeDocument/2006/relationships/hyperlink" Target="https://www.facebook.com/100004905730053/" TargetMode="External"/><Relationship Id="rId2934" Type="http://schemas.openxmlformats.org/officeDocument/2006/relationships/hyperlink" Target="https://www.facebook.com/ngocanh.nguyen.042004" TargetMode="External"/><Relationship Id="rId7098" Type="http://schemas.openxmlformats.org/officeDocument/2006/relationships/hyperlink" Target="https://www.facebook.com/profile.php?id=100014980324102&amp;mibextid=LQQJ4d" TargetMode="External"/><Relationship Id="rId8149" Type="http://schemas.openxmlformats.org/officeDocument/2006/relationships/hyperlink" Target="https://www.facebook.com/phganhha182?mibextid=LQQJ4d" TargetMode="External"/><Relationship Id="rId906" Type="http://schemas.openxmlformats.org/officeDocument/2006/relationships/hyperlink" Target="https://www.facebook.com/profile.php?id=100078719882796" TargetMode="External"/><Relationship Id="rId1536" Type="http://schemas.openxmlformats.org/officeDocument/2006/relationships/hyperlink" Target="https://drive.google.com/open?id=1kdwGyWIQ_SKbBwUpC4lJexRvEsLoTSz-" TargetMode="External"/><Relationship Id="rId1950" Type="http://schemas.openxmlformats.org/officeDocument/2006/relationships/hyperlink" Target="https://www.facebook.com/profile.php?id=100076815872008" TargetMode="External"/><Relationship Id="rId8563" Type="http://schemas.openxmlformats.org/officeDocument/2006/relationships/hyperlink" Target="https://www.facebook.com/profile.php?id=100025732269796" TargetMode="External"/><Relationship Id="rId1603" Type="http://schemas.openxmlformats.org/officeDocument/2006/relationships/hyperlink" Target="https://drive.google.com/open?id=1WXQxLU5fstxRTC2sIn68IPV-VRaf-2QG" TargetMode="External"/><Relationship Id="rId4759" Type="http://schemas.openxmlformats.org/officeDocument/2006/relationships/hyperlink" Target="https://drive.google.com/open?id=1m1aywb6IiiMDio2c0p3O1nhVzVLyKA43" TargetMode="External"/><Relationship Id="rId7165" Type="http://schemas.openxmlformats.org/officeDocument/2006/relationships/hyperlink" Target="https://drive.google.com/open?id=1TTpherzwTU7pYxMmTUyT0gIS2f5C6uuT" TargetMode="External"/><Relationship Id="rId8216" Type="http://schemas.openxmlformats.org/officeDocument/2006/relationships/hyperlink" Target="https://www.facebook.com/share/17xwX6tDhQ/?mibextid=wwXIfr" TargetMode="External"/><Relationship Id="rId8630" Type="http://schemas.openxmlformats.org/officeDocument/2006/relationships/hyperlink" Target="https://www.facebook.com/vuyenthanhh0908?mibextid=ZbWKwL" TargetMode="External"/><Relationship Id="rId3775" Type="http://schemas.openxmlformats.org/officeDocument/2006/relationships/hyperlink" Target="https://www.facebook.com/tong.dung.547?mibextid=LQQJ4d" TargetMode="External"/><Relationship Id="rId4826" Type="http://schemas.openxmlformats.org/officeDocument/2006/relationships/hyperlink" Target="https://www.facebook.com/lonngthanhday?mibextid=LQQJ4d" TargetMode="External"/><Relationship Id="rId6181" Type="http://schemas.openxmlformats.org/officeDocument/2006/relationships/hyperlink" Target="https://www.facebook.com/profile.php?id=100037629497206&amp;mibextid=LQQJ4d" TargetMode="External"/><Relationship Id="rId7232" Type="http://schemas.openxmlformats.org/officeDocument/2006/relationships/hyperlink" Target="https://drive.google.com/open?id=1xaLUdQRTuyVHumJ4jg3xsldBqGE34JPB" TargetMode="External"/><Relationship Id="rId696" Type="http://schemas.openxmlformats.org/officeDocument/2006/relationships/hyperlink" Target="https://www.facebook.com/profile.php?id=100028728332274&amp;mibextid=LQQJ4d" TargetMode="External"/><Relationship Id="rId2377" Type="http://schemas.openxmlformats.org/officeDocument/2006/relationships/hyperlink" Target="https://www.facebook.com/profile.php?id=100027236721375&amp;mibextid=ZbWKwL" TargetMode="External"/><Relationship Id="rId2791" Type="http://schemas.openxmlformats.org/officeDocument/2006/relationships/hyperlink" Target="https://www.facebook.com/Lkhuyen3107?mibextid=LQQJ4d" TargetMode="External"/><Relationship Id="rId3428" Type="http://schemas.openxmlformats.org/officeDocument/2006/relationships/hyperlink" Target="https://www.facebook.com/quynhnga.ta.186?mibextid=ZbWKwL" TargetMode="External"/><Relationship Id="rId349" Type="http://schemas.openxmlformats.org/officeDocument/2006/relationships/hyperlink" Target="https://www.facebook.com/profile.php?id=100059547292388&amp;mibextid=ZbWKwL" TargetMode="External"/><Relationship Id="rId763" Type="http://schemas.openxmlformats.org/officeDocument/2006/relationships/hyperlink" Target="https://www.facebook.com/nhi2005.army?mibextid=LQQJ4d" TargetMode="External"/><Relationship Id="rId1393" Type="http://schemas.openxmlformats.org/officeDocument/2006/relationships/hyperlink" Target="https://www.facebook.com/tucoiss.05032005?mibextid=LQQJ4d" TargetMode="External"/><Relationship Id="rId2444" Type="http://schemas.openxmlformats.org/officeDocument/2006/relationships/hyperlink" Target="https://www.facebook.com/profile.php?id=100018116437438" TargetMode="External"/><Relationship Id="rId3842" Type="http://schemas.openxmlformats.org/officeDocument/2006/relationships/hyperlink" Target="https://www.facebook.com/danghoa.no1?mibextid=LQQJ4d" TargetMode="External"/><Relationship Id="rId6998" Type="http://schemas.openxmlformats.org/officeDocument/2006/relationships/hyperlink" Target="https://www.facebook.com/profile.php?id=100072106314806&amp;mibextid=ZbWKwL" TargetMode="External"/><Relationship Id="rId9057" Type="http://schemas.openxmlformats.org/officeDocument/2006/relationships/hyperlink" Target="https://www.facebook.com/profile.php?id=100028269906264&amp;mibextid=LQQJ4d" TargetMode="External"/><Relationship Id="rId9471" Type="http://schemas.openxmlformats.org/officeDocument/2006/relationships/hyperlink" Target="https://www.facebook.com/profile.php?id=100034825217811&amp;mibextid=LQQJ4d" TargetMode="External"/><Relationship Id="rId416" Type="http://schemas.openxmlformats.org/officeDocument/2006/relationships/hyperlink" Target="https://www.facebook.com/profile.php?id=100071312686743&amp;mibextid=ZbWKwL" TargetMode="External"/><Relationship Id="rId1046" Type="http://schemas.openxmlformats.org/officeDocument/2006/relationships/hyperlink" Target="https://drive.google.com/open?id=1MlFNwlpVAsgYasHax1WOFJspPdXEQSdh" TargetMode="External"/><Relationship Id="rId8073" Type="http://schemas.openxmlformats.org/officeDocument/2006/relationships/hyperlink" Target="https://www.facebook.com/pham.linhlinh.1441" TargetMode="External"/><Relationship Id="rId9124" Type="http://schemas.openxmlformats.org/officeDocument/2006/relationships/hyperlink" Target="https://drive.google.com/open?id=1M_R5qpYlV55C9inv0KPfaI3SBi2Osbgj" TargetMode="External"/><Relationship Id="rId830" Type="http://schemas.openxmlformats.org/officeDocument/2006/relationships/hyperlink" Target="https://drive.google.com/open?id=1Hkq32K_LzrctVU_cZN4fzY7q2V_tax7w" TargetMode="External"/><Relationship Id="rId1460" Type="http://schemas.openxmlformats.org/officeDocument/2006/relationships/hyperlink" Target="https://drive.google.com/open?id=1tyYavLh_4z7qTF6Xp_AJ0y5JJV_h0NO9" TargetMode="External"/><Relationship Id="rId2511" Type="http://schemas.openxmlformats.org/officeDocument/2006/relationships/hyperlink" Target="https://www.facebook.com/kieuthichbuncha" TargetMode="External"/><Relationship Id="rId5667" Type="http://schemas.openxmlformats.org/officeDocument/2006/relationships/hyperlink" Target="https://www.facebook.com/lehaduong16122006?mibextid=ZbWKwL" TargetMode="External"/><Relationship Id="rId6718" Type="http://schemas.openxmlformats.org/officeDocument/2006/relationships/hyperlink" Target="https://www.facebook.com/maii.anhh.9256" TargetMode="External"/><Relationship Id="rId1113" Type="http://schemas.openxmlformats.org/officeDocument/2006/relationships/hyperlink" Target="https://www.facebook.com/hannie.park.520?mibextid=LQQJ4d" TargetMode="External"/><Relationship Id="rId4269" Type="http://schemas.openxmlformats.org/officeDocument/2006/relationships/hyperlink" Target="https://web.facebook.com/profile.php?id=100041128033638" TargetMode="External"/><Relationship Id="rId4683" Type="http://schemas.openxmlformats.org/officeDocument/2006/relationships/hyperlink" Target="https://www.facebook.com/penowtifxelpec" TargetMode="External"/><Relationship Id="rId5734" Type="http://schemas.openxmlformats.org/officeDocument/2006/relationships/hyperlink" Target="https://www.facebook.com/kquang.lee.4" TargetMode="External"/><Relationship Id="rId8140" Type="http://schemas.openxmlformats.org/officeDocument/2006/relationships/hyperlink" Target="https://www.facebook.com/son.lethe.58173?mibextid=LQQJ4d" TargetMode="External"/><Relationship Id="rId3285" Type="http://schemas.openxmlformats.org/officeDocument/2006/relationships/hyperlink" Target="https://www.facebook.com/mthang.hosint" TargetMode="External"/><Relationship Id="rId4336" Type="http://schemas.openxmlformats.org/officeDocument/2006/relationships/hyperlink" Target="https://www.facebook.com/u.chaniw" TargetMode="External"/><Relationship Id="rId4750" Type="http://schemas.openxmlformats.org/officeDocument/2006/relationships/hyperlink" Target="https://www.facebook.com/profile.php?id=61555581805079&amp;mibextid=ZbWKwL" TargetMode="External"/><Relationship Id="rId5801" Type="http://schemas.openxmlformats.org/officeDocument/2006/relationships/hyperlink" Target="https://www.facebook.com/profile.php?id=100037761561597&amp;mibextid=LQQJ4d" TargetMode="External"/><Relationship Id="rId8957" Type="http://schemas.openxmlformats.org/officeDocument/2006/relationships/hyperlink" Target="https://drive.google.com/open?id=1-Foyw7B7cEKQbOWAzkAGof4yTHFnpES1" TargetMode="External"/><Relationship Id="rId3352" Type="http://schemas.openxmlformats.org/officeDocument/2006/relationships/hyperlink" Target="https://www.facebook.com/nhii.trannhoai.3" TargetMode="External"/><Relationship Id="rId4403" Type="http://schemas.openxmlformats.org/officeDocument/2006/relationships/hyperlink" Target="https://www.facebook.com/profile.php?id=100030565608851&amp;mibextid=LQQJ4d" TargetMode="External"/><Relationship Id="rId7559" Type="http://schemas.openxmlformats.org/officeDocument/2006/relationships/hyperlink" Target="https://www.facebook.com/vietquang.doan.75?mibextid=LQQJ4d" TargetMode="External"/><Relationship Id="rId273" Type="http://schemas.openxmlformats.org/officeDocument/2006/relationships/hyperlink" Target="https://www.facebook.com/profile.php?id=100027051054274" TargetMode="External"/><Relationship Id="rId3005" Type="http://schemas.openxmlformats.org/officeDocument/2006/relationships/hyperlink" Target="https://drive.google.com/open?id=1ilAUtx26OtHUqR0kmw8x10iW6h1DlaUF" TargetMode="External"/><Relationship Id="rId6575" Type="http://schemas.openxmlformats.org/officeDocument/2006/relationships/hyperlink" Target="https://drive.google.com/open?id=14j8eBrHlKERC-aRH6LdXXNyVd0nE39eS" TargetMode="External"/><Relationship Id="rId7626" Type="http://schemas.openxmlformats.org/officeDocument/2006/relationships/hyperlink" Target="https://www.facebook.com/Minhhtran2211?mibextid=LQQJ4d" TargetMode="External"/><Relationship Id="rId7973" Type="http://schemas.openxmlformats.org/officeDocument/2006/relationships/hyperlink" Target="https://www.facebook.com/profile.php?id=100037006024924&amp;mibextid=LQQJ4d" TargetMode="External"/><Relationship Id="rId340" Type="http://schemas.openxmlformats.org/officeDocument/2006/relationships/hyperlink" Target="https://www.facebook.com/profile.php?id=100022293270487&amp;mibextid=LQQJ4d" TargetMode="External"/><Relationship Id="rId2021" Type="http://schemas.openxmlformats.org/officeDocument/2006/relationships/hyperlink" Target="https://www.facebook.com/vuxuan.hoa.3532?mibextid=LQQJ4d" TargetMode="External"/><Relationship Id="rId5177" Type="http://schemas.openxmlformats.org/officeDocument/2006/relationships/hyperlink" Target="https://www.facebook.com/profile.php?id=100071031646696" TargetMode="External"/><Relationship Id="rId6228" Type="http://schemas.openxmlformats.org/officeDocument/2006/relationships/hyperlink" Target="https://www.facebook.com/thingocanh.kieu.754?mibextid=LQQJ4d" TargetMode="External"/><Relationship Id="rId4193" Type="http://schemas.openxmlformats.org/officeDocument/2006/relationships/hyperlink" Target="https://www.facebook.com/bthvan20?mibextid=ZbWKwL" TargetMode="External"/><Relationship Id="rId5591" Type="http://schemas.openxmlformats.org/officeDocument/2006/relationships/hyperlink" Target="https://www.facebook.com/profile.php?id=100044376366230&amp;locale=vi_VN" TargetMode="External"/><Relationship Id="rId6642" Type="http://schemas.openxmlformats.org/officeDocument/2006/relationships/hyperlink" Target="https://www.facebook.com/hiep.buiquyhoang.7?mibextid=LQQJ4d" TargetMode="External"/><Relationship Id="rId1787" Type="http://schemas.openxmlformats.org/officeDocument/2006/relationships/hyperlink" Target="https://www.facebook.com/tete.duy?mibextid=ZbWKwL" TargetMode="External"/><Relationship Id="rId2838" Type="http://schemas.openxmlformats.org/officeDocument/2006/relationships/hyperlink" Target="https://www.facebook.com/profile.php?id=100090091488959&amp;mibextid=LQQJ4d" TargetMode="External"/><Relationship Id="rId5244" Type="http://schemas.openxmlformats.org/officeDocument/2006/relationships/hyperlink" Target="https://www.facebook.com/thuu.hang.268" TargetMode="External"/><Relationship Id="rId79" Type="http://schemas.openxmlformats.org/officeDocument/2006/relationships/hyperlink" Target="https://www.facebook.com/vi.phamha.921?mibextid=LQQJ4d" TargetMode="External"/><Relationship Id="rId1854" Type="http://schemas.openxmlformats.org/officeDocument/2006/relationships/hyperlink" Target="https://www.facebook.com/karry.trang.7311" TargetMode="External"/><Relationship Id="rId2905" Type="http://schemas.openxmlformats.org/officeDocument/2006/relationships/hyperlink" Target="https://drive.google.com/open?id=1-pbYCtMNO-CN5gWIwRqqSAzSRDmBo0DW" TargetMode="External"/><Relationship Id="rId4260" Type="http://schemas.openxmlformats.org/officeDocument/2006/relationships/hyperlink" Target="https://drive.google.com/open?id=1riFMG4tPE0ANaFDgliKgvzUVnKMKDYiX" TargetMode="External"/><Relationship Id="rId5311" Type="http://schemas.openxmlformats.org/officeDocument/2006/relationships/hyperlink" Target="https://www.facebook.com/jerry.dat.3" TargetMode="External"/><Relationship Id="rId8467" Type="http://schemas.openxmlformats.org/officeDocument/2006/relationships/hyperlink" Target="https://www.facebook.com/profile.php?id=100084193863918&amp;mibextid=ZbWKwL" TargetMode="External"/><Relationship Id="rId8881" Type="http://schemas.openxmlformats.org/officeDocument/2006/relationships/hyperlink" Target="https://drive.google.com/open?id=11Loi9XSdmL5R1u8Fs2qzCGGsQu2hBSwI" TargetMode="External"/><Relationship Id="rId9518" Type="http://schemas.openxmlformats.org/officeDocument/2006/relationships/hyperlink" Target="https://www.facebook.com/share/1KEyyXYCbD/?mibextid=wwXIfr" TargetMode="External"/><Relationship Id="rId1507" Type="http://schemas.openxmlformats.org/officeDocument/2006/relationships/hyperlink" Target="https://www.facebook.com/profile.php?id=100072241211958&amp;mibextid=LQQJ4d" TargetMode="External"/><Relationship Id="rId7069" Type="http://schemas.openxmlformats.org/officeDocument/2006/relationships/hyperlink" Target="https://www.facebook.com/profile.php?id=100059509046999" TargetMode="External"/><Relationship Id="rId7483" Type="http://schemas.openxmlformats.org/officeDocument/2006/relationships/hyperlink" Target="https://drive.google.com/open?id=1bdcEJYCBijCEumpi4pt9K146j0IVqBzm" TargetMode="External"/><Relationship Id="rId8534" Type="http://schemas.openxmlformats.org/officeDocument/2006/relationships/hyperlink" Target="https://www.facebook.com/trong.ngoc.79827803" TargetMode="External"/><Relationship Id="rId1921" Type="http://schemas.openxmlformats.org/officeDocument/2006/relationships/hyperlink" Target="https://www.facebook.com/aori.katoriz.3?mibextid=ZbWKwL" TargetMode="External"/><Relationship Id="rId3679" Type="http://schemas.openxmlformats.org/officeDocument/2006/relationships/hyperlink" Target="https://www.facebook.com/profile.php?id=100012985931022&amp;mibextid=LQQJ4d" TargetMode="External"/><Relationship Id="rId6085" Type="http://schemas.openxmlformats.org/officeDocument/2006/relationships/hyperlink" Target="https://www.facebook.com/profile.php?id=100028991021210&amp;mibextid=JRoKGi" TargetMode="External"/><Relationship Id="rId7136" Type="http://schemas.openxmlformats.org/officeDocument/2006/relationships/hyperlink" Target="https://www.facebook.com/wainan2736" TargetMode="External"/><Relationship Id="rId7550" Type="http://schemas.openxmlformats.org/officeDocument/2006/relationships/hyperlink" Target="https://drive.google.com/open?id=1Iu_nmbZxqF9POkTLQ5I3VZ-Qch1XQxmk" TargetMode="External"/><Relationship Id="rId6152" Type="http://schemas.openxmlformats.org/officeDocument/2006/relationships/hyperlink" Target="https://www.facebook.com/lehung15.08.06?mibextid=LQQJ4d" TargetMode="External"/><Relationship Id="rId7203" Type="http://schemas.openxmlformats.org/officeDocument/2006/relationships/hyperlink" Target="https://drive.google.com/open?id=1q9JIi-IJ8226P68Lf2fcjVj4-YWXCeCy" TargetMode="External"/><Relationship Id="rId8601" Type="http://schemas.openxmlformats.org/officeDocument/2006/relationships/hyperlink" Target="https://drive.google.com/open?id=1JN2gDBMcdXQd72gtf9VVORha6vwBBElC" TargetMode="External"/><Relationship Id="rId1297" Type="http://schemas.openxmlformats.org/officeDocument/2006/relationships/hyperlink" Target="https://www.facebook.com/thiluong.nguyen.9400984" TargetMode="External"/><Relationship Id="rId2695" Type="http://schemas.openxmlformats.org/officeDocument/2006/relationships/hyperlink" Target="https://www.facebook.com/profile.php?id=100057159154700&amp;mibextid=LQQJ4d" TargetMode="External"/><Relationship Id="rId3746" Type="http://schemas.openxmlformats.org/officeDocument/2006/relationships/hyperlink" Target="https://www.facebook.com/profile.php?id=100022686696836&amp;mibextid=LQQJ4d" TargetMode="External"/><Relationship Id="rId667" Type="http://schemas.openxmlformats.org/officeDocument/2006/relationships/hyperlink" Target="https://drive.google.com/open?id=1mcHrvYmg_p0IJ8dmqqdVSeWfsG07yf8F" TargetMode="External"/><Relationship Id="rId2348" Type="http://schemas.openxmlformats.org/officeDocument/2006/relationships/hyperlink" Target="https://www.facebook.com/thanhkun.cute?mibextid=ZbWKwL" TargetMode="External"/><Relationship Id="rId2762" Type="http://schemas.openxmlformats.org/officeDocument/2006/relationships/hyperlink" Target="https://www.facebook.com/profile.php?id=100068306131000&amp;mibextid=ZbWKwL" TargetMode="External"/><Relationship Id="rId3813" Type="http://schemas.openxmlformats.org/officeDocument/2006/relationships/hyperlink" Target="https://www.facebook.com/profile.php?id=100046548901220&amp;mibextid=LQQJ4d" TargetMode="External"/><Relationship Id="rId6969" Type="http://schemas.openxmlformats.org/officeDocument/2006/relationships/hyperlink" Target="https://www.facebook.com/profile.php?id=100069831346258" TargetMode="External"/><Relationship Id="rId9028" Type="http://schemas.openxmlformats.org/officeDocument/2006/relationships/hyperlink" Target="https://drive.google.com/open?id=1sWH8HVTK4d_uwHm9jdVb-O3IB4Fw402i" TargetMode="External"/><Relationship Id="rId9375" Type="http://schemas.openxmlformats.org/officeDocument/2006/relationships/hyperlink" Target="https://www.facebook.com/profile.php?id=100013617668157&amp;mibextid=ZbWKwL" TargetMode="External"/><Relationship Id="rId734" Type="http://schemas.openxmlformats.org/officeDocument/2006/relationships/hyperlink" Target="https://www.facebook.com/nguyenmy5505" TargetMode="External"/><Relationship Id="rId1364" Type="http://schemas.openxmlformats.org/officeDocument/2006/relationships/hyperlink" Target="https://drive.google.com/open?id=1LW79qN-k4VCbH4zEnHv-9WZtOPtf6hAm" TargetMode="External"/><Relationship Id="rId2415" Type="http://schemas.openxmlformats.org/officeDocument/2006/relationships/hyperlink" Target="https://www.facebook.com/profile.php?id=100018629419886&amp;mibextid=LQQJ4d" TargetMode="External"/><Relationship Id="rId5985" Type="http://schemas.openxmlformats.org/officeDocument/2006/relationships/hyperlink" Target="https://www.facebook.com/profile.php?id=100088205870410&amp;mibextid=LQQJ4d" TargetMode="External"/><Relationship Id="rId8391" Type="http://schemas.openxmlformats.org/officeDocument/2006/relationships/hyperlink" Target="https://www.facebook.com/profile.php?id=100087047088347&amp;mibextid=LQQJ4d" TargetMode="External"/><Relationship Id="rId9442" Type="http://schemas.openxmlformats.org/officeDocument/2006/relationships/hyperlink" Target="https://www.facebook.com/Sky.MTP.10070507" TargetMode="External"/><Relationship Id="rId70" Type="http://schemas.openxmlformats.org/officeDocument/2006/relationships/hyperlink" Target="https://drive.google.com/open?id=1m6-4EhhAjpnb5Wav2nZeA2X-85FqGb4r" TargetMode="External"/><Relationship Id="rId801" Type="http://schemas.openxmlformats.org/officeDocument/2006/relationships/hyperlink" Target="https://www.facebook.com/profile.php?id=100035404651110&amp;mibextid=D4KYlr" TargetMode="External"/><Relationship Id="rId1017" Type="http://schemas.openxmlformats.org/officeDocument/2006/relationships/hyperlink" Target="https://www.facebook.com/profilecuazang?mibextid=LQQJ4d" TargetMode="External"/><Relationship Id="rId1431" Type="http://schemas.openxmlformats.org/officeDocument/2006/relationships/hyperlink" Target="https://www.facebook.com/trangnhung.duong.98" TargetMode="External"/><Relationship Id="rId4587" Type="http://schemas.openxmlformats.org/officeDocument/2006/relationships/hyperlink" Target="https://drive.google.com/open?id=1XxrQhbYMMpRJcivaxsylY85OMBNSMcU6" TargetMode="External"/><Relationship Id="rId5638" Type="http://schemas.openxmlformats.org/officeDocument/2006/relationships/hyperlink" Target="https://www.facebook.com/share/X74vXRT2bQ9mJq39/?mibextid=qi2Omg" TargetMode="External"/><Relationship Id="rId8044" Type="http://schemas.openxmlformats.org/officeDocument/2006/relationships/hyperlink" Target="https://www.facebook.com/profile.php?id=100055215810740" TargetMode="External"/><Relationship Id="rId3189" Type="http://schemas.openxmlformats.org/officeDocument/2006/relationships/hyperlink" Target="https://www.facebook.com/hn0412802" TargetMode="External"/><Relationship Id="rId4654" Type="http://schemas.openxmlformats.org/officeDocument/2006/relationships/hyperlink" Target="https://drive.google.com/open?id=1LDjdX7BhTdvxsOZ0_vjl2yEmRGtF2927" TargetMode="External"/><Relationship Id="rId7060" Type="http://schemas.openxmlformats.org/officeDocument/2006/relationships/hyperlink" Target="https://www.facebook.com/profile.php?id=100075990271785&amp;mibextid=LQQJ4d" TargetMode="External"/><Relationship Id="rId8111" Type="http://schemas.openxmlformats.org/officeDocument/2006/relationships/hyperlink" Target="https://drive.google.com/open?id=1nBOXq5iQAqVKW1WApS5S4NBaA9HnoBbL" TargetMode="External"/><Relationship Id="rId3256" Type="http://schemas.openxmlformats.org/officeDocument/2006/relationships/hyperlink" Target="https://www.facebook.com/profile.php?id=100023732472955&amp;mibextid=LQQJ4d" TargetMode="External"/><Relationship Id="rId4307" Type="http://schemas.openxmlformats.org/officeDocument/2006/relationships/hyperlink" Target="https://www.facebook.com/profile.php?id=100011360961349&amp;mibextid=kFxxJD" TargetMode="External"/><Relationship Id="rId5705" Type="http://schemas.openxmlformats.org/officeDocument/2006/relationships/hyperlink" Target="https://drive.google.com/open?id=1_Bp1xe2J5aSo2WUlffZSwyaLS__8Unly" TargetMode="External"/><Relationship Id="rId177" Type="http://schemas.openxmlformats.org/officeDocument/2006/relationships/hyperlink" Target="https://drive.google.com/open?id=1DGC28Ah-IMPRvEwIehcBuw_mYd2FEg1b" TargetMode="External"/><Relationship Id="rId591" Type="http://schemas.openxmlformats.org/officeDocument/2006/relationships/hyperlink" Target="https://www.facebook.com/profile.php?id=100016520492363" TargetMode="External"/><Relationship Id="rId2272" Type="http://schemas.openxmlformats.org/officeDocument/2006/relationships/hyperlink" Target="https://www.facebook.com/profile.php?id=100024223297195&amp;mibextid=LQQJ4d" TargetMode="External"/><Relationship Id="rId3670" Type="http://schemas.openxmlformats.org/officeDocument/2006/relationships/hyperlink" Target="https://drive.google.com/open?id=1UPSv4kr0BksKfegLXVbdJuYvAX9CRbvd" TargetMode="External"/><Relationship Id="rId4721" Type="http://schemas.openxmlformats.org/officeDocument/2006/relationships/hyperlink" Target="https://www.facebook.com/profile.php?id=100069497659761&amp;mibextid=LQQJ4d" TargetMode="External"/><Relationship Id="rId7877" Type="http://schemas.openxmlformats.org/officeDocument/2006/relationships/hyperlink" Target="https://www.facebook.com/bphuongn.92465?mibextid=LQQJ4d" TargetMode="External"/><Relationship Id="rId8928" Type="http://schemas.openxmlformats.org/officeDocument/2006/relationships/hyperlink" Target="https://www.facebook.com/profile.php?id=100022504520626" TargetMode="External"/><Relationship Id="rId244" Type="http://schemas.openxmlformats.org/officeDocument/2006/relationships/hyperlink" Target="https://www.facebook.com/profile.php?id=100042302111726" TargetMode="External"/><Relationship Id="rId3323" Type="http://schemas.openxmlformats.org/officeDocument/2006/relationships/hyperlink" Target="https://www.facebook.com/profile.php?id=100079541132396" TargetMode="External"/><Relationship Id="rId6479" Type="http://schemas.openxmlformats.org/officeDocument/2006/relationships/hyperlink" Target="https://drive.google.com/open?id=1rMK5VWQsIZJbN4TDxcP8yKbtmWWBytQj" TargetMode="External"/><Relationship Id="rId6893" Type="http://schemas.openxmlformats.org/officeDocument/2006/relationships/hyperlink" Target="https://drive.google.com/open?id=1WOzc6fUhPq5zOMsIYVE394c1Cc-V92Eb" TargetMode="External"/><Relationship Id="rId7944" Type="http://schemas.openxmlformats.org/officeDocument/2006/relationships/hyperlink" Target="https://drive.google.com/open?id=11He35-nEpM2330YaUO28iUFEgUOCj9O2" TargetMode="External"/><Relationship Id="rId5495" Type="http://schemas.openxmlformats.org/officeDocument/2006/relationships/hyperlink" Target="https://www.facebook.com/profile.php?id=100064734206219" TargetMode="External"/><Relationship Id="rId6546" Type="http://schemas.openxmlformats.org/officeDocument/2006/relationships/hyperlink" Target="https://www.facebook.com/lammy.besun?mibextid=LQQJ4d" TargetMode="External"/><Relationship Id="rId6960" Type="http://schemas.openxmlformats.org/officeDocument/2006/relationships/hyperlink" Target="https://www.facebook.com/profile.php?id=100094522587192&amp;mibextid=LQQJ4d" TargetMode="External"/><Relationship Id="rId311" Type="http://schemas.openxmlformats.org/officeDocument/2006/relationships/hyperlink" Target="https://www.facebook.com/NhuMoVu05?mibextid=LQQJ4d" TargetMode="External"/><Relationship Id="rId4097" Type="http://schemas.openxmlformats.org/officeDocument/2006/relationships/hyperlink" Target="https://drive.google.com/open?id=1tbHmngzzTsqIHYQzQ-kBTApT9K9KOpIr" TargetMode="External"/><Relationship Id="rId5148" Type="http://schemas.openxmlformats.org/officeDocument/2006/relationships/hyperlink" Target="https://drive.google.com/open?id=1705tdREsZljiSLPOfxXdX6bHZbqyJcIL" TargetMode="External"/><Relationship Id="rId5562" Type="http://schemas.openxmlformats.org/officeDocument/2006/relationships/hyperlink" Target="https://www.facebook.com/profile.php?id=100052367741451&amp;mibextid=LQQJ4d" TargetMode="External"/><Relationship Id="rId6613" Type="http://schemas.openxmlformats.org/officeDocument/2006/relationships/hyperlink" Target="https://drive.google.com/open?id=1T3NnpzKAmF8CSknrK5cJDoYgm7jMSUo3" TargetMode="External"/><Relationship Id="rId1758" Type="http://schemas.openxmlformats.org/officeDocument/2006/relationships/hyperlink" Target="https://www.facebook.com/tranngocquyen02062005?mibextid=LQQJ4d" TargetMode="External"/><Relationship Id="rId2809" Type="http://schemas.openxmlformats.org/officeDocument/2006/relationships/hyperlink" Target="https://www.facebook.com/tranthikimhue2110?mibextid=LQQJ4d" TargetMode="External"/><Relationship Id="rId4164" Type="http://schemas.openxmlformats.org/officeDocument/2006/relationships/hyperlink" Target="https://www.facebook.com/thanh.phanthi.5602728?mibextid=LQQJ4d" TargetMode="External"/><Relationship Id="rId5215" Type="http://schemas.openxmlformats.org/officeDocument/2006/relationships/hyperlink" Target="https://drive.google.com/open?id=11Mh4cnOeYIhg4xHcXMsxsAsH_TmjqWsI" TargetMode="External"/><Relationship Id="rId8785" Type="http://schemas.openxmlformats.org/officeDocument/2006/relationships/hyperlink" Target="https://drive.google.com/open?id=1J0MeBIIheAtlo-FMWrlnThk2HFBf7h3t" TargetMode="External"/><Relationship Id="rId3180" Type="http://schemas.openxmlformats.org/officeDocument/2006/relationships/hyperlink" Target="https://www.facebook.com/vlu.05" TargetMode="External"/><Relationship Id="rId4231" Type="http://schemas.openxmlformats.org/officeDocument/2006/relationships/hyperlink" Target="https://www.facebook.com/profile.php?id=100060308176763&amp;mibextid=ZbWKwL" TargetMode="External"/><Relationship Id="rId7387" Type="http://schemas.openxmlformats.org/officeDocument/2006/relationships/hyperlink" Target="https://www.facebook.com/profile.php?id=100052234128959&amp;mibextid=LQQJ4d" TargetMode="External"/><Relationship Id="rId8438" Type="http://schemas.openxmlformats.org/officeDocument/2006/relationships/hyperlink" Target="https://www.facebook.com/ngocminh.tranthi.08?mibextid=LQQJ4d" TargetMode="External"/><Relationship Id="rId1825" Type="http://schemas.openxmlformats.org/officeDocument/2006/relationships/hyperlink" Target="https://drive.google.com/open?id=1uV8W74hMyG3uilg4e6_QCq8hDevLQ48o" TargetMode="External"/><Relationship Id="rId8852" Type="http://schemas.openxmlformats.org/officeDocument/2006/relationships/hyperlink" Target="https://www.facebook.com/longnhi.thach.1" TargetMode="External"/><Relationship Id="rId3997" Type="http://schemas.openxmlformats.org/officeDocument/2006/relationships/hyperlink" Target="https://drive.google.com/open?id=1v3GgAtcLQBc_mu8I12qN7_4DQezke4ID" TargetMode="External"/><Relationship Id="rId6056" Type="http://schemas.openxmlformats.org/officeDocument/2006/relationships/hyperlink" Target="https://www.facebook.com/thanthuong.bo.2k6?mibextid=ZbWKwL" TargetMode="External"/><Relationship Id="rId7454" Type="http://schemas.openxmlformats.org/officeDocument/2006/relationships/hyperlink" Target="https://www.facebook.com/profile.php?id=100094377247507" TargetMode="External"/><Relationship Id="rId8505" Type="http://schemas.openxmlformats.org/officeDocument/2006/relationships/hyperlink" Target="https://www.facebook.com/minhhangg84?mibextid=LQQJ4d" TargetMode="External"/><Relationship Id="rId2599" Type="http://schemas.openxmlformats.org/officeDocument/2006/relationships/hyperlink" Target="https://www.facebook.com/profile.php?id=100032486327563" TargetMode="External"/><Relationship Id="rId6470" Type="http://schemas.openxmlformats.org/officeDocument/2006/relationships/hyperlink" Target="https://drive.google.com/open?id=1KNZT7L2AFQqYWkLMjaM42n8s75cy_fO1" TargetMode="External"/><Relationship Id="rId7107" Type="http://schemas.openxmlformats.org/officeDocument/2006/relationships/hyperlink" Target="https://www.facebook.com/profile.php?id=100046937511258&amp;mibextid=LQQJ4d" TargetMode="External"/><Relationship Id="rId7521" Type="http://schemas.openxmlformats.org/officeDocument/2006/relationships/hyperlink" Target="https://www.facebook.com/profile.php?id=100022588639264&amp;mibextid=LQQJ4d" TargetMode="External"/><Relationship Id="rId985" Type="http://schemas.openxmlformats.org/officeDocument/2006/relationships/hyperlink" Target="https://drive.google.com/open?id=1ujeLhaB9TGbDSI7ZfOqj0fm_7ED5E8lO" TargetMode="External"/><Relationship Id="rId2666" Type="http://schemas.openxmlformats.org/officeDocument/2006/relationships/hyperlink" Target="https://www.facebook.com/profile.php?id=100016663984094" TargetMode="External"/><Relationship Id="rId3717" Type="http://schemas.openxmlformats.org/officeDocument/2006/relationships/hyperlink" Target="https://www.facebook.com/do.phuong.thao.278?mibextid=LQQJ4d" TargetMode="External"/><Relationship Id="rId5072" Type="http://schemas.openxmlformats.org/officeDocument/2006/relationships/hyperlink" Target="https://www.facebook.com/profile.php?id=100047493007773" TargetMode="External"/><Relationship Id="rId6123" Type="http://schemas.openxmlformats.org/officeDocument/2006/relationships/hyperlink" Target="https://www.facebook.com/tuanhung.nguyentran.1?mibextid=LQQJ4d" TargetMode="External"/><Relationship Id="rId9279" Type="http://schemas.openxmlformats.org/officeDocument/2006/relationships/hyperlink" Target="https://www.facebook.com/share/18cc9guf7u/?mibextid=wwXIfr" TargetMode="External"/><Relationship Id="rId638" Type="http://schemas.openxmlformats.org/officeDocument/2006/relationships/hyperlink" Target="https://drive.google.com/open?id=1dHnjBBMLV6uXuf-MYt17l-PE1sD82syU" TargetMode="External"/><Relationship Id="rId1268" Type="http://schemas.openxmlformats.org/officeDocument/2006/relationships/hyperlink" Target="https://www.facebook.com/ptd.42?mibextid=ZbWKwL" TargetMode="External"/><Relationship Id="rId1682" Type="http://schemas.openxmlformats.org/officeDocument/2006/relationships/hyperlink" Target="https://www.facebook.com/profile.php?id=100078041570900&amp;mibextid=LQQJ4d" TargetMode="External"/><Relationship Id="rId2319" Type="http://schemas.openxmlformats.org/officeDocument/2006/relationships/hyperlink" Target="https://www.facebook.com/lee.hoang.10441?mibextid=ZbWKwL" TargetMode="External"/><Relationship Id="rId2733" Type="http://schemas.openxmlformats.org/officeDocument/2006/relationships/hyperlink" Target="https://drive.google.com/open?id=1eyqXrbOf5aObr9_lrYdSxjmwbUhhe3a_" TargetMode="External"/><Relationship Id="rId5889" Type="http://schemas.openxmlformats.org/officeDocument/2006/relationships/hyperlink" Target="https://www.facebook.com/profile.php?id=100042999638025" TargetMode="External"/><Relationship Id="rId8295" Type="http://schemas.openxmlformats.org/officeDocument/2006/relationships/hyperlink" Target="https://drive.google.com/open?id=1wFxAoR04PpYhOpfHtn2w7_ZMkZr0CTeo" TargetMode="External"/><Relationship Id="rId9346" Type="http://schemas.openxmlformats.org/officeDocument/2006/relationships/hyperlink" Target="https://www.facebook.com/tlinhz.19?mibextid=LQQJ4d" TargetMode="External"/><Relationship Id="rId705" Type="http://schemas.openxmlformats.org/officeDocument/2006/relationships/hyperlink" Target="https://drive.google.com/open?id=1UdkxtQekBVJiOIKmvyQKKPyLdNiEt2X4" TargetMode="External"/><Relationship Id="rId1335" Type="http://schemas.openxmlformats.org/officeDocument/2006/relationships/hyperlink" Target="https://www.facebook.com/profile.php?id=100012514540453" TargetMode="External"/><Relationship Id="rId8362" Type="http://schemas.openxmlformats.org/officeDocument/2006/relationships/hyperlink" Target="https://www.facebook.com/profile.php?id=100073090266680&amp;mibextid=LQQJ4d" TargetMode="External"/><Relationship Id="rId9413" Type="http://schemas.openxmlformats.org/officeDocument/2006/relationships/hyperlink" Target="https://drive.google.com/open?id=1aMV_srdC6GDE3MQAYFxR9QNcg0qi9GLI" TargetMode="External"/><Relationship Id="rId2800" Type="http://schemas.openxmlformats.org/officeDocument/2006/relationships/hyperlink" Target="https://www.facebook.com/profile.php?id=100016840446932&amp;mibextid=7cd5pb" TargetMode="External"/><Relationship Id="rId5956" Type="http://schemas.openxmlformats.org/officeDocument/2006/relationships/hyperlink" Target="https://www.facebook.com/profile.php?id=100079187075809&amp;mibextid=LQQJ4d" TargetMode="External"/><Relationship Id="rId8015" Type="http://schemas.openxmlformats.org/officeDocument/2006/relationships/hyperlink" Target="https://www.facebook.com/profile.php?id=100074522943025&amp;mibextid=LQQJ4d&amp;mibextid=LQQJ4d" TargetMode="External"/><Relationship Id="rId41" Type="http://schemas.openxmlformats.org/officeDocument/2006/relationships/hyperlink" Target="https://drive.google.com/open?id=1W4Iy46SILVt58N0zezI4Igj4E-V5BiBZ" TargetMode="External"/><Relationship Id="rId1402" Type="http://schemas.openxmlformats.org/officeDocument/2006/relationships/hyperlink" Target="https://www.facebook.com/profile.php?id=100014397455858&amp;mibextid=ZbWKwL" TargetMode="External"/><Relationship Id="rId4558" Type="http://schemas.openxmlformats.org/officeDocument/2006/relationships/hyperlink" Target="https://drive.google.com/open?id=1Qh7sr0q6Kcrehz8Xos3keL_icAs5-cOP" TargetMode="External"/><Relationship Id="rId4972" Type="http://schemas.openxmlformats.org/officeDocument/2006/relationships/hyperlink" Target="https://www.facebook.com/kienvutrann?mibextid=ZbWKwL" TargetMode="External"/><Relationship Id="rId5609" Type="http://schemas.openxmlformats.org/officeDocument/2006/relationships/hyperlink" Target="https://www.facebook.com/profile.php?id=100021829232455" TargetMode="External"/><Relationship Id="rId7031" Type="http://schemas.openxmlformats.org/officeDocument/2006/relationships/hyperlink" Target="https://www.facebook.com/profile.php?id=100074378605055&amp;mibextid=LQQJ4d" TargetMode="External"/><Relationship Id="rId3574" Type="http://schemas.openxmlformats.org/officeDocument/2006/relationships/hyperlink" Target="https://www.facebook.com/profile.php?id=100074764418449&amp;mibextid=LQQJ4d" TargetMode="External"/><Relationship Id="rId4625" Type="http://schemas.openxmlformats.org/officeDocument/2006/relationships/hyperlink" Target="https://www.facebook.com/maixuan.nguyen.39982" TargetMode="External"/><Relationship Id="rId495" Type="http://schemas.openxmlformats.org/officeDocument/2006/relationships/hyperlink" Target="https://www.facebook.com/Lethuha.xg" TargetMode="External"/><Relationship Id="rId2176" Type="http://schemas.openxmlformats.org/officeDocument/2006/relationships/hyperlink" Target="https://www.facebook.com/profile.php?id=100073517382609&amp;mibextid=LQQJ4d" TargetMode="External"/><Relationship Id="rId2590" Type="http://schemas.openxmlformats.org/officeDocument/2006/relationships/hyperlink" Target="https://www.facebook.com/profile.php?id=100015260144680&amp;mibextid=ZbWKwL" TargetMode="External"/><Relationship Id="rId3227" Type="http://schemas.openxmlformats.org/officeDocument/2006/relationships/hyperlink" Target="https://drive.google.com/open?id=1nYYfmo4XGdOTIFNd9I68t7nKu5Rmz7i5" TargetMode="External"/><Relationship Id="rId3641" Type="http://schemas.openxmlformats.org/officeDocument/2006/relationships/hyperlink" Target="https://www.facebook.com/profile.php?id=100033652637820&amp;mibextid=ZbWKwL" TargetMode="External"/><Relationship Id="rId6797" Type="http://schemas.openxmlformats.org/officeDocument/2006/relationships/hyperlink" Target="https://www.facebook.com/profile.php?id=100079245636594" TargetMode="External"/><Relationship Id="rId7848" Type="http://schemas.openxmlformats.org/officeDocument/2006/relationships/hyperlink" Target="https://www.facebook.com/haquang.nghia.10?mibextid=LQQJ4d" TargetMode="External"/><Relationship Id="rId148" Type="http://schemas.openxmlformats.org/officeDocument/2006/relationships/hyperlink" Target="https://drive.google.com/open?id=15ypXxLLfx6-84oaXvq49EWbBqPqM937S" TargetMode="External"/><Relationship Id="rId562" Type="http://schemas.openxmlformats.org/officeDocument/2006/relationships/hyperlink" Target="https://www.facebook.com/ngan.tathi.771" TargetMode="External"/><Relationship Id="rId1192" Type="http://schemas.openxmlformats.org/officeDocument/2006/relationships/hyperlink" Target="https://www.facebook.com/haiyen.1192005" TargetMode="External"/><Relationship Id="rId2243" Type="http://schemas.openxmlformats.org/officeDocument/2006/relationships/hyperlink" Target="https://drive.google.com/open?id=1JAkes-ShnqFswILWvz4IaAeHngGmzsjZ" TargetMode="External"/><Relationship Id="rId5399" Type="http://schemas.openxmlformats.org/officeDocument/2006/relationships/hyperlink" Target="https://www.facebook.com/profile.php?id=100074376703016&amp;mibextid=LQQJ4d" TargetMode="External"/><Relationship Id="rId6864" Type="http://schemas.openxmlformats.org/officeDocument/2006/relationships/hyperlink" Target="https://drive.google.com/open?id=1P-5tJmMxc59ZQGNgu5OMZi79TDTYv0NA" TargetMode="External"/><Relationship Id="rId7915" Type="http://schemas.openxmlformats.org/officeDocument/2006/relationships/hyperlink" Target="https://www.facebook.com/profile.php?id=100078115046747&amp;mibextid=LQQJ4d" TargetMode="External"/><Relationship Id="rId9270" Type="http://schemas.openxmlformats.org/officeDocument/2006/relationships/hyperlink" Target="https://www.facebook.com/thuthuy.nt.332" TargetMode="External"/><Relationship Id="rId215" Type="http://schemas.openxmlformats.org/officeDocument/2006/relationships/hyperlink" Target="https://drive.google.com/open?id=1GZL9pxPkWh3Em9rJsLlcUx3Z4gHIrpB1" TargetMode="External"/><Relationship Id="rId2310" Type="http://schemas.openxmlformats.org/officeDocument/2006/relationships/hyperlink" Target="https://drive.google.com/open?id=1EBVh4373bb-Zm_sTWJBm2u5rFmwggNgd" TargetMode="External"/><Relationship Id="rId5466" Type="http://schemas.openxmlformats.org/officeDocument/2006/relationships/hyperlink" Target="https://www.facebook.com/ann.phamxuan.56" TargetMode="External"/><Relationship Id="rId6517" Type="http://schemas.openxmlformats.org/officeDocument/2006/relationships/hyperlink" Target="https://www.facebook.com/profile.php?id=100047493007773" TargetMode="External"/><Relationship Id="rId4068" Type="http://schemas.openxmlformats.org/officeDocument/2006/relationships/hyperlink" Target="https://drive.google.com/open?id=1i3UBpmp6gyVHvvPegzd5fgM38DCQyfY5" TargetMode="External"/><Relationship Id="rId4482" Type="http://schemas.openxmlformats.org/officeDocument/2006/relationships/hyperlink" Target="https://www.facebook.com/profile.php?id=100032637979147" TargetMode="External"/><Relationship Id="rId5119" Type="http://schemas.openxmlformats.org/officeDocument/2006/relationships/hyperlink" Target="https://www.facebook.com/huong.cat.583?mibextid=kFxxJD" TargetMode="External"/><Relationship Id="rId5880" Type="http://schemas.openxmlformats.org/officeDocument/2006/relationships/hyperlink" Target="https://www.facebook.com/profile.php?id=100016511880303" TargetMode="External"/><Relationship Id="rId6931" Type="http://schemas.openxmlformats.org/officeDocument/2006/relationships/hyperlink" Target="https://www.facebook.com/profile.php?id=100026591790661&amp;mibextid=LQQJ4d" TargetMode="External"/><Relationship Id="rId3084" Type="http://schemas.openxmlformats.org/officeDocument/2006/relationships/hyperlink" Target="https://www.facebook.com/profile.php?id=100087957833842&amp;mibextid=LQQJ4d" TargetMode="External"/><Relationship Id="rId4135" Type="http://schemas.openxmlformats.org/officeDocument/2006/relationships/hyperlink" Target="https://www.facebook.com/profile.php?id=100055194502788&amp;mibextid=LQQJ4d" TargetMode="External"/><Relationship Id="rId5533" Type="http://schemas.openxmlformats.org/officeDocument/2006/relationships/hyperlink" Target="https://drive.google.com/open?id=1OkNXHbPm5LJ--z5O9AbNlXj8MPNbeYE9" TargetMode="External"/><Relationship Id="rId8689" Type="http://schemas.openxmlformats.org/officeDocument/2006/relationships/hyperlink" Target="https://www.facebook.com/dienmoiibaczang?mibextid=LQQJ4d" TargetMode="External"/><Relationship Id="rId1729" Type="http://schemas.openxmlformats.org/officeDocument/2006/relationships/hyperlink" Target="https://www.facebook.com/profile.php?id=100042893208693&amp;mibextid=LQQJ4d" TargetMode="External"/><Relationship Id="rId5600" Type="http://schemas.openxmlformats.org/officeDocument/2006/relationships/hyperlink" Target="https://www.facebook.com/aduanhpham?mibextid=ZbWKwL" TargetMode="External"/><Relationship Id="rId8756" Type="http://schemas.openxmlformats.org/officeDocument/2006/relationships/hyperlink" Target="https://web.facebook.com/camanhh96?mibextid=wwXIfr&amp;rdid=EaJObfDKD7TaTbaS&amp;share_url=https%3A%2F%2Fweb.facebook.com%2Fshare%2F1YaqXaKPNT%2F%3Fmibextid%3DwwXIfr%26_rdc%3D1%26_rdr" TargetMode="External"/><Relationship Id="rId3151" Type="http://schemas.openxmlformats.org/officeDocument/2006/relationships/hyperlink" Target="https://www.facebook.com/profile.php?id=100035926786530" TargetMode="External"/><Relationship Id="rId4202" Type="http://schemas.openxmlformats.org/officeDocument/2006/relationships/hyperlink" Target="https://www.facebook.com/mphwng.1" TargetMode="External"/><Relationship Id="rId7358" Type="http://schemas.openxmlformats.org/officeDocument/2006/relationships/hyperlink" Target="https://www.facebook.com/people/Lan-Anh/pfbid0VGMvgyHXgnEx1jnjUS859ehBAccA9W2tJBy7fxXT4NJPLKeoqMqjr83PFhijvff9l/" TargetMode="External"/><Relationship Id="rId7772" Type="http://schemas.openxmlformats.org/officeDocument/2006/relationships/hyperlink" Target="https://www.facebook.com/profile.php?id=100038480581798" TargetMode="External"/><Relationship Id="rId8409" Type="http://schemas.openxmlformats.org/officeDocument/2006/relationships/hyperlink" Target="https://drive.google.com/open?id=1fsK0KRi-GMyzeYaD_qoDm322xD1QuYML" TargetMode="External"/><Relationship Id="rId8823" Type="http://schemas.openxmlformats.org/officeDocument/2006/relationships/hyperlink" Target="https://www.facebook.com/profile.php?id=100034721226509" TargetMode="External"/><Relationship Id="rId3968" Type="http://schemas.openxmlformats.org/officeDocument/2006/relationships/hyperlink" Target="https://www.facebook.com/senorita310801?mibextid=ZbWKwL" TargetMode="External"/><Relationship Id="rId6374" Type="http://schemas.openxmlformats.org/officeDocument/2006/relationships/hyperlink" Target="https://www.facebook.com/profile.php?id=100047105530093&amp;mibextid=LQQJ4d" TargetMode="External"/><Relationship Id="rId7425" Type="http://schemas.openxmlformats.org/officeDocument/2006/relationships/hyperlink" Target="https://www.facebook.com/icua.06?mibextid=LQQJ4d" TargetMode="External"/><Relationship Id="rId5" Type="http://schemas.openxmlformats.org/officeDocument/2006/relationships/hyperlink" Target="https://www.facebook.com/profile.php?id=100050109202301" TargetMode="External"/><Relationship Id="rId889" Type="http://schemas.openxmlformats.org/officeDocument/2006/relationships/hyperlink" Target="https://drive.google.com/open?id=18P4fI9IqLqqGy2h_TFmnA_bTYnj1VFwi" TargetMode="External"/><Relationship Id="rId5390" Type="http://schemas.openxmlformats.org/officeDocument/2006/relationships/hyperlink" Target="https://www.facebook.com/ngockhanh.nguyenthi.5855?mibextid=LQQJ4d" TargetMode="External"/><Relationship Id="rId6027" Type="http://schemas.openxmlformats.org/officeDocument/2006/relationships/hyperlink" Target="https://drive.google.com/open?id=1TZAY_ypYqmlGWOZQUvouxW2ytYVvttj7" TargetMode="External"/><Relationship Id="rId6441" Type="http://schemas.openxmlformats.org/officeDocument/2006/relationships/hyperlink" Target="https://www.facebook.com/profile.php?id=100059533226726" TargetMode="External"/><Relationship Id="rId1586" Type="http://schemas.openxmlformats.org/officeDocument/2006/relationships/hyperlink" Target="https://www.facebook.com/kanh.nguyen.75098364?mibextid=LQQJ4d" TargetMode="External"/><Relationship Id="rId2984" Type="http://schemas.openxmlformats.org/officeDocument/2006/relationships/hyperlink" Target="https://www.facebook.com/profile.php?id=100016243144447" TargetMode="External"/><Relationship Id="rId5043" Type="http://schemas.openxmlformats.org/officeDocument/2006/relationships/hyperlink" Target="https://drive.google.com/open?id=1G9P2cQiZnNvSYeBnOtyosmmd9F8BCgmx" TargetMode="External"/><Relationship Id="rId8199" Type="http://schemas.openxmlformats.org/officeDocument/2006/relationships/hyperlink" Target="https://drive.google.com/open?id=1B4B7MOaP2fmUjuLUEWz1jc36_jXtSjzB" TargetMode="External"/><Relationship Id="rId609" Type="http://schemas.openxmlformats.org/officeDocument/2006/relationships/hyperlink" Target="https://drive.google.com/open?id=1d65qXtjQh_1jSYK9ooQ6rYcGDgyu290K" TargetMode="External"/><Relationship Id="rId956" Type="http://schemas.openxmlformats.org/officeDocument/2006/relationships/hyperlink" Target="https://drive.google.com/open?id=1s8wAhT2HyKRVeZux18nupVHUjzuVfpVS" TargetMode="External"/><Relationship Id="rId1239" Type="http://schemas.openxmlformats.org/officeDocument/2006/relationships/hyperlink" Target="https://www.facebook.com/profile.php?id=100035868532783&amp;mibextid=ZbWKwL" TargetMode="External"/><Relationship Id="rId2637" Type="http://schemas.openxmlformats.org/officeDocument/2006/relationships/hyperlink" Target="https://www.facebook.com/vodlkathai?mibextid=ZbWKwL" TargetMode="External"/><Relationship Id="rId5110" Type="http://schemas.openxmlformats.org/officeDocument/2006/relationships/hyperlink" Target="https://drive.google.com/open?id=1suoa78T-tteS1JIb6vwiAi-kO48F44d7" TargetMode="External"/><Relationship Id="rId8266" Type="http://schemas.openxmlformats.org/officeDocument/2006/relationships/hyperlink" Target="https://drive.google.com/open?id=13bwU1r41X6BXwcf3joYSR1N5lGoERZcY" TargetMode="External"/><Relationship Id="rId9317" Type="http://schemas.openxmlformats.org/officeDocument/2006/relationships/hyperlink" Target="https://www.facebook.com/profile.php?id=100021829232455" TargetMode="External"/><Relationship Id="rId1653" Type="http://schemas.openxmlformats.org/officeDocument/2006/relationships/hyperlink" Target="https://www.facebook.com/profile.php?id=100073546531560&amp;mibextid=ZbWKwL" TargetMode="External"/><Relationship Id="rId2704" Type="http://schemas.openxmlformats.org/officeDocument/2006/relationships/hyperlink" Target="https://www.facebook.com/khanhvi.nguyen.5623" TargetMode="External"/><Relationship Id="rId8680" Type="http://schemas.openxmlformats.org/officeDocument/2006/relationships/hyperlink" Target="https://drive.google.com/open?id=1AP9sJ_vigVHynZdFLKHMNRo_BxaSylJO" TargetMode="External"/><Relationship Id="rId1306" Type="http://schemas.openxmlformats.org/officeDocument/2006/relationships/hyperlink" Target="https://drive.google.com/open?id=17O7Uf_oUTrOp2s7iXNw90jzbV-4ZyREl" TargetMode="External"/><Relationship Id="rId1720" Type="http://schemas.openxmlformats.org/officeDocument/2006/relationships/hyperlink" Target="https://drive.google.com/open?id=1q3k5WfNl5gdEOsNCLo_PDdSGhiae_FCE" TargetMode="External"/><Relationship Id="rId4876" Type="http://schemas.openxmlformats.org/officeDocument/2006/relationships/hyperlink" Target="https://www.facebook.com/profile.php?id=100039847129152&amp;mibextid=LQQJ4d" TargetMode="External"/><Relationship Id="rId5927" Type="http://schemas.openxmlformats.org/officeDocument/2006/relationships/hyperlink" Target="https://www.facebook.com/phuonggggggggg2006?mibextid=LQQJ4d" TargetMode="External"/><Relationship Id="rId7282" Type="http://schemas.openxmlformats.org/officeDocument/2006/relationships/hyperlink" Target="https://www.facebook.com/profile.php?id=100015172781227&amp;mibextid=LQQJ4d" TargetMode="External"/><Relationship Id="rId8333" Type="http://schemas.openxmlformats.org/officeDocument/2006/relationships/hyperlink" Target="https://drive.google.com/open?id=1PP3uXTEWsfMlf-3SG3RoTMY3n0PG4a6T" TargetMode="External"/><Relationship Id="rId12" Type="http://schemas.openxmlformats.org/officeDocument/2006/relationships/hyperlink" Target="https://drive.google.com/open?id=1E_QLgH-NGlShX4r7jOI7Yxue2jVG5A3o" TargetMode="External"/><Relationship Id="rId3478" Type="http://schemas.openxmlformats.org/officeDocument/2006/relationships/hyperlink" Target="https://drive.google.com/open?id=1efkAbwmekCiNpfbxq-CnXw1-Vloy7IQJ" TargetMode="External"/><Relationship Id="rId3892" Type="http://schemas.openxmlformats.org/officeDocument/2006/relationships/hyperlink" Target="https://www.facebook.com/vuthi.maiphuong.2606?mibextid=LQQJ4d" TargetMode="External"/><Relationship Id="rId4529" Type="http://schemas.openxmlformats.org/officeDocument/2006/relationships/hyperlink" Target="https://www.facebook.com/profile.php?id=100014980324102&amp;mibextid=LQQJ4d" TargetMode="External"/><Relationship Id="rId4943" Type="http://schemas.openxmlformats.org/officeDocument/2006/relationships/hyperlink" Target="https://www.facebook.com/profile.php?id=100074217194969&amp;mibextid=ZbWKwL" TargetMode="External"/><Relationship Id="rId8400" Type="http://schemas.openxmlformats.org/officeDocument/2006/relationships/hyperlink" Target="https://drive.google.com/open?id=1w8hyh1WZhNVyfpkX0uaGAvKygb8Gb5fy" TargetMode="External"/><Relationship Id="rId399" Type="http://schemas.openxmlformats.org/officeDocument/2006/relationships/hyperlink" Target="https://drive.google.com/open?id=1AfC-qcG7x07f_R1yVWYSlNWJ9EMdkPW9" TargetMode="External"/><Relationship Id="rId2494" Type="http://schemas.openxmlformats.org/officeDocument/2006/relationships/hyperlink" Target="https://drive.google.com/open?id=1hrfzm8RYhyrMuWu3cNpR4O3nLnlsi3aD" TargetMode="External"/><Relationship Id="rId3545" Type="http://schemas.openxmlformats.org/officeDocument/2006/relationships/hyperlink" Target="https://drive.google.com/open?id=1K_xrZ-es2EMNC_8i9ZrOqTAFwivS7vD_" TargetMode="External"/><Relationship Id="rId7002" Type="http://schemas.openxmlformats.org/officeDocument/2006/relationships/hyperlink" Target="https://www.facebook.com/profile.php?id=100061058332448&amp;mibextid=ZbWKwL" TargetMode="External"/><Relationship Id="rId466" Type="http://schemas.openxmlformats.org/officeDocument/2006/relationships/hyperlink" Target="https://www.facebook.com/profile.php?id=100026555210524&amp;mibextid=LQQJ4d" TargetMode="External"/><Relationship Id="rId880" Type="http://schemas.openxmlformats.org/officeDocument/2006/relationships/hyperlink" Target="https://www.facebook.com/vum27557" TargetMode="External"/><Relationship Id="rId1096" Type="http://schemas.openxmlformats.org/officeDocument/2006/relationships/hyperlink" Target="https://drive.google.com/open?id=1rjcwkwE6EmqWZDFtryaDWCZGbUay7uH6" TargetMode="External"/><Relationship Id="rId2147" Type="http://schemas.openxmlformats.org/officeDocument/2006/relationships/hyperlink" Target="https://drive.google.com/open?id=1gD2lawDVw6KQsuTObAhocp5w2ydaD7NX" TargetMode="External"/><Relationship Id="rId2561" Type="http://schemas.openxmlformats.org/officeDocument/2006/relationships/hyperlink" Target="https://www.facebook.com/profile.php?id=100048033708706&amp;mibextid=LQQJ4d" TargetMode="External"/><Relationship Id="rId9174" Type="http://schemas.openxmlformats.org/officeDocument/2006/relationships/hyperlink" Target="https://www.facebook.com/profile.php?id=100074960386103&amp;mibextid=LQQJ4d" TargetMode="External"/><Relationship Id="rId119" Type="http://schemas.openxmlformats.org/officeDocument/2006/relationships/hyperlink" Target="https://drive.google.com/open?id=163PouyxNGKMOMV9uRb_6NxbcHoiCqVUc" TargetMode="External"/><Relationship Id="rId533" Type="http://schemas.openxmlformats.org/officeDocument/2006/relationships/hyperlink" Target="https://drive.google.com/open?id=1xrTbumJP3Y2IKu0LGc8MFORY7GU_c-Wl" TargetMode="External"/><Relationship Id="rId1163" Type="http://schemas.openxmlformats.org/officeDocument/2006/relationships/hyperlink" Target="https://www.facebook.com/profile.php?id=100042279292111&amp;mibextid=LQQJ4d" TargetMode="External"/><Relationship Id="rId2214" Type="http://schemas.openxmlformats.org/officeDocument/2006/relationships/hyperlink" Target="https://drive.google.com/open?id=1qdqRWT0KfWZMNLGrQ1sUOPQySe3UHeij" TargetMode="External"/><Relationship Id="rId3612" Type="http://schemas.openxmlformats.org/officeDocument/2006/relationships/hyperlink" Target="https://www.facebook.com/profile.php?id=100043200883237&amp;mibextid=kFxxJD" TargetMode="External"/><Relationship Id="rId6768" Type="http://schemas.openxmlformats.org/officeDocument/2006/relationships/hyperlink" Target="https://www.facebook.com/profile.php?id=100041695456674" TargetMode="External"/><Relationship Id="rId7819" Type="http://schemas.openxmlformats.org/officeDocument/2006/relationships/hyperlink" Target="https://drive.google.com/open?id=1v81optcwWHIdrV32VeqeBgju7kBWo1b7" TargetMode="External"/><Relationship Id="rId8190" Type="http://schemas.openxmlformats.org/officeDocument/2006/relationships/hyperlink" Target="https://www.facebook.com/hong.ngoc.354041" TargetMode="External"/><Relationship Id="rId9241" Type="http://schemas.openxmlformats.org/officeDocument/2006/relationships/hyperlink" Target="https://drive.google.com/open?id=1gbkZCHN0maiv7REMGCyijf6ic2G656Ou" TargetMode="External"/><Relationship Id="rId5784" Type="http://schemas.openxmlformats.org/officeDocument/2006/relationships/hyperlink" Target="https://drive.google.com/open?id=1i7nxrdpzyiIOanP-4zBHMwjtMqvX9xis" TargetMode="External"/><Relationship Id="rId6835" Type="http://schemas.openxmlformats.org/officeDocument/2006/relationships/hyperlink" Target="https://www.facebook.com/t.tt1426hj?mibextid=ZbWKwL" TargetMode="External"/><Relationship Id="rId600" Type="http://schemas.openxmlformats.org/officeDocument/2006/relationships/hyperlink" Target="https://www.facebook.com/kim.teahyung.31149359?mibextid=ZbWKwL" TargetMode="External"/><Relationship Id="rId1230" Type="http://schemas.openxmlformats.org/officeDocument/2006/relationships/hyperlink" Target="https://www.facebook.com/profile.php?id=100009705362776&amp;mibextid=LQQJ4d" TargetMode="External"/><Relationship Id="rId4386" Type="http://schemas.openxmlformats.org/officeDocument/2006/relationships/hyperlink" Target="https://www.facebook.com/profile.php?id=100068878085657&amp;mibextid=LQQJ4d" TargetMode="External"/><Relationship Id="rId5437" Type="http://schemas.openxmlformats.org/officeDocument/2006/relationships/hyperlink" Target="https://www.facebook.com/profile.php?id=100079514685688&amp;mibextid=ZbWKwL" TargetMode="External"/><Relationship Id="rId5851" Type="http://schemas.openxmlformats.org/officeDocument/2006/relationships/hyperlink" Target="https://www.facebook.com/profile.php?id=100023629125085" TargetMode="External"/><Relationship Id="rId6902" Type="http://schemas.openxmlformats.org/officeDocument/2006/relationships/hyperlink" Target="https://www.facebook.com/5.lymikay?mibextid=LQQJ4d" TargetMode="External"/><Relationship Id="rId4039" Type="http://schemas.openxmlformats.org/officeDocument/2006/relationships/hyperlink" Target="https://www.facebook.com/thuuhienn25" TargetMode="External"/><Relationship Id="rId4453" Type="http://schemas.openxmlformats.org/officeDocument/2006/relationships/hyperlink" Target="https://drive.google.com/open?id=1SK2x-xTeYcwee8V34BOS1yo8vywh0E-7" TargetMode="External"/><Relationship Id="rId5504" Type="http://schemas.openxmlformats.org/officeDocument/2006/relationships/hyperlink" Target="https://www.facebook.com/profile.php?id=100026601651747&amp;mibextid=LQQJ4d" TargetMode="External"/><Relationship Id="rId3055" Type="http://schemas.openxmlformats.org/officeDocument/2006/relationships/hyperlink" Target="https://www.facebook.com/profile.php?id=100026819957669" TargetMode="External"/><Relationship Id="rId4106" Type="http://schemas.openxmlformats.org/officeDocument/2006/relationships/hyperlink" Target="https://www.facebook.com/chang912005?mibextid=ZbWKwL" TargetMode="External"/><Relationship Id="rId4520" Type="http://schemas.openxmlformats.org/officeDocument/2006/relationships/hyperlink" Target="https://drive.google.com/open?id=1zXU_Px9uMzNNi1Vs4tgswsVB95CCV1Ti" TargetMode="External"/><Relationship Id="rId7676" Type="http://schemas.openxmlformats.org/officeDocument/2006/relationships/hyperlink" Target="https://www.facebook.com/share/19vA3coMRf/?mibextid=LQQJ4d" TargetMode="External"/><Relationship Id="rId8727" Type="http://schemas.openxmlformats.org/officeDocument/2006/relationships/hyperlink" Target="https://www.facebook.com/tommydangonbai?mibextid=ZbWKwL" TargetMode="External"/><Relationship Id="rId390" Type="http://schemas.openxmlformats.org/officeDocument/2006/relationships/hyperlink" Target="https://www.facebook.com/hallo.minhf.laf.Di.ddaay?mibextid=D4KYlr" TargetMode="External"/><Relationship Id="rId2071" Type="http://schemas.openxmlformats.org/officeDocument/2006/relationships/hyperlink" Target="https://www.facebook.com/bile7662?mibextid=ZbWKwL" TargetMode="External"/><Relationship Id="rId3122" Type="http://schemas.openxmlformats.org/officeDocument/2006/relationships/hyperlink" Target="https://www.facebook.com/nguyen.quoctrung.98096" TargetMode="External"/><Relationship Id="rId6278" Type="http://schemas.openxmlformats.org/officeDocument/2006/relationships/hyperlink" Target="https://www.facebook.com/thphuongs?mibextid=LQQJ4d" TargetMode="External"/><Relationship Id="rId6692" Type="http://schemas.openxmlformats.org/officeDocument/2006/relationships/hyperlink" Target="https://www.facebook.com/pmq258?mibextid=ZbWKwL" TargetMode="External"/><Relationship Id="rId7329" Type="http://schemas.openxmlformats.org/officeDocument/2006/relationships/hyperlink" Target="https://www.facebook.com/profile.php?id=100081510570274&amp;mibextid=LQQJ4d" TargetMode="External"/><Relationship Id="rId5294" Type="http://schemas.openxmlformats.org/officeDocument/2006/relationships/hyperlink" Target="https://www.facebook.com/profile.php?id=100015782592389&amp;mibextid=LQQJ4d" TargetMode="External"/><Relationship Id="rId6345" Type="http://schemas.openxmlformats.org/officeDocument/2006/relationships/hyperlink" Target="https://drive.google.com/open?id=1FO7wQUfHifgi8cd8w4oxAeosuGhJcKBE" TargetMode="External"/><Relationship Id="rId7743" Type="http://schemas.openxmlformats.org/officeDocument/2006/relationships/hyperlink" Target="https://www.facebook.com/hoai.laithithu.12" TargetMode="External"/><Relationship Id="rId110" Type="http://schemas.openxmlformats.org/officeDocument/2006/relationships/hyperlink" Target="https://www.facebook.com/profile.php?id=100068901310447&amp;mibextid=LQQJ4d" TargetMode="External"/><Relationship Id="rId2888" Type="http://schemas.openxmlformats.org/officeDocument/2006/relationships/hyperlink" Target="https://www.facebook.com/kookie.huyen.5832?mibextid=LQQJ4d" TargetMode="External"/><Relationship Id="rId3939" Type="http://schemas.openxmlformats.org/officeDocument/2006/relationships/hyperlink" Target="https://www.facebook.com/loai.lac.7568?mibextid=LQQJ4d" TargetMode="External"/><Relationship Id="rId7810" Type="http://schemas.openxmlformats.org/officeDocument/2006/relationships/hyperlink" Target="https://www.facebook.com/nguyen.trong.tuan.774762/" TargetMode="External"/><Relationship Id="rId2955" Type="http://schemas.openxmlformats.org/officeDocument/2006/relationships/hyperlink" Target="https://www.facebook.com/thanhxuandey?mibextid=LQQJ4d" TargetMode="External"/><Relationship Id="rId5361" Type="http://schemas.openxmlformats.org/officeDocument/2006/relationships/hyperlink" Target="https://www.facebook.com/5nabii?mibextid=LQQJ4d" TargetMode="External"/><Relationship Id="rId6412" Type="http://schemas.openxmlformats.org/officeDocument/2006/relationships/hyperlink" Target="https://drive.google.com/open?id=1-QN2RzIMaQPMk4eG8z2azleXQSY1FkhF" TargetMode="External"/><Relationship Id="rId9568" Type="http://schemas.openxmlformats.org/officeDocument/2006/relationships/hyperlink" Target="https://drive.google.com/open?id=1zsVMrQj_uOAuugFPBuqdKKfQ3amVlwLd" TargetMode="External"/><Relationship Id="rId927" Type="http://schemas.openxmlformats.org/officeDocument/2006/relationships/hyperlink" Target="https://www.facebook.com/ngocvinh199" TargetMode="External"/><Relationship Id="rId1557" Type="http://schemas.openxmlformats.org/officeDocument/2006/relationships/hyperlink" Target="https://drive.google.com/open?id=1nTYVbBJPkllghAi6hV-LDYco5EG96tsp" TargetMode="External"/><Relationship Id="rId1971" Type="http://schemas.openxmlformats.org/officeDocument/2006/relationships/hyperlink" Target="https://drive.google.com/open?id=1_vzpGc6hzIYlmxrfdtbAbkfNhg3G7keV" TargetMode="External"/><Relationship Id="rId2608" Type="http://schemas.openxmlformats.org/officeDocument/2006/relationships/hyperlink" Target="https://www.facebook.com/100079707937410/" TargetMode="External"/><Relationship Id="rId5014" Type="http://schemas.openxmlformats.org/officeDocument/2006/relationships/hyperlink" Target="https://drive.google.com/open?id=1yXVx0RGqGTftXiEIN7JaNtEQPSBo46XT" TargetMode="External"/><Relationship Id="rId8584" Type="http://schemas.openxmlformats.org/officeDocument/2006/relationships/hyperlink" Target="https://www.facebook.com/profile.php?id=100050964512037" TargetMode="External"/><Relationship Id="rId1624" Type="http://schemas.openxmlformats.org/officeDocument/2006/relationships/hyperlink" Target="https://drive.google.com/open?id=1Th3EK-DXy6vpSbkktH5fiEQ_oxeZBoNf" TargetMode="External"/><Relationship Id="rId4030" Type="http://schemas.openxmlformats.org/officeDocument/2006/relationships/hyperlink" Target="https://www.facebook.com/profile.php?id=100053662267933" TargetMode="External"/><Relationship Id="rId7186" Type="http://schemas.openxmlformats.org/officeDocument/2006/relationships/hyperlink" Target="https://www.facebook.com/profile.php?id=100038480581798" TargetMode="External"/><Relationship Id="rId8237" Type="http://schemas.openxmlformats.org/officeDocument/2006/relationships/hyperlink" Target="https://www.facebook.com/pham.hoan.549715" TargetMode="External"/><Relationship Id="rId8651" Type="http://schemas.openxmlformats.org/officeDocument/2006/relationships/hyperlink" Target="https://drive.google.com/open?id=1ZVjqM63FeXvElFbSKZkij7TjeyNZIUFV" TargetMode="External"/><Relationship Id="rId3796" Type="http://schemas.openxmlformats.org/officeDocument/2006/relationships/hyperlink" Target="https://www.facebook.com/xmathee?mibextid=LQQJ4d" TargetMode="External"/><Relationship Id="rId7253" Type="http://schemas.openxmlformats.org/officeDocument/2006/relationships/hyperlink" Target="https://drive.google.com/open?id=19j-dY3tZEqi7jV5KGqat5xTFih4-ZAsq" TargetMode="External"/><Relationship Id="rId8304" Type="http://schemas.openxmlformats.org/officeDocument/2006/relationships/hyperlink" Target="https://www.facebook.com/tumon06?mibextid=LQQJ4d" TargetMode="External"/><Relationship Id="rId2398" Type="http://schemas.openxmlformats.org/officeDocument/2006/relationships/hyperlink" Target="https://www.facebook.com/profile.php?id=100013239433059&amp;mibextid=LQQJ4d" TargetMode="External"/><Relationship Id="rId3449" Type="http://schemas.openxmlformats.org/officeDocument/2006/relationships/hyperlink" Target="https://drive.google.com/open?id=1pMucb37jljDStdHZT1b8F6RDEVlBGgY4" TargetMode="External"/><Relationship Id="rId4847" Type="http://schemas.openxmlformats.org/officeDocument/2006/relationships/hyperlink" Target="https://www.facebook.com/profile.php?id=100046426459114&amp;mibextid=LQQJ4d" TargetMode="External"/><Relationship Id="rId7320" Type="http://schemas.openxmlformats.org/officeDocument/2006/relationships/hyperlink" Target="https://www.facebook.com/mthang.hosint" TargetMode="External"/><Relationship Id="rId3863" Type="http://schemas.openxmlformats.org/officeDocument/2006/relationships/hyperlink" Target="https://www.facebook.com/profile.php?id=100055870506596&amp;mibextid=ZbWKwL" TargetMode="External"/><Relationship Id="rId4914" Type="http://schemas.openxmlformats.org/officeDocument/2006/relationships/hyperlink" Target="https://www.facebook.com/profile.php?id=100017148787985&amp;mibextid=LQQJ4d" TargetMode="External"/><Relationship Id="rId9078" Type="http://schemas.openxmlformats.org/officeDocument/2006/relationships/hyperlink" Target="https://www.facebook.com/phobietbay.tung.3?mibextid=LQQJ4d" TargetMode="External"/><Relationship Id="rId784" Type="http://schemas.openxmlformats.org/officeDocument/2006/relationships/hyperlink" Target="https://www.facebook.com/moctra2905?mibextid=LQQJ4d" TargetMode="External"/><Relationship Id="rId1067" Type="http://schemas.openxmlformats.org/officeDocument/2006/relationships/hyperlink" Target="https://www.facebook.com/trinh.giahan.3304" TargetMode="External"/><Relationship Id="rId2465" Type="http://schemas.openxmlformats.org/officeDocument/2006/relationships/hyperlink" Target="https://drive.google.com/open?id=1N-JrvQG_vqAG5pO6e5etsk2YBFwc2gvk" TargetMode="External"/><Relationship Id="rId3516" Type="http://schemas.openxmlformats.org/officeDocument/2006/relationships/hyperlink" Target="https://www.facebook.com/bii.ha.566148?mibextid=9R9pXO" TargetMode="External"/><Relationship Id="rId3930" Type="http://schemas.openxmlformats.org/officeDocument/2006/relationships/hyperlink" Target="https://drive.google.com/open?id=1tys6JfdBzOftH6dBsmvEFLoj00uZJBEh" TargetMode="External"/><Relationship Id="rId8094" Type="http://schemas.openxmlformats.org/officeDocument/2006/relationships/hyperlink" Target="https://www.facebook.com/profile.php?id=100056706477069&amp;mibextid=LQQJ4d" TargetMode="External"/><Relationship Id="rId9492" Type="http://schemas.openxmlformats.org/officeDocument/2006/relationships/hyperlink" Target="https://www.facebook.com/share/1Chj8kD995/?mibextid=wwXIfr" TargetMode="External"/><Relationship Id="rId437" Type="http://schemas.openxmlformats.org/officeDocument/2006/relationships/hyperlink" Target="https://www.facebook.com/do.xuanbach.7" TargetMode="External"/><Relationship Id="rId851" Type="http://schemas.openxmlformats.org/officeDocument/2006/relationships/hyperlink" Target="https://drive.google.com/open?id=14VmrFDOhNhlmQQzwMMs7ZcM06W3jFAnF" TargetMode="External"/><Relationship Id="rId1481" Type="http://schemas.openxmlformats.org/officeDocument/2006/relationships/hyperlink" Target="https://drive.google.com/open?id=1pJ2F1jEAR65mfikFz_DFGr2niVAufTj6" TargetMode="External"/><Relationship Id="rId2118" Type="http://schemas.openxmlformats.org/officeDocument/2006/relationships/hyperlink" Target="https://www.facebook.com/trangnhung.duong.98" TargetMode="External"/><Relationship Id="rId2532" Type="http://schemas.openxmlformats.org/officeDocument/2006/relationships/hyperlink" Target="https://drive.google.com/open?id=1FDOf_WLb0eQPAm2w0YZptAKwLPe6R6dJ" TargetMode="External"/><Relationship Id="rId5688" Type="http://schemas.openxmlformats.org/officeDocument/2006/relationships/hyperlink" Target="https://drive.google.com/open?id=1F5mS2ltDpEl7tO0BuDEoeSNSfqNWJtTr" TargetMode="External"/><Relationship Id="rId6739" Type="http://schemas.openxmlformats.org/officeDocument/2006/relationships/hyperlink" Target="https://drive.google.com/open?id=1c4u0o7UFWYAENxPHshbBso7pHD2SX7Sd" TargetMode="External"/><Relationship Id="rId9145" Type="http://schemas.openxmlformats.org/officeDocument/2006/relationships/hyperlink" Target="https://www.facebook.com/iamQuangHung?mibextid=ZbWKwL" TargetMode="External"/><Relationship Id="rId504" Type="http://schemas.openxmlformats.org/officeDocument/2006/relationships/hyperlink" Target="https://drive.google.com/open?id=1Ozq4KUjw_-00eTQKDusn2v0LfXtOhrr2" TargetMode="External"/><Relationship Id="rId1134" Type="http://schemas.openxmlformats.org/officeDocument/2006/relationships/hyperlink" Target="https://www.facebook.com/aori.katoriz.3?mibextid=ZbWKwL" TargetMode="External"/><Relationship Id="rId5755" Type="http://schemas.openxmlformats.org/officeDocument/2006/relationships/hyperlink" Target="https://www.facebook.com/nhinhnguyen.nhinhnguyen.5" TargetMode="External"/><Relationship Id="rId6806" Type="http://schemas.openxmlformats.org/officeDocument/2006/relationships/hyperlink" Target="https://www.facebook.com/chi.trieu.549668" TargetMode="External"/><Relationship Id="rId8161" Type="http://schemas.openxmlformats.org/officeDocument/2006/relationships/hyperlink" Target="https://www.facebook.com/people/Nhi-Tran-Thao/pfbid02CrQYe2RC716X4SXZRUUNGwhT4gDkPLTJiYLrA8g1LYxyKJyB5og7r5zDjEbtNjQhl/" TargetMode="External"/><Relationship Id="rId9212" Type="http://schemas.openxmlformats.org/officeDocument/2006/relationships/hyperlink" Target="https://www.facebook.com/m.me.nguyen.925" TargetMode="External"/><Relationship Id="rId1201" Type="http://schemas.openxmlformats.org/officeDocument/2006/relationships/hyperlink" Target="https://www.facebook.com/profile.php?id=100064734206219" TargetMode="External"/><Relationship Id="rId4357" Type="http://schemas.openxmlformats.org/officeDocument/2006/relationships/hyperlink" Target="https://drive.google.com/open?id=1VD_5yyibP_tNrhpwYM5t09-9g_IAYli0" TargetMode="External"/><Relationship Id="rId4771" Type="http://schemas.openxmlformats.org/officeDocument/2006/relationships/hyperlink" Target="https://www.facebook.com/profile.php?id=100040570543477&amp;mibextid=LQQJ4d" TargetMode="External"/><Relationship Id="rId5408" Type="http://schemas.openxmlformats.org/officeDocument/2006/relationships/hyperlink" Target="https://www.facebook.com/share/1PxyTfcnPH/" TargetMode="External"/><Relationship Id="rId3373" Type="http://schemas.openxmlformats.org/officeDocument/2006/relationships/hyperlink" Target="https://drive.google.com/open?id=12xvWi2oRs3yA4KJXAyQ9DVPM2YxXio0G" TargetMode="External"/><Relationship Id="rId4424" Type="http://schemas.openxmlformats.org/officeDocument/2006/relationships/hyperlink" Target="https://www.facebook.com/profile.php?id=100065353545032&amp;mibextid=LQQJ4d" TargetMode="External"/><Relationship Id="rId5822" Type="http://schemas.openxmlformats.org/officeDocument/2006/relationships/hyperlink" Target="https://www.facebook.com/thanhthien9054?mibextid=ZbWKwL" TargetMode="External"/><Relationship Id="rId8978" Type="http://schemas.openxmlformats.org/officeDocument/2006/relationships/hyperlink" Target="https://drive.google.com/open?id=1Gokd-B4hqSx9VPQdPvDDksFN4zrVsAvu" TargetMode="External"/><Relationship Id="rId294" Type="http://schemas.openxmlformats.org/officeDocument/2006/relationships/hyperlink" Target="https://www.facebook.com/maianh09112004?mibextid=LQQJ4d" TargetMode="External"/><Relationship Id="rId3026" Type="http://schemas.openxmlformats.org/officeDocument/2006/relationships/hyperlink" Target="https://drive.google.com/open?id=1k_LDoH7oWPCLtCg9FmRNlaD5uRrXFIFb" TargetMode="External"/><Relationship Id="rId7994" Type="http://schemas.openxmlformats.org/officeDocument/2006/relationships/hyperlink" Target="https://www.facebook.com/profile.php?id=100051933434918" TargetMode="External"/><Relationship Id="rId361" Type="http://schemas.openxmlformats.org/officeDocument/2006/relationships/hyperlink" Target="https://www.facebook.com/profile.php?id=100074784340201&amp;mibextid=ZbWKwL" TargetMode="External"/><Relationship Id="rId2042" Type="http://schemas.openxmlformats.org/officeDocument/2006/relationships/hyperlink" Target="https://www.facebook.com/tung18032005?mibextid=ZbWKwL" TargetMode="External"/><Relationship Id="rId3440" Type="http://schemas.openxmlformats.org/officeDocument/2006/relationships/hyperlink" Target="https://www.facebook.com/vanhvanh8502?mibextid=LQQJ4d" TargetMode="External"/><Relationship Id="rId5198" Type="http://schemas.openxmlformats.org/officeDocument/2006/relationships/hyperlink" Target="https://www.facebook.com/pxpday?mibextid=ZbWKwL" TargetMode="External"/><Relationship Id="rId6596" Type="http://schemas.openxmlformats.org/officeDocument/2006/relationships/hyperlink" Target="https://www.facebook.com/profile.php?id=100024812469201" TargetMode="External"/><Relationship Id="rId7647" Type="http://schemas.openxmlformats.org/officeDocument/2006/relationships/hyperlink" Target="https://www.facebook.com/profile.php?id=100042165469021" TargetMode="External"/><Relationship Id="rId6249" Type="http://schemas.openxmlformats.org/officeDocument/2006/relationships/hyperlink" Target="https://www.facebook.com/jasmine.nkan?mibextid=LQQJ4d" TargetMode="External"/><Relationship Id="rId6663" Type="http://schemas.openxmlformats.org/officeDocument/2006/relationships/hyperlink" Target="https://www.facebook.com/nhi.nek.984" TargetMode="External"/><Relationship Id="rId7714" Type="http://schemas.openxmlformats.org/officeDocument/2006/relationships/hyperlink" Target="https://www.facebook.com/profile.php?id=100047743476566&amp;mibextid=ZbWKwL" TargetMode="External"/><Relationship Id="rId2859" Type="http://schemas.openxmlformats.org/officeDocument/2006/relationships/hyperlink" Target="https://www.facebook.com/lans.lans.10297" TargetMode="External"/><Relationship Id="rId5265" Type="http://schemas.openxmlformats.org/officeDocument/2006/relationships/hyperlink" Target="https://drive.google.com/open?id=12dPdKzjLW4iGPq-EWOQzancDxEzSCyNH" TargetMode="External"/><Relationship Id="rId6316" Type="http://schemas.openxmlformats.org/officeDocument/2006/relationships/hyperlink" Target="https://www.facebook.com/profile.php?id=100080664566956&amp;mibextid=LQQJ4d" TargetMode="External"/><Relationship Id="rId6730" Type="http://schemas.openxmlformats.org/officeDocument/2006/relationships/hyperlink" Target="https://www.facebook.com/profile.php?id=100065175406449" TargetMode="External"/><Relationship Id="rId1875" Type="http://schemas.openxmlformats.org/officeDocument/2006/relationships/hyperlink" Target="https://www.facebook.com/profile.php?id=100072540143242&amp;mibextid=ZbWKwL" TargetMode="External"/><Relationship Id="rId4281" Type="http://schemas.openxmlformats.org/officeDocument/2006/relationships/hyperlink" Target="https://drive.google.com/open?id=1xYR_dnhuMavJR_aVu60cSZdGDLmqtK0G" TargetMode="External"/><Relationship Id="rId5332" Type="http://schemas.openxmlformats.org/officeDocument/2006/relationships/hyperlink" Target="https://drive.google.com/open?id=1JGKJPNUGV9aP5DjFOm5qnY_czevXLTtj" TargetMode="External"/><Relationship Id="rId8488" Type="http://schemas.openxmlformats.org/officeDocument/2006/relationships/hyperlink" Target="https://www.facebook.com/profile.php?id=100024428884733&amp;mibextid=ZbWKwL" TargetMode="External"/><Relationship Id="rId9539" Type="http://schemas.openxmlformats.org/officeDocument/2006/relationships/hyperlink" Target="https://www.facebook.com/share/15GihFam5v/?mibextid=wwXIfr" TargetMode="External"/><Relationship Id="rId1528" Type="http://schemas.openxmlformats.org/officeDocument/2006/relationships/hyperlink" Target="https://www.facebook.com/100023836494007/" TargetMode="External"/><Relationship Id="rId2926" Type="http://schemas.openxmlformats.org/officeDocument/2006/relationships/hyperlink" Target="https://www.facebook.com/Huynieeee/" TargetMode="External"/><Relationship Id="rId8555" Type="http://schemas.openxmlformats.org/officeDocument/2006/relationships/hyperlink" Target="https://www.facebook.com/profile.php?id=100085514019698&amp;mibextid=LQQJ4d" TargetMode="External"/><Relationship Id="rId1942" Type="http://schemas.openxmlformats.org/officeDocument/2006/relationships/hyperlink" Target="https://www.facebook.com/profile.php?id=100017482186717&amp;mibextid=LQQJ4d" TargetMode="External"/><Relationship Id="rId4001" Type="http://schemas.openxmlformats.org/officeDocument/2006/relationships/hyperlink" Target="https://www.facebook.com/profile.php?id=100052837290679&amp;mibextid=ZbWKwL" TargetMode="External"/><Relationship Id="rId7157" Type="http://schemas.openxmlformats.org/officeDocument/2006/relationships/hyperlink" Target="https://www.facebook.com/profile.php?id=100063171704208&amp;mibextid=LQQJ4d" TargetMode="External"/><Relationship Id="rId8208" Type="http://schemas.openxmlformats.org/officeDocument/2006/relationships/hyperlink" Target="https://www.facebook.com/khac.duc.64087" TargetMode="External"/><Relationship Id="rId6173" Type="http://schemas.openxmlformats.org/officeDocument/2006/relationships/hyperlink" Target="https://www.facebook.com/thuys.thanh.5095?mibextid=ZbWKwL" TargetMode="External"/><Relationship Id="rId7571" Type="http://schemas.openxmlformats.org/officeDocument/2006/relationships/hyperlink" Target="https://drive.google.com/open?id=1YFB0sGqTQWfzIy3KOJ3d0hk4FI0S9Jns" TargetMode="External"/><Relationship Id="rId8622" Type="http://schemas.openxmlformats.org/officeDocument/2006/relationships/hyperlink" Target="https://drive.google.com/open?id=1CTTUwjCxY4xnMglc84E-ArIS0rUMTpWP" TargetMode="External"/><Relationship Id="rId3767" Type="http://schemas.openxmlformats.org/officeDocument/2006/relationships/hyperlink" Target="https://www.facebook.com/profile.php?id=100025967235319&amp;mibextid=ZbWKwL" TargetMode="External"/><Relationship Id="rId4818" Type="http://schemas.openxmlformats.org/officeDocument/2006/relationships/hyperlink" Target="https://www.facebook.com/vuduongtrunghieu?mibextid=JRoKGi" TargetMode="External"/><Relationship Id="rId7224" Type="http://schemas.openxmlformats.org/officeDocument/2006/relationships/hyperlink" Target="https://drive.google.com/open?id=1Pfyn6j_hnIo__YijJtQcd852tILHw6MX" TargetMode="External"/><Relationship Id="rId688" Type="http://schemas.openxmlformats.org/officeDocument/2006/relationships/hyperlink" Target="https://www.facebook.com/tharo05" TargetMode="External"/><Relationship Id="rId2369" Type="http://schemas.openxmlformats.org/officeDocument/2006/relationships/hyperlink" Target="https://www.facebook.com/profile.php?id=100064734206219" TargetMode="External"/><Relationship Id="rId2783" Type="http://schemas.openxmlformats.org/officeDocument/2006/relationships/hyperlink" Target="https://www.facebook.com/hung.chaico" TargetMode="External"/><Relationship Id="rId3834" Type="http://schemas.openxmlformats.org/officeDocument/2006/relationships/hyperlink" Target="https://www.facebook.com/profile.php?id=100086758733211&amp;mibextid=LQQJ4d" TargetMode="External"/><Relationship Id="rId6240" Type="http://schemas.openxmlformats.org/officeDocument/2006/relationships/hyperlink" Target="https://www.facebook.com/hoaitina.2308?mibextid=LQQJ4d" TargetMode="External"/><Relationship Id="rId9396" Type="http://schemas.openxmlformats.org/officeDocument/2006/relationships/hyperlink" Target="https://drive.google.com/open?id=1sL0v5cqcgv0GwGwU44fEhk60orvXmWZh" TargetMode="External"/><Relationship Id="rId755" Type="http://schemas.openxmlformats.org/officeDocument/2006/relationships/hyperlink" Target="https://drive.google.com/open?id=1-QMJH8DsHcVujJXwJvEFf2hd1gj7AZYN" TargetMode="External"/><Relationship Id="rId1385" Type="http://schemas.openxmlformats.org/officeDocument/2006/relationships/hyperlink" Target="https://drive.google.com/open?id=1sNLA8A7aMCEx08Yi9WODc6rkIshVP7K3" TargetMode="External"/><Relationship Id="rId2436" Type="http://schemas.openxmlformats.org/officeDocument/2006/relationships/hyperlink" Target="https://www.facebook.com/profile.php?id=100042160840444&amp;mibextid=LQQJ4d" TargetMode="External"/><Relationship Id="rId2850" Type="http://schemas.openxmlformats.org/officeDocument/2006/relationships/hyperlink" Target="https://www.facebook.com/4ygdyijfee7i22ufdeugde6ibvsr7jZZZZZZZZZZZZZZZZZZZZZZZZZZZZZZZZZZZZZZZZZZZZZZZZZZZZZZZZZZZZZZZZZZZZZZZZZZZZZZZZZZZZZZZZZZZZZZZZZZZZZZZZZZZZZZZZZZZZZZZZZZZZZZZZZZZZZZZZZZZZZZZZZZZZZZZZZZZZZZZZZZZZZZZZZ" TargetMode="External"/><Relationship Id="rId9049" Type="http://schemas.openxmlformats.org/officeDocument/2006/relationships/hyperlink" Target="https://drive.google.com/open?id=1QRRO4WkCkOvWITuY0EkJnIdHzQsNRyNz" TargetMode="External"/><Relationship Id="rId9463" Type="http://schemas.openxmlformats.org/officeDocument/2006/relationships/hyperlink" Target="https://www.facebook.com/profile.php?id=100069894230057&amp;mibextid=LQQJ4d" TargetMode="External"/><Relationship Id="rId91" Type="http://schemas.openxmlformats.org/officeDocument/2006/relationships/hyperlink" Target="https://drive.google.com/open?id=18MV4Oo6RUWq9T2mXdINQs9yPCzTef3FH" TargetMode="External"/><Relationship Id="rId408" Type="http://schemas.openxmlformats.org/officeDocument/2006/relationships/hyperlink" Target="https://drive.google.com/open?id=1jW9w3mtunXPlLRUUhvBOSicFZf07e0II" TargetMode="External"/><Relationship Id="rId822" Type="http://schemas.openxmlformats.org/officeDocument/2006/relationships/hyperlink" Target="https://drive.google.com/open?id=18QehWCHOnxWBzeq0AlL7nq57Ne0Y7ejg" TargetMode="External"/><Relationship Id="rId1038" Type="http://schemas.openxmlformats.org/officeDocument/2006/relationships/hyperlink" Target="https://drive.google.com/open?id=1vQpZmo-IqMaHN6AycrTp2-wfZULo_7by" TargetMode="External"/><Relationship Id="rId1452" Type="http://schemas.openxmlformats.org/officeDocument/2006/relationships/hyperlink" Target="https://www.facebook.com/conmekngungoc" TargetMode="External"/><Relationship Id="rId2503" Type="http://schemas.openxmlformats.org/officeDocument/2006/relationships/hyperlink" Target="https://drive.google.com/open?id=1vV3T1F8Nb93Y_3YxJ_2X5Aww4HPXieg4" TargetMode="External"/><Relationship Id="rId3901" Type="http://schemas.openxmlformats.org/officeDocument/2006/relationships/hyperlink" Target="https://drive.google.com/open?id=1Qti0Oq9RsOJddPIepzjkaop6a6V5VwnI" TargetMode="External"/><Relationship Id="rId5659" Type="http://schemas.openxmlformats.org/officeDocument/2006/relationships/hyperlink" Target="https://www.facebook.com/profile.php?id=100068967093681&amp;rdid=0POMhtA1o6PbzYq8&amp;share_url=https%3A%2F%2Fwww.facebook.com%2Fshare%2FRFMwhwP3MgKE8iAk%2F" TargetMode="External"/><Relationship Id="rId8065" Type="http://schemas.openxmlformats.org/officeDocument/2006/relationships/hyperlink" Target="https://www.facebook.com/profile.php?id=100036316505959&amp;mibextid=LQQJ4d" TargetMode="External"/><Relationship Id="rId9116" Type="http://schemas.openxmlformats.org/officeDocument/2006/relationships/hyperlink" Target="https://www.facebook.com/profile.php?id=100080044917605&amp;mibextid=LQQJ4d" TargetMode="External"/><Relationship Id="rId9530" Type="http://schemas.openxmlformats.org/officeDocument/2006/relationships/hyperlink" Target="https://www.facebook.com/ngocc.tuann.834893?mibextid=wwXIfr&amp;rdid=DEuyKvCAGrJ1O0Ni&amp;share_url=https%3A%2F%2Fwww.facebook.com%2Fshare%2F1AE8nc4VBy%2F%3Fmibextid%3DwwXIfr" TargetMode="External"/><Relationship Id="rId1105" Type="http://schemas.openxmlformats.org/officeDocument/2006/relationships/hyperlink" Target="https://drive.google.com/open?id=14ubSghzBj950-aLu64FkaGL1ABghdZzu" TargetMode="External"/><Relationship Id="rId7081" Type="http://schemas.openxmlformats.org/officeDocument/2006/relationships/hyperlink" Target="https://drive.google.com/open?id=1APWov1YxyOrhN5BiQJb2FUKzcC-4ISsa" TargetMode="External"/><Relationship Id="rId8132" Type="http://schemas.openxmlformats.org/officeDocument/2006/relationships/hyperlink" Target="https://drive.google.com/open?id=1AJREJ1caLhpwCH3w-avAjMPUb2kym_Ts" TargetMode="External"/><Relationship Id="rId3277" Type="http://schemas.openxmlformats.org/officeDocument/2006/relationships/hyperlink" Target="https://www.facebook.com/tumilitarydoctor" TargetMode="External"/><Relationship Id="rId4675" Type="http://schemas.openxmlformats.org/officeDocument/2006/relationships/hyperlink" Target="https://www.facebook.com/ngocs.bich.77" TargetMode="External"/><Relationship Id="rId5726" Type="http://schemas.openxmlformats.org/officeDocument/2006/relationships/hyperlink" Target="https://www.facebook.com/daishinkan1043?mibextid=LQQJ4d" TargetMode="External"/><Relationship Id="rId198" Type="http://schemas.openxmlformats.org/officeDocument/2006/relationships/hyperlink" Target="https://www.facebook.com/profile.php?id=100077426512188&amp;mibextid=ZbWKwL" TargetMode="External"/><Relationship Id="rId3691" Type="http://schemas.openxmlformats.org/officeDocument/2006/relationships/hyperlink" Target="https://www.facebook.com/profile.php?id=100050515533143&amp;mibextid=LQQJ4d" TargetMode="External"/><Relationship Id="rId4328" Type="http://schemas.openxmlformats.org/officeDocument/2006/relationships/hyperlink" Target="https://drive.google.com/open?id=123dxorE8m5Rq_5jNKdVg5HkuRThTZMzd" TargetMode="External"/><Relationship Id="rId4742" Type="http://schemas.openxmlformats.org/officeDocument/2006/relationships/hyperlink" Target="https://drive.google.com/open?id=1IR1Ohtb9ec0hvF7CrgYB5EFKeHkK0HFF" TargetMode="External"/><Relationship Id="rId7898" Type="http://schemas.openxmlformats.org/officeDocument/2006/relationships/hyperlink" Target="https://www.facebook.com/share/15HJHo6bx1/?mibextid=LQQJ4d" TargetMode="External"/><Relationship Id="rId8949" Type="http://schemas.openxmlformats.org/officeDocument/2006/relationships/hyperlink" Target="https://www.facebook.com/tran.bao.40783" TargetMode="External"/><Relationship Id="rId2293" Type="http://schemas.openxmlformats.org/officeDocument/2006/relationships/hyperlink" Target="https://www.facebook.com/nguyenthiha2403" TargetMode="External"/><Relationship Id="rId3344" Type="http://schemas.openxmlformats.org/officeDocument/2006/relationships/hyperlink" Target="https://www.facebook.com/hangxinhxan102" TargetMode="External"/><Relationship Id="rId7965" Type="http://schemas.openxmlformats.org/officeDocument/2006/relationships/hyperlink" Target="https://www.facebook.com/profile.php?id=100070069446239&amp;mibextid=LQQJ4d" TargetMode="External"/><Relationship Id="rId265" Type="http://schemas.openxmlformats.org/officeDocument/2006/relationships/hyperlink" Target="https://www.facebook.com/profile.php?id=100054645571155&amp;mibextid=LQQJ4d" TargetMode="External"/><Relationship Id="rId2360" Type="http://schemas.openxmlformats.org/officeDocument/2006/relationships/hyperlink" Target="https://www.facebook.com/ngaos.nhos.359" TargetMode="External"/><Relationship Id="rId3411" Type="http://schemas.openxmlformats.org/officeDocument/2006/relationships/hyperlink" Target="https://drive.google.com/open?id=1AOp0stg1Qv_CWFlRlLapDsS8CQZXbtxc" TargetMode="External"/><Relationship Id="rId6567" Type="http://schemas.openxmlformats.org/officeDocument/2006/relationships/hyperlink" Target="https://www.facebook.com/dung.chuhung.7" TargetMode="External"/><Relationship Id="rId6981" Type="http://schemas.openxmlformats.org/officeDocument/2006/relationships/hyperlink" Target="https://drive.google.com/open?id=19KQaGzthZX4c300jifthcecqNepp25BO" TargetMode="External"/><Relationship Id="rId7618" Type="http://schemas.openxmlformats.org/officeDocument/2006/relationships/hyperlink" Target="https://www.facebook.com/profile.php?id=100064822981978&amp;mibextid=LQQJ4d" TargetMode="External"/><Relationship Id="rId332" Type="http://schemas.openxmlformats.org/officeDocument/2006/relationships/hyperlink" Target="https://drive.google.com/open?id=17I9UwvjXcR2fVzduVxSvfCGNXMjV66FC" TargetMode="External"/><Relationship Id="rId2013" Type="http://schemas.openxmlformats.org/officeDocument/2006/relationships/hyperlink" Target="https://www.facebook.com/huylu2804" TargetMode="External"/><Relationship Id="rId5169" Type="http://schemas.openxmlformats.org/officeDocument/2006/relationships/hyperlink" Target="https://www.facebook.com/profile.php?id=100086750164031" TargetMode="External"/><Relationship Id="rId5583" Type="http://schemas.openxmlformats.org/officeDocument/2006/relationships/hyperlink" Target="https://www.facebook.com/KhuongDuy15" TargetMode="External"/><Relationship Id="rId6634" Type="http://schemas.openxmlformats.org/officeDocument/2006/relationships/hyperlink" Target="https://www.facebook.com/cuong.machiko?mibextid=LQQJ4d" TargetMode="External"/><Relationship Id="rId9040" Type="http://schemas.openxmlformats.org/officeDocument/2006/relationships/hyperlink" Target="https://www.facebook.com/profile.php?id=100086150673578" TargetMode="External"/><Relationship Id="rId4185" Type="http://schemas.openxmlformats.org/officeDocument/2006/relationships/hyperlink" Target="https://www.facebook.com/trangg.thuy.7758235?locale=vi_VN" TargetMode="External"/><Relationship Id="rId5236" Type="http://schemas.openxmlformats.org/officeDocument/2006/relationships/hyperlink" Target="https://www.facebook.com/kahs.liee?mibextid=LQQJ4d" TargetMode="External"/><Relationship Id="rId1779" Type="http://schemas.openxmlformats.org/officeDocument/2006/relationships/hyperlink" Target="https://www.facebook.com/profile.php?id=100066362700204&amp;mibextid=LQQJ4d" TargetMode="External"/><Relationship Id="rId4252" Type="http://schemas.openxmlformats.org/officeDocument/2006/relationships/hyperlink" Target="https://www.facebook.com/hongg.nhungg.2910?mibextid=ZbWKwL" TargetMode="External"/><Relationship Id="rId5650" Type="http://schemas.openxmlformats.org/officeDocument/2006/relationships/hyperlink" Target="https://www.facebook.com/profile.php?id=100021535482052" TargetMode="External"/><Relationship Id="rId6701" Type="http://schemas.openxmlformats.org/officeDocument/2006/relationships/hyperlink" Target="https://www.facebook.com/profile.php?id=100048853542944&amp;mibextid=ZbWKwL" TargetMode="External"/><Relationship Id="rId1846" Type="http://schemas.openxmlformats.org/officeDocument/2006/relationships/hyperlink" Target="https://www.facebook.com/its.louie.hilton?mibextid=V3Yony" TargetMode="External"/><Relationship Id="rId5303" Type="http://schemas.openxmlformats.org/officeDocument/2006/relationships/hyperlink" Target="https://www.facebook.com/profile.php?id=100058929063027&amp;mibextid=LQQJ4d" TargetMode="External"/><Relationship Id="rId8459" Type="http://schemas.openxmlformats.org/officeDocument/2006/relationships/hyperlink" Target="https://www.facebook.com/profile.php?id=100032381684683" TargetMode="External"/><Relationship Id="rId8873" Type="http://schemas.openxmlformats.org/officeDocument/2006/relationships/hyperlink" Target="http://phamthanhhoa2006nbgamil.com/" TargetMode="External"/><Relationship Id="rId1913" Type="http://schemas.openxmlformats.org/officeDocument/2006/relationships/hyperlink" Target="https://www.facebook.com/Candyvirusss?mibextid=ZbWKwL" TargetMode="External"/><Relationship Id="rId7475" Type="http://schemas.openxmlformats.org/officeDocument/2006/relationships/hyperlink" Target="https://www.facebook.com/vukhanhlinh226?mibextid=LQQJ4d" TargetMode="External"/><Relationship Id="rId8526" Type="http://schemas.openxmlformats.org/officeDocument/2006/relationships/hyperlink" Target="https://drive.google.com/open?id=1gYkP28lkHGxBB24iY0eZvXL3VVFp7me6" TargetMode="External"/><Relationship Id="rId8940" Type="http://schemas.openxmlformats.org/officeDocument/2006/relationships/hyperlink" Target="https://www.facebook.com/trantienluttt?mibextid=wwXIfr&amp;rdid=Diw6PNIo3ok65RoE&amp;share_url=https%3A%2F%2Fwww.facebook.com%2Fshare%2F1HYfsjT7h3%2F%3Fmibextid%3DwwXIfr" TargetMode="External"/><Relationship Id="rId6077" Type="http://schemas.openxmlformats.org/officeDocument/2006/relationships/hyperlink" Target="https://www.facebook.com/dung0104000000000000" TargetMode="External"/><Relationship Id="rId6491" Type="http://schemas.openxmlformats.org/officeDocument/2006/relationships/hyperlink" Target="https://www.facebook.com/profile.php?id=100055243727157&amp;mibextid=LQQJ4d" TargetMode="External"/><Relationship Id="rId7128" Type="http://schemas.openxmlformats.org/officeDocument/2006/relationships/hyperlink" Target="https://www.facebook.com/profile.php?id=100057691113381" TargetMode="External"/><Relationship Id="rId7542" Type="http://schemas.openxmlformats.org/officeDocument/2006/relationships/hyperlink" Target="https://www.facebook.com/profile.php?id=100026427814877&amp;mibextid=LQQJ4d" TargetMode="External"/><Relationship Id="rId2687" Type="http://schemas.openxmlformats.org/officeDocument/2006/relationships/hyperlink" Target="https://drive.google.com/open?id=1EdczhpxdJ1loA2GC_6oYJR-C_oEPPcHp" TargetMode="External"/><Relationship Id="rId3738" Type="http://schemas.openxmlformats.org/officeDocument/2006/relationships/hyperlink" Target="https://www.facebook.com/phamhong.ngat203" TargetMode="External"/><Relationship Id="rId5093" Type="http://schemas.openxmlformats.org/officeDocument/2006/relationships/hyperlink" Target="https://www.facebook.com/wkdansgnl" TargetMode="External"/><Relationship Id="rId6144" Type="http://schemas.openxmlformats.org/officeDocument/2006/relationships/hyperlink" Target="https://drive.google.com/open?id=1tfPjBeTEN9AW2demDuuU0kxaHEORjKMC" TargetMode="External"/><Relationship Id="rId659" Type="http://schemas.openxmlformats.org/officeDocument/2006/relationships/hyperlink" Target="https://www.facebook.com/profile.php?id=100085575680283" TargetMode="External"/><Relationship Id="rId1289" Type="http://schemas.openxmlformats.org/officeDocument/2006/relationships/hyperlink" Target="https://www.facebook.com/profile.php?id=100044973280897" TargetMode="External"/><Relationship Id="rId5160" Type="http://schemas.openxmlformats.org/officeDocument/2006/relationships/hyperlink" Target="https://www.facebook.com/profile.php?id=100036067713666" TargetMode="External"/><Relationship Id="rId6211" Type="http://schemas.openxmlformats.org/officeDocument/2006/relationships/hyperlink" Target="https://www.facebook.com/nnhung180706?mibextid=LQQJ4d" TargetMode="External"/><Relationship Id="rId9367" Type="http://schemas.openxmlformats.org/officeDocument/2006/relationships/hyperlink" Target="https://www.facebook.com/share/18oo4u6YpK/?mibextid=wwXIfr" TargetMode="External"/><Relationship Id="rId1356" Type="http://schemas.openxmlformats.org/officeDocument/2006/relationships/hyperlink" Target="https://drive.google.com/open?id=1zNM5f8eJuCrMgQjR6MA5toK4ZA_-v-zp" TargetMode="External"/><Relationship Id="rId2754" Type="http://schemas.openxmlformats.org/officeDocument/2006/relationships/hyperlink" Target="https://drive.google.com/open?id=1mpv86ob3eTDUEgwI2_DHVl3gmQKcsrD-" TargetMode="External"/><Relationship Id="rId3805" Type="http://schemas.openxmlformats.org/officeDocument/2006/relationships/hyperlink" Target="https://www.facebook.com/profile.php?id=100016840446932&amp;mibextid=7cd5pb" TargetMode="External"/><Relationship Id="rId8383" Type="http://schemas.openxmlformats.org/officeDocument/2006/relationships/hyperlink" Target="https://drive.google.com/open?id=1vkn81BWtpKxKR3hI3cdI5u2HRXpuzhvq" TargetMode="External"/><Relationship Id="rId726" Type="http://schemas.openxmlformats.org/officeDocument/2006/relationships/hyperlink" Target="https://drive.google.com/open?id=1m7xd5uEcgql_v9jbWhPne9yBDchLzhQq" TargetMode="External"/><Relationship Id="rId1009" Type="http://schemas.openxmlformats.org/officeDocument/2006/relationships/hyperlink" Target="https://www.facebook.com/ngmaiduyen.03" TargetMode="External"/><Relationship Id="rId1770" Type="http://schemas.openxmlformats.org/officeDocument/2006/relationships/hyperlink" Target="https://www.facebook.com/profile.php?id=100055173304754&amp;mibextid=LQQJ4d" TargetMode="External"/><Relationship Id="rId2407" Type="http://schemas.openxmlformats.org/officeDocument/2006/relationships/hyperlink" Target="https://www.facebook.com/profile.php?id=100021829232455" TargetMode="External"/><Relationship Id="rId2821" Type="http://schemas.openxmlformats.org/officeDocument/2006/relationships/hyperlink" Target="https://www.facebook.com/hailinh.2504?mibextid=ZbWKwL" TargetMode="External"/><Relationship Id="rId5977" Type="http://schemas.openxmlformats.org/officeDocument/2006/relationships/hyperlink" Target="https://www.facebook.com/NguyenThiKhanhLinh469" TargetMode="External"/><Relationship Id="rId8036" Type="http://schemas.openxmlformats.org/officeDocument/2006/relationships/hyperlink" Target="https://www.facebook.com/profile.php?id=100040512525059&amp;locale=vi_VN" TargetMode="External"/><Relationship Id="rId9434" Type="http://schemas.openxmlformats.org/officeDocument/2006/relationships/hyperlink" Target="https://www.facebook.com/profile.php?id=100065727186199&amp;mibextid=ZbWKwL" TargetMode="External"/><Relationship Id="rId62" Type="http://schemas.openxmlformats.org/officeDocument/2006/relationships/hyperlink" Target="https://drive.google.com/open?id=1S4MRxHsWU_sMIfTMVhcTU8EPTdZnYShS" TargetMode="External"/><Relationship Id="rId1423" Type="http://schemas.openxmlformats.org/officeDocument/2006/relationships/hyperlink" Target="https://www.facebook.com/profile.php?id=100050957890473" TargetMode="External"/><Relationship Id="rId4579" Type="http://schemas.openxmlformats.org/officeDocument/2006/relationships/hyperlink" Target="https://drive.google.com/open?id=1oKEnF2ZuIU0idjZ8LWasd4OUa17SR1VC" TargetMode="External"/><Relationship Id="rId4993" Type="http://schemas.openxmlformats.org/officeDocument/2006/relationships/hyperlink" Target="https://www.facebook.com/profile.php?id=100052203168746" TargetMode="External"/><Relationship Id="rId8450" Type="http://schemas.openxmlformats.org/officeDocument/2006/relationships/hyperlink" Target="https://drive.google.com/open?id=1sX3qD32t0bX4tmx7peeMIsPdF55br8bz" TargetMode="External"/><Relationship Id="rId9501" Type="http://schemas.openxmlformats.org/officeDocument/2006/relationships/hyperlink" Target="https://www.facebook.com/share/1BKfhR2tQu/?mibextid=wwXIfr" TargetMode="External"/><Relationship Id="rId3595" Type="http://schemas.openxmlformats.org/officeDocument/2006/relationships/hyperlink" Target="https://drive.google.com/open?id=1e8eIvmwi55ktPnQdd25AbJvcS_E_qVgq" TargetMode="External"/><Relationship Id="rId4646" Type="http://schemas.openxmlformats.org/officeDocument/2006/relationships/hyperlink" Target="https://www.facebook.com/bach.thien.7127" TargetMode="External"/><Relationship Id="rId7052" Type="http://schemas.openxmlformats.org/officeDocument/2006/relationships/hyperlink" Target="https://www.facebook.com/doananh.hodinh.308?mibextid=LQQJ4d" TargetMode="External"/><Relationship Id="rId8103" Type="http://schemas.openxmlformats.org/officeDocument/2006/relationships/hyperlink" Target="https://www.facebook.com/profile.php?id=100023479863150&amp;mibextid=LQQJ4d" TargetMode="External"/><Relationship Id="rId2197" Type="http://schemas.openxmlformats.org/officeDocument/2006/relationships/hyperlink" Target="https://www.facebook.com/dieuchi.0308" TargetMode="External"/><Relationship Id="rId3248" Type="http://schemas.openxmlformats.org/officeDocument/2006/relationships/hyperlink" Target="https://www.facebook.com/hi.phuong.3975?mibextid=ZbWKwL" TargetMode="External"/><Relationship Id="rId3662" Type="http://schemas.openxmlformats.org/officeDocument/2006/relationships/hyperlink" Target="https://www.facebook.com/profile.php?id=100084109511089&amp;mibextid=LQQJ4d" TargetMode="External"/><Relationship Id="rId4713" Type="http://schemas.openxmlformats.org/officeDocument/2006/relationships/hyperlink" Target="https://www.facebook.com/trong.ngoc.79827803" TargetMode="External"/><Relationship Id="rId7869" Type="http://schemas.openxmlformats.org/officeDocument/2006/relationships/hyperlink" Target="https://www.facebook.com/profile.php?id=100028482523371" TargetMode="External"/><Relationship Id="rId169" Type="http://schemas.openxmlformats.org/officeDocument/2006/relationships/hyperlink" Target="https://drive.google.com/open?id=1voym0D-Ui1UgalMNeW66t7iYDrU8KwG0" TargetMode="External"/><Relationship Id="rId583" Type="http://schemas.openxmlformats.org/officeDocument/2006/relationships/hyperlink" Target="https://drive.google.com/open?id=1_q_aZRf0gJtBcoxYtsKhRS4_HRFHTzW5" TargetMode="External"/><Relationship Id="rId2264" Type="http://schemas.openxmlformats.org/officeDocument/2006/relationships/hyperlink" Target="https://www.facebook.com/profile.php?id=100033370592311&amp;mibextid=LQQJ4d" TargetMode="External"/><Relationship Id="rId3315" Type="http://schemas.openxmlformats.org/officeDocument/2006/relationships/hyperlink" Target="https://www.facebook.com/profile.php?id=100029544200002&amp;mibextid=LQQJ4d" TargetMode="External"/><Relationship Id="rId9291" Type="http://schemas.openxmlformats.org/officeDocument/2006/relationships/hyperlink" Target="https://drive.google.com/open?id=1Bsoep1Twueh536iBJb8cMntM_O1qcrBK" TargetMode="External"/><Relationship Id="rId236" Type="http://schemas.openxmlformats.org/officeDocument/2006/relationships/hyperlink" Target="https://www.facebook.com/profile.php?id=100026283840647" TargetMode="External"/><Relationship Id="rId650" Type="http://schemas.openxmlformats.org/officeDocument/2006/relationships/hyperlink" Target="https://drive.google.com/open?id=16ULGV43o8GzEGmP-KYTG48MySBHCTSBB" TargetMode="External"/><Relationship Id="rId1280" Type="http://schemas.openxmlformats.org/officeDocument/2006/relationships/hyperlink" Target="https://www.facebook.com/profile.php?id=100020864330697&amp;mibextid=LQQJ4d" TargetMode="External"/><Relationship Id="rId2331" Type="http://schemas.openxmlformats.org/officeDocument/2006/relationships/hyperlink" Target="https://www.facebook.com/huuchien.nguyen.9469" TargetMode="External"/><Relationship Id="rId5487" Type="http://schemas.openxmlformats.org/officeDocument/2006/relationships/hyperlink" Target="https://www.facebook.com/profile.php?id=100028349718300&amp;mibextid=LQQJ4d" TargetMode="External"/><Relationship Id="rId6885" Type="http://schemas.openxmlformats.org/officeDocument/2006/relationships/hyperlink" Target="https://www.facebook.com/profile.php?id=61550988725471&amp;mibextid=LQQJ4d" TargetMode="External"/><Relationship Id="rId7936" Type="http://schemas.openxmlformats.org/officeDocument/2006/relationships/hyperlink" Target="https://drive.google.com/open?id=1PZC9QrR16vVWphruV0VfqRFRtkNNWAyG" TargetMode="External"/><Relationship Id="rId303" Type="http://schemas.openxmlformats.org/officeDocument/2006/relationships/hyperlink" Target="https://www.facebook.com/uyenn.vuongg.52?mibextid=LQQJ4d" TargetMode="External"/><Relationship Id="rId4089" Type="http://schemas.openxmlformats.org/officeDocument/2006/relationships/hyperlink" Target="https://www.facebook.com/ciivediamo?mibextid=LQQJ4d" TargetMode="External"/><Relationship Id="rId6538" Type="http://schemas.openxmlformats.org/officeDocument/2006/relationships/hyperlink" Target="https://www.facebook.com/profile.php?id=100013090092474&amp;mibextid=LQQJ4d" TargetMode="External"/><Relationship Id="rId6952" Type="http://schemas.openxmlformats.org/officeDocument/2006/relationships/hyperlink" Target="https://www.facebook.com/profile.php?id=100037318473924" TargetMode="External"/><Relationship Id="rId9011" Type="http://schemas.openxmlformats.org/officeDocument/2006/relationships/hyperlink" Target="https://www.facebook.com/profile.php?id=100022157630647" TargetMode="External"/><Relationship Id="rId5554" Type="http://schemas.openxmlformats.org/officeDocument/2006/relationships/hyperlink" Target="https://www.facebook.com/profile.php?id=100025732269796" TargetMode="External"/><Relationship Id="rId6605" Type="http://schemas.openxmlformats.org/officeDocument/2006/relationships/hyperlink" Target="https://www.facebook.com/share/18ErMoWNXQ/?mibextid=LQQJ4d" TargetMode="External"/><Relationship Id="rId1000" Type="http://schemas.openxmlformats.org/officeDocument/2006/relationships/hyperlink" Target="https://www.facebook.com/gnahuv?mibextid=LQQJ4d" TargetMode="External"/><Relationship Id="rId4156" Type="http://schemas.openxmlformats.org/officeDocument/2006/relationships/hyperlink" Target="https://www.facebook.com/profile.php?id=100057029438672&amp;locale=vi_VN" TargetMode="External"/><Relationship Id="rId4570" Type="http://schemas.openxmlformats.org/officeDocument/2006/relationships/hyperlink" Target="https://drive.google.com/open?id=1hqzXCOUY1_SsizggPTQmYsuHf1YnvtS8" TargetMode="External"/><Relationship Id="rId5207" Type="http://schemas.openxmlformats.org/officeDocument/2006/relationships/hyperlink" Target="https://drive.google.com/open?id=152spZT77F4ck7RHkCYmCaAT5x5rkZ8Uu" TargetMode="External"/><Relationship Id="rId5621" Type="http://schemas.openxmlformats.org/officeDocument/2006/relationships/hyperlink" Target="https://www.facebook.com/profile.php?id=100076888877010" TargetMode="External"/><Relationship Id="rId8777" Type="http://schemas.openxmlformats.org/officeDocument/2006/relationships/hyperlink" Target="https://www.facebook.com/quynhuong.ahg?mibextid=LQQJ4d" TargetMode="External"/><Relationship Id="rId1817" Type="http://schemas.openxmlformats.org/officeDocument/2006/relationships/hyperlink" Target="https://www.facebook.com/profile.php?id=100045287026251&amp;mibextid=ZbWKwL" TargetMode="External"/><Relationship Id="rId3172" Type="http://schemas.openxmlformats.org/officeDocument/2006/relationships/hyperlink" Target="https://www.facebook.com/phong.cao.946954" TargetMode="External"/><Relationship Id="rId4223" Type="http://schemas.openxmlformats.org/officeDocument/2006/relationships/hyperlink" Target="https://www.facebook.com/haanh.nguyenngoc.1029" TargetMode="External"/><Relationship Id="rId7379" Type="http://schemas.openxmlformats.org/officeDocument/2006/relationships/hyperlink" Target="https://www.facebook.com/ndm.manh" TargetMode="External"/><Relationship Id="rId7793" Type="http://schemas.openxmlformats.org/officeDocument/2006/relationships/hyperlink" Target="https://www.facebook.com/share/1BC9qGsQde/?mibextid=wwXIfr" TargetMode="External"/><Relationship Id="rId8844" Type="http://schemas.openxmlformats.org/officeDocument/2006/relationships/hyperlink" Target="https://www.facebook.com/share/1ARmw7kAf8/?mibextid=wwXIfr" TargetMode="External"/><Relationship Id="rId6395" Type="http://schemas.openxmlformats.org/officeDocument/2006/relationships/hyperlink" Target="https://drive.google.com/open?id=1vkn81BWtpKxKR3hI3cdI5u2HRXpuzhvq" TargetMode="External"/><Relationship Id="rId7446" Type="http://schemas.openxmlformats.org/officeDocument/2006/relationships/hyperlink" Target="https://drive.google.com/open?id=1_OpdQj35AzqgEf700IcRkK1cB-7_iP_G" TargetMode="External"/><Relationship Id="rId160" Type="http://schemas.openxmlformats.org/officeDocument/2006/relationships/hyperlink" Target="https://www.facebook.com/bun.bunn.127?mibextid=LQQJ4d" TargetMode="External"/><Relationship Id="rId3989" Type="http://schemas.openxmlformats.org/officeDocument/2006/relationships/hyperlink" Target="https://drive.google.com/open?id=1OT77g__6ZrjGsWumEpgKdTKwnBy0LH_4" TargetMode="External"/><Relationship Id="rId6048" Type="http://schemas.openxmlformats.org/officeDocument/2006/relationships/hyperlink" Target="https://www.facebook.com/profile.php?id=100034305979639&amp;mibextid=LQQJ4d" TargetMode="External"/><Relationship Id="rId6462" Type="http://schemas.openxmlformats.org/officeDocument/2006/relationships/hyperlink" Target="https://www.facebook.com/nguyenthithiem.nguyen.5?mibextid=ZbWKwL" TargetMode="External"/><Relationship Id="rId7860" Type="http://schemas.openxmlformats.org/officeDocument/2006/relationships/hyperlink" Target="https://www.facebook.com/profile.php?id=100074217194969&amp;mibextid=ZbWKwL" TargetMode="External"/><Relationship Id="rId8911" Type="http://schemas.openxmlformats.org/officeDocument/2006/relationships/hyperlink" Target="https://www.facebook.com/people/Nguyen-Phuong-Anh/pfbid024Qk4PJzvJT2dB4mDcfn6qZScaBV5MNMtP51A52KdyLvr94g5eWPPEzvWX1u64PPEl/" TargetMode="External"/><Relationship Id="rId5064" Type="http://schemas.openxmlformats.org/officeDocument/2006/relationships/hyperlink" Target="https://www.facebook.com/profile.php?id=100017987207049" TargetMode="External"/><Relationship Id="rId6115" Type="http://schemas.openxmlformats.org/officeDocument/2006/relationships/hyperlink" Target="https://www.facebook.com/baonho.banh.925059" TargetMode="External"/><Relationship Id="rId7513" Type="http://schemas.openxmlformats.org/officeDocument/2006/relationships/hyperlink" Target="https://www.facebook.com/profile.php?id=100052427267459" TargetMode="External"/><Relationship Id="rId977" Type="http://schemas.openxmlformats.org/officeDocument/2006/relationships/hyperlink" Target="https://drive.google.com/open?id=1Ab67GovDq5hd_oGydOD3gbQu2eUD2RrH" TargetMode="External"/><Relationship Id="rId2658" Type="http://schemas.openxmlformats.org/officeDocument/2006/relationships/hyperlink" Target="https://www.facebook.com/100028454732107/" TargetMode="External"/><Relationship Id="rId3709" Type="http://schemas.openxmlformats.org/officeDocument/2006/relationships/hyperlink" Target="https://www.facebook.com/100013465806896/" TargetMode="External"/><Relationship Id="rId4080" Type="http://schemas.openxmlformats.org/officeDocument/2006/relationships/hyperlink" Target="https://www.facebook.com/ngocmy.le.9231712?mibextid=LQQJ4d" TargetMode="External"/><Relationship Id="rId1674" Type="http://schemas.openxmlformats.org/officeDocument/2006/relationships/hyperlink" Target="https://www.facebook.com/doan.trung.3538" TargetMode="External"/><Relationship Id="rId2725" Type="http://schemas.openxmlformats.org/officeDocument/2006/relationships/hyperlink" Target="https://drive.google.com/open?id=1x28imMCn3m66Bwn633l0tKTgwhZ_mPoe" TargetMode="External"/><Relationship Id="rId5131" Type="http://schemas.openxmlformats.org/officeDocument/2006/relationships/hyperlink" Target="https://drive.google.com/open?id=1sSLJPKSDDyeGzbOeTY1uQFQT15kHrql4" TargetMode="External"/><Relationship Id="rId8287" Type="http://schemas.openxmlformats.org/officeDocument/2006/relationships/hyperlink" Target="https://www.facebook.com/trong.diep.893185" TargetMode="External"/><Relationship Id="rId9338" Type="http://schemas.openxmlformats.org/officeDocument/2006/relationships/hyperlink" Target="https://www.facebook.com/profile.php?id=100094011439870&amp;mibextid=LQQJ4d" TargetMode="External"/><Relationship Id="rId1327" Type="http://schemas.openxmlformats.org/officeDocument/2006/relationships/hyperlink" Target="https://www.facebook.com/profile.php?id=100071549422419" TargetMode="External"/><Relationship Id="rId1741" Type="http://schemas.openxmlformats.org/officeDocument/2006/relationships/hyperlink" Target="https://www.facebook.com/phanthanhthao205?mibextid=LQQJ4d" TargetMode="External"/><Relationship Id="rId4897" Type="http://schemas.openxmlformats.org/officeDocument/2006/relationships/hyperlink" Target="https://www.facebook.com/ngothuhang2005?mibextid=LQQJ4d" TargetMode="External"/><Relationship Id="rId5948" Type="http://schemas.openxmlformats.org/officeDocument/2006/relationships/hyperlink" Target="https://www.facebook.com/profile.php?id=100069839164772&amp;mibextid=LQQJ4d" TargetMode="External"/><Relationship Id="rId8354" Type="http://schemas.openxmlformats.org/officeDocument/2006/relationships/hyperlink" Target="https://www.facebook.com/profile.php?id=100028991021210&amp;mibextid=JRoKGi" TargetMode="External"/><Relationship Id="rId9405" Type="http://schemas.openxmlformats.org/officeDocument/2006/relationships/hyperlink" Target="https://www.facebook.com/profile.php?id=100088037691117&amp;mibextid=LQQJ4d" TargetMode="External"/><Relationship Id="rId33" Type="http://schemas.openxmlformats.org/officeDocument/2006/relationships/hyperlink" Target="https://www.facebook.com/profile.php?id=100032250003399&amp;mibextid=LQQJ4d" TargetMode="External"/><Relationship Id="rId3499" Type="http://schemas.openxmlformats.org/officeDocument/2006/relationships/hyperlink" Target="https://www.facebook.com/profile.php?id=61553358308895&amp;mibextid=LQQJ4d" TargetMode="External"/><Relationship Id="rId7370" Type="http://schemas.openxmlformats.org/officeDocument/2006/relationships/hyperlink" Target="https://www.facebook.com/profile.php?id=100075990271785&amp;mibextid=LQQJ4d" TargetMode="External"/><Relationship Id="rId8007" Type="http://schemas.openxmlformats.org/officeDocument/2006/relationships/hyperlink" Target="https://www.facebook.com/share/12HWxsxFBaF/" TargetMode="External"/><Relationship Id="rId8421" Type="http://schemas.openxmlformats.org/officeDocument/2006/relationships/hyperlink" Target="https://www.facebook.com/Bichtae3012" TargetMode="External"/><Relationship Id="rId3566" Type="http://schemas.openxmlformats.org/officeDocument/2006/relationships/hyperlink" Target="https://www.facebook.com/vuive.thienyet.9" TargetMode="External"/><Relationship Id="rId4964" Type="http://schemas.openxmlformats.org/officeDocument/2006/relationships/hyperlink" Target="https://www.facebook.com/profile.php?id=100068407743435&amp;locale=vi_VN" TargetMode="External"/><Relationship Id="rId7023" Type="http://schemas.openxmlformats.org/officeDocument/2006/relationships/hyperlink" Target="https://www.facebook.com/hst1509" TargetMode="External"/><Relationship Id="rId487" Type="http://schemas.openxmlformats.org/officeDocument/2006/relationships/hyperlink" Target="https://www.facebook.com/profile.php?id=100078859430172&amp;mibextid=ZbWKwL" TargetMode="External"/><Relationship Id="rId2168" Type="http://schemas.openxmlformats.org/officeDocument/2006/relationships/hyperlink" Target="https://www.facebook.com/phunphun1234" TargetMode="External"/><Relationship Id="rId3219" Type="http://schemas.openxmlformats.org/officeDocument/2006/relationships/hyperlink" Target="https://drive.google.com/open?id=1B54ku8uNiiDPvU6a_4g-T8xP2w73wWVi" TargetMode="External"/><Relationship Id="rId3980" Type="http://schemas.openxmlformats.org/officeDocument/2006/relationships/hyperlink" Target="https://www.facebook.com/maii.anhh.9256" TargetMode="External"/><Relationship Id="rId4617" Type="http://schemas.openxmlformats.org/officeDocument/2006/relationships/hyperlink" Target="https://www.facebook.com/lans.lans.10297" TargetMode="External"/><Relationship Id="rId9195" Type="http://schemas.openxmlformats.org/officeDocument/2006/relationships/hyperlink" Target="https://drive.google.com/open?id=1JAmIrZBbAjGJPodokL00v0nVCg_P1MNb" TargetMode="External"/><Relationship Id="rId1184" Type="http://schemas.openxmlformats.org/officeDocument/2006/relationships/hyperlink" Target="https://www.facebook.com/dumpling.1206" TargetMode="External"/><Relationship Id="rId2582" Type="http://schemas.openxmlformats.org/officeDocument/2006/relationships/hyperlink" Target="https://www.facebook.com/aori.katoriz.3?mibextid=ZbWKwL" TargetMode="External"/><Relationship Id="rId3633" Type="http://schemas.openxmlformats.org/officeDocument/2006/relationships/hyperlink" Target="https://www.facebook.com/profile.php?id=100079856153816&amp;mibextid=ZbWKwL" TargetMode="External"/><Relationship Id="rId6789" Type="http://schemas.openxmlformats.org/officeDocument/2006/relationships/hyperlink" Target="https://www.facebook.com/profile.php?id=100028269906264&amp;mibextid=LQQJ4d" TargetMode="External"/><Relationship Id="rId554" Type="http://schemas.openxmlformats.org/officeDocument/2006/relationships/hyperlink" Target="https://www.facebook.com/linhcong2112001" TargetMode="External"/><Relationship Id="rId2235" Type="http://schemas.openxmlformats.org/officeDocument/2006/relationships/hyperlink" Target="https://www.facebook.com/profile.php?id=100082227008426" TargetMode="External"/><Relationship Id="rId3700" Type="http://schemas.openxmlformats.org/officeDocument/2006/relationships/hyperlink" Target="https://www.facebook.com/profile.php?id=100082259929779&amp;mibextid=LQQJ4d" TargetMode="External"/><Relationship Id="rId6856" Type="http://schemas.openxmlformats.org/officeDocument/2006/relationships/hyperlink" Target="https://www.facebook.com/ngocc.nguyenn.1428?mibextid=LQQJ4d" TargetMode="External"/><Relationship Id="rId7907" Type="http://schemas.openxmlformats.org/officeDocument/2006/relationships/hyperlink" Target="https://www.facebook.com/yuno1226" TargetMode="External"/><Relationship Id="rId9262" Type="http://schemas.openxmlformats.org/officeDocument/2006/relationships/hyperlink" Target="https://www.facebook.com/huongquynh.nguyen.90260?mibextid=wwXIfr&amp;rdid=9CUKy3xAtb763RKK&amp;share_url=https%3A%2F%2Fwww.facebook.com%2Fshare%2F1FTL6cuVgS%2F%3Fmibextid%3DwwXIfr" TargetMode="External"/><Relationship Id="rId207" Type="http://schemas.openxmlformats.org/officeDocument/2006/relationships/hyperlink" Target="https://drive.google.com/open?id=1904xxXUOlE4z_QOS2N1vVZIrrtY7DmJx" TargetMode="External"/><Relationship Id="rId621" Type="http://schemas.openxmlformats.org/officeDocument/2006/relationships/hyperlink" Target="https://www.facebook.com/profile.php?id=100027445922898" TargetMode="External"/><Relationship Id="rId1251" Type="http://schemas.openxmlformats.org/officeDocument/2006/relationships/hyperlink" Target="https://drive.google.com/open?id=10wTFQE71B_gNIeZ3CrylSTeyWg2ApPoU" TargetMode="External"/><Relationship Id="rId2302" Type="http://schemas.openxmlformats.org/officeDocument/2006/relationships/hyperlink" Target="https://www.facebook.com/profile.php?id=100036136367638" TargetMode="External"/><Relationship Id="rId5458" Type="http://schemas.openxmlformats.org/officeDocument/2006/relationships/hyperlink" Target="https://www.facebook.com/vhopng.194?mibextid=ZbWKwL" TargetMode="External"/><Relationship Id="rId5872" Type="http://schemas.openxmlformats.org/officeDocument/2006/relationships/hyperlink" Target="https://www.facebook.com/profile.php?id=100068795874097" TargetMode="External"/><Relationship Id="rId6509" Type="http://schemas.openxmlformats.org/officeDocument/2006/relationships/hyperlink" Target="https://drive.google.com/open?id=1bgqM58VruUMU-ZMdgf3DsWRh--rWfnzA" TargetMode="External"/><Relationship Id="rId6923" Type="http://schemas.openxmlformats.org/officeDocument/2006/relationships/hyperlink" Target="https://www.facebook.com/profile.php?id=100074514387530&amp;mibextid=LQQJ4d" TargetMode="External"/><Relationship Id="rId4474" Type="http://schemas.openxmlformats.org/officeDocument/2006/relationships/hyperlink" Target="https://www.facebook.com/quynhnhu.nt.39982?mibextid=LQQJ4d" TargetMode="External"/><Relationship Id="rId5525" Type="http://schemas.openxmlformats.org/officeDocument/2006/relationships/hyperlink" Target="https://www.facebook.com/lephuonglinh.06" TargetMode="External"/><Relationship Id="rId3076" Type="http://schemas.openxmlformats.org/officeDocument/2006/relationships/hyperlink" Target="https://www.facebook.com/profile.php?id=100015057487165" TargetMode="External"/><Relationship Id="rId3490" Type="http://schemas.openxmlformats.org/officeDocument/2006/relationships/hyperlink" Target="https://drive.google.com/open?id=1n2WOVviSHSbu1VOMnuMotQkK2IfO_pOU" TargetMode="External"/><Relationship Id="rId4127" Type="http://schemas.openxmlformats.org/officeDocument/2006/relationships/hyperlink" Target="https://www.facebook.com/iamQuangHung?mibextid=ZbWKwL" TargetMode="External"/><Relationship Id="rId4541" Type="http://schemas.openxmlformats.org/officeDocument/2006/relationships/hyperlink" Target="https://www.facebook.com/baolinh.nguyenle.31" TargetMode="External"/><Relationship Id="rId7697" Type="http://schemas.openxmlformats.org/officeDocument/2006/relationships/hyperlink" Target="https://www.facebook.com/share/14UV1vfpMX/?mibextid=LQQJ4d" TargetMode="External"/><Relationship Id="rId2092" Type="http://schemas.openxmlformats.org/officeDocument/2006/relationships/hyperlink" Target="https://www.facebook.com/profile.php?id=100027434617702&amp;mibextid=ZbWKwL" TargetMode="External"/><Relationship Id="rId3143" Type="http://schemas.openxmlformats.org/officeDocument/2006/relationships/hyperlink" Target="https://www.facebook.com/mytam.my.37" TargetMode="External"/><Relationship Id="rId6299" Type="http://schemas.openxmlformats.org/officeDocument/2006/relationships/hyperlink" Target="https://www.facebook.com/profile.php?id=100070948735020&amp;mibextid=LQQJ4d" TargetMode="External"/><Relationship Id="rId8748" Type="http://schemas.openxmlformats.org/officeDocument/2006/relationships/hyperlink" Target="https://www.facebook.com/share/1FTE83aSNZ/" TargetMode="External"/><Relationship Id="rId7764" Type="http://schemas.openxmlformats.org/officeDocument/2006/relationships/hyperlink" Target="https://www.facebook.com/viet.hoang.329043?mibextid=ZbWKwL" TargetMode="External"/><Relationship Id="rId8815" Type="http://schemas.openxmlformats.org/officeDocument/2006/relationships/hyperlink" Target="https://www.facebook.com/profile.php?id=100057673704717&amp;mibextid=LQQJ4d" TargetMode="External"/><Relationship Id="rId131" Type="http://schemas.openxmlformats.org/officeDocument/2006/relationships/hyperlink" Target="https://drive.google.com/open?id=1ga_M3jfUVfXCR2f3If57_YAJ1ihhmA95" TargetMode="External"/><Relationship Id="rId3210" Type="http://schemas.openxmlformats.org/officeDocument/2006/relationships/hyperlink" Target="https://drive.google.com/open?id=1Peo0qdlxUXJwtHlZuPclLf7kUgKAoDxR" TargetMode="External"/><Relationship Id="rId6366" Type="http://schemas.openxmlformats.org/officeDocument/2006/relationships/hyperlink" Target="https://www.facebook.com/profile.php?id=100068600049163&amp;mibextid=LQQJ4d" TargetMode="External"/><Relationship Id="rId6780" Type="http://schemas.openxmlformats.org/officeDocument/2006/relationships/hyperlink" Target="https://www.facebook.com/profile.php?id=100078348354304" TargetMode="External"/><Relationship Id="rId7417" Type="http://schemas.openxmlformats.org/officeDocument/2006/relationships/hyperlink" Target="https://drive.google.com/open?id=1AJezxSSA1o0wfLzmr0UK3hfzkBI2N_ww" TargetMode="External"/><Relationship Id="rId7831" Type="http://schemas.openxmlformats.org/officeDocument/2006/relationships/hyperlink" Target="https://www.facebook.com/tungdds120402" TargetMode="External"/><Relationship Id="rId2976" Type="http://schemas.openxmlformats.org/officeDocument/2006/relationships/hyperlink" Target="https://www.facebook.com/profile.php?id=100037018003487&amp;mibextid=ZbWKwL" TargetMode="External"/><Relationship Id="rId5382" Type="http://schemas.openxmlformats.org/officeDocument/2006/relationships/hyperlink" Target="https://www.facebook.com/profile.php?id=100056584266857&amp;mibextid=LQQJ4d" TargetMode="External"/><Relationship Id="rId6019" Type="http://schemas.openxmlformats.org/officeDocument/2006/relationships/hyperlink" Target="https://www.facebook.com/profile.php?id=100032374501250" TargetMode="External"/><Relationship Id="rId6433" Type="http://schemas.openxmlformats.org/officeDocument/2006/relationships/hyperlink" Target="https://drive.google.com/open?id=1NoMThY9nXvv2Z2phF0OkI1zrCWbGyiQ7" TargetMode="External"/><Relationship Id="rId948" Type="http://schemas.openxmlformats.org/officeDocument/2006/relationships/hyperlink" Target="https://drive.google.com/open?id=1tQaCcj608ERiv58vDbk1-1UsiBE554lB" TargetMode="External"/><Relationship Id="rId1578" Type="http://schemas.openxmlformats.org/officeDocument/2006/relationships/hyperlink" Target="https://www.facebook.com/profile.php?id=100012985931022&amp;mibextid=LQQJ4d" TargetMode="External"/><Relationship Id="rId1992" Type="http://schemas.openxmlformats.org/officeDocument/2006/relationships/hyperlink" Target="https://www.facebook.com/profile.php?id=100038989638210" TargetMode="External"/><Relationship Id="rId2629" Type="http://schemas.openxmlformats.org/officeDocument/2006/relationships/hyperlink" Target="https://drive.google.com/open?id=1gfb7SpDYVmP9Sk0CSpjjErjyPvg5shW6" TargetMode="External"/><Relationship Id="rId5035" Type="http://schemas.openxmlformats.org/officeDocument/2006/relationships/hyperlink" Target="https://drive.google.com/open?id=1F5mS2ltDpEl7tO0BuDEoeSNSfqNWJtTr" TargetMode="External"/><Relationship Id="rId6500" Type="http://schemas.openxmlformats.org/officeDocument/2006/relationships/hyperlink" Target="https://www.facebook.com/profile.php?id=100024672163796" TargetMode="External"/><Relationship Id="rId1645" Type="http://schemas.openxmlformats.org/officeDocument/2006/relationships/hyperlink" Target="https://www.facebook.com/profile.php?id=100055356698195" TargetMode="External"/><Relationship Id="rId4051" Type="http://schemas.openxmlformats.org/officeDocument/2006/relationships/hyperlink" Target="https://drive.google.com/open?id=1dvoswfERKCO2nguoxRRLSvonqBSn0dTQ" TargetMode="External"/><Relationship Id="rId5102" Type="http://schemas.openxmlformats.org/officeDocument/2006/relationships/hyperlink" Target="https://www.facebook.com/profile.php?id=100067405500866&amp;mibextid=LQQJ4d" TargetMode="External"/><Relationship Id="rId8258" Type="http://schemas.openxmlformats.org/officeDocument/2006/relationships/hyperlink" Target="https://drive.google.com/open?id=1Qe1S923v9bM59EUx9EHZldnKRNNl0d3S" TargetMode="External"/><Relationship Id="rId8672" Type="http://schemas.openxmlformats.org/officeDocument/2006/relationships/hyperlink" Target="https://www.facebook.com/profile.php?id=100070856023268&amp;mibextid=LQQJ4d" TargetMode="External"/><Relationship Id="rId9309" Type="http://schemas.openxmlformats.org/officeDocument/2006/relationships/hyperlink" Target="https://www.facebook.com/NgoCongDanh.18?mibextid=LQQJ4d" TargetMode="External"/><Relationship Id="rId7274" Type="http://schemas.openxmlformats.org/officeDocument/2006/relationships/hyperlink" Target="https://www.facebook.com/phunphun1234" TargetMode="External"/><Relationship Id="rId8325" Type="http://schemas.openxmlformats.org/officeDocument/2006/relationships/hyperlink" Target="https://www.facebook.com/profile.php?id=100057335313733&amp;mibextid=ZbWKwL" TargetMode="External"/><Relationship Id="rId1712" Type="http://schemas.openxmlformats.org/officeDocument/2006/relationships/hyperlink" Target="https://www.facebook.com/profile.php?id=100069339530902" TargetMode="External"/><Relationship Id="rId4868" Type="http://schemas.openxmlformats.org/officeDocument/2006/relationships/hyperlink" Target="https://www.facebook.com/profile.php?id=100021503648410" TargetMode="External"/><Relationship Id="rId5919" Type="http://schemas.openxmlformats.org/officeDocument/2006/relationships/hyperlink" Target="https://www.facebook.com/profile.php?id=100040546273789&amp;mibextid=LQQJ4d" TargetMode="External"/><Relationship Id="rId6290" Type="http://schemas.openxmlformats.org/officeDocument/2006/relationships/hyperlink" Target="https://www.facebook.com/profile.php?id=100062870708267" TargetMode="External"/><Relationship Id="rId3884" Type="http://schemas.openxmlformats.org/officeDocument/2006/relationships/hyperlink" Target="https://www.facebook.com/thanh.phanthi.5602728?mibextid=LQQJ4d" TargetMode="External"/><Relationship Id="rId4935" Type="http://schemas.openxmlformats.org/officeDocument/2006/relationships/hyperlink" Target="https://www.facebook.com/profile.php?id=100079516868281&amp;mibextid=LQQJ4d" TargetMode="External"/><Relationship Id="rId7341" Type="http://schemas.openxmlformats.org/officeDocument/2006/relationships/hyperlink" Target="https://www.facebook.com/profile.php?id=100037318473924" TargetMode="External"/><Relationship Id="rId9099" Type="http://schemas.openxmlformats.org/officeDocument/2006/relationships/hyperlink" Target="https://drive.google.com/open?id=15UP7GugbEs_7wM8vac6xgodk1_ZHwqqJ" TargetMode="External"/><Relationship Id="rId2486" Type="http://schemas.openxmlformats.org/officeDocument/2006/relationships/hyperlink" Target="https://drive.google.com/open?id=1Pf4vx-EC83JkYppYPHm5ibXlJoiBsBn6" TargetMode="External"/><Relationship Id="rId3537" Type="http://schemas.openxmlformats.org/officeDocument/2006/relationships/hyperlink" Target="https://drive.google.com/open?id=1_o3iIqDPHlb3dbMcOs_L1QJXN0tZEGaF" TargetMode="External"/><Relationship Id="rId3951" Type="http://schemas.openxmlformats.org/officeDocument/2006/relationships/hyperlink" Target="https://www.facebook.com/profile.php?id=100086408348537" TargetMode="External"/><Relationship Id="rId458" Type="http://schemas.openxmlformats.org/officeDocument/2006/relationships/hyperlink" Target="https://www.facebook.com/hongvan.trieu.9883?mibextid=LQQJ4d" TargetMode="External"/><Relationship Id="rId872" Type="http://schemas.openxmlformats.org/officeDocument/2006/relationships/hyperlink" Target="https://drive.google.com/open?id=1xceF82Fi4yurkRRNfDKDabyTPm9AN_Do" TargetMode="External"/><Relationship Id="rId1088" Type="http://schemas.openxmlformats.org/officeDocument/2006/relationships/hyperlink" Target="https://www.facebook.com/profile.php?id=100044719773594&amp;mibextid=LQQJ4d" TargetMode="External"/><Relationship Id="rId2139" Type="http://schemas.openxmlformats.org/officeDocument/2006/relationships/hyperlink" Target="https://www.facebook.com/profile.php?id=100082259929779&amp;mibextid=LQQJ4d" TargetMode="External"/><Relationship Id="rId2553" Type="http://schemas.openxmlformats.org/officeDocument/2006/relationships/hyperlink" Target="https://www.facebook.com/hai.thieu.96387?mibextid=ZbWKwL" TargetMode="External"/><Relationship Id="rId3604" Type="http://schemas.openxmlformats.org/officeDocument/2006/relationships/hyperlink" Target="https://drive.google.com/open?id=19JLEEOUtyfXuh99VuCKN3T-ojFVPfdaW" TargetMode="External"/><Relationship Id="rId6010" Type="http://schemas.openxmlformats.org/officeDocument/2006/relationships/hyperlink" Target="https://www.facebook.com/profile.php?id=61550005731130&amp;mibextid=LQQJ4d" TargetMode="External"/><Relationship Id="rId9166" Type="http://schemas.openxmlformats.org/officeDocument/2006/relationships/hyperlink" Target="https://drive.google.com/open?id=1gDIwqzd4RKOJwleRSSgHDEr87Z-QM6nZ" TargetMode="External"/><Relationship Id="rId9580" Type="http://schemas.openxmlformats.org/officeDocument/2006/relationships/hyperlink" Target="https://drive.google.com/open?id=1usjJrxxCrNuPFU-1MHmCRPo1enABRjc4" TargetMode="External"/><Relationship Id="rId525" Type="http://schemas.openxmlformats.org/officeDocument/2006/relationships/hyperlink" Target="https://www.facebook.com/huong.t.n.huong.t.n.5?mibextid=LQQJ4d" TargetMode="External"/><Relationship Id="rId1155" Type="http://schemas.openxmlformats.org/officeDocument/2006/relationships/hyperlink" Target="https://drive.google.com/open?id=1fzrIZS97H7oT2uddvy63kG1JBJvtM3_Q" TargetMode="External"/><Relationship Id="rId2206" Type="http://schemas.openxmlformats.org/officeDocument/2006/relationships/hyperlink" Target="https://www.facebook.com/profile.php?id=100050352252518" TargetMode="External"/><Relationship Id="rId2620" Type="http://schemas.openxmlformats.org/officeDocument/2006/relationships/hyperlink" Target="https://www.facebook.com/profile.php?id=100053355834062&amp;mibextid=LQQJ4d" TargetMode="External"/><Relationship Id="rId5776" Type="http://schemas.openxmlformats.org/officeDocument/2006/relationships/hyperlink" Target="https://www.facebook.com/profile.php?id=100044265936726&amp;mibextid=JRoKGi" TargetMode="External"/><Relationship Id="rId8182" Type="http://schemas.openxmlformats.org/officeDocument/2006/relationships/hyperlink" Target="https://drive.google.com/open?id=16yeevBhhipRMKwOQdfYRY096GKhNTBBz" TargetMode="External"/><Relationship Id="rId9233" Type="http://schemas.openxmlformats.org/officeDocument/2006/relationships/hyperlink" Target="https://www.facebook.com/profile.php?id=100015192751574&amp;mibextid=ZbWKwL" TargetMode="External"/><Relationship Id="rId1222" Type="http://schemas.openxmlformats.org/officeDocument/2006/relationships/hyperlink" Target="https://www.facebook.com/ngocc.bich.52?mibextid=LQQJ4d" TargetMode="External"/><Relationship Id="rId4378" Type="http://schemas.openxmlformats.org/officeDocument/2006/relationships/hyperlink" Target="https://www.facebook.com/duong.nguyenthien.775?mibextid=JRoKGi" TargetMode="External"/><Relationship Id="rId5429" Type="http://schemas.openxmlformats.org/officeDocument/2006/relationships/hyperlink" Target="https://www.facebook.com/kicm.jack.9235" TargetMode="External"/><Relationship Id="rId6827" Type="http://schemas.openxmlformats.org/officeDocument/2006/relationships/hyperlink" Target="https://www.facebook.com/co.mai.9277583?mibextid=LQQJ4d" TargetMode="External"/><Relationship Id="rId9300" Type="http://schemas.openxmlformats.org/officeDocument/2006/relationships/hyperlink" Target="https://www.facebook.com/dnanhwrqq" TargetMode="External"/><Relationship Id="rId3394" Type="http://schemas.openxmlformats.org/officeDocument/2006/relationships/hyperlink" Target="https://www.facebook.com/BuiHau.Official?mibextid=LQQJ4d" TargetMode="External"/><Relationship Id="rId4792" Type="http://schemas.openxmlformats.org/officeDocument/2006/relationships/hyperlink" Target="https://www.facebook.com/profile.php?id=100037629764291&amp;mibextid=LQQJ4d" TargetMode="External"/><Relationship Id="rId5843" Type="http://schemas.openxmlformats.org/officeDocument/2006/relationships/hyperlink" Target="https://www.facebook.com/con.cuong.71465?mibextid=LQQJ4d" TargetMode="External"/><Relationship Id="rId8999" Type="http://schemas.openxmlformats.org/officeDocument/2006/relationships/hyperlink" Target="https://www.facebook.com/huong.giang.622080" TargetMode="External"/><Relationship Id="rId3047" Type="http://schemas.openxmlformats.org/officeDocument/2006/relationships/hyperlink" Target="https://drive.google.com/open?id=1NRvVspllkTBJRuOkJW4a6Jg8OEiConVK" TargetMode="External"/><Relationship Id="rId4445" Type="http://schemas.openxmlformats.org/officeDocument/2006/relationships/hyperlink" Target="https://www.facebook.com/Tt.ngaan.tt?mibextid=ZbWKwL" TargetMode="External"/><Relationship Id="rId5910" Type="http://schemas.openxmlformats.org/officeDocument/2006/relationships/hyperlink" Target="https://www.facebook.com/profile.php?id=100066181841569&amp;mibextid=LQQJ4d" TargetMode="External"/><Relationship Id="rId3461" Type="http://schemas.openxmlformats.org/officeDocument/2006/relationships/hyperlink" Target="https://www.facebook.com/minhphong.phong.5264" TargetMode="External"/><Relationship Id="rId4512" Type="http://schemas.openxmlformats.org/officeDocument/2006/relationships/hyperlink" Target="https://www.facebook.com/profile.php?id=100049327514504&amp;mibextid=LQQJ4d" TargetMode="External"/><Relationship Id="rId7668" Type="http://schemas.openxmlformats.org/officeDocument/2006/relationships/hyperlink" Target="https://www.facebook.com/100031790824249/" TargetMode="External"/><Relationship Id="rId8719" Type="http://schemas.openxmlformats.org/officeDocument/2006/relationships/hyperlink" Target="https://www.facebook.com/profile.php?id=100077395614775&amp;mibextid=ZbWKwL" TargetMode="External"/><Relationship Id="rId382" Type="http://schemas.openxmlformats.org/officeDocument/2006/relationships/hyperlink" Target="https://www.facebook.com/profile.php?id=100022308904824&amp;mibextid=ZbWKwL" TargetMode="External"/><Relationship Id="rId2063" Type="http://schemas.openxmlformats.org/officeDocument/2006/relationships/hyperlink" Target="https://www.facebook.com/profile.php?id=100064492684292&amp;mibextid=LQQJ4d" TargetMode="External"/><Relationship Id="rId3114" Type="http://schemas.openxmlformats.org/officeDocument/2006/relationships/hyperlink" Target="https://drive.google.com/open?id=1CbKGTcTf3-V9Sl1mdEShROqvPMMveaer" TargetMode="External"/><Relationship Id="rId6684" Type="http://schemas.openxmlformats.org/officeDocument/2006/relationships/hyperlink" Target="https://www.facebook.com/hennessi.06?mibextid=ZbWKwL" TargetMode="External"/><Relationship Id="rId7735" Type="http://schemas.openxmlformats.org/officeDocument/2006/relationships/hyperlink" Target="https://www.facebook.com/profile.php?id=100064479799125&amp;mibextid=LQQJ4d&amp;mibextid=LQQJ4d" TargetMode="External"/><Relationship Id="rId9090" Type="http://schemas.openxmlformats.org/officeDocument/2006/relationships/hyperlink" Target="https://www.facebook.com/trinhphuong1406?mibextid=LQQJ4d" TargetMode="External"/><Relationship Id="rId2130" Type="http://schemas.openxmlformats.org/officeDocument/2006/relationships/hyperlink" Target="https://www.facebook.com/profile.php?id=100047265876298&amp;mibextid=LQQJ4d" TargetMode="External"/><Relationship Id="rId5286" Type="http://schemas.openxmlformats.org/officeDocument/2006/relationships/hyperlink" Target="https://www.facebook.com/share/4FZfNAxa4bokTj6H/?mibextid=qi2Omg" TargetMode="External"/><Relationship Id="rId6337" Type="http://schemas.openxmlformats.org/officeDocument/2006/relationships/hyperlink" Target="https://www.facebook.com/thanhtam.truong.292006" TargetMode="External"/><Relationship Id="rId6751" Type="http://schemas.openxmlformats.org/officeDocument/2006/relationships/hyperlink" Target="https://www.facebook.com/nguyenthihaiyen22122006iuuuuuu" TargetMode="External"/><Relationship Id="rId102" Type="http://schemas.openxmlformats.org/officeDocument/2006/relationships/hyperlink" Target="https://drive.google.com/open?id=1gD2lawDVw6KQsuTObAhocp5w2ydaD7NX" TargetMode="External"/><Relationship Id="rId5353" Type="http://schemas.openxmlformats.org/officeDocument/2006/relationships/hyperlink" Target="https://www.facebook.com/profile.php?id=100068516730192&amp;mibextid=LQQJ4d" TargetMode="External"/><Relationship Id="rId6404" Type="http://schemas.openxmlformats.org/officeDocument/2006/relationships/hyperlink" Target="https://www.facebook.com/hha.cp?mibextid=LQQJ4d" TargetMode="External"/><Relationship Id="rId7802" Type="http://schemas.openxmlformats.org/officeDocument/2006/relationships/hyperlink" Target="https://www.facebook.com/profile.php?id=100017442690165" TargetMode="External"/><Relationship Id="rId1896" Type="http://schemas.openxmlformats.org/officeDocument/2006/relationships/hyperlink" Target="https://www.facebook.com/vanthuc.khuu?mibextid=LQQJ4d" TargetMode="External"/><Relationship Id="rId2947" Type="http://schemas.openxmlformats.org/officeDocument/2006/relationships/hyperlink" Target="https://drive.google.com/open?id=1GC1gZJlriLDj0jISb7XhML0tYtroWrm7" TargetMode="External"/><Relationship Id="rId5006" Type="http://schemas.openxmlformats.org/officeDocument/2006/relationships/hyperlink" Target="https://www.facebook.com/myoanh.vu.58?mibextid=LQQJ4d" TargetMode="External"/><Relationship Id="rId919" Type="http://schemas.openxmlformats.org/officeDocument/2006/relationships/hyperlink" Target="https://www.facebook.com/profile.php?id=100047964951574" TargetMode="External"/><Relationship Id="rId1549" Type="http://schemas.openxmlformats.org/officeDocument/2006/relationships/hyperlink" Target="https://www.facebook.com/profile.php?id=100089598638841" TargetMode="External"/><Relationship Id="rId1963" Type="http://schemas.openxmlformats.org/officeDocument/2006/relationships/hyperlink" Target="https://www.facebook.com/profile.php?id=100083206461555" TargetMode="External"/><Relationship Id="rId4022" Type="http://schemas.openxmlformats.org/officeDocument/2006/relationships/hyperlink" Target="https://drive.google.com/open?id=10r-GcXglw9TiyfJU_w0FoKtBzm63kZgf" TargetMode="External"/><Relationship Id="rId5420" Type="http://schemas.openxmlformats.org/officeDocument/2006/relationships/hyperlink" Target="https://www.facebook.com/binhan.vu.568" TargetMode="External"/><Relationship Id="rId7178" Type="http://schemas.openxmlformats.org/officeDocument/2006/relationships/hyperlink" Target="https://www.facebook.com/profile.php?id=100060417106397" TargetMode="External"/><Relationship Id="rId8576" Type="http://schemas.openxmlformats.org/officeDocument/2006/relationships/hyperlink" Target="https://www.facebook.com/saiginhso1luon?mibextid=wwXIfr&amp;rdid=p9hWiWNTVn9DSXj0&amp;share_url=https%3A%2F%2Fwww.facebook.com%2Fshare%2F1BaGhHnEwC%2F%3Fmibextid%3DwwXIfr" TargetMode="External"/><Relationship Id="rId8990" Type="http://schemas.openxmlformats.org/officeDocument/2006/relationships/hyperlink" Target="https://www.facebook.com/minh.anh.buii.2024" TargetMode="External"/><Relationship Id="rId1616" Type="http://schemas.openxmlformats.org/officeDocument/2006/relationships/hyperlink" Target="https://drive.google.com/open?id=1_SPmTFn6jJmBMRN_LZhYJIRfbMKX9o37" TargetMode="External"/><Relationship Id="rId7592" Type="http://schemas.openxmlformats.org/officeDocument/2006/relationships/hyperlink" Target="https://www.facebook.com/jisoo.park.988711?mibextid=LQQJ4d" TargetMode="External"/><Relationship Id="rId8229" Type="http://schemas.openxmlformats.org/officeDocument/2006/relationships/hyperlink" Target="https://www.facebook.com/syoraa/" TargetMode="External"/><Relationship Id="rId8643" Type="http://schemas.openxmlformats.org/officeDocument/2006/relationships/hyperlink" Target="https://www.facebook.com/hai.caoduy.3781" TargetMode="External"/><Relationship Id="rId3788" Type="http://schemas.openxmlformats.org/officeDocument/2006/relationships/hyperlink" Target="https://drive.google.com/open?id=1aAgv_Fm6NKRADd7xHMtZ4Lb3xeKNFaAj" TargetMode="External"/><Relationship Id="rId4839" Type="http://schemas.openxmlformats.org/officeDocument/2006/relationships/hyperlink" Target="https://drive.google.com/open?id=1gr6htvbi0fCBTsb5_tHr7q07yF4W6KEN" TargetMode="External"/><Relationship Id="rId6194" Type="http://schemas.openxmlformats.org/officeDocument/2006/relationships/hyperlink" Target="https://www.facebook.com/ngo.huong.giang.16503323?mibextid=LQQJ4d" TargetMode="External"/><Relationship Id="rId7245" Type="http://schemas.openxmlformats.org/officeDocument/2006/relationships/hyperlink" Target="https://drive.google.com/open?id=1mFLMcWZE4FHIR7L1I2_Erhp8cUJoPs28" TargetMode="External"/><Relationship Id="rId8710" Type="http://schemas.openxmlformats.org/officeDocument/2006/relationships/hyperlink" Target="https://www.facebook.com/profile.php?id=100035363684944&amp;locale=vi_VN" TargetMode="External"/><Relationship Id="rId3855" Type="http://schemas.openxmlformats.org/officeDocument/2006/relationships/hyperlink" Target="https://www.facebook.com/profile.php?id=100053464005023" TargetMode="External"/><Relationship Id="rId6261" Type="http://schemas.openxmlformats.org/officeDocument/2006/relationships/hyperlink" Target="https://www.facebook.com/profile.php?id=100046552938881&amp;mibextid=LQQJ4d" TargetMode="External"/><Relationship Id="rId7312" Type="http://schemas.openxmlformats.org/officeDocument/2006/relationships/hyperlink" Target="https://www.facebook.com/pxpday?mibextid=ZbWKwL" TargetMode="External"/><Relationship Id="rId776" Type="http://schemas.openxmlformats.org/officeDocument/2006/relationships/hyperlink" Target="https://www.facebook.com/phong.phan.96995238" TargetMode="External"/><Relationship Id="rId2457" Type="http://schemas.openxmlformats.org/officeDocument/2006/relationships/hyperlink" Target="https://www.facebook.com/profile.php?id=100025967235319&amp;mibextid=ZbWKwL" TargetMode="External"/><Relationship Id="rId3508" Type="http://schemas.openxmlformats.org/officeDocument/2006/relationships/hyperlink" Target="https://drive.google.com/open?id=1d-tWbtNt8QsSghAVkBP6bnoE3TCSy-Wa" TargetMode="External"/><Relationship Id="rId4906" Type="http://schemas.openxmlformats.org/officeDocument/2006/relationships/hyperlink" Target="https://www.facebook.com/profile.php?id=100042172203934&amp;mibextid=LQQJ4d" TargetMode="External"/><Relationship Id="rId9484" Type="http://schemas.openxmlformats.org/officeDocument/2006/relationships/hyperlink" Target="https://drive.google.com/open?id=1Ko49SwdB5amZNDROaj98Bug0dAPDQchA" TargetMode="External"/><Relationship Id="rId429" Type="http://schemas.openxmlformats.org/officeDocument/2006/relationships/hyperlink" Target="https://www.facebook.com/profile.php?id=100011150135785&amp;mibextid=ZbWKwL" TargetMode="External"/><Relationship Id="rId1059" Type="http://schemas.openxmlformats.org/officeDocument/2006/relationships/hyperlink" Target="https://www.facebook.com/profile.php?id=100066731117959&amp;mibextid=LQQJ4d" TargetMode="External"/><Relationship Id="rId1473" Type="http://schemas.openxmlformats.org/officeDocument/2006/relationships/hyperlink" Target="https://www.facebook.com/profile.php?id=61550223770652&amp;mibextid=ZbWKwL" TargetMode="External"/><Relationship Id="rId2871" Type="http://schemas.openxmlformats.org/officeDocument/2006/relationships/hyperlink" Target="https://drive.google.com/open?id=1lpQ8hIfYcuonpJTkgfysP4vMFxXhPbwd" TargetMode="External"/><Relationship Id="rId3922" Type="http://schemas.openxmlformats.org/officeDocument/2006/relationships/hyperlink" Target="https://www.facebook.com/profile.php?id=100051807124056" TargetMode="External"/><Relationship Id="rId8086" Type="http://schemas.openxmlformats.org/officeDocument/2006/relationships/hyperlink" Target="https://www.facebook.com/ngocoanh.nguyenthi.359778" TargetMode="External"/><Relationship Id="rId9137" Type="http://schemas.openxmlformats.org/officeDocument/2006/relationships/hyperlink" Target="https://drive.google.com/open?id=1UwMrlvWtjyKncsvBGJc2-hM4H_9orXOP" TargetMode="External"/><Relationship Id="rId843" Type="http://schemas.openxmlformats.org/officeDocument/2006/relationships/hyperlink" Target="https://drive.google.com/open?id=1gMfnIFc1l__br88zUhdrCb826bciEIMi" TargetMode="External"/><Relationship Id="rId1126" Type="http://schemas.openxmlformats.org/officeDocument/2006/relationships/hyperlink" Target="https://www.facebook.com/MaiChi2304?mibextid=LQQJ4d" TargetMode="External"/><Relationship Id="rId2524" Type="http://schemas.openxmlformats.org/officeDocument/2006/relationships/hyperlink" Target="https://drive.google.com/open?id=1WMQunR8bIqO-0HNaPnP0J08FwCBoy19Q" TargetMode="External"/><Relationship Id="rId8153" Type="http://schemas.openxmlformats.org/officeDocument/2006/relationships/hyperlink" Target="https://www.facebook.com/profile.php?id=100054558464007&amp;mibextid=LQQJ4d" TargetMode="External"/><Relationship Id="rId9551" Type="http://schemas.openxmlformats.org/officeDocument/2006/relationships/hyperlink" Target="https://www.facebook.com/share/1EbRpcCy95/?mibextid=LQQJ4d" TargetMode="External"/><Relationship Id="rId910" Type="http://schemas.openxmlformats.org/officeDocument/2006/relationships/hyperlink" Target="https://drive.google.com/open?id=14vLYXCJ5v1kZW0gAHRrwWxyYKZ4-ijev" TargetMode="External"/><Relationship Id="rId1540" Type="http://schemas.openxmlformats.org/officeDocument/2006/relationships/hyperlink" Target="https://drive.google.com/open?id=1THfp5Z9Rq9bj7UNXMLVTWDsHpfeqjOZx" TargetMode="External"/><Relationship Id="rId4696" Type="http://schemas.openxmlformats.org/officeDocument/2006/relationships/hyperlink" Target="https://drive.google.com/open?id=15J8DFM44H5PET7bmQ_znLmOZW2TeJHKo" TargetMode="External"/><Relationship Id="rId5747" Type="http://schemas.openxmlformats.org/officeDocument/2006/relationships/hyperlink" Target="https://www.facebook.com/profile.php?id=100017952483899&amp;mibextid=LQQJ4d" TargetMode="External"/><Relationship Id="rId9204" Type="http://schemas.openxmlformats.org/officeDocument/2006/relationships/hyperlink" Target="https://drive.google.com/open?id=14riZ-nGqbyZ5DdBEqPebuRC-2SVcW5xa" TargetMode="External"/><Relationship Id="rId3298" Type="http://schemas.openxmlformats.org/officeDocument/2006/relationships/hyperlink" Target="https://www.facebook.com/profile.php?id=100051930849905" TargetMode="External"/><Relationship Id="rId4349" Type="http://schemas.openxmlformats.org/officeDocument/2006/relationships/hyperlink" Target="https://www.facebook.com/profile.php?id=100053472249308" TargetMode="External"/><Relationship Id="rId4763" Type="http://schemas.openxmlformats.org/officeDocument/2006/relationships/hyperlink" Target="https://www.facebook.com/profile.php?id=100040122104753&amp;mibextid=LQQJ4d" TargetMode="External"/><Relationship Id="rId5814" Type="http://schemas.openxmlformats.org/officeDocument/2006/relationships/hyperlink" Target="https://www.facebook.com/profile.php?id=100017807978827&amp;mibextid=LQQJ4d" TargetMode="External"/><Relationship Id="rId8220" Type="http://schemas.openxmlformats.org/officeDocument/2006/relationships/hyperlink" Target="https://drive.google.com/open?id=149-pmX_TFlqhOSDxTiaC_C3t2h9fTZf7" TargetMode="External"/><Relationship Id="rId3365" Type="http://schemas.openxmlformats.org/officeDocument/2006/relationships/hyperlink" Target="https://www.facebook.com/profile.php?id=100049003191055" TargetMode="External"/><Relationship Id="rId4416" Type="http://schemas.openxmlformats.org/officeDocument/2006/relationships/hyperlink" Target="https://www.facebook.com/Hoasen.212?mibextid=kFxxJD" TargetMode="External"/><Relationship Id="rId4830" Type="http://schemas.openxmlformats.org/officeDocument/2006/relationships/hyperlink" Target="https://www.facebook.com/profile.php?id=100058929063027&amp;mibextid=LQQJ4d" TargetMode="External"/><Relationship Id="rId7986" Type="http://schemas.openxmlformats.org/officeDocument/2006/relationships/hyperlink" Target="https://www.facebook.com/loai.lac.7568?mibextid=LQQJ4d" TargetMode="External"/><Relationship Id="rId286" Type="http://schemas.openxmlformats.org/officeDocument/2006/relationships/hyperlink" Target="https://www.facebook.com/profile.php?id=100035082633789&amp;mibextid=LQQJ4d" TargetMode="External"/><Relationship Id="rId2381" Type="http://schemas.openxmlformats.org/officeDocument/2006/relationships/hyperlink" Target="https://www.facebook.com/profile.php?id=100043647561347" TargetMode="External"/><Relationship Id="rId3018" Type="http://schemas.openxmlformats.org/officeDocument/2006/relationships/hyperlink" Target="https://drive.google.com/open?id=1q6iDNuhX1EUbF_oR1sEzitDUrKvf5E_L" TargetMode="External"/><Relationship Id="rId3432" Type="http://schemas.openxmlformats.org/officeDocument/2006/relationships/hyperlink" Target="https://www.facebook.com/profile.php?id=100085675103238&amp;mibextid=LQQJ4d" TargetMode="External"/><Relationship Id="rId6588" Type="http://schemas.openxmlformats.org/officeDocument/2006/relationships/hyperlink" Target="https://www.facebook.com/havyhoang149?mibextid=LQQJ4d" TargetMode="External"/><Relationship Id="rId7639" Type="http://schemas.openxmlformats.org/officeDocument/2006/relationships/hyperlink" Target="https://www.facebook.com/profile.php?id=100051866059703&amp;mibextid=ZbWKwL" TargetMode="External"/><Relationship Id="rId353" Type="http://schemas.openxmlformats.org/officeDocument/2006/relationships/hyperlink" Target="https://drive.google.com/open?id=14Pu2GvU5qA_o6niPgFcNdlETw9N6AH06" TargetMode="External"/><Relationship Id="rId2034" Type="http://schemas.openxmlformats.org/officeDocument/2006/relationships/hyperlink" Target="https://www.facebook.com/profile.php?id=100017660326396&amp;mibextid=LQQJ4d" TargetMode="External"/><Relationship Id="rId9061" Type="http://schemas.openxmlformats.org/officeDocument/2006/relationships/hyperlink" Target="https://www.facebook.com/h.ngocc06?mibextid=LQQJ4d" TargetMode="External"/><Relationship Id="rId420" Type="http://schemas.openxmlformats.org/officeDocument/2006/relationships/hyperlink" Target="https://www.facebook.com/phuongg.vuthi.7?mibextid=LQQJ4d" TargetMode="External"/><Relationship Id="rId1050" Type="http://schemas.openxmlformats.org/officeDocument/2006/relationships/hyperlink" Target="https://drive.google.com/open?id=1ELV0EC5FdjE99AtHS8vY7QopXN-bGSYn" TargetMode="External"/><Relationship Id="rId2101" Type="http://schemas.openxmlformats.org/officeDocument/2006/relationships/hyperlink" Target="https://www.facebook.com/profile.php?id=100042302111726" TargetMode="External"/><Relationship Id="rId5257" Type="http://schemas.openxmlformats.org/officeDocument/2006/relationships/hyperlink" Target="https://www.facebook.com/profile.php?id=100050570059127" TargetMode="External"/><Relationship Id="rId6655" Type="http://schemas.openxmlformats.org/officeDocument/2006/relationships/hyperlink" Target="https://www.facebook.com/profile.php?id=100029063256562" TargetMode="External"/><Relationship Id="rId7706" Type="http://schemas.openxmlformats.org/officeDocument/2006/relationships/hyperlink" Target="https://www.facebook.com/profile.php?id=100031708566448" TargetMode="External"/><Relationship Id="rId5671" Type="http://schemas.openxmlformats.org/officeDocument/2006/relationships/hyperlink" Target="https://www.facebook.com/profile.php?id=100073090266680&amp;mibextid=LQQJ4d" TargetMode="External"/><Relationship Id="rId6308" Type="http://schemas.openxmlformats.org/officeDocument/2006/relationships/hyperlink" Target="https://drive.google.com/open?id=1sv9TtmnBrVeFtFXuRcSYpqaOTEsHGZR-" TargetMode="External"/><Relationship Id="rId6722" Type="http://schemas.openxmlformats.org/officeDocument/2006/relationships/hyperlink" Target="https://www.facebook.com/profile.php?id=100068911432006&amp;mibextid=LQQJ4d" TargetMode="External"/><Relationship Id="rId1867" Type="http://schemas.openxmlformats.org/officeDocument/2006/relationships/hyperlink" Target="https://drive.google.com/open?id=15fBpG4tUKWvJCzMXCcum1G9-Jn_Grds5" TargetMode="External"/><Relationship Id="rId2918" Type="http://schemas.openxmlformats.org/officeDocument/2006/relationships/hyperlink" Target="https://www.facebook.com/lanmgv0611?mibextid=LQQJ4d" TargetMode="External"/><Relationship Id="rId4273" Type="http://schemas.openxmlformats.org/officeDocument/2006/relationships/hyperlink" Target="https://www.facebook.com/profile.php?id=100073975956413&amp;mibextid=LQQJ4d" TargetMode="External"/><Relationship Id="rId5324" Type="http://schemas.openxmlformats.org/officeDocument/2006/relationships/hyperlink" Target="https://www.facebook.com/profile.php?id=100044599085831&amp;mibextid=LQQJ4d" TargetMode="External"/><Relationship Id="rId8894" Type="http://schemas.openxmlformats.org/officeDocument/2006/relationships/hyperlink" Target="https://drive.google.com/open?id=14JsIreta5Dcb1E6FTGX-fFBEW9fCqYRV" TargetMode="External"/><Relationship Id="rId1934" Type="http://schemas.openxmlformats.org/officeDocument/2006/relationships/hyperlink" Target="https://www.facebook.com/tue.do.1485" TargetMode="External"/><Relationship Id="rId4340" Type="http://schemas.openxmlformats.org/officeDocument/2006/relationships/hyperlink" Target="https://www.facebook.com/profile.php?id=100072222349866&amp;mibextid=JRoKGi" TargetMode="External"/><Relationship Id="rId7496" Type="http://schemas.openxmlformats.org/officeDocument/2006/relationships/hyperlink" Target="https://www.facebook.com/quochinhhyhy.0202?mibextid=LQQJ4d" TargetMode="External"/><Relationship Id="rId8547" Type="http://schemas.openxmlformats.org/officeDocument/2006/relationships/hyperlink" Target="https://www.facebook.com/phuongoanhng05?mibextid=LQQJ4d" TargetMode="External"/><Relationship Id="rId8961" Type="http://schemas.openxmlformats.org/officeDocument/2006/relationships/hyperlink" Target="https://www.facebook.com/nguyenmai8606" TargetMode="External"/><Relationship Id="rId6098" Type="http://schemas.openxmlformats.org/officeDocument/2006/relationships/hyperlink" Target="https://web.facebook.com/profile.php?id=100039400337877&amp;mibextid=ZbWKwL&amp;ext=1727248290&amp;hash=%2501%2501%25C6%25FC%25AB%25B1%25FA%25D3%2510%2527%2502%2505%25F3%2505g%258E%258AD&amp;_rdc=1&amp;_rdr" TargetMode="External"/><Relationship Id="rId7149" Type="http://schemas.openxmlformats.org/officeDocument/2006/relationships/hyperlink" Target="https://www.facebook.com/profile.php?id=100028482523371" TargetMode="External"/><Relationship Id="rId7563" Type="http://schemas.openxmlformats.org/officeDocument/2006/relationships/hyperlink" Target="https://www.facebook.com/profile.php?id=100054165919368&amp;mibextid=LQQJ4d" TargetMode="External"/><Relationship Id="rId8614" Type="http://schemas.openxmlformats.org/officeDocument/2006/relationships/hyperlink" Target="https://www.facebook.com/long.bi.794" TargetMode="External"/><Relationship Id="rId6165" Type="http://schemas.openxmlformats.org/officeDocument/2006/relationships/hyperlink" Target="https://www.facebook.com/tlinhz.19?mibextid=LQQJ4d" TargetMode="External"/><Relationship Id="rId7216" Type="http://schemas.openxmlformats.org/officeDocument/2006/relationships/hyperlink" Target="https://www.facebook.com/ngochuyen11122005" TargetMode="External"/><Relationship Id="rId3759" Type="http://schemas.openxmlformats.org/officeDocument/2006/relationships/hyperlink" Target="https://www.facebook.com/profile.php?id=100047018533763&amp;mibextid=ZbWKwL" TargetMode="External"/><Relationship Id="rId5181" Type="http://schemas.openxmlformats.org/officeDocument/2006/relationships/hyperlink" Target="https://www.facebook.com/kin.quynh.3" TargetMode="External"/><Relationship Id="rId6232" Type="http://schemas.openxmlformats.org/officeDocument/2006/relationships/hyperlink" Target="https://www.facebook.com/profile.php?id=100028700411593&amp;mibextid=LQQJ4d" TargetMode="External"/><Relationship Id="rId7630" Type="http://schemas.openxmlformats.org/officeDocument/2006/relationships/hyperlink" Target="https://www.facebook.com/cuongthinh.letien.58?mibextid=LQQJ4d" TargetMode="External"/><Relationship Id="rId9388" Type="http://schemas.openxmlformats.org/officeDocument/2006/relationships/hyperlink" Target="https://www.facebook.com/mat.troi.378537?mibextid=LQQJ4d" TargetMode="External"/><Relationship Id="rId2775" Type="http://schemas.openxmlformats.org/officeDocument/2006/relationships/hyperlink" Target="https://drive.google.com/open?id=14xR_45uJfHy9JrZIWpuQ_VC2-DKXKGdV" TargetMode="External"/><Relationship Id="rId3826" Type="http://schemas.openxmlformats.org/officeDocument/2006/relationships/hyperlink" Target="https://www.facebook.com/profile.php?id=100026960076425&amp;mibextid=LQQJ4d" TargetMode="External"/><Relationship Id="rId747" Type="http://schemas.openxmlformats.org/officeDocument/2006/relationships/hyperlink" Target="https://drive.google.com/open?id=1f69i0EalXTP8ZmQlfc78obczBCRN038X" TargetMode="External"/><Relationship Id="rId1377" Type="http://schemas.openxmlformats.org/officeDocument/2006/relationships/hyperlink" Target="https://drive.google.com/open?id=1nBQsQmX-dUBJRWTZDk3vCc3kgIFdYJh6" TargetMode="External"/><Relationship Id="rId1791" Type="http://schemas.openxmlformats.org/officeDocument/2006/relationships/hyperlink" Target="https://www.facebook.com/thanhh.tam.148?mibextid=LQQJ4d" TargetMode="External"/><Relationship Id="rId2428" Type="http://schemas.openxmlformats.org/officeDocument/2006/relationships/hyperlink" Target="https://www.facebook.com/profile.php?id=100029153340791" TargetMode="External"/><Relationship Id="rId2842" Type="http://schemas.openxmlformats.org/officeDocument/2006/relationships/hyperlink" Target="https://www.facebook.com/trang.ng.39501789?mibextid=eHce3h" TargetMode="External"/><Relationship Id="rId5998" Type="http://schemas.openxmlformats.org/officeDocument/2006/relationships/hyperlink" Target="https://www.facebook.com/profile.php?id=100071138073583" TargetMode="External"/><Relationship Id="rId9455" Type="http://schemas.openxmlformats.org/officeDocument/2006/relationships/hyperlink" Target="https://www.facebook.com/profile.php?id=100055203019297&amp;mibextid=LQQJ4d" TargetMode="External"/><Relationship Id="rId83" Type="http://schemas.openxmlformats.org/officeDocument/2006/relationships/hyperlink" Target="https://www.facebook.com/profile.php?id=100050211093421&amp;mibextid=LQQJ4d" TargetMode="External"/><Relationship Id="rId814" Type="http://schemas.openxmlformats.org/officeDocument/2006/relationships/hyperlink" Target="https://drive.google.com/open?id=1hOP33g1noppBKTWk5HVmLO2C715REfhi" TargetMode="External"/><Relationship Id="rId1444" Type="http://schemas.openxmlformats.org/officeDocument/2006/relationships/hyperlink" Target="https://www.facebook.com/profile.php?id=100021457712592&amp;mibextid=LQQJ4d" TargetMode="External"/><Relationship Id="rId8057" Type="http://schemas.openxmlformats.org/officeDocument/2006/relationships/hyperlink" Target="https://www.facebook.com/peoscaca26?mibextid=JRoKGi" TargetMode="External"/><Relationship Id="rId8471" Type="http://schemas.openxmlformats.org/officeDocument/2006/relationships/hyperlink" Target="https://www.facebook.com/hoa.phanhuyen.7?locale=vi_VN" TargetMode="External"/><Relationship Id="rId9108" Type="http://schemas.openxmlformats.org/officeDocument/2006/relationships/hyperlink" Target="https://www.facebook.com/profile.php?id=100040960082985&amp;mibextid=ZbWKwL" TargetMode="External"/><Relationship Id="rId9522" Type="http://schemas.openxmlformats.org/officeDocument/2006/relationships/hyperlink" Target="https://www.facebook.com/share/1BR1V2z9xT/?mibextid=wwXIfr" TargetMode="External"/><Relationship Id="rId1511" Type="http://schemas.openxmlformats.org/officeDocument/2006/relationships/hyperlink" Target="https://www.facebook.com/htu.uienz" TargetMode="External"/><Relationship Id="rId4667" Type="http://schemas.openxmlformats.org/officeDocument/2006/relationships/hyperlink" Target="https://drive.google.com/open?id=1mFD9jz9bdBbDuALkFfntFxAmC4Atg2s4" TargetMode="External"/><Relationship Id="rId5718" Type="http://schemas.openxmlformats.org/officeDocument/2006/relationships/hyperlink" Target="https://www.facebook.com/profile.php?id=100071138073583" TargetMode="External"/><Relationship Id="rId7073" Type="http://schemas.openxmlformats.org/officeDocument/2006/relationships/hyperlink" Target="https://www.facebook.com/profile.php?id=100081239515657&amp;mibextid=ZbWKwL" TargetMode="External"/><Relationship Id="rId8124" Type="http://schemas.openxmlformats.org/officeDocument/2006/relationships/hyperlink" Target="https://www.facebook.com/profile.php?id=100050092731490" TargetMode="External"/><Relationship Id="rId3269" Type="http://schemas.openxmlformats.org/officeDocument/2006/relationships/hyperlink" Target="https://www.facebook.com/profile.php?id=100055203019297&amp;mibextid=LQQJ4d" TargetMode="External"/><Relationship Id="rId3683" Type="http://schemas.openxmlformats.org/officeDocument/2006/relationships/hyperlink" Target="https://www.facebook.com/profile.php?id=100087957833842&amp;mibextid=LQQJ4d" TargetMode="External"/><Relationship Id="rId7140" Type="http://schemas.openxmlformats.org/officeDocument/2006/relationships/hyperlink" Target="https://www.facebook.com/profile.php?id=100043015757469&amp;mibextid=LQQJ4d" TargetMode="External"/><Relationship Id="rId2285" Type="http://schemas.openxmlformats.org/officeDocument/2006/relationships/hyperlink" Target="https://www.facebook.com/profile.php?id=100010599102384" TargetMode="External"/><Relationship Id="rId3336" Type="http://schemas.openxmlformats.org/officeDocument/2006/relationships/hyperlink" Target="https://drive.google.com/open?id=1MlFNwlpVAsgYasHax1WOFJspPdXEQSdh" TargetMode="External"/><Relationship Id="rId4734" Type="http://schemas.openxmlformats.org/officeDocument/2006/relationships/hyperlink" Target="https://www.facebook.com/pham.kay.750" TargetMode="External"/><Relationship Id="rId257" Type="http://schemas.openxmlformats.org/officeDocument/2006/relationships/hyperlink" Target="https://www.facebook.com/profile.php?id=100089598638841&amp;mibextid=ZbWKwL" TargetMode="External"/><Relationship Id="rId3750" Type="http://schemas.openxmlformats.org/officeDocument/2006/relationships/hyperlink" Target="https://www.facebook.com/profile.php?id=100013974739686&amp;mibextid=REkXMA" TargetMode="External"/><Relationship Id="rId4801" Type="http://schemas.openxmlformats.org/officeDocument/2006/relationships/hyperlink" Target="https://www.facebook.com/profile.php?id=100074170814327&amp;mibextid=LQQJ4d" TargetMode="External"/><Relationship Id="rId7957" Type="http://schemas.openxmlformats.org/officeDocument/2006/relationships/hyperlink" Target="https://www.facebook.com/profile.php?id=100015138136258" TargetMode="External"/><Relationship Id="rId671" Type="http://schemas.openxmlformats.org/officeDocument/2006/relationships/hyperlink" Target="https://drive.google.com/open?id=1GA-7dPYVfoaQ7vIVRs2lWqFTcCE5LjP1" TargetMode="External"/><Relationship Id="rId2352" Type="http://schemas.openxmlformats.org/officeDocument/2006/relationships/hyperlink" Target="https://drive.google.com/open?id=1mRG6N2pELgm1SX9kDbpBAAmt7UIJLk2d" TargetMode="External"/><Relationship Id="rId3403" Type="http://schemas.openxmlformats.org/officeDocument/2006/relationships/hyperlink" Target="https://www.facebook.com/profile.php?id=100059547292388" TargetMode="External"/><Relationship Id="rId6559" Type="http://schemas.openxmlformats.org/officeDocument/2006/relationships/hyperlink" Target="https://www.facebook.com/khanh.luongquoc.716" TargetMode="External"/><Relationship Id="rId6973" Type="http://schemas.openxmlformats.org/officeDocument/2006/relationships/hyperlink" Target="https://www.facebook.com/lailalanhhday?mibextid=LQQJ4d" TargetMode="External"/><Relationship Id="rId324" Type="http://schemas.openxmlformats.org/officeDocument/2006/relationships/hyperlink" Target="https://www.facebook.com/luyen.duong.353250?mibextid=D4KYlr" TargetMode="External"/><Relationship Id="rId2005" Type="http://schemas.openxmlformats.org/officeDocument/2006/relationships/hyperlink" Target="https://www.facebook.com/profile.php?id=100010355377269" TargetMode="External"/><Relationship Id="rId5575" Type="http://schemas.openxmlformats.org/officeDocument/2006/relationships/hyperlink" Target="https://drive.google.com/open?id=1C5Bm3ZGDrDaCZF5SRY33_KKP2hN_QYn0" TargetMode="External"/><Relationship Id="rId6626" Type="http://schemas.openxmlformats.org/officeDocument/2006/relationships/hyperlink" Target="https://drive.google.com/open?id=15UP7GugbEs_7wM8vac6xgodk1_ZHwqqJ" TargetMode="External"/><Relationship Id="rId9032" Type="http://schemas.openxmlformats.org/officeDocument/2006/relationships/hyperlink" Target="https://drive.google.com/open?id=1Ua-SBoNg8SKUh1MTjSOti4n5Kk7KFayT" TargetMode="External"/><Relationship Id="rId1021" Type="http://schemas.openxmlformats.org/officeDocument/2006/relationships/hyperlink" Target="https://www.facebook.com/profile.php?id=100052486270966&amp;mibextid=LQQJ4d" TargetMode="External"/><Relationship Id="rId4177" Type="http://schemas.openxmlformats.org/officeDocument/2006/relationships/hyperlink" Target="https://drive.google.com/open?id=1q0yIIGZk9FB0wOrb9_tmcaAkoV7icCce" TargetMode="External"/><Relationship Id="rId4591" Type="http://schemas.openxmlformats.org/officeDocument/2006/relationships/hyperlink" Target="https://drive.google.com/open?id=1kv8KrwdGZjnw9rUjk6dPFJh_rnYSa__Z" TargetMode="External"/><Relationship Id="rId5228" Type="http://schemas.openxmlformats.org/officeDocument/2006/relationships/hyperlink" Target="https://www.facebook.com/thantinh1205?mibextid=LQQJ4d" TargetMode="External"/><Relationship Id="rId5642" Type="http://schemas.openxmlformats.org/officeDocument/2006/relationships/hyperlink" Target="https://www.facebook.com/ngocminh.tranthi.08?mibextid=LQQJ4d" TargetMode="External"/><Relationship Id="rId8798" Type="http://schemas.openxmlformats.org/officeDocument/2006/relationships/hyperlink" Target="https://www.facebook.com/changlovebaozi?mibextid=LQQJ4d" TargetMode="External"/><Relationship Id="rId3193" Type="http://schemas.openxmlformats.org/officeDocument/2006/relationships/hyperlink" Target="https://www.facebook.com/dainam.lam555?mibextid=LQQJ4d" TargetMode="External"/><Relationship Id="rId4244" Type="http://schemas.openxmlformats.org/officeDocument/2006/relationships/hyperlink" Target="https://www.facebook.com/nph0306" TargetMode="External"/><Relationship Id="rId1838" Type="http://schemas.openxmlformats.org/officeDocument/2006/relationships/hyperlink" Target="https://www.facebook.com/profile.php?id=100030624703522&amp;mibextid=ZbWKwL" TargetMode="External"/><Relationship Id="rId3260" Type="http://schemas.openxmlformats.org/officeDocument/2006/relationships/hyperlink" Target="https://www.facebook.com/profile.php?id=100083703557658&amp;mibextid=ZbWKwL" TargetMode="External"/><Relationship Id="rId4311" Type="http://schemas.openxmlformats.org/officeDocument/2006/relationships/hyperlink" Target="https://www.facebook.com/profile.php?id=100074026626767" TargetMode="External"/><Relationship Id="rId7467" Type="http://schemas.openxmlformats.org/officeDocument/2006/relationships/hyperlink" Target="https://www.facebook.com/share/184UYNxtAh/?mibextid=wwXIfr" TargetMode="External"/><Relationship Id="rId8865" Type="http://schemas.openxmlformats.org/officeDocument/2006/relationships/hyperlink" Target="https://www.facebook.com/share/18r5ZpkvDz/?mibextid=wwXIfr" TargetMode="External"/><Relationship Id="rId181" Type="http://schemas.openxmlformats.org/officeDocument/2006/relationships/hyperlink" Target="https://drive.google.com/open?id=1dceh02_zdqmUtdqUpWAVhtz2ICizJZoa" TargetMode="External"/><Relationship Id="rId1905" Type="http://schemas.openxmlformats.org/officeDocument/2006/relationships/hyperlink" Target="https://drive.google.com/open?id=1Wbjb8k6HCJyQVF6JOGjCK7du_nBBFiwN" TargetMode="External"/><Relationship Id="rId6069" Type="http://schemas.openxmlformats.org/officeDocument/2006/relationships/hyperlink" Target="https://www.facebook.com/people/Huy%E1%BB%81n-Tr%C3%A2m/pfbid0ZJVEXssjcEyjVbbagjVr6jSHpMj181dJPJ6z3zRGZ87FRGRDnQfY5NUxXpG1QPrRl/" TargetMode="External"/><Relationship Id="rId7881" Type="http://schemas.openxmlformats.org/officeDocument/2006/relationships/hyperlink" Target="https://www.facebook.com/trangnguyen.nguyentran.7?mibextid=LQQJ4d" TargetMode="External"/><Relationship Id="rId8518" Type="http://schemas.openxmlformats.org/officeDocument/2006/relationships/hyperlink" Target="https://www.facebook.com/profile.php?id=100052203168746" TargetMode="External"/><Relationship Id="rId8932" Type="http://schemas.openxmlformats.org/officeDocument/2006/relationships/hyperlink" Target="https://www.facebook.com/share/15fYWunyRJ/?mibextid=wwXIfr" TargetMode="External"/><Relationship Id="rId5085" Type="http://schemas.openxmlformats.org/officeDocument/2006/relationships/hyperlink" Target="https://www.facebook.com/profile.php?id=100028085446602&amp;mibextid=kFxxJD" TargetMode="External"/><Relationship Id="rId6483" Type="http://schemas.openxmlformats.org/officeDocument/2006/relationships/hyperlink" Target="https://drive.google.com/open?id=1h55qhIW23Z0kNxLCBW_QYgxleQi4BV1L" TargetMode="External"/><Relationship Id="rId7534" Type="http://schemas.openxmlformats.org/officeDocument/2006/relationships/hyperlink" Target="https://www.facebook.com/profile.php?id=100024198198569" TargetMode="External"/><Relationship Id="rId998" Type="http://schemas.openxmlformats.org/officeDocument/2006/relationships/hyperlink" Target="https://drive.google.com/open?id=1M2GThCd-kexkBeChNnxed3Y08TxOLCqj" TargetMode="External"/><Relationship Id="rId2679" Type="http://schemas.openxmlformats.org/officeDocument/2006/relationships/hyperlink" Target="https://www.facebook.com/huynn0504" TargetMode="External"/><Relationship Id="rId6136" Type="http://schemas.openxmlformats.org/officeDocument/2006/relationships/hyperlink" Target="https://www.facebook.com/manh.lus?mibextid=LQQJ4d" TargetMode="External"/><Relationship Id="rId6550" Type="http://schemas.openxmlformats.org/officeDocument/2006/relationships/hyperlink" Target="https://www.facebook.com/profile.php?id=100069746552749&amp;mibextid=zLoPMf" TargetMode="External"/><Relationship Id="rId7601" Type="http://schemas.openxmlformats.org/officeDocument/2006/relationships/hyperlink" Target="https://www.facebook.com/profile.php?id=100050030775306&amp;mibextid=LQQJ4d" TargetMode="External"/><Relationship Id="rId1695" Type="http://schemas.openxmlformats.org/officeDocument/2006/relationships/hyperlink" Target="https://drive.google.com/open?id=1dHnjBBMLV6uXuf-MYt17l-PE1sD82syU" TargetMode="External"/><Relationship Id="rId2746" Type="http://schemas.openxmlformats.org/officeDocument/2006/relationships/hyperlink" Target="https://drive.google.com/open?id=1ZOaaeG7nveKq70t0jprKy6nxDySzUE28" TargetMode="External"/><Relationship Id="rId5152" Type="http://schemas.openxmlformats.org/officeDocument/2006/relationships/hyperlink" Target="https://www.facebook.com/chhuwng?mibextid=LQQJ4d" TargetMode="External"/><Relationship Id="rId6203" Type="http://schemas.openxmlformats.org/officeDocument/2006/relationships/hyperlink" Target="https://www.facebook.com/profile.php?id=100075171725439&amp;mibextid=ZbWKwL" TargetMode="External"/><Relationship Id="rId9359" Type="http://schemas.openxmlformats.org/officeDocument/2006/relationships/hyperlink" Target="https://www.facebook.com/tvt2005" TargetMode="External"/><Relationship Id="rId718" Type="http://schemas.openxmlformats.org/officeDocument/2006/relationships/hyperlink" Target="https://www.facebook.com/profile.php?id=100077426512188&amp;mibextid=ZbWKwL" TargetMode="External"/><Relationship Id="rId1348" Type="http://schemas.openxmlformats.org/officeDocument/2006/relationships/hyperlink" Target="https://www.facebook.com/profile.php?id=100074317250535&amp;mibextid=ZbWKwL" TargetMode="External"/><Relationship Id="rId1762" Type="http://schemas.openxmlformats.org/officeDocument/2006/relationships/hyperlink" Target="https://www.facebook.com/tung18032005?mibextid=ZbWKwL" TargetMode="External"/><Relationship Id="rId8375" Type="http://schemas.openxmlformats.org/officeDocument/2006/relationships/hyperlink" Target="https://www.facebook.com/profile.php?id=100070207608596" TargetMode="External"/><Relationship Id="rId9426" Type="http://schemas.openxmlformats.org/officeDocument/2006/relationships/hyperlink" Target="https://www.facebook.com/profile.php?id=100016986661381&amp;mibextid=LQQJ4d" TargetMode="External"/><Relationship Id="rId1415" Type="http://schemas.openxmlformats.org/officeDocument/2006/relationships/hyperlink" Target="https://drive.google.com/open?id=1L4KoSI4au9RKo3XTZKzHMtn0hnwcgWGv" TargetMode="External"/><Relationship Id="rId2813" Type="http://schemas.openxmlformats.org/officeDocument/2006/relationships/hyperlink" Target="https://www.facebook.com/chongemlaPackChanyeol?mibextid=LQQJ4d" TargetMode="External"/><Relationship Id="rId5969" Type="http://schemas.openxmlformats.org/officeDocument/2006/relationships/hyperlink" Target="https://www.facebook.com/profile.php?id=100079138303428&amp;mibextid=LQQJ4d" TargetMode="External"/><Relationship Id="rId7391" Type="http://schemas.openxmlformats.org/officeDocument/2006/relationships/hyperlink" Target="https://www.facebook.com/profile.php?id=100022867095357" TargetMode="External"/><Relationship Id="rId8028" Type="http://schemas.openxmlformats.org/officeDocument/2006/relationships/hyperlink" Target="https://www.facebook.com/profile.php?id=100046458185879&amp;mibextid=LQQJ4d" TargetMode="External"/><Relationship Id="rId8442" Type="http://schemas.openxmlformats.org/officeDocument/2006/relationships/hyperlink" Target="https://www.facebook.com/profile.php?id=100044914268026&amp;mibextid=LQQJ4d" TargetMode="External"/><Relationship Id="rId54" Type="http://schemas.openxmlformats.org/officeDocument/2006/relationships/hyperlink" Target="https://drive.google.com/open?id=1-lq2EinvZpeevMyYH0o9MNtU62iqtAto" TargetMode="External"/><Relationship Id="rId4985" Type="http://schemas.openxmlformats.org/officeDocument/2006/relationships/hyperlink" Target="https://www.facebook.com/profile.php?id=100050651434039" TargetMode="External"/><Relationship Id="rId7044" Type="http://schemas.openxmlformats.org/officeDocument/2006/relationships/hyperlink" Target="https://www.facebook.com/profile.php?id=100069583904606&amp;mibextid=LQQJ4d" TargetMode="External"/><Relationship Id="rId2189" Type="http://schemas.openxmlformats.org/officeDocument/2006/relationships/hyperlink" Target="https://drive.google.com/open?id=11i3QqJWjZGmE78OEE1-fyXhe2nC0XBUk" TargetMode="External"/><Relationship Id="rId3587" Type="http://schemas.openxmlformats.org/officeDocument/2006/relationships/hyperlink" Target="https://www.facebook.com/profile.php?id=100090526551169" TargetMode="External"/><Relationship Id="rId4638" Type="http://schemas.openxmlformats.org/officeDocument/2006/relationships/hyperlink" Target="https://www.facebook.com/profile.php?id=61553435384633" TargetMode="External"/><Relationship Id="rId6060" Type="http://schemas.openxmlformats.org/officeDocument/2006/relationships/hyperlink" Target="https://www.facebook.com/profile.php?id=100025055860223&amp;mibextid=LQQJ4d" TargetMode="External"/><Relationship Id="rId3654" Type="http://schemas.openxmlformats.org/officeDocument/2006/relationships/hyperlink" Target="https://www.facebook.com/profile.php?id=100018116437438" TargetMode="External"/><Relationship Id="rId4705" Type="http://schemas.openxmlformats.org/officeDocument/2006/relationships/hyperlink" Target="https://www.facebook.com/profile.php?id=100057335313733&amp;mibextid=ZbWKwL" TargetMode="External"/><Relationship Id="rId7111" Type="http://schemas.openxmlformats.org/officeDocument/2006/relationships/hyperlink" Target="https://drive.google.com/open?id=1J-gRqK72TR9O76qoeZXxaJOY25Jz7ODG" TargetMode="External"/><Relationship Id="rId575" Type="http://schemas.openxmlformats.org/officeDocument/2006/relationships/hyperlink" Target="https://drive.google.com/open?id=1zgHcFTYU94ZEmNUzmGvhghf3pdRUPFgp" TargetMode="External"/><Relationship Id="rId2256" Type="http://schemas.openxmlformats.org/officeDocument/2006/relationships/hyperlink" Target="https://drive.google.com/open?id=17E1GiGCj4lW8nLpXS0FZRA7_NHA44P0z" TargetMode="External"/><Relationship Id="rId2670" Type="http://schemas.openxmlformats.org/officeDocument/2006/relationships/hyperlink" Target="https://www.facebook.com/profile.php?id=100092331591591" TargetMode="External"/><Relationship Id="rId3307" Type="http://schemas.openxmlformats.org/officeDocument/2006/relationships/hyperlink" Target="https://drive.google.com/open?id=1KzZgqI2N5QrFS2olqvD7LHrcry2rH7nV" TargetMode="External"/><Relationship Id="rId3721" Type="http://schemas.openxmlformats.org/officeDocument/2006/relationships/hyperlink" Target="https://www.facebook.com/vietquang.doan.75?mibextid=LQQJ4d" TargetMode="External"/><Relationship Id="rId6877" Type="http://schemas.openxmlformats.org/officeDocument/2006/relationships/hyperlink" Target="https://www.facebook.com/thuyhien.himi" TargetMode="External"/><Relationship Id="rId7928" Type="http://schemas.openxmlformats.org/officeDocument/2006/relationships/hyperlink" Target="https://www.facebook.com/chis.hoang.1" TargetMode="External"/><Relationship Id="rId9283" Type="http://schemas.openxmlformats.org/officeDocument/2006/relationships/hyperlink" Target="https://drive.google.com/open?id=1GrYi0i4jmvNMAFVUhvP48UCf4dAjOJgT" TargetMode="External"/><Relationship Id="rId228" Type="http://schemas.openxmlformats.org/officeDocument/2006/relationships/hyperlink" Target="https://drive.google.com/open?id=1bzR522KJiPkt5xUQc3r8fNJZJCRpd1CL" TargetMode="External"/><Relationship Id="rId642" Type="http://schemas.openxmlformats.org/officeDocument/2006/relationships/hyperlink" Target="https://drive.google.com/open?id=1lCThYDms9F3fPOBdcaAByTiq9oY-qx5y" TargetMode="External"/><Relationship Id="rId1272" Type="http://schemas.openxmlformats.org/officeDocument/2006/relationships/hyperlink" Target="https://www.facebook.com/profile.php?id=100066183375705&amp;mibextid=LQQJ4d" TargetMode="External"/><Relationship Id="rId2323" Type="http://schemas.openxmlformats.org/officeDocument/2006/relationships/hyperlink" Target="https://www.facebook.com/manh.pk.568?mibextid=LQQJ4d" TargetMode="External"/><Relationship Id="rId5479" Type="http://schemas.openxmlformats.org/officeDocument/2006/relationships/hyperlink" Target="https://www.facebook.com/profile.php?id=100080828614738&amp;mibextid=LQQJ4d" TargetMode="External"/><Relationship Id="rId5893" Type="http://schemas.openxmlformats.org/officeDocument/2006/relationships/hyperlink" Target="https://www.facebook.com/profile.php?id=100055194502788&amp;mibextid=LQQJ4d" TargetMode="External"/><Relationship Id="rId9350" Type="http://schemas.openxmlformats.org/officeDocument/2006/relationships/hyperlink" Target="https://www.facebook.com/quynhanh406" TargetMode="External"/><Relationship Id="rId4495" Type="http://schemas.openxmlformats.org/officeDocument/2006/relationships/hyperlink" Target="https://www.facebook.com/tranthanh.van.50999405?mibextid=LQQJ4d" TargetMode="External"/><Relationship Id="rId5546" Type="http://schemas.openxmlformats.org/officeDocument/2006/relationships/hyperlink" Target="https://drive.google.com/open?id=1Eo3IIE4Kfiu9jPHFmOjDD5EPIZjHOROY" TargetMode="External"/><Relationship Id="rId6944" Type="http://schemas.openxmlformats.org/officeDocument/2006/relationships/hyperlink" Target="https://www.facebook.com/pinksheepyaw?mibextid=LQQJ4d" TargetMode="External"/><Relationship Id="rId9003" Type="http://schemas.openxmlformats.org/officeDocument/2006/relationships/hyperlink" Target="https://www.facebook.com/profile.php?id=100069657346669&amp;mibextid=ZbWKwL" TargetMode="External"/><Relationship Id="rId3097" Type="http://schemas.openxmlformats.org/officeDocument/2006/relationships/hyperlink" Target="https://drive.google.com/open?id=1xceF82Fi4yurkRRNfDKDabyTPm9AN_Do" TargetMode="External"/><Relationship Id="rId4148" Type="http://schemas.openxmlformats.org/officeDocument/2006/relationships/hyperlink" Target="https://www.facebook.com/100080139341439/" TargetMode="External"/><Relationship Id="rId5960" Type="http://schemas.openxmlformats.org/officeDocument/2006/relationships/hyperlink" Target="https://www.facebook.com/vh.smoke4869?mibextid=LQQJ4d" TargetMode="External"/><Relationship Id="rId3164" Type="http://schemas.openxmlformats.org/officeDocument/2006/relationships/hyperlink" Target="https://www.facebook.com/profile.php?id=100054615952893&amp;mibextid=LQQJ4d" TargetMode="External"/><Relationship Id="rId4562" Type="http://schemas.openxmlformats.org/officeDocument/2006/relationships/hyperlink" Target="https://drive.google.com/open?id=1KyTPwi_Wuztd4QAMhd6_13xa7Ruy4rId" TargetMode="External"/><Relationship Id="rId5613" Type="http://schemas.openxmlformats.org/officeDocument/2006/relationships/hyperlink" Target="https://www.facebook.com/profile.php?id=100057335313733&amp;mibextid=ZbWKwL" TargetMode="External"/><Relationship Id="rId8769" Type="http://schemas.openxmlformats.org/officeDocument/2006/relationships/hyperlink" Target="https://www.facebook.com/profile.php?id=100069497659761&amp;mibextid=LQQJ4d" TargetMode="External"/><Relationship Id="rId1809" Type="http://schemas.openxmlformats.org/officeDocument/2006/relationships/hyperlink" Target="https://www.facebook.com/tung.nguyenxuan.9849" TargetMode="External"/><Relationship Id="rId4215" Type="http://schemas.openxmlformats.org/officeDocument/2006/relationships/hyperlink" Target="https://www.facebook.com/doremon.mui.5?mibextid=ZbWKwL" TargetMode="External"/><Relationship Id="rId7785" Type="http://schemas.openxmlformats.org/officeDocument/2006/relationships/hyperlink" Target="https://www.facebook.com/profile.php?id=100069657346669&amp;mibextid=ZbWKwL" TargetMode="External"/><Relationship Id="rId8836" Type="http://schemas.openxmlformats.org/officeDocument/2006/relationships/hyperlink" Target="https://drive.google.com/open?id=1mcaTiLhhZZIansE6PZ1yuQyE5qru96we" TargetMode="External"/><Relationship Id="rId2180" Type="http://schemas.openxmlformats.org/officeDocument/2006/relationships/hyperlink" Target="https://www.facebook.com/kiyoshi.haru.399?mibextid=9R9pXO" TargetMode="External"/><Relationship Id="rId3231" Type="http://schemas.openxmlformats.org/officeDocument/2006/relationships/hyperlink" Target="https://drive.google.com/open?id=1mfEsA2f-IGOuuape4YRLRYNgtoLP_Qcn" TargetMode="External"/><Relationship Id="rId6387" Type="http://schemas.openxmlformats.org/officeDocument/2006/relationships/hyperlink" Target="https://www.facebook.com/profile.php?id=100070686476338" TargetMode="External"/><Relationship Id="rId7438" Type="http://schemas.openxmlformats.org/officeDocument/2006/relationships/hyperlink" Target="https://drive.google.com/open?id=1a67u9naQ7IU2PfwngNweaeGcrQhDIjmQ" TargetMode="External"/><Relationship Id="rId7852" Type="http://schemas.openxmlformats.org/officeDocument/2006/relationships/hyperlink" Target="https://www.facebook.com/profile.php?id=100023403321768" TargetMode="External"/><Relationship Id="rId8903" Type="http://schemas.openxmlformats.org/officeDocument/2006/relationships/hyperlink" Target="https://www.facebook.com/people/Ph%C6%B0%C6%A1ng-Linh/pfbid02QP8kMmqHgCF94GToevvzDafPHASTmPno6gSZA9VpAKPacVKR1FK9C17F1vxRs8wNl/" TargetMode="External"/><Relationship Id="rId152" Type="http://schemas.openxmlformats.org/officeDocument/2006/relationships/hyperlink" Target="https://drive.google.com/open?id=1g-z9SeV6xCkpXPtHwDzyvIVzptxJm92b" TargetMode="External"/><Relationship Id="rId2997" Type="http://schemas.openxmlformats.org/officeDocument/2006/relationships/hyperlink" Target="https://www.facebook.com/profile.php?id=100051692146426" TargetMode="External"/><Relationship Id="rId6454" Type="http://schemas.openxmlformats.org/officeDocument/2006/relationships/hyperlink" Target="https://www.facebook.com/lu.quan.9028?mibextid=JRoKGi" TargetMode="External"/><Relationship Id="rId7505" Type="http://schemas.openxmlformats.org/officeDocument/2006/relationships/hyperlink" Target="https://www.facebook.com/profile.php?id=100047087293140&amp;mibextid=ZbWKwL" TargetMode="External"/><Relationship Id="rId969" Type="http://schemas.openxmlformats.org/officeDocument/2006/relationships/hyperlink" Target="https://www.facebook.com/profile.php?id=100070201186377&amp;mibextid=LQQJ4d" TargetMode="External"/><Relationship Id="rId1599" Type="http://schemas.openxmlformats.org/officeDocument/2006/relationships/hyperlink" Target="https://www.facebook.com/thuongthuong2501?mibextid=LQQJ4d" TargetMode="External"/><Relationship Id="rId5056" Type="http://schemas.openxmlformats.org/officeDocument/2006/relationships/hyperlink" Target="https://www.facebook.com/profile.php?id=100073090266680&amp;mibextid=LQQJ4d" TargetMode="External"/><Relationship Id="rId5470" Type="http://schemas.openxmlformats.org/officeDocument/2006/relationships/hyperlink" Target="https://www.facebook.com/profile.php?id=100048873308819" TargetMode="External"/><Relationship Id="rId6107" Type="http://schemas.openxmlformats.org/officeDocument/2006/relationships/hyperlink" Target="https://www.facebook.com/profile.php?id=100038506550807&amp;mibextid=LQQJ4d" TargetMode="External"/><Relationship Id="rId6521" Type="http://schemas.openxmlformats.org/officeDocument/2006/relationships/hyperlink" Target="https://www.facebook.com/dungg.nguyenn.522?mibextid=LQQJ4d" TargetMode="External"/><Relationship Id="rId4072" Type="http://schemas.openxmlformats.org/officeDocument/2006/relationships/hyperlink" Target="https://drive.google.com/open?id=1UeXwKd4YKPbBvMGl-wogxwbi4_7O7y9W" TargetMode="External"/><Relationship Id="rId5123" Type="http://schemas.openxmlformats.org/officeDocument/2006/relationships/hyperlink" Target="https://drive.google.com/open?id=1ZOs2dc9Qk1z9ijEm9CMMfIgvd5s8KUrW" TargetMode="External"/><Relationship Id="rId8279" Type="http://schemas.openxmlformats.org/officeDocument/2006/relationships/hyperlink" Target="https://www.facebook.com/profile.php?id=100037560360996" TargetMode="External"/><Relationship Id="rId1666" Type="http://schemas.openxmlformats.org/officeDocument/2006/relationships/hyperlink" Target="https://www.facebook.com/vi.phamha.921?mibextid=LQQJ4d" TargetMode="External"/><Relationship Id="rId2717" Type="http://schemas.openxmlformats.org/officeDocument/2006/relationships/hyperlink" Target="https://www.facebook.com/profile.php?id=100030599120237&amp;mibextid=ZbWKwL" TargetMode="External"/><Relationship Id="rId7295" Type="http://schemas.openxmlformats.org/officeDocument/2006/relationships/hyperlink" Target="https://drive.google.com/open?id=1XxrQhbYMMpRJcivaxsylY85OMBNSMcU6" TargetMode="External"/><Relationship Id="rId8693" Type="http://schemas.openxmlformats.org/officeDocument/2006/relationships/hyperlink" Target="https://www.facebook.com/mitzz125" TargetMode="External"/><Relationship Id="rId1319" Type="http://schemas.openxmlformats.org/officeDocument/2006/relationships/hyperlink" Target="https://www.facebook.com/profile.php?id=100035343286998&amp;mibextid=9R9pXO" TargetMode="External"/><Relationship Id="rId1733" Type="http://schemas.openxmlformats.org/officeDocument/2006/relationships/hyperlink" Target="https://drive.google.com/open?id=11iij34D7dUP91aM-FOLtzB7NC_kxYqiF" TargetMode="External"/><Relationship Id="rId4889" Type="http://schemas.openxmlformats.org/officeDocument/2006/relationships/hyperlink" Target="https://www.facebook.com/eynnhixinkdepk?mibextid=LQQJ4d" TargetMode="External"/><Relationship Id="rId8346" Type="http://schemas.openxmlformats.org/officeDocument/2006/relationships/hyperlink" Target="https://www.facebook.com/nguyentunglnq?mibextid=LQQJ4d" TargetMode="External"/><Relationship Id="rId8760" Type="http://schemas.openxmlformats.org/officeDocument/2006/relationships/hyperlink" Target="https://www.facebook.com/profile.php?id=100074170814327&amp;mibextid=LQQJ4d" TargetMode="External"/><Relationship Id="rId25" Type="http://schemas.openxmlformats.org/officeDocument/2006/relationships/hyperlink" Target="https://drive.google.com/open?id=1TTwKTxkejOmVJBH2XhDjc60L6dKeEl2y" TargetMode="External"/><Relationship Id="rId1800" Type="http://schemas.openxmlformats.org/officeDocument/2006/relationships/hyperlink" Target="https://drive.google.com/open?id=1ee6vgRKldM9n4AFVZB-2n1gmjfqMIlkV" TargetMode="External"/><Relationship Id="rId4956" Type="http://schemas.openxmlformats.org/officeDocument/2006/relationships/hyperlink" Target="https://www.facebook.com/hung.haxuan.1407?mibextid=LQQJ4d" TargetMode="External"/><Relationship Id="rId7362" Type="http://schemas.openxmlformats.org/officeDocument/2006/relationships/hyperlink" Target="https://drive.google.com/open?id=1H0bbu9J2LYDDDJAPlKBbelbMg0oGLhbH" TargetMode="External"/><Relationship Id="rId8413" Type="http://schemas.openxmlformats.org/officeDocument/2006/relationships/hyperlink" Target="https://www.facebook.com/profile.php?id=100025568838096" TargetMode="External"/><Relationship Id="rId3558" Type="http://schemas.openxmlformats.org/officeDocument/2006/relationships/hyperlink" Target="https://www.facebook.com/lethainghia4" TargetMode="External"/><Relationship Id="rId3972" Type="http://schemas.openxmlformats.org/officeDocument/2006/relationships/hyperlink" Target="https://www.facebook.com/profile.php?id=100077531748562&amp;mibextid=LQQJ4d" TargetMode="External"/><Relationship Id="rId4609" Type="http://schemas.openxmlformats.org/officeDocument/2006/relationships/hyperlink" Target="https://www.facebook.com/profile.php?id=100029906709604" TargetMode="External"/><Relationship Id="rId7015" Type="http://schemas.openxmlformats.org/officeDocument/2006/relationships/hyperlink" Target="https://www.facebook.com/profile.php?id=100070115306002" TargetMode="External"/><Relationship Id="rId479" Type="http://schemas.openxmlformats.org/officeDocument/2006/relationships/hyperlink" Target="https://www.facebook.com/profile.php?id=100048067520793&amp;mibextid=ZbWKwL" TargetMode="External"/><Relationship Id="rId893" Type="http://schemas.openxmlformats.org/officeDocument/2006/relationships/hyperlink" Target="https://www.facebook.com/profile.php?id=100046194879510&amp;mibextid=ZbWKwL" TargetMode="External"/><Relationship Id="rId2574" Type="http://schemas.openxmlformats.org/officeDocument/2006/relationships/hyperlink" Target="https://www.facebook.com/vuongthicamtien24" TargetMode="External"/><Relationship Id="rId3625" Type="http://schemas.openxmlformats.org/officeDocument/2006/relationships/hyperlink" Target="https://drive.google.com/open?id=1LaED5UlxjWQku4N15_moX0HKIHjhPIRw" TargetMode="External"/><Relationship Id="rId6031" Type="http://schemas.openxmlformats.org/officeDocument/2006/relationships/hyperlink" Target="https://www.facebook.com/nghaidang.206?mibextid=LQQJ4d" TargetMode="External"/><Relationship Id="rId9187" Type="http://schemas.openxmlformats.org/officeDocument/2006/relationships/hyperlink" Target="https://www.facebook.com/share/19dnSMys7a/?mibextid=wwXIfr" TargetMode="External"/><Relationship Id="rId546" Type="http://schemas.openxmlformats.org/officeDocument/2006/relationships/hyperlink" Target="https://www.facebook.com/nguytt" TargetMode="External"/><Relationship Id="rId1176" Type="http://schemas.openxmlformats.org/officeDocument/2006/relationships/hyperlink" Target="https://www.facebook.com/profile.php?id=100030047623035&amp;mibextid=LQQJ4d" TargetMode="External"/><Relationship Id="rId2227" Type="http://schemas.openxmlformats.org/officeDocument/2006/relationships/hyperlink" Target="https://www.facebook.com/giang.phamthitruong.7" TargetMode="External"/><Relationship Id="rId9254" Type="http://schemas.openxmlformats.org/officeDocument/2006/relationships/hyperlink" Target="https://drive.google.com/open?id=1Lux1vIwiOASG2qatXVbDLnilf82N7v2d" TargetMode="External"/><Relationship Id="rId960" Type="http://schemas.openxmlformats.org/officeDocument/2006/relationships/hyperlink" Target="https://www.facebook.com/superidol.hd?mibextid=LQQJ4d" TargetMode="External"/><Relationship Id="rId1243" Type="http://schemas.openxmlformats.org/officeDocument/2006/relationships/hyperlink" Target="https://www.facebook.com/so.vu.3110" TargetMode="External"/><Relationship Id="rId1590" Type="http://schemas.openxmlformats.org/officeDocument/2006/relationships/hyperlink" Target="https://www.facebook.com/profile.php?id=100057790480030&amp;__cft__%5B0%5D=AZWpMGXUYJ8itslvoE5XZv5KHoqN2obeHhJhZlwPe9yxho60eviTR5rQ92dgosd5lMI40CZQqiBtNllaTbUdk1ykrOZCsx1Dli11r_SNB0p4X3hHvzdS4qm6RPj1_Rcp2vqG3SNQZyg9uBeC8c87JamlOr3S19QFtN8t9eMP7dyAmg&amp;__tn__=-UC%2CP-R" TargetMode="External"/><Relationship Id="rId2641" Type="http://schemas.openxmlformats.org/officeDocument/2006/relationships/hyperlink" Target="https://www.facebook.com/ngocc.bich.52?mibextid=LQQJ4d" TargetMode="External"/><Relationship Id="rId4399" Type="http://schemas.openxmlformats.org/officeDocument/2006/relationships/hyperlink" Target="https://www.facebook.com/profile.php?id=100083491641273&amp;mibextid=LQQJ4d" TargetMode="External"/><Relationship Id="rId5797" Type="http://schemas.openxmlformats.org/officeDocument/2006/relationships/hyperlink" Target="https://www.facebook.com/profile.php?id=61555413374015" TargetMode="External"/><Relationship Id="rId6848" Type="http://schemas.openxmlformats.org/officeDocument/2006/relationships/hyperlink" Target="https://www.facebook.com/profile.php?id=100052930118481&amp;mibextid=ZbWKwL" TargetMode="External"/><Relationship Id="rId8270" Type="http://schemas.openxmlformats.org/officeDocument/2006/relationships/hyperlink" Target="https://drive.google.com/open?id=1bPmInnT7VYM-ip7eX-u85qfQ2ESAFogz" TargetMode="External"/><Relationship Id="rId613" Type="http://schemas.openxmlformats.org/officeDocument/2006/relationships/hyperlink" Target="https://www.facebook.com/ha.lethithu.7204?mibextid=LQQJ4d" TargetMode="External"/><Relationship Id="rId5864" Type="http://schemas.openxmlformats.org/officeDocument/2006/relationships/hyperlink" Target="https://www.facebook.com/profile.php?id=100078684349712&amp;mibextid=LQQJ4d" TargetMode="External"/><Relationship Id="rId6915" Type="http://schemas.openxmlformats.org/officeDocument/2006/relationships/hyperlink" Target="https://drive.google.com/open?id=1m9hEfpJqHjo-pDxLSScfFsThvgKWudVq" TargetMode="External"/><Relationship Id="rId9321" Type="http://schemas.openxmlformats.org/officeDocument/2006/relationships/hyperlink" Target="https://www.facebook.com/share/1BKfhR2tQu/?mibextid=wwXIfr" TargetMode="External"/><Relationship Id="rId1310" Type="http://schemas.openxmlformats.org/officeDocument/2006/relationships/hyperlink" Target="https://drive.google.com/open?id=1wkn4DAmAYlDmCTviN6FhEkRC40Brk3hf" TargetMode="External"/><Relationship Id="rId4466" Type="http://schemas.openxmlformats.org/officeDocument/2006/relationships/hyperlink" Target="https://www.facebook.com/trangnguyen.nguyentran.7?mibextid=LQQJ4d" TargetMode="External"/><Relationship Id="rId4880" Type="http://schemas.openxmlformats.org/officeDocument/2006/relationships/hyperlink" Target="https://www.facebook.com/kakak3311?mibextid=LQQJ4d" TargetMode="External"/><Relationship Id="rId5517" Type="http://schemas.openxmlformats.org/officeDocument/2006/relationships/hyperlink" Target="https://www.facebook.com/profile.php?id=100074365172832&amp;mibextid=LQQJ4d" TargetMode="External"/><Relationship Id="rId5931" Type="http://schemas.openxmlformats.org/officeDocument/2006/relationships/hyperlink" Target="https://www.facebook.com/linhlambangtan?mibextid=ZbWKwL" TargetMode="External"/><Relationship Id="rId3068" Type="http://schemas.openxmlformats.org/officeDocument/2006/relationships/hyperlink" Target="https://drive.google.com/open?id=12xvWi2oRs3yA4KJXAyQ9DVPM2YxXio0G" TargetMode="External"/><Relationship Id="rId3482" Type="http://schemas.openxmlformats.org/officeDocument/2006/relationships/hyperlink" Target="https://drive.google.com/open?id=1kB3-U0frXWszngrdepB2uFxVJp1Oy_RZ" TargetMode="External"/><Relationship Id="rId4119" Type="http://schemas.openxmlformats.org/officeDocument/2006/relationships/hyperlink" Target="https://www.facebook.com/chang.phamthithu.9?mibextid=LQQJ4d" TargetMode="External"/><Relationship Id="rId4533" Type="http://schemas.openxmlformats.org/officeDocument/2006/relationships/hyperlink" Target="https://www.facebook.com/khanh.lenam.9634" TargetMode="External"/><Relationship Id="rId7689" Type="http://schemas.openxmlformats.org/officeDocument/2006/relationships/hyperlink" Target="https://www.facebook.com/huuquan.le.167" TargetMode="External"/><Relationship Id="rId2084" Type="http://schemas.openxmlformats.org/officeDocument/2006/relationships/hyperlink" Target="https://www.facebook.com/hai.dangvipvailon" TargetMode="External"/><Relationship Id="rId3135" Type="http://schemas.openxmlformats.org/officeDocument/2006/relationships/hyperlink" Target="https://www.facebook.com/profile.php?id=100066731117959&amp;mibextid=LQQJ4d" TargetMode="External"/><Relationship Id="rId4600" Type="http://schemas.openxmlformats.org/officeDocument/2006/relationships/hyperlink" Target="https://drive.google.com/open?id=1GvaqxgEV-AytWwMNEd2nJDthRWiKKtog" TargetMode="External"/><Relationship Id="rId7756" Type="http://schemas.openxmlformats.org/officeDocument/2006/relationships/hyperlink" Target="https://www.facebook.com/khanh.linhh.1481" TargetMode="External"/><Relationship Id="rId470" Type="http://schemas.openxmlformats.org/officeDocument/2006/relationships/hyperlink" Target="https://www.facebook.com/hieu.maicong.902" TargetMode="External"/><Relationship Id="rId2151" Type="http://schemas.openxmlformats.org/officeDocument/2006/relationships/hyperlink" Target="https://www.facebook.com/profile.php?id=100055962870577&amp;mibextid=LQQJ4d" TargetMode="External"/><Relationship Id="rId3202" Type="http://schemas.openxmlformats.org/officeDocument/2006/relationships/hyperlink" Target="https://www.facebook.com/hung.nguyenlam.1614" TargetMode="External"/><Relationship Id="rId6358" Type="http://schemas.openxmlformats.org/officeDocument/2006/relationships/hyperlink" Target="https://www.facebook.com/profile.php?id=100011574829401" TargetMode="External"/><Relationship Id="rId7409" Type="http://schemas.openxmlformats.org/officeDocument/2006/relationships/hyperlink" Target="https://drive.google.com/open?id=16-uwKq9hv28fvVNtN1jVMVZ7AatRlH6J" TargetMode="External"/><Relationship Id="rId8807" Type="http://schemas.openxmlformats.org/officeDocument/2006/relationships/hyperlink" Target="https://www.facebook.com/share/15eVoGGhFg/?mibextid=LQQJ4d" TargetMode="External"/><Relationship Id="rId123" Type="http://schemas.openxmlformats.org/officeDocument/2006/relationships/hyperlink" Target="https://drive.google.com/open?id=1-_vcI9px2J9GTwsRl-GecR6-45hJ0PE1" TargetMode="External"/><Relationship Id="rId5374" Type="http://schemas.openxmlformats.org/officeDocument/2006/relationships/hyperlink" Target="https://www.facebook.com/kieutrang247.ajc?mibextid=LQQJ4d" TargetMode="External"/><Relationship Id="rId6772" Type="http://schemas.openxmlformats.org/officeDocument/2006/relationships/hyperlink" Target="https://www.facebook.com/profile.php?id=100046426459114&amp;mibextid=LQQJ4d" TargetMode="External"/><Relationship Id="rId7823" Type="http://schemas.openxmlformats.org/officeDocument/2006/relationships/hyperlink" Target="https://www.facebook.com/profile.php?id=100073276835593" TargetMode="External"/><Relationship Id="rId2968" Type="http://schemas.openxmlformats.org/officeDocument/2006/relationships/hyperlink" Target="https://www.facebook.com/luong.ngoc.1466126?mibextid=PlNXYD" TargetMode="External"/><Relationship Id="rId5027" Type="http://schemas.openxmlformats.org/officeDocument/2006/relationships/hyperlink" Target="https://www.facebook.com/long972?mibextid=LQQJ4d" TargetMode="External"/><Relationship Id="rId6425" Type="http://schemas.openxmlformats.org/officeDocument/2006/relationships/hyperlink" Target="https://www.facebook.com/profile.php?id=61559897206802&amp;mibextid=ZbWKwL" TargetMode="External"/><Relationship Id="rId1984" Type="http://schemas.openxmlformats.org/officeDocument/2006/relationships/hyperlink" Target="https://www.facebook.com/hoangthien.nam.5036459?mibextid=ZbWKwL" TargetMode="External"/><Relationship Id="rId4390" Type="http://schemas.openxmlformats.org/officeDocument/2006/relationships/hyperlink" Target="https://www.facebook.com/quochinhhyhy.0202?mibextid=LQQJ4d" TargetMode="External"/><Relationship Id="rId5441" Type="http://schemas.openxmlformats.org/officeDocument/2006/relationships/hyperlink" Target="https://www.facebook.com/profile.php?id=100057774236787" TargetMode="External"/><Relationship Id="rId8597" Type="http://schemas.openxmlformats.org/officeDocument/2006/relationships/hyperlink" Target="https://drive.google.com/open?id=1Aq5xekwSYKIsRTk4Tyj3eTGlg_lklq7d" TargetMode="External"/><Relationship Id="rId1637" Type="http://schemas.openxmlformats.org/officeDocument/2006/relationships/hyperlink" Target="https://drive.google.com/open?id=1cYsFrA71iLiCYscGztVADaY_wDv1lsCB" TargetMode="External"/><Relationship Id="rId4043" Type="http://schemas.openxmlformats.org/officeDocument/2006/relationships/hyperlink" Target="https://www.facebook.com/profile.php?id=100014157721549" TargetMode="External"/><Relationship Id="rId7199" Type="http://schemas.openxmlformats.org/officeDocument/2006/relationships/hyperlink" Target="https://www.facebook.com/tdiemcutes1tg?mibextid=ZbWKwL" TargetMode="External"/><Relationship Id="rId8664" Type="http://schemas.openxmlformats.org/officeDocument/2006/relationships/hyperlink" Target="https://www.facebook.com/profile.php?id=100064118670185" TargetMode="External"/><Relationship Id="rId1704" Type="http://schemas.openxmlformats.org/officeDocument/2006/relationships/hyperlink" Target="https://www.facebook.com/messages/t/100082895409770" TargetMode="External"/><Relationship Id="rId4110" Type="http://schemas.openxmlformats.org/officeDocument/2006/relationships/hyperlink" Target="https://drive.google.com/open?id=1UPSv4kr0BksKfegLXVbdJuYvAX9CRbvd" TargetMode="External"/><Relationship Id="rId7266" Type="http://schemas.openxmlformats.org/officeDocument/2006/relationships/hyperlink" Target="https://www.facebook.com/profile.php?id=100070534600835&amp;mibextid=LQQJ4d" TargetMode="External"/><Relationship Id="rId7680" Type="http://schemas.openxmlformats.org/officeDocument/2006/relationships/hyperlink" Target="https://www.facebook.com/share/18Hvaw9sLe/?mibextid=LQQJ4d" TargetMode="External"/><Relationship Id="rId8317" Type="http://schemas.openxmlformats.org/officeDocument/2006/relationships/hyperlink" Target="https://www.facebook.com/tinh.cuc.1426?mibextid=LQQJ4d" TargetMode="External"/><Relationship Id="rId8731" Type="http://schemas.openxmlformats.org/officeDocument/2006/relationships/hyperlink" Target="https://www.facebook.com/iues.10?mibextid=LQQJ4d" TargetMode="External"/><Relationship Id="rId6282" Type="http://schemas.openxmlformats.org/officeDocument/2006/relationships/hyperlink" Target="https://www.facebook.com/profile.php?id=100034633688337" TargetMode="External"/><Relationship Id="rId7333" Type="http://schemas.openxmlformats.org/officeDocument/2006/relationships/hyperlink" Target="https://drive.google.com/open?id=1j8zZKvv95zd89nVreDpbKNInXdzwC5IK" TargetMode="External"/><Relationship Id="rId797" Type="http://schemas.openxmlformats.org/officeDocument/2006/relationships/hyperlink" Target="https://www.facebook.com/profile.php?id=100046725370233" TargetMode="External"/><Relationship Id="rId2478" Type="http://schemas.openxmlformats.org/officeDocument/2006/relationships/hyperlink" Target="https://drive.google.com/open?id=1TesqUUFpaqW_VBdV49j44LL0lWALPc8c" TargetMode="External"/><Relationship Id="rId3876" Type="http://schemas.openxmlformats.org/officeDocument/2006/relationships/hyperlink" Target="https://drive.google.com/open?id=16kYDArP4YHnk8GVP9Lvopm2ebrOdmydH" TargetMode="External"/><Relationship Id="rId4927" Type="http://schemas.openxmlformats.org/officeDocument/2006/relationships/hyperlink" Target="https://www.facebook.com/hquun?mibextid=LQQJ4d" TargetMode="External"/><Relationship Id="rId2892" Type="http://schemas.openxmlformats.org/officeDocument/2006/relationships/hyperlink" Target="https://www.facebook.com/ngangiang.nongthi.9" TargetMode="External"/><Relationship Id="rId3529" Type="http://schemas.openxmlformats.org/officeDocument/2006/relationships/hyperlink" Target="https://www.facebook.com/profile.php?id=100072388993506" TargetMode="External"/><Relationship Id="rId3943" Type="http://schemas.openxmlformats.org/officeDocument/2006/relationships/hyperlink" Target="https://drive.google.com/open?id=1Jaq4iOZmAe39hoUfFoDtLVE6ZIzTOjt2" TargetMode="External"/><Relationship Id="rId6002" Type="http://schemas.openxmlformats.org/officeDocument/2006/relationships/hyperlink" Target="https://drive.google.com/open?id=1n1AcwHZftrsiB6BIF9xGHdl1AMM8uJve" TargetMode="External"/><Relationship Id="rId7400" Type="http://schemas.openxmlformats.org/officeDocument/2006/relationships/hyperlink" Target="https://www.facebook.com/profile.php?id=100024645811244&amp;mibextid=LQQJ4d" TargetMode="External"/><Relationship Id="rId9158" Type="http://schemas.openxmlformats.org/officeDocument/2006/relationships/hyperlink" Target="https://www.facebook.com/hoaitina.2308?mibextid=LQQJ4d" TargetMode="External"/><Relationship Id="rId864" Type="http://schemas.openxmlformats.org/officeDocument/2006/relationships/hyperlink" Target="https://drive.google.com/open?id=1-Jh7opcKsxoqwDX81Y1X7Gy3N-t6UxpX" TargetMode="External"/><Relationship Id="rId1494" Type="http://schemas.openxmlformats.org/officeDocument/2006/relationships/hyperlink" Target="https://drive.google.com/open?id=1gfb7SpDYVmP9Sk0CSpjjErjyPvg5shW6" TargetMode="External"/><Relationship Id="rId2545" Type="http://schemas.openxmlformats.org/officeDocument/2006/relationships/hyperlink" Target="https://drive.google.com/open?id=1wj602WYgnbl4v10Le32qbEJaixFFxNHz" TargetMode="External"/><Relationship Id="rId9572" Type="http://schemas.openxmlformats.org/officeDocument/2006/relationships/hyperlink" Target="https://drive.google.com/open?id=1KKzIeSIO9BgAdWWo16h-1dlckYLwsQEa" TargetMode="External"/><Relationship Id="rId517" Type="http://schemas.openxmlformats.org/officeDocument/2006/relationships/hyperlink" Target="https://www.facebook.com/profile.php?id=100053649780855&amp;mibextid=LQQJ4d" TargetMode="External"/><Relationship Id="rId931" Type="http://schemas.openxmlformats.org/officeDocument/2006/relationships/hyperlink" Target="https://www.facebook.com/hoang.lanphuong.7524?mibextid=ZbWKwL" TargetMode="External"/><Relationship Id="rId1147" Type="http://schemas.openxmlformats.org/officeDocument/2006/relationships/hyperlink" Target="https://www.facebook.com/profile.php?id=100025190046697&amp;mibextid=haYZDX" TargetMode="External"/><Relationship Id="rId1561" Type="http://schemas.openxmlformats.org/officeDocument/2006/relationships/hyperlink" Target="https://www.facebook.com/mduc2489" TargetMode="External"/><Relationship Id="rId2612" Type="http://schemas.openxmlformats.org/officeDocument/2006/relationships/hyperlink" Target="https://www.facebook.com/minhduong.le.18400?mibextid=ZbWKwL" TargetMode="External"/><Relationship Id="rId5768" Type="http://schemas.openxmlformats.org/officeDocument/2006/relationships/hyperlink" Target="https://www.facebook.com/profile.php?id=100074089723189&amp;mibextid=LQQJ4d" TargetMode="External"/><Relationship Id="rId6819" Type="http://schemas.openxmlformats.org/officeDocument/2006/relationships/hyperlink" Target="https://www.facebook.com/profile.php?id=100070182325796&amp;mibextid=LQQJ4d" TargetMode="External"/><Relationship Id="rId8174" Type="http://schemas.openxmlformats.org/officeDocument/2006/relationships/hyperlink" Target="https://www.facebook.com/tribao.vitran" TargetMode="External"/><Relationship Id="rId9225" Type="http://schemas.openxmlformats.org/officeDocument/2006/relationships/hyperlink" Target="https://www.facebook.com/profile.php?id=100045859323172" TargetMode="External"/><Relationship Id="rId1214" Type="http://schemas.openxmlformats.org/officeDocument/2006/relationships/hyperlink" Target="https://drive.google.com/open?id=1NgNPYt1BMvrmQW7wVgtr30HtG-Vnkqlo" TargetMode="External"/><Relationship Id="rId4784" Type="http://schemas.openxmlformats.org/officeDocument/2006/relationships/hyperlink" Target="https://www.facebook.com/profile.php?id=100037460615955&amp;mibextid=LQQJ4d" TargetMode="External"/><Relationship Id="rId5835" Type="http://schemas.openxmlformats.org/officeDocument/2006/relationships/hyperlink" Target="https://www.facebook.com/tridz06" TargetMode="External"/><Relationship Id="rId7190" Type="http://schemas.openxmlformats.org/officeDocument/2006/relationships/hyperlink" Target="https://drive.google.com/open?id=1eLxBZA9JxiSr0NdF7CmpJiCVSZAwffJV" TargetMode="External"/><Relationship Id="rId8241" Type="http://schemas.openxmlformats.org/officeDocument/2006/relationships/hyperlink" Target="https://www.facebook.com/ngo.quy.thai?mibextid=wwXIfr&amp;rdid=X4z0nmznhe5CXIpx&amp;share_url=https%3A%2F%2Fwww.facebook.com%2Fshare%2F15s96aKMZQ%2F%3Fmibextid%3DwwXIfr" TargetMode="External"/><Relationship Id="rId3386" Type="http://schemas.openxmlformats.org/officeDocument/2006/relationships/hyperlink" Target="https://www.facebook.com/profile.php?id=100017964186783" TargetMode="External"/><Relationship Id="rId4437" Type="http://schemas.openxmlformats.org/officeDocument/2006/relationships/hyperlink" Target="https://www.facebook.com/profile.php?id=100078348354304" TargetMode="External"/><Relationship Id="rId3039" Type="http://schemas.openxmlformats.org/officeDocument/2006/relationships/hyperlink" Target="https://www.facebook.com/100014616018087/" TargetMode="External"/><Relationship Id="rId3453" Type="http://schemas.openxmlformats.org/officeDocument/2006/relationships/hyperlink" Target="https://drive.google.com/open?id=1lTuEIC2-l6GgaLbSeWbjca_b9OP34TBP" TargetMode="External"/><Relationship Id="rId4851" Type="http://schemas.openxmlformats.org/officeDocument/2006/relationships/hyperlink" Target="https://www.facebook.com/profile.php?id=100012552584398&amp;mibextid=ZbWKwL" TargetMode="External"/><Relationship Id="rId5902" Type="http://schemas.openxmlformats.org/officeDocument/2006/relationships/hyperlink" Target="https://drive.google.com/open?id=1gk4_qfmHB5cx-A4vnh4jYSIWICNbE00D" TargetMode="External"/><Relationship Id="rId374" Type="http://schemas.openxmlformats.org/officeDocument/2006/relationships/hyperlink" Target="https://www.facebook.com/profile.php?id=100066731117959&amp;mibextid=LQQJ4d" TargetMode="External"/><Relationship Id="rId2055" Type="http://schemas.openxmlformats.org/officeDocument/2006/relationships/hyperlink" Target="https://www.facebook.com/profile.php?id=100046458185879&amp;mibextid=LQQJ4d" TargetMode="External"/><Relationship Id="rId3106" Type="http://schemas.openxmlformats.org/officeDocument/2006/relationships/hyperlink" Target="https://www.facebook.com/profile.php?id=100037188972287&amp;mibextid=ZbWKwL" TargetMode="External"/><Relationship Id="rId4504" Type="http://schemas.openxmlformats.org/officeDocument/2006/relationships/hyperlink" Target="https://www.facebook.com/hung09122006?mibextid=LQQJ4d" TargetMode="External"/><Relationship Id="rId9082" Type="http://schemas.openxmlformats.org/officeDocument/2006/relationships/hyperlink" Target="https://www.facebook.com/profile.php?id=100027625788368&amp;mibextid=LQQJ4d" TargetMode="External"/><Relationship Id="rId3520" Type="http://schemas.openxmlformats.org/officeDocument/2006/relationships/hyperlink" Target="https://www.facebook.com/tulinh.bachhoang.18" TargetMode="External"/><Relationship Id="rId6676" Type="http://schemas.openxmlformats.org/officeDocument/2006/relationships/hyperlink" Target="https://www.facebook.com/ngan.lephuong.399?mibextid=LQQJ4d" TargetMode="External"/><Relationship Id="rId7727" Type="http://schemas.openxmlformats.org/officeDocument/2006/relationships/hyperlink" Target="https://www.facebook.com/share/1KhSwFfxCH/?mibextid=LQQJ4d" TargetMode="External"/><Relationship Id="rId441" Type="http://schemas.openxmlformats.org/officeDocument/2006/relationships/hyperlink" Target="https://drive.google.com/open?id=14b1-G4XXSpudLt3ueF1rBkqWxPT3RiU2" TargetMode="External"/><Relationship Id="rId1071" Type="http://schemas.openxmlformats.org/officeDocument/2006/relationships/hyperlink" Target="https://drive.google.com/open?id=1s8wAhT2HyKRVeZux18nupVHUjzuVfpVS" TargetMode="External"/><Relationship Id="rId2122" Type="http://schemas.openxmlformats.org/officeDocument/2006/relationships/hyperlink" Target="https://www.facebook.com/nguyentiendung910" TargetMode="External"/><Relationship Id="rId5278" Type="http://schemas.openxmlformats.org/officeDocument/2006/relationships/hyperlink" Target="https://www.facebook.com/profile.php?id=100064077106160&amp;mibextid=ZbWKwL" TargetMode="External"/><Relationship Id="rId5692" Type="http://schemas.openxmlformats.org/officeDocument/2006/relationships/hyperlink" Target="https://m.facebook.com/lthg20?mibextid=LQQJ4d" TargetMode="External"/><Relationship Id="rId6329" Type="http://schemas.openxmlformats.org/officeDocument/2006/relationships/hyperlink" Target="https://drive.google.com/open?id=1NI2fE-LZZ5zCzjBeYEGsDg5yZb0Zcpg2" TargetMode="External"/><Relationship Id="rId6743" Type="http://schemas.openxmlformats.org/officeDocument/2006/relationships/hyperlink" Target="https://www.facebook.com/profile.php?id=100034321492006&amp;mibextid=LQQJ4d&amp;mibextid=LQQJ4d" TargetMode="External"/><Relationship Id="rId1888" Type="http://schemas.openxmlformats.org/officeDocument/2006/relationships/hyperlink" Target="https://drive.google.com/open?id=1sHJZpDLDXLer54s6DoR5-HY3YE8Z57IP" TargetMode="External"/><Relationship Id="rId2939" Type="http://schemas.openxmlformats.org/officeDocument/2006/relationships/hyperlink" Target="https://drive.google.com/open?id=1Gl6dM9Ih6B-b5LHlHXJk69sx70QQAT6c" TargetMode="External"/><Relationship Id="rId4294" Type="http://schemas.openxmlformats.org/officeDocument/2006/relationships/hyperlink" Target="https://www.facebook.com/hamie02?mibextid=LQQJ4d" TargetMode="External"/><Relationship Id="rId5345" Type="http://schemas.openxmlformats.org/officeDocument/2006/relationships/hyperlink" Target="https://www.facebook.com/profile.php?id=100053764063741&amp;mibextid=ZbWKwL" TargetMode="External"/><Relationship Id="rId6810" Type="http://schemas.openxmlformats.org/officeDocument/2006/relationships/hyperlink" Target="https://www.facebook.com/profile.php?id=61554088962578" TargetMode="External"/><Relationship Id="rId4361" Type="http://schemas.openxmlformats.org/officeDocument/2006/relationships/hyperlink" Target="https://www.facebook.com/vulucky.nhat?mibextid=LQQJ4d" TargetMode="External"/><Relationship Id="rId5412" Type="http://schemas.openxmlformats.org/officeDocument/2006/relationships/hyperlink" Target="https://www.facebook.com/vuyenthanhh0908?mibextid=ZbWKwL" TargetMode="External"/><Relationship Id="rId8568" Type="http://schemas.openxmlformats.org/officeDocument/2006/relationships/hyperlink" Target="https://www.facebook.com/doananh.hodinh.308?mibextid=LQQJ4d" TargetMode="External"/><Relationship Id="rId1955" Type="http://schemas.openxmlformats.org/officeDocument/2006/relationships/hyperlink" Target="https://www.facebook.com/mytam.my.37" TargetMode="External"/><Relationship Id="rId4014" Type="http://schemas.openxmlformats.org/officeDocument/2006/relationships/hyperlink" Target="https://drive.google.com/open?id=1y_FGNs_U6SsJt8ovYKiAUz5eIFd1ZZdY" TargetMode="External"/><Relationship Id="rId7584" Type="http://schemas.openxmlformats.org/officeDocument/2006/relationships/hyperlink" Target="https://www.facebook.com/profile.php?id=100092312538670&amp;mibextid=LQQJ4d" TargetMode="External"/><Relationship Id="rId8982" Type="http://schemas.openxmlformats.org/officeDocument/2006/relationships/hyperlink" Target="https://drive.google.com/open?id=1TaQ3-yQa8iMj21hAYtfU5NPVCZdqSCcm" TargetMode="External"/><Relationship Id="rId1608" Type="http://schemas.openxmlformats.org/officeDocument/2006/relationships/hyperlink" Target="https://drive.google.com/open?id=1Cmf24girt0jmnAqpXIwa0xkdeMlyXNvo" TargetMode="External"/><Relationship Id="rId3030" Type="http://schemas.openxmlformats.org/officeDocument/2006/relationships/hyperlink" Target="https://www.facebook.com/linh.bibi.54922" TargetMode="External"/><Relationship Id="rId6186" Type="http://schemas.openxmlformats.org/officeDocument/2006/relationships/hyperlink" Target="https://drive.google.com/open?id=1C92neddAQMmCgSZ7QcMahWqvQaf7AFLp" TargetMode="External"/><Relationship Id="rId7237" Type="http://schemas.openxmlformats.org/officeDocument/2006/relationships/hyperlink" Target="https://www.facebook.com/profile.php?id=100062219615429&amp;mibextid=ZbWKwL" TargetMode="External"/><Relationship Id="rId8635" Type="http://schemas.openxmlformats.org/officeDocument/2006/relationships/hyperlink" Target="https://www.facebook.com/profile.php?id=100016511880303" TargetMode="External"/><Relationship Id="rId7651" Type="http://schemas.openxmlformats.org/officeDocument/2006/relationships/hyperlink" Target="https://drive.google.com/open?id=15ItNn3fv0apc66f9s5bE0O-YCsrjqxjE" TargetMode="External"/><Relationship Id="rId8702" Type="http://schemas.openxmlformats.org/officeDocument/2006/relationships/hyperlink" Target="https://www.facebook.com/profile.php?id=61564198285388&amp;locale=vi_VN" TargetMode="External"/><Relationship Id="rId2796" Type="http://schemas.openxmlformats.org/officeDocument/2006/relationships/hyperlink" Target="https://www.facebook.com/share/mVNqBXZN2izXKoyH/?" TargetMode="External"/><Relationship Id="rId3847" Type="http://schemas.openxmlformats.org/officeDocument/2006/relationships/hyperlink" Target="https://www.facebook.com/profile.php?id=100056958707502&amp;mibextid=LQQJ4d" TargetMode="External"/><Relationship Id="rId6253" Type="http://schemas.openxmlformats.org/officeDocument/2006/relationships/hyperlink" Target="https://www.facebook.com/profile.php?id=100070069446239&amp;mibextid=LQQJ4d" TargetMode="External"/><Relationship Id="rId7304" Type="http://schemas.openxmlformats.org/officeDocument/2006/relationships/hyperlink" Target="https://www.facebook.com/doremon.mui.5?mibextid=ZbWKwL" TargetMode="External"/><Relationship Id="rId768" Type="http://schemas.openxmlformats.org/officeDocument/2006/relationships/hyperlink" Target="https://www.facebook.com/profile.php?id=100040574439812&amp;mibextid=ZbWKwL" TargetMode="External"/><Relationship Id="rId1398" Type="http://schemas.openxmlformats.org/officeDocument/2006/relationships/hyperlink" Target="https://www.facebook.com/profile.php?id=100055402762819&amp;mibextid=LQQJ4d" TargetMode="External"/><Relationship Id="rId2449" Type="http://schemas.openxmlformats.org/officeDocument/2006/relationships/hyperlink" Target="https://www.facebook.com/phuonganh.hoang.127648?" TargetMode="External"/><Relationship Id="rId2863" Type="http://schemas.openxmlformats.org/officeDocument/2006/relationships/hyperlink" Target="https://drive.google.com/open?id=1gGAUhrUKAlnhIsHVSET0AYLRqm4v3BVB" TargetMode="External"/><Relationship Id="rId3914" Type="http://schemas.openxmlformats.org/officeDocument/2006/relationships/hyperlink" Target="https://www.facebook.com/btnaaaa?mibextid=LQQJ4d" TargetMode="External"/><Relationship Id="rId6320" Type="http://schemas.openxmlformats.org/officeDocument/2006/relationships/hyperlink" Target="https://www.facebook.com/profile.php?id=100017575055851&amp;mibextid=LQQJ4d" TargetMode="External"/><Relationship Id="rId9476" Type="http://schemas.openxmlformats.org/officeDocument/2006/relationships/hyperlink" Target="https://www.facebook.com/profile.php?id=100076625193438&amp;mibextid=LQQJ4d" TargetMode="External"/><Relationship Id="rId835" Type="http://schemas.openxmlformats.org/officeDocument/2006/relationships/hyperlink" Target="https://www.facebook.com/profile.php?id=100017038781929" TargetMode="External"/><Relationship Id="rId1465" Type="http://schemas.openxmlformats.org/officeDocument/2006/relationships/hyperlink" Target="https://drive.google.com/open?id=1Owpasr2eobU9CvUPfG6fcB8825lSQdKF" TargetMode="External"/><Relationship Id="rId2516" Type="http://schemas.openxmlformats.org/officeDocument/2006/relationships/hyperlink" Target="https://www.facebook.com/cao.loan.52035" TargetMode="External"/><Relationship Id="rId8078" Type="http://schemas.openxmlformats.org/officeDocument/2006/relationships/hyperlink" Target="https://www.facebook.com/profile.php?id=100078859430172&amp;mibextid=ZbWKwL" TargetMode="External"/><Relationship Id="rId8492" Type="http://schemas.openxmlformats.org/officeDocument/2006/relationships/hyperlink" Target="https://www.facebook.com/profile.php?id=100082259929779&amp;mibextid=LQQJ4d" TargetMode="External"/><Relationship Id="rId9129" Type="http://schemas.openxmlformats.org/officeDocument/2006/relationships/hyperlink" Target="https://www.facebook.com/profile.php?id=100044946246572" TargetMode="External"/><Relationship Id="rId9543" Type="http://schemas.openxmlformats.org/officeDocument/2006/relationships/hyperlink" Target="https://www.facebook.com/share/1QZFF1SLqB/?mibextid=wwXIfr" TargetMode="External"/><Relationship Id="rId1118" Type="http://schemas.openxmlformats.org/officeDocument/2006/relationships/hyperlink" Target="https://www.facebook.com/profile.php?id=100063633332946&amp;mibextid=ZbWKwL" TargetMode="External"/><Relationship Id="rId1532" Type="http://schemas.openxmlformats.org/officeDocument/2006/relationships/hyperlink" Target="https://drive.google.com/open?id=1ACGi-n5VhcX25abbZiZMAiGV67Z3U3e7" TargetMode="External"/><Relationship Id="rId2930" Type="http://schemas.openxmlformats.org/officeDocument/2006/relationships/hyperlink" Target="https://drive.google.com/open?id=1xceF82Fi4yurkRRNfDKDabyTPm9AN_Do" TargetMode="External"/><Relationship Id="rId4688" Type="http://schemas.openxmlformats.org/officeDocument/2006/relationships/hyperlink" Target="https://www.facebook.com/thuytinh.hoa.58173?mibextid=LQQJ4d" TargetMode="External"/><Relationship Id="rId7094" Type="http://schemas.openxmlformats.org/officeDocument/2006/relationships/hyperlink" Target="https://www.facebook.com/DLNA2000?mibextid=LQQJ4d&amp;rdid=FHFS6DZzB7uikB5p&amp;share_url=https%3A%2F%2Fwww.facebook.com%2Fshare%2F7HS8qy8iWgE3hRwm%2F%3Fmibextid%3DLQQJ4d" TargetMode="External"/><Relationship Id="rId8145" Type="http://schemas.openxmlformats.org/officeDocument/2006/relationships/hyperlink" Target="https://drive.google.com/open?id=1d7EjoXf1FU7tUC-dEPkffwJ15yYpgb36" TargetMode="External"/><Relationship Id="rId902" Type="http://schemas.openxmlformats.org/officeDocument/2006/relationships/hyperlink" Target="https://www.facebook.com/kookie.huyen.5832?mibextid=LQQJ4d" TargetMode="External"/><Relationship Id="rId5739" Type="http://schemas.openxmlformats.org/officeDocument/2006/relationships/hyperlink" Target="https://www.facebook.com/yeuanh0505" TargetMode="External"/><Relationship Id="rId7161" Type="http://schemas.openxmlformats.org/officeDocument/2006/relationships/hyperlink" Target="https://www.facebook.com/profile.php?id=100094889821164" TargetMode="External"/><Relationship Id="rId8212" Type="http://schemas.openxmlformats.org/officeDocument/2006/relationships/hyperlink" Target="https://www.facebook.com/profile.php?id=100071400645920" TargetMode="External"/><Relationship Id="rId4755" Type="http://schemas.openxmlformats.org/officeDocument/2006/relationships/hyperlink" Target="https://drive.google.com/open?id=1-pe1EF-n4H9mJjklA_cqVPbATS3SUF4k" TargetMode="External"/><Relationship Id="rId5806" Type="http://schemas.openxmlformats.org/officeDocument/2006/relationships/hyperlink" Target="https://www.facebook.com/ngquanh1006?mibextid=LQQJ4d" TargetMode="External"/><Relationship Id="rId278" Type="http://schemas.openxmlformats.org/officeDocument/2006/relationships/hyperlink" Target="https://www.facebook.com/VuNguyetAnhs" TargetMode="External"/><Relationship Id="rId3357" Type="http://schemas.openxmlformats.org/officeDocument/2006/relationships/hyperlink" Target="https://www.facebook.com/profile.php?id=100052899632503" TargetMode="External"/><Relationship Id="rId3771" Type="http://schemas.openxmlformats.org/officeDocument/2006/relationships/hyperlink" Target="https://drive.google.com/open?id=1qWfdBqvD9o9Nv0mKUzgJaTZ8uAeOl7dB" TargetMode="External"/><Relationship Id="rId4408" Type="http://schemas.openxmlformats.org/officeDocument/2006/relationships/hyperlink" Target="https://www.facebook.com/profile.php?id=100041898588152&amp;mibextid=ZbWKwL" TargetMode="External"/><Relationship Id="rId4822" Type="http://schemas.openxmlformats.org/officeDocument/2006/relationships/hyperlink" Target="https://www.facebook.com/profile.php?id=100070943771955&amp;mibextid=LQQJ4d" TargetMode="External"/><Relationship Id="rId7978" Type="http://schemas.openxmlformats.org/officeDocument/2006/relationships/hyperlink" Target="https://www.facebook.com/profile.php?id=100050065650756&amp;mibextid=LQQJ4d" TargetMode="External"/><Relationship Id="rId692" Type="http://schemas.openxmlformats.org/officeDocument/2006/relationships/hyperlink" Target="https://www.facebook.com/profile.php?id=100079283899133" TargetMode="External"/><Relationship Id="rId2373" Type="http://schemas.openxmlformats.org/officeDocument/2006/relationships/hyperlink" Target="https://drive.google.com/open?id=1ZmmSM6ZAJAqBTu8Ug6o-Z0CdK2wMF9NZ" TargetMode="External"/><Relationship Id="rId3424" Type="http://schemas.openxmlformats.org/officeDocument/2006/relationships/hyperlink" Target="https://www.facebook.com/100043773935614/" TargetMode="External"/><Relationship Id="rId6994" Type="http://schemas.openxmlformats.org/officeDocument/2006/relationships/hyperlink" Target="https://www.facebook.com/profile.php?id=61559472645104&amp;mibextid=LQQJ4d" TargetMode="External"/><Relationship Id="rId345" Type="http://schemas.openxmlformats.org/officeDocument/2006/relationships/hyperlink" Target="https://drive.google.com/open?id=12Go6FR3w8QGyBcmGZNnBPzeHSlaLGvAl" TargetMode="External"/><Relationship Id="rId2026" Type="http://schemas.openxmlformats.org/officeDocument/2006/relationships/hyperlink" Target="https://www.facebook.com/sonhai05dzai?mibextid=LQQJ4d" TargetMode="External"/><Relationship Id="rId2440" Type="http://schemas.openxmlformats.org/officeDocument/2006/relationships/hyperlink" Target="https://www.facebook.com/profile.php?id=100055173304754&amp;mibextid=LQQJ4d" TargetMode="External"/><Relationship Id="rId5596" Type="http://schemas.openxmlformats.org/officeDocument/2006/relationships/hyperlink" Target="https://www.facebook.com/profile.php?id=100087047088347&amp;mibextid=LQQJ4d" TargetMode="External"/><Relationship Id="rId6647" Type="http://schemas.openxmlformats.org/officeDocument/2006/relationships/hyperlink" Target="https://www.facebook.com/mina.giang.50" TargetMode="External"/><Relationship Id="rId9053" Type="http://schemas.openxmlformats.org/officeDocument/2006/relationships/hyperlink" Target="https://drive.google.com/open?id=12gXpqdyiElEcfzfcoJwhfMbhslpgndWx" TargetMode="External"/><Relationship Id="rId412" Type="http://schemas.openxmlformats.org/officeDocument/2006/relationships/hyperlink" Target="https://www.facebook.com/profile.php?id=100031588725737&amp;mibextid=LQQJ4d" TargetMode="External"/><Relationship Id="rId1042" Type="http://schemas.openxmlformats.org/officeDocument/2006/relationships/hyperlink" Target="https://drive.google.com/open?id=1LF1-Wn28JIN0r8YrquNWugmbv2TTzkyI" TargetMode="External"/><Relationship Id="rId4198" Type="http://schemas.openxmlformats.org/officeDocument/2006/relationships/hyperlink" Target="https://www.facebook.com/profile.php?id=100022311231609" TargetMode="External"/><Relationship Id="rId5249" Type="http://schemas.openxmlformats.org/officeDocument/2006/relationships/hyperlink" Target="https://drive.google.com/open?id=170cQOcOCfWcWGe6FjbqkuKlCh3iKuoqR" TargetMode="External"/><Relationship Id="rId5663" Type="http://schemas.openxmlformats.org/officeDocument/2006/relationships/hyperlink" Target="https://www.facebook.com/profile.php?id=100064516904491&amp;mibextid=LQQJ4d" TargetMode="External"/><Relationship Id="rId9120" Type="http://schemas.openxmlformats.org/officeDocument/2006/relationships/hyperlink" Target="https://drive.google.com/open?id=1bJ4qBrnqtk9SA-e9bfMB3bVIWYglMDaS" TargetMode="External"/><Relationship Id="rId4265" Type="http://schemas.openxmlformats.org/officeDocument/2006/relationships/hyperlink" Target="https://drive.google.com/open?id=1_OpdQj35AzqgEf700IcRkK1cB-7_iP_G" TargetMode="External"/><Relationship Id="rId5316" Type="http://schemas.openxmlformats.org/officeDocument/2006/relationships/hyperlink" Target="https://www.facebook.com/profile.php?id=100053817425059&amp;mibextid=LQQJ4d" TargetMode="External"/><Relationship Id="rId6714" Type="http://schemas.openxmlformats.org/officeDocument/2006/relationships/hyperlink" Target="https://drive.google.com/open?id=16kYDArP4YHnk8GVP9Lvopm2ebrOdmydH" TargetMode="External"/><Relationship Id="rId1859" Type="http://schemas.openxmlformats.org/officeDocument/2006/relationships/hyperlink" Target="https://www.facebook.com/ah.phuong.14?mibextid=LQQJ4d" TargetMode="External"/><Relationship Id="rId5730" Type="http://schemas.openxmlformats.org/officeDocument/2006/relationships/hyperlink" Target="https://www.facebook.com/profile.php?id=100038051739051" TargetMode="External"/><Relationship Id="rId8886" Type="http://schemas.openxmlformats.org/officeDocument/2006/relationships/hyperlink" Target="https://www.facebook.com/share/1LRnndP9o6/?mibextid=wwXIfr" TargetMode="External"/><Relationship Id="rId1926" Type="http://schemas.openxmlformats.org/officeDocument/2006/relationships/hyperlink" Target="https://www.facebook.com/profile.php?id=100039269598320&amp;mibextid=LQQJ4d" TargetMode="External"/><Relationship Id="rId3281" Type="http://schemas.openxmlformats.org/officeDocument/2006/relationships/hyperlink" Target="https://www.facebook.com/profile.php?id=100028863792167" TargetMode="External"/><Relationship Id="rId4332" Type="http://schemas.openxmlformats.org/officeDocument/2006/relationships/hyperlink" Target="https://www.facebook.com/profile.php?id=100047155059301" TargetMode="External"/><Relationship Id="rId7488" Type="http://schemas.openxmlformats.org/officeDocument/2006/relationships/hyperlink" Target="https://drive.google.com/open?id=10dEH9XEZK-wPgL14u8zsdHzxTe2kEO5K" TargetMode="External"/><Relationship Id="rId8539" Type="http://schemas.openxmlformats.org/officeDocument/2006/relationships/hyperlink" Target="https://www.facebook.com/vuduongtrunghieu?mibextid=JRoKGi" TargetMode="External"/><Relationship Id="rId8953" Type="http://schemas.openxmlformats.org/officeDocument/2006/relationships/hyperlink" Target="https://drive.google.com/open?id=1QCp5bkzwomL8q0AZryhC25WE6ofky1vd" TargetMode="External"/><Relationship Id="rId7555" Type="http://schemas.openxmlformats.org/officeDocument/2006/relationships/hyperlink" Target="https://www.facebook.com/profile.php?id=100054382825090&amp;mibextid=LQQJ4d" TargetMode="External"/><Relationship Id="rId8606" Type="http://schemas.openxmlformats.org/officeDocument/2006/relationships/hyperlink" Target="https://drive.google.com/open?id=1CALnqUsbHpdRu57TKRPeNbxCrHcCNt7p" TargetMode="External"/><Relationship Id="rId3001" Type="http://schemas.openxmlformats.org/officeDocument/2006/relationships/hyperlink" Target="https://www.facebook.com/profile.php?id=100014998389791&amp;locale=vi_VN" TargetMode="External"/><Relationship Id="rId6157" Type="http://schemas.openxmlformats.org/officeDocument/2006/relationships/hyperlink" Target="https://www.facebook.com/profile.php?id=100064100315420&amp;mibextid=LQQJ4d" TargetMode="External"/><Relationship Id="rId6571" Type="http://schemas.openxmlformats.org/officeDocument/2006/relationships/hyperlink" Target="https://drive.google.com/open?id=1emS-XpGgroRKwkD15OToBc1SxkVC0kAR" TargetMode="External"/><Relationship Id="rId7208" Type="http://schemas.openxmlformats.org/officeDocument/2006/relationships/hyperlink" Target="https://www.facebook.com/profile.php?id=100033343071407" TargetMode="External"/><Relationship Id="rId7622" Type="http://schemas.openxmlformats.org/officeDocument/2006/relationships/hyperlink" Target="https://www.facebook.com/profile.php?id=100078967263421&amp;mibextid=ZbWKwL" TargetMode="External"/><Relationship Id="rId2767" Type="http://schemas.openxmlformats.org/officeDocument/2006/relationships/hyperlink" Target="https://drive.google.com/open?id=1N3xTyI8_Xm4_HTjcRIYTLSg5VvVDbhQf" TargetMode="External"/><Relationship Id="rId5173" Type="http://schemas.openxmlformats.org/officeDocument/2006/relationships/hyperlink" Target="https://www.facebook.com/nhinguyen2011.2006" TargetMode="External"/><Relationship Id="rId6224" Type="http://schemas.openxmlformats.org/officeDocument/2006/relationships/hyperlink" Target="https://www.facebook.com/chugaudinang2926?mibextid=LQQJ4d" TargetMode="External"/><Relationship Id="rId739" Type="http://schemas.openxmlformats.org/officeDocument/2006/relationships/hyperlink" Target="https://www.facebook.com/profile.php?id=100072241211958&amp;mibextid=LQQJ4d" TargetMode="External"/><Relationship Id="rId1369" Type="http://schemas.openxmlformats.org/officeDocument/2006/relationships/hyperlink" Target="https://www.facebook.com/people/Trung-Hi%E1%BA%BFu/pfbid027riwhoWHj9aWivuogGZhhsyFs2XMhgy9k44WTnx4VXGtH6X46G1FGKTdqKkbiZS5l/" TargetMode="External"/><Relationship Id="rId3818" Type="http://schemas.openxmlformats.org/officeDocument/2006/relationships/hyperlink" Target="https://drive.google.com/open?id=19uYfVCeqbaQoXRDxTRvbVMcwZzU3qW1I" TargetMode="External"/><Relationship Id="rId5240" Type="http://schemas.openxmlformats.org/officeDocument/2006/relationships/hyperlink" Target="https://drive.google.com/open?id=1x6gCkq8uT1lAj70WmALFXPq1eelPhIla" TargetMode="External"/><Relationship Id="rId8396" Type="http://schemas.openxmlformats.org/officeDocument/2006/relationships/hyperlink" Target="https://www.facebook.com/nph0306" TargetMode="External"/><Relationship Id="rId9447" Type="http://schemas.openxmlformats.org/officeDocument/2006/relationships/hyperlink" Target="https://www.facebook.com/profile.php?id=100054075519702&amp;mibextid=LQQJ4d" TargetMode="External"/><Relationship Id="rId1783" Type="http://schemas.openxmlformats.org/officeDocument/2006/relationships/hyperlink" Target="https://www.facebook.com/nguyenhokhanhlinh2810?mibextid=ZbWKwL" TargetMode="External"/><Relationship Id="rId2834" Type="http://schemas.openxmlformats.org/officeDocument/2006/relationships/hyperlink" Target="https://drive.google.com/open?id=1bvRicFHrZWOVCLCwOrQF3AF35uZX_9B8" TargetMode="External"/><Relationship Id="rId8049" Type="http://schemas.openxmlformats.org/officeDocument/2006/relationships/hyperlink" Target="https://www.facebook.com/ngvanhiu.125?mibextid=LQQJ4d" TargetMode="External"/><Relationship Id="rId75" Type="http://schemas.openxmlformats.org/officeDocument/2006/relationships/hyperlink" Target="https://www.facebook.com/ngocanh10042003" TargetMode="External"/><Relationship Id="rId806" Type="http://schemas.openxmlformats.org/officeDocument/2006/relationships/hyperlink" Target="https://drive.google.com/open?id=1kVSpsGNbBFUmPBfJhP-79jSmFwgznb_m" TargetMode="External"/><Relationship Id="rId1436" Type="http://schemas.openxmlformats.org/officeDocument/2006/relationships/hyperlink" Target="https://www.facebook.com/profile.php?id=100014203269575&amp;mibextid=LQQJ4d" TargetMode="External"/><Relationship Id="rId1850" Type="http://schemas.openxmlformats.org/officeDocument/2006/relationships/hyperlink" Target="https://drive.google.com/open?id=1L8sijSdizlb21PhidcBx6j0-LMfLVAYz" TargetMode="External"/><Relationship Id="rId2901" Type="http://schemas.openxmlformats.org/officeDocument/2006/relationships/hyperlink" Target="https://www.facebook.com/zhou.vin.50?mibextid=LQQJ4d" TargetMode="External"/><Relationship Id="rId7065" Type="http://schemas.openxmlformats.org/officeDocument/2006/relationships/hyperlink" Target="https://www.facebook.com/profile.php?id=100053331317618" TargetMode="External"/><Relationship Id="rId8463" Type="http://schemas.openxmlformats.org/officeDocument/2006/relationships/hyperlink" Target="https://www.facebook.com/profile.php?id=100036067713666" TargetMode="External"/><Relationship Id="rId9514" Type="http://schemas.openxmlformats.org/officeDocument/2006/relationships/hyperlink" Target="https://drive.google.com/open?id=1f3BWsvU0-jckWtbdschDTHsJ7uTZ5Wce" TargetMode="External"/><Relationship Id="rId1503" Type="http://schemas.openxmlformats.org/officeDocument/2006/relationships/hyperlink" Target="https://drive.google.com/open?id=1n8RNkCKjDQtIJpfehG3BaCuxODt0BB7y" TargetMode="External"/><Relationship Id="rId4659" Type="http://schemas.openxmlformats.org/officeDocument/2006/relationships/hyperlink" Target="https://www.facebook.com/profile.php?id=100051257117626" TargetMode="External"/><Relationship Id="rId8116" Type="http://schemas.openxmlformats.org/officeDocument/2006/relationships/hyperlink" Target="https://www.facebook.com/huy.ngoquanghuy.581" TargetMode="External"/><Relationship Id="rId8530" Type="http://schemas.openxmlformats.org/officeDocument/2006/relationships/hyperlink" Target="https://www.facebook.com/profile.php?id=61583394590048" TargetMode="External"/><Relationship Id="rId3675" Type="http://schemas.openxmlformats.org/officeDocument/2006/relationships/hyperlink" Target="https://www.facebook.com/profile.php?id=100035868532783&amp;mibextid=ZbWKwL" TargetMode="External"/><Relationship Id="rId4726" Type="http://schemas.openxmlformats.org/officeDocument/2006/relationships/hyperlink" Target="https://drive.google.com/open?id=17Tf9tKUBB_D3247gVppX9k1oY-TuHe2X" TargetMode="External"/><Relationship Id="rId6081" Type="http://schemas.openxmlformats.org/officeDocument/2006/relationships/hyperlink" Target="https://www.facebook.com/nv.long.55" TargetMode="External"/><Relationship Id="rId7132" Type="http://schemas.openxmlformats.org/officeDocument/2006/relationships/hyperlink" Target="https://www.facebook.com/linh.lybee.52" TargetMode="External"/><Relationship Id="rId596" Type="http://schemas.openxmlformats.org/officeDocument/2006/relationships/hyperlink" Target="https://www.facebook.com/profile.php?id=100083206461555" TargetMode="External"/><Relationship Id="rId2277" Type="http://schemas.openxmlformats.org/officeDocument/2006/relationships/hyperlink" Target="https://www.facebook.com/lanhuonglathang1859?mibextid=kFxxJD" TargetMode="External"/><Relationship Id="rId2691" Type="http://schemas.openxmlformats.org/officeDocument/2006/relationships/hyperlink" Target="https://drive.google.com/open?id=1oh941fCUeaDKDT9_YnnWnSst6rOFzEbh" TargetMode="External"/><Relationship Id="rId3328" Type="http://schemas.openxmlformats.org/officeDocument/2006/relationships/hyperlink" Target="https://www.facebook.com/profile.php?id=100057029438672&amp;locale=vi_VN" TargetMode="External"/><Relationship Id="rId3742" Type="http://schemas.openxmlformats.org/officeDocument/2006/relationships/hyperlink" Target="https://www.facebook.com/profile.php?id=100044395065651" TargetMode="External"/><Relationship Id="rId6898" Type="http://schemas.openxmlformats.org/officeDocument/2006/relationships/hyperlink" Target="https://drive.google.com/open?id=1qLXD6kaFLEpx051kwIupOT-7ybWigvKz" TargetMode="External"/><Relationship Id="rId249" Type="http://schemas.openxmlformats.org/officeDocument/2006/relationships/hyperlink" Target="https://www.facebook.com/profile.php?id=100027078076914" TargetMode="External"/><Relationship Id="rId663" Type="http://schemas.openxmlformats.org/officeDocument/2006/relationships/hyperlink" Target="https://www.facebook.com/profile.php?id=100009177409621&amp;mibextid=ZbWKwL" TargetMode="External"/><Relationship Id="rId1293" Type="http://schemas.openxmlformats.org/officeDocument/2006/relationships/hyperlink" Target="https://www.facebook.com/thong.ngovan.7906" TargetMode="External"/><Relationship Id="rId2344" Type="http://schemas.openxmlformats.org/officeDocument/2006/relationships/hyperlink" Target="https://www.facebook.com/profile.php?id=100048034382576&amp;mibextid=LQQJ4d" TargetMode="External"/><Relationship Id="rId7949" Type="http://schemas.openxmlformats.org/officeDocument/2006/relationships/hyperlink" Target="https://www.facebook.com/profile.php?id=100022723487090&amp;mibextid=LQQJ4d" TargetMode="External"/><Relationship Id="rId9371" Type="http://schemas.openxmlformats.org/officeDocument/2006/relationships/hyperlink" Target="https://www.facebook.com/share/1YSUQRPfVA/?mibextid=wwXIfr" TargetMode="External"/><Relationship Id="rId316" Type="http://schemas.openxmlformats.org/officeDocument/2006/relationships/hyperlink" Target="https://www.facebook.com/zhou.vin.50?mibextid=LQQJ4d" TargetMode="External"/><Relationship Id="rId6965" Type="http://schemas.openxmlformats.org/officeDocument/2006/relationships/hyperlink" Target="https://www.facebook.com/nam.chun.969?mibextid=ZbWKwL" TargetMode="External"/><Relationship Id="rId9024" Type="http://schemas.openxmlformats.org/officeDocument/2006/relationships/hyperlink" Target="https://drive.google.com/open?id=1-NIfb4Fj6QzdZQ0kaZ6WkWYET4n1Z5OM" TargetMode="External"/><Relationship Id="rId730" Type="http://schemas.openxmlformats.org/officeDocument/2006/relationships/hyperlink" Target="https://www.facebook.com/profile.php?id=100054746244768&amp;mibextid=LQQJ4d" TargetMode="External"/><Relationship Id="rId1013" Type="http://schemas.openxmlformats.org/officeDocument/2006/relationships/hyperlink" Target="https://www.facebook.com/profile.php?id=100048679016694" TargetMode="External"/><Relationship Id="rId1360" Type="http://schemas.openxmlformats.org/officeDocument/2006/relationships/hyperlink" Target="https://drive.google.com/open?id=1eaoKt2DAIibqUzdZp5zRjy2UxqlqHT2A" TargetMode="External"/><Relationship Id="rId2411" Type="http://schemas.openxmlformats.org/officeDocument/2006/relationships/hyperlink" Target="https://www.facebook.com/profile.php?id=100013248129700&amp;mibextid=LQQJ4d" TargetMode="External"/><Relationship Id="rId4169" Type="http://schemas.openxmlformats.org/officeDocument/2006/relationships/hyperlink" Target="https://www.facebook.com/profile.php?id=100026390200113" TargetMode="External"/><Relationship Id="rId5567" Type="http://schemas.openxmlformats.org/officeDocument/2006/relationships/hyperlink" Target="https://www.facebook.com/quynhnhu.nt.39982?mibextid=LQQJ4d" TargetMode="External"/><Relationship Id="rId5981" Type="http://schemas.openxmlformats.org/officeDocument/2006/relationships/hyperlink" Target="https://www.facebook.com/tranquocvuong1080?mibextid=LQQJ4d" TargetMode="External"/><Relationship Id="rId6618" Type="http://schemas.openxmlformats.org/officeDocument/2006/relationships/hyperlink" Target="https://www.facebook.com/profile.php?id=100090846244231&amp;mibextid=ZbWKwL" TargetMode="External"/><Relationship Id="rId8040" Type="http://schemas.openxmlformats.org/officeDocument/2006/relationships/hyperlink" Target="https://www.facebook.com/eynnhixinkdepk?mibextid=LQQJ4d" TargetMode="External"/><Relationship Id="rId4583" Type="http://schemas.openxmlformats.org/officeDocument/2006/relationships/hyperlink" Target="https://www.facebook.com/profile.php?id=100078905902262&amp;mibextid=LQQJ4d" TargetMode="External"/><Relationship Id="rId5634" Type="http://schemas.openxmlformats.org/officeDocument/2006/relationships/hyperlink" Target="https://www.facebook.com/profile.php?id=100021599711484&amp;mibextid=LQQJ4d" TargetMode="External"/><Relationship Id="rId3185" Type="http://schemas.openxmlformats.org/officeDocument/2006/relationships/hyperlink" Target="https://www.facebook.com/profile.php?id=100065465332377" TargetMode="External"/><Relationship Id="rId4236" Type="http://schemas.openxmlformats.org/officeDocument/2006/relationships/hyperlink" Target="https://www.facebook.com/hannie.park.520?mibextid=LQQJ4d" TargetMode="External"/><Relationship Id="rId4650" Type="http://schemas.openxmlformats.org/officeDocument/2006/relationships/hyperlink" Target="https://www.facebook.com/thuyduongnut.nguyen" TargetMode="External"/><Relationship Id="rId5701" Type="http://schemas.openxmlformats.org/officeDocument/2006/relationships/hyperlink" Target="https://www.facebook.com/vuthikimhue.0101?mibextid=LQQJ4d" TargetMode="External"/><Relationship Id="rId8857" Type="http://schemas.openxmlformats.org/officeDocument/2006/relationships/hyperlink" Target="https://www.facebook.com/iuanhnhatdooooo?mibextid=ZbWKwL" TargetMode="External"/><Relationship Id="rId3252" Type="http://schemas.openxmlformats.org/officeDocument/2006/relationships/hyperlink" Target="https://www.facebook.com/profile.php?id=100037804692501&amp;mibextid=uzlsIk" TargetMode="External"/><Relationship Id="rId4303" Type="http://schemas.openxmlformats.org/officeDocument/2006/relationships/hyperlink" Target="https://www.facebook.com/profile.php?id=100076726632806&amp;mibextid=LQQJ4d" TargetMode="External"/><Relationship Id="rId7459" Type="http://schemas.openxmlformats.org/officeDocument/2006/relationships/hyperlink" Target="https://drive.google.com/open?id=1IcAO4BgDZyHUVE5SfFzcAruvFhDSMUNq" TargetMode="External"/><Relationship Id="rId7873" Type="http://schemas.openxmlformats.org/officeDocument/2006/relationships/hyperlink" Target="https://www.facebook.com/profile.php?id=100064822981978&amp;mibextid=LQQJ4d" TargetMode="External"/><Relationship Id="rId173" Type="http://schemas.openxmlformats.org/officeDocument/2006/relationships/hyperlink" Target="https://drive.google.com/open?id=1-TwysdhrVxtN1eTzKhI7AMD68zLaYwKb" TargetMode="External"/><Relationship Id="rId6475" Type="http://schemas.openxmlformats.org/officeDocument/2006/relationships/hyperlink" Target="https://www.facebook.com/profile.php?id=100026706547966&amp;mibextid=LQQJ4d" TargetMode="External"/><Relationship Id="rId7526" Type="http://schemas.openxmlformats.org/officeDocument/2006/relationships/hyperlink" Target="https://www.facebook.com/Minhhtran2211?mibextid=LQQJ4d" TargetMode="External"/><Relationship Id="rId8924" Type="http://schemas.openxmlformats.org/officeDocument/2006/relationships/hyperlink" Target="https://drive.google.com/open?id=13--sWcMnJauN-yIyYsrLsM8exvhnA7gN" TargetMode="External"/><Relationship Id="rId240" Type="http://schemas.openxmlformats.org/officeDocument/2006/relationships/hyperlink" Target="https://www.facebook.com/hn0412802" TargetMode="External"/><Relationship Id="rId5077" Type="http://schemas.openxmlformats.org/officeDocument/2006/relationships/hyperlink" Target="https://drive.google.com/open?id=14_fpu1sUAAgqxezUMvv2AV8Nwrw8Vkly" TargetMode="External"/><Relationship Id="rId6128" Type="http://schemas.openxmlformats.org/officeDocument/2006/relationships/hyperlink" Target="https://www.facebook.com/thao.nguyenhuong.7792" TargetMode="External"/><Relationship Id="rId7940" Type="http://schemas.openxmlformats.org/officeDocument/2006/relationships/hyperlink" Target="https://www.facebook.com/quoc.nguyenkien.904?mibextid=LQQJ4" TargetMode="External"/><Relationship Id="rId4093" Type="http://schemas.openxmlformats.org/officeDocument/2006/relationships/hyperlink" Target="https://www.facebook.com/profile.php?id=100077729891888&amp;mibextid=LQQJ4d" TargetMode="External"/><Relationship Id="rId5144" Type="http://schemas.openxmlformats.org/officeDocument/2006/relationships/hyperlink" Target="https://www.facebook.com/hong.nt.92505" TargetMode="External"/><Relationship Id="rId5491" Type="http://schemas.openxmlformats.org/officeDocument/2006/relationships/hyperlink" Target="https://www.facebook.com/ngocha.nhu.507" TargetMode="External"/><Relationship Id="rId6542" Type="http://schemas.openxmlformats.org/officeDocument/2006/relationships/hyperlink" Target="https://www.facebook.com/trepanation.chijmin" TargetMode="External"/><Relationship Id="rId1687" Type="http://schemas.openxmlformats.org/officeDocument/2006/relationships/hyperlink" Target="https://www.facebook.com/profile.php?id=100073792536605&amp;mibextid=LQQJ4d" TargetMode="External"/><Relationship Id="rId2738" Type="http://schemas.openxmlformats.org/officeDocument/2006/relationships/hyperlink" Target="https://www.facebook.com/profile.php?id=100018658693222&amp;mibextid=kFxxJD" TargetMode="External"/><Relationship Id="rId1754" Type="http://schemas.openxmlformats.org/officeDocument/2006/relationships/hyperlink" Target="https://www.facebook.com/profile.php?id=100073517382609&amp;mibextid=LQQJ4d" TargetMode="External"/><Relationship Id="rId2805" Type="http://schemas.openxmlformats.org/officeDocument/2006/relationships/hyperlink" Target="https://www.facebook.com/MaiChi2304?mibextid=LQQJ4d" TargetMode="External"/><Relationship Id="rId4160" Type="http://schemas.openxmlformats.org/officeDocument/2006/relationships/hyperlink" Target="https://drive.google.com/open?id=123dxorE8m5Rq_5jNKdVg5HkuRThTZMzd" TargetMode="External"/><Relationship Id="rId5211" Type="http://schemas.openxmlformats.org/officeDocument/2006/relationships/hyperlink" Target="https://drive.google.com/open?id=1pSAcekvRLyzH0T8NJjcJ3HfBoelb4q2X" TargetMode="External"/><Relationship Id="rId8367" Type="http://schemas.openxmlformats.org/officeDocument/2006/relationships/hyperlink" Target="https://www.facebook.com/luong.ngoc.1466126?mibextid=PlNXYD" TargetMode="External"/><Relationship Id="rId8781" Type="http://schemas.openxmlformats.org/officeDocument/2006/relationships/hyperlink" Target="https://drive.google.com/open?id=1pX1fDIxMSmV61ejo4W4AN0XamRL616-X" TargetMode="External"/><Relationship Id="rId9418" Type="http://schemas.openxmlformats.org/officeDocument/2006/relationships/hyperlink" Target="https://www.facebook.com/profile.php?id=100071130908559" TargetMode="External"/><Relationship Id="rId46" Type="http://schemas.openxmlformats.org/officeDocument/2006/relationships/hyperlink" Target="https://www.facebook.com/profile.php?id=100028923246560&amp;mibextid=LQQJ4d" TargetMode="External"/><Relationship Id="rId1407" Type="http://schemas.openxmlformats.org/officeDocument/2006/relationships/hyperlink" Target="https://www.facebook.com/profile.php?id=100067139824424" TargetMode="External"/><Relationship Id="rId1821" Type="http://schemas.openxmlformats.org/officeDocument/2006/relationships/hyperlink" Target="https://www.facebook.com/profile.php?id=100047756716400&amp;mibextid=LQQJ4d" TargetMode="External"/><Relationship Id="rId4977" Type="http://schemas.openxmlformats.org/officeDocument/2006/relationships/hyperlink" Target="https://www.facebook.com/profile.php?id=100080535865228" TargetMode="External"/><Relationship Id="rId7383" Type="http://schemas.openxmlformats.org/officeDocument/2006/relationships/hyperlink" Target="https://www.facebook.com/Lkhuyen3107?mibextid=LQQJ4d" TargetMode="External"/><Relationship Id="rId8434" Type="http://schemas.openxmlformats.org/officeDocument/2006/relationships/hyperlink" Target="https://www.facebook.com/profile.php?id=100024006441359&amp;mibextid=LQQJ4d" TargetMode="External"/><Relationship Id="rId3579" Type="http://schemas.openxmlformats.org/officeDocument/2006/relationships/hyperlink" Target="https://www.facebook.com/profile.php?id=100093379563353&amp;mibextid=LQQJ4d" TargetMode="External"/><Relationship Id="rId7036" Type="http://schemas.openxmlformats.org/officeDocument/2006/relationships/hyperlink" Target="https://www.facebook.com/profile.php?id=100032037693158&amp;mibextid=LQQJ4d" TargetMode="External"/><Relationship Id="rId7450" Type="http://schemas.openxmlformats.org/officeDocument/2006/relationships/hyperlink" Target="https://www.facebook.com/profile.php?id=100054075519702&amp;mibextid=LQQJ4d" TargetMode="External"/><Relationship Id="rId8501" Type="http://schemas.openxmlformats.org/officeDocument/2006/relationships/hyperlink" Target="https://drive.google.com/open?id=1ckzgHUnFqnKl1tF8HmwY7kOrII6-HaH-" TargetMode="External"/><Relationship Id="rId2595" Type="http://schemas.openxmlformats.org/officeDocument/2006/relationships/hyperlink" Target="https://www.facebook.com/profile.php?id=100018766781066&amp;mibextid=LQQJ4d" TargetMode="External"/><Relationship Id="rId3993" Type="http://schemas.openxmlformats.org/officeDocument/2006/relationships/hyperlink" Target="https://drive.google.com/open?id=11He35-nEpM2330YaUO28iUFEgUOCj9O2" TargetMode="External"/><Relationship Id="rId6052" Type="http://schemas.openxmlformats.org/officeDocument/2006/relationships/hyperlink" Target="https://www.facebook.com/profile.php?id=100077395614775&amp;mibextid=ZbWKwL" TargetMode="External"/><Relationship Id="rId7103" Type="http://schemas.openxmlformats.org/officeDocument/2006/relationships/hyperlink" Target="https://drive.google.com/open?id=1aMV_srdC6GDE3MQAYFxR9QNcg0qi9GLI" TargetMode="External"/><Relationship Id="rId567" Type="http://schemas.openxmlformats.org/officeDocument/2006/relationships/hyperlink" Target="https://drive.google.com/open?id=12eCECRTdJwahdiDyvPzp26ctypGMD-BR" TargetMode="External"/><Relationship Id="rId1197" Type="http://schemas.openxmlformats.org/officeDocument/2006/relationships/hyperlink" Target="https://www.facebook.com/oanhlam06?mibextid=LQQJ4d" TargetMode="External"/><Relationship Id="rId2248" Type="http://schemas.openxmlformats.org/officeDocument/2006/relationships/hyperlink" Target="https://drive.google.com/open?id=1Cb-OARYOya04MQL8OEy8gISuvbUVoJZb" TargetMode="External"/><Relationship Id="rId3646" Type="http://schemas.openxmlformats.org/officeDocument/2006/relationships/hyperlink" Target="https://www.facebook.com/tong.thaonhi.0401?mibextid=LQQJ4d" TargetMode="External"/><Relationship Id="rId9275" Type="http://schemas.openxmlformats.org/officeDocument/2006/relationships/hyperlink" Target="https://drive.google.com/open?id=1wAD7U8d4hPGWEkpOGp7bn2Ul_4JXkgcc" TargetMode="External"/><Relationship Id="rId981" Type="http://schemas.openxmlformats.org/officeDocument/2006/relationships/hyperlink" Target="https://www.facebook.com/haoo.km?mibextid=LQQJ4d" TargetMode="External"/><Relationship Id="rId2662" Type="http://schemas.openxmlformats.org/officeDocument/2006/relationships/hyperlink" Target="https://www.facebook.com/profile.php?id=100073268700207&amp;mibextid=ZbWKwL" TargetMode="External"/><Relationship Id="rId3713" Type="http://schemas.openxmlformats.org/officeDocument/2006/relationships/hyperlink" Target="https://www.facebook.com/profile.php?id=100054904665711" TargetMode="External"/><Relationship Id="rId6869" Type="http://schemas.openxmlformats.org/officeDocument/2006/relationships/hyperlink" Target="https://www.facebook.com/ngocminh.tranthi.08?mibextid=LQQJ4d" TargetMode="External"/><Relationship Id="rId634" Type="http://schemas.openxmlformats.org/officeDocument/2006/relationships/hyperlink" Target="https://www.facebook.com/vann.nguyenn.965" TargetMode="External"/><Relationship Id="rId1264" Type="http://schemas.openxmlformats.org/officeDocument/2006/relationships/hyperlink" Target="https://www.facebook.com/profile.php?id=100078943436910" TargetMode="External"/><Relationship Id="rId2315" Type="http://schemas.openxmlformats.org/officeDocument/2006/relationships/hyperlink" Target="https://www.facebook.com/hachi.chii7?mibextid=LQQJ4d" TargetMode="External"/><Relationship Id="rId5885" Type="http://schemas.openxmlformats.org/officeDocument/2006/relationships/hyperlink" Target="https://drive.google.com/open?id=1Cnj_tVwovnE5ypdBRuNjvWrIk9MQ_Gdk" TargetMode="External"/><Relationship Id="rId6936" Type="http://schemas.openxmlformats.org/officeDocument/2006/relationships/hyperlink" Target="https://www.facebook.com/share/1Fw7CNLSS6/?mibextid=qi2Omg" TargetMode="External"/><Relationship Id="rId8291" Type="http://schemas.openxmlformats.org/officeDocument/2006/relationships/hyperlink" Target="https://drive.google.com/open?id=1dF4Db4wXADMaaS_lg17cbNDjn7775t6Z" TargetMode="External"/><Relationship Id="rId9342" Type="http://schemas.openxmlformats.org/officeDocument/2006/relationships/hyperlink" Target="https://drive.google.com/open?id=1w-6WyApNtg2OnrJj5VqBbS9g1FKnj-pT" TargetMode="External"/><Relationship Id="rId701" Type="http://schemas.openxmlformats.org/officeDocument/2006/relationships/hyperlink" Target="https://www.facebook.com/profile.php?id=100014612915341&amp;mibextid=LQQJ4d" TargetMode="External"/><Relationship Id="rId1331" Type="http://schemas.openxmlformats.org/officeDocument/2006/relationships/hyperlink" Target="https://www.facebook.com/thuhuyen.mai.02" TargetMode="External"/><Relationship Id="rId4487" Type="http://schemas.openxmlformats.org/officeDocument/2006/relationships/hyperlink" Target="https://www.facebook.com/profile.php?id=100043973596052" TargetMode="External"/><Relationship Id="rId5538" Type="http://schemas.openxmlformats.org/officeDocument/2006/relationships/hyperlink" Target="https://drive.google.com/open?id=1n2WOVviSHSbu1VOMnuMotQkK2IfO_pOU" TargetMode="External"/><Relationship Id="rId5952" Type="http://schemas.openxmlformats.org/officeDocument/2006/relationships/hyperlink" Target="https://www.facebook.com/anhs.anhs.75033?mibextid=LQQJ4d" TargetMode="External"/><Relationship Id="rId3089" Type="http://schemas.openxmlformats.org/officeDocument/2006/relationships/hyperlink" Target="https://www.facebook.com/tu.am.5245?mibextid=ZbWKwL" TargetMode="External"/><Relationship Id="rId4554" Type="http://schemas.openxmlformats.org/officeDocument/2006/relationships/hyperlink" Target="https://www.facebook.com/htp14.06.205" TargetMode="External"/><Relationship Id="rId5605" Type="http://schemas.openxmlformats.org/officeDocument/2006/relationships/hyperlink" Target="https://drive.google.com/open?id=1MlFNwlpVAsgYasHax1WOFJspPdXEQSdh" TargetMode="External"/><Relationship Id="rId8011" Type="http://schemas.openxmlformats.org/officeDocument/2006/relationships/hyperlink" Target="https://www.facebook.com/share/15L7Tzo24y/?mibextid=LQQJ4d" TargetMode="External"/><Relationship Id="rId3156" Type="http://schemas.openxmlformats.org/officeDocument/2006/relationships/hyperlink" Target="https://www.facebook.com/100057055399735/" TargetMode="External"/><Relationship Id="rId4207" Type="http://schemas.openxmlformats.org/officeDocument/2006/relationships/hyperlink" Target="https://www.facebook.com/hoa.phanhuyen.7?locale=vi_VN" TargetMode="External"/><Relationship Id="rId491" Type="http://schemas.openxmlformats.org/officeDocument/2006/relationships/hyperlink" Target="https://www.facebook.com/profile.php?id=100082221109776" TargetMode="External"/><Relationship Id="rId2172" Type="http://schemas.openxmlformats.org/officeDocument/2006/relationships/hyperlink" Target="https://www.facebook.com/profile.php?id=100035868532783&amp;mibextid=ZbWKwL" TargetMode="External"/><Relationship Id="rId3223" Type="http://schemas.openxmlformats.org/officeDocument/2006/relationships/hyperlink" Target="https://drive.google.com/open?id=1TVWG9PDSPQQzdzHKsnGlr6qNR_g92Jrt" TargetMode="External"/><Relationship Id="rId3570" Type="http://schemas.openxmlformats.org/officeDocument/2006/relationships/hyperlink" Target="https://drive.google.com/open?id=1Iu_nmbZxqF9POkTLQ5I3VZ-Qch1XQxmk" TargetMode="External"/><Relationship Id="rId4621" Type="http://schemas.openxmlformats.org/officeDocument/2006/relationships/hyperlink" Target="https://www.facebook.com/profile.php?id=100070317535477" TargetMode="External"/><Relationship Id="rId6379" Type="http://schemas.openxmlformats.org/officeDocument/2006/relationships/hyperlink" Target="https://drive.google.com/open?id=1JAd6M63BcUt7DFPNjWrO1ROn3nL_NiY3" TargetMode="External"/><Relationship Id="rId7777" Type="http://schemas.openxmlformats.org/officeDocument/2006/relationships/hyperlink" Target="https://www.facebook.com/thingocanh.kieu.754?mibextid=LQQJ4d" TargetMode="External"/><Relationship Id="rId8828" Type="http://schemas.openxmlformats.org/officeDocument/2006/relationships/hyperlink" Target="https://www.facebook.com/share/1BQqiKJe7h/?mibextid=LQQJ4d" TargetMode="External"/><Relationship Id="rId144" Type="http://schemas.openxmlformats.org/officeDocument/2006/relationships/hyperlink" Target="https://drive.google.com/open?id=1SHvChlqs2hQy_GVF7FLI-FaA2MoKtRFC" TargetMode="External"/><Relationship Id="rId6793" Type="http://schemas.openxmlformats.org/officeDocument/2006/relationships/hyperlink" Target="https://drive.google.com/open?id=1p2Wb7QGX00jKXePLv3AUOuU0YuSDXXT8" TargetMode="External"/><Relationship Id="rId7844" Type="http://schemas.openxmlformats.org/officeDocument/2006/relationships/hyperlink" Target="https://www.facebook.com/people/Nguy%E1%BB%85n-Thu%E1%BB%B3-Trang/pfbid01CP41oCb2Qw3oudiXNcama3pKi2TUDU1a2ujTSWbNqwqSNqjhMSvS9LKuQRSWnFnl/" TargetMode="External"/><Relationship Id="rId2989" Type="http://schemas.openxmlformats.org/officeDocument/2006/relationships/hyperlink" Target="https://www.facebook.com/profile.php?id=100015570667027&amp;mibextid=LQQJ4d" TargetMode="External"/><Relationship Id="rId5395" Type="http://schemas.openxmlformats.org/officeDocument/2006/relationships/hyperlink" Target="https://www.facebook.com/profile.php?id=100092587253979" TargetMode="External"/><Relationship Id="rId6446" Type="http://schemas.openxmlformats.org/officeDocument/2006/relationships/hyperlink" Target="https://drive.google.com/open?id=13Z49ivBg2z6ukQhk4kcvuqol2kMvp6qO" TargetMode="External"/><Relationship Id="rId6860" Type="http://schemas.openxmlformats.org/officeDocument/2006/relationships/hyperlink" Target="https://www.facebook.com/profile.php?id=100052040057832&amp;mibextid=ZbWKwL" TargetMode="External"/><Relationship Id="rId7911" Type="http://schemas.openxmlformats.org/officeDocument/2006/relationships/hyperlink" Target="https://drive.google.com/open?id=1Ghu19tNzYWuI6AwUNzwYi7YWPo7VmEuX" TargetMode="External"/><Relationship Id="rId211" Type="http://schemas.openxmlformats.org/officeDocument/2006/relationships/hyperlink" Target="https://drive.google.com/open?id=1UwMrlvWtjyKncsvBGJc2-hM4H_9orXOP" TargetMode="External"/><Relationship Id="rId5048" Type="http://schemas.openxmlformats.org/officeDocument/2006/relationships/hyperlink" Target="https://www.facebook.com/profile.php?id=100040725979814&amp;mibextid=LQQJ4d" TargetMode="External"/><Relationship Id="rId5462" Type="http://schemas.openxmlformats.org/officeDocument/2006/relationships/hyperlink" Target="https://www.facebook.com/tha.ngu.3720" TargetMode="External"/><Relationship Id="rId6513" Type="http://schemas.openxmlformats.org/officeDocument/2006/relationships/hyperlink" Target="https://www.facebook.com/profile.php?id=100084193863918&amp;mibextid=ZbWKwL" TargetMode="External"/><Relationship Id="rId1658" Type="http://schemas.openxmlformats.org/officeDocument/2006/relationships/hyperlink" Target="https://drive.google.com/open?id=1t7T7rGB7Tpim8lEeqhdwaS9rAzIDHWZI" TargetMode="External"/><Relationship Id="rId2709" Type="http://schemas.openxmlformats.org/officeDocument/2006/relationships/hyperlink" Target="https://www.facebook.com/profile.php?id=100015138136258" TargetMode="External"/><Relationship Id="rId4064" Type="http://schemas.openxmlformats.org/officeDocument/2006/relationships/hyperlink" Target="https://drive.google.com/open?id=1MueXmAg2CqWx1ZkGs2ZS7_hLGy05xeoa" TargetMode="External"/><Relationship Id="rId5115" Type="http://schemas.openxmlformats.org/officeDocument/2006/relationships/hyperlink" Target="https://www.facebook.com/profile.php?id=100074347118512" TargetMode="External"/><Relationship Id="rId8685" Type="http://schemas.openxmlformats.org/officeDocument/2006/relationships/hyperlink" Target="https://www.facebook.com/profile.php?id=100077390928171&amp;mibextid=LQQJ4d" TargetMode="External"/><Relationship Id="rId3080" Type="http://schemas.openxmlformats.org/officeDocument/2006/relationships/hyperlink" Target="https://www.facebook.com/profile.php?id=100016075486300" TargetMode="External"/><Relationship Id="rId4131" Type="http://schemas.openxmlformats.org/officeDocument/2006/relationships/hyperlink" Target="https://www.facebook.com/profile.php?id=100050957890473" TargetMode="External"/><Relationship Id="rId7287" Type="http://schemas.openxmlformats.org/officeDocument/2006/relationships/hyperlink" Target="https://www.facebook.com/profile.php?id=100025512622295&amp;mibextid=ZbWKwL" TargetMode="External"/><Relationship Id="rId8338" Type="http://schemas.openxmlformats.org/officeDocument/2006/relationships/hyperlink" Target="https://www.facebook.com/profile.php?id=100071157537127&amp;mibextid=LQQJ4d" TargetMode="External"/><Relationship Id="rId1725" Type="http://schemas.openxmlformats.org/officeDocument/2006/relationships/hyperlink" Target="https://www.facebook.com/profile.php?id=100033505097108" TargetMode="External"/><Relationship Id="rId7354" Type="http://schemas.openxmlformats.org/officeDocument/2006/relationships/hyperlink" Target="https://www.facebook.com/profile.php?id=100065635864535&amp;mibextid=LQQJ4d" TargetMode="External"/><Relationship Id="rId8752" Type="http://schemas.openxmlformats.org/officeDocument/2006/relationships/hyperlink" Target="https://www.facebook.com/share/15iCh8BEQ5/?mibextid=wwXIfr" TargetMode="External"/><Relationship Id="rId17" Type="http://schemas.openxmlformats.org/officeDocument/2006/relationships/hyperlink" Target="https://www.facebook.com/mythi.phuongthao.1" TargetMode="External"/><Relationship Id="rId3897" Type="http://schemas.openxmlformats.org/officeDocument/2006/relationships/hyperlink" Target="https://www.facebook.com/5nabii?mibextid=LQQJ4d" TargetMode="External"/><Relationship Id="rId4948" Type="http://schemas.openxmlformats.org/officeDocument/2006/relationships/hyperlink" Target="https://www.facebook.com/dung.hoatien.988?mibextid=LQQJ4d" TargetMode="External"/><Relationship Id="rId7007" Type="http://schemas.openxmlformats.org/officeDocument/2006/relationships/hyperlink" Target="https://www.facebook.com/phuongcute0502?mibextid=LQQJ4d" TargetMode="External"/><Relationship Id="rId8405" Type="http://schemas.openxmlformats.org/officeDocument/2006/relationships/hyperlink" Target="https://www.facebook.com/qaiuem.06?mibextid=LQQJ4d" TargetMode="External"/><Relationship Id="rId2499" Type="http://schemas.openxmlformats.org/officeDocument/2006/relationships/hyperlink" Target="https://drive.google.com/open?id=1qWfdBqvD9o9Nv0mKUzgJaTZ8uAeOl7dB" TargetMode="External"/><Relationship Id="rId3964" Type="http://schemas.openxmlformats.org/officeDocument/2006/relationships/hyperlink" Target="https://www.facebook.com/profile.php?id=100018664126511&amp;mibextid=LQQJ4d" TargetMode="External"/><Relationship Id="rId6370" Type="http://schemas.openxmlformats.org/officeDocument/2006/relationships/hyperlink" Target="https://www.facebook.com/tai.bui.96780671" TargetMode="External"/><Relationship Id="rId7421" Type="http://schemas.openxmlformats.org/officeDocument/2006/relationships/hyperlink" Target="https://www.facebook.com/people/%C4%90%E1%BA%B7ng-Phuong-Ng%E1%BB%8Dc/pfbid02VDQzVgr4E9V7PaV5BvPeCCNHvvN65eoYf86mRJEBR6ZKewBxn76fhV1H2UEVQRy3l/" TargetMode="External"/><Relationship Id="rId1" Type="http://schemas.openxmlformats.org/officeDocument/2006/relationships/hyperlink" Target="https://www.facebook.com/vu.nguyenhuu.148553?mibextid=LQQJ4d" TargetMode="External"/><Relationship Id="rId885" Type="http://schemas.openxmlformats.org/officeDocument/2006/relationships/hyperlink" Target="https://drive.google.com/open?id=1ELV0EC5FdjE99AtHS8vY7QopXN-bGSYn" TargetMode="External"/><Relationship Id="rId2566" Type="http://schemas.openxmlformats.org/officeDocument/2006/relationships/hyperlink" Target="https://www.facebook.com/bun.bunn.127?mibextid=LQQJ4d" TargetMode="External"/><Relationship Id="rId2980" Type="http://schemas.openxmlformats.org/officeDocument/2006/relationships/hyperlink" Target="https://drive.google.com/open?id=1riFMG4tPE0ANaFDgliKgvzUVnKMKDYiX" TargetMode="External"/><Relationship Id="rId3617" Type="http://schemas.openxmlformats.org/officeDocument/2006/relationships/hyperlink" Target="https://drive.google.com/open?id=1LDMkArLnIj_soFpzn70PQnGftE4jgg_A" TargetMode="External"/><Relationship Id="rId6023" Type="http://schemas.openxmlformats.org/officeDocument/2006/relationships/hyperlink" Target="https://www.facebook.com/profile.php?id=100048691962444&amp;mibextid=LQQJ4d" TargetMode="External"/><Relationship Id="rId9179" Type="http://schemas.openxmlformats.org/officeDocument/2006/relationships/hyperlink" Target="https://drive.google.com/open?id=1NI2fE-LZZ5zCzjBeYEGsDg5yZb0Zcpg2" TargetMode="External"/><Relationship Id="rId538" Type="http://schemas.openxmlformats.org/officeDocument/2006/relationships/hyperlink" Target="https://drive.google.com/open?id=1tMWHaBAOAvxE__x4QbemlqtY3HzDtaQc" TargetMode="External"/><Relationship Id="rId952" Type="http://schemas.openxmlformats.org/officeDocument/2006/relationships/hyperlink" Target="https://drive.google.com/open?id=1Wop0t7tcvtGUeQAsmBC5re6yXDh5AX5z" TargetMode="External"/><Relationship Id="rId1168" Type="http://schemas.openxmlformats.org/officeDocument/2006/relationships/hyperlink" Target="https://www.facebook.com/profile.php?id=100051083227606&amp;mibextid=LQQJ4d" TargetMode="External"/><Relationship Id="rId1582" Type="http://schemas.openxmlformats.org/officeDocument/2006/relationships/hyperlink" Target="https://www.facebook.com/profile.php?id=100033472703715" TargetMode="External"/><Relationship Id="rId2219" Type="http://schemas.openxmlformats.org/officeDocument/2006/relationships/hyperlink" Target="https://www.facebook.com/thanhkun.cute?mibextid=ZbWKwL" TargetMode="External"/><Relationship Id="rId2633" Type="http://schemas.openxmlformats.org/officeDocument/2006/relationships/hyperlink" Target="https://www.facebook.com/profile.php?id=100022723895220" TargetMode="External"/><Relationship Id="rId5789" Type="http://schemas.openxmlformats.org/officeDocument/2006/relationships/hyperlink" Target="https://www.facebook.com/profile.php?id=100053795720330&amp;mibextid=LQQJ4d" TargetMode="External"/><Relationship Id="rId8195" Type="http://schemas.openxmlformats.org/officeDocument/2006/relationships/hyperlink" Target="https://www.facebook.com/people/Do%C3%A3n-Ho%C3%A0ng-H%E1%BA%A3i/pfbid0xdM1JJXA3urbvp7kNEdEUkDQbpxAwZ29pK8WPVHFLQEY7pPG7375jhBZiGNmE3Eyl/" TargetMode="External"/><Relationship Id="rId9246" Type="http://schemas.openxmlformats.org/officeDocument/2006/relationships/hyperlink" Target="https://www.facebook.com/llnt05" TargetMode="External"/><Relationship Id="rId605" Type="http://schemas.openxmlformats.org/officeDocument/2006/relationships/hyperlink" Target="https://drive.google.com/open?id=1U8X32KsOKPoGs71MtJm90vBRjyEoPzBT" TargetMode="External"/><Relationship Id="rId1235" Type="http://schemas.openxmlformats.org/officeDocument/2006/relationships/hyperlink" Target="https://www.facebook.com/lamhoa128?mibextid=LQQJ4d" TargetMode="External"/><Relationship Id="rId8262" Type="http://schemas.openxmlformats.org/officeDocument/2006/relationships/hyperlink" Target="https://drive.google.com/open?id=1wxc1wsp1WBATRFK_sJcCoi6uiWnonmah" TargetMode="External"/><Relationship Id="rId9313" Type="http://schemas.openxmlformats.org/officeDocument/2006/relationships/hyperlink" Target="https://www.facebook.com/anhnguyet.bui.543908?mibextid=LQQJ4d" TargetMode="External"/><Relationship Id="rId1302" Type="http://schemas.openxmlformats.org/officeDocument/2006/relationships/hyperlink" Target="https://drive.google.com/open?id=1HwvdUUPqa3JqkL8H7Ul3rERWyP36fz73" TargetMode="External"/><Relationship Id="rId2700" Type="http://schemas.openxmlformats.org/officeDocument/2006/relationships/hyperlink" Target="https://www.facebook.com/profile.php?id=100037452787584" TargetMode="External"/><Relationship Id="rId4458" Type="http://schemas.openxmlformats.org/officeDocument/2006/relationships/hyperlink" Target="https://www.facebook.com/profile.php?id=100076996936454&amp;mibextid=LQQJ4d" TargetMode="External"/><Relationship Id="rId5856" Type="http://schemas.openxmlformats.org/officeDocument/2006/relationships/hyperlink" Target="https://www.facebook.com/profile.php?id=100035363684944&amp;locale=vi_VN" TargetMode="External"/><Relationship Id="rId6907" Type="http://schemas.openxmlformats.org/officeDocument/2006/relationships/hyperlink" Target="https://www.facebook.com/profile.php?id=61567283288752&amp;mibextid=LQQJ4d" TargetMode="External"/><Relationship Id="rId4872" Type="http://schemas.openxmlformats.org/officeDocument/2006/relationships/hyperlink" Target="https://www.facebook.com/thienan244?mibextid=LQQJ4d" TargetMode="External"/><Relationship Id="rId5509" Type="http://schemas.openxmlformats.org/officeDocument/2006/relationships/hyperlink" Target="https://www.facebook.com/black.kieu.71" TargetMode="External"/><Relationship Id="rId5923" Type="http://schemas.openxmlformats.org/officeDocument/2006/relationships/hyperlink" Target="https://drive.google.com/open?id=1rsaqWHfcVcYv7dzNGYucbefCjcjRTfe1" TargetMode="External"/><Relationship Id="rId395" Type="http://schemas.openxmlformats.org/officeDocument/2006/relationships/hyperlink" Target="https://www.facebook.com/profile.php?id=100026744381320" TargetMode="External"/><Relationship Id="rId2076" Type="http://schemas.openxmlformats.org/officeDocument/2006/relationships/hyperlink" Target="https://www.facebook.com/phuong.sunflower.2312?mibextid=D4KYlr" TargetMode="External"/><Relationship Id="rId3474" Type="http://schemas.openxmlformats.org/officeDocument/2006/relationships/hyperlink" Target="https://drive.google.com/open?id=1xhPt9-ynJ8WQe74b3G3HOSNNP66_jB4P" TargetMode="External"/><Relationship Id="rId4525" Type="http://schemas.openxmlformats.org/officeDocument/2006/relationships/hyperlink" Target="https://drive.google.com/open?id=1dp_qMBxxE4gEg9lYYQtP6Hur5GMGQqvh" TargetMode="External"/><Relationship Id="rId2490" Type="http://schemas.openxmlformats.org/officeDocument/2006/relationships/hyperlink" Target="https://www.facebook.com/profile.php?id=100048362952390&amp;locale=vi_VN" TargetMode="External"/><Relationship Id="rId3127" Type="http://schemas.openxmlformats.org/officeDocument/2006/relationships/hyperlink" Target="https://www.facebook.com/profile.php?id=100080149758467" TargetMode="External"/><Relationship Id="rId3541" Type="http://schemas.openxmlformats.org/officeDocument/2006/relationships/hyperlink" Target="https://drive.google.com/open?id=1sNgRakOe2dzhmEtbUb3BGQIvVZV9PxMV" TargetMode="External"/><Relationship Id="rId6697" Type="http://schemas.openxmlformats.org/officeDocument/2006/relationships/hyperlink" Target="https://www.facebook.com/profile.php?id=100069855795925&amp;mibextid=LQQJ4d" TargetMode="External"/><Relationship Id="rId7748" Type="http://schemas.openxmlformats.org/officeDocument/2006/relationships/hyperlink" Target="https://drive.google.com/open?id=1loZliT-NXlZdppI6pRjNxy2_IFuh08FK" TargetMode="External"/><Relationship Id="rId462" Type="http://schemas.openxmlformats.org/officeDocument/2006/relationships/hyperlink" Target="https://www.facebook.com/profile.php?id=100018575206862&amp;mibextid=D4KYlr" TargetMode="External"/><Relationship Id="rId1092" Type="http://schemas.openxmlformats.org/officeDocument/2006/relationships/hyperlink" Target="https://www.facebook.com/profile.php?id=100077194073532" TargetMode="External"/><Relationship Id="rId2143" Type="http://schemas.openxmlformats.org/officeDocument/2006/relationships/hyperlink" Target="https://www.facebook.com/profile.php?id=100044355344758&amp;mibextid=LQQJ4d" TargetMode="External"/><Relationship Id="rId5299" Type="http://schemas.openxmlformats.org/officeDocument/2006/relationships/hyperlink" Target="https://www.facebook.com/profile.php?id=100076996936454&amp;mibextid=LQQJ4d" TargetMode="External"/><Relationship Id="rId6764" Type="http://schemas.openxmlformats.org/officeDocument/2006/relationships/hyperlink" Target="https://drive.google.com/open?id=1XVl4IVhpbBEvzqVWCgkl71HYb1uedl66" TargetMode="External"/><Relationship Id="rId7815" Type="http://schemas.openxmlformats.org/officeDocument/2006/relationships/hyperlink" Target="https://drive.google.com/open?id=1GrYi0i4jmvNMAFVUhvP48UCf4dAjOJgT" TargetMode="External"/><Relationship Id="rId9170" Type="http://schemas.openxmlformats.org/officeDocument/2006/relationships/hyperlink" Target="https://www.facebook.com/thanhtam.truong.292006" TargetMode="External"/><Relationship Id="rId115" Type="http://schemas.openxmlformats.org/officeDocument/2006/relationships/hyperlink" Target="https://drive.google.com/open?id=1wcgYDTyh8UOZWf5Pu_KIkT9A1R0UwoWv" TargetMode="External"/><Relationship Id="rId2210" Type="http://schemas.openxmlformats.org/officeDocument/2006/relationships/hyperlink" Target="https://www.facebook.com/profile.php?id=100066570931154&amp;mibextid=ZbWKwL" TargetMode="External"/><Relationship Id="rId5366" Type="http://schemas.openxmlformats.org/officeDocument/2006/relationships/hyperlink" Target="https://www.facebook.com/khacnguyen.le.777?mibextid=LQQJ4d" TargetMode="External"/><Relationship Id="rId6417" Type="http://schemas.openxmlformats.org/officeDocument/2006/relationships/hyperlink" Target="https://www.facebook.com/manh5208" TargetMode="External"/><Relationship Id="rId4382" Type="http://schemas.openxmlformats.org/officeDocument/2006/relationships/hyperlink" Target="https://www.facebook.com/profile.php?id=100076003883858" TargetMode="External"/><Relationship Id="rId5019" Type="http://schemas.openxmlformats.org/officeDocument/2006/relationships/hyperlink" Target="https://www.facebook.com/profile.php?id=100041162509579" TargetMode="External"/><Relationship Id="rId5433" Type="http://schemas.openxmlformats.org/officeDocument/2006/relationships/hyperlink" Target="https://www.facebook.com/profile.php?id=100055215810740" TargetMode="External"/><Relationship Id="rId5780" Type="http://schemas.openxmlformats.org/officeDocument/2006/relationships/hyperlink" Target="https://drive.google.com/open?id=1AAOqFMr5KjRcqp71FfrOqLHHlAg7ckCd" TargetMode="External"/><Relationship Id="rId6831" Type="http://schemas.openxmlformats.org/officeDocument/2006/relationships/hyperlink" Target="https://www.facebook.com/ngocanh.10122005?mibextid=LQQJ4d" TargetMode="External"/><Relationship Id="rId8589" Type="http://schemas.openxmlformats.org/officeDocument/2006/relationships/hyperlink" Target="https://www.facebook.com/profile.php?id=100033523038621" TargetMode="External"/><Relationship Id="rId1976" Type="http://schemas.openxmlformats.org/officeDocument/2006/relationships/hyperlink" Target="https://www.facebook.com/profile.php?id=100042705532110&amp;mibextid=2JQ9oc" TargetMode="External"/><Relationship Id="rId4035" Type="http://schemas.openxmlformats.org/officeDocument/2006/relationships/hyperlink" Target="https://www.facebook.com/profile.php?id=100087926605746" TargetMode="External"/><Relationship Id="rId1629" Type="http://schemas.openxmlformats.org/officeDocument/2006/relationships/hyperlink" Target="https://drive.google.com/open?id=1jwMD2r9fXtQ-yR4fRpAYth4dcBCzNIRq" TargetMode="External"/><Relationship Id="rId5500" Type="http://schemas.openxmlformats.org/officeDocument/2006/relationships/hyperlink" Target="https://drive.google.com/open?id=1Q8bMbszvmkJXfMWqeIpxDoxB0h8UUCDl" TargetMode="External"/><Relationship Id="rId8656" Type="http://schemas.openxmlformats.org/officeDocument/2006/relationships/hyperlink" Target="https://www.facebook.com/profile.php?id=100062967435251&amp;mibextid=LQQJ4d" TargetMode="External"/><Relationship Id="rId3051" Type="http://schemas.openxmlformats.org/officeDocument/2006/relationships/hyperlink" Target="https://www.facebook.com/profile.php?id=100022486800398&amp;mibextid=LQQJ4d" TargetMode="External"/><Relationship Id="rId4102" Type="http://schemas.openxmlformats.org/officeDocument/2006/relationships/hyperlink" Target="https://drive.google.com/open?id=1A_y-d5GhUWKG8aZ1wZQyuuMhqm-jVbU5" TargetMode="External"/><Relationship Id="rId7258" Type="http://schemas.openxmlformats.org/officeDocument/2006/relationships/hyperlink" Target="https://drive.google.com/open?id=1svef0TH6P-p5p_QmZRvmXQE0GGpaT4Kn" TargetMode="External"/><Relationship Id="rId7672" Type="http://schemas.openxmlformats.org/officeDocument/2006/relationships/hyperlink" Target="https://www.facebook.com/share/1BVRMcxyRm/?mibextid=LQQJ4d" TargetMode="External"/><Relationship Id="rId8309" Type="http://schemas.openxmlformats.org/officeDocument/2006/relationships/hyperlink" Target="https://www.facebook.com/tnnie.06?mibextid=LQQJ4d" TargetMode="External"/><Relationship Id="rId8723" Type="http://schemas.openxmlformats.org/officeDocument/2006/relationships/hyperlink" Target="https://www.facebook.com/profile.php?id=100027294765900" TargetMode="External"/><Relationship Id="rId3868" Type="http://schemas.openxmlformats.org/officeDocument/2006/relationships/hyperlink" Target="https://www.facebook.com/profile.php?id=100031890683917" TargetMode="External"/><Relationship Id="rId4919" Type="http://schemas.openxmlformats.org/officeDocument/2006/relationships/hyperlink" Target="https://www.facebook.com/profile.php?id=100038624475562&amp;mibextid=LQQJ4d" TargetMode="External"/><Relationship Id="rId6274" Type="http://schemas.openxmlformats.org/officeDocument/2006/relationships/hyperlink" Target="https://www.facebook.com/iamkir.206?mibextid=LQQJ4d" TargetMode="External"/><Relationship Id="rId7325" Type="http://schemas.openxmlformats.org/officeDocument/2006/relationships/hyperlink" Target="https://drive.google.com/open?id=1nYYfmo4XGdOTIFNd9I68t7nKu5Rmz7i5" TargetMode="External"/><Relationship Id="rId789" Type="http://schemas.openxmlformats.org/officeDocument/2006/relationships/hyperlink" Target="https://drive.google.com/open?id=1eeZ-gkoWQk8A-UFtdbMtqhvkWxhbSuly" TargetMode="External"/><Relationship Id="rId2884" Type="http://schemas.openxmlformats.org/officeDocument/2006/relationships/hyperlink" Target="https://drive.google.com/open?id=1Qpt-ZbeNC71NeuXO3Tx_qXAfUYwPHCKB" TargetMode="External"/><Relationship Id="rId5290" Type="http://schemas.openxmlformats.org/officeDocument/2006/relationships/hyperlink" Target="https://www.facebook.com/profile.php?id=100015192751574&amp;mibextid=ZbWKwL" TargetMode="External"/><Relationship Id="rId6341" Type="http://schemas.openxmlformats.org/officeDocument/2006/relationships/hyperlink" Target="https://www.facebook.com/jenna.yee.nguyen2903?mibextid=LQQJ4d" TargetMode="External"/><Relationship Id="rId9497" Type="http://schemas.openxmlformats.org/officeDocument/2006/relationships/hyperlink" Target="https://www.facebook.com/le.hong.diem.92347?mibextid=wwXIfr&amp;rdid=pHmiD6oqyQhLwPkN&amp;share_url=https%3A%2F%2Fwww.facebook.com%2Fshare%2F14eqgkm4TV%2F%3Fmibextid%3DwwXIfr" TargetMode="External"/><Relationship Id="rId856" Type="http://schemas.openxmlformats.org/officeDocument/2006/relationships/hyperlink" Target="https://drive.google.com/open?id=163GB4rvltHxMYdL1qh4Rnfzm90X1tEfU" TargetMode="External"/><Relationship Id="rId1486" Type="http://schemas.openxmlformats.org/officeDocument/2006/relationships/hyperlink" Target="https://www.facebook.com/thuuoc.phan.271?mibextid=ZbWKwL" TargetMode="External"/><Relationship Id="rId2537" Type="http://schemas.openxmlformats.org/officeDocument/2006/relationships/hyperlink" Target="https://drive.google.com/open?id=1olNOFxKC7Cy43-DAnY9MQjJUQV46SxGW" TargetMode="External"/><Relationship Id="rId3935" Type="http://schemas.openxmlformats.org/officeDocument/2006/relationships/hyperlink" Target="https://www.facebook.com/ngthgiang204?mibextid=JRoKGi" TargetMode="External"/><Relationship Id="rId8099" Type="http://schemas.openxmlformats.org/officeDocument/2006/relationships/hyperlink" Target="https://www.facebook.com/profile.php?id=100081908287230" TargetMode="External"/><Relationship Id="rId9564" Type="http://schemas.openxmlformats.org/officeDocument/2006/relationships/hyperlink" Target="https://www.facebook.com/nnlongg" TargetMode="External"/><Relationship Id="rId509" Type="http://schemas.openxmlformats.org/officeDocument/2006/relationships/hyperlink" Target="https://www.facebook.com/profile.php?id=100038113651332&amp;mibextid=LQQJ4d" TargetMode="External"/><Relationship Id="rId1139" Type="http://schemas.openxmlformats.org/officeDocument/2006/relationships/hyperlink" Target="https://www.facebook.com/profile.php?id=100044355344758&amp;mibextid=LQQJ4d" TargetMode="External"/><Relationship Id="rId2951" Type="http://schemas.openxmlformats.org/officeDocument/2006/relationships/hyperlink" Target="https://www.facebook.com/profile.php?id=100047081933532" TargetMode="External"/><Relationship Id="rId5010" Type="http://schemas.openxmlformats.org/officeDocument/2006/relationships/hyperlink" Target="https://www.facebook.com/anhthu.2196" TargetMode="External"/><Relationship Id="rId8166" Type="http://schemas.openxmlformats.org/officeDocument/2006/relationships/hyperlink" Target="https://www.facebook.com/share/1DD6WfDzpP/?mibextid=LQQJ4d" TargetMode="External"/><Relationship Id="rId9217" Type="http://schemas.openxmlformats.org/officeDocument/2006/relationships/hyperlink" Target="https://www.facebook.com/100052767833055/" TargetMode="External"/><Relationship Id="rId923" Type="http://schemas.openxmlformats.org/officeDocument/2006/relationships/hyperlink" Target="https://www.facebook.com/profile.php?id=100049740908539&amp;mibextid=9R9pXO" TargetMode="External"/><Relationship Id="rId1553" Type="http://schemas.openxmlformats.org/officeDocument/2006/relationships/hyperlink" Target="https://drive.google.com/open?id=1wq_4ejiR8px5F9R0PhgYYCgx7Cm7nJVr" TargetMode="External"/><Relationship Id="rId2604" Type="http://schemas.openxmlformats.org/officeDocument/2006/relationships/hyperlink" Target="https://www.facebook.com/mythi.phuongthao.1" TargetMode="External"/><Relationship Id="rId8580" Type="http://schemas.openxmlformats.org/officeDocument/2006/relationships/hyperlink" Target="https://www.facebook.com/profile.php?id=100008413472154" TargetMode="External"/><Relationship Id="rId1206" Type="http://schemas.openxmlformats.org/officeDocument/2006/relationships/hyperlink" Target="https://www.facebook.com/profile.php?id=100052035953204&amp;mibextid=LQQJ4d" TargetMode="External"/><Relationship Id="rId1620" Type="http://schemas.openxmlformats.org/officeDocument/2006/relationships/hyperlink" Target="https://www.facebook.com/yns.nieexinchao?mibextid=LQQJ4d" TargetMode="External"/><Relationship Id="rId4776" Type="http://schemas.openxmlformats.org/officeDocument/2006/relationships/hyperlink" Target="https://www.facebook.com/profile.php?id=100032078971048&amp;mibextid=nW3QTL" TargetMode="External"/><Relationship Id="rId5827" Type="http://schemas.openxmlformats.org/officeDocument/2006/relationships/hyperlink" Target="https://www.facebook.com/nguyentl306?mibextid=LQQJ4d" TargetMode="External"/><Relationship Id="rId7182" Type="http://schemas.openxmlformats.org/officeDocument/2006/relationships/hyperlink" Target="https://www.facebook.com/profile.php?id=100075199842472" TargetMode="External"/><Relationship Id="rId8233" Type="http://schemas.openxmlformats.org/officeDocument/2006/relationships/hyperlink" Target="https://www.facebook.com/share/15dkYYA3aF/" TargetMode="External"/><Relationship Id="rId3378" Type="http://schemas.openxmlformats.org/officeDocument/2006/relationships/hyperlink" Target="https://drive.google.com/open?id=15SYvGbSSVH9JO2TtZ18lwt3MMnSSrg_E" TargetMode="External"/><Relationship Id="rId3792" Type="http://schemas.openxmlformats.org/officeDocument/2006/relationships/hyperlink" Target="https://www.facebook.com/HuyHoang3103" TargetMode="External"/><Relationship Id="rId4429" Type="http://schemas.openxmlformats.org/officeDocument/2006/relationships/hyperlink" Target="https://www.facebook.com/profile.php?id=100026136255631" TargetMode="External"/><Relationship Id="rId4843" Type="http://schemas.openxmlformats.org/officeDocument/2006/relationships/hyperlink" Target="https://www.facebook.com/profile.php?id=100060896778972&amp;mibextid=LQQJ4d" TargetMode="External"/><Relationship Id="rId7999" Type="http://schemas.openxmlformats.org/officeDocument/2006/relationships/hyperlink" Target="https://www.facebook.com/people/H%E1%BB%93ng-Ch%C3%A2m/pfbid02UKeZcPTnLZcqEd4ithnzaKqUqHCkCBwa5e2b8rybsgirp9U4vXu81ZPr4mzpLzHkl/" TargetMode="External"/><Relationship Id="rId8300" Type="http://schemas.openxmlformats.org/officeDocument/2006/relationships/hyperlink" Target="https://drive.google.com/open?id=1ewKGC6gthsv4eQ97-HWOuiVl408SdAS4" TargetMode="External"/><Relationship Id="rId299" Type="http://schemas.openxmlformats.org/officeDocument/2006/relationships/hyperlink" Target="https://www.facebook.com/profile.php?id=100052064853162&amp;mibextid=LQQJ4d" TargetMode="External"/><Relationship Id="rId2394" Type="http://schemas.openxmlformats.org/officeDocument/2006/relationships/hyperlink" Target="https://drive.google.com/open?id=1h0X6LaR-oNRgZ5mBTYO6Y_ZZpUBZQtrY" TargetMode="External"/><Relationship Id="rId3445" Type="http://schemas.openxmlformats.org/officeDocument/2006/relationships/hyperlink" Target="https://drive.google.com/open?id=1Dp85i7KSwapPdecL9MGheckgNAqYE14j" TargetMode="External"/><Relationship Id="rId366" Type="http://schemas.openxmlformats.org/officeDocument/2006/relationships/hyperlink" Target="https://drive.google.com/open?id=1pY7Rl8eUtHaT3ZJaJOP2awP98xEwSXM3" TargetMode="External"/><Relationship Id="rId780" Type="http://schemas.openxmlformats.org/officeDocument/2006/relationships/hyperlink" Target="https://www.facebook.com/profile.php?id=100071474766942&amp;mibextid=LQQJ4d" TargetMode="External"/><Relationship Id="rId2047" Type="http://schemas.openxmlformats.org/officeDocument/2006/relationships/hyperlink" Target="https://www.facebook.com/profile.php?id=100063547159931&amp;mibextid=LQQJ4d" TargetMode="External"/><Relationship Id="rId2461" Type="http://schemas.openxmlformats.org/officeDocument/2006/relationships/hyperlink" Target="https://www.facebook.com/profile.php?id=100048014269995&amp;mibextid=LQQJ4d" TargetMode="External"/><Relationship Id="rId3512" Type="http://schemas.openxmlformats.org/officeDocument/2006/relationships/hyperlink" Target="https://www.facebook.com/profile.php?id=100091737784803" TargetMode="External"/><Relationship Id="rId4910" Type="http://schemas.openxmlformats.org/officeDocument/2006/relationships/hyperlink" Target="https://www.facebook.com/piggi.pie.1605?mibextid=ZbWKwL" TargetMode="External"/><Relationship Id="rId6668" Type="http://schemas.openxmlformats.org/officeDocument/2006/relationships/hyperlink" Target="https://www.facebook.com/profile.php?id=100058057120779" TargetMode="External"/><Relationship Id="rId9074" Type="http://schemas.openxmlformats.org/officeDocument/2006/relationships/hyperlink" Target="https://www.facebook.com/profile.php?id=100087752305754&amp;mibextid=ZbWKwL" TargetMode="External"/><Relationship Id="rId433" Type="http://schemas.openxmlformats.org/officeDocument/2006/relationships/hyperlink" Target="https://www.facebook.com/thu.chuc.1412" TargetMode="External"/><Relationship Id="rId1063" Type="http://schemas.openxmlformats.org/officeDocument/2006/relationships/hyperlink" Target="https://drive.google.com/open?id=1kwQtP9--mnZII-W8rwhX5qmitobJCLk4" TargetMode="External"/><Relationship Id="rId2114" Type="http://schemas.openxmlformats.org/officeDocument/2006/relationships/hyperlink" Target="https://www.facebook.com/huyens.nguyens.3745" TargetMode="External"/><Relationship Id="rId7719" Type="http://schemas.openxmlformats.org/officeDocument/2006/relationships/hyperlink" Target="https://drive.google.com/open?id=16ZUPqw7iKmFWm2jjCzDEt2yedCcl4Q5v" TargetMode="External"/><Relationship Id="rId8090" Type="http://schemas.openxmlformats.org/officeDocument/2006/relationships/hyperlink" Target="https://drive.google.com/open?id=1dRphuB_v6uhrr-t19g37ffpgX2QmV3aM" TargetMode="External"/><Relationship Id="rId9141" Type="http://schemas.openxmlformats.org/officeDocument/2006/relationships/hyperlink" Target="https://www.facebook.com/nhoks2tjt" TargetMode="External"/><Relationship Id="rId4286" Type="http://schemas.openxmlformats.org/officeDocument/2006/relationships/hyperlink" Target="https://www.facebook.com/profile.php?id=100071978934465&amp;mibextid=LQQJ4d" TargetMode="External"/><Relationship Id="rId5684" Type="http://schemas.openxmlformats.org/officeDocument/2006/relationships/hyperlink" Target="https://www.facebook.com/thanhtung.260163?mibextid=ZbWKwL" TargetMode="External"/><Relationship Id="rId6735" Type="http://schemas.openxmlformats.org/officeDocument/2006/relationships/hyperlink" Target="https://drive.google.com/open?id=1w-6WyApNtg2OnrJj5VqBbS9g1FKnj-pT" TargetMode="External"/><Relationship Id="rId500" Type="http://schemas.openxmlformats.org/officeDocument/2006/relationships/hyperlink" Target="https://drive.google.com/open?id=12OuH0iidoTVsB-N394PsvJ77vBKD15u4" TargetMode="External"/><Relationship Id="rId1130" Type="http://schemas.openxmlformats.org/officeDocument/2006/relationships/hyperlink" Target="https://www.facebook.com/profile.php?id=100066019002870&amp;mibextid=LQQJ4d" TargetMode="External"/><Relationship Id="rId5337" Type="http://schemas.openxmlformats.org/officeDocument/2006/relationships/hyperlink" Target="https://www.facebook.com/profilecuazang" TargetMode="External"/><Relationship Id="rId5751" Type="http://schemas.openxmlformats.org/officeDocument/2006/relationships/hyperlink" Target="https://www.facebook.com/profile.php?id=100028991021210&amp;mibextid=JRoKGi" TargetMode="External"/><Relationship Id="rId6802" Type="http://schemas.openxmlformats.org/officeDocument/2006/relationships/hyperlink" Target="https://www.facebook.com/hosytung1509?mibextid=ZbWKwL" TargetMode="External"/><Relationship Id="rId1947" Type="http://schemas.openxmlformats.org/officeDocument/2006/relationships/hyperlink" Target="https://www.facebook.com/MaiChi2304?mibextid=LQQJ4d" TargetMode="External"/><Relationship Id="rId4353" Type="http://schemas.openxmlformats.org/officeDocument/2006/relationships/hyperlink" Target="https://www.facebook.com/khanh.phan.29?mibextid=ZbWKwL" TargetMode="External"/><Relationship Id="rId5404" Type="http://schemas.openxmlformats.org/officeDocument/2006/relationships/hyperlink" Target="https://www.facebook.com/profile.php?id=100028058356403&amp;mibextid=LQQJ4d" TargetMode="External"/><Relationship Id="rId8974" Type="http://schemas.openxmlformats.org/officeDocument/2006/relationships/hyperlink" Target="https://drive.google.com/open?id=1e4iFycTqu6t3T4gYZygF6M4QTPV2L-8l" TargetMode="External"/><Relationship Id="rId4006" Type="http://schemas.openxmlformats.org/officeDocument/2006/relationships/hyperlink" Target="https://drive.google.com/open?id=1PP6Xrot5vCROvSDfp9kDHW3JzqWxmZX_" TargetMode="External"/><Relationship Id="rId4420" Type="http://schemas.openxmlformats.org/officeDocument/2006/relationships/hyperlink" Target="https://www.facebook.com/profile.php?id=100035885253504&amp;mibextid=ZbWKwL" TargetMode="External"/><Relationship Id="rId7576" Type="http://schemas.openxmlformats.org/officeDocument/2006/relationships/hyperlink" Target="https://www.facebook.com/profile.php?id=100067302000360&amp;mibextid=LQQJ4d" TargetMode="External"/><Relationship Id="rId7990" Type="http://schemas.openxmlformats.org/officeDocument/2006/relationships/hyperlink" Target="https://www.facebook.com/cuong.nm.782005?mibextid=9R9pXO" TargetMode="External"/><Relationship Id="rId8627" Type="http://schemas.openxmlformats.org/officeDocument/2006/relationships/hyperlink" Target="https://www.facebook.com/profile.php?id=100094889821164" TargetMode="External"/><Relationship Id="rId290" Type="http://schemas.openxmlformats.org/officeDocument/2006/relationships/hyperlink" Target="https://drive.google.com/open?id=15Jl8dyJdnlpIP8TCXdoXok0Uh0PAW1eK" TargetMode="External"/><Relationship Id="rId3022" Type="http://schemas.openxmlformats.org/officeDocument/2006/relationships/hyperlink" Target="https://drive.google.com/open?id=18NnDJAb012h1d-EDcGQee0NV5VHnL1UD" TargetMode="External"/><Relationship Id="rId6178" Type="http://schemas.openxmlformats.org/officeDocument/2006/relationships/hyperlink" Target="https://drive.google.com/open?id=12bvFNwjk6W57A4esFeyGtpYJ2hzXuu_R" TargetMode="External"/><Relationship Id="rId6592" Type="http://schemas.openxmlformats.org/officeDocument/2006/relationships/hyperlink" Target="https://www.facebook.com/profile.php?id=100076461165323" TargetMode="External"/><Relationship Id="rId7229" Type="http://schemas.openxmlformats.org/officeDocument/2006/relationships/hyperlink" Target="https://web.facebook.com/profile.php?id=100040451493226&amp;_rdc=1&amp;_rdr" TargetMode="External"/><Relationship Id="rId7643" Type="http://schemas.openxmlformats.org/officeDocument/2006/relationships/hyperlink" Target="https://web.facebook.com/ngocs.baos.7165" TargetMode="External"/><Relationship Id="rId5194" Type="http://schemas.openxmlformats.org/officeDocument/2006/relationships/hyperlink" Target="https://drive.google.com/open?id=1BQiHmOuW2sVS-CTMkIgZ20DKNCKcNzKl" TargetMode="External"/><Relationship Id="rId6245" Type="http://schemas.openxmlformats.org/officeDocument/2006/relationships/hyperlink" Target="https://www.facebook.com/hoang.cu.1420354?mibextid=LQQJ4d" TargetMode="External"/><Relationship Id="rId2788" Type="http://schemas.openxmlformats.org/officeDocument/2006/relationships/hyperlink" Target="https://www.facebook.com/khongphaihoangg" TargetMode="External"/><Relationship Id="rId3839" Type="http://schemas.openxmlformats.org/officeDocument/2006/relationships/hyperlink" Target="https://www.facebook.com/profile.php?id=100047116779792&amp;mibextid=LQQJ4d" TargetMode="External"/><Relationship Id="rId7710" Type="http://schemas.openxmlformats.org/officeDocument/2006/relationships/hyperlink" Target="https://www.facebook.com/people/B%C3%B9i-Ho%C3%A0ng-C%C6%B0%C6%A1ng/pfbid0icgnszjgCbRifhgRS6DuwMd9YqUstV8HmY1Snh4yUof56Z5HaGAcrRYhYrNMkQqxl/" TargetMode="External"/><Relationship Id="rId2855" Type="http://schemas.openxmlformats.org/officeDocument/2006/relationships/hyperlink" Target="https://www.facebook.com/lannh18?mibextid=LQQJ4d" TargetMode="External"/><Relationship Id="rId3906" Type="http://schemas.openxmlformats.org/officeDocument/2006/relationships/hyperlink" Target="https://www.facebook.com/profile.php?id=100039716587982&amp;mibextid=LQQJ4d" TargetMode="External"/><Relationship Id="rId5261" Type="http://schemas.openxmlformats.org/officeDocument/2006/relationships/hyperlink" Target="https://drive.google.com/open?id=1YaANTenw5R8G7asWoCNDr3cd_ZtiTvfV" TargetMode="External"/><Relationship Id="rId6312" Type="http://schemas.openxmlformats.org/officeDocument/2006/relationships/hyperlink" Target="https://drive.google.com/open?id=1hUGanhnYZfST4DfBYIEBv8ZaYNgAUYDa" TargetMode="External"/><Relationship Id="rId9468" Type="http://schemas.openxmlformats.org/officeDocument/2006/relationships/hyperlink" Target="https://www.facebook.com/share/18yhmrB8S3/" TargetMode="External"/><Relationship Id="rId96" Type="http://schemas.openxmlformats.org/officeDocument/2006/relationships/hyperlink" Target="https://www.facebook.com/thhong02?mibextid=LQQJ4d" TargetMode="External"/><Relationship Id="rId827" Type="http://schemas.openxmlformats.org/officeDocument/2006/relationships/hyperlink" Target="https://www.facebook.com/profile.php?id=100061769598015&amp;mibextid=LQQJ4d" TargetMode="External"/><Relationship Id="rId1457" Type="http://schemas.openxmlformats.org/officeDocument/2006/relationships/hyperlink" Target="https://www.facebook.com/profile.php?id=100042302111726" TargetMode="External"/><Relationship Id="rId1871" Type="http://schemas.openxmlformats.org/officeDocument/2006/relationships/hyperlink" Target="https://drive.google.com/open?id=10iUbdftpVa0AqQyv7NZnbhXM9JSTz2OE" TargetMode="External"/><Relationship Id="rId2508" Type="http://schemas.openxmlformats.org/officeDocument/2006/relationships/hyperlink" Target="https://drive.google.com/open?id=1UPyNbeUV3R_XKdsShw_DS8oVt31Zxpcw" TargetMode="External"/><Relationship Id="rId2922" Type="http://schemas.openxmlformats.org/officeDocument/2006/relationships/hyperlink" Target="https://drive.google.com/open?id=1Ab67GovDq5hd_oGydOD3gbQu2eUD2RrH" TargetMode="External"/><Relationship Id="rId8484" Type="http://schemas.openxmlformats.org/officeDocument/2006/relationships/hyperlink" Target="https://www.facebook.com/alice.uyen.73?mibextid=ZbWKwL" TargetMode="External"/><Relationship Id="rId9535" Type="http://schemas.openxmlformats.org/officeDocument/2006/relationships/hyperlink" Target="https://www.facebook.com/share/1EJVC6N2do/?mibextid=wwXIfr" TargetMode="External"/><Relationship Id="rId1524" Type="http://schemas.openxmlformats.org/officeDocument/2006/relationships/hyperlink" Target="https://www.facebook.com/profile.php?id=100049926870887" TargetMode="External"/><Relationship Id="rId7086" Type="http://schemas.openxmlformats.org/officeDocument/2006/relationships/hyperlink" Target="https://drive.google.com/open?id=1K25xh7ZRqPrlEWoqf8g6m2KUHTPl_2CH" TargetMode="External"/><Relationship Id="rId8137" Type="http://schemas.openxmlformats.org/officeDocument/2006/relationships/hyperlink" Target="https://www.facebook.com/minhhaile206?mibextid=LQQJ4d" TargetMode="External"/><Relationship Id="rId8551" Type="http://schemas.openxmlformats.org/officeDocument/2006/relationships/hyperlink" Target="https://www.facebook.com/profile.php?id=100046955887548" TargetMode="External"/><Relationship Id="rId3696" Type="http://schemas.openxmlformats.org/officeDocument/2006/relationships/hyperlink" Target="https://drive.google.com/open?id=1tJuO0a9mdU2gNsRntKhzEH__wPM-WmLH" TargetMode="External"/><Relationship Id="rId4747" Type="http://schemas.openxmlformats.org/officeDocument/2006/relationships/hyperlink" Target="https://www.facebook.com/profile.php?id=100049445720902" TargetMode="External"/><Relationship Id="rId7153" Type="http://schemas.openxmlformats.org/officeDocument/2006/relationships/hyperlink" Target="https://drive.google.com/open?id=1skiruju9wdF9w522bCr22NjVsFplF7Va" TargetMode="External"/><Relationship Id="rId8204" Type="http://schemas.openxmlformats.org/officeDocument/2006/relationships/hyperlink" Target="https://www.facebook.com/nguyentuananh27" TargetMode="External"/><Relationship Id="rId2298" Type="http://schemas.openxmlformats.org/officeDocument/2006/relationships/hyperlink" Target="https://drive.google.com/open?id=154TBN44YshyR4tALFpTUCeYcrEUOUdVn" TargetMode="External"/><Relationship Id="rId3349" Type="http://schemas.openxmlformats.org/officeDocument/2006/relationships/hyperlink" Target="https://www.facebook.com/profile.php?id=100066183375705&amp;mibextid=LQQJ4d" TargetMode="External"/><Relationship Id="rId7220" Type="http://schemas.openxmlformats.org/officeDocument/2006/relationships/hyperlink" Target="https://www.facebook.com/ngocss.pes.98434" TargetMode="External"/><Relationship Id="rId684" Type="http://schemas.openxmlformats.org/officeDocument/2006/relationships/hyperlink" Target="https://www.facebook.com/diemquynh.tranthi.374" TargetMode="External"/><Relationship Id="rId2365" Type="http://schemas.openxmlformats.org/officeDocument/2006/relationships/hyperlink" Target="https://www.facebook.com/minhphong.phong.5264" TargetMode="External"/><Relationship Id="rId3763" Type="http://schemas.openxmlformats.org/officeDocument/2006/relationships/hyperlink" Target="https://www.facebook.com/profile.php?id=100023732472955&amp;mibextid=LQQJ4d" TargetMode="External"/><Relationship Id="rId4814" Type="http://schemas.openxmlformats.org/officeDocument/2006/relationships/hyperlink" Target="https://www.facebook.com/nhan.ninh.1232?mibextid=ZbWKwL" TargetMode="External"/><Relationship Id="rId9392" Type="http://schemas.openxmlformats.org/officeDocument/2006/relationships/hyperlink" Target="https://www.facebook.com/profile.php?id=100068592291148&amp;mibextid=LQQJ4d" TargetMode="External"/><Relationship Id="rId337" Type="http://schemas.openxmlformats.org/officeDocument/2006/relationships/hyperlink" Target="https://www.facebook.com/profile.php?id=100027300275613&amp;mibextid=LQQJ4d" TargetMode="External"/><Relationship Id="rId2018" Type="http://schemas.openxmlformats.org/officeDocument/2006/relationships/hyperlink" Target="https://www.facebook.com/tragiang.tranthi.111?mibextid=ZbWKwL" TargetMode="External"/><Relationship Id="rId3416" Type="http://schemas.openxmlformats.org/officeDocument/2006/relationships/hyperlink" Target="https://www.facebook.com/phu.phamvan.35513" TargetMode="External"/><Relationship Id="rId3830" Type="http://schemas.openxmlformats.org/officeDocument/2006/relationships/hyperlink" Target="https://drive.google.com/open?id=1Peo0qdlxUXJwtHlZuPclLf7kUgKAoDxR" TargetMode="External"/><Relationship Id="rId6986" Type="http://schemas.openxmlformats.org/officeDocument/2006/relationships/hyperlink" Target="https://www.facebook.com/profile.php?id=100050610362418&amp;mibextid=LQQJ4d" TargetMode="External"/><Relationship Id="rId9045" Type="http://schemas.openxmlformats.org/officeDocument/2006/relationships/hyperlink" Target="https://www.facebook.com/profile.php?id=100075171725439&amp;mibextid=ZbWKwL" TargetMode="External"/><Relationship Id="rId751" Type="http://schemas.openxmlformats.org/officeDocument/2006/relationships/hyperlink" Target="https://www.facebook.com/cuong.truongngoc.144?mibextid=LQQJ4d" TargetMode="External"/><Relationship Id="rId1381" Type="http://schemas.openxmlformats.org/officeDocument/2006/relationships/hyperlink" Target="https://drive.google.com/open?id=1Pxpk7FnvpdipA1v7dwISKfyYHeUIqKwW" TargetMode="External"/><Relationship Id="rId2432" Type="http://schemas.openxmlformats.org/officeDocument/2006/relationships/hyperlink" Target="https://drive.google.com/open?id=1tbHmngzzTsqIHYQzQ-kBTApT9K9KOpIr" TargetMode="External"/><Relationship Id="rId5588" Type="http://schemas.openxmlformats.org/officeDocument/2006/relationships/hyperlink" Target="https://www.facebook.com/tumon06?mibextid=LQQJ4d" TargetMode="External"/><Relationship Id="rId6639" Type="http://schemas.openxmlformats.org/officeDocument/2006/relationships/hyperlink" Target="https://www.facebook.com/profile.php?id=100055633174795&amp;mibextid=LQQJ4d" TargetMode="External"/><Relationship Id="rId404" Type="http://schemas.openxmlformats.org/officeDocument/2006/relationships/hyperlink" Target="https://www.facebook.com/nvan26?mibextid=ZbWKwL" TargetMode="External"/><Relationship Id="rId1034" Type="http://schemas.openxmlformats.org/officeDocument/2006/relationships/hyperlink" Target="https://www.facebook.com/profile.php?id=100014966648126" TargetMode="External"/><Relationship Id="rId5655" Type="http://schemas.openxmlformats.org/officeDocument/2006/relationships/hyperlink" Target="https://www.facebook.com/binhthai.nguyen.31?mibextid=LQQJ4d" TargetMode="External"/><Relationship Id="rId6706" Type="http://schemas.openxmlformats.org/officeDocument/2006/relationships/hyperlink" Target="https://www.facebook.com/quynhcong16.05?mibextid=LQQJ4d" TargetMode="External"/><Relationship Id="rId8061" Type="http://schemas.openxmlformats.org/officeDocument/2006/relationships/hyperlink" Target="https://www.facebook.com/hongg.nhungg.2910?mibextid=ZbWKwL" TargetMode="External"/><Relationship Id="rId9112" Type="http://schemas.openxmlformats.org/officeDocument/2006/relationships/hyperlink" Target="https://www.facebook.com/tridz06" TargetMode="External"/><Relationship Id="rId1101" Type="http://schemas.openxmlformats.org/officeDocument/2006/relationships/hyperlink" Target="https://drive.google.com/open?id=1hGxYVn9oaBu60h8qkbDp2HYwVD4BwoGF" TargetMode="External"/><Relationship Id="rId4257" Type="http://schemas.openxmlformats.org/officeDocument/2006/relationships/hyperlink" Target="https://www.facebook.com/profile.php?id=100067456938605" TargetMode="External"/><Relationship Id="rId4671" Type="http://schemas.openxmlformats.org/officeDocument/2006/relationships/hyperlink" Target="https://drive.google.com/open?id=1JdW-h9i_PJJzw_dBFZgJVdF-VDwAQEIR" TargetMode="External"/><Relationship Id="rId5308" Type="http://schemas.openxmlformats.org/officeDocument/2006/relationships/hyperlink" Target="https://www.facebook.com/profile.php?id=100091451267088&amp;mibextid=LQQJ4d" TargetMode="External"/><Relationship Id="rId5722" Type="http://schemas.openxmlformats.org/officeDocument/2006/relationships/hyperlink" Target="https://www.facebook.com/phuc.vvuuhhuu?mibextid=LQQJ4d" TargetMode="External"/><Relationship Id="rId8878" Type="http://schemas.openxmlformats.org/officeDocument/2006/relationships/hyperlink" Target="https://www.facebook.com/bui.thuy.hien.601713/" TargetMode="External"/><Relationship Id="rId3273" Type="http://schemas.openxmlformats.org/officeDocument/2006/relationships/hyperlink" Target="https://drive.google.com/open?id=1L1yNHuc5p85xSAh9t1Z1LaH9yLC-S750" TargetMode="External"/><Relationship Id="rId4324" Type="http://schemas.openxmlformats.org/officeDocument/2006/relationships/hyperlink" Target="https://drive.google.com/open?id=1j8zZKvv95zd89nVreDpbKNInXdzwC5IK" TargetMode="External"/><Relationship Id="rId194" Type="http://schemas.openxmlformats.org/officeDocument/2006/relationships/hyperlink" Target="https://www.facebook.com/100071916904069/" TargetMode="External"/><Relationship Id="rId1918" Type="http://schemas.openxmlformats.org/officeDocument/2006/relationships/hyperlink" Target="https://www.facebook.com/profile.php?id=100010861515403&amp;mibextid=LQQJ4d" TargetMode="External"/><Relationship Id="rId6496" Type="http://schemas.openxmlformats.org/officeDocument/2006/relationships/hyperlink" Target="https://www.facebook.com/profile.php?id=100052948995137" TargetMode="External"/><Relationship Id="rId7894" Type="http://schemas.openxmlformats.org/officeDocument/2006/relationships/hyperlink" Target="https://www.facebook.com/profile.php?id=100068057000918&amp;mibextid=LQQJ4d" TargetMode="External"/><Relationship Id="rId8945" Type="http://schemas.openxmlformats.org/officeDocument/2006/relationships/hyperlink" Target="https://www.facebook.com/tvt2005" TargetMode="External"/><Relationship Id="rId261" Type="http://schemas.openxmlformats.org/officeDocument/2006/relationships/hyperlink" Target="https://www.facebook.com/minna.phamm" TargetMode="External"/><Relationship Id="rId3340" Type="http://schemas.openxmlformats.org/officeDocument/2006/relationships/hyperlink" Target="https://drive.google.com/open?id=1nTYVbBJPkllghAi6hV-LDYco5EG96tsp" TargetMode="External"/><Relationship Id="rId5098" Type="http://schemas.openxmlformats.org/officeDocument/2006/relationships/hyperlink" Target="https://www.facebook.com/sahra.ha.92" TargetMode="External"/><Relationship Id="rId6149" Type="http://schemas.openxmlformats.org/officeDocument/2006/relationships/hyperlink" Target="https://www.facebook.com/dnanhwrqq" TargetMode="External"/><Relationship Id="rId7547" Type="http://schemas.openxmlformats.org/officeDocument/2006/relationships/hyperlink" Target="https://www.facebook.com/profile.php?id=100078888859965&amp;mibextid=LQQJ4d" TargetMode="External"/><Relationship Id="rId7961" Type="http://schemas.openxmlformats.org/officeDocument/2006/relationships/hyperlink" Target="https://drive.google.com/open?id=1f65VDQJAxcSKLMlk8AKpaxTGFbK45OSM" TargetMode="External"/><Relationship Id="rId6563" Type="http://schemas.openxmlformats.org/officeDocument/2006/relationships/hyperlink" Target="https://www.facebook.com/profile.php?id=61551340534168&amp;mibextid=LQQJ4d" TargetMode="External"/><Relationship Id="rId7614" Type="http://schemas.openxmlformats.org/officeDocument/2006/relationships/hyperlink" Target="https://www.facebook.com/vykingmylove?mibextid=LQQJ4d" TargetMode="External"/><Relationship Id="rId2759" Type="http://schemas.openxmlformats.org/officeDocument/2006/relationships/hyperlink" Target="https://drive.google.com/open?id=1v2m3KDtI27xSw_-xUIW2caCZiZuy3QWf" TargetMode="External"/><Relationship Id="rId5165" Type="http://schemas.openxmlformats.org/officeDocument/2006/relationships/hyperlink" Target="https://drive.google.com/open?id=1MO0X6DlmHDjgZKU6FxF_YUCinf2wKjWQ" TargetMode="External"/><Relationship Id="rId6216" Type="http://schemas.openxmlformats.org/officeDocument/2006/relationships/hyperlink" Target="https://www.facebook.com/chan.hazimoon" TargetMode="External"/><Relationship Id="rId6630" Type="http://schemas.openxmlformats.org/officeDocument/2006/relationships/hyperlink" Target="https://www.facebook.com/profile.php?id=100084958115621" TargetMode="External"/><Relationship Id="rId1775" Type="http://schemas.openxmlformats.org/officeDocument/2006/relationships/hyperlink" Target="https://www.facebook.com/profile.php?id=100029153340791" TargetMode="External"/><Relationship Id="rId2826" Type="http://schemas.openxmlformats.org/officeDocument/2006/relationships/hyperlink" Target="https://www.facebook.com/lee.hoang.10441?mibextid=ZbWKwL" TargetMode="External"/><Relationship Id="rId4181" Type="http://schemas.openxmlformats.org/officeDocument/2006/relationships/hyperlink" Target="https://www.facebook.com/profile.php?id=100024198198569" TargetMode="External"/><Relationship Id="rId5232" Type="http://schemas.openxmlformats.org/officeDocument/2006/relationships/hyperlink" Target="https://www.facebook.com/share/gBwkJ9ns9L4HsXvk/?mibextid=JRoKGi" TargetMode="External"/><Relationship Id="rId8388" Type="http://schemas.openxmlformats.org/officeDocument/2006/relationships/hyperlink" Target="https://www.facebook.com/profile.php?id=100069960662403&amp;mibextid=LQQJ4d&amp;rdid=qT5G1dJDRHnWDt9y&amp;share_url=https%3A%2F%2Fwww.facebook.com%2Fshare%2FkroBCtVM2kVg4r5d%2F%3Fmibextid%3DLQQJ4d" TargetMode="External"/><Relationship Id="rId9439" Type="http://schemas.openxmlformats.org/officeDocument/2006/relationships/hyperlink" Target="https://www.facebook.com/lehung15.08.06?mibextid=LQQJ4d" TargetMode="External"/><Relationship Id="rId67" Type="http://schemas.openxmlformats.org/officeDocument/2006/relationships/hyperlink" Target="https://drive.google.com/open?id=1U8fTcNgMqDGqSy_IF1JRTiI_um9oOa2X" TargetMode="External"/><Relationship Id="rId1428" Type="http://schemas.openxmlformats.org/officeDocument/2006/relationships/hyperlink" Target="https://www.facebook.com/em.chien.509994" TargetMode="External"/><Relationship Id="rId8455" Type="http://schemas.openxmlformats.org/officeDocument/2006/relationships/hyperlink" Target="https://www.facebook.com/profile.php?id=61561785834331&amp;mibextid=LQQJ4d" TargetMode="External"/><Relationship Id="rId9506" Type="http://schemas.openxmlformats.org/officeDocument/2006/relationships/hyperlink" Target="https://drive.google.com/open?id=12Hdl-k381Wlk-5suBTR8govEhyRoNUz2" TargetMode="External"/><Relationship Id="rId1842" Type="http://schemas.openxmlformats.org/officeDocument/2006/relationships/hyperlink" Target="https://www.facebook.com/diep.thien.75470" TargetMode="External"/><Relationship Id="rId4998" Type="http://schemas.openxmlformats.org/officeDocument/2006/relationships/hyperlink" Target="https://www.facebook.com/to.quan.180/" TargetMode="External"/><Relationship Id="rId7057" Type="http://schemas.openxmlformats.org/officeDocument/2006/relationships/hyperlink" Target="http://maylythi205gmail.com/" TargetMode="External"/><Relationship Id="rId8108" Type="http://schemas.openxmlformats.org/officeDocument/2006/relationships/hyperlink" Target="https://www.facebook.com/my.thaithi.908?mibextid=ZbWKwL" TargetMode="External"/><Relationship Id="rId6073" Type="http://schemas.openxmlformats.org/officeDocument/2006/relationships/hyperlink" Target="https://www.facebook.com/profile.php?id=100064545711396&amp;mibextid=LQQJ4d" TargetMode="External"/><Relationship Id="rId7124" Type="http://schemas.openxmlformats.org/officeDocument/2006/relationships/hyperlink" Target="https://www.facebook.com/dvh.2611" TargetMode="External"/><Relationship Id="rId7471" Type="http://schemas.openxmlformats.org/officeDocument/2006/relationships/hyperlink" Target="https://www.facebook.com/profile.php?id=100053007592601&amp;mibextid=hu50Ix" TargetMode="External"/><Relationship Id="rId8522" Type="http://schemas.openxmlformats.org/officeDocument/2006/relationships/hyperlink" Target="https://www.facebook.com/trinh.minh.hue1310" TargetMode="External"/><Relationship Id="rId3667" Type="http://schemas.openxmlformats.org/officeDocument/2006/relationships/hyperlink" Target="https://www.facebook.com/t.yuhthunz?mibextid=LQQJ4d" TargetMode="External"/><Relationship Id="rId4718" Type="http://schemas.openxmlformats.org/officeDocument/2006/relationships/hyperlink" Target="https://drive.google.com/open?id=1KA3x8zFWDE86i5StZye9M73Qnqd9xVCZ" TargetMode="External"/><Relationship Id="rId588" Type="http://schemas.openxmlformats.org/officeDocument/2006/relationships/hyperlink" Target="https://drive.google.com/open?id=1CI3WxsxCtXDNhpvsNzAvFXUOkNxMjk5f" TargetMode="External"/><Relationship Id="rId2269" Type="http://schemas.openxmlformats.org/officeDocument/2006/relationships/hyperlink" Target="https://drive.google.com/open?id=1XSNSXsCUg3uybFE8BT3LF0uL0dblckYT" TargetMode="External"/><Relationship Id="rId2683" Type="http://schemas.openxmlformats.org/officeDocument/2006/relationships/hyperlink" Target="https://www.facebook.com/profile.php?id=100038943090855" TargetMode="External"/><Relationship Id="rId3734" Type="http://schemas.openxmlformats.org/officeDocument/2006/relationships/hyperlink" Target="https://www.facebook.com/profile.php?id=100054075519702&amp;mibextid=LQQJ4d" TargetMode="External"/><Relationship Id="rId6140" Type="http://schemas.openxmlformats.org/officeDocument/2006/relationships/hyperlink" Target="https://www.facebook.com/profile.php?id=100087752305754&amp;mibextid=ZbWKwL" TargetMode="External"/><Relationship Id="rId9296" Type="http://schemas.openxmlformats.org/officeDocument/2006/relationships/hyperlink" Target="https://www.facebook.com/people/Ph%C6%B0%C6%A1ng-Linh/pfbid02QP8kMmqHgCF94GToevvzDafPHASTmPno6gSZA9VpAKPacVKR1FK9C17F1vxRs8wNl/" TargetMode="External"/><Relationship Id="rId655" Type="http://schemas.openxmlformats.org/officeDocument/2006/relationships/hyperlink" Target="https://drive.google.com/open?id=1kloRko0m7tguCi64C63F5FiVc5t2NAlU" TargetMode="External"/><Relationship Id="rId1285" Type="http://schemas.openxmlformats.org/officeDocument/2006/relationships/hyperlink" Target="https://drive.google.com/open?id=1NoKyg6EB0DWs6GXikMx0C-L5a9LrI1h-" TargetMode="External"/><Relationship Id="rId2336" Type="http://schemas.openxmlformats.org/officeDocument/2006/relationships/hyperlink" Target="https://drive.google.com/open?id=1inGzVkf4NZNSfvM0iMwCeJjf5G7dcLEY" TargetMode="External"/><Relationship Id="rId2750" Type="http://schemas.openxmlformats.org/officeDocument/2006/relationships/hyperlink" Target="https://drive.google.com/open?id=1ugsWaK_ISvIxVh3hyyaoNj5LEhNp6VX1" TargetMode="External"/><Relationship Id="rId3801" Type="http://schemas.openxmlformats.org/officeDocument/2006/relationships/hyperlink" Target="https://www.facebook.com/profile.php?id=100080364080727&amp;mibextid=LQQJ4d" TargetMode="External"/><Relationship Id="rId6957" Type="http://schemas.openxmlformats.org/officeDocument/2006/relationships/hyperlink" Target="https://www.facebook.com/hb.duong.31" TargetMode="External"/><Relationship Id="rId9363" Type="http://schemas.openxmlformats.org/officeDocument/2006/relationships/hyperlink" Target="https://www.facebook.com/lam.282005" TargetMode="External"/><Relationship Id="rId308" Type="http://schemas.openxmlformats.org/officeDocument/2006/relationships/hyperlink" Target="https://www.facebook.com/vanhuy2050?mibextid=LQQJ4d" TargetMode="External"/><Relationship Id="rId722" Type="http://schemas.openxmlformats.org/officeDocument/2006/relationships/hyperlink" Target="https://drive.google.com/open?id=1UwMrlvWtjyKncsvBGJc2-hM4H_9orXOP" TargetMode="External"/><Relationship Id="rId1352" Type="http://schemas.openxmlformats.org/officeDocument/2006/relationships/hyperlink" Target="https://www.facebook.com/profile.php?id=100054819611066&amp;mibextid=LQQJ4d" TargetMode="External"/><Relationship Id="rId2403" Type="http://schemas.openxmlformats.org/officeDocument/2006/relationships/hyperlink" Target="https://www.facebook.com/lmhrosie.hanng?mibextid=LQQJ4d" TargetMode="External"/><Relationship Id="rId5559" Type="http://schemas.openxmlformats.org/officeDocument/2006/relationships/hyperlink" Target="https://drive.google.com/open?id=14cRWziEHmvjCIgOaOiYknqaXYTc7Qrfb" TargetMode="External"/><Relationship Id="rId9016" Type="http://schemas.openxmlformats.org/officeDocument/2006/relationships/hyperlink" Target="https://drive.google.com/open?id=1YiBH_FOcmnOVTHBtJCf1H5gcZLn6Tisw" TargetMode="External"/><Relationship Id="rId9430" Type="http://schemas.openxmlformats.org/officeDocument/2006/relationships/hyperlink" Target="https://www.facebook.com/profile.php?id=100026960076425&amp;mibextid=LQQJ4d" TargetMode="External"/><Relationship Id="rId1005" Type="http://schemas.openxmlformats.org/officeDocument/2006/relationships/hyperlink" Target="https://drive.google.com/open?id=1BkAER3vONcTXiZboii1C6PglP_Mvs4yk" TargetMode="External"/><Relationship Id="rId4575" Type="http://schemas.openxmlformats.org/officeDocument/2006/relationships/hyperlink" Target="https://drive.google.com/open?id=1BH1DAqbeQh1qXXoO2Bqhe9tscy3ED4Tj" TargetMode="External"/><Relationship Id="rId5973" Type="http://schemas.openxmlformats.org/officeDocument/2006/relationships/hyperlink" Target="https://www.facebook.com/buonvailonhuhuhu" TargetMode="External"/><Relationship Id="rId8032" Type="http://schemas.openxmlformats.org/officeDocument/2006/relationships/hyperlink" Target="https://www.facebook.com/profile.php?id=100049492994539&amp;mibextid=LQQJ4d" TargetMode="External"/><Relationship Id="rId3177" Type="http://schemas.openxmlformats.org/officeDocument/2006/relationships/hyperlink" Target="https://drive.google.com/open?id=16VxfryWftniWgJobyB_RcliXnH-1_seY" TargetMode="External"/><Relationship Id="rId4228" Type="http://schemas.openxmlformats.org/officeDocument/2006/relationships/hyperlink" Target="https://drive.google.com/open?id=1j8zZKvv95zd89nVreDpbKNInXdzwC5IK" TargetMode="External"/><Relationship Id="rId5626" Type="http://schemas.openxmlformats.org/officeDocument/2006/relationships/hyperlink" Target="https://web.facebook.com/nguyendat1201?mibextid=ZbWKwL&amp;_rdc=1&amp;_rdr" TargetMode="External"/><Relationship Id="rId3591" Type="http://schemas.openxmlformats.org/officeDocument/2006/relationships/hyperlink" Target="https://www.facebook.com/ciivediamo?mibextid=LQQJ4d" TargetMode="External"/><Relationship Id="rId4642" Type="http://schemas.openxmlformats.org/officeDocument/2006/relationships/hyperlink" Target="https://drive.google.com/open?id=1iuwET60Jn2wLU2_cZSCxHmYAbRYzmzWB" TargetMode="External"/><Relationship Id="rId7798" Type="http://schemas.openxmlformats.org/officeDocument/2006/relationships/hyperlink" Target="https://www.facebook.com/profile.php?id=100063628922732" TargetMode="External"/><Relationship Id="rId8849" Type="http://schemas.openxmlformats.org/officeDocument/2006/relationships/hyperlink" Target="https://www.facebook.com/profile.php?id=100027689842144&amp;mibextid=ZbWKwL" TargetMode="External"/><Relationship Id="rId2193" Type="http://schemas.openxmlformats.org/officeDocument/2006/relationships/hyperlink" Target="https://drive.google.com/open?id=1LzF9Xa7qGxYVpVoD4AkVntUdfMEJ6ER9" TargetMode="External"/><Relationship Id="rId3244" Type="http://schemas.openxmlformats.org/officeDocument/2006/relationships/hyperlink" Target="https://www.facebook.com/profile.php?id=100076342573933&amp;mibextid=LQQJ4d" TargetMode="External"/><Relationship Id="rId7865" Type="http://schemas.openxmlformats.org/officeDocument/2006/relationships/hyperlink" Target="https://www.facebook.com/huyhettien06?mibextid=ZbWKwL" TargetMode="External"/><Relationship Id="rId8916" Type="http://schemas.openxmlformats.org/officeDocument/2006/relationships/hyperlink" Target="https://www.facebook.com/ThuHien311023" TargetMode="External"/><Relationship Id="rId165" Type="http://schemas.openxmlformats.org/officeDocument/2006/relationships/hyperlink" Target="https://drive.google.com/open?id=11liOOg9SRzgPGa4J4HP8IWWBzRq7YDDl" TargetMode="External"/><Relationship Id="rId2260" Type="http://schemas.openxmlformats.org/officeDocument/2006/relationships/hyperlink" Target="https://www.facebook.com/profile.php?id=100026027928814&amp;mibextid=LQQJ4d" TargetMode="External"/><Relationship Id="rId3311" Type="http://schemas.openxmlformats.org/officeDocument/2006/relationships/hyperlink" Target="https://www.facebook.com/minhphong.phong.5264" TargetMode="External"/><Relationship Id="rId6467" Type="http://schemas.openxmlformats.org/officeDocument/2006/relationships/hyperlink" Target="https://www.facebook.com/profile.php?id=100046082177474" TargetMode="External"/><Relationship Id="rId6881" Type="http://schemas.openxmlformats.org/officeDocument/2006/relationships/hyperlink" Target="https://www.facebook.com/profile.php?id=100072542288600" TargetMode="External"/><Relationship Id="rId7518" Type="http://schemas.openxmlformats.org/officeDocument/2006/relationships/hyperlink" Target="https://www.facebook.com/profile.php?id=100070770458263&amp;mibextid=LQQJ4d" TargetMode="External"/><Relationship Id="rId7932" Type="http://schemas.openxmlformats.org/officeDocument/2006/relationships/hyperlink" Target="https://drive.google.com/open?id=185TnKy6vw8hVe4ibm98GhpfTcfmCLv78" TargetMode="External"/><Relationship Id="rId232" Type="http://schemas.openxmlformats.org/officeDocument/2006/relationships/hyperlink" Target="https://drive.google.com/open?id=182-M3v1l_QkZ8CchaOVkFcPDXA7tN3yt" TargetMode="External"/><Relationship Id="rId5069" Type="http://schemas.openxmlformats.org/officeDocument/2006/relationships/hyperlink" Target="https://web.facebook.com/hackers.truong.5?_rdc=1&amp;_rdr" TargetMode="External"/><Relationship Id="rId5483" Type="http://schemas.openxmlformats.org/officeDocument/2006/relationships/hyperlink" Target="https://drive.google.com/open?id=1Qpt-ZbeNC71NeuXO3Tx_qXAfUYwPHCKB" TargetMode="External"/><Relationship Id="rId6534" Type="http://schemas.openxmlformats.org/officeDocument/2006/relationships/hyperlink" Target="https://www.facebook.com/profile.php?id=100052105118191" TargetMode="External"/><Relationship Id="rId1679" Type="http://schemas.openxmlformats.org/officeDocument/2006/relationships/hyperlink" Target="https://drive.google.com/open?id=1maSIIlDf7XZaxkrjAANr8K6GzOfbkseb" TargetMode="External"/><Relationship Id="rId4085" Type="http://schemas.openxmlformats.org/officeDocument/2006/relationships/hyperlink" Target="https://www.facebook.com/ngangiang.nongthi.9" TargetMode="External"/><Relationship Id="rId5136" Type="http://schemas.openxmlformats.org/officeDocument/2006/relationships/hyperlink" Target="https://www.facebook.com/profile.php?id=100074748476746&amp;mibextid=LQQJ4d" TargetMode="External"/><Relationship Id="rId4152" Type="http://schemas.openxmlformats.org/officeDocument/2006/relationships/hyperlink" Target="https://www.facebook.com/profile.php?id=100053472249308" TargetMode="External"/><Relationship Id="rId5203" Type="http://schemas.openxmlformats.org/officeDocument/2006/relationships/hyperlink" Target="https://drive.google.com/open?id=1cBoAwOdEI33wQipbn27P8NEke2AIN5QU" TargetMode="External"/><Relationship Id="rId5550" Type="http://schemas.openxmlformats.org/officeDocument/2006/relationships/hyperlink" Target="https://www.facebook.com/profile.php?id=100053632210093" TargetMode="External"/><Relationship Id="rId6601" Type="http://schemas.openxmlformats.org/officeDocument/2006/relationships/hyperlink" Target="https://www.facebook.com/namson.ngo.52?mibextid=LQQJ4d" TargetMode="External"/><Relationship Id="rId8359" Type="http://schemas.openxmlformats.org/officeDocument/2006/relationships/hyperlink" Target="https://www.facebook.com/share/18GwbE7ZNv/?mibextid=LQQJ4d" TargetMode="External"/><Relationship Id="rId1746" Type="http://schemas.openxmlformats.org/officeDocument/2006/relationships/hyperlink" Target="https://drive.google.com/open?id=1n4oXtxhEVUN-nnCOf-xArzVqTr5hVv05" TargetMode="External"/><Relationship Id="rId8773" Type="http://schemas.openxmlformats.org/officeDocument/2006/relationships/hyperlink" Target="https://www.facebook.com/profile.php?id=100032374501250" TargetMode="External"/><Relationship Id="rId38" Type="http://schemas.openxmlformats.org/officeDocument/2006/relationships/hyperlink" Target="https://www.facebook.com/profile.php?id=100048679016694" TargetMode="External"/><Relationship Id="rId1813" Type="http://schemas.openxmlformats.org/officeDocument/2006/relationships/hyperlink" Target="https://www.facebook.com/profile.php?id=100008817998433&amp;mibextid=LQQJ4d" TargetMode="External"/><Relationship Id="rId4969" Type="http://schemas.openxmlformats.org/officeDocument/2006/relationships/hyperlink" Target="https://www.facebook.com/tranger.bw?mibextid=LQQJ4d" TargetMode="External"/><Relationship Id="rId7375" Type="http://schemas.openxmlformats.org/officeDocument/2006/relationships/hyperlink" Target="https://www.facebook.com/profile.php?id=100034202800407&amp;mibextid=LQQJ4d" TargetMode="External"/><Relationship Id="rId8426" Type="http://schemas.openxmlformats.org/officeDocument/2006/relationships/hyperlink" Target="https://drive.google.com/open?id=1uPSUpUstrnA8AVLIFvYaHHYcWyJU3vLd" TargetMode="External"/><Relationship Id="rId8840" Type="http://schemas.openxmlformats.org/officeDocument/2006/relationships/hyperlink" Target="https://drive.google.com/open?id=1XI8Jqelm24NEUY9tVsUTrnRNKI61d9Ty" TargetMode="External"/><Relationship Id="rId3985" Type="http://schemas.openxmlformats.org/officeDocument/2006/relationships/hyperlink" Target="https://drive.google.com/open?id=11jFIWSAgmoRE8q4wTB4F9uD4GJi75KdJ" TargetMode="External"/><Relationship Id="rId6391" Type="http://schemas.openxmlformats.org/officeDocument/2006/relationships/hyperlink" Target="https://www.facebook.com/profile.php?id=100070182325796&amp;mibextid=LQQJ4d" TargetMode="External"/><Relationship Id="rId7028" Type="http://schemas.openxmlformats.org/officeDocument/2006/relationships/hyperlink" Target="https://www.facebook.com/khanh.linhh.1481" TargetMode="External"/><Relationship Id="rId7442" Type="http://schemas.openxmlformats.org/officeDocument/2006/relationships/hyperlink" Target="https://www.facebook.com/phuongcute0502?mibextid=LQQJ4d" TargetMode="External"/><Relationship Id="rId2587" Type="http://schemas.openxmlformats.org/officeDocument/2006/relationships/hyperlink" Target="https://www.facebook.com/profile.php?id=100049667761353&amp;mibextid=ZbWKwL" TargetMode="External"/><Relationship Id="rId3638" Type="http://schemas.openxmlformats.org/officeDocument/2006/relationships/hyperlink" Target="https://www.facebook.com/thuongthuong2501?mibextid=LQQJ4d" TargetMode="External"/><Relationship Id="rId6044" Type="http://schemas.openxmlformats.org/officeDocument/2006/relationships/hyperlink" Target="https://m.facebook.com/lthg20?mibextid=LQQJ4d" TargetMode="External"/><Relationship Id="rId559" Type="http://schemas.openxmlformats.org/officeDocument/2006/relationships/hyperlink" Target="https://drive.google.com/open?id=1c1lW6pmRBo5tm1bL-i_xaA2iX0hDNM5m" TargetMode="External"/><Relationship Id="rId1189" Type="http://schemas.openxmlformats.org/officeDocument/2006/relationships/hyperlink" Target="https://drive.google.com/open?id=1pEpQTj2feIBeYyNseNKBnca5BCTP7ZCS" TargetMode="External"/><Relationship Id="rId5060" Type="http://schemas.openxmlformats.org/officeDocument/2006/relationships/hyperlink" Target="https://www.facebook.com/Ngocmai0365?mibextid=LQQJ4d" TargetMode="External"/><Relationship Id="rId6111" Type="http://schemas.openxmlformats.org/officeDocument/2006/relationships/hyperlink" Target="https://www.facebook.com/profile.php?id=100017952483899&amp;mibextid=LQQJ4d" TargetMode="External"/><Relationship Id="rId9267" Type="http://schemas.openxmlformats.org/officeDocument/2006/relationships/hyperlink" Target="https://drive.google.com/open?id=1NyzKzo97Gr1OdXS8N-Ax6NPcidZoHnHZ" TargetMode="External"/><Relationship Id="rId626" Type="http://schemas.openxmlformats.org/officeDocument/2006/relationships/hyperlink" Target="https://drive.google.com/open?id=1xTpLUYNkqonEfBkWAalRUtzSXzcPcxEp" TargetMode="External"/><Relationship Id="rId973" Type="http://schemas.openxmlformats.org/officeDocument/2006/relationships/hyperlink" Target="https://www.facebook.com/sit.thu.7549?mibextid=LQQJ4d" TargetMode="External"/><Relationship Id="rId1256" Type="http://schemas.openxmlformats.org/officeDocument/2006/relationships/hyperlink" Target="https://www.facebook.com/profile.php?id=100055137439133" TargetMode="External"/><Relationship Id="rId2307" Type="http://schemas.openxmlformats.org/officeDocument/2006/relationships/hyperlink" Target="https://www.facebook.com/profile.php?id=100010215405266" TargetMode="External"/><Relationship Id="rId2654" Type="http://schemas.openxmlformats.org/officeDocument/2006/relationships/hyperlink" Target="https://www.facebook.com/profile.php?id=100053007592601&amp;mibextid=hu50Ix" TargetMode="External"/><Relationship Id="rId3705" Type="http://schemas.openxmlformats.org/officeDocument/2006/relationships/hyperlink" Target="https://drive.google.com/open?id=1gHR4R93S0Xh-JDFlJBlWOxnxA1Fz8KJb" TargetMode="External"/><Relationship Id="rId8283" Type="http://schemas.openxmlformats.org/officeDocument/2006/relationships/hyperlink" Target="https://www.facebook.com/profile.php?id=100091762856363" TargetMode="External"/><Relationship Id="rId9334" Type="http://schemas.openxmlformats.org/officeDocument/2006/relationships/hyperlink" Target="https://www.facebook.com/vy.nguyet.528" TargetMode="External"/><Relationship Id="rId1670" Type="http://schemas.openxmlformats.org/officeDocument/2006/relationships/hyperlink" Target="https://www.facebook.com/100049071831094/" TargetMode="External"/><Relationship Id="rId2721" Type="http://schemas.openxmlformats.org/officeDocument/2006/relationships/hyperlink" Target="https://drive.google.com/open?id=1uS1FyavSNT7Ol5Tc3TaVrcW8TeHDMGzo" TargetMode="External"/><Relationship Id="rId5877" Type="http://schemas.openxmlformats.org/officeDocument/2006/relationships/hyperlink" Target="https://www.facebook.com/profile.php?id=100083692651135" TargetMode="External"/><Relationship Id="rId6928" Type="http://schemas.openxmlformats.org/officeDocument/2006/relationships/hyperlink" Target="https://www.facebook.com/profile.php?id=100041531311982" TargetMode="External"/><Relationship Id="rId1323" Type="http://schemas.openxmlformats.org/officeDocument/2006/relationships/hyperlink" Target="https://www.facebook.com/profile.php?id=100010602313757&amp;mibextid=LQQJ4d" TargetMode="External"/><Relationship Id="rId4479" Type="http://schemas.openxmlformats.org/officeDocument/2006/relationships/hyperlink" Target="https://www.facebook.com/cuatoi.hoi.7" TargetMode="External"/><Relationship Id="rId4893" Type="http://schemas.openxmlformats.org/officeDocument/2006/relationships/hyperlink" Target="https://www.facebook.com/profile.php?id=100070811910201&amp;mibextid=LQQJ4d" TargetMode="External"/><Relationship Id="rId5944" Type="http://schemas.openxmlformats.org/officeDocument/2006/relationships/hyperlink" Target="https://www.facebook.com/profile.php?id=100022058163157&amp;mibextid=LQQJ4d" TargetMode="External"/><Relationship Id="rId8350" Type="http://schemas.openxmlformats.org/officeDocument/2006/relationships/hyperlink" Target="https://www.facebook.com/profile.php?id=100038625307055" TargetMode="External"/><Relationship Id="rId9401" Type="http://schemas.openxmlformats.org/officeDocument/2006/relationships/hyperlink" Target="https://www.facebook.com/dooz.thuyy?mibextid=LQQJ4d" TargetMode="External"/><Relationship Id="rId3495" Type="http://schemas.openxmlformats.org/officeDocument/2006/relationships/hyperlink" Target="https://www.facebook.com/khacnguyen.le.777?mibextid=LQQJ4d" TargetMode="External"/><Relationship Id="rId4546" Type="http://schemas.openxmlformats.org/officeDocument/2006/relationships/hyperlink" Target="https://www.facebook.com/ngaa295" TargetMode="External"/><Relationship Id="rId4960" Type="http://schemas.openxmlformats.org/officeDocument/2006/relationships/hyperlink" Target="https://www.facebook.com/profile.php?id=100052101001407&amp;mibextid=LQQJ4d" TargetMode="External"/><Relationship Id="rId8003" Type="http://schemas.openxmlformats.org/officeDocument/2006/relationships/hyperlink" Target="https://www.facebook.com/profile.php?id=100060417106397" TargetMode="External"/><Relationship Id="rId2097" Type="http://schemas.openxmlformats.org/officeDocument/2006/relationships/hyperlink" Target="https://www.facebook.com/profile.php?id=100078970482415" TargetMode="External"/><Relationship Id="rId3148" Type="http://schemas.openxmlformats.org/officeDocument/2006/relationships/hyperlink" Target="https://drive.google.com/open?id=1gD2lawDVw6KQsuTObAhocp5w2ydaD7NX" TargetMode="External"/><Relationship Id="rId3562" Type="http://schemas.openxmlformats.org/officeDocument/2006/relationships/hyperlink" Target="https://www.facebook.com/thibichngoc.ta.902?mibextid=LQQJ4d" TargetMode="External"/><Relationship Id="rId4613" Type="http://schemas.openxmlformats.org/officeDocument/2006/relationships/hyperlink" Target="https://www.facebook.com/HuongPeo.26?mibextid=LQQJ4d" TargetMode="External"/><Relationship Id="rId7769" Type="http://schemas.openxmlformats.org/officeDocument/2006/relationships/hyperlink" Target="https://www.facebook.com/DuongNguyen754570810000?mibextid=LQQJ4d" TargetMode="External"/><Relationship Id="rId483" Type="http://schemas.openxmlformats.org/officeDocument/2006/relationships/hyperlink" Target="https://www.facebook.com/profile.php?id=100039957313114&amp;mibextid=9R9pXO" TargetMode="External"/><Relationship Id="rId2164" Type="http://schemas.openxmlformats.org/officeDocument/2006/relationships/hyperlink" Target="https://drive.google.com/open?id=10wkYEMP61zO-57JAyixs2mH7J8rQ5r-b" TargetMode="External"/><Relationship Id="rId3215" Type="http://schemas.openxmlformats.org/officeDocument/2006/relationships/hyperlink" Target="https://drive.google.com/open?id=1hO40OOCX8CktiRrPTzQUwe5S2VmZd8q6" TargetMode="External"/><Relationship Id="rId6785" Type="http://schemas.openxmlformats.org/officeDocument/2006/relationships/hyperlink" Target="https://drive.google.com/open?id=1nEn7Pp1OZGJQUu0YBA6WftPEbIbzjeqA" TargetMode="External"/><Relationship Id="rId9191" Type="http://schemas.openxmlformats.org/officeDocument/2006/relationships/hyperlink" Target="https://www.facebook.com/lengoc.thu.756" TargetMode="External"/><Relationship Id="rId136" Type="http://schemas.openxmlformats.org/officeDocument/2006/relationships/hyperlink" Target="https://www.facebook.com/profile.php?id=100042101326713" TargetMode="External"/><Relationship Id="rId550" Type="http://schemas.openxmlformats.org/officeDocument/2006/relationships/hyperlink" Target="https://www.facebook.com/quynh.phamnhu.921677?mibextid=LQQJ4d" TargetMode="External"/><Relationship Id="rId1180" Type="http://schemas.openxmlformats.org/officeDocument/2006/relationships/hyperlink" Target="https://www.facebook.com/vuvanphong.P?mibextid=LQQJ4d" TargetMode="External"/><Relationship Id="rId2231" Type="http://schemas.openxmlformats.org/officeDocument/2006/relationships/hyperlink" Target="https://www.facebook.com/profile.php?id=100025479514703&amp;locale=vi_VN" TargetMode="External"/><Relationship Id="rId5387" Type="http://schemas.openxmlformats.org/officeDocument/2006/relationships/hyperlink" Target="https://drive.google.com/open?id=1P79of8vUwxvP8Xf3o6Q8ALkDh2FpvWCn" TargetMode="External"/><Relationship Id="rId6438" Type="http://schemas.openxmlformats.org/officeDocument/2006/relationships/hyperlink" Target="https://drive.google.com/open?id=1ony2uX1q4Lf3AnCkR-4K9l4azWrayWMa" TargetMode="External"/><Relationship Id="rId7836" Type="http://schemas.openxmlformats.org/officeDocument/2006/relationships/hyperlink" Target="https://drive.google.com/open?id=1fmmCRE0Q1hwBx9Up6K-BWyg_XquGzs8p" TargetMode="External"/><Relationship Id="rId203" Type="http://schemas.openxmlformats.org/officeDocument/2006/relationships/hyperlink" Target="https://www.facebook.com/profile.php?id=100027844110320" TargetMode="External"/><Relationship Id="rId6852" Type="http://schemas.openxmlformats.org/officeDocument/2006/relationships/hyperlink" Target="https://www.facebook.com/profile.php?id=100076275686646&amp;mibextid=LQQJ4d" TargetMode="External"/><Relationship Id="rId7903" Type="http://schemas.openxmlformats.org/officeDocument/2006/relationships/hyperlink" Target="https://drive.google.com/open?id=1Qti0Oq9RsOJddPIepzjkaop6a6V5VwnI" TargetMode="External"/><Relationship Id="rId1997" Type="http://schemas.openxmlformats.org/officeDocument/2006/relationships/hyperlink" Target="https://www.facebook.com/profile.php?id=100025190046697&amp;mibextid=haYZDX" TargetMode="External"/><Relationship Id="rId4056" Type="http://schemas.openxmlformats.org/officeDocument/2006/relationships/hyperlink" Target="https://www.facebook.com/vu.ngoc.bich.464159?mibextid=LQQJ4d" TargetMode="External"/><Relationship Id="rId5454" Type="http://schemas.openxmlformats.org/officeDocument/2006/relationships/hyperlink" Target="https://drive.google.com/open?id=10iUbdftpVa0AqQyv7NZnbhXM9JSTz2OE" TargetMode="External"/><Relationship Id="rId6505" Type="http://schemas.openxmlformats.org/officeDocument/2006/relationships/hyperlink" Target="https://drive.google.com/open?id=1MfYCLaMkA2Fsl1BTTyBFYXP3KrrIa-5B" TargetMode="External"/><Relationship Id="rId4470" Type="http://schemas.openxmlformats.org/officeDocument/2006/relationships/hyperlink" Target="https://drive.google.com/open?id=1ruLFwRFar7H9l80da1aTtPueOycp24aU" TargetMode="External"/><Relationship Id="rId5107" Type="http://schemas.openxmlformats.org/officeDocument/2006/relationships/hyperlink" Target="https://drive.google.com/open?id=1iVEGAabzHWUWuW0qbTG9DywOvkxcbwbG" TargetMode="External"/><Relationship Id="rId5521" Type="http://schemas.openxmlformats.org/officeDocument/2006/relationships/hyperlink" Target="https://www.facebook.com/profile.php?id=100070201186377&amp;mibextid=LQQJ4d" TargetMode="External"/><Relationship Id="rId8677" Type="http://schemas.openxmlformats.org/officeDocument/2006/relationships/hyperlink" Target="https://www.facebook.com/trepanation.chijmin" TargetMode="External"/><Relationship Id="rId1717" Type="http://schemas.openxmlformats.org/officeDocument/2006/relationships/hyperlink" Target="https://www.facebook.com/profile.php?id=100049005006814&amp;mibextid=LQQJ4d" TargetMode="External"/><Relationship Id="rId3072" Type="http://schemas.openxmlformats.org/officeDocument/2006/relationships/hyperlink" Target="https://www.facebook.com/pess.trang.77" TargetMode="External"/><Relationship Id="rId4123" Type="http://schemas.openxmlformats.org/officeDocument/2006/relationships/hyperlink" Target="https://www.facebook.com/profile.php?id=100013439325840" TargetMode="External"/><Relationship Id="rId7279" Type="http://schemas.openxmlformats.org/officeDocument/2006/relationships/hyperlink" Target="https://www.facebook.com/profile.php?id=100048038284486" TargetMode="External"/><Relationship Id="rId7693" Type="http://schemas.openxmlformats.org/officeDocument/2006/relationships/hyperlink" Target="https://www.facebook.com/dpn1408" TargetMode="External"/><Relationship Id="rId8744" Type="http://schemas.openxmlformats.org/officeDocument/2006/relationships/hyperlink" Target="https://www.facebook.com/daongoc2006?mibextid=JRoKGi" TargetMode="External"/><Relationship Id="rId3889" Type="http://schemas.openxmlformats.org/officeDocument/2006/relationships/hyperlink" Target="https://drive.google.com/open?id=1ZKSH_IZ3v6D8eDieD8d94SWams5_B_BX" TargetMode="External"/><Relationship Id="rId6295" Type="http://schemas.openxmlformats.org/officeDocument/2006/relationships/hyperlink" Target="https://drive.google.com/open?id=1OTBLFj_KKz7xkm25wBIB13pzzxYz8Rtc" TargetMode="External"/><Relationship Id="rId7346" Type="http://schemas.openxmlformats.org/officeDocument/2006/relationships/hyperlink" Target="https://www.facebook.com/profile.php?id=100076356548759&amp;mibextid=ZbWKwL" TargetMode="External"/><Relationship Id="rId6362" Type="http://schemas.openxmlformats.org/officeDocument/2006/relationships/hyperlink" Target="https://www.facebook.com/uyen.nguyent.to.54?mibextid=JRoKGi" TargetMode="External"/><Relationship Id="rId7413" Type="http://schemas.openxmlformats.org/officeDocument/2006/relationships/hyperlink" Target="https://drive.google.com/open?id=1NoMThY9nXvv2Z2phF0OkI1zrCWbGyiQ7" TargetMode="External"/><Relationship Id="rId7760" Type="http://schemas.openxmlformats.org/officeDocument/2006/relationships/hyperlink" Target="https://drive.google.com/open?id=1ECVxAWnZqIgTBSx-PF3OOS9f8N-B9pVC" TargetMode="External"/><Relationship Id="rId8811" Type="http://schemas.openxmlformats.org/officeDocument/2006/relationships/hyperlink" Target="https://drive.google.com/open?id=1mxpTYYJSmheyvA7nYE34oQfy0OhxbD8N" TargetMode="External"/><Relationship Id="rId3956" Type="http://schemas.openxmlformats.org/officeDocument/2006/relationships/hyperlink" Target="https://www.facebook.com/ducviet.206?mibextid=LQQJ4d" TargetMode="External"/><Relationship Id="rId6015" Type="http://schemas.openxmlformats.org/officeDocument/2006/relationships/hyperlink" Target="https://drive.google.com/open?id=1CfhMxe77BXAqT9pMyXlpF66jts2yL7PY" TargetMode="External"/><Relationship Id="rId877" Type="http://schemas.openxmlformats.org/officeDocument/2006/relationships/hyperlink" Target="https://www.facebook.com/quangthp.33?mibextid=D4KYlr" TargetMode="External"/><Relationship Id="rId2558" Type="http://schemas.openxmlformats.org/officeDocument/2006/relationships/hyperlink" Target="https://www.facebook.com/NhuMoVu05?mibextid=LQQJ4d" TargetMode="External"/><Relationship Id="rId2972" Type="http://schemas.openxmlformats.org/officeDocument/2006/relationships/hyperlink" Target="https://www.facebook.com/nguyen.thicham.1088?mibextid=PtKPJ9" TargetMode="External"/><Relationship Id="rId3609" Type="http://schemas.openxmlformats.org/officeDocument/2006/relationships/hyperlink" Target="https://www.facebook.com/profile.php?id=100037810461808&amp;mibextid=LQQJ4d" TargetMode="External"/><Relationship Id="rId8187" Type="http://schemas.openxmlformats.org/officeDocument/2006/relationships/hyperlink" Target="https://www.facebook.com/profile.php?id=100059547292388" TargetMode="External"/><Relationship Id="rId944" Type="http://schemas.openxmlformats.org/officeDocument/2006/relationships/hyperlink" Target="https://drive.google.com/open?id=1Cmf24girt0jmnAqpXIwa0xkdeMlyXNvo" TargetMode="External"/><Relationship Id="rId1574" Type="http://schemas.openxmlformats.org/officeDocument/2006/relationships/hyperlink" Target="https://www.facebook.com/profile.php?id=100018116437438" TargetMode="External"/><Relationship Id="rId2625" Type="http://schemas.openxmlformats.org/officeDocument/2006/relationships/hyperlink" Target="https://www.facebook.com/profile.php?id=100054382825090&amp;mibextid=LQQJ4d" TargetMode="External"/><Relationship Id="rId5031" Type="http://schemas.openxmlformats.org/officeDocument/2006/relationships/hyperlink" Target="https://drive.google.com/open?id=1nxD9Mw6wMmNU7Y3zyYK-sWAkmNBzBYVM" TargetMode="External"/><Relationship Id="rId9238" Type="http://schemas.openxmlformats.org/officeDocument/2006/relationships/hyperlink" Target="https://drive.google.com/open?id=16hO6ohhZXsewJ5x9Lic1JoBuZ-nOCn_R" TargetMode="External"/><Relationship Id="rId1227" Type="http://schemas.openxmlformats.org/officeDocument/2006/relationships/hyperlink" Target="https://www.facebook.com/daocute16?mibextid=LQQJ4d" TargetMode="External"/><Relationship Id="rId1641" Type="http://schemas.openxmlformats.org/officeDocument/2006/relationships/hyperlink" Target="https://www.facebook.com/ba.vinh.940641?mibextid=LQQJ4d" TargetMode="External"/><Relationship Id="rId4797" Type="http://schemas.openxmlformats.org/officeDocument/2006/relationships/hyperlink" Target="https://www.facebook.com/profile.php?id=100058157228520&amp;mibextid=LQQJ4d" TargetMode="External"/><Relationship Id="rId5848" Type="http://schemas.openxmlformats.org/officeDocument/2006/relationships/hyperlink" Target="https://www.facebook.com/tra.ledinh.58?mibextid=ZbWKwL" TargetMode="External"/><Relationship Id="rId8254" Type="http://schemas.openxmlformats.org/officeDocument/2006/relationships/hyperlink" Target="https://drive.google.com/open?id=17GwVI0hX9TnP8bZDmsQuKEUXrU_YJigD" TargetMode="External"/><Relationship Id="rId9305" Type="http://schemas.openxmlformats.org/officeDocument/2006/relationships/hyperlink" Target="https://www.facebook.com/doanhdo1421?mibextid=LQQJ4d" TargetMode="External"/><Relationship Id="rId3399" Type="http://schemas.openxmlformats.org/officeDocument/2006/relationships/hyperlink" Target="https://www.facebook.com/profile.php?id=100064236200804&amp;mibextid=LQQJ4d" TargetMode="External"/><Relationship Id="rId4864" Type="http://schemas.openxmlformats.org/officeDocument/2006/relationships/hyperlink" Target="https://www.facebook.com/profile.php?id=100069842390652&amp;mibextid=LQQJ4d" TargetMode="External"/><Relationship Id="rId7270" Type="http://schemas.openxmlformats.org/officeDocument/2006/relationships/hyperlink" Target="https://www.facebook.com/profile.php?id=100072106314806&amp;mibextid=ZbWKwL" TargetMode="External"/><Relationship Id="rId8321" Type="http://schemas.openxmlformats.org/officeDocument/2006/relationships/hyperlink" Target="https://www.facebook.com/vanluon.duong.777?mibextid=LQQJ4d" TargetMode="External"/><Relationship Id="rId3466" Type="http://schemas.openxmlformats.org/officeDocument/2006/relationships/hyperlink" Target="https://drive.google.com/open?id=1ppkboeeumHqN23UAlzZNxvzYtqnCfnhw" TargetMode="External"/><Relationship Id="rId4517" Type="http://schemas.openxmlformats.org/officeDocument/2006/relationships/hyperlink" Target="https://www.facebook.com/profile.php?id=100031038654221&amp;mibextid=LQQJ4d" TargetMode="External"/><Relationship Id="rId5915" Type="http://schemas.openxmlformats.org/officeDocument/2006/relationships/hyperlink" Target="https://www.facebook.com/profile.php?id=100075158750998&amp;mibextid=ZbWKwL" TargetMode="External"/><Relationship Id="rId387" Type="http://schemas.openxmlformats.org/officeDocument/2006/relationships/hyperlink" Target="https://drive.google.com/open?id=1g4NJCianooOtshU6wlPswe3S12XoT7uK" TargetMode="External"/><Relationship Id="rId2068" Type="http://schemas.openxmlformats.org/officeDocument/2006/relationships/hyperlink" Target="https://www.facebook.com/nguyenkiemphuong1732004?mibextid=LQQJ4d" TargetMode="External"/><Relationship Id="rId3119" Type="http://schemas.openxmlformats.org/officeDocument/2006/relationships/hyperlink" Target="https://www.facebook.com/buithuyhienltpt?mibextid=ZbWKwL" TargetMode="External"/><Relationship Id="rId3880" Type="http://schemas.openxmlformats.org/officeDocument/2006/relationships/hyperlink" Target="https://www.facebook.com/nhims.29?mibextid=LQQJ4d" TargetMode="External"/><Relationship Id="rId4931" Type="http://schemas.openxmlformats.org/officeDocument/2006/relationships/hyperlink" Target="https://www.facebook.com/profile.php?id=61551094964282&amp;mibextid=LQQJ4d" TargetMode="External"/><Relationship Id="rId9095" Type="http://schemas.openxmlformats.org/officeDocument/2006/relationships/hyperlink" Target="https://www.facebook.com/profile.php?id=100069210262090&amp;mibextid=LQQJ4d" TargetMode="External"/><Relationship Id="rId1084" Type="http://schemas.openxmlformats.org/officeDocument/2006/relationships/hyperlink" Target="https://www.facebook.com/profile.php?id=100093125886317" TargetMode="External"/><Relationship Id="rId2482" Type="http://schemas.openxmlformats.org/officeDocument/2006/relationships/hyperlink" Target="https://drive.google.com/open?id=143D6YpRp01I1MI4fYOTiOZ0s2ENQIjZF" TargetMode="External"/><Relationship Id="rId3533" Type="http://schemas.openxmlformats.org/officeDocument/2006/relationships/hyperlink" Target="https://drive.google.com/open?id=14-zx-xu8uymIn5AC8nhN7fSo9vLEO1z_" TargetMode="External"/><Relationship Id="rId6689" Type="http://schemas.openxmlformats.org/officeDocument/2006/relationships/hyperlink" Target="https://www.facebook.com/toan.tu.9678067?mibextid=LQQJ4d" TargetMode="External"/><Relationship Id="rId9162" Type="http://schemas.openxmlformats.org/officeDocument/2006/relationships/hyperlink" Target="https://www.facebook.com/thienanhiselsey?mibextid=LQQJ4d" TargetMode="External"/><Relationship Id="rId107" Type="http://schemas.openxmlformats.org/officeDocument/2006/relationships/hyperlink" Target="https://www.facebook.com/ngmaiduyen.03" TargetMode="External"/><Relationship Id="rId454" Type="http://schemas.openxmlformats.org/officeDocument/2006/relationships/hyperlink" Target="https://www.facebook.com/profile.php?id=100045353146875" TargetMode="External"/><Relationship Id="rId2135" Type="http://schemas.openxmlformats.org/officeDocument/2006/relationships/hyperlink" Target="https://www.facebook.com/huyenmy.nguyen.581525?mibextid=LQQJ4d" TargetMode="External"/><Relationship Id="rId3600" Type="http://schemas.openxmlformats.org/officeDocument/2006/relationships/hyperlink" Target="https://drive.google.com/open?id=1PEyDqLSegr3ubmEL5Lz4gXb39_Z59DeR" TargetMode="External"/><Relationship Id="rId6756" Type="http://schemas.openxmlformats.org/officeDocument/2006/relationships/hyperlink" Target="https://www.facebook.com/profile.php?id=100076261647517&amp;mibextid=LQQJ4d" TargetMode="External"/><Relationship Id="rId7807" Type="http://schemas.openxmlformats.org/officeDocument/2006/relationships/hyperlink" Target="https://drive.google.com/open?id=1fDmNGOwNT1XYMwoSNTBBzY-rrkmA6Y0U" TargetMode="External"/><Relationship Id="rId521" Type="http://schemas.openxmlformats.org/officeDocument/2006/relationships/hyperlink" Target="https://www.facebook.com/profile.php?id=100013204750372&amp;mibextid=ZbWKwL" TargetMode="External"/><Relationship Id="rId1151" Type="http://schemas.openxmlformats.org/officeDocument/2006/relationships/hyperlink" Target="https://www.facebook.com/dttv.12" TargetMode="External"/><Relationship Id="rId2202" Type="http://schemas.openxmlformats.org/officeDocument/2006/relationships/hyperlink" Target="https://www.facebook.com/hoang8531?mibextid=LQQJ4d" TargetMode="External"/><Relationship Id="rId5358" Type="http://schemas.openxmlformats.org/officeDocument/2006/relationships/hyperlink" Target="https://www.facebook.com/kozoumaru?mibextid=LQQJ4d" TargetMode="External"/><Relationship Id="rId5772" Type="http://schemas.openxmlformats.org/officeDocument/2006/relationships/hyperlink" Target="https://www.facebook.com/profile.php?id=100065856843030&amp;mibextid=LQQJ4d" TargetMode="External"/><Relationship Id="rId6409" Type="http://schemas.openxmlformats.org/officeDocument/2006/relationships/hyperlink" Target="https://www.facebook.com/phung.trung.165033" TargetMode="External"/><Relationship Id="rId6823" Type="http://schemas.openxmlformats.org/officeDocument/2006/relationships/hyperlink" Target="https://www.facebook.com/profile.php?id=100039024187431" TargetMode="External"/><Relationship Id="rId1968" Type="http://schemas.openxmlformats.org/officeDocument/2006/relationships/hyperlink" Target="https://www.facebook.com/nguyentandauphong?mibextid=LQQJ4d" TargetMode="External"/><Relationship Id="rId4374" Type="http://schemas.openxmlformats.org/officeDocument/2006/relationships/hyperlink" Target="https://www.facebook.com/minhhaile206?mibextid=LQQJ4d" TargetMode="External"/><Relationship Id="rId5425" Type="http://schemas.openxmlformats.org/officeDocument/2006/relationships/hyperlink" Target="https://www.facebook.com/profile.php?id=100041499977920&amp;mibextid=LQQJ4d" TargetMode="External"/><Relationship Id="rId8995" Type="http://schemas.openxmlformats.org/officeDocument/2006/relationships/hyperlink" Target="https://www.facebook.com/baodi.khuathoang" TargetMode="External"/><Relationship Id="rId3390" Type="http://schemas.openxmlformats.org/officeDocument/2006/relationships/hyperlink" Target="https://drive.google.com/open?id=1lg4rZggUmwEUmczdEtL-Dv6VsB1dba0z" TargetMode="External"/><Relationship Id="rId4027" Type="http://schemas.openxmlformats.org/officeDocument/2006/relationships/hyperlink" Target="https://www.facebook.com/ndlambinh30706?mibextid=LQQJ4d" TargetMode="External"/><Relationship Id="rId4441" Type="http://schemas.openxmlformats.org/officeDocument/2006/relationships/hyperlink" Target="https://www.facebook.com/profile.php?id=100032381684683" TargetMode="External"/><Relationship Id="rId7597" Type="http://schemas.openxmlformats.org/officeDocument/2006/relationships/hyperlink" Target="https://drive.google.com/open?id=1-qw5el9zdgKjYfkS9EsS_2peXgLXhVZJ" TargetMode="External"/><Relationship Id="rId8648" Type="http://schemas.openxmlformats.org/officeDocument/2006/relationships/hyperlink" Target="https://drive.google.com/open?id=1Dwj60sAyUKYIoyXs_Hr73nRLkIKrUghU" TargetMode="External"/><Relationship Id="rId3043" Type="http://schemas.openxmlformats.org/officeDocument/2006/relationships/hyperlink" Target="https://www.facebook.com/profile.php?id=100025512622295&amp;mibextid=ZbWKwL" TargetMode="External"/><Relationship Id="rId6199" Type="http://schemas.openxmlformats.org/officeDocument/2006/relationships/hyperlink" Target="https://www.facebook.com/profile.php?id=100052898530649&amp;mibextid=LQQJ4d" TargetMode="External"/><Relationship Id="rId6266" Type="http://schemas.openxmlformats.org/officeDocument/2006/relationships/hyperlink" Target="https://www.facebook.com/krye.21?mibextid=LQQJ4d" TargetMode="External"/><Relationship Id="rId7664" Type="http://schemas.openxmlformats.org/officeDocument/2006/relationships/hyperlink" Target="https://drive.google.com/open?id=1avB8FFoA1s8yuPYSsvgLMqG4GbWpiQY9" TargetMode="External"/><Relationship Id="rId8715" Type="http://schemas.openxmlformats.org/officeDocument/2006/relationships/hyperlink" Target="https://www.facebook.com/profile.php?id=100063547159931&amp;mibextid=LQQJ4d" TargetMode="External"/><Relationship Id="rId3110" Type="http://schemas.openxmlformats.org/officeDocument/2006/relationships/hyperlink" Target="https://www.facebook.com/lan.rumi" TargetMode="External"/><Relationship Id="rId6680" Type="http://schemas.openxmlformats.org/officeDocument/2006/relationships/hyperlink" Target="https://drive.google.com/open?id=14-gpMEY-IO3_AJfvbEXqtYH45-f3LCUm" TargetMode="External"/><Relationship Id="rId7317" Type="http://schemas.openxmlformats.org/officeDocument/2006/relationships/hyperlink" Target="https://www.facebook.com/profile.php?id=100079187075809&amp;mibextid=LQQJ4d" TargetMode="External"/><Relationship Id="rId7731" Type="http://schemas.openxmlformats.org/officeDocument/2006/relationships/hyperlink" Target="https://www.facebook.com/profile.php?id=100088797990821&amp;mibextid=ZbWKwL" TargetMode="External"/><Relationship Id="rId2876" Type="http://schemas.openxmlformats.org/officeDocument/2006/relationships/hyperlink" Target="https://drive.google.com/open?id=1x0MbO4WTsadH7C3ug8arMbWei4xkRqdr" TargetMode="External"/><Relationship Id="rId3927" Type="http://schemas.openxmlformats.org/officeDocument/2006/relationships/hyperlink" Target="https://drive.google.com/open?id=1W-TM1ZgUfNuyUdCHzQZVrE3f-4rTpa2V" TargetMode="External"/><Relationship Id="rId5282" Type="http://schemas.openxmlformats.org/officeDocument/2006/relationships/hyperlink" Target="https://www.facebook.com/profile.php?id=61566760014974&amp;mibextid=ZbWKwL" TargetMode="External"/><Relationship Id="rId6333" Type="http://schemas.openxmlformats.org/officeDocument/2006/relationships/hyperlink" Target="https://www.facebook.com/profile.php?id=100051366133387" TargetMode="External"/><Relationship Id="rId9489" Type="http://schemas.openxmlformats.org/officeDocument/2006/relationships/hyperlink" Target="https://www.facebook.com/profile.php?id=100084189802156" TargetMode="External"/><Relationship Id="rId848" Type="http://schemas.openxmlformats.org/officeDocument/2006/relationships/hyperlink" Target="https://www.facebook.com/profile.php?id=100075415644518" TargetMode="External"/><Relationship Id="rId1478" Type="http://schemas.openxmlformats.org/officeDocument/2006/relationships/hyperlink" Target="https://drive.google.com/open?id=1AYZLI5oYIO4557QI96UuGr3PH3fbdZF8" TargetMode="External"/><Relationship Id="rId1892" Type="http://schemas.openxmlformats.org/officeDocument/2006/relationships/hyperlink" Target="https://www.facebook.com/profile.php?id=100035819032904&amp;mibextid=ZbWKwL" TargetMode="External"/><Relationship Id="rId2529" Type="http://schemas.openxmlformats.org/officeDocument/2006/relationships/hyperlink" Target="https://www.facebook.com/ngphuong28072005?mibextid=LQQJ4d" TargetMode="External"/><Relationship Id="rId6400" Type="http://schemas.openxmlformats.org/officeDocument/2006/relationships/hyperlink" Target="https://www.facebook.com/profile.php?id=100052091705070&amp;mibextid=ZbWKwL" TargetMode="External"/><Relationship Id="rId9556" Type="http://schemas.openxmlformats.org/officeDocument/2006/relationships/hyperlink" Target="https://web.facebook.com/ngo.tu.95547?_rdc=1&amp;_rdr" TargetMode="External"/><Relationship Id="rId915" Type="http://schemas.openxmlformats.org/officeDocument/2006/relationships/hyperlink" Target="https://www.facebook.com/luuhoanganhphuong294?mibextid=ZbWKwL" TargetMode="External"/><Relationship Id="rId1545" Type="http://schemas.openxmlformats.org/officeDocument/2006/relationships/hyperlink" Target="https://www.facebook.com/hao.ki.39395" TargetMode="External"/><Relationship Id="rId2943" Type="http://schemas.openxmlformats.org/officeDocument/2006/relationships/hyperlink" Target="https://www.facebook.com/profile.php?id=100016663984094" TargetMode="External"/><Relationship Id="rId5002" Type="http://schemas.openxmlformats.org/officeDocument/2006/relationships/hyperlink" Target="https://www.facebook.com/profile.php?id=100062272704696&amp;mibextid=LQQJ4d" TargetMode="External"/><Relationship Id="rId8158" Type="http://schemas.openxmlformats.org/officeDocument/2006/relationships/hyperlink" Target="https://www.facebook.com/huy.ngoquanghuy.581" TargetMode="External"/><Relationship Id="rId8572" Type="http://schemas.openxmlformats.org/officeDocument/2006/relationships/hyperlink" Target="https://www.facebook.com/profile.php?id=100026583215875&amp;mibextid=LQQJ4d" TargetMode="External"/><Relationship Id="rId9209" Type="http://schemas.openxmlformats.org/officeDocument/2006/relationships/hyperlink" Target="https://www.facebook.com/profile.php?id=100094522587192&amp;mibextid=LQQJ4d" TargetMode="External"/><Relationship Id="rId7174" Type="http://schemas.openxmlformats.org/officeDocument/2006/relationships/hyperlink" Target="https://drive.google.com/open?id=1BzIfexPsCYOC7K3mJlu-3liJO5ksVOHL" TargetMode="External"/><Relationship Id="rId8225" Type="http://schemas.openxmlformats.org/officeDocument/2006/relationships/hyperlink" Target="https://www.facebook.com/nguyen.hai.anh.291281" TargetMode="External"/><Relationship Id="rId1612" Type="http://schemas.openxmlformats.org/officeDocument/2006/relationships/hyperlink" Target="https://www.facebook.com/profile.php?id=100046410123834" TargetMode="External"/><Relationship Id="rId4768" Type="http://schemas.openxmlformats.org/officeDocument/2006/relationships/hyperlink" Target="https://www.facebook.com/Hoasen.212?mibextid=kFxxJD" TargetMode="External"/><Relationship Id="rId5819" Type="http://schemas.openxmlformats.org/officeDocument/2006/relationships/hyperlink" Target="https://www.facebook.com/profile.php?id=61564198285388&amp;locale=vi_VN" TargetMode="External"/><Relationship Id="rId6190" Type="http://schemas.openxmlformats.org/officeDocument/2006/relationships/hyperlink" Target="https://www.facebook.com/profile.php?id=100048454680035&amp;mibextid=LQQJ4d" TargetMode="External"/><Relationship Id="rId3784" Type="http://schemas.openxmlformats.org/officeDocument/2006/relationships/hyperlink" Target="https://www.facebook.com/thu.trangg.1293575?locale=vi_VN" TargetMode="External"/><Relationship Id="rId4835" Type="http://schemas.openxmlformats.org/officeDocument/2006/relationships/hyperlink" Target="https://www.facebook.com/profile.php?id=100040122104753&amp;mibextid=LQQJ4d" TargetMode="External"/><Relationship Id="rId7241" Type="http://schemas.openxmlformats.org/officeDocument/2006/relationships/hyperlink" Target="https://drive.google.com/open?id=1apdCQcCRp-Q_5c2Ky1OF3PiW-3RNtc0W" TargetMode="External"/><Relationship Id="rId2386" Type="http://schemas.openxmlformats.org/officeDocument/2006/relationships/hyperlink" Target="https://drive.google.com/open?id=1oMYPi119lwJxvEMK63jdlqhIA-93DIxl" TargetMode="External"/><Relationship Id="rId3437" Type="http://schemas.openxmlformats.org/officeDocument/2006/relationships/hyperlink" Target="https://drive.google.com/open?id=1JiuEXzU2qOHiRcfRkBjsJNANwk6egHCc" TargetMode="External"/><Relationship Id="rId3851" Type="http://schemas.openxmlformats.org/officeDocument/2006/relationships/hyperlink" Target="https://www.facebook.com/profile.php?id=100033990849589" TargetMode="External"/><Relationship Id="rId4902" Type="http://schemas.openxmlformats.org/officeDocument/2006/relationships/hyperlink" Target="https://www.facebook.com/mhakisme?mibextid=LQQJ4d" TargetMode="External"/><Relationship Id="rId358" Type="http://schemas.openxmlformats.org/officeDocument/2006/relationships/hyperlink" Target="https://www.facebook.com/profile.php?id=100052486270966&amp;mibextid=LQQJ4d" TargetMode="External"/><Relationship Id="rId772" Type="http://schemas.openxmlformats.org/officeDocument/2006/relationships/hyperlink" Target="https://www.facebook.com/profile.php?id=100014606027690&amp;mibextid=LQQJ4d" TargetMode="External"/><Relationship Id="rId2039" Type="http://schemas.openxmlformats.org/officeDocument/2006/relationships/hyperlink" Target="https://www.facebook.com/profile.php?id=100011895188813&amp;mibextid=PzaGJu" TargetMode="External"/><Relationship Id="rId2453" Type="http://schemas.openxmlformats.org/officeDocument/2006/relationships/hyperlink" Target="https://drive.google.com/open?id=1ZEhIsB7Rjf-nU1uaubeE_G5JzRpzAs8e" TargetMode="External"/><Relationship Id="rId3504" Type="http://schemas.openxmlformats.org/officeDocument/2006/relationships/hyperlink" Target="https://www.facebook.com/profile.php?id=100031429534644&amp;mibextid=LQQJ4d" TargetMode="External"/><Relationship Id="rId9066" Type="http://schemas.openxmlformats.org/officeDocument/2006/relationships/hyperlink" Target="https://www.facebook.com/share/1HEoB88uuc/" TargetMode="External"/><Relationship Id="rId9480" Type="http://schemas.openxmlformats.org/officeDocument/2006/relationships/hyperlink" Target="https://www.facebook.com/profile.php?id=100092656610176" TargetMode="External"/><Relationship Id="rId425" Type="http://schemas.openxmlformats.org/officeDocument/2006/relationships/hyperlink" Target="https://www.facebook.com/profile.php?id=100046149796906&amp;mibextid=LQQJ4d" TargetMode="External"/><Relationship Id="rId1055" Type="http://schemas.openxmlformats.org/officeDocument/2006/relationships/hyperlink" Target="https://drive.google.com/open?id=1fN9D-4mMnNI7Qetn5A561OpUpqE3RCQI" TargetMode="External"/><Relationship Id="rId2106" Type="http://schemas.openxmlformats.org/officeDocument/2006/relationships/hyperlink" Target="https://www.facebook.com/profile.php?id=100011932509351" TargetMode="External"/><Relationship Id="rId2520" Type="http://schemas.openxmlformats.org/officeDocument/2006/relationships/hyperlink" Target="https://www.facebook.com/profile.php?id=100022079142748" TargetMode="External"/><Relationship Id="rId5676" Type="http://schemas.openxmlformats.org/officeDocument/2006/relationships/hyperlink" Target="https://www.facebook.com/desquaos.banscuas?mibextid=LQQJ4d" TargetMode="External"/><Relationship Id="rId6727" Type="http://schemas.openxmlformats.org/officeDocument/2006/relationships/hyperlink" Target="https://www.facebook.com/nq.meiw" TargetMode="External"/><Relationship Id="rId8082" Type="http://schemas.openxmlformats.org/officeDocument/2006/relationships/hyperlink" Target="https://www.facebook.com/profile.php?id=100064964923983&amp;mibextid=ZbWKwL" TargetMode="External"/><Relationship Id="rId9133" Type="http://schemas.openxmlformats.org/officeDocument/2006/relationships/hyperlink" Target="https://www.facebook.com/people/Nguy%E1%BB%85n-Huy-Nam/pfbid0wdRtBAZDD9eeXSxPEegWkLmAbXN8unPhsVW9GwRT6pJtCu2knXxGkAPTNVgwGSS9l/" TargetMode="External"/><Relationship Id="rId1122" Type="http://schemas.openxmlformats.org/officeDocument/2006/relationships/hyperlink" Target="https://www.facebook.com/profile.php?id=100025333098909&amp;mibextid=ZbWKwL" TargetMode="External"/><Relationship Id="rId4278" Type="http://schemas.openxmlformats.org/officeDocument/2006/relationships/hyperlink" Target="https://www.facebook.com/trangnguyen.nguyentran.7?mibextid=LQQJ4d" TargetMode="External"/><Relationship Id="rId5329" Type="http://schemas.openxmlformats.org/officeDocument/2006/relationships/hyperlink" Target="https://www.facebook.com/profile.php?id=100087926605746" TargetMode="External"/><Relationship Id="rId9200" Type="http://schemas.openxmlformats.org/officeDocument/2006/relationships/hyperlink" Target="https://www.facebook.com/profile.php?id=100047493007773" TargetMode="External"/><Relationship Id="rId3294" Type="http://schemas.openxmlformats.org/officeDocument/2006/relationships/hyperlink" Target="https://www.facebook.com/profile.php?id=100071916904069" TargetMode="External"/><Relationship Id="rId4345" Type="http://schemas.openxmlformats.org/officeDocument/2006/relationships/hyperlink" Target="https://www.facebook.com/thanhthao081105?locale=vi_VNhttps://www.facebook.com/thanhthao081105?locale=vi_VN" TargetMode="External"/><Relationship Id="rId4692" Type="http://schemas.openxmlformats.org/officeDocument/2006/relationships/hyperlink" Target="https://drive.google.com/open?id=1XF1o5zYoD53isaTCcnq9rvFODV18WJhE" TargetMode="External"/><Relationship Id="rId5743" Type="http://schemas.openxmlformats.org/officeDocument/2006/relationships/hyperlink" Target="https://www.facebook.com/profile.php?id=100070105029264&amp;mibextid=ZbWKwL" TargetMode="External"/><Relationship Id="rId8899" Type="http://schemas.openxmlformats.org/officeDocument/2006/relationships/hyperlink" Target="https://www.facebook.com/share/15K22end8i/?mibextid=wwXIfr" TargetMode="External"/><Relationship Id="rId1939" Type="http://schemas.openxmlformats.org/officeDocument/2006/relationships/hyperlink" Target="https://www.facebook.com/profile.php?id=100071287430797&amp;mibextid=2JQ9oc" TargetMode="External"/><Relationship Id="rId5810" Type="http://schemas.openxmlformats.org/officeDocument/2006/relationships/hyperlink" Target="https://drive.google.com/open?id=1o3OnKND4lbCyqGy-rXLzWoa1dMG6dWla" TargetMode="External"/><Relationship Id="rId8966" Type="http://schemas.openxmlformats.org/officeDocument/2006/relationships/hyperlink" Target="https://drive.google.com/open?id=1gmeZ0EXA87ArSPbQaVqmwCPJ-3mdaAAq" TargetMode="External"/><Relationship Id="rId3361" Type="http://schemas.openxmlformats.org/officeDocument/2006/relationships/hyperlink" Target="https://www.facebook.com/profile.php?id=100085530074169&amp;mibextid=ibOpuV" TargetMode="External"/><Relationship Id="rId4412" Type="http://schemas.openxmlformats.org/officeDocument/2006/relationships/hyperlink" Target="https://www.facebook.com/nph0306" TargetMode="External"/><Relationship Id="rId7568" Type="http://schemas.openxmlformats.org/officeDocument/2006/relationships/hyperlink" Target="https://web.facebook.com/profile.php?id=100040451493226&amp;_rdc=1&amp;_rdr" TargetMode="External"/><Relationship Id="rId7982" Type="http://schemas.openxmlformats.org/officeDocument/2006/relationships/hyperlink" Target="https://www.facebook.com/hngberry28?mibextid=LQQJ4d" TargetMode="External"/><Relationship Id="rId8619" Type="http://schemas.openxmlformats.org/officeDocument/2006/relationships/hyperlink" Target="https://www.facebook.com/tribao.vitran" TargetMode="External"/><Relationship Id="rId282" Type="http://schemas.openxmlformats.org/officeDocument/2006/relationships/hyperlink" Target="https://www.facebook.com/profile.php?id=100014612915341&amp;mibextid=LQQJ4d" TargetMode="External"/><Relationship Id="rId3014" Type="http://schemas.openxmlformats.org/officeDocument/2006/relationships/hyperlink" Target="https://drive.google.com/open?id=1Peo0qdlxUXJwtHlZuPclLf7kUgKAoDxR" TargetMode="External"/><Relationship Id="rId6584" Type="http://schemas.openxmlformats.org/officeDocument/2006/relationships/hyperlink" Target="https://www.facebook.com/ngocnhine846?mibextid=LQQJ4d" TargetMode="External"/><Relationship Id="rId7635" Type="http://schemas.openxmlformats.org/officeDocument/2006/relationships/hyperlink" Target="https://www.facebook.com/bosslcg.thanhan.2312?mibextid=JRoKGi" TargetMode="External"/><Relationship Id="rId2030" Type="http://schemas.openxmlformats.org/officeDocument/2006/relationships/hyperlink" Target="https://www.facebook.com/profile.php/?id=100047868413787" TargetMode="External"/><Relationship Id="rId5186" Type="http://schemas.openxmlformats.org/officeDocument/2006/relationships/hyperlink" Target="https://drive.google.com/open?id=1t5RfB-rjixDo9ZIaST0k07rwtOJUEmJU" TargetMode="External"/><Relationship Id="rId6237" Type="http://schemas.openxmlformats.org/officeDocument/2006/relationships/hyperlink" Target="https://www.facebook.com/profile.php?id=100013726547863&amp;mibextid=LQQJ4d" TargetMode="External"/><Relationship Id="rId6651" Type="http://schemas.openxmlformats.org/officeDocument/2006/relationships/hyperlink" Target="https://www.facebook.com/profile.php?id=100055203019297&amp;mibextid=LQQJ4d" TargetMode="External"/><Relationship Id="rId7702" Type="http://schemas.openxmlformats.org/officeDocument/2006/relationships/hyperlink" Target="https://www.facebook.com/anna.886688" TargetMode="External"/><Relationship Id="rId5253" Type="http://schemas.openxmlformats.org/officeDocument/2006/relationships/hyperlink" Target="https://drive.google.com/open?id=1T3NnpzKAmF8CSknrK5cJDoYgm7jMSUo3" TargetMode="External"/><Relationship Id="rId6304" Type="http://schemas.openxmlformats.org/officeDocument/2006/relationships/hyperlink" Target="https://www.facebook.com/profile.php?id=100049438391287&amp;mibextid=LQQJ4d" TargetMode="External"/><Relationship Id="rId1449" Type="http://schemas.openxmlformats.org/officeDocument/2006/relationships/hyperlink" Target="https://drive.google.com/open?id=1EdczhpxdJ1loA2GC_6oYJR-C_oEPPcHp" TargetMode="External"/><Relationship Id="rId1796" Type="http://schemas.openxmlformats.org/officeDocument/2006/relationships/hyperlink" Target="https://www.facebook.com/profile.php?id=100048320078563&amp;mibextid=ZbWKwL" TargetMode="External"/><Relationship Id="rId2847" Type="http://schemas.openxmlformats.org/officeDocument/2006/relationships/hyperlink" Target="https://drive.google.com/open?id=1CfhgC0XAojL15XX2gFgoqX7N4lgZqDwm" TargetMode="External"/><Relationship Id="rId8476" Type="http://schemas.openxmlformats.org/officeDocument/2006/relationships/hyperlink" Target="https://drive.google.com/open?id=1mm0o1tQVTQ9s1GOsmWq_GfW3Op9KbGSK" TargetMode="External"/><Relationship Id="rId88" Type="http://schemas.openxmlformats.org/officeDocument/2006/relationships/hyperlink" Target="https://www.facebook.com/truongson.nguyenxuan.54?mibextid=LQQJ4d" TargetMode="External"/><Relationship Id="rId819" Type="http://schemas.openxmlformats.org/officeDocument/2006/relationships/hyperlink" Target="https://www.facebook.com/profile.php?id=100037868242476&amp;mibextid=LQQJ4d" TargetMode="External"/><Relationship Id="rId1863" Type="http://schemas.openxmlformats.org/officeDocument/2006/relationships/hyperlink" Target="https://www.facebook.com/profile.php?id=100023093978414&amp;mibextid=ZbWKwL" TargetMode="External"/><Relationship Id="rId2914" Type="http://schemas.openxmlformats.org/officeDocument/2006/relationships/hyperlink" Target="https://www.facebook.com/tue.do.1485" TargetMode="External"/><Relationship Id="rId5320" Type="http://schemas.openxmlformats.org/officeDocument/2006/relationships/hyperlink" Target="https://www.facebook.com/profile.php?id=100031991585827&amp;mibextid=LQQJ4d" TargetMode="External"/><Relationship Id="rId7078" Type="http://schemas.openxmlformats.org/officeDocument/2006/relationships/hyperlink" Target="https://www.facebook.com/profile.php?id=100012247006319" TargetMode="External"/><Relationship Id="rId8129" Type="http://schemas.openxmlformats.org/officeDocument/2006/relationships/hyperlink" Target="https://www.facebook.com/people/Ng%E1%BB%8Dc-Linh/pfbid0SKjbrJG6ewCK6N1H6LUXhYog1SDbwB6SGtQFWqyDFb5JraZAY66uJ4qbjaT7taawl/?_rdc=1&amp;_rdr" TargetMode="External"/><Relationship Id="rId8890" Type="http://schemas.openxmlformats.org/officeDocument/2006/relationships/hyperlink" Target="https://www.facebook.com/people/Anh-Nguyen/pfbid0DctaHK2aiBDpsd2Tzf89ruNaeRYrykzhktVJYJdZJPWcqkg1s7uutj7yo8yN6R6sl/" TargetMode="External"/><Relationship Id="rId9527" Type="http://schemas.openxmlformats.org/officeDocument/2006/relationships/hyperlink" Target="https://www.facebook.com/share/15nk8y8xW2/?mibextid=wwXIfr" TargetMode="External"/><Relationship Id="rId1516" Type="http://schemas.openxmlformats.org/officeDocument/2006/relationships/hyperlink" Target="https://www.facebook.com/profile.php?id=100033522345996" TargetMode="External"/><Relationship Id="rId1930" Type="http://schemas.openxmlformats.org/officeDocument/2006/relationships/hyperlink" Target="https://www.facebook.com/thuminhdao123?mibextid=D4KYlr" TargetMode="External"/><Relationship Id="rId7492" Type="http://schemas.openxmlformats.org/officeDocument/2006/relationships/hyperlink" Target="https://drive.google.com/open?id=1pEpQTj2feIBeYyNseNKBnca5BCTP7ZCS" TargetMode="External"/><Relationship Id="rId8543" Type="http://schemas.openxmlformats.org/officeDocument/2006/relationships/hyperlink" Target="https://www.facebook.com/profile.php?id=100052105118191" TargetMode="External"/><Relationship Id="rId3688" Type="http://schemas.openxmlformats.org/officeDocument/2006/relationships/hyperlink" Target="https://www.facebook.com/profile.php?id=100018149588896&amp;mibextid=LQQJ4d" TargetMode="External"/><Relationship Id="rId4739" Type="http://schemas.openxmlformats.org/officeDocument/2006/relationships/hyperlink" Target="https://www.facebook.com/trancong.vinh.31924?mibextid=LQQJ4d" TargetMode="External"/><Relationship Id="rId6094" Type="http://schemas.openxmlformats.org/officeDocument/2006/relationships/hyperlink" Target="https://www.facebook.com/profile.php?id=100052105118191" TargetMode="External"/><Relationship Id="rId7145" Type="http://schemas.openxmlformats.org/officeDocument/2006/relationships/hyperlink" Target="https://www.facebook.com/Dothanh1010" TargetMode="External"/><Relationship Id="rId8610" Type="http://schemas.openxmlformats.org/officeDocument/2006/relationships/hyperlink" Target="https://www.facebook.com/profile.php?id=100034742862187&amp;mibextid=LQQJ4d" TargetMode="External"/><Relationship Id="rId3755" Type="http://schemas.openxmlformats.org/officeDocument/2006/relationships/hyperlink" Target="https://drive.google.com/open?id=1AYZLI5oYIO4557QI96UuGr3PH3fbdZF8" TargetMode="External"/><Relationship Id="rId4806" Type="http://schemas.openxmlformats.org/officeDocument/2006/relationships/hyperlink" Target="https://drive.google.com/open?id=1-sx2jrkhwK1rTthDAJHHKXDL0hGCTUoZ" TargetMode="External"/><Relationship Id="rId6161" Type="http://schemas.openxmlformats.org/officeDocument/2006/relationships/hyperlink" Target="https://www.facebook.com/profile.php?id=100045788814374&amp;mibextid=LQQJ4d" TargetMode="External"/><Relationship Id="rId7212" Type="http://schemas.openxmlformats.org/officeDocument/2006/relationships/hyperlink" Target="https://www.facebook.com/profile.php?id=100063628922732" TargetMode="External"/><Relationship Id="rId676" Type="http://schemas.openxmlformats.org/officeDocument/2006/relationships/hyperlink" Target="https://drive.google.com/open?id=1kdwGyWIQ_SKbBwUpC4lJexRvEsLoTSz-" TargetMode="External"/><Relationship Id="rId2357" Type="http://schemas.openxmlformats.org/officeDocument/2006/relationships/hyperlink" Target="https://www.facebook.com/profile.php?id=100050644639455&amp;mibextid=b06tZ0" TargetMode="External"/><Relationship Id="rId3408" Type="http://schemas.openxmlformats.org/officeDocument/2006/relationships/hyperlink" Target="https://www.facebook.com/100051171642389/" TargetMode="External"/><Relationship Id="rId9384" Type="http://schemas.openxmlformats.org/officeDocument/2006/relationships/hyperlink" Target="https://www.facebook.com/profile.php?id=61552602274665" TargetMode="External"/><Relationship Id="rId329" Type="http://schemas.openxmlformats.org/officeDocument/2006/relationships/hyperlink" Target="https://www.facebook.com/profile.php?id=100033510517070" TargetMode="External"/><Relationship Id="rId1373" Type="http://schemas.openxmlformats.org/officeDocument/2006/relationships/hyperlink" Target="https://drive.google.com/open?id=17j2YxJhFmrfH8oNSp0qBwFupi2xJnz4N" TargetMode="External"/><Relationship Id="rId2771" Type="http://schemas.openxmlformats.org/officeDocument/2006/relationships/hyperlink" Target="https://drive.google.com/open?id=1N14rybyWRpCvhYrWUjxxh7NyY5_LO4es" TargetMode="External"/><Relationship Id="rId3822" Type="http://schemas.openxmlformats.org/officeDocument/2006/relationships/hyperlink" Target="https://drive.google.com/open?id=1P_kxhhckNn5UmtY_gbckwBeXaPrkHbnR" TargetMode="External"/><Relationship Id="rId6978" Type="http://schemas.openxmlformats.org/officeDocument/2006/relationships/hyperlink" Target="https://www.facebook.com/h.ngocc06?mibextid=LQQJ4d" TargetMode="External"/><Relationship Id="rId9037" Type="http://schemas.openxmlformats.org/officeDocument/2006/relationships/hyperlink" Target="https://facebook.com/profile.php?id=100070096759831" TargetMode="External"/><Relationship Id="rId743" Type="http://schemas.openxmlformats.org/officeDocument/2006/relationships/hyperlink" Target="https://www.facebook.com/profile.php?id=100024428884733&amp;mibextid=ZbWKwL" TargetMode="External"/><Relationship Id="rId1026" Type="http://schemas.openxmlformats.org/officeDocument/2006/relationships/hyperlink" Target="https://www.facebook.com/profile.php?id=100031991585827&amp;mibextid=LQQJ4d" TargetMode="External"/><Relationship Id="rId2424" Type="http://schemas.openxmlformats.org/officeDocument/2006/relationships/hyperlink" Target="https://www.facebook.com/profile.php?id=100024625904210" TargetMode="External"/><Relationship Id="rId5994" Type="http://schemas.openxmlformats.org/officeDocument/2006/relationships/hyperlink" Target="https://www.facebook.com/tanjirou.kamado.35728?mibextid=ZbWKwL" TargetMode="External"/><Relationship Id="rId8053" Type="http://schemas.openxmlformats.org/officeDocument/2006/relationships/hyperlink" Target="https://www.facebook.com/tha.ngu.3720" TargetMode="External"/><Relationship Id="rId9104" Type="http://schemas.openxmlformats.org/officeDocument/2006/relationships/hyperlink" Target="https://www.facebook.com/hennessi.06?mibextid=ZbWKwL" TargetMode="External"/><Relationship Id="rId9451" Type="http://schemas.openxmlformats.org/officeDocument/2006/relationships/hyperlink" Target="https://www.facebook.com/nguyenphuongthao.2610" TargetMode="External"/><Relationship Id="rId810" Type="http://schemas.openxmlformats.org/officeDocument/2006/relationships/hyperlink" Target="https://drive.google.com/open?id=1jdYQShRyIFtJG6RkLpgb_6x2WOush21L" TargetMode="External"/><Relationship Id="rId1440" Type="http://schemas.openxmlformats.org/officeDocument/2006/relationships/hyperlink" Target="https://www.facebook.com/oanh.oanhh.5895" TargetMode="External"/><Relationship Id="rId4596" Type="http://schemas.openxmlformats.org/officeDocument/2006/relationships/hyperlink" Target="https://drive.google.com/open?id=1aDxsOJQ_BtXu8ENZQACQmyCrIzrGYnsd" TargetMode="External"/><Relationship Id="rId5647" Type="http://schemas.openxmlformats.org/officeDocument/2006/relationships/hyperlink" Target="https://www.facebook.com/linhne2405" TargetMode="External"/><Relationship Id="rId3198" Type="http://schemas.openxmlformats.org/officeDocument/2006/relationships/hyperlink" Target="https://www.facebook.com/profile.php?id=100033522345996" TargetMode="External"/><Relationship Id="rId4249" Type="http://schemas.openxmlformats.org/officeDocument/2006/relationships/hyperlink" Target="https://drive.google.com/open?id=11i3QqJWjZGmE78OEE1-fyXhe2nC0XBUk" TargetMode="External"/><Relationship Id="rId4663" Type="http://schemas.openxmlformats.org/officeDocument/2006/relationships/hyperlink" Target="https://www.facebook.com/profile.php?id=100042450857812&amp;mibextid=LQQJ4d" TargetMode="External"/><Relationship Id="rId5714" Type="http://schemas.openxmlformats.org/officeDocument/2006/relationships/hyperlink" Target="https://www.facebook.com/huynh.levan.35574?mibextid=LQQJ4d" TargetMode="External"/><Relationship Id="rId8120" Type="http://schemas.openxmlformats.org/officeDocument/2006/relationships/hyperlink" Target="https://www.facebook.com/profile.php?id=100027839644491&amp;mibextid=LQQJ4d" TargetMode="External"/><Relationship Id="rId3265" Type="http://schemas.openxmlformats.org/officeDocument/2006/relationships/hyperlink" Target="https://www.facebook.com/lethang.skt" TargetMode="External"/><Relationship Id="rId4316" Type="http://schemas.openxmlformats.org/officeDocument/2006/relationships/hyperlink" Target="https://www.facebook.com/nguyen.dp.792?mibextid=LQQJ4d" TargetMode="External"/><Relationship Id="rId4730" Type="http://schemas.openxmlformats.org/officeDocument/2006/relationships/hyperlink" Target="https://drive.google.com/open?id=1bjOmsMdOMKhdFB2fMX7ZgBi-sC-hWJZl;https://drive.google.com/open?id=1A4bRqGDxQB2Ny1VEpdIDGMGIDIJOJRBO" TargetMode="External"/><Relationship Id="rId7886" Type="http://schemas.openxmlformats.org/officeDocument/2006/relationships/hyperlink" Target="https://www.facebook.com/share/gBwkJ9ns9L4HsXvk/?mibextid=JRoKGi" TargetMode="External"/><Relationship Id="rId8937" Type="http://schemas.openxmlformats.org/officeDocument/2006/relationships/hyperlink" Target="https://www.facebook.com/share/19xLMCw85B/?mibextid=wwXIfr" TargetMode="External"/><Relationship Id="rId186" Type="http://schemas.openxmlformats.org/officeDocument/2006/relationships/hyperlink" Target="https://www.facebook.com/profile.php?id=100053778558130&amp;mibextid=LQQJ4d" TargetMode="External"/><Relationship Id="rId2281" Type="http://schemas.openxmlformats.org/officeDocument/2006/relationships/hyperlink" Target="https://www.facebook.com/profile.php?id=61550582665282&amp;mibextid=ZbWKwL" TargetMode="External"/><Relationship Id="rId3332" Type="http://schemas.openxmlformats.org/officeDocument/2006/relationships/hyperlink" Target="https://www.facebook.com/TK21.1925?mibextid=ZbWKwL" TargetMode="External"/><Relationship Id="rId6488" Type="http://schemas.openxmlformats.org/officeDocument/2006/relationships/hyperlink" Target="https://drive.google.com/open?id=1bhNcVd4c8bgJelj_zKFFraeNX3ROb8Oo" TargetMode="External"/><Relationship Id="rId7539" Type="http://schemas.openxmlformats.org/officeDocument/2006/relationships/hyperlink" Target="https://drive.google.com/open?id=1ZmmSM6ZAJAqBTu8Ug6o-Z0CdK2wMF9NZ" TargetMode="External"/><Relationship Id="rId253" Type="http://schemas.openxmlformats.org/officeDocument/2006/relationships/hyperlink" Target="https://www.facebook.com/profile.php?id=100043757194288" TargetMode="External"/><Relationship Id="rId6555" Type="http://schemas.openxmlformats.org/officeDocument/2006/relationships/hyperlink" Target="https://www.facebook.com/profile.php?id=100035389053518&amp;mibextid=LQQJ4d" TargetMode="External"/><Relationship Id="rId7953" Type="http://schemas.openxmlformats.org/officeDocument/2006/relationships/hyperlink" Target="https://www.facebook.com/profile.php?id=100080535865228" TargetMode="External"/><Relationship Id="rId320" Type="http://schemas.openxmlformats.org/officeDocument/2006/relationships/hyperlink" Target="https://drive.google.com/open?id=1hAjzZnb8Haa13uivgPbO2s3FRe2BWmDS" TargetMode="External"/><Relationship Id="rId2001" Type="http://schemas.openxmlformats.org/officeDocument/2006/relationships/hyperlink" Target="https://drive.google.com/open?id=1tQaCcj608ERiv58vDbk1-1UsiBE554lB" TargetMode="External"/><Relationship Id="rId5157" Type="http://schemas.openxmlformats.org/officeDocument/2006/relationships/hyperlink" Target="https://drive.google.com/open?id=1fKnifa6xT3Pxqlc6NEzKzquADmCz3fNE" TargetMode="External"/><Relationship Id="rId6208" Type="http://schemas.openxmlformats.org/officeDocument/2006/relationships/hyperlink" Target="https://www.facebook.com/profile.php?id=100048230916025&amp;mibextid=LQQJ4d" TargetMode="External"/><Relationship Id="rId7606" Type="http://schemas.openxmlformats.org/officeDocument/2006/relationships/hyperlink" Target="https://www.facebook.com/phuongan.tran.093?mibextid=ZbWKwL" TargetMode="External"/><Relationship Id="rId5571" Type="http://schemas.openxmlformats.org/officeDocument/2006/relationships/hyperlink" Target="https://www.facebook.com/profile.php?id=100042881387967&amp;mibextid=LQQJ4d" TargetMode="External"/><Relationship Id="rId6622" Type="http://schemas.openxmlformats.org/officeDocument/2006/relationships/hyperlink" Target="https://www.facebook.com/profile.php?id=100073238649893&amp;mibextid=LQQJ4d" TargetMode="External"/><Relationship Id="rId1767" Type="http://schemas.openxmlformats.org/officeDocument/2006/relationships/hyperlink" Target="https://www.facebook.com/kiyoshi.haru.399?mibextid=9R9pXO" TargetMode="External"/><Relationship Id="rId2818" Type="http://schemas.openxmlformats.org/officeDocument/2006/relationships/hyperlink" Target="https://www.facebook.com/moctra2905?mibextid=LQQJ4d" TargetMode="External"/><Relationship Id="rId4173" Type="http://schemas.openxmlformats.org/officeDocument/2006/relationships/hyperlink" Target="https://www.facebook.com/loai.lac.7568?mibextid=LQQJ4d" TargetMode="External"/><Relationship Id="rId5224" Type="http://schemas.openxmlformats.org/officeDocument/2006/relationships/hyperlink" Target="https://drive.google.com/open?id=19lyn61NGx041na8ghnGHGPjYB4CNZ-9n" TargetMode="External"/><Relationship Id="rId8794" Type="http://schemas.openxmlformats.org/officeDocument/2006/relationships/hyperlink" Target="https://www.facebook.com/iuanhnhatdooooo?mibextid=ZbWKwL" TargetMode="External"/><Relationship Id="rId59" Type="http://schemas.openxmlformats.org/officeDocument/2006/relationships/hyperlink" Target="https://www.facebook.com/profile.php?id=100038271764383&amp;mibextid=LQQJ4d" TargetMode="External"/><Relationship Id="rId1834" Type="http://schemas.openxmlformats.org/officeDocument/2006/relationships/hyperlink" Target="https://www.facebook.com/diep.nt.17102004" TargetMode="External"/><Relationship Id="rId4240" Type="http://schemas.openxmlformats.org/officeDocument/2006/relationships/hyperlink" Target="https://www.facebook.com/profile.php?id=100026583215875&amp;mibextid=LQQJ4d" TargetMode="External"/><Relationship Id="rId7396" Type="http://schemas.openxmlformats.org/officeDocument/2006/relationships/hyperlink" Target="https://www.facebook.com/profile.php?id=100081804271556" TargetMode="External"/><Relationship Id="rId8447" Type="http://schemas.openxmlformats.org/officeDocument/2006/relationships/hyperlink" Target="https://www.facebook.com/profile.php?id=100068083747091&amp;mibextid=LQQJ4d" TargetMode="External"/><Relationship Id="rId8861" Type="http://schemas.openxmlformats.org/officeDocument/2006/relationships/hyperlink" Target="https://www.facebook.com/nguyenn.thi.thuyy.609571" TargetMode="External"/><Relationship Id="rId7049" Type="http://schemas.openxmlformats.org/officeDocument/2006/relationships/hyperlink" Target="https://www.facebook.com/people/Nam-Kh%C3%A1nh/pfbid0PgEUvT79ZLdBYTvTNuQ8jExHveLYDaq8qDLSJ6rsDoWbyUfZeEX8CFnMyGou9pe2l/" TargetMode="External"/><Relationship Id="rId7463" Type="http://schemas.openxmlformats.org/officeDocument/2006/relationships/hyperlink" Target="https://drive.google.com/open?id=1nzGGB4oxUL493l5ZN2-WgFlEa_RwsYXi" TargetMode="External"/><Relationship Id="rId8514" Type="http://schemas.openxmlformats.org/officeDocument/2006/relationships/hyperlink" Target="https://www.facebook.com/profile.php?id=61560335199759" TargetMode="External"/><Relationship Id="rId1901" Type="http://schemas.openxmlformats.org/officeDocument/2006/relationships/hyperlink" Target="https://drive.google.com/open?id=1DlGQGn9CumfD3JnrpwLbfCe3VV17_PWJ" TargetMode="External"/><Relationship Id="rId3659" Type="http://schemas.openxmlformats.org/officeDocument/2006/relationships/hyperlink" Target="https://www.facebook.com/MaiChi2304?mibextid=LQQJ4d" TargetMode="External"/><Relationship Id="rId6065" Type="http://schemas.openxmlformats.org/officeDocument/2006/relationships/hyperlink" Target="https://drive.google.com/open?id=1VQ69pFgQkOI9mV7XCzQCElPaYCaMPh-F" TargetMode="External"/><Relationship Id="rId7116" Type="http://schemas.openxmlformats.org/officeDocument/2006/relationships/hyperlink" Target="https://www.facebook.com/profile.php?id=100072314959344&amp;mibextid=LQQJ4d" TargetMode="External"/><Relationship Id="rId5081" Type="http://schemas.openxmlformats.org/officeDocument/2006/relationships/hyperlink" Target="https://www.facebook.com/elias.ainsworth.75436?mibextid=ZbWKwL" TargetMode="External"/><Relationship Id="rId6132" Type="http://schemas.openxmlformats.org/officeDocument/2006/relationships/hyperlink" Target="https://www.facebook.com/profile.php?id=100068795874097" TargetMode="External"/><Relationship Id="rId7530" Type="http://schemas.openxmlformats.org/officeDocument/2006/relationships/hyperlink" Target="https://www.facebook.com/profile.php?id=100039419690455" TargetMode="External"/><Relationship Id="rId9288" Type="http://schemas.openxmlformats.org/officeDocument/2006/relationships/hyperlink" Target="https://www.facebook.com/pham.hoan.549715" TargetMode="External"/><Relationship Id="rId994" Type="http://schemas.openxmlformats.org/officeDocument/2006/relationships/hyperlink" Target="https://drive.google.com/open?id=1RNtGZ0LjyEveXyyTVMK7Z1ChyX2U4DnD" TargetMode="External"/><Relationship Id="rId2675" Type="http://schemas.openxmlformats.org/officeDocument/2006/relationships/hyperlink" Target="https://www.facebook.com/profile.php?id=100018121942767&amp;mibextid=LQQJ4d" TargetMode="External"/><Relationship Id="rId3726" Type="http://schemas.openxmlformats.org/officeDocument/2006/relationships/hyperlink" Target="https://www.facebook.com/naolihtt" TargetMode="External"/><Relationship Id="rId647" Type="http://schemas.openxmlformats.org/officeDocument/2006/relationships/hyperlink" Target="https://drive.google.com/open?id=14KC0k8DwNu5MPPvxB8gX6MbZ7BnQ6Bz1" TargetMode="External"/><Relationship Id="rId1277" Type="http://schemas.openxmlformats.org/officeDocument/2006/relationships/hyperlink" Target="https://drive.google.com/open?id=1Cz1pntVvkUl-hH3npLneKe6OT6Wku_2X" TargetMode="External"/><Relationship Id="rId1691" Type="http://schemas.openxmlformats.org/officeDocument/2006/relationships/hyperlink" Target="https://www.facebook.com/ngocdippp.23" TargetMode="External"/><Relationship Id="rId2328" Type="http://schemas.openxmlformats.org/officeDocument/2006/relationships/hyperlink" Target="https://drive.google.com/open?id=1myzsLfu5kBBuV2E7OzkvXsCHb7X-Bj_3" TargetMode="External"/><Relationship Id="rId2742" Type="http://schemas.openxmlformats.org/officeDocument/2006/relationships/hyperlink" Target="https://drive.google.com/open?id=1UjHiopVF5DgSFfWjtHIqbtLbZEH1wz9Y" TargetMode="External"/><Relationship Id="rId5898" Type="http://schemas.openxmlformats.org/officeDocument/2006/relationships/hyperlink" Target="https://www.facebook.com/profile.php?id=100033647033841&amp;mibextid=ZbWKwL" TargetMode="External"/><Relationship Id="rId6949" Type="http://schemas.openxmlformats.org/officeDocument/2006/relationships/hyperlink" Target="https://www.facebook.com/profile.php?id=100063728184122&amp;mibextid=LQQJ4d" TargetMode="External"/><Relationship Id="rId9355" Type="http://schemas.openxmlformats.org/officeDocument/2006/relationships/hyperlink" Target="https://drive.google.com/open?id=1kJhhBi-ZwFRjk_IIoYbcWn_7Usx-pyf0" TargetMode="External"/><Relationship Id="rId714" Type="http://schemas.openxmlformats.org/officeDocument/2006/relationships/hyperlink" Target="https://drive.google.com/open?id=1hLd8RgcYNad793H-YVt9LTJd6cOKT662" TargetMode="External"/><Relationship Id="rId1344" Type="http://schemas.openxmlformats.org/officeDocument/2006/relationships/hyperlink" Target="https://www.facebook.com/profile.php?id=100071916904069" TargetMode="External"/><Relationship Id="rId5965" Type="http://schemas.openxmlformats.org/officeDocument/2006/relationships/hyperlink" Target="https://www.facebook.com/phianhthu2006?mibextid=LQQJ4d" TargetMode="External"/><Relationship Id="rId8371" Type="http://schemas.openxmlformats.org/officeDocument/2006/relationships/hyperlink" Target="https://www.facebook.com/profile.php?id=100053375477011&amp;mibextid=PlNXYD" TargetMode="External"/><Relationship Id="rId9008" Type="http://schemas.openxmlformats.org/officeDocument/2006/relationships/hyperlink" Target="https://drive.google.com/open?id=1MxUYCwrly3TwlA_HgNmNzMwhQkWXj5OF" TargetMode="External"/><Relationship Id="rId9422" Type="http://schemas.openxmlformats.org/officeDocument/2006/relationships/hyperlink" Target="https://www.facebook.com/profile.php?id=100071289745945&amp;mibextid=LQQJ4d" TargetMode="External"/><Relationship Id="rId50" Type="http://schemas.openxmlformats.org/officeDocument/2006/relationships/hyperlink" Target="https://drive.google.com/open?id=1iWwVsNKF3OpCd96pTBMd5aZH1QN2Aiwf" TargetMode="External"/><Relationship Id="rId1411" Type="http://schemas.openxmlformats.org/officeDocument/2006/relationships/hyperlink" Target="https://www.facebook.com/phuc.nguyensy.1675?mibextid=LQQJ4d" TargetMode="External"/><Relationship Id="rId4567" Type="http://schemas.openxmlformats.org/officeDocument/2006/relationships/hyperlink" Target="https://www.facebook.com/100051853902568/" TargetMode="External"/><Relationship Id="rId5618" Type="http://schemas.openxmlformats.org/officeDocument/2006/relationships/hyperlink" Target="https://www.facebook.com/profile.php?id=100041162509579" TargetMode="External"/><Relationship Id="rId8024" Type="http://schemas.openxmlformats.org/officeDocument/2006/relationships/hyperlink" Target="https://www.facebook.com/profile.php?id=100026365031497&amp;mibextid=LQQJ4d" TargetMode="External"/><Relationship Id="rId3169" Type="http://schemas.openxmlformats.org/officeDocument/2006/relationships/hyperlink" Target="https://www.facebook.com/profile.php?id=100067456938605" TargetMode="External"/><Relationship Id="rId3583" Type="http://schemas.openxmlformats.org/officeDocument/2006/relationships/hyperlink" Target="https://www.facebook.com/tzanghuongnoi" TargetMode="External"/><Relationship Id="rId4981" Type="http://schemas.openxmlformats.org/officeDocument/2006/relationships/hyperlink" Target="https://www.facebook.com/profile.php?id=100078684349712&amp;mibextid=LQQJ4d" TargetMode="External"/><Relationship Id="rId7040" Type="http://schemas.openxmlformats.org/officeDocument/2006/relationships/hyperlink" Target="https://www.facebook.com/manhdung2006?mibextid=LQQJ4d" TargetMode="External"/><Relationship Id="rId2185" Type="http://schemas.openxmlformats.org/officeDocument/2006/relationships/hyperlink" Target="https://drive.google.com/open?id=1_RxPeE-sNNnthQDwVPNKHma_N_TuuCVl" TargetMode="External"/><Relationship Id="rId3236" Type="http://schemas.openxmlformats.org/officeDocument/2006/relationships/hyperlink" Target="https://drive.google.com/open?id=1N14rybyWRpCvhYrWUjxxh7NyY5_LO4es" TargetMode="External"/><Relationship Id="rId4634" Type="http://schemas.openxmlformats.org/officeDocument/2006/relationships/hyperlink" Target="https://www.facebook.com/ThuHien311023" TargetMode="External"/><Relationship Id="rId157" Type="http://schemas.openxmlformats.org/officeDocument/2006/relationships/hyperlink" Target="https://www.facebook.com/profile.php?id=100009187367692&amp;mibextid=LQQJ4d" TargetMode="External"/><Relationship Id="rId3650" Type="http://schemas.openxmlformats.org/officeDocument/2006/relationships/hyperlink" Target="https://www.facebook.com/hoan.ga.3591267?mibextid=ZbWKwL" TargetMode="External"/><Relationship Id="rId4701" Type="http://schemas.openxmlformats.org/officeDocument/2006/relationships/hyperlink" Target="https://drive.google.com/open?id=1PobuFpP-WfC0kgJhJJhFLmMQbGuspFi8" TargetMode="External"/><Relationship Id="rId7857" Type="http://schemas.openxmlformats.org/officeDocument/2006/relationships/hyperlink" Target="https://drive.google.com/open?id=1KFNKYvTO4UKlB-GrswkCVoGgudbMr6mQ" TargetMode="External"/><Relationship Id="rId8908" Type="http://schemas.openxmlformats.org/officeDocument/2006/relationships/hyperlink" Target="https://drive.google.com/open?id=1xD1bDQIIPKjaQcoLGwiot1YiJ6P8S4Wa" TargetMode="External"/><Relationship Id="rId571" Type="http://schemas.openxmlformats.org/officeDocument/2006/relationships/hyperlink" Target="https://www.facebook.com/profile.php?id=100017200657639" TargetMode="External"/><Relationship Id="rId2252" Type="http://schemas.openxmlformats.org/officeDocument/2006/relationships/hyperlink" Target="https://drive.google.com/open?id=1mOX63Vxj8QQIAflaYWZftY7Jz3zK9Y7m" TargetMode="External"/><Relationship Id="rId3303" Type="http://schemas.openxmlformats.org/officeDocument/2006/relationships/hyperlink" Target="https://www.facebook.com/nhoks2tjt" TargetMode="External"/><Relationship Id="rId6459" Type="http://schemas.openxmlformats.org/officeDocument/2006/relationships/hyperlink" Target="https://www.facebook.com/panda.apink.94?mibextid=LQQJ4d" TargetMode="External"/><Relationship Id="rId6873" Type="http://schemas.openxmlformats.org/officeDocument/2006/relationships/hyperlink" Target="https://www.facebook.com/profile.php?id=100084193863918&amp;mibextid=ZbWKwL" TargetMode="External"/><Relationship Id="rId7924" Type="http://schemas.openxmlformats.org/officeDocument/2006/relationships/hyperlink" Target="https://drive.google.com/open?id=1bjOmsMdOMKhdFB2fMX7ZgBi-sC-hWJZl;https://drive.google.com/open?id=1A4bRqGDxQB2Ny1VEpdIDGMGIDIJOJRBO" TargetMode="External"/><Relationship Id="rId224" Type="http://schemas.openxmlformats.org/officeDocument/2006/relationships/hyperlink" Target="https://drive.google.com/open?id=1GUWAJh2JQlnlTImmPmvBXI6lxU7_f9j1" TargetMode="External"/><Relationship Id="rId5475" Type="http://schemas.openxmlformats.org/officeDocument/2006/relationships/hyperlink" Target="https://drive.google.com/open?id=1mjw7bCy9Kga2n8ecHd9Jy321k-dLC3E_" TargetMode="External"/><Relationship Id="rId6526" Type="http://schemas.openxmlformats.org/officeDocument/2006/relationships/hyperlink" Target="https://www.facebook.com/profile.php?id=100072467122412&amp;mibextid=ZbWKwL" TargetMode="External"/><Relationship Id="rId6940" Type="http://schemas.openxmlformats.org/officeDocument/2006/relationships/hyperlink" Target="https://drive.google.com/open?id=19RaGgqet0ROWUl2vfeL4c12uo5J27Wt7" TargetMode="External"/><Relationship Id="rId4077" Type="http://schemas.openxmlformats.org/officeDocument/2006/relationships/hyperlink" Target="https://www.facebook.com/hosu.bae.1?mibextid=ZbWKwL" TargetMode="External"/><Relationship Id="rId4491" Type="http://schemas.openxmlformats.org/officeDocument/2006/relationships/hyperlink" Target="https://www.facebook.com/profile.php?id=100036410897743&amp;mibextid=LQQJ4d" TargetMode="External"/><Relationship Id="rId5128" Type="http://schemas.openxmlformats.org/officeDocument/2006/relationships/hyperlink" Target="https://www.facebook.com/profile.php?id=100053788391474" TargetMode="External"/><Relationship Id="rId5542" Type="http://schemas.openxmlformats.org/officeDocument/2006/relationships/hyperlink" Target="https://www.facebook.com/profile.php?id=100078222559444" TargetMode="External"/><Relationship Id="rId8698" Type="http://schemas.openxmlformats.org/officeDocument/2006/relationships/hyperlink" Target="https://www.facebook.com/profile.php?id=100024689478778&amp;mibextid=LQQJ4d" TargetMode="External"/><Relationship Id="rId1738" Type="http://schemas.openxmlformats.org/officeDocument/2006/relationships/hyperlink" Target="https://www.facebook.com/phong.hoangxuan.94?mibextid=ZbWKwL" TargetMode="External"/><Relationship Id="rId3093" Type="http://schemas.openxmlformats.org/officeDocument/2006/relationships/hyperlink" Target="https://www.facebook.com/quyen.vu217?mibextid=ZbWKwL" TargetMode="External"/><Relationship Id="rId4144" Type="http://schemas.openxmlformats.org/officeDocument/2006/relationships/hyperlink" Target="https://www.facebook.com/profile.php?id=100055646770369" TargetMode="External"/><Relationship Id="rId8765" Type="http://schemas.openxmlformats.org/officeDocument/2006/relationships/hyperlink" Target="https://www.facebook.com/baolinh.nguyenle.31" TargetMode="External"/><Relationship Id="rId3160" Type="http://schemas.openxmlformats.org/officeDocument/2006/relationships/hyperlink" Target="https://drive.google.com/open?id=1KLS1WH8GnR3sltHS7vlyaOtkKtuEITSd" TargetMode="External"/><Relationship Id="rId4211" Type="http://schemas.openxmlformats.org/officeDocument/2006/relationships/hyperlink" Target="https://www.facebook.com/profile.php?id=100090338867100&amp;mibextid=LQQJ4d" TargetMode="External"/><Relationship Id="rId7367" Type="http://schemas.openxmlformats.org/officeDocument/2006/relationships/hyperlink" Target="https://www.facebook.com/hieuu.ngoc.3?mibextid=LQQJ4d" TargetMode="External"/><Relationship Id="rId8418" Type="http://schemas.openxmlformats.org/officeDocument/2006/relationships/hyperlink" Target="https://www.facebook.com/thanhcong.0610?mibextid=wwXIfr&amp;mibextid=wwXIfr" TargetMode="External"/><Relationship Id="rId1805" Type="http://schemas.openxmlformats.org/officeDocument/2006/relationships/hyperlink" Target="https://www.facebook.com/profile.php?id=100028393627954&amp;mibextid=LQQJ4d" TargetMode="External"/><Relationship Id="rId7781" Type="http://schemas.openxmlformats.org/officeDocument/2006/relationships/hyperlink" Target="https://www.facebook.com/huonggiangnoan" TargetMode="External"/><Relationship Id="rId8832" Type="http://schemas.openxmlformats.org/officeDocument/2006/relationships/hyperlink" Target="https://drive.google.com/open?id=1CTKxKseuAvM7TiihiJUjTdpsD_ZArudJ" TargetMode="External"/><Relationship Id="rId3977" Type="http://schemas.openxmlformats.org/officeDocument/2006/relationships/hyperlink" Target="https://drive.google.com/open?id=11mAHxso13CbL0paubYRdTQjvRmJfAevY" TargetMode="External"/><Relationship Id="rId6036" Type="http://schemas.openxmlformats.org/officeDocument/2006/relationships/hyperlink" Target="https://www.facebook.com/profile.php?id=100063675914396" TargetMode="External"/><Relationship Id="rId6383" Type="http://schemas.openxmlformats.org/officeDocument/2006/relationships/hyperlink" Target="https://www.facebook.com/profile.php?id=100071945490823" TargetMode="External"/><Relationship Id="rId7434" Type="http://schemas.openxmlformats.org/officeDocument/2006/relationships/hyperlink" Target="https://www.facebook.com/profile.php?id=100060006919881&amp;mibextid=LQQJ4d" TargetMode="External"/><Relationship Id="rId898" Type="http://schemas.openxmlformats.org/officeDocument/2006/relationships/hyperlink" Target="https://drive.google.com/open?id=1fR_ivlkkHf6NltGHWXsz92n__AzSw2C6" TargetMode="External"/><Relationship Id="rId2579" Type="http://schemas.openxmlformats.org/officeDocument/2006/relationships/hyperlink" Target="https://www.facebook.com/profile.php?id=100010861515403&amp;mibextid=LQQJ4d" TargetMode="External"/><Relationship Id="rId2993" Type="http://schemas.openxmlformats.org/officeDocument/2006/relationships/hyperlink" Target="https://www.facebook.com/profile.php?id=100029565101296" TargetMode="External"/><Relationship Id="rId6450" Type="http://schemas.openxmlformats.org/officeDocument/2006/relationships/hyperlink" Target="https://drive.google.com/open?id=128rHEvUxoiTygKb0bjh8cJnTm5IT3Mae" TargetMode="External"/><Relationship Id="rId7501" Type="http://schemas.openxmlformats.org/officeDocument/2006/relationships/hyperlink" Target="https://www.facebook.com/profile.php?id=100049689254935&amp;mibextid=ZbWKwL" TargetMode="External"/><Relationship Id="rId965" Type="http://schemas.openxmlformats.org/officeDocument/2006/relationships/hyperlink" Target="https://www.facebook.com/huylu2804" TargetMode="External"/><Relationship Id="rId1595" Type="http://schemas.openxmlformats.org/officeDocument/2006/relationships/hyperlink" Target="https://www.facebook.com/profile.php?id=100059375382549&amp;mibextid=LQQJ4d" TargetMode="External"/><Relationship Id="rId2646" Type="http://schemas.openxmlformats.org/officeDocument/2006/relationships/hyperlink" Target="https://www.facebook.com/profile.php?id=100033505097108" TargetMode="External"/><Relationship Id="rId5052" Type="http://schemas.openxmlformats.org/officeDocument/2006/relationships/hyperlink" Target="https://www.facebook.com/profile.php?id=100023277283261" TargetMode="External"/><Relationship Id="rId6103" Type="http://schemas.openxmlformats.org/officeDocument/2006/relationships/hyperlink" Target="https://www.facebook.com/profile.php?id=100065433816577" TargetMode="External"/><Relationship Id="rId9259" Type="http://schemas.openxmlformats.org/officeDocument/2006/relationships/hyperlink" Target="https://www.facebook.com/share/1VAnqzEUV6/?mibextid=wwXIfr" TargetMode="External"/><Relationship Id="rId618" Type="http://schemas.openxmlformats.org/officeDocument/2006/relationships/hyperlink" Target="https://drive.google.com/open?id=16RqO0BDSKy23tw7jU28RdEIJU9l1UVST" TargetMode="External"/><Relationship Id="rId1248" Type="http://schemas.openxmlformats.org/officeDocument/2006/relationships/hyperlink" Target="https://www.facebook.com/profile.php?id=100035839054364&amp;mibextid=ZbWKwL" TargetMode="External"/><Relationship Id="rId1662" Type="http://schemas.openxmlformats.org/officeDocument/2006/relationships/hyperlink" Target="https://www.facebook.com/minhhangg84?mibextid=LQQJ4d" TargetMode="External"/><Relationship Id="rId5869" Type="http://schemas.openxmlformats.org/officeDocument/2006/relationships/hyperlink" Target="https://www.facebook.com/nhung0107?mibextid=LQQJ4d" TargetMode="External"/><Relationship Id="rId8275" Type="http://schemas.openxmlformats.org/officeDocument/2006/relationships/hyperlink" Target="https://www.facebook.com/share/1BejYCciqM/?mibextid=wwXIfr" TargetMode="External"/><Relationship Id="rId9326" Type="http://schemas.openxmlformats.org/officeDocument/2006/relationships/hyperlink" Target="https://www.facebook.com/profile.php?id=100068911432006&amp;mibextid=LQQJ4d" TargetMode="External"/><Relationship Id="rId1315" Type="http://schemas.openxmlformats.org/officeDocument/2006/relationships/hyperlink" Target="https://www.facebook.com/lans.lans.10297" TargetMode="External"/><Relationship Id="rId2713" Type="http://schemas.openxmlformats.org/officeDocument/2006/relationships/hyperlink" Target="https://www.facebook.com/profile.php?id=100029946350055&amp;mibextid=LQQJ4d" TargetMode="External"/><Relationship Id="rId7291" Type="http://schemas.openxmlformats.org/officeDocument/2006/relationships/hyperlink" Target="https://www.facebook.com/ciivediamo?mibextid=LQQJ4d" TargetMode="External"/><Relationship Id="rId8342" Type="http://schemas.openxmlformats.org/officeDocument/2006/relationships/hyperlink" Target="https://www.facebook.com/profile.php?id=100036072453080" TargetMode="External"/><Relationship Id="rId4885" Type="http://schemas.openxmlformats.org/officeDocument/2006/relationships/hyperlink" Target="https://www.facebook.com/profile.php?id=100024832590516&amp;mibextid=LQQJ4d" TargetMode="External"/><Relationship Id="rId5936" Type="http://schemas.openxmlformats.org/officeDocument/2006/relationships/hyperlink" Target="https://www.facebook.com/binhthai.nguyen.31?mibextid=LQQJ4d" TargetMode="External"/><Relationship Id="rId21" Type="http://schemas.openxmlformats.org/officeDocument/2006/relationships/hyperlink" Target="https://drive.google.com/open?id=1H-poBqY8F4UpzyQ7Z6F5uxyWaGG-6iBD" TargetMode="External"/><Relationship Id="rId2089" Type="http://schemas.openxmlformats.org/officeDocument/2006/relationships/hyperlink" Target="https://drive.google.com/open?id=17j2YxJhFmrfH8oNSp0qBwFupi2xJnz4N" TargetMode="External"/><Relationship Id="rId3487" Type="http://schemas.openxmlformats.org/officeDocument/2006/relationships/hyperlink" Target="https://www.facebook.com/profile.php?id=100041789941116&amp;mibextid=PtKPJ9" TargetMode="External"/><Relationship Id="rId4538" Type="http://schemas.openxmlformats.org/officeDocument/2006/relationships/hyperlink" Target="https://drive.google.com/open?id=1dfPvjK6YtkLY0dvcZhBex-QVzywQqzbN" TargetMode="External"/><Relationship Id="rId4952" Type="http://schemas.openxmlformats.org/officeDocument/2006/relationships/hyperlink" Target="https://www.facebook.com/profile.php?id=61550765093463&amp;mibextid=LQQJ4d" TargetMode="External"/><Relationship Id="rId3554" Type="http://schemas.openxmlformats.org/officeDocument/2006/relationships/hyperlink" Target="https://drive.google.com/open?id=1LfTklu_GReX-b9PCRQQcK__Sltgwemwe" TargetMode="External"/><Relationship Id="rId4605" Type="http://schemas.openxmlformats.org/officeDocument/2006/relationships/hyperlink" Target="https://drive.google.com/open?id=19GOgu2rLLkt7SUqO7ZHdqOTyBseTmxVU" TargetMode="External"/><Relationship Id="rId7011" Type="http://schemas.openxmlformats.org/officeDocument/2006/relationships/hyperlink" Target="https://www.facebook.com/dothang.1710" TargetMode="External"/><Relationship Id="rId475" Type="http://schemas.openxmlformats.org/officeDocument/2006/relationships/hyperlink" Target="https://drive.google.com/open?id=1vqT3Dy0mUypJxslO8_ZMF-G-tC2aGInU" TargetMode="External"/><Relationship Id="rId2156" Type="http://schemas.openxmlformats.org/officeDocument/2006/relationships/hyperlink" Target="https://www.facebook.com/tharo05" TargetMode="External"/><Relationship Id="rId2570" Type="http://schemas.openxmlformats.org/officeDocument/2006/relationships/hyperlink" Target="https://drive.google.com/open?id=1CbKGTcTf3-V9Sl1mdEShROqvPMMveaer" TargetMode="External"/><Relationship Id="rId3207" Type="http://schemas.openxmlformats.org/officeDocument/2006/relationships/hyperlink" Target="https://www.facebook.com/ot.be.963?mibextid=ZbWKwL" TargetMode="External"/><Relationship Id="rId3621" Type="http://schemas.openxmlformats.org/officeDocument/2006/relationships/hyperlink" Target="https://drive.google.com/open?id=1Aom08Oq7eOcjEj4BWgTaDQNY7SMmWPrr" TargetMode="External"/><Relationship Id="rId6777" Type="http://schemas.openxmlformats.org/officeDocument/2006/relationships/hyperlink" Target="https://www.facebook.com/hieu.mam.758" TargetMode="External"/><Relationship Id="rId7828" Type="http://schemas.openxmlformats.org/officeDocument/2006/relationships/hyperlink" Target="https://drive.google.com/open?id=1rpMMGp92qWsoUi-eZS8XYP0ds-RyjKYI" TargetMode="External"/><Relationship Id="rId9183" Type="http://schemas.openxmlformats.org/officeDocument/2006/relationships/hyperlink" Target="https://www.facebook.com/share/15nbtiHMTq/?mibextid=wwXIfr" TargetMode="External"/><Relationship Id="rId128" Type="http://schemas.openxmlformats.org/officeDocument/2006/relationships/hyperlink" Target="https://www.facebook.com/le.kimchi.10004" TargetMode="External"/><Relationship Id="rId542" Type="http://schemas.openxmlformats.org/officeDocument/2006/relationships/hyperlink" Target="https://drive.google.com/open?id=1GlykXfhTqTcm3WjUu7hqF81iuLj3Cw5f" TargetMode="External"/><Relationship Id="rId1172" Type="http://schemas.openxmlformats.org/officeDocument/2006/relationships/hyperlink" Target="https://www.facebook.com/profile.php?id=100010355377269" TargetMode="External"/><Relationship Id="rId2223" Type="http://schemas.openxmlformats.org/officeDocument/2006/relationships/hyperlink" Target="https://www.facebook.com/callme.nhatcherry?mibextid=LQQJ4d" TargetMode="External"/><Relationship Id="rId5379" Type="http://schemas.openxmlformats.org/officeDocument/2006/relationships/hyperlink" Target="https://drive.google.com/open?id=1cqITzbvRBaWNxaHLMRHWMTKsGOFC2FcJ" TargetMode="External"/><Relationship Id="rId5793" Type="http://schemas.openxmlformats.org/officeDocument/2006/relationships/hyperlink" Target="https://www.facebook.com/chimte.trinn" TargetMode="External"/><Relationship Id="rId6844" Type="http://schemas.openxmlformats.org/officeDocument/2006/relationships/hyperlink" Target="https://www.facebook.com/thienan244?mibextid=LQQJ4d" TargetMode="External"/><Relationship Id="rId9250" Type="http://schemas.openxmlformats.org/officeDocument/2006/relationships/hyperlink" Target="https://www.facebook.com/profile.php?id=100090444648215&amp;mibextid=LQQJ4d" TargetMode="External"/><Relationship Id="rId4395" Type="http://schemas.openxmlformats.org/officeDocument/2006/relationships/hyperlink" Target="https://www.facebook.com/profile.php?id=100054415896885&amp;mibextid=LQQJ4d" TargetMode="External"/><Relationship Id="rId5446" Type="http://schemas.openxmlformats.org/officeDocument/2006/relationships/hyperlink" Target="https://www.facebook.com/profile.php?id=100041789941116&amp;mibextid=PtKPJ9" TargetMode="External"/><Relationship Id="rId1989" Type="http://schemas.openxmlformats.org/officeDocument/2006/relationships/hyperlink" Target="https://drive.google.com/open?id=1Tfj9zHtzzWF5375CItdNSkdGM6ZGK7ya" TargetMode="External"/><Relationship Id="rId4048" Type="http://schemas.openxmlformats.org/officeDocument/2006/relationships/hyperlink" Target="https://www.facebook.com/profile.php?id=100006448081533" TargetMode="External"/><Relationship Id="rId5860" Type="http://schemas.openxmlformats.org/officeDocument/2006/relationships/hyperlink" Target="https://www.facebook.com/profile.php?id=61551888129363&amp;mibextid=LQQJ4d" TargetMode="External"/><Relationship Id="rId6911" Type="http://schemas.openxmlformats.org/officeDocument/2006/relationships/hyperlink" Target="https://www.facebook.com/profile.php?id=100068707711957&amp;mibextid=LQQJ4" TargetMode="External"/><Relationship Id="rId3064" Type="http://schemas.openxmlformats.org/officeDocument/2006/relationships/hyperlink" Target="https://drive.google.com/open?id=1tTPy4jrEBzX3lDJfNbh5YkF0LH-nhdjo" TargetMode="External"/><Relationship Id="rId4462" Type="http://schemas.openxmlformats.org/officeDocument/2006/relationships/hyperlink" Target="https://www.facebook.com/uyngc?mibextid=LQQJ4d" TargetMode="External"/><Relationship Id="rId5513" Type="http://schemas.openxmlformats.org/officeDocument/2006/relationships/hyperlink" Target="https://www.facebook.com/binbin205" TargetMode="External"/><Relationship Id="rId8669" Type="http://schemas.openxmlformats.org/officeDocument/2006/relationships/hyperlink" Target="https://www.facebook.com/profile.php?id=100068577055817&amp;mibextid=LQQJ4d" TargetMode="External"/><Relationship Id="rId1709" Type="http://schemas.openxmlformats.org/officeDocument/2006/relationships/hyperlink" Target="https://www.facebook.com/ndm.manh" TargetMode="External"/><Relationship Id="rId4115" Type="http://schemas.openxmlformats.org/officeDocument/2006/relationships/hyperlink" Target="https://drive.google.com/open?id=1qszoT15SWL47ObEN60jsuffr7kDX9bae" TargetMode="External"/><Relationship Id="rId7685" Type="http://schemas.openxmlformats.org/officeDocument/2006/relationships/hyperlink" Target="https://www.facebook.com/profile.php?id=100069951427624" TargetMode="External"/><Relationship Id="rId8736" Type="http://schemas.openxmlformats.org/officeDocument/2006/relationships/hyperlink" Target="https://www.facebook.com/tzanghuongnoi" TargetMode="External"/><Relationship Id="rId2080" Type="http://schemas.openxmlformats.org/officeDocument/2006/relationships/hyperlink" Target="https://www.facebook.com/profile.php?id=100033329795069" TargetMode="External"/><Relationship Id="rId3131" Type="http://schemas.openxmlformats.org/officeDocument/2006/relationships/hyperlink" Target="https://drive.google.com/open?id=1uQGn-I9T8W9PVPLpksT9N6i7n_iyizzh" TargetMode="External"/><Relationship Id="rId6287" Type="http://schemas.openxmlformats.org/officeDocument/2006/relationships/hyperlink" Target="https://www.facebook.com/profile.php?id=100046690307058" TargetMode="External"/><Relationship Id="rId7338" Type="http://schemas.openxmlformats.org/officeDocument/2006/relationships/hyperlink" Target="https://www.facebook.com/profile.php?id=100068878085657&amp;mibextid=LQQJ4d" TargetMode="External"/><Relationship Id="rId7752" Type="http://schemas.openxmlformats.org/officeDocument/2006/relationships/hyperlink" Target="https://drive.google.com/open?id=17hfo7rVWXqLgp7stEoqC1LYG9X5brDA6" TargetMode="External"/><Relationship Id="rId8803" Type="http://schemas.openxmlformats.org/officeDocument/2006/relationships/hyperlink" Target="https://www.facebook.com/profile.php?id=100045812565863" TargetMode="External"/><Relationship Id="rId2897" Type="http://schemas.openxmlformats.org/officeDocument/2006/relationships/hyperlink" Target="https://drive.google.com/open?id=16r9x0E_QFrmv1k1HVsjQm2UiwBcMYzFd" TargetMode="External"/><Relationship Id="rId3948" Type="http://schemas.openxmlformats.org/officeDocument/2006/relationships/hyperlink" Target="https://www.facebook.com/profile.php?id=100063891177033&amp;mibextid=LQQJ4d" TargetMode="External"/><Relationship Id="rId6354" Type="http://schemas.openxmlformats.org/officeDocument/2006/relationships/hyperlink" Target="https://www.facebook.com/profile.php?id=100044942913518&amp;mibextid=LQQJ4d" TargetMode="External"/><Relationship Id="rId7405" Type="http://schemas.openxmlformats.org/officeDocument/2006/relationships/hyperlink" Target="https://drive.google.com/open?id=11DMVB4H8V2K5MiWTnmZLp0u0YXgU5LvO" TargetMode="External"/><Relationship Id="rId869" Type="http://schemas.openxmlformats.org/officeDocument/2006/relationships/hyperlink" Target="https://www.facebook.com/d.meyyyy" TargetMode="External"/><Relationship Id="rId1499" Type="http://schemas.openxmlformats.org/officeDocument/2006/relationships/hyperlink" Target="https://www.facebook.com/lehuynhngochanh16?mibextid=LQQJ4d" TargetMode="External"/><Relationship Id="rId5370" Type="http://schemas.openxmlformats.org/officeDocument/2006/relationships/hyperlink" Target="https://drive.google.com/open?id=1tys6JfdBzOftH6dBsmvEFLoj00uZJBEh" TargetMode="External"/><Relationship Id="rId6007" Type="http://schemas.openxmlformats.org/officeDocument/2006/relationships/hyperlink" Target="https://www.facebook.com/profile.php?id=100026427814877&amp;mibextid=LQQJ4d" TargetMode="External"/><Relationship Id="rId6421" Type="http://schemas.openxmlformats.org/officeDocument/2006/relationships/hyperlink" Target="https://www.facebook.com/profile.php?id=100047743476566&amp;mibextid=ZbWKwL" TargetMode="External"/><Relationship Id="rId9577" Type="http://schemas.openxmlformats.org/officeDocument/2006/relationships/hyperlink" Target="https://www.facebook.com/share/1XnqzfMEup/?mibextid=wwXIfr" TargetMode="External"/><Relationship Id="rId2964" Type="http://schemas.openxmlformats.org/officeDocument/2006/relationships/hyperlink" Target="https://www.facebook.com/profile.php?id=100053764063741&amp;mibextid=ZbWKwL" TargetMode="External"/><Relationship Id="rId5023" Type="http://schemas.openxmlformats.org/officeDocument/2006/relationships/hyperlink" Target="https://www.facebook.com/profile.php?id=61555752631493" TargetMode="External"/><Relationship Id="rId8179" Type="http://schemas.openxmlformats.org/officeDocument/2006/relationships/hyperlink" Target="https://www.facebook.com/profile.php?id=100067447218668&amp;mibextid=LQQJ4d" TargetMode="External"/><Relationship Id="rId936" Type="http://schemas.openxmlformats.org/officeDocument/2006/relationships/hyperlink" Target="https://drive.google.com/open?id=1yN01sckpyy08rkV2kFZvqjkKL5w82UXv" TargetMode="External"/><Relationship Id="rId1219" Type="http://schemas.openxmlformats.org/officeDocument/2006/relationships/hyperlink" Target="https://www.facebook.com/Tam28092004?mibextid=ZbWKwL" TargetMode="External"/><Relationship Id="rId1566" Type="http://schemas.openxmlformats.org/officeDocument/2006/relationships/hyperlink" Target="https://drive.google.com/open?id=1saRS4TBUNNwIlYjF4kIJhZ5w0aQZc7kY" TargetMode="External"/><Relationship Id="rId1980" Type="http://schemas.openxmlformats.org/officeDocument/2006/relationships/hyperlink" Target="https://www.facebook.com/profile.php?id=100073268700207&amp;mibextid=ZbWKwL" TargetMode="External"/><Relationship Id="rId2617" Type="http://schemas.openxmlformats.org/officeDocument/2006/relationships/hyperlink" Target="https://www.facebook.com/profile.php?id=100089598638841" TargetMode="External"/><Relationship Id="rId7195" Type="http://schemas.openxmlformats.org/officeDocument/2006/relationships/hyperlink" Target="https://drive.google.com/open?id=16NId8VsXEJn5UHqs4AAGoiz_mss5IsJy" TargetMode="External"/><Relationship Id="rId8246" Type="http://schemas.openxmlformats.org/officeDocument/2006/relationships/hyperlink" Target="https://drive.google.com/open?id=17zzGYw3HWOJ54FJTrsKklUC7AlLDHOxc" TargetMode="External"/><Relationship Id="rId8593" Type="http://schemas.openxmlformats.org/officeDocument/2006/relationships/hyperlink" Target="https://www.facebook.com/profile.php?id=100075708604086&amp;mibextid=ZbWKwL" TargetMode="External"/><Relationship Id="rId1633" Type="http://schemas.openxmlformats.org/officeDocument/2006/relationships/hyperlink" Target="https://www.facebook.com/PVTLong?mibextid=ZbWKwL" TargetMode="External"/><Relationship Id="rId4789" Type="http://schemas.openxmlformats.org/officeDocument/2006/relationships/hyperlink" Target="https://www.facebook.com/alice.uyen.73?mibextid=ZbWKwL" TargetMode="External"/><Relationship Id="rId8660" Type="http://schemas.openxmlformats.org/officeDocument/2006/relationships/hyperlink" Target="https://www.facebook.com/profile.php?id=100013974739686&amp;mibextid=REkXMA" TargetMode="External"/><Relationship Id="rId1700" Type="http://schemas.openxmlformats.org/officeDocument/2006/relationships/hyperlink" Target="https://www.facebook.com/profile.php?id=100016000028877&amp;mibextid=LQQJ4d" TargetMode="External"/><Relationship Id="rId4856" Type="http://schemas.openxmlformats.org/officeDocument/2006/relationships/hyperlink" Target="https://drive.google.com/open?id=1gDIwqzd4RKOJwleRSSgHDEr87Z-QM6nZ" TargetMode="External"/><Relationship Id="rId5907" Type="http://schemas.openxmlformats.org/officeDocument/2006/relationships/hyperlink" Target="https://www.facebook.com/profile.php?id=61557052156540&amp;mibextid=LQQJ4d" TargetMode="External"/><Relationship Id="rId7262" Type="http://schemas.openxmlformats.org/officeDocument/2006/relationships/hyperlink" Target="https://drive.google.com/open?id=1m9ZPM3pF3f-XgQ33TcSLWV3RlOs-JHRb" TargetMode="External"/><Relationship Id="rId8313" Type="http://schemas.openxmlformats.org/officeDocument/2006/relationships/hyperlink" Target="https://www.facebook.com/no.kaka.12382" TargetMode="External"/><Relationship Id="rId3458" Type="http://schemas.openxmlformats.org/officeDocument/2006/relationships/hyperlink" Target="https://www.facebook.com/hinni.lan.5?mibextidLQQJ4" TargetMode="External"/><Relationship Id="rId3872" Type="http://schemas.openxmlformats.org/officeDocument/2006/relationships/hyperlink" Target="https://www.facebook.com/ngocmy.le.9231712?mibextid=LQQJ4d" TargetMode="External"/><Relationship Id="rId4509" Type="http://schemas.openxmlformats.org/officeDocument/2006/relationships/hyperlink" Target="https://www.facebook.com/profile.php?id=100016771843639&amp;mibextid=LQQJ4d" TargetMode="External"/><Relationship Id="rId379" Type="http://schemas.openxmlformats.org/officeDocument/2006/relationships/hyperlink" Target="https://www.facebook.com/profile.php?id=100029153340791&amp;mibextid=LQQJ4d" TargetMode="External"/><Relationship Id="rId793" Type="http://schemas.openxmlformats.org/officeDocument/2006/relationships/hyperlink" Target="https://drive.google.com/open?id=1T8z0ydsbjyIIBKIL-uVOF3W0AlKbQTqE" TargetMode="External"/><Relationship Id="rId2474" Type="http://schemas.openxmlformats.org/officeDocument/2006/relationships/hyperlink" Target="https://www.facebook.com/thanhtruc2206?mibextid=PlNXYD" TargetMode="External"/><Relationship Id="rId3525" Type="http://schemas.openxmlformats.org/officeDocument/2006/relationships/hyperlink" Target="https://drive.google.com/open?id=1uAh1HekRHmi6sGrCgDoP7H0iK2SQnogL" TargetMode="External"/><Relationship Id="rId4923" Type="http://schemas.openxmlformats.org/officeDocument/2006/relationships/hyperlink" Target="https://www.facebook.com/chich.bong.5817300?mibextid=LQQJ4d" TargetMode="External"/><Relationship Id="rId9087" Type="http://schemas.openxmlformats.org/officeDocument/2006/relationships/hyperlink" Target="https://www.facebook.com/ndiem.ne?mibextid=LQQJ4d" TargetMode="External"/><Relationship Id="rId446" Type="http://schemas.openxmlformats.org/officeDocument/2006/relationships/hyperlink" Target="https://www.facebook.com/profile.php?id=100032222719692" TargetMode="External"/><Relationship Id="rId1076" Type="http://schemas.openxmlformats.org/officeDocument/2006/relationships/hyperlink" Target="https://www.facebook.com/thanhthuy5552" TargetMode="External"/><Relationship Id="rId1490" Type="http://schemas.openxmlformats.org/officeDocument/2006/relationships/hyperlink" Target="https://www.facebook.com/bao.hoanggia.946954?mibextid=LQQJ4d" TargetMode="External"/><Relationship Id="rId2127" Type="http://schemas.openxmlformats.org/officeDocument/2006/relationships/hyperlink" Target="https://drive.google.com/open?id=1htkCllbuKsnxlTOfEm-2Jt0DFWn56rT5" TargetMode="External"/><Relationship Id="rId9154" Type="http://schemas.openxmlformats.org/officeDocument/2006/relationships/hyperlink" Target="https://www.facebook.com/profile.php?id=100031652410059" TargetMode="External"/><Relationship Id="rId860" Type="http://schemas.openxmlformats.org/officeDocument/2006/relationships/hyperlink" Target="https://drive.google.com/open?id=1IDoyaI_SmV-kw5oTVCnEa00V4ZgdB9Kj" TargetMode="External"/><Relationship Id="rId1143" Type="http://schemas.openxmlformats.org/officeDocument/2006/relationships/hyperlink" Target="https://www.facebook.com/tuhan.mac.1441?mibextid=LQQJ4d" TargetMode="External"/><Relationship Id="rId2541" Type="http://schemas.openxmlformats.org/officeDocument/2006/relationships/hyperlink" Target="https://drive.google.com/open?id=11_goa3hrL5U9QfZWS8oGlGpnv_rwiQ6O" TargetMode="External"/><Relationship Id="rId4299" Type="http://schemas.openxmlformats.org/officeDocument/2006/relationships/hyperlink" Target="https://www.facebook.com/profile.php?id=100077729891888&amp;mibextid=LQQJ4d" TargetMode="External"/><Relationship Id="rId5697" Type="http://schemas.openxmlformats.org/officeDocument/2006/relationships/hyperlink" Target="https://www.facebook.com/trinh.minh.hue1310" TargetMode="External"/><Relationship Id="rId6748" Type="http://schemas.openxmlformats.org/officeDocument/2006/relationships/hyperlink" Target="https://www.facebook.com/vh.anh07?mibextid=LQQJ4d" TargetMode="External"/><Relationship Id="rId8170" Type="http://schemas.openxmlformats.org/officeDocument/2006/relationships/hyperlink" Target="https://www.facebook.com/share/1DHWNYdAuF/?mibextid=wwXIfr" TargetMode="External"/><Relationship Id="rId513" Type="http://schemas.openxmlformats.org/officeDocument/2006/relationships/hyperlink" Target="https://www.facebook.com/phuong.xus.180" TargetMode="External"/><Relationship Id="rId5764" Type="http://schemas.openxmlformats.org/officeDocument/2006/relationships/hyperlink" Target="https://www.facebook.com/profile.php?id=100068600049163&amp;mibextid=LQQJ4d" TargetMode="External"/><Relationship Id="rId6815" Type="http://schemas.openxmlformats.org/officeDocument/2006/relationships/hyperlink" Target="https://www.facebook.com/profile.php?id=100054409000741&amp;mibextid=LQQJ4d" TargetMode="External"/><Relationship Id="rId9221" Type="http://schemas.openxmlformats.org/officeDocument/2006/relationships/hyperlink" Target="https://drive.google.com/open?id=1hP76JvREh5HEjkiKgbMxsU9jkO0lK9GY" TargetMode="External"/><Relationship Id="rId1210" Type="http://schemas.openxmlformats.org/officeDocument/2006/relationships/hyperlink" Target="https://drive.google.com/open?id=1CGvEI4Eke4NkKluwKNNvibxW3FLSvUQM" TargetMode="External"/><Relationship Id="rId4366" Type="http://schemas.openxmlformats.org/officeDocument/2006/relationships/hyperlink" Target="https://www.facebook.com/ngphuonglinh.26?mibextid=LQQJ4d" TargetMode="External"/><Relationship Id="rId4780" Type="http://schemas.openxmlformats.org/officeDocument/2006/relationships/hyperlink" Target="https://www.facebook.com/duyen.nguyenthimy.16718?mibextid=LQQJ4d" TargetMode="External"/><Relationship Id="rId5417" Type="http://schemas.openxmlformats.org/officeDocument/2006/relationships/hyperlink" Target="https://www.facebook.com/dangducdangiu?mibextid=LQQJ4d" TargetMode="External"/><Relationship Id="rId5831" Type="http://schemas.openxmlformats.org/officeDocument/2006/relationships/hyperlink" Target="https://www.facebook.com/anhanhtram.iny?mibextid=LQQJ4d" TargetMode="External"/><Relationship Id="rId8987" Type="http://schemas.openxmlformats.org/officeDocument/2006/relationships/hyperlink" Target="https://www.facebook.com/share/1A89hNnMB3/?mibextid=wwXIfr" TargetMode="External"/><Relationship Id="rId3382" Type="http://schemas.openxmlformats.org/officeDocument/2006/relationships/hyperlink" Target="https://www.facebook.com/profile.php?id=100043872978064" TargetMode="External"/><Relationship Id="rId4019" Type="http://schemas.openxmlformats.org/officeDocument/2006/relationships/hyperlink" Target="https://www.facebook.com/maihoang282001" TargetMode="External"/><Relationship Id="rId4433" Type="http://schemas.openxmlformats.org/officeDocument/2006/relationships/hyperlink" Target="https://www.facebook.com/profile.php?id=100049677888134&amp;mibextid=LQQJ4d" TargetMode="External"/><Relationship Id="rId7589" Type="http://schemas.openxmlformats.org/officeDocument/2006/relationships/hyperlink" Target="https://drive.google.com/open?id=1zxV8v-cBqYwK6oejCyVlGlaE--mpPyTI" TargetMode="External"/><Relationship Id="rId3035" Type="http://schemas.openxmlformats.org/officeDocument/2006/relationships/hyperlink" Target="https://www.facebook.com/connhohoNghieu?mibextid=PlNXYD" TargetMode="External"/><Relationship Id="rId4500" Type="http://schemas.openxmlformats.org/officeDocument/2006/relationships/hyperlink" Target="https://www.facebook.com/profile.php?id=100068083747091&amp;mibextid=LQQJ4d" TargetMode="External"/><Relationship Id="rId7656" Type="http://schemas.openxmlformats.org/officeDocument/2006/relationships/hyperlink" Target="https://www.facebook.com/profile.php?id=100022629068102&amp;mibextid=ZbWKwL" TargetMode="External"/><Relationship Id="rId8707" Type="http://schemas.openxmlformats.org/officeDocument/2006/relationships/hyperlink" Target="https://www.facebook.com/profile.php?id=100066181841569&amp;mibextid=LQQJ4d" TargetMode="External"/><Relationship Id="rId370" Type="http://schemas.openxmlformats.org/officeDocument/2006/relationships/hyperlink" Target="https://www.facebook.com/profile.php?id=100009610272940&amp;mibextid=ZbWKwL" TargetMode="External"/><Relationship Id="rId2051" Type="http://schemas.openxmlformats.org/officeDocument/2006/relationships/hyperlink" Target="https://www.facebook.com/100024936923350/" TargetMode="External"/><Relationship Id="rId3102" Type="http://schemas.openxmlformats.org/officeDocument/2006/relationships/hyperlink" Target="https://www.facebook.com/khanh.toan.Isme" TargetMode="External"/><Relationship Id="rId6258" Type="http://schemas.openxmlformats.org/officeDocument/2006/relationships/hyperlink" Target="https://www.facebook.com/n.p.linh2006?mibextid=LQQJ4d" TargetMode="External"/><Relationship Id="rId7309" Type="http://schemas.openxmlformats.org/officeDocument/2006/relationships/hyperlink" Target="https://www.facebook.com/linhlambangtan?mibextid=ZbWKwL" TargetMode="External"/><Relationship Id="rId5274" Type="http://schemas.openxmlformats.org/officeDocument/2006/relationships/hyperlink" Target="https://www.facebook.com/profile.php?id=61550848836636&amp;mibextid=LQQJ4d" TargetMode="External"/><Relationship Id="rId6325" Type="http://schemas.openxmlformats.org/officeDocument/2006/relationships/hyperlink" Target="https://www.facebook.com/profile.php?id=100055631994421&amp;mibextid=LQQJ4d" TargetMode="External"/><Relationship Id="rId6672" Type="http://schemas.openxmlformats.org/officeDocument/2006/relationships/hyperlink" Target="https://www.facebook.com/han.trong.3557?mibextid=LQQJ4d" TargetMode="External"/><Relationship Id="rId7723" Type="http://schemas.openxmlformats.org/officeDocument/2006/relationships/hyperlink" Target="https://www.facebook.com/wainan2736?mibextid=ZbWKwL" TargetMode="External"/><Relationship Id="rId2868" Type="http://schemas.openxmlformats.org/officeDocument/2006/relationships/hyperlink" Target="https://www.facebook.com/to.quan.180/" TargetMode="External"/><Relationship Id="rId3919" Type="http://schemas.openxmlformats.org/officeDocument/2006/relationships/hyperlink" Target="https://drive.google.com/open?id=16-uwKq9hv28fvVNtN1jVMVZ7AatRlH6J" TargetMode="External"/><Relationship Id="rId1884" Type="http://schemas.openxmlformats.org/officeDocument/2006/relationships/hyperlink" Target="https://www.facebook.com/vu.xuan.toan.2101" TargetMode="External"/><Relationship Id="rId2935" Type="http://schemas.openxmlformats.org/officeDocument/2006/relationships/hyperlink" Target="https://drive.google.com/open?id=1piE9lXO44TZaaNmO7qOahLJg3gCYxRF6" TargetMode="External"/><Relationship Id="rId4290" Type="http://schemas.openxmlformats.org/officeDocument/2006/relationships/hyperlink" Target="https://www.facebook.com/profile.php?id=100031652410059" TargetMode="External"/><Relationship Id="rId5341" Type="http://schemas.openxmlformats.org/officeDocument/2006/relationships/hyperlink" Target="https://www.facebook.com/profile.php?id=100054382825090&amp;mibextid=LQQJ4d" TargetMode="External"/><Relationship Id="rId8497" Type="http://schemas.openxmlformats.org/officeDocument/2006/relationships/hyperlink" Target="https://www.facebook.com/Trinh.quynhanh.37.habbit?mibextid=ZbWKwL" TargetMode="External"/><Relationship Id="rId9548" Type="http://schemas.openxmlformats.org/officeDocument/2006/relationships/hyperlink" Target="https://drive.google.com/open?id=1ClxRzrVSTY7KwPadnL99wj6tiPdBKH-1" TargetMode="External"/><Relationship Id="rId907" Type="http://schemas.openxmlformats.org/officeDocument/2006/relationships/hyperlink" Target="https://drive.google.com/open?id=1maSIIlDf7XZaxkrjAANr8K6GzOfbkseb" TargetMode="External"/><Relationship Id="rId1537" Type="http://schemas.openxmlformats.org/officeDocument/2006/relationships/hyperlink" Target="https://www.facebook.com/profile.php?id=100021829232455" TargetMode="External"/><Relationship Id="rId1951" Type="http://schemas.openxmlformats.org/officeDocument/2006/relationships/hyperlink" Target="https://www.facebook.com/xuyen.chu.1023?mibextid=cejktS" TargetMode="External"/><Relationship Id="rId7099" Type="http://schemas.openxmlformats.org/officeDocument/2006/relationships/hyperlink" Target="https://drive.google.com/open?id=1w6DtaWo9q7KrAqtZH54-YF1n_MmJPXnV" TargetMode="External"/><Relationship Id="rId8564" Type="http://schemas.openxmlformats.org/officeDocument/2006/relationships/hyperlink" Target="https://drive.google.com/open?id=1Cz1pntVvkUl-hH3npLneKe6OT6Wku_2X" TargetMode="External"/><Relationship Id="rId1604" Type="http://schemas.openxmlformats.org/officeDocument/2006/relationships/hyperlink" Target="https://www.facebook.com/ptd.42?mibextid=ZbWKwL" TargetMode="External"/><Relationship Id="rId4010" Type="http://schemas.openxmlformats.org/officeDocument/2006/relationships/hyperlink" Target="https://drive.google.com/open?id=1Ghu19tNzYWuI6AwUNzwYi7YWPo7VmEuX" TargetMode="External"/><Relationship Id="rId7166" Type="http://schemas.openxmlformats.org/officeDocument/2006/relationships/hyperlink" Target="https://www.facebook.com/dynhh.biwe206" TargetMode="External"/><Relationship Id="rId7580" Type="http://schemas.openxmlformats.org/officeDocument/2006/relationships/hyperlink" Target="https://www.facebook.com/profile.php?id=100050793044131&amp;mibextid=ZbWKwL" TargetMode="External"/><Relationship Id="rId8217" Type="http://schemas.openxmlformats.org/officeDocument/2006/relationships/hyperlink" Target="https://drive.google.com/open?id=1hULLcUiaQmb-Qf1QtvmgeSqBqh1w6I8p" TargetMode="External"/><Relationship Id="rId8631" Type="http://schemas.openxmlformats.org/officeDocument/2006/relationships/hyperlink" Target="https://www.facebook.com/profile.php?id=100023936400619&amp;mibextid=JRoKGi" TargetMode="External"/><Relationship Id="rId6182" Type="http://schemas.openxmlformats.org/officeDocument/2006/relationships/hyperlink" Target="https://www.facebook.com/nhung0107?mibextid=LQQJ4d" TargetMode="External"/><Relationship Id="rId7233" Type="http://schemas.openxmlformats.org/officeDocument/2006/relationships/hyperlink" Target="https://www.facebook.com/Thowm99?mibextid=ZbWKwL" TargetMode="External"/><Relationship Id="rId697" Type="http://schemas.openxmlformats.org/officeDocument/2006/relationships/hyperlink" Target="https://www.facebook.com/NhiQuynh0309" TargetMode="External"/><Relationship Id="rId2378" Type="http://schemas.openxmlformats.org/officeDocument/2006/relationships/hyperlink" Target="https://www.facebook.com/vanhuy2050?mibextid=LQQJ4d" TargetMode="External"/><Relationship Id="rId3429" Type="http://schemas.openxmlformats.org/officeDocument/2006/relationships/hyperlink" Target="https://drive.google.com/open?id=1KrO23bc0dYyoS4hvOKQHBOjj4c5IUoh8" TargetMode="External"/><Relationship Id="rId3776" Type="http://schemas.openxmlformats.org/officeDocument/2006/relationships/hyperlink" Target="https://www.facebook.com/100024453649476/" TargetMode="External"/><Relationship Id="rId4827" Type="http://schemas.openxmlformats.org/officeDocument/2006/relationships/hyperlink" Target="https://drive.google.com/open?id=1KUsEht7MO1WXmNASlN07LFpGO86mp8G3" TargetMode="External"/><Relationship Id="rId2792" Type="http://schemas.openxmlformats.org/officeDocument/2006/relationships/hyperlink" Target="https://drive.google.com/open?id=1WHieiVJNYW5_3cIHebR7FozcZ5QIyzpw" TargetMode="External"/><Relationship Id="rId3843" Type="http://schemas.openxmlformats.org/officeDocument/2006/relationships/hyperlink" Target="https://www.facebook.com/profile.php?id=100033505097108" TargetMode="External"/><Relationship Id="rId6999" Type="http://schemas.openxmlformats.org/officeDocument/2006/relationships/hyperlink" Target="https://www.facebook.com/lily.kawaiii?mibextid=LQQJ4d" TargetMode="External"/><Relationship Id="rId7300" Type="http://schemas.openxmlformats.org/officeDocument/2006/relationships/hyperlink" Target="https://drive.google.com/open?id=1Jh6sc23584LB3GXV-gsJgsO6rPcGu3Bb" TargetMode="External"/><Relationship Id="rId9058" Type="http://schemas.openxmlformats.org/officeDocument/2006/relationships/hyperlink" Target="https://www.facebook.com/profile.php?id=100068830412854&amp;mibextid=LQQJ4d" TargetMode="External"/><Relationship Id="rId764" Type="http://schemas.openxmlformats.org/officeDocument/2006/relationships/hyperlink" Target="https://drive.google.com/open?id=1tobdzWuKVecUuYgTLWQw9cQgXsQvzCmg" TargetMode="External"/><Relationship Id="rId1394" Type="http://schemas.openxmlformats.org/officeDocument/2006/relationships/hyperlink" Target="https://drive.google.com/open?id=1o3SIHs8ZXcErfge10bGlg3PEhmAAQkbJ" TargetMode="External"/><Relationship Id="rId2445" Type="http://schemas.openxmlformats.org/officeDocument/2006/relationships/hyperlink" Target="https://drive.google.com/open?id=1GlykXfhTqTcm3WjUu7hqF81iuLj3Cw5f" TargetMode="External"/><Relationship Id="rId3910" Type="http://schemas.openxmlformats.org/officeDocument/2006/relationships/hyperlink" Target="https://www.facebook.com/copylinkfbtaolamgi0w0?mibextid=LQQJ4d" TargetMode="External"/><Relationship Id="rId9472" Type="http://schemas.openxmlformats.org/officeDocument/2006/relationships/hyperlink" Target="https://www.facebook.com/profile.php?id=100061769598015&amp;mibextid=LQQJ4d" TargetMode="External"/><Relationship Id="rId417" Type="http://schemas.openxmlformats.org/officeDocument/2006/relationships/hyperlink" Target="https://drive.google.com/open?id=1ACGi-n5VhcX25abbZiZMAiGV67Z3U3e7" TargetMode="External"/><Relationship Id="rId831" Type="http://schemas.openxmlformats.org/officeDocument/2006/relationships/hyperlink" Target="https://www.facebook.com/malong.trung" TargetMode="External"/><Relationship Id="rId1047" Type="http://schemas.openxmlformats.org/officeDocument/2006/relationships/hyperlink" Target="https://www.facebook.com/profile.php?id=100022415686199&amp;mibextid=LQQJ4d" TargetMode="External"/><Relationship Id="rId1461" Type="http://schemas.openxmlformats.org/officeDocument/2006/relationships/hyperlink" Target="https://www.facebook.com/profile.php?id=100078478845459&amp;mibextid=LQQJ4d" TargetMode="External"/><Relationship Id="rId2512" Type="http://schemas.openxmlformats.org/officeDocument/2006/relationships/hyperlink" Target="https://drive.google.com/open?id=1ttu_LOZ5L8tQ_scXdLzlTMucpwysGfcY" TargetMode="External"/><Relationship Id="rId5668" Type="http://schemas.openxmlformats.org/officeDocument/2006/relationships/hyperlink" Target="https://www.facebook.com/vuthi.quynhtrang.10" TargetMode="External"/><Relationship Id="rId6719" Type="http://schemas.openxmlformats.org/officeDocument/2006/relationships/hyperlink" Target="https://drive.google.com/open?id=1idxYyUGqoVezjgPQw-eL9ItUHFUcjlra" TargetMode="External"/><Relationship Id="rId8074" Type="http://schemas.openxmlformats.org/officeDocument/2006/relationships/hyperlink" Target="https://drive.google.com/open?id=1h55qhIW23Z0kNxLCBW_QYgxleQi4BV1L" TargetMode="External"/><Relationship Id="rId9125" Type="http://schemas.openxmlformats.org/officeDocument/2006/relationships/hyperlink" Target="https://www.facebook.com/profile.php?id=100081040835992&amp;mibextid=ZbWKwL" TargetMode="External"/><Relationship Id="rId1114" Type="http://schemas.openxmlformats.org/officeDocument/2006/relationships/hyperlink" Target="https://www.facebook.com/profile.php?id=100080828614738&amp;mibextid=LQQJ4d" TargetMode="External"/><Relationship Id="rId4684" Type="http://schemas.openxmlformats.org/officeDocument/2006/relationships/hyperlink" Target="https://drive.google.com/open?id=14cRWziEHmvjCIgOaOiYknqaXYTc7Qrfb" TargetMode="External"/><Relationship Id="rId5735" Type="http://schemas.openxmlformats.org/officeDocument/2006/relationships/hyperlink" Target="https://www.facebook.com/profile.php?id=100089556412919&amp;mibextid=JRoKGi" TargetMode="External"/><Relationship Id="rId7090" Type="http://schemas.openxmlformats.org/officeDocument/2006/relationships/hyperlink" Target="https://drive.google.com/open?id=1WKHVVWgvKo5kh0aIFvJyrryTFa7M7pL-" TargetMode="External"/><Relationship Id="rId8141" Type="http://schemas.openxmlformats.org/officeDocument/2006/relationships/hyperlink" Target="https://www.facebook.com/profile.php?id=100053632210093" TargetMode="External"/><Relationship Id="rId3286" Type="http://schemas.openxmlformats.org/officeDocument/2006/relationships/hyperlink" Target="https://www.facebook.com/phamthimai.huong.1205?mibextid=ZbWKwL" TargetMode="External"/><Relationship Id="rId4337" Type="http://schemas.openxmlformats.org/officeDocument/2006/relationships/hyperlink" Target="https://www.facebook.com/profile.php?id=100073043361013" TargetMode="External"/><Relationship Id="rId3353" Type="http://schemas.openxmlformats.org/officeDocument/2006/relationships/hyperlink" Target="https://drive.google.com/open?id=1TjlHMBgpk06R-XmHSNi4rYirm-FbncQF" TargetMode="External"/><Relationship Id="rId4751" Type="http://schemas.openxmlformats.org/officeDocument/2006/relationships/hyperlink" Target="https://www.facebook.com/profile.php?id=100086381330945&amp;mibextid=LQQJ4d" TargetMode="External"/><Relationship Id="rId5802" Type="http://schemas.openxmlformats.org/officeDocument/2006/relationships/hyperlink" Target="https://drive.google.com/open?id=1HC5y1rL6IQmexEkYeHEkbId9ezwDsDki" TargetMode="External"/><Relationship Id="rId8958" Type="http://schemas.openxmlformats.org/officeDocument/2006/relationships/hyperlink" Target="https://www.facebook.com/thanhkun.cute?mibextid=ZbWKwL" TargetMode="External"/><Relationship Id="rId274" Type="http://schemas.openxmlformats.org/officeDocument/2006/relationships/hyperlink" Target="https://www.facebook.com/profile.php?id=100092587253979" TargetMode="External"/><Relationship Id="rId3006" Type="http://schemas.openxmlformats.org/officeDocument/2006/relationships/hyperlink" Target="https://www.facebook.com/profile.php?id=100037460615955&amp;mibextid=LQQJ4d" TargetMode="External"/><Relationship Id="rId4404" Type="http://schemas.openxmlformats.org/officeDocument/2006/relationships/hyperlink" Target="https://www.facebook.com/profile.php?id=100060308176763&amp;mibextid=ZbWKwL" TargetMode="External"/><Relationship Id="rId7974" Type="http://schemas.openxmlformats.org/officeDocument/2006/relationships/hyperlink" Target="https://www.facebook.com/thanh.phanthi.5602728?mibextid=LQQJ4d" TargetMode="External"/><Relationship Id="rId3420" Type="http://schemas.openxmlformats.org/officeDocument/2006/relationships/hyperlink" Target="https://www.facebook.com/phamtu.info" TargetMode="External"/><Relationship Id="rId6576" Type="http://schemas.openxmlformats.org/officeDocument/2006/relationships/hyperlink" Target="https://www.facebook.com/profile.php?id=100066019002870&amp;mibextid=LQQJ4d" TargetMode="External"/><Relationship Id="rId6990" Type="http://schemas.openxmlformats.org/officeDocument/2006/relationships/hyperlink" Target="https://www.facebook.com/profile.php?id=100036863714470&amp;mibextid=LQQJ4d&amp;rdid=yMY5kmc2EPw6tccs&amp;share_url=https%3A%2F%2Fwww.facebook.com%2Fshare%2FuUTCYPsXwvQnwyoo%2F%3Fmibextid%3DLQQJ4d" TargetMode="External"/><Relationship Id="rId7627" Type="http://schemas.openxmlformats.org/officeDocument/2006/relationships/hyperlink" Target="https://www.facebook.com/hieu.ducky.5?mibextid=LQQJ4d" TargetMode="External"/><Relationship Id="rId341" Type="http://schemas.openxmlformats.org/officeDocument/2006/relationships/hyperlink" Target="https://drive.google.com/open?id=1AYZLI5oYIO4557QI96UuGr3PH3fbdZF8" TargetMode="External"/><Relationship Id="rId2022" Type="http://schemas.openxmlformats.org/officeDocument/2006/relationships/hyperlink" Target="https://www.facebook.com/profile.php?id=100086758733211&amp;mibextid=LQQJ4d" TargetMode="External"/><Relationship Id="rId5178" Type="http://schemas.openxmlformats.org/officeDocument/2006/relationships/hyperlink" Target="https://www.facebook.com/profile.php?id=100029344940325&amp;mibextid=ZbWKwL" TargetMode="External"/><Relationship Id="rId5592" Type="http://schemas.openxmlformats.org/officeDocument/2006/relationships/hyperlink" Target="https://www.facebook.com/slime.nguyen.56?mibextid=ZbWKwL" TargetMode="External"/><Relationship Id="rId6229" Type="http://schemas.openxmlformats.org/officeDocument/2006/relationships/hyperlink" Target="https://www.facebook.com/chin.pham.71271466?mibextid=LQQJ4d" TargetMode="External"/><Relationship Id="rId6643" Type="http://schemas.openxmlformats.org/officeDocument/2006/relationships/hyperlink" Target="https://drive.google.com/open?id=1hUGanhnYZfST4DfBYIEBv8ZaYNgAUYDa" TargetMode="External"/><Relationship Id="rId1788" Type="http://schemas.openxmlformats.org/officeDocument/2006/relationships/hyperlink" Target="https://www.facebook.com/profile.php?id=100066811717767&amp;mibextid=ZbWKwL" TargetMode="External"/><Relationship Id="rId2839" Type="http://schemas.openxmlformats.org/officeDocument/2006/relationships/hyperlink" Target="https://drive.google.com/open?id=1X5nY20aYxIAm3_eYeumuihkFKKwNmqcx" TargetMode="External"/><Relationship Id="rId4194" Type="http://schemas.openxmlformats.org/officeDocument/2006/relationships/hyperlink" Target="https://www.facebook.com/hngberry28?mibextid=LQQJ4d" TargetMode="External"/><Relationship Id="rId5245" Type="http://schemas.openxmlformats.org/officeDocument/2006/relationships/hyperlink" Target="https://drive.google.com/open?id=1cOmft4pczYVffabje5-oyDbHaMs10196" TargetMode="External"/><Relationship Id="rId6710" Type="http://schemas.openxmlformats.org/officeDocument/2006/relationships/hyperlink" Target="https://drive.google.com/open?id=1jMHYwAujFvd58dM-jL3q4pwz-OteAQmF" TargetMode="External"/><Relationship Id="rId4261" Type="http://schemas.openxmlformats.org/officeDocument/2006/relationships/hyperlink" Target="https://www.facebook.com/profile.php?id=100065465332377" TargetMode="External"/><Relationship Id="rId5312" Type="http://schemas.openxmlformats.org/officeDocument/2006/relationships/hyperlink" Target="https://www.facebook.com/profile.php?id=100053891419767" TargetMode="External"/><Relationship Id="rId8468" Type="http://schemas.openxmlformats.org/officeDocument/2006/relationships/hyperlink" Target="https://www.facebook.com/thodangiuuuu" TargetMode="External"/><Relationship Id="rId9519" Type="http://schemas.openxmlformats.org/officeDocument/2006/relationships/hyperlink" Target="https://www.facebook.com/share/15AWXW6cW5/?mibextid=wwXIfr" TargetMode="External"/><Relationship Id="rId1508" Type="http://schemas.openxmlformats.org/officeDocument/2006/relationships/hyperlink" Target="https://www.facebook.com/profile.php?id=100017119905197" TargetMode="External"/><Relationship Id="rId1855" Type="http://schemas.openxmlformats.org/officeDocument/2006/relationships/hyperlink" Target="https://drive.google.com/open?id=1a41izxQ7XjhTEhKVXR0gT7ULDRQSLrys" TargetMode="External"/><Relationship Id="rId2906" Type="http://schemas.openxmlformats.org/officeDocument/2006/relationships/hyperlink" Target="https://www.facebook.com/profile.php?id=100022120253231&amp;mibextid=LQQJ4d" TargetMode="External"/><Relationship Id="rId7484" Type="http://schemas.openxmlformats.org/officeDocument/2006/relationships/hyperlink" Target="https://www.facebook.com/profile.php?id=100036473514140" TargetMode="External"/><Relationship Id="rId8535" Type="http://schemas.openxmlformats.org/officeDocument/2006/relationships/hyperlink" Target="https://drive.google.com/open?id=1_Bp1xe2J5aSo2WUlffZSwyaLS__8Unly" TargetMode="External"/><Relationship Id="rId8882" Type="http://schemas.openxmlformats.org/officeDocument/2006/relationships/hyperlink" Target="https://www.facebook.com/profile.php?id=100032289544378" TargetMode="External"/><Relationship Id="rId1922" Type="http://schemas.openxmlformats.org/officeDocument/2006/relationships/hyperlink" Target="https://www.facebook.com/profile.php?id=100040869501071&amp;mibextid=LQQJ4d" TargetMode="External"/><Relationship Id="rId6086" Type="http://schemas.openxmlformats.org/officeDocument/2006/relationships/hyperlink" Target="https://www.facebook.com/profile.php?id=100080974934700" TargetMode="External"/><Relationship Id="rId7137" Type="http://schemas.openxmlformats.org/officeDocument/2006/relationships/hyperlink" Target="https://drive.google.com/open?id=18UUTutUaG2J1436Xffh6Fq1CzqoHNJMj" TargetMode="External"/><Relationship Id="rId7551" Type="http://schemas.openxmlformats.org/officeDocument/2006/relationships/hyperlink" Target="https://www.facebook.com/profile.php?id=100016840446932&amp;mibextid=7cd5pb" TargetMode="External"/><Relationship Id="rId8602" Type="http://schemas.openxmlformats.org/officeDocument/2006/relationships/hyperlink" Target="https://www.facebook.com/jenius345?mibextid=ZbWKwL" TargetMode="External"/><Relationship Id="rId2696" Type="http://schemas.openxmlformats.org/officeDocument/2006/relationships/hyperlink" Target="https://www.facebook.com/share/4hJa6vtvuTqF7MTZ/?" TargetMode="External"/><Relationship Id="rId3747" Type="http://schemas.openxmlformats.org/officeDocument/2006/relationships/hyperlink" Target="https://www.facebook.com/profile.php?id=100033523038621" TargetMode="External"/><Relationship Id="rId6153" Type="http://schemas.openxmlformats.org/officeDocument/2006/relationships/hyperlink" Target="https://www.facebook.com/profile.php?id=100038625307055" TargetMode="External"/><Relationship Id="rId7204" Type="http://schemas.openxmlformats.org/officeDocument/2006/relationships/hyperlink" Target="https://www.facebook.com/profile.php?id=100074223753460" TargetMode="External"/><Relationship Id="rId668" Type="http://schemas.openxmlformats.org/officeDocument/2006/relationships/hyperlink" Target="https://www.facebook.com/profile.php?id=100010170812231" TargetMode="External"/><Relationship Id="rId1298" Type="http://schemas.openxmlformats.org/officeDocument/2006/relationships/hyperlink" Target="https://drive.google.com/open?id=105XVopobO3dtPOHohs0DdkfZSiazuIGF" TargetMode="External"/><Relationship Id="rId2349" Type="http://schemas.openxmlformats.org/officeDocument/2006/relationships/hyperlink" Target="https://www.facebook.com/tong.thaonhi.0401?mibextid=LQQJ4d" TargetMode="External"/><Relationship Id="rId2763" Type="http://schemas.openxmlformats.org/officeDocument/2006/relationships/hyperlink" Target="https://drive.google.com/open?id=1WTiJV88ue57ezw7xSrcFcZeId07_G3Dd" TargetMode="External"/><Relationship Id="rId3814" Type="http://schemas.openxmlformats.org/officeDocument/2006/relationships/hyperlink" Target="https://www.facebook.com/superidol.hd?mibextid=LQQJ4d" TargetMode="External"/><Relationship Id="rId6220" Type="http://schemas.openxmlformats.org/officeDocument/2006/relationships/hyperlink" Target="https://www.facebook.com/profile.php?id=100055875903759&amp;mibextid=LQQJ4d" TargetMode="External"/><Relationship Id="rId9376" Type="http://schemas.openxmlformats.org/officeDocument/2006/relationships/hyperlink" Target="https://drive.google.com/open?id=1k5IIxHiehgySkWakinjhvk8zWyJaDXfI" TargetMode="External"/><Relationship Id="rId735" Type="http://schemas.openxmlformats.org/officeDocument/2006/relationships/hyperlink" Target="https://www.facebook.com/profile.php?id=100031028783353&amp;mibextid=LQQJ4d" TargetMode="External"/><Relationship Id="rId1365" Type="http://schemas.openxmlformats.org/officeDocument/2006/relationships/hyperlink" Target="https://www.facebook.com/profile.php?id=100056607744461" TargetMode="External"/><Relationship Id="rId2416" Type="http://schemas.openxmlformats.org/officeDocument/2006/relationships/hyperlink" Target="https://www.facebook.com/nguyena2mk?mibextid=LQQJ4d" TargetMode="External"/><Relationship Id="rId8392" Type="http://schemas.openxmlformats.org/officeDocument/2006/relationships/hyperlink" Target="https://www.facebook.com/profile.php?id=100042881387967&amp;mibextid=LQQJ4d" TargetMode="External"/><Relationship Id="rId9029" Type="http://schemas.openxmlformats.org/officeDocument/2006/relationships/hyperlink" Target="https://www.facebook.com/share/1LDj7iPJW2/" TargetMode="External"/><Relationship Id="rId9443" Type="http://schemas.openxmlformats.org/officeDocument/2006/relationships/hyperlink" Target="https://www.facebook.com/profile.php?id=100054439155168" TargetMode="External"/><Relationship Id="rId1018" Type="http://schemas.openxmlformats.org/officeDocument/2006/relationships/hyperlink" Target="https://drive.google.com/open?id=1MKZOWnDyh_4J-q0LA93GnQWxxSO5qoRg" TargetMode="External"/><Relationship Id="rId1432" Type="http://schemas.openxmlformats.org/officeDocument/2006/relationships/hyperlink" Target="https://www.facebook.com/GarciaCurtis13" TargetMode="External"/><Relationship Id="rId2830" Type="http://schemas.openxmlformats.org/officeDocument/2006/relationships/hyperlink" Target="https://www.facebook.com/lamhoa128?mibextid=LQQJ4d" TargetMode="External"/><Relationship Id="rId4588" Type="http://schemas.openxmlformats.org/officeDocument/2006/relationships/hyperlink" Target="https://www.facebook.com/daishinkan1043?mibextid=LQQJ4d" TargetMode="External"/><Relationship Id="rId5639" Type="http://schemas.openxmlformats.org/officeDocument/2006/relationships/hyperlink" Target="https://www.facebook.com/profile.php?id=100064278098622&amp;mibextid=LQQJ4d" TargetMode="External"/><Relationship Id="rId5986" Type="http://schemas.openxmlformats.org/officeDocument/2006/relationships/hyperlink" Target="https://www.facebook.com/vanluon.duong.777?mibextid=LQQJ4d" TargetMode="External"/><Relationship Id="rId8045" Type="http://schemas.openxmlformats.org/officeDocument/2006/relationships/hyperlink" Target="https://www.facebook.com/profile.php?id=100079514685688&amp;mibextid=ZbWKwL" TargetMode="External"/><Relationship Id="rId71" Type="http://schemas.openxmlformats.org/officeDocument/2006/relationships/hyperlink" Target="https://www.facebook.com/profile.php?id=100086800088725" TargetMode="External"/><Relationship Id="rId802" Type="http://schemas.openxmlformats.org/officeDocument/2006/relationships/hyperlink" Target="https://www.facebook.com/profile.php?id=100071989111012&amp;mibextid=9R9pXO" TargetMode="External"/><Relationship Id="rId7061" Type="http://schemas.openxmlformats.org/officeDocument/2006/relationships/hyperlink" Target="https://www.facebook.com/profile.php?id=100023543910540&amp;mibextid=LQQJ4d" TargetMode="External"/><Relationship Id="rId8112" Type="http://schemas.openxmlformats.org/officeDocument/2006/relationships/hyperlink" Target="https://web.facebook.com/nthy2601" TargetMode="External"/><Relationship Id="rId9510" Type="http://schemas.openxmlformats.org/officeDocument/2006/relationships/hyperlink" Target="https://drive.google.com/open?id=1jDrge_qzX2rsYigoLp2jdclz3dIDSd_J" TargetMode="External"/><Relationship Id="rId4655" Type="http://schemas.openxmlformats.org/officeDocument/2006/relationships/hyperlink" Target="https://www.facebook.com/linh.lybee.52" TargetMode="External"/><Relationship Id="rId5706" Type="http://schemas.openxmlformats.org/officeDocument/2006/relationships/hyperlink" Target="https://www.facebook.com/vietahdznhmt?mibextid=LQQJ4d" TargetMode="External"/><Relationship Id="rId178" Type="http://schemas.openxmlformats.org/officeDocument/2006/relationships/hyperlink" Target="https://www.facebook.com/trongbeo67?mibextid=LQQJ4d" TargetMode="External"/><Relationship Id="rId3257" Type="http://schemas.openxmlformats.org/officeDocument/2006/relationships/hyperlink" Target="https://www.facebook.com/profile.php?id=100047018533763&amp;mibextid=ZbWKwL" TargetMode="External"/><Relationship Id="rId3671" Type="http://schemas.openxmlformats.org/officeDocument/2006/relationships/hyperlink" Target="https://www.facebook.com/xuyen.chu.1023?mibextid=cejktS" TargetMode="External"/><Relationship Id="rId4308" Type="http://schemas.openxmlformats.org/officeDocument/2006/relationships/hyperlink" Target="https://www.facebook.com/profile.php?id=100047727480025&amp;mibextid=LQQJ4d" TargetMode="External"/><Relationship Id="rId4722" Type="http://schemas.openxmlformats.org/officeDocument/2006/relationships/hyperlink" Target="https://drive.google.com/open?id=1ZMRIMJf5sRVBWVOjEz4BZ-U0MijfEpPs" TargetMode="External"/><Relationship Id="rId7878" Type="http://schemas.openxmlformats.org/officeDocument/2006/relationships/hyperlink" Target="https://www.facebook.com/profile.php?id=100040485382059" TargetMode="External"/><Relationship Id="rId8929" Type="http://schemas.openxmlformats.org/officeDocument/2006/relationships/hyperlink" Target="https://drive.google.com/open?id=1jizUbVHUzaUCjrAzZgk7-WPxAO2FnjlB" TargetMode="External"/><Relationship Id="rId592" Type="http://schemas.openxmlformats.org/officeDocument/2006/relationships/hyperlink" Target="https://www.facebook.com/profile.php?id=100024419641356" TargetMode="External"/><Relationship Id="rId2273" Type="http://schemas.openxmlformats.org/officeDocument/2006/relationships/hyperlink" Target="https://drive.google.com/open?id=1cN1nyTR2UxM7TJ-jWmbycEh1GjDdM3v4" TargetMode="External"/><Relationship Id="rId3324" Type="http://schemas.openxmlformats.org/officeDocument/2006/relationships/hyperlink" Target="https://www.facebook.com/ken.pham.52206" TargetMode="External"/><Relationship Id="rId6894" Type="http://schemas.openxmlformats.org/officeDocument/2006/relationships/hyperlink" Target="https://www.facebook.com/habang.di.528?mibextid=LQQJ4d" TargetMode="External"/><Relationship Id="rId7945" Type="http://schemas.openxmlformats.org/officeDocument/2006/relationships/hyperlink" Target="https://www.facebook.com/profile.php?id=100074195116266&amp;mibextid=ZbWKwL" TargetMode="External"/><Relationship Id="rId245" Type="http://schemas.openxmlformats.org/officeDocument/2006/relationships/hyperlink" Target="https://drive.google.com/open?id=1zRPgGz4RsWKZQXfa4M8n7jDrvoaL_Q3l" TargetMode="External"/><Relationship Id="rId2340" Type="http://schemas.openxmlformats.org/officeDocument/2006/relationships/hyperlink" Target="https://www.facebook.com/profile.php?id=100038512759256&amp;mibextid=LQQJ4d" TargetMode="External"/><Relationship Id="rId5496" Type="http://schemas.openxmlformats.org/officeDocument/2006/relationships/hyperlink" Target="https://www.facebook.com/ngthiuyn190?mibextid=ZbWKwL" TargetMode="External"/><Relationship Id="rId6547" Type="http://schemas.openxmlformats.org/officeDocument/2006/relationships/hyperlink" Target="https://www.facebook.com/ot.be.963?mibextid=ZbWKwL" TargetMode="External"/><Relationship Id="rId312" Type="http://schemas.openxmlformats.org/officeDocument/2006/relationships/hyperlink" Target="https://www.facebook.com/Thanhthuy562005?mibextid=LQQJ4d" TargetMode="External"/><Relationship Id="rId4098" Type="http://schemas.openxmlformats.org/officeDocument/2006/relationships/hyperlink" Target="https://www.facebook.com/baonhi.vu.75491856?mibextid=LQQJ4d" TargetMode="External"/><Relationship Id="rId5149" Type="http://schemas.openxmlformats.org/officeDocument/2006/relationships/hyperlink" Target="https://www.facebook.com/profile.php?id=100029597259116&amp;mibextid=LQQJ4d" TargetMode="External"/><Relationship Id="rId5563" Type="http://schemas.openxmlformats.org/officeDocument/2006/relationships/hyperlink" Target="https://www.facebook.com/profile.php?id=100076003883858" TargetMode="External"/><Relationship Id="rId6961" Type="http://schemas.openxmlformats.org/officeDocument/2006/relationships/hyperlink" Target="https://www.facebook.com/duong.phamkhachoang" TargetMode="External"/><Relationship Id="rId9020" Type="http://schemas.openxmlformats.org/officeDocument/2006/relationships/hyperlink" Target="https://drive.google.com/open?id=15DYkA9EqndQPIBalvXV15wav2azziDCx" TargetMode="External"/><Relationship Id="rId4165" Type="http://schemas.openxmlformats.org/officeDocument/2006/relationships/hyperlink" Target="https://www.facebook.com/profile.php?id=100023773683772&amp;mibextid=LQQJ4d" TargetMode="External"/><Relationship Id="rId5216" Type="http://schemas.openxmlformats.org/officeDocument/2006/relationships/hyperlink" Target="https://www.facebook.com/khanh.luongquoc.716" TargetMode="External"/><Relationship Id="rId6614" Type="http://schemas.openxmlformats.org/officeDocument/2006/relationships/hyperlink" Target="https://www.facebook.com/profile.php?id=100069882165065" TargetMode="External"/><Relationship Id="rId1759" Type="http://schemas.openxmlformats.org/officeDocument/2006/relationships/hyperlink" Target="https://www.facebook.com/tragiang.tranthi.111?mibextid=ZbWKwL" TargetMode="External"/><Relationship Id="rId3181" Type="http://schemas.openxmlformats.org/officeDocument/2006/relationships/hyperlink" Target="https://www.facebook.com/profile.php?id=100046955887548" TargetMode="External"/><Relationship Id="rId5630" Type="http://schemas.openxmlformats.org/officeDocument/2006/relationships/hyperlink" Target="https://www.facebook.com/profile.php?id=100078479951323&amp;mibextid=ZbWKwL" TargetMode="External"/><Relationship Id="rId8786" Type="http://schemas.openxmlformats.org/officeDocument/2006/relationships/hyperlink" Target="https://www.facebook.com/profile.php?id=100075152136568&amp;mibextid=LQQJ4d" TargetMode="External"/><Relationship Id="rId1826" Type="http://schemas.openxmlformats.org/officeDocument/2006/relationships/hyperlink" Target="https://www.facebook.com/100075415644518/" TargetMode="External"/><Relationship Id="rId4232" Type="http://schemas.openxmlformats.org/officeDocument/2006/relationships/hyperlink" Target="https://www.facebook.com/loc.vuquoc.54?mibextid=LQQJ4d" TargetMode="External"/><Relationship Id="rId7388" Type="http://schemas.openxmlformats.org/officeDocument/2006/relationships/hyperlink" Target="https://www.facebook.com/profile.php?id=100057503253533&amp;mibextid=ZbWKwL" TargetMode="External"/><Relationship Id="rId8439" Type="http://schemas.openxmlformats.org/officeDocument/2006/relationships/hyperlink" Target="https://www.facebook.com/profile.php?id=100076888877010" TargetMode="External"/><Relationship Id="rId8853" Type="http://schemas.openxmlformats.org/officeDocument/2006/relationships/hyperlink" Target="https://drive.google.com/open?id=1D9uIwiJ0OL-TARJXdH14ddRRTTNoLyPt" TargetMode="External"/><Relationship Id="rId3998" Type="http://schemas.openxmlformats.org/officeDocument/2006/relationships/hyperlink" Target="https://www.facebook.com/profile.php?id=100023814316104" TargetMode="External"/><Relationship Id="rId7455" Type="http://schemas.openxmlformats.org/officeDocument/2006/relationships/hyperlink" Target="https://www.facebook.com/profile.php?id=100055829710316&amp;mibextid=LQQJ4d" TargetMode="External"/><Relationship Id="rId8506" Type="http://schemas.openxmlformats.org/officeDocument/2006/relationships/hyperlink" Target="https://www.facebook.com/profile.php?id=100053333910106&amp;mibextid=LQQJ4d" TargetMode="External"/><Relationship Id="rId8920" Type="http://schemas.openxmlformats.org/officeDocument/2006/relationships/hyperlink" Target="https://www.facebook.com/profile.php?id=100049935947489" TargetMode="External"/><Relationship Id="rId6057" Type="http://schemas.openxmlformats.org/officeDocument/2006/relationships/hyperlink" Target="https://www.facebook.com/nguyenhuu.quyen.3386?mibextid=ZbWKwL" TargetMode="External"/><Relationship Id="rId6471" Type="http://schemas.openxmlformats.org/officeDocument/2006/relationships/hyperlink" Target="https://www.facebook.com/profile.php?id=100015365976285&amp;mibextid=LQQJ4d" TargetMode="External"/><Relationship Id="rId7108" Type="http://schemas.openxmlformats.org/officeDocument/2006/relationships/hyperlink" Target="https://drive.google.com/open?id=1mJYDN_sJMLpIin9cpYgNpcM5WUn4MniF" TargetMode="External"/><Relationship Id="rId7522" Type="http://schemas.openxmlformats.org/officeDocument/2006/relationships/hyperlink" Target="https://www.facebook.com/profile.php?id=100080642105798&amp;mibextid=LQQJ4d" TargetMode="External"/><Relationship Id="rId986" Type="http://schemas.openxmlformats.org/officeDocument/2006/relationships/hyperlink" Target="https://www.facebook.com/tranthii.kieuuly" TargetMode="External"/><Relationship Id="rId2667" Type="http://schemas.openxmlformats.org/officeDocument/2006/relationships/hyperlink" Target="https://www.facebook.com/profile.php?id=100027445922898" TargetMode="External"/><Relationship Id="rId3718" Type="http://schemas.openxmlformats.org/officeDocument/2006/relationships/hyperlink" Target="https://drive.google.com/open?id=1NDSX8wZwZtTy6ghyzhUJXiRHkpZOJ3tb" TargetMode="External"/><Relationship Id="rId5073" Type="http://schemas.openxmlformats.org/officeDocument/2006/relationships/hyperlink" Target="https://www.facebook.com/profile.php?id=100089556412919&amp;mibextid=JRoKGi" TargetMode="External"/><Relationship Id="rId6124" Type="http://schemas.openxmlformats.org/officeDocument/2006/relationships/hyperlink" Target="https://www.facebook.com/vuthikimhue.0101?mibextid=LQQJ4d" TargetMode="External"/><Relationship Id="rId639" Type="http://schemas.openxmlformats.org/officeDocument/2006/relationships/hyperlink" Target="https://www.facebook.com/profile.php?id=100015247680202&amp;mibextid=LQQJ4d" TargetMode="External"/><Relationship Id="rId1269" Type="http://schemas.openxmlformats.org/officeDocument/2006/relationships/hyperlink" Target="https://www.facebook.com/dodinh.dang?mibextid=LQQJ4d" TargetMode="External"/><Relationship Id="rId5140" Type="http://schemas.openxmlformats.org/officeDocument/2006/relationships/hyperlink" Target="https://www.facebook.com/nghuyy.20?mibextid=ZbWKwL" TargetMode="External"/><Relationship Id="rId8296" Type="http://schemas.openxmlformats.org/officeDocument/2006/relationships/hyperlink" Target="https://www.facebook.com/profile.php?id=61552635870041" TargetMode="External"/><Relationship Id="rId9347" Type="http://schemas.openxmlformats.org/officeDocument/2006/relationships/hyperlink" Target="https://www.facebook.com/profile.php?id=100023873380037" TargetMode="External"/><Relationship Id="rId1683" Type="http://schemas.openxmlformats.org/officeDocument/2006/relationships/hyperlink" Target="https://www.facebook.com/quang.tran.0812" TargetMode="External"/><Relationship Id="rId2734" Type="http://schemas.openxmlformats.org/officeDocument/2006/relationships/hyperlink" Target="https://www.facebook.com/quynh.nguyenmanh.10297" TargetMode="External"/><Relationship Id="rId706" Type="http://schemas.openxmlformats.org/officeDocument/2006/relationships/hyperlink" Target="https://www.facebook.com/phonqg.trann?mibextid=LQQJ4d" TargetMode="External"/><Relationship Id="rId1336" Type="http://schemas.openxmlformats.org/officeDocument/2006/relationships/hyperlink" Target="https://drive.google.com/open?id=1J3jrQlse83FB7ogsXWOOErgNDP_2LMk_" TargetMode="External"/><Relationship Id="rId1750" Type="http://schemas.openxmlformats.org/officeDocument/2006/relationships/hyperlink" Target="https://www.facebook.com/quynhnhu.hoangthi.39?mibextid=LQQJ4d" TargetMode="External"/><Relationship Id="rId2801" Type="http://schemas.openxmlformats.org/officeDocument/2006/relationships/hyperlink" Target="https://www.facebook.com/manhtai.nguyen.9216?mibextid=ZbWKwL" TargetMode="External"/><Relationship Id="rId5957" Type="http://schemas.openxmlformats.org/officeDocument/2006/relationships/hyperlink" Target="https://www.facebook.com/profile.php?id=100032546514099&amp;mibextid=LQQJ4d" TargetMode="External"/><Relationship Id="rId8016" Type="http://schemas.openxmlformats.org/officeDocument/2006/relationships/hyperlink" Target="https://drive.google.com/open?id=10Mt-Ffc-AT-MSzTNI5nfITuF9281A08l" TargetMode="External"/><Relationship Id="rId8363" Type="http://schemas.openxmlformats.org/officeDocument/2006/relationships/hyperlink" Target="https://www.facebook.com/profile.php?id=100038469549957" TargetMode="External"/><Relationship Id="rId9414" Type="http://schemas.openxmlformats.org/officeDocument/2006/relationships/hyperlink" Target="https://www.facebook.com/profile.php?id=100034202800407&amp;mibextid=LQQJ4d" TargetMode="External"/><Relationship Id="rId42" Type="http://schemas.openxmlformats.org/officeDocument/2006/relationships/hyperlink" Target="https://www.facebook.com/profile.php?id=100015460773834&amp;mibextid=LQQJ4d" TargetMode="External"/><Relationship Id="rId1403" Type="http://schemas.openxmlformats.org/officeDocument/2006/relationships/hyperlink" Target="https://drive.google.com/open?id=18DRcObc6AtYfwGw6q3-dElWhfFqnF28j" TargetMode="External"/><Relationship Id="rId4559" Type="http://schemas.openxmlformats.org/officeDocument/2006/relationships/hyperlink" Target="https://www.facebook.com/profile.php?id=100036929378539&amp;mibextid=ZbWKwL" TargetMode="External"/><Relationship Id="rId4973" Type="http://schemas.openxmlformats.org/officeDocument/2006/relationships/hyperlink" Target="https://drive.google.com/open?id=1f65VDQJAxcSKLMlk8AKpaxTGFbK45OSM" TargetMode="External"/><Relationship Id="rId8430" Type="http://schemas.openxmlformats.org/officeDocument/2006/relationships/hyperlink" Target="https://drive.google.com/open?id=11BQEDFdXql1BHCNdvMJg6ekMLFtqOK67" TargetMode="External"/><Relationship Id="rId3575" Type="http://schemas.openxmlformats.org/officeDocument/2006/relationships/hyperlink" Target="https://drive.google.com/open?id=1K8tf2C1WPjl9QHSr7rNSrD1DLnOzp-vp" TargetMode="External"/><Relationship Id="rId4626" Type="http://schemas.openxmlformats.org/officeDocument/2006/relationships/hyperlink" Target="https://drive.google.com/open?id=1TTkp1q8qMl76H2y1msPxh2nMUAf6XyO6" TargetMode="External"/><Relationship Id="rId7032" Type="http://schemas.openxmlformats.org/officeDocument/2006/relationships/hyperlink" Target="https://www.facebook.com/huan.toquang.9" TargetMode="External"/><Relationship Id="rId496" Type="http://schemas.openxmlformats.org/officeDocument/2006/relationships/hyperlink" Target="https://drive.google.com/open?id=1ghTBIH-p2pH3QggKF0hemulr8vnkNDp4" TargetMode="External"/><Relationship Id="rId2177" Type="http://schemas.openxmlformats.org/officeDocument/2006/relationships/hyperlink" Target="https://www.facebook.com/tranngocquyen02062005?mibextid=LQQJ4d" TargetMode="External"/><Relationship Id="rId2591" Type="http://schemas.openxmlformats.org/officeDocument/2006/relationships/hyperlink" Target="https://www.facebook.com/profile.php?id=100057443211582" TargetMode="External"/><Relationship Id="rId3228" Type="http://schemas.openxmlformats.org/officeDocument/2006/relationships/hyperlink" Target="https://www.facebook.com/nvlinhbry2811" TargetMode="External"/><Relationship Id="rId3642" Type="http://schemas.openxmlformats.org/officeDocument/2006/relationships/hyperlink" Target="https://www.facebook.com/ngocanh.nguyen.042004" TargetMode="External"/><Relationship Id="rId6798" Type="http://schemas.openxmlformats.org/officeDocument/2006/relationships/hyperlink" Target="https://www.facebook.com/namgaoo18406" TargetMode="External"/><Relationship Id="rId7849" Type="http://schemas.openxmlformats.org/officeDocument/2006/relationships/hyperlink" Target="https://www.facebook.com/profile.php?id=100084446328096" TargetMode="External"/><Relationship Id="rId149" Type="http://schemas.openxmlformats.org/officeDocument/2006/relationships/hyperlink" Target="https://www.facebook.com/profile.php?id=100027662193841&amp;mibextid=LQQJ4d" TargetMode="External"/><Relationship Id="rId563" Type="http://schemas.openxmlformats.org/officeDocument/2006/relationships/hyperlink" Target="https://drive.google.com/open?id=1xS9pJSqf9u-dBbX2MbCk1Zp5caTKK7pw" TargetMode="External"/><Relationship Id="rId1193" Type="http://schemas.openxmlformats.org/officeDocument/2006/relationships/hyperlink" Target="https://www.facebook.com/profile.php?id=100083132644891&amp;mibextid=ZbWKwL" TargetMode="External"/><Relationship Id="rId2244" Type="http://schemas.openxmlformats.org/officeDocument/2006/relationships/hyperlink" Target="https://www.facebook.com/profile.php?id=100030388665875&amp;mibextid=9R9pXO" TargetMode="External"/><Relationship Id="rId9271" Type="http://schemas.openxmlformats.org/officeDocument/2006/relationships/hyperlink" Target="https://www.facebook.com/duc.anh.188678" TargetMode="External"/><Relationship Id="rId216" Type="http://schemas.openxmlformats.org/officeDocument/2006/relationships/hyperlink" Target="https://www.facebook.com/phuonghuynh.nguyen.1232?mibextid=2JQ9oc" TargetMode="External"/><Relationship Id="rId1260" Type="http://schemas.openxmlformats.org/officeDocument/2006/relationships/hyperlink" Target="https://drive.google.com/open?id=1ctMV9gkMzmS71mHomvBxR1dVs_RQy_4j" TargetMode="External"/><Relationship Id="rId6865" Type="http://schemas.openxmlformats.org/officeDocument/2006/relationships/hyperlink" Target="https://www.facebook.com/profile.php?id=100027625788368&amp;mibextid=LQQJ4d" TargetMode="External"/><Relationship Id="rId7916" Type="http://schemas.openxmlformats.org/officeDocument/2006/relationships/hyperlink" Target="https://drive.google.com/open?id=1y_FGNs_U6SsJt8ovYKiAUz5eIFd1ZZdY" TargetMode="External"/><Relationship Id="rId630" Type="http://schemas.openxmlformats.org/officeDocument/2006/relationships/hyperlink" Target="https://www.facebook.com/anhnguyet.le.3323" TargetMode="External"/><Relationship Id="rId2311" Type="http://schemas.openxmlformats.org/officeDocument/2006/relationships/hyperlink" Target="https://www.facebook.com/bii.ha.566148?mibextid=9R9pXO" TargetMode="External"/><Relationship Id="rId4069" Type="http://schemas.openxmlformats.org/officeDocument/2006/relationships/hyperlink" Target="https://www.facebook.com/profile.php?id=100034720028349" TargetMode="External"/><Relationship Id="rId5467" Type="http://schemas.openxmlformats.org/officeDocument/2006/relationships/hyperlink" Target="https://www.facebook.com/profile.php?id=100065490800509&amp;mibextid=ZbWKwL" TargetMode="External"/><Relationship Id="rId5881" Type="http://schemas.openxmlformats.org/officeDocument/2006/relationships/hyperlink" Target="https://www.facebook.com/profile.php?id=100077494404326&amp;mibextid=ZbWKwL" TargetMode="External"/><Relationship Id="rId6518" Type="http://schemas.openxmlformats.org/officeDocument/2006/relationships/hyperlink" Target="https://www.facebook.com/trnathuy?mibextid=kFxxJD" TargetMode="External"/><Relationship Id="rId6932" Type="http://schemas.openxmlformats.org/officeDocument/2006/relationships/hyperlink" Target="https://www.facebook.com/profile.php?id=100045103000374" TargetMode="External"/><Relationship Id="rId4483" Type="http://schemas.openxmlformats.org/officeDocument/2006/relationships/hyperlink" Target="https://www.facebook.com/haianh.cutexiu" TargetMode="External"/><Relationship Id="rId5534" Type="http://schemas.openxmlformats.org/officeDocument/2006/relationships/hyperlink" Target="https://www.facebook.com/phong.hoangxuan.94?mibextid=ZbWKwL" TargetMode="External"/><Relationship Id="rId3085" Type="http://schemas.openxmlformats.org/officeDocument/2006/relationships/hyperlink" Target="https://www.facebook.com/nam.khuc.7792" TargetMode="External"/><Relationship Id="rId4136" Type="http://schemas.openxmlformats.org/officeDocument/2006/relationships/hyperlink" Target="https://drive.google.com/open?id=1ycOWS5mj4u92A5uY4350Zm06Ywd5CtG3" TargetMode="External"/><Relationship Id="rId4550" Type="http://schemas.openxmlformats.org/officeDocument/2006/relationships/hyperlink" Target="https://www.facebook.com/jinyoung.bae.39750" TargetMode="External"/><Relationship Id="rId5601" Type="http://schemas.openxmlformats.org/officeDocument/2006/relationships/hyperlink" Target="https://www.facebook.com/tnnie.06?mibextid=LQQJ4d" TargetMode="External"/><Relationship Id="rId8757" Type="http://schemas.openxmlformats.org/officeDocument/2006/relationships/hyperlink" Target="https://www.facebook.com/profile.php?id=100021788392729" TargetMode="External"/><Relationship Id="rId3152" Type="http://schemas.openxmlformats.org/officeDocument/2006/relationships/hyperlink" Target="https://drive.google.com/open?id=1IDoyaI_SmV-kw5oTVCnEa00V4ZgdB9Kj" TargetMode="External"/><Relationship Id="rId4203" Type="http://schemas.openxmlformats.org/officeDocument/2006/relationships/hyperlink" Target="https://drive.google.com/open?id=1-bvjq1iSvmbdDchnQdNf7-67kXjuiOke" TargetMode="External"/><Relationship Id="rId7359" Type="http://schemas.openxmlformats.org/officeDocument/2006/relationships/hyperlink" Target="https://www.facebook.com/dooz.thuyy?mibextid=LQQJ4d" TargetMode="External"/><Relationship Id="rId7773" Type="http://schemas.openxmlformats.org/officeDocument/2006/relationships/hyperlink" Target="https://drive.google.com/open?id=1LrRoJ8H_Grvf_CaMWSWcACfEPBIYgqb5" TargetMode="External"/><Relationship Id="rId8824" Type="http://schemas.openxmlformats.org/officeDocument/2006/relationships/hyperlink" Target="https://drive.google.com/open?id=1hB1Z0Lo2JIhlmT4N2aHyz1TtU92G8vsv" TargetMode="External"/><Relationship Id="rId6375" Type="http://schemas.openxmlformats.org/officeDocument/2006/relationships/hyperlink" Target="https://drive.google.com/open?id=1Ohke6s-CwbYKydyGP1PtOiaBE7_xiir4" TargetMode="External"/><Relationship Id="rId7426" Type="http://schemas.openxmlformats.org/officeDocument/2006/relationships/hyperlink" Target="https://www.facebook.com/bthvan20?mibextid=ZbWKwL" TargetMode="External"/><Relationship Id="rId140" Type="http://schemas.openxmlformats.org/officeDocument/2006/relationships/hyperlink" Target="https://www.facebook.com/profile.php?id=100014203269575&amp;mibextid=LQQJ4d" TargetMode="External"/><Relationship Id="rId3969" Type="http://schemas.openxmlformats.org/officeDocument/2006/relationships/hyperlink" Target="https://drive.google.com/open?id=1lQj-WpW5ftjTcBoPIu8Fy9WC4PZtqTiZ" TargetMode="External"/><Relationship Id="rId5391" Type="http://schemas.openxmlformats.org/officeDocument/2006/relationships/hyperlink" Target="https://www.facebook.com/profile.php?id=100071289745945&amp;mibextid=LQQJ4d" TargetMode="External"/><Relationship Id="rId6028" Type="http://schemas.openxmlformats.org/officeDocument/2006/relationships/hyperlink" Target="https://www.facebook.com/profile.php?id=100094996368429&amp;mibextid=LQQJ4d" TargetMode="External"/><Relationship Id="rId7840" Type="http://schemas.openxmlformats.org/officeDocument/2006/relationships/hyperlink" Target="https://drive.google.com/open?id=1bJ4qBrnqtk9SA-e9bfMB3bVIWYglMDaS" TargetMode="External"/><Relationship Id="rId6" Type="http://schemas.openxmlformats.org/officeDocument/2006/relationships/hyperlink" Target="https://drive.google.com/open?id=1cLIt6b4W2OzpsthlPmQvrrLFvUDc0uMN" TargetMode="External"/><Relationship Id="rId2985" Type="http://schemas.openxmlformats.org/officeDocument/2006/relationships/hyperlink" Target="https://drive.google.com/open?id=14dQlIXkuMbEqlb1A9ypF0ePAqVHx65t1" TargetMode="External"/><Relationship Id="rId5044" Type="http://schemas.openxmlformats.org/officeDocument/2006/relationships/hyperlink" Target="https://www.facebook.com/profile.php?id=100063830371466&amp;mibextid=LQQJ4d" TargetMode="External"/><Relationship Id="rId6442" Type="http://schemas.openxmlformats.org/officeDocument/2006/relationships/hyperlink" Target="https://drive.google.com/open?id=1H0bbu9J2LYDDDJAPlKBbelbMg0oGLhbH" TargetMode="External"/><Relationship Id="rId957" Type="http://schemas.openxmlformats.org/officeDocument/2006/relationships/hyperlink" Target="https://www.facebook.com/profile.php?id=100057339324135&amp;mibextid=ZbWKwL" TargetMode="External"/><Relationship Id="rId1587" Type="http://schemas.openxmlformats.org/officeDocument/2006/relationships/hyperlink" Target="https://www.facebook.com/profile.php?id=100021314841373&amp;mibextid=LQQJ4d" TargetMode="External"/><Relationship Id="rId2638" Type="http://schemas.openxmlformats.org/officeDocument/2006/relationships/hyperlink" Target="https://www.facebook.com/profile.php?id=100017061139482" TargetMode="External"/><Relationship Id="rId1654" Type="http://schemas.openxmlformats.org/officeDocument/2006/relationships/hyperlink" Target="https://www.facebook.com/duong.phamvan.311493?mibextid=LQQJ4d" TargetMode="External"/><Relationship Id="rId2705" Type="http://schemas.openxmlformats.org/officeDocument/2006/relationships/hyperlink" Target="https://drive.google.com/open?id=1JShiFxdQyjrBdz9W6jLQ4ZfbTdmNgInF" TargetMode="External"/><Relationship Id="rId4060" Type="http://schemas.openxmlformats.org/officeDocument/2006/relationships/hyperlink" Target="https://drive.google.com/open?id=1j6WLtw2EuFRgRxVJT-7s565tUc84eGUA" TargetMode="External"/><Relationship Id="rId5111" Type="http://schemas.openxmlformats.org/officeDocument/2006/relationships/hyperlink" Target="https://www.facebook.com/profile.php?id=100063909022875" TargetMode="External"/><Relationship Id="rId8267" Type="http://schemas.openxmlformats.org/officeDocument/2006/relationships/hyperlink" Target="https://www.facebook.com/thanhnocz" TargetMode="External"/><Relationship Id="rId8681" Type="http://schemas.openxmlformats.org/officeDocument/2006/relationships/hyperlink" Target="https://www.facebook.com/profile.php?id=100064049806877&amp;mibextid=kFxxJD" TargetMode="External"/><Relationship Id="rId9318" Type="http://schemas.openxmlformats.org/officeDocument/2006/relationships/hyperlink" Target="https://www.facebook.com/profile.php?id=100041898588152&amp;mibextid=ZbWKwL" TargetMode="External"/><Relationship Id="rId1307" Type="http://schemas.openxmlformats.org/officeDocument/2006/relationships/hyperlink" Target="https://www.facebook.com/profile.php?id=100083198385836&amp;mibextid=LQQJ4d" TargetMode="External"/><Relationship Id="rId1721" Type="http://schemas.openxmlformats.org/officeDocument/2006/relationships/hyperlink" Target="https://www.facebook.com/profile.php?id=100028581101576&amp;mibextid=ZbWKwL" TargetMode="External"/><Relationship Id="rId4877" Type="http://schemas.openxmlformats.org/officeDocument/2006/relationships/hyperlink" Target="https://www.facebook.com/profile.php?id=100047450116298&amp;mibextid=LQQJ4d" TargetMode="External"/><Relationship Id="rId5928" Type="http://schemas.openxmlformats.org/officeDocument/2006/relationships/hyperlink" Target="https://www.facebook.com/linhhlp.06" TargetMode="External"/><Relationship Id="rId7283" Type="http://schemas.openxmlformats.org/officeDocument/2006/relationships/hyperlink" Target="https://www.facebook.com/profile.php?id=61555117019690&amp;mibextid=LQQJ4d" TargetMode="External"/><Relationship Id="rId8334" Type="http://schemas.openxmlformats.org/officeDocument/2006/relationships/hyperlink" Target="https://www.facebook.com/ngoclong.the?mibextid=LQQJ4d" TargetMode="External"/><Relationship Id="rId13" Type="http://schemas.openxmlformats.org/officeDocument/2006/relationships/hyperlink" Target="https://www.facebook.com/profile.php?id=100079283899133" TargetMode="External"/><Relationship Id="rId3479" Type="http://schemas.openxmlformats.org/officeDocument/2006/relationships/hyperlink" Target="https://www.facebook.com/profile.php?id=100084881501545" TargetMode="External"/><Relationship Id="rId7350" Type="http://schemas.openxmlformats.org/officeDocument/2006/relationships/hyperlink" Target="https://drive.google.com/open?id=1sSLJPKSDDyeGzbOeTY1uQFQT15kHrql4" TargetMode="External"/><Relationship Id="rId8401" Type="http://schemas.openxmlformats.org/officeDocument/2006/relationships/hyperlink" Target="https://www.facebook.com/profile.php?id=100048324272670&amp;mibextid=LQQJ4d" TargetMode="External"/><Relationship Id="rId2495" Type="http://schemas.openxmlformats.org/officeDocument/2006/relationships/hyperlink" Target="https://www.facebook.com/profile.php?id=100027093331830" TargetMode="External"/><Relationship Id="rId3893" Type="http://schemas.openxmlformats.org/officeDocument/2006/relationships/hyperlink" Target="https://www.facebook.com/nguyentoquyennn?mibextid=LQQJ4d" TargetMode="External"/><Relationship Id="rId4944" Type="http://schemas.openxmlformats.org/officeDocument/2006/relationships/hyperlink" Target="https://www.facebook.com/profile.php?id=100053333910106&amp;mibextid=LQQJ4d" TargetMode="External"/><Relationship Id="rId7003" Type="http://schemas.openxmlformats.org/officeDocument/2006/relationships/hyperlink" Target="https://www.facebook.com/profile.php?id=100079245636594" TargetMode="External"/><Relationship Id="rId467" Type="http://schemas.openxmlformats.org/officeDocument/2006/relationships/hyperlink" Target="https://drive.google.com/open?id=1Q__cBSO6um9AnhD3ahAaczVetQwadzaJ" TargetMode="External"/><Relationship Id="rId1097" Type="http://schemas.openxmlformats.org/officeDocument/2006/relationships/hyperlink" Target="https://www.facebook.com/profile.php?id=100018629419886&amp;mibextid=LQQJ4d" TargetMode="External"/><Relationship Id="rId2148" Type="http://schemas.openxmlformats.org/officeDocument/2006/relationships/hyperlink" Target="https://www.facebook.com/nguyenhokhanhlinh2810?mibextid=ZbWKwL" TargetMode="External"/><Relationship Id="rId3546" Type="http://schemas.openxmlformats.org/officeDocument/2006/relationships/hyperlink" Target="https://www.facebook.com/profile.php?id=100028621913331" TargetMode="External"/><Relationship Id="rId3960" Type="http://schemas.openxmlformats.org/officeDocument/2006/relationships/hyperlink" Target="https://drive.google.com/open?id=1Mw8sRBbT7_8GnMltyFNbFqwRcljIaL0G" TargetMode="External"/><Relationship Id="rId9175" Type="http://schemas.openxmlformats.org/officeDocument/2006/relationships/hyperlink" Target="https://www.facebook.com/nguyenthihaiyen22122006iuuuuuu" TargetMode="External"/><Relationship Id="rId881" Type="http://schemas.openxmlformats.org/officeDocument/2006/relationships/hyperlink" Target="https://drive.google.com/open?id=1-7fIQ5FJe1VC_pJqeZlV1EoNXOHj7aGJ" TargetMode="External"/><Relationship Id="rId2562" Type="http://schemas.openxmlformats.org/officeDocument/2006/relationships/hyperlink" Target="https://www.facebook.com/profile.php?id=100026342468506&amp;mibextid=ZbWKwL" TargetMode="External"/><Relationship Id="rId3613" Type="http://schemas.openxmlformats.org/officeDocument/2006/relationships/hyperlink" Target="https://drive.google.com/open?id=1j7qWZmR8KgK9msvtGGV88yg5upm8BJL5" TargetMode="External"/><Relationship Id="rId6769" Type="http://schemas.openxmlformats.org/officeDocument/2006/relationships/hyperlink" Target="https://drive.google.com/open?id=1OTBLFj_KKz7xkm25wBIB13pzzxYz8Rtc" TargetMode="External"/><Relationship Id="rId534" Type="http://schemas.openxmlformats.org/officeDocument/2006/relationships/hyperlink" Target="https://www.facebook.com/Anhduc542003?mibextid=LQQJ4d" TargetMode="External"/><Relationship Id="rId1164" Type="http://schemas.openxmlformats.org/officeDocument/2006/relationships/hyperlink" Target="https://www.facebook.com/nguyen.n.thao.16906715?mibextid=LQQJ4d" TargetMode="External"/><Relationship Id="rId2215" Type="http://schemas.openxmlformats.org/officeDocument/2006/relationships/hyperlink" Target="https://www.facebook.com/dangminh.220905?mibextid=LQQJ4d" TargetMode="External"/><Relationship Id="rId5785" Type="http://schemas.openxmlformats.org/officeDocument/2006/relationships/hyperlink" Target="https://www.facebook.com/nguyenngocanh612006?mibextid=LQQJ4d" TargetMode="External"/><Relationship Id="rId6836" Type="http://schemas.openxmlformats.org/officeDocument/2006/relationships/hyperlink" Target="https://web.facebook.com/profile.php?id=100070760588215&amp;mibextid=ZbWKwL&amp;_rdc=1&amp;_rdr" TargetMode="External"/><Relationship Id="rId8191" Type="http://schemas.openxmlformats.org/officeDocument/2006/relationships/hyperlink" Target="https://drive.google.com/open?id=1bEyWwmrPIDw9jP_5rD4jE1cEX92eKj6Z" TargetMode="External"/><Relationship Id="rId9242" Type="http://schemas.openxmlformats.org/officeDocument/2006/relationships/hyperlink" Target="https://www.facebook.com/profile.php?id=61551822216858&amp;mibextid=LQQJ4d" TargetMode="External"/><Relationship Id="rId601" Type="http://schemas.openxmlformats.org/officeDocument/2006/relationships/hyperlink" Target="https://drive.google.com/open?id=11RsUyk4p2-Pa7w3-txzRU0W8H4n8uCOD" TargetMode="External"/><Relationship Id="rId1231" Type="http://schemas.openxmlformats.org/officeDocument/2006/relationships/hyperlink" Target="https://drive.google.com/open?id=1JGpunTTZyxBLGWDypY6DuaYjV3N5_5BY" TargetMode="External"/><Relationship Id="rId4387" Type="http://schemas.openxmlformats.org/officeDocument/2006/relationships/hyperlink" Target="https://www.facebook.com/nnp1712?mibextid=LQQJ4d" TargetMode="External"/><Relationship Id="rId5438" Type="http://schemas.openxmlformats.org/officeDocument/2006/relationships/hyperlink" Target="https://www.facebook.com/profile.php?id=100071283850663" TargetMode="External"/><Relationship Id="rId5852" Type="http://schemas.openxmlformats.org/officeDocument/2006/relationships/hyperlink" Target="https://www.facebook.com/profile.php?id=100066181841569&amp;mibextid=LQQJ4d" TargetMode="External"/><Relationship Id="rId4454" Type="http://schemas.openxmlformats.org/officeDocument/2006/relationships/hyperlink" Target="https://www.facebook.com/profile.php?id=100040290976241" TargetMode="External"/><Relationship Id="rId5505" Type="http://schemas.openxmlformats.org/officeDocument/2006/relationships/hyperlink" Target="https://www.facebook.com/profile.php?id=100073268700207&amp;mibextid=ZbWKwL" TargetMode="External"/><Relationship Id="rId6903" Type="http://schemas.openxmlformats.org/officeDocument/2006/relationships/hyperlink" Target="https://www.facebook.com/profile.php?id=100035344247836&amp;mibextid=LQQJ4d" TargetMode="External"/><Relationship Id="rId3056" Type="http://schemas.openxmlformats.org/officeDocument/2006/relationships/hyperlink" Target="https://drive.google.com/open?id=130H5C6urx4ok8dVY4Apc46fydgOsMj1U" TargetMode="External"/><Relationship Id="rId3470" Type="http://schemas.openxmlformats.org/officeDocument/2006/relationships/hyperlink" Target="https://www.facebook.com/profile.php?id=100024905732733&amp;mibextid=ZbWKwL" TargetMode="External"/><Relationship Id="rId4107" Type="http://schemas.openxmlformats.org/officeDocument/2006/relationships/hyperlink" Target="https://www.facebook.com/profile.php?id=100029063256562" TargetMode="External"/><Relationship Id="rId391" Type="http://schemas.openxmlformats.org/officeDocument/2006/relationships/hyperlink" Target="https://www.facebook.com/tay.minh.7121614" TargetMode="External"/><Relationship Id="rId2072" Type="http://schemas.openxmlformats.org/officeDocument/2006/relationships/hyperlink" Target="https://www.facebook.com/thanhh.tam.148?mibextid=LQQJ4d" TargetMode="External"/><Relationship Id="rId3123" Type="http://schemas.openxmlformats.org/officeDocument/2006/relationships/hyperlink" Target="https://drive.google.com/open?id=1x28imMCn3m66Bwn633l0tKTgwhZ_mPoe" TargetMode="External"/><Relationship Id="rId4521" Type="http://schemas.openxmlformats.org/officeDocument/2006/relationships/hyperlink" Target="https://www.facebook.com/profile.php?id=100048138592987" TargetMode="External"/><Relationship Id="rId6279" Type="http://schemas.openxmlformats.org/officeDocument/2006/relationships/hyperlink" Target="https://www.facebook.com/profile.php?id=100029596322166&amp;mibextid=LQQJ4d" TargetMode="External"/><Relationship Id="rId7677" Type="http://schemas.openxmlformats.org/officeDocument/2006/relationships/hyperlink" Target="https://drive.google.com/open?id=1N00AVI432ov6FT4k-4RB29d2Vmu_ZT5e" TargetMode="External"/><Relationship Id="rId8728" Type="http://schemas.openxmlformats.org/officeDocument/2006/relationships/hyperlink" Target="https://www.facebook.com/profile.php?id=100074365172832&amp;mibextid=LQQJ4d" TargetMode="External"/><Relationship Id="rId6693" Type="http://schemas.openxmlformats.org/officeDocument/2006/relationships/hyperlink" Target="https://www.facebook.com/hoaitina.2308?mibextid=LQQJ4d" TargetMode="External"/><Relationship Id="rId7744" Type="http://schemas.openxmlformats.org/officeDocument/2006/relationships/hyperlink" Target="https://drive.google.com/open?id=1cnjeqebnF9pCaoXR5WrVjSEs9h7fuh9L" TargetMode="External"/><Relationship Id="rId2889" Type="http://schemas.openxmlformats.org/officeDocument/2006/relationships/hyperlink" Target="https://drive.google.com/open?id=1UPSv4kr0BksKfegLXVbdJuYvAX9CRbvd" TargetMode="External"/><Relationship Id="rId5295" Type="http://schemas.openxmlformats.org/officeDocument/2006/relationships/hyperlink" Target="https://www.facebook.com/profile.php?id=100052674230901&amp;mibextid=LQQJ4d" TargetMode="External"/><Relationship Id="rId6346" Type="http://schemas.openxmlformats.org/officeDocument/2006/relationships/hyperlink" Target="https://www.facebook.com/nthongngoc.03" TargetMode="External"/><Relationship Id="rId6760" Type="http://schemas.openxmlformats.org/officeDocument/2006/relationships/hyperlink" Target="https://www.facebook.com/profile.php?id=100045103000374" TargetMode="External"/><Relationship Id="rId7811" Type="http://schemas.openxmlformats.org/officeDocument/2006/relationships/hyperlink" Target="https://drive.google.com/open?id=1JYuExpls42ORYCvXt-ti_DqiLCyzvxDJ" TargetMode="External"/><Relationship Id="rId111" Type="http://schemas.openxmlformats.org/officeDocument/2006/relationships/hyperlink" Target="https://drive.google.com/open?id=1nTYVbBJPkllghAi6hV-LDYco5EG96tsp" TargetMode="External"/><Relationship Id="rId2956" Type="http://schemas.openxmlformats.org/officeDocument/2006/relationships/hyperlink" Target="https://www.facebook.com/profile.php?id=100078345468225&amp;mibextid=LQQJ4d" TargetMode="External"/><Relationship Id="rId5362" Type="http://schemas.openxmlformats.org/officeDocument/2006/relationships/hyperlink" Target="https://www.facebook.com/profile.php?id=100012785173295&amp;mibextid=LQQJ4d" TargetMode="External"/><Relationship Id="rId6413" Type="http://schemas.openxmlformats.org/officeDocument/2006/relationships/hyperlink" Target="https://www.facebook.com/profile.php?id=100065175406449" TargetMode="External"/><Relationship Id="rId9569" Type="http://schemas.openxmlformats.org/officeDocument/2006/relationships/hyperlink" Target="https://www.facebook.com/profile.php?id=100065370731369&amp;mibextid=wwXIfr&amp;rdid=Gl3LQkedXC4CZJht&amp;share_url=https%3A%2F%2Fwww.facebook.com%2Fshare%2F18Qa8TwZHM%2F%3Fmibextid%3DwwXIfr" TargetMode="External"/><Relationship Id="rId928" Type="http://schemas.openxmlformats.org/officeDocument/2006/relationships/hyperlink" Target="https://drive.google.com/open?id=1u_PU2uRkty3yFMYUPLYYE3HIu1yiQwL-" TargetMode="External"/><Relationship Id="rId1558" Type="http://schemas.openxmlformats.org/officeDocument/2006/relationships/hyperlink" Target="https://www.facebook.com/phuchieu.ho.56?mibextid=LQQJ4d" TargetMode="External"/><Relationship Id="rId2609" Type="http://schemas.openxmlformats.org/officeDocument/2006/relationships/hyperlink" Target="https://drive.google.com/open?id=1Owpasr2eobU9CvUPfG6fcB8825lSQdKF" TargetMode="External"/><Relationship Id="rId5015" Type="http://schemas.openxmlformats.org/officeDocument/2006/relationships/hyperlink" Target="https://www.facebook.com/profile.php?id=100073123105918" TargetMode="External"/><Relationship Id="rId8585" Type="http://schemas.openxmlformats.org/officeDocument/2006/relationships/hyperlink" Target="https://www.facebook.com/profile.php?id=100084530147718&amp;mibextid=LQQJ4d" TargetMode="External"/><Relationship Id="rId1972" Type="http://schemas.openxmlformats.org/officeDocument/2006/relationships/hyperlink" Target="https://www.facebook.com/profile.php?id=100089181947573&amp;mibextid=LQQJ4d" TargetMode="External"/><Relationship Id="rId4031" Type="http://schemas.openxmlformats.org/officeDocument/2006/relationships/hyperlink" Target="https://drive.google.com/open?id=1UkV7lhqf5I39310uvk4vvXJviYHe9kuj" TargetMode="External"/><Relationship Id="rId7187" Type="http://schemas.openxmlformats.org/officeDocument/2006/relationships/hyperlink" Target="https://drive.google.com/open?id=14cw7IDkm0mAaz41PHd5fkRaIrR0IcHkG" TargetMode="External"/><Relationship Id="rId8238" Type="http://schemas.openxmlformats.org/officeDocument/2006/relationships/hyperlink" Target="https://drive.google.com/open?id=1uozneevKmolIPNZk5PepkZKqlYwsQbc_" TargetMode="External"/><Relationship Id="rId1625" Type="http://schemas.openxmlformats.org/officeDocument/2006/relationships/hyperlink" Target="https://www.facebook.com/profile.php?id=100035343286998&amp;mibextid=9R9pXO" TargetMode="External"/><Relationship Id="rId7254" Type="http://schemas.openxmlformats.org/officeDocument/2006/relationships/hyperlink" Target="https://www.facebook.com/share/15LgHS5RK3/?mibextid=LQQJ4d" TargetMode="External"/><Relationship Id="rId8305" Type="http://schemas.openxmlformats.org/officeDocument/2006/relationships/hyperlink" Target="https://www.facebook.com/phuonggggggggg2006?mibextid=LQQJ4d" TargetMode="External"/><Relationship Id="rId8652" Type="http://schemas.openxmlformats.org/officeDocument/2006/relationships/hyperlink" Target="https://www.facebook.com/lans.lans.10297" TargetMode="External"/><Relationship Id="rId3797" Type="http://schemas.openxmlformats.org/officeDocument/2006/relationships/hyperlink" Target="https://www.facebook.com/ngphuong28072005?mibextid=LQQJ4d" TargetMode="External"/><Relationship Id="rId4848" Type="http://schemas.openxmlformats.org/officeDocument/2006/relationships/hyperlink" Target="https://www.facebook.com/profile.php?id=100077769650399&amp;mibextid=LQQJ4d" TargetMode="External"/><Relationship Id="rId2399" Type="http://schemas.openxmlformats.org/officeDocument/2006/relationships/hyperlink" Target="https://www.facebook.com/dinh.ngoc.9484941" TargetMode="External"/><Relationship Id="rId3864" Type="http://schemas.openxmlformats.org/officeDocument/2006/relationships/hyperlink" Target="https://www.facebook.com/vietquang.doan.75?mibextid=LQQJ4d" TargetMode="External"/><Relationship Id="rId4915" Type="http://schemas.openxmlformats.org/officeDocument/2006/relationships/hyperlink" Target="https://www.facebook.com/profile.php?id=100079514685688&amp;mibextid=ZbWKwL" TargetMode="External"/><Relationship Id="rId6270" Type="http://schemas.openxmlformats.org/officeDocument/2006/relationships/hyperlink" Target="https://www.facebook.com/profile.php?id=100049893183784" TargetMode="External"/><Relationship Id="rId7321" Type="http://schemas.openxmlformats.org/officeDocument/2006/relationships/hyperlink" Target="https://www.facebook.com/profile.php?id=100073531524068" TargetMode="External"/><Relationship Id="rId785" Type="http://schemas.openxmlformats.org/officeDocument/2006/relationships/hyperlink" Target="https://www.facebook.com/qu.chi.524?mibextid=LQQJ4d" TargetMode="External"/><Relationship Id="rId2466" Type="http://schemas.openxmlformats.org/officeDocument/2006/relationships/hyperlink" Target="https://www.facebook.com/profile.php?id=100057774236787" TargetMode="External"/><Relationship Id="rId2880" Type="http://schemas.openxmlformats.org/officeDocument/2006/relationships/hyperlink" Target="https://www.facebook.com/dttv.12" TargetMode="External"/><Relationship Id="rId3517" Type="http://schemas.openxmlformats.org/officeDocument/2006/relationships/hyperlink" Target="https://www.facebook.com/profile.php?id=100028058356403&amp;mibextid=LQQJ4d" TargetMode="External"/><Relationship Id="rId3931" Type="http://schemas.openxmlformats.org/officeDocument/2006/relationships/hyperlink" Target="https://www.facebook.com/chis.hoang.1" TargetMode="External"/><Relationship Id="rId9079" Type="http://schemas.openxmlformats.org/officeDocument/2006/relationships/hyperlink" Target="https://www.facebook.com/namson.ngo.52?mibextid=LQQJ4d" TargetMode="External"/><Relationship Id="rId9493" Type="http://schemas.openxmlformats.org/officeDocument/2006/relationships/hyperlink" Target="https://drive.google.com/open?id=1YC_EnYVI9zS6FPyB0G3DHsgabMPM1E0N" TargetMode="External"/><Relationship Id="rId438" Type="http://schemas.openxmlformats.org/officeDocument/2006/relationships/hyperlink" Target="https://www.facebook.com/profile.php?id=100046665863780&amp;mibextid=LQQJ4d" TargetMode="External"/><Relationship Id="rId852" Type="http://schemas.openxmlformats.org/officeDocument/2006/relationships/hyperlink" Target="https://www.facebook.com/bivhhao?mibextid=7cd5pb" TargetMode="External"/><Relationship Id="rId1068" Type="http://schemas.openxmlformats.org/officeDocument/2006/relationships/hyperlink" Target="https://www.facebook.com/kookie.huyen.5832?mibextid=LQQJ4d" TargetMode="External"/><Relationship Id="rId1482" Type="http://schemas.openxmlformats.org/officeDocument/2006/relationships/hyperlink" Target="https://www.facebook.com/loclungtiuquynh" TargetMode="External"/><Relationship Id="rId2119" Type="http://schemas.openxmlformats.org/officeDocument/2006/relationships/hyperlink" Target="https://drive.google.com/open?id=1sz4e1Ut-nXLq3INV-93KDx98ODQgtPiE" TargetMode="External"/><Relationship Id="rId2533" Type="http://schemas.openxmlformats.org/officeDocument/2006/relationships/hyperlink" Target="https://www.facebook.com/oanhh0" TargetMode="External"/><Relationship Id="rId5689" Type="http://schemas.openxmlformats.org/officeDocument/2006/relationships/hyperlink" Target="https://www.facebook.com/HuyHoang3103" TargetMode="External"/><Relationship Id="rId8095" Type="http://schemas.openxmlformats.org/officeDocument/2006/relationships/hyperlink" Target="https://www.facebook.com/profile.php?id=100037369644022&amp;mibextid=LQQJ4d" TargetMode="External"/><Relationship Id="rId9146" Type="http://schemas.openxmlformats.org/officeDocument/2006/relationships/hyperlink" Target="https://www.facebook.com/profile.php?id=100032692518486&amp;mibextid=LQQJ4d" TargetMode="External"/><Relationship Id="rId9560" Type="http://schemas.openxmlformats.org/officeDocument/2006/relationships/hyperlink" Target="https://www.facebook.com/share/1AGYhtyCQN/?mibextid=wwXIfr" TargetMode="External"/><Relationship Id="rId505" Type="http://schemas.openxmlformats.org/officeDocument/2006/relationships/hyperlink" Target="https://www.facebook.com/dewlnovember" TargetMode="External"/><Relationship Id="rId1135" Type="http://schemas.openxmlformats.org/officeDocument/2006/relationships/hyperlink" Target="https://www.facebook.com/profile.php?id=100072489504595&amp;mibextid=LQQJ4d" TargetMode="External"/><Relationship Id="rId8162" Type="http://schemas.openxmlformats.org/officeDocument/2006/relationships/hyperlink" Target="https://www.facebook.com/profile.php?id=100054897678009" TargetMode="External"/><Relationship Id="rId9213" Type="http://schemas.openxmlformats.org/officeDocument/2006/relationships/hyperlink" Target="https://www.facebook.com/ngVnhFi.237" TargetMode="External"/><Relationship Id="rId1202" Type="http://schemas.openxmlformats.org/officeDocument/2006/relationships/hyperlink" Target="https://www.facebook.com/profile.php?id=100027300275613&amp;mibextid=LQQJ4d" TargetMode="External"/><Relationship Id="rId2600" Type="http://schemas.openxmlformats.org/officeDocument/2006/relationships/hyperlink" Target="https://drive.google.com/open?id=12ZLDFMottbycQ6jNyH41Fur1ixpgn-wu" TargetMode="External"/><Relationship Id="rId4358" Type="http://schemas.openxmlformats.org/officeDocument/2006/relationships/hyperlink" Target="https://www.facebook.com/chang.phamthithu.9?mibextid=LQQJ4d" TargetMode="External"/><Relationship Id="rId5409" Type="http://schemas.openxmlformats.org/officeDocument/2006/relationships/hyperlink" Target="https://drive.google.com/open?id=1ruLFwRFar7H9l80da1aTtPueOycp24aU" TargetMode="External"/><Relationship Id="rId5756" Type="http://schemas.openxmlformats.org/officeDocument/2006/relationships/hyperlink" Target="https://drive.google.com/open?id=1Dp85i7KSwapPdecL9MGheckgNAqYE14j" TargetMode="External"/><Relationship Id="rId6807" Type="http://schemas.openxmlformats.org/officeDocument/2006/relationships/hyperlink" Target="https://drive.google.com/open?id=1v_Jv7IK3UpKcwXRtXgE4kqGfrRWHKzIV" TargetMode="External"/><Relationship Id="rId4772" Type="http://schemas.openxmlformats.org/officeDocument/2006/relationships/hyperlink" Target="https://www.facebook.com/profile.php?id=100038374334359" TargetMode="External"/><Relationship Id="rId5823" Type="http://schemas.openxmlformats.org/officeDocument/2006/relationships/hyperlink" Target="https://www.facebook.com/dai.do.319247" TargetMode="External"/><Relationship Id="rId8979" Type="http://schemas.openxmlformats.org/officeDocument/2006/relationships/hyperlink" Target="https://www.facebook.com/thanhvan.phamthi.5099" TargetMode="External"/><Relationship Id="rId295" Type="http://schemas.openxmlformats.org/officeDocument/2006/relationships/hyperlink" Target="https://www.facebook.com/profile.php?id=100015016457859&amp;mibextid=LQQJ4d" TargetMode="External"/><Relationship Id="rId3374" Type="http://schemas.openxmlformats.org/officeDocument/2006/relationships/hyperlink" Target="https://www.facebook.com/trangg.thuy.7758235?locale=vi_VN" TargetMode="External"/><Relationship Id="rId4425" Type="http://schemas.openxmlformats.org/officeDocument/2006/relationships/hyperlink" Target="https://www.facebook.com/profile.php?id=100064553701831&amp;mibextid=LQQJ4d" TargetMode="External"/><Relationship Id="rId7995" Type="http://schemas.openxmlformats.org/officeDocument/2006/relationships/hyperlink" Target="https://drive.google.com/open?id=1n9pr0XXiZno93SGQg4rfbkG8wbmuYUPV" TargetMode="External"/><Relationship Id="rId2390" Type="http://schemas.openxmlformats.org/officeDocument/2006/relationships/hyperlink" Target="https://www.facebook.com/profile.php?id=100077516534975" TargetMode="External"/><Relationship Id="rId3027" Type="http://schemas.openxmlformats.org/officeDocument/2006/relationships/hyperlink" Target="https://www.facebook.com/profile.php?id=100079541132396" TargetMode="External"/><Relationship Id="rId3441" Type="http://schemas.openxmlformats.org/officeDocument/2006/relationships/hyperlink" Target="https://drive.google.com/open?id=1eGnD6iEVT3icv_CqgAuRX-ov9Vmji3VT" TargetMode="External"/><Relationship Id="rId6597" Type="http://schemas.openxmlformats.org/officeDocument/2006/relationships/hyperlink" Target="https://www.facebook.com/profile.php?id=61561345451973&amp;mibextid=LQQJ4d" TargetMode="External"/><Relationship Id="rId7648" Type="http://schemas.openxmlformats.org/officeDocument/2006/relationships/hyperlink" Target="https://www.facebook.com/phngocc29?mibextid=LQQJ4d" TargetMode="External"/><Relationship Id="rId362" Type="http://schemas.openxmlformats.org/officeDocument/2006/relationships/hyperlink" Target="https://drive.google.com/open?id=1M-nVmeGvkf8kuQDIb_eLiEdmpH_LFihT" TargetMode="External"/><Relationship Id="rId2043" Type="http://schemas.openxmlformats.org/officeDocument/2006/relationships/hyperlink" Target="https://www.facebook.com/thanh2104207?mibextid=2JQ9oc" TargetMode="External"/><Relationship Id="rId5199" Type="http://schemas.openxmlformats.org/officeDocument/2006/relationships/hyperlink" Target="https://drive.google.com/open?id=14HD2QdzC6SZwG0DB0nwdTjGaxdAny9B5" TargetMode="External"/><Relationship Id="rId6664" Type="http://schemas.openxmlformats.org/officeDocument/2006/relationships/hyperlink" Target="https://drive.google.com/open?id=1ijhxwW8U_50PfbUpBK7d47r6RP7-Bjbl" TargetMode="External"/><Relationship Id="rId7715" Type="http://schemas.openxmlformats.org/officeDocument/2006/relationships/hyperlink" Target="https://drive.google.com/open?id=1Lux1vIwiOASG2qatXVbDLnilf82N7v2d" TargetMode="External"/><Relationship Id="rId9070" Type="http://schemas.openxmlformats.org/officeDocument/2006/relationships/hyperlink" Target="https://www.facebook.com/mom.men.904?mibextid=LQQJ4d" TargetMode="External"/><Relationship Id="rId2110" Type="http://schemas.openxmlformats.org/officeDocument/2006/relationships/hyperlink" Target="https://www.facebook.com/custe.dung.5?mibextid=LQQJ4d" TargetMode="External"/><Relationship Id="rId5266" Type="http://schemas.openxmlformats.org/officeDocument/2006/relationships/hyperlink" Target="https://www.facebook.com/chi.trieu.549668" TargetMode="External"/><Relationship Id="rId5680" Type="http://schemas.openxmlformats.org/officeDocument/2006/relationships/hyperlink" Target="https://www.facebook.com/ntkc772003" TargetMode="External"/><Relationship Id="rId6317" Type="http://schemas.openxmlformats.org/officeDocument/2006/relationships/hyperlink" Target="https://www.facebook.com/m.me.nguyen.925" TargetMode="External"/><Relationship Id="rId4282" Type="http://schemas.openxmlformats.org/officeDocument/2006/relationships/hyperlink" Target="https://www.facebook.com/profile.php?id=100055646770369" TargetMode="External"/><Relationship Id="rId5333" Type="http://schemas.openxmlformats.org/officeDocument/2006/relationships/hyperlink" Target="https://www.facebook.com/profile.php?id=100078194207173&amp;mibextid=LQQJ4d" TargetMode="External"/><Relationship Id="rId6731" Type="http://schemas.openxmlformats.org/officeDocument/2006/relationships/hyperlink" Target="https://www.facebook.com/profile.php?id=100061058332448&amp;mibextid=ZbWKwL" TargetMode="External"/><Relationship Id="rId8489" Type="http://schemas.openxmlformats.org/officeDocument/2006/relationships/hyperlink" Target="https://www.facebook.com/qu.chi.524?mibextid=LQQJ4d" TargetMode="External"/><Relationship Id="rId1876" Type="http://schemas.openxmlformats.org/officeDocument/2006/relationships/hyperlink" Target="https://drive.google.com/open?id=18OB2mQXU13HbO_cTLwdQRkJIK6CzbDgt" TargetMode="External"/><Relationship Id="rId2927" Type="http://schemas.openxmlformats.org/officeDocument/2006/relationships/hyperlink" Target="https://drive.google.com/open?id=1mjk56UL3GXKYG4mpw5ykx5VqVZD6z3S5" TargetMode="External"/><Relationship Id="rId1529" Type="http://schemas.openxmlformats.org/officeDocument/2006/relationships/hyperlink" Target="https://drive.google.com/open?id=10nTO16n1v--JP-XCSa_Rk2Ji7u1Ky9dX" TargetMode="External"/><Relationship Id="rId1943" Type="http://schemas.openxmlformats.org/officeDocument/2006/relationships/hyperlink" Target="https://www.facebook.com/profile.php?id=100055829710316&amp;mibextid=LQQJ4d" TargetMode="External"/><Relationship Id="rId5400" Type="http://schemas.openxmlformats.org/officeDocument/2006/relationships/hyperlink" Target="https://www.facebook.com/profile.php?id=100082951675558&amp;mibextid=LQQJ4d" TargetMode="External"/><Relationship Id="rId8556" Type="http://schemas.openxmlformats.org/officeDocument/2006/relationships/hyperlink" Target="https://www.facebook.com/profile.php?id=100078905902262&amp;mibextid=LQQJ4d" TargetMode="External"/><Relationship Id="rId8970" Type="http://schemas.openxmlformats.org/officeDocument/2006/relationships/hyperlink" Target="https://drive.google.com/open?id=1Y0igkXTDbW8WxAbsBW3A5nYhMyIROFRt" TargetMode="External"/><Relationship Id="rId4002" Type="http://schemas.openxmlformats.org/officeDocument/2006/relationships/hyperlink" Target="https://drive.google.com/open?id=1-sHXyCFlAilahOaMMx-XBjrZojb8fgpa" TargetMode="External"/><Relationship Id="rId7158" Type="http://schemas.openxmlformats.org/officeDocument/2006/relationships/hyperlink" Target="https://www.facebook.com/hieubeo2108.info?mibextid=LQQJ4d" TargetMode="External"/><Relationship Id="rId7572" Type="http://schemas.openxmlformats.org/officeDocument/2006/relationships/hyperlink" Target="https://www.facebook.com/share/17qPMRz27z/?mibextid=LQQJ4d" TargetMode="External"/><Relationship Id="rId8209" Type="http://schemas.openxmlformats.org/officeDocument/2006/relationships/hyperlink" Target="https://drive.google.com/open?id=1xUM09itR6I8UBd08lqSv0BrE_VHKorT7" TargetMode="External"/><Relationship Id="rId8623" Type="http://schemas.openxmlformats.org/officeDocument/2006/relationships/hyperlink" Target="https://www.facebook.com/profile.php?id=100050397577711" TargetMode="External"/><Relationship Id="rId3768" Type="http://schemas.openxmlformats.org/officeDocument/2006/relationships/hyperlink" Target="https://www.facebook.com/profile.php?id=100037006024924&amp;mibextid=LQQJ4d" TargetMode="External"/><Relationship Id="rId4819" Type="http://schemas.openxmlformats.org/officeDocument/2006/relationships/hyperlink" Target="https://www.facebook.com/kicm.jack.9235" TargetMode="External"/><Relationship Id="rId6174" Type="http://schemas.openxmlformats.org/officeDocument/2006/relationships/hyperlink" Target="https://www.facebook.com/olongkemchese?mibextid=LQQJ4d" TargetMode="External"/><Relationship Id="rId7225" Type="http://schemas.openxmlformats.org/officeDocument/2006/relationships/hyperlink" Target="https://www.facebook.com/huynnt168?locale=vi_VN" TargetMode="External"/><Relationship Id="rId689" Type="http://schemas.openxmlformats.org/officeDocument/2006/relationships/hyperlink" Target="https://drive.google.com/open?id=1ewXTNrwXe64Xy3ul1DrGGjcfrMrq67Lf" TargetMode="External"/><Relationship Id="rId2784" Type="http://schemas.openxmlformats.org/officeDocument/2006/relationships/hyperlink" Target="https://www.facebook.com/profile.php?id=100029308454860" TargetMode="External"/><Relationship Id="rId5190" Type="http://schemas.openxmlformats.org/officeDocument/2006/relationships/hyperlink" Target="https://www.facebook.com/profile.php?id=100044265936726&amp;mibextid=JRoKGi" TargetMode="External"/><Relationship Id="rId6241" Type="http://schemas.openxmlformats.org/officeDocument/2006/relationships/hyperlink" Target="https://www.facebook.com/share/1BJP4LqJfv/?mibextid=wwXIfr" TargetMode="External"/><Relationship Id="rId9397" Type="http://schemas.openxmlformats.org/officeDocument/2006/relationships/hyperlink" Target="https://www.facebook.com/profile.php?id=100060006919881&amp;mibextid=LQQJ4d" TargetMode="External"/><Relationship Id="rId756" Type="http://schemas.openxmlformats.org/officeDocument/2006/relationships/hyperlink" Target="https://www.facebook.com/profile.php?id=100021829232455" TargetMode="External"/><Relationship Id="rId1386" Type="http://schemas.openxmlformats.org/officeDocument/2006/relationships/hyperlink" Target="https://www.facebook.com/lamchipchip" TargetMode="External"/><Relationship Id="rId2437" Type="http://schemas.openxmlformats.org/officeDocument/2006/relationships/hyperlink" Target="https://www.facebook.com/profile.php?id=100064891777846" TargetMode="External"/><Relationship Id="rId3835" Type="http://schemas.openxmlformats.org/officeDocument/2006/relationships/hyperlink" Target="https://www.facebook.com/profile.php?id=100075717146213&amp;mibextid=ZbWKwL" TargetMode="External"/><Relationship Id="rId9464" Type="http://schemas.openxmlformats.org/officeDocument/2006/relationships/hyperlink" Target="https://www.facebook.com/profile.php?id=100049445720902" TargetMode="External"/><Relationship Id="rId409" Type="http://schemas.openxmlformats.org/officeDocument/2006/relationships/hyperlink" Target="https://www.facebook.com/profile.php?id=100033332899693&amp;mibextid=D4KYlr" TargetMode="External"/><Relationship Id="rId1039" Type="http://schemas.openxmlformats.org/officeDocument/2006/relationships/hyperlink" Target="https://www.facebook.com/phuonganh.hoang.127648?" TargetMode="External"/><Relationship Id="rId2851" Type="http://schemas.openxmlformats.org/officeDocument/2006/relationships/hyperlink" Target="https://drive.google.com/open?id=1dJ06F1Skiyz6DPtbcsmZfnKuveGxPoaD" TargetMode="External"/><Relationship Id="rId3902" Type="http://schemas.openxmlformats.org/officeDocument/2006/relationships/hyperlink" Target="https://www.facebook.com/mphwng.1" TargetMode="External"/><Relationship Id="rId8066" Type="http://schemas.openxmlformats.org/officeDocument/2006/relationships/hyperlink" Target="https://www.facebook.com/profile.php?id=100041213595048&amp;mibextid=ZbWKwL" TargetMode="External"/><Relationship Id="rId9117" Type="http://schemas.openxmlformats.org/officeDocument/2006/relationships/hyperlink" Target="https://drive.google.com/open?id=1xwYQ5WIh3R6OHlJau_1wu56pNryVG8Nv" TargetMode="External"/><Relationship Id="rId92" Type="http://schemas.openxmlformats.org/officeDocument/2006/relationships/hyperlink" Target="https://www.facebook.com/profile.php?id=100028222994835&amp;mibextid=LQQJ4d" TargetMode="External"/><Relationship Id="rId823" Type="http://schemas.openxmlformats.org/officeDocument/2006/relationships/hyperlink" Target="https://www.facebook.com/chang.phuong.984" TargetMode="External"/><Relationship Id="rId1453" Type="http://schemas.openxmlformats.org/officeDocument/2006/relationships/hyperlink" Target="https://www.facebook.com/xkha1111" TargetMode="External"/><Relationship Id="rId2504" Type="http://schemas.openxmlformats.org/officeDocument/2006/relationships/hyperlink" Target="http://fb.com/Hathanh24.IT" TargetMode="External"/><Relationship Id="rId7082" Type="http://schemas.openxmlformats.org/officeDocument/2006/relationships/hyperlink" Target="https://www.facebook.com/anhduc864" TargetMode="External"/><Relationship Id="rId8480" Type="http://schemas.openxmlformats.org/officeDocument/2006/relationships/hyperlink" Target="https://www.facebook.com/profile.php?id=100088898736351" TargetMode="External"/><Relationship Id="rId9531" Type="http://schemas.openxmlformats.org/officeDocument/2006/relationships/hyperlink" Target="https://www.facebook.com/ta.thi.ha.linh?mibextid=wwXIfr&amp;rdid=rMHk0fXCqX77M5iB&amp;share_url=https%3A%2F%2Fwww.facebook.com%2Fshare%2F1AmuJDQJXz%2F%3Fmibextid%3DwwXIfr" TargetMode="External"/><Relationship Id="rId1106" Type="http://schemas.openxmlformats.org/officeDocument/2006/relationships/hyperlink" Target="https://www.facebook.com/profile.php?id=100033009053752" TargetMode="External"/><Relationship Id="rId1520" Type="http://schemas.openxmlformats.org/officeDocument/2006/relationships/hyperlink" Target="https://www.facebook.com/profile.php?id=100042160840444&amp;mibextid=LQQJ4d" TargetMode="External"/><Relationship Id="rId4676" Type="http://schemas.openxmlformats.org/officeDocument/2006/relationships/hyperlink" Target="https://www.facebook.com/profile.php?id=100033473475296" TargetMode="External"/><Relationship Id="rId5727" Type="http://schemas.openxmlformats.org/officeDocument/2006/relationships/hyperlink" Target="https://www.facebook.com/profile.php?id=100051882647417&amp;mibextid=LQQJ4d" TargetMode="External"/><Relationship Id="rId8133" Type="http://schemas.openxmlformats.org/officeDocument/2006/relationships/hyperlink" Target="https://www.facebook.com/people/B%C3%B9i-Ho%C3%A0ng-C%C6%B0%C6%A1ng/pfbid0icgnszjgCbRifhgRS6DuwMd9YqUstV8HmY1Snh4yUof56Z5HaGAcrRYhYrNMkQqxl/" TargetMode="External"/><Relationship Id="rId3278" Type="http://schemas.openxmlformats.org/officeDocument/2006/relationships/hyperlink" Target="https://drive.google.com/open?id=1ZdYyOF9ClYRrsQeZD27jAdbmeXiSXMwS" TargetMode="External"/><Relationship Id="rId3692" Type="http://schemas.openxmlformats.org/officeDocument/2006/relationships/hyperlink" Target="https://www.facebook.com/bii.ha.566148?mibextid=9R9pXO" TargetMode="External"/><Relationship Id="rId4329" Type="http://schemas.openxmlformats.org/officeDocument/2006/relationships/hyperlink" Target="https://www.facebook.com/profile.php?id=100054674450583&amp;mibextid=ZbWKwL" TargetMode="External"/><Relationship Id="rId4743" Type="http://schemas.openxmlformats.org/officeDocument/2006/relationships/hyperlink" Target="https://www.facebook.com/share/ufRaz8njWmoUKFFb/?" TargetMode="External"/><Relationship Id="rId7899" Type="http://schemas.openxmlformats.org/officeDocument/2006/relationships/hyperlink" Target="https://www.facebook.com/profile.php?id=100069951427624" TargetMode="External"/><Relationship Id="rId8200" Type="http://schemas.openxmlformats.org/officeDocument/2006/relationships/hyperlink" Target="https://www.facebook.com/conmeokeumeow" TargetMode="External"/><Relationship Id="rId199" Type="http://schemas.openxmlformats.org/officeDocument/2006/relationships/hyperlink" Target="https://drive.google.com/open?id=1jGM84e4EepT1b6v-wpJOh6GPt0HX3h8E" TargetMode="External"/><Relationship Id="rId2294" Type="http://schemas.openxmlformats.org/officeDocument/2006/relationships/hyperlink" Target="https://www.facebook.com/profile.php?id=100024198198569" TargetMode="External"/><Relationship Id="rId3345" Type="http://schemas.openxmlformats.org/officeDocument/2006/relationships/hyperlink" Target="https://drive.google.com/open?id=1gofdQ0xa4U4C3HneieKBuWRqsdXz9Pkn" TargetMode="External"/><Relationship Id="rId266" Type="http://schemas.openxmlformats.org/officeDocument/2006/relationships/hyperlink" Target="https://www.facebook.com/profile.php?id=100064891777846" TargetMode="External"/><Relationship Id="rId680" Type="http://schemas.openxmlformats.org/officeDocument/2006/relationships/hyperlink" Target="https://drive.google.com/open?id=1ymIH1hOZeFv3uiB-HfC335j9Zx0630k3" TargetMode="External"/><Relationship Id="rId2361" Type="http://schemas.openxmlformats.org/officeDocument/2006/relationships/hyperlink" Target="https://drive.google.com/open?id=1voym0D-Ui1UgalMNeW66t7iYDrU8KwG0" TargetMode="External"/><Relationship Id="rId3412" Type="http://schemas.openxmlformats.org/officeDocument/2006/relationships/hyperlink" Target="https://www.facebook.com/profile.php?id=100065471689035&amp;mibextid=LQQJ4d" TargetMode="External"/><Relationship Id="rId4810" Type="http://schemas.openxmlformats.org/officeDocument/2006/relationships/hyperlink" Target="https://www.facebook.com/profile.php?id=100046289793298" TargetMode="External"/><Relationship Id="rId6568" Type="http://schemas.openxmlformats.org/officeDocument/2006/relationships/hyperlink" Target="https://www.facebook.com/huyhettien06?mibextid=ZbWKwL" TargetMode="External"/><Relationship Id="rId7619" Type="http://schemas.openxmlformats.org/officeDocument/2006/relationships/hyperlink" Target="https://www.facebook.com/em.may.92167" TargetMode="External"/><Relationship Id="rId7966" Type="http://schemas.openxmlformats.org/officeDocument/2006/relationships/hyperlink" Target="https://www.facebook.com/iamkir.206?mibextid=LQQJ4d" TargetMode="External"/><Relationship Id="rId333" Type="http://schemas.openxmlformats.org/officeDocument/2006/relationships/hyperlink" Target="https://www.facebook.com/thuylinh.luu.29.04" TargetMode="External"/><Relationship Id="rId2014" Type="http://schemas.openxmlformats.org/officeDocument/2006/relationships/hyperlink" Target="https://drive.google.com/open?id=1co4UvEoFMhPTRdO7qEjaGXh7Dpt3wAAP" TargetMode="External"/><Relationship Id="rId6982" Type="http://schemas.openxmlformats.org/officeDocument/2006/relationships/hyperlink" Target="https://www.facebook.com/profile.php?id=100007810727148&amp;mibextid=LQQJ4d" TargetMode="External"/><Relationship Id="rId9041" Type="http://schemas.openxmlformats.org/officeDocument/2006/relationships/hyperlink" Target="https://www.facebook.com/profile.php?id=100064131627044&amp;mibextid=JRoKGi" TargetMode="External"/><Relationship Id="rId1030" Type="http://schemas.openxmlformats.org/officeDocument/2006/relationships/hyperlink" Target="https://www.facebook.com/profile.php?id=100032486327563" TargetMode="External"/><Relationship Id="rId4186" Type="http://schemas.openxmlformats.org/officeDocument/2006/relationships/hyperlink" Target="https://drive.google.com/open?id=1P0Il6VM0VoWx7aHzmOAkrhOUvfSEgla4" TargetMode="External"/><Relationship Id="rId5584" Type="http://schemas.openxmlformats.org/officeDocument/2006/relationships/hyperlink" Target="https://www.facebook.com/anhpahm.1203?mibextid=LQQJ4d" TargetMode="External"/><Relationship Id="rId6635" Type="http://schemas.openxmlformats.org/officeDocument/2006/relationships/hyperlink" Target="https://www.facebook.com/doanhdo1421?mibextid=LQQJ4d" TargetMode="External"/><Relationship Id="rId400" Type="http://schemas.openxmlformats.org/officeDocument/2006/relationships/hyperlink" Target="https://www.facebook.com/tuanminh.truong.9461?mibextid=LQQJ4d" TargetMode="External"/><Relationship Id="rId5237" Type="http://schemas.openxmlformats.org/officeDocument/2006/relationships/hyperlink" Target="https://www.facebook.com/profile.php?id=100068561501764" TargetMode="External"/><Relationship Id="rId5651" Type="http://schemas.openxmlformats.org/officeDocument/2006/relationships/hyperlink" Target="https://www.facebook.com/TK21.1925?mibextid=ZbWKwL" TargetMode="External"/><Relationship Id="rId6702" Type="http://schemas.openxmlformats.org/officeDocument/2006/relationships/hyperlink" Target="https://www.facebook.com/profile.php?id=100073623382891&amp;mibextid=LQQJ4d" TargetMode="External"/><Relationship Id="rId1847" Type="http://schemas.openxmlformats.org/officeDocument/2006/relationships/hyperlink" Target="https://drive.google.com/open?id=1HUDWsMSQ5MEO6fVJ0Zz5C11Y3qdLrOPh" TargetMode="External"/><Relationship Id="rId4253" Type="http://schemas.openxmlformats.org/officeDocument/2006/relationships/hyperlink" Target="https://www.facebook.com/profile.php?id=100047520251921&amp;mibextid=LQQJ4d" TargetMode="External"/><Relationship Id="rId5304" Type="http://schemas.openxmlformats.org/officeDocument/2006/relationships/hyperlink" Target="https://www.facebook.com/khanh.phan.0529?mibextid=ZbWKwL" TargetMode="External"/><Relationship Id="rId8874" Type="http://schemas.openxmlformats.org/officeDocument/2006/relationships/hyperlink" Target="https://www.facebook.com/share/18Z8rzCM8Z/?mibextid=wwXIfr" TargetMode="External"/><Relationship Id="rId4320" Type="http://schemas.openxmlformats.org/officeDocument/2006/relationships/hyperlink" Target="https://www.facebook.com/hngberry28?mibextid=LQQJ4d" TargetMode="External"/><Relationship Id="rId7476" Type="http://schemas.openxmlformats.org/officeDocument/2006/relationships/hyperlink" Target="https://www.facebook.com/dieulinh.lo.520?mibextid=LQQJ4d" TargetMode="External"/><Relationship Id="rId7890" Type="http://schemas.openxmlformats.org/officeDocument/2006/relationships/hyperlink" Target="https://drive.google.com/open?id=1fa1826KpnldvXc_U0905re1t5pzfzZGb" TargetMode="External"/><Relationship Id="rId8527" Type="http://schemas.openxmlformats.org/officeDocument/2006/relationships/hyperlink" Target="https://www.facebook.com/u.chaniw" TargetMode="External"/><Relationship Id="rId190" Type="http://schemas.openxmlformats.org/officeDocument/2006/relationships/hyperlink" Target="https://www.facebook.com/profile.php?id=100050075393686" TargetMode="External"/><Relationship Id="rId1914" Type="http://schemas.openxmlformats.org/officeDocument/2006/relationships/hyperlink" Target="https://www.facebook.com/profile.php?id=100035395291497" TargetMode="External"/><Relationship Id="rId6078" Type="http://schemas.openxmlformats.org/officeDocument/2006/relationships/hyperlink" Target="https://www.facebook.com/profile.php?id=100050964512037" TargetMode="External"/><Relationship Id="rId6492" Type="http://schemas.openxmlformats.org/officeDocument/2006/relationships/hyperlink" Target="https://drive.google.com/open?id=1mNRyNqB5QgXs_8h4IQ1T-d7jz1YCiTBm" TargetMode="External"/><Relationship Id="rId7129" Type="http://schemas.openxmlformats.org/officeDocument/2006/relationships/hyperlink" Target="https://drive.google.com/open?id=1Wa8BKObHweoctVp2HQ_QPKFrq_bySOU2" TargetMode="External"/><Relationship Id="rId7543" Type="http://schemas.openxmlformats.org/officeDocument/2006/relationships/hyperlink" Target="https://www.facebook.com/profile.php?id=100022311231609" TargetMode="External"/><Relationship Id="rId8941" Type="http://schemas.openxmlformats.org/officeDocument/2006/relationships/hyperlink" Target="https://drive.google.com/open?id=1QutwPQapCM6yeza5iUcMuaoq4_vnVusy" TargetMode="External"/><Relationship Id="rId5094" Type="http://schemas.openxmlformats.org/officeDocument/2006/relationships/hyperlink" Target="https://drive.google.com/open?id=1VfUVNfgjb0WwS_K0yU_zn-HARaWE3zxR" TargetMode="External"/><Relationship Id="rId6145" Type="http://schemas.openxmlformats.org/officeDocument/2006/relationships/hyperlink" Target="https://www.facebook.com/profile.php?id=100074863656983" TargetMode="External"/><Relationship Id="rId2688" Type="http://schemas.openxmlformats.org/officeDocument/2006/relationships/hyperlink" Target="https://www.facebook.com/bui.hoa.98871174?mibextid=LQQJ4d" TargetMode="External"/><Relationship Id="rId3739" Type="http://schemas.openxmlformats.org/officeDocument/2006/relationships/hyperlink" Target="https://www.facebook.com/pppppp.05" TargetMode="External"/><Relationship Id="rId5161" Type="http://schemas.openxmlformats.org/officeDocument/2006/relationships/hyperlink" Target="https://www.facebook.com/profile.php?id=100052889808624&amp;mibextid=ZbWKwL" TargetMode="External"/><Relationship Id="rId7610" Type="http://schemas.openxmlformats.org/officeDocument/2006/relationships/hyperlink" Target="https://www.facebook.com/profile.php?id=100022588639264&amp;mibextid=LQQJ4d" TargetMode="External"/><Relationship Id="rId2755" Type="http://schemas.openxmlformats.org/officeDocument/2006/relationships/hyperlink" Target="https://www.facebook.com/vlu.05" TargetMode="External"/><Relationship Id="rId3806" Type="http://schemas.openxmlformats.org/officeDocument/2006/relationships/hyperlink" Target="https://www.facebook.com/profile.php?id=100069041005724" TargetMode="External"/><Relationship Id="rId6212" Type="http://schemas.openxmlformats.org/officeDocument/2006/relationships/hyperlink" Target="https://www.facebook.com/profile.php?id=100069882165065" TargetMode="External"/><Relationship Id="rId9368" Type="http://schemas.openxmlformats.org/officeDocument/2006/relationships/hyperlink" Target="https://web.facebook.com/phung.thi.thu.huyen.2024?mibextid=wwXIfr&amp;rdid=gFgguzxcIksHsIm5&amp;share_url=https%3A%2F%2Fweb.facebook.com%2Fshare%2F14XPxQbVNS%2F%3Fmibextid%3DwwXIfr%26_rdc%3D1%26_rdr" TargetMode="External"/><Relationship Id="rId727" Type="http://schemas.openxmlformats.org/officeDocument/2006/relationships/hyperlink" Target="https://www.facebook.com/profile.php?id=100048904483883" TargetMode="External"/><Relationship Id="rId1357" Type="http://schemas.openxmlformats.org/officeDocument/2006/relationships/hyperlink" Target="https://www.facebook.com/lee.phuonganh.125" TargetMode="External"/><Relationship Id="rId1771" Type="http://schemas.openxmlformats.org/officeDocument/2006/relationships/hyperlink" Target="https://www.facebook.com/profile.php?id=100033483693889&amp;mibextid=LQQJ4d" TargetMode="External"/><Relationship Id="rId2408" Type="http://schemas.openxmlformats.org/officeDocument/2006/relationships/hyperlink" Target="https://www.facebook.com/profile.php?id=100078859430172&amp;mibextid=ZbWKwL" TargetMode="External"/><Relationship Id="rId2822" Type="http://schemas.openxmlformats.org/officeDocument/2006/relationships/hyperlink" Target="https://www.facebook.com/profile.php?id=100011511100795&amp;mibextid=LQQJ4d" TargetMode="External"/><Relationship Id="rId5978" Type="http://schemas.openxmlformats.org/officeDocument/2006/relationships/hyperlink" Target="https://www.facebook.com/profile.php?id=100065346037118" TargetMode="External"/><Relationship Id="rId8384" Type="http://schemas.openxmlformats.org/officeDocument/2006/relationships/hyperlink" Target="https://www.facebook.com/share/15dNeo7rHu/?mibextid=LQQJ4d" TargetMode="External"/><Relationship Id="rId9435" Type="http://schemas.openxmlformats.org/officeDocument/2006/relationships/hyperlink" Target="https://www.facebook.com/profile.php?id=61551713493176&amp;mibextid=LQQJ4d" TargetMode="External"/><Relationship Id="rId63" Type="http://schemas.openxmlformats.org/officeDocument/2006/relationships/hyperlink" Target="https://www.facebook.com/profile.php?id=100011830594555&amp;mibextid=LQQJ4d" TargetMode="External"/><Relationship Id="rId1424" Type="http://schemas.openxmlformats.org/officeDocument/2006/relationships/hyperlink" Target="https://www.facebook.com/phamthiphuong97" TargetMode="External"/><Relationship Id="rId4994" Type="http://schemas.openxmlformats.org/officeDocument/2006/relationships/hyperlink" Target="https://www.facebook.com/share/tAK8StqQ8EJBo5pq/?mibextid=LQQJ4d" TargetMode="External"/><Relationship Id="rId8037" Type="http://schemas.openxmlformats.org/officeDocument/2006/relationships/hyperlink" Target="https://www.facebook.com/share/15yLNsxJKW/" TargetMode="External"/><Relationship Id="rId8451" Type="http://schemas.openxmlformats.org/officeDocument/2006/relationships/hyperlink" Target="https://www.facebook.com/hung09122006?mibextid=LQQJ4d" TargetMode="External"/><Relationship Id="rId9502" Type="http://schemas.openxmlformats.org/officeDocument/2006/relationships/hyperlink" Target="https://www.facebook.com/nguyenphuongthao.2610" TargetMode="External"/><Relationship Id="rId3596" Type="http://schemas.openxmlformats.org/officeDocument/2006/relationships/hyperlink" Target="https://www.facebook.com/profile.php?id=100080622621474" TargetMode="External"/><Relationship Id="rId4647" Type="http://schemas.openxmlformats.org/officeDocument/2006/relationships/hyperlink" Target="https://www.facebook.com/yeens12?mibextid=ZbWKwL" TargetMode="External"/><Relationship Id="rId7053" Type="http://schemas.openxmlformats.org/officeDocument/2006/relationships/hyperlink" Target="https://www.facebook.com/diem.duong.5280" TargetMode="External"/><Relationship Id="rId8104" Type="http://schemas.openxmlformats.org/officeDocument/2006/relationships/hyperlink" Target="https://www.facebook.com/profile.php?id=100063584329979&amp;mibextid=LQQJ4d" TargetMode="External"/><Relationship Id="rId2198" Type="http://schemas.openxmlformats.org/officeDocument/2006/relationships/hyperlink" Target="https://drive.google.com/open?id=1sjU4oTPYceKRhmLUqcklRhtk_HfDIRZh" TargetMode="External"/><Relationship Id="rId3249" Type="http://schemas.openxmlformats.org/officeDocument/2006/relationships/hyperlink" Target="https://www.facebook.com/viet.khang.9404?mibextid=LQQJ4d" TargetMode="External"/><Relationship Id="rId7120" Type="http://schemas.openxmlformats.org/officeDocument/2006/relationships/hyperlink" Target="https://drive.google.com/open?id=1fT9__pqpZPXrMAzDkVWPbjpDJxLTh2DE" TargetMode="External"/><Relationship Id="rId584" Type="http://schemas.openxmlformats.org/officeDocument/2006/relationships/hyperlink" Target="https://www.facebook.com/100062193541619/" TargetMode="External"/><Relationship Id="rId2265" Type="http://schemas.openxmlformats.org/officeDocument/2006/relationships/hyperlink" Target="https://drive.google.com/open?id=1mVat33Fjr0X5zsbCxwf2uuufvp1ABkht" TargetMode="External"/><Relationship Id="rId3663" Type="http://schemas.openxmlformats.org/officeDocument/2006/relationships/hyperlink" Target="https://www.facebook.com/profile.php?id=100044973280897" TargetMode="External"/><Relationship Id="rId4714" Type="http://schemas.openxmlformats.org/officeDocument/2006/relationships/hyperlink" Target="https://drive.google.com/open?id=1_Bp1xe2J5aSo2WUlffZSwyaLS__8Unly" TargetMode="External"/><Relationship Id="rId9292" Type="http://schemas.openxmlformats.org/officeDocument/2006/relationships/hyperlink" Target="https://www.facebook.com/thanhnocz" TargetMode="External"/><Relationship Id="rId237" Type="http://schemas.openxmlformats.org/officeDocument/2006/relationships/hyperlink" Target="https://drive.google.com/open?id=1goMUJ69C6fFOrIwkU3xzo5fEMsV37QNn" TargetMode="External"/><Relationship Id="rId3316" Type="http://schemas.openxmlformats.org/officeDocument/2006/relationships/hyperlink" Target="https://www.facebook.com/mai.lyna.5203?mibextid=hu50Ix" TargetMode="External"/><Relationship Id="rId3730" Type="http://schemas.openxmlformats.org/officeDocument/2006/relationships/hyperlink" Target="https://drive.google.com/open?id=16O5v8eNH-9E_fFngM_Z_3e7hDYbvOz6G" TargetMode="External"/><Relationship Id="rId6886" Type="http://schemas.openxmlformats.org/officeDocument/2006/relationships/hyperlink" Target="https://www.facebook.com/cuyen.sadboiz.50702?mibextid=LQQJ4d" TargetMode="External"/><Relationship Id="rId7937" Type="http://schemas.openxmlformats.org/officeDocument/2006/relationships/hyperlink" Target="https://www.facebook.com/profile.php?id=100082769193918&amp;mibextid=opq0tG" TargetMode="External"/><Relationship Id="rId651" Type="http://schemas.openxmlformats.org/officeDocument/2006/relationships/hyperlink" Target="https://www.facebook.com/quantrieu.nhat" TargetMode="External"/><Relationship Id="rId1281" Type="http://schemas.openxmlformats.org/officeDocument/2006/relationships/hyperlink" Target="https://drive.google.com/open?id=141KPlkN6MSSlyt8hNBfx7j0x4xyXps3d" TargetMode="External"/><Relationship Id="rId2332" Type="http://schemas.openxmlformats.org/officeDocument/2006/relationships/hyperlink" Target="https://drive.google.com/open?id=1CQhvjs5PGO0mk3b3apgi2lx2zPbvDm9c" TargetMode="External"/><Relationship Id="rId5488" Type="http://schemas.openxmlformats.org/officeDocument/2006/relationships/hyperlink" Target="https://www.facebook.com/profile.php?id=100051933434918" TargetMode="External"/><Relationship Id="rId6539" Type="http://schemas.openxmlformats.org/officeDocument/2006/relationships/hyperlink" Target="https://www.facebook.com/profile.php?id=100048230916025&amp;mibextid=LQQJ4d" TargetMode="External"/><Relationship Id="rId6953" Type="http://schemas.openxmlformats.org/officeDocument/2006/relationships/hyperlink" Target="https://www.facebook.com/profile.php?id=100039982610149&amp;mibextid=LQQJ4d" TargetMode="External"/><Relationship Id="rId304" Type="http://schemas.openxmlformats.org/officeDocument/2006/relationships/hyperlink" Target="https://www.facebook.com/profile.php?id=100054746244768&amp;mibextid=LQQJ4d" TargetMode="External"/><Relationship Id="rId5555" Type="http://schemas.openxmlformats.org/officeDocument/2006/relationships/hyperlink" Target="https://drive.google.com/open?id=1Cz1pntVvkUl-hH3npLneKe6OT6Wku_2X" TargetMode="External"/><Relationship Id="rId6606" Type="http://schemas.openxmlformats.org/officeDocument/2006/relationships/hyperlink" Target="https://drive.google.com/open?id=1ZznzDcly4kDJe7FheQk_sgVpDAy8I84Y" TargetMode="External"/><Relationship Id="rId9012" Type="http://schemas.openxmlformats.org/officeDocument/2006/relationships/hyperlink" Target="https://drive.google.com/open?id=17v0zD7F9ha5A-aTSBvcBskXWvJMUI8Sx" TargetMode="External"/><Relationship Id="rId1001" Type="http://schemas.openxmlformats.org/officeDocument/2006/relationships/hyperlink" Target="https://www.facebook.com/mius.mius.391?mibextid=ZbWKwL" TargetMode="External"/><Relationship Id="rId4157" Type="http://schemas.openxmlformats.org/officeDocument/2006/relationships/hyperlink" Target="https://www.facebook.com/share/15NDFXJ3dP/?mibextid=wwXIfr" TargetMode="External"/><Relationship Id="rId4571" Type="http://schemas.openxmlformats.org/officeDocument/2006/relationships/hyperlink" Target="https://www.facebook.com/profile.php?id=100029988300003&amp;mibextid=LQQJ4d" TargetMode="External"/><Relationship Id="rId5208" Type="http://schemas.openxmlformats.org/officeDocument/2006/relationships/hyperlink" Target="https://www.facebook.com/profile.php?id=100091762856363" TargetMode="External"/><Relationship Id="rId5622" Type="http://schemas.openxmlformats.org/officeDocument/2006/relationships/hyperlink" Target="https://drive.google.com/open?id=1vsScdb6_VTQvDW-wUA78pzrxmIu4RinT" TargetMode="External"/><Relationship Id="rId8778" Type="http://schemas.openxmlformats.org/officeDocument/2006/relationships/hyperlink" Target="https://www.facebook.com/huuquyen.le.77?mibextid=LQQJ4d" TargetMode="External"/><Relationship Id="rId3173" Type="http://schemas.openxmlformats.org/officeDocument/2006/relationships/hyperlink" Target="https://www.facebook.com/profile.php?id=100044719773594&amp;mibextid=LQQJ4d" TargetMode="External"/><Relationship Id="rId4224" Type="http://schemas.openxmlformats.org/officeDocument/2006/relationships/hyperlink" Target="https://www.facebook.com/profile.php?id=100048658095353" TargetMode="External"/><Relationship Id="rId1818" Type="http://schemas.openxmlformats.org/officeDocument/2006/relationships/hyperlink" Target="https://drive.google.com/open?id=1X4ex16mDgEkNov_5w7dZ5yIuiZTaQOuw" TargetMode="External"/><Relationship Id="rId3240" Type="http://schemas.openxmlformats.org/officeDocument/2006/relationships/hyperlink" Target="https://www.facebook.com/profile.php?id=100091269283564&amp;mibextid=ZbWKwL" TargetMode="External"/><Relationship Id="rId6396" Type="http://schemas.openxmlformats.org/officeDocument/2006/relationships/hyperlink" Target="https://www.facebook.com/profile.php?id=100085467455369" TargetMode="External"/><Relationship Id="rId7794" Type="http://schemas.openxmlformats.org/officeDocument/2006/relationships/hyperlink" Target="https://drive.google.com/open?id=1JCZj67mNWkVoApJ4dLmuGpZJSjB7JPD7" TargetMode="External"/><Relationship Id="rId8845" Type="http://schemas.openxmlformats.org/officeDocument/2006/relationships/hyperlink" Target="https://drive.google.com/open?id=1O2r01f3CQ4pX8YAsc5ZSN2ILVK-le-X7" TargetMode="External"/><Relationship Id="rId161" Type="http://schemas.openxmlformats.org/officeDocument/2006/relationships/hyperlink" Target="https://drive.google.com/open?id=1wq83kpJx-HFJjf6Jg5VyKmWfW9pd3LPT" TargetMode="External"/><Relationship Id="rId6049" Type="http://schemas.openxmlformats.org/officeDocument/2006/relationships/hyperlink" Target="https://www.facebook.com/profile.php?id=100070216384371&amp;mibextid=ZbWKwL" TargetMode="External"/><Relationship Id="rId7447" Type="http://schemas.openxmlformats.org/officeDocument/2006/relationships/hyperlink" Target="https://www.facebook.com/ngoc.anhh.9406417?mibextid=LQQJ4d" TargetMode="External"/><Relationship Id="rId7861" Type="http://schemas.openxmlformats.org/officeDocument/2006/relationships/hyperlink" Target="https://www.facebook.com/profile.php?id=100062870708267" TargetMode="External"/><Relationship Id="rId8912" Type="http://schemas.openxmlformats.org/officeDocument/2006/relationships/hyperlink" Target="https://drive.google.com/open?id=1Op6b5Rv0nRXg1PWo18NNZX2s-4pwySuw" TargetMode="External"/><Relationship Id="rId6463" Type="http://schemas.openxmlformats.org/officeDocument/2006/relationships/hyperlink" Target="https://drive.google.com/open?id=1AJezxSSA1o0wfLzmr0UK3hfzkBI2N_ww" TargetMode="External"/><Relationship Id="rId7514" Type="http://schemas.openxmlformats.org/officeDocument/2006/relationships/hyperlink" Target="https://www.facebook.com/profile.php?id=100057245475877" TargetMode="External"/><Relationship Id="rId978" Type="http://schemas.openxmlformats.org/officeDocument/2006/relationships/hyperlink" Target="https://www.facebook.com/100024067505946/" TargetMode="External"/><Relationship Id="rId2659" Type="http://schemas.openxmlformats.org/officeDocument/2006/relationships/hyperlink" Target="https://drive.google.com/open?id=1d65qXtjQh_1jSYK9ooQ6rYcGDgyu290K" TargetMode="External"/><Relationship Id="rId5065" Type="http://schemas.openxmlformats.org/officeDocument/2006/relationships/hyperlink" Target="https://www.facebook.com/profile.php?id=100053791899269&amp;locale=vi_VN" TargetMode="External"/><Relationship Id="rId6116" Type="http://schemas.openxmlformats.org/officeDocument/2006/relationships/hyperlink" Target="https://www.facebook.com/profile.php?id=100084276400662&amp;mibextid=ZbWKwL" TargetMode="External"/><Relationship Id="rId6530" Type="http://schemas.openxmlformats.org/officeDocument/2006/relationships/hyperlink" Target="https://www.facebook.com/profile.php?id=100071031646696" TargetMode="External"/><Relationship Id="rId1675" Type="http://schemas.openxmlformats.org/officeDocument/2006/relationships/hyperlink" Target="https://www.facebook.com/phuongthao.mqnc?mibextid=LQQJ4d" TargetMode="External"/><Relationship Id="rId2726" Type="http://schemas.openxmlformats.org/officeDocument/2006/relationships/hyperlink" Target="https://www.facebook.com/len.nguyenthi.37625843" TargetMode="External"/><Relationship Id="rId4081" Type="http://schemas.openxmlformats.org/officeDocument/2006/relationships/hyperlink" Target="https://www.facebook.com/profile.php?id=100083721160600&amp;mibextid=ZbWKwL" TargetMode="External"/><Relationship Id="rId5132" Type="http://schemas.openxmlformats.org/officeDocument/2006/relationships/hyperlink" Target="https://www.facebook.com/profile.php?id=100037761561597&amp;mibextid=LQQJ4d" TargetMode="External"/><Relationship Id="rId8288" Type="http://schemas.openxmlformats.org/officeDocument/2006/relationships/hyperlink" Target="https://www.facebook.com/profile.php?id=100029132902488" TargetMode="External"/><Relationship Id="rId9339" Type="http://schemas.openxmlformats.org/officeDocument/2006/relationships/hyperlink" Target="https://www.facebook.com/profile.php?id=100022234133203&amp;mibextid=ZbWKwL" TargetMode="External"/><Relationship Id="rId1328" Type="http://schemas.openxmlformats.org/officeDocument/2006/relationships/hyperlink" Target="https://drive.google.com/open?id=1tb8Py3-7FsF1V86qikD1XBwnbBRaoLfE" TargetMode="External"/><Relationship Id="rId8355" Type="http://schemas.openxmlformats.org/officeDocument/2006/relationships/hyperlink" Target="https://www.facebook.com/profile.php?id=61551051837121" TargetMode="External"/><Relationship Id="rId9406" Type="http://schemas.openxmlformats.org/officeDocument/2006/relationships/hyperlink" Target="https://www.facebook.com/profile.php?id=100007810727148&amp;mibextid=LQQJ4d" TargetMode="External"/><Relationship Id="rId1742" Type="http://schemas.openxmlformats.org/officeDocument/2006/relationships/hyperlink" Target="https://www.facebook.com/ngocanh.10122005?mibextid=LQQJ4d" TargetMode="External"/><Relationship Id="rId4898" Type="http://schemas.openxmlformats.org/officeDocument/2006/relationships/hyperlink" Target="https://www.facebook.com/profile.php?id=100056584266857&amp;mibextid=LQQJ4d" TargetMode="External"/><Relationship Id="rId5949" Type="http://schemas.openxmlformats.org/officeDocument/2006/relationships/hyperlink" Target="https://www.facebook.com/aduanhpham?mibextid=ZbWKwL" TargetMode="External"/><Relationship Id="rId7371" Type="http://schemas.openxmlformats.org/officeDocument/2006/relationships/hyperlink" Target="https://www.facebook.com/profile.php?id=100053890674211&amp;mibextid=LQQJ4d" TargetMode="External"/><Relationship Id="rId8008" Type="http://schemas.openxmlformats.org/officeDocument/2006/relationships/hyperlink" Target="https://www.facebook.com/ngeynnahng?mibextid=ZbWKwL" TargetMode="External"/><Relationship Id="rId34" Type="http://schemas.openxmlformats.org/officeDocument/2006/relationships/hyperlink" Target="https://www.facebook.com/ana.nguyen.94651?mibextid=LQQJ4d" TargetMode="External"/><Relationship Id="rId4965" Type="http://schemas.openxmlformats.org/officeDocument/2006/relationships/hyperlink" Target="https://www.facebook.com/profile.php?id=100021788392729" TargetMode="External"/><Relationship Id="rId7024" Type="http://schemas.openxmlformats.org/officeDocument/2006/relationships/hyperlink" Target="https://www.facebook.com/profile.php?id=100053965261033&amp;mibextid=ZbWKwL" TargetMode="External"/><Relationship Id="rId8422" Type="http://schemas.openxmlformats.org/officeDocument/2006/relationships/hyperlink" Target="https://www.facebook.com/phong.cao.946954" TargetMode="External"/><Relationship Id="rId3567" Type="http://schemas.openxmlformats.org/officeDocument/2006/relationships/hyperlink" Target="https://www.facebook.com/profile.php?id=100078041570900&amp;mibextid=LQQJ4d" TargetMode="External"/><Relationship Id="rId3981" Type="http://schemas.openxmlformats.org/officeDocument/2006/relationships/hyperlink" Target="https://drive.google.com/open?id=1idxYyUGqoVezjgPQw-eL9ItUHFUcjlra" TargetMode="External"/><Relationship Id="rId4618" Type="http://schemas.openxmlformats.org/officeDocument/2006/relationships/hyperlink" Target="https://drive.google.com/open?id=1wTezdJifAP-6Pha_dh_NCklVuOAr3jV3" TargetMode="External"/><Relationship Id="rId488" Type="http://schemas.openxmlformats.org/officeDocument/2006/relationships/hyperlink" Target="https://drive.google.com/open?id=1uX92WcVKfddK1Fuc-FEk1Ci-ypm6_WzE" TargetMode="External"/><Relationship Id="rId2169" Type="http://schemas.openxmlformats.org/officeDocument/2006/relationships/hyperlink" Target="https://www.facebook.com/profile.php?id=100017352134897&amp;mibextid=LQQJ4d" TargetMode="External"/><Relationship Id="rId2583" Type="http://schemas.openxmlformats.org/officeDocument/2006/relationships/hyperlink" Target="https://www.facebook.com/nam.nguyenss.3?mibextid=LQQJ4d" TargetMode="External"/><Relationship Id="rId3634" Type="http://schemas.openxmlformats.org/officeDocument/2006/relationships/hyperlink" Target="https://www.facebook.com/tue.do.1485" TargetMode="External"/><Relationship Id="rId6040" Type="http://schemas.openxmlformats.org/officeDocument/2006/relationships/hyperlink" Target="https://www.facebook.com/thanhtung.260163?mibextid=ZbWKwL" TargetMode="External"/><Relationship Id="rId9196" Type="http://schemas.openxmlformats.org/officeDocument/2006/relationships/hyperlink" Target="https://www.facebook.com/share/1ARmw7kAf8/?mibextid=wwXIfr" TargetMode="External"/><Relationship Id="rId555" Type="http://schemas.openxmlformats.org/officeDocument/2006/relationships/hyperlink" Target="https://www.facebook.com/profile.php?id=100052669572747" TargetMode="External"/><Relationship Id="rId1185" Type="http://schemas.openxmlformats.org/officeDocument/2006/relationships/hyperlink" Target="https://www.facebook.com/hoangthien.nam.5036459?mibextid=ZbWKwL" TargetMode="External"/><Relationship Id="rId2236" Type="http://schemas.openxmlformats.org/officeDocument/2006/relationships/hyperlink" Target="https://drive.google.com/open?id=1X1nM8jbLjjRpb9gwTaYkXgMbFL-aQvqC" TargetMode="External"/><Relationship Id="rId2650" Type="http://schemas.openxmlformats.org/officeDocument/2006/relationships/hyperlink" Target="https://drive.google.com/open?id=1ctMV9gkMzmS71mHomvBxR1dVs_RQy_4j" TargetMode="External"/><Relationship Id="rId3701" Type="http://schemas.openxmlformats.org/officeDocument/2006/relationships/hyperlink" Target="https://www.facebook.com/profile.php?id=100034390011315&amp;mibextid=LQQJ4d" TargetMode="External"/><Relationship Id="rId6857" Type="http://schemas.openxmlformats.org/officeDocument/2006/relationships/hyperlink" Target="https://www.facebook.com/ngocc.trinh.98?mibextid=LQQJ4d" TargetMode="External"/><Relationship Id="rId7908" Type="http://schemas.openxmlformats.org/officeDocument/2006/relationships/hyperlink" Target="https://www.facebook.com/profile.php?id=61551094964282&amp;mibextid=LQQJ4d" TargetMode="External"/><Relationship Id="rId9263" Type="http://schemas.openxmlformats.org/officeDocument/2006/relationships/hyperlink" Target="https://drive.google.com/open?id=17zzGYw3HWOJ54FJTrsKklUC7AlLDHOxc" TargetMode="External"/><Relationship Id="rId208" Type="http://schemas.openxmlformats.org/officeDocument/2006/relationships/hyperlink" Target="https://www.facebook.com/ngocdippp.23" TargetMode="External"/><Relationship Id="rId622" Type="http://schemas.openxmlformats.org/officeDocument/2006/relationships/hyperlink" Target="https://drive.google.com/open?id=1veexRdPrfPam16JceZv1VlCJBLSMc0vz" TargetMode="External"/><Relationship Id="rId1252" Type="http://schemas.openxmlformats.org/officeDocument/2006/relationships/hyperlink" Target="https://www.facebook.com/profile.php?id=100078041570900&amp;mibextid=LQQJ4d" TargetMode="External"/><Relationship Id="rId2303" Type="http://schemas.openxmlformats.org/officeDocument/2006/relationships/hyperlink" Target="https://drive.google.com/open?id=1M5BMFceU_DieUjwK97UdPzgs6qNSDb3w" TargetMode="External"/><Relationship Id="rId5459" Type="http://schemas.openxmlformats.org/officeDocument/2006/relationships/hyperlink" Target="https://www.facebook.com/duong.thuyy.5439?mibextid=LQQJ4d" TargetMode="External"/><Relationship Id="rId9330" Type="http://schemas.openxmlformats.org/officeDocument/2006/relationships/hyperlink" Target="https://www.facebook.com/profile.php?id=100070115306002" TargetMode="External"/><Relationship Id="rId4475" Type="http://schemas.openxmlformats.org/officeDocument/2006/relationships/hyperlink" Target="https://www.facebook.com/profile.php?id=100081162254665" TargetMode="External"/><Relationship Id="rId5873" Type="http://schemas.openxmlformats.org/officeDocument/2006/relationships/hyperlink" Target="https://www.facebook.com/profile.php?id=61550005731130&amp;mibextid=LQQJ4d" TargetMode="External"/><Relationship Id="rId6924" Type="http://schemas.openxmlformats.org/officeDocument/2006/relationships/hyperlink" Target="https://drive.google.com/open?id=182WrlM97https://drive.google.com/open?id=1Q6_OiCtAbIBglwEhnTNMThtgQNbPO5QfMSdjS531KD1pKKxA52tsFrML" TargetMode="External"/><Relationship Id="rId3077" Type="http://schemas.openxmlformats.org/officeDocument/2006/relationships/hyperlink" Target="https://drive.google.com/open?id=1JiArNjjdnhLA1s6t6vT3QXVP5FfwQ3w5" TargetMode="External"/><Relationship Id="rId4128" Type="http://schemas.openxmlformats.org/officeDocument/2006/relationships/hyperlink" Target="https://www.facebook.com/profile.php?id=61550109591741&amp;mibextid=ZbWKwL" TargetMode="External"/><Relationship Id="rId5526" Type="http://schemas.openxmlformats.org/officeDocument/2006/relationships/hyperlink" Target="https://drive.google.com/open?id=1Jaq4iOZmAe39hoUfFoDtLVE6ZIzTOjt2" TargetMode="External"/><Relationship Id="rId5940" Type="http://schemas.openxmlformats.org/officeDocument/2006/relationships/hyperlink" Target="https://www.facebook.com/n27.thang9?mibextid=LQQJ4d" TargetMode="External"/><Relationship Id="rId2093" Type="http://schemas.openxmlformats.org/officeDocument/2006/relationships/hyperlink" Target="https://www.facebook.com/profile.php?id=100054615952893&amp;mibextid=LQQJ4d" TargetMode="External"/><Relationship Id="rId3491" Type="http://schemas.openxmlformats.org/officeDocument/2006/relationships/hyperlink" Target="https://www.facebook.com/profile.php?id=100092331591591" TargetMode="External"/><Relationship Id="rId4542" Type="http://schemas.openxmlformats.org/officeDocument/2006/relationships/hyperlink" Target="https://www.facebook.com/nguyenlinh.edu.abc" TargetMode="External"/><Relationship Id="rId7698" Type="http://schemas.openxmlformats.org/officeDocument/2006/relationships/hyperlink" Target="https://www.facebook.com/share/PtYVebPFsCjACtdi/?mibextid=LQQJ4d" TargetMode="External"/><Relationship Id="rId8749" Type="http://schemas.openxmlformats.org/officeDocument/2006/relationships/hyperlink" Target="https://www.facebook.com/nguyen.ly.715178?mibextid=LQQJ4d" TargetMode="External"/><Relationship Id="rId3144" Type="http://schemas.openxmlformats.org/officeDocument/2006/relationships/hyperlink" Target="https://drive.google.com/open?id=14vsOe1W1-HoUJ4NlPHlBCODW7RGu25WJ" TargetMode="External"/><Relationship Id="rId7765" Type="http://schemas.openxmlformats.org/officeDocument/2006/relationships/hyperlink" Target="https://drive.google.com/open?id=1SWVP9HcXuCNlUKzypNb87Vkky11pAsmV" TargetMode="External"/><Relationship Id="rId8816" Type="http://schemas.openxmlformats.org/officeDocument/2006/relationships/hyperlink" Target="https://drive.google.com/open?id=1s8wAhT2HyKRVeZux18nupVHUjzuVfpVS" TargetMode="External"/><Relationship Id="rId2160" Type="http://schemas.openxmlformats.org/officeDocument/2006/relationships/hyperlink" Target="https://www.facebook.com/chinhnghia.ngo.986?mibextid=LQQJ4d" TargetMode="External"/><Relationship Id="rId3211" Type="http://schemas.openxmlformats.org/officeDocument/2006/relationships/hyperlink" Target="https://www.facebook.com/hngocxinhdep?mibextid=LQQJ4d" TargetMode="External"/><Relationship Id="rId6367" Type="http://schemas.openxmlformats.org/officeDocument/2006/relationships/hyperlink" Target="https://www.facebook.com/bao02032006" TargetMode="External"/><Relationship Id="rId6781" Type="http://schemas.openxmlformats.org/officeDocument/2006/relationships/hyperlink" Target="https://www.facebook.com/truc.nguyet.5680?mibextid=LQQJ4d" TargetMode="External"/><Relationship Id="rId7418" Type="http://schemas.openxmlformats.org/officeDocument/2006/relationships/hyperlink" Target="https://www.facebook.com/profile.php?id=100051083227606&amp;mibextid=LQQJ4d" TargetMode="External"/><Relationship Id="rId7832" Type="http://schemas.openxmlformats.org/officeDocument/2006/relationships/hyperlink" Target="https://drive.google.com/open?id=1aWZCEO0Md9QL_MYqxTp984fKP9_87Pa1" TargetMode="External"/><Relationship Id="rId132" Type="http://schemas.openxmlformats.org/officeDocument/2006/relationships/hyperlink" Target="https://www.facebook.com/profile.php?id=100047576530288" TargetMode="External"/><Relationship Id="rId5383" Type="http://schemas.openxmlformats.org/officeDocument/2006/relationships/hyperlink" Target="https://www.facebook.com/jinyoung.bae.39750" TargetMode="External"/><Relationship Id="rId6434" Type="http://schemas.openxmlformats.org/officeDocument/2006/relationships/hyperlink" Target="https://www.facebook.com/profile.php?id=100032613424992&amp;mibextid=LQQJ4d" TargetMode="External"/><Relationship Id="rId1579" Type="http://schemas.openxmlformats.org/officeDocument/2006/relationships/hyperlink" Target="https://www.facebook.com/tranthikimhue2110?mibextid=LQQJ4d" TargetMode="External"/><Relationship Id="rId2977" Type="http://schemas.openxmlformats.org/officeDocument/2006/relationships/hyperlink" Target="https://www.facebook.com/khacnguyen.le.777?mibextid=LQQJ4d" TargetMode="External"/><Relationship Id="rId5036" Type="http://schemas.openxmlformats.org/officeDocument/2006/relationships/hyperlink" Target="https://www.facebook.com/lua.nguyenngoc.351" TargetMode="External"/><Relationship Id="rId5450" Type="http://schemas.openxmlformats.org/officeDocument/2006/relationships/hyperlink" Target="https://drive.google.com/open?id=1mBsqwX3PADRU6MSe1PNmESQQK15kUPGA" TargetMode="External"/><Relationship Id="rId949" Type="http://schemas.openxmlformats.org/officeDocument/2006/relationships/hyperlink" Target="https://www.facebook.com/profile.php?id=100027237852088" TargetMode="External"/><Relationship Id="rId1993" Type="http://schemas.openxmlformats.org/officeDocument/2006/relationships/hyperlink" Target="https://drive.google.com/open?id=15SYvGbSSVH9JO2TtZ18lwt3MMnSSrg_E" TargetMode="External"/><Relationship Id="rId4052" Type="http://schemas.openxmlformats.org/officeDocument/2006/relationships/hyperlink" Target="https://www.facebook.com/profile.php?id=100064927868555&amp;mibextid=ZbWKwL" TargetMode="External"/><Relationship Id="rId5103" Type="http://schemas.openxmlformats.org/officeDocument/2006/relationships/hyperlink" Target="https://www.facebook.com/no.kaka.12382" TargetMode="External"/><Relationship Id="rId6501" Type="http://schemas.openxmlformats.org/officeDocument/2006/relationships/hyperlink" Target="https://drive.google.com/open?id=1y27_qsHRFj0tvo5_-0yjBbkI-0os9Ksu" TargetMode="External"/><Relationship Id="rId8259" Type="http://schemas.openxmlformats.org/officeDocument/2006/relationships/hyperlink" Target="https://www.facebook.com/agha.sghs?mibextid=LQQJ4d" TargetMode="External"/><Relationship Id="rId1646" Type="http://schemas.openxmlformats.org/officeDocument/2006/relationships/hyperlink" Target="https://drive.google.com/open?id=17rW6RPWyYaI4S4I3F5rNm9tK6VISQYQL" TargetMode="External"/><Relationship Id="rId8673" Type="http://schemas.openxmlformats.org/officeDocument/2006/relationships/hyperlink" Target="https://www.facebook.com/profile.php?id=100079138303428&amp;mibextid=LQQJ4d" TargetMode="External"/><Relationship Id="rId1713" Type="http://schemas.openxmlformats.org/officeDocument/2006/relationships/hyperlink" Target="https://www.facebook.com/TruongHai.31072005" TargetMode="External"/><Relationship Id="rId4869" Type="http://schemas.openxmlformats.org/officeDocument/2006/relationships/hyperlink" Target="https://www.facebook.com/profile.php?id=100055215810740" TargetMode="External"/><Relationship Id="rId7275" Type="http://schemas.openxmlformats.org/officeDocument/2006/relationships/hyperlink" Target="https://www.facebook.com/profile.php?id=61551822216858&amp;mibextid=LQQJ4d" TargetMode="External"/><Relationship Id="rId8326" Type="http://schemas.openxmlformats.org/officeDocument/2006/relationships/hyperlink" Target="https://www.facebook.com/sown.715" TargetMode="External"/><Relationship Id="rId8740" Type="http://schemas.openxmlformats.org/officeDocument/2006/relationships/hyperlink" Target="https://drive.google.com/open?id=1KA3x8zFWDE86i5StZye9M73Qnqd9xVCZ" TargetMode="External"/><Relationship Id="rId3885" Type="http://schemas.openxmlformats.org/officeDocument/2006/relationships/hyperlink" Target="https://www.facebook.com/profile.php?id=100091451267088&amp;mibextid=LQQJ4d" TargetMode="External"/><Relationship Id="rId4936" Type="http://schemas.openxmlformats.org/officeDocument/2006/relationships/hyperlink" Target="https://www.facebook.com/profile.php?id=100064200363767&amp;mibextid=LQQJ4d" TargetMode="External"/><Relationship Id="rId6291" Type="http://schemas.openxmlformats.org/officeDocument/2006/relationships/hyperlink" Target="https://www.facebook.com/profile.php?id=100035569410296&amp;mibextid=LQQJ4d" TargetMode="External"/><Relationship Id="rId7342" Type="http://schemas.openxmlformats.org/officeDocument/2006/relationships/hyperlink" Target="https://www.facebook.com/tunglomo.2712?mibextid=LQQJ4d" TargetMode="External"/><Relationship Id="rId2487" Type="http://schemas.openxmlformats.org/officeDocument/2006/relationships/hyperlink" Target="https://www.facebook.com/profile.php?id=100078194207173&amp;mibextid=LQQJ4d" TargetMode="External"/><Relationship Id="rId3538" Type="http://schemas.openxmlformats.org/officeDocument/2006/relationships/hyperlink" Target="https://www.facebook.com/profile.php?id=100054677354890" TargetMode="External"/><Relationship Id="rId459" Type="http://schemas.openxmlformats.org/officeDocument/2006/relationships/hyperlink" Target="https://drive.google.com/open?id=13nXEY6K-FNvxvxuSvfxhHNpqBIqlAeM2" TargetMode="External"/><Relationship Id="rId873" Type="http://schemas.openxmlformats.org/officeDocument/2006/relationships/hyperlink" Target="https://www.facebook.com/tranthithuytien232" TargetMode="External"/><Relationship Id="rId1089" Type="http://schemas.openxmlformats.org/officeDocument/2006/relationships/hyperlink" Target="https://www.facebook.com/chongemlaPackChanyeol?mibextid=LQQJ4d" TargetMode="External"/><Relationship Id="rId2554" Type="http://schemas.openxmlformats.org/officeDocument/2006/relationships/hyperlink" Target="https://drive.google.com/open?id=1R6MLbhNohUbOLG9bX5-vWh98n3snAevb" TargetMode="External"/><Relationship Id="rId3952" Type="http://schemas.openxmlformats.org/officeDocument/2006/relationships/hyperlink" Target="https://drive.google.com/open?id=1np4RM6ckeMGzGLfvIzwwXM5ebyrJvJSi" TargetMode="External"/><Relationship Id="rId6011" Type="http://schemas.openxmlformats.org/officeDocument/2006/relationships/hyperlink" Target="https://www.facebook.com/profile.php?id=100017039298394&amp;mibextid=LQQJ4d" TargetMode="External"/><Relationship Id="rId9167" Type="http://schemas.openxmlformats.org/officeDocument/2006/relationships/hyperlink" Target="https://www.facebook.com/profile.php?id=100026376623678&amp;mibextid=ZbWKwL" TargetMode="External"/><Relationship Id="rId9581" Type="http://schemas.openxmlformats.org/officeDocument/2006/relationships/hyperlink" Target="https://www.facebook.com/le.van.datt.2024" TargetMode="External"/><Relationship Id="rId526" Type="http://schemas.openxmlformats.org/officeDocument/2006/relationships/hyperlink" Target="https://drive.google.com/open?id=1x0MbO4WTsadH7C3ug8arMbWei4xkRqdr" TargetMode="External"/><Relationship Id="rId1156" Type="http://schemas.openxmlformats.org/officeDocument/2006/relationships/hyperlink" Target="https://www.facebook.com/profile.php?id=100088674544844" TargetMode="External"/><Relationship Id="rId2207" Type="http://schemas.openxmlformats.org/officeDocument/2006/relationships/hyperlink" Target="https://www.facebook.com/profile.php?id=100046745974062" TargetMode="External"/><Relationship Id="rId3605" Type="http://schemas.openxmlformats.org/officeDocument/2006/relationships/hyperlink" Target="https://www.facebook.com/profile.php?id=100070143866097&amp;mibextid=ZbWKwL" TargetMode="External"/><Relationship Id="rId8183" Type="http://schemas.openxmlformats.org/officeDocument/2006/relationships/hyperlink" Target="https://www.facebook.com/tran.trieu.742737" TargetMode="External"/><Relationship Id="rId9234" Type="http://schemas.openxmlformats.org/officeDocument/2006/relationships/hyperlink" Target="https://drive.google.com/open?id=1dfPvjK6YtkLY0dvcZhBex-QVzywQqzbN" TargetMode="External"/><Relationship Id="rId940" Type="http://schemas.openxmlformats.org/officeDocument/2006/relationships/hyperlink" Target="https://drive.google.com/open?id=1yqwCT791dNrFeIS_Nj0vUIMpMsxgCQjt" TargetMode="External"/><Relationship Id="rId1570" Type="http://schemas.openxmlformats.org/officeDocument/2006/relationships/hyperlink" Target="https://www.facebook.com/profile.php?id=100057790480030&amp;__cft__%5B0%5D=AZWpMGXUYJ8itslvoE5XZv5KHoqN2obeHhJhZlwPe9yxho60eviTR5rQ92dgosd5lMI40CZQqiBtNllaTbUdk1ykrOZCsx1Dli11r_SNB0p4X3hHvzdS4qm6RPj1_Rcp2vqG3SNQZyg9uBeC8c87JamlOr3S19QFtN8t9eMP7dyAmg&amp;__tn__=-UC%2CP-R" TargetMode="External"/><Relationship Id="rId2621" Type="http://schemas.openxmlformats.org/officeDocument/2006/relationships/hyperlink" Target="https://www.facebook.com/profile.php?id=100089268710130&amp;mibextid=kFxxJD" TargetMode="External"/><Relationship Id="rId5777" Type="http://schemas.openxmlformats.org/officeDocument/2006/relationships/hyperlink" Target="https://www.facebook.com/Truong.Nguyen567?locale=vi_VN" TargetMode="External"/><Relationship Id="rId6828" Type="http://schemas.openxmlformats.org/officeDocument/2006/relationships/hyperlink" Target="https://www.facebook.com/profile.php?id=100045788814374&amp;mibextid=LQQJ4d" TargetMode="External"/><Relationship Id="rId1223" Type="http://schemas.openxmlformats.org/officeDocument/2006/relationships/hyperlink" Target="https://www.facebook.com/profile.php?id=100055156570255&amp;mibextid=LQQJ4d" TargetMode="External"/><Relationship Id="rId4379" Type="http://schemas.openxmlformats.org/officeDocument/2006/relationships/hyperlink" Target="https://www.facebook.com/profile.php?id=100069532695562&amp;mibextid=LQQJ4d" TargetMode="External"/><Relationship Id="rId4793" Type="http://schemas.openxmlformats.org/officeDocument/2006/relationships/hyperlink" Target="https://drive.google.com/open?id=1jFjj_PSeJ-73Ju5wb2cZEtR83MRuzZxj" TargetMode="External"/><Relationship Id="rId5844" Type="http://schemas.openxmlformats.org/officeDocument/2006/relationships/hyperlink" Target="https://www.facebook.com/profile.php?id=100077390928171&amp;mibextid=LQQJ4d" TargetMode="External"/><Relationship Id="rId8250" Type="http://schemas.openxmlformats.org/officeDocument/2006/relationships/hyperlink" Target="https://drive.google.com/open?id=1jHi8RNx5st_kbiyM9vlxtptz5LjB0PRu" TargetMode="External"/><Relationship Id="rId9301" Type="http://schemas.openxmlformats.org/officeDocument/2006/relationships/hyperlink" Target="https://www.facebook.com/nguyenngocanh612006?mibextid=LQQJ4d" TargetMode="External"/><Relationship Id="rId3395" Type="http://schemas.openxmlformats.org/officeDocument/2006/relationships/hyperlink" Target="https://www.facebook.com/bii.ha.566148?mibextid=9R9pXO" TargetMode="External"/><Relationship Id="rId4446" Type="http://schemas.openxmlformats.org/officeDocument/2006/relationships/hyperlink" Target="https://drive.google.com/open?id=1_OpdQj35AzqgEf700IcRkK1cB-7_iP_G" TargetMode="External"/><Relationship Id="rId4860" Type="http://schemas.openxmlformats.org/officeDocument/2006/relationships/hyperlink" Target="https://www.facebook.com/profile.php?id=100088365222409&amp;mibextid=LQQJ4d" TargetMode="External"/><Relationship Id="rId5911" Type="http://schemas.openxmlformats.org/officeDocument/2006/relationships/hyperlink" Target="https://www.facebook.com/profile.php?id=100069422756691&amp;mibextid=LQQJ4d" TargetMode="External"/><Relationship Id="rId3048" Type="http://schemas.openxmlformats.org/officeDocument/2006/relationships/hyperlink" Target="https://www.facebook.com/profile.php?id=100048871915296" TargetMode="External"/><Relationship Id="rId3462" Type="http://schemas.openxmlformats.org/officeDocument/2006/relationships/hyperlink" Target="https://www.facebook.com/vuxlizz99?mibextid=LQQJ4d" TargetMode="External"/><Relationship Id="rId4513" Type="http://schemas.openxmlformats.org/officeDocument/2006/relationships/hyperlink" Target="https://www.facebook.com/profile.php?id=100034196131502" TargetMode="External"/><Relationship Id="rId7669" Type="http://schemas.openxmlformats.org/officeDocument/2006/relationships/hyperlink" Target="https://www.facebook.com/hylary.le" TargetMode="External"/><Relationship Id="rId383" Type="http://schemas.openxmlformats.org/officeDocument/2006/relationships/hyperlink" Target="https://www.facebook.com/profile.php?id=100058824425888" TargetMode="External"/><Relationship Id="rId2064" Type="http://schemas.openxmlformats.org/officeDocument/2006/relationships/hyperlink" Target="https://www.facebook.com/profile.php?id=100046548901220&amp;mibextid=LQQJ4d" TargetMode="External"/><Relationship Id="rId3115" Type="http://schemas.openxmlformats.org/officeDocument/2006/relationships/hyperlink" Target="https://www.facebook.com/profile.php?id=100059552605876&amp;locale=vi_VN" TargetMode="External"/><Relationship Id="rId6685" Type="http://schemas.openxmlformats.org/officeDocument/2006/relationships/hyperlink" Target="https://drive.google.com/open?id=1SeEty9EgxGNNT5UPRjGBbmb0u3ZKs4Ap" TargetMode="External"/><Relationship Id="rId9091" Type="http://schemas.openxmlformats.org/officeDocument/2006/relationships/hyperlink" Target="https://www.facebook.com/share/1AA6wT3uku/?mibextid=wwXIfr" TargetMode="External"/><Relationship Id="rId450" Type="http://schemas.openxmlformats.org/officeDocument/2006/relationships/hyperlink" Target="https://www.facebook.com/profile.php?id=100034600184394&amp;mibextid=LQQJ4d" TargetMode="External"/><Relationship Id="rId1080" Type="http://schemas.openxmlformats.org/officeDocument/2006/relationships/hyperlink" Target="https://www.facebook.com/hungw1106?mibextid=LQQJ4d" TargetMode="External"/><Relationship Id="rId2131" Type="http://schemas.openxmlformats.org/officeDocument/2006/relationships/hyperlink" Target="https://www.facebook.com/haoo.km?mibextid=LQQJ4d" TargetMode="External"/><Relationship Id="rId5287" Type="http://schemas.openxmlformats.org/officeDocument/2006/relationships/hyperlink" Target="https://www.facebook.com/profile.php?id=100042311855995&amp;mibextid=LQQJ4d" TargetMode="External"/><Relationship Id="rId6338" Type="http://schemas.openxmlformats.org/officeDocument/2006/relationships/hyperlink" Target="https://www.facebook.com/profile.php?id=100048853542944&amp;mibextid=ZbWKwL" TargetMode="External"/><Relationship Id="rId7736" Type="http://schemas.openxmlformats.org/officeDocument/2006/relationships/hyperlink" Target="https://www.facebook.com/share/15MYpRdZ6r/?mibextid=LQQJ4d" TargetMode="External"/><Relationship Id="rId103" Type="http://schemas.openxmlformats.org/officeDocument/2006/relationships/hyperlink" Target="https://www.facebook.com/profile.php?id=100033329795069" TargetMode="External"/><Relationship Id="rId6752" Type="http://schemas.openxmlformats.org/officeDocument/2006/relationships/hyperlink" Target="https://www.facebook.com/profile.php?id=100038586503147&amp;mibextid=LQQJ4d" TargetMode="External"/><Relationship Id="rId7803" Type="http://schemas.openxmlformats.org/officeDocument/2006/relationships/hyperlink" Target="https://drive.google.com/open?id=1I8iWEX8y6EMXOkyh6pITbVNmE-hj4hPa" TargetMode="External"/><Relationship Id="rId1897" Type="http://schemas.openxmlformats.org/officeDocument/2006/relationships/hyperlink" Target="https://drive.google.com/open?id=1ycqyxHdeiADiTnySp6c1CMjqJAszTcAX" TargetMode="External"/><Relationship Id="rId2948" Type="http://schemas.openxmlformats.org/officeDocument/2006/relationships/hyperlink" Target="https://www.facebook.com/duong.thuyy.5439?mibextid=LQQJ4d" TargetMode="External"/><Relationship Id="rId5354" Type="http://schemas.openxmlformats.org/officeDocument/2006/relationships/hyperlink" Target="https://drive.google.com/open?id=1kcvG_85Sp3-WvZHTLAEXcJ_dKKL4XZoc" TargetMode="External"/><Relationship Id="rId6405" Type="http://schemas.openxmlformats.org/officeDocument/2006/relationships/hyperlink" Target="https://drive.google.com/open?id=1228MzfGHuSV3encxyFS61dubGdR2gpcg" TargetMode="External"/><Relationship Id="rId1964" Type="http://schemas.openxmlformats.org/officeDocument/2006/relationships/hyperlink" Target="https://www.facebook.com/hn0412802" TargetMode="External"/><Relationship Id="rId4370" Type="http://schemas.openxmlformats.org/officeDocument/2006/relationships/hyperlink" Target="https://www.facebook.com/profile.php?id=100073274993724&amp;locale=vi_VN" TargetMode="External"/><Relationship Id="rId5007" Type="http://schemas.openxmlformats.org/officeDocument/2006/relationships/hyperlink" Target="https://drive.google.com/open?id=1nmWh9vaicFvJe7g49_oN9er_bRjZvE23" TargetMode="External"/><Relationship Id="rId5421" Type="http://schemas.openxmlformats.org/officeDocument/2006/relationships/hyperlink" Target="https://www.facebook.com/profile.php?id=100024447983410" TargetMode="External"/><Relationship Id="rId8577" Type="http://schemas.openxmlformats.org/officeDocument/2006/relationships/hyperlink" Target="https://www.facebook.com/profile.php?id=100047520251921&amp;mibextid=LQQJ4d" TargetMode="External"/><Relationship Id="rId8991" Type="http://schemas.openxmlformats.org/officeDocument/2006/relationships/hyperlink" Target="https://www.facebook.com/share/18YaSTPXFi/?mibextid=wwXIfr" TargetMode="External"/><Relationship Id="rId1617" Type="http://schemas.openxmlformats.org/officeDocument/2006/relationships/hyperlink" Target="https://www.facebook.com/profile.php?id=100030349750522&amp;mibextid=9R9pXO" TargetMode="External"/><Relationship Id="rId4023" Type="http://schemas.openxmlformats.org/officeDocument/2006/relationships/hyperlink" Target="https://www.facebook.com/profile.php?id=100038374334359" TargetMode="External"/><Relationship Id="rId7179" Type="http://schemas.openxmlformats.org/officeDocument/2006/relationships/hyperlink" Target="https://drive.google.com/open?id=1Jj-afa_qEViLOH3kfDIIplD7OlS6QlHT" TargetMode="External"/><Relationship Id="rId7593" Type="http://schemas.openxmlformats.org/officeDocument/2006/relationships/hyperlink" Target="https://www.facebook.com/hahoangson.23.9?mibextid=LQQJ4d" TargetMode="External"/><Relationship Id="rId8644" Type="http://schemas.openxmlformats.org/officeDocument/2006/relationships/hyperlink" Target="https://www.facebook.com/Truong.Nguyen567?locale=vi_VN" TargetMode="External"/><Relationship Id="rId3789" Type="http://schemas.openxmlformats.org/officeDocument/2006/relationships/hyperlink" Target="https://www.facebook.com/profile.php?id=100046494195453&amp;mibextid=LQQJ4d" TargetMode="External"/><Relationship Id="rId6195" Type="http://schemas.openxmlformats.org/officeDocument/2006/relationships/hyperlink" Target="https://www.facebook.com/qaiuem.06?mibextid=LQQJ4d" TargetMode="External"/><Relationship Id="rId7246" Type="http://schemas.openxmlformats.org/officeDocument/2006/relationships/hyperlink" Target="https://www.facebook.com/share/19wFovjr2D/?mibextid=LQQJ4d" TargetMode="External"/><Relationship Id="rId7660" Type="http://schemas.openxmlformats.org/officeDocument/2006/relationships/hyperlink" Target="https://www.facebook.com/kimyen.vuthi.585?mibextid=ZbWKwL" TargetMode="External"/><Relationship Id="rId6262" Type="http://schemas.openxmlformats.org/officeDocument/2006/relationships/hyperlink" Target="https://www.facebook.com/bmt.huy.545?mibextid=LQQJ4d" TargetMode="External"/><Relationship Id="rId7313" Type="http://schemas.openxmlformats.org/officeDocument/2006/relationships/hyperlink" Target="https://drive.google.com/open?id=14HD2QdzC6SZwG0DB0nwdTjGaxdAny9B5" TargetMode="External"/><Relationship Id="rId8711" Type="http://schemas.openxmlformats.org/officeDocument/2006/relationships/hyperlink" Target="https://www.facebook.com/zz.hghaii?mibextid=wwXIfr&amp;mibextid=wwXIfr" TargetMode="External"/><Relationship Id="rId3856" Type="http://schemas.openxmlformats.org/officeDocument/2006/relationships/hyperlink" Target="https://drive.google.com/open?id=1tQaCcj608ERiv58vDbk1-1UsiBE554lB" TargetMode="External"/><Relationship Id="rId4907" Type="http://schemas.openxmlformats.org/officeDocument/2006/relationships/hyperlink" Target="https://drive.google.com/open?id=1I_PzdqI7fW81fiNjhxlDVHRqhlMuxuXx" TargetMode="External"/><Relationship Id="rId777" Type="http://schemas.openxmlformats.org/officeDocument/2006/relationships/hyperlink" Target="https://drive.google.com/open?id=1jL0hADsPN4HBrZZlpgxtzlk6FyXJi66O" TargetMode="External"/><Relationship Id="rId2458" Type="http://schemas.openxmlformats.org/officeDocument/2006/relationships/hyperlink" Target="https://www.facebook.com/profile.php?id=100012638654680&amp;mibextid=LQQJ4d" TargetMode="External"/><Relationship Id="rId2872" Type="http://schemas.openxmlformats.org/officeDocument/2006/relationships/hyperlink" Target="https://www.facebook.com/hoangdieuquynh582002?mibextid=LQQJ4d" TargetMode="External"/><Relationship Id="rId3509" Type="http://schemas.openxmlformats.org/officeDocument/2006/relationships/hyperlink" Target="https://www.facebook.com/nguyen.nhung005?mibextid=opq0tG" TargetMode="External"/><Relationship Id="rId3923" Type="http://schemas.openxmlformats.org/officeDocument/2006/relationships/hyperlink" Target="https://drive.google.com/open?id=1-_vMWFUK0EOxLT-7Llh92ZdJc3RoJhZh" TargetMode="External"/><Relationship Id="rId8087" Type="http://schemas.openxmlformats.org/officeDocument/2006/relationships/hyperlink" Target="https://www.facebook.com/profile.php?id=100057774236787" TargetMode="External"/><Relationship Id="rId9485" Type="http://schemas.openxmlformats.org/officeDocument/2006/relationships/hyperlink" Target="https://www.facebook.com/profile.php?id=100037325168697&amp;mibextid=ZbWKwL" TargetMode="External"/><Relationship Id="rId844" Type="http://schemas.openxmlformats.org/officeDocument/2006/relationships/hyperlink" Target="https://www.facebook.com/duymanh.le.7587370?mibextid=ZbWKwL" TargetMode="External"/><Relationship Id="rId1474" Type="http://schemas.openxmlformats.org/officeDocument/2006/relationships/hyperlink" Target="https://www.facebook.com/profile.php?id=100063893850944&amp;mibextid=LQQJ4d" TargetMode="External"/><Relationship Id="rId2525" Type="http://schemas.openxmlformats.org/officeDocument/2006/relationships/hyperlink" Target="https://www.facebook.com/profile.php?id=100031557363600&amp;mibextid=LQQJ4d" TargetMode="External"/><Relationship Id="rId9138" Type="http://schemas.openxmlformats.org/officeDocument/2006/relationships/hyperlink" Target="https://www.facebook.com/profile.php?id=100044599085831&amp;mibextid=LQQJ4d" TargetMode="External"/><Relationship Id="rId9552" Type="http://schemas.openxmlformats.org/officeDocument/2006/relationships/hyperlink" Target="https://www.facebook.com/iuanhso1?__cft__%5B0%5D=AZUq3QGuw_Z-u0xX06xEJA6uPzSj7wRBZQiqu8a5kH5wLuttCZjahrMZH1mKsFGl3KdRMG0S-LE1sHOfwNqjGP3hQoUCjTOYxeLGuZTE3o-Is46CCh1fSE6eDdLWzC4nA_Gzz9g534Nznxtp0uHdV636VfI4FBfLzlADJk0Yh5T4dGIy0XgMybp-G2zuf68g_fhTxyMrAx2CR7eWFQcnhuNA9OKbGnEWD_RGZ2goV1DT-A&amp;__tn__=-UC%252CP-R" TargetMode="External"/><Relationship Id="rId911" Type="http://schemas.openxmlformats.org/officeDocument/2006/relationships/hyperlink" Target="https://www.facebook.com/profile.php?id=100047265876298&amp;mibextid=LQQJ4d" TargetMode="External"/><Relationship Id="rId1127" Type="http://schemas.openxmlformats.org/officeDocument/2006/relationships/hyperlink" Target="https://www.facebook.com/tranthikimhue2110?mibextid=LQQJ4d" TargetMode="External"/><Relationship Id="rId1541" Type="http://schemas.openxmlformats.org/officeDocument/2006/relationships/hyperlink" Target="https://www.facebook.com/profile.php?id=100050086240609" TargetMode="External"/><Relationship Id="rId4697" Type="http://schemas.openxmlformats.org/officeDocument/2006/relationships/hyperlink" Target="https://www.facebook.com/profile.php?id=100073844290160&amp;mibextid=ZbWKwL" TargetMode="External"/><Relationship Id="rId5748" Type="http://schemas.openxmlformats.org/officeDocument/2006/relationships/hyperlink" Target="https://www.facebook.com/profile.php?id=100048235356015" TargetMode="External"/><Relationship Id="rId8154" Type="http://schemas.openxmlformats.org/officeDocument/2006/relationships/hyperlink" Target="https://www.facebook.com/hoang.thi.nga.6306?mibextid=LQQJ4d" TargetMode="External"/><Relationship Id="rId9205" Type="http://schemas.openxmlformats.org/officeDocument/2006/relationships/hyperlink" Target="https://www.facebook.com/thang.tatee.10" TargetMode="External"/><Relationship Id="rId3299" Type="http://schemas.openxmlformats.org/officeDocument/2006/relationships/hyperlink" Target="https://drive.google.com/open?id=1ATTq-aIM35Tv8O_fVpy_fBlTrv7_k8VB" TargetMode="External"/><Relationship Id="rId4764" Type="http://schemas.openxmlformats.org/officeDocument/2006/relationships/hyperlink" Target="https://www.facebook.com/diemquynh.pn.9?mibextid=LQQJ4d" TargetMode="External"/><Relationship Id="rId7170" Type="http://schemas.openxmlformats.org/officeDocument/2006/relationships/hyperlink" Target="https://www.facebook.com/people/Nguy%E1%BB%85n-Thu%E1%BB%B3-Trang/pfbid01CP41oCb2Qw3oudiXNcama3pKi2TUDU1a2ujTSWbNqwqSNqjhMSvS9LKuQRSWnFnl/" TargetMode="External"/><Relationship Id="rId8221" Type="http://schemas.openxmlformats.org/officeDocument/2006/relationships/hyperlink" Target="https://www.facebook.com/share/15nbtiHMTq/?mibextid=wwXIfr" TargetMode="External"/><Relationship Id="rId3366" Type="http://schemas.openxmlformats.org/officeDocument/2006/relationships/hyperlink" Target="https://drive.google.com/open?id=1Y7oaEXzbqYhgdgfaFnKk5WruIG11mmh2" TargetMode="External"/><Relationship Id="rId4417" Type="http://schemas.openxmlformats.org/officeDocument/2006/relationships/hyperlink" Target="https://www.facebook.com/profile.php?id=100069681955399" TargetMode="External"/><Relationship Id="rId5815" Type="http://schemas.openxmlformats.org/officeDocument/2006/relationships/hyperlink" Target="https://drive.google.com/open?id=1JdW-h9i_PJJzw_dBFZgJVdF-VDwAQEIR" TargetMode="External"/><Relationship Id="rId287" Type="http://schemas.openxmlformats.org/officeDocument/2006/relationships/hyperlink" Target="https://www.facebook.com/profile.php?id=100021457712592&amp;mibextid=LQQJ4d" TargetMode="External"/><Relationship Id="rId2382" Type="http://schemas.openxmlformats.org/officeDocument/2006/relationships/hyperlink" Target="https://www.facebook.com/profile.php?id=100079541583900&amp;mibextid=LQQJ4d" TargetMode="External"/><Relationship Id="rId3019" Type="http://schemas.openxmlformats.org/officeDocument/2006/relationships/hyperlink" Target="https://www.facebook.com/nvlinhbry2811" TargetMode="External"/><Relationship Id="rId3780" Type="http://schemas.openxmlformats.org/officeDocument/2006/relationships/hyperlink" Target="https://www.facebook.com/profile.php?id=100017344118210&amp;mibextid=zLoPMf" TargetMode="External"/><Relationship Id="rId4831" Type="http://schemas.openxmlformats.org/officeDocument/2006/relationships/hyperlink" Target="https://www.facebook.com/thuhang.2286?mibextid=LQQJ4d" TargetMode="External"/><Relationship Id="rId7987" Type="http://schemas.openxmlformats.org/officeDocument/2006/relationships/hyperlink" Target="https://www.facebook.com/profile.php?id=100034373992828&amp;locale=vi_VN" TargetMode="External"/><Relationship Id="rId354" Type="http://schemas.openxmlformats.org/officeDocument/2006/relationships/hyperlink" Target="https://www.facebook.com/Tuan.Anh.k54a7" TargetMode="External"/><Relationship Id="rId2035" Type="http://schemas.openxmlformats.org/officeDocument/2006/relationships/hyperlink" Target="https://www.facebook.com/profile.php?id=100057919225364&amp;mibextid=ZbWKwL" TargetMode="External"/><Relationship Id="rId3433" Type="http://schemas.openxmlformats.org/officeDocument/2006/relationships/hyperlink" Target="https://drive.google.com/open?id=1SY1_JJRFOV1PelELRMYJT7Tf7WcR3UJO" TargetMode="External"/><Relationship Id="rId6589" Type="http://schemas.openxmlformats.org/officeDocument/2006/relationships/hyperlink" Target="https://www.facebook.com/hoang.cu.1420354?mibextid=LQQJ4d" TargetMode="External"/><Relationship Id="rId9062" Type="http://schemas.openxmlformats.org/officeDocument/2006/relationships/hyperlink" Target="https://www.facebook.com/profile.php?id=100036863714470&amp;mibextid=LQQJ4d&amp;rdid=yMY5kmc2EPw6tccs&amp;share_url=https%3A%2F%2Fwww.facebook.com%2Fshare%2FuUTCYPsXwvQnwyoo%2F%3Fmibextid%3DLQQJ4d" TargetMode="External"/><Relationship Id="rId3500" Type="http://schemas.openxmlformats.org/officeDocument/2006/relationships/hyperlink" Target="https://drive.google.com/open?id=1oMYPi119lwJxvEMK63jdlqhIA-93DIxl" TargetMode="External"/><Relationship Id="rId6656" Type="http://schemas.openxmlformats.org/officeDocument/2006/relationships/hyperlink" Target="https://drive.google.com/open?id=1DXhLXiWC9OnXfhL7JgMivxSfZFwgPfc0" TargetMode="External"/><Relationship Id="rId7707" Type="http://schemas.openxmlformats.org/officeDocument/2006/relationships/hyperlink" Target="https://drive.google.com/open?id=1AJREJ1caLhpwCH3w-avAjMPUb2kym_Ts" TargetMode="External"/><Relationship Id="rId421" Type="http://schemas.openxmlformats.org/officeDocument/2006/relationships/hyperlink" Target="https://www.facebook.com/profile.php?id=100026027928814" TargetMode="External"/><Relationship Id="rId1051" Type="http://schemas.openxmlformats.org/officeDocument/2006/relationships/hyperlink" Target="https://www.facebook.com/hang.nguyet.90813" TargetMode="External"/><Relationship Id="rId2102" Type="http://schemas.openxmlformats.org/officeDocument/2006/relationships/hyperlink" Target="https://drive.google.com/open?id=1zRPgGz4RsWKZQXfa4M8n7jDrvoaL_Q3l" TargetMode="External"/><Relationship Id="rId5258" Type="http://schemas.openxmlformats.org/officeDocument/2006/relationships/hyperlink" Target="https://www.facebook.com/phobietbay.tung.3?mibextid=LQQJ4d" TargetMode="External"/><Relationship Id="rId5672" Type="http://schemas.openxmlformats.org/officeDocument/2006/relationships/hyperlink" Target="https://www.facebook.com/profile.php?id=100064545711396&amp;mibextid=LQQJ4d" TargetMode="External"/><Relationship Id="rId6309" Type="http://schemas.openxmlformats.org/officeDocument/2006/relationships/hyperlink" Target="https://www.facebook.com/luu.hieukhanh.927?mibextid=LQQJ4d" TargetMode="External"/><Relationship Id="rId6723" Type="http://schemas.openxmlformats.org/officeDocument/2006/relationships/hyperlink" Target="https://www.facebook.com/profile.php?id=100043138998216&amp;mibextid=LQQJ4d" TargetMode="External"/><Relationship Id="rId1868" Type="http://schemas.openxmlformats.org/officeDocument/2006/relationships/hyperlink" Target="https://www.facebook.com/profile.php?id=100077516534975" TargetMode="External"/><Relationship Id="rId4274" Type="http://schemas.openxmlformats.org/officeDocument/2006/relationships/hyperlink" Target="https://www.facebook.com/linh.tranthi.5209000" TargetMode="External"/><Relationship Id="rId5325" Type="http://schemas.openxmlformats.org/officeDocument/2006/relationships/hyperlink" Target="https://www.facebook.com/profile.php?id=100021314841373&amp;mibextid=LQQJ4d" TargetMode="External"/><Relationship Id="rId8895" Type="http://schemas.openxmlformats.org/officeDocument/2006/relationships/hyperlink" Target="https://www.facebook.com/share/18dB8Fmv4U/" TargetMode="External"/><Relationship Id="rId2919" Type="http://schemas.openxmlformats.org/officeDocument/2006/relationships/hyperlink" Target="https://www.facebook.com/100075415644518/" TargetMode="External"/><Relationship Id="rId3290" Type="http://schemas.openxmlformats.org/officeDocument/2006/relationships/hyperlink" Target="https://www.facebook.com/huongg.huong.792" TargetMode="External"/><Relationship Id="rId4341" Type="http://schemas.openxmlformats.org/officeDocument/2006/relationships/hyperlink" Target="https://www.facebook.com/ngocoanh.nguyenthi.359778" TargetMode="External"/><Relationship Id="rId7497" Type="http://schemas.openxmlformats.org/officeDocument/2006/relationships/hyperlink" Target="https://www.facebook.com/profile.php?id=100086758733211&amp;mibextid=LQQJ4d" TargetMode="External"/><Relationship Id="rId8548" Type="http://schemas.openxmlformats.org/officeDocument/2006/relationships/hyperlink" Target="https://www.facebook.com/profile.php?id=100028349718300&amp;mibextid=LQQJ4d" TargetMode="External"/><Relationship Id="rId1935" Type="http://schemas.openxmlformats.org/officeDocument/2006/relationships/hyperlink" Target="https://www.facebook.com/tuz.mie48?mibextid=LQQJ4d" TargetMode="External"/><Relationship Id="rId6099" Type="http://schemas.openxmlformats.org/officeDocument/2006/relationships/hyperlink" Target="https://www.facebook.com/quynhtrang.tran.50746444?mibextid=LQQJ4d" TargetMode="External"/><Relationship Id="rId8962" Type="http://schemas.openxmlformats.org/officeDocument/2006/relationships/hyperlink" Target="https://drive.google.com/open?id=1o6r3QdZSd4eb56Ub5px9sT7ilf-vSiwv" TargetMode="External"/><Relationship Id="rId3010" Type="http://schemas.openxmlformats.org/officeDocument/2006/relationships/hyperlink" Target="https://drive.google.com/open?id=1jQ_KaNr6P_468LTkJ8aDhWIrYmLxSNX2" TargetMode="External"/><Relationship Id="rId6166" Type="http://schemas.openxmlformats.org/officeDocument/2006/relationships/hyperlink" Target="https://www.facebook.com/profile.php?id=100094377247507" TargetMode="External"/><Relationship Id="rId7564" Type="http://schemas.openxmlformats.org/officeDocument/2006/relationships/hyperlink" Target="https://www.facebook.com/profile.php?id=61559703216993&amp;mibextid=LQQJ4d" TargetMode="External"/><Relationship Id="rId8615" Type="http://schemas.openxmlformats.org/officeDocument/2006/relationships/hyperlink" Target="https://www.facebook.com/profile.php?id=100064479799125&amp;mibextid=LQQJ4d&amp;mibextid=LQQJ4d" TargetMode="External"/><Relationship Id="rId6580" Type="http://schemas.openxmlformats.org/officeDocument/2006/relationships/hyperlink" Target="https://facebook.com/profile.php?id=100070096759831" TargetMode="External"/><Relationship Id="rId7217" Type="http://schemas.openxmlformats.org/officeDocument/2006/relationships/hyperlink" Target="https://drive.google.com/open?id=1DDDoJVtJOrdiBmwicU_aiQ9q9k_xi9M6" TargetMode="External"/><Relationship Id="rId7631" Type="http://schemas.openxmlformats.org/officeDocument/2006/relationships/hyperlink" Target="https://www.facebook.com/profile.php?id=100074195116266&amp;mibextid=ZbWKwL" TargetMode="External"/><Relationship Id="rId2776" Type="http://schemas.openxmlformats.org/officeDocument/2006/relationships/hyperlink" Target="https://www.facebook.com/dieuu.hoangg.39589" TargetMode="External"/><Relationship Id="rId3827" Type="http://schemas.openxmlformats.org/officeDocument/2006/relationships/hyperlink" Target="https://www.facebook.com/profile.php?id=100010215405266" TargetMode="External"/><Relationship Id="rId5182" Type="http://schemas.openxmlformats.org/officeDocument/2006/relationships/hyperlink" Target="https://drive.google.com/open?id=1ZznzDcly4kDJe7FheQk_sgVpDAy8I84Y" TargetMode="External"/><Relationship Id="rId6233" Type="http://schemas.openxmlformats.org/officeDocument/2006/relationships/hyperlink" Target="https://www.facebook.com/profile.php?id=100049689254935&amp;mibextid=ZbWKwL" TargetMode="External"/><Relationship Id="rId9389" Type="http://schemas.openxmlformats.org/officeDocument/2006/relationships/hyperlink" Target="https://drive.google.com/open?id=1sSLJPKSDDyeGzbOeTY1uQFQT15kHrql4" TargetMode="External"/><Relationship Id="rId748" Type="http://schemas.openxmlformats.org/officeDocument/2006/relationships/hyperlink" Target="https://www.facebook.com/profile.php?id=100073650213923" TargetMode="External"/><Relationship Id="rId1378" Type="http://schemas.openxmlformats.org/officeDocument/2006/relationships/hyperlink" Target="https://www.facebook.com/baoobinhh.gaii.3?mibextid=7cd5pb" TargetMode="External"/><Relationship Id="rId1792" Type="http://schemas.openxmlformats.org/officeDocument/2006/relationships/hyperlink" Target="https://www.facebook.com/yennhi.phanhoang.12" TargetMode="External"/><Relationship Id="rId2429" Type="http://schemas.openxmlformats.org/officeDocument/2006/relationships/hyperlink" Target="https://www.facebook.com/profile.php?id=100041819386071" TargetMode="External"/><Relationship Id="rId2843" Type="http://schemas.openxmlformats.org/officeDocument/2006/relationships/hyperlink" Target="https://www.facebook.com/profile.php?id=100022867095357" TargetMode="External"/><Relationship Id="rId5999" Type="http://schemas.openxmlformats.org/officeDocument/2006/relationships/hyperlink" Target="https://drive.google.com/open?id=1gsya1j6wF8QRdfVvSKKwjHcBPv0IY0Jt" TargetMode="External"/><Relationship Id="rId6300" Type="http://schemas.openxmlformats.org/officeDocument/2006/relationships/hyperlink" Target="https://www.facebook.com/profile.php?id=100037073986691&amp;mibextid=LQQJ4d" TargetMode="External"/><Relationship Id="rId9456" Type="http://schemas.openxmlformats.org/officeDocument/2006/relationships/hyperlink" Target="https://www.facebook.com/people/Trung-Hi%E1%BA%BFu/pfbid027riwhoWHj9aWivuogGZhhsyFs2XMhgy9k44WTnx4VXGtH6X46G1FGKTdqKkbiZS5l/" TargetMode="External"/><Relationship Id="rId84" Type="http://schemas.openxmlformats.org/officeDocument/2006/relationships/hyperlink" Target="https://drive.google.com/open?id=1P8h7mQhd-NBkvVFXOZp6E_P5w6ciuRZG" TargetMode="External"/><Relationship Id="rId815" Type="http://schemas.openxmlformats.org/officeDocument/2006/relationships/hyperlink" Target="https://www.facebook.com/profile.php?id=100010540268062" TargetMode="External"/><Relationship Id="rId1445" Type="http://schemas.openxmlformats.org/officeDocument/2006/relationships/hyperlink" Target="https://www.facebook.com/profile.php?id=100035082633789&amp;mibextid=LQQJ4d" TargetMode="External"/><Relationship Id="rId8058" Type="http://schemas.openxmlformats.org/officeDocument/2006/relationships/hyperlink" Target="https://www.facebook.com/trang.ng.39501789?mibextid=eHce3h" TargetMode="External"/><Relationship Id="rId8472" Type="http://schemas.openxmlformats.org/officeDocument/2006/relationships/hyperlink" Target="https://www.facebook.com/profile.php?id=100069839164772&amp;mibextid=LQQJ4d" TargetMode="External"/><Relationship Id="rId9109" Type="http://schemas.openxmlformats.org/officeDocument/2006/relationships/hyperlink" Target="https://www.facebook.com/toan.tu.9678067?mibextid=LQQJ4d" TargetMode="External"/><Relationship Id="rId9523" Type="http://schemas.openxmlformats.org/officeDocument/2006/relationships/hyperlink" Target="https://www.facebook.com/share/1DWi1sbjtM/?mibextid=wwXIfr" TargetMode="External"/><Relationship Id="rId2910" Type="http://schemas.openxmlformats.org/officeDocument/2006/relationships/hyperlink" Target="https://www.facebook.com/quan.mp.1?mibextid=LQQJ4d" TargetMode="External"/><Relationship Id="rId7074" Type="http://schemas.openxmlformats.org/officeDocument/2006/relationships/hyperlink" Target="https://www.facebook.com/profile.php?id=100050397577711" TargetMode="External"/><Relationship Id="rId8125" Type="http://schemas.openxmlformats.org/officeDocument/2006/relationships/hyperlink" Target="https://drive.google.com/open?id=1Pfyn6j_hnIo__YijJtQcd852tILHw6MX" TargetMode="External"/><Relationship Id="rId1512" Type="http://schemas.openxmlformats.org/officeDocument/2006/relationships/hyperlink" Target="https://drive.google.com/open?id=1jW9w3mtunXPlLRUUhvBOSicFZf07e0II" TargetMode="External"/><Relationship Id="rId4668" Type="http://schemas.openxmlformats.org/officeDocument/2006/relationships/hyperlink" Target="https://www.facebook.com/profile.php?id=100015146614910&amp;mibextid=ZbWKwL" TargetMode="External"/><Relationship Id="rId5719" Type="http://schemas.openxmlformats.org/officeDocument/2006/relationships/hyperlink" Target="https://drive.google.com/open?id=1gsya1j6wF8QRdfVvSKKwjHcBPv0IY0Jt" TargetMode="External"/><Relationship Id="rId6090" Type="http://schemas.openxmlformats.org/officeDocument/2006/relationships/hyperlink" Target="https://www.facebook.com/profile.php?id=100036316505959&amp;mibextid=LQQJ4d" TargetMode="External"/><Relationship Id="rId7141" Type="http://schemas.openxmlformats.org/officeDocument/2006/relationships/hyperlink" Target="https://www.facebook.com/zz.hhaiuwu?mibextid=LQQJ4d" TargetMode="External"/><Relationship Id="rId3684" Type="http://schemas.openxmlformats.org/officeDocument/2006/relationships/hyperlink" Target="https://www.facebook.com/profile.php?id=100064891777846" TargetMode="External"/><Relationship Id="rId4735" Type="http://schemas.openxmlformats.org/officeDocument/2006/relationships/hyperlink" Target="https://drive.google.com/open?id=1iRUFrXAgOBOxydIDDtPNIRY8HE6cd_Tj" TargetMode="External"/><Relationship Id="rId2286" Type="http://schemas.openxmlformats.org/officeDocument/2006/relationships/hyperlink" Target="https://drive.google.com/open?id=1LuQoxDwX0i68ii4kcLghnMaw21_JjAD9" TargetMode="External"/><Relationship Id="rId3337" Type="http://schemas.openxmlformats.org/officeDocument/2006/relationships/hyperlink" Target="https://www.facebook.com/hieu.maicong.902" TargetMode="External"/><Relationship Id="rId3751" Type="http://schemas.openxmlformats.org/officeDocument/2006/relationships/hyperlink" Target="https://www.facebook.com/100014616018087/" TargetMode="External"/><Relationship Id="rId4802" Type="http://schemas.openxmlformats.org/officeDocument/2006/relationships/hyperlink" Target="https://drive.google.com/open?id=1OlOuCY-Dl8HbKwopKzSMENUIuiS6xzsD" TargetMode="External"/><Relationship Id="rId7958" Type="http://schemas.openxmlformats.org/officeDocument/2006/relationships/hyperlink" Target="https://drive.google.com/open?id=1gZwJ52l4vZ6to1B3HrSz3QVsiJ-aLgcI" TargetMode="External"/><Relationship Id="rId258" Type="http://schemas.openxmlformats.org/officeDocument/2006/relationships/hyperlink" Target="https://www.facebook.com/hoanghung120?mibextid=LQQJ4d" TargetMode="External"/><Relationship Id="rId672" Type="http://schemas.openxmlformats.org/officeDocument/2006/relationships/hyperlink" Target="https://drive.google.com/open?id=1GA-7dPYVfoaQ7vIVRs2lWqFTcCE5LjP1" TargetMode="External"/><Relationship Id="rId2353" Type="http://schemas.openxmlformats.org/officeDocument/2006/relationships/hyperlink" Target="https://www.facebook.com/profile.php?id=100055870506596&amp;mibextid=ZbWKwL" TargetMode="External"/><Relationship Id="rId3404" Type="http://schemas.openxmlformats.org/officeDocument/2006/relationships/hyperlink" Target="https://drive.google.com/open?id=12n2d3J5SB_TpcF8x23cFQQ53s7zSjJkk" TargetMode="External"/><Relationship Id="rId6974" Type="http://schemas.openxmlformats.org/officeDocument/2006/relationships/hyperlink" Target="https://www.facebook.com/shiny.art.1?mibextid=LQQJ4d" TargetMode="External"/><Relationship Id="rId9380" Type="http://schemas.openxmlformats.org/officeDocument/2006/relationships/hyperlink" Target="https://www.facebook.com/profile.php?id=100062219615429&amp;mibextid=ZbWKwL" TargetMode="External"/><Relationship Id="rId325" Type="http://schemas.openxmlformats.org/officeDocument/2006/relationships/hyperlink" Target="https://www.facebook.com/profile.php?id=100070587709381&amp;mibextid=ZbWKwL" TargetMode="External"/><Relationship Id="rId2006" Type="http://schemas.openxmlformats.org/officeDocument/2006/relationships/hyperlink" Target="https://www.facebook.com/profile.php?id=100070895330214&amp;mibextid=LQQJ4d" TargetMode="External"/><Relationship Id="rId2420" Type="http://schemas.openxmlformats.org/officeDocument/2006/relationships/hyperlink" Target="https://www.facebook.com/nthuyentrang219?mibextid=haYZDX" TargetMode="External"/><Relationship Id="rId5576" Type="http://schemas.openxmlformats.org/officeDocument/2006/relationships/hyperlink" Target="https://www.facebook.com/profile.php?id=100076602368995" TargetMode="External"/><Relationship Id="rId6627" Type="http://schemas.openxmlformats.org/officeDocument/2006/relationships/hyperlink" Target="https://www.facebook.com/tuanbinh.2k6?mibextid=LQQJ4d" TargetMode="External"/><Relationship Id="rId9033" Type="http://schemas.openxmlformats.org/officeDocument/2006/relationships/hyperlink" Target="https://www.facebook.com/profile.php?id=100055875903759&amp;mibextid=LQQJ4d" TargetMode="External"/><Relationship Id="rId1022" Type="http://schemas.openxmlformats.org/officeDocument/2006/relationships/hyperlink" Target="https://www.facebook.com/profile.php?id=100080268383837" TargetMode="External"/><Relationship Id="rId4178" Type="http://schemas.openxmlformats.org/officeDocument/2006/relationships/hyperlink" Target="https://www.facebook.com/tzanghuongnoi" TargetMode="External"/><Relationship Id="rId4592" Type="http://schemas.openxmlformats.org/officeDocument/2006/relationships/hyperlink" Target="https://www.facebook.com/profile.php?id=100037545203337&amp;mibextid=ZbWKwL" TargetMode="External"/><Relationship Id="rId5229" Type="http://schemas.openxmlformats.org/officeDocument/2006/relationships/hyperlink" Target="https://www.facebook.com/minh.anhs.12720?mibextid=LQQJ4d" TargetMode="External"/><Relationship Id="rId5990" Type="http://schemas.openxmlformats.org/officeDocument/2006/relationships/hyperlink" Target="https://www.facebook.com/dieuthu2107?mibextid=LQQJ4d" TargetMode="External"/><Relationship Id="rId9100" Type="http://schemas.openxmlformats.org/officeDocument/2006/relationships/hyperlink" Target="https://www.facebook.com/profile.php?id=100046598621305" TargetMode="External"/><Relationship Id="rId3194" Type="http://schemas.openxmlformats.org/officeDocument/2006/relationships/hyperlink" Target="https://www.facebook.com/profile.php?id=100083540146965&amp;mibextid=9R9pXO" TargetMode="External"/><Relationship Id="rId4245" Type="http://schemas.openxmlformats.org/officeDocument/2006/relationships/hyperlink" Target="https://www.facebook.com/profile.php?id=100074940558707&amp;mibextid=ZbWKwL" TargetMode="External"/><Relationship Id="rId5643" Type="http://schemas.openxmlformats.org/officeDocument/2006/relationships/hyperlink" Target="https://www.facebook.com/ngoc.trung.2006?mibextid=ZbWKwL" TargetMode="External"/><Relationship Id="rId8799" Type="http://schemas.openxmlformats.org/officeDocument/2006/relationships/hyperlink" Target="https://www.facebook.com/profile.php?id=100029153340791" TargetMode="External"/><Relationship Id="rId1839" Type="http://schemas.openxmlformats.org/officeDocument/2006/relationships/hyperlink" Target="https://drive.google.com/open?id=13onvBBR3txtsLSriSeVFszmb5lMHwySQ" TargetMode="External"/><Relationship Id="rId5710" Type="http://schemas.openxmlformats.org/officeDocument/2006/relationships/hyperlink" Target="https://www.facebook.com/tanjirou.kamado.35728?mibextid=ZbWKwL" TargetMode="External"/><Relationship Id="rId8866" Type="http://schemas.openxmlformats.org/officeDocument/2006/relationships/hyperlink" Target="https://drive.google.com/open?id=1Mtc24eIddMUIjR2Nc9GwCTZjUYFdFP_V" TargetMode="External"/><Relationship Id="rId182" Type="http://schemas.openxmlformats.org/officeDocument/2006/relationships/hyperlink" Target="https://www.facebook.com/100003281448454/" TargetMode="External"/><Relationship Id="rId1906" Type="http://schemas.openxmlformats.org/officeDocument/2006/relationships/hyperlink" Target="https://www.facebook.com/profile.php?id=100022867095357" TargetMode="External"/><Relationship Id="rId3261" Type="http://schemas.openxmlformats.org/officeDocument/2006/relationships/hyperlink" Target="https://www.facebook.com/laosphats.gias" TargetMode="External"/><Relationship Id="rId4312" Type="http://schemas.openxmlformats.org/officeDocument/2006/relationships/hyperlink" Target="https://drive.google.com/open?id=1mrgOND4hsjmuyuo1X0DMCi9W3BjlJ9Yf" TargetMode="External"/><Relationship Id="rId7468" Type="http://schemas.openxmlformats.org/officeDocument/2006/relationships/hyperlink" Target="https://www.facebook.com/profile.php?id=100029544200002&amp;mibextid=LQQJ4d" TargetMode="External"/><Relationship Id="rId7882" Type="http://schemas.openxmlformats.org/officeDocument/2006/relationships/hyperlink" Target="https://www.facebook.com/chippi.151?mibextid=ZbWKwL" TargetMode="External"/><Relationship Id="rId8519" Type="http://schemas.openxmlformats.org/officeDocument/2006/relationships/hyperlink" Target="https://www.facebook.com/profile.php?id=100065346037118" TargetMode="External"/><Relationship Id="rId8933" Type="http://schemas.openxmlformats.org/officeDocument/2006/relationships/hyperlink" Target="https://drive.google.com/open?id=1wAD7U8d4hPGWEkpOGp7bn2Ul_4JXkgcc" TargetMode="External"/><Relationship Id="rId6484" Type="http://schemas.openxmlformats.org/officeDocument/2006/relationships/hyperlink" Target="https://www.facebook.com/hoangminhanhh171" TargetMode="External"/><Relationship Id="rId7535" Type="http://schemas.openxmlformats.org/officeDocument/2006/relationships/hyperlink" Target="https://drive.google.com/open?id=11yfIMz19RZT_9QUHL02noLMJ2an_0qPh" TargetMode="External"/><Relationship Id="rId999" Type="http://schemas.openxmlformats.org/officeDocument/2006/relationships/hyperlink" Target="https://www.facebook.com/khanhhuyen.nguyenthi.779642" TargetMode="External"/><Relationship Id="rId5086" Type="http://schemas.openxmlformats.org/officeDocument/2006/relationships/hyperlink" Target="https://www.facebook.com/profile.php?id=100006571127868&amp;mibextid=kFxxJD" TargetMode="External"/><Relationship Id="rId6137" Type="http://schemas.openxmlformats.org/officeDocument/2006/relationships/hyperlink" Target="https://www.facebook.com/profile.php?id=100032692518486&amp;mibextid=LQQJ4d" TargetMode="External"/><Relationship Id="rId6551" Type="http://schemas.openxmlformats.org/officeDocument/2006/relationships/hyperlink" Target="https://www.facebook.com/hong.nt.92505" TargetMode="External"/><Relationship Id="rId7602" Type="http://schemas.openxmlformats.org/officeDocument/2006/relationships/hyperlink" Target="https://www.facebook.com/profile.php?id=100034202800407&amp;mibextid=LQQJ4d" TargetMode="External"/><Relationship Id="rId1696" Type="http://schemas.openxmlformats.org/officeDocument/2006/relationships/hyperlink" Target="https://www.facebook.com/profile.php?id=100050653210630&amp;mibextid=LQQJ4d" TargetMode="External"/><Relationship Id="rId5153" Type="http://schemas.openxmlformats.org/officeDocument/2006/relationships/hyperlink" Target="https://drive.google.com/open?id=1H3uI9T5debtm2tpHExqAQA2WZaXkZ9x8" TargetMode="External"/><Relationship Id="rId6204" Type="http://schemas.openxmlformats.org/officeDocument/2006/relationships/hyperlink" Target="https://www.facebook.com/profile.php?id=100035389053518&amp;mibextid=LQQJ4d" TargetMode="External"/><Relationship Id="rId1349" Type="http://schemas.openxmlformats.org/officeDocument/2006/relationships/hyperlink" Target="https://drive.google.com/open?id=14bnwQN5fDJo34c-2tYSHB-EYX468-auM" TargetMode="External"/><Relationship Id="rId2747" Type="http://schemas.openxmlformats.org/officeDocument/2006/relationships/hyperlink" Target="https://www.facebook.com/trangg.thuy.7758235?locale=vi_VN" TargetMode="External"/><Relationship Id="rId5220" Type="http://schemas.openxmlformats.org/officeDocument/2006/relationships/hyperlink" Target="https://www.facebook.com/profile.php?id=100033984751662&amp;mibextid=LQQJ4d" TargetMode="External"/><Relationship Id="rId8376" Type="http://schemas.openxmlformats.org/officeDocument/2006/relationships/hyperlink" Target="https://www.facebook.com/ducviet.206?mibextid=LQQJ4d" TargetMode="External"/><Relationship Id="rId719" Type="http://schemas.openxmlformats.org/officeDocument/2006/relationships/hyperlink" Target="https://drive.google.com/open?id=1jGM84e4EepT1b6v-wpJOh6GPt0HX3h8E" TargetMode="External"/><Relationship Id="rId1763" Type="http://schemas.openxmlformats.org/officeDocument/2006/relationships/hyperlink" Target="https://www.facebook.com/xmathee?mibextid=LQQJ4d" TargetMode="External"/><Relationship Id="rId2814" Type="http://schemas.openxmlformats.org/officeDocument/2006/relationships/hyperlink" Target="https://www.facebook.com/profile.php?id=100030047623035&amp;mibextid=LQQJ4d" TargetMode="External"/><Relationship Id="rId8029" Type="http://schemas.openxmlformats.org/officeDocument/2006/relationships/hyperlink" Target="https://www.facebook.com/tucoiss.05032005?mibextid=LQQJ4d" TargetMode="External"/><Relationship Id="rId8790" Type="http://schemas.openxmlformats.org/officeDocument/2006/relationships/hyperlink" Target="https://www.facebook.com/nhung0107?mibextid=LQQJ4d" TargetMode="External"/><Relationship Id="rId9427" Type="http://schemas.openxmlformats.org/officeDocument/2006/relationships/hyperlink" Target="https://www.facebook.com/profile.php?id=100070830191767&amp;mibextid=LQQJ4d" TargetMode="External"/><Relationship Id="rId55" Type="http://schemas.openxmlformats.org/officeDocument/2006/relationships/hyperlink" Target="https://www.facebook.com/nnnn.qu.eanh?mibextid=LQQJ4d" TargetMode="External"/><Relationship Id="rId1416" Type="http://schemas.openxmlformats.org/officeDocument/2006/relationships/hyperlink" Target="https://www.facebook.com/ten.latu.9" TargetMode="External"/><Relationship Id="rId1830" Type="http://schemas.openxmlformats.org/officeDocument/2006/relationships/hyperlink" Target="https://www.facebook.com/profile.php?id=100041354850670" TargetMode="External"/><Relationship Id="rId4986" Type="http://schemas.openxmlformats.org/officeDocument/2006/relationships/hyperlink" Target="https://drive.google.com/open?id=100Q8TaaJGyFHhhhX8VQv7LGeT0Ry9MBD" TargetMode="External"/><Relationship Id="rId7392" Type="http://schemas.openxmlformats.org/officeDocument/2006/relationships/hyperlink" Target="https://drive.google.com/open?id=14ByZhihsvFoKHyKjstofXK-Aou_NJK4i" TargetMode="External"/><Relationship Id="rId8443" Type="http://schemas.openxmlformats.org/officeDocument/2006/relationships/hyperlink" Target="https://www.facebook.com/profile.php?id=100077087346539" TargetMode="External"/><Relationship Id="rId3588" Type="http://schemas.openxmlformats.org/officeDocument/2006/relationships/hyperlink" Target="https://drive.google.com/open?id=1i7nxrdpzyiIOanP-4zBHMwjtMqvX9xis" TargetMode="External"/><Relationship Id="rId4639" Type="http://schemas.openxmlformats.org/officeDocument/2006/relationships/hyperlink" Target="https://www.facebook.com/profile.php?id=100024689478778&amp;mibextid=LQQJ4d" TargetMode="External"/><Relationship Id="rId7045" Type="http://schemas.openxmlformats.org/officeDocument/2006/relationships/hyperlink" Target="https://drive.google.com/open?id=1K7PLzyUCL10R7pvh3K4x1R7RBZTwLRJR" TargetMode="External"/><Relationship Id="rId8510" Type="http://schemas.openxmlformats.org/officeDocument/2006/relationships/hyperlink" Target="https://drive.google.com/open?id=1Cnj_tVwovnE5ypdBRuNjvWrIk9MQ_Gdk" TargetMode="External"/><Relationship Id="rId3655" Type="http://schemas.openxmlformats.org/officeDocument/2006/relationships/hyperlink" Target="https://drive.google.com/open?id=1GlykXfhTqTcm3WjUu7hqF81iuLj3Cw5f" TargetMode="External"/><Relationship Id="rId4706" Type="http://schemas.openxmlformats.org/officeDocument/2006/relationships/hyperlink" Target="https://www.facebook.com/sown.715" TargetMode="External"/><Relationship Id="rId6061" Type="http://schemas.openxmlformats.org/officeDocument/2006/relationships/hyperlink" Target="https://drive.google.com/open?id=1LTdR1ecPLl_gde5QdpYBVe92-_7eWoz3" TargetMode="External"/><Relationship Id="rId7112" Type="http://schemas.openxmlformats.org/officeDocument/2006/relationships/hyperlink" Target="https://www.facebook.com/share/1BCc3AW4tg/?mibextid=wwXIfr" TargetMode="External"/><Relationship Id="rId576" Type="http://schemas.openxmlformats.org/officeDocument/2006/relationships/hyperlink" Target="https://www.facebook.com/thienvi.cuuvy" TargetMode="External"/><Relationship Id="rId990" Type="http://schemas.openxmlformats.org/officeDocument/2006/relationships/hyperlink" Target="https://www.facebook.com/trang.vuongthi.92" TargetMode="External"/><Relationship Id="rId2257" Type="http://schemas.openxmlformats.org/officeDocument/2006/relationships/hyperlink" Target="https://www.facebook.com/profile.php?id=100068841038847&amp;mibextid=ZbWKwL" TargetMode="External"/><Relationship Id="rId2671" Type="http://schemas.openxmlformats.org/officeDocument/2006/relationships/hyperlink" Target="https://drive.google.com/open?id=1qWfdBqvD9o9Nv0mKUzgJaTZ8uAeOl7dB" TargetMode="External"/><Relationship Id="rId3308" Type="http://schemas.openxmlformats.org/officeDocument/2006/relationships/hyperlink" Target="https://www.facebook.com/profile.php?id=100019168627478&amp;mibextid=PlNXYD" TargetMode="External"/><Relationship Id="rId9284" Type="http://schemas.openxmlformats.org/officeDocument/2006/relationships/hyperlink" Target="https://www.facebook.com/tran.trieu.742737" TargetMode="External"/><Relationship Id="rId229" Type="http://schemas.openxmlformats.org/officeDocument/2006/relationships/hyperlink" Target="https://www.facebook.com/profile.php?id=100024012766361&amp;mibextid=ZbWKwL" TargetMode="External"/><Relationship Id="rId643" Type="http://schemas.openxmlformats.org/officeDocument/2006/relationships/hyperlink" Target="https://www.facebook.com/profile.php?id=100053007592601&amp;mibextid=LQQJ4d" TargetMode="External"/><Relationship Id="rId1273" Type="http://schemas.openxmlformats.org/officeDocument/2006/relationships/hyperlink" Target="https://www.facebook.com/profile.php?id=100050075393686" TargetMode="External"/><Relationship Id="rId2324" Type="http://schemas.openxmlformats.org/officeDocument/2006/relationships/hyperlink" Target="https://drive.google.com/open?id=1iJEZab7QZeBWBWFfwUxRfNw8jGMsXPEs" TargetMode="External"/><Relationship Id="rId3722" Type="http://schemas.openxmlformats.org/officeDocument/2006/relationships/hyperlink" Target="https://www.facebook.com/htu.uienz" TargetMode="External"/><Relationship Id="rId6878" Type="http://schemas.openxmlformats.org/officeDocument/2006/relationships/hyperlink" Target="https://drive.google.com/open?id=1RbEmYbi4Plq9u3w7AtNzbjKrBYVTnlS5" TargetMode="External"/><Relationship Id="rId7929" Type="http://schemas.openxmlformats.org/officeDocument/2006/relationships/hyperlink" Target="https://drive.google.com/open?id=1qGo0FCpKRvynbh0mnAGSFXE_7_AU_y3L" TargetMode="External"/><Relationship Id="rId9351" Type="http://schemas.openxmlformats.org/officeDocument/2006/relationships/hyperlink" Target="https://drive.google.com/open?id=16yeevBhhipRMKwOQdfYRY096GKhNTBBz" TargetMode="External"/><Relationship Id="rId5894" Type="http://schemas.openxmlformats.org/officeDocument/2006/relationships/hyperlink" Target="https://www.facebook.com/profile.php?id=100034742862187&amp;mibextid=LQQJ4d" TargetMode="External"/><Relationship Id="rId6945" Type="http://schemas.openxmlformats.org/officeDocument/2006/relationships/hyperlink" Target="https://drive.google.com/open?id=1KN-KLmokuQ03_76UzVvak-bW0J2RTD4-" TargetMode="External"/><Relationship Id="rId9004" Type="http://schemas.openxmlformats.org/officeDocument/2006/relationships/hyperlink" Target="https://drive.google.com/open?id=1pvGhTdKPJ4K7MqUH-x5jyDBIW8rcMuHb" TargetMode="External"/><Relationship Id="rId710" Type="http://schemas.openxmlformats.org/officeDocument/2006/relationships/hyperlink" Target="https://www.facebook.com/minna.phamm" TargetMode="External"/><Relationship Id="rId1340" Type="http://schemas.openxmlformats.org/officeDocument/2006/relationships/hyperlink" Target="https://www.facebook.com/comai.co.31" TargetMode="External"/><Relationship Id="rId3098" Type="http://schemas.openxmlformats.org/officeDocument/2006/relationships/hyperlink" Target="https://www.facebook.com/profile.php?id=100070895330214&amp;mibextid=LQQJ4d" TargetMode="External"/><Relationship Id="rId4496" Type="http://schemas.openxmlformats.org/officeDocument/2006/relationships/hyperlink" Target="https://drive.google.com/open?id=14hpA1xgUjq7ggxHbh1DDPHryAMyB0ybI" TargetMode="External"/><Relationship Id="rId5547" Type="http://schemas.openxmlformats.org/officeDocument/2006/relationships/hyperlink" Target="https://www.facebook.com/anhthu.2196" TargetMode="External"/><Relationship Id="rId5961" Type="http://schemas.openxmlformats.org/officeDocument/2006/relationships/hyperlink" Target="https://www.facebook.com/profile.php?id=100040608488575&amp;mibextid=LQQJ4d" TargetMode="External"/><Relationship Id="rId4149" Type="http://schemas.openxmlformats.org/officeDocument/2006/relationships/hyperlink" Target="https://www.facebook.com/tramy30042005?mibextid=LQQJ4d" TargetMode="External"/><Relationship Id="rId4563" Type="http://schemas.openxmlformats.org/officeDocument/2006/relationships/hyperlink" Target="https://www.facebook.com/profile.php?id=100015365976285&amp;mibextid=LQQJ4d" TargetMode="External"/><Relationship Id="rId5614" Type="http://schemas.openxmlformats.org/officeDocument/2006/relationships/hyperlink" Target="https://www.facebook.com/sown.715" TargetMode="External"/><Relationship Id="rId8020" Type="http://schemas.openxmlformats.org/officeDocument/2006/relationships/hyperlink" Target="https://www.facebook.com/profile.php?id=100074776731780&amp;mibextid=ZbWKwL" TargetMode="External"/><Relationship Id="rId3165" Type="http://schemas.openxmlformats.org/officeDocument/2006/relationships/hyperlink" Target="https://www.facebook.com/profile.php?id=100029153340791" TargetMode="External"/><Relationship Id="rId4216" Type="http://schemas.openxmlformats.org/officeDocument/2006/relationships/hyperlink" Target="https://www.facebook.com/pham.ngoc.anh240623" TargetMode="External"/><Relationship Id="rId4630" Type="http://schemas.openxmlformats.org/officeDocument/2006/relationships/hyperlink" Target="https://www.facebook.com/ntkc772003" TargetMode="External"/><Relationship Id="rId7786" Type="http://schemas.openxmlformats.org/officeDocument/2006/relationships/hyperlink" Target="https://drive.google.com/open?id=1IygA0Yb1jepe3_AOhugCbKwsmj99kOVo" TargetMode="External"/><Relationship Id="rId8837" Type="http://schemas.openxmlformats.org/officeDocument/2006/relationships/hyperlink" Target="https://www.facebook.com/share/1Fw9BfvDk8/?mibextid=wwXIfr" TargetMode="External"/><Relationship Id="rId2181" Type="http://schemas.openxmlformats.org/officeDocument/2006/relationships/hyperlink" Target="https://www.facebook.com/profile.php?id=100055156570255&amp;mibextid=LQQJ4d" TargetMode="External"/><Relationship Id="rId3232" Type="http://schemas.openxmlformats.org/officeDocument/2006/relationships/hyperlink" Target="https://www.facebook.com/100014616018087/" TargetMode="External"/><Relationship Id="rId6388" Type="http://schemas.openxmlformats.org/officeDocument/2006/relationships/hyperlink" Target="https://www.facebook.com/people/Ngoc-Anh-Le/pfbid0wsAhnUPaXWWZyrF2nww9SPtCYscrpFHqByHfTbpFczwnLBHN4ZtosEEzRR83dGQEl/" TargetMode="External"/><Relationship Id="rId7439" Type="http://schemas.openxmlformats.org/officeDocument/2006/relationships/hyperlink" Target="https://www.facebook.com/profile.php?id=100065098003458&amp;mibextid=ZbWKwL" TargetMode="External"/><Relationship Id="rId153" Type="http://schemas.openxmlformats.org/officeDocument/2006/relationships/hyperlink" Target="https://www.facebook.com/daonee131/friends_mutual/" TargetMode="External"/><Relationship Id="rId6455" Type="http://schemas.openxmlformats.org/officeDocument/2006/relationships/hyperlink" Target="https://www.facebook.com/profile.php?id=100050644639455&amp;mibextid=LQQJ4d" TargetMode="External"/><Relationship Id="rId7853" Type="http://schemas.openxmlformats.org/officeDocument/2006/relationships/hyperlink" Target="https://www.facebook.com/aramoca.ngoc?mibextid=LQQJ4d" TargetMode="External"/><Relationship Id="rId8904" Type="http://schemas.openxmlformats.org/officeDocument/2006/relationships/hyperlink" Target="https://www.facebook.com/cinngnn" TargetMode="External"/><Relationship Id="rId220" Type="http://schemas.openxmlformats.org/officeDocument/2006/relationships/hyperlink" Target="https://www.facebook.com/sweetheart.04042003" TargetMode="External"/><Relationship Id="rId2998" Type="http://schemas.openxmlformats.org/officeDocument/2006/relationships/hyperlink" Target="https://drive.google.com/open?id=1Fxzgz-BzIRbrm9je9K-LIXBblJitw7tb" TargetMode="External"/><Relationship Id="rId5057" Type="http://schemas.openxmlformats.org/officeDocument/2006/relationships/hyperlink" Target="https://www.facebook.com/profile.php?id=100039192302063&amp;locale=vi_VN" TargetMode="External"/><Relationship Id="rId6108" Type="http://schemas.openxmlformats.org/officeDocument/2006/relationships/hyperlink" Target="https://drive.google.com/open?id=16Kj4FQU4g0cSOYYNAETQzV_tAHeCntFh" TargetMode="External"/><Relationship Id="rId7506" Type="http://schemas.openxmlformats.org/officeDocument/2006/relationships/hyperlink" Target="https://www.facebook.com/lailalanhhday?mibextid=LQQJ4d" TargetMode="External"/><Relationship Id="rId7920" Type="http://schemas.openxmlformats.org/officeDocument/2006/relationships/hyperlink" Target="https://www.facebook.com/profile.php?id=100069878682547&amp;mibextid=LQQJ4d" TargetMode="External"/><Relationship Id="rId4073" Type="http://schemas.openxmlformats.org/officeDocument/2006/relationships/hyperlink" Target="https://www.facebook.com/profile.php?id=100070534600835&amp;mibextid=LQQJ4d" TargetMode="External"/><Relationship Id="rId5471" Type="http://schemas.openxmlformats.org/officeDocument/2006/relationships/hyperlink" Target="https://drive.google.com/open?id=1etW2Kgy3kEBtK3UAptIdsa_Mu1nm73Qu" TargetMode="External"/><Relationship Id="rId6522" Type="http://schemas.openxmlformats.org/officeDocument/2006/relationships/hyperlink" Target="https://www.facebook.com/profile.php?id=100070330999372&amp;mibextid=ZbWKwL" TargetMode="External"/><Relationship Id="rId1667" Type="http://schemas.openxmlformats.org/officeDocument/2006/relationships/hyperlink" Target="https://drive.google.com/open?id=1cK6-q6cL_yH6-nplauV6-E0WD9_Eg41T" TargetMode="External"/><Relationship Id="rId2718" Type="http://schemas.openxmlformats.org/officeDocument/2006/relationships/hyperlink" Target="https://www.facebook.com/profile.php?id=100047116779792&amp;mibextid=LQQJ4d" TargetMode="External"/><Relationship Id="rId5124" Type="http://schemas.openxmlformats.org/officeDocument/2006/relationships/hyperlink" Target="https://www.facebook.com/ltvacaom6" TargetMode="External"/><Relationship Id="rId8694" Type="http://schemas.openxmlformats.org/officeDocument/2006/relationships/hyperlink" Target="https://www.facebook.com/nabiboo5116" TargetMode="External"/><Relationship Id="rId1734" Type="http://schemas.openxmlformats.org/officeDocument/2006/relationships/hyperlink" Target="https://www.facebook.com/tranthanhthu.1675?mibextid=LQQJ4d" TargetMode="External"/><Relationship Id="rId4140" Type="http://schemas.openxmlformats.org/officeDocument/2006/relationships/hyperlink" Target="https://www.facebook.com/profile.php?id=100074026626767" TargetMode="External"/><Relationship Id="rId7296" Type="http://schemas.openxmlformats.org/officeDocument/2006/relationships/hyperlink" Target="https://www.facebook.com/profile.php?id=100073844290160&amp;mibextid=ZbWKwL" TargetMode="External"/><Relationship Id="rId8347" Type="http://schemas.openxmlformats.org/officeDocument/2006/relationships/hyperlink" Target="https://www.facebook.com/profile.php?id=100074764418449&amp;mibextid=LQQJ4d" TargetMode="External"/><Relationship Id="rId8761" Type="http://schemas.openxmlformats.org/officeDocument/2006/relationships/hyperlink" Target="https://drive.google.com/open?id=1OlOuCY-Dl8HbKwopKzSMENUIuiS6xzsD" TargetMode="External"/><Relationship Id="rId26" Type="http://schemas.openxmlformats.org/officeDocument/2006/relationships/hyperlink" Target="https://www.facebook.com/profile.php?id=100008929629915&amp;mibextid=LQQJ4d" TargetMode="External"/><Relationship Id="rId7363" Type="http://schemas.openxmlformats.org/officeDocument/2006/relationships/hyperlink" Target="https://www.facebook.com/profile.php?id=100058455973431&amp;mibextid=LQQJ4d" TargetMode="External"/><Relationship Id="rId8414" Type="http://schemas.openxmlformats.org/officeDocument/2006/relationships/hyperlink" Target="https://drive.google.com/open?id=1mVB8FeUjkDtHST_hVdnl5T28YnebEfEr" TargetMode="External"/><Relationship Id="rId1801" Type="http://schemas.openxmlformats.org/officeDocument/2006/relationships/hyperlink" Target="https://www.facebook.com/phong.cao.946954" TargetMode="External"/><Relationship Id="rId3559" Type="http://schemas.openxmlformats.org/officeDocument/2006/relationships/hyperlink" Target="https://drive.google.com/open?id=18y7UzaLHQIUcnto6G2TRiVj28f8VXANm" TargetMode="External"/><Relationship Id="rId4957" Type="http://schemas.openxmlformats.org/officeDocument/2006/relationships/hyperlink" Target="https://www.facebook.com/profile.php?id=100069248245333&amp;mibextid=LQQJ4d" TargetMode="External"/><Relationship Id="rId7016" Type="http://schemas.openxmlformats.org/officeDocument/2006/relationships/hyperlink" Target="https://www.facebook.com/profile.php?id=100015172781227&amp;mibextid=LQQJ4d" TargetMode="External"/><Relationship Id="rId7430" Type="http://schemas.openxmlformats.org/officeDocument/2006/relationships/hyperlink" Target="https://www.facebook.com/profile.php?id=100052930118481&amp;mibextid=ZbWKwL" TargetMode="External"/><Relationship Id="rId3973" Type="http://schemas.openxmlformats.org/officeDocument/2006/relationships/hyperlink" Target="https://drive.google.com/open?id=1dLefZke0HSWD5SOVhlafOzew9_wU9owu" TargetMode="External"/><Relationship Id="rId6032" Type="http://schemas.openxmlformats.org/officeDocument/2006/relationships/hyperlink" Target="https://www.facebook.com/khankute.6?mibextid=LQQJ4d" TargetMode="External"/><Relationship Id="rId9188" Type="http://schemas.openxmlformats.org/officeDocument/2006/relationships/hyperlink" Target="https://drive.google.com/open?id=129l40so9dqYxdS0l5CfgXVtv_smTSWio" TargetMode="External"/><Relationship Id="rId894" Type="http://schemas.openxmlformats.org/officeDocument/2006/relationships/hyperlink" Target="https://drive.google.com/open?id=1Bw0XEJFraPBIx_-v1iq7I_3xTXxYat06" TargetMode="External"/><Relationship Id="rId1177" Type="http://schemas.openxmlformats.org/officeDocument/2006/relationships/hyperlink" Target="https://www.facebook.com/bevdly.2107?mibextid=ZbWKwL" TargetMode="External"/><Relationship Id="rId2575" Type="http://schemas.openxmlformats.org/officeDocument/2006/relationships/hyperlink" Target="https://drive.google.com/open?id=1qtmeTZqXfVoW5QEVyEwb2lLbQomZLH3O" TargetMode="External"/><Relationship Id="rId3626" Type="http://schemas.openxmlformats.org/officeDocument/2006/relationships/hyperlink" Target="https://www.facebook.com/profile.php?id=61559556230755" TargetMode="External"/><Relationship Id="rId547" Type="http://schemas.openxmlformats.org/officeDocument/2006/relationships/hyperlink" Target="https://www.facebook.com/profile.php?id=100050957890473" TargetMode="External"/><Relationship Id="rId961" Type="http://schemas.openxmlformats.org/officeDocument/2006/relationships/hyperlink" Target="https://www.facebook.com/huong.phann.1" TargetMode="External"/><Relationship Id="rId1591" Type="http://schemas.openxmlformats.org/officeDocument/2006/relationships/hyperlink" Target="https://drive.google.com/open?id=1tc53P_mgyj9Gd41eUNulAGnjYrTwYIf9" TargetMode="External"/><Relationship Id="rId2228" Type="http://schemas.openxmlformats.org/officeDocument/2006/relationships/hyperlink" Target="https://www.facebook.com/100079973891232/" TargetMode="External"/><Relationship Id="rId2642" Type="http://schemas.openxmlformats.org/officeDocument/2006/relationships/hyperlink" Target="https://www.facebook.com/ptd.42?mibextid=ZbWKwL" TargetMode="External"/><Relationship Id="rId5798" Type="http://schemas.openxmlformats.org/officeDocument/2006/relationships/hyperlink" Target="https://www.facebook.com/do.phuong.thao.278?mibextid=LQQJ4d" TargetMode="External"/><Relationship Id="rId6849" Type="http://schemas.openxmlformats.org/officeDocument/2006/relationships/hyperlink" Target="https://www.facebook.com/profile.php?id=100063137708031&amp;mibextid=ZbWKwL" TargetMode="External"/><Relationship Id="rId9255" Type="http://schemas.openxmlformats.org/officeDocument/2006/relationships/hyperlink" Target="https://www.facebook.com/sin.thuong.5?mibextid=ZbWKwL" TargetMode="External"/><Relationship Id="rId614" Type="http://schemas.openxmlformats.org/officeDocument/2006/relationships/hyperlink" Target="https://www.facebook.com/nguyenthuhuog2002?mibextid=LQQJ4d" TargetMode="External"/><Relationship Id="rId1244" Type="http://schemas.openxmlformats.org/officeDocument/2006/relationships/hyperlink" Target="https://www.facebook.com/trongbeo67?mibextid=LQQJ4d" TargetMode="External"/><Relationship Id="rId5865" Type="http://schemas.openxmlformats.org/officeDocument/2006/relationships/hyperlink" Target="https://www.facebook.com/profile.php?id=100032374501250" TargetMode="External"/><Relationship Id="rId6916" Type="http://schemas.openxmlformats.org/officeDocument/2006/relationships/hyperlink" Target="https://www.facebook.com/profile.php?id=100090655640239&amp;mibextid=LQQJ4d" TargetMode="External"/><Relationship Id="rId8271" Type="http://schemas.openxmlformats.org/officeDocument/2006/relationships/hyperlink" Target="https://www.facebook.com/vananh.forget.me.not" TargetMode="External"/><Relationship Id="rId9322" Type="http://schemas.openxmlformats.org/officeDocument/2006/relationships/hyperlink" Target="https://www.facebook.com/profile.php?id=100070182325796&amp;mibextid=LQQJ4d" TargetMode="External"/><Relationship Id="rId1311" Type="http://schemas.openxmlformats.org/officeDocument/2006/relationships/hyperlink" Target="https://www.facebook.com/profile.php?id=100070587709381" TargetMode="External"/><Relationship Id="rId4467" Type="http://schemas.openxmlformats.org/officeDocument/2006/relationships/hyperlink" Target="https://www.facebook.com/dangducdangiu?mibextid=LQQJ4d" TargetMode="External"/><Relationship Id="rId4881" Type="http://schemas.openxmlformats.org/officeDocument/2006/relationships/hyperlink" Target="https://www.facebook.com/profile.php?id=100038180711950&amp;locale=vi_VN" TargetMode="External"/><Relationship Id="rId5518" Type="http://schemas.openxmlformats.org/officeDocument/2006/relationships/hyperlink" Target="https://www.facebook.com/profile.php?id=100050627298759&amp;mibextid=LQQJ4d" TargetMode="External"/><Relationship Id="rId3069" Type="http://schemas.openxmlformats.org/officeDocument/2006/relationships/hyperlink" Target="https://www.facebook.com/100058530712335/" TargetMode="External"/><Relationship Id="rId3483" Type="http://schemas.openxmlformats.org/officeDocument/2006/relationships/hyperlink" Target="https://www.facebook.com/profile.php?id=100035360863892&amp;mibextid=ZbWKwL" TargetMode="External"/><Relationship Id="rId4534" Type="http://schemas.openxmlformats.org/officeDocument/2006/relationships/hyperlink" Target="https://drive.google.com/open?id=1AF2A47DhwSulszS-ITf-I3jU-CcTLl6C" TargetMode="External"/><Relationship Id="rId5932" Type="http://schemas.openxmlformats.org/officeDocument/2006/relationships/hyperlink" Target="https://www.facebook.com/quynhuong.ahg?mibextid=LQQJ4d" TargetMode="External"/><Relationship Id="rId2085" Type="http://schemas.openxmlformats.org/officeDocument/2006/relationships/hyperlink" Target="https://drive.google.com/open?id=1sNLA8A7aMCEx08Yi9WODc6rkIshVP7K3" TargetMode="External"/><Relationship Id="rId3136" Type="http://schemas.openxmlformats.org/officeDocument/2006/relationships/hyperlink" Target="https://www.facebook.com/profile.php?id=100054746244768&amp;mibextid=LQQJ4d" TargetMode="External"/><Relationship Id="rId471" Type="http://schemas.openxmlformats.org/officeDocument/2006/relationships/hyperlink" Target="https://drive.google.com/open?id=1Fw-HaxXS9IZUsotYyJScX2-_7WB4lRkT" TargetMode="External"/><Relationship Id="rId2152" Type="http://schemas.openxmlformats.org/officeDocument/2006/relationships/hyperlink" Target="https://www.facebook.com/tete.duy?mibextid=ZbWKwL" TargetMode="External"/><Relationship Id="rId3550" Type="http://schemas.openxmlformats.org/officeDocument/2006/relationships/hyperlink" Target="https://www.facebook.com/hannie.park.520?mibextid=LQQJ4d" TargetMode="External"/><Relationship Id="rId4601" Type="http://schemas.openxmlformats.org/officeDocument/2006/relationships/hyperlink" Target="https://www.facebook.com/hieu.mam.758" TargetMode="External"/><Relationship Id="rId7757" Type="http://schemas.openxmlformats.org/officeDocument/2006/relationships/hyperlink" Target="https://www.facebook.com/chieuxuan.vu.05" TargetMode="External"/><Relationship Id="rId8808" Type="http://schemas.openxmlformats.org/officeDocument/2006/relationships/hyperlink" Target="https://www.facebook.com/share/1DD6WfDzpP/?mibextid=LQQJ4d" TargetMode="External"/><Relationship Id="rId124" Type="http://schemas.openxmlformats.org/officeDocument/2006/relationships/hyperlink" Target="https://www.facebook.com/trinh.thuhaa25?mibextid=LQQJ4d" TargetMode="External"/><Relationship Id="rId3203" Type="http://schemas.openxmlformats.org/officeDocument/2006/relationships/hyperlink" Target="https://drive.google.com/open?id=1Y-vGHXohKhMNb-qLLio7mPa4hY9AmEuu" TargetMode="External"/><Relationship Id="rId6359" Type="http://schemas.openxmlformats.org/officeDocument/2006/relationships/hyperlink" Target="https://drive.google.com/open?id=1JLe4gE-iqw7S_tiwrBlGekGjVP3i4UTT" TargetMode="External"/><Relationship Id="rId6773" Type="http://schemas.openxmlformats.org/officeDocument/2006/relationships/hyperlink" Target="https://www.facebook.com/bmt.huy.545?mibextid=LQQJ4d" TargetMode="External"/><Relationship Id="rId7824" Type="http://schemas.openxmlformats.org/officeDocument/2006/relationships/hyperlink" Target="https://drive.google.com/open?id=1rAwRUT198oEMdI2OLQOl3fNfFJ2PEua2" TargetMode="External"/><Relationship Id="rId2969" Type="http://schemas.openxmlformats.org/officeDocument/2006/relationships/hyperlink" Target="https://drive.google.com/open?id=1emS-XpGgroRKwkD15OToBc1SxkVC0kAR" TargetMode="External"/><Relationship Id="rId5375" Type="http://schemas.openxmlformats.org/officeDocument/2006/relationships/hyperlink" Target="https://www.facebook.com/profile.php?id=100043885262717&amp;mibextid=LQQJ4d" TargetMode="External"/><Relationship Id="rId6426" Type="http://schemas.openxmlformats.org/officeDocument/2006/relationships/hyperlink" Target="https://drive.google.com/open?id=1UZs6jo02KEHvPi1nfna55CUL5-n9b7B6" TargetMode="External"/><Relationship Id="rId6840" Type="http://schemas.openxmlformats.org/officeDocument/2006/relationships/hyperlink" Target="https://www.facebook.com/thang.tatee.10" TargetMode="External"/><Relationship Id="rId1985" Type="http://schemas.openxmlformats.org/officeDocument/2006/relationships/hyperlink" Target="https://www.facebook.com/hoangthien.nam.5036459?mibextid=ZbWKwL" TargetMode="External"/><Relationship Id="rId4391" Type="http://schemas.openxmlformats.org/officeDocument/2006/relationships/hyperlink" Target="https://www.facebook.com/profile.php?id=100083379643598" TargetMode="External"/><Relationship Id="rId5028" Type="http://schemas.openxmlformats.org/officeDocument/2006/relationships/hyperlink" Target="https://drive.google.com/open?id=1o3OnKND4lbCyqGy-rXLzWoa1dMG6dWla" TargetMode="External"/><Relationship Id="rId5442" Type="http://schemas.openxmlformats.org/officeDocument/2006/relationships/hyperlink" Target="https://drive.google.com/open?id=1CfhgC0XAojL15XX2gFgoqX7N4lgZqDwm" TargetMode="External"/><Relationship Id="rId8598" Type="http://schemas.openxmlformats.org/officeDocument/2006/relationships/hyperlink" Target="https://www.facebook.com/dole.ducanh.52" TargetMode="External"/><Relationship Id="rId1638" Type="http://schemas.openxmlformats.org/officeDocument/2006/relationships/hyperlink" Target="https://www.facebook.com/fanh204" TargetMode="External"/><Relationship Id="rId4044" Type="http://schemas.openxmlformats.org/officeDocument/2006/relationships/hyperlink" Target="https://www.facebook.com/profile.php?id=100045859323172" TargetMode="External"/><Relationship Id="rId8665" Type="http://schemas.openxmlformats.org/officeDocument/2006/relationships/hyperlink" Target="https://www.facebook.com/profile.php?id=100044745587792&amp;mibextid=LQQJ4d" TargetMode="External"/><Relationship Id="rId3060" Type="http://schemas.openxmlformats.org/officeDocument/2006/relationships/hyperlink" Target="https://drive.google.com/open?id=1KSXcqRz-RcMXDydI0prYvmFkkm5LvWtR" TargetMode="External"/><Relationship Id="rId4111" Type="http://schemas.openxmlformats.org/officeDocument/2006/relationships/hyperlink" Target="https://www.facebook.com/hung.chaico" TargetMode="External"/><Relationship Id="rId7267" Type="http://schemas.openxmlformats.org/officeDocument/2006/relationships/hyperlink" Target="https://www.facebook.com/profile.php?id=100014157721549" TargetMode="External"/><Relationship Id="rId8318" Type="http://schemas.openxmlformats.org/officeDocument/2006/relationships/hyperlink" Target="https://www.facebook.com/anhpahm.1203?mibextid=LQQJ4d" TargetMode="External"/><Relationship Id="rId1705" Type="http://schemas.openxmlformats.org/officeDocument/2006/relationships/hyperlink" Target="https://drive.google.com/open?id=1LKp38BUSX5Qp-oR6sEJk1j7VTHY67v4H" TargetMode="External"/><Relationship Id="rId6283" Type="http://schemas.openxmlformats.org/officeDocument/2006/relationships/hyperlink" Target="https://www.facebook.com/lychew.95?mibextid=LQQJ4d" TargetMode="External"/><Relationship Id="rId7681" Type="http://schemas.openxmlformats.org/officeDocument/2006/relationships/hyperlink" Target="https://www.facebook.com/share/1MvYkLWxpm/?mibextid=LQQJ4d" TargetMode="External"/><Relationship Id="rId8732" Type="http://schemas.openxmlformats.org/officeDocument/2006/relationships/hyperlink" Target="https://www.facebook.com/profile.php?id=100026390200113" TargetMode="External"/><Relationship Id="rId3877" Type="http://schemas.openxmlformats.org/officeDocument/2006/relationships/hyperlink" Target="https://www.facebook.com/chipxigiu?mibextid=LQQJ4d" TargetMode="External"/><Relationship Id="rId4928" Type="http://schemas.openxmlformats.org/officeDocument/2006/relationships/hyperlink" Target="https://www.facebook.com/profile.php?id=100027014680185" TargetMode="External"/><Relationship Id="rId7334" Type="http://schemas.openxmlformats.org/officeDocument/2006/relationships/hyperlink" Target="https://www.facebook.com/linhs.ngocd" TargetMode="External"/><Relationship Id="rId798" Type="http://schemas.openxmlformats.org/officeDocument/2006/relationships/hyperlink" Target="https://drive.google.com/open?id=1M5kkVByHkv38hP1t5wTZtSP8cZ98a520" TargetMode="External"/><Relationship Id="rId2479" Type="http://schemas.openxmlformats.org/officeDocument/2006/relationships/hyperlink" Target="https://www.facebook.com/share/ufRaz8njWmoUKFFb/?" TargetMode="External"/><Relationship Id="rId2893" Type="http://schemas.openxmlformats.org/officeDocument/2006/relationships/hyperlink" Target="https://drive.google.com/open?id=1KEf6jm2lXWUsRzMgrlt-lGrsO1XFCLR2" TargetMode="External"/><Relationship Id="rId3944" Type="http://schemas.openxmlformats.org/officeDocument/2006/relationships/hyperlink" Target="https://www.facebook.com/hara.san.524?mibextid=LQQJ4d" TargetMode="External"/><Relationship Id="rId6350" Type="http://schemas.openxmlformats.org/officeDocument/2006/relationships/hyperlink" Target="https://drive.google.com/open?id=1R2JmGYoHXFsw789AVW-unS8eDQax-5JA" TargetMode="External"/><Relationship Id="rId7401" Type="http://schemas.openxmlformats.org/officeDocument/2006/relationships/hyperlink" Target="https://www.facebook.com/phuongnhi.toan.3?mibextid=LQQJ4d" TargetMode="External"/><Relationship Id="rId865" Type="http://schemas.openxmlformats.org/officeDocument/2006/relationships/hyperlink" Target="https://www.facebook.com/profile.php?id=100035395291497" TargetMode="External"/><Relationship Id="rId1495" Type="http://schemas.openxmlformats.org/officeDocument/2006/relationships/hyperlink" Target="https://www.facebook.com/profile.php?id=100058824425888" TargetMode="External"/><Relationship Id="rId2546" Type="http://schemas.openxmlformats.org/officeDocument/2006/relationships/hyperlink" Target="https://www.facebook.com/profile.php?id=100054075519702&amp;mibextid=LQQJ4d" TargetMode="External"/><Relationship Id="rId2960" Type="http://schemas.openxmlformats.org/officeDocument/2006/relationships/hyperlink" Target="https://www.facebook.com/ngocha.nhu.507" TargetMode="External"/><Relationship Id="rId6003" Type="http://schemas.openxmlformats.org/officeDocument/2006/relationships/hyperlink" Target="https://www.facebook.com/profile.php?id=100069092333152&amp;mibextid=LQQJ4d" TargetMode="External"/><Relationship Id="rId9159" Type="http://schemas.openxmlformats.org/officeDocument/2006/relationships/hyperlink" Target="https://www.facebook.com/n.p.linh2006?mibextid=LQQJ4d" TargetMode="External"/><Relationship Id="rId9573" Type="http://schemas.openxmlformats.org/officeDocument/2006/relationships/hyperlink" Target="https://www.facebook.com/share/1AXLeMpNxQ/?mibextid=wwXIfr" TargetMode="External"/><Relationship Id="rId518" Type="http://schemas.openxmlformats.org/officeDocument/2006/relationships/hyperlink" Target="https://drive.google.com/open?id=1uyNHUTtGmget4wD4LYlarXVdLHTbVUVY" TargetMode="External"/><Relationship Id="rId932" Type="http://schemas.openxmlformats.org/officeDocument/2006/relationships/hyperlink" Target="https://drive.google.com/open?id=1Alx1k-eFFIPs9TbZOw3eYqQ6IqF--udz" TargetMode="External"/><Relationship Id="rId1148" Type="http://schemas.openxmlformats.org/officeDocument/2006/relationships/hyperlink" Target="https://www.facebook.com/profile.php?id=100042705532110&amp;mibextid=2JQ9oc" TargetMode="External"/><Relationship Id="rId1562" Type="http://schemas.openxmlformats.org/officeDocument/2006/relationships/hyperlink" Target="https://www.facebook.com/profile.php?id=100010540268062" TargetMode="External"/><Relationship Id="rId2613" Type="http://schemas.openxmlformats.org/officeDocument/2006/relationships/hyperlink" Target="https://drive.google.com/open?id=1UkWvNNn_fY4LbJ3RmgXlBaTs1S8EVVfQ" TargetMode="External"/><Relationship Id="rId5769" Type="http://schemas.openxmlformats.org/officeDocument/2006/relationships/hyperlink" Target="https://m.facebook.com/n.huowzng06?mibextid=LQQJ4d" TargetMode="External"/><Relationship Id="rId8175" Type="http://schemas.openxmlformats.org/officeDocument/2006/relationships/hyperlink" Target="https://www.facebook.com/people/Le-Duc-Anh/pfbid02hdFnrAbUzaGfkx16j8dQe1zXNEyGuN8gvfwSpieHEH88QTuqfsTdiVT89CDwyLLVl/" TargetMode="External"/><Relationship Id="rId9226" Type="http://schemas.openxmlformats.org/officeDocument/2006/relationships/hyperlink" Target="https://drive.google.com/open?id=17BPg6eMeG77aAvkWirRKMNQSaqtwz8VR" TargetMode="External"/><Relationship Id="rId1215" Type="http://schemas.openxmlformats.org/officeDocument/2006/relationships/hyperlink" Target="https://www.facebook.com/profile.php?id=100069593241226&amp;mibextid=ZbWKwL" TargetMode="External"/><Relationship Id="rId7191" Type="http://schemas.openxmlformats.org/officeDocument/2006/relationships/hyperlink" Target="https://drive.google.com/open?id=1fa1826KpnldvXc_U0905re1t5pzfzZGb" TargetMode="External"/><Relationship Id="rId8242" Type="http://schemas.openxmlformats.org/officeDocument/2006/relationships/hyperlink" Target="https://drive.google.com/open?id=1Bsoep1Twueh536iBJb8cMntM_O1qcrBK" TargetMode="External"/><Relationship Id="rId3387" Type="http://schemas.openxmlformats.org/officeDocument/2006/relationships/hyperlink" Target="https://www.facebook.com/profile.php?id=100048014269995&amp;mibextid=LQQJ4d" TargetMode="External"/><Relationship Id="rId4785" Type="http://schemas.openxmlformats.org/officeDocument/2006/relationships/hyperlink" Target="https://drive.google.com/open?id=1B9txwRF0qOKwzzqJTGAOLm1tPhwAE75A" TargetMode="External"/><Relationship Id="rId5836" Type="http://schemas.openxmlformats.org/officeDocument/2006/relationships/hyperlink" Target="https://www.facebook.com/profile.php?id=100074417411677&amp;mibextid=LQQJ4d" TargetMode="External"/><Relationship Id="rId4438" Type="http://schemas.openxmlformats.org/officeDocument/2006/relationships/hyperlink" Target="https://www.facebook.com/VTHMadridistaChicken2006?mibextid=LQQJ4d" TargetMode="External"/><Relationship Id="rId4852" Type="http://schemas.openxmlformats.org/officeDocument/2006/relationships/hyperlink" Target="https://www.facebook.com/lammy.besun?mibextid=LQQJ4d" TargetMode="External"/><Relationship Id="rId5903" Type="http://schemas.openxmlformats.org/officeDocument/2006/relationships/hyperlink" Target="https://www.facebook.com/profile.php?id=100036023711946&amp;mibextid=ZbWKwL" TargetMode="External"/><Relationship Id="rId3454" Type="http://schemas.openxmlformats.org/officeDocument/2006/relationships/hyperlink" Target="https://www.facebook.com/buinhai0211" TargetMode="External"/><Relationship Id="rId4505" Type="http://schemas.openxmlformats.org/officeDocument/2006/relationships/hyperlink" Target="https://www.facebook.com/profile.php?id=100043885262717&amp;mibextid=LQQJ4d" TargetMode="External"/><Relationship Id="rId375" Type="http://schemas.openxmlformats.org/officeDocument/2006/relationships/hyperlink" Target="https://www.facebook.com/vu.quynh.5030927?mibextid=ZbWKwL" TargetMode="External"/><Relationship Id="rId2056" Type="http://schemas.openxmlformats.org/officeDocument/2006/relationships/hyperlink" Target="https://www.facebook.com/dangminh.220905?mibextid=LQQJ4d" TargetMode="External"/><Relationship Id="rId2470" Type="http://schemas.openxmlformats.org/officeDocument/2006/relationships/hyperlink" Target="https://www.facebook.com/profile.php?id=100023687449541&amp;mibextid=LQQJ4d" TargetMode="External"/><Relationship Id="rId3107" Type="http://schemas.openxmlformats.org/officeDocument/2006/relationships/hyperlink" Target="https://drive.google.com/open?id=1JN2gDBMcdXQd72gtf9VVORha6vwBBElC" TargetMode="External"/><Relationship Id="rId3521" Type="http://schemas.openxmlformats.org/officeDocument/2006/relationships/hyperlink" Target="https://www.facebook.com/profile.php?id=100073650213923" TargetMode="External"/><Relationship Id="rId6677" Type="http://schemas.openxmlformats.org/officeDocument/2006/relationships/hyperlink" Target="https://www.facebook.com/profile.php?id=100077769650399&amp;mibextid=LQQJ4d" TargetMode="External"/><Relationship Id="rId7728" Type="http://schemas.openxmlformats.org/officeDocument/2006/relationships/hyperlink" Target="https://drive.google.com/open?id=12jefHEr8jVujfInHKVkhaDaoysJLNDzF" TargetMode="External"/><Relationship Id="rId9083" Type="http://schemas.openxmlformats.org/officeDocument/2006/relationships/hyperlink" Target="https://www.facebook.com/profile.php?id=100070830233559" TargetMode="External"/><Relationship Id="rId442" Type="http://schemas.openxmlformats.org/officeDocument/2006/relationships/hyperlink" Target="https://www.facebook.com/profile.php?id=100045312784518&amp;mibextid=LQQJ4d" TargetMode="External"/><Relationship Id="rId1072" Type="http://schemas.openxmlformats.org/officeDocument/2006/relationships/hyperlink" Target="https://www.facebook.com/panhhh.05?mibextid=LQQJ4d" TargetMode="External"/><Relationship Id="rId2123" Type="http://schemas.openxmlformats.org/officeDocument/2006/relationships/hyperlink" Target="https://www.facebook.com/tong.dung.547?mibextid=LQQJ4d" TargetMode="External"/><Relationship Id="rId5279" Type="http://schemas.openxmlformats.org/officeDocument/2006/relationships/hyperlink" Target="https://drive.google.com/open?id=1dIYbxIvBHu0rgGL130Y_r1QtK6gE43LM" TargetMode="External"/><Relationship Id="rId5693" Type="http://schemas.openxmlformats.org/officeDocument/2006/relationships/hyperlink" Target="https://www.facebook.com/trieunga06?mibextid=JRoKGi" TargetMode="External"/><Relationship Id="rId6744" Type="http://schemas.openxmlformats.org/officeDocument/2006/relationships/hyperlink" Target="https://drive.google.com/open?id=1BVI2GrvGgDFYeH1V4e5Ni7QAWrmB4FrG" TargetMode="External"/><Relationship Id="rId9150" Type="http://schemas.openxmlformats.org/officeDocument/2006/relationships/hyperlink" Target="https://www.facebook.com/profile.php?id=100050474742336&amp;mibextid=LQQJ4d" TargetMode="External"/><Relationship Id="rId4295" Type="http://schemas.openxmlformats.org/officeDocument/2006/relationships/hyperlink" Target="https://www.facebook.com/iues.10?mibextid=LQQJ4d" TargetMode="External"/><Relationship Id="rId5346" Type="http://schemas.openxmlformats.org/officeDocument/2006/relationships/hyperlink" Target="https://www.facebook.com/miuka.takahashi" TargetMode="External"/><Relationship Id="rId1889" Type="http://schemas.openxmlformats.org/officeDocument/2006/relationships/hyperlink" Target="https://www.facebook.com/profile.php?id=100043647561347" TargetMode="External"/><Relationship Id="rId4362" Type="http://schemas.openxmlformats.org/officeDocument/2006/relationships/hyperlink" Target="https://www.facebook.com/lgtihjtuhhaf?mibextid=kFxxJD" TargetMode="External"/><Relationship Id="rId5760" Type="http://schemas.openxmlformats.org/officeDocument/2006/relationships/hyperlink" Target="https://www.facebook.com/sam.huyen.735?mibextid=LQQJ4d" TargetMode="External"/><Relationship Id="rId6811" Type="http://schemas.openxmlformats.org/officeDocument/2006/relationships/hyperlink" Target="https://www.facebook.com/profile.php?id=100034538379360&amp;mibextid=LQQJ4d" TargetMode="External"/><Relationship Id="rId1956" Type="http://schemas.openxmlformats.org/officeDocument/2006/relationships/hyperlink" Target="https://www.facebook.com/profile.php?id=100066019002870&amp;mibextid=LQQJ4d" TargetMode="External"/><Relationship Id="rId4015" Type="http://schemas.openxmlformats.org/officeDocument/2006/relationships/hyperlink" Target="https://www.facebook.com/profile.php?id=100069678736298&amp;mibextid=LQQJ4d" TargetMode="External"/><Relationship Id="rId5413" Type="http://schemas.openxmlformats.org/officeDocument/2006/relationships/hyperlink" Target="https://www.facebook.com/yun.bao.188?mibextid=ZbWKwL" TargetMode="External"/><Relationship Id="rId8569" Type="http://schemas.openxmlformats.org/officeDocument/2006/relationships/hyperlink" Target="https://www.facebook.com/profile.php?id=100024672163796" TargetMode="External"/><Relationship Id="rId8983" Type="http://schemas.openxmlformats.org/officeDocument/2006/relationships/hyperlink" Target="https://www.facebook.com/share/1PmXxEsnPT/" TargetMode="External"/><Relationship Id="rId1609" Type="http://schemas.openxmlformats.org/officeDocument/2006/relationships/hyperlink" Target="https://www.facebook.com/kthuwwwne?mibextid=LQQJ4d" TargetMode="External"/><Relationship Id="rId7585" Type="http://schemas.openxmlformats.org/officeDocument/2006/relationships/hyperlink" Target="https://www.facebook.com/nguyen.anhvu.583671?mibextid=LQQJ4d" TargetMode="External"/><Relationship Id="rId8636" Type="http://schemas.openxmlformats.org/officeDocument/2006/relationships/hyperlink" Target="https://www.facebook.com/profile.php?id=100041531311982" TargetMode="External"/><Relationship Id="rId3031" Type="http://schemas.openxmlformats.org/officeDocument/2006/relationships/hyperlink" Target="https://drive.google.com/open?id=1H_aophVqEhJEHoxH1lzDeQ6_OouMQ9lN" TargetMode="External"/><Relationship Id="rId6187" Type="http://schemas.openxmlformats.org/officeDocument/2006/relationships/hyperlink" Target="https://www.facebook.com/profile.php?id=100041723526602&amp;mibextid=LQQJ4d" TargetMode="External"/><Relationship Id="rId7238" Type="http://schemas.openxmlformats.org/officeDocument/2006/relationships/hyperlink" Target="https://www.facebook.com/share/19j6xLqhAH/?mibextid=LQQJ4d" TargetMode="External"/><Relationship Id="rId7652" Type="http://schemas.openxmlformats.org/officeDocument/2006/relationships/hyperlink" Target="https://www.facebook.com/profile.php?id=100068057000918&amp;mibextid=LQQJ4d" TargetMode="External"/><Relationship Id="rId8703" Type="http://schemas.openxmlformats.org/officeDocument/2006/relationships/hyperlink" Target="https://www.facebook.com/profile.php?id=100056420499437&amp;mibextid=ZbWKwL" TargetMode="External"/><Relationship Id="rId2797" Type="http://schemas.openxmlformats.org/officeDocument/2006/relationships/hyperlink" Target="https://drive.google.com/open?id=1Iu_nmbZxqF9POkTLQ5I3VZ-Qch1XQxmk" TargetMode="External"/><Relationship Id="rId3848" Type="http://schemas.openxmlformats.org/officeDocument/2006/relationships/hyperlink" Target="http://manhdinh2005sgmail.com/" TargetMode="External"/><Relationship Id="rId6254" Type="http://schemas.openxmlformats.org/officeDocument/2006/relationships/hyperlink" Target="https://www.facebook.com/profile.php?id=100078628117619" TargetMode="External"/><Relationship Id="rId7305" Type="http://schemas.openxmlformats.org/officeDocument/2006/relationships/hyperlink" Target="https://www.facebook.com/profile.php?id=100018658693222&amp;mibextid=kFxxJD" TargetMode="External"/><Relationship Id="rId769" Type="http://schemas.openxmlformats.org/officeDocument/2006/relationships/hyperlink" Target="https://www.facebook.com/huyenhuyen.251003?mibextid=LQQJ4d" TargetMode="External"/><Relationship Id="rId1399" Type="http://schemas.openxmlformats.org/officeDocument/2006/relationships/hyperlink" Target="https://drive.google.com/open?id=1yt__ZhLckweEwCFzcLDyKwtPnmy6Ni60" TargetMode="External"/><Relationship Id="rId5270" Type="http://schemas.openxmlformats.org/officeDocument/2006/relationships/hyperlink" Target="https://www.facebook.com/profile.php?id=100090954971399&amp;mibextid=LQQJ4d" TargetMode="External"/><Relationship Id="rId6321" Type="http://schemas.openxmlformats.org/officeDocument/2006/relationships/hyperlink" Target="https://drive.google.com/open?id=1rvOdW440_aeccbsAwFJimQXG-rYnOcCj" TargetMode="External"/><Relationship Id="rId9477" Type="http://schemas.openxmlformats.org/officeDocument/2006/relationships/hyperlink" Target="https://www.facebook.com/ngocmy.le.9231712?mibextid=LQQJ4d" TargetMode="External"/><Relationship Id="rId1466" Type="http://schemas.openxmlformats.org/officeDocument/2006/relationships/hyperlink" Target="https://www.facebook.com/buiha.trang.7773" TargetMode="External"/><Relationship Id="rId2864" Type="http://schemas.openxmlformats.org/officeDocument/2006/relationships/hyperlink" Target="https://www.facebook.com/profile.php?id=100065606925920" TargetMode="External"/><Relationship Id="rId3915" Type="http://schemas.openxmlformats.org/officeDocument/2006/relationships/hyperlink" Target="https://www.facebook.com/yuno1226" TargetMode="External"/><Relationship Id="rId8079" Type="http://schemas.openxmlformats.org/officeDocument/2006/relationships/hyperlink" Target="https://drive.google.com/open?id=1uX92WcVKfddK1Fuc-FEk1Ci-ypm6_WzE" TargetMode="External"/><Relationship Id="rId8493" Type="http://schemas.openxmlformats.org/officeDocument/2006/relationships/hyperlink" Target="https://www.facebook.com/profile.php?id=100034390011315&amp;mibextid=LQQJ4d" TargetMode="External"/><Relationship Id="rId836" Type="http://schemas.openxmlformats.org/officeDocument/2006/relationships/hyperlink" Target="https://drive.google.com/open?id=1OYqeGz7Jiwi5CYpSvcBtZBRh4fCuseLh" TargetMode="External"/><Relationship Id="rId1119" Type="http://schemas.openxmlformats.org/officeDocument/2006/relationships/hyperlink" Target="https://www.facebook.com/profile.php?id=100035530000674&amp;mibextid=LQQJ4d" TargetMode="External"/><Relationship Id="rId1880" Type="http://schemas.openxmlformats.org/officeDocument/2006/relationships/hyperlink" Target="https://www.facebook.com/profile.php?id=100042320381844&amp;mibextid=ZbWKwL" TargetMode="External"/><Relationship Id="rId2517" Type="http://schemas.openxmlformats.org/officeDocument/2006/relationships/hyperlink" Target="https://drive.google.com/open?id=1VuAk46TtZrar_f-5p1Cgn2leEq82_qJa" TargetMode="External"/><Relationship Id="rId2931" Type="http://schemas.openxmlformats.org/officeDocument/2006/relationships/hyperlink" Target="https://www.facebook.com/minion.trieu?mibextid=LQQJ4d" TargetMode="External"/><Relationship Id="rId7095" Type="http://schemas.openxmlformats.org/officeDocument/2006/relationships/hyperlink" Target="https://drive.google.com/open?id=1aeCQOQkMcd0Vu26varkwhzjbTTIyF3SK" TargetMode="External"/><Relationship Id="rId8146" Type="http://schemas.openxmlformats.org/officeDocument/2006/relationships/hyperlink" Target="https://www.facebook.com/profile.php?id=100033523038621" TargetMode="External"/><Relationship Id="rId9544" Type="http://schemas.openxmlformats.org/officeDocument/2006/relationships/hyperlink" Target="https://www.facebook.com/share/14o8TgJF54/?mibextid=wwXIfr" TargetMode="External"/><Relationship Id="rId903" Type="http://schemas.openxmlformats.org/officeDocument/2006/relationships/hyperlink" Target="https://drive.google.com/open?id=1UPSv4kr0BksKfegLXVbdJuYvAX9CRbvd" TargetMode="External"/><Relationship Id="rId1533" Type="http://schemas.openxmlformats.org/officeDocument/2006/relationships/hyperlink" Target="https://www.facebook.com/profile.php?id=100031501542232" TargetMode="External"/><Relationship Id="rId4689" Type="http://schemas.openxmlformats.org/officeDocument/2006/relationships/hyperlink" Target="https://drive.google.com/open?id=1qtPIIVYFgAomvgawbiF0QsvA61bEucSS" TargetMode="External"/><Relationship Id="rId8560" Type="http://schemas.openxmlformats.org/officeDocument/2006/relationships/hyperlink" Target="https://www.facebook.com/kanh.nguyen.75098364?mibextid=LQQJ4d" TargetMode="External"/><Relationship Id="rId1600" Type="http://schemas.openxmlformats.org/officeDocument/2006/relationships/hyperlink" Target="https://www.facebook.com/profile.php?id=100061915163064&amp;mibextid=ZbWKwL" TargetMode="External"/><Relationship Id="rId4756" Type="http://schemas.openxmlformats.org/officeDocument/2006/relationships/hyperlink" Target="https://www.facebook.com/profile.php?id=100022100826681&amp;mibextid=LQQJ4d" TargetMode="External"/><Relationship Id="rId5807" Type="http://schemas.openxmlformats.org/officeDocument/2006/relationships/hyperlink" Target="https://www.facebook.com/manh.lus?mibextid=LQQJ4d" TargetMode="External"/><Relationship Id="rId7162" Type="http://schemas.openxmlformats.org/officeDocument/2006/relationships/hyperlink" Target="https://www.facebook.com/profile.php?id=61559703216993&amp;mibextid=LQQJ4d" TargetMode="External"/><Relationship Id="rId8213" Type="http://schemas.openxmlformats.org/officeDocument/2006/relationships/hyperlink" Target="https://drive.google.com/open?id=1NHsbBg_98d0JkSFGBJyak5_fC2Iu8UY2" TargetMode="External"/><Relationship Id="rId3358" Type="http://schemas.openxmlformats.org/officeDocument/2006/relationships/hyperlink" Target="https://drive.google.com/open?id=1h2RTNSjqpNz3dAyY7pazkMzHkEqP-IcY" TargetMode="External"/><Relationship Id="rId3772" Type="http://schemas.openxmlformats.org/officeDocument/2006/relationships/hyperlink" Target="https://www.facebook.com/share/4hJa6vtvuTqF7MTZ/?" TargetMode="External"/><Relationship Id="rId4409" Type="http://schemas.openxmlformats.org/officeDocument/2006/relationships/hyperlink" Target="https://www.facebook.com/share/5K3u3L2inJeZnmtC/?mibextid=qi2Omg" TargetMode="External"/><Relationship Id="rId4823" Type="http://schemas.openxmlformats.org/officeDocument/2006/relationships/hyperlink" Target="https://www.facebook.com/profile.php?id=100042432930016&amp;mibextid=LQQJ4d" TargetMode="External"/><Relationship Id="rId7979" Type="http://schemas.openxmlformats.org/officeDocument/2006/relationships/hyperlink" Target="https://www.facebook.com/profile.php?id=100092331591591" TargetMode="External"/><Relationship Id="rId279" Type="http://schemas.openxmlformats.org/officeDocument/2006/relationships/hyperlink" Target="https://drive.google.com/open?id=1UdkxtQekBVJiOIKmvyQKKPyLdNiEt2X4" TargetMode="External"/><Relationship Id="rId693" Type="http://schemas.openxmlformats.org/officeDocument/2006/relationships/hyperlink" Target="https://drive.google.com/open?id=1BIj5VmNYatFv_waK2fmglyo7dsasOJvT" TargetMode="External"/><Relationship Id="rId2374" Type="http://schemas.openxmlformats.org/officeDocument/2006/relationships/hyperlink" Target="https://www.facebook.com/thuylinhtt4?mibextid=LQQJ4d" TargetMode="External"/><Relationship Id="rId3425" Type="http://schemas.openxmlformats.org/officeDocument/2006/relationships/hyperlink" Target="https://drive.google.com/open?id=1_o3iIqDPHlb3dbMcOs_L1QJXN0tZEGaF" TargetMode="External"/><Relationship Id="rId346" Type="http://schemas.openxmlformats.org/officeDocument/2006/relationships/hyperlink" Target="https://www.facebook.com/nongmahonghanh?mibextid=LQQJ4d" TargetMode="External"/><Relationship Id="rId760" Type="http://schemas.openxmlformats.org/officeDocument/2006/relationships/hyperlink" Target="https://www.facebook.com/ienn2408" TargetMode="External"/><Relationship Id="rId1390" Type="http://schemas.openxmlformats.org/officeDocument/2006/relationships/hyperlink" Target="https://www.facebook.com/profile.php?id=100069339530902" TargetMode="External"/><Relationship Id="rId2027" Type="http://schemas.openxmlformats.org/officeDocument/2006/relationships/hyperlink" Target="https://www.facebook.com/profile.php?id=100056958707502&amp;mibextid=LQQJ4d" TargetMode="External"/><Relationship Id="rId2441" Type="http://schemas.openxmlformats.org/officeDocument/2006/relationships/hyperlink" Target="https://www.facebook.com/bao.hoanggia.946954?mibextid=LQQJ4d" TargetMode="External"/><Relationship Id="rId5597" Type="http://schemas.openxmlformats.org/officeDocument/2006/relationships/hyperlink" Target="https://www.facebook.com/profile.php?id=100038469549957" TargetMode="External"/><Relationship Id="rId6995" Type="http://schemas.openxmlformats.org/officeDocument/2006/relationships/hyperlink" Target="https://www.facebook.com/buiqvu.04?mibextid=LQQJ4d" TargetMode="External"/><Relationship Id="rId9054" Type="http://schemas.openxmlformats.org/officeDocument/2006/relationships/hyperlink" Target="https://www.facebook.com/profile.php?id=61559013475279&amp;mibextid=ZbWKwL" TargetMode="External"/><Relationship Id="rId413" Type="http://schemas.openxmlformats.org/officeDocument/2006/relationships/hyperlink" Target="https://drive.google.com/open?id=1ve2-uIhUbBHwDi6TK0eqs75h1SrwPvlS" TargetMode="External"/><Relationship Id="rId1043" Type="http://schemas.openxmlformats.org/officeDocument/2006/relationships/hyperlink" Target="https://www.facebook.com/lowj.will" TargetMode="External"/><Relationship Id="rId4199" Type="http://schemas.openxmlformats.org/officeDocument/2006/relationships/hyperlink" Target="https://drive.google.com/open?id=1t9BmT9J9lgHRtlF8e6nBV6EQkAPH4kY8" TargetMode="External"/><Relationship Id="rId6648" Type="http://schemas.openxmlformats.org/officeDocument/2006/relationships/hyperlink" Target="https://www.facebook.com/hip.vu.1865?mibextid=LQQJ4d" TargetMode="External"/><Relationship Id="rId8070" Type="http://schemas.openxmlformats.org/officeDocument/2006/relationships/hyperlink" Target="https://www.facebook.com/profile.php?id=61559556230755" TargetMode="External"/><Relationship Id="rId9121" Type="http://schemas.openxmlformats.org/officeDocument/2006/relationships/hyperlink" Target="https://m.facebook.com/profile.php?id=100074363474552&amp;wtsid=rdr_0ehx0aHjwv8LWllVd" TargetMode="External"/><Relationship Id="rId5664" Type="http://schemas.openxmlformats.org/officeDocument/2006/relationships/hyperlink" Target="https://www.facebook.com/profile.php?id=100062272704696&amp;mibextid=LQQJ4d" TargetMode="External"/><Relationship Id="rId6715" Type="http://schemas.openxmlformats.org/officeDocument/2006/relationships/hyperlink" Target="https://www.facebook.com/nnhung180706?mibextid=LQQJ4d" TargetMode="External"/><Relationship Id="rId1110" Type="http://schemas.openxmlformats.org/officeDocument/2006/relationships/hyperlink" Target="https://www.facebook.com/thanh.t.nghiep?mibextid=cejktS" TargetMode="External"/><Relationship Id="rId4266" Type="http://schemas.openxmlformats.org/officeDocument/2006/relationships/hyperlink" Target="https://www.facebook.com/profile.php?id=100053903194742&amp;mibextid=LQQJ4d" TargetMode="External"/><Relationship Id="rId4680" Type="http://schemas.openxmlformats.org/officeDocument/2006/relationships/hyperlink" Target="https://www.facebook.com/anh.cheery.94" TargetMode="External"/><Relationship Id="rId5317" Type="http://schemas.openxmlformats.org/officeDocument/2006/relationships/hyperlink" Target="https://www.facebook.com/haianh.cutexiu" TargetMode="External"/><Relationship Id="rId5731" Type="http://schemas.openxmlformats.org/officeDocument/2006/relationships/hyperlink" Target="https://drive.google.com/open?id=1H1Q5YkHznvlsA_w9iHQhTPbDuKdrnJmD" TargetMode="External"/><Relationship Id="rId8887" Type="http://schemas.openxmlformats.org/officeDocument/2006/relationships/hyperlink" Target="https://drive.google.com/open?id=1a7S8zRvBg23ls3TbP7s57S4CAwzRsXkj" TargetMode="External"/><Relationship Id="rId1927" Type="http://schemas.openxmlformats.org/officeDocument/2006/relationships/hyperlink" Target="https://drive.google.com/open?id=18Fqs3JMiVdaebTPc8IsecJJa_kjc2p5o" TargetMode="External"/><Relationship Id="rId3282" Type="http://schemas.openxmlformats.org/officeDocument/2006/relationships/hyperlink" Target="https://drive.google.com/open?id=1C-qBgeDX1sRLt7ytxRa84BNNfev-IOm3" TargetMode="External"/><Relationship Id="rId4333" Type="http://schemas.openxmlformats.org/officeDocument/2006/relationships/hyperlink" Target="https://www.facebook.com/profile.php?id=100057215297908" TargetMode="External"/><Relationship Id="rId7489" Type="http://schemas.openxmlformats.org/officeDocument/2006/relationships/hyperlink" Target="https://www.facebook.com/profile.php?id=100068896482398&amp;mibextid=LQQJ4d" TargetMode="External"/><Relationship Id="rId8954" Type="http://schemas.openxmlformats.org/officeDocument/2006/relationships/hyperlink" Target="https://www.facebook.com/people/Nguy%E1%BB%85n-%C4%90%C4%83ng-Vui/pfbid02xS7VNhgtwZZwcB1HAhjiDGMPsHSskeu1cywxbUPxunZbkh5baX54Np6QTumwN9mZl/" TargetMode="External"/><Relationship Id="rId4400" Type="http://schemas.openxmlformats.org/officeDocument/2006/relationships/hyperlink" Target="https://www.facebook.com/thichnhungmakonoidau" TargetMode="External"/><Relationship Id="rId7556" Type="http://schemas.openxmlformats.org/officeDocument/2006/relationships/hyperlink" Target="https://www.facebook.com/linh.luongthuy.5249" TargetMode="External"/><Relationship Id="rId8607" Type="http://schemas.openxmlformats.org/officeDocument/2006/relationships/hyperlink" Target="https://www.facebook.com/nt.quynh.06?mibextid=kFxxJD" TargetMode="External"/><Relationship Id="rId270" Type="http://schemas.openxmlformats.org/officeDocument/2006/relationships/hyperlink" Target="https://www.facebook.com/profile.php?id=100039188224407&amp;mibextid=LQQJ4d" TargetMode="External"/><Relationship Id="rId3002" Type="http://schemas.openxmlformats.org/officeDocument/2006/relationships/hyperlink" Target="https://www.facebook.com/profile.php?id=100011725952880" TargetMode="External"/><Relationship Id="rId6158" Type="http://schemas.openxmlformats.org/officeDocument/2006/relationships/hyperlink" Target="https://www.facebook.com/lamm.haii.39" TargetMode="External"/><Relationship Id="rId6572" Type="http://schemas.openxmlformats.org/officeDocument/2006/relationships/hyperlink" Target="https://www.facebook.com/profile.php?id=100049793138721" TargetMode="External"/><Relationship Id="rId7209" Type="http://schemas.openxmlformats.org/officeDocument/2006/relationships/hyperlink" Target="https://drive.google.com/open?id=1n5xGVBMYSnW_xfLJzHeIhSm0r8kekBXx" TargetMode="External"/><Relationship Id="rId7970" Type="http://schemas.openxmlformats.org/officeDocument/2006/relationships/hyperlink" Target="https://www.facebook.com/anhs.anhs.75033?mibextid=LQQJ4d" TargetMode="External"/><Relationship Id="rId5174" Type="http://schemas.openxmlformats.org/officeDocument/2006/relationships/hyperlink" Target="https://www.facebook.com/ledominhtuan" TargetMode="External"/><Relationship Id="rId6225" Type="http://schemas.openxmlformats.org/officeDocument/2006/relationships/hyperlink" Target="https://www.facebook.com/profile.php?id=100029185264513" TargetMode="External"/><Relationship Id="rId7623" Type="http://schemas.openxmlformats.org/officeDocument/2006/relationships/hyperlink" Target="https://drive.google.com/open?id=18WU-_1gym68cTLk0C_szem4cbwpD-xGp;" TargetMode="External"/><Relationship Id="rId2768" Type="http://schemas.openxmlformats.org/officeDocument/2006/relationships/hyperlink" Target="https://www.facebook.com/linh.trieu.104418" TargetMode="External"/><Relationship Id="rId3819" Type="http://schemas.openxmlformats.org/officeDocument/2006/relationships/hyperlink" Target="https://www.facebook.com/profile.php?id=100070654260752" TargetMode="External"/><Relationship Id="rId1784" Type="http://schemas.openxmlformats.org/officeDocument/2006/relationships/hyperlink" Target="https://www.facebook.com/tramy30042005?mibextid=LQQJ4d" TargetMode="External"/><Relationship Id="rId2835" Type="http://schemas.openxmlformats.org/officeDocument/2006/relationships/hyperlink" Target="https://www.facebook.com/nguyet.vuminh.589583" TargetMode="External"/><Relationship Id="rId4190" Type="http://schemas.openxmlformats.org/officeDocument/2006/relationships/hyperlink" Target="https://www.facebook.com/profile.php?id=100069532695562&amp;mibextid=LQQJ4d" TargetMode="External"/><Relationship Id="rId5241" Type="http://schemas.openxmlformats.org/officeDocument/2006/relationships/hyperlink" Target="https://www.facebook.com/profile.php?id=100056816821968&amp;mibextid=kFxxJD" TargetMode="External"/><Relationship Id="rId8397" Type="http://schemas.openxmlformats.org/officeDocument/2006/relationships/hyperlink" Target="https://www.facebook.com/profile.php?id=100055646770369" TargetMode="External"/><Relationship Id="rId9448" Type="http://schemas.openxmlformats.org/officeDocument/2006/relationships/hyperlink" Target="https://www.facebook.com/share/1EMEWJhW7U/?mibextid=wwXIfr" TargetMode="External"/><Relationship Id="rId76" Type="http://schemas.openxmlformats.org/officeDocument/2006/relationships/hyperlink" Target="https://drive.google.com/open?id=1YQV99ZG8IgYj4RKUFTeU_hg3j8wQQSV4" TargetMode="External"/><Relationship Id="rId807" Type="http://schemas.openxmlformats.org/officeDocument/2006/relationships/hyperlink" Target="https://www.facebook.com/profile.php?id=100015913807767&amp;locale=vi_VN" TargetMode="External"/><Relationship Id="rId1437" Type="http://schemas.openxmlformats.org/officeDocument/2006/relationships/hyperlink" Target="https://www.facebook.com/kieuvy2695" TargetMode="External"/><Relationship Id="rId1851" Type="http://schemas.openxmlformats.org/officeDocument/2006/relationships/hyperlink" Target="https://www.facebook.com/profile.php?id=100028581101576&amp;mibextid=ZbWKwL" TargetMode="External"/><Relationship Id="rId2902" Type="http://schemas.openxmlformats.org/officeDocument/2006/relationships/hyperlink" Target="https://www.facebook.com/hn0412802" TargetMode="External"/><Relationship Id="rId8464" Type="http://schemas.openxmlformats.org/officeDocument/2006/relationships/hyperlink" Target="https://www.facebook.com/profile.php?id=100049637704551&amp;mibextid=LQQJ4d" TargetMode="External"/><Relationship Id="rId9515" Type="http://schemas.openxmlformats.org/officeDocument/2006/relationships/hyperlink" Target="https://www.facebook.com/share/15hfVsjjvP/?mibextid=LQQJ4d" TargetMode="External"/><Relationship Id="rId1504" Type="http://schemas.openxmlformats.org/officeDocument/2006/relationships/hyperlink" Target="https://www.facebook.com/profile.php?id=100090857148619" TargetMode="External"/><Relationship Id="rId7066" Type="http://schemas.openxmlformats.org/officeDocument/2006/relationships/hyperlink" Target="https://www.facebook.com/profile.php?id=61550780199546" TargetMode="External"/><Relationship Id="rId7480" Type="http://schemas.openxmlformats.org/officeDocument/2006/relationships/hyperlink" Target="https://www.facebook.com/ngtthuyen.8122006" TargetMode="External"/><Relationship Id="rId8117" Type="http://schemas.openxmlformats.org/officeDocument/2006/relationships/hyperlink" Target="https://www.facebook.com/ky.nguyenba.940" TargetMode="External"/><Relationship Id="rId8531" Type="http://schemas.openxmlformats.org/officeDocument/2006/relationships/hyperlink" Target="https://www.facebook.com/profile.php?id=100055091917677&amp;mibextid=LQQJ4d" TargetMode="External"/><Relationship Id="rId3676" Type="http://schemas.openxmlformats.org/officeDocument/2006/relationships/hyperlink" Target="https://www.facebook.com/profile.php?id=100035868532783&amp;mibextid=ZbWKwL" TargetMode="External"/><Relationship Id="rId6082" Type="http://schemas.openxmlformats.org/officeDocument/2006/relationships/hyperlink" Target="https://www.facebook.com/vchuongneeee?mibextid=LQQJ4d" TargetMode="External"/><Relationship Id="rId7133" Type="http://schemas.openxmlformats.org/officeDocument/2006/relationships/hyperlink" Target="https://drive.google.com/open?id=1CDTwxNn5v-t2DD-5uk8NJ0c1wWk7v6e6" TargetMode="External"/><Relationship Id="rId597" Type="http://schemas.openxmlformats.org/officeDocument/2006/relationships/hyperlink" Target="https://drive.google.com/open?id=12aajyGSzUy6jyQLqdqMcq4M8loIvB6A8" TargetMode="External"/><Relationship Id="rId2278" Type="http://schemas.openxmlformats.org/officeDocument/2006/relationships/hyperlink" Target="https://drive.google.com/open?id=1vdUoAPx2rKWy3v4dWpuzgu1E9JuouBoi" TargetMode="External"/><Relationship Id="rId3329" Type="http://schemas.openxmlformats.org/officeDocument/2006/relationships/hyperlink" Target="https://www.facebook.com/profile.php?id=100022124713905&amp;mibextid=JRoKGi" TargetMode="External"/><Relationship Id="rId4727" Type="http://schemas.openxmlformats.org/officeDocument/2006/relationships/hyperlink" Target="https://www.facebook.com/ba.vinh.940641?mibextid=LQQJ4d" TargetMode="External"/><Relationship Id="rId7200" Type="http://schemas.openxmlformats.org/officeDocument/2006/relationships/hyperlink" Target="https://www.facebook.com/profile.php?id=100038062140050&amp;mibextid=LQQJ4d" TargetMode="External"/><Relationship Id="rId1294" Type="http://schemas.openxmlformats.org/officeDocument/2006/relationships/hyperlink" Target="https://drive.google.com/open?id=1jwMD2r9fXtQ-yR4fRpAYth4dcBCzNIRq" TargetMode="External"/><Relationship Id="rId2692" Type="http://schemas.openxmlformats.org/officeDocument/2006/relationships/hyperlink" Target="https://www.facebook.com/lanmgv0611?mibextid=LQQJ4d" TargetMode="External"/><Relationship Id="rId3743" Type="http://schemas.openxmlformats.org/officeDocument/2006/relationships/hyperlink" Target="https://drive.google.com/open?id=19JLEEOUtyfXuh99VuCKN3T-ojFVPfdaW" TargetMode="External"/><Relationship Id="rId6899" Type="http://schemas.openxmlformats.org/officeDocument/2006/relationships/hyperlink" Target="https://www.facebook.com/profile.php?id=100040992468199&amp;mibextid=LQQJ4d" TargetMode="External"/><Relationship Id="rId664" Type="http://schemas.openxmlformats.org/officeDocument/2006/relationships/hyperlink" Target="https://drive.google.com/open?id=1GU9BHHB44zMl3cd_bIVho-VqdOwIDbLQ" TargetMode="External"/><Relationship Id="rId2345" Type="http://schemas.openxmlformats.org/officeDocument/2006/relationships/hyperlink" Target="https://www.facebook.com/profile.php?id=100048349662044&amp;mibextid=LQQJ4d" TargetMode="External"/><Relationship Id="rId3810" Type="http://schemas.openxmlformats.org/officeDocument/2006/relationships/hyperlink" Target="https://drive.google.com/open?id=1Fxzgz-BzIRbrm9je9K-LIXBblJitw7tb" TargetMode="External"/><Relationship Id="rId6966" Type="http://schemas.openxmlformats.org/officeDocument/2006/relationships/hyperlink" Target="https://www.facebook.com/tunglomo.2712?mibextid=LQQJ4d" TargetMode="External"/><Relationship Id="rId9372" Type="http://schemas.openxmlformats.org/officeDocument/2006/relationships/hyperlink" Target="https://www.facebook.com/kieuthichbuncha" TargetMode="External"/><Relationship Id="rId317" Type="http://schemas.openxmlformats.org/officeDocument/2006/relationships/hyperlink" Target="https://www.facebook.com/tuongvy.vuthi.549?mibextid=LQQJ4d" TargetMode="External"/><Relationship Id="rId731" Type="http://schemas.openxmlformats.org/officeDocument/2006/relationships/hyperlink" Target="https://www.facebook.com/profile.php?id=100013860276661&amp;mibextid=LQQJ4d" TargetMode="External"/><Relationship Id="rId1361" Type="http://schemas.openxmlformats.org/officeDocument/2006/relationships/hyperlink" Target="https://www.facebook.com/Lethuha.xg" TargetMode="External"/><Relationship Id="rId2412" Type="http://schemas.openxmlformats.org/officeDocument/2006/relationships/hyperlink" Target="https://www.facebook.com/ngocanh.10122005?mibextid=LQQJ4d" TargetMode="External"/><Relationship Id="rId5568" Type="http://schemas.openxmlformats.org/officeDocument/2006/relationships/hyperlink" Target="https://www.facebook.com/profile.php?id=100036441483655" TargetMode="External"/><Relationship Id="rId5982" Type="http://schemas.openxmlformats.org/officeDocument/2006/relationships/hyperlink" Target="https://www.facebook.com/profile.php?id=100078888859965&amp;mibextid=LQQJ4d" TargetMode="External"/><Relationship Id="rId6619" Type="http://schemas.openxmlformats.org/officeDocument/2006/relationships/hyperlink" Target="https://www.facebook.com/profile.php?id=100080426880874&amp;mibextid=LQQJ4d" TargetMode="External"/><Relationship Id="rId9025" Type="http://schemas.openxmlformats.org/officeDocument/2006/relationships/hyperlink" Target="https://www.facebook.com/profile.php?id=100065342919196" TargetMode="External"/><Relationship Id="rId1014" Type="http://schemas.openxmlformats.org/officeDocument/2006/relationships/hyperlink" Target="https://drive.google.com/open?id=1_p--ubdbCLqKHo7gfxrs9LToj7YGf7Uk" TargetMode="External"/><Relationship Id="rId4584" Type="http://schemas.openxmlformats.org/officeDocument/2006/relationships/hyperlink" Target="https://www.facebook.com/lananh.trinh.5095" TargetMode="External"/><Relationship Id="rId5635" Type="http://schemas.openxmlformats.org/officeDocument/2006/relationships/hyperlink" Target="https://www.facebook.com/profile.php?id=100024006441359&amp;mibextid=LQQJ4d" TargetMode="External"/><Relationship Id="rId8041" Type="http://schemas.openxmlformats.org/officeDocument/2006/relationships/hyperlink" Target="https://www.facebook.com/trongquynh2k6?mibextid=wwXIfr&amp;mibextid=wwXIfr" TargetMode="External"/><Relationship Id="rId3186" Type="http://schemas.openxmlformats.org/officeDocument/2006/relationships/hyperlink" Target="https://www.facebook.com/nguyen.thicham.1088?mibextid=PtKPJ9" TargetMode="External"/><Relationship Id="rId4237" Type="http://schemas.openxmlformats.org/officeDocument/2006/relationships/hyperlink" Target="https://www.facebook.com/ThuyDung05?mibextid=ZbWKwL" TargetMode="External"/><Relationship Id="rId4651" Type="http://schemas.openxmlformats.org/officeDocument/2006/relationships/hyperlink" Target="https://www.facebook.com/kubinn.phuong?mibextid=LQQJ4d" TargetMode="External"/><Relationship Id="rId3253" Type="http://schemas.openxmlformats.org/officeDocument/2006/relationships/hyperlink" Target="https://drive.google.com/open?id=1W-NLMdsEmYSeaSadG0Wy5UJwHfJkqjl1" TargetMode="External"/><Relationship Id="rId4304" Type="http://schemas.openxmlformats.org/officeDocument/2006/relationships/hyperlink" Target="https://www.facebook.com/hienn.nguyennthuu.56" TargetMode="External"/><Relationship Id="rId5702" Type="http://schemas.openxmlformats.org/officeDocument/2006/relationships/hyperlink" Target="https://www.facebook.com/profile.php?id=100009241086429&amp;mibextid=LQQJ4d" TargetMode="External"/><Relationship Id="rId8858" Type="http://schemas.openxmlformats.org/officeDocument/2006/relationships/hyperlink" Target="https://drive.google.com/open?id=1NsV5EZUG_OfaO6dOsZsErgiJ6aDcwj8V" TargetMode="External"/><Relationship Id="rId174" Type="http://schemas.openxmlformats.org/officeDocument/2006/relationships/hyperlink" Target="https://www.facebook.com/profile.php?id=100023809663512&amp;mibextid=LQQJ4d" TargetMode="External"/><Relationship Id="rId7874" Type="http://schemas.openxmlformats.org/officeDocument/2006/relationships/hyperlink" Target="https://www.facebook.com/profile.php?id=100048386502777&amp;mibextid=LQQJ4d" TargetMode="External"/><Relationship Id="rId8925" Type="http://schemas.openxmlformats.org/officeDocument/2006/relationships/hyperlink" Target="https://www.facebook.com/profile.php?id=100009504810141" TargetMode="External"/><Relationship Id="rId241" Type="http://schemas.openxmlformats.org/officeDocument/2006/relationships/hyperlink" Target="https://drive.google.com/open?id=1hy563E7n5OIHiEojehSaySxfe5NZidF3" TargetMode="External"/><Relationship Id="rId3320" Type="http://schemas.openxmlformats.org/officeDocument/2006/relationships/hyperlink" Target="https://www.facebook.com/profile.php?id=100037018003487&amp;mibextid=ZbWKwL" TargetMode="External"/><Relationship Id="rId5078" Type="http://schemas.openxmlformats.org/officeDocument/2006/relationships/hyperlink" Target="https://www.facebook.com/thodangiuuuu" TargetMode="External"/><Relationship Id="rId6476" Type="http://schemas.openxmlformats.org/officeDocument/2006/relationships/hyperlink" Target="https://www.facebook.com/profile.php?id=100090232089274&amp;mibextid=JRoKGi" TargetMode="External"/><Relationship Id="rId6890" Type="http://schemas.openxmlformats.org/officeDocument/2006/relationships/hyperlink" Target="https://drive.google.com/open?id=11Bg5ittlV4qUPOw4AYjS3MZGHiX6YC2L" TargetMode="External"/><Relationship Id="rId7527" Type="http://schemas.openxmlformats.org/officeDocument/2006/relationships/hyperlink" Target="https://www.facebook.com/levu2707?mibextid=LQQJ4d" TargetMode="External"/><Relationship Id="rId7941" Type="http://schemas.openxmlformats.org/officeDocument/2006/relationships/hyperlink" Target="https://www.facebook.com/profile.php?id=100034305979639&amp;mibextid=LQQJ4d" TargetMode="External"/><Relationship Id="rId5492" Type="http://schemas.openxmlformats.org/officeDocument/2006/relationships/hyperlink" Target="https://www.facebook.com/profile.php?id=100029153340791" TargetMode="External"/><Relationship Id="rId6129" Type="http://schemas.openxmlformats.org/officeDocument/2006/relationships/hyperlink" Target="https://www.facebook.com/vietahdznhmt?mibextid=LQQJ4d" TargetMode="External"/><Relationship Id="rId6543" Type="http://schemas.openxmlformats.org/officeDocument/2006/relationships/hyperlink" Target="https://www.facebook.com/profile.php?id=61551901147171&amp;mibextid=LQQJ4d" TargetMode="External"/><Relationship Id="rId1688" Type="http://schemas.openxmlformats.org/officeDocument/2006/relationships/hyperlink" Target="https://www.facebook.com/hannie.park.520?mibextid=LQQJ4d" TargetMode="External"/><Relationship Id="rId2739" Type="http://schemas.openxmlformats.org/officeDocument/2006/relationships/hyperlink" Target="https://www.facebook.com/profile.php?id=100026453388749&amp;mibextid=ZbWKwL" TargetMode="External"/><Relationship Id="rId4094" Type="http://schemas.openxmlformats.org/officeDocument/2006/relationships/hyperlink" Target="https://www.facebook.com/hi.phuong.3975?mibextid=ZbWKwL" TargetMode="External"/><Relationship Id="rId5145" Type="http://schemas.openxmlformats.org/officeDocument/2006/relationships/hyperlink" Target="https://www.facebook.com/profile.php?id=100037559047353" TargetMode="External"/><Relationship Id="rId6610" Type="http://schemas.openxmlformats.org/officeDocument/2006/relationships/hyperlink" Target="https://www.facebook.com/ndiem.ne?mibextid=LQQJ4d" TargetMode="External"/><Relationship Id="rId1755" Type="http://schemas.openxmlformats.org/officeDocument/2006/relationships/hyperlink" Target="https://www.facebook.com/Leenhxingg?mibextid=LQQJ4d" TargetMode="External"/><Relationship Id="rId4161" Type="http://schemas.openxmlformats.org/officeDocument/2006/relationships/hyperlink" Target="https://www.facebook.com/profile.php?id=100039716587982&amp;mibextid=LQQJ4d" TargetMode="External"/><Relationship Id="rId5212" Type="http://schemas.openxmlformats.org/officeDocument/2006/relationships/hyperlink" Target="https://www.facebook.com/profile.php?id=100056519145521&amp;mibextid=ZbWKwL" TargetMode="External"/><Relationship Id="rId8368" Type="http://schemas.openxmlformats.org/officeDocument/2006/relationships/hyperlink" Target="https://drive.google.com/open?id=1emS-XpGgroRKwkD15OToBc1SxkVC0kAR" TargetMode="External"/><Relationship Id="rId8782" Type="http://schemas.openxmlformats.org/officeDocument/2006/relationships/hyperlink" Target="https://www.facebook.com/behien2tui?mibextid=LQQJ4d" TargetMode="External"/><Relationship Id="rId9419" Type="http://schemas.openxmlformats.org/officeDocument/2006/relationships/hyperlink" Target="https://www.facebook.com/duongdoai2422006" TargetMode="External"/><Relationship Id="rId1408" Type="http://schemas.openxmlformats.org/officeDocument/2006/relationships/hyperlink" Target="https://www.facebook.com/tien.tun.2212" TargetMode="External"/><Relationship Id="rId2806" Type="http://schemas.openxmlformats.org/officeDocument/2006/relationships/hyperlink" Target="https://www.facebook.com/MaiChi2304?mibextid=LQQJ4d" TargetMode="External"/><Relationship Id="rId7384" Type="http://schemas.openxmlformats.org/officeDocument/2006/relationships/hyperlink" Target="https://www.facebook.com/profile.php?id=100042072127874&amp;mibextid=hu50Ix" TargetMode="External"/><Relationship Id="rId8435" Type="http://schemas.openxmlformats.org/officeDocument/2006/relationships/hyperlink" Target="https://www.facebook.com/profile.php?id=100077506261937&amp;mibextid=LQQJ4d" TargetMode="External"/><Relationship Id="rId47" Type="http://schemas.openxmlformats.org/officeDocument/2006/relationships/hyperlink" Target="https://www.facebook.com/tt2511?mibextid=LQQJ4d" TargetMode="External"/><Relationship Id="rId1822" Type="http://schemas.openxmlformats.org/officeDocument/2006/relationships/hyperlink" Target="https://drive.google.com/open?id=1PEzggk6h19DS_uCsFKf4P-GH7YmP0yCf" TargetMode="External"/><Relationship Id="rId4978" Type="http://schemas.openxmlformats.org/officeDocument/2006/relationships/hyperlink" Target="https://drive.google.com/open?id=1-aKk91CEzfpRd0sizhi4HtdK8JK8POpD" TargetMode="External"/><Relationship Id="rId7037" Type="http://schemas.openxmlformats.org/officeDocument/2006/relationships/hyperlink" Target="https://www.facebook.com/profile.php?id=100090444648215&amp;mibextid=LQQJ4d" TargetMode="External"/><Relationship Id="rId3994" Type="http://schemas.openxmlformats.org/officeDocument/2006/relationships/hyperlink" Target="https://www.facebook.com/profile.php?id=100024689478778&amp;mibextid=LQQJ4d" TargetMode="External"/><Relationship Id="rId6053" Type="http://schemas.openxmlformats.org/officeDocument/2006/relationships/hyperlink" Target="https://web.facebook.com/profile.php?id=100070760588215&amp;mibextid=ZbWKwL&amp;_rdc=1&amp;_rdr" TargetMode="External"/><Relationship Id="rId7451" Type="http://schemas.openxmlformats.org/officeDocument/2006/relationships/hyperlink" Target="https://www.facebook.com/profile.php?id=100077342778832&amp;mibextid=LQQJ4d" TargetMode="External"/><Relationship Id="rId8502" Type="http://schemas.openxmlformats.org/officeDocument/2006/relationships/hyperlink" Target="https://www.facebook.com/profile.php?id=100025660681227" TargetMode="External"/><Relationship Id="rId2596" Type="http://schemas.openxmlformats.org/officeDocument/2006/relationships/hyperlink" Target="https://m.facebook.com/profile.php?id=100080615280171&amp;mibextid=LQQJ4d" TargetMode="External"/><Relationship Id="rId3647" Type="http://schemas.openxmlformats.org/officeDocument/2006/relationships/hyperlink" Target="https://www.facebook.com/profile.php?id=100067593487910&amp;mibextid=ZbWKwL" TargetMode="External"/><Relationship Id="rId7104" Type="http://schemas.openxmlformats.org/officeDocument/2006/relationships/hyperlink" Target="https://www.facebook.com/agha.sghs?mibextid=LQQJ4d" TargetMode="External"/><Relationship Id="rId568" Type="http://schemas.openxmlformats.org/officeDocument/2006/relationships/hyperlink" Target="https://www.facebook.com/trankim.tuyen.31542?mibextid=LQQJ4d" TargetMode="External"/><Relationship Id="rId982" Type="http://schemas.openxmlformats.org/officeDocument/2006/relationships/hyperlink" Target="https://www.facebook.com/profile.php?id=100014689389673" TargetMode="External"/><Relationship Id="rId1198" Type="http://schemas.openxmlformats.org/officeDocument/2006/relationships/hyperlink" Target="https://www.facebook.com/profile.php?id=100069456338036&amp;mibextid=LQQJ4d" TargetMode="External"/><Relationship Id="rId2249" Type="http://schemas.openxmlformats.org/officeDocument/2006/relationships/hyperlink" Target="https://www.facebook.com/phuonghuynh.nguyen.1232?mibextid=2JQ9oc" TargetMode="External"/><Relationship Id="rId2663" Type="http://schemas.openxmlformats.org/officeDocument/2006/relationships/hyperlink" Target="https://www.facebook.com/nghitran2k5/" TargetMode="External"/><Relationship Id="rId3714" Type="http://schemas.openxmlformats.org/officeDocument/2006/relationships/hyperlink" Target="https://drive.google.com/open?id=1JiuEXzU2qOHiRcfRkBjsJNANwk6egHCc" TargetMode="External"/><Relationship Id="rId6120" Type="http://schemas.openxmlformats.org/officeDocument/2006/relationships/hyperlink" Target="https://www.facebook.com/tranghuyen2306?mibextid=LQQJ4d" TargetMode="External"/><Relationship Id="rId9276" Type="http://schemas.openxmlformats.org/officeDocument/2006/relationships/hyperlink" Target="https://www.facebook.com/vu.quynh.5030927" TargetMode="External"/><Relationship Id="rId635" Type="http://schemas.openxmlformats.org/officeDocument/2006/relationships/hyperlink" Target="https://www.facebook.com/chuot.linh.7140" TargetMode="External"/><Relationship Id="rId1265" Type="http://schemas.openxmlformats.org/officeDocument/2006/relationships/hyperlink" Target="https://drive.google.com/open?id=1opF6uXJhoN-Z1k92VkfyGt6Uop9vPN25" TargetMode="External"/><Relationship Id="rId2316" Type="http://schemas.openxmlformats.org/officeDocument/2006/relationships/hyperlink" Target="https://drive.google.com/open?id=1W4VCtHQ5Pove3HF_kDQzmOFLRsH0Hpg8" TargetMode="External"/><Relationship Id="rId2730" Type="http://schemas.openxmlformats.org/officeDocument/2006/relationships/hyperlink" Target="https://www.facebook.com/profile.php?id=100023530050638" TargetMode="External"/><Relationship Id="rId5886" Type="http://schemas.openxmlformats.org/officeDocument/2006/relationships/hyperlink" Target="https://www.facebook.com/profile.php?id=100021873186776&amp;mibextid=LQQJ4d" TargetMode="External"/><Relationship Id="rId8292" Type="http://schemas.openxmlformats.org/officeDocument/2006/relationships/hyperlink" Target="https://www.facebook.com/share/1BKVukGweC/?mibextid=wwXIfr" TargetMode="External"/><Relationship Id="rId9343" Type="http://schemas.openxmlformats.org/officeDocument/2006/relationships/hyperlink" Target="https://www.facebook.com/profile.php?id=100033984751662&amp;mibextid=LQQJ4d" TargetMode="External"/><Relationship Id="rId702" Type="http://schemas.openxmlformats.org/officeDocument/2006/relationships/hyperlink" Target="https://www.facebook.com/lethainghia4" TargetMode="External"/><Relationship Id="rId1332" Type="http://schemas.openxmlformats.org/officeDocument/2006/relationships/hyperlink" Target="https://drive.google.com/open?id=1joBhLsoA6aaik6ZPMdWpqK4v_ubo0qzu" TargetMode="External"/><Relationship Id="rId4488" Type="http://schemas.openxmlformats.org/officeDocument/2006/relationships/hyperlink" Target="https://www.facebook.com/truc.nguyet.5680?mibextid=LQQJ4d" TargetMode="External"/><Relationship Id="rId5539" Type="http://schemas.openxmlformats.org/officeDocument/2006/relationships/hyperlink" Target="https://www.facebook.com/phuonganh.hoang.127648?" TargetMode="External"/><Relationship Id="rId6937" Type="http://schemas.openxmlformats.org/officeDocument/2006/relationships/hyperlink" Target="https://www.facebook.com/profile.php?id=100094011439870&amp;mibextid=LQQJ4d" TargetMode="External"/><Relationship Id="rId9410" Type="http://schemas.openxmlformats.org/officeDocument/2006/relationships/hyperlink" Target="https://www.facebook.com/profile.php?id=100053890674211&amp;mibextid=LQQJ4d" TargetMode="External"/><Relationship Id="rId5953" Type="http://schemas.openxmlformats.org/officeDocument/2006/relationships/hyperlink" Target="https://www.facebook.com/profile.php?id=100023629125085" TargetMode="External"/><Relationship Id="rId8012" Type="http://schemas.openxmlformats.org/officeDocument/2006/relationships/hyperlink" Target="https://www.facebook.com/tranthao711?mibextid=LQQJ4d" TargetMode="External"/><Relationship Id="rId3157" Type="http://schemas.openxmlformats.org/officeDocument/2006/relationships/hyperlink" Target="https://www.facebook.com/huyens.nguyens.3745" TargetMode="External"/><Relationship Id="rId4555" Type="http://schemas.openxmlformats.org/officeDocument/2006/relationships/hyperlink" Target="https://www.facebook.com/profile.php?id=100037018003487&amp;mibextid=ZbWKwL" TargetMode="External"/><Relationship Id="rId5606" Type="http://schemas.openxmlformats.org/officeDocument/2006/relationships/hyperlink" Target="https://www.facebook.com/profile.php?id=100074764418449&amp;mibextid=LQQJ4d" TargetMode="External"/><Relationship Id="rId3571" Type="http://schemas.openxmlformats.org/officeDocument/2006/relationships/hyperlink" Target="https://www.facebook.com/profile.php?id=100009705362776&amp;mibextid=LQQJ4d" TargetMode="External"/><Relationship Id="rId4208" Type="http://schemas.openxmlformats.org/officeDocument/2006/relationships/hyperlink" Target="https://www.facebook.com/profile.php?id=100080622621474" TargetMode="External"/><Relationship Id="rId4622" Type="http://schemas.openxmlformats.org/officeDocument/2006/relationships/hyperlink" Target="https://drive.google.com/open?id=1sA0QywaIkUEnr17aswTNBbxg96W7vuC9" TargetMode="External"/><Relationship Id="rId7778" Type="http://schemas.openxmlformats.org/officeDocument/2006/relationships/hyperlink" Target="https://drive.google.com/open?id=1h_KhVsnka8gKUxbtySO85-LeejAOZlBy" TargetMode="External"/><Relationship Id="rId8829" Type="http://schemas.openxmlformats.org/officeDocument/2006/relationships/hyperlink" Target="https://www.facebook.com/ongvietquang.209977?mibextid=ZbWKwL" TargetMode="External"/><Relationship Id="rId492" Type="http://schemas.openxmlformats.org/officeDocument/2006/relationships/hyperlink" Target="https://drive.google.com/open?id=1-pbYCtMNO-CN5gWIwRqqSAzSRDmBo0DW" TargetMode="External"/><Relationship Id="rId2173" Type="http://schemas.openxmlformats.org/officeDocument/2006/relationships/hyperlink" Target="https://www.facebook.com/khanhhuyendangiuca?mibextid=LQQJ4d" TargetMode="External"/><Relationship Id="rId3224" Type="http://schemas.openxmlformats.org/officeDocument/2006/relationships/hyperlink" Target="https://www.facebook.com/profile.php?id=100014998389791&amp;locale=vi_VN" TargetMode="External"/><Relationship Id="rId6794" Type="http://schemas.openxmlformats.org/officeDocument/2006/relationships/hyperlink" Target="https://www.facebook.com/h.ngocc06?mibextid=LQQJ4d" TargetMode="External"/><Relationship Id="rId7845" Type="http://schemas.openxmlformats.org/officeDocument/2006/relationships/hyperlink" Target="https://www.facebook.com/profile.php?id=100089598638841" TargetMode="External"/><Relationship Id="rId145" Type="http://schemas.openxmlformats.org/officeDocument/2006/relationships/hyperlink" Target="https://www.facebook.com/TK21.1925?mibextid=ZbWKwL" TargetMode="External"/><Relationship Id="rId2240" Type="http://schemas.openxmlformats.org/officeDocument/2006/relationships/hyperlink" Target="https://www.facebook.com/profile.php?id=100090091488959" TargetMode="External"/><Relationship Id="rId5396" Type="http://schemas.openxmlformats.org/officeDocument/2006/relationships/hyperlink" Target="https://www.facebook.com/peoscaca26?mibextid=JRoKGi" TargetMode="External"/><Relationship Id="rId6447" Type="http://schemas.openxmlformats.org/officeDocument/2006/relationships/hyperlink" Target="https://www.facebook.com/shins.bes.73" TargetMode="External"/><Relationship Id="rId6861" Type="http://schemas.openxmlformats.org/officeDocument/2006/relationships/hyperlink" Target="https://www.facebook.com/nhlg.29s?mibextid=LQQJ4d" TargetMode="External"/><Relationship Id="rId212" Type="http://schemas.openxmlformats.org/officeDocument/2006/relationships/hyperlink" Target="https://www.facebook.com/profile.php?id=100036921366864&amp;mibextid=ZbWKwL" TargetMode="External"/><Relationship Id="rId5049" Type="http://schemas.openxmlformats.org/officeDocument/2006/relationships/hyperlink" Target="https://www.facebook.com/duong.tranhoanganh.33?mibextid=LQQJ4d" TargetMode="External"/><Relationship Id="rId5463" Type="http://schemas.openxmlformats.org/officeDocument/2006/relationships/hyperlink" Target="https://www.facebook.com/100014949131752/" TargetMode="External"/><Relationship Id="rId6514" Type="http://schemas.openxmlformats.org/officeDocument/2006/relationships/hyperlink" Target="https://www.facebook.com/thuys.thanh.5095?mibextid=ZbWKwL" TargetMode="External"/><Relationship Id="rId7912" Type="http://schemas.openxmlformats.org/officeDocument/2006/relationships/hyperlink" Target="https://www.facebook.com/leanhthu0716" TargetMode="External"/><Relationship Id="rId4065" Type="http://schemas.openxmlformats.org/officeDocument/2006/relationships/hyperlink" Target="https://www.facebook.com/phuong.hee.9" TargetMode="External"/><Relationship Id="rId5116" Type="http://schemas.openxmlformats.org/officeDocument/2006/relationships/hyperlink" Target="https://drive.google.com/open?id=1Jv9jtLcs9ynMwBCCLtM67qVfnqN9KRVd" TargetMode="External"/><Relationship Id="rId1659" Type="http://schemas.openxmlformats.org/officeDocument/2006/relationships/hyperlink" Target="https://www.facebook.com/profile.php?id=100051083227606&amp;mibextid=LQQJ4d" TargetMode="External"/><Relationship Id="rId3081" Type="http://schemas.openxmlformats.org/officeDocument/2006/relationships/hyperlink" Target="https://drive.google.com/open?id=16O5v8eNH-9E_fFngM_Z_3e7hDYbvOz6G" TargetMode="External"/><Relationship Id="rId4132" Type="http://schemas.openxmlformats.org/officeDocument/2006/relationships/hyperlink" Target="https://www.facebook.com/profile.php?id=100043338184769&amp;mibextid=LQQJ4d" TargetMode="External"/><Relationship Id="rId5530" Type="http://schemas.openxmlformats.org/officeDocument/2006/relationships/hyperlink" Target="https://www.facebook.com/dinoamorebambusbaum?mibextid=ZbWKwL" TargetMode="External"/><Relationship Id="rId7288" Type="http://schemas.openxmlformats.org/officeDocument/2006/relationships/hyperlink" Target="https://www.facebook.com/profile.php?id=100013439325840" TargetMode="External"/><Relationship Id="rId8686" Type="http://schemas.openxmlformats.org/officeDocument/2006/relationships/hyperlink" Target="https://www.facebook.com/profile.php?id=100073285336889" TargetMode="External"/><Relationship Id="rId1726" Type="http://schemas.openxmlformats.org/officeDocument/2006/relationships/hyperlink" Target="https://www.facebook.com/thich.thichemm" TargetMode="External"/><Relationship Id="rId8339" Type="http://schemas.openxmlformats.org/officeDocument/2006/relationships/hyperlink" Target="https://www.facebook.com/profile.php?id=100078749870652&amp;mibextid=LQQJ4d" TargetMode="External"/><Relationship Id="rId8753" Type="http://schemas.openxmlformats.org/officeDocument/2006/relationships/hyperlink" Target="https://drive.google.com/open?id=1A3we6d3a35jIfZ3o0KubdqsWre1cHwp3" TargetMode="External"/><Relationship Id="rId18" Type="http://schemas.openxmlformats.org/officeDocument/2006/relationships/hyperlink" Target="https://www.facebook.com/profile.php?id=100009177409621&amp;mibextid=ZbWKwL" TargetMode="External"/><Relationship Id="rId3898" Type="http://schemas.openxmlformats.org/officeDocument/2006/relationships/hyperlink" Target="https://www.facebook.com/tha.ngu.3720" TargetMode="External"/><Relationship Id="rId4949" Type="http://schemas.openxmlformats.org/officeDocument/2006/relationships/hyperlink" Target="https://www.facebook.com/profile.php?id=100079310375696&amp;mibextid=LQQJ4d" TargetMode="External"/><Relationship Id="rId7355" Type="http://schemas.openxmlformats.org/officeDocument/2006/relationships/hyperlink" Target="https://www.facebook.com/nguyenn.ngoc.anh.395017" TargetMode="External"/><Relationship Id="rId8406" Type="http://schemas.openxmlformats.org/officeDocument/2006/relationships/hyperlink" Target="https://www.facebook.com/profile.php?id=100065353545032&amp;mibextid=LQQJ4d" TargetMode="External"/><Relationship Id="rId8820" Type="http://schemas.openxmlformats.org/officeDocument/2006/relationships/hyperlink" Target="https://www.facebook.com/profile.php?id=100060291661482&amp;mibextid=LQQJ4d" TargetMode="External"/><Relationship Id="rId3965" Type="http://schemas.openxmlformats.org/officeDocument/2006/relationships/hyperlink" Target="https://drive.google.com/open?id=1IG697tnTgWcdcmeZ5Ne5_W2V06T-9zqa" TargetMode="External"/><Relationship Id="rId6371" Type="http://schemas.openxmlformats.org/officeDocument/2006/relationships/hyperlink" Target="https://drive.google.com/open?id=1kJ504xTx6kAWSdsFVF2bkRThgtWhfiF3" TargetMode="External"/><Relationship Id="rId7008" Type="http://schemas.openxmlformats.org/officeDocument/2006/relationships/hyperlink" Target="https://www.facebook.com/profile.php?id=100069988596011&amp;mibextid=LQQJ4d" TargetMode="External"/><Relationship Id="rId7422" Type="http://schemas.openxmlformats.org/officeDocument/2006/relationships/hyperlink" Target="https://www.facebook.com/profile.php?id=100064494558875&amp;mibextid=ZbWKwL" TargetMode="External"/><Relationship Id="rId886" Type="http://schemas.openxmlformats.org/officeDocument/2006/relationships/hyperlink" Target="https://www.facebook.com/anhphuong.269" TargetMode="External"/><Relationship Id="rId2567" Type="http://schemas.openxmlformats.org/officeDocument/2006/relationships/hyperlink" Target="https://drive.google.com/open?id=1tMWHaBAOAvxE__x4QbemlqtY3HzDtaQc" TargetMode="External"/><Relationship Id="rId3618" Type="http://schemas.openxmlformats.org/officeDocument/2006/relationships/hyperlink" Target="https://www.facebook.com/profile.php?id=61550109591741&amp;mibextid=ZbWKwL" TargetMode="External"/><Relationship Id="rId6024" Type="http://schemas.openxmlformats.org/officeDocument/2006/relationships/hyperlink" Target="https://drive.google.com/open?id=12cp0uvD7gYpvHsdUvwri9HRlNys-MJIM" TargetMode="External"/><Relationship Id="rId2" Type="http://schemas.openxmlformats.org/officeDocument/2006/relationships/hyperlink" Target="https://www.facebook.com/trananhvukm22.vn" TargetMode="External"/><Relationship Id="rId539" Type="http://schemas.openxmlformats.org/officeDocument/2006/relationships/hyperlink" Target="https://www.facebook.com/nguyena2mk?mibextid=LQQJ4d" TargetMode="External"/><Relationship Id="rId1169" Type="http://schemas.openxmlformats.org/officeDocument/2006/relationships/hyperlink" Target="https://www.facebook.com/profile.php?id=100022793390038" TargetMode="External"/><Relationship Id="rId1583" Type="http://schemas.openxmlformats.org/officeDocument/2006/relationships/hyperlink" Target="https://www.facebook.com/dttv.12" TargetMode="External"/><Relationship Id="rId2981" Type="http://schemas.openxmlformats.org/officeDocument/2006/relationships/hyperlink" Target="https://www.facebook.com/profile.php?id=100065465332377" TargetMode="External"/><Relationship Id="rId5040" Type="http://schemas.openxmlformats.org/officeDocument/2006/relationships/hyperlink" Target="https://www.facebook.com/lamgi.ketban.77?mibextid=LQQJ4d" TargetMode="External"/><Relationship Id="rId8196" Type="http://schemas.openxmlformats.org/officeDocument/2006/relationships/hyperlink" Target="https://www.facebook.com/iuanhnhatdooooo?mibextid=ZbWKwL" TargetMode="External"/><Relationship Id="rId9247" Type="http://schemas.openxmlformats.org/officeDocument/2006/relationships/hyperlink" Target="https://www.facebook.com/phmquang4?mibextid=LQQJ4d" TargetMode="External"/><Relationship Id="rId953" Type="http://schemas.openxmlformats.org/officeDocument/2006/relationships/hyperlink" Target="https://www.facebook.com/profile.php?id=100015057487165" TargetMode="External"/><Relationship Id="rId1236" Type="http://schemas.openxmlformats.org/officeDocument/2006/relationships/hyperlink" Target="https://www.facebook.com/profile.php?id=100036076632805" TargetMode="External"/><Relationship Id="rId2634" Type="http://schemas.openxmlformats.org/officeDocument/2006/relationships/hyperlink" Target="https://www.facebook.com/profile.php?id=100070201186377&amp;mibextid=LQQJ4d" TargetMode="External"/><Relationship Id="rId8263" Type="http://schemas.openxmlformats.org/officeDocument/2006/relationships/hyperlink" Target="https://www.facebook.com/profile.php?id=100085101737376" TargetMode="External"/><Relationship Id="rId606" Type="http://schemas.openxmlformats.org/officeDocument/2006/relationships/hyperlink" Target="https://www.facebook.com/profile.php?id=100062193541619&amp;mibextid=LQQJ4d" TargetMode="External"/><Relationship Id="rId1650" Type="http://schemas.openxmlformats.org/officeDocument/2006/relationships/hyperlink" Target="https://www.facebook.com/profile.php?id=100018149588896&amp;mibextid=LQQJ4d" TargetMode="External"/><Relationship Id="rId2701" Type="http://schemas.openxmlformats.org/officeDocument/2006/relationships/hyperlink" Target="https://www.facebook.com/profile.php?id=100017987207049" TargetMode="External"/><Relationship Id="rId5857" Type="http://schemas.openxmlformats.org/officeDocument/2006/relationships/hyperlink" Target="https://www.facebook.com/duong.tranhoanganh.33?mibextid=LQQJ4d" TargetMode="External"/><Relationship Id="rId6908" Type="http://schemas.openxmlformats.org/officeDocument/2006/relationships/hyperlink" Target="https://www.facebook.com/profile.php?id=100074089723189&amp;mibextid=LQQJ4d" TargetMode="External"/><Relationship Id="rId9314" Type="http://schemas.openxmlformats.org/officeDocument/2006/relationships/hyperlink" Target="https://www.facebook.com/share/18rzdE2zHd/" TargetMode="External"/><Relationship Id="rId1303" Type="http://schemas.openxmlformats.org/officeDocument/2006/relationships/hyperlink" Target="https://www.facebook.com/profile.php?id=100050204959654" TargetMode="External"/><Relationship Id="rId4459" Type="http://schemas.openxmlformats.org/officeDocument/2006/relationships/hyperlink" Target="https://www.facebook.com/d.hien.798/about" TargetMode="External"/><Relationship Id="rId4873" Type="http://schemas.openxmlformats.org/officeDocument/2006/relationships/hyperlink" Target="https://www.facebook.com/profile.php?id=100027478186045&amp;mibextid=ZbWKwL" TargetMode="External"/><Relationship Id="rId5924" Type="http://schemas.openxmlformats.org/officeDocument/2006/relationships/hyperlink" Target="https://www.facebook.com/susu.pham.94402343?mibextid=LQQJ4d" TargetMode="External"/><Relationship Id="rId8330" Type="http://schemas.openxmlformats.org/officeDocument/2006/relationships/hyperlink" Target="https://drive.google.com/open?id=1DS8A8lFDA3EHCwlTrtPw-7Skg_O2OHpf" TargetMode="External"/><Relationship Id="rId3475" Type="http://schemas.openxmlformats.org/officeDocument/2006/relationships/hyperlink" Target="https://www.facebook.com/profile.php?id=100008900434957" TargetMode="External"/><Relationship Id="rId4526" Type="http://schemas.openxmlformats.org/officeDocument/2006/relationships/hyperlink" Target="https://www.facebook.com/profile.php?id=100047180812864&amp;mibextid=ZbWKwL" TargetMode="External"/><Relationship Id="rId4940" Type="http://schemas.openxmlformats.org/officeDocument/2006/relationships/hyperlink" Target="https://www.facebook.com/profile.php?id=100046565180114&amp;rdid=BfyvBaSzIgtvVZqj&amp;share_url=https%3A%2F%2Fwww.facebook.com%2Fshare%2FiAvDicD1teCeE1gW%2F" TargetMode="External"/><Relationship Id="rId396" Type="http://schemas.openxmlformats.org/officeDocument/2006/relationships/hyperlink" Target="https://drive.google.com/open?id=10CZhQEWWxEAHDJBL2I5wzZ9PC9C4OFPX" TargetMode="External"/><Relationship Id="rId2077" Type="http://schemas.openxmlformats.org/officeDocument/2006/relationships/hyperlink" Target="https://drive.google.com/open?id=1QqQC8TenqDItX8JBOdacy7Emf7rz4dm6" TargetMode="External"/><Relationship Id="rId2491" Type="http://schemas.openxmlformats.org/officeDocument/2006/relationships/hyperlink" Target="https://drive.google.com/open?id=1DJ3AQ7s98FTue7LFYdvYyPeuTovs9xcq" TargetMode="External"/><Relationship Id="rId3128" Type="http://schemas.openxmlformats.org/officeDocument/2006/relationships/hyperlink" Target="https://www.facebook.com/100011697546738/" TargetMode="External"/><Relationship Id="rId3542" Type="http://schemas.openxmlformats.org/officeDocument/2006/relationships/hyperlink" Target="https://www.facebook.com/profile.php?id=100042072127874&amp;mibextid=hu50Ix" TargetMode="External"/><Relationship Id="rId6698" Type="http://schemas.openxmlformats.org/officeDocument/2006/relationships/hyperlink" Target="https://www.facebook.com/profile.php?id=100041252289902&amp;mibextid=LQQJ4d" TargetMode="External"/><Relationship Id="rId7749" Type="http://schemas.openxmlformats.org/officeDocument/2006/relationships/hyperlink" Target="https://www.facebook.com/thphuongs?mibextid=LQQJ4d" TargetMode="External"/><Relationship Id="rId463" Type="http://schemas.openxmlformats.org/officeDocument/2006/relationships/hyperlink" Target="https://drive.google.com/open?id=1VL8Lkbdueh12qRnqx7deTYoLWDYoPND2" TargetMode="External"/><Relationship Id="rId1093" Type="http://schemas.openxmlformats.org/officeDocument/2006/relationships/hyperlink" Target="https://www.facebook.com/tuandang2805?mibextid=LQQJ4d" TargetMode="External"/><Relationship Id="rId2144" Type="http://schemas.openxmlformats.org/officeDocument/2006/relationships/hyperlink" Target="https://www.facebook.com/profile.php?id=100036033547878" TargetMode="External"/><Relationship Id="rId9171" Type="http://schemas.openxmlformats.org/officeDocument/2006/relationships/hyperlink" Target="https://www.facebook.com/share/192GYzCEe5/?mibextid=wwXIfr" TargetMode="External"/><Relationship Id="rId116" Type="http://schemas.openxmlformats.org/officeDocument/2006/relationships/hyperlink" Target="https://www.facebook.com/profile.php?id=100046725370233" TargetMode="External"/><Relationship Id="rId530" Type="http://schemas.openxmlformats.org/officeDocument/2006/relationships/hyperlink" Target="https://m.facebook.com/profile.php?id=100065133608424&amp;_rdc=1&amp;_rdr&amp;paipv=0&amp;eav=AfYNyXkcX6BeO0xO8pCXEKs-D7roG4yDQ4ZY34SQttP0Sk7aDB9jsyxex5GgvmTOWeo" TargetMode="External"/><Relationship Id="rId1160" Type="http://schemas.openxmlformats.org/officeDocument/2006/relationships/hyperlink" Target="https://www.facebook.com/profile.php?id=100024905732733&amp;mibextid=ZbWKwL" TargetMode="External"/><Relationship Id="rId2211" Type="http://schemas.openxmlformats.org/officeDocument/2006/relationships/hyperlink" Target="https://www.facebook.com/profile.php?id=100050241463752&amp;mibextid=LQQJ4d" TargetMode="External"/><Relationship Id="rId5367" Type="http://schemas.openxmlformats.org/officeDocument/2006/relationships/hyperlink" Target="https://www.facebook.com/profile.php?id=100075708604086&amp;mibextid=ZbWKwL" TargetMode="External"/><Relationship Id="rId6765" Type="http://schemas.openxmlformats.org/officeDocument/2006/relationships/hyperlink" Target="https://www.facebook.com/buithuyhienltpt?mibextid=ZbWKwL" TargetMode="External"/><Relationship Id="rId7816" Type="http://schemas.openxmlformats.org/officeDocument/2006/relationships/hyperlink" Target="https://www.facebook.com/Vit.uz.2611?mibextid=ZbWKwL" TargetMode="External"/><Relationship Id="rId5781" Type="http://schemas.openxmlformats.org/officeDocument/2006/relationships/hyperlink" Target="https://www.facebook.com/profile.php?id=100058350620910" TargetMode="External"/><Relationship Id="rId6418" Type="http://schemas.openxmlformats.org/officeDocument/2006/relationships/hyperlink" Target="https://drive.google.com/open?id=1JIBq7-lQZo1NLWguYp-7bgtRc-nuEzyk" TargetMode="External"/><Relationship Id="rId6832" Type="http://schemas.openxmlformats.org/officeDocument/2006/relationships/hyperlink" Target="https://www.facebook.com/profile.php?id=100046289793298" TargetMode="External"/><Relationship Id="rId1977" Type="http://schemas.openxmlformats.org/officeDocument/2006/relationships/hyperlink" Target="https://www.facebook.com/profile.php?id=100017257006542" TargetMode="External"/><Relationship Id="rId4383" Type="http://schemas.openxmlformats.org/officeDocument/2006/relationships/hyperlink" Target="https://www.facebook.com/phu.nguyenmanh.370515?mibextid=LQQJ4d" TargetMode="External"/><Relationship Id="rId5434" Type="http://schemas.openxmlformats.org/officeDocument/2006/relationships/hyperlink" Target="https://www.facebook.com/profile.php?id=100053662267933" TargetMode="External"/><Relationship Id="rId4036" Type="http://schemas.openxmlformats.org/officeDocument/2006/relationships/hyperlink" Target="https://drive.google.com/open?id=1rVrmbw53dw9XZXmMNlqwQFJybDgvvSbh" TargetMode="External"/><Relationship Id="rId4450" Type="http://schemas.openxmlformats.org/officeDocument/2006/relationships/hyperlink" Target="https://drive.google.com/open?id=1iGaiPHeO9U7FnYMHvJRyrKvuJepzr4tP" TargetMode="External"/><Relationship Id="rId5501" Type="http://schemas.openxmlformats.org/officeDocument/2006/relationships/hyperlink" Target="https://www.facebook.com/profile.php?id=100041898588152&amp;mibextid=ZbWKwL" TargetMode="External"/><Relationship Id="rId8657" Type="http://schemas.openxmlformats.org/officeDocument/2006/relationships/hyperlink" Target="https://www.facebook.com/thanhthao081105?locale=vi_VNhttps://www.facebook.com/thanhthao081105?locale=vi_VN" TargetMode="External"/><Relationship Id="rId3052" Type="http://schemas.openxmlformats.org/officeDocument/2006/relationships/hyperlink" Target="https://drive.google.com/open?id=1xIamG0Y2KhCPc_q9Dl8yUNdS7TXvaH1Q" TargetMode="External"/><Relationship Id="rId4103" Type="http://schemas.openxmlformats.org/officeDocument/2006/relationships/hyperlink" Target="https://www.facebook.com/profile.php?id=100065353545032&amp;mibextid=LQQJ4d" TargetMode="External"/><Relationship Id="rId7259" Type="http://schemas.openxmlformats.org/officeDocument/2006/relationships/hyperlink" Target="https://www.facebook.com/100041937482319/" TargetMode="External"/><Relationship Id="rId7673" Type="http://schemas.openxmlformats.org/officeDocument/2006/relationships/hyperlink" Target="https://www.facebook.com/profile.php?id=100069904971500&amp;mibextid=LQQJ4d" TargetMode="External"/><Relationship Id="rId8724" Type="http://schemas.openxmlformats.org/officeDocument/2006/relationships/hyperlink" Target="https://www.facebook.com/profile.php?id=100073123105918" TargetMode="External"/><Relationship Id="rId6275" Type="http://schemas.openxmlformats.org/officeDocument/2006/relationships/hyperlink" Target="https://www.facebook.com/tommydangonbai?mibextid=ZbWKwL" TargetMode="External"/><Relationship Id="rId7326" Type="http://schemas.openxmlformats.org/officeDocument/2006/relationships/hyperlink" Target="https://www.facebook.com/nvlinhbry2811" TargetMode="External"/><Relationship Id="rId3869" Type="http://schemas.openxmlformats.org/officeDocument/2006/relationships/hyperlink" Target="https://drive.google.com/open?id=1IuV2UJRnzxsOzCwDjJEc5xbIvkBCjqMD" TargetMode="External"/><Relationship Id="rId5291" Type="http://schemas.openxmlformats.org/officeDocument/2006/relationships/hyperlink" Target="https://drive.google.com/open?id=1dfPvjK6YtkLY0dvcZhBex-QVzywQqzbN" TargetMode="External"/><Relationship Id="rId6342" Type="http://schemas.openxmlformats.org/officeDocument/2006/relationships/hyperlink" Target="https://www.facebook.com/ngphanh2106?mibextid=LQQJ4d" TargetMode="External"/><Relationship Id="rId7740" Type="http://schemas.openxmlformats.org/officeDocument/2006/relationships/hyperlink" Target="https://drive.google.com/open?id=1BLd5l3Q9WT3F2YuBIvdXbA4tLfxOGjWW" TargetMode="External"/><Relationship Id="rId9498" Type="http://schemas.openxmlformats.org/officeDocument/2006/relationships/hyperlink" Target="https://www.facebook.com/share/1H2LtJTZ7M/?mibextid=LQQJ4d" TargetMode="External"/><Relationship Id="rId2885" Type="http://schemas.openxmlformats.org/officeDocument/2006/relationships/hyperlink" Target="https://www.facebook.com/profile.php?id=100063633332946&amp;mibextid=ZbWKwL" TargetMode="External"/><Relationship Id="rId3936" Type="http://schemas.openxmlformats.org/officeDocument/2006/relationships/hyperlink" Target="https://drive.google.com/open?id=1OIkdBlkVcZAsYN_kNqnBtgyaQvB2MI-9" TargetMode="External"/><Relationship Id="rId857" Type="http://schemas.openxmlformats.org/officeDocument/2006/relationships/hyperlink" Target="https://www.facebook.com/profile.php?id=61551204096510&amp;mibextid=LQQJ4d" TargetMode="External"/><Relationship Id="rId1487" Type="http://schemas.openxmlformats.org/officeDocument/2006/relationships/hyperlink" Target="https://www.facebook.com/100075908071003/" TargetMode="External"/><Relationship Id="rId2538" Type="http://schemas.openxmlformats.org/officeDocument/2006/relationships/hyperlink" Target="https://www.facebook.com/profile.php?id=100022859798710&amp;mibextid=opq0tG" TargetMode="External"/><Relationship Id="rId2952" Type="http://schemas.openxmlformats.org/officeDocument/2006/relationships/hyperlink" Target="https://www.facebook.com/profile.php?id=100090338867100&amp;mibextid=LQQJ4d" TargetMode="External"/><Relationship Id="rId9565" Type="http://schemas.openxmlformats.org/officeDocument/2006/relationships/hyperlink" Target="https://www.facebook.com/share/15zzHJi1NM/?mibextid=wwXIfr" TargetMode="External"/><Relationship Id="rId924" Type="http://schemas.openxmlformats.org/officeDocument/2006/relationships/hyperlink" Target="https://drive.google.com/open?id=1JgoR1ylY2bh-Mu2sv5MgFPJJSiweYVss" TargetMode="External"/><Relationship Id="rId1554" Type="http://schemas.openxmlformats.org/officeDocument/2006/relationships/hyperlink" Target="https://www.facebook.com/cuong.truongngoc.144?mibextid=LQQJ4d" TargetMode="External"/><Relationship Id="rId2605" Type="http://schemas.openxmlformats.org/officeDocument/2006/relationships/hyperlink" Target="https://www.facebook.com/thanhong101?mibextid=LQQJ4d" TargetMode="External"/><Relationship Id="rId5011" Type="http://schemas.openxmlformats.org/officeDocument/2006/relationships/hyperlink" Target="https://www.facebook.com/profile.php?id=100053795720330&amp;mibextid=LQQJ4d" TargetMode="External"/><Relationship Id="rId8167" Type="http://schemas.openxmlformats.org/officeDocument/2006/relationships/hyperlink" Target="https://www.facebook.com/share/15eVoGGhFg/?mibextid=LQQJ4d" TargetMode="External"/><Relationship Id="rId8581" Type="http://schemas.openxmlformats.org/officeDocument/2006/relationships/hyperlink" Target="https://www.facebook.com/people/Th%C3%A0nh-%C4%90inh/pfbid0Td6w3CDcR4NJdpEtGBnN3GgboUa63uQ1L4zPAAm7Ms3mMwXkVrHLgKRbMPuBozrpl/" TargetMode="External"/><Relationship Id="rId9218" Type="http://schemas.openxmlformats.org/officeDocument/2006/relationships/hyperlink" Target="https://www.facebook.com/share/19HhTBqX27/?mibextid=wwXIfr" TargetMode="External"/><Relationship Id="rId1207" Type="http://schemas.openxmlformats.org/officeDocument/2006/relationships/hyperlink" Target="https://drive.google.com/open?id=1VboYlWPo_qi28RwPNN_u_mDHxdOn3Z_A" TargetMode="External"/><Relationship Id="rId1621" Type="http://schemas.openxmlformats.org/officeDocument/2006/relationships/hyperlink" Target="https://www.facebook.com/Oong.chamchi?mibextid=LQQJ4d" TargetMode="External"/><Relationship Id="rId4777" Type="http://schemas.openxmlformats.org/officeDocument/2006/relationships/hyperlink" Target="https://www.facebook.com/profile.php?id=100022279866938&amp;mibextid=9R9pXO" TargetMode="External"/><Relationship Id="rId5828" Type="http://schemas.openxmlformats.org/officeDocument/2006/relationships/hyperlink" Target="https://www.facebook.com/profile.php?id=100034721226509" TargetMode="External"/><Relationship Id="rId7183" Type="http://schemas.openxmlformats.org/officeDocument/2006/relationships/hyperlink" Target="https://drive.google.com/open?id=1-1iuiOK0ay7W3TTyFKOfaAZ0mLXytCuk" TargetMode="External"/><Relationship Id="rId8234" Type="http://schemas.openxmlformats.org/officeDocument/2006/relationships/hyperlink" Target="https://drive.google.com/open?id=1mJuveLCJjfs0MKdwjTUV7spxLIbfeM5d" TargetMode="External"/><Relationship Id="rId3379" Type="http://schemas.openxmlformats.org/officeDocument/2006/relationships/hyperlink" Target="https://www.facebook.com/profile.php?id=100031617202989&amp;mibextid=JRoKGi" TargetMode="External"/><Relationship Id="rId3793" Type="http://schemas.openxmlformats.org/officeDocument/2006/relationships/hyperlink" Target="https://www.facebook.com/profile.php?id=100080364080727&amp;mibextid=LQQJ4d" TargetMode="External"/><Relationship Id="rId7250" Type="http://schemas.openxmlformats.org/officeDocument/2006/relationships/hyperlink" Target="https://drive.google.com/open?id=1vRTEh-mViyQ_2JOSpG2DTa3mK2zgD6WH" TargetMode="External"/><Relationship Id="rId8301" Type="http://schemas.openxmlformats.org/officeDocument/2006/relationships/hyperlink" Target="https://www.facebook.com/ThTPZ" TargetMode="External"/><Relationship Id="rId2395" Type="http://schemas.openxmlformats.org/officeDocument/2006/relationships/hyperlink" Target="https://www.facebook.com/profile.php?id=100017119905197" TargetMode="External"/><Relationship Id="rId3446" Type="http://schemas.openxmlformats.org/officeDocument/2006/relationships/hyperlink" Target="https://www.facebook.com/pham.kay.750" TargetMode="External"/><Relationship Id="rId4844" Type="http://schemas.openxmlformats.org/officeDocument/2006/relationships/hyperlink" Target="https://www.facebook.com/Ngocc.Tran1886?mibextid=JRoKGi" TargetMode="External"/><Relationship Id="rId367" Type="http://schemas.openxmlformats.org/officeDocument/2006/relationships/hyperlink" Target="https://www.facebook.com/ngocphuong.to.566?mibextid=LQQJ4d" TargetMode="External"/><Relationship Id="rId2048" Type="http://schemas.openxmlformats.org/officeDocument/2006/relationships/hyperlink" Target="https://www.facebook.com/profile.php?id=100072343125393&amp;mibextid=LQQJ4d" TargetMode="External"/><Relationship Id="rId3860" Type="http://schemas.openxmlformats.org/officeDocument/2006/relationships/hyperlink" Target="https://www.facebook.com/profile.php?id=100090443478263&amp;mibextid=ZbWKwL" TargetMode="External"/><Relationship Id="rId4911" Type="http://schemas.openxmlformats.org/officeDocument/2006/relationships/hyperlink" Target="https://www.facebook.com/profile.php?id=100082951675558&amp;mibextid=LQQJ4d" TargetMode="External"/><Relationship Id="rId9075" Type="http://schemas.openxmlformats.org/officeDocument/2006/relationships/hyperlink" Target="https://www.facebook.com/profile.php?id=100024812469201" TargetMode="External"/><Relationship Id="rId781" Type="http://schemas.openxmlformats.org/officeDocument/2006/relationships/hyperlink" Target="https://drive.google.com/open?id=1saRS4TBUNNwIlYjF4kIJhZ5w0aQZc7kY" TargetMode="External"/><Relationship Id="rId2462" Type="http://schemas.openxmlformats.org/officeDocument/2006/relationships/hyperlink" Target="https://www.facebook.com/profile.php?id=100013974739686&amp;mibextid=REkXMA" TargetMode="External"/><Relationship Id="rId3513" Type="http://schemas.openxmlformats.org/officeDocument/2006/relationships/hyperlink" Target="https://www.facebook.com/profile.php?id=100055356698195" TargetMode="External"/><Relationship Id="rId6669" Type="http://schemas.openxmlformats.org/officeDocument/2006/relationships/hyperlink" Target="https://www.facebook.com/profile.php?id=100090758208693" TargetMode="External"/><Relationship Id="rId8091" Type="http://schemas.openxmlformats.org/officeDocument/2006/relationships/hyperlink" Target="https://www.facebook.com/profile.php?id=100082951675558&amp;mibextid=LQQJ4d" TargetMode="External"/><Relationship Id="rId434" Type="http://schemas.openxmlformats.org/officeDocument/2006/relationships/hyperlink" Target="https://drive.google.com/open?id=1bwDLFDc7osz_ynWeJulGNZ9UpxLd_1qQ" TargetMode="External"/><Relationship Id="rId1064" Type="http://schemas.openxmlformats.org/officeDocument/2006/relationships/hyperlink" Target="https://www.facebook.com/profile.php?id=100014980789004" TargetMode="External"/><Relationship Id="rId2115" Type="http://schemas.openxmlformats.org/officeDocument/2006/relationships/hyperlink" Target="https://drive.google.com/open?id=1hXXIUHdcxrgoRmTSmPOXl7gwiQFsUFFF" TargetMode="External"/><Relationship Id="rId5685" Type="http://schemas.openxmlformats.org/officeDocument/2006/relationships/hyperlink" Target="https://www.facebook.com/profile.php?id=100088205870410&amp;mibextid=LQQJ4d" TargetMode="External"/><Relationship Id="rId6736" Type="http://schemas.openxmlformats.org/officeDocument/2006/relationships/hyperlink" Target="https://www.facebook.com/profile.php?id=100070115306002" TargetMode="External"/><Relationship Id="rId9142" Type="http://schemas.openxmlformats.org/officeDocument/2006/relationships/hyperlink" Target="https://drive.google.com/open?id=1X0HQwYp2Z8JfO3UGJyGTR0c4_Oh1a-mx" TargetMode="External"/><Relationship Id="rId501" Type="http://schemas.openxmlformats.org/officeDocument/2006/relationships/hyperlink" Target="https://www.facebook.com/profile.php?id=100038271764383" TargetMode="External"/><Relationship Id="rId1131" Type="http://schemas.openxmlformats.org/officeDocument/2006/relationships/hyperlink" Target="https://www.facebook.com/dangchauanh2207?mibextid=2JQ9oc" TargetMode="External"/><Relationship Id="rId4287" Type="http://schemas.openxmlformats.org/officeDocument/2006/relationships/hyperlink" Target="https://www.facebook.com/selina.nguyen.2507" TargetMode="External"/><Relationship Id="rId5338" Type="http://schemas.openxmlformats.org/officeDocument/2006/relationships/hyperlink" Target="https://drive.google.com/open?id=1sHJZpDLDXLer54s6DoR5-HY3YE8Z57IP" TargetMode="External"/><Relationship Id="rId5752" Type="http://schemas.openxmlformats.org/officeDocument/2006/relationships/hyperlink" Target="https://www.facebook.com/profile.php?id=100032692518486&amp;mibextid=LQQJ4d" TargetMode="External"/><Relationship Id="rId6803" Type="http://schemas.openxmlformats.org/officeDocument/2006/relationships/hyperlink" Target="https://www.facebook.com/profile.php?id=100053965261033&amp;mibextid=ZbWKwL" TargetMode="External"/><Relationship Id="rId4354" Type="http://schemas.openxmlformats.org/officeDocument/2006/relationships/hyperlink" Target="https://www.facebook.com/profile.php?id=100013439325840" TargetMode="External"/><Relationship Id="rId5405" Type="http://schemas.openxmlformats.org/officeDocument/2006/relationships/hyperlink" Target="https://www.facebook.com/profile.php?id=100050653210630&amp;mibextid=LQQJ4d" TargetMode="External"/><Relationship Id="rId1948" Type="http://schemas.openxmlformats.org/officeDocument/2006/relationships/hyperlink" Target="https://www.facebook.com/qu.chi.524?mibextid=LQQJ4d" TargetMode="External"/><Relationship Id="rId3370" Type="http://schemas.openxmlformats.org/officeDocument/2006/relationships/hyperlink" Target="https://drive.google.com/open?id=1tqbVMG9avdVJXHvCeeOOioQQI7QzqniR" TargetMode="External"/><Relationship Id="rId4007" Type="http://schemas.openxmlformats.org/officeDocument/2006/relationships/hyperlink" Target="https://www.facebook.com/profile.php?id=100079971592980" TargetMode="External"/><Relationship Id="rId4421" Type="http://schemas.openxmlformats.org/officeDocument/2006/relationships/hyperlink" Target="https://www.facebook.com/dungdepchaiquadiiii?mibextid=LQQJ4d" TargetMode="External"/><Relationship Id="rId7577" Type="http://schemas.openxmlformats.org/officeDocument/2006/relationships/hyperlink" Target="https://www.facebook.com/100070306538256/" TargetMode="External"/><Relationship Id="rId8975" Type="http://schemas.openxmlformats.org/officeDocument/2006/relationships/hyperlink" Target="https://www.facebook.com/people/Nguy%E1%BB%85n-Mai-Thy/pfbid02z67LbnfCLRgXcDyQwwR3z4j6BvAgkKKmirbXAh5tzqWNuRjbsudabg1ycVRz1VVbl/" TargetMode="External"/><Relationship Id="rId291" Type="http://schemas.openxmlformats.org/officeDocument/2006/relationships/hyperlink" Target="https://www.facebook.com/profile.php?id=100040366462083&amp;mibextid=ZbWKwL" TargetMode="External"/><Relationship Id="rId3023" Type="http://schemas.openxmlformats.org/officeDocument/2006/relationships/hyperlink" Target="https://www.facebook.com/profile.php?id=100051755737603" TargetMode="External"/><Relationship Id="rId6179" Type="http://schemas.openxmlformats.org/officeDocument/2006/relationships/hyperlink" Target="https://www.facebook.com/profile.php?id=100070906030423&amp;mibextid=ZbWKwL" TargetMode="External"/><Relationship Id="rId7991" Type="http://schemas.openxmlformats.org/officeDocument/2006/relationships/hyperlink" Target="https://drive.google.com/open?id=11i3QqJWjZGmE78OEE1-fyXhe2nC0XBUk" TargetMode="External"/><Relationship Id="rId8628" Type="http://schemas.openxmlformats.org/officeDocument/2006/relationships/hyperlink" Target="https://www.facebook.com/ngaa295" TargetMode="External"/><Relationship Id="rId5195" Type="http://schemas.openxmlformats.org/officeDocument/2006/relationships/hyperlink" Target="https://www.facebook.com/cherry.nhu.581" TargetMode="External"/><Relationship Id="rId6593" Type="http://schemas.openxmlformats.org/officeDocument/2006/relationships/hyperlink" Target="https://drive.google.com/open?id=1rPPFvSJUvksi5jv2G4brZ5A5m17JPRz5" TargetMode="External"/><Relationship Id="rId7644" Type="http://schemas.openxmlformats.org/officeDocument/2006/relationships/hyperlink" Target="https://www.facebook.com/profile.php?id=100079076088573" TargetMode="External"/><Relationship Id="rId2789" Type="http://schemas.openxmlformats.org/officeDocument/2006/relationships/hyperlink" Target="https://drive.google.com/open?id=1-v9vIbtAVss4Gmhd0cyUr5cNDAs2sJMi" TargetMode="External"/><Relationship Id="rId6246" Type="http://schemas.openxmlformats.org/officeDocument/2006/relationships/hyperlink" Target="https://www.facebook.com/profile.php?id=100050474742336&amp;mibextid=LQQJ4d" TargetMode="External"/><Relationship Id="rId6660" Type="http://schemas.openxmlformats.org/officeDocument/2006/relationships/hyperlink" Target="https://www.facebook.com/profile.php?id=100092636036861" TargetMode="External"/><Relationship Id="rId7711" Type="http://schemas.openxmlformats.org/officeDocument/2006/relationships/hyperlink" Target="https://www.facebook.com/share/1JaMEjbhVd/?mibextid=LQQJ4d" TargetMode="External"/><Relationship Id="rId2856" Type="http://schemas.openxmlformats.org/officeDocument/2006/relationships/hyperlink" Target="https://www.facebook.com/yns.nieexinchao?mibextid=LQQJ4d" TargetMode="External"/><Relationship Id="rId3907" Type="http://schemas.openxmlformats.org/officeDocument/2006/relationships/hyperlink" Target="https://www.facebook.com/quynhanh.phamthi.16752?mibextid=LQQJ4d" TargetMode="External"/><Relationship Id="rId5262" Type="http://schemas.openxmlformats.org/officeDocument/2006/relationships/hyperlink" Target="https://www.facebook.com/profile.php?id=61565543312217&amp;mibextid=ZbWKwL" TargetMode="External"/><Relationship Id="rId6313" Type="http://schemas.openxmlformats.org/officeDocument/2006/relationships/hyperlink" Target="https://www.facebook.com/profile.php?id=100065727186199&amp;mibextid=ZbWKwL" TargetMode="External"/><Relationship Id="rId9469" Type="http://schemas.openxmlformats.org/officeDocument/2006/relationships/hyperlink" Target="https://drive.google.com/open?id=1W0j-KOM8HsFKWe3Djh3yPt1N4VxCUC0s" TargetMode="External"/><Relationship Id="rId97" Type="http://schemas.openxmlformats.org/officeDocument/2006/relationships/hyperlink" Target="https://drive.google.com/open?id=1v6epRc69sseQBcsLDRAf-B2zZK7xxZCn" TargetMode="External"/><Relationship Id="rId828" Type="http://schemas.openxmlformats.org/officeDocument/2006/relationships/hyperlink" Target="https://drive.google.com/open?id=1s_dzUtrCsfju2WqsgleLrRYCGnjRvFTW" TargetMode="External"/><Relationship Id="rId1458" Type="http://schemas.openxmlformats.org/officeDocument/2006/relationships/hyperlink" Target="https://drive.google.com/open?id=1zRPgGz4RsWKZQXfa4M8n7jDrvoaL_Q3l" TargetMode="External"/><Relationship Id="rId1872" Type="http://schemas.openxmlformats.org/officeDocument/2006/relationships/hyperlink" Target="https://www.facebook.com/profile.php?id=100019467037415" TargetMode="External"/><Relationship Id="rId2509" Type="http://schemas.openxmlformats.org/officeDocument/2006/relationships/hyperlink" Target="https://www.facebook.com/long.teo.549?mibextid=LQQJ4d" TargetMode="External"/><Relationship Id="rId8485" Type="http://schemas.openxmlformats.org/officeDocument/2006/relationships/hyperlink" Target="https://www.facebook.com/kthuwwwne?mibextid=LQQJ4d" TargetMode="External"/><Relationship Id="rId9536" Type="http://schemas.openxmlformats.org/officeDocument/2006/relationships/hyperlink" Target="https://www.facebook.com/share/1QzmHUY45C/?mibextid=wwXIfr" TargetMode="External"/><Relationship Id="rId1525" Type="http://schemas.openxmlformats.org/officeDocument/2006/relationships/hyperlink" Target="https://drive.google.com/open?id=1oTCxghLCJBa0v1pqA95bxOU4w7HdUl3n" TargetMode="External"/><Relationship Id="rId2923" Type="http://schemas.openxmlformats.org/officeDocument/2006/relationships/hyperlink" Target="https://www.facebook.com/profile.php?id=100054959320588&amp;mibextid=ZbWKwL" TargetMode="External"/><Relationship Id="rId7087" Type="http://schemas.openxmlformats.org/officeDocument/2006/relationships/hyperlink" Target="https://www.facebook.com/nhu.hexi.1253?mibextid=JRoKGi" TargetMode="External"/><Relationship Id="rId8138" Type="http://schemas.openxmlformats.org/officeDocument/2006/relationships/hyperlink" Target="https://www.facebook.com/huz.huzq.06?mibextid=LQQJ4d" TargetMode="External"/><Relationship Id="rId8552" Type="http://schemas.openxmlformats.org/officeDocument/2006/relationships/hyperlink" Target="https://www.facebook.com/profile.php?id=100016000028877&amp;mibextid=LQQJ4d" TargetMode="External"/><Relationship Id="rId7154" Type="http://schemas.openxmlformats.org/officeDocument/2006/relationships/hyperlink" Target="https://www.facebook.com/profile.php?id=100089277305103&amp;rdid=9kwIrcDO4AbosQop&amp;share_url=https%3A%2F%2Fwww.facebook.com%2Fshare%2F14xcfGDSTW%2F" TargetMode="External"/><Relationship Id="rId8205" Type="http://schemas.openxmlformats.org/officeDocument/2006/relationships/hyperlink" Target="https://drive.google.com/open?id=1RfDwHe5AectE-5rTvo6CzVUoAUXPyN_y" TargetMode="External"/><Relationship Id="rId2299" Type="http://schemas.openxmlformats.org/officeDocument/2006/relationships/hyperlink" Target="https://www.facebook.com/dieuchi.0308" TargetMode="External"/><Relationship Id="rId3697" Type="http://schemas.openxmlformats.org/officeDocument/2006/relationships/hyperlink" Target="https://www.facebook.com/profile.php?id=100048349662044&amp;mibextid=LQQJ4d" TargetMode="External"/><Relationship Id="rId4748" Type="http://schemas.openxmlformats.org/officeDocument/2006/relationships/hyperlink" Target="https://drive.google.com/open?id=1r9iCzjvONqQbCMxUw9v8oCBFcXIFQJst" TargetMode="External"/><Relationship Id="rId3764" Type="http://schemas.openxmlformats.org/officeDocument/2006/relationships/hyperlink" Target="https://www.facebook.com/Hieuanh060817" TargetMode="External"/><Relationship Id="rId4815" Type="http://schemas.openxmlformats.org/officeDocument/2006/relationships/hyperlink" Target="https://drive.google.com/open?id=12nzyur590kvpI3bYzySxFHQwcIzMlZ_U" TargetMode="External"/><Relationship Id="rId6170" Type="http://schemas.openxmlformats.org/officeDocument/2006/relationships/hyperlink" Target="https://drive.google.com/open?id=1rEQCrldj-SNpj5-tJSerf_2b-U8FpwYm" TargetMode="External"/><Relationship Id="rId7221" Type="http://schemas.openxmlformats.org/officeDocument/2006/relationships/hyperlink" Target="https://drive.google.com/open?id=1sOs6Q4bZ5EOIecsqvmack6uqqLXSruL_" TargetMode="External"/><Relationship Id="rId685" Type="http://schemas.openxmlformats.org/officeDocument/2006/relationships/hyperlink" Target="https://www.facebook.com/profile.php?id=100067374817245&amp;mibextid=LQQJ4d" TargetMode="External"/><Relationship Id="rId2366" Type="http://schemas.openxmlformats.org/officeDocument/2006/relationships/hyperlink" Target="https://drive.google.com/open?id=1Ev5YOXwu2-lRbTbDRMkMpjCpdPnw_ihP" TargetMode="External"/><Relationship Id="rId2780" Type="http://schemas.openxmlformats.org/officeDocument/2006/relationships/hyperlink" Target="https://drive.google.com/open?id=11gU9AJ7iOnxUSLR6lFfIK7yGirrzbHEV" TargetMode="External"/><Relationship Id="rId3417" Type="http://schemas.openxmlformats.org/officeDocument/2006/relationships/hyperlink" Target="https://drive.google.com/open?id=15lFms2kh0szp1DyVyfFkzVZeO_barAaA" TargetMode="External"/><Relationship Id="rId3831" Type="http://schemas.openxmlformats.org/officeDocument/2006/relationships/hyperlink" Target="https://www.facebook.com/profile.php?id=100048034382576&amp;mibextid=LQQJ4d" TargetMode="External"/><Relationship Id="rId6987" Type="http://schemas.openxmlformats.org/officeDocument/2006/relationships/hyperlink" Target="https://m.facebook.com/100024727153633/" TargetMode="External"/><Relationship Id="rId9393" Type="http://schemas.openxmlformats.org/officeDocument/2006/relationships/hyperlink" Target="https://www.facebook.com/people/%C4%90%E1%BA%B7ng-Phuong-Ng%E1%BB%8Dc/pfbid02VDQzVgr4E9V7PaV5BvPeCCNHvvN65eoYf86mRJEBR6ZKewBxn76fhV1H2UEVQRy3l/" TargetMode="External"/><Relationship Id="rId338" Type="http://schemas.openxmlformats.org/officeDocument/2006/relationships/hyperlink" Target="https://drive.google.com/open?id=1HBE_JRWasO7CUBYa_SbmjgTQwqr89OKB" TargetMode="External"/><Relationship Id="rId752" Type="http://schemas.openxmlformats.org/officeDocument/2006/relationships/hyperlink" Target="https://www.facebook.com/thuminhdao123?mibextid=D4KYlr" TargetMode="External"/><Relationship Id="rId1382" Type="http://schemas.openxmlformats.org/officeDocument/2006/relationships/hyperlink" Target="https://www.facebook.com/profile.php?id=100072629540110" TargetMode="External"/><Relationship Id="rId2019" Type="http://schemas.openxmlformats.org/officeDocument/2006/relationships/hyperlink" Target="https://www.facebook.com/profile.php?id=100059311505553" TargetMode="External"/><Relationship Id="rId2433" Type="http://schemas.openxmlformats.org/officeDocument/2006/relationships/hyperlink" Target="https://www.facebook.com/profile.php?id=100019467037415" TargetMode="External"/><Relationship Id="rId5589" Type="http://schemas.openxmlformats.org/officeDocument/2006/relationships/hyperlink" Target="https://www.facebook.com/phuonggggggggg2006?mibextid=LQQJ4d" TargetMode="External"/><Relationship Id="rId9046" Type="http://schemas.openxmlformats.org/officeDocument/2006/relationships/hyperlink" Target="https://www.facebook.com/phamthiphuong97" TargetMode="External"/><Relationship Id="rId9460" Type="http://schemas.openxmlformats.org/officeDocument/2006/relationships/hyperlink" Target="https://www.facebook.com/profile.php?id=100079187075809&amp;mibextid=LQQJ4d" TargetMode="External"/><Relationship Id="rId405" Type="http://schemas.openxmlformats.org/officeDocument/2006/relationships/hyperlink" Target="https://www.facebook.com/profile.php?id=100022746849851" TargetMode="External"/><Relationship Id="rId1035" Type="http://schemas.openxmlformats.org/officeDocument/2006/relationships/hyperlink" Target="https://www.facebook.com/diemquynh.3104" TargetMode="External"/><Relationship Id="rId2500" Type="http://schemas.openxmlformats.org/officeDocument/2006/relationships/hyperlink" Target="https://www.facebook.com/nguyenthuhuog2002" TargetMode="External"/><Relationship Id="rId5656" Type="http://schemas.openxmlformats.org/officeDocument/2006/relationships/hyperlink" Target="https://www.facebook.com/doan.mai.anh.2476?mibextid=LQQJ4d" TargetMode="External"/><Relationship Id="rId8062" Type="http://schemas.openxmlformats.org/officeDocument/2006/relationships/hyperlink" Target="https://www.facebook.com/profile.php?id=100026343185072&amp;mibextid=LQQJ4d" TargetMode="External"/><Relationship Id="rId9113" Type="http://schemas.openxmlformats.org/officeDocument/2006/relationships/hyperlink" Target="https://www.facebook.com/share/jLdeDuaS6Yek3tcj/?mibextid=LQQJ4d" TargetMode="External"/><Relationship Id="rId1102" Type="http://schemas.openxmlformats.org/officeDocument/2006/relationships/hyperlink" Target="https://www.facebook.com/profile.php?id=100053111581186&amp;mibextid=haYZDX" TargetMode="External"/><Relationship Id="rId4258" Type="http://schemas.openxmlformats.org/officeDocument/2006/relationships/hyperlink" Target="https://www.facebook.com/profile.php?id=100092486949896" TargetMode="External"/><Relationship Id="rId5309" Type="http://schemas.openxmlformats.org/officeDocument/2006/relationships/hyperlink" Target="https://www.facebook.com/pham.kelvin.733" TargetMode="External"/><Relationship Id="rId6707" Type="http://schemas.openxmlformats.org/officeDocument/2006/relationships/hyperlink" Target="https://www.facebook.com/profile.php?id=100045199383833&amp;mibextid=ZbWKwL" TargetMode="External"/><Relationship Id="rId3274" Type="http://schemas.openxmlformats.org/officeDocument/2006/relationships/hyperlink" Target="https://www.facebook.com/dngh05?mibextid=kFxxJD" TargetMode="External"/><Relationship Id="rId4672" Type="http://schemas.openxmlformats.org/officeDocument/2006/relationships/hyperlink" Target="https://www.facebook.com/sailinh15?mibextid=2JQ9oc" TargetMode="External"/><Relationship Id="rId5723" Type="http://schemas.openxmlformats.org/officeDocument/2006/relationships/hyperlink" Target="https://www.facebook.com/profile.php?id=61562863024763&amp;mibextid=LQQJ4d" TargetMode="External"/><Relationship Id="rId8879" Type="http://schemas.openxmlformats.org/officeDocument/2006/relationships/hyperlink" Target="https://www.facebook.com/profile.php?id=100030475806220" TargetMode="External"/><Relationship Id="rId195" Type="http://schemas.openxmlformats.org/officeDocument/2006/relationships/hyperlink" Target="https://drive.google.com/open?id=1vBzmSvgfhzvvhnXRx-3k8_gTbrwK6nAa" TargetMode="External"/><Relationship Id="rId1919" Type="http://schemas.openxmlformats.org/officeDocument/2006/relationships/hyperlink" Target="https://www.facebook.com/profile.php?id=100069462744726&amp;mibextid=ZbWKwL" TargetMode="External"/><Relationship Id="rId4325" Type="http://schemas.openxmlformats.org/officeDocument/2006/relationships/hyperlink" Target="https://www.facebook.com/profile.php?id=100064288518401" TargetMode="External"/><Relationship Id="rId7895" Type="http://schemas.openxmlformats.org/officeDocument/2006/relationships/hyperlink" Target="https://www.facebook.com/profile.php?id=100066200371040&amp;mibextid=LQQJ4d" TargetMode="External"/><Relationship Id="rId8946" Type="http://schemas.openxmlformats.org/officeDocument/2006/relationships/hyperlink" Target="https://www.facebook.com/anvan5959" TargetMode="External"/><Relationship Id="rId2290" Type="http://schemas.openxmlformats.org/officeDocument/2006/relationships/hyperlink" Target="https://drive.google.com/open?id=1P_kxhhckNn5UmtY_gbckwBeXaPrkHbnR" TargetMode="External"/><Relationship Id="rId3341" Type="http://schemas.openxmlformats.org/officeDocument/2006/relationships/hyperlink" Target="https://www.facebook.com/profile.php?id=100053764063741&amp;mibextid=ZbWKwL" TargetMode="External"/><Relationship Id="rId6497" Type="http://schemas.openxmlformats.org/officeDocument/2006/relationships/hyperlink" Target="https://drive.google.com/open?id=1TT6aFdahWwVgETwb-WwP2ofDx96U2owr" TargetMode="External"/><Relationship Id="rId7548" Type="http://schemas.openxmlformats.org/officeDocument/2006/relationships/hyperlink" Target="https://www.facebook.com/oanhlam06?mibextid=LQQJ4d" TargetMode="External"/><Relationship Id="rId7962" Type="http://schemas.openxmlformats.org/officeDocument/2006/relationships/hyperlink" Target="https://www.facebook.com/profile.php?id=100071648568562&amp;mibextid=LQQJ4d" TargetMode="External"/><Relationship Id="rId262" Type="http://schemas.openxmlformats.org/officeDocument/2006/relationships/hyperlink" Target="https://www.facebook.com/profile.php?id=100045655191727" TargetMode="External"/><Relationship Id="rId5099" Type="http://schemas.openxmlformats.org/officeDocument/2006/relationships/hyperlink" Target="https://drive.google.com/open?id=1bzXjYeB8pnzbjZUxNwsYQJQWDd9usv6S" TargetMode="External"/><Relationship Id="rId6564" Type="http://schemas.openxmlformats.org/officeDocument/2006/relationships/hyperlink" Target="https://www.facebook.com/profile.php?id=100075152136568&amp;mibextid=LQQJ4d" TargetMode="External"/><Relationship Id="rId7615" Type="http://schemas.openxmlformats.org/officeDocument/2006/relationships/hyperlink" Target="https://www.facebook.com/profile.php?id=100062137960120&amp;mibextid=LQQJ4d" TargetMode="External"/><Relationship Id="rId2010" Type="http://schemas.openxmlformats.org/officeDocument/2006/relationships/hyperlink" Target="https://www.facebook.com/profile.php?id=100033505097108" TargetMode="External"/><Relationship Id="rId5166" Type="http://schemas.openxmlformats.org/officeDocument/2006/relationships/hyperlink" Target="https://www.facebook.com/trepanation.chijmin" TargetMode="External"/><Relationship Id="rId5580" Type="http://schemas.openxmlformats.org/officeDocument/2006/relationships/hyperlink" Target="https://www.facebook.com/profile.php?id=100038624475562&amp;mibextid=LQQJ4d" TargetMode="External"/><Relationship Id="rId6217" Type="http://schemas.openxmlformats.org/officeDocument/2006/relationships/hyperlink" Target="https://www.facebook.com/profile.php?id=100078749870652&amp;mibextid=LQQJ4d" TargetMode="External"/><Relationship Id="rId6631" Type="http://schemas.openxmlformats.org/officeDocument/2006/relationships/hyperlink" Target="https://www.facebook.com/profile.php?id=100054165919368&amp;mibextid=LQQJ4d" TargetMode="External"/><Relationship Id="rId4182" Type="http://schemas.openxmlformats.org/officeDocument/2006/relationships/hyperlink" Target="https://drive.google.com/open?id=11yfIMz19RZT_9QUHL02noLMJ2an_0qPh" TargetMode="External"/><Relationship Id="rId5233" Type="http://schemas.openxmlformats.org/officeDocument/2006/relationships/hyperlink" Target="https://www.facebook.com/profile.php?id=61559013475279&amp;mibextid=ZbWKwL" TargetMode="External"/><Relationship Id="rId8389" Type="http://schemas.openxmlformats.org/officeDocument/2006/relationships/hyperlink" Target="https://www.facebook.com/people/L%C3%AA-A%C4%90%E1%BB%A9c/pfbid02PyHbSip4DFfiJqWE3TZ1F4CQU8JhPpNqFrgUgnj3y7Lc1yxx6NsN2aPhecV1d8u7l/" TargetMode="External"/><Relationship Id="rId1776" Type="http://schemas.openxmlformats.org/officeDocument/2006/relationships/hyperlink" Target="https://www.facebook.com/bac.covan.1?mibextid=ZbWKwL" TargetMode="External"/><Relationship Id="rId2827" Type="http://schemas.openxmlformats.org/officeDocument/2006/relationships/hyperlink" Target="https://drive.google.com/open?id=1iaaW1eRY3pq01kJ7LPh_wI1GQRfBcYdx" TargetMode="External"/><Relationship Id="rId68" Type="http://schemas.openxmlformats.org/officeDocument/2006/relationships/hyperlink" Target="https://www.facebook.com/profile.php?id=100043678471186" TargetMode="External"/><Relationship Id="rId1429" Type="http://schemas.openxmlformats.org/officeDocument/2006/relationships/hyperlink" Target="https://www.facebook.com/Dlyy16?mibextid=LQQJ4d" TargetMode="External"/><Relationship Id="rId1843" Type="http://schemas.openxmlformats.org/officeDocument/2006/relationships/hyperlink" Target="https://drive.google.com/open?id=1bXpGHiVrlGgFkVTT4KlfbT1zHxlLSxcK" TargetMode="External"/><Relationship Id="rId4999" Type="http://schemas.openxmlformats.org/officeDocument/2006/relationships/hyperlink" Target="https://drive.google.com/open?id=1KJLSjJZHJbIU4jvTlb4PJcfULdVeoKnc" TargetMode="External"/><Relationship Id="rId5300" Type="http://schemas.openxmlformats.org/officeDocument/2006/relationships/hyperlink" Target="https://www.facebook.com/cuatoi.hoi.7" TargetMode="External"/><Relationship Id="rId7058" Type="http://schemas.openxmlformats.org/officeDocument/2006/relationships/hyperlink" Target="https://www.facebook.com/profile.php?id=100060006919881&amp;mibextid=LQQJ4d" TargetMode="External"/><Relationship Id="rId8456" Type="http://schemas.openxmlformats.org/officeDocument/2006/relationships/hyperlink" Target="https://www.facebook.com/dinhnhuan081006" TargetMode="External"/><Relationship Id="rId8870" Type="http://schemas.openxmlformats.org/officeDocument/2006/relationships/hyperlink" Target="https://www.facebook.com/ayu.yuikichan" TargetMode="External"/><Relationship Id="rId9507" Type="http://schemas.openxmlformats.org/officeDocument/2006/relationships/hyperlink" Target="https://www.facebook.com/nguyen.hoang.vu.89.79.2006.hhh" TargetMode="External"/><Relationship Id="rId1910" Type="http://schemas.openxmlformats.org/officeDocument/2006/relationships/hyperlink" Target="https://www.facebook.com/chang912005?mibextid=ZbWKwL" TargetMode="External"/><Relationship Id="rId7472" Type="http://schemas.openxmlformats.org/officeDocument/2006/relationships/hyperlink" Target="https://www.facebook.com/tuyetdao121205?mibextid=ZbWKwL" TargetMode="External"/><Relationship Id="rId8109" Type="http://schemas.openxmlformats.org/officeDocument/2006/relationships/hyperlink" Target="https://www.facebook.com/profile.php?id=100034230766906&amp;mibextid=ZbWKwL" TargetMode="External"/><Relationship Id="rId8523" Type="http://schemas.openxmlformats.org/officeDocument/2006/relationships/hyperlink" Target="https://www.facebook.com/desquaos.banscuas?mibextid=LQQJ4d" TargetMode="External"/><Relationship Id="rId3668" Type="http://schemas.openxmlformats.org/officeDocument/2006/relationships/hyperlink" Target="https://www.facebook.com/profile.php?id=100055962870577&amp;mibextid=LQQJ4d" TargetMode="External"/><Relationship Id="rId4719" Type="http://schemas.openxmlformats.org/officeDocument/2006/relationships/hyperlink" Target="https://www.facebook.com/profile.php?id=100071986992255" TargetMode="External"/><Relationship Id="rId6074" Type="http://schemas.openxmlformats.org/officeDocument/2006/relationships/hyperlink" Target="https://drive.google.com/open?id=1bBnBmvChZ27oE2rAwro6CUZu3zXd5c-m" TargetMode="External"/><Relationship Id="rId7125" Type="http://schemas.openxmlformats.org/officeDocument/2006/relationships/hyperlink" Target="https://www.facebook.com/profile.php?id=100005187254864" TargetMode="External"/><Relationship Id="rId589" Type="http://schemas.openxmlformats.org/officeDocument/2006/relationships/hyperlink" Target="https://www.facebook.com/profile.php?id=100081196431258&amp;mibextid=LQQJ4d" TargetMode="External"/><Relationship Id="rId2684" Type="http://schemas.openxmlformats.org/officeDocument/2006/relationships/hyperlink" Target="https://drive.google.com/open?id=1HNHELLQ-5Yf1lsBlqymuHpVyfkldrCls" TargetMode="External"/><Relationship Id="rId3735" Type="http://schemas.openxmlformats.org/officeDocument/2006/relationships/hyperlink" Target="https://www.facebook.com/profile.php?id=100085035108699" TargetMode="External"/><Relationship Id="rId5090" Type="http://schemas.openxmlformats.org/officeDocument/2006/relationships/hyperlink" Target="https://www.facebook.com/hoaa.hoaa.16" TargetMode="External"/><Relationship Id="rId6141" Type="http://schemas.openxmlformats.org/officeDocument/2006/relationships/hyperlink" Target="https://www.facebook.com/profile.php?id=100015220728009&amp;mibextid=LQQJ4d" TargetMode="External"/><Relationship Id="rId9297" Type="http://schemas.openxmlformats.org/officeDocument/2006/relationships/hyperlink" Target="https://www.facebook.com/le.hong.diem.92347?mibextid=wwXIfr&amp;rdid=pHmiD6oqyQhLwPkN&amp;share_url=https%3A%2F%2Fwww.facebook.com%2Fshare%2F14eqgkm4TV%2F%3Fmibextid%3DwwXIfr" TargetMode="External"/><Relationship Id="rId656" Type="http://schemas.openxmlformats.org/officeDocument/2006/relationships/hyperlink" Target="https://www.facebook.com/profile.php?id=100045324729295" TargetMode="External"/><Relationship Id="rId1286" Type="http://schemas.openxmlformats.org/officeDocument/2006/relationships/hyperlink" Target="https://www.facebook.com/profile.php?id=100059547292388" TargetMode="External"/><Relationship Id="rId2337" Type="http://schemas.openxmlformats.org/officeDocument/2006/relationships/hyperlink" Target="https://web.facebook.com/diemquynh.3104" TargetMode="External"/><Relationship Id="rId9364" Type="http://schemas.openxmlformats.org/officeDocument/2006/relationships/hyperlink" Target="https://www.facebook.com/LTTSHU" TargetMode="External"/><Relationship Id="rId309" Type="http://schemas.openxmlformats.org/officeDocument/2006/relationships/hyperlink" Target="https://www.facebook.com/profile.php?id=100034391682722&amp;mibextid=LQQJ4d" TargetMode="External"/><Relationship Id="rId2751" Type="http://schemas.openxmlformats.org/officeDocument/2006/relationships/hyperlink" Target="https://www.facebook.com/profile.php?id=100041481080562" TargetMode="External"/><Relationship Id="rId3802" Type="http://schemas.openxmlformats.org/officeDocument/2006/relationships/hyperlink" Target="https://www.facebook.com/qu.chi.524?mibextid=LQQJ4d" TargetMode="External"/><Relationship Id="rId6958" Type="http://schemas.openxmlformats.org/officeDocument/2006/relationships/hyperlink" Target="https://www.facebook.com/share/1CGU5hYz8h/" TargetMode="External"/><Relationship Id="rId8380" Type="http://schemas.openxmlformats.org/officeDocument/2006/relationships/hyperlink" Target="https://www.facebook.com/agruu.tran" TargetMode="External"/><Relationship Id="rId9017" Type="http://schemas.openxmlformats.org/officeDocument/2006/relationships/hyperlink" Target="https://www.facebook.com/share/1AWqsC33kX/" TargetMode="External"/><Relationship Id="rId723" Type="http://schemas.openxmlformats.org/officeDocument/2006/relationships/hyperlink" Target="https://www.facebook.com/vanhuy2050?mibextid=LQQJ4d" TargetMode="External"/><Relationship Id="rId1006" Type="http://schemas.openxmlformats.org/officeDocument/2006/relationships/hyperlink" Target="https://www.facebook.com/profile.php?id=100025769701468" TargetMode="External"/><Relationship Id="rId1353" Type="http://schemas.openxmlformats.org/officeDocument/2006/relationships/hyperlink" Target="https://drive.google.com/open?id=1G8v3FfakTMeO_g-VBmPwrdc1hwK6ueV_" TargetMode="External"/><Relationship Id="rId2404" Type="http://schemas.openxmlformats.org/officeDocument/2006/relationships/hyperlink" Target="https://drive.google.com/open?id=1u5dpR0hgZVFWHJ0n9m21gw4smqHOMxj8" TargetMode="External"/><Relationship Id="rId5974" Type="http://schemas.openxmlformats.org/officeDocument/2006/relationships/hyperlink" Target="https://www.facebook.com/tho.maknae.28?mibextid=JRoKGi" TargetMode="External"/><Relationship Id="rId8033" Type="http://schemas.openxmlformats.org/officeDocument/2006/relationships/hyperlink" Target="https://www.facebook.com/share/1BJP4LqJfv/?mibextid=wwXIfr" TargetMode="External"/><Relationship Id="rId9431" Type="http://schemas.openxmlformats.org/officeDocument/2006/relationships/hyperlink" Target="https://www.facebook.com/profile.php?id=100029544200002&amp;mibextid=LQQJ4d" TargetMode="External"/><Relationship Id="rId1420" Type="http://schemas.openxmlformats.org/officeDocument/2006/relationships/hyperlink" Target="https://drive.google.com/open?id=1Zn6BW9gbXt6XjiG19VxvUHzfPC1sgaSc" TargetMode="External"/><Relationship Id="rId4576" Type="http://schemas.openxmlformats.org/officeDocument/2006/relationships/hyperlink" Target="https://www.facebook.com/Thowm99?mibextid=ZbWKwL" TargetMode="External"/><Relationship Id="rId4990" Type="http://schemas.openxmlformats.org/officeDocument/2006/relationships/hyperlink" Target="https://www.facebook.com/profile.php?id=100024494588749" TargetMode="External"/><Relationship Id="rId5627" Type="http://schemas.openxmlformats.org/officeDocument/2006/relationships/hyperlink" Target="https://www.facebook.com/profile.php?id=100074314866526&amp;mibextid=LQQJ4d" TargetMode="External"/><Relationship Id="rId3178" Type="http://schemas.openxmlformats.org/officeDocument/2006/relationships/hyperlink" Target="https://www.facebook.com/profile.php?id=100054256994032" TargetMode="External"/><Relationship Id="rId3592" Type="http://schemas.openxmlformats.org/officeDocument/2006/relationships/hyperlink" Target="https://drive.google.com/open?id=1dQB_6byLFuQwGT-nqfy_nAiEnPZ7wHkm" TargetMode="External"/><Relationship Id="rId4229" Type="http://schemas.openxmlformats.org/officeDocument/2006/relationships/hyperlink" Target="https://www.facebook.com/profile.php?id=100040795310732&amp;mibextid=LQQJ4d" TargetMode="External"/><Relationship Id="rId4643" Type="http://schemas.openxmlformats.org/officeDocument/2006/relationships/hyperlink" Target="https://www.facebook.com/harley1808" TargetMode="External"/><Relationship Id="rId7799" Type="http://schemas.openxmlformats.org/officeDocument/2006/relationships/hyperlink" Target="https://drive.google.com/open?id=1feSjIJ9pIRaTz-4xSllq4vUbIdt2uVsj" TargetMode="External"/><Relationship Id="rId8100" Type="http://schemas.openxmlformats.org/officeDocument/2006/relationships/hyperlink" Target="https://www.facebook.com/minhphong15" TargetMode="External"/><Relationship Id="rId2194" Type="http://schemas.openxmlformats.org/officeDocument/2006/relationships/hyperlink" Target="https://www.facebook.com/profile.php?id=100071811621482&amp;mibextid=LQQJ4d" TargetMode="External"/><Relationship Id="rId3245" Type="http://schemas.openxmlformats.org/officeDocument/2006/relationships/hyperlink" Target="https://drive.google.com/open?id=1KDrCn31B_wAJtUwDwP3TQeRA7vY1yMCK" TargetMode="External"/><Relationship Id="rId4710" Type="http://schemas.openxmlformats.org/officeDocument/2006/relationships/hyperlink" Target="https://drive.google.com/open?id=1-ji1T-_zdhbPjfc_4cumHbNuiSLOj-UA" TargetMode="External"/><Relationship Id="rId7866" Type="http://schemas.openxmlformats.org/officeDocument/2006/relationships/hyperlink" Target="https://drive.google.com/open?id=1pmFWpYTYWUV5RhnxPbiCvrPg41q_ARJj" TargetMode="External"/><Relationship Id="rId166" Type="http://schemas.openxmlformats.org/officeDocument/2006/relationships/hyperlink" Target="https://www.facebook.com/chang220405" TargetMode="External"/><Relationship Id="rId580" Type="http://schemas.openxmlformats.org/officeDocument/2006/relationships/hyperlink" Target="https://www.facebook.com/profile.php?id=100008814907239" TargetMode="External"/><Relationship Id="rId2261" Type="http://schemas.openxmlformats.org/officeDocument/2006/relationships/hyperlink" Target="https://drive.google.com/open?id=1dR8AxECpxJS_fKCRSl7-9KmqXMNo7cft" TargetMode="External"/><Relationship Id="rId3312" Type="http://schemas.openxmlformats.org/officeDocument/2006/relationships/hyperlink" Target="https://www.facebook.com/Mityubi16?mibextid=PtKPJ9" TargetMode="External"/><Relationship Id="rId6468" Type="http://schemas.openxmlformats.org/officeDocument/2006/relationships/hyperlink" Target="https://drive.google.com/open?id=1Bp6o0OJwbdSctVPe4XjFyVy0o4JyobkN" TargetMode="External"/><Relationship Id="rId7519" Type="http://schemas.openxmlformats.org/officeDocument/2006/relationships/hyperlink" Target="https://www.facebook.com/phuongan.tran.093?mibextid=ZbWKwL" TargetMode="External"/><Relationship Id="rId8917" Type="http://schemas.openxmlformats.org/officeDocument/2006/relationships/hyperlink" Target="https://drive.google.com/open?id=12XdqfZllEeRfh59h90oWczJFBx-5Ffg9" TargetMode="External"/><Relationship Id="rId233" Type="http://schemas.openxmlformats.org/officeDocument/2006/relationships/hyperlink" Target="https://www.facebook.com/profile.php?id=100041111582106" TargetMode="External"/><Relationship Id="rId5484" Type="http://schemas.openxmlformats.org/officeDocument/2006/relationships/hyperlink" Target="https://www.facebook.com/profile.php?id=100063547159931&amp;mibextid=LQQJ4d" TargetMode="External"/><Relationship Id="rId6882" Type="http://schemas.openxmlformats.org/officeDocument/2006/relationships/hyperlink" Target="https://www.facebook.com/profile.php?id=100075923235825&amp;locale=vi_VN" TargetMode="External"/><Relationship Id="rId7933" Type="http://schemas.openxmlformats.org/officeDocument/2006/relationships/hyperlink" Target="https://www.facebook.com/gnahuv?mibextid=LQQJ4d" TargetMode="External"/><Relationship Id="rId300" Type="http://schemas.openxmlformats.org/officeDocument/2006/relationships/hyperlink" Target="https://www.facebook.com/profile.php?id=100041041402939&amp;mibextid=LQQJ4d" TargetMode="External"/><Relationship Id="rId4086" Type="http://schemas.openxmlformats.org/officeDocument/2006/relationships/hyperlink" Target="https://drive.google.com/open?id=1KEf6jm2lXWUsRzMgrlt-lGrsO1XFCLR2" TargetMode="External"/><Relationship Id="rId5137" Type="http://schemas.openxmlformats.org/officeDocument/2006/relationships/hyperlink" Target="https://drive.google.com/open?id=179G15SgRAcNlAZViCG7d4h6vgM5Drl3n" TargetMode="External"/><Relationship Id="rId6535" Type="http://schemas.openxmlformats.org/officeDocument/2006/relationships/hyperlink" Target="https://www.facebook.com/thuvan1876?mibextid=LQQJ4d" TargetMode="External"/><Relationship Id="rId5551" Type="http://schemas.openxmlformats.org/officeDocument/2006/relationships/hyperlink" Target="https://www.facebook.com/profile.php?id=100072490397858&amp;mibextid=LQQJ4d" TargetMode="External"/><Relationship Id="rId6602" Type="http://schemas.openxmlformats.org/officeDocument/2006/relationships/hyperlink" Target="https://www.facebook.com/phhuutuan?mibextid=LQQJ4d" TargetMode="External"/><Relationship Id="rId1747" Type="http://schemas.openxmlformats.org/officeDocument/2006/relationships/hyperlink" Target="https://www.facebook.com/mh22092005?mibextid=LQQJ4d" TargetMode="External"/><Relationship Id="rId4153" Type="http://schemas.openxmlformats.org/officeDocument/2006/relationships/hyperlink" Target="https://www.facebook.com/profile.php?id=100064405215875&amp;mibextid=LQQJ4d" TargetMode="External"/><Relationship Id="rId5204" Type="http://schemas.openxmlformats.org/officeDocument/2006/relationships/hyperlink" Target="https://www.facebook.com/kimloi.lethi.3" TargetMode="External"/><Relationship Id="rId8774" Type="http://schemas.openxmlformats.org/officeDocument/2006/relationships/hyperlink" Target="https://drive.google.com/open?id=1s6VvujnpxqaQMyx5VtSYwmWNWNkYMKGs" TargetMode="External"/><Relationship Id="rId39" Type="http://schemas.openxmlformats.org/officeDocument/2006/relationships/hyperlink" Target="https://drive.google.com/open?id=1_p--ubdbCLqKHo7gfxrs9LToj7YGf7Uk" TargetMode="External"/><Relationship Id="rId1814" Type="http://schemas.openxmlformats.org/officeDocument/2006/relationships/hyperlink" Target="https://www.facebook.com/profile.php?id=100085035108699" TargetMode="External"/><Relationship Id="rId4220" Type="http://schemas.openxmlformats.org/officeDocument/2006/relationships/hyperlink" Target="https://www.facebook.com/profile.php?id=100068878085657&amp;mibextid=LQQJ4d" TargetMode="External"/><Relationship Id="rId7376" Type="http://schemas.openxmlformats.org/officeDocument/2006/relationships/hyperlink" Target="https://www.facebook.com/em.may.92167" TargetMode="External"/><Relationship Id="rId7790" Type="http://schemas.openxmlformats.org/officeDocument/2006/relationships/hyperlink" Target="https://drive.google.com/open?id=1GKz_hkcpb9XyboSI6cjYFvfN3HhZkn_M" TargetMode="External"/><Relationship Id="rId8427" Type="http://schemas.openxmlformats.org/officeDocument/2006/relationships/hyperlink" Target="https://www.facebook.com/con.cuu.315213?mibextid=LQQJ4d" TargetMode="External"/><Relationship Id="rId8841" Type="http://schemas.openxmlformats.org/officeDocument/2006/relationships/hyperlink" Target="https://www.facebook.com/nguyen.phuong.thao.709899" TargetMode="External"/><Relationship Id="rId6392" Type="http://schemas.openxmlformats.org/officeDocument/2006/relationships/hyperlink" Target="https://www.facebook.com/profile.php?id=100071157537127&amp;mibextid=LQQJ4d" TargetMode="External"/><Relationship Id="rId7029" Type="http://schemas.openxmlformats.org/officeDocument/2006/relationships/hyperlink" Target="https://www.facebook.com/chieuxuan.vu.05" TargetMode="External"/><Relationship Id="rId7443" Type="http://schemas.openxmlformats.org/officeDocument/2006/relationships/hyperlink" Target="https://www.facebook.com/mphwng.1" TargetMode="External"/><Relationship Id="rId2588" Type="http://schemas.openxmlformats.org/officeDocument/2006/relationships/hyperlink" Target="https://www.facebook.com/conmekngungoc" TargetMode="External"/><Relationship Id="rId3986" Type="http://schemas.openxmlformats.org/officeDocument/2006/relationships/hyperlink" Target="https://www.facebook.com/profile.php?id=100026583215875&amp;mibextid=LQQJ4d" TargetMode="External"/><Relationship Id="rId6045" Type="http://schemas.openxmlformats.org/officeDocument/2006/relationships/hyperlink" Target="https://www.facebook.com/profile.php?id=100078479951323&amp;mibextid=ZbWKwL" TargetMode="External"/><Relationship Id="rId3639" Type="http://schemas.openxmlformats.org/officeDocument/2006/relationships/hyperlink" Target="https://www.facebook.com/nongmahonghanh?mibextid=LQQJ4d" TargetMode="External"/><Relationship Id="rId5061" Type="http://schemas.openxmlformats.org/officeDocument/2006/relationships/hyperlink" Target="https://www.facebook.com/samua05?mibextid=ZbWKwL" TargetMode="External"/><Relationship Id="rId6112" Type="http://schemas.openxmlformats.org/officeDocument/2006/relationships/hyperlink" Target="https://www.facebook.com/do.huyen.006?mibextid=JRoKGi" TargetMode="External"/><Relationship Id="rId7510" Type="http://schemas.openxmlformats.org/officeDocument/2006/relationships/hyperlink" Target="https://www.facebook.com/khanh.phan.0529?mibextid=ZbWKwL" TargetMode="External"/><Relationship Id="rId9268" Type="http://schemas.openxmlformats.org/officeDocument/2006/relationships/hyperlink" Target="https://www.facebook.com/share/1D8iTtJ9bF/" TargetMode="External"/><Relationship Id="rId974" Type="http://schemas.openxmlformats.org/officeDocument/2006/relationships/hyperlink" Target="https://drive.google.com/open?id=1IvM8JtYAybRVftLCvzRJJjicSV-s4Qsf" TargetMode="External"/><Relationship Id="rId2655" Type="http://schemas.openxmlformats.org/officeDocument/2006/relationships/hyperlink" Target="https://www.facebook.com/lanhuong.truongthi.927" TargetMode="External"/><Relationship Id="rId3706" Type="http://schemas.openxmlformats.org/officeDocument/2006/relationships/hyperlink" Target="https://www.facebook.com/nthankha1810?mibextid=ZbWKwL" TargetMode="External"/><Relationship Id="rId627" Type="http://schemas.openxmlformats.org/officeDocument/2006/relationships/hyperlink" Target="https://www.facebook.com/profile.php?id=100038989638210" TargetMode="External"/><Relationship Id="rId1257" Type="http://schemas.openxmlformats.org/officeDocument/2006/relationships/hyperlink" Target="https://drive.google.com/open?id=1ZVjqM63FeXvElFbSKZkij7TjeyNZIUFV" TargetMode="External"/><Relationship Id="rId1671" Type="http://schemas.openxmlformats.org/officeDocument/2006/relationships/hyperlink" Target="https://drive.google.com/open?id=12OuH0iidoTVsB-N394PsvJ77vBKD15u4" TargetMode="External"/><Relationship Id="rId2308" Type="http://schemas.openxmlformats.org/officeDocument/2006/relationships/hyperlink" Target="https://drive.google.com/open?id=1IHb-r4R-pnKNh39v-i9K6iMRavxoVeKE" TargetMode="External"/><Relationship Id="rId2722" Type="http://schemas.openxmlformats.org/officeDocument/2006/relationships/hyperlink" Target="https://www.facebook.com/ibrahisonvic11" TargetMode="External"/><Relationship Id="rId5878" Type="http://schemas.openxmlformats.org/officeDocument/2006/relationships/hyperlink" Target="https://drive.google.com/open?id=1mm0o1tQVTQ9s1GOsmWq_GfW3Op9KbGSK" TargetMode="External"/><Relationship Id="rId6929" Type="http://schemas.openxmlformats.org/officeDocument/2006/relationships/hyperlink" Target="https://www.facebook.com/vuhai.that.391?mibextid=LQQJ4d" TargetMode="External"/><Relationship Id="rId8284" Type="http://schemas.openxmlformats.org/officeDocument/2006/relationships/hyperlink" Target="https://drive.google.com/open?id=1C58T9mN2OprdHNpdrv9EK4I6MRXcyMpC" TargetMode="External"/><Relationship Id="rId9335" Type="http://schemas.openxmlformats.org/officeDocument/2006/relationships/hyperlink" Target="https://www.facebook.com/anhduong.trannguyen.39" TargetMode="External"/><Relationship Id="rId1324" Type="http://schemas.openxmlformats.org/officeDocument/2006/relationships/hyperlink" Target="https://drive.google.com/open?id=19uYfVCeqbaQoXRDxTRvbVMcwZzU3qW1I" TargetMode="External"/><Relationship Id="rId4894" Type="http://schemas.openxmlformats.org/officeDocument/2006/relationships/hyperlink" Target="https://drive.google.com/open?id=1vWnHiL8hn_6bOHufeTfPQ8mG3-LtJhEA" TargetMode="External"/><Relationship Id="rId5945" Type="http://schemas.openxmlformats.org/officeDocument/2006/relationships/hyperlink" Target="https://www.facebook.com/profile.php?id=100079302884382" TargetMode="External"/><Relationship Id="rId8351" Type="http://schemas.openxmlformats.org/officeDocument/2006/relationships/hyperlink" Target="https://www.facebook.com/profile.php?id=100027554113172&amp;mibextid=LQQJ4d" TargetMode="External"/><Relationship Id="rId9402" Type="http://schemas.openxmlformats.org/officeDocument/2006/relationships/hyperlink" Target="https://drive.google.com/open?id=1ony2uX1q4Lf3AnCkR-4K9l4azWrayWMa" TargetMode="External"/><Relationship Id="rId30" Type="http://schemas.openxmlformats.org/officeDocument/2006/relationships/hyperlink" Target="https://www.facebook.com/profile.php?id=100046490734211" TargetMode="External"/><Relationship Id="rId3496" Type="http://schemas.openxmlformats.org/officeDocument/2006/relationships/hyperlink" Target="https://www.facebook.com/quang.buiduy.3344?mibextid=LQQJ4d" TargetMode="External"/><Relationship Id="rId4547" Type="http://schemas.openxmlformats.org/officeDocument/2006/relationships/hyperlink" Target="https://www.facebook.com/profile.php?id=100090309125596" TargetMode="External"/><Relationship Id="rId8004" Type="http://schemas.openxmlformats.org/officeDocument/2006/relationships/hyperlink" Target="https://drive.google.com/open?id=1Jj-afa_qEViLOH3kfDIIplD7OlS6QlHT" TargetMode="External"/><Relationship Id="rId2098" Type="http://schemas.openxmlformats.org/officeDocument/2006/relationships/hyperlink" Target="https://www.facebook.com/profile.php?id=100042107073747" TargetMode="External"/><Relationship Id="rId3149" Type="http://schemas.openxmlformats.org/officeDocument/2006/relationships/hyperlink" Target="https://www.facebook.com/profile.php?id=100021314841373&amp;mibextid=LQQJ4d" TargetMode="External"/><Relationship Id="rId3563" Type="http://schemas.openxmlformats.org/officeDocument/2006/relationships/hyperlink" Target="https://www.facebook.com/messages/t/100082895409770" TargetMode="External"/><Relationship Id="rId4961" Type="http://schemas.openxmlformats.org/officeDocument/2006/relationships/hyperlink" Target="https://www.facebook.com/profile.php?id=100087047088347&amp;mibextid=LQQJ4d" TargetMode="External"/><Relationship Id="rId7020" Type="http://schemas.openxmlformats.org/officeDocument/2006/relationships/hyperlink" Target="https://www.facebook.com/profile.php?id=100051797326074&amp;mibextid=LQQJ4d" TargetMode="External"/><Relationship Id="rId484" Type="http://schemas.openxmlformats.org/officeDocument/2006/relationships/hyperlink" Target="https://drive.google.com/open?id=1UtTwGT_y7xpmvGR4jkL58bD1SjWatXc-" TargetMode="External"/><Relationship Id="rId2165" Type="http://schemas.openxmlformats.org/officeDocument/2006/relationships/hyperlink" Target="https://www.facebook.com/lna9825?mibextid=LQQJ4d" TargetMode="External"/><Relationship Id="rId3216" Type="http://schemas.openxmlformats.org/officeDocument/2006/relationships/hyperlink" Target="https://www.facebook.com/profile.php?id=100015570667027&amp;mibextid=LQQJ4d" TargetMode="External"/><Relationship Id="rId4614" Type="http://schemas.openxmlformats.org/officeDocument/2006/relationships/hyperlink" Target="https://www.facebook.com/thach.taquang.1?mibextid=ZbWKwL" TargetMode="External"/><Relationship Id="rId9192" Type="http://schemas.openxmlformats.org/officeDocument/2006/relationships/hyperlink" Target="https://drive.google.com/open?id=1fq3EV6hKWgaqPCc9Q7mOCoil550o0ZGy" TargetMode="External"/><Relationship Id="rId137" Type="http://schemas.openxmlformats.org/officeDocument/2006/relationships/hyperlink" Target="https://drive.google.com/open?id=1_yls_vq-06bigIf2tymF4ay-LFPtSc_4" TargetMode="External"/><Relationship Id="rId3630" Type="http://schemas.openxmlformats.org/officeDocument/2006/relationships/hyperlink" Target="https://drive.google.com/open?id=1-RL7CRXuidzSeCzQ8nV99OTwVCqAerbg" TargetMode="External"/><Relationship Id="rId6786" Type="http://schemas.openxmlformats.org/officeDocument/2006/relationships/hyperlink" Target="https://www.facebook.com/profile.php?id=61551046004847&amp;mibextid=LQQJ4d" TargetMode="External"/><Relationship Id="rId7837" Type="http://schemas.openxmlformats.org/officeDocument/2006/relationships/hyperlink" Target="https://www.facebook.com/kieu.oanh.852290" TargetMode="External"/><Relationship Id="rId551" Type="http://schemas.openxmlformats.org/officeDocument/2006/relationships/hyperlink" Target="https://www.facebook.com/haminhphuong70322" TargetMode="External"/><Relationship Id="rId1181" Type="http://schemas.openxmlformats.org/officeDocument/2006/relationships/hyperlink" Target="https://www.facebook.com/profile.php?id=100073268700207&amp;mibextid=ZbWKwL" TargetMode="External"/><Relationship Id="rId2232" Type="http://schemas.openxmlformats.org/officeDocument/2006/relationships/hyperlink" Target="https://www.facebook.com/profile.php?id=100084109511089&amp;mibextid=LQQJ4d" TargetMode="External"/><Relationship Id="rId5388" Type="http://schemas.openxmlformats.org/officeDocument/2006/relationships/hyperlink" Target="https://www.facebook.com/lanmgv0611?mibextid=LQQJ4d" TargetMode="External"/><Relationship Id="rId6439" Type="http://schemas.openxmlformats.org/officeDocument/2006/relationships/hyperlink" Target="https://www.facebook.com/profile.php?id=100070347000827&amp;mibextid=ZbWKwL" TargetMode="External"/><Relationship Id="rId6853" Type="http://schemas.openxmlformats.org/officeDocument/2006/relationships/hyperlink" Target="https://www.facebook.com/profile.php?id=100032078971048&amp;mibextid=nW3QTL" TargetMode="External"/><Relationship Id="rId7904" Type="http://schemas.openxmlformats.org/officeDocument/2006/relationships/hyperlink" Target="https://www.facebook.com/xuankhoa2905?mibextid=LQQJ4d" TargetMode="External"/><Relationship Id="rId204" Type="http://schemas.openxmlformats.org/officeDocument/2006/relationships/hyperlink" Target="https://www.facebook.com/profile.php?id=100011932509351" TargetMode="External"/><Relationship Id="rId1998" Type="http://schemas.openxmlformats.org/officeDocument/2006/relationships/hyperlink" Target="https://www.facebook.com/vodlkathai?mibextid=ZbWKwL" TargetMode="External"/><Relationship Id="rId5455" Type="http://schemas.openxmlformats.org/officeDocument/2006/relationships/hyperlink" Target="https://www.facebook.com/profile.php?id=100017148787985&amp;mibextid=LQQJ4d" TargetMode="External"/><Relationship Id="rId6506" Type="http://schemas.openxmlformats.org/officeDocument/2006/relationships/hyperlink" Target="https://www.facebook.com/ngan.hoanghieu.96?mibextid=LQQJ4d" TargetMode="External"/><Relationship Id="rId6920" Type="http://schemas.openxmlformats.org/officeDocument/2006/relationships/hyperlink" Target="https://www.facebook.com/dan.choi.94849?mibextid=LQQJ4d" TargetMode="External"/><Relationship Id="rId4057" Type="http://schemas.openxmlformats.org/officeDocument/2006/relationships/hyperlink" Target="https://drive.google.com/open?id=12n0uoIu0QGw9shlUwwMSspfgUdn00E-j" TargetMode="External"/><Relationship Id="rId4471" Type="http://schemas.openxmlformats.org/officeDocument/2006/relationships/hyperlink" Target="https://www.facebook.com/profile.php?id=100086381330945&amp;mibextid=LQQJ4d" TargetMode="External"/><Relationship Id="rId5108" Type="http://schemas.openxmlformats.org/officeDocument/2006/relationships/hyperlink" Target="https://www.facebook.com/ma1.anhthu.9?mibextid=LQQJ4d" TargetMode="External"/><Relationship Id="rId5522" Type="http://schemas.openxmlformats.org/officeDocument/2006/relationships/hyperlink" Target="https://www.facebook.com/profile.php?id=61564623132764&amp;mibextid=ZbWKwL" TargetMode="External"/><Relationship Id="rId8678" Type="http://schemas.openxmlformats.org/officeDocument/2006/relationships/hyperlink" Target="https://www.facebook.com/trang.ducan.9" TargetMode="External"/><Relationship Id="rId3073" Type="http://schemas.openxmlformats.org/officeDocument/2006/relationships/hyperlink" Target="https://drive.google.com/open?id=1n2WOVviSHSbu1VOMnuMotQkK2IfO_pOU" TargetMode="External"/><Relationship Id="rId4124" Type="http://schemas.openxmlformats.org/officeDocument/2006/relationships/hyperlink" Target="https://www.facebook.com/profile.php?id=100053191901444&amp;mibextid=LQQJ4d" TargetMode="External"/><Relationship Id="rId7694" Type="http://schemas.openxmlformats.org/officeDocument/2006/relationships/hyperlink" Target="https://drive.google.com/open?id=1JieaX3yxKR-PZ-aJz3rbhxc8NFcbisGB" TargetMode="External"/><Relationship Id="rId1718" Type="http://schemas.openxmlformats.org/officeDocument/2006/relationships/hyperlink" Target="https://drive.google.com/open?id=1iwj7WR9nIa8QPqioIIf3NKnAceY1cyRa" TargetMode="External"/><Relationship Id="rId3140" Type="http://schemas.openxmlformats.org/officeDocument/2006/relationships/hyperlink" Target="https://drive.google.com/open?id=1J3jrQlse83FB7ogsXWOOErgNDP_2LMk_" TargetMode="External"/><Relationship Id="rId6296" Type="http://schemas.openxmlformats.org/officeDocument/2006/relationships/hyperlink" Target="https://www.facebook.com/profile.php?id=100084958115621" TargetMode="External"/><Relationship Id="rId7347" Type="http://schemas.openxmlformats.org/officeDocument/2006/relationships/hyperlink" Target="https://www.facebook.com/profile.php?id=100019084566910&amp;mibextid=ZbWKwL" TargetMode="External"/><Relationship Id="rId8745" Type="http://schemas.openxmlformats.org/officeDocument/2006/relationships/hyperlink" Target="https://www.facebook.com/harehare.ta?mibextid=ZbWKwL" TargetMode="External"/><Relationship Id="rId7761" Type="http://schemas.openxmlformats.org/officeDocument/2006/relationships/hyperlink" Target="https://www.facebook.com/profile.php?id=100075963546253&amp;mibextid=ZbWKwL" TargetMode="External"/><Relationship Id="rId8812" Type="http://schemas.openxmlformats.org/officeDocument/2006/relationships/hyperlink" Target="https://www.facebook.com/profile.php?id=100047604945035" TargetMode="External"/><Relationship Id="rId3957" Type="http://schemas.openxmlformats.org/officeDocument/2006/relationships/hyperlink" Target="https://www.facebook.com/profile.php?id=100029063256562" TargetMode="External"/><Relationship Id="rId6363" Type="http://schemas.openxmlformats.org/officeDocument/2006/relationships/hyperlink" Target="https://drive.google.com/open?id=1nYq6dj5pfrK4D4ixaY9OX3ulCx4b4D2e" TargetMode="External"/><Relationship Id="rId7414" Type="http://schemas.openxmlformats.org/officeDocument/2006/relationships/hyperlink" Target="https://www.facebook.com/suns.bes.161" TargetMode="External"/><Relationship Id="rId878" Type="http://schemas.openxmlformats.org/officeDocument/2006/relationships/hyperlink" Target="https://www.facebook.com/profile.php?id=100050644639455&amp;mibextid=b06tZ0" TargetMode="External"/><Relationship Id="rId2559" Type="http://schemas.openxmlformats.org/officeDocument/2006/relationships/hyperlink" Target="https://www.facebook.com/profile.php?id=100054852484773&amp;mibextid=LQQJ4d" TargetMode="External"/><Relationship Id="rId2973" Type="http://schemas.openxmlformats.org/officeDocument/2006/relationships/hyperlink" Target="https://www.facebook.com/profile.php?id=100067456938605" TargetMode="External"/><Relationship Id="rId6016" Type="http://schemas.openxmlformats.org/officeDocument/2006/relationships/hyperlink" Target="https://www.facebook.com/profile.php?id=100073285336889" TargetMode="External"/><Relationship Id="rId6430" Type="http://schemas.openxmlformats.org/officeDocument/2006/relationships/hyperlink" Target="https://www.facebook.com/profile.php?id=100046219148216&amp;mibextid=ZbWKwL" TargetMode="External"/><Relationship Id="rId945" Type="http://schemas.openxmlformats.org/officeDocument/2006/relationships/hyperlink" Target="https://www.facebook.com/profile.php?id=100020612886223" TargetMode="External"/><Relationship Id="rId1575" Type="http://schemas.openxmlformats.org/officeDocument/2006/relationships/hyperlink" Target="https://drive.google.com/open?id=1GlykXfhTqTcm3WjUu7hqF81iuLj3Cw5f" TargetMode="External"/><Relationship Id="rId2626" Type="http://schemas.openxmlformats.org/officeDocument/2006/relationships/hyperlink" Target="https://www.facebook.com/profile.php?id=100053464005023" TargetMode="External"/><Relationship Id="rId5032" Type="http://schemas.openxmlformats.org/officeDocument/2006/relationships/hyperlink" Target="https://www.facebook.com/profile.php?id=100074314866526&amp;mibextid=LQQJ4d" TargetMode="External"/><Relationship Id="rId8188" Type="http://schemas.openxmlformats.org/officeDocument/2006/relationships/hyperlink" Target="https://www.facebook.com/share/15aBmfH8y2/?mibextid=wwXIfr" TargetMode="External"/><Relationship Id="rId9239" Type="http://schemas.openxmlformats.org/officeDocument/2006/relationships/hyperlink" Target="https://www.facebook.com/share/18rzdE2zHd/" TargetMode="External"/><Relationship Id="rId1228" Type="http://schemas.openxmlformats.org/officeDocument/2006/relationships/hyperlink" Target="https://www.facebook.com/profile.php?id=100017964186783" TargetMode="External"/><Relationship Id="rId4798" Type="http://schemas.openxmlformats.org/officeDocument/2006/relationships/hyperlink" Target="https://www.facebook.com/profile.php?id=100075192219793&amp;locale=vi_VN" TargetMode="External"/><Relationship Id="rId8255" Type="http://schemas.openxmlformats.org/officeDocument/2006/relationships/hyperlink" Target="https://www.facebook.com/ucduy.653608" TargetMode="External"/><Relationship Id="rId9306" Type="http://schemas.openxmlformats.org/officeDocument/2006/relationships/hyperlink" Target="https://www.facebook.com/hb.duong.31" TargetMode="External"/><Relationship Id="rId1642" Type="http://schemas.openxmlformats.org/officeDocument/2006/relationships/hyperlink" Target="https://www.facebook.com/profile.php?id=100024445582090" TargetMode="External"/><Relationship Id="rId5849" Type="http://schemas.openxmlformats.org/officeDocument/2006/relationships/hyperlink" Target="https://www.facebook.com/tonghop.veloc" TargetMode="External"/><Relationship Id="rId7271" Type="http://schemas.openxmlformats.org/officeDocument/2006/relationships/hyperlink" Target="https://www.facebook.com/vananh.do.7393264?mibextid=ZbWKwL" TargetMode="External"/><Relationship Id="rId8322" Type="http://schemas.openxmlformats.org/officeDocument/2006/relationships/hyperlink" Target="https://www.facebook.com/profile.php?id=100044376366230&amp;locale=vi_VN" TargetMode="External"/><Relationship Id="rId4865" Type="http://schemas.openxmlformats.org/officeDocument/2006/relationships/hyperlink" Target="https://www.facebook.com/ngVnhFi.237" TargetMode="External"/><Relationship Id="rId5916" Type="http://schemas.openxmlformats.org/officeDocument/2006/relationships/hyperlink" Target="https://www.facebook.com/profile.php?id=100042999638025" TargetMode="External"/><Relationship Id="rId388" Type="http://schemas.openxmlformats.org/officeDocument/2006/relationships/hyperlink" Target="https://www.facebook.com/tienanh.nguyen.2812?mibextid=ZbWKwL" TargetMode="External"/><Relationship Id="rId2069" Type="http://schemas.openxmlformats.org/officeDocument/2006/relationships/hyperlink" Target="https://www.facebook.com/tucoiss.05032005?mibextid=LQQJ4d" TargetMode="External"/><Relationship Id="rId3467" Type="http://schemas.openxmlformats.org/officeDocument/2006/relationships/hyperlink" Target="https://www.facebook.com/profile.php?id=100010179973657&amp;mibextid=LQQJ4d" TargetMode="External"/><Relationship Id="rId3881" Type="http://schemas.openxmlformats.org/officeDocument/2006/relationships/hyperlink" Target="https://www.facebook.com/profile.php?id=100094035241863&amp;mibextid=LQQJ4d" TargetMode="External"/><Relationship Id="rId4518" Type="http://schemas.openxmlformats.org/officeDocument/2006/relationships/hyperlink" Target="https://www.facebook.com/profile.php?id=100028349718300&amp;mibextid=LQQJ4d" TargetMode="External"/><Relationship Id="rId4932" Type="http://schemas.openxmlformats.org/officeDocument/2006/relationships/hyperlink" Target="https://www.facebook.com/baton.caiten" TargetMode="External"/><Relationship Id="rId9096" Type="http://schemas.openxmlformats.org/officeDocument/2006/relationships/hyperlink" Target="https://www.facebook.com/share/15h8UhuvVm/?mibextid=LQQJ4d" TargetMode="External"/><Relationship Id="rId2483" Type="http://schemas.openxmlformats.org/officeDocument/2006/relationships/hyperlink" Target="https://www.facebook.com/phuonglinh20102001?mibextid=LQQJ4d" TargetMode="External"/><Relationship Id="rId3534" Type="http://schemas.openxmlformats.org/officeDocument/2006/relationships/hyperlink" Target="https://www.facebook.com/profile.php?id=100065471689035&amp;mibextid=LQQJ4d" TargetMode="External"/><Relationship Id="rId455" Type="http://schemas.openxmlformats.org/officeDocument/2006/relationships/hyperlink" Target="https://drive.google.com/open?id=1rajXbc0GjmE5NPQZWWVLRSYMqfaoj0rb" TargetMode="External"/><Relationship Id="rId1085" Type="http://schemas.openxmlformats.org/officeDocument/2006/relationships/hyperlink" Target="https://drive.google.com/open?id=1wFkMOnHerXbQmpIkwkMH3qPN-GQtVI0e" TargetMode="External"/><Relationship Id="rId2136" Type="http://schemas.openxmlformats.org/officeDocument/2006/relationships/hyperlink" Target="https://www.facebook.com/huong.phann.1" TargetMode="External"/><Relationship Id="rId2550" Type="http://schemas.openxmlformats.org/officeDocument/2006/relationships/hyperlink" Target="https://www.facebook.com/phonqg.trann?mibextid=LQQJ4d" TargetMode="External"/><Relationship Id="rId3601" Type="http://schemas.openxmlformats.org/officeDocument/2006/relationships/hyperlink" Target="https://www.facebook.com/profile.php?id=100025241209305" TargetMode="External"/><Relationship Id="rId6757" Type="http://schemas.openxmlformats.org/officeDocument/2006/relationships/hyperlink" Target="https://www.facebook.com/ngVnhFi.237" TargetMode="External"/><Relationship Id="rId7808" Type="http://schemas.openxmlformats.org/officeDocument/2006/relationships/hyperlink" Target="https://www.facebook.com/profile.php?id=100033343071407" TargetMode="External"/><Relationship Id="rId9163" Type="http://schemas.openxmlformats.org/officeDocument/2006/relationships/hyperlink" Target="https://www.facebook.com/profile.php?id=100048853542944&amp;mibextid=ZbWKwL" TargetMode="External"/><Relationship Id="rId108" Type="http://schemas.openxmlformats.org/officeDocument/2006/relationships/hyperlink" Target="https://www.facebook.com/profile.php?id=100050124731794&amp;mibextid=ZbWKwL" TargetMode="External"/><Relationship Id="rId522" Type="http://schemas.openxmlformats.org/officeDocument/2006/relationships/hyperlink" Target="https://drive.google.com/open?id=1zw9T3fR86EQH88Vh_Q29-aj8C8Z8BsTV" TargetMode="External"/><Relationship Id="rId1152" Type="http://schemas.openxmlformats.org/officeDocument/2006/relationships/hyperlink" Target="https://www.facebook.com/profile.php?id=100041470830739&amp;mibextid=ZbWKwL" TargetMode="External"/><Relationship Id="rId2203" Type="http://schemas.openxmlformats.org/officeDocument/2006/relationships/hyperlink" Target="https://www.facebook.com/profile.php?id=100060720796696&amp;mibextid=LQQJ4d" TargetMode="External"/><Relationship Id="rId5359" Type="http://schemas.openxmlformats.org/officeDocument/2006/relationships/hyperlink" Target="https://www.facebook.com/profile.php?id=100064288518401" TargetMode="External"/><Relationship Id="rId5773" Type="http://schemas.openxmlformats.org/officeDocument/2006/relationships/hyperlink" Target="https://www.facebook.com/profile.php?id=100040725979814&amp;mibextid=LQQJ4d" TargetMode="External"/><Relationship Id="rId9230" Type="http://schemas.openxmlformats.org/officeDocument/2006/relationships/hyperlink" Target="https://www.facebook.com/superidol.hd?mibextid=LQQJ4d" TargetMode="External"/><Relationship Id="rId4375" Type="http://schemas.openxmlformats.org/officeDocument/2006/relationships/hyperlink" Target="https://www.facebook.com/profile.php?id=100067181405777&amp;mibextid=ZbWKwL" TargetMode="External"/><Relationship Id="rId5426" Type="http://schemas.openxmlformats.org/officeDocument/2006/relationships/hyperlink" Target="https://www.facebook.com/thuhang.2286?mibextid=LQQJ4d" TargetMode="External"/><Relationship Id="rId6824" Type="http://schemas.openxmlformats.org/officeDocument/2006/relationships/hyperlink" Target="https://drive.google.com/open?id=1mMesBIqj7r0aycbofQpYnUx3sVW7CxqP" TargetMode="External"/><Relationship Id="rId1969" Type="http://schemas.openxmlformats.org/officeDocument/2006/relationships/hyperlink" Target="https://drive.google.com/open?id=1kzExpuP_UB1VzaZHNA-0zlsMl4I1YLCb" TargetMode="External"/><Relationship Id="rId4028" Type="http://schemas.openxmlformats.org/officeDocument/2006/relationships/hyperlink" Target="https://www.facebook.com/lee.xunhuongw589" TargetMode="External"/><Relationship Id="rId5840" Type="http://schemas.openxmlformats.org/officeDocument/2006/relationships/hyperlink" Target="https://www.facebook.com/pii.truc.3" TargetMode="External"/><Relationship Id="rId8996" Type="http://schemas.openxmlformats.org/officeDocument/2006/relationships/hyperlink" Target="https://drive.google.com/open?id=1e7YoFxt6igrJquNuHQfhGB7LVQFFs3CP" TargetMode="External"/><Relationship Id="rId3391" Type="http://schemas.openxmlformats.org/officeDocument/2006/relationships/hyperlink" Target="https://www.facebook.com/Chanh227" TargetMode="External"/><Relationship Id="rId4442" Type="http://schemas.openxmlformats.org/officeDocument/2006/relationships/hyperlink" Target="https://www.facebook.com/phuong.chi.18294053" TargetMode="External"/><Relationship Id="rId7598" Type="http://schemas.openxmlformats.org/officeDocument/2006/relationships/hyperlink" Target="https://www.facebook.com/hanguyen.443?mibextid=ZbWKwL" TargetMode="External"/><Relationship Id="rId8649" Type="http://schemas.openxmlformats.org/officeDocument/2006/relationships/hyperlink" Target="https://www.facebook.com/profile.php?id=100072467122412&amp;mibextid=ZbWKwL" TargetMode="External"/><Relationship Id="rId3044" Type="http://schemas.openxmlformats.org/officeDocument/2006/relationships/hyperlink" Target="https://www.facebook.com/profile.php?id=100083198385836&amp;mibextid=LQQJ4d" TargetMode="External"/><Relationship Id="rId7665" Type="http://schemas.openxmlformats.org/officeDocument/2006/relationships/hyperlink" Target="https://www.facebook.com/luu.hieukhanh.927?mibextid=LQQJ4d" TargetMode="External"/><Relationship Id="rId8716" Type="http://schemas.openxmlformats.org/officeDocument/2006/relationships/hyperlink" Target="https://www.facebook.com/xuanthanh.hbhn123u90?mibextid=wwXIfr&amp;rdid=mK03ea07MZ16goaa&amp;share_url=https%3A%2F%2Fwww.facebook.com%2Fshare%2F15ygovNmEu%2F%3Fmibextid%3DwwXIfr" TargetMode="External"/><Relationship Id="rId2060" Type="http://schemas.openxmlformats.org/officeDocument/2006/relationships/hyperlink" Target="https://www.facebook.com/thibichngoc.ta.902?mibextid=LQQJ4d" TargetMode="External"/><Relationship Id="rId3111" Type="http://schemas.openxmlformats.org/officeDocument/2006/relationships/hyperlink" Target="https://drive.google.com/open?id=1jMP2-Lj9ooFhrpAc2CI0nsc3pCDPxWWZ" TargetMode="External"/><Relationship Id="rId6267" Type="http://schemas.openxmlformats.org/officeDocument/2006/relationships/hyperlink" Target="https://www.facebook.com/ngan.lephuong.399?mibextid=LQQJ4d" TargetMode="External"/><Relationship Id="rId6681" Type="http://schemas.openxmlformats.org/officeDocument/2006/relationships/hyperlink" Target="https://www.facebook.com/buithibicham0411?mibextid=LQQJ4d" TargetMode="External"/><Relationship Id="rId7318" Type="http://schemas.openxmlformats.org/officeDocument/2006/relationships/hyperlink" Target="https://www.facebook.com/linhhlp.06" TargetMode="External"/><Relationship Id="rId7732" Type="http://schemas.openxmlformats.org/officeDocument/2006/relationships/hyperlink" Target="https://www.facebook.com/people/Ng%C3%A2n-H%C3%A0/pfbid023DU4GbV9WeEbyuLSKfc7et6xXgtyqm1CCnM7EnhGTffC2m4YSTA8LDh7e1BrLbK5l/" TargetMode="External"/><Relationship Id="rId2877" Type="http://schemas.openxmlformats.org/officeDocument/2006/relationships/hyperlink" Target="https://www.facebook.com/profile.php?id=100015016457859&amp;mibextid=LQQJ4d" TargetMode="External"/><Relationship Id="rId5283" Type="http://schemas.openxmlformats.org/officeDocument/2006/relationships/hyperlink" Target="https://drive.google.com/open?id=13sIdnI75Zo6zhtg9HNET3w2LH8Xb4Rhs" TargetMode="External"/><Relationship Id="rId6334" Type="http://schemas.openxmlformats.org/officeDocument/2006/relationships/hyperlink" Target="https://drive.google.com/open?id=1FUkyNJFHY3V-p6mqOBlS8gYK6Ot7pics" TargetMode="External"/><Relationship Id="rId849" Type="http://schemas.openxmlformats.org/officeDocument/2006/relationships/hyperlink" Target="https://drive.google.com/open?id=1gREHM3QPkWrCgyXIW0geL4pyZxqvQcHM" TargetMode="External"/><Relationship Id="rId1479" Type="http://schemas.openxmlformats.org/officeDocument/2006/relationships/hyperlink" Target="https://www.facebook.com/profile.php?id=100015016457859&amp;mibextid=LQQJ4d" TargetMode="External"/><Relationship Id="rId3928" Type="http://schemas.openxmlformats.org/officeDocument/2006/relationships/hyperlink" Target="https://www.facebook.com/BachPhjLong" TargetMode="External"/><Relationship Id="rId5350" Type="http://schemas.openxmlformats.org/officeDocument/2006/relationships/hyperlink" Target="https://www.facebook.com/minhhaile206?mibextid=LQQJ4d" TargetMode="External"/><Relationship Id="rId6401" Type="http://schemas.openxmlformats.org/officeDocument/2006/relationships/hyperlink" Target="https://drive.google.com/open?id=1GnNnOOwHl46lYs2bZ-VU0J46TAfbd2Jg" TargetMode="External"/><Relationship Id="rId9557" Type="http://schemas.openxmlformats.org/officeDocument/2006/relationships/hyperlink" Target="https://www.facebook.com/profile.php?id=100046622954704&amp;mibextid=wwXIfr&amp;rdid=9SRXfcui5kpKyIpq&amp;share_url=https%3A%2F%2Fwww.facebook.com%2Fshare%2F1D7ByhPvhd%2F%3Fmibextid%3DwwXIfr" TargetMode="External"/><Relationship Id="rId1893" Type="http://schemas.openxmlformats.org/officeDocument/2006/relationships/hyperlink" Target="https://drive.google.com/open?id=1hhvBMDOQhdZxGPABEPb7CtzhVna28w1z" TargetMode="External"/><Relationship Id="rId2944" Type="http://schemas.openxmlformats.org/officeDocument/2006/relationships/hyperlink" Target="https://www.facebook.com/lyyiiy" TargetMode="External"/><Relationship Id="rId5003" Type="http://schemas.openxmlformats.org/officeDocument/2006/relationships/hyperlink" Target="https://www.facebook.com/profile.php?id=100045638570732" TargetMode="External"/><Relationship Id="rId8159" Type="http://schemas.openxmlformats.org/officeDocument/2006/relationships/hyperlink" Target="https://www.facebook.com/ky.nguyenba.940" TargetMode="External"/><Relationship Id="rId916" Type="http://schemas.openxmlformats.org/officeDocument/2006/relationships/hyperlink" Target="https://drive.google.com/open?id=1vSaNcxGVjWKR4dJrBSEc5ZUdaLw_8YWf" TargetMode="External"/><Relationship Id="rId1546" Type="http://schemas.openxmlformats.org/officeDocument/2006/relationships/hyperlink" Target="https://www.facebook.com/profile.php?id=100047604945035" TargetMode="External"/><Relationship Id="rId1960" Type="http://schemas.openxmlformats.org/officeDocument/2006/relationships/hyperlink" Target="https://drive.google.com/open?id=1Dn7U3lD6YFcdS3PtoRRecCu9BxGYLqAo" TargetMode="External"/><Relationship Id="rId7175" Type="http://schemas.openxmlformats.org/officeDocument/2006/relationships/hyperlink" Target="https://www.facebook.com/profile.php?id=100065342919196" TargetMode="External"/><Relationship Id="rId8573" Type="http://schemas.openxmlformats.org/officeDocument/2006/relationships/hyperlink" Target="https://www.facebook.com/trancong.vinh.31924?mibextid=LQQJ4d" TargetMode="External"/><Relationship Id="rId1613" Type="http://schemas.openxmlformats.org/officeDocument/2006/relationships/hyperlink" Target="https://www.facebook.com/profile.php?id=100083198385836&amp;mibextid=LQQJ4d" TargetMode="External"/><Relationship Id="rId4769" Type="http://schemas.openxmlformats.org/officeDocument/2006/relationships/hyperlink" Target="https://www.facebook.com/profile.php?id=100048324272670&amp;mibextid=LQQJ4d" TargetMode="External"/><Relationship Id="rId8226" Type="http://schemas.openxmlformats.org/officeDocument/2006/relationships/hyperlink" Target="https://www.facebook.com/thai.lai.9678" TargetMode="External"/><Relationship Id="rId8640" Type="http://schemas.openxmlformats.org/officeDocument/2006/relationships/hyperlink" Target="https://www.facebook.com/profile.php?id=100036064361875&amp;mibextid=JRoKGi" TargetMode="External"/><Relationship Id="rId3785" Type="http://schemas.openxmlformats.org/officeDocument/2006/relationships/hyperlink" Target="https://drive.google.com/open?id=16kYDArP4YHnk8GVP9Lvopm2ebrOdmydH" TargetMode="External"/><Relationship Id="rId4836" Type="http://schemas.openxmlformats.org/officeDocument/2006/relationships/hyperlink" Target="https://www.facebook.com/yun.bao.188?mibextid=ZbWKwL" TargetMode="External"/><Relationship Id="rId6191" Type="http://schemas.openxmlformats.org/officeDocument/2006/relationships/hyperlink" Target="https://www.facebook.com/profile.php?id=100058057120779" TargetMode="External"/><Relationship Id="rId7242" Type="http://schemas.openxmlformats.org/officeDocument/2006/relationships/hyperlink" Target="https://www.facebook.com/profile.php?id=100073664059933&amp;mibextid=ZbWKwL" TargetMode="External"/><Relationship Id="rId2387" Type="http://schemas.openxmlformats.org/officeDocument/2006/relationships/hyperlink" Target="https://www.facebook.com/profile.php?id=100012412156694" TargetMode="External"/><Relationship Id="rId3438" Type="http://schemas.openxmlformats.org/officeDocument/2006/relationships/hyperlink" Target="https://www.facebook.com/100055143096630/" TargetMode="External"/><Relationship Id="rId3852" Type="http://schemas.openxmlformats.org/officeDocument/2006/relationships/hyperlink" Target="https://drive.google.com/open?id=1ctMV9gkMzmS71mHomvBxR1dVs_RQy_4j" TargetMode="External"/><Relationship Id="rId359" Type="http://schemas.openxmlformats.org/officeDocument/2006/relationships/hyperlink" Target="https://www.facebook.com/thaiquyenflower?mibextid=9R9pXO" TargetMode="External"/><Relationship Id="rId773" Type="http://schemas.openxmlformats.org/officeDocument/2006/relationships/hyperlink" Target="https://drive.google.com/open?id=1-1jcQPOyUFLxianh_rayWfOS1HwtMNBx" TargetMode="External"/><Relationship Id="rId2454" Type="http://schemas.openxmlformats.org/officeDocument/2006/relationships/hyperlink" Target="https://www.facebook.com/profile.php?id=100067374817245&amp;mibextid=LQQJ4d" TargetMode="External"/><Relationship Id="rId3505" Type="http://schemas.openxmlformats.org/officeDocument/2006/relationships/hyperlink" Target="https://drive.google.com/open?id=1GRgAtK93TMbQ8Qp0dfrd7vohA_LtBgj0" TargetMode="External"/><Relationship Id="rId4903" Type="http://schemas.openxmlformats.org/officeDocument/2006/relationships/hyperlink" Target="https://drive.google.com/open?id=1EGlxZKgUFb8Z1iBAwc52Pzo8aYDa7pEc" TargetMode="External"/><Relationship Id="rId9067" Type="http://schemas.openxmlformats.org/officeDocument/2006/relationships/hyperlink" Target="https://www.facebook.com/profile.php?id=100053965261033&amp;mibextid=ZbWKwL" TargetMode="External"/><Relationship Id="rId9481" Type="http://schemas.openxmlformats.org/officeDocument/2006/relationships/hyperlink" Target="https://drive.google.com/open?id=1AUXzG6-OAdD4KLLLpAvY60j_norUEXQ5" TargetMode="External"/><Relationship Id="rId426" Type="http://schemas.openxmlformats.org/officeDocument/2006/relationships/hyperlink" Target="https://drive.google.com/open?id=1ns8m0k7KSDasM-QTHOcq0NdibJe2EMMH" TargetMode="External"/><Relationship Id="rId1056" Type="http://schemas.openxmlformats.org/officeDocument/2006/relationships/hyperlink" Target="https://www.facebook.com/profile.php?id=100031502611148&amp;mibextid=ZbWKwL" TargetMode="External"/><Relationship Id="rId2107" Type="http://schemas.openxmlformats.org/officeDocument/2006/relationships/hyperlink" Target="https://drive.google.com/open?id=1q7H05cZRnJLH-hqGateJt0KECYOMSCBL" TargetMode="External"/><Relationship Id="rId8083" Type="http://schemas.openxmlformats.org/officeDocument/2006/relationships/hyperlink" Target="https://www.facebook.com/profile.php?id=100085675103238&amp;mibextid=LQQJ4d" TargetMode="External"/><Relationship Id="rId9134" Type="http://schemas.openxmlformats.org/officeDocument/2006/relationships/hyperlink" Target="https://www.facebook.com/profile.php?id=100023270074212" TargetMode="External"/><Relationship Id="rId840" Type="http://schemas.openxmlformats.org/officeDocument/2006/relationships/hyperlink" Target="https://drive.google.com/open?id=1R6MLbhNohUbOLG9bX5-vWh98n3snAevb" TargetMode="External"/><Relationship Id="rId1470" Type="http://schemas.openxmlformats.org/officeDocument/2006/relationships/hyperlink" Target="https://www.facebook.com/profile.php?id=100042107073747" TargetMode="External"/><Relationship Id="rId2521" Type="http://schemas.openxmlformats.org/officeDocument/2006/relationships/hyperlink" Target="https://www.facebook.com/profile.php?id=100015593532802" TargetMode="External"/><Relationship Id="rId4279" Type="http://schemas.openxmlformats.org/officeDocument/2006/relationships/hyperlink" Target="https://www.facebook.com/profile.php?id=100052427267459" TargetMode="External"/><Relationship Id="rId5677" Type="http://schemas.openxmlformats.org/officeDocument/2006/relationships/hyperlink" Target="https://www.facebook.com/lananh.trinh.5095" TargetMode="External"/><Relationship Id="rId6728" Type="http://schemas.openxmlformats.org/officeDocument/2006/relationships/hyperlink" Target="https://www.facebook.com/profile.php?id=100022234133203&amp;mibextid=ZbWKwL" TargetMode="External"/><Relationship Id="rId1123" Type="http://schemas.openxmlformats.org/officeDocument/2006/relationships/hyperlink" Target="https://www.facebook.com/profile.php?id=100044599085831&amp;mibextid=LQQJ4d" TargetMode="External"/><Relationship Id="rId4693" Type="http://schemas.openxmlformats.org/officeDocument/2006/relationships/hyperlink" Target="https://web.facebook.com/profile.php?id=100078714356556&amp;mibextid=LQQJ4d&amp;_rdc=1&amp;_rdr" TargetMode="External"/><Relationship Id="rId5744" Type="http://schemas.openxmlformats.org/officeDocument/2006/relationships/hyperlink" Target="https://drive.google.com/open?id=152FaN10LYMC1dHaSJ_VwX8ja4OOLP7rm" TargetMode="External"/><Relationship Id="rId8150" Type="http://schemas.openxmlformats.org/officeDocument/2006/relationships/hyperlink" Target="https://www.facebook.com/profile.php?id=100077677489767&amp;mibextid=LQQJ4d" TargetMode="External"/><Relationship Id="rId9201" Type="http://schemas.openxmlformats.org/officeDocument/2006/relationships/hyperlink" Target="https://www.facebook.com/profile.php?id=100069988596011&amp;mibextid=LQQJ4d" TargetMode="External"/><Relationship Id="rId3295" Type="http://schemas.openxmlformats.org/officeDocument/2006/relationships/hyperlink" Target="https://drive.google.com/open?id=1WQI-BifzmFiwL_L0TpqeulD1RUXneQo5" TargetMode="External"/><Relationship Id="rId4346" Type="http://schemas.openxmlformats.org/officeDocument/2006/relationships/hyperlink" Target="https://www.facebook.com/hoa.phanhuyen.7?locale=vi_VN" TargetMode="External"/><Relationship Id="rId4760" Type="http://schemas.openxmlformats.org/officeDocument/2006/relationships/hyperlink" Target="https://www.facebook.com/profile.php?id=100004358086165" TargetMode="External"/><Relationship Id="rId5811" Type="http://schemas.openxmlformats.org/officeDocument/2006/relationships/hyperlink" Target="https://www.facebook.com/profile.php?id=61561721472102&amp;mibextid=ZbWKwL" TargetMode="External"/><Relationship Id="rId8967" Type="http://schemas.openxmlformats.org/officeDocument/2006/relationships/hyperlink" Target="https://www.facebook.com/tran.the.anh.197166" TargetMode="External"/><Relationship Id="rId3362" Type="http://schemas.openxmlformats.org/officeDocument/2006/relationships/hyperlink" Target="https://drive.google.com/open?id=1tTPy4jrEBzX3lDJfNbh5YkF0LH-nhdjo" TargetMode="External"/><Relationship Id="rId4413" Type="http://schemas.openxmlformats.org/officeDocument/2006/relationships/hyperlink" Target="https://www.facebook.com/ptpthao0311?mibextid=LQQJ4d" TargetMode="External"/><Relationship Id="rId7569" Type="http://schemas.openxmlformats.org/officeDocument/2006/relationships/hyperlink" Target="https://drive.google.com/open?id=1cOFgK-iDtlKvO_OPgGYZJEEcy5doC6eO" TargetMode="External"/><Relationship Id="rId7983" Type="http://schemas.openxmlformats.org/officeDocument/2006/relationships/hyperlink" Target="http://huyhoangfc28gmail.com/" TargetMode="External"/><Relationship Id="rId283" Type="http://schemas.openxmlformats.org/officeDocument/2006/relationships/hyperlink" Target="https://www.facebook.com/profile.php?id=100022786640362&amp;mibextid=LQQJ4d" TargetMode="External"/><Relationship Id="rId3015" Type="http://schemas.openxmlformats.org/officeDocument/2006/relationships/hyperlink" Target="https://www.facebook.com/profile.php?id=100021873186776&amp;locale=vi_VN" TargetMode="External"/><Relationship Id="rId6585" Type="http://schemas.openxmlformats.org/officeDocument/2006/relationships/hyperlink" Target="https://www.facebook.com/quynh.kudo.3" TargetMode="External"/><Relationship Id="rId7636" Type="http://schemas.openxmlformats.org/officeDocument/2006/relationships/hyperlink" Target="https://www.facebook.com/profile.php?id=100075896910042&amp;mibextid=LQQJ4d" TargetMode="External"/><Relationship Id="rId350" Type="http://schemas.openxmlformats.org/officeDocument/2006/relationships/hyperlink" Target="https://drive.google.com/open?id=1jYvV0TpJhMQY_-MOgdxHWw78kNBgEmaz" TargetMode="External"/><Relationship Id="rId2031" Type="http://schemas.openxmlformats.org/officeDocument/2006/relationships/hyperlink" Target="https://www.facebook.com/profile.php?id=100015680591693" TargetMode="External"/><Relationship Id="rId5187" Type="http://schemas.openxmlformats.org/officeDocument/2006/relationships/hyperlink" Target="https://www.facebook.com/trnathuy?mibextid=kFxxJD" TargetMode="External"/><Relationship Id="rId6238" Type="http://schemas.openxmlformats.org/officeDocument/2006/relationships/hyperlink" Target="https://www.facebook.com/profile.php?id=100090467447702&amp;mibextid=ZbWKwL" TargetMode="External"/><Relationship Id="rId5254" Type="http://schemas.openxmlformats.org/officeDocument/2006/relationships/hyperlink" Target="https://www.facebook.com/vuduyduc0910?mibextid=LQQJ4d" TargetMode="External"/><Relationship Id="rId6652" Type="http://schemas.openxmlformats.org/officeDocument/2006/relationships/hyperlink" Target="https://www.facebook.com/thien.lanh.39545464?mibextid=LQQJ4d" TargetMode="External"/><Relationship Id="rId7703" Type="http://schemas.openxmlformats.org/officeDocument/2006/relationships/hyperlink" Target="https://drive.google.com/open?id=1I06OJXKPCRYfrKDO3CgDoVmEC3DZyLzJ" TargetMode="External"/><Relationship Id="rId1797" Type="http://schemas.openxmlformats.org/officeDocument/2006/relationships/hyperlink" Target="https://www.facebook.com/profile.php?id=100024625904210" TargetMode="External"/><Relationship Id="rId2848" Type="http://schemas.openxmlformats.org/officeDocument/2006/relationships/hyperlink" Target="https://www.facebook.com/profile.php?id=100022824795575" TargetMode="External"/><Relationship Id="rId6305" Type="http://schemas.openxmlformats.org/officeDocument/2006/relationships/hyperlink" Target="https://www.facebook.com/doanhdo1421?mibextid=LQQJ4d" TargetMode="External"/><Relationship Id="rId89" Type="http://schemas.openxmlformats.org/officeDocument/2006/relationships/hyperlink" Target="https://drive.google.com/open?id=1pRL4NIPSlkEdsCVRw_1BbysKQyxsD9eZ" TargetMode="External"/><Relationship Id="rId1864" Type="http://schemas.openxmlformats.org/officeDocument/2006/relationships/hyperlink" Target="https://drive.google.com/open?id=1PxfZkUSMO5iAgrcaeH9TCP2hvEA1rxp8" TargetMode="External"/><Relationship Id="rId2915" Type="http://schemas.openxmlformats.org/officeDocument/2006/relationships/hyperlink" Target="https://www.facebook.com/hoan.ga.3591267?mibextid=ZbWKwL" TargetMode="External"/><Relationship Id="rId4270" Type="http://schemas.openxmlformats.org/officeDocument/2006/relationships/hyperlink" Target="https://www.facebook.com/bphuongn.92465?mibextid=LQQJ4d" TargetMode="External"/><Relationship Id="rId5321" Type="http://schemas.openxmlformats.org/officeDocument/2006/relationships/hyperlink" Target="https://www.facebook.com/lamhoa128?mibextid=LQQJ4d" TargetMode="External"/><Relationship Id="rId8477" Type="http://schemas.openxmlformats.org/officeDocument/2006/relationships/hyperlink" Target="https://www.facebook.com/phundo.onthemicc.05?mibextid=LQQJ4d" TargetMode="External"/><Relationship Id="rId8891" Type="http://schemas.openxmlformats.org/officeDocument/2006/relationships/hyperlink" Target="https://drive.google.com/open?id=1Qw2B2aRwLAP2AF9w4shkQAhPS-6pnPH6" TargetMode="External"/><Relationship Id="rId9528" Type="http://schemas.openxmlformats.org/officeDocument/2006/relationships/hyperlink" Target="https://www.facebook.com/lam.282005" TargetMode="External"/><Relationship Id="rId1517" Type="http://schemas.openxmlformats.org/officeDocument/2006/relationships/hyperlink" Target="https://drive.google.com/open?id=1U9fgIECHTL2JRyhD2nv8zem17hqH-dm2" TargetMode="External"/><Relationship Id="rId7079" Type="http://schemas.openxmlformats.org/officeDocument/2006/relationships/hyperlink" Target="https://www.facebook.com/ngoc.anhh.9406417?mibextid=LQQJ4d" TargetMode="External"/><Relationship Id="rId7493" Type="http://schemas.openxmlformats.org/officeDocument/2006/relationships/hyperlink" Target="https://drive.google.com/open?id=1lbeT4AErDtDXUSaMtVkxSFnX39HJMuIG" TargetMode="External"/><Relationship Id="rId8544" Type="http://schemas.openxmlformats.org/officeDocument/2006/relationships/hyperlink" Target="https://www.facebook.com/messages/t/100082895409770" TargetMode="External"/><Relationship Id="rId1931" Type="http://schemas.openxmlformats.org/officeDocument/2006/relationships/hyperlink" Target="https://www.facebook.com/Shahfour?mibextid=LQQJ4d" TargetMode="External"/><Relationship Id="rId3689" Type="http://schemas.openxmlformats.org/officeDocument/2006/relationships/hyperlink" Target="https://www.facebook.com/profile.php?id=100085675103238&amp;mibextid=LQQJ4d" TargetMode="External"/><Relationship Id="rId6095" Type="http://schemas.openxmlformats.org/officeDocument/2006/relationships/hyperlink" Target="https://www.facebook.com/namcung.nguyetkien.14?mibextid=JRoKGi" TargetMode="External"/><Relationship Id="rId7146" Type="http://schemas.openxmlformats.org/officeDocument/2006/relationships/hyperlink" Target="https://drive.google.com/open?id=1NHKU2sfHQ5aDfgIMnQq5ubk-chPoLPNy" TargetMode="External"/><Relationship Id="rId7560" Type="http://schemas.openxmlformats.org/officeDocument/2006/relationships/hyperlink" Target="https://www.facebook.com/hues.chanhs.31" TargetMode="External"/><Relationship Id="rId8611" Type="http://schemas.openxmlformats.org/officeDocument/2006/relationships/hyperlink" Target="https://www.facebook.com/share/1LmVmBRX8t/?mibextid=LQQJ4d" TargetMode="External"/><Relationship Id="rId6162" Type="http://schemas.openxmlformats.org/officeDocument/2006/relationships/hyperlink" Target="https://www.facebook.com/thien.lanh.39545464?mibextid=LQQJ4d" TargetMode="External"/><Relationship Id="rId7213" Type="http://schemas.openxmlformats.org/officeDocument/2006/relationships/hyperlink" Target="https://drive.google.com/open?id=1RB-6BFuTOe4HszwhtyzPpFMAGRPHWW5S" TargetMode="External"/><Relationship Id="rId677" Type="http://schemas.openxmlformats.org/officeDocument/2006/relationships/hyperlink" Target="https://www.facebook.com/linhh.thuy.linh.2024" TargetMode="External"/><Relationship Id="rId2358" Type="http://schemas.openxmlformats.org/officeDocument/2006/relationships/hyperlink" Target="https://drive.google.com/open?id=1NZNH6pdeukgxRI8eHYlndAgjsmXukwHz" TargetMode="External"/><Relationship Id="rId3756" Type="http://schemas.openxmlformats.org/officeDocument/2006/relationships/hyperlink" Target="https://www.facebook.com/lmhrosie.hanng?mibextid=LQQJ4d" TargetMode="External"/><Relationship Id="rId4807" Type="http://schemas.openxmlformats.org/officeDocument/2006/relationships/hyperlink" Target="https://www.facebook.com/profile.php?id=100070806355160&amp;mibextid=LQQJ4d" TargetMode="External"/><Relationship Id="rId9385" Type="http://schemas.openxmlformats.org/officeDocument/2006/relationships/hyperlink" Target="https://www.facebook.com/profile.php?id=100076356548759&amp;mibextid=ZbWKwL" TargetMode="External"/><Relationship Id="rId2772" Type="http://schemas.openxmlformats.org/officeDocument/2006/relationships/hyperlink" Target="https://www.facebook.com/Hieuanh060817" TargetMode="External"/><Relationship Id="rId3409" Type="http://schemas.openxmlformats.org/officeDocument/2006/relationships/hyperlink" Target="https://www.facebook.com/profile.php?id=100042072127874&amp;mibextid=hu50Ix" TargetMode="External"/><Relationship Id="rId3823" Type="http://schemas.openxmlformats.org/officeDocument/2006/relationships/hyperlink" Target="https://www.facebook.com/profile.php?id=100054645571155&amp;mibextid=LQQJ4d" TargetMode="External"/><Relationship Id="rId6979" Type="http://schemas.openxmlformats.org/officeDocument/2006/relationships/hyperlink" Target="https://www.facebook.com/profile.php?id=61563650609650" TargetMode="External"/><Relationship Id="rId9038" Type="http://schemas.openxmlformats.org/officeDocument/2006/relationships/hyperlink" Target="https://www.facebook.com/profile.php?id=100050627298759&amp;mibextid=LQQJ4d" TargetMode="External"/><Relationship Id="rId744" Type="http://schemas.openxmlformats.org/officeDocument/2006/relationships/hyperlink" Target="https://www.facebook.com/profile.php?id=100084063604065&amp;mibextid=LQQJ4d" TargetMode="External"/><Relationship Id="rId1374" Type="http://schemas.openxmlformats.org/officeDocument/2006/relationships/hyperlink" Target="https://www.facebook.com/profile.php?id=100036099408765&amp;mibextid=ZbWKwL" TargetMode="External"/><Relationship Id="rId2425" Type="http://schemas.openxmlformats.org/officeDocument/2006/relationships/hyperlink" Target="https://www.facebook.com/profile.php?id=100010540268062" TargetMode="External"/><Relationship Id="rId5995" Type="http://schemas.openxmlformats.org/officeDocument/2006/relationships/hyperlink" Target="https://www.facebook.com/profile.php?id=61550891798675" TargetMode="External"/><Relationship Id="rId9452" Type="http://schemas.openxmlformats.org/officeDocument/2006/relationships/hyperlink" Target="https://www.facebook.com/share/1DWi1sbjtM/?mibextid=wwXIfr" TargetMode="External"/><Relationship Id="rId80" Type="http://schemas.openxmlformats.org/officeDocument/2006/relationships/hyperlink" Target="https://drive.google.com/open?id=1cK6-q6cL_yH6-nplauV6-E0WD9_Eg41T" TargetMode="External"/><Relationship Id="rId811" Type="http://schemas.openxmlformats.org/officeDocument/2006/relationships/hyperlink" Target="https://www.facebook.com/profile.php?id=100031557363600&amp;mibextid=LQQJ4d" TargetMode="External"/><Relationship Id="rId1027" Type="http://schemas.openxmlformats.org/officeDocument/2006/relationships/hyperlink" Target="https://drive.google.com/open?id=1FSsyLKQSt8FJE57vpMiSr3cwT4tFVn51" TargetMode="External"/><Relationship Id="rId1441" Type="http://schemas.openxmlformats.org/officeDocument/2006/relationships/hyperlink" Target="https://www.facebook.com/profile.php?id=100018121942767&amp;mibextid=LQQJ4d" TargetMode="External"/><Relationship Id="rId4597" Type="http://schemas.openxmlformats.org/officeDocument/2006/relationships/hyperlink" Target="https://www.facebook.com/khoinguyen.huynh.50596" TargetMode="External"/><Relationship Id="rId5648" Type="http://schemas.openxmlformats.org/officeDocument/2006/relationships/hyperlink" Target="https://drive.google.com/open?id=1QRRO4WkCkOvWITuY0EkJnIdHzQsNRyNz" TargetMode="External"/><Relationship Id="rId8054" Type="http://schemas.openxmlformats.org/officeDocument/2006/relationships/hyperlink" Target="https://www.facebook.com/profile.php?id=100069530143176" TargetMode="External"/><Relationship Id="rId9105" Type="http://schemas.openxmlformats.org/officeDocument/2006/relationships/hyperlink" Target="https://drive.google.com/open?id=1SeEty9EgxGNNT5UPRjGBbmb0u3ZKs4Ap" TargetMode="External"/><Relationship Id="rId3199" Type="http://schemas.openxmlformats.org/officeDocument/2006/relationships/hyperlink" Target="https://drive.google.com/open?id=1U9fgIECHTL2JRyhD2nv8zem17hqH-dm2" TargetMode="External"/><Relationship Id="rId4664" Type="http://schemas.openxmlformats.org/officeDocument/2006/relationships/hyperlink" Target="https://www.facebook.com/profile.php?id=100034150181265" TargetMode="External"/><Relationship Id="rId5715" Type="http://schemas.openxmlformats.org/officeDocument/2006/relationships/hyperlink" Target="https://drive.google.com/open?id=1htP7Prj6XrrJaeKXgRn-bK_1JgOiJLHY" TargetMode="External"/><Relationship Id="rId7070" Type="http://schemas.openxmlformats.org/officeDocument/2006/relationships/hyperlink" Target="https://drive.google.com/open?id=11BQEDFdXql1BHCNdvMJg6ekMLFtqOK67" TargetMode="External"/><Relationship Id="rId8121" Type="http://schemas.openxmlformats.org/officeDocument/2006/relationships/hyperlink" Target="https://www.facebook.com/profile.php?id=100040461849967" TargetMode="External"/><Relationship Id="rId3266" Type="http://schemas.openxmlformats.org/officeDocument/2006/relationships/hyperlink" Target="https://drive.google.com/open?id=1h035zd0Pw6YxaohNfBQl9UlzB1FpqX8H" TargetMode="External"/><Relationship Id="rId4317" Type="http://schemas.openxmlformats.org/officeDocument/2006/relationships/hyperlink" Target="https://www.facebook.com/profile.php?id=100034944344140&amp;_rdc=1&amp;_rdr" TargetMode="External"/><Relationship Id="rId187" Type="http://schemas.openxmlformats.org/officeDocument/2006/relationships/hyperlink" Target="https://drive.google.com/open?id=1Y1nccTKP8R6xBKnWX5swlcSyEXo-N_LG" TargetMode="External"/><Relationship Id="rId2282" Type="http://schemas.openxmlformats.org/officeDocument/2006/relationships/hyperlink" Target="https://drive.google.com/open?id=1_EQCqrwq-2QP2e6ocq-kVUIzyyfhWyB4" TargetMode="External"/><Relationship Id="rId3680" Type="http://schemas.openxmlformats.org/officeDocument/2006/relationships/hyperlink" Target="https://www.facebook.com/uyenn.vuongg.52?mibextid=LQQJ4d" TargetMode="External"/><Relationship Id="rId4731" Type="http://schemas.openxmlformats.org/officeDocument/2006/relationships/hyperlink" Target="https://www.facebook.com/profile.php?id=61553967831189&amp;mibextid=PtKPJ9" TargetMode="External"/><Relationship Id="rId6489" Type="http://schemas.openxmlformats.org/officeDocument/2006/relationships/hyperlink" Target="https://www.facebook.com/profile.php?id=100049382973451&amp;mibextid=LQQJ4d" TargetMode="External"/><Relationship Id="rId7887" Type="http://schemas.openxmlformats.org/officeDocument/2006/relationships/hyperlink" Target="https://www.facebook.com/profile.php?id=100064077106160&amp;mibextid=ZbWKwL" TargetMode="External"/><Relationship Id="rId8938" Type="http://schemas.openxmlformats.org/officeDocument/2006/relationships/hyperlink" Target="https://drive.google.com/open?id=1-B1mlUpIusSSb83ZkeUOXbz4yx_VSFeZ" TargetMode="External"/><Relationship Id="rId254" Type="http://schemas.openxmlformats.org/officeDocument/2006/relationships/hyperlink" Target="https://drive.google.com/open?id=1LtQ98IYeCunvp0iO-c6cxSARhkniqDuT" TargetMode="External"/><Relationship Id="rId3333" Type="http://schemas.openxmlformats.org/officeDocument/2006/relationships/hyperlink" Target="https://drive.google.com/open?id=1LF1-Wn28JIN0r8YrquNWugmbv2TTzkyI" TargetMode="External"/><Relationship Id="rId7954" Type="http://schemas.openxmlformats.org/officeDocument/2006/relationships/hyperlink" Target="https://drive.google.com/open?id=1-aKk91CEzfpRd0sizhi4HtdK8JK8POpD" TargetMode="External"/><Relationship Id="rId3400" Type="http://schemas.openxmlformats.org/officeDocument/2006/relationships/hyperlink" Target="https://drive.google.com/open?id=1_RRIzR_UUcDxsBvP-N0ND0oto2-IjFU4" TargetMode="External"/><Relationship Id="rId6556" Type="http://schemas.openxmlformats.org/officeDocument/2006/relationships/hyperlink" Target="https://www.facebook.com/profile.php?id=100064245103043&amp;mibextid=LQQJ4d" TargetMode="External"/><Relationship Id="rId6970" Type="http://schemas.openxmlformats.org/officeDocument/2006/relationships/hyperlink" Target="https://www.facebook.com/profile.php?id=100069113527674" TargetMode="External"/><Relationship Id="rId7607" Type="http://schemas.openxmlformats.org/officeDocument/2006/relationships/hyperlink" Target="https://www.facebook.com/profile.php?id=100046267123946&amp;mibextid=ZbWKwL" TargetMode="External"/><Relationship Id="rId321" Type="http://schemas.openxmlformats.org/officeDocument/2006/relationships/hyperlink" Target="https://www.facebook.com/qanhdethws1?mibextid=LQQJ4d" TargetMode="External"/><Relationship Id="rId2002" Type="http://schemas.openxmlformats.org/officeDocument/2006/relationships/hyperlink" Target="https://www.facebook.com/profile.php?id=100064236200804&amp;mibextid=LQQJ4d" TargetMode="External"/><Relationship Id="rId5158" Type="http://schemas.openxmlformats.org/officeDocument/2006/relationships/hyperlink" Target="https://www.facebook.com/profile.php?id=100025330666009" TargetMode="External"/><Relationship Id="rId5572" Type="http://schemas.openxmlformats.org/officeDocument/2006/relationships/hyperlink" Target="https://www.facebook.com/phvanh1301?mibextid=ZbWKwL" TargetMode="External"/><Relationship Id="rId6209" Type="http://schemas.openxmlformats.org/officeDocument/2006/relationships/hyperlink" Target="https://www.facebook.com/karry.nguyen.906638?mibextid=LQQJ4d" TargetMode="External"/><Relationship Id="rId6623" Type="http://schemas.openxmlformats.org/officeDocument/2006/relationships/hyperlink" Target="https://drive.google.com/open?id=1JO0bbnqqGnEh1gkmVuxPlfznTZh3RW5G" TargetMode="External"/><Relationship Id="rId1768" Type="http://schemas.openxmlformats.org/officeDocument/2006/relationships/hyperlink" Target="https://www.facebook.com/changlovebaozi?mibextid=LQQJ4d" TargetMode="External"/><Relationship Id="rId2819" Type="http://schemas.openxmlformats.org/officeDocument/2006/relationships/hyperlink" Target="https://www.facebook.com/profile.php?id=100054409000741&amp;mibextid=LQQJ4d" TargetMode="External"/><Relationship Id="rId4174" Type="http://schemas.openxmlformats.org/officeDocument/2006/relationships/hyperlink" Target="https://www.facebook.com/lgtihjtuhhaf?mibextid=kFxxJD" TargetMode="External"/><Relationship Id="rId5225" Type="http://schemas.openxmlformats.org/officeDocument/2006/relationships/hyperlink" Target="https://www.facebook.com/nguyenngocanh612006?mibextid=LQQJ4d" TargetMode="External"/><Relationship Id="rId8795" Type="http://schemas.openxmlformats.org/officeDocument/2006/relationships/hyperlink" Target="https://drive.google.com/open?id=1UXs7hlSHJQJDPzi-w1uXipyzJdjHJS-8" TargetMode="External"/><Relationship Id="rId3190" Type="http://schemas.openxmlformats.org/officeDocument/2006/relationships/hyperlink" Target="https://drive.google.com/open?id=1hy563E7n5OIHiEojehSaySxfe5NZidF3" TargetMode="External"/><Relationship Id="rId4241" Type="http://schemas.openxmlformats.org/officeDocument/2006/relationships/hyperlink" Target="https://www.facebook.com/hngocxinhdep?mibextid=LQQJ4d" TargetMode="External"/><Relationship Id="rId7397" Type="http://schemas.openxmlformats.org/officeDocument/2006/relationships/hyperlink" Target="https://drive.google.com/open?id=1I42H1Y4iDHPcNFaDj1lHGduxgqE899YA" TargetMode="External"/><Relationship Id="rId8448" Type="http://schemas.openxmlformats.org/officeDocument/2006/relationships/hyperlink" Target="https://drive.google.com/open?id=1-pe1EF-n4H9mJjklA_cqVPbATS3SUF4k" TargetMode="External"/><Relationship Id="rId1835" Type="http://schemas.openxmlformats.org/officeDocument/2006/relationships/hyperlink" Target="https://drive.google.com/open?id=1vRqntq954BR7poAUlR8qRb9lBhMxyCu_" TargetMode="External"/><Relationship Id="rId7464" Type="http://schemas.openxmlformats.org/officeDocument/2006/relationships/hyperlink" Target="https://www.facebook.com/ngocctienn.nguyenn.1?mibextid=ZbWKwL" TargetMode="External"/><Relationship Id="rId8862" Type="http://schemas.openxmlformats.org/officeDocument/2006/relationships/hyperlink" Target="https://drive.google.com/open?id=1GfV5584UsB0GKdyP0fImi8OJLhyPxfUK" TargetMode="External"/><Relationship Id="rId1902" Type="http://schemas.openxmlformats.org/officeDocument/2006/relationships/hyperlink" Target="https://www.facebook.com/trang.vuhuyen.7121614" TargetMode="External"/><Relationship Id="rId6066" Type="http://schemas.openxmlformats.org/officeDocument/2006/relationships/hyperlink" Target="https://www.facebook.com/profile.php?id=100076261647517&amp;mibextid=LQQJ4d" TargetMode="External"/><Relationship Id="rId7117" Type="http://schemas.openxmlformats.org/officeDocument/2006/relationships/hyperlink" Target="https://drive.google.com/open?id=1kaiEDPyjNjdgdDYdI3RNXxfFTK_Egud_" TargetMode="External"/><Relationship Id="rId8515" Type="http://schemas.openxmlformats.org/officeDocument/2006/relationships/hyperlink" Target="https://www.facebook.com/quynhmike11?mibextid=LQQJ4d" TargetMode="External"/><Relationship Id="rId6480" Type="http://schemas.openxmlformats.org/officeDocument/2006/relationships/hyperlink" Target="https://www.facebook.com/thytrmnek" TargetMode="External"/><Relationship Id="rId7531" Type="http://schemas.openxmlformats.org/officeDocument/2006/relationships/hyperlink" Target="https://www.facebook.com/profile.php?id=100063171704208&amp;mibextid=LQQJ4d" TargetMode="External"/><Relationship Id="rId995" Type="http://schemas.openxmlformats.org/officeDocument/2006/relationships/hyperlink" Target="https://www.facebook.com/profile.php?id=100059311505553" TargetMode="External"/><Relationship Id="rId2676" Type="http://schemas.openxmlformats.org/officeDocument/2006/relationships/hyperlink" Target="https://www.facebook.com/otori.kirino?mibextid=ZbWKwL" TargetMode="External"/><Relationship Id="rId3727" Type="http://schemas.openxmlformats.org/officeDocument/2006/relationships/hyperlink" Target="https://drive.google.com/open?id=17E1GiGCj4lW8nLpXS0FZRA7_NHA44P0z" TargetMode="External"/><Relationship Id="rId5082" Type="http://schemas.openxmlformats.org/officeDocument/2006/relationships/hyperlink" Target="https://www.facebook.com/profile.php?id=100021621310065" TargetMode="External"/><Relationship Id="rId6133" Type="http://schemas.openxmlformats.org/officeDocument/2006/relationships/hyperlink" Target="https://www.facebook.com/profile.php?id=100063274654528&amp;mibextid=LQQJ4d" TargetMode="External"/><Relationship Id="rId9289" Type="http://schemas.openxmlformats.org/officeDocument/2006/relationships/hyperlink" Target="https://drive.google.com/open?id=1uozneevKmolIPNZk5PepkZKqlYwsQbc_" TargetMode="External"/><Relationship Id="rId648" Type="http://schemas.openxmlformats.org/officeDocument/2006/relationships/hyperlink" Target="https://www.facebook.com/profile.php?id=100082944153533" TargetMode="External"/><Relationship Id="rId1278" Type="http://schemas.openxmlformats.org/officeDocument/2006/relationships/hyperlink" Target="https://www.facebook.com/profile.php?id=100009775327696&amp;mibextid=ZbWKwL" TargetMode="External"/><Relationship Id="rId1692" Type="http://schemas.openxmlformats.org/officeDocument/2006/relationships/hyperlink" Target="https://drive.google.com/open?id=1tyYavLh_4z7qTF6Xp_AJ0y5JJV_h0NO9" TargetMode="External"/><Relationship Id="rId2329" Type="http://schemas.openxmlformats.org/officeDocument/2006/relationships/hyperlink" Target="https://www.facebook.com/profile.php?id=100031588725737&amp;mibextid=LQQJ4d" TargetMode="External"/><Relationship Id="rId2743" Type="http://schemas.openxmlformats.org/officeDocument/2006/relationships/hyperlink" Target="https://www.facebook.com/khuctuan.vu?mibextid=LQQJ4d" TargetMode="External"/><Relationship Id="rId5899" Type="http://schemas.openxmlformats.org/officeDocument/2006/relationships/hyperlink" Target="https://www.facebook.com/profile.php?id=100036441483655" TargetMode="External"/><Relationship Id="rId6200" Type="http://schemas.openxmlformats.org/officeDocument/2006/relationships/hyperlink" Target="https://www.facebook.com/profile.php?id=100081167659620&amp;mibextid=LQQJ4d&amp;rdid=57dN6xFsI0VsTro8&amp;share_url=https%3A%2F%2Fwww.facebook.com%2Fshare%2F1VxgvL5DuPSyo1UE%2F%3Fmibextid%3DLQQJ4d" TargetMode="External"/><Relationship Id="rId9356" Type="http://schemas.openxmlformats.org/officeDocument/2006/relationships/hyperlink" Target="https://www.facebook.com/share/1899TRBWVb/?mibextid=wwXIfr" TargetMode="External"/><Relationship Id="rId715" Type="http://schemas.openxmlformats.org/officeDocument/2006/relationships/hyperlink" Target="https://www.facebook.com/profile.php?id=100009855037839&amp;mibextid=LQQJ4d" TargetMode="External"/><Relationship Id="rId1345" Type="http://schemas.openxmlformats.org/officeDocument/2006/relationships/hyperlink" Target="https://drive.google.com/open?id=1v4ZQjazVfr81QZrXbq8Rmogn7LZIp-iW" TargetMode="External"/><Relationship Id="rId8372" Type="http://schemas.openxmlformats.org/officeDocument/2006/relationships/hyperlink" Target="https://www.facebook.com/profile.php?id=100065642561551" TargetMode="External"/><Relationship Id="rId9009" Type="http://schemas.openxmlformats.org/officeDocument/2006/relationships/hyperlink" Target="https://www.facebook.com/doan.manhlam79204" TargetMode="External"/><Relationship Id="rId9423" Type="http://schemas.openxmlformats.org/officeDocument/2006/relationships/hyperlink" Target="https://www.facebook.com/share/1CFVoc6ioV/?mibextid=wwXIfr" TargetMode="External"/><Relationship Id="rId2810" Type="http://schemas.openxmlformats.org/officeDocument/2006/relationships/hyperlink" Target="https://www.facebook.com/profile.php?id=100066019002870&amp;mibextid=LQQJ4d" TargetMode="External"/><Relationship Id="rId4568" Type="http://schemas.openxmlformats.org/officeDocument/2006/relationships/hyperlink" Target="https://drive.google.com/open?id=1XMoBrcByCnu1EkznK7HTNlCLNYTzqtAA" TargetMode="External"/><Relationship Id="rId5966" Type="http://schemas.openxmlformats.org/officeDocument/2006/relationships/hyperlink" Target="https://www.facebook.com/profile.php?id=100030179374744&amp;mibextid=LQQJ4d" TargetMode="External"/><Relationship Id="rId8025" Type="http://schemas.openxmlformats.org/officeDocument/2006/relationships/hyperlink" Target="https://www.facebook.com/ng.quang15K" TargetMode="External"/><Relationship Id="rId51" Type="http://schemas.openxmlformats.org/officeDocument/2006/relationships/hyperlink" Target="https://www.facebook.com/profile.php?id=100014919613043&amp;mibextid=ZbWKwL" TargetMode="External"/><Relationship Id="rId1412" Type="http://schemas.openxmlformats.org/officeDocument/2006/relationships/hyperlink" Target="https://drive.google.com/open?id=1pukysIJ-nbqyCLcbeGqUH2qUfcidTten" TargetMode="External"/><Relationship Id="rId4982" Type="http://schemas.openxmlformats.org/officeDocument/2006/relationships/hyperlink" Target="https://www.facebook.com/nhattan.hoang.1848?mibextid=ZbWKwL" TargetMode="External"/><Relationship Id="rId5619" Type="http://schemas.openxmlformats.org/officeDocument/2006/relationships/hyperlink" Target="https://www.facebook.com/profile.php?id=100069839164772&amp;mibextid=LQQJ4d" TargetMode="External"/><Relationship Id="rId7041" Type="http://schemas.openxmlformats.org/officeDocument/2006/relationships/hyperlink" Target="https://www.facebook.com/canhxuongngonngot?mibextid=LQQJ4d" TargetMode="External"/><Relationship Id="rId3584" Type="http://schemas.openxmlformats.org/officeDocument/2006/relationships/hyperlink" Target="https://www.facebook.com/an.duonghieu.7" TargetMode="External"/><Relationship Id="rId4635" Type="http://schemas.openxmlformats.org/officeDocument/2006/relationships/hyperlink" Target="https://www.facebook.com/nhan.nguyentho.90?mibextid=ZbWKwL" TargetMode="External"/><Relationship Id="rId158" Type="http://schemas.openxmlformats.org/officeDocument/2006/relationships/hyperlink" Target="https://www.facebook.com/profile.php?id=100079699883336&amp;mibextid=ZbWKwL" TargetMode="External"/><Relationship Id="rId2186" Type="http://schemas.openxmlformats.org/officeDocument/2006/relationships/hyperlink" Target="https://www.facebook.com/tranquangvinh1610v" TargetMode="External"/><Relationship Id="rId3237" Type="http://schemas.openxmlformats.org/officeDocument/2006/relationships/hyperlink" Target="https://www.facebook.com/profile.php?id=100017344118210&amp;mibextid=zLoPMf" TargetMode="External"/><Relationship Id="rId3651" Type="http://schemas.openxmlformats.org/officeDocument/2006/relationships/hyperlink" Target="https://www.facebook.com/profile.php?id=61553005190466&amp;mibextid=LQQJ4d" TargetMode="External"/><Relationship Id="rId4702" Type="http://schemas.openxmlformats.org/officeDocument/2006/relationships/hyperlink" Target="https://www.facebook.com/nhu1204?mibextid=LQQJ4d" TargetMode="External"/><Relationship Id="rId7858" Type="http://schemas.openxmlformats.org/officeDocument/2006/relationships/hyperlink" Target="https://www.facebook.com/profile.php?id=61550105780885&amp;mibextid=LQQJ4d" TargetMode="External"/><Relationship Id="rId8909" Type="http://schemas.openxmlformats.org/officeDocument/2006/relationships/hyperlink" Target="https://www.facebook.com/lanhhan.yennhi.3" TargetMode="External"/><Relationship Id="rId572" Type="http://schemas.openxmlformats.org/officeDocument/2006/relationships/hyperlink" Target="https://www.facebook.com/profile.php?id=100008901673209&amp;mibextid=LQQJ4d" TargetMode="External"/><Relationship Id="rId2253" Type="http://schemas.openxmlformats.org/officeDocument/2006/relationships/hyperlink" Target="https://www.facebook.com/profile.php?id=100055805196599" TargetMode="External"/><Relationship Id="rId3304" Type="http://schemas.openxmlformats.org/officeDocument/2006/relationships/hyperlink" Target="https://www.facebook.com/duongthianh.huyen.9?mibextid=LQQJ4d" TargetMode="External"/><Relationship Id="rId6874" Type="http://schemas.openxmlformats.org/officeDocument/2006/relationships/hyperlink" Target="https://www.facebook.com/trammota18?mibextid=LQQJ4d" TargetMode="External"/><Relationship Id="rId7925" Type="http://schemas.openxmlformats.org/officeDocument/2006/relationships/hyperlink" Target="https://www.facebook.com/ngoxuantan27?mibextid=LQQJ4d" TargetMode="External"/><Relationship Id="rId9280" Type="http://schemas.openxmlformats.org/officeDocument/2006/relationships/hyperlink" Target="https://www.facebook.com/share/1BJXqWLM2B/?mibextid=wwXIfr" TargetMode="External"/><Relationship Id="rId225" Type="http://schemas.openxmlformats.org/officeDocument/2006/relationships/hyperlink" Target="https://www.facebook.com/nhatanh.tran.39750121?mibextid=ZbWKwL" TargetMode="External"/><Relationship Id="rId2320" Type="http://schemas.openxmlformats.org/officeDocument/2006/relationships/hyperlink" Target="https://drive.google.com/open?id=1iaaW1eRY3pq01kJ7LPh_wI1GQRfBcYdx" TargetMode="External"/><Relationship Id="rId5476" Type="http://schemas.openxmlformats.org/officeDocument/2006/relationships/hyperlink" Target="https://www.facebook.com/profile.php?id=100082847074343&amp;mibextid=LQQJ4d" TargetMode="External"/><Relationship Id="rId6527" Type="http://schemas.openxmlformats.org/officeDocument/2006/relationships/hyperlink" Target="https://www.facebook.com/profile.php?id=100019168627478&amp;mibextid=PlNXYD" TargetMode="External"/><Relationship Id="rId4078" Type="http://schemas.openxmlformats.org/officeDocument/2006/relationships/hyperlink" Target="https://drive.google.com/open?id=1GfktBgMDeoK9NYnZ1ZrD1n1EfEUWj17m" TargetMode="External"/><Relationship Id="rId4492" Type="http://schemas.openxmlformats.org/officeDocument/2006/relationships/hyperlink" Target="https://www.facebook.com/profile.php?id=100024447983410" TargetMode="External"/><Relationship Id="rId5129" Type="http://schemas.openxmlformats.org/officeDocument/2006/relationships/hyperlink" Target="https://drive.google.com/open?id=11Raez6oAIfkCnbkMIG9TWMjtuWd8_dCc" TargetMode="External"/><Relationship Id="rId5543" Type="http://schemas.openxmlformats.org/officeDocument/2006/relationships/hyperlink" Target="https://drive.google.com/open?id=11mAHxso13CbL0paubYRdTQjvRmJfAevY" TargetMode="External"/><Relationship Id="rId5890" Type="http://schemas.openxmlformats.org/officeDocument/2006/relationships/hyperlink" Target="https://www.facebook.com/bui.haianh.1297?mibextid=ZbWKwL" TargetMode="External"/><Relationship Id="rId6941" Type="http://schemas.openxmlformats.org/officeDocument/2006/relationships/hyperlink" Target="https://www.facebook.com/profile.php?id=100054165919368&amp;mibextid=LQQJ4d" TargetMode="External"/><Relationship Id="rId8699" Type="http://schemas.openxmlformats.org/officeDocument/2006/relationships/hyperlink" Target="https://drive.google.com/open?id=1ir29OGRx2iWSFXHId1T6Ua4969rGb4D-" TargetMode="External"/><Relationship Id="rId9000" Type="http://schemas.openxmlformats.org/officeDocument/2006/relationships/hyperlink" Target="https://drive.google.com/open?id=14fAahYalhQ7c3EX0KGwGbqpGLA7Hn6YG" TargetMode="External"/><Relationship Id="rId3094" Type="http://schemas.openxmlformats.org/officeDocument/2006/relationships/hyperlink" Target="https://www.facebook.com/profile.php?id=100056490060170&amp;mibextid=LQQJ4d" TargetMode="External"/><Relationship Id="rId4145" Type="http://schemas.openxmlformats.org/officeDocument/2006/relationships/hyperlink" Target="https://www.facebook.com/profile.php?id=100047727480025&amp;mibextid=LQQJ4d" TargetMode="External"/><Relationship Id="rId1739" Type="http://schemas.openxmlformats.org/officeDocument/2006/relationships/hyperlink" Target="https://www.facebook.com/phanduyhihi?mibextid=ZbWKwL" TargetMode="External"/><Relationship Id="rId5610" Type="http://schemas.openxmlformats.org/officeDocument/2006/relationships/hyperlink" Target="https://www.facebook.com/profile.php?id=100068407743435&amp;locale=vi_VN" TargetMode="External"/><Relationship Id="rId8766" Type="http://schemas.openxmlformats.org/officeDocument/2006/relationships/hyperlink" Target="https://www.facebook.com/nhanlinkbayacc?mibextid=kFxxJ" TargetMode="External"/><Relationship Id="rId1806" Type="http://schemas.openxmlformats.org/officeDocument/2006/relationships/hyperlink" Target="https://www.facebook.com/profile.php?id=100011778961135&amp;mibextid=LQQJ4d" TargetMode="External"/><Relationship Id="rId3161" Type="http://schemas.openxmlformats.org/officeDocument/2006/relationships/hyperlink" Target="https://www.facebook.com/profile.php?id=100075587312475" TargetMode="External"/><Relationship Id="rId4212" Type="http://schemas.openxmlformats.org/officeDocument/2006/relationships/hyperlink" Target="https://www.facebook.com/iues.10?mibextid=LQQJ4d" TargetMode="External"/><Relationship Id="rId7368" Type="http://schemas.openxmlformats.org/officeDocument/2006/relationships/hyperlink" Target="https://www.facebook.com/profile.php?id=100020077930596&amp;mibextid=LQQJ4d" TargetMode="External"/><Relationship Id="rId7782" Type="http://schemas.openxmlformats.org/officeDocument/2006/relationships/hyperlink" Target="https://drive.google.com/open?id=1m3lsXKZM-cnZQ7SIkpiQwND9SWiHdyTT" TargetMode="External"/><Relationship Id="rId8419" Type="http://schemas.openxmlformats.org/officeDocument/2006/relationships/hyperlink" Target="https://www.facebook.com/vuvanphong.P?mibextid=LQQJ4d" TargetMode="External"/><Relationship Id="rId8833" Type="http://schemas.openxmlformats.org/officeDocument/2006/relationships/hyperlink" Target="https://www.facebook.com/profile.php?id=100054800331906&amp;mibextid=wwXIfr&amp;mibextid=wwXIfr" TargetMode="External"/><Relationship Id="rId3978" Type="http://schemas.openxmlformats.org/officeDocument/2006/relationships/hyperlink" Target="https://www.facebook.com/profile.php?id=100060470957137" TargetMode="External"/><Relationship Id="rId6384" Type="http://schemas.openxmlformats.org/officeDocument/2006/relationships/hyperlink" Target="https://drive.google.com/open?id=1xR_DOdmHBcI68yVPXG0EyCDq1L1HbuBE" TargetMode="External"/><Relationship Id="rId7435" Type="http://schemas.openxmlformats.org/officeDocument/2006/relationships/hyperlink" Target="https://www.facebook.com/share/1E4jLFNEz1/?mibextid=wwXIfr" TargetMode="External"/><Relationship Id="rId8900" Type="http://schemas.openxmlformats.org/officeDocument/2006/relationships/hyperlink" Target="https://drive.google.com/open?id=1jXr4y0aPmP0wuM-FfzvL7_NljbnraR3W" TargetMode="External"/><Relationship Id="rId899" Type="http://schemas.openxmlformats.org/officeDocument/2006/relationships/hyperlink" Target="https://drive.google.com/open?id=1S1byQVBqvCLF5mRcc9bfrZ-OQ4PDemu8" TargetMode="External"/><Relationship Id="rId6037" Type="http://schemas.openxmlformats.org/officeDocument/2006/relationships/hyperlink" Target="https://www.facebook.com/profile.php?id=100023936400619&amp;mibextid=JRoKGi" TargetMode="External"/><Relationship Id="rId6451" Type="http://schemas.openxmlformats.org/officeDocument/2006/relationships/hyperlink" Target="https://www.facebook.com/profile.php?id=100025660681227" TargetMode="External"/><Relationship Id="rId7502" Type="http://schemas.openxmlformats.org/officeDocument/2006/relationships/hyperlink" Target="https://www.facebook.com/de6nn?mibextid=ZbWKwL" TargetMode="External"/><Relationship Id="rId966" Type="http://schemas.openxmlformats.org/officeDocument/2006/relationships/hyperlink" Target="https://drive.google.com/open?id=1co4UvEoFMhPTRdO7qEjaGXh7Dpt3wAAP" TargetMode="External"/><Relationship Id="rId1596" Type="http://schemas.openxmlformats.org/officeDocument/2006/relationships/hyperlink" Target="https://www.facebook.com/profile.php?id=100039610624819&amp;mibextid=ZbWKwL" TargetMode="External"/><Relationship Id="rId2647" Type="http://schemas.openxmlformats.org/officeDocument/2006/relationships/hyperlink" Target="https://www.facebook.com/kthuwwwne?mibextid=LQQJ4d" TargetMode="External"/><Relationship Id="rId2994" Type="http://schemas.openxmlformats.org/officeDocument/2006/relationships/hyperlink" Target="https://drive.google.com/open?id=1-RL7CRXuidzSeCzQ8nV99OTwVCqAerbg" TargetMode="External"/><Relationship Id="rId5053" Type="http://schemas.openxmlformats.org/officeDocument/2006/relationships/hyperlink" Target="https://drive.google.com/open?id=1xhoDcP-5hJCQjEUyYqi2v1Dv34b6npuo" TargetMode="External"/><Relationship Id="rId6104" Type="http://schemas.openxmlformats.org/officeDocument/2006/relationships/hyperlink" Target="https://www.facebook.com/mom.men.904?mibextid=LQQJ4d" TargetMode="External"/><Relationship Id="rId619" Type="http://schemas.openxmlformats.org/officeDocument/2006/relationships/hyperlink" Target="https://www.facebook.com/profile.php?id=100078893750675" TargetMode="External"/><Relationship Id="rId1249" Type="http://schemas.openxmlformats.org/officeDocument/2006/relationships/hyperlink" Target="https://drive.google.com/open?id=1_U1-QlX-whVqNHRmgJ5vg6NlasQTvjvv" TargetMode="External"/><Relationship Id="rId5120" Type="http://schemas.openxmlformats.org/officeDocument/2006/relationships/hyperlink" Target="https://www.facebook.com/profile.php?id=100016511880303" TargetMode="External"/><Relationship Id="rId8276" Type="http://schemas.openxmlformats.org/officeDocument/2006/relationships/hyperlink" Target="https://drive.google.com/open?id=1PYMWkiKj9Efj3ip64BstYcpyfD8Ed8g-" TargetMode="External"/><Relationship Id="rId9327" Type="http://schemas.openxmlformats.org/officeDocument/2006/relationships/hyperlink" Target="https://www.facebook.com/profile.php?id=100043138998216&amp;mibextid=LQQJ4d" TargetMode="External"/><Relationship Id="rId1663" Type="http://schemas.openxmlformats.org/officeDocument/2006/relationships/hyperlink" Target="https://www.facebook.com/leeq.16.12?mibextid=nW3QTL" TargetMode="External"/><Relationship Id="rId2714" Type="http://schemas.openxmlformats.org/officeDocument/2006/relationships/hyperlink" Target="https://drive.google.com/open?id=1lg4rZggUmwEUmczdEtL-Dv6VsB1dba0z" TargetMode="External"/><Relationship Id="rId8690" Type="http://schemas.openxmlformats.org/officeDocument/2006/relationships/hyperlink" Target="https://www.facebook.com/manhdung2006?mibextid=LQQJ4d" TargetMode="External"/><Relationship Id="rId1316" Type="http://schemas.openxmlformats.org/officeDocument/2006/relationships/hyperlink" Target="https://drive.google.com/open?id=1Th3EK-DXy6vpSbkktH5fiEQ_oxeZBoNf" TargetMode="External"/><Relationship Id="rId1730" Type="http://schemas.openxmlformats.org/officeDocument/2006/relationships/hyperlink" Target="https://www.facebook.com/MayGamerVN" TargetMode="External"/><Relationship Id="rId4886" Type="http://schemas.openxmlformats.org/officeDocument/2006/relationships/hyperlink" Target="https://drive.google.com/open?id=1j1Ka7YT1xnyc7V-lGDLi58JKDQBOGtQt" TargetMode="External"/><Relationship Id="rId5937" Type="http://schemas.openxmlformats.org/officeDocument/2006/relationships/hyperlink" Target="https://www.facebook.com/profile.php?id=61561721472102&amp;mibextid=ZbWKwL" TargetMode="External"/><Relationship Id="rId7292" Type="http://schemas.openxmlformats.org/officeDocument/2006/relationships/hyperlink" Target="https://drive.google.com/open?id=1dQB_6byLFuQwGT-nqfy_nAiEnPZ7wHkm" TargetMode="External"/><Relationship Id="rId8343" Type="http://schemas.openxmlformats.org/officeDocument/2006/relationships/hyperlink" Target="https://www.facebook.com/profile.php?id=100055558790977&amp;mibextid=LQQJ4d" TargetMode="External"/><Relationship Id="rId22" Type="http://schemas.openxmlformats.org/officeDocument/2006/relationships/hyperlink" Target="https://www.facebook.com/messages/t/100032258626972/" TargetMode="External"/><Relationship Id="rId3488" Type="http://schemas.openxmlformats.org/officeDocument/2006/relationships/hyperlink" Target="https://www.facebook.com/mius.mius.391?mibextid=ZbWKwL" TargetMode="External"/><Relationship Id="rId4539" Type="http://schemas.openxmlformats.org/officeDocument/2006/relationships/hyperlink" Target="https://www.facebook.com/lam.vutunglam.14?mibextid=LQQJ4d" TargetMode="External"/><Relationship Id="rId4953" Type="http://schemas.openxmlformats.org/officeDocument/2006/relationships/hyperlink" Target="https://www.facebook.com/people/Minh-Th%C6%B0/pfbid02VrcwnRYHbPmE7YzrfncawXHRuo1YzSvYAouuUwpZBwxwhCMfCNKuLnbLg6z9HeUxl/" TargetMode="External"/><Relationship Id="rId8410" Type="http://schemas.openxmlformats.org/officeDocument/2006/relationships/hyperlink" Target="https://www.facebook.com/profile.php?id=100043512092162&amp;mib" TargetMode="External"/><Relationship Id="rId3555" Type="http://schemas.openxmlformats.org/officeDocument/2006/relationships/hyperlink" Target="https://www.facebook.com/profile.php?id=100034538379360&amp;mibextid=LQQJ4d" TargetMode="External"/><Relationship Id="rId4606" Type="http://schemas.openxmlformats.org/officeDocument/2006/relationships/hyperlink" Target="https://www.facebook.com/profile.php?id=100068516730192&amp;mibextid=LQQJ4d" TargetMode="External"/><Relationship Id="rId7012" Type="http://schemas.openxmlformats.org/officeDocument/2006/relationships/hyperlink" Target="https://www.facebook.com/vananh.uong.35" TargetMode="External"/><Relationship Id="rId476" Type="http://schemas.openxmlformats.org/officeDocument/2006/relationships/hyperlink" Target="https://www.facebook.com/profile.php?id=100009598031917&amp;mibextid=LQQJ4d" TargetMode="External"/><Relationship Id="rId890" Type="http://schemas.openxmlformats.org/officeDocument/2006/relationships/hyperlink" Target="https://www.facebook.com/profile.php?id=100027078076914" TargetMode="External"/><Relationship Id="rId2157" Type="http://schemas.openxmlformats.org/officeDocument/2006/relationships/hyperlink" Target="https://drive.google.com/open?id=1ewXTNrwXe64Xy3ul1DrGGjcfrMrq67Lf" TargetMode="External"/><Relationship Id="rId2571" Type="http://schemas.openxmlformats.org/officeDocument/2006/relationships/hyperlink" Target="https://www.facebook.com/anddy.hoang.94?mibextid=LQQJ4dq" TargetMode="External"/><Relationship Id="rId3208" Type="http://schemas.openxmlformats.org/officeDocument/2006/relationships/hyperlink" Target="https://www.facebook.com/profile.php?id=100026960076425&amp;mibextid=LQQJ4d" TargetMode="External"/><Relationship Id="rId6778" Type="http://schemas.openxmlformats.org/officeDocument/2006/relationships/hyperlink" Target="https://www.facebook.com/profile.php?id=100078041570900&amp;mibextid=LQQJ4d" TargetMode="External"/><Relationship Id="rId9184" Type="http://schemas.openxmlformats.org/officeDocument/2006/relationships/hyperlink" Target="https://drive.google.com/open?id=1q7KPPlaK4Z3DAQb-un8qj89zHOdXbtKo" TargetMode="External"/><Relationship Id="rId129" Type="http://schemas.openxmlformats.org/officeDocument/2006/relationships/hyperlink" Target="https://drive.google.com/open?id=1ZTwwXpBDvR5crk2Th_EqrKnaXWCgSufw" TargetMode="External"/><Relationship Id="rId543" Type="http://schemas.openxmlformats.org/officeDocument/2006/relationships/hyperlink" Target="https://www.facebook.com/profile.php?id=100045655191727" TargetMode="External"/><Relationship Id="rId1173" Type="http://schemas.openxmlformats.org/officeDocument/2006/relationships/hyperlink" Target="https://www.facebook.com/thuw.namlung" TargetMode="External"/><Relationship Id="rId2224" Type="http://schemas.openxmlformats.org/officeDocument/2006/relationships/hyperlink" Target="https://www.facebook.com/Lkhuyen3107?mibextid=LQQJ4d" TargetMode="External"/><Relationship Id="rId3622" Type="http://schemas.openxmlformats.org/officeDocument/2006/relationships/hyperlink" Target="https://www.facebook.com/quang.nguyentrong.7370013?locale=vi_VN" TargetMode="External"/><Relationship Id="rId7829" Type="http://schemas.openxmlformats.org/officeDocument/2006/relationships/hyperlink" Target="https://www.facebook.com/share/1BTxmLV6ax/?mibextid=wwXIfr" TargetMode="External"/><Relationship Id="rId9251" Type="http://schemas.openxmlformats.org/officeDocument/2006/relationships/hyperlink" Target="https://www.facebook.com/profile.php?id=100067681272274" TargetMode="External"/><Relationship Id="rId5794" Type="http://schemas.openxmlformats.org/officeDocument/2006/relationships/hyperlink" Target="https://drive.google.com/open?id=1j6WLtw2EuFRgRxVJT-7s565tUc84eGUA" TargetMode="External"/><Relationship Id="rId6845" Type="http://schemas.openxmlformats.org/officeDocument/2006/relationships/hyperlink" Target="https://www.facebook.com/thienan244?mibextid=LQQJ4d" TargetMode="External"/><Relationship Id="rId610" Type="http://schemas.openxmlformats.org/officeDocument/2006/relationships/hyperlink" Target="https://www.facebook.com/profile.php?id=100018297822527" TargetMode="External"/><Relationship Id="rId1240" Type="http://schemas.openxmlformats.org/officeDocument/2006/relationships/hyperlink" Target="https://www.facebook.com/profile.php?id=100023101955678" TargetMode="External"/><Relationship Id="rId4049" Type="http://schemas.openxmlformats.org/officeDocument/2006/relationships/hyperlink" Target="https://drive.google.com/open?id=17r9F2QSZLxtpOBv28ObLCEuCXiMyNA5n" TargetMode="External"/><Relationship Id="rId4396" Type="http://schemas.openxmlformats.org/officeDocument/2006/relationships/hyperlink" Target="https://www.facebook.com/profile.php?id=100043512092162&amp;mib" TargetMode="External"/><Relationship Id="rId5447" Type="http://schemas.openxmlformats.org/officeDocument/2006/relationships/hyperlink" Target="https://www.facebook.com/profile.php?id=100021503648410" TargetMode="External"/><Relationship Id="rId5861" Type="http://schemas.openxmlformats.org/officeDocument/2006/relationships/hyperlink" Target="https://www.facebook.com/profile.php?id=100069497659761&amp;mibextid=LQQJ4d" TargetMode="External"/><Relationship Id="rId6912" Type="http://schemas.openxmlformats.org/officeDocument/2006/relationships/hyperlink" Target="https://www.facebook.com/daothimydung010806?mibextid=LQQJ4d" TargetMode="External"/><Relationship Id="rId4463" Type="http://schemas.openxmlformats.org/officeDocument/2006/relationships/hyperlink" Target="https://www.facebook.com/profile.php?id=100057192910782&amp;mibextid=ZbWKwL" TargetMode="External"/><Relationship Id="rId5514" Type="http://schemas.openxmlformats.org/officeDocument/2006/relationships/hyperlink" Target="https://www.facebook.com/khhuyen257" TargetMode="External"/><Relationship Id="rId3065" Type="http://schemas.openxmlformats.org/officeDocument/2006/relationships/hyperlink" Target="https://www.facebook.com/profile.php?id=100075766762403&amp;mibextid=ibOpuV" TargetMode="External"/><Relationship Id="rId4116" Type="http://schemas.openxmlformats.org/officeDocument/2006/relationships/hyperlink" Target="https://www.facebook.com/profile.php?id=100013287166595" TargetMode="External"/><Relationship Id="rId4530" Type="http://schemas.openxmlformats.org/officeDocument/2006/relationships/hyperlink" Target="https://www.facebook.com/nhiss.bangss.54?mibextid=LQQJ4d" TargetMode="External"/><Relationship Id="rId7686" Type="http://schemas.openxmlformats.org/officeDocument/2006/relationships/hyperlink" Target="https://www.facebook.com/longnhi.thach.1" TargetMode="External"/><Relationship Id="rId8737" Type="http://schemas.openxmlformats.org/officeDocument/2006/relationships/hyperlink" Target="https://www.facebook.com/chglilie20.90lilichg" TargetMode="External"/><Relationship Id="rId2081" Type="http://schemas.openxmlformats.org/officeDocument/2006/relationships/hyperlink" Target="https://www.facebook.com/profile.php?id=100051147399166&amp;mibextid=LQQJ4d" TargetMode="External"/><Relationship Id="rId3132" Type="http://schemas.openxmlformats.org/officeDocument/2006/relationships/hyperlink" Target="https://www.facebook.com/profile.php?id=100031501542232" TargetMode="External"/><Relationship Id="rId6288" Type="http://schemas.openxmlformats.org/officeDocument/2006/relationships/hyperlink" Target="https://m.facebook.com/profile.php?id=100074363474552&amp;wtsid=rdr_0ehx0aHjwv8LWllVd" TargetMode="External"/><Relationship Id="rId7339" Type="http://schemas.openxmlformats.org/officeDocument/2006/relationships/hyperlink" Target="https://www.facebook.com/nguyen.pun.54?mibextid=ZbWKwL" TargetMode="External"/><Relationship Id="rId7753" Type="http://schemas.openxmlformats.org/officeDocument/2006/relationships/hyperlink" Target="https://www.facebook.com/share/1NgtpJXnQf/?mibextid=LQQJ4d" TargetMode="External"/><Relationship Id="rId6355" Type="http://schemas.openxmlformats.org/officeDocument/2006/relationships/hyperlink" Target="https://www.facebook.com/profile.php?id=100048138592987" TargetMode="External"/><Relationship Id="rId7406" Type="http://schemas.openxmlformats.org/officeDocument/2006/relationships/hyperlink" Target="https://www.facebook.com/lua.nguyenngoc.351" TargetMode="External"/><Relationship Id="rId8804" Type="http://schemas.openxmlformats.org/officeDocument/2006/relationships/hyperlink" Target="https://drive.google.com/open?id=1Iti16tOe_FMwrePBrlzgjiipPrGfkqhY" TargetMode="External"/><Relationship Id="rId120" Type="http://schemas.openxmlformats.org/officeDocument/2006/relationships/hyperlink" Target="https://www.facebook.com/profile.php?id=100081645124079&amp;sk=friends_mutual" TargetMode="External"/><Relationship Id="rId2898" Type="http://schemas.openxmlformats.org/officeDocument/2006/relationships/hyperlink" Target="https://www.facebook.com/htu.uienz" TargetMode="External"/><Relationship Id="rId3949" Type="http://schemas.openxmlformats.org/officeDocument/2006/relationships/hyperlink" Target="https://www.facebook.com/profile.php?id=100069894230057&amp;mibextid=LQQJ4d" TargetMode="External"/><Relationship Id="rId6008" Type="http://schemas.openxmlformats.org/officeDocument/2006/relationships/hyperlink" Target="https://www.facebook.com/desquaos.banscuas?mibextid=LQQJ4d" TargetMode="External"/><Relationship Id="rId7820" Type="http://schemas.openxmlformats.org/officeDocument/2006/relationships/hyperlink" Target="https://www.facebook.com/people/Huy%E1%BB%81n-Huy%E1%BB%81n/pfbid025CV4wb1MsC2Mb4dyErumhYYb9LNr9TiKyaKpfJ6E2rhYSRp93xQjdU2i47idpYLgl/" TargetMode="External"/><Relationship Id="rId2965" Type="http://schemas.openxmlformats.org/officeDocument/2006/relationships/hyperlink" Target="https://www.facebook.com/ot.be.963?mibextid=ZbWKwL" TargetMode="External"/><Relationship Id="rId5024" Type="http://schemas.openxmlformats.org/officeDocument/2006/relationships/hyperlink" Target="https://www.facebook.com/profile.php?id=100050306023727" TargetMode="External"/><Relationship Id="rId5371" Type="http://schemas.openxmlformats.org/officeDocument/2006/relationships/hyperlink" Target="https://www.facebook.com/giang.phamthitruong.7" TargetMode="External"/><Relationship Id="rId6422" Type="http://schemas.openxmlformats.org/officeDocument/2006/relationships/hyperlink" Target="https://drive.google.com/open?id=1zI1pYtaKxOiQ2ATKsHXD_O78McPPru3P" TargetMode="External"/><Relationship Id="rId9578" Type="http://schemas.openxmlformats.org/officeDocument/2006/relationships/hyperlink" Target="https://www.facebook.com/share/1EyPGKpGwo/?mibextid=wwXIfr" TargetMode="External"/><Relationship Id="rId937" Type="http://schemas.openxmlformats.org/officeDocument/2006/relationships/hyperlink" Target="https://www.facebook.com/khanh.toan.Isme" TargetMode="External"/><Relationship Id="rId1567" Type="http://schemas.openxmlformats.org/officeDocument/2006/relationships/hyperlink" Target="https://www.facebook.com/genoussss?mibextid=LQQJ4d" TargetMode="External"/><Relationship Id="rId1981" Type="http://schemas.openxmlformats.org/officeDocument/2006/relationships/hyperlink" Target="https://www.facebook.com/daocute16?mibextid=LQQJ4d" TargetMode="External"/><Relationship Id="rId2618" Type="http://schemas.openxmlformats.org/officeDocument/2006/relationships/hyperlink" Target="https://www.facebook.com/profile.php?id=100027051054274" TargetMode="External"/><Relationship Id="rId8594" Type="http://schemas.openxmlformats.org/officeDocument/2006/relationships/hyperlink" Target="https://www.facebook.com/profile.php?id=100069162640832&amp;mibextid=ZbWKwL" TargetMode="External"/><Relationship Id="rId1634" Type="http://schemas.openxmlformats.org/officeDocument/2006/relationships/hyperlink" Target="https://drive.google.com/open?id=1qNJbnyDFGyPLk_LdkIRcT1Ldi4KBcVd2" TargetMode="External"/><Relationship Id="rId4040" Type="http://schemas.openxmlformats.org/officeDocument/2006/relationships/hyperlink" Target="https://drive.google.com/open?id=1RAk3rpH-zbNU3A_QPQLcDi0q4Q9MVYx0" TargetMode="External"/><Relationship Id="rId7196" Type="http://schemas.openxmlformats.org/officeDocument/2006/relationships/hyperlink" Target="https://www.facebook.com/profile.php?id=100040242012173" TargetMode="External"/><Relationship Id="rId8247" Type="http://schemas.openxmlformats.org/officeDocument/2006/relationships/hyperlink" Target="https://www.facebook.com/profile.php?id=100069276800974&amp;mibextid=wwXIfr&amp;rdid=bCp7ZNe26YHmzswm&amp;share_url=https%3A%2F%2Fwww.facebook.com%2Fshare%2F1KSmAKCyv1%2F%3Fmibextid%3DwwXIfr" TargetMode="External"/><Relationship Id="rId8661" Type="http://schemas.openxmlformats.org/officeDocument/2006/relationships/hyperlink" Target="https://www.facebook.com/profile.php?id=100074223753460" TargetMode="External"/><Relationship Id="rId4857" Type="http://schemas.openxmlformats.org/officeDocument/2006/relationships/hyperlink" Target="https://www.facebook.com/profile.php?id=100089508102997" TargetMode="External"/><Relationship Id="rId7263" Type="http://schemas.openxmlformats.org/officeDocument/2006/relationships/hyperlink" Target="https://www.facebook.com/profile.php?id=100048372600127" TargetMode="External"/><Relationship Id="rId8314" Type="http://schemas.openxmlformats.org/officeDocument/2006/relationships/hyperlink" Target="https://www.facebook.com/nguyentl306?mibextid=LQQJ4d" TargetMode="External"/><Relationship Id="rId1701" Type="http://schemas.openxmlformats.org/officeDocument/2006/relationships/hyperlink" Target="https://drive.google.com/open?id=1el3SHnXVYshmA6xKdj7UZ3SMRFUyjevz" TargetMode="External"/><Relationship Id="rId3459" Type="http://schemas.openxmlformats.org/officeDocument/2006/relationships/hyperlink" Target="https://www.facebook.com/profile.php?id=100067619229825" TargetMode="External"/><Relationship Id="rId5908" Type="http://schemas.openxmlformats.org/officeDocument/2006/relationships/hyperlink" Target="https://drive.google.com/open?id=1RKULeKHRFYvtkeQKVk8yQTaUh1bGjW_l" TargetMode="External"/><Relationship Id="rId7330" Type="http://schemas.openxmlformats.org/officeDocument/2006/relationships/hyperlink" Target="https://www.facebook.com/black.kieu.71" TargetMode="External"/><Relationship Id="rId3873" Type="http://schemas.openxmlformats.org/officeDocument/2006/relationships/hyperlink" Target="https://www.facebook.com/profile.php?id=100083721160600&amp;mibextid=ZbWKwL" TargetMode="External"/><Relationship Id="rId4924" Type="http://schemas.openxmlformats.org/officeDocument/2006/relationships/hyperlink" Target="https://www.facebook.com/profile.php?id=100071289745945&amp;mibextid=LQQJ4d" TargetMode="External"/><Relationship Id="rId9088" Type="http://schemas.openxmlformats.org/officeDocument/2006/relationships/hyperlink" Target="https://www.facebook.com/profile.php?id=100069882165065" TargetMode="External"/><Relationship Id="rId447" Type="http://schemas.openxmlformats.org/officeDocument/2006/relationships/hyperlink" Target="https://drive.google.com/open?id=1DwOsj11ij9kuQin0rfPFCB_BszJjDBvd" TargetMode="External"/><Relationship Id="rId794" Type="http://schemas.openxmlformats.org/officeDocument/2006/relationships/hyperlink" Target="https://www.facebook.com/profile.php?id=100071287430797&amp;mibextid=2JQ9oc" TargetMode="External"/><Relationship Id="rId1077" Type="http://schemas.openxmlformats.org/officeDocument/2006/relationships/hyperlink" Target="https://drive.google.com/open?id=1xceF82Fi4yurkRRNfDKDabyTPm9AN_Do" TargetMode="External"/><Relationship Id="rId2128" Type="http://schemas.openxmlformats.org/officeDocument/2006/relationships/hyperlink" Target="https://www.facebook.com/profile.php?id=100055195807282" TargetMode="External"/><Relationship Id="rId2475" Type="http://schemas.openxmlformats.org/officeDocument/2006/relationships/hyperlink" Target="https://www.facebook.com/gas.chy.5?mibextid=LQQJ4d" TargetMode="External"/><Relationship Id="rId3526" Type="http://schemas.openxmlformats.org/officeDocument/2006/relationships/hyperlink" Target="https://www.facebook.com/nguyenmy5505" TargetMode="External"/><Relationship Id="rId3940" Type="http://schemas.openxmlformats.org/officeDocument/2006/relationships/hyperlink" Target="https://www.facebook.com/quang1997" TargetMode="External"/><Relationship Id="rId9155" Type="http://schemas.openxmlformats.org/officeDocument/2006/relationships/hyperlink" Target="https://www.facebook.com/huongthumai1207?mibextid=LQQJ4d" TargetMode="External"/><Relationship Id="rId861" Type="http://schemas.openxmlformats.org/officeDocument/2006/relationships/hyperlink" Target="https://www.facebook.com/profile.php?id=100053394561093&amp;mibextid=LQQJ4d" TargetMode="External"/><Relationship Id="rId1491" Type="http://schemas.openxmlformats.org/officeDocument/2006/relationships/hyperlink" Target="https://www.facebook.com/100013465806896/" TargetMode="External"/><Relationship Id="rId2542" Type="http://schemas.openxmlformats.org/officeDocument/2006/relationships/hyperlink" Target="https://www.facebook.com/profile.php?id=100048078816710&amp;mibextid=LQQJ4d" TargetMode="External"/><Relationship Id="rId5698" Type="http://schemas.openxmlformats.org/officeDocument/2006/relationships/hyperlink" Target="https://www.facebook.com/profile.php?id=100052203168746" TargetMode="External"/><Relationship Id="rId6749" Type="http://schemas.openxmlformats.org/officeDocument/2006/relationships/hyperlink" Target="https://drive.google.com/open?id=1JAd6M63BcUt7DFPNjWrO1ROn3nL_NiY3" TargetMode="External"/><Relationship Id="rId514" Type="http://schemas.openxmlformats.org/officeDocument/2006/relationships/hyperlink" Target="https://drive.google.com/open?id=10wkYEMP61zO-57JAyixs2mH7J8rQ5r-b" TargetMode="External"/><Relationship Id="rId1144" Type="http://schemas.openxmlformats.org/officeDocument/2006/relationships/hyperlink" Target="https://www.facebook.com/miuka.takahashi?mibextid=avESrC" TargetMode="External"/><Relationship Id="rId5765" Type="http://schemas.openxmlformats.org/officeDocument/2006/relationships/hyperlink" Target="https://www.facebook.com/profile.php?id=100042705532110&amp;mibextid=2JQ9oc" TargetMode="External"/><Relationship Id="rId6816" Type="http://schemas.openxmlformats.org/officeDocument/2006/relationships/hyperlink" Target="https://www.facebook.com/profile.php?id=100044846827490&amp;mibextid=LQQJ4d" TargetMode="External"/><Relationship Id="rId8171" Type="http://schemas.openxmlformats.org/officeDocument/2006/relationships/hyperlink" Target="https://www.facebook.com/people/Tr%E1%BA%A7n-Kh%E1%BA%AFc-Tr%E1%BB%8Dng/pfbid0234Wx6oGqTbjQTGYPWwxmoiKWBdrYvbEfzV6SHjW148ZrMwAxiwZijmL3HYU9o7p9l/" TargetMode="External"/><Relationship Id="rId9222" Type="http://schemas.openxmlformats.org/officeDocument/2006/relationships/hyperlink" Target="https://www.facebook.com/profile.php?id=100035395291497" TargetMode="External"/><Relationship Id="rId1211" Type="http://schemas.openxmlformats.org/officeDocument/2006/relationships/hyperlink" Target="https://www.facebook.com/hallo.minhf.laf.Di.ddaay?mibextid=LQQJ4d" TargetMode="External"/><Relationship Id="rId4367" Type="http://schemas.openxmlformats.org/officeDocument/2006/relationships/hyperlink" Target="https://www.facebook.com/hoangphuc.le.35912672?mibextid=LQQJ4d" TargetMode="External"/><Relationship Id="rId4781" Type="http://schemas.openxmlformats.org/officeDocument/2006/relationships/hyperlink" Target="https://drive.google.com/open?id=1jQ_KaNr6P_468LTkJ8aDhWIrYmLxSNX2" TargetMode="External"/><Relationship Id="rId5418" Type="http://schemas.openxmlformats.org/officeDocument/2006/relationships/hyperlink" Target="https://www.facebook.com/profile.php?id=100082997329944&amp;mibextid=LQQJ4d" TargetMode="External"/><Relationship Id="rId5832" Type="http://schemas.openxmlformats.org/officeDocument/2006/relationships/hyperlink" Target="https://www.facebook.com/profile.php?id=61550988725471&amp;mibextid=LQQJ4d" TargetMode="External"/><Relationship Id="rId8988" Type="http://schemas.openxmlformats.org/officeDocument/2006/relationships/hyperlink" Target="https://www.facebook.com/TrucLinhPV" TargetMode="External"/><Relationship Id="rId3383" Type="http://schemas.openxmlformats.org/officeDocument/2006/relationships/hyperlink" Target="https://www.facebook.com/profile.php?id=100042160840444&amp;mibextid=LQQJ4d" TargetMode="External"/><Relationship Id="rId4434" Type="http://schemas.openxmlformats.org/officeDocument/2006/relationships/hyperlink" Target="https://drive.google.com/open?id=1HM9Mzm5yThnTzGOAO0kuVMQYiEbhj0b4" TargetMode="External"/><Relationship Id="rId3036" Type="http://schemas.openxmlformats.org/officeDocument/2006/relationships/hyperlink" Target="https://www.facebook.com/100049276033676/" TargetMode="External"/><Relationship Id="rId371" Type="http://schemas.openxmlformats.org/officeDocument/2006/relationships/hyperlink" Target="https://drive.google.com/open?id=1SJuUHMAKjRIjrVbRMJzwWTGhS2Mjp-D4" TargetMode="External"/><Relationship Id="rId2052" Type="http://schemas.openxmlformats.org/officeDocument/2006/relationships/hyperlink" Target="https://drive.google.com/open?id=1RX4AlOFXF2gjOv0rNgmq9NQVLUH7AIv6" TargetMode="External"/><Relationship Id="rId3450" Type="http://schemas.openxmlformats.org/officeDocument/2006/relationships/hyperlink" Target="https://www.facebook.com/profile.php?id=100011306165100&amp;mibextid=LQQJ4d" TargetMode="External"/><Relationship Id="rId4501" Type="http://schemas.openxmlformats.org/officeDocument/2006/relationships/hyperlink" Target="https://drive.google.com/open?id=1-pe1EF-n4H9mJjklA_cqVPbATS3SUF4k" TargetMode="External"/><Relationship Id="rId6259" Type="http://schemas.openxmlformats.org/officeDocument/2006/relationships/hyperlink" Target="https://www.facebook.com/profile.php?id=100085078613571&amp;mibextid=LQQJ4d" TargetMode="External"/><Relationship Id="rId7657" Type="http://schemas.openxmlformats.org/officeDocument/2006/relationships/hyperlink" Target="https://www.facebook.com/profile.php?id=100066200371040&amp;mibextid=LQQJ4d" TargetMode="External"/><Relationship Id="rId8708" Type="http://schemas.openxmlformats.org/officeDocument/2006/relationships/hyperlink" Target="https://www.facebook.com/samua05?mibextid=ZbWKwL" TargetMode="External"/><Relationship Id="rId3103" Type="http://schemas.openxmlformats.org/officeDocument/2006/relationships/hyperlink" Target="https://drive.google.com/open?id=1rC8OqZ1JWKv2v0ktMRNFM4tohD_VYPHg" TargetMode="External"/><Relationship Id="rId6673" Type="http://schemas.openxmlformats.org/officeDocument/2006/relationships/hyperlink" Target="https://m.facebook.com/profile.php?id=100074363474552&amp;wtsid=rdr_0ehx0aHjwv8LWllVd" TargetMode="External"/><Relationship Id="rId7724" Type="http://schemas.openxmlformats.org/officeDocument/2006/relationships/hyperlink" Target="https://drive.google.com/open?id=14O6_oKdet9odYZyJDXZxPBoSI-1gz7sp" TargetMode="External"/><Relationship Id="rId2869" Type="http://schemas.openxmlformats.org/officeDocument/2006/relationships/hyperlink" Target="https://drive.google.com/open?id=17EUmP-ZT1OzQBE777VJ49bCL-hsxWG7e" TargetMode="External"/><Relationship Id="rId5275" Type="http://schemas.openxmlformats.org/officeDocument/2006/relationships/hyperlink" Target="https://www.facebook.com/han.trong.3557?mibextid=LQQJ4d" TargetMode="External"/><Relationship Id="rId6326" Type="http://schemas.openxmlformats.org/officeDocument/2006/relationships/hyperlink" Target="https://www.facebook.com/thienanhiselsey?mibextid=LQQJ4d" TargetMode="External"/><Relationship Id="rId6740" Type="http://schemas.openxmlformats.org/officeDocument/2006/relationships/hyperlink" Target="https://www.facebook.com/profile.php?id=100025333098909&amp;mibextid=ZbWKwL" TargetMode="External"/><Relationship Id="rId1885" Type="http://schemas.openxmlformats.org/officeDocument/2006/relationships/hyperlink" Target="https://drive.google.com/open?id=1dn3L2zZ-f21Brjd0rNY9evahlUiJYbWu" TargetMode="External"/><Relationship Id="rId2936" Type="http://schemas.openxmlformats.org/officeDocument/2006/relationships/hyperlink" Target="https://www.facebook.com/profile.php?id=100057673704717&amp;mibextid=LQQJ4d" TargetMode="External"/><Relationship Id="rId4291" Type="http://schemas.openxmlformats.org/officeDocument/2006/relationships/hyperlink" Target="https://www.facebook.com/profile.php?id=100083022805316" TargetMode="External"/><Relationship Id="rId5342" Type="http://schemas.openxmlformats.org/officeDocument/2006/relationships/hyperlink" Target="https://www.facebook.com/ngocoanh.nguyenthi.359778" TargetMode="External"/><Relationship Id="rId8498" Type="http://schemas.openxmlformats.org/officeDocument/2006/relationships/hyperlink" Target="https://www.facebook.com/profile.php?id=100066362700204&amp;mibextid=LQQJ4d" TargetMode="External"/><Relationship Id="rId9549" Type="http://schemas.openxmlformats.org/officeDocument/2006/relationships/hyperlink" Target="https://www.facebook.com/share/14ynjVU76U/?mibextid=wwXIfr" TargetMode="External"/><Relationship Id="rId908" Type="http://schemas.openxmlformats.org/officeDocument/2006/relationships/hyperlink" Target="https://www.facebook.com/trinh.giahan.3304" TargetMode="External"/><Relationship Id="rId1538" Type="http://schemas.openxmlformats.org/officeDocument/2006/relationships/hyperlink" Target="https://www.facebook.com/hailinh.2504?mibextid=ZbWKwL" TargetMode="External"/><Relationship Id="rId8565" Type="http://schemas.openxmlformats.org/officeDocument/2006/relationships/hyperlink" Target="https://www.facebook.com/tuan.thien.585559?mibextid=LQQJ4d" TargetMode="External"/><Relationship Id="rId1952" Type="http://schemas.openxmlformats.org/officeDocument/2006/relationships/hyperlink" Target="https://www.facebook.com/chongemlaPackChanyeol?mibextid=LQQJ4d" TargetMode="External"/><Relationship Id="rId4011" Type="http://schemas.openxmlformats.org/officeDocument/2006/relationships/hyperlink" Target="https://www.facebook.com/profile.php?id=100025568838096" TargetMode="External"/><Relationship Id="rId7167" Type="http://schemas.openxmlformats.org/officeDocument/2006/relationships/hyperlink" Target="https://drive.google.com/open?id=1DZgEPJvC2MTShymzda5md6jxv1d_LWlO" TargetMode="External"/><Relationship Id="rId8218" Type="http://schemas.openxmlformats.org/officeDocument/2006/relationships/hyperlink" Target="https://www.facebook.com/share/1XELjbdiux/?mibextid=wwXIfr" TargetMode="External"/><Relationship Id="rId1605" Type="http://schemas.openxmlformats.org/officeDocument/2006/relationships/hyperlink" Target="https://www.facebook.com/profile.php?id=100033990849589" TargetMode="External"/><Relationship Id="rId6183" Type="http://schemas.openxmlformats.org/officeDocument/2006/relationships/hyperlink" Target="https://www.facebook.com/tridz06" TargetMode="External"/><Relationship Id="rId7234" Type="http://schemas.openxmlformats.org/officeDocument/2006/relationships/hyperlink" Target="https://drive.google.com/open?id=1XugOks8c7bzfckju-KTQxa-b8ujUUE-u" TargetMode="External"/><Relationship Id="rId7581" Type="http://schemas.openxmlformats.org/officeDocument/2006/relationships/hyperlink" Target="https://www.facebook.com/tangvan.hao.9865?mibextid=LQQJ4d" TargetMode="External"/><Relationship Id="rId8632" Type="http://schemas.openxmlformats.org/officeDocument/2006/relationships/hyperlink" Target="https://www.facebook.com/share/1DHWNYdAuF/?mibextid=wwXIfr" TargetMode="External"/><Relationship Id="rId3777" Type="http://schemas.openxmlformats.org/officeDocument/2006/relationships/hyperlink" Target="https://drive.google.com/open?id=12ZCgDPAKOVKeX3zvwASQPA5c73gsrEdJ" TargetMode="External"/><Relationship Id="rId4828" Type="http://schemas.openxmlformats.org/officeDocument/2006/relationships/hyperlink" Target="https://www.facebook.com/anhh.nguyenn.391?mibextid=LQQJ4d" TargetMode="External"/><Relationship Id="rId698" Type="http://schemas.openxmlformats.org/officeDocument/2006/relationships/hyperlink" Target="https://www.facebook.com/phuongthao.mqnc?mibextid=LQQJ4d" TargetMode="External"/><Relationship Id="rId2379" Type="http://schemas.openxmlformats.org/officeDocument/2006/relationships/hyperlink" Target="https://www.facebook.com/profile.php?id=100072241211958&amp;mibextid=LQQJ4d" TargetMode="External"/><Relationship Id="rId2793" Type="http://schemas.openxmlformats.org/officeDocument/2006/relationships/hyperlink" Target="https://www.facebook.com/profile.php?id=100072343125393&amp;mibextid=LQQJ4d" TargetMode="External"/><Relationship Id="rId3844" Type="http://schemas.openxmlformats.org/officeDocument/2006/relationships/hyperlink" Target="https://www.facebook.com/giaa.uyenn?mibextid=LQQJ4d" TargetMode="External"/><Relationship Id="rId6250" Type="http://schemas.openxmlformats.org/officeDocument/2006/relationships/hyperlink" Target="https://www.facebook.com/profile.php?id=100055710823021&amp;mibextid=LQQJ4d" TargetMode="External"/><Relationship Id="rId7301" Type="http://schemas.openxmlformats.org/officeDocument/2006/relationships/hyperlink" Target="https://www.facebook.com/profile.php?id=100076625193438&amp;mibextid=LQQJ4d" TargetMode="External"/><Relationship Id="rId765" Type="http://schemas.openxmlformats.org/officeDocument/2006/relationships/hyperlink" Target="https://www.facebook.com/nam.vuquang.733?mibextid=LQQJ4d" TargetMode="External"/><Relationship Id="rId1395" Type="http://schemas.openxmlformats.org/officeDocument/2006/relationships/hyperlink" Target="https://www.facebook.com/profile.php?id=100074764418449&amp;mibextid=LQQJ4d" TargetMode="External"/><Relationship Id="rId2446" Type="http://schemas.openxmlformats.org/officeDocument/2006/relationships/hyperlink" Target="https://www.facebook.com/profile.php?id=100069456338036&amp;mibextid=LQQJ4d" TargetMode="External"/><Relationship Id="rId2860" Type="http://schemas.openxmlformats.org/officeDocument/2006/relationships/hyperlink" Target="https://drive.google.com/open?id=1Th3EK-DXy6vpSbkktH5fiEQ_oxeZBoNf" TargetMode="External"/><Relationship Id="rId9059" Type="http://schemas.openxmlformats.org/officeDocument/2006/relationships/hyperlink" Target="https://www.facebook.com/profile.php?id=100040545213406" TargetMode="External"/><Relationship Id="rId9473" Type="http://schemas.openxmlformats.org/officeDocument/2006/relationships/hyperlink" Target="https://drive.google.com/open?id=1s_dzUtrCsfju2WqsgleLrRYCGnjRvFTW" TargetMode="External"/><Relationship Id="rId418" Type="http://schemas.openxmlformats.org/officeDocument/2006/relationships/hyperlink" Target="https://www.facebook.com/profile.php?id=100031502611148&amp;mibextid=ZbWKwL" TargetMode="External"/><Relationship Id="rId832" Type="http://schemas.openxmlformats.org/officeDocument/2006/relationships/hyperlink" Target="https://drive.google.com/open?id=1kwQtP9--mnZII-W8rwhX5qmitobJCLk4" TargetMode="External"/><Relationship Id="rId1048" Type="http://schemas.openxmlformats.org/officeDocument/2006/relationships/hyperlink" Target="https://www.facebook.com/NhuMoVu05?mibextid=LQQJ4d" TargetMode="External"/><Relationship Id="rId1462" Type="http://schemas.openxmlformats.org/officeDocument/2006/relationships/hyperlink" Target="https://drive.google.com/open?id=10XsBcOdARnHn38I7YlCmGwSJHluWotpt" TargetMode="External"/><Relationship Id="rId2513" Type="http://schemas.openxmlformats.org/officeDocument/2006/relationships/hyperlink" Target="https://www.facebook.com/nhii.trannhoai.3" TargetMode="External"/><Relationship Id="rId3911" Type="http://schemas.openxmlformats.org/officeDocument/2006/relationships/hyperlink" Target="https://drive.google.com/open?id=1zQs03RC3YngWckNTmPBfurbZeCbyN82-" TargetMode="External"/><Relationship Id="rId5669" Type="http://schemas.openxmlformats.org/officeDocument/2006/relationships/hyperlink" Target="https://drive.google.com/open?id=1LWnYok6JanFH7ss4u08xDyFT7-x6KWYF" TargetMode="External"/><Relationship Id="rId8075" Type="http://schemas.openxmlformats.org/officeDocument/2006/relationships/hyperlink" Target="https://www.facebook.com/pxpday?mibextid=ZbWKwL" TargetMode="External"/><Relationship Id="rId9126" Type="http://schemas.openxmlformats.org/officeDocument/2006/relationships/hyperlink" Target="https://www.facebook.com/profile.php?id=100070906030423&amp;mibextid=ZbWKwL" TargetMode="External"/><Relationship Id="rId9540" Type="http://schemas.openxmlformats.org/officeDocument/2006/relationships/hyperlink" Target="https://www.facebook.com/share/18YvWnaafM/?mibextid=wwXIfr" TargetMode="External"/><Relationship Id="rId1115" Type="http://schemas.openxmlformats.org/officeDocument/2006/relationships/hyperlink" Target="https://www.facebook.com/chau.lamm.10?mibextid=9R9pXO" TargetMode="External"/><Relationship Id="rId7091" Type="http://schemas.openxmlformats.org/officeDocument/2006/relationships/hyperlink" Target="https://www.facebook.com/pptminhon" TargetMode="External"/><Relationship Id="rId8142" Type="http://schemas.openxmlformats.org/officeDocument/2006/relationships/hyperlink" Target="https://www.facebook.com/le.n.nhi.1042" TargetMode="External"/><Relationship Id="rId3287" Type="http://schemas.openxmlformats.org/officeDocument/2006/relationships/hyperlink" Target="https://drive.google.com/open?id=1wPgRXcxAoE0_Fn0woZj6-jNoS7vdNcmv" TargetMode="External"/><Relationship Id="rId4338" Type="http://schemas.openxmlformats.org/officeDocument/2006/relationships/hyperlink" Target="https://www.facebook.com/profile.php?id=100075454326909&amp;mibextid=LQQJ4d" TargetMode="External"/><Relationship Id="rId4685" Type="http://schemas.openxmlformats.org/officeDocument/2006/relationships/hyperlink" Target="https://www.facebook.com/profile.php?id=100011644993468" TargetMode="External"/><Relationship Id="rId5736" Type="http://schemas.openxmlformats.org/officeDocument/2006/relationships/hyperlink" Target="https://www.facebook.com/profile.php?id=100064131627044&amp;mibextid=JRoKGi" TargetMode="External"/><Relationship Id="rId4752" Type="http://schemas.openxmlformats.org/officeDocument/2006/relationships/hyperlink" Target="https://www.facebook.com/vansieusao" TargetMode="External"/><Relationship Id="rId5803" Type="http://schemas.openxmlformats.org/officeDocument/2006/relationships/hyperlink" Target="https://www.facebook.com/profile.php?id=100054904665711" TargetMode="External"/><Relationship Id="rId8959" Type="http://schemas.openxmlformats.org/officeDocument/2006/relationships/hyperlink" Target="https://www.facebook.com/profile.php?id=100084559535601" TargetMode="External"/><Relationship Id="rId3354" Type="http://schemas.openxmlformats.org/officeDocument/2006/relationships/hyperlink" Target="https://www.facebook.com/profile.php?id=100064855133896&amp;mibextid=LQQJ4d" TargetMode="External"/><Relationship Id="rId4405" Type="http://schemas.openxmlformats.org/officeDocument/2006/relationships/hyperlink" Target="https://www.facebook.com/profile.php?id=100057485294762" TargetMode="External"/><Relationship Id="rId7975" Type="http://schemas.openxmlformats.org/officeDocument/2006/relationships/hyperlink" Target="https://web.facebook.com/wyannai02" TargetMode="External"/><Relationship Id="rId275" Type="http://schemas.openxmlformats.org/officeDocument/2006/relationships/hyperlink" Target="https://www.facebook.com/tang.luu.3979?mibextid=LQQJ4d" TargetMode="External"/><Relationship Id="rId2370" Type="http://schemas.openxmlformats.org/officeDocument/2006/relationships/hyperlink" Target="https://www.facebook.com/profile.php?id=100066362700204&amp;mibextid=LQQJ4d" TargetMode="External"/><Relationship Id="rId3007" Type="http://schemas.openxmlformats.org/officeDocument/2006/relationships/hyperlink" Target="https://www.facebook.com/profile.php?id=100037460615955&amp;mibextid=LQQJ4d" TargetMode="External"/><Relationship Id="rId3421" Type="http://schemas.openxmlformats.org/officeDocument/2006/relationships/hyperlink" Target="https://drive.google.com/open?id=1sNgRakOe2dzhmEtbUb3BGQIvVZV9PxMV" TargetMode="External"/><Relationship Id="rId6577" Type="http://schemas.openxmlformats.org/officeDocument/2006/relationships/hyperlink" Target="https://www.facebook.com/olongkemchese?mibextid=LQQJ4d" TargetMode="External"/><Relationship Id="rId6991" Type="http://schemas.openxmlformats.org/officeDocument/2006/relationships/hyperlink" Target="https://www.facebook.com/profile.php?id=100052234128959&amp;mibextid=LQQJ4d" TargetMode="External"/><Relationship Id="rId7628" Type="http://schemas.openxmlformats.org/officeDocument/2006/relationships/hyperlink" Target="https://www.facebook.com/nie.life.158" TargetMode="External"/><Relationship Id="rId342" Type="http://schemas.openxmlformats.org/officeDocument/2006/relationships/hyperlink" Target="https://www.facebook.com/pham.anh163" TargetMode="External"/><Relationship Id="rId2023" Type="http://schemas.openxmlformats.org/officeDocument/2006/relationships/hyperlink" Target="https://www.facebook.com/tramy30042005?mibextid=LQQJ4d" TargetMode="External"/><Relationship Id="rId5179" Type="http://schemas.openxmlformats.org/officeDocument/2006/relationships/hyperlink" Target="https://www.facebook.com/profile.php?id=100075199842472" TargetMode="External"/><Relationship Id="rId5593" Type="http://schemas.openxmlformats.org/officeDocument/2006/relationships/hyperlink" Target="https://www.facebook.com/profile.php?id=100037798292019&amp;mibextid=LQQJ4d" TargetMode="External"/><Relationship Id="rId6644" Type="http://schemas.openxmlformats.org/officeDocument/2006/relationships/hyperlink" Target="https://www.facebook.com/dieuthu2107?mibextid=LQQJ4d" TargetMode="External"/><Relationship Id="rId9050" Type="http://schemas.openxmlformats.org/officeDocument/2006/relationships/hyperlink" Target="https://www.facebook.com/ngoc.trung.2006?mibextid=ZbWKwL" TargetMode="External"/><Relationship Id="rId4195" Type="http://schemas.openxmlformats.org/officeDocument/2006/relationships/hyperlink" Target="http://huyhoangfc28gmail.com/" TargetMode="External"/><Relationship Id="rId5246" Type="http://schemas.openxmlformats.org/officeDocument/2006/relationships/hyperlink" Target="https://www.facebook.com/thainguyen.bui.397?mibextid=ZbWKwL" TargetMode="External"/><Relationship Id="rId1789" Type="http://schemas.openxmlformats.org/officeDocument/2006/relationships/hyperlink" Target="https://www.facebook.com/profile.php?id=100079856153816&amp;mibextid=ZbWKwL" TargetMode="External"/><Relationship Id="rId4262" Type="http://schemas.openxmlformats.org/officeDocument/2006/relationships/hyperlink" Target="https://www.facebook.com/profile.php?id=100057215297908" TargetMode="External"/><Relationship Id="rId5660" Type="http://schemas.openxmlformats.org/officeDocument/2006/relationships/hyperlink" Target="https://www.facebook.com/profile.php?id=100046565180114&amp;rdid=BfyvBaSzIgtvVZqj&amp;share_url=https%3A%2F%2Fwww.facebook.com%2Fshare%2FiAvDicD1teCeE1gW%2F" TargetMode="External"/><Relationship Id="rId6711" Type="http://schemas.openxmlformats.org/officeDocument/2006/relationships/hyperlink" Target="https://www.facebook.com/vuong.hoangngan.79?mibextid=LQQJ4d" TargetMode="External"/><Relationship Id="rId8469" Type="http://schemas.openxmlformats.org/officeDocument/2006/relationships/hyperlink" Target="https://www.facebook.com/profile.php?id=100048240561673&amp;mibextid=Z" TargetMode="External"/><Relationship Id="rId1856" Type="http://schemas.openxmlformats.org/officeDocument/2006/relationships/hyperlink" Target="https://www.facebook.com/profile.php?id=100094469951919&amp;mibextid=ZbWKwL" TargetMode="External"/><Relationship Id="rId2907" Type="http://schemas.openxmlformats.org/officeDocument/2006/relationships/hyperlink" Target="https://www.facebook.com/profile.php?id=100054984843903" TargetMode="External"/><Relationship Id="rId5313" Type="http://schemas.openxmlformats.org/officeDocument/2006/relationships/hyperlink" Target="https://www.facebook.com/phu.nguyenmanh.370515?mibextid=LQQJ4d" TargetMode="External"/><Relationship Id="rId8883" Type="http://schemas.openxmlformats.org/officeDocument/2006/relationships/hyperlink" Target="https://drive.google.com/open?id=1MW7bt_NFC8U896lO-4ZfSFYMbOP6h5hi" TargetMode="External"/><Relationship Id="rId1509" Type="http://schemas.openxmlformats.org/officeDocument/2006/relationships/hyperlink" Target="https://www.facebook.com/profile.php?id=100052357243432" TargetMode="External"/><Relationship Id="rId1923" Type="http://schemas.openxmlformats.org/officeDocument/2006/relationships/hyperlink" Target="https://www.facebook.com/profile.php?id=100080828614738&amp;mibextid=LQQJ4d" TargetMode="External"/><Relationship Id="rId7485" Type="http://schemas.openxmlformats.org/officeDocument/2006/relationships/hyperlink" Target="https://drive.google.com/open?id=149_JABj5ZYdvxqzCLBSj79yyCvvr8geJ" TargetMode="External"/><Relationship Id="rId8536" Type="http://schemas.openxmlformats.org/officeDocument/2006/relationships/hyperlink" Target="https://www.facebook.com/elias.ainsworth.75436?mibextid=ZbWKwL" TargetMode="External"/><Relationship Id="rId8950" Type="http://schemas.openxmlformats.org/officeDocument/2006/relationships/hyperlink" Target="https://drive.google.com/open?id=1JCnLwXZB5L7iUsQ3_HSADmvpCT3fASKP" TargetMode="External"/><Relationship Id="rId6087" Type="http://schemas.openxmlformats.org/officeDocument/2006/relationships/hyperlink" Target="https://www.facebook.com/con.cuu.315213?mibextid=LQQJ4d" TargetMode="External"/><Relationship Id="rId7138" Type="http://schemas.openxmlformats.org/officeDocument/2006/relationships/hyperlink" Target="https://www.facebook.com/nguyen.lannhi.7509?mibextid=kFxxJD" TargetMode="External"/><Relationship Id="rId7552" Type="http://schemas.openxmlformats.org/officeDocument/2006/relationships/hyperlink" Target="https://web.facebook.com/profile.php?id=100041128033638" TargetMode="External"/><Relationship Id="rId8603" Type="http://schemas.openxmlformats.org/officeDocument/2006/relationships/hyperlink" Target="https://drive.google.com/open?id=1mBsqwX3PADRU6MSe1PNmESQQK15kUPGA" TargetMode="External"/><Relationship Id="rId2697" Type="http://schemas.openxmlformats.org/officeDocument/2006/relationships/hyperlink" Target="https://drive.google.com/open?id=1B54ku8uNiiDPvU6a_4g-T8xP2w73wWVi" TargetMode="External"/><Relationship Id="rId3748" Type="http://schemas.openxmlformats.org/officeDocument/2006/relationships/hyperlink" Target="https://www.facebook.com/profile.php?id=100023101955678" TargetMode="External"/><Relationship Id="rId6154" Type="http://schemas.openxmlformats.org/officeDocument/2006/relationships/hyperlink" Target="https://www.facebook.com/profile.php?id=100027554113172&amp;mibextid=LQQJ4d" TargetMode="External"/><Relationship Id="rId7205" Type="http://schemas.openxmlformats.org/officeDocument/2006/relationships/hyperlink" Target="https://www.facebook.com/share/1GDsmry1qp/?mibextid=qi2Omg" TargetMode="External"/><Relationship Id="rId669" Type="http://schemas.openxmlformats.org/officeDocument/2006/relationships/hyperlink" Target="https://drive.google.com/open?id=1WU-fmA7-xgHbJy5WsqZsyIAKSrrKPqCM" TargetMode="External"/><Relationship Id="rId1299" Type="http://schemas.openxmlformats.org/officeDocument/2006/relationships/hyperlink" Target="https://www.facebook.com/profile.php?id=100034636382792&amp;locale=vi_VN" TargetMode="External"/><Relationship Id="rId5170" Type="http://schemas.openxmlformats.org/officeDocument/2006/relationships/hyperlink" Target="https://www.facebook.com/dvh.2611" TargetMode="External"/><Relationship Id="rId6221" Type="http://schemas.openxmlformats.org/officeDocument/2006/relationships/hyperlink" Target="https://www.facebook.com/trinhphuong1406?mibextid=LQQJ4d" TargetMode="External"/><Relationship Id="rId9377" Type="http://schemas.openxmlformats.org/officeDocument/2006/relationships/hyperlink" Target="https://www.facebook.com/huyah.le?mibextid=ZbWKwL" TargetMode="External"/><Relationship Id="rId736" Type="http://schemas.openxmlformats.org/officeDocument/2006/relationships/hyperlink" Target="https://drive.google.com/open?id=1NwYQkmt9a15zzX1ZJ0SntB4ljH_Uw6YC" TargetMode="External"/><Relationship Id="rId1366" Type="http://schemas.openxmlformats.org/officeDocument/2006/relationships/hyperlink" Target="https://drive.google.com/open?id=1pr71oESksj_tT7XQNE3ViW0TWezQ8fLJ" TargetMode="External"/><Relationship Id="rId2417" Type="http://schemas.openxmlformats.org/officeDocument/2006/relationships/hyperlink" Target="https://drive.google.com/open?id=1P-vOVul34TS_0PdhUWwk8PZDd2-DQoB_" TargetMode="External"/><Relationship Id="rId2764" Type="http://schemas.openxmlformats.org/officeDocument/2006/relationships/hyperlink" Target="https://www.facebook.com/lucyly.thao.357?mibextid=LQQJ4d" TargetMode="External"/><Relationship Id="rId3815" Type="http://schemas.openxmlformats.org/officeDocument/2006/relationships/hyperlink" Target="https://www.facebook.com/profile.php?id=100016000028877&amp;mibextid=LQQJ4d" TargetMode="External"/><Relationship Id="rId8393" Type="http://schemas.openxmlformats.org/officeDocument/2006/relationships/hyperlink" Target="https://www.facebook.com/khhuyen257" TargetMode="External"/><Relationship Id="rId9444" Type="http://schemas.openxmlformats.org/officeDocument/2006/relationships/hyperlink" Target="https://m.facebook.com/profile.php?id=100057692332379&amp;mibextid=LQQJ4d" TargetMode="External"/><Relationship Id="rId1019" Type="http://schemas.openxmlformats.org/officeDocument/2006/relationships/hyperlink" Target="https://www.facebook.com/profile.php?id=100045353146875" TargetMode="External"/><Relationship Id="rId1780" Type="http://schemas.openxmlformats.org/officeDocument/2006/relationships/hyperlink" Target="https://www.facebook.com/profile.php?id=100054984527305&amp;mibextid=LQQJ4d" TargetMode="External"/><Relationship Id="rId2831" Type="http://schemas.openxmlformats.org/officeDocument/2006/relationships/hyperlink" Target="https://www.facebook.com/profile.php?id=100038342987488" TargetMode="External"/><Relationship Id="rId5987" Type="http://schemas.openxmlformats.org/officeDocument/2006/relationships/hyperlink" Target="https://www.facebook.com/anhpahm.1203?mibextid=LQQJ4d" TargetMode="External"/><Relationship Id="rId8046" Type="http://schemas.openxmlformats.org/officeDocument/2006/relationships/hyperlink" Target="https://www.facebook.com/profile.php?id=100071283850663" TargetMode="External"/><Relationship Id="rId72" Type="http://schemas.openxmlformats.org/officeDocument/2006/relationships/hyperlink" Target="https://drive.google.com/open?id=1YTKXBdlVMOqZ53Un11EbawWXhd3yx7xa" TargetMode="External"/><Relationship Id="rId803" Type="http://schemas.openxmlformats.org/officeDocument/2006/relationships/hyperlink" Target="https://www.facebook.com/profile.php?id=100037393459198" TargetMode="External"/><Relationship Id="rId1433" Type="http://schemas.openxmlformats.org/officeDocument/2006/relationships/hyperlink" Target="https://www.facebook.com/100065196466783/" TargetMode="External"/><Relationship Id="rId4589" Type="http://schemas.openxmlformats.org/officeDocument/2006/relationships/hyperlink" Target="https://www.facebook.com/profile.php?id=100050264077049" TargetMode="External"/><Relationship Id="rId8460" Type="http://schemas.openxmlformats.org/officeDocument/2006/relationships/hyperlink" Target="https://www.facebook.com/nguyen.anhvu.583671?mibextid=LQQJ4d" TargetMode="External"/><Relationship Id="rId9511" Type="http://schemas.openxmlformats.org/officeDocument/2006/relationships/hyperlink" Target="https://www.facebook.com/yen.nga.801303" TargetMode="External"/><Relationship Id="rId1500" Type="http://schemas.openxmlformats.org/officeDocument/2006/relationships/hyperlink" Target="https://drive.google.com/open?id=1oDzGdvmzIg9qDVUm1wpg4hpp3p35NC4-" TargetMode="External"/><Relationship Id="rId4656" Type="http://schemas.openxmlformats.org/officeDocument/2006/relationships/hyperlink" Target="https://drive.google.com/open?id=19fL1R0qfHI-5qlwKZxu1WIpksvDJgnRC" TargetMode="External"/><Relationship Id="rId5707" Type="http://schemas.openxmlformats.org/officeDocument/2006/relationships/hyperlink" Target="https://www.facebook.com/quynhmike11?mibextid=LQQJ4d" TargetMode="External"/><Relationship Id="rId7062" Type="http://schemas.openxmlformats.org/officeDocument/2006/relationships/hyperlink" Target="https://drive.google.com/open?id=1IsHzxCsgel0cvevzDuXldAvk_F9o3kLZ" TargetMode="External"/><Relationship Id="rId8113" Type="http://schemas.openxmlformats.org/officeDocument/2006/relationships/hyperlink" Target="https://drive.google.com/open?id=1P_kxhhckNn5UmtY_gbckwBeXaPrkHbnR" TargetMode="External"/><Relationship Id="rId3258" Type="http://schemas.openxmlformats.org/officeDocument/2006/relationships/hyperlink" Target="https://www.facebook.com/profile.php?id=100022124713905&amp;mibextid=JRoKGi" TargetMode="External"/><Relationship Id="rId3672" Type="http://schemas.openxmlformats.org/officeDocument/2006/relationships/hyperlink" Target="https://www.facebook.com/profile.php?id=100025512622295&amp;mibextid=ZbWKwL" TargetMode="External"/><Relationship Id="rId4309" Type="http://schemas.openxmlformats.org/officeDocument/2006/relationships/hyperlink" Target="https://www.facebook.com/profile.php?id=100033196391979" TargetMode="External"/><Relationship Id="rId4723" Type="http://schemas.openxmlformats.org/officeDocument/2006/relationships/hyperlink" Target="https://www.facebook.com/profile.php?id=100038496949033&amp;mibextid=LQQJ4d" TargetMode="External"/><Relationship Id="rId7879" Type="http://schemas.openxmlformats.org/officeDocument/2006/relationships/hyperlink" Target="https://drive.google.com/open?id=1VD_5yyibP_tNrhpwYM5t09-9g_IAYli0" TargetMode="External"/><Relationship Id="rId179" Type="http://schemas.openxmlformats.org/officeDocument/2006/relationships/hyperlink" Target="https://drive.google.com/open?id=1XPLSRpuqf6ZweE5kfSu7e6RT4m_8-TqA" TargetMode="External"/><Relationship Id="rId593" Type="http://schemas.openxmlformats.org/officeDocument/2006/relationships/hyperlink" Target="https://drive.google.com/open?id=1I3Z4Zp5vfnPbBlTZAc4dURsF21R_Ok6T" TargetMode="External"/><Relationship Id="rId2274" Type="http://schemas.openxmlformats.org/officeDocument/2006/relationships/hyperlink" Target="https://www.facebook.com/anhphuong.269" TargetMode="External"/><Relationship Id="rId3325" Type="http://schemas.openxmlformats.org/officeDocument/2006/relationships/hyperlink" Target="https://drive.google.com/open?id=18NnDJAb012h1d-EDcGQee0NV5VHnL1UD" TargetMode="External"/><Relationship Id="rId246" Type="http://schemas.openxmlformats.org/officeDocument/2006/relationships/hyperlink" Target="https://www.facebook.com/profile.php?id=100012926197311" TargetMode="External"/><Relationship Id="rId660" Type="http://schemas.openxmlformats.org/officeDocument/2006/relationships/hyperlink" Target="https://drive.google.com/open?id=165k-gb0t7TVRPmTs4B7R9_CuIqgxvLKh" TargetMode="External"/><Relationship Id="rId1290" Type="http://schemas.openxmlformats.org/officeDocument/2006/relationships/hyperlink" Target="https://drive.google.com/open?id=1ZmmSM6ZAJAqBTu8Ug6o-Z0CdK2wMF9NZ" TargetMode="External"/><Relationship Id="rId2341" Type="http://schemas.openxmlformats.org/officeDocument/2006/relationships/hyperlink" Target="https://drive.google.com/open?id=1JGKJPNUGV9aP5DjFOm5qnY_czevXLTtj" TargetMode="External"/><Relationship Id="rId5497" Type="http://schemas.openxmlformats.org/officeDocument/2006/relationships/hyperlink" Target="https://www.facebook.com/profile.php?id=100046410123834" TargetMode="External"/><Relationship Id="rId6548" Type="http://schemas.openxmlformats.org/officeDocument/2006/relationships/hyperlink" Target="https://www.facebook.com/share/jLdeDuaS6Yek3tcj/?mibextid=LQQJ4d" TargetMode="External"/><Relationship Id="rId6895" Type="http://schemas.openxmlformats.org/officeDocument/2006/relationships/hyperlink" Target="https://drive.google.com/open?id=1sIvIlxntUYPJgj2bzUpG_jOZjMEONDQo" TargetMode="External"/><Relationship Id="rId7946" Type="http://schemas.openxmlformats.org/officeDocument/2006/relationships/hyperlink" Target="https://www.facebook.com/profile.php?id=100081003225561&amp;mibextid=LQQJ4d" TargetMode="External"/><Relationship Id="rId313" Type="http://schemas.openxmlformats.org/officeDocument/2006/relationships/hyperlink" Target="https://www.facebook.com/phonqg.trann?mibextid=LQQJ4d" TargetMode="External"/><Relationship Id="rId4099" Type="http://schemas.openxmlformats.org/officeDocument/2006/relationships/hyperlink" Target="https://drive.google.com/open?id=1hP76JvREh5HEjkiKgbMxsU9jkO0lK9GY" TargetMode="External"/><Relationship Id="rId6962" Type="http://schemas.openxmlformats.org/officeDocument/2006/relationships/hyperlink" Target="https://www.facebook.com/nmaidthw26.9?mibextid=ZbWKwL" TargetMode="External"/><Relationship Id="rId9021" Type="http://schemas.openxmlformats.org/officeDocument/2006/relationships/hyperlink" Target="https://www.facebook.com/tavanmanh0402" TargetMode="External"/><Relationship Id="rId5564" Type="http://schemas.openxmlformats.org/officeDocument/2006/relationships/hyperlink" Target="https://www.facebook.com/hoangthien.01556" TargetMode="External"/><Relationship Id="rId6615" Type="http://schemas.openxmlformats.org/officeDocument/2006/relationships/hyperlink" Target="https://www.facebook.com/2imPhamHung?mibextid=LQQJ4d" TargetMode="External"/><Relationship Id="rId1010" Type="http://schemas.openxmlformats.org/officeDocument/2006/relationships/hyperlink" Target="https://www.facebook.com/minhphong.phong.5264" TargetMode="External"/><Relationship Id="rId4166" Type="http://schemas.openxmlformats.org/officeDocument/2006/relationships/hyperlink" Target="https://www.facebook.com/quynhanh.phamthi.16752?mibextid=LQQJ4d" TargetMode="External"/><Relationship Id="rId4580" Type="http://schemas.openxmlformats.org/officeDocument/2006/relationships/hyperlink" Target="https://www.facebook.com/HuynhChipp" TargetMode="External"/><Relationship Id="rId5217" Type="http://schemas.openxmlformats.org/officeDocument/2006/relationships/hyperlink" Target="https://drive.google.com/open?id=1J0MeBIIheAtlo-FMWrlnThk2HFBf7h3t" TargetMode="External"/><Relationship Id="rId5631" Type="http://schemas.openxmlformats.org/officeDocument/2006/relationships/hyperlink" Target="https://www.facebook.com/con.cuu.315213?mibextid=LQQJ4d" TargetMode="External"/><Relationship Id="rId8787" Type="http://schemas.openxmlformats.org/officeDocument/2006/relationships/hyperlink" Target="https://www.facebook.com/nguyenngoc.ton.33" TargetMode="External"/><Relationship Id="rId1827" Type="http://schemas.openxmlformats.org/officeDocument/2006/relationships/hyperlink" Target="https://drive.google.com/open?id=1q0yIIGZk9FB0wOrb9_tmcaAkoV7icCce" TargetMode="External"/><Relationship Id="rId7389" Type="http://schemas.openxmlformats.org/officeDocument/2006/relationships/hyperlink" Target="https://www.facebook.com/viei.ngo" TargetMode="External"/><Relationship Id="rId3999" Type="http://schemas.openxmlformats.org/officeDocument/2006/relationships/hyperlink" Target="https://www.facebook.com/lt.hoaa?mibextid=LQQJ4d" TargetMode="External"/><Relationship Id="rId4300" Type="http://schemas.openxmlformats.org/officeDocument/2006/relationships/hyperlink" Target="https://www.facebook.com/profile.php?id=100034373992828&amp;locale=vi_VN" TargetMode="External"/><Relationship Id="rId170" Type="http://schemas.openxmlformats.org/officeDocument/2006/relationships/hyperlink" Target="https://www.facebook.com/profile.php?id=100034701515149&amp;mibextid=ZbWKwL" TargetMode="External"/><Relationship Id="rId6472" Type="http://schemas.openxmlformats.org/officeDocument/2006/relationships/hyperlink" Target="https://drive.google.com/open?id=1ANzjtvwvuKRWF2M9x9OB68QWU-Rkq3_x" TargetMode="External"/><Relationship Id="rId7523" Type="http://schemas.openxmlformats.org/officeDocument/2006/relationships/hyperlink" Target="https://www.facebook.com/profile.php?id=100023334592154&amp;mibextid=LQQJ4d" TargetMode="External"/><Relationship Id="rId7870" Type="http://schemas.openxmlformats.org/officeDocument/2006/relationships/hyperlink" Target="https://www.facebook.com/profile.php?id=100050793044131&amp;mibextid=ZbWKwL" TargetMode="External"/><Relationship Id="rId8921" Type="http://schemas.openxmlformats.org/officeDocument/2006/relationships/hyperlink" Target="https://www.facebook.com/share/155mTAgRTH/" TargetMode="External"/><Relationship Id="rId5074" Type="http://schemas.openxmlformats.org/officeDocument/2006/relationships/hyperlink" Target="https://www.facebook.com/lamphucdai.1008" TargetMode="External"/><Relationship Id="rId6125" Type="http://schemas.openxmlformats.org/officeDocument/2006/relationships/hyperlink" Target="https://www.facebook.com/profile.php?id=100016986661381&amp;mibextid=LQQJ4d" TargetMode="External"/><Relationship Id="rId8297" Type="http://schemas.openxmlformats.org/officeDocument/2006/relationships/hyperlink" Target="https://www.facebook.com/profile.php?id=100046328332624&amp;mibextid=wwXIfr&amp;rdid=fvlIS8KNj4wAE21u&amp;share_url=https%3A%2F%2Fwww.facebook.com%2Fshare%2F18afz3bxLa%2F%3Fmibextid%3DwwXIfr" TargetMode="External"/><Relationship Id="rId1684" Type="http://schemas.openxmlformats.org/officeDocument/2006/relationships/hyperlink" Target="https://drive.google.com/open?id=1WNnoV7QYgqduZEcimDZ7c1pJOqhfCl5Z" TargetMode="External"/><Relationship Id="rId2735" Type="http://schemas.openxmlformats.org/officeDocument/2006/relationships/hyperlink" Target="https://drive.google.com/open?id=1hJWkXhQWdSDdXgbZ5OZoCp94E2wMpPFX" TargetMode="External"/><Relationship Id="rId9348" Type="http://schemas.openxmlformats.org/officeDocument/2006/relationships/hyperlink" Target="https://drive.google.com/open?id=1LDjdX7BhTdvxsOZ0_vjl2yEmRGtF2927" TargetMode="External"/><Relationship Id="rId707" Type="http://schemas.openxmlformats.org/officeDocument/2006/relationships/hyperlink" Target="https://www.facebook.com/chinhnghia.ngo.986?mibextid=LQQJ4d" TargetMode="External"/><Relationship Id="rId1337" Type="http://schemas.openxmlformats.org/officeDocument/2006/relationships/hyperlink" Target="https://www.facebook.com/profile.php?id=100070201186377&amp;mibextid=LQQJ4d" TargetMode="External"/><Relationship Id="rId5958" Type="http://schemas.openxmlformats.org/officeDocument/2006/relationships/hyperlink" Target="https://www.facebook.com/doan.mai.anh.2476?mibextid=LQQJ4d" TargetMode="External"/><Relationship Id="rId43" Type="http://schemas.openxmlformats.org/officeDocument/2006/relationships/hyperlink" Target="https://drive.google.com/open?id=1UARBS6CIh14vB-xdpLCXAceiBCelOAMo" TargetMode="External"/><Relationship Id="rId7380" Type="http://schemas.openxmlformats.org/officeDocument/2006/relationships/hyperlink" Target="https://www.facebook.com/profile.php?id=100078337239347&amp;mibextid=LQQJ4d" TargetMode="External"/><Relationship Id="rId8431" Type="http://schemas.openxmlformats.org/officeDocument/2006/relationships/hyperlink" Target="https://www.facebook.com/people/Tieu-Ngoc/pfbid0TviiUxm9FZDf3DJcB5sx5fmNbMF2ynG7oGU9nffGh3j9DYfTP4HPYNxDSWmGgmkal/" TargetMode="External"/><Relationship Id="rId7033" Type="http://schemas.openxmlformats.org/officeDocument/2006/relationships/hyperlink" Target="https://drive.google.com/open?id=1a5SHzCLl7k3u6mgvGqy0gmDKW1YtYply" TargetMode="External"/><Relationship Id="rId3990" Type="http://schemas.openxmlformats.org/officeDocument/2006/relationships/hyperlink" Target="https://www.facebook.com/profile.php?id=100022311231609" TargetMode="External"/><Relationship Id="rId1194" Type="http://schemas.openxmlformats.org/officeDocument/2006/relationships/hyperlink" Target="https://www.facebook.com/profile.php?id=100054382825090&amp;mibextid=LQQJ4d" TargetMode="External"/><Relationship Id="rId2592" Type="http://schemas.openxmlformats.org/officeDocument/2006/relationships/hyperlink" Target="https://drive.google.com/open?id=1yqwCT791dNrFeIS_Nj0vUIMpMsxgCQjt" TargetMode="External"/><Relationship Id="rId3643" Type="http://schemas.openxmlformats.org/officeDocument/2006/relationships/hyperlink" Target="https://drive.google.com/open?id=1piE9lXO44TZaaNmO7qOahLJg3gCYxRF6" TargetMode="External"/><Relationship Id="rId217" Type="http://schemas.openxmlformats.org/officeDocument/2006/relationships/hyperlink" Target="https://drive.google.com/open?id=1JdROIqWoCs5EKexs0xM7ivMD3MTvR7qS" TargetMode="External"/><Relationship Id="rId564" Type="http://schemas.openxmlformats.org/officeDocument/2006/relationships/hyperlink" Target="https://www.facebook.com/myngoc.truongthi.710" TargetMode="External"/><Relationship Id="rId2245" Type="http://schemas.openxmlformats.org/officeDocument/2006/relationships/hyperlink" Target="https://www.facebook.com/vithao.nguyenhoang.3" TargetMode="External"/><Relationship Id="rId6866" Type="http://schemas.openxmlformats.org/officeDocument/2006/relationships/hyperlink" Target="https://www.facebook.com/profile.php?id=100033376013445&amp;mibextid=LQQJ4d" TargetMode="External"/><Relationship Id="rId7917" Type="http://schemas.openxmlformats.org/officeDocument/2006/relationships/hyperlink" Target="https://www.facebook.com/profile.php?id=100075454326909&amp;mibextid=LQQJ4d" TargetMode="External"/><Relationship Id="rId5468" Type="http://schemas.openxmlformats.org/officeDocument/2006/relationships/hyperlink" Target="https://www.facebook.com/trangg.thuy.7758235?locale=vi_VN" TargetMode="External"/><Relationship Id="rId6519" Type="http://schemas.openxmlformats.org/officeDocument/2006/relationships/hyperlink" Target="https://drive.google.com/open?id=1t5RfB-rjixDo9ZIaST0k07rwtOJUEmJU" TargetMode="External"/><Relationship Id="rId4551" Type="http://schemas.openxmlformats.org/officeDocument/2006/relationships/hyperlink" Target="https://www.facebook.com/profile.php?id=61557904851058&amp;mibextid=LQQJ4d" TargetMode="External"/><Relationship Id="rId3153" Type="http://schemas.openxmlformats.org/officeDocument/2006/relationships/hyperlink" Target="https://www.facebook.com/linh.luongthuy.5249" TargetMode="External"/><Relationship Id="rId4204" Type="http://schemas.openxmlformats.org/officeDocument/2006/relationships/hyperlink" Target="https://www.facebook.com/na.ngan.5249?mibextid=LQQJ4d" TargetMode="External"/><Relationship Id="rId5602" Type="http://schemas.openxmlformats.org/officeDocument/2006/relationships/hyperlink" Target="https://www.facebook.com/profile.php?id=100012624180483&amp;mibextid=LQQJ4d" TargetMode="External"/><Relationship Id="rId7774" Type="http://schemas.openxmlformats.org/officeDocument/2006/relationships/hyperlink" Target="https://www.facebook.com/dynhh.biwe206" TargetMode="External"/><Relationship Id="rId8825" Type="http://schemas.openxmlformats.org/officeDocument/2006/relationships/hyperlink" Target="https://www.facebook.com/share/1LmVmBRX8t/?mibextid=LQQJ4d" TargetMode="External"/><Relationship Id="rId6029" Type="http://schemas.openxmlformats.org/officeDocument/2006/relationships/hyperlink" Target="https://www.facebook.com/con.cuong.71465?mibextid=LQQJ4d" TargetMode="External"/><Relationship Id="rId6376" Type="http://schemas.openxmlformats.org/officeDocument/2006/relationships/hyperlink" Target="https://www.facebook.com/NgoCongDanh.18?mibextid=LQQJ4d" TargetMode="External"/><Relationship Id="rId7427" Type="http://schemas.openxmlformats.org/officeDocument/2006/relationships/hyperlink" Target="https://www.facebook.com/profile.php?id=100069842299124&amp;mibextid=LQQJ4d" TargetMode="External"/><Relationship Id="rId2986" Type="http://schemas.openxmlformats.org/officeDocument/2006/relationships/hyperlink" Target="https://www.facebook.com/bi.sin.1654" TargetMode="External"/><Relationship Id="rId958" Type="http://schemas.openxmlformats.org/officeDocument/2006/relationships/hyperlink" Target="https://www.facebook.com/profile.php?id=100014082186994&amp;mibextid=LQQJ4d" TargetMode="External"/><Relationship Id="rId1588" Type="http://schemas.openxmlformats.org/officeDocument/2006/relationships/hyperlink" Target="https://www.facebook.com/profile.php?id=100016840446932&amp;mibextid=7cd5pb" TargetMode="External"/><Relationship Id="rId2639" Type="http://schemas.openxmlformats.org/officeDocument/2006/relationships/hyperlink" Target="https://www.facebook.com/liinxing?mibextid=PzaGJu" TargetMode="External"/><Relationship Id="rId6510" Type="http://schemas.openxmlformats.org/officeDocument/2006/relationships/hyperlink" Target="https://www.facebook.com/huong.tranthithu.5454021" TargetMode="External"/><Relationship Id="rId4061" Type="http://schemas.openxmlformats.org/officeDocument/2006/relationships/hyperlink" Target="https://www.facebook.com/thuhaa.206" TargetMode="External"/><Relationship Id="rId5112" Type="http://schemas.openxmlformats.org/officeDocument/2006/relationships/hyperlink" Target="https://drive.google.com/open?id=15_tjJ56ct05bmQnaipv5q5G0TWml-uK3" TargetMode="External"/><Relationship Id="rId8682" Type="http://schemas.openxmlformats.org/officeDocument/2006/relationships/hyperlink" Target="https://www.facebook.com/vu.nguyenba.374549?locale=vi_VN" TargetMode="External"/><Relationship Id="rId7284" Type="http://schemas.openxmlformats.org/officeDocument/2006/relationships/hyperlink" Target="https://www.facebook.com/profile.php?id=100090444648215&amp;mibextid=LQQJ4d" TargetMode="External"/><Relationship Id="rId8335" Type="http://schemas.openxmlformats.org/officeDocument/2006/relationships/hyperlink" Target="https://drive.google.com/open?id=1WKHVVWgvKo5kh0aIFvJyrryTFa7M7pL-" TargetMode="External"/><Relationship Id="rId1722" Type="http://schemas.openxmlformats.org/officeDocument/2006/relationships/hyperlink" Target="https://drive.google.com/open?id=1SX5UaSSi2txql-TfW5bqiXxNKP-Tm0wZ" TargetMode="External"/><Relationship Id="rId3894" Type="http://schemas.openxmlformats.org/officeDocument/2006/relationships/hyperlink" Target="https://www.facebook.com/kieu.hanh.3386585" TargetMode="External"/><Relationship Id="rId4945" Type="http://schemas.openxmlformats.org/officeDocument/2006/relationships/hyperlink" Target="https://www.facebook.com/phuc.vvuuhhuu?mibextid=LQQJ4d" TargetMode="External"/><Relationship Id="rId2496" Type="http://schemas.openxmlformats.org/officeDocument/2006/relationships/hyperlink" Target="https://www.facebook.com/nguyen.n.thao.16906715" TargetMode="External"/><Relationship Id="rId3547" Type="http://schemas.openxmlformats.org/officeDocument/2006/relationships/hyperlink" Target="https://drive.google.com/open?id=1QsVDE9Hiv2R4enhC-7zt8th5aXtAMakq" TargetMode="External"/><Relationship Id="rId468" Type="http://schemas.openxmlformats.org/officeDocument/2006/relationships/hyperlink" Target="https://www.facebook.com/profile.php?id=100038342987488" TargetMode="External"/><Relationship Id="rId1098" Type="http://schemas.openxmlformats.org/officeDocument/2006/relationships/hyperlink" Target="https://www.facebook.com/profile.php?id=100011895188813&amp;mibextid=LQQJ4d" TargetMode="External"/><Relationship Id="rId2149" Type="http://schemas.openxmlformats.org/officeDocument/2006/relationships/hyperlink" Target="https://www.facebook.com/profile.php?id=100028058356403&amp;mibextid=LQQJ4d" TargetMode="External"/><Relationship Id="rId6020" Type="http://schemas.openxmlformats.org/officeDocument/2006/relationships/hyperlink" Target="https://drive.google.com/open?id=1s6VvujnpxqaQMyx5VtSYwmWNWNkYMKGs" TargetMode="External"/><Relationship Id="rId2630" Type="http://schemas.openxmlformats.org/officeDocument/2006/relationships/hyperlink" Target="https://www.facebook.com/profile.php?id=100017257006542" TargetMode="External"/><Relationship Id="rId8192" Type="http://schemas.openxmlformats.org/officeDocument/2006/relationships/hyperlink" Target="https://www.facebook.com/share/17qoh84mXB/?mibextid=wwXIfr" TargetMode="External"/><Relationship Id="rId9243" Type="http://schemas.openxmlformats.org/officeDocument/2006/relationships/hyperlink" Target="https://www.facebook.com/profile.php?id=100063728184122&amp;mibextid=LQQJ4d" TargetMode="External"/><Relationship Id="rId602" Type="http://schemas.openxmlformats.org/officeDocument/2006/relationships/hyperlink" Target="https://www.facebook.com/100024999947836/" TargetMode="External"/><Relationship Id="rId1232" Type="http://schemas.openxmlformats.org/officeDocument/2006/relationships/hyperlink" Target="https://www.facebook.com/profile.php?id=100033627583164&amp;mibextid=LQQJ4d" TargetMode="External"/><Relationship Id="rId5853" Type="http://schemas.openxmlformats.org/officeDocument/2006/relationships/hyperlink" Target="https://www.facebook.com/vh.smoke4869?mibextid=LQQJ4d" TargetMode="External"/><Relationship Id="rId6904" Type="http://schemas.openxmlformats.org/officeDocument/2006/relationships/hyperlink" Target="https://www.facebook.com/profile.php?id=100069878682547&amp;mibextid=LQQJ4d" TargetMode="External"/><Relationship Id="rId3057" Type="http://schemas.openxmlformats.org/officeDocument/2006/relationships/hyperlink" Target="https://www.facebook.com/phong.nguyentrung.798" TargetMode="External"/><Relationship Id="rId4108" Type="http://schemas.openxmlformats.org/officeDocument/2006/relationships/hyperlink" Target="https://drive.google.com/open?id=1DXhLXiWC9OnXfhL7JgMivxSfZFwgPfc0" TargetMode="External"/><Relationship Id="rId4455" Type="http://schemas.openxmlformats.org/officeDocument/2006/relationships/hyperlink" Target="https://www.facebook.com/profile.php?id=61562944382128&amp;locale=vi_VN" TargetMode="External"/><Relationship Id="rId5506" Type="http://schemas.openxmlformats.org/officeDocument/2006/relationships/hyperlink" Target="https://www.facebook.com/HuongPeo.26?mibextid=LQQJ4d" TargetMode="External"/><Relationship Id="rId7678" Type="http://schemas.openxmlformats.org/officeDocument/2006/relationships/hyperlink" Target="https://www.facebook.com/share/1DmgryWw7i/?mibextid=LQQJ4d" TargetMode="External"/><Relationship Id="rId8729" Type="http://schemas.openxmlformats.org/officeDocument/2006/relationships/hyperlink" Target="https://www.facebook.com/profile.php?id=100049931901005&amp;mibextid=ZbWKwL" TargetMode="External"/><Relationship Id="rId2140" Type="http://schemas.openxmlformats.org/officeDocument/2006/relationships/hyperlink" Target="https://www.facebook.com/profile.php?id=100034390011315&amp;mibextid=LQQJ4d" TargetMode="External"/><Relationship Id="rId6761" Type="http://schemas.openxmlformats.org/officeDocument/2006/relationships/hyperlink" Target="https://drive.google.com/open?id=1e6fuX6eyuAsL7jH5pYbcRXeA252XPF7h" TargetMode="External"/><Relationship Id="rId7812" Type="http://schemas.openxmlformats.org/officeDocument/2006/relationships/hyperlink" Target="https://www.facebook.com/LeMinhQuan.MMO.IP" TargetMode="External"/><Relationship Id="rId112" Type="http://schemas.openxmlformats.org/officeDocument/2006/relationships/hyperlink" Target="https://www.facebook.com/lehuong203?mibextid=LQQJ4d" TargetMode="External"/><Relationship Id="rId5363" Type="http://schemas.openxmlformats.org/officeDocument/2006/relationships/hyperlink" Target="https://www.facebook.com/nguyentoquyennn?mibextid=LQQJ4d" TargetMode="External"/><Relationship Id="rId6414" Type="http://schemas.openxmlformats.org/officeDocument/2006/relationships/hyperlink" Target="https://www.facebook.com/hieudelicate17b5?mi...d=LQQJ4d" TargetMode="External"/><Relationship Id="rId5016" Type="http://schemas.openxmlformats.org/officeDocument/2006/relationships/hyperlink" Target="https://drive.google.com/open?id=1XkkKVdJNBl8mV8xwKqDohifPn6n62Ytb" TargetMode="External"/><Relationship Id="rId1973" Type="http://schemas.openxmlformats.org/officeDocument/2006/relationships/hyperlink" Target="https://www.facebook.com/thuw.namlung" TargetMode="External"/><Relationship Id="rId7188" Type="http://schemas.openxmlformats.org/officeDocument/2006/relationships/hyperlink" Target="https://www.facebook.com/profile.php?id=100037369644022&amp;mibextid=LQQJ4d" TargetMode="External"/><Relationship Id="rId8239" Type="http://schemas.openxmlformats.org/officeDocument/2006/relationships/hyperlink" Target="https://www.facebook.com/phngocc29?mibextid=LQQJ4d" TargetMode="External"/><Relationship Id="rId8586" Type="http://schemas.openxmlformats.org/officeDocument/2006/relationships/hyperlink" Target="https://www.facebook.com/hoaa.hoaa.16" TargetMode="External"/><Relationship Id="rId1626" Type="http://schemas.openxmlformats.org/officeDocument/2006/relationships/hyperlink" Target="https://www.facebook.com/profile.php?id=100010554601685" TargetMode="External"/><Relationship Id="rId3798" Type="http://schemas.openxmlformats.org/officeDocument/2006/relationships/hyperlink" Target="https://drive.google.com/open?id=12_ejDwyyy4fprlC277z1EFKesdAuTCDc" TargetMode="External"/><Relationship Id="rId4849" Type="http://schemas.openxmlformats.org/officeDocument/2006/relationships/hyperlink" Target="https://www.facebook.com/profile.php?id=100070079411711" TargetMode="External"/><Relationship Id="rId8720" Type="http://schemas.openxmlformats.org/officeDocument/2006/relationships/hyperlink" Target="https://www.facebook.com/profile.php?id=100037761561597&amp;mibextid=LQQJ4d" TargetMode="External"/><Relationship Id="rId6271" Type="http://schemas.openxmlformats.org/officeDocument/2006/relationships/hyperlink" Target="https://www.facebook.com/susu.nu.146" TargetMode="External"/><Relationship Id="rId7322" Type="http://schemas.openxmlformats.org/officeDocument/2006/relationships/hyperlink" Target="https://www.facebook.com/may.lythi.5099?mibextid=LQQJ4d" TargetMode="External"/><Relationship Id="rId9494" Type="http://schemas.openxmlformats.org/officeDocument/2006/relationships/hyperlink" Target="https://www.facebook.com/hoangg.giangg.105512" TargetMode="External"/><Relationship Id="rId1483" Type="http://schemas.openxmlformats.org/officeDocument/2006/relationships/hyperlink" Target="https://drive.google.com/open?id=1gLBRlMi0oXP6_y3ZEQYhk1Z8v50-BZ5q" TargetMode="External"/><Relationship Id="rId2881" Type="http://schemas.openxmlformats.org/officeDocument/2006/relationships/hyperlink" Target="https://www.facebook.com/profile.php?id=100092208241207&amp;mibextid=LQQJ4d" TargetMode="External"/><Relationship Id="rId3932" Type="http://schemas.openxmlformats.org/officeDocument/2006/relationships/hyperlink" Target="https://drive.google.com/open?id=1qGo0FCpKRvynbh0mnAGSFXE_7_AU_y3L" TargetMode="External"/><Relationship Id="rId8096" Type="http://schemas.openxmlformats.org/officeDocument/2006/relationships/hyperlink" Target="https://www.facebook.com/tran.sarah.1238292?mibextid=LQQJ4d" TargetMode="External"/><Relationship Id="rId9147" Type="http://schemas.openxmlformats.org/officeDocument/2006/relationships/hyperlink" Target="https://www.facebook.com/profile.php?id=100040992468199&amp;mibextid=LQQJ4d" TargetMode="External"/><Relationship Id="rId506" Type="http://schemas.openxmlformats.org/officeDocument/2006/relationships/hyperlink" Target="https://drive.google.com/open?id=1oogzmR9mN1ggj7OZjvsqo9py-_yCfMC2" TargetMode="External"/><Relationship Id="rId853" Type="http://schemas.openxmlformats.org/officeDocument/2006/relationships/hyperlink" Target="https://drive.google.com/open?id=1JN2gDBMcdXQd72gtf9VVORha6vwBBElC" TargetMode="External"/><Relationship Id="rId1136" Type="http://schemas.openxmlformats.org/officeDocument/2006/relationships/hyperlink" Target="https://www.facebook.com/profile.php?id=100015260144680&amp;mibextid=ZbWKwL" TargetMode="External"/><Relationship Id="rId2534" Type="http://schemas.openxmlformats.org/officeDocument/2006/relationships/hyperlink" Target="https://www.facebook.com/Vutrung1306" TargetMode="External"/><Relationship Id="rId5757" Type="http://schemas.openxmlformats.org/officeDocument/2006/relationships/hyperlink" Target="https://www.facebook.com/huynchhang" TargetMode="External"/><Relationship Id="rId6808" Type="http://schemas.openxmlformats.org/officeDocument/2006/relationships/hyperlink" Target="https://www.facebook.com/khoa.kenvil.5?mibextid=ZbWKwL" TargetMode="External"/><Relationship Id="rId4359" Type="http://schemas.openxmlformats.org/officeDocument/2006/relationships/hyperlink" Target="https://www.facebook.com/profile.php?id=100022100826681&amp;mibextid=LQQJ4d" TargetMode="External"/><Relationship Id="rId8230" Type="http://schemas.openxmlformats.org/officeDocument/2006/relationships/hyperlink" Target="https://drive.google.com/open?id=1MOtKYzHLScr6Et2K31OGK3t0vWLx-FLJ" TargetMode="External"/><Relationship Id="rId4840" Type="http://schemas.openxmlformats.org/officeDocument/2006/relationships/hyperlink" Target="https://www.facebook.com/ngoxuantan27?mibextid=LQQJ4d" TargetMode="External"/><Relationship Id="rId2391" Type="http://schemas.openxmlformats.org/officeDocument/2006/relationships/hyperlink" Target="https://drive.google.com/open?id=11OqV0PMhV2ICepaThG52_MqQW68IqVVt" TargetMode="External"/><Relationship Id="rId3442" Type="http://schemas.openxmlformats.org/officeDocument/2006/relationships/hyperlink" Target="https://www.facebook.com/thu.chuc.1412" TargetMode="External"/><Relationship Id="rId363" Type="http://schemas.openxmlformats.org/officeDocument/2006/relationships/hyperlink" Target="https://www.facebook.com/quan.mp.1?mibextid=LQQJ4d" TargetMode="External"/><Relationship Id="rId2044" Type="http://schemas.openxmlformats.org/officeDocument/2006/relationships/hyperlink" Target="https://drive.google.com/open?id=1Ab67GovDq5hd_oGydOD3gbQu2eUD2RrH" TargetMode="External"/><Relationship Id="rId5267" Type="http://schemas.openxmlformats.org/officeDocument/2006/relationships/hyperlink" Target="https://drive.google.com/open?id=1v_Jv7IK3UpKcwXRtXgE4kqGfrRWHKzIV" TargetMode="External"/><Relationship Id="rId6318" Type="http://schemas.openxmlformats.org/officeDocument/2006/relationships/hyperlink" Target="https://www.facebook.com/nhi.nek.984" TargetMode="External"/><Relationship Id="rId6665" Type="http://schemas.openxmlformats.org/officeDocument/2006/relationships/hyperlink" Target="https://www.facebook.com/van.maivan.9678?mibextid=LQQJ4d" TargetMode="External"/><Relationship Id="rId7716" Type="http://schemas.openxmlformats.org/officeDocument/2006/relationships/hyperlink" Target="https://www.facebook.com/profile.php?id=100074776731780&amp;mibextid=ZbWKwL" TargetMode="External"/><Relationship Id="rId1877" Type="http://schemas.openxmlformats.org/officeDocument/2006/relationships/hyperlink" Target="https://www.facebook.com/profile.php?id=100073739116806&amp;mibextid=LQQJ4d" TargetMode="External"/><Relationship Id="rId2928" Type="http://schemas.openxmlformats.org/officeDocument/2006/relationships/hyperlink" Target="https://www.facebook.com/lethithuphuong200503?mibextid=ZbWKwL" TargetMode="External"/><Relationship Id="rId4350" Type="http://schemas.openxmlformats.org/officeDocument/2006/relationships/hyperlink" Target="https://www.facebook.com/profile.php?id=100050065650756&amp;mibextid=LQQJ4d" TargetMode="External"/><Relationship Id="rId5401" Type="http://schemas.openxmlformats.org/officeDocument/2006/relationships/hyperlink" Target="https://www.facebook.com/le.vanphong.12914216" TargetMode="External"/><Relationship Id="rId8971" Type="http://schemas.openxmlformats.org/officeDocument/2006/relationships/hyperlink" Target="https://www.facebook.com/mainguyen.quynh.1029" TargetMode="External"/><Relationship Id="rId4003" Type="http://schemas.openxmlformats.org/officeDocument/2006/relationships/hyperlink" Target="https://www.facebook.com/profile.php?id=100069483699122&amp;mibextid=kFxxJD" TargetMode="External"/><Relationship Id="rId7573" Type="http://schemas.openxmlformats.org/officeDocument/2006/relationships/hyperlink" Target="https://www.facebook.com/profile.php?id=100048103996534&amp;mibextid=LQQJ4d" TargetMode="External"/><Relationship Id="rId8624" Type="http://schemas.openxmlformats.org/officeDocument/2006/relationships/hyperlink" Target="https://www.facebook.com/profile.php?id=100064545711396&amp;mibextid=LQQJ4d" TargetMode="External"/><Relationship Id="rId6175" Type="http://schemas.openxmlformats.org/officeDocument/2006/relationships/hyperlink" Target="https://www.facebook.com/aramoca.ngoc?mibextid=LQQJ4d" TargetMode="External"/><Relationship Id="rId7226" Type="http://schemas.openxmlformats.org/officeDocument/2006/relationships/hyperlink" Target="https://drive.google.com/open?id=1lVy1NMgzqCeWOuOrC4X01TkkfqlgxNmb" TargetMode="External"/><Relationship Id="rId9398" Type="http://schemas.openxmlformats.org/officeDocument/2006/relationships/hyperlink" Target="https://www.facebook.com/profile.php?id=100065635864535&amp;mibextid=LQQJ4d" TargetMode="External"/><Relationship Id="rId2785" Type="http://schemas.openxmlformats.org/officeDocument/2006/relationships/hyperlink" Target="https://drive.google.com/open?id=1pIOYmmW5LG3iijcwz8fc_vb4jXQT-QSu" TargetMode="External"/><Relationship Id="rId3836" Type="http://schemas.openxmlformats.org/officeDocument/2006/relationships/hyperlink" Target="https://www.facebook.com/profile.php?id=100025671799135&amp;mibextid=LQQJ4d" TargetMode="External"/><Relationship Id="rId757" Type="http://schemas.openxmlformats.org/officeDocument/2006/relationships/hyperlink" Target="https://www.facebook.com/tinh.cuc.1426?mibextid=LQQJ4d" TargetMode="External"/><Relationship Id="rId1387" Type="http://schemas.openxmlformats.org/officeDocument/2006/relationships/hyperlink" Target="https://drive.google.com/open?id=13qxNCC5g1vBpCyGr4yijtFRnPj7ZoLgT" TargetMode="External"/><Relationship Id="rId2438" Type="http://schemas.openxmlformats.org/officeDocument/2006/relationships/hyperlink" Target="https://www.facebook.com/profile.php?id=100024428884733&amp;mibextid=ZbWKwL" TargetMode="External"/><Relationship Id="rId93" Type="http://schemas.openxmlformats.org/officeDocument/2006/relationships/hyperlink" Target="https://drive.google.com/open?id=1OduD2gmIv9fqDYgLRD3o2Dppr9xbyO4J" TargetMode="External"/><Relationship Id="rId8481" Type="http://schemas.openxmlformats.org/officeDocument/2006/relationships/hyperlink" Target="https://www.facebook.com/nam.nguyenss.3?mibextid=LQQJ4d" TargetMode="External"/><Relationship Id="rId9532" Type="http://schemas.openxmlformats.org/officeDocument/2006/relationships/hyperlink" Target="https://www.facebook.com/share/1A263wXuDt/?mibextid=wwXIfr" TargetMode="External"/><Relationship Id="rId1521" Type="http://schemas.openxmlformats.org/officeDocument/2006/relationships/hyperlink" Target="https://www.facebook.com/profile.php?id=100069390811499" TargetMode="External"/><Relationship Id="rId7083" Type="http://schemas.openxmlformats.org/officeDocument/2006/relationships/hyperlink" Target="https://drive.google.com/open?id=1pX1fDIxMSmV61ejo4W4AN0XamRL616-X" TargetMode="External"/><Relationship Id="rId8134" Type="http://schemas.openxmlformats.org/officeDocument/2006/relationships/hyperlink" Target="https://www.facebook.com/people/Ng%C3%A2n-H%C3%A0/pfbid023DU4GbV9WeEbyuLSKfc7et6xXgtyqm1CCnM7EnhGTffC2m4YSTA8LDh7e1BrLbK5l/" TargetMode="External"/><Relationship Id="rId3693" Type="http://schemas.openxmlformats.org/officeDocument/2006/relationships/hyperlink" Target="https://www.facebook.com/profile.php?id=100049606880781&amp;mibextid=LQQJ4d" TargetMode="External"/><Relationship Id="rId2295" Type="http://schemas.openxmlformats.org/officeDocument/2006/relationships/hyperlink" Target="https://drive.google.com/open?id=11yfIMz19RZT_9QUHL02noLMJ2an_0qPh" TargetMode="External"/><Relationship Id="rId3346" Type="http://schemas.openxmlformats.org/officeDocument/2006/relationships/hyperlink" Target="https://www.facebook.com/duongs.duongs.92372?mibextid=LQQJ4d" TargetMode="External"/><Relationship Id="rId4744" Type="http://schemas.openxmlformats.org/officeDocument/2006/relationships/hyperlink" Target="https://drive.google.com/open?id=1G-yRHA8DWDuzCD58OdWAVEcadxhxgfEh" TargetMode="External"/><Relationship Id="rId267" Type="http://schemas.openxmlformats.org/officeDocument/2006/relationships/hyperlink" Target="https://www.facebook.com/profile.php?id=100078859430172&amp;mibextid=ZbWKwL" TargetMode="External"/><Relationship Id="rId7967" Type="http://schemas.openxmlformats.org/officeDocument/2006/relationships/hyperlink" Target="https://www.facebook.com/jasmine.nkan?mibextid=LQQJ4d" TargetMode="External"/><Relationship Id="rId6569" Type="http://schemas.openxmlformats.org/officeDocument/2006/relationships/hyperlink" Target="https://drive.google.com/open?id=1pmFWpYTYWUV5RhnxPbiCvrPg41q_ARJj" TargetMode="External"/><Relationship Id="rId9042" Type="http://schemas.openxmlformats.org/officeDocument/2006/relationships/hyperlink" Target="https://www.facebook.com/long014?mibextid=ZbWKwL" TargetMode="External"/><Relationship Id="rId401" Type="http://schemas.openxmlformats.org/officeDocument/2006/relationships/hyperlink" Target="https://drive.google.com/open?id=1uAh1HekRHmi6sGrCgDoP7H0iK2SQnogL" TargetMode="External"/><Relationship Id="rId1031" Type="http://schemas.openxmlformats.org/officeDocument/2006/relationships/hyperlink" Target="https://drive.google.com/open?id=12ZLDFMottbycQ6jNyH41Fur1ixpgn-wu" TargetMode="External"/><Relationship Id="rId5652" Type="http://schemas.openxmlformats.org/officeDocument/2006/relationships/hyperlink" Target="https://drive.google.com/open?id=1LF1-Wn28JIN0r8YrquNWugmbv2TTzkyI" TargetMode="External"/><Relationship Id="rId6703" Type="http://schemas.openxmlformats.org/officeDocument/2006/relationships/hyperlink" Target="https://www.facebook.com/duong.phamkhachoang" TargetMode="External"/><Relationship Id="rId4254" Type="http://schemas.openxmlformats.org/officeDocument/2006/relationships/hyperlink" Target="https://www.facebook.com/dungdepchaiquadiiii?mibextid=LQQJ4d" TargetMode="External"/><Relationship Id="rId5305" Type="http://schemas.openxmlformats.org/officeDocument/2006/relationships/hyperlink" Target="https://www.facebook.com/khanh.phan.29?mibextid=ZbWKwL" TargetMode="External"/><Relationship Id="rId7477" Type="http://schemas.openxmlformats.org/officeDocument/2006/relationships/hyperlink" Target="https://www.facebook.com/vansieusao" TargetMode="External"/><Relationship Id="rId8528" Type="http://schemas.openxmlformats.org/officeDocument/2006/relationships/hyperlink" Target="https://www.facebook.com/profile.php?id=61550891798675" TargetMode="External"/><Relationship Id="rId8875" Type="http://schemas.openxmlformats.org/officeDocument/2006/relationships/hyperlink" Target="https://www.facebook.com/share/1CFVoc6ioV/?mibextid=wwXIfr" TargetMode="External"/><Relationship Id="rId1915" Type="http://schemas.openxmlformats.org/officeDocument/2006/relationships/hyperlink" Target="https://drive.google.com/open?id=1hP76JvREh5HEjkiKgbMxsU9jkO0lK9GY" TargetMode="External"/><Relationship Id="rId6079" Type="http://schemas.openxmlformats.org/officeDocument/2006/relationships/hyperlink" Target="https://www.facebook.com/share/XVGFhQSjdFA7sW9A/?mibextid=qi2Omg" TargetMode="External"/><Relationship Id="rId2689" Type="http://schemas.openxmlformats.org/officeDocument/2006/relationships/hyperlink" Target="https://drive.google.com/open?id=1txdJVoa-Fkg816aWX1rUnmoBacXwmDW8" TargetMode="External"/><Relationship Id="rId6560" Type="http://schemas.openxmlformats.org/officeDocument/2006/relationships/hyperlink" Target="https://drive.google.com/open?id=1J0MeBIIheAtlo-FMWrlnThk2HFBf7h3t" TargetMode="External"/><Relationship Id="rId7611" Type="http://schemas.openxmlformats.org/officeDocument/2006/relationships/hyperlink" Target="https://www.facebook.com/profile.php?id=100080642105798&amp;mibextid=LQQJ4d" TargetMode="External"/><Relationship Id="rId5162" Type="http://schemas.openxmlformats.org/officeDocument/2006/relationships/hyperlink" Target="https://www.facebook.com/1702dat" TargetMode="External"/><Relationship Id="rId6213" Type="http://schemas.openxmlformats.org/officeDocument/2006/relationships/hyperlink" Target="https://www.facebook.com/Lequoctrung.1408" TargetMode="External"/><Relationship Id="rId1772" Type="http://schemas.openxmlformats.org/officeDocument/2006/relationships/hyperlink" Target="https://www.facebook.com/profile.php?id=100046458185879&amp;mibextid=LQQJ4d" TargetMode="External"/><Relationship Id="rId8385" Type="http://schemas.openxmlformats.org/officeDocument/2006/relationships/hyperlink" Target="https://drive.google.com/open?id=16XS7qyMQUMjucS9u8bcrMnbzGaN3ovqv" TargetMode="External"/><Relationship Id="rId9436" Type="http://schemas.openxmlformats.org/officeDocument/2006/relationships/hyperlink" Target="https://www.facebook.com/share/5ydzNFqtar4Z5pwZ/?mibextid=qi2Omg" TargetMode="External"/><Relationship Id="rId1425" Type="http://schemas.openxmlformats.org/officeDocument/2006/relationships/hyperlink" Target="https://drive.google.com/open?id=1mtG0KaEreoJliaXYVQ70YzKJX-by5LaY" TargetMode="External"/><Relationship Id="rId2823" Type="http://schemas.openxmlformats.org/officeDocument/2006/relationships/hyperlink" Target="https://drive.google.com/open?id=1D_xUex04jpjtSvlMWN_kslTcxRPQI5lv" TargetMode="External"/><Relationship Id="rId8038" Type="http://schemas.openxmlformats.org/officeDocument/2006/relationships/hyperlink" Target="https://www.facebook.com/haanh.nguyenngoc.1029" TargetMode="External"/><Relationship Id="rId4995" Type="http://schemas.openxmlformats.org/officeDocument/2006/relationships/hyperlink" Target="https://www.facebook.com/trinh.minh.hue1310" TargetMode="External"/><Relationship Id="rId2199" Type="http://schemas.openxmlformats.org/officeDocument/2006/relationships/hyperlink" Target="https://www.facebook.com/profile.php?id=100053342861083&amp;mibextid=ZbWKwL" TargetMode="External"/><Relationship Id="rId3597" Type="http://schemas.openxmlformats.org/officeDocument/2006/relationships/hyperlink" Target="https://drive.google.com/open?id=1FNDZRxa172sRY0zc6h4JoSvpq1bQkvxX" TargetMode="External"/><Relationship Id="rId4648" Type="http://schemas.openxmlformats.org/officeDocument/2006/relationships/hyperlink" Target="https://drive.google.com/open?id=1CJYLVun-JrfNV9fJ4ClZ_IwV3HMZwFVo" TargetMode="External"/><Relationship Id="rId6070" Type="http://schemas.openxmlformats.org/officeDocument/2006/relationships/hyperlink" Target="https://www.facebook.com/huyhettien06?mibextid=ZbWKwL" TargetMode="External"/><Relationship Id="rId7121" Type="http://schemas.openxmlformats.org/officeDocument/2006/relationships/hyperlink" Target="https://www.facebook.com/profile.php?id=100071548576161" TargetMode="External"/><Relationship Id="rId2680" Type="http://schemas.openxmlformats.org/officeDocument/2006/relationships/hyperlink" Target="https://www.facebook.com/ngan.tathi.771" TargetMode="External"/><Relationship Id="rId3731" Type="http://schemas.openxmlformats.org/officeDocument/2006/relationships/hyperlink" Target="https://www.facebook.com/profile.php?id=100026601651747&amp;mibextid=LQQJ4d" TargetMode="External"/><Relationship Id="rId9293" Type="http://schemas.openxmlformats.org/officeDocument/2006/relationships/hyperlink" Target="https://drive.google.com/open?id=1KTopQZ3LJeifcqUh23fxfoCToD52AUCA" TargetMode="External"/><Relationship Id="rId652" Type="http://schemas.openxmlformats.org/officeDocument/2006/relationships/hyperlink" Target="https://www.facebook.com/profile.php?id=100015469035922" TargetMode="External"/><Relationship Id="rId1282" Type="http://schemas.openxmlformats.org/officeDocument/2006/relationships/hyperlink" Target="https://www.facebook.com/profile.php?id=100046750959676" TargetMode="External"/><Relationship Id="rId2333" Type="http://schemas.openxmlformats.org/officeDocument/2006/relationships/hyperlink" Target="https://web.facebook.com/profile.php?id=100032486327563" TargetMode="External"/><Relationship Id="rId305" Type="http://schemas.openxmlformats.org/officeDocument/2006/relationships/hyperlink" Target="https://www.facebook.com/phundo.onthemicc.05?mibextid=LQQJ4d" TargetMode="External"/><Relationship Id="rId5556" Type="http://schemas.openxmlformats.org/officeDocument/2006/relationships/hyperlink" Target="https://www.facebook.com/BuiHau.Official?mibextid=LQQJ4d" TargetMode="External"/><Relationship Id="rId6607" Type="http://schemas.openxmlformats.org/officeDocument/2006/relationships/hyperlink" Target="https://www.facebook.com/profile.php?id=100027625788368&amp;mibextid=LQQJ4d" TargetMode="External"/><Relationship Id="rId6954" Type="http://schemas.openxmlformats.org/officeDocument/2006/relationships/hyperlink" Target="https://www.facebook.com/profile.php?id=100088037691117&amp;mibextid=LQQJ4d" TargetMode="External"/><Relationship Id="rId4158" Type="http://schemas.openxmlformats.org/officeDocument/2006/relationships/hyperlink" Target="https://www.facebook.com/nhunhu.pham.777?mibextid=ZbWKwL" TargetMode="External"/><Relationship Id="rId5209" Type="http://schemas.openxmlformats.org/officeDocument/2006/relationships/hyperlink" Target="https://www.facebook.com/profile.php?id=100014409047034&amp;mibextid=ZbWKwL" TargetMode="External"/><Relationship Id="rId8779" Type="http://schemas.openxmlformats.org/officeDocument/2006/relationships/hyperlink" Target="https://www.facebook.com/profile.php?id=100094996368429&amp;mibextid=LQQJ4d" TargetMode="External"/><Relationship Id="rId1819" Type="http://schemas.openxmlformats.org/officeDocument/2006/relationships/hyperlink" Target="https://www.facebook.com/lmhrosie.hanng?mibextid=LQQJ4d" TargetMode="External"/><Relationship Id="rId2190" Type="http://schemas.openxmlformats.org/officeDocument/2006/relationships/hyperlink" Target="https://www.facebook.com/bong.08102005?mibextid=LQQJ4d" TargetMode="External"/><Relationship Id="rId3241" Type="http://schemas.openxmlformats.org/officeDocument/2006/relationships/hyperlink" Target="https://www.facebook.com/nguyen.nhung005?mibextid=opq0tG" TargetMode="External"/><Relationship Id="rId7862" Type="http://schemas.openxmlformats.org/officeDocument/2006/relationships/hyperlink" Target="https://www.facebook.com/sahra.ha.92" TargetMode="External"/><Relationship Id="rId8913" Type="http://schemas.openxmlformats.org/officeDocument/2006/relationships/hyperlink" Target="https://www.facebook.com/profile.php?id=100055557085657" TargetMode="External"/><Relationship Id="rId162" Type="http://schemas.openxmlformats.org/officeDocument/2006/relationships/hyperlink" Target="https://www.facebook.com/profile.php?id=100045580982334&amp;mibextid=LQQJ4d" TargetMode="External"/><Relationship Id="rId6464" Type="http://schemas.openxmlformats.org/officeDocument/2006/relationships/hyperlink" Target="https://www.facebook.com/thang.tatee.10" TargetMode="External"/><Relationship Id="rId7515" Type="http://schemas.openxmlformats.org/officeDocument/2006/relationships/hyperlink" Target="https://www.facebook.com/profile.php?id=100031991585827&amp;mibextid=LQQJ4d" TargetMode="External"/><Relationship Id="rId5066" Type="http://schemas.openxmlformats.org/officeDocument/2006/relationships/hyperlink" Target="https://drive.google.com/open?id=1oyfxmAPpdUr4qliv73YaKP_ygLZ-qeno" TargetMode="External"/><Relationship Id="rId6117" Type="http://schemas.openxmlformats.org/officeDocument/2006/relationships/hyperlink" Target="https://www.facebook.com/profile.php?id=100041213595048&amp;mibextid=ZbWKwL" TargetMode="External"/><Relationship Id="rId8289" Type="http://schemas.openxmlformats.org/officeDocument/2006/relationships/hyperlink" Target="https://drive.google.com/open?id=11FV9A1Z9TyMxuH26_GnBKolhCsKx1IPC" TargetMode="External"/><Relationship Id="rId1676" Type="http://schemas.openxmlformats.org/officeDocument/2006/relationships/hyperlink" Target="https://www.facebook.com/100027289029043/" TargetMode="External"/><Relationship Id="rId2727" Type="http://schemas.openxmlformats.org/officeDocument/2006/relationships/hyperlink" Target="https://drive.google.com/open?id=1L7C4LCDbaBuOTzPuVJu68CwePwSnksF8" TargetMode="External"/><Relationship Id="rId1329" Type="http://schemas.openxmlformats.org/officeDocument/2006/relationships/hyperlink" Target="https://www.facebook.com/profile.php?id=100039244503444&amp;mibextid=ZbWKwL" TargetMode="External"/><Relationship Id="rId4899" Type="http://schemas.openxmlformats.org/officeDocument/2006/relationships/hyperlink" Target="https://www.facebook.com/profile.php?id=100050627298759&amp;mibextid=LQQJ4d" TargetMode="External"/><Relationship Id="rId5200" Type="http://schemas.openxmlformats.org/officeDocument/2006/relationships/hyperlink" Target="https://www.facebook.com/profile.php?id=100083692651135" TargetMode="External"/><Relationship Id="rId8770" Type="http://schemas.openxmlformats.org/officeDocument/2006/relationships/hyperlink" Target="https://drive.google.com/open?id=1ZMRIMJf5sRVBWVOjEz4BZ-U0MijfEpPs" TargetMode="External"/><Relationship Id="rId35" Type="http://schemas.openxmlformats.org/officeDocument/2006/relationships/hyperlink" Target="https://drive.google.com/open?id=1GanS81pDbvnKlxhNAGMyfTYh0V8Zno3g" TargetMode="External"/><Relationship Id="rId1810" Type="http://schemas.openxmlformats.org/officeDocument/2006/relationships/hyperlink" Target="https://drive.google.com/open?id=1zoOfkTQh1n3eqELVcDxx0XL8sfgiO-O0" TargetMode="External"/><Relationship Id="rId7372" Type="http://schemas.openxmlformats.org/officeDocument/2006/relationships/hyperlink" Target="https://www.facebook.com/profile.php?id=61550780199546" TargetMode="External"/><Relationship Id="rId8423" Type="http://schemas.openxmlformats.org/officeDocument/2006/relationships/hyperlink" Target="https://www.facebook.com/ownerbanhcuoncha?mibextid=LQQJ4d" TargetMode="External"/><Relationship Id="rId3982" Type="http://schemas.openxmlformats.org/officeDocument/2006/relationships/hyperlink" Target="https://www.facebook.com/tragiang.nguyen.372019?mibextid=JRoKGi" TargetMode="External"/><Relationship Id="rId7025" Type="http://schemas.openxmlformats.org/officeDocument/2006/relationships/hyperlink" Target="https://www.facebook.com/hungg.manh.185?mibextid=LQQJ4d" TargetMode="External"/><Relationship Id="rId2584" Type="http://schemas.openxmlformats.org/officeDocument/2006/relationships/hyperlink" Target="https://www.facebook.com/profile.php?id=100069462744726&amp;mibextid=ZbWKwL" TargetMode="External"/><Relationship Id="rId3635" Type="http://schemas.openxmlformats.org/officeDocument/2006/relationships/hyperlink" Target="https://www.facebook.com/profile.php?id=100028728332274&amp;mibextid=LQQJ4d" TargetMode="External"/><Relationship Id="rId9197" Type="http://schemas.openxmlformats.org/officeDocument/2006/relationships/hyperlink" Target="https://drive.google.com/open?id=1O2r01f3CQ4pX8YAsc5ZSN2ILVK-le-X7" TargetMode="External"/><Relationship Id="rId556" Type="http://schemas.openxmlformats.org/officeDocument/2006/relationships/hyperlink" Target="https://www.facebook.com/profile.php?id=100023836494007" TargetMode="External"/><Relationship Id="rId1186" Type="http://schemas.openxmlformats.org/officeDocument/2006/relationships/hyperlink" Target="https://www.facebook.com/profile.php?id=100054705705342" TargetMode="External"/><Relationship Id="rId2237" Type="http://schemas.openxmlformats.org/officeDocument/2006/relationships/hyperlink" Target="https://www.facebook.com/to.quan.180/" TargetMode="External"/><Relationship Id="rId209" Type="http://schemas.openxmlformats.org/officeDocument/2006/relationships/hyperlink" Target="https://drive.google.com/open?id=1s-NA_ZpxuPCanXWjp450RR3Z8LXHe28Z" TargetMode="External"/><Relationship Id="rId6858" Type="http://schemas.openxmlformats.org/officeDocument/2006/relationships/hyperlink" Target="http://mtrinhh2204gmail.com/" TargetMode="External"/><Relationship Id="rId7909" Type="http://schemas.openxmlformats.org/officeDocument/2006/relationships/hyperlink" Target="https://www.facebook.com/Ngocmai0365?mibextid=LQQJ4d" TargetMode="External"/><Relationship Id="rId8280" Type="http://schemas.openxmlformats.org/officeDocument/2006/relationships/hyperlink" Target="https://drive.google.com/open?id=1NyzKzo97Gr1OdXS8N-Ax6NPcidZoHnHZ" TargetMode="External"/><Relationship Id="rId9331" Type="http://schemas.openxmlformats.org/officeDocument/2006/relationships/hyperlink" Target="https://www.facebook.com/profile.php?id=100070347000827&amp;mibextid=ZbWKwL" TargetMode="External"/><Relationship Id="rId1320" Type="http://schemas.openxmlformats.org/officeDocument/2006/relationships/hyperlink" Target="https://www.facebook.com/profile.php?id=100030349750522&amp;mibextid=9R9pXO" TargetMode="External"/><Relationship Id="rId4890" Type="http://schemas.openxmlformats.org/officeDocument/2006/relationships/hyperlink" Target="https://www.facebook.com/khang.nguyenthi.5667?mibextid=LQQJ4d" TargetMode="External"/><Relationship Id="rId5941" Type="http://schemas.openxmlformats.org/officeDocument/2006/relationships/hyperlink" Target="https://www.facebook.com/tuandvck?mibextid=LQQJ4d" TargetMode="External"/><Relationship Id="rId3492" Type="http://schemas.openxmlformats.org/officeDocument/2006/relationships/hyperlink" Target="https://drive.google.com/open?id=1qWfdBqvD9o9Nv0mKUzgJaTZ8uAeOl7dB" TargetMode="External"/><Relationship Id="rId4543" Type="http://schemas.openxmlformats.org/officeDocument/2006/relationships/hyperlink" Target="https://drive.google.com/open?id=1kFIOqjwIrs8c5QxnJh3M1K2ikn81sUfO" TargetMode="External"/><Relationship Id="rId2094" Type="http://schemas.openxmlformats.org/officeDocument/2006/relationships/hyperlink" Target="https://www.facebook.com/profile.php?id=100036099408765&amp;mibextid=ZbWKwL" TargetMode="External"/><Relationship Id="rId3145" Type="http://schemas.openxmlformats.org/officeDocument/2006/relationships/hyperlink" Target="https://www.facebook.com/profile.php?id=100069984714656" TargetMode="External"/><Relationship Id="rId7766" Type="http://schemas.openxmlformats.org/officeDocument/2006/relationships/hyperlink" Target="https://www.facebook.com/profile.php?id=100091881070888&amp;mibextid=LQQJ4d" TargetMode="External"/><Relationship Id="rId8817" Type="http://schemas.openxmlformats.org/officeDocument/2006/relationships/hyperlink" Target="https://www.facebook.com/profile.php?id=100090758208693" TargetMode="External"/><Relationship Id="rId6368" Type="http://schemas.openxmlformats.org/officeDocument/2006/relationships/hyperlink" Target="https://www.facebook.com/p.ngochuyen" TargetMode="External"/><Relationship Id="rId7419" Type="http://schemas.openxmlformats.org/officeDocument/2006/relationships/hyperlink" Target="https://www.facebook.com/nhu.hexi.1253?mibextid=JRoKGi" TargetMode="External"/><Relationship Id="rId200" Type="http://schemas.openxmlformats.org/officeDocument/2006/relationships/hyperlink" Target="https://www.facebook.com/profile.php?id=100043041522190" TargetMode="External"/><Relationship Id="rId2978" Type="http://schemas.openxmlformats.org/officeDocument/2006/relationships/hyperlink" Target="https://www.facebook.com/profile.php?id=100025100658519&amp;mibextid=opq0tG" TargetMode="External"/><Relationship Id="rId7900" Type="http://schemas.openxmlformats.org/officeDocument/2006/relationships/hyperlink" Target="https://www.facebook.com/share/14UV1vfpMX/?mibextid=LQQJ4d" TargetMode="External"/><Relationship Id="rId5451" Type="http://schemas.openxmlformats.org/officeDocument/2006/relationships/hyperlink" Target="https://m.facebook.com/dung.lethuy.526438/" TargetMode="External"/><Relationship Id="rId6502" Type="http://schemas.openxmlformats.org/officeDocument/2006/relationships/hyperlink" Target="https://www.facebook.com/profile.php?id=100070239281449" TargetMode="External"/><Relationship Id="rId4053" Type="http://schemas.openxmlformats.org/officeDocument/2006/relationships/hyperlink" Target="https://drive.google.com/open?id=12mF1Mfc6qg_I61oorzOZNIRlHx-mm355" TargetMode="External"/><Relationship Id="rId5104" Type="http://schemas.openxmlformats.org/officeDocument/2006/relationships/hyperlink" Target="https://www.facebook.com/phuc.tan.1911?mibextid=ZbWKwL" TargetMode="External"/><Relationship Id="rId8674" Type="http://schemas.openxmlformats.org/officeDocument/2006/relationships/hyperlink" Target="https://www.facebook.com/profile.php?id=100028763377477&amp;mibextid=LQQJ4d" TargetMode="External"/><Relationship Id="rId1714" Type="http://schemas.openxmlformats.org/officeDocument/2006/relationships/hyperlink" Target="https://drive.google.com/open?id=1ysbNtbhARV6pXUqOuUm-njaiOGicqFyQ" TargetMode="External"/><Relationship Id="rId7276" Type="http://schemas.openxmlformats.org/officeDocument/2006/relationships/hyperlink" Target="https://www.facebook.com/profile.php?id=100063728184122&amp;mibextid=LQQJ4d" TargetMode="External"/><Relationship Id="rId8327" Type="http://schemas.openxmlformats.org/officeDocument/2006/relationships/hyperlink" Target="https://www.facebook.com/binhthai.nguyen.31?mibextid=LQQJ4d" TargetMode="External"/><Relationship Id="rId2488" Type="http://schemas.openxmlformats.org/officeDocument/2006/relationships/hyperlink" Target="https://www.facebook.com/profile.php?id=100069746552749&amp;mibextid=zLoPMf" TargetMode="External"/><Relationship Id="rId3886" Type="http://schemas.openxmlformats.org/officeDocument/2006/relationships/hyperlink" Target="https://www.facebook.com/tran.sarah.1238292?mibextid=LQQJ4d" TargetMode="External"/><Relationship Id="rId4937" Type="http://schemas.openxmlformats.org/officeDocument/2006/relationships/hyperlink" Target="https://www.facebook.com/profile.php?id=100064516904491&amp;mibextid=LQQJ4d" TargetMode="External"/><Relationship Id="rId3539" Type="http://schemas.openxmlformats.org/officeDocument/2006/relationships/hyperlink" Target="https://drive.google.com/open?id=154TBN44YshyR4tALFpTUCeYcrEUOUdVn" TargetMode="External"/><Relationship Id="rId6012" Type="http://schemas.openxmlformats.org/officeDocument/2006/relationships/hyperlink" Target="https://www.facebook.com/profile.php?id=100028230201906&amp;mibextid=ZbWKwL" TargetMode="External"/><Relationship Id="rId7410" Type="http://schemas.openxmlformats.org/officeDocument/2006/relationships/hyperlink" Target="https://www.facebook.com/quiht.rangg2006?mibextid=LQQJ4d" TargetMode="External"/><Relationship Id="rId9582" Type="http://schemas.openxmlformats.org/officeDocument/2006/relationships/hyperlink" Target="https://www.facebook.com/profile.php?id=100048299379606&amp;mibextid=LQQJ4d" TargetMode="External"/><Relationship Id="rId941" Type="http://schemas.openxmlformats.org/officeDocument/2006/relationships/hyperlink" Target="https://www.facebook.com/profile.php?id=100013380550813&amp;mibextid=LQQJ4d" TargetMode="External"/><Relationship Id="rId1571" Type="http://schemas.openxmlformats.org/officeDocument/2006/relationships/hyperlink" Target="https://drive.google.com/open?id=1tc53P_mgyj9Gd41eUNulAGnjYrTwYIf9" TargetMode="External"/><Relationship Id="rId2622" Type="http://schemas.openxmlformats.org/officeDocument/2006/relationships/hyperlink" Target="https://drive.google.com/open?id=1uDIr2BgdRk5XbctBSWpZ8A5KgBJDUX_c" TargetMode="External"/><Relationship Id="rId8184" Type="http://schemas.openxmlformats.org/officeDocument/2006/relationships/hyperlink" Target="https://drive.google.com/open?id=1g26w6pUq-0sSfUbEsjzzPKh1BHZrhhFD" TargetMode="External"/><Relationship Id="rId9235" Type="http://schemas.openxmlformats.org/officeDocument/2006/relationships/hyperlink" Target="https://www.facebook.com/profile.php?id=100042311855995&amp;mibextid=LQQJ4d" TargetMode="External"/><Relationship Id="rId1224" Type="http://schemas.openxmlformats.org/officeDocument/2006/relationships/hyperlink" Target="https://www.facebook.com/iammeii3003?mibextid=LQQJ4d" TargetMode="External"/><Relationship Id="rId4794" Type="http://schemas.openxmlformats.org/officeDocument/2006/relationships/hyperlink" Target="https://www.facebook.com/profile.php?id=61550518141920&amp;mibextid=LQQJ4d" TargetMode="External"/><Relationship Id="rId5845" Type="http://schemas.openxmlformats.org/officeDocument/2006/relationships/hyperlink" Target="https://www.facebook.com/profile.php?id=100073285336889" TargetMode="External"/><Relationship Id="rId3396" Type="http://schemas.openxmlformats.org/officeDocument/2006/relationships/hyperlink" Target="https://www.facebook.com/profile.php?id=100018766781066&amp;mibextid=LQQJ4d" TargetMode="External"/><Relationship Id="rId4447" Type="http://schemas.openxmlformats.org/officeDocument/2006/relationships/hyperlink" Target="https://www.facebook.com/profile.php?id=100037798292019&amp;mibextid=LQQJ4d" TargetMode="External"/><Relationship Id="rId3049" Type="http://schemas.openxmlformats.org/officeDocument/2006/relationships/hyperlink" Target="https://www.facebook.com/domhieu2212?mibextid=LQQJ4d" TargetMode="External"/><Relationship Id="rId9092" Type="http://schemas.openxmlformats.org/officeDocument/2006/relationships/hyperlink" Target="https://www.facebook.com/profile.php?id=100080426880874&amp;mibextid=LQQJ4d" TargetMode="External"/><Relationship Id="rId1081" Type="http://schemas.openxmlformats.org/officeDocument/2006/relationships/hyperlink" Target="https://drive.google.com/open?id=1IDvT-OE2HeBktVM9JmPCIOJSVHXsANju" TargetMode="External"/><Relationship Id="rId3530" Type="http://schemas.openxmlformats.org/officeDocument/2006/relationships/hyperlink" Target="https://www.facebook.com/kieutrang247.ajc?mibextid=LQQJ4d" TargetMode="External"/><Relationship Id="rId451" Type="http://schemas.openxmlformats.org/officeDocument/2006/relationships/hyperlink" Target="https://drive.google.com/open?id=1niamUVTlcdFtA8eihZV_ycCqj2SLgAve" TargetMode="External"/><Relationship Id="rId2132" Type="http://schemas.openxmlformats.org/officeDocument/2006/relationships/hyperlink" Target="https://www.facebook.com/mcii05?mibextid=LQQJ4d" TargetMode="External"/><Relationship Id="rId6753" Type="http://schemas.openxmlformats.org/officeDocument/2006/relationships/hyperlink" Target="https://www.facebook.com/ngockien.trinh.188?mibextid=LQQJ4d" TargetMode="External"/><Relationship Id="rId7804" Type="http://schemas.openxmlformats.org/officeDocument/2006/relationships/hyperlink" Target="https://www.facebook.com/share/WA8GstfWEK5BzTgk/?mibextid=wwXIfr" TargetMode="External"/><Relationship Id="rId104" Type="http://schemas.openxmlformats.org/officeDocument/2006/relationships/hyperlink" Target="https://www.facebook.com/thach.taquang.1?mibextid=ZbWKwL" TargetMode="External"/><Relationship Id="rId5355" Type="http://schemas.openxmlformats.org/officeDocument/2006/relationships/hyperlink" Target="https://www.facebook.com/khoinguyen.huynh.50596" TargetMode="External"/><Relationship Id="rId6406" Type="http://schemas.openxmlformats.org/officeDocument/2006/relationships/hyperlink" Target="https://www.facebook.com/profile.php?id=100014921167752&amp;mibextid=LQQJ4d" TargetMode="External"/><Relationship Id="rId5008" Type="http://schemas.openxmlformats.org/officeDocument/2006/relationships/hyperlink" Target="https://www.facebook.com/trieunga06?mibextid=JRoKGi" TargetMode="External"/><Relationship Id="rId8578" Type="http://schemas.openxmlformats.org/officeDocument/2006/relationships/hyperlink" Target="https://www.facebook.com/thanh.thao.291" TargetMode="External"/><Relationship Id="rId1965" Type="http://schemas.openxmlformats.org/officeDocument/2006/relationships/hyperlink" Target="https://drive.google.com/open?id=1hy563E7n5OIHiEojehSaySxfe5NZidF3" TargetMode="External"/><Relationship Id="rId1618" Type="http://schemas.openxmlformats.org/officeDocument/2006/relationships/hyperlink" Target="https://www.facebook.com/hieu.hoangtrung.90410834" TargetMode="External"/><Relationship Id="rId3040" Type="http://schemas.openxmlformats.org/officeDocument/2006/relationships/hyperlink" Target="https://www.facebook.com/profile.php?id=100053568683783" TargetMode="External"/><Relationship Id="rId7661" Type="http://schemas.openxmlformats.org/officeDocument/2006/relationships/hyperlink" Target="https://www.facebook.com/share/19bopQeXBn/?mibextid=LQQJ4d" TargetMode="External"/><Relationship Id="rId8712" Type="http://schemas.openxmlformats.org/officeDocument/2006/relationships/hyperlink" Target="https://drive.google.com/open?id=13UXfdoUNCRePaQ1fWnbK17EUtuhtMSh1" TargetMode="External"/><Relationship Id="rId6263" Type="http://schemas.openxmlformats.org/officeDocument/2006/relationships/hyperlink" Target="https://www.facebook.com/nguynhongghank.2806" TargetMode="External"/><Relationship Id="rId7314" Type="http://schemas.openxmlformats.org/officeDocument/2006/relationships/hyperlink" Target="https://www.facebook.com/profile.php?id=100022058163157&amp;mibextid=LQQJ4d" TargetMode="External"/><Relationship Id="rId2873" Type="http://schemas.openxmlformats.org/officeDocument/2006/relationships/hyperlink" Target="https://drive.google.com/open?id=1mUs_LRXhzqtZeH1GPrT48q98ZAu8t-VT" TargetMode="External"/><Relationship Id="rId3924" Type="http://schemas.openxmlformats.org/officeDocument/2006/relationships/hyperlink" Target="https://www.facebook.com/my.nguyentrayen.7" TargetMode="External"/><Relationship Id="rId9486" Type="http://schemas.openxmlformats.org/officeDocument/2006/relationships/hyperlink" Target="https://www.facebook.com/profile.php?id=100074522943025&amp;mibextid=LQQJ4d&amp;mibextid=LQQJ4d" TargetMode="External"/><Relationship Id="rId845" Type="http://schemas.openxmlformats.org/officeDocument/2006/relationships/hyperlink" Target="https://drive.google.com/open?id=1PLTsM5aSlSEj9ftoUg3zdYieLXA4aB-S" TargetMode="External"/><Relationship Id="rId1475" Type="http://schemas.openxmlformats.org/officeDocument/2006/relationships/hyperlink" Target="https://www.facebook.com/nongmahonghanh?mibextid=LQQJ4d" TargetMode="External"/><Relationship Id="rId2526" Type="http://schemas.openxmlformats.org/officeDocument/2006/relationships/hyperlink" Target="https://drive.google.com/open?id=1aYX0cun4FZ0KVmkyJD0uCF8gT3eRetT_" TargetMode="External"/><Relationship Id="rId8088" Type="http://schemas.openxmlformats.org/officeDocument/2006/relationships/hyperlink" Target="https://drive.google.com/open?id=1CfhgC0XAojL15XX2gFgoqX7N4lgZqDwm" TargetMode="External"/><Relationship Id="rId9139" Type="http://schemas.openxmlformats.org/officeDocument/2006/relationships/hyperlink" Target="https://web.facebook.com/sunshine281006" TargetMode="External"/><Relationship Id="rId1128" Type="http://schemas.openxmlformats.org/officeDocument/2006/relationships/hyperlink" Target="https://www.facebook.com/profile.php?id=100017352134897&amp;mibextid=LQQJ4d" TargetMode="External"/><Relationship Id="rId4698" Type="http://schemas.openxmlformats.org/officeDocument/2006/relationships/hyperlink" Target="https://drive.google.com/open?id=1OqpW0rXbQuCLpp1Ct78e7TJBf7ev7Q2Q" TargetMode="External"/><Relationship Id="rId5749" Type="http://schemas.openxmlformats.org/officeDocument/2006/relationships/hyperlink" Target="https://www.facebook.com/profile.php?id=100028763377477&amp;mibextid=LQQJ4d" TargetMode="External"/><Relationship Id="rId7171" Type="http://schemas.openxmlformats.org/officeDocument/2006/relationships/hyperlink" Target="https://www.facebook.com/kahs.liee" TargetMode="External"/><Relationship Id="rId8222" Type="http://schemas.openxmlformats.org/officeDocument/2006/relationships/hyperlink" Target="https://drive.google.com/open?id=1q7KPPlaK4Z3DAQb-un8qj89zHOdXbtKo" TargetMode="External"/><Relationship Id="rId3781" Type="http://schemas.openxmlformats.org/officeDocument/2006/relationships/hyperlink" Target="https://www.facebook.com/profile.php?id=100011725952880" TargetMode="External"/><Relationship Id="rId4832" Type="http://schemas.openxmlformats.org/officeDocument/2006/relationships/hyperlink" Target="https://www.facebook.com/loan.tranthithanh.370?mibextid=LQQJ4d" TargetMode="External"/><Relationship Id="rId2383" Type="http://schemas.openxmlformats.org/officeDocument/2006/relationships/hyperlink" Target="https://www.facebook.com/ha.lethithu.7204?mibextid=LQQJ4d" TargetMode="External"/><Relationship Id="rId3434" Type="http://schemas.openxmlformats.org/officeDocument/2006/relationships/hyperlink" Target="https://www.facebook.com/profile.php?id=100050515533143&amp;mibextid=LQQJ4d" TargetMode="External"/><Relationship Id="rId355" Type="http://schemas.openxmlformats.org/officeDocument/2006/relationships/hyperlink" Target="https://drive.google.com/open?id=1KqGlXz-uMTE_3lR2VFCW1UxPzLEJZwPy" TargetMode="External"/><Relationship Id="rId2036" Type="http://schemas.openxmlformats.org/officeDocument/2006/relationships/hyperlink" Target="https://www.facebook.com/tramanh.bangtan" TargetMode="External"/><Relationship Id="rId6657" Type="http://schemas.openxmlformats.org/officeDocument/2006/relationships/hyperlink" Target="https://www.facebook.com/profile.php?id=100048454680035&amp;mibextid=LQQJ4d" TargetMode="External"/><Relationship Id="rId7708" Type="http://schemas.openxmlformats.org/officeDocument/2006/relationships/hyperlink" Target="https://www.facebook.com/Tuyennguyennt2102" TargetMode="External"/><Relationship Id="rId5259" Type="http://schemas.openxmlformats.org/officeDocument/2006/relationships/hyperlink" Target="https://www.facebook.com/profile.php?id=100017006374085&amp;mibextid=LQQJ4d" TargetMode="External"/><Relationship Id="rId9130" Type="http://schemas.openxmlformats.org/officeDocument/2006/relationships/hyperlink" Target="https://drive.google.com/open?id=1YYLiE5HuxYwt9whq86BmgxbovyYjwq4l" TargetMode="External"/><Relationship Id="rId1869" Type="http://schemas.openxmlformats.org/officeDocument/2006/relationships/hyperlink" Target="https://drive.google.com/open?id=11OqV0PMhV2ICepaThG52_MqQW68IqVVt" TargetMode="External"/><Relationship Id="rId3291" Type="http://schemas.openxmlformats.org/officeDocument/2006/relationships/hyperlink" Target="https://drive.google.com/open?id=1-UTbV-Ofy9rBYnmoVGAjDY-GVhhYP3BK" TargetMode="External"/><Relationship Id="rId5740" Type="http://schemas.openxmlformats.org/officeDocument/2006/relationships/hyperlink" Target="https://www.facebook.com/profile.php?id=100079138303428&amp;mibextid=LQQJ4d" TargetMode="External"/><Relationship Id="rId4342" Type="http://schemas.openxmlformats.org/officeDocument/2006/relationships/hyperlink" Target="https://www.facebook.com/profile.php?id=100053191901444&amp;mibextid=LQQJ4d" TargetMode="External"/><Relationship Id="rId8963" Type="http://schemas.openxmlformats.org/officeDocument/2006/relationships/hyperlink" Target="https://www.facebook.com/people/%C4%90%E1%BB%97-H%E1%BB%93ng-S%C6%A1n/pfbid0buqJXX1bkcreujxA8Z4XH81p7GfNgT428UQzFz3YeCjC4yqfDA6KLoYXcoT8EziJl/" TargetMode="External"/><Relationship Id="rId7565" Type="http://schemas.openxmlformats.org/officeDocument/2006/relationships/hyperlink" Target="https://drive.google.com/open?id=1L1lL7HNKn2-F2FwdOKs6IQI0PGbQmMLH" TargetMode="External"/><Relationship Id="rId8616" Type="http://schemas.openxmlformats.org/officeDocument/2006/relationships/hyperlink" Target="https://www.facebook.com/share/1BTxmLV6ax/?mibextid=wwXIfr" TargetMode="External"/><Relationship Id="rId6167" Type="http://schemas.openxmlformats.org/officeDocument/2006/relationships/hyperlink" Target="https://www.facebook.com/hoanganhkocony?mibextid=LQQJ4d" TargetMode="External"/><Relationship Id="rId7218" Type="http://schemas.openxmlformats.org/officeDocument/2006/relationships/hyperlink" Target="https://www.facebook.com/nguyentuananh27" TargetMode="External"/><Relationship Id="rId2777" Type="http://schemas.openxmlformats.org/officeDocument/2006/relationships/hyperlink" Target="https://www.facebook.com/profile.php?id=100031459809254" TargetMode="External"/><Relationship Id="rId749" Type="http://schemas.openxmlformats.org/officeDocument/2006/relationships/hyperlink" Target="https://www.facebook.com/profile.php?id=100047604945035" TargetMode="External"/><Relationship Id="rId1379" Type="http://schemas.openxmlformats.org/officeDocument/2006/relationships/hyperlink" Target="https://drive.google.com/open?id=1OisS9RmOuLiB9I9Am_HArtgbWNuFhCZ1" TargetMode="External"/><Relationship Id="rId3828" Type="http://schemas.openxmlformats.org/officeDocument/2006/relationships/hyperlink" Target="https://drive.google.com/open?id=1IHb-r4R-pnKNh39v-i9K6iMRavxoVeKE" TargetMode="External"/><Relationship Id="rId5250" Type="http://schemas.openxmlformats.org/officeDocument/2006/relationships/hyperlink" Target="https://www.facebook.com/tem.sang.3" TargetMode="External"/><Relationship Id="rId6301" Type="http://schemas.openxmlformats.org/officeDocument/2006/relationships/hyperlink" Target="https://www.facebook.com/hennessi.06?mibextid=ZbWKwL" TargetMode="External"/><Relationship Id="rId85" Type="http://schemas.openxmlformats.org/officeDocument/2006/relationships/hyperlink" Target="https://www.facebook.com/moc.huy.338" TargetMode="External"/><Relationship Id="rId1860" Type="http://schemas.openxmlformats.org/officeDocument/2006/relationships/hyperlink" Target="https://drive.google.com/open?id=1mrM3HFxHunkB5m4N6eEg6gBHte8XExsT" TargetMode="External"/><Relationship Id="rId2911" Type="http://schemas.openxmlformats.org/officeDocument/2006/relationships/hyperlink" Target="https://drive.google.com/open?id=1wsyG-JWvcLwCG6eniQDz9Jva11JujZ_I" TargetMode="External"/><Relationship Id="rId7075" Type="http://schemas.openxmlformats.org/officeDocument/2006/relationships/hyperlink" Target="https://www.facebook.com/profile.php?id=61553580538076" TargetMode="External"/><Relationship Id="rId8473" Type="http://schemas.openxmlformats.org/officeDocument/2006/relationships/hyperlink" Target="https://www.facebook.com/profile.php?id=100032078971048&amp;mibextid=nW3QTL" TargetMode="External"/><Relationship Id="rId9524" Type="http://schemas.openxmlformats.org/officeDocument/2006/relationships/hyperlink" Target="https://www.facebook.com/share/18cc9guf7u/?mibextid=wwXIfr" TargetMode="External"/><Relationship Id="rId1513" Type="http://schemas.openxmlformats.org/officeDocument/2006/relationships/hyperlink" Target="https://www.facebook.com/profile.php?id=100081645124079" TargetMode="External"/><Relationship Id="rId8126" Type="http://schemas.openxmlformats.org/officeDocument/2006/relationships/hyperlink" Target="https://www.facebook.com/profile.php?id=100068275904676&amp;mibextid=LQQJ4d" TargetMode="External"/><Relationship Id="rId3685" Type="http://schemas.openxmlformats.org/officeDocument/2006/relationships/hyperlink" Target="https://www.facebook.com/phanthanhthao205?mibextid=LQQJ4d" TargetMode="External"/><Relationship Id="rId4736" Type="http://schemas.openxmlformats.org/officeDocument/2006/relationships/hyperlink" Target="https://www.facebook.com/quynhnga.ta.186?mibextid=ZbWKwL" TargetMode="External"/><Relationship Id="rId2287" Type="http://schemas.openxmlformats.org/officeDocument/2006/relationships/hyperlink" Target="https://www.facebook.com/trinh.thuthuy.961?mibextid=ZbWKwL" TargetMode="External"/><Relationship Id="rId3338" Type="http://schemas.openxmlformats.org/officeDocument/2006/relationships/hyperlink" Target="https://drive.google.com/open?id=1Fw-HaxXS9IZUsotYyJScX2-_7WB4lRkT" TargetMode="External"/><Relationship Id="rId7959" Type="http://schemas.openxmlformats.org/officeDocument/2006/relationships/hyperlink" Target="https://www.facebook.com/profile.php?id=100047727480025&amp;mibextid=LQQJ4d" TargetMode="External"/><Relationship Id="rId259" Type="http://schemas.openxmlformats.org/officeDocument/2006/relationships/hyperlink" Target="https://drive.google.com/open?id=1Thxdo2Bzo8t1PwlUjbqXoB8Qm5ukg-j3" TargetMode="External"/><Relationship Id="rId9381" Type="http://schemas.openxmlformats.org/officeDocument/2006/relationships/hyperlink" Target="https://www.facebook.com/wus.pih?mibextid=LQQJ4d" TargetMode="External"/><Relationship Id="rId1370" Type="http://schemas.openxmlformats.org/officeDocument/2006/relationships/hyperlink" Target="https://www.facebook.com/nguyenthiha2403" TargetMode="External"/><Relationship Id="rId9034" Type="http://schemas.openxmlformats.org/officeDocument/2006/relationships/hyperlink" Target="https://www.facebook.com/profile.php?id=100028058356403&amp;mibextid=LQQJ4d" TargetMode="External"/><Relationship Id="rId740" Type="http://schemas.openxmlformats.org/officeDocument/2006/relationships/hyperlink" Target="https://www.facebook.com/profile.php?id=100042160840444&amp;mibextid=LQQJ4d" TargetMode="External"/><Relationship Id="rId1023" Type="http://schemas.openxmlformats.org/officeDocument/2006/relationships/hyperlink" Target="https://drive.google.com/open?id=1R5wf1GokuqDjL582GnwzK3ZWvOYhf5BI" TargetMode="External"/><Relationship Id="rId2421" Type="http://schemas.openxmlformats.org/officeDocument/2006/relationships/hyperlink" Target="https://www.facebook.com/profile.php?id=100071989111012&amp;mibextid=9R9pXO" TargetMode="External"/><Relationship Id="rId5991" Type="http://schemas.openxmlformats.org/officeDocument/2006/relationships/hyperlink" Target="https://www.facebook.com/profile.php?id=100054867307518&amp;mibextid=LQQJ4d" TargetMode="External"/><Relationship Id="rId4593" Type="http://schemas.openxmlformats.org/officeDocument/2006/relationships/hyperlink" Target="https://www.facebook.com/taeguk.kim.144?mibextid=LQQJ4d" TargetMode="External"/><Relationship Id="rId5644" Type="http://schemas.openxmlformats.org/officeDocument/2006/relationships/hyperlink" Target="https://www.facebook.com/profile.php?id=100031813923024" TargetMode="External"/><Relationship Id="rId3195" Type="http://schemas.openxmlformats.org/officeDocument/2006/relationships/hyperlink" Target="https://www.facebook.com/profile.php?id=100083444226959&amp;mibextid=ZbWKwL" TargetMode="External"/><Relationship Id="rId4246" Type="http://schemas.openxmlformats.org/officeDocument/2006/relationships/hyperlink" Target="https://www.facebook.com/profile.php?id=100019941062582" TargetMode="External"/><Relationship Id="rId8867" Type="http://schemas.openxmlformats.org/officeDocument/2006/relationships/hyperlink" Target="https://www.facebook.com/BachVincent9" TargetMode="External"/><Relationship Id="rId7469" Type="http://schemas.openxmlformats.org/officeDocument/2006/relationships/hyperlink" Target="https://www.facebook.com/profile.php?id=100026960076425&amp;mibextid=LQQJ4d" TargetMode="External"/><Relationship Id="rId1907" Type="http://schemas.openxmlformats.org/officeDocument/2006/relationships/hyperlink" Target="https://drive.google.com/open?id=14ByZhihsvFoKHyKjstofXK-Aou_NJK4i" TargetMode="External"/><Relationship Id="rId250" Type="http://schemas.openxmlformats.org/officeDocument/2006/relationships/hyperlink" Target="https://www.facebook.com/profile.php?id=100072388993506" TargetMode="External"/><Relationship Id="rId7950" Type="http://schemas.openxmlformats.org/officeDocument/2006/relationships/hyperlink" Target="https://www.facebook.com/profile.php?id=100032637979147" TargetMode="External"/><Relationship Id="rId5154" Type="http://schemas.openxmlformats.org/officeDocument/2006/relationships/hyperlink" Target="https://www.facebook.com/profile.php?id=100063520550582&amp;mibextid=LQQJ4d" TargetMode="External"/><Relationship Id="rId6552" Type="http://schemas.openxmlformats.org/officeDocument/2006/relationships/hyperlink" Target="https://www.facebook.com/thainguyen.bui.397?mibextid=ZbWKwL" TargetMode="External"/><Relationship Id="rId7603" Type="http://schemas.openxmlformats.org/officeDocument/2006/relationships/hyperlink" Target="https://www.facebook.com/profile.php?id=100084980216786&amp;mibextid=LQQJ4d" TargetMode="External"/><Relationship Id="rId6205" Type="http://schemas.openxmlformats.org/officeDocument/2006/relationships/hyperlink" Target="https://www.facebook.com/profile.php?id=100064245103043&amp;mibextid=LQQJ4d" TargetMode="External"/><Relationship Id="rId1764" Type="http://schemas.openxmlformats.org/officeDocument/2006/relationships/hyperlink" Target="https://www.facebook.com/profile.php?id=100015391931578&amp;mibextid=LQQJ4d" TargetMode="External"/><Relationship Id="rId2815" Type="http://schemas.openxmlformats.org/officeDocument/2006/relationships/hyperlink" Target="https://www.facebook.com/profile.php?id=100024445582090" TargetMode="External"/><Relationship Id="rId8377" Type="http://schemas.openxmlformats.org/officeDocument/2006/relationships/hyperlink" Target="https://www.facebook.com/profile.php?id=100048268313887&amp;mibextid=LQQJ4d" TargetMode="External"/><Relationship Id="rId9428" Type="http://schemas.openxmlformats.org/officeDocument/2006/relationships/hyperlink" Target="https://www.facebook.com/profile.php?id=100044265936726&amp;mibextid=JRoKGi" TargetMode="External"/><Relationship Id="rId1417" Type="http://schemas.openxmlformats.org/officeDocument/2006/relationships/hyperlink" Target="https://drive.google.com/open?id=16H_fMDmxkdEMACsPCLvSgVlpSWEEOqjq" TargetMode="External"/><Relationship Id="rId4987" Type="http://schemas.openxmlformats.org/officeDocument/2006/relationships/hyperlink" Target="https://www.facebook.com/profile.php?id=61554734484307" TargetMode="External"/><Relationship Id="rId3589" Type="http://schemas.openxmlformats.org/officeDocument/2006/relationships/hyperlink" Target="https://www.facebook.com/profile.php?id=100022686696836&amp;mibextid=LQQJ4d" TargetMode="External"/><Relationship Id="rId7460" Type="http://schemas.openxmlformats.org/officeDocument/2006/relationships/hyperlink" Target="https://www.facebook.com/profile.php?id=100035499592151&amp;mibextid=LQQJ4d" TargetMode="External"/><Relationship Id="rId8511" Type="http://schemas.openxmlformats.org/officeDocument/2006/relationships/hyperlink" Target="https://www.facebook.com/quynhnhu.hoangthi.39?mibextid=LQQJ4d" TargetMode="External"/><Relationship Id="rId6062" Type="http://schemas.openxmlformats.org/officeDocument/2006/relationships/hyperlink" Target="https://www.facebook.com/profile.php?id=100043138998216&amp;mibextid=LQQJ4d" TargetMode="External"/><Relationship Id="rId7113" Type="http://schemas.openxmlformats.org/officeDocument/2006/relationships/hyperlink" Target="https://www.facebook.com/LeMinhQuan.MMO.IP?mibextid=LQQJ4d" TargetMode="External"/><Relationship Id="rId9285" Type="http://schemas.openxmlformats.org/officeDocument/2006/relationships/hyperlink" Target="https://drive.google.com/open?id=1g26w6pUq-0sSfUbEsjzzPKh1BHZrhhFD" TargetMode="External"/><Relationship Id="rId991" Type="http://schemas.openxmlformats.org/officeDocument/2006/relationships/hyperlink" Target="https://drive.google.com/open?id=1oLqsracgQ8jWUn_dEKX4UlU1Nfey6Vnt" TargetMode="External"/><Relationship Id="rId2672" Type="http://schemas.openxmlformats.org/officeDocument/2006/relationships/hyperlink" Target="https://www.facebook.com/profile.php?id=100050204959654" TargetMode="External"/><Relationship Id="rId3723" Type="http://schemas.openxmlformats.org/officeDocument/2006/relationships/hyperlink" Target="https://drive.google.com/open?id=1jW9w3mtunXPlLRUUhvBOSicFZf07e0II" TargetMode="External"/><Relationship Id="rId644" Type="http://schemas.openxmlformats.org/officeDocument/2006/relationships/hyperlink" Target="https://www.facebook.com/profile.php?id=100072225052998" TargetMode="External"/><Relationship Id="rId1274" Type="http://schemas.openxmlformats.org/officeDocument/2006/relationships/hyperlink" Target="https://drive.google.com/open?id=1I-qggkED7Ua8czrenhzgeD_-k3BY7jCe" TargetMode="External"/><Relationship Id="rId2325" Type="http://schemas.openxmlformats.org/officeDocument/2006/relationships/hyperlink" Target="https://www.facebook.com/100018575206862/" TargetMode="External"/><Relationship Id="rId5895" Type="http://schemas.openxmlformats.org/officeDocument/2006/relationships/hyperlink" Target="https://www.facebook.com/nbinh5?mibextid=LQQJ4d" TargetMode="External"/><Relationship Id="rId6946" Type="http://schemas.openxmlformats.org/officeDocument/2006/relationships/hyperlink" Target="https://www.facebook.com/gay.chuyen.73" TargetMode="External"/><Relationship Id="rId4497" Type="http://schemas.openxmlformats.org/officeDocument/2006/relationships/hyperlink" Target="https://www.facebook.com/Minah2611" TargetMode="External"/><Relationship Id="rId5548" Type="http://schemas.openxmlformats.org/officeDocument/2006/relationships/hyperlink" Target="https://www.facebook.com/profile.php?id=100072391633140" TargetMode="External"/><Relationship Id="rId3099" Type="http://schemas.openxmlformats.org/officeDocument/2006/relationships/hyperlink" Target="https://www.facebook.com/qu.chi.524?mibextid=LQQJ4d" TargetMode="External"/><Relationship Id="rId8021" Type="http://schemas.openxmlformats.org/officeDocument/2006/relationships/hyperlink" Target="https://www.facebook.com/profile.php?id=100054337882283" TargetMode="External"/><Relationship Id="rId3580" Type="http://schemas.openxmlformats.org/officeDocument/2006/relationships/hyperlink" Target="https://drive.google.com/open?id=1qmpMGDAg1ZIQ1tH8EA-WZE2Tdb8xxFEF" TargetMode="External"/><Relationship Id="rId2182" Type="http://schemas.openxmlformats.org/officeDocument/2006/relationships/hyperlink" Target="https://www.facebook.com/vuxlizz99?mibextid=LQQJ4d" TargetMode="External"/><Relationship Id="rId3233" Type="http://schemas.openxmlformats.org/officeDocument/2006/relationships/hyperlink" Target="https://www.facebook.com/profile.php?id=100013988956601" TargetMode="External"/><Relationship Id="rId4631" Type="http://schemas.openxmlformats.org/officeDocument/2006/relationships/hyperlink" Target="https://www.facebook.com/profile.php?id=100050123523408" TargetMode="External"/><Relationship Id="rId154" Type="http://schemas.openxmlformats.org/officeDocument/2006/relationships/hyperlink" Target="https://drive.google.com/open?id=1-p-Vvr316O6-HEMoZkB8KcWxFblPLkC-" TargetMode="External"/><Relationship Id="rId7854" Type="http://schemas.openxmlformats.org/officeDocument/2006/relationships/hyperlink" Target="https://www.facebook.com/profile.php?id=100071970595622&amp;mibextid=ZbWKwL" TargetMode="External"/><Relationship Id="rId8905" Type="http://schemas.openxmlformats.org/officeDocument/2006/relationships/hyperlink" Target="https://drive.google.com/open?id=1QYJDYeoYuO0HsWh1KyyOHCPyXhyUmiwK" TargetMode="External"/><Relationship Id="rId6456" Type="http://schemas.openxmlformats.org/officeDocument/2006/relationships/hyperlink" Target="https://drive.google.com/open?id=1GabaGrO5444KbXOgyrwTXafNH8f8J2Nw" TargetMode="External"/><Relationship Id="rId7507" Type="http://schemas.openxmlformats.org/officeDocument/2006/relationships/hyperlink" Target="https://www.facebook.com/shiny.art.1?mibextid=LQQJ4d" TargetMode="External"/><Relationship Id="rId5058" Type="http://schemas.openxmlformats.org/officeDocument/2006/relationships/hyperlink" Target="https://www.facebook.com/profile.php?id=100064131627044&amp;mibextid=JRoKGi" TargetMode="External"/><Relationship Id="rId6109" Type="http://schemas.openxmlformats.org/officeDocument/2006/relationships/hyperlink" Target="https://www.facebook.com/profile.php?id=100042307159348&amp;mibextid=LQQJ4d" TargetMode="External"/><Relationship Id="rId1668" Type="http://schemas.openxmlformats.org/officeDocument/2006/relationships/hyperlink" Target="https://www.facebook.com/buihoang.kim.583" TargetMode="External"/><Relationship Id="rId2719" Type="http://schemas.openxmlformats.org/officeDocument/2006/relationships/hyperlink" Target="https://www.facebook.com/quoc.nguyenkien.904?mibextid=LQQJ4" TargetMode="External"/><Relationship Id="rId3090" Type="http://schemas.openxmlformats.org/officeDocument/2006/relationships/hyperlink" Target="https://drive.google.com/open?id=1sXSr2dAP_SQQLdLHsaeJRcbU_kxpzVWd" TargetMode="External"/><Relationship Id="rId4141" Type="http://schemas.openxmlformats.org/officeDocument/2006/relationships/hyperlink" Target="https://drive.google.com/open?id=1mrgOND4hsjmuyuo1X0DMCi9W3BjlJ9Yf" TargetMode="External"/><Relationship Id="rId7364" Type="http://schemas.openxmlformats.org/officeDocument/2006/relationships/hyperlink" Target="https://www.facebook.com/profile.php?id=100027170370012" TargetMode="External"/><Relationship Id="rId8762" Type="http://schemas.openxmlformats.org/officeDocument/2006/relationships/hyperlink" Target="https://www.facebook.com/profile.php?id=100054902799261" TargetMode="External"/><Relationship Id="rId27" Type="http://schemas.openxmlformats.org/officeDocument/2006/relationships/hyperlink" Target="https://drive.google.com/open?id=1iz9PTP6eUILy-v2uX-pWRcb4faX0IN2i" TargetMode="External"/><Relationship Id="rId1802" Type="http://schemas.openxmlformats.org/officeDocument/2006/relationships/hyperlink" Target="https://www.facebook.com/profile.php?id=100056960747186&amp;mibextid=ZbWKwL" TargetMode="External"/><Relationship Id="rId7017" Type="http://schemas.openxmlformats.org/officeDocument/2006/relationships/hyperlink" Target="https://www.facebook.com/profile.php?id=100081335825493&amp;mibextid=LQQJ4d" TargetMode="External"/><Relationship Id="rId8415" Type="http://schemas.openxmlformats.org/officeDocument/2006/relationships/hyperlink" Target="https://www.facebook.com/yen.nguyen.2507?mibextid=ZbWKwL" TargetMode="External"/><Relationship Id="rId3974" Type="http://schemas.openxmlformats.org/officeDocument/2006/relationships/hyperlink" Target="https://www.facebook.com/wppupy" TargetMode="External"/><Relationship Id="rId895" Type="http://schemas.openxmlformats.org/officeDocument/2006/relationships/hyperlink" Target="https://www.facebook.com/profile.php?id=100055356698195" TargetMode="External"/><Relationship Id="rId2576" Type="http://schemas.openxmlformats.org/officeDocument/2006/relationships/hyperlink" Target="https://www.facebook.com/cuong.truongngoc.144?mibextid=LQQJ4d" TargetMode="External"/><Relationship Id="rId3627" Type="http://schemas.openxmlformats.org/officeDocument/2006/relationships/hyperlink" Target="https://drive.google.com/open?id=1n3MpQVOnQg9v6e3ZEOyY0UGZV3FjCdy7" TargetMode="External"/><Relationship Id="rId9189" Type="http://schemas.openxmlformats.org/officeDocument/2006/relationships/hyperlink" Target="https://www.facebook.com/share/1BcMaQAcSj/?mibextid=wwXIfr" TargetMode="External"/><Relationship Id="rId548" Type="http://schemas.openxmlformats.org/officeDocument/2006/relationships/hyperlink" Target="https://www.facebook.com/profile.php?id=100065390782148" TargetMode="External"/><Relationship Id="rId1178" Type="http://schemas.openxmlformats.org/officeDocument/2006/relationships/hyperlink" Target="https://www.facebook.com/ba.vinh.940641?mibextid=LQQJ4d" TargetMode="External"/><Relationship Id="rId2229" Type="http://schemas.openxmlformats.org/officeDocument/2006/relationships/hyperlink" Target="https://drive.google.com/open?id=1SPsQ5CBCmtg6Q7gLcIsV8RzZ-HfFCDd6" TargetMode="External"/><Relationship Id="rId5799" Type="http://schemas.openxmlformats.org/officeDocument/2006/relationships/hyperlink" Target="https://drive.google.com/open?id=1NDSX8wZwZtTy6ghyzhUJXiRHkpZOJ3tb" TargetMode="External"/><Relationship Id="rId6100" Type="http://schemas.openxmlformats.org/officeDocument/2006/relationships/hyperlink" Target="https://www.facebook.com/profile.php?id=100077342778832&amp;mibextid=LQQJ4d" TargetMode="External"/><Relationship Id="rId8272" Type="http://schemas.openxmlformats.org/officeDocument/2006/relationships/hyperlink" Target="https://drive.google.com/open?id=1kJhhBi-ZwFRjk_IIoYbcWn_7Usx-pyf0" TargetMode="External"/><Relationship Id="rId9323" Type="http://schemas.openxmlformats.org/officeDocument/2006/relationships/hyperlink" Target="https://www.facebook.com/viet.hoang.329043?mibextid=ZbWKwL" TargetMode="External"/><Relationship Id="rId1312" Type="http://schemas.openxmlformats.org/officeDocument/2006/relationships/hyperlink" Target="https://drive.google.com/open?id=1M1-dFZWAeuqH3TR72paZNTQJzyBtpFOu" TargetMode="External"/><Relationship Id="rId2710" Type="http://schemas.openxmlformats.org/officeDocument/2006/relationships/hyperlink" Target="https://drive.google.com/open?id=1gZwJ52l4vZ6to1B3HrSz3QVsiJ-aLgcI" TargetMode="External"/><Relationship Id="rId4882" Type="http://schemas.openxmlformats.org/officeDocument/2006/relationships/hyperlink" Target="https://www.facebook.com/profile.php?id=100074275745018" TargetMode="External"/><Relationship Id="rId5933" Type="http://schemas.openxmlformats.org/officeDocument/2006/relationships/hyperlink" Target="https://www.facebook.com/nguyentl306?mibextid=LQQJ4d" TargetMode="External"/><Relationship Id="rId2086" Type="http://schemas.openxmlformats.org/officeDocument/2006/relationships/hyperlink" Target="https://www.facebook.com/lananh.vuthi.16547?mibextid=LQQJ4d" TargetMode="External"/><Relationship Id="rId3484" Type="http://schemas.openxmlformats.org/officeDocument/2006/relationships/hyperlink" Target="https://drive.google.com/open?id=1eil6BtFUa6xCdwWMdMOzrjOiGI4p5IGQ" TargetMode="External"/><Relationship Id="rId4535" Type="http://schemas.openxmlformats.org/officeDocument/2006/relationships/hyperlink" Target="https://www.facebook.com/tai.nguyenhoang.731" TargetMode="External"/><Relationship Id="rId3137" Type="http://schemas.openxmlformats.org/officeDocument/2006/relationships/hyperlink" Target="https://www.facebook.com/phundo.onthemicc.05?mibextid=LQQJ4d" TargetMode="External"/><Relationship Id="rId7758" Type="http://schemas.openxmlformats.org/officeDocument/2006/relationships/hyperlink" Target="https://www.facebook.com/thanhuyen267" TargetMode="External"/><Relationship Id="rId8809" Type="http://schemas.openxmlformats.org/officeDocument/2006/relationships/hyperlink" Target="https://www.facebook.com/buonvailonhuhuhu" TargetMode="External"/><Relationship Id="rId9180" Type="http://schemas.openxmlformats.org/officeDocument/2006/relationships/hyperlink" Target="https://www.facebook.com/trung.hieu.071205?mibextid=wwXIfr&amp;rdid=xiKtbN6n57r3HxTO&amp;share_url=https%3A%2F%2Fwww.facebook.com%2Fshare%2F1Bes4c2VCp%2F%3Fmibextid%3DwwXIfr" TargetMode="External"/><Relationship Id="rId2220" Type="http://schemas.openxmlformats.org/officeDocument/2006/relationships/hyperlink" Target="https://www.facebook.com/tong.thaonhi.0401?mibextid=LQQJ4d" TargetMode="External"/><Relationship Id="rId5790" Type="http://schemas.openxmlformats.org/officeDocument/2006/relationships/hyperlink" Target="https://www.facebook.com/no.kaka.12382" TargetMode="External"/><Relationship Id="rId4392" Type="http://schemas.openxmlformats.org/officeDocument/2006/relationships/hyperlink" Target="https://www.facebook.com/profile.php?id=100063559850743&amp;mibextid=ZbWKwL" TargetMode="External"/><Relationship Id="rId5443" Type="http://schemas.openxmlformats.org/officeDocument/2006/relationships/hyperlink" Target="https://www.facebook.com/profile.php?id=100022824795575" TargetMode="External"/><Relationship Id="rId6841" Type="http://schemas.openxmlformats.org/officeDocument/2006/relationships/hyperlink" Target="https://www.facebook.com/profile.php?id=100033984751662&amp;mibextid=LQQJ4d" TargetMode="External"/><Relationship Id="rId4045" Type="http://schemas.openxmlformats.org/officeDocument/2006/relationships/hyperlink" Target="https://drive.google.com/open?id=17BPg6eMeG77aAvkWirRKMNQSaqtwz8VR" TargetMode="External"/><Relationship Id="rId8666" Type="http://schemas.openxmlformats.org/officeDocument/2006/relationships/hyperlink" Target="https://www.facebook.com/conich.khong.9277?rdid=cRyRkXbuP8OUdo7O&amp;share_url=https%3A%2F%2Fwww.facebook.com%2Fshare%2FMaMJvWz4pXduH4iK%2F" TargetMode="External"/><Relationship Id="rId1706" Type="http://schemas.openxmlformats.org/officeDocument/2006/relationships/hyperlink" Target="https://www.facebook.com/profile.php?id=100010602313757&amp;mibextid=LQQJ4d" TargetMode="External"/><Relationship Id="rId7268" Type="http://schemas.openxmlformats.org/officeDocument/2006/relationships/hyperlink" Target="https://www.facebook.com/profile.php?id=100064049806877&amp;mibextid=kFxxJD" TargetMode="External"/><Relationship Id="rId8319" Type="http://schemas.openxmlformats.org/officeDocument/2006/relationships/hyperlink" Target="https://www.facebook.com/hai.vantrong.73?mibextid=ZbWKwL" TargetMode="External"/><Relationship Id="rId3878" Type="http://schemas.openxmlformats.org/officeDocument/2006/relationships/hyperlink" Target="https://www.facebook.com/itstramy676?mibextid=LQQJ4d" TargetMode="External"/><Relationship Id="rId4929" Type="http://schemas.openxmlformats.org/officeDocument/2006/relationships/hyperlink" Target="https://www.facebook.com/KhuongDuy15" TargetMode="External"/><Relationship Id="rId8800" Type="http://schemas.openxmlformats.org/officeDocument/2006/relationships/hyperlink" Target="https://www.facebook.com/heituinanga?mibextid=LQQJ4d" TargetMode="External"/><Relationship Id="rId799" Type="http://schemas.openxmlformats.org/officeDocument/2006/relationships/hyperlink" Target="https://www.facebook.com/duong.phamvan.311493?mibextid=LQQJ4d" TargetMode="External"/><Relationship Id="rId6351" Type="http://schemas.openxmlformats.org/officeDocument/2006/relationships/hyperlink" Target="https://www.facebook.com/profile.php?id=100078822623412&amp;mibextid=LQQJ4d" TargetMode="External"/><Relationship Id="rId7402" Type="http://schemas.openxmlformats.org/officeDocument/2006/relationships/hyperlink" Target="https://www.facebook.com/profile.php?id=100067681272274" TargetMode="External"/><Relationship Id="rId6004" Type="http://schemas.openxmlformats.org/officeDocument/2006/relationships/hyperlink" Target="https://www.facebook.com/luongbinh.nguyen.927?mibextid=LQQJ4d" TargetMode="External"/><Relationship Id="rId9574" Type="http://schemas.openxmlformats.org/officeDocument/2006/relationships/hyperlink" Target="https://www.facebook.com/share/18F4gKQ1cA/?mibextid=wwXIfr" TargetMode="External"/><Relationship Id="rId2961" Type="http://schemas.openxmlformats.org/officeDocument/2006/relationships/hyperlink" Target="https://www.facebook.com/profile.php?id=100084881501545" TargetMode="External"/><Relationship Id="rId8176" Type="http://schemas.openxmlformats.org/officeDocument/2006/relationships/hyperlink" Target="https://www.facebook.com/share/DRNGdtkyJYYhciRr/?mibextid=wwXIfr" TargetMode="External"/><Relationship Id="rId9227" Type="http://schemas.openxmlformats.org/officeDocument/2006/relationships/hyperlink" Target="https://www.facebook.com/profile.php?id=100053167103627&amp;mibextid=ZbWKwL" TargetMode="External"/><Relationship Id="rId933" Type="http://schemas.openxmlformats.org/officeDocument/2006/relationships/hyperlink" Target="https://www.facebook.com/leduchuy1610?mibextid=LQQJ4d" TargetMode="External"/><Relationship Id="rId1563" Type="http://schemas.openxmlformats.org/officeDocument/2006/relationships/hyperlink" Target="https://drive.google.com/open?id=1yoY8lCvbH5VNZEGXNVDkjmSrPFJRhn86" TargetMode="External"/><Relationship Id="rId2614" Type="http://schemas.openxmlformats.org/officeDocument/2006/relationships/hyperlink" Target="https://www.facebook.com/profile.php?id=100073517382609&amp;mibextid=LQQJ4d" TargetMode="External"/><Relationship Id="rId1216" Type="http://schemas.openxmlformats.org/officeDocument/2006/relationships/hyperlink" Target="https://drive.google.com/open?id=1br4LDcOJQJ7hwL2lL6i9SS6QvVEdHFNq" TargetMode="External"/><Relationship Id="rId4786" Type="http://schemas.openxmlformats.org/officeDocument/2006/relationships/hyperlink" Target="https://www.facebook.com/profile.php?id=100057245475877" TargetMode="External"/><Relationship Id="rId5837" Type="http://schemas.openxmlformats.org/officeDocument/2006/relationships/hyperlink" Target="https://www.facebook.com/htpps.facebook.com.guys26" TargetMode="External"/><Relationship Id="rId3388" Type="http://schemas.openxmlformats.org/officeDocument/2006/relationships/hyperlink" Target="https://www.facebook.com/profile.php?id=100066811717767&amp;mibextid=ZbWKwL" TargetMode="External"/><Relationship Id="rId4439" Type="http://schemas.openxmlformats.org/officeDocument/2006/relationships/hyperlink" Target="https://www.facebook.com/kozoumaru?mibextid=LQQJ4d" TargetMode="External"/><Relationship Id="rId8310" Type="http://schemas.openxmlformats.org/officeDocument/2006/relationships/hyperlink" Target="https://www.facebook.com/profile.php?id=100072542288600" TargetMode="External"/><Relationship Id="rId790" Type="http://schemas.openxmlformats.org/officeDocument/2006/relationships/hyperlink" Target="https://www.facebook.com/profile.php?id=100076815872008" TargetMode="External"/><Relationship Id="rId2471" Type="http://schemas.openxmlformats.org/officeDocument/2006/relationships/hyperlink" Target="https://www.facebook.com/profile.php?id=100083540146965&amp;mibextid=9R9pXO" TargetMode="External"/><Relationship Id="rId3522" Type="http://schemas.openxmlformats.org/officeDocument/2006/relationships/hyperlink" Target="https://www.facebook.com/profile.php?id=100050653210630&amp;mibextid=LQQJ4d" TargetMode="External"/><Relationship Id="rId4920" Type="http://schemas.openxmlformats.org/officeDocument/2006/relationships/hyperlink" Target="https://www.facebook.com/zicky2805?mibextid=LQQJ4d" TargetMode="External"/><Relationship Id="rId9084" Type="http://schemas.openxmlformats.org/officeDocument/2006/relationships/hyperlink" Target="https://www.facebook.com/profile.php?id=100060411934732&amp;mibextid=LQQJ4d" TargetMode="External"/><Relationship Id="rId443" Type="http://schemas.openxmlformats.org/officeDocument/2006/relationships/hyperlink" Target="https://drive.google.com/open?id=1XYOnbkZQetMxgLmLsDhdr7pS95CwX1l1" TargetMode="External"/><Relationship Id="rId1073" Type="http://schemas.openxmlformats.org/officeDocument/2006/relationships/hyperlink" Target="https://drive.google.com/open?id=1yN01sckpyy08rkV2kFZvqjkKL5w82UXv" TargetMode="External"/><Relationship Id="rId2124" Type="http://schemas.openxmlformats.org/officeDocument/2006/relationships/hyperlink" Target="https://www.facebook.com/profile.php?id=100013044976419&amp;mibextid=ZbWKwL" TargetMode="External"/><Relationship Id="rId4296" Type="http://schemas.openxmlformats.org/officeDocument/2006/relationships/hyperlink" Target="https://www.facebook.com/vukhanhlinh226?mibextid=LQQJ4d" TargetMode="External"/><Relationship Id="rId5694" Type="http://schemas.openxmlformats.org/officeDocument/2006/relationships/hyperlink" Target="https://www.facebook.com/profile.php?id=100065346037118" TargetMode="External"/><Relationship Id="rId6745" Type="http://schemas.openxmlformats.org/officeDocument/2006/relationships/hyperlink" Target="https://www.facebook.com/buisykiem.kiem?mibextid=LQQJ4d" TargetMode="External"/><Relationship Id="rId5347" Type="http://schemas.openxmlformats.org/officeDocument/2006/relationships/hyperlink" Target="https://www.facebook.com/profile.php?id=100040869501071&amp;mibextid=LQQJ4d" TargetMode="External"/><Relationship Id="rId1957" Type="http://schemas.openxmlformats.org/officeDocument/2006/relationships/hyperlink" Target="https://www.facebook.com/profile.php?id=100077194073532" TargetMode="External"/><Relationship Id="rId4430" Type="http://schemas.openxmlformats.org/officeDocument/2006/relationships/hyperlink" Target="https://www.facebook.com/profile.php?id=100049968621747" TargetMode="External"/><Relationship Id="rId3032" Type="http://schemas.openxmlformats.org/officeDocument/2006/relationships/hyperlink" Target="https://www.facebook.com/profile.php?id=100079550400649" TargetMode="External"/><Relationship Id="rId7653" Type="http://schemas.openxmlformats.org/officeDocument/2006/relationships/hyperlink" Target="https://www.facebook.com/nt.ngan.7311?mibextid=LQQJ4d" TargetMode="External"/><Relationship Id="rId6255" Type="http://schemas.openxmlformats.org/officeDocument/2006/relationships/hyperlink" Target="https://www.facebook.com/linh.dethuong.9847" TargetMode="External"/><Relationship Id="rId7306" Type="http://schemas.openxmlformats.org/officeDocument/2006/relationships/hyperlink" Target="https://www.facebook.com/mom.men.904?mibextid=LQQJ4d" TargetMode="External"/><Relationship Id="rId8704" Type="http://schemas.openxmlformats.org/officeDocument/2006/relationships/hyperlink" Target="https://www.facebook.com/tonghop.veloc" TargetMode="External"/><Relationship Id="rId2865" Type="http://schemas.openxmlformats.org/officeDocument/2006/relationships/hyperlink" Target="https://www.facebook.com/lamchipchip" TargetMode="External"/><Relationship Id="rId3916" Type="http://schemas.openxmlformats.org/officeDocument/2006/relationships/hyperlink" Target="https://www.facebook.com/ann.phamxuan.56" TargetMode="External"/><Relationship Id="rId9478" Type="http://schemas.openxmlformats.org/officeDocument/2006/relationships/hyperlink" Target="https://www.facebook.com/ngocmy.le.9231712?mibextid=LQQJ4d" TargetMode="External"/><Relationship Id="rId837" Type="http://schemas.openxmlformats.org/officeDocument/2006/relationships/hyperlink" Target="https://www.facebook.com/CHIENIRISS" TargetMode="External"/><Relationship Id="rId1467" Type="http://schemas.openxmlformats.org/officeDocument/2006/relationships/hyperlink" Target="https://www.facebook.com/honglinh.trieu.752" TargetMode="External"/><Relationship Id="rId2518" Type="http://schemas.openxmlformats.org/officeDocument/2006/relationships/hyperlink" Target="https://www.facebook.com/profile.php?id=100046119121012" TargetMode="External"/><Relationship Id="rId8561" Type="http://schemas.openxmlformats.org/officeDocument/2006/relationships/hyperlink" Target="https://www.facebook.com/btnaaaa?mibextid=LQQJ4d" TargetMode="External"/><Relationship Id="rId1601" Type="http://schemas.openxmlformats.org/officeDocument/2006/relationships/hyperlink" Target="https://www.facebook.com/ngocc.bich.52?mibextid=LQQJ4d" TargetMode="External"/><Relationship Id="rId7163" Type="http://schemas.openxmlformats.org/officeDocument/2006/relationships/hyperlink" Target="https://drive.google.com/open?id=1L1lL7HNKn2-F2FwdOKs6IQI0PGbQmMLH" TargetMode="External"/><Relationship Id="rId8214" Type="http://schemas.openxmlformats.org/officeDocument/2006/relationships/hyperlink" Target="https://www.facebook.com/share/1VAnqzEUV6/?mibextid=wwXIfr" TargetMode="External"/><Relationship Id="rId694" Type="http://schemas.openxmlformats.org/officeDocument/2006/relationships/hyperlink" Target="https://www.facebook.com/profile.php?id=100050109202301" TargetMode="External"/><Relationship Id="rId2375" Type="http://schemas.openxmlformats.org/officeDocument/2006/relationships/hyperlink" Target="https://www.facebook.com/naolihtt" TargetMode="External"/><Relationship Id="rId3773" Type="http://schemas.openxmlformats.org/officeDocument/2006/relationships/hyperlink" Target="https://drive.google.com/open?id=1B54ku8uNiiDPvU6a_4g-T8xP2w73wWVi" TargetMode="External"/><Relationship Id="rId4824" Type="http://schemas.openxmlformats.org/officeDocument/2006/relationships/hyperlink" Target="https://drive.google.com/open?id=1eYwAhXEQFThZAi0bNrrrKiW5ebNw9phe" TargetMode="External"/><Relationship Id="rId347" Type="http://schemas.openxmlformats.org/officeDocument/2006/relationships/hyperlink" Target="https://www.facebook.com/profile.php?id=100072863164876&amp;mibextid=LQQJ4d" TargetMode="External"/><Relationship Id="rId2028" Type="http://schemas.openxmlformats.org/officeDocument/2006/relationships/hyperlink" Target="http://manhdinh2005sgmail.com/" TargetMode="External"/><Relationship Id="rId3426" Type="http://schemas.openxmlformats.org/officeDocument/2006/relationships/hyperlink" Target="https://www.facebook.com/sun.hin.37" TargetMode="External"/><Relationship Id="rId6996" Type="http://schemas.openxmlformats.org/officeDocument/2006/relationships/hyperlink" Target="https://drive.google.com/open?id=1Rk6ngZYN6fypWkVuvtrk6c70E-NCcAQ6" TargetMode="External"/><Relationship Id="rId5598" Type="http://schemas.openxmlformats.org/officeDocument/2006/relationships/hyperlink" Target="https://www.facebook.com/ngphuonglinh.26?mibextid=LQQJ4d" TargetMode="External"/><Relationship Id="rId6649" Type="http://schemas.openxmlformats.org/officeDocument/2006/relationships/hyperlink" Target="https://www.facebook.com/anhnguyet.bui.543908?mibextid=LQQJ4d" TargetMode="External"/><Relationship Id="rId8071" Type="http://schemas.openxmlformats.org/officeDocument/2006/relationships/hyperlink" Target="https://drive.google.com/open?id=1n3MpQVOnQg9v6e3ZEOyY0UGZV3FjCdy7" TargetMode="External"/><Relationship Id="rId9122" Type="http://schemas.openxmlformats.org/officeDocument/2006/relationships/hyperlink" Target="https://www.facebook.com/profile.php?id=100078041570900&amp;mibextid=LQQJ4d" TargetMode="External"/><Relationship Id="rId1111" Type="http://schemas.openxmlformats.org/officeDocument/2006/relationships/hyperlink" Target="https://www.facebook.com/profile.php?id=100010861515403&amp;mibextid=LQQJ4d" TargetMode="External"/><Relationship Id="rId4681" Type="http://schemas.openxmlformats.org/officeDocument/2006/relationships/hyperlink" Target="https://drive.google.com/open?id=1KbitNHA7r-soNliEt85GvFwLDQs3gUkr" TargetMode="External"/><Relationship Id="rId5732" Type="http://schemas.openxmlformats.org/officeDocument/2006/relationships/hyperlink" Target="https://www.facebook.com/profile.php?id=100037559047353" TargetMode="External"/><Relationship Id="rId3283" Type="http://schemas.openxmlformats.org/officeDocument/2006/relationships/hyperlink" Target="https://www.facebook.com/profile.php?id=100011574829401" TargetMode="External"/><Relationship Id="rId4334" Type="http://schemas.openxmlformats.org/officeDocument/2006/relationships/hyperlink" Target="https://www.facebook.com/manhcuonglovefamily?mibextid=LQQJ4d" TargetMode="External"/><Relationship Id="rId8955" Type="http://schemas.openxmlformats.org/officeDocument/2006/relationships/hyperlink" Target="https://drive.google.com/open?id=1TWjrDP_YmGzMITjg3ryQMPJVjmss1VeF" TargetMode="External"/><Relationship Id="rId6159" Type="http://schemas.openxmlformats.org/officeDocument/2006/relationships/hyperlink" Target="https://www.facebook.com/profile.php?id=100082260104717&amp;mibextid=LQQJ4d" TargetMode="External"/><Relationship Id="rId7557" Type="http://schemas.openxmlformats.org/officeDocument/2006/relationships/hyperlink" Target="https://www.facebook.com/profile.php?id=100015570667027&amp;mibextid=LQQJ4d" TargetMode="External"/><Relationship Id="rId8608" Type="http://schemas.openxmlformats.org/officeDocument/2006/relationships/hyperlink" Target="https://www.facebook.com/profile.php?id=100032037693158&amp;mibextid=LQQJ4d" TargetMode="External"/><Relationship Id="rId2769" Type="http://schemas.openxmlformats.org/officeDocument/2006/relationships/hyperlink" Target="https://drive.google.com/open?id=1Yd7I1rCaKCmSKCxGpgjenaxietGPDtxe" TargetMode="External"/><Relationship Id="rId6640" Type="http://schemas.openxmlformats.org/officeDocument/2006/relationships/hyperlink" Target="https://www.facebook.com/NgoCongDanh.18?mibextid=LQQJ4d" TargetMode="External"/><Relationship Id="rId4191" Type="http://schemas.openxmlformats.org/officeDocument/2006/relationships/hyperlink" Target="https://www.facebook.com/profile.php?id=61550518141920&amp;mibextid=LQQJ4d" TargetMode="External"/><Relationship Id="rId5242" Type="http://schemas.openxmlformats.org/officeDocument/2006/relationships/hyperlink" Target="https://drive.google.com/open?id=1GZthkL6hNaG5Kw5pbjF68cWfbG6gccSK" TargetMode="External"/><Relationship Id="rId77" Type="http://schemas.openxmlformats.org/officeDocument/2006/relationships/hyperlink" Target="https://www.facebook.com/giten.canquai.52" TargetMode="External"/><Relationship Id="rId8465" Type="http://schemas.openxmlformats.org/officeDocument/2006/relationships/hyperlink" Target="https://drive.google.com/open?id=123dxorE8m5Rq_5jNKdVg5HkuRThTZMzd" TargetMode="External"/><Relationship Id="rId9516" Type="http://schemas.openxmlformats.org/officeDocument/2006/relationships/hyperlink" Target="https://www.facebook.com/share/1ANKgBQP7z/?mibextid=wwXIfr" TargetMode="External"/><Relationship Id="rId1852" Type="http://schemas.openxmlformats.org/officeDocument/2006/relationships/hyperlink" Target="https://drive.google.com/open?id=1fP5-UeLEzGx-TeLSLg5oZlx2RZYlPx2g" TargetMode="External"/><Relationship Id="rId2903" Type="http://schemas.openxmlformats.org/officeDocument/2006/relationships/hyperlink" Target="https://drive.google.com/open?id=1hy563E7n5OIHiEojehSaySxfe5NZidF3" TargetMode="External"/><Relationship Id="rId7067" Type="http://schemas.openxmlformats.org/officeDocument/2006/relationships/hyperlink" Target="https://www.facebook.com/lamphucdai.1008" TargetMode="External"/><Relationship Id="rId8118" Type="http://schemas.openxmlformats.org/officeDocument/2006/relationships/hyperlink" Target="https://web.facebook.com/binh.ngan.90260403" TargetMode="External"/><Relationship Id="rId1505" Type="http://schemas.openxmlformats.org/officeDocument/2006/relationships/hyperlink" Target="https://www.facebook.com/profile.php?id=100053007592601" TargetMode="External"/><Relationship Id="rId3677" Type="http://schemas.openxmlformats.org/officeDocument/2006/relationships/hyperlink" Target="https://www.facebook.com/profile.php?id=100066019002870&amp;mibextid=LQQJ4d" TargetMode="External"/><Relationship Id="rId4728" Type="http://schemas.openxmlformats.org/officeDocument/2006/relationships/hyperlink" Target="https://www.facebook.com/profile.php?id=100052895930101&amp;mibextid=LQQJ4d" TargetMode="External"/><Relationship Id="rId598" Type="http://schemas.openxmlformats.org/officeDocument/2006/relationships/hyperlink" Target="https://www.facebook.com/profile.php?id=100081129805880" TargetMode="External"/><Relationship Id="rId2279" Type="http://schemas.openxmlformats.org/officeDocument/2006/relationships/hyperlink" Target="https://www.facebook.com/profile.php?id=100041722793853&amp;mibextid=LQQJ4d" TargetMode="External"/><Relationship Id="rId6150" Type="http://schemas.openxmlformats.org/officeDocument/2006/relationships/hyperlink" Target="https://www.facebook.com/akiko.kim.754?mibextid=LQQJ4d" TargetMode="External"/><Relationship Id="rId7201" Type="http://schemas.openxmlformats.org/officeDocument/2006/relationships/hyperlink" Target="https://drive.google.com/open?id=1ObOPjQl6re_slJtVhGn0wGFC5l2CTu3p" TargetMode="External"/><Relationship Id="rId2760" Type="http://schemas.openxmlformats.org/officeDocument/2006/relationships/hyperlink" Target="https://www.facebook.com/phu.phamvan.35513" TargetMode="External"/><Relationship Id="rId3811" Type="http://schemas.openxmlformats.org/officeDocument/2006/relationships/hyperlink" Target="https://drive.google.com/open?id=1nBOXq5iQAqVKW1WApS5S4NBaA9HnoBbL" TargetMode="External"/><Relationship Id="rId9373" Type="http://schemas.openxmlformats.org/officeDocument/2006/relationships/hyperlink" Target="https://drive.google.com/open?id=1ttu_LOZ5L8tQ_scXdLzlTMucpwysGfcY" TargetMode="External"/><Relationship Id="rId732" Type="http://schemas.openxmlformats.org/officeDocument/2006/relationships/hyperlink" Target="https://www.facebook.com/profile.php?id=100024367782945&amp;mibextid=LQQJ4d" TargetMode="External"/><Relationship Id="rId1362" Type="http://schemas.openxmlformats.org/officeDocument/2006/relationships/hyperlink" Target="https://drive.google.com/open?id=1M-txXFipK2VxVUqMMjBfaco9qi_Fixgi" TargetMode="External"/><Relationship Id="rId2413" Type="http://schemas.openxmlformats.org/officeDocument/2006/relationships/hyperlink" Target="https://www.facebook.com/profile.php?id=100033483693889&amp;mibextid=LQQJ4d" TargetMode="External"/><Relationship Id="rId9026" Type="http://schemas.openxmlformats.org/officeDocument/2006/relationships/hyperlink" Target="https://drive.google.com/open?id=1BQ4NHf3jVauyHqbm2Y1cLWkgE1F4sJpA" TargetMode="External"/><Relationship Id="rId1015" Type="http://schemas.openxmlformats.org/officeDocument/2006/relationships/hyperlink" Target="https://www.facebook.com/profile.php?id=100024428884733&amp;mibextid=ZbWKwL" TargetMode="External"/><Relationship Id="rId4585" Type="http://schemas.openxmlformats.org/officeDocument/2006/relationships/hyperlink" Target="https://www.facebook.com/profile.php?id=100039459440751&amp;mibextid=LQQJ4d" TargetMode="External"/><Relationship Id="rId5983" Type="http://schemas.openxmlformats.org/officeDocument/2006/relationships/hyperlink" Target="https://www.facebook.com/tranphuongthao.19082006?mibextid=LQQJ4d" TargetMode="External"/><Relationship Id="rId3187" Type="http://schemas.openxmlformats.org/officeDocument/2006/relationships/hyperlink" Target="https://www.facebook.com/duong.thuyy.5439?mibextid=LQQJ4d" TargetMode="External"/><Relationship Id="rId4238" Type="http://schemas.openxmlformats.org/officeDocument/2006/relationships/hyperlink" Target="https://www.facebook.com/profile.php?id=100066570931154&amp;mibextid=ZbWKwL" TargetMode="External"/><Relationship Id="rId5636" Type="http://schemas.openxmlformats.org/officeDocument/2006/relationships/hyperlink" Target="https://www.facebook.com/profile.php?id=100077506261937&amp;mibextid=LQQJ4d" TargetMode="External"/><Relationship Id="rId8859" Type="http://schemas.openxmlformats.org/officeDocument/2006/relationships/hyperlink" Target="https://www.facebook.com/kimoanh.2503" TargetMode="External"/><Relationship Id="rId2270" Type="http://schemas.openxmlformats.org/officeDocument/2006/relationships/hyperlink" Target="https://www.facebook.com/xuan.bac.50999" TargetMode="External"/><Relationship Id="rId3321" Type="http://schemas.openxmlformats.org/officeDocument/2006/relationships/hyperlink" Target="https://www.facebook.com/profile.php?id=100013950254935&amp;mibextid=LQQJ4d" TargetMode="External"/><Relationship Id="rId6891" Type="http://schemas.openxmlformats.org/officeDocument/2006/relationships/hyperlink" Target="https://www.facebook.com/nie.life.158" TargetMode="External"/><Relationship Id="rId7942" Type="http://schemas.openxmlformats.org/officeDocument/2006/relationships/hyperlink" Target="https://www.facebook.com/profile.php?id=61553308353439&amp;mibextid=LQQJ4d" TargetMode="External"/><Relationship Id="rId242" Type="http://schemas.openxmlformats.org/officeDocument/2006/relationships/hyperlink" Target="https://www.facebook.com/profile.php?id=100093554755534&amp;mibextid=LQQJ4d" TargetMode="External"/><Relationship Id="rId5493" Type="http://schemas.openxmlformats.org/officeDocument/2006/relationships/hyperlink" Target="https://www.facebook.com/profile.php?id=100074275745018" TargetMode="External"/><Relationship Id="rId6544" Type="http://schemas.openxmlformats.org/officeDocument/2006/relationships/hyperlink" Target="https://www.facebook.com/profile.php?id=100041531311982" TargetMode="External"/><Relationship Id="rId4095" Type="http://schemas.openxmlformats.org/officeDocument/2006/relationships/hyperlink" Target="https://www.facebook.com/viet.khang.9404?mibextid=LQQJ4d" TargetMode="External"/><Relationship Id="rId5146" Type="http://schemas.openxmlformats.org/officeDocument/2006/relationships/hyperlink" Target="https://www.facebook.com/profile.php?id=100046598621305" TargetMode="External"/><Relationship Id="rId8369" Type="http://schemas.openxmlformats.org/officeDocument/2006/relationships/hyperlink" Target="https://www.facebook.com/hi.phuong.3975?mibextid=ZbWKwL" TargetMode="External"/><Relationship Id="rId1756" Type="http://schemas.openxmlformats.org/officeDocument/2006/relationships/hyperlink" Target="https://www.facebook.com/profile.php?id=100022723487090&amp;mibextid=LQQJ4d" TargetMode="External"/><Relationship Id="rId2807" Type="http://schemas.openxmlformats.org/officeDocument/2006/relationships/hyperlink" Target="https://www.facebook.com/profile.php?id=100080364080727&amp;mibextid=LQQJ4d" TargetMode="External"/><Relationship Id="rId1409" Type="http://schemas.openxmlformats.org/officeDocument/2006/relationships/hyperlink" Target="https://www.facebook.com/doantrang2003" TargetMode="External"/><Relationship Id="rId4979" Type="http://schemas.openxmlformats.org/officeDocument/2006/relationships/hyperlink" Target="https://www.facebook.com/panda.apink.94" TargetMode="External"/><Relationship Id="rId8850" Type="http://schemas.openxmlformats.org/officeDocument/2006/relationships/hyperlink" Target="https://www.facebook.com/lengoc.thu.756" TargetMode="External"/><Relationship Id="rId7452" Type="http://schemas.openxmlformats.org/officeDocument/2006/relationships/hyperlink" Target="https://drive.google.com/open?id=197nBazdUw1zK0vebOe6sbN1573VvYIrk" TargetMode="External"/><Relationship Id="rId8503" Type="http://schemas.openxmlformats.org/officeDocument/2006/relationships/hyperlink" Target="https://www.facebook.com/profile.php?id=100068901310447&amp;mibextid=LQQJ4d" TargetMode="External"/><Relationship Id="rId6054" Type="http://schemas.openxmlformats.org/officeDocument/2006/relationships/hyperlink" Target="https://web.facebook.com/nguyendat1201?mibextid=ZbWKwL&amp;_rdc=1&amp;_rdr" TargetMode="External"/><Relationship Id="rId7105" Type="http://schemas.openxmlformats.org/officeDocument/2006/relationships/hyperlink" Target="https://www.facebook.com/profile.php?id=100053180659288" TargetMode="External"/><Relationship Id="rId983" Type="http://schemas.openxmlformats.org/officeDocument/2006/relationships/hyperlink" Target="https://drive.google.com/open?id=1YN7EbErIaFy1HK-GzKHkuke18_6FW8UP" TargetMode="External"/><Relationship Id="rId2664" Type="http://schemas.openxmlformats.org/officeDocument/2006/relationships/hyperlink" Target="https://drive.google.com/open?id=1Pf4vx-EC83JkYppYPHm5ibXlJoiBsBn6" TargetMode="External"/><Relationship Id="rId9277" Type="http://schemas.openxmlformats.org/officeDocument/2006/relationships/hyperlink" Target="https://www.facebook.com/ngo.the.cuong.2024" TargetMode="External"/><Relationship Id="rId636" Type="http://schemas.openxmlformats.org/officeDocument/2006/relationships/hyperlink" Target="https://drive.google.com/open?id=1ZEhIsB7Rjf-nU1uaubeE_G5JzRpzAs8e" TargetMode="External"/><Relationship Id="rId1266" Type="http://schemas.openxmlformats.org/officeDocument/2006/relationships/hyperlink" Target="https://www.facebook.com/Oong.chamchi?mibextid=LQQJ4d" TargetMode="External"/><Relationship Id="rId2317" Type="http://schemas.openxmlformats.org/officeDocument/2006/relationships/hyperlink" Target="https://www.facebook.com/mi.hoa.9461?mibextid=ZbWKwL" TargetMode="External"/><Relationship Id="rId3715" Type="http://schemas.openxmlformats.org/officeDocument/2006/relationships/hyperlink" Target="https://www.facebook.com/profile.php?id=100090526551169" TargetMode="External"/><Relationship Id="rId5887" Type="http://schemas.openxmlformats.org/officeDocument/2006/relationships/hyperlink" Target="https://drive.google.com/open?id=1kB3-U0frXWszngrdepB2uFxVJp1Oy_RZ" TargetMode="External"/><Relationship Id="rId6938" Type="http://schemas.openxmlformats.org/officeDocument/2006/relationships/hyperlink" Target="https://www.facebook.com/profile.php?id=100083414681061" TargetMode="External"/><Relationship Id="rId4489" Type="http://schemas.openxmlformats.org/officeDocument/2006/relationships/hyperlink" Target="https://www.facebook.com/harehare.ta?mibextid=ZbWKwL" TargetMode="External"/><Relationship Id="rId8360" Type="http://schemas.openxmlformats.org/officeDocument/2006/relationships/hyperlink" Target="https://www.facebook.com/profile.php?id=100048033708706&amp;mibextid=LQQJ4d" TargetMode="External"/><Relationship Id="rId9411" Type="http://schemas.openxmlformats.org/officeDocument/2006/relationships/hyperlink" Target="https://www.facebook.com/profile.php?id=61550780199546" TargetMode="External"/><Relationship Id="rId1400" Type="http://schemas.openxmlformats.org/officeDocument/2006/relationships/hyperlink" Target="https://www.facebook.com/profile.php?id=100037862260918&amp;mibextid=ZbWKwL" TargetMode="External"/><Relationship Id="rId4970" Type="http://schemas.openxmlformats.org/officeDocument/2006/relationships/hyperlink" Target="https://www.facebook.com/profile.php?id=100053632210093" TargetMode="External"/><Relationship Id="rId8013" Type="http://schemas.openxmlformats.org/officeDocument/2006/relationships/hyperlink" Target="https://www.facebook.com/profile.php?id=100069532695562&amp;mibextid=LQQJ4d" TargetMode="External"/><Relationship Id="rId3572" Type="http://schemas.openxmlformats.org/officeDocument/2006/relationships/hyperlink" Target="https://drive.google.com/open?id=1JGpunTTZyxBLGWDypY6DuaYjV3N5_5BY" TargetMode="External"/><Relationship Id="rId4623" Type="http://schemas.openxmlformats.org/officeDocument/2006/relationships/hyperlink" Target="https://www.facebook.com/tai.bui.96780671" TargetMode="External"/><Relationship Id="rId493" Type="http://schemas.openxmlformats.org/officeDocument/2006/relationships/hyperlink" Target="https://www.facebook.com/hiu.pe.144?mibextid=ZbWKwL" TargetMode="External"/><Relationship Id="rId2174" Type="http://schemas.openxmlformats.org/officeDocument/2006/relationships/hyperlink" Target="https://www.facebook.com/profile.php?id=100025671799135&amp;mibextid=LQQJ4d" TargetMode="External"/><Relationship Id="rId3225" Type="http://schemas.openxmlformats.org/officeDocument/2006/relationships/hyperlink" Target="https://www.facebook.com/profile.php?id=100011725952880" TargetMode="External"/><Relationship Id="rId6795" Type="http://schemas.openxmlformats.org/officeDocument/2006/relationships/hyperlink" Target="https://www.facebook.com/profile.php?id=100050610362418&amp;mibextid=LQQJ4d" TargetMode="External"/><Relationship Id="rId146" Type="http://schemas.openxmlformats.org/officeDocument/2006/relationships/hyperlink" Target="https://drive.google.com/open?id=1LF1-Wn28JIN0r8YrquNWugmbv2TTzkyI" TargetMode="External"/><Relationship Id="rId5397" Type="http://schemas.openxmlformats.org/officeDocument/2006/relationships/hyperlink" Target="https://www.facebook.com/fangglingg.11?mibextid=LQQJ4d" TargetMode="External"/><Relationship Id="rId6448" Type="http://schemas.openxmlformats.org/officeDocument/2006/relationships/hyperlink" Target="https://drive.google.com/open?id=1DS8A8lFDA3EHCwlTrtPw-7Skg_O2OHpf" TargetMode="External"/><Relationship Id="rId7846" Type="http://schemas.openxmlformats.org/officeDocument/2006/relationships/hyperlink" Target="https://www.facebook.com/profile.php?id=100052040057832&amp;mibextid=ZbWKwL" TargetMode="External"/><Relationship Id="rId4480" Type="http://schemas.openxmlformats.org/officeDocument/2006/relationships/hyperlink" Target="https://www.facebook.com/nguyennklin" TargetMode="External"/><Relationship Id="rId5531" Type="http://schemas.openxmlformats.org/officeDocument/2006/relationships/hyperlink" Target="https://www.facebook.com/tragiang.tranthi.111?mibextid=ZbWKwL" TargetMode="External"/><Relationship Id="rId3082" Type="http://schemas.openxmlformats.org/officeDocument/2006/relationships/hyperlink" Target="https://www.facebook.com/minh.panda.12" TargetMode="External"/><Relationship Id="rId4133" Type="http://schemas.openxmlformats.org/officeDocument/2006/relationships/hyperlink" Target="https://www.facebook.com/profile.php?id=100028837680095" TargetMode="External"/><Relationship Id="rId8754" Type="http://schemas.openxmlformats.org/officeDocument/2006/relationships/hyperlink" Target="https://www.facebook.com/profile.php?id=100070317535477" TargetMode="External"/><Relationship Id="rId19" Type="http://schemas.openxmlformats.org/officeDocument/2006/relationships/hyperlink" Target="https://drive.google.com/open?id=1h0X6LaR-oNRgZ5mBTYO6Y_ZZpUBZQtrY" TargetMode="External"/><Relationship Id="rId7356" Type="http://schemas.openxmlformats.org/officeDocument/2006/relationships/hyperlink" Target="https://www.facebook.com/profile.php?id=100085467455369" TargetMode="External"/><Relationship Id="rId8407" Type="http://schemas.openxmlformats.org/officeDocument/2006/relationships/hyperlink" Target="https://www.facebook.com/profile.php?id=100076003883858" TargetMode="External"/><Relationship Id="rId7009" Type="http://schemas.openxmlformats.org/officeDocument/2006/relationships/hyperlink" Target="https://www.facebook.com/vananh.do.7393264?mibextid=ZbWKwL" TargetMode="External"/><Relationship Id="rId3966" Type="http://schemas.openxmlformats.org/officeDocument/2006/relationships/hyperlink" Target="https://www.facebook.com/profile.php?id=100057589418916&amp;mibextid=LQQJ4d" TargetMode="External"/><Relationship Id="rId3" Type="http://schemas.openxmlformats.org/officeDocument/2006/relationships/hyperlink" Target="https://www.facebook.com/huyen.thuong.1605?mibextid=LQQJ4d" TargetMode="External"/><Relationship Id="rId887" Type="http://schemas.openxmlformats.org/officeDocument/2006/relationships/hyperlink" Target="https://www.facebook.com/profile.php?id=100048349662044&amp;mibextid=LQQJ4d" TargetMode="External"/><Relationship Id="rId2568" Type="http://schemas.openxmlformats.org/officeDocument/2006/relationships/hyperlink" Target="https://www.facebook.com/nguyenbao.ngoc.35977" TargetMode="External"/><Relationship Id="rId3619" Type="http://schemas.openxmlformats.org/officeDocument/2006/relationships/hyperlink" Target="https://drive.google.com/open?id=1_BB13EPfe9lOANST2BcFAtw8G1oa3kuI" TargetMode="External"/><Relationship Id="rId5041" Type="http://schemas.openxmlformats.org/officeDocument/2006/relationships/hyperlink" Target="https://www.facebook.com/profile.php?id=100094889821164" TargetMode="External"/><Relationship Id="rId1651" Type="http://schemas.openxmlformats.org/officeDocument/2006/relationships/hyperlink" Target="https://www.facebook.com/profile.php?id=100009705362776&amp;mibextid=LQQJ4d" TargetMode="External"/><Relationship Id="rId2702" Type="http://schemas.openxmlformats.org/officeDocument/2006/relationships/hyperlink" Target="https://drive.google.com/open?id=1kyfiNywkLHhg3SNAkwm10b8Xl6mWWrVh" TargetMode="External"/><Relationship Id="rId8264" Type="http://schemas.openxmlformats.org/officeDocument/2006/relationships/hyperlink" Target="https://drive.google.com/open?id=1cuqVmtELVC6NWIeRb-w2-KczmD6ahSMG" TargetMode="External"/><Relationship Id="rId9315" Type="http://schemas.openxmlformats.org/officeDocument/2006/relationships/hyperlink" Target="https://www.facebook.com/profile.php?id=100012785173295&amp;mibextid=LQQJ4d" TargetMode="External"/><Relationship Id="rId1304" Type="http://schemas.openxmlformats.org/officeDocument/2006/relationships/hyperlink" Target="https://drive.google.com/open?id=1R5JoAuYJqvQlJPJChiEY9VMFotYUoarh" TargetMode="External"/><Relationship Id="rId4874" Type="http://schemas.openxmlformats.org/officeDocument/2006/relationships/hyperlink" Target="https://www.facebook.com/profile.php?id=100078418103645&amp;mibextid=LQQJ4d" TargetMode="External"/><Relationship Id="rId3476" Type="http://schemas.openxmlformats.org/officeDocument/2006/relationships/hyperlink" Target="https://www.facebook.com/profile.php?id=100047265876298&amp;mibextid=LQQJ4d" TargetMode="External"/><Relationship Id="rId4527" Type="http://schemas.openxmlformats.org/officeDocument/2006/relationships/hyperlink" Target="https://drive.google.com/open?id=1-pe1EF-n4H9mJjklA_cqVPbATS3SUF4k" TargetMode="External"/><Relationship Id="rId5925" Type="http://schemas.openxmlformats.org/officeDocument/2006/relationships/hyperlink" Target="https://drive.google.com/open?id=1Yl4da_aamrKtwO_4vTYxCPqJEAtvlsNC" TargetMode="External"/><Relationship Id="rId10" Type="http://schemas.openxmlformats.org/officeDocument/2006/relationships/hyperlink" Target="https://drive.google.com/open?id=1U7Q1xbvxlzl2_RbZU_Win05Z7qvbhu52" TargetMode="External"/><Relationship Id="rId397" Type="http://schemas.openxmlformats.org/officeDocument/2006/relationships/hyperlink" Target="https://www.facebook.com/tuz.mie48?mibextid=LQQJ4d" TargetMode="External"/><Relationship Id="rId2078" Type="http://schemas.openxmlformats.org/officeDocument/2006/relationships/hyperlink" Target="https://www.facebook.com/profile.php?id=100079699883336&amp;mibextid=ZbWKwL" TargetMode="External"/><Relationship Id="rId3129" Type="http://schemas.openxmlformats.org/officeDocument/2006/relationships/hyperlink" Target="https://www.facebook.com/profile.php?id=100035530000674&amp;mibextid=LQQJ4d" TargetMode="External"/><Relationship Id="rId7000" Type="http://schemas.openxmlformats.org/officeDocument/2006/relationships/hyperlink" Target="https://www.facebook.com/profile.php?id=100051163014177&amp;mibextid=LQQJ4d" TargetMode="External"/><Relationship Id="rId6699" Type="http://schemas.openxmlformats.org/officeDocument/2006/relationships/hyperlink" Target="https://www.facebook.com/profile.php?id=100055631994421&amp;mibextid=LQQJ4d" TargetMode="External"/><Relationship Id="rId9172" Type="http://schemas.openxmlformats.org/officeDocument/2006/relationships/hyperlink" Target="https://www.facebook.com/hoang.maihuong.182" TargetMode="External"/><Relationship Id="rId3610" Type="http://schemas.openxmlformats.org/officeDocument/2006/relationships/hyperlink" Target="https://www.facebook.com/nhoks2tjt" TargetMode="External"/><Relationship Id="rId531" Type="http://schemas.openxmlformats.org/officeDocument/2006/relationships/hyperlink" Target="https://drive.google.com/open?id=10WyPPNZzUW5_N9M_Mg9pumurD2-hQAJr" TargetMode="External"/><Relationship Id="rId1161" Type="http://schemas.openxmlformats.org/officeDocument/2006/relationships/hyperlink" Target="https://www.facebook.com/profile.php?id=100023655230027&amp;mibextid=LQQJ4d" TargetMode="External"/><Relationship Id="rId2212" Type="http://schemas.openxmlformats.org/officeDocument/2006/relationships/hyperlink" Target="https://www.facebook.com/profile.php?id=100064492684292&amp;mibextid=LQQJ4d" TargetMode="External"/><Relationship Id="rId5782" Type="http://schemas.openxmlformats.org/officeDocument/2006/relationships/hyperlink" Target="https://www.facebook.com/profile.php?id=100013178014642&amp;mibextid=LQQJ4d" TargetMode="External"/><Relationship Id="rId6833" Type="http://schemas.openxmlformats.org/officeDocument/2006/relationships/hyperlink" Target="https://www.facebook.com/profile.php?id=100069988596011&amp;mibextid=LQQJ4d" TargetMode="External"/><Relationship Id="rId4384" Type="http://schemas.openxmlformats.org/officeDocument/2006/relationships/hyperlink" Target="https://www.facebook.com/profile.php?id=100051070864960&amp;mibextid=LQQJ4d" TargetMode="External"/><Relationship Id="rId5435" Type="http://schemas.openxmlformats.org/officeDocument/2006/relationships/hyperlink" Target="https://drive.google.com/open?id=1UkV7lhqf5I39310uvk4vvXJviYHe9kuj" TargetMode="External"/><Relationship Id="rId4037" Type="http://schemas.openxmlformats.org/officeDocument/2006/relationships/hyperlink" Target="https://www.facebook.com/profile.php?id=100091139509093&amp;mibextid=ZbWKwL" TargetMode="External"/><Relationship Id="rId8658" Type="http://schemas.openxmlformats.org/officeDocument/2006/relationships/hyperlink" Target="https://www.facebook.com/profile.php?id=100056958707502&amp;mibextid=LQQJ4d" TargetMode="External"/><Relationship Id="rId3120" Type="http://schemas.openxmlformats.org/officeDocument/2006/relationships/hyperlink" Target="https://www.facebook.com/bien.bot.7547031" TargetMode="External"/><Relationship Id="rId6690" Type="http://schemas.openxmlformats.org/officeDocument/2006/relationships/hyperlink" Target="https://www.facebook.com/huongthumai1207?mibextid=LQQJ4d" TargetMode="External"/><Relationship Id="rId7741" Type="http://schemas.openxmlformats.org/officeDocument/2006/relationships/hyperlink" Target="https://www.facebook.com/ledominhtuan" TargetMode="External"/><Relationship Id="rId5292" Type="http://schemas.openxmlformats.org/officeDocument/2006/relationships/hyperlink" Target="https://www.facebook.com/ndlambinh30706?mibextid=LQQJ4d" TargetMode="External"/><Relationship Id="rId6343" Type="http://schemas.openxmlformats.org/officeDocument/2006/relationships/hyperlink" Target="https://drive.google.com/open?id=15UP7GugbEs_7wM8vac6xgodk1_ZHwqqJ" TargetMode="External"/><Relationship Id="rId2953" Type="http://schemas.openxmlformats.org/officeDocument/2006/relationships/hyperlink" Target="https://www.facebook.com/profile.php?id=100046955887548" TargetMode="External"/><Relationship Id="rId9566" Type="http://schemas.openxmlformats.org/officeDocument/2006/relationships/hyperlink" Target="https://www.facebook.com/share/18n967LSkv/?mibextid=wwXIfr" TargetMode="External"/><Relationship Id="rId925" Type="http://schemas.openxmlformats.org/officeDocument/2006/relationships/hyperlink" Target="https://www.facebook.com/profile.php?id=100055195807282" TargetMode="External"/><Relationship Id="rId1555" Type="http://schemas.openxmlformats.org/officeDocument/2006/relationships/hyperlink" Target="https://www.facebook.com/quynh.nguyenmanh.10297?mibextid=ZbWKwL" TargetMode="External"/><Relationship Id="rId2606" Type="http://schemas.openxmlformats.org/officeDocument/2006/relationships/hyperlink" Target="https://www.facebook.com/ngocanhle.tm" TargetMode="External"/><Relationship Id="rId8168" Type="http://schemas.openxmlformats.org/officeDocument/2006/relationships/hyperlink" Target="https://www.facebook.com/share/15VfZfgkGa/?mibextid=wwXIfr" TargetMode="External"/><Relationship Id="rId9219" Type="http://schemas.openxmlformats.org/officeDocument/2006/relationships/hyperlink" Target="https://drive.google.com/open?id=1dF4Db4wXADMaaS_lg17cbNDjn7775t6Z" TargetMode="External"/><Relationship Id="rId1208" Type="http://schemas.openxmlformats.org/officeDocument/2006/relationships/hyperlink" Target="https://www.facebook.com/baoobinhh.gaii.3?mibextid=7cd5pb" TargetMode="External"/><Relationship Id="rId4778" Type="http://schemas.openxmlformats.org/officeDocument/2006/relationships/hyperlink" Target="https://drive.google.com/open?id=1M3iSnCbH8tDiHa9Ny10EWS6-O4o9D5Lq" TargetMode="External"/><Relationship Id="rId5829" Type="http://schemas.openxmlformats.org/officeDocument/2006/relationships/hyperlink" Target="https://drive.google.com/open?id=1hB1Z0Lo2JIhlmT4N2aHyz1TtU92G8vsv" TargetMode="External"/><Relationship Id="rId7251" Type="http://schemas.openxmlformats.org/officeDocument/2006/relationships/hyperlink" Target="https://www.facebook.com/share/15GvN6R7ZV/?mibextid=LQQJ4d" TargetMode="External"/><Relationship Id="rId8302" Type="http://schemas.openxmlformats.org/officeDocument/2006/relationships/hyperlink" Target="https://drive.google.com/open?id=13sIdnI75Zo6zhtg9HNET3w2LH8Xb4Rhs" TargetMode="External"/><Relationship Id="rId3861" Type="http://schemas.openxmlformats.org/officeDocument/2006/relationships/hyperlink" Target="https://www.facebook.com/profile.php?id=100048904483883" TargetMode="External"/><Relationship Id="rId4912" Type="http://schemas.openxmlformats.org/officeDocument/2006/relationships/hyperlink" Target="https://www.facebook.com/tumon06?mibextid=LQQJ4d" TargetMode="External"/><Relationship Id="rId782" Type="http://schemas.openxmlformats.org/officeDocument/2006/relationships/hyperlink" Target="https://www.facebook.com/profile.php?id=100074468111491" TargetMode="External"/><Relationship Id="rId2463" Type="http://schemas.openxmlformats.org/officeDocument/2006/relationships/hyperlink" Target="https://www.facebook.com/lai.thai.98871" TargetMode="External"/><Relationship Id="rId3514" Type="http://schemas.openxmlformats.org/officeDocument/2006/relationships/hyperlink" Target="https://drive.google.com/open?id=17rW6RPWyYaI4S4I3F5rNm9tK6VISQYQL" TargetMode="External"/><Relationship Id="rId9076" Type="http://schemas.openxmlformats.org/officeDocument/2006/relationships/hyperlink" Target="https://www.facebook.com/profile.php?id=61561345451973&amp;mibextid=LQQJ4d" TargetMode="External"/><Relationship Id="rId435" Type="http://schemas.openxmlformats.org/officeDocument/2006/relationships/hyperlink" Target="https://www.facebook.com/profile.php?id=100027093331830" TargetMode="External"/><Relationship Id="rId1065" Type="http://schemas.openxmlformats.org/officeDocument/2006/relationships/hyperlink" Target="https://drive.google.com/open?id=1Hkq32K_LzrctVU_cZN4fzY7q2V_tax7w" TargetMode="External"/><Relationship Id="rId2116" Type="http://schemas.openxmlformats.org/officeDocument/2006/relationships/hyperlink" Target="https://www.facebook.com/khanh.toan.Isme" TargetMode="External"/><Relationship Id="rId5686" Type="http://schemas.openxmlformats.org/officeDocument/2006/relationships/hyperlink" Target="https://www.facebook.com/bachlam2209?mibextid=ZbWKwL" TargetMode="External"/><Relationship Id="rId6737" Type="http://schemas.openxmlformats.org/officeDocument/2006/relationships/hyperlink" Target="https://www.facebook.com/profile.php?id=100074378605055&amp;mibextid=LQQJ4d" TargetMode="External"/><Relationship Id="rId4288" Type="http://schemas.openxmlformats.org/officeDocument/2006/relationships/hyperlink" Target="https://drive.google.com/open?id=1I-mY9aRSE4Uw79iBNFC18GN-C_CpcImd" TargetMode="External"/><Relationship Id="rId5339" Type="http://schemas.openxmlformats.org/officeDocument/2006/relationships/hyperlink" Target="https://www.facebook.com/profile.php?id=100036072453080" TargetMode="External"/><Relationship Id="rId9210" Type="http://schemas.openxmlformats.org/officeDocument/2006/relationships/hyperlink" Target="https://www.facebook.com/profile.php?id=100076261647517&amp;mibextid=LQQJ4d" TargetMode="External"/><Relationship Id="rId1949" Type="http://schemas.openxmlformats.org/officeDocument/2006/relationships/hyperlink" Target="https://drive.google.com/open?id=1qS8PpQettaqlxTZVAzehflcSW4mbC4Oo" TargetMode="External"/><Relationship Id="rId5820" Type="http://schemas.openxmlformats.org/officeDocument/2006/relationships/hyperlink" Target="https://www.facebook.com/profile.php?id=100056420499437&amp;mibextid=ZbWKwL" TargetMode="External"/><Relationship Id="rId292" Type="http://schemas.openxmlformats.org/officeDocument/2006/relationships/hyperlink" Target="https://www.facebook.com/nguyenthinhihhgg" TargetMode="External"/><Relationship Id="rId3371" Type="http://schemas.openxmlformats.org/officeDocument/2006/relationships/hyperlink" Target="https://www.facebook.com/profile.php?id=100055203019297&amp;mibextid=LQQJ4d" TargetMode="External"/><Relationship Id="rId4422" Type="http://schemas.openxmlformats.org/officeDocument/2006/relationships/hyperlink" Target="https://drive.google.com/open?id=14HV0uyAXQv0AYYs8Kwh9kSqXyhGrrOWz" TargetMode="External"/><Relationship Id="rId7992" Type="http://schemas.openxmlformats.org/officeDocument/2006/relationships/hyperlink" Target="https://www.facebook.com/haoo.km?mibextid=LQQJ4d" TargetMode="External"/><Relationship Id="rId3024" Type="http://schemas.openxmlformats.org/officeDocument/2006/relationships/hyperlink" Target="https://drive.google.com/open?id=1ckzgHUnFqnKl1tF8HmwY7kOrII6-HaH-" TargetMode="External"/><Relationship Id="rId6594" Type="http://schemas.openxmlformats.org/officeDocument/2006/relationships/hyperlink" Target="https://www.facebook.com/profile.php?id=100046598621305" TargetMode="External"/><Relationship Id="rId7645" Type="http://schemas.openxmlformats.org/officeDocument/2006/relationships/hyperlink" Target="https://www.facebook.com/tranthao711?mibextid=LQQJ4d" TargetMode="External"/><Relationship Id="rId5196" Type="http://schemas.openxmlformats.org/officeDocument/2006/relationships/hyperlink" Target="https://drive.google.com/open?id=1vGMR6WMxY89sPrBlAOLaTsNYmV-rVXFH" TargetMode="External"/><Relationship Id="rId6247" Type="http://schemas.openxmlformats.org/officeDocument/2006/relationships/hyperlink" Target="https://www.facebook.com/profile.php?id=100071970595622&amp;mibextid=ZbWKwL" TargetMode="External"/><Relationship Id="rId1459" Type="http://schemas.openxmlformats.org/officeDocument/2006/relationships/hyperlink" Target="https://www.facebook.com/ngocdippp.23" TargetMode="External"/><Relationship Id="rId2857" Type="http://schemas.openxmlformats.org/officeDocument/2006/relationships/hyperlink" Target="https://www.facebook.com/oanhlam06?mibextid=LQQJ4d" TargetMode="External"/><Relationship Id="rId3908" Type="http://schemas.openxmlformats.org/officeDocument/2006/relationships/hyperlink" Target="https://www.facebook.com/profile.php?id=100052486270966&amp;mibextid=LQQJ4d" TargetMode="External"/><Relationship Id="rId5330" Type="http://schemas.openxmlformats.org/officeDocument/2006/relationships/hyperlink" Target="https://drive.google.com/open?id=1rVrmbw53dw9XZXmMNlqwQFJybDgvvSbh" TargetMode="External"/><Relationship Id="rId829" Type="http://schemas.openxmlformats.org/officeDocument/2006/relationships/hyperlink" Target="https://www.facebook.com/profile.php?id=100014980789004" TargetMode="External"/><Relationship Id="rId1940" Type="http://schemas.openxmlformats.org/officeDocument/2006/relationships/hyperlink" Target="https://www.facebook.com/profile.php?id=100017038781929" TargetMode="External"/><Relationship Id="rId8553" Type="http://schemas.openxmlformats.org/officeDocument/2006/relationships/hyperlink" Target="https://drive.google.com/open?id=1el3SHnXVYshmA6xKdj7UZ3SMRFUyjevz" TargetMode="External"/><Relationship Id="rId7155" Type="http://schemas.openxmlformats.org/officeDocument/2006/relationships/hyperlink" Target="https://drive.google.com/open?id=1VfNjPk0Tfzk5ki00ueGYTvGgFBSHABNA" TargetMode="External"/><Relationship Id="rId8206" Type="http://schemas.openxmlformats.org/officeDocument/2006/relationships/hyperlink" Target="https://www.facebook.com/share/18KkaZnmny/?mibextid=wwXIfr" TargetMode="External"/><Relationship Id="rId3765" Type="http://schemas.openxmlformats.org/officeDocument/2006/relationships/hyperlink" Target="https://drive.google.com/open?id=1hO40OOCX8CktiRrPTzQUwe5S2VmZd8q6" TargetMode="External"/><Relationship Id="rId4816" Type="http://schemas.openxmlformats.org/officeDocument/2006/relationships/hyperlink" Target="https://www.facebook.com/profile.php?id=100040427482835&amp;mibextid=LQQJ4d" TargetMode="External"/><Relationship Id="rId686" Type="http://schemas.openxmlformats.org/officeDocument/2006/relationships/hyperlink" Target="https://www.facebook.com/lanhuong.truongthi.927" TargetMode="External"/><Relationship Id="rId2367" Type="http://schemas.openxmlformats.org/officeDocument/2006/relationships/hyperlink" Target="https://www.facebook.com/giang.phamthitruong.7" TargetMode="External"/><Relationship Id="rId3418" Type="http://schemas.openxmlformats.org/officeDocument/2006/relationships/hyperlink" Target="https://www.facebook.com/canh.nv.543" TargetMode="External"/><Relationship Id="rId339" Type="http://schemas.openxmlformats.org/officeDocument/2006/relationships/hyperlink" Target="https://www.facebook.com/luuly.le.12327608?mibextid=LQQJ4d" TargetMode="External"/><Relationship Id="rId6988" Type="http://schemas.openxmlformats.org/officeDocument/2006/relationships/hyperlink" Target="https://m.facebook.com/61564977534374/" TargetMode="External"/><Relationship Id="rId9461" Type="http://schemas.openxmlformats.org/officeDocument/2006/relationships/hyperlink" Target="https://www.facebook.com/ngocduong.minh.9883739?mibextid=LQQJ4d" TargetMode="External"/><Relationship Id="rId8063" Type="http://schemas.openxmlformats.org/officeDocument/2006/relationships/hyperlink" Target="https://drive.google.com/open?id=1G_6Lr8ARnEsst68-N0f2MAJewn7VKYSN" TargetMode="External"/><Relationship Id="rId9114" Type="http://schemas.openxmlformats.org/officeDocument/2006/relationships/hyperlink" Target="https://www.facebook.com/profile.php?id=100038639533657&amp;mibextid=LQQJ4d" TargetMode="External"/><Relationship Id="rId820" Type="http://schemas.openxmlformats.org/officeDocument/2006/relationships/hyperlink" Target="https://drive.google.com/open?id=1s8o58Gktc8BPVgdc6Pn_KcHk7FqHgnZq" TargetMode="External"/><Relationship Id="rId1450" Type="http://schemas.openxmlformats.org/officeDocument/2006/relationships/hyperlink" Target="https://www.facebook.com/cua.hac.1" TargetMode="External"/><Relationship Id="rId2501" Type="http://schemas.openxmlformats.org/officeDocument/2006/relationships/hyperlink" Target="https://drive.google.com/open?id=1sqUE6lmmNHjswvaaKi6fKYF4O-wD6G9m" TargetMode="External"/><Relationship Id="rId1103" Type="http://schemas.openxmlformats.org/officeDocument/2006/relationships/hyperlink" Target="https://drive.google.com/open?id=1mHowN9dNylINYY4i686KlUrU3uXGKY6t" TargetMode="External"/><Relationship Id="rId4673" Type="http://schemas.openxmlformats.org/officeDocument/2006/relationships/hyperlink" Target="https://www.facebook.com/profile.php?id=100059509046999" TargetMode="External"/><Relationship Id="rId5724" Type="http://schemas.openxmlformats.org/officeDocument/2006/relationships/hyperlink" Target="https://www.facebook.com/minhthu.tu.127" TargetMode="External"/><Relationship Id="rId3275" Type="http://schemas.openxmlformats.org/officeDocument/2006/relationships/hyperlink" Target="https://drive.google.com/open?id=1sdnMPTI9hcwzn25zvTMEfNQr3-CVrOxG" TargetMode="External"/><Relationship Id="rId4326" Type="http://schemas.openxmlformats.org/officeDocument/2006/relationships/hyperlink" Target="https://drive.google.com/open?id=1pCBvd6mN2a-SLoilPNQEuDYocypon_aa" TargetMode="External"/><Relationship Id="rId7896" Type="http://schemas.openxmlformats.org/officeDocument/2006/relationships/hyperlink" Target="https://www.facebook.com/share/1BVRMcxyRm/?mibextid=LQQJ4d" TargetMode="External"/><Relationship Id="rId8947" Type="http://schemas.openxmlformats.org/officeDocument/2006/relationships/hyperlink" Target="https://www.facebook.com/xuni.pham" TargetMode="External"/><Relationship Id="rId196" Type="http://schemas.openxmlformats.org/officeDocument/2006/relationships/hyperlink" Target="https://www.facebook.com/profile.php?id=100009855037839&amp;mibextid=LQQJ4d" TargetMode="External"/><Relationship Id="rId6498" Type="http://schemas.openxmlformats.org/officeDocument/2006/relationships/hyperlink" Target="https://www.facebook.com/lee.xunhuongw589?mibextid=LQQJ4d" TargetMode="External"/><Relationship Id="rId7549" Type="http://schemas.openxmlformats.org/officeDocument/2006/relationships/hyperlink" Target="https://www.facebook.com/share/mVNqBXZN2izXKoyH/?" TargetMode="External"/><Relationship Id="rId330" Type="http://schemas.openxmlformats.org/officeDocument/2006/relationships/hyperlink" Target="https://drive.google.com/open?id=1O9MedFHbOddJEBmxVpwX5lZnQHfEK8ci" TargetMode="External"/><Relationship Id="rId2011" Type="http://schemas.openxmlformats.org/officeDocument/2006/relationships/hyperlink" Target="https://www.facebook.com/profile.php?id=100054984527305&amp;mibextid=LQQJ4d" TargetMode="External"/><Relationship Id="rId4183" Type="http://schemas.openxmlformats.org/officeDocument/2006/relationships/hyperlink" Target="https://www.facebook.com/Oong.chamchi?mibextid=LQQJ4d" TargetMode="External"/><Relationship Id="rId5581" Type="http://schemas.openxmlformats.org/officeDocument/2006/relationships/hyperlink" Target="https://www.facebook.com/kubinn.phuong?mibextid=LQQJ4d" TargetMode="External"/><Relationship Id="rId6632" Type="http://schemas.openxmlformats.org/officeDocument/2006/relationships/hyperlink" Target="https://www.facebook.com/profile.php?id=100041218637892&amp;mibextid=LQQJ4d" TargetMode="External"/><Relationship Id="rId5234" Type="http://schemas.openxmlformats.org/officeDocument/2006/relationships/hyperlink" Target="https://drive.google.com/open?id=1nEn7Pp1OZGJQUu0YBA6WftPEbIbzjeqA" TargetMode="External"/><Relationship Id="rId69" Type="http://schemas.openxmlformats.org/officeDocument/2006/relationships/hyperlink" Target="https://www.facebook.com/profile.php?id=100037393459198&amp;mibextid=ZbWKwL" TargetMode="External"/><Relationship Id="rId1844" Type="http://schemas.openxmlformats.org/officeDocument/2006/relationships/hyperlink" Target="https://www.facebook.com/profile.php?id=100077531748562" TargetMode="External"/><Relationship Id="rId8457" Type="http://schemas.openxmlformats.org/officeDocument/2006/relationships/hyperlink" Target="https://www.facebook.com/profile.php?id=100041162509579" TargetMode="External"/><Relationship Id="rId9508" Type="http://schemas.openxmlformats.org/officeDocument/2006/relationships/hyperlink" Target="https://drive.google.com/open?id=1bEZy7h_sLBLPZ3Xx0SKSYzQc5iPuR8Xf" TargetMode="External"/><Relationship Id="rId7059" Type="http://schemas.openxmlformats.org/officeDocument/2006/relationships/hyperlink" Target="https://www.facebook.com/profile.php?id=100044914268026&amp;mibextid=LQQJ4d" TargetMode="External"/><Relationship Id="rId3669" Type="http://schemas.openxmlformats.org/officeDocument/2006/relationships/hyperlink" Target="https://www.facebook.com/kookie.huyen.5832?mibextid=LQQJ4d" TargetMode="External"/><Relationship Id="rId7540" Type="http://schemas.openxmlformats.org/officeDocument/2006/relationships/hyperlink" Target="https://www.facebook.com/profile.php?id=100063720286177&amp;mibextid=LQQJ4d" TargetMode="External"/><Relationship Id="rId5091" Type="http://schemas.openxmlformats.org/officeDocument/2006/relationships/hyperlink" Target="https://www.facebook.com/profile.php?id=100075896910042&amp;mibextid=LQQJ4d" TargetMode="External"/><Relationship Id="rId6142" Type="http://schemas.openxmlformats.org/officeDocument/2006/relationships/hyperlink" Target="https://www.facebook.com/profile.php?id=100041786445477&amp;mibextid=LQQJ4d" TargetMode="External"/><Relationship Id="rId2752" Type="http://schemas.openxmlformats.org/officeDocument/2006/relationships/hyperlink" Target="https://drive.google.com/open?id=1uQGn-I9T8W9PVPLpksT9N6i7n_iyizzh" TargetMode="External"/><Relationship Id="rId3803" Type="http://schemas.openxmlformats.org/officeDocument/2006/relationships/hyperlink" Target="https://drive.google.com/open?id=1qS8PpQettaqlxTZVAzehflcSW4mbC4Oo" TargetMode="External"/><Relationship Id="rId9365" Type="http://schemas.openxmlformats.org/officeDocument/2006/relationships/hyperlink" Target="https://www.facebook.com/quyentotran219?mibextid=wwXIfr&amp;rdid=SoyeQkfIXdDBorqu&amp;share_url=https%3A%2F%2Fwww.facebook.com%2Fshare%2F1En3giSZKj%2F%3Fmibextid%3DwwXIfr" TargetMode="External"/><Relationship Id="rId724" Type="http://schemas.openxmlformats.org/officeDocument/2006/relationships/hyperlink" Target="https://www.facebook.com/profile.php?id=100064891777846" TargetMode="External"/><Relationship Id="rId1354" Type="http://schemas.openxmlformats.org/officeDocument/2006/relationships/hyperlink" Target="https://www.facebook.com/huuchien.nguyen.9469" TargetMode="External"/><Relationship Id="rId2405" Type="http://schemas.openxmlformats.org/officeDocument/2006/relationships/hyperlink" Target="https://www.facebook.com/profile.php?id=100010179973657&amp;mibextid=LQQJ4d" TargetMode="External"/><Relationship Id="rId5975" Type="http://schemas.openxmlformats.org/officeDocument/2006/relationships/hyperlink" Target="https://www.facebook.com/profile.php?id=100082058310453" TargetMode="External"/><Relationship Id="rId9018" Type="http://schemas.openxmlformats.org/officeDocument/2006/relationships/hyperlink" Target="https://drive.google.com/open?id=1YFC0hzOyu1cU-Xg6ykrRmJij41g_lTSo" TargetMode="External"/><Relationship Id="rId60" Type="http://schemas.openxmlformats.org/officeDocument/2006/relationships/hyperlink" Target="https://drive.google.com/open?id=1aC8eI17aQrI4UZKAt7SE5KdTlGnyKm6I" TargetMode="External"/><Relationship Id="rId1007" Type="http://schemas.openxmlformats.org/officeDocument/2006/relationships/hyperlink" Target="https://www.facebook.com/profile.php?id=100046665863780&amp;mibextid=LQQJ4d" TargetMode="External"/><Relationship Id="rId4577" Type="http://schemas.openxmlformats.org/officeDocument/2006/relationships/hyperlink" Target="https://drive.google.com/open?id=1xGSxUJihth-AOZSukqvDtCCjQCj1Gtqy" TargetMode="External"/><Relationship Id="rId5628" Type="http://schemas.openxmlformats.org/officeDocument/2006/relationships/hyperlink" Target="https://www.facebook.com/profile.php?id=100094545836375&amp;mibextid=LQQJ4d" TargetMode="External"/><Relationship Id="rId3179" Type="http://schemas.openxmlformats.org/officeDocument/2006/relationships/hyperlink" Target="https://drive.google.com/open?id=1ugsWaK_ISvIxVh3hyyaoNj5LEhNp6VX1" TargetMode="External"/><Relationship Id="rId7050" Type="http://schemas.openxmlformats.org/officeDocument/2006/relationships/hyperlink" Target="https://www.facebook.com/Linhkngutks?mibextid=LQQJ4d" TargetMode="External"/><Relationship Id="rId8101" Type="http://schemas.openxmlformats.org/officeDocument/2006/relationships/hyperlink" Target="https://www.facebook.com/profile.php?id=100079541583900&amp;mibextid=LQQJ4d" TargetMode="External"/><Relationship Id="rId581" Type="http://schemas.openxmlformats.org/officeDocument/2006/relationships/hyperlink" Target="https://drive.google.com/open?id=1Gkqb4rCmXMkB_OGA-lhPqV-4J0Ep1dhd" TargetMode="External"/><Relationship Id="rId2262" Type="http://schemas.openxmlformats.org/officeDocument/2006/relationships/hyperlink" Target="https://www.facebook.com/profile.php?id=100008900434957" TargetMode="External"/><Relationship Id="rId3660" Type="http://schemas.openxmlformats.org/officeDocument/2006/relationships/hyperlink" Target="https://www.facebook.com/profile.php?id=100052357243432" TargetMode="External"/><Relationship Id="rId4711" Type="http://schemas.openxmlformats.org/officeDocument/2006/relationships/hyperlink" Target="https://www.facebook.com/khhuyen257" TargetMode="External"/><Relationship Id="rId234" Type="http://schemas.openxmlformats.org/officeDocument/2006/relationships/hyperlink" Target="https://www.facebook.com/sakurai.yuki.94" TargetMode="External"/><Relationship Id="rId3313" Type="http://schemas.openxmlformats.org/officeDocument/2006/relationships/hyperlink" Target="https://www.facebook.com/viet.khang.9404?mibextid=LQQJ4d" TargetMode="External"/><Relationship Id="rId6883" Type="http://schemas.openxmlformats.org/officeDocument/2006/relationships/hyperlink" Target="https://www.facebook.com/profile.php?id=100077083423024" TargetMode="External"/><Relationship Id="rId7934" Type="http://schemas.openxmlformats.org/officeDocument/2006/relationships/hyperlink" Target="https://www.facebook.com/profile.php?id=100036216728283&amp;comment_id=Y29tbWVudDoxNjY0ODkxMzA0MjU5NjgzXzgyNTQ1OTM4OTEyNDAzNTc%3D" TargetMode="External"/><Relationship Id="rId5485" Type="http://schemas.openxmlformats.org/officeDocument/2006/relationships/hyperlink" Target="https://www.facebook.com/chanhday03" TargetMode="External"/><Relationship Id="rId6536" Type="http://schemas.openxmlformats.org/officeDocument/2006/relationships/hyperlink" Target="https://www.facebook.com/profile.php?id=61550765093463&amp;mibextid=LQQJ4d" TargetMode="External"/><Relationship Id="rId4087" Type="http://schemas.openxmlformats.org/officeDocument/2006/relationships/hyperlink" Target="https://www.facebook.com/profile.php?id=100024996890113&amp;mibextid=ZbWKwL" TargetMode="External"/><Relationship Id="rId5138" Type="http://schemas.openxmlformats.org/officeDocument/2006/relationships/hyperlink" Target="https://www.facebook.com/profile.php?id=100069827562931&amp;mibextid=LQQJ4d" TargetMode="External"/><Relationship Id="rId1748" Type="http://schemas.openxmlformats.org/officeDocument/2006/relationships/hyperlink" Target="https://www.facebook.com/tu.am.5245?mibextid=ZbWKwL" TargetMode="External"/><Relationship Id="rId3170" Type="http://schemas.openxmlformats.org/officeDocument/2006/relationships/hyperlink" Target="https://www.facebook.com/profile.php?id=100050352252518" TargetMode="External"/><Relationship Id="rId4221" Type="http://schemas.openxmlformats.org/officeDocument/2006/relationships/hyperlink" Target="https://www.facebook.com/profile.php?id=100054415896885&amp;mibextid=LQQJ4d" TargetMode="External"/><Relationship Id="rId6393" Type="http://schemas.openxmlformats.org/officeDocument/2006/relationships/hyperlink" Target="https://www.facebook.com/Sky.MTP.10070507" TargetMode="External"/><Relationship Id="rId7791" Type="http://schemas.openxmlformats.org/officeDocument/2006/relationships/hyperlink" Target="https://www.facebook.com/share/195m84eiJ7/?mibextid=wwXIfr" TargetMode="External"/><Relationship Id="rId8842" Type="http://schemas.openxmlformats.org/officeDocument/2006/relationships/hyperlink" Target="https://www.facebook.com/share/1BcMaQAcSj/?mibextid=wwXIfr" TargetMode="External"/><Relationship Id="rId6046" Type="http://schemas.openxmlformats.org/officeDocument/2006/relationships/hyperlink" Target="https://www.facebook.com/huynh.levan.35574?mibextid=LQQJ4d" TargetMode="External"/><Relationship Id="rId7444" Type="http://schemas.openxmlformats.org/officeDocument/2006/relationships/hyperlink" Target="https://drive.google.com/open?id=1-bvjq1iSvmbdDchnQdNf7-67kXjuiOke" TargetMode="External"/><Relationship Id="rId975" Type="http://schemas.openxmlformats.org/officeDocument/2006/relationships/hyperlink" Target="https://www.facebook.com/chimte.trinn" TargetMode="External"/><Relationship Id="rId2656" Type="http://schemas.openxmlformats.org/officeDocument/2006/relationships/hyperlink" Target="https://drive.google.com/open?id=1RCQaEWqK_Jgi3QRPhvHQ4mjr6-b7cEXP" TargetMode="External"/><Relationship Id="rId3707" Type="http://schemas.openxmlformats.org/officeDocument/2006/relationships/hyperlink" Target="https://www.facebook.com/100079707937410/" TargetMode="External"/><Relationship Id="rId9269" Type="http://schemas.openxmlformats.org/officeDocument/2006/relationships/hyperlink" Target="https://drive.google.com/open?id=1ewKGC6gthsv4eQ97-HWOuiVl408SdAS4" TargetMode="External"/><Relationship Id="rId628" Type="http://schemas.openxmlformats.org/officeDocument/2006/relationships/hyperlink" Target="https://drive.google.com/open?id=15SYvGbSSVH9JO2TtZ18lwt3MMnSSrg_E" TargetMode="External"/><Relationship Id="rId1258" Type="http://schemas.openxmlformats.org/officeDocument/2006/relationships/hyperlink" Target="https://www.facebook.com/profile.php?id=100054959320588&amp;mibextid=ZbWKwL" TargetMode="External"/><Relationship Id="rId2309" Type="http://schemas.openxmlformats.org/officeDocument/2006/relationships/hyperlink" Target="https://www.facebook.com/profile.php?id=100057790480030&amp;__cft__%5B0%5D=AZWpMGXUYJ8itslvoE5XZv5KHoqN2obeHhJhZlwPe9yxho60eviTR5rQ92dgosd5lMI40CZQqiBtNllaTbUdk1ykrOZCsx1Dli11r_SNB0p4X3hHvzdS4qm6RPj1_Rcp2vqG3SNQZyg9uBeC8c87JamlOr3S19QFtN8t9eMP7dyAmg&amp;__tn__=-UC%2CP-R" TargetMode="External"/><Relationship Id="rId5879" Type="http://schemas.openxmlformats.org/officeDocument/2006/relationships/hyperlink" Target="https://www.facebook.com/thantinh1205?mibextid=LQQJ4d" TargetMode="External"/><Relationship Id="rId8352" Type="http://schemas.openxmlformats.org/officeDocument/2006/relationships/hyperlink" Target="https://www.facebook.com/profile.php?id=100070105029264&amp;mibextid=ZbWKwL" TargetMode="External"/><Relationship Id="rId9403" Type="http://schemas.openxmlformats.org/officeDocument/2006/relationships/hyperlink" Target="https://www.facebook.com/profile.php?id=100059533226726" TargetMode="External"/><Relationship Id="rId8005" Type="http://schemas.openxmlformats.org/officeDocument/2006/relationships/hyperlink" Target="https://www.facebook.com/profile.php?id=100064553701831&amp;mibextid=LQQJ4d" TargetMode="External"/><Relationship Id="rId4962" Type="http://schemas.openxmlformats.org/officeDocument/2006/relationships/hyperlink" Target="https://www.facebook.com/profile.php?id=100072490397858&amp;mibextid=LQQJ4d" TargetMode="External"/><Relationship Id="rId3564" Type="http://schemas.openxmlformats.org/officeDocument/2006/relationships/hyperlink" Target="https://drive.google.com/open?id=1LKp38BUSX5Qp-oR6sEJk1j7VTHY67v4H" TargetMode="External"/><Relationship Id="rId4615" Type="http://schemas.openxmlformats.org/officeDocument/2006/relationships/hyperlink" Target="https://drive.google.com/open?id=1Y72xtq5n8taG5ecSMpEpBXxbhfFSIhLl" TargetMode="External"/><Relationship Id="rId485" Type="http://schemas.openxmlformats.org/officeDocument/2006/relationships/hyperlink" Target="https://www.facebook.com/profile.php?id=100054645571155&amp;mibextid=LQQJ4d" TargetMode="External"/><Relationship Id="rId2166" Type="http://schemas.openxmlformats.org/officeDocument/2006/relationships/hyperlink" Target="https://www.facebook.com/tranthithuytien232" TargetMode="External"/><Relationship Id="rId3217" Type="http://schemas.openxmlformats.org/officeDocument/2006/relationships/hyperlink" Target="https://drive.google.com/open?id=1ubkvk7gDBIy5Pof5fYEbreTB7eXjn7hj" TargetMode="External"/><Relationship Id="rId6787" Type="http://schemas.openxmlformats.org/officeDocument/2006/relationships/hyperlink" Target="https://www.facebook.com/profile.php?id=100049893183784" TargetMode="External"/><Relationship Id="rId7838" Type="http://schemas.openxmlformats.org/officeDocument/2006/relationships/hyperlink" Target="https://drive.google.com/open?id=13AZmrZBqGb3miI-SQQTa_X_GylyKaE0v" TargetMode="External"/><Relationship Id="rId138" Type="http://schemas.openxmlformats.org/officeDocument/2006/relationships/hyperlink" Target="https://www.facebook.com/hieu.nguyentien.944" TargetMode="External"/><Relationship Id="rId5389" Type="http://schemas.openxmlformats.org/officeDocument/2006/relationships/hyperlink" Target="https://www.facebook.com/linh.luongthuy.5249" TargetMode="External"/><Relationship Id="rId9260" Type="http://schemas.openxmlformats.org/officeDocument/2006/relationships/hyperlink" Target="https://drive.google.com/open?id=1hnijUDBhu9DNIKY6ll9iDhtGnKt7AMJS" TargetMode="External"/><Relationship Id="rId2300" Type="http://schemas.openxmlformats.org/officeDocument/2006/relationships/hyperlink" Target="https://drive.google.com/open?id=1Abjzd-xJcE_VAM7TV98QgaFFaAf0_w1h" TargetMode="External"/><Relationship Id="rId1999" Type="http://schemas.openxmlformats.org/officeDocument/2006/relationships/hyperlink" Target="https://www.facebook.com/profile.php?id=100022723895220" TargetMode="External"/><Relationship Id="rId4472" Type="http://schemas.openxmlformats.org/officeDocument/2006/relationships/hyperlink" Target="https://www.facebook.com/thuhien.ha.56808" TargetMode="External"/><Relationship Id="rId5870" Type="http://schemas.openxmlformats.org/officeDocument/2006/relationships/hyperlink" Target="https://www.facebook.com/tao.sugia.56?mibextid=JRoKGi" TargetMode="External"/><Relationship Id="rId6921" Type="http://schemas.openxmlformats.org/officeDocument/2006/relationships/hyperlink" Target="https://www.facebook.com/profile.php?id=100022606805243&amp;mibextid=LQQJ4d" TargetMode="External"/><Relationship Id="rId3074" Type="http://schemas.openxmlformats.org/officeDocument/2006/relationships/hyperlink" Target="https://www.facebook.com/profile.php?id=100048362952390&amp;locale=vi_VN" TargetMode="External"/><Relationship Id="rId4125" Type="http://schemas.openxmlformats.org/officeDocument/2006/relationships/hyperlink" Target="https://www.facebook.com/profile.php?id=61561831156050" TargetMode="External"/><Relationship Id="rId5523" Type="http://schemas.openxmlformats.org/officeDocument/2006/relationships/hyperlink" Target="https://www.facebook.com/profile.php?id=100073660903422&amp;mibextid=ZbWKwL" TargetMode="External"/><Relationship Id="rId7695" Type="http://schemas.openxmlformats.org/officeDocument/2006/relationships/hyperlink" Target="https://www.facebook.com/profile.php?id=100071722101506" TargetMode="External"/><Relationship Id="rId8746" Type="http://schemas.openxmlformats.org/officeDocument/2006/relationships/hyperlink" Target="https://www.facebook.com/profile.php?id=100017987207049" TargetMode="External"/><Relationship Id="rId6297" Type="http://schemas.openxmlformats.org/officeDocument/2006/relationships/hyperlink" Target="https://www.facebook.com/share/1GDsmry1qp/?mibextid=qi2Omg" TargetMode="External"/><Relationship Id="rId7348" Type="http://schemas.openxmlformats.org/officeDocument/2006/relationships/hyperlink" Target="https://www.facebook.com/profile.php?id=100053180659288" TargetMode="External"/><Relationship Id="rId3958" Type="http://schemas.openxmlformats.org/officeDocument/2006/relationships/hyperlink" Target="https://drive.google.com/open?id=1DXhLXiWC9OnXfhL7JgMivxSfZFwgPfc0" TargetMode="External"/><Relationship Id="rId879" Type="http://schemas.openxmlformats.org/officeDocument/2006/relationships/hyperlink" Target="https://drive.google.com/open?id=1NZNH6pdeukgxRI8eHYlndAgjsmXukwHz" TargetMode="External"/><Relationship Id="rId5380" Type="http://schemas.openxmlformats.org/officeDocument/2006/relationships/hyperlink" Target="https://www.facebook.com/btnaaaa?mibextid=LQQJ4d" TargetMode="External"/><Relationship Id="rId6431" Type="http://schemas.openxmlformats.org/officeDocument/2006/relationships/hyperlink" Target="https://drive.google.com/open?id=1w-6WyApNtg2OnrJj5VqBbS9g1FKnj-pT" TargetMode="External"/><Relationship Id="rId5033" Type="http://schemas.openxmlformats.org/officeDocument/2006/relationships/hyperlink" Target="https://www.facebook.com/profile.php?id=100087206744949&amp;mibextid=LQQJ4d" TargetMode="External"/><Relationship Id="rId1990" Type="http://schemas.openxmlformats.org/officeDocument/2006/relationships/hyperlink" Target="https://www.facebook.com/profile.php?id=100022793390038" TargetMode="External"/><Relationship Id="rId8256" Type="http://schemas.openxmlformats.org/officeDocument/2006/relationships/hyperlink" Target="https://drive.google.com/open?id=1Mrf-PMb5JTv4hTO5lmdhM_Ex_OuoJkL9" TargetMode="External"/><Relationship Id="rId1643" Type="http://schemas.openxmlformats.org/officeDocument/2006/relationships/hyperlink" Target="https://www.facebook.com/oanhlam06?mibextid=LQQJ4d" TargetMode="External"/><Relationship Id="rId9307" Type="http://schemas.openxmlformats.org/officeDocument/2006/relationships/hyperlink" Target="https://www.facebook.com/caucinh.cong.5?mibextid=LQQJ4d" TargetMode="External"/><Relationship Id="rId4866" Type="http://schemas.openxmlformats.org/officeDocument/2006/relationships/hyperlink" Target="https://www.facebook.com/profile.php?id=100033417141798&amp;mibextid=ZbWKwL" TargetMode="External"/><Relationship Id="rId5917" Type="http://schemas.openxmlformats.org/officeDocument/2006/relationships/hyperlink" Target="https://www.facebook.com/Nguyentuoii826?mibextid=LQQJ4d" TargetMode="External"/><Relationship Id="rId3468" Type="http://schemas.openxmlformats.org/officeDocument/2006/relationships/hyperlink" Target="https://drive.google.com/open?id=1n8RNkCKjDQtIJpfehG3BaCuxODt0BB7y" TargetMode="External"/><Relationship Id="rId4519" Type="http://schemas.openxmlformats.org/officeDocument/2006/relationships/hyperlink" Target="https://www.facebook.com/dngh05?mibextid=kFxxJD" TargetMode="External"/><Relationship Id="rId389" Type="http://schemas.openxmlformats.org/officeDocument/2006/relationships/hyperlink" Target="https://www.facebook.com/profile.php?id=100025769701468" TargetMode="External"/><Relationship Id="rId870" Type="http://schemas.openxmlformats.org/officeDocument/2006/relationships/hyperlink" Target="https://drive.google.com/open?id=1BBO8UXJ6f6NzP9qha2kPGrPCcXSlXUbg" TargetMode="External"/><Relationship Id="rId2551" Type="http://schemas.openxmlformats.org/officeDocument/2006/relationships/hyperlink" Target="https://www.facebook.com/profile.php?id=100068841038847&amp;mibextid=ZbWKwL" TargetMode="External"/><Relationship Id="rId9164" Type="http://schemas.openxmlformats.org/officeDocument/2006/relationships/hyperlink" Target="https://www.facebook.com/duong.phamkhachoang" TargetMode="External"/><Relationship Id="rId523" Type="http://schemas.openxmlformats.org/officeDocument/2006/relationships/hyperlink" Target="https://www.facebook.com/nguoibinhthuong220103?mibextid=LQQJ4d" TargetMode="External"/><Relationship Id="rId1153" Type="http://schemas.openxmlformats.org/officeDocument/2006/relationships/hyperlink" Target="https://www.facebook.com/profile.php?id=100076412443603&amp;mibextid=ZbWKwL" TargetMode="External"/><Relationship Id="rId2204" Type="http://schemas.openxmlformats.org/officeDocument/2006/relationships/hyperlink" Target="https://drive.google.com/open?id=1nAzPtenE_k4cEpyKe3wpxhnNVdysEGEd" TargetMode="External"/><Relationship Id="rId3602" Type="http://schemas.openxmlformats.org/officeDocument/2006/relationships/hyperlink" Target="https://drive.google.com/open?id=1A_y-d5GhUWKG8aZ1wZQyuuMhqm-jVbU5" TargetMode="External"/><Relationship Id="rId5774" Type="http://schemas.openxmlformats.org/officeDocument/2006/relationships/hyperlink" Target="https://www.facebook.com/lamm.haii.39" TargetMode="External"/><Relationship Id="rId6825" Type="http://schemas.openxmlformats.org/officeDocument/2006/relationships/hyperlink" Target="https://www.facebook.com/thuytinh.hoa.58173?mibextid=LQQJ4d" TargetMode="External"/><Relationship Id="rId4376" Type="http://schemas.openxmlformats.org/officeDocument/2006/relationships/hyperlink" Target="https://www.facebook.com/profile.php?id=100093135186160&amp;mibextid=LQQJ4d" TargetMode="External"/><Relationship Id="rId5427" Type="http://schemas.openxmlformats.org/officeDocument/2006/relationships/hyperlink" Target="https://www.facebook.com/ngothuhang2005?mibextid=LQQJ4d" TargetMode="External"/><Relationship Id="rId8997" Type="http://schemas.openxmlformats.org/officeDocument/2006/relationships/hyperlink" Target="https://www.facebook.com/jayhong911?mibextid=ZbWKwL" TargetMode="External"/><Relationship Id="rId4029" Type="http://schemas.openxmlformats.org/officeDocument/2006/relationships/hyperlink" Target="https://drive.google.com/open?id=1l9fMky_Mhe7ea5ewIffUmgW_diNYrgYw" TargetMode="External"/><Relationship Id="rId7599" Type="http://schemas.openxmlformats.org/officeDocument/2006/relationships/hyperlink" Target="https://www.facebook.com/profile.php?id=100078877636977&amp;mibextid=ZbWKwL" TargetMode="External"/><Relationship Id="rId4510" Type="http://schemas.openxmlformats.org/officeDocument/2006/relationships/hyperlink" Target="https://www.facebook.com/profile.php?id=100071335046475&amp;mibextid=LQQJ4d" TargetMode="External"/><Relationship Id="rId380" Type="http://schemas.openxmlformats.org/officeDocument/2006/relationships/hyperlink" Target="https://www.facebook.com/profile.php?id=100069996502748" TargetMode="External"/><Relationship Id="rId2061" Type="http://schemas.openxmlformats.org/officeDocument/2006/relationships/hyperlink" Target="https://www.facebook.com/profile.php?id=100066811717767&amp;mibextid=ZbWKwL" TargetMode="External"/><Relationship Id="rId3112" Type="http://schemas.openxmlformats.org/officeDocument/2006/relationships/hyperlink" Target="https://www.facebook.com/profile.php?id=100055829710316&amp;mibextid=LQQJ4d" TargetMode="External"/><Relationship Id="rId6682" Type="http://schemas.openxmlformats.org/officeDocument/2006/relationships/hyperlink" Target="https://www.facebook.com/profile.php?id=100078628117619" TargetMode="External"/><Relationship Id="rId5284" Type="http://schemas.openxmlformats.org/officeDocument/2006/relationships/hyperlink" Target="https://www.facebook.com/profile.php?id=100073664059933&amp;mibextid=ZbWKwL" TargetMode="External"/><Relationship Id="rId6335" Type="http://schemas.openxmlformats.org/officeDocument/2006/relationships/hyperlink" Target="https://www.facebook.com/profile.php?id=100044797959404" TargetMode="External"/><Relationship Id="rId7733" Type="http://schemas.openxmlformats.org/officeDocument/2006/relationships/hyperlink" Target="https://www.facebook.com/syoraa?mibextid=LQQJ4d&amp;rdid=ftB3rWb68KCYJf1Q&amp;share_url=https%3A%2F%2Fwww.facebook.com%2Fshare%2F1A3qqwCtkQ%2F%3Fmibextid%3DLQQJ4d" TargetMode="External"/><Relationship Id="rId1894" Type="http://schemas.openxmlformats.org/officeDocument/2006/relationships/hyperlink" Target="https://www.facebook.com/profile.php?id=100046194879510&amp;mibextid=LQQJ4d" TargetMode="External"/><Relationship Id="rId2945" Type="http://schemas.openxmlformats.org/officeDocument/2006/relationships/hyperlink" Target="https://drive.google.com/open?id=1I9_-iOb_7SaSV_tgdMbF9-v9iN5E__Nh" TargetMode="External"/><Relationship Id="rId9558" Type="http://schemas.openxmlformats.org/officeDocument/2006/relationships/hyperlink" Target="https://www.facebook.com/ngocc.nguyenn.1428?mibextid=LQQJ4d" TargetMode="External"/><Relationship Id="rId917" Type="http://schemas.openxmlformats.org/officeDocument/2006/relationships/hyperlink" Target="https://www.facebook.com/quang.tran.0812" TargetMode="External"/><Relationship Id="rId1547" Type="http://schemas.openxmlformats.org/officeDocument/2006/relationships/hyperlink" Target="https://www.facebook.com/profile.php?id=100043041522190" TargetMode="External"/><Relationship Id="rId4020" Type="http://schemas.openxmlformats.org/officeDocument/2006/relationships/hyperlink" Target="https://drive.google.com/open?id=1_cfgVZjiby8ONAbRnWciIBZrFxsBQSOp" TargetMode="External"/><Relationship Id="rId7590" Type="http://schemas.openxmlformats.org/officeDocument/2006/relationships/hyperlink" Target="https://www.facebook.com/people/M%E1%BB%B9-%C4%90%C3%ACnh/pfbid0paqTwVfWR9YAH1p7osf5ochxGm8J2YRDDupoKuVA8tr68VcKgK4ijoy54igcRMKLl/" TargetMode="External"/><Relationship Id="rId8641" Type="http://schemas.openxmlformats.org/officeDocument/2006/relationships/hyperlink" Target="https://www.facebook.com/huynh.levan.35574?mibextid=LQQJ4d" TargetMode="External"/><Relationship Id="rId6192" Type="http://schemas.openxmlformats.org/officeDocument/2006/relationships/hyperlink" Target="https://www.facebook.com/masami.takei.963" TargetMode="External"/><Relationship Id="rId7243" Type="http://schemas.openxmlformats.org/officeDocument/2006/relationships/hyperlink" Target="https://drive.google.com/open?id=1wekGdkQpS98Jf_aiJ9luwWMsOwCmkWI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4C6F-948A-4840-9DEF-A7FF22641672}">
  <dimension ref="A1:AP7079"/>
  <sheetViews>
    <sheetView tabSelected="1" workbookViewId="0">
      <selection activeCell="G11" sqref="G11"/>
    </sheetView>
  </sheetViews>
  <sheetFormatPr baseColWidth="10" defaultRowHeight="16" x14ac:dyDescent="0.2"/>
  <sheetData>
    <row r="1" spans="1:42" ht="68" x14ac:dyDescent="0.2">
      <c r="A1" s="1" t="str">
        <f ca="1">IFERROR(__xludf.DUMMYFUNCTION("""DATE""&amp;""_""&amp;(counta(IMPORTRANGE(""https://docs.google.com/spreadsheets/d/1YwMHQdJauMiJsWAasfk8I8H1HjxpwcFmdjrU-lnZXe4/edit#gid=921186724"",""Câu trả lời biểu mẫu 5!C:C""))-counta(IMPORTRANGE(""https://docs.google.com/spreadsheets/d/1YwMHQdJauMiJsWAasfk"&amp;"8I8H1HjxpwcFmdjrU-lnZXe4/edit#gid=921186724"",""Câu trả lời biểu mẫu 5!B:B""))+counta(IMPORTRANGE(""https://docs.google.com/spreadsheets/d/1YwMHQdJauMiJsWAasfk8I8H1HjxpwcFmdjrU-lnZXe4/edit#gid=2005207768"",""DONE HỌC PHÍ CÒN THIẾU!C:C""))-counta(IMPORTRAN"&amp;"GE(""https://docs.google.com/spreadsheets/d/1YwMHQdJauMiJsWAasfk8I8H1HjxpwcFmdjrU-lnZXe4/edit#gid=2005207768"",""DONE HỌC PHÍ CÒN THIẾU!B:B"")))"),"DATE_0")</f>
        <v>DATE_0</v>
      </c>
      <c r="B1" s="1" t="str">
        <f ca="1">"CS_"&amp;(COUNT(I3:I7079)-COUNTA(B3:B7079))</f>
        <v>CS_-262</v>
      </c>
      <c r="C1" s="2"/>
      <c r="D1" s="2" t="s">
        <v>0</v>
      </c>
      <c r="E1" s="1" t="s">
        <v>1</v>
      </c>
      <c r="F1" s="1" t="s">
        <v>2</v>
      </c>
      <c r="G1" s="1" t="s">
        <v>3</v>
      </c>
      <c r="H1" s="2" t="s">
        <v>4</v>
      </c>
      <c r="I1" s="3" t="s">
        <v>5</v>
      </c>
      <c r="J1" s="1" t="s">
        <v>6</v>
      </c>
      <c r="K1" s="4" t="s">
        <v>7</v>
      </c>
      <c r="L1" s="5" t="s">
        <v>8</v>
      </c>
      <c r="M1" s="2" t="s">
        <v>9</v>
      </c>
      <c r="N1" s="1" t="s">
        <v>10</v>
      </c>
      <c r="O1" s="2" t="s">
        <v>11</v>
      </c>
      <c r="P1" s="6" t="s">
        <v>12</v>
      </c>
      <c r="Q1" s="7" t="s">
        <v>13</v>
      </c>
      <c r="R1" s="2" t="s">
        <v>14</v>
      </c>
      <c r="S1" s="2" t="s">
        <v>15</v>
      </c>
      <c r="T1" s="2" t="s">
        <v>16</v>
      </c>
      <c r="U1" s="2" t="s">
        <v>17</v>
      </c>
      <c r="V1" s="8" t="s">
        <v>18</v>
      </c>
      <c r="W1" s="9" t="s">
        <v>19</v>
      </c>
      <c r="X1" s="2" t="s">
        <v>20</v>
      </c>
      <c r="Y1" s="7" t="s">
        <v>21</v>
      </c>
      <c r="Z1" s="2" t="s">
        <v>22</v>
      </c>
      <c r="AA1" s="2" t="s">
        <v>23</v>
      </c>
      <c r="AB1" s="2" t="s">
        <v>24</v>
      </c>
      <c r="AC1" s="2" t="s">
        <v>25</v>
      </c>
      <c r="AD1" s="10" t="s">
        <v>26</v>
      </c>
      <c r="AE1" s="10" t="s">
        <v>27</v>
      </c>
      <c r="AF1" s="11" t="s">
        <v>28</v>
      </c>
      <c r="AG1" s="2" t="s">
        <v>29</v>
      </c>
      <c r="AH1" s="12" t="s">
        <v>30</v>
      </c>
      <c r="AI1" s="13" t="s">
        <v>31</v>
      </c>
      <c r="AJ1" s="2"/>
      <c r="AK1" s="2">
        <v>62861912</v>
      </c>
      <c r="AL1" s="2"/>
      <c r="AM1" s="4"/>
      <c r="AN1" s="4" t="s">
        <v>32</v>
      </c>
      <c r="AO1" s="4" t="s">
        <v>33</v>
      </c>
      <c r="AP1" s="4" t="s">
        <v>34</v>
      </c>
    </row>
    <row r="2" spans="1:42" x14ac:dyDescent="0.2">
      <c r="A2" s="14">
        <v>1</v>
      </c>
      <c r="B2" s="15" t="s">
        <v>35</v>
      </c>
      <c r="C2" s="16">
        <v>1</v>
      </c>
      <c r="D2" s="16" t="s">
        <v>36</v>
      </c>
      <c r="E2" s="16">
        <v>1</v>
      </c>
      <c r="F2" s="16">
        <v>1</v>
      </c>
      <c r="G2" s="16">
        <v>1</v>
      </c>
      <c r="H2" s="16">
        <v>1</v>
      </c>
      <c r="I2" s="17" t="str">
        <f ca="1">IFERROR(__xludf.DUMMYFUNCTION("iferror(arrayformula(vlookup(H2:H7079,query({IMPORTRANGE(""https://docs.google.com/spreadsheets/d/1OAfqf6Xirb24MIGZEG9cHc3nipjxdJplfmdKy8kNKbM/edit?gid=422055594"",""XẾP LỚP_!B:G"");IMPORTRANGE(""https://docs.google.com/spreadsheets/d/1OAfqf6Xirb24MIGZEG9"&amp;"cHc3nipjxdJplfmdKy8kNKbM/edit?gid=422055594"",""LỚP ĐÃ KHAI GIẢNG!B:G"");IMPORTRANGE(""https://docs.google.com/spreadsheets/d/1OAfqf6Xirb24MIGZEG9cHc3nipjxdJplfmdKy8kNKbM/edit?gid=422055594"",""LỚP ĐÃ KHAI GIẢNG 2023!B:G"")},""select Col1, Col6 Where Col1"&amp;" is not null""),2,0)),"" "")")," ")</f>
        <v xml:space="preserve"> </v>
      </c>
      <c r="J2" s="15" t="s">
        <v>35</v>
      </c>
      <c r="K2" s="16">
        <v>1</v>
      </c>
      <c r="L2" s="18">
        <v>1</v>
      </c>
      <c r="M2" s="16">
        <v>1</v>
      </c>
      <c r="N2" s="16">
        <v>1</v>
      </c>
      <c r="O2" s="16">
        <v>1</v>
      </c>
      <c r="P2" s="19">
        <v>1</v>
      </c>
      <c r="Q2" s="20"/>
      <c r="R2" s="16">
        <v>1</v>
      </c>
      <c r="S2" s="21">
        <v>1</v>
      </c>
      <c r="T2" s="16">
        <v>1</v>
      </c>
      <c r="U2" s="21">
        <v>1</v>
      </c>
      <c r="V2" s="16">
        <v>1</v>
      </c>
      <c r="W2" s="16">
        <v>1</v>
      </c>
      <c r="X2" s="16"/>
      <c r="Y2" s="22"/>
      <c r="Z2" s="23">
        <v>1</v>
      </c>
      <c r="AA2" s="19">
        <v>1</v>
      </c>
      <c r="AB2" s="16"/>
      <c r="AC2" s="16">
        <v>1</v>
      </c>
      <c r="AD2" s="19">
        <v>1</v>
      </c>
      <c r="AE2" s="16">
        <v>1</v>
      </c>
      <c r="AF2" s="24"/>
      <c r="AG2" s="25"/>
      <c r="AH2" s="16"/>
      <c r="AI2" s="16"/>
      <c r="AJ2" s="16"/>
      <c r="AK2" s="16"/>
      <c r="AL2" s="16"/>
      <c r="AM2" s="16"/>
      <c r="AN2" s="16"/>
      <c r="AO2" s="26"/>
      <c r="AP2" s="26"/>
    </row>
    <row r="3" spans="1:42" x14ac:dyDescent="0.2">
      <c r="A3" s="27">
        <v>45109.473872418981</v>
      </c>
      <c r="B3" s="28" t="s">
        <v>37</v>
      </c>
      <c r="C3" s="26" t="s">
        <v>38</v>
      </c>
      <c r="D3" s="26" t="s">
        <v>36</v>
      </c>
      <c r="E3" s="26" t="s">
        <v>39</v>
      </c>
      <c r="F3" s="26" t="s">
        <v>40</v>
      </c>
      <c r="G3" s="26" t="s">
        <v>41</v>
      </c>
      <c r="H3" s="26" t="s">
        <v>42</v>
      </c>
      <c r="I3" s="17">
        <f ca="1">IFERROR(__xludf.DUMMYFUNCTION("""COMPUTED_VALUE"""),45118)</f>
        <v>45118</v>
      </c>
      <c r="J3" s="29" t="s">
        <v>43</v>
      </c>
      <c r="K3" s="26" t="s">
        <v>44</v>
      </c>
      <c r="L3" s="30">
        <v>565938212</v>
      </c>
      <c r="M3" s="26" t="s">
        <v>45</v>
      </c>
      <c r="N3" s="26" t="s">
        <v>46</v>
      </c>
      <c r="O3" s="26" t="s">
        <v>47</v>
      </c>
      <c r="P3" s="26" t="s">
        <v>48</v>
      </c>
      <c r="Q3" s="20">
        <v>5736</v>
      </c>
      <c r="R3" s="26" t="s">
        <v>36</v>
      </c>
      <c r="S3" s="31">
        <v>1000</v>
      </c>
      <c r="T3" s="32">
        <v>45108</v>
      </c>
      <c r="U3" s="31">
        <v>4736</v>
      </c>
      <c r="V3" s="32">
        <v>45117</v>
      </c>
      <c r="W3" s="33" t="s">
        <v>49</v>
      </c>
      <c r="X3" s="26">
        <v>0</v>
      </c>
      <c r="Y3" s="22">
        <v>0</v>
      </c>
      <c r="Z3" s="34" t="s">
        <v>50</v>
      </c>
      <c r="AA3" s="19" t="s">
        <v>51</v>
      </c>
      <c r="AB3" s="26" t="s">
        <v>52</v>
      </c>
      <c r="AC3" s="26" t="s">
        <v>53</v>
      </c>
      <c r="AD3" s="19" t="s">
        <v>54</v>
      </c>
      <c r="AE3" s="19">
        <v>0</v>
      </c>
      <c r="AF3" s="17">
        <v>45112</v>
      </c>
      <c r="AG3" s="35"/>
      <c r="AH3" s="36">
        <v>1</v>
      </c>
      <c r="AI3" s="37" t="s">
        <v>55</v>
      </c>
      <c r="AJ3" s="35"/>
      <c r="AK3" s="35"/>
      <c r="AL3" s="35"/>
      <c r="AM3" s="35"/>
      <c r="AN3" s="35"/>
      <c r="AO3" s="35"/>
      <c r="AP3" s="35"/>
    </row>
    <row r="4" spans="1:42" x14ac:dyDescent="0.2">
      <c r="A4" s="27">
        <v>45109.68189900463</v>
      </c>
      <c r="B4" s="28" t="s">
        <v>37</v>
      </c>
      <c r="C4" s="26" t="s">
        <v>38</v>
      </c>
      <c r="D4" s="26" t="s">
        <v>36</v>
      </c>
      <c r="E4" s="26" t="s">
        <v>56</v>
      </c>
      <c r="F4" s="26" t="s">
        <v>40</v>
      </c>
      <c r="G4" s="26" t="s">
        <v>41</v>
      </c>
      <c r="H4" s="26" t="s">
        <v>42</v>
      </c>
      <c r="I4" s="17">
        <f ca="1">IFERROR(__xludf.DUMMYFUNCTION("""COMPUTED_VALUE"""),45118)</f>
        <v>45118</v>
      </c>
      <c r="J4" s="29" t="s">
        <v>57</v>
      </c>
      <c r="K4" s="26" t="s">
        <v>58</v>
      </c>
      <c r="L4" s="30">
        <v>783478863</v>
      </c>
      <c r="M4" s="26" t="s">
        <v>59</v>
      </c>
      <c r="N4" s="26" t="s">
        <v>60</v>
      </c>
      <c r="O4" s="26" t="s">
        <v>61</v>
      </c>
      <c r="P4" s="26" t="s">
        <v>62</v>
      </c>
      <c r="Q4" s="20">
        <v>9317</v>
      </c>
      <c r="R4" s="26" t="s">
        <v>36</v>
      </c>
      <c r="S4" s="31">
        <v>7349</v>
      </c>
      <c r="T4" s="32">
        <v>45108</v>
      </c>
      <c r="U4" s="31">
        <v>1968</v>
      </c>
      <c r="V4" s="38">
        <v>45125</v>
      </c>
      <c r="W4" s="26"/>
      <c r="X4" s="26">
        <v>0</v>
      </c>
      <c r="Y4" s="22">
        <v>0</v>
      </c>
      <c r="Z4" s="34" t="s">
        <v>50</v>
      </c>
      <c r="AA4" s="19" t="s">
        <v>51</v>
      </c>
      <c r="AB4" s="26" t="s">
        <v>63</v>
      </c>
      <c r="AC4" s="26" t="s">
        <v>53</v>
      </c>
      <c r="AD4" s="19" t="s">
        <v>54</v>
      </c>
      <c r="AE4" s="19">
        <v>230</v>
      </c>
      <c r="AF4" s="17">
        <v>45112</v>
      </c>
      <c r="AG4" s="35"/>
      <c r="AH4" s="36">
        <v>1</v>
      </c>
      <c r="AI4" s="37" t="s">
        <v>64</v>
      </c>
      <c r="AJ4" s="35"/>
      <c r="AK4" s="35"/>
      <c r="AL4" s="35"/>
      <c r="AM4" s="35"/>
      <c r="AN4" s="35"/>
      <c r="AO4" s="35"/>
      <c r="AP4" s="35"/>
    </row>
    <row r="5" spans="1:42" x14ac:dyDescent="0.2">
      <c r="A5" s="27">
        <v>45109.68532773148</v>
      </c>
      <c r="B5" s="28" t="s">
        <v>37</v>
      </c>
      <c r="C5" s="26" t="s">
        <v>38</v>
      </c>
      <c r="D5" s="26" t="s">
        <v>36</v>
      </c>
      <c r="E5" s="26" t="s">
        <v>39</v>
      </c>
      <c r="F5" s="26" t="s">
        <v>40</v>
      </c>
      <c r="G5" s="26" t="s">
        <v>41</v>
      </c>
      <c r="H5" s="26" t="s">
        <v>65</v>
      </c>
      <c r="I5" s="17">
        <f ca="1">IFERROR(__xludf.DUMMYFUNCTION("""COMPUTED_VALUE"""),45116)</f>
        <v>45116</v>
      </c>
      <c r="J5" s="29" t="s">
        <v>66</v>
      </c>
      <c r="K5" s="26" t="s">
        <v>67</v>
      </c>
      <c r="L5" s="30">
        <v>857772160</v>
      </c>
      <c r="M5" s="26" t="s">
        <v>59</v>
      </c>
      <c r="N5" s="26" t="s">
        <v>68</v>
      </c>
      <c r="O5" s="26" t="s">
        <v>61</v>
      </c>
      <c r="P5" s="39" t="s">
        <v>69</v>
      </c>
      <c r="Q5" s="20">
        <v>5736</v>
      </c>
      <c r="R5" s="26" t="s">
        <v>70</v>
      </c>
      <c r="S5" s="31">
        <v>5736</v>
      </c>
      <c r="T5" s="32">
        <v>45109</v>
      </c>
      <c r="U5" s="31"/>
      <c r="V5" s="26"/>
      <c r="W5" s="33" t="s">
        <v>71</v>
      </c>
      <c r="X5" s="26">
        <v>100</v>
      </c>
      <c r="Y5" s="22">
        <v>-100</v>
      </c>
      <c r="Z5" s="34" t="s">
        <v>50</v>
      </c>
      <c r="AA5" s="19" t="s">
        <v>51</v>
      </c>
      <c r="AB5" s="26" t="s">
        <v>63</v>
      </c>
      <c r="AC5" s="26" t="s">
        <v>53</v>
      </c>
      <c r="AD5" s="19" t="s">
        <v>54</v>
      </c>
      <c r="AE5" s="19" t="s">
        <v>72</v>
      </c>
      <c r="AF5" s="17">
        <v>45112</v>
      </c>
      <c r="AG5" s="35"/>
      <c r="AH5" s="36">
        <v>1</v>
      </c>
      <c r="AI5" s="37" t="s">
        <v>55</v>
      </c>
      <c r="AJ5" s="35"/>
      <c r="AK5" s="35"/>
      <c r="AL5" s="35"/>
      <c r="AM5" s="35"/>
      <c r="AN5" s="35"/>
      <c r="AO5" s="35"/>
      <c r="AP5" s="35"/>
    </row>
    <row r="6" spans="1:42" x14ac:dyDescent="0.2">
      <c r="A6" s="27">
        <v>45109.686982407409</v>
      </c>
      <c r="B6" s="28" t="s">
        <v>37</v>
      </c>
      <c r="C6" s="26" t="s">
        <v>38</v>
      </c>
      <c r="D6" s="26" t="s">
        <v>36</v>
      </c>
      <c r="E6" s="26" t="s">
        <v>39</v>
      </c>
      <c r="F6" s="26" t="s">
        <v>40</v>
      </c>
      <c r="G6" s="26" t="s">
        <v>41</v>
      </c>
      <c r="H6" s="26" t="s">
        <v>65</v>
      </c>
      <c r="I6" s="17">
        <f ca="1">IFERROR(__xludf.DUMMYFUNCTION("""COMPUTED_VALUE"""),45116)</f>
        <v>45116</v>
      </c>
      <c r="J6" s="29" t="s">
        <v>73</v>
      </c>
      <c r="K6" s="26" t="s">
        <v>74</v>
      </c>
      <c r="L6" s="30">
        <v>327584901</v>
      </c>
      <c r="M6" s="26" t="s">
        <v>59</v>
      </c>
      <c r="N6" s="26" t="s">
        <v>68</v>
      </c>
      <c r="O6" s="26" t="s">
        <v>61</v>
      </c>
      <c r="P6" s="39" t="s">
        <v>69</v>
      </c>
      <c r="Q6" s="20">
        <v>5736</v>
      </c>
      <c r="R6" s="26" t="s">
        <v>70</v>
      </c>
      <c r="S6" s="31">
        <v>5736</v>
      </c>
      <c r="T6" s="32">
        <v>45109</v>
      </c>
      <c r="U6" s="31"/>
      <c r="V6" s="26"/>
      <c r="W6" s="33" t="s">
        <v>75</v>
      </c>
      <c r="X6" s="26">
        <v>100</v>
      </c>
      <c r="Y6" s="22">
        <v>-100</v>
      </c>
      <c r="Z6" s="34" t="s">
        <v>50</v>
      </c>
      <c r="AA6" s="19" t="s">
        <v>51</v>
      </c>
      <c r="AB6" s="26" t="s">
        <v>63</v>
      </c>
      <c r="AC6" s="26" t="s">
        <v>53</v>
      </c>
      <c r="AD6" s="19" t="s">
        <v>54</v>
      </c>
      <c r="AE6" s="19" t="s">
        <v>76</v>
      </c>
      <c r="AF6" s="17">
        <v>45112</v>
      </c>
      <c r="AG6" s="35"/>
      <c r="AH6" s="36">
        <v>1</v>
      </c>
      <c r="AI6" s="37" t="s">
        <v>55</v>
      </c>
      <c r="AJ6" s="35"/>
      <c r="AK6" s="35"/>
      <c r="AL6" s="35"/>
      <c r="AM6" s="35"/>
      <c r="AN6" s="35"/>
      <c r="AO6" s="35"/>
      <c r="AP6" s="35"/>
    </row>
    <row r="7" spans="1:42" x14ac:dyDescent="0.2">
      <c r="A7" s="27">
        <v>45110.614179108801</v>
      </c>
      <c r="B7" s="28" t="s">
        <v>37</v>
      </c>
      <c r="C7" s="26" t="s">
        <v>38</v>
      </c>
      <c r="D7" s="26" t="s">
        <v>77</v>
      </c>
      <c r="E7" s="26" t="s">
        <v>77</v>
      </c>
      <c r="F7" s="26" t="s">
        <v>36</v>
      </c>
      <c r="G7" s="26" t="s">
        <v>41</v>
      </c>
      <c r="H7" s="26" t="s">
        <v>65</v>
      </c>
      <c r="I7" s="17">
        <f ca="1">IFERROR(__xludf.DUMMYFUNCTION("""COMPUTED_VALUE"""),45116)</f>
        <v>45116</v>
      </c>
      <c r="J7" s="29" t="s">
        <v>78</v>
      </c>
      <c r="K7" s="26" t="s">
        <v>79</v>
      </c>
      <c r="L7" s="30">
        <v>973380198</v>
      </c>
      <c r="M7" s="26" t="s">
        <v>80</v>
      </c>
      <c r="N7" s="26" t="s">
        <v>81</v>
      </c>
      <c r="O7" s="26" t="s">
        <v>36</v>
      </c>
      <c r="P7" s="26" t="s">
        <v>82</v>
      </c>
      <c r="Q7" s="20">
        <v>1968</v>
      </c>
      <c r="R7" s="26" t="s">
        <v>36</v>
      </c>
      <c r="S7" s="31">
        <v>1968</v>
      </c>
      <c r="T7" s="32">
        <v>45110</v>
      </c>
      <c r="U7" s="31"/>
      <c r="V7" s="26"/>
      <c r="W7" s="33" t="s">
        <v>83</v>
      </c>
      <c r="X7" s="26">
        <v>0</v>
      </c>
      <c r="Y7" s="22">
        <v>0</v>
      </c>
      <c r="Z7" s="34" t="s">
        <v>50</v>
      </c>
      <c r="AA7" s="19" t="s">
        <v>51</v>
      </c>
      <c r="AB7" s="26" t="s">
        <v>52</v>
      </c>
      <c r="AC7" s="26" t="s">
        <v>53</v>
      </c>
      <c r="AD7" s="19" t="s">
        <v>54</v>
      </c>
      <c r="AE7" s="26" t="s">
        <v>72</v>
      </c>
      <c r="AF7" s="17">
        <v>45112</v>
      </c>
      <c r="AG7" s="26"/>
      <c r="AH7" s="26">
        <v>1</v>
      </c>
      <c r="AI7" s="40" t="s">
        <v>84</v>
      </c>
      <c r="AJ7" s="26"/>
      <c r="AK7" s="26"/>
      <c r="AL7" s="35"/>
      <c r="AM7" s="35"/>
      <c r="AN7" s="35"/>
      <c r="AO7" s="35"/>
      <c r="AP7" s="35"/>
    </row>
    <row r="8" spans="1:42" x14ac:dyDescent="0.2">
      <c r="A8" s="27">
        <v>45110.632871435184</v>
      </c>
      <c r="B8" s="28" t="s">
        <v>37</v>
      </c>
      <c r="C8" s="26" t="s">
        <v>38</v>
      </c>
      <c r="D8" s="26" t="s">
        <v>36</v>
      </c>
      <c r="E8" s="26" t="s">
        <v>77</v>
      </c>
      <c r="F8" s="26" t="s">
        <v>36</v>
      </c>
      <c r="G8" s="26" t="s">
        <v>41</v>
      </c>
      <c r="H8" s="26" t="s">
        <v>42</v>
      </c>
      <c r="I8" s="17">
        <f ca="1">IFERROR(__xludf.DUMMYFUNCTION("""COMPUTED_VALUE"""),45118)</f>
        <v>45118</v>
      </c>
      <c r="J8" s="29" t="s">
        <v>85</v>
      </c>
      <c r="K8" s="26" t="s">
        <v>86</v>
      </c>
      <c r="L8" s="30">
        <v>818576889</v>
      </c>
      <c r="M8" s="26" t="s">
        <v>80</v>
      </c>
      <c r="N8" s="26" t="s">
        <v>87</v>
      </c>
      <c r="O8" s="26" t="s">
        <v>61</v>
      </c>
      <c r="P8" s="26" t="s">
        <v>88</v>
      </c>
      <c r="Q8" s="20">
        <v>1968</v>
      </c>
      <c r="R8" s="26" t="s">
        <v>36</v>
      </c>
      <c r="S8" s="31">
        <v>1968</v>
      </c>
      <c r="T8" s="32">
        <v>45110</v>
      </c>
      <c r="U8" s="31"/>
      <c r="V8" s="26"/>
      <c r="W8" s="33" t="s">
        <v>89</v>
      </c>
      <c r="X8" s="26">
        <v>0</v>
      </c>
      <c r="Y8" s="22">
        <v>0</v>
      </c>
      <c r="Z8" s="34" t="s">
        <v>50</v>
      </c>
      <c r="AA8" s="19" t="s">
        <v>51</v>
      </c>
      <c r="AB8" s="26" t="s">
        <v>52</v>
      </c>
      <c r="AC8" s="26" t="s">
        <v>53</v>
      </c>
      <c r="AD8" s="19" t="s">
        <v>54</v>
      </c>
      <c r="AE8" s="26" t="s">
        <v>76</v>
      </c>
      <c r="AF8" s="17">
        <v>45112</v>
      </c>
      <c r="AG8" s="26"/>
      <c r="AH8" s="26">
        <v>1</v>
      </c>
      <c r="AI8" s="40" t="s">
        <v>84</v>
      </c>
      <c r="AJ8" s="26"/>
      <c r="AK8" s="26"/>
      <c r="AL8" s="35"/>
      <c r="AM8" s="35"/>
      <c r="AN8" s="35"/>
      <c r="AO8" s="35"/>
      <c r="AP8" s="35"/>
    </row>
    <row r="9" spans="1:42" x14ac:dyDescent="0.2">
      <c r="A9" s="27">
        <v>45111.135866805555</v>
      </c>
      <c r="B9" s="28" t="s">
        <v>90</v>
      </c>
      <c r="C9" s="26" t="s">
        <v>38</v>
      </c>
      <c r="D9" s="26" t="s">
        <v>36</v>
      </c>
      <c r="E9" s="26" t="s">
        <v>39</v>
      </c>
      <c r="F9" s="26" t="s">
        <v>91</v>
      </c>
      <c r="G9" s="26" t="s">
        <v>41</v>
      </c>
      <c r="H9" s="26" t="s">
        <v>65</v>
      </c>
      <c r="I9" s="17">
        <f ca="1">IFERROR(__xludf.DUMMYFUNCTION("""COMPUTED_VALUE"""),45116)</f>
        <v>45116</v>
      </c>
      <c r="J9" s="29" t="s">
        <v>92</v>
      </c>
      <c r="K9" s="26" t="s">
        <v>93</v>
      </c>
      <c r="L9" s="30">
        <v>388843202</v>
      </c>
      <c r="M9" s="26" t="s">
        <v>94</v>
      </c>
      <c r="N9" s="26" t="s">
        <v>95</v>
      </c>
      <c r="O9" s="26" t="s">
        <v>91</v>
      </c>
      <c r="P9" s="26" t="s">
        <v>96</v>
      </c>
      <c r="Q9" s="20">
        <v>5736</v>
      </c>
      <c r="R9" s="26" t="s">
        <v>36</v>
      </c>
      <c r="S9" s="31">
        <v>5736</v>
      </c>
      <c r="T9" s="32">
        <v>45110</v>
      </c>
      <c r="U9" s="31"/>
      <c r="V9" s="26"/>
      <c r="W9" s="33" t="s">
        <v>97</v>
      </c>
      <c r="X9" s="26">
        <v>0</v>
      </c>
      <c r="Y9" s="22">
        <v>0</v>
      </c>
      <c r="Z9" s="34" t="s">
        <v>50</v>
      </c>
      <c r="AA9" s="19" t="s">
        <v>51</v>
      </c>
      <c r="AB9" s="26" t="s">
        <v>52</v>
      </c>
      <c r="AC9" s="26" t="s">
        <v>53</v>
      </c>
      <c r="AD9" s="19" t="s">
        <v>54</v>
      </c>
      <c r="AE9" s="26" t="s">
        <v>98</v>
      </c>
      <c r="AF9" s="17">
        <v>45112</v>
      </c>
      <c r="AG9" s="26"/>
      <c r="AH9" s="26">
        <v>1</v>
      </c>
      <c r="AI9" s="40" t="s">
        <v>55</v>
      </c>
      <c r="AJ9" s="26"/>
      <c r="AK9" s="26"/>
      <c r="AL9" s="35"/>
      <c r="AM9" s="35"/>
      <c r="AN9" s="35"/>
      <c r="AO9" s="35"/>
      <c r="AP9" s="35"/>
    </row>
    <row r="10" spans="1:42" x14ac:dyDescent="0.2">
      <c r="A10" s="27">
        <v>45111.723789097217</v>
      </c>
      <c r="B10" s="28" t="s">
        <v>37</v>
      </c>
      <c r="C10" s="26" t="s">
        <v>38</v>
      </c>
      <c r="D10" s="26" t="s">
        <v>36</v>
      </c>
      <c r="E10" s="26" t="s">
        <v>39</v>
      </c>
      <c r="F10" s="26" t="s">
        <v>40</v>
      </c>
      <c r="G10" s="26" t="s">
        <v>41</v>
      </c>
      <c r="H10" s="26" t="s">
        <v>65</v>
      </c>
      <c r="I10" s="17">
        <f ca="1">IFERROR(__xludf.DUMMYFUNCTION("""COMPUTED_VALUE"""),45116)</f>
        <v>45116</v>
      </c>
      <c r="J10" s="29" t="s">
        <v>99</v>
      </c>
      <c r="K10" s="26" t="s">
        <v>100</v>
      </c>
      <c r="L10" s="30">
        <v>799156871</v>
      </c>
      <c r="M10" s="26" t="s">
        <v>59</v>
      </c>
      <c r="N10" s="26" t="s">
        <v>60</v>
      </c>
      <c r="O10" s="26" t="s">
        <v>101</v>
      </c>
      <c r="P10" s="26" t="s">
        <v>102</v>
      </c>
      <c r="Q10" s="20">
        <v>5736</v>
      </c>
      <c r="R10" s="26" t="s">
        <v>36</v>
      </c>
      <c r="S10" s="31">
        <v>5736</v>
      </c>
      <c r="T10" s="32">
        <v>45110</v>
      </c>
      <c r="U10" s="31"/>
      <c r="V10" s="26"/>
      <c r="W10" s="33" t="s">
        <v>103</v>
      </c>
      <c r="X10" s="26">
        <v>0</v>
      </c>
      <c r="Y10" s="22">
        <v>0</v>
      </c>
      <c r="Z10" s="34" t="s">
        <v>50</v>
      </c>
      <c r="AA10" s="19" t="s">
        <v>51</v>
      </c>
      <c r="AB10" s="26" t="s">
        <v>104</v>
      </c>
      <c r="AC10" s="26" t="s">
        <v>53</v>
      </c>
      <c r="AD10" s="19" t="s">
        <v>54</v>
      </c>
      <c r="AE10" s="26" t="s">
        <v>76</v>
      </c>
      <c r="AF10" s="17">
        <v>45112</v>
      </c>
      <c r="AG10" s="26"/>
      <c r="AH10" s="26">
        <v>1</v>
      </c>
      <c r="AI10" s="40" t="s">
        <v>55</v>
      </c>
      <c r="AJ10" s="26"/>
      <c r="AK10" s="26"/>
      <c r="AL10" s="35"/>
      <c r="AM10" s="35"/>
      <c r="AN10" s="35"/>
      <c r="AO10" s="35"/>
      <c r="AP10" s="35"/>
    </row>
    <row r="11" spans="1:42" x14ac:dyDescent="0.2">
      <c r="A11" s="27">
        <v>45112.038259016204</v>
      </c>
      <c r="B11" s="28" t="s">
        <v>37</v>
      </c>
      <c r="C11" s="26" t="s">
        <v>105</v>
      </c>
      <c r="D11" s="26" t="s">
        <v>36</v>
      </c>
      <c r="E11" s="26" t="s">
        <v>106</v>
      </c>
      <c r="F11" s="26" t="s">
        <v>107</v>
      </c>
      <c r="G11" s="26" t="s">
        <v>108</v>
      </c>
      <c r="H11" s="26" t="s">
        <v>109</v>
      </c>
      <c r="I11" s="17">
        <f ca="1">IFERROR(__xludf.DUMMYFUNCTION("""COMPUTED_VALUE"""),45117)</f>
        <v>45117</v>
      </c>
      <c r="J11" s="29" t="s">
        <v>110</v>
      </c>
      <c r="K11" s="26" t="s">
        <v>111</v>
      </c>
      <c r="L11" s="30">
        <v>962317194</v>
      </c>
      <c r="M11" s="26" t="s">
        <v>112</v>
      </c>
      <c r="N11" s="26" t="s">
        <v>113</v>
      </c>
      <c r="O11" s="26" t="s">
        <v>36</v>
      </c>
      <c r="P11" s="26" t="s">
        <v>114</v>
      </c>
      <c r="Q11" s="20">
        <v>3768</v>
      </c>
      <c r="R11" s="26" t="s">
        <v>36</v>
      </c>
      <c r="S11" s="31">
        <v>3668</v>
      </c>
      <c r="T11" s="32">
        <v>45112</v>
      </c>
      <c r="U11" s="31"/>
      <c r="V11" s="26"/>
      <c r="W11" s="33" t="s">
        <v>115</v>
      </c>
      <c r="X11" s="26">
        <v>100</v>
      </c>
      <c r="Y11" s="22">
        <v>0</v>
      </c>
      <c r="Z11" s="34" t="s">
        <v>50</v>
      </c>
      <c r="AA11" s="19" t="s">
        <v>51</v>
      </c>
      <c r="AB11" s="26" t="s">
        <v>116</v>
      </c>
      <c r="AC11" s="26" t="s">
        <v>53</v>
      </c>
      <c r="AD11" s="19" t="s">
        <v>54</v>
      </c>
      <c r="AE11" s="26" t="s">
        <v>117</v>
      </c>
      <c r="AF11" s="17">
        <v>45112</v>
      </c>
      <c r="AG11" s="26"/>
      <c r="AH11" s="26">
        <v>1</v>
      </c>
      <c r="AI11" s="40">
        <v>1</v>
      </c>
      <c r="AJ11" s="26"/>
      <c r="AK11" s="26"/>
      <c r="AL11" s="35"/>
      <c r="AM11" s="35"/>
      <c r="AN11" s="35"/>
      <c r="AO11" s="35"/>
      <c r="AP11" s="35"/>
    </row>
    <row r="12" spans="1:42" x14ac:dyDescent="0.2">
      <c r="A12" s="27">
        <v>45112.441740613431</v>
      </c>
      <c r="B12" s="28" t="s">
        <v>37</v>
      </c>
      <c r="C12" s="41" t="s">
        <v>118</v>
      </c>
      <c r="D12" s="26" t="s">
        <v>36</v>
      </c>
      <c r="E12" s="26" t="s">
        <v>119</v>
      </c>
      <c r="F12" s="26" t="s">
        <v>36</v>
      </c>
      <c r="G12" s="26" t="s">
        <v>108</v>
      </c>
      <c r="H12" s="26" t="s">
        <v>120</v>
      </c>
      <c r="I12" s="17">
        <f ca="1">IFERROR(__xludf.DUMMYFUNCTION("""COMPUTED_VALUE"""),45125)</f>
        <v>45125</v>
      </c>
      <c r="J12" s="29" t="s">
        <v>121</v>
      </c>
      <c r="K12" s="26" t="s">
        <v>122</v>
      </c>
      <c r="L12" s="30">
        <v>335129217</v>
      </c>
      <c r="M12" s="26" t="s">
        <v>123</v>
      </c>
      <c r="N12" s="26" t="s">
        <v>124</v>
      </c>
      <c r="O12" s="26" t="s">
        <v>125</v>
      </c>
      <c r="P12" s="26" t="s">
        <v>126</v>
      </c>
      <c r="Q12" s="20">
        <v>13968</v>
      </c>
      <c r="R12" s="26" t="s">
        <v>36</v>
      </c>
      <c r="S12" s="31">
        <v>1000</v>
      </c>
      <c r="T12" s="32">
        <v>45290</v>
      </c>
      <c r="U12" s="31">
        <v>12968</v>
      </c>
      <c r="V12" s="32">
        <v>45108</v>
      </c>
      <c r="W12" s="26" t="s">
        <v>127</v>
      </c>
      <c r="X12" s="26">
        <v>0</v>
      </c>
      <c r="Y12" s="22">
        <v>0</v>
      </c>
      <c r="Z12" s="34" t="s">
        <v>50</v>
      </c>
      <c r="AA12" s="19" t="s">
        <v>51</v>
      </c>
      <c r="AB12" s="26" t="s">
        <v>128</v>
      </c>
      <c r="AC12" s="26" t="s">
        <v>53</v>
      </c>
      <c r="AD12" s="19" t="s">
        <v>54</v>
      </c>
      <c r="AE12" s="26">
        <v>390</v>
      </c>
      <c r="AF12" s="17">
        <v>45120</v>
      </c>
      <c r="AG12" s="26"/>
      <c r="AH12" s="26">
        <v>1</v>
      </c>
      <c r="AI12" s="40">
        <v>4</v>
      </c>
      <c r="AJ12" s="26"/>
      <c r="AK12" s="26"/>
      <c r="AL12" s="35"/>
      <c r="AM12" s="35"/>
      <c r="AN12" s="35"/>
      <c r="AO12" s="35"/>
      <c r="AP12" s="35"/>
    </row>
    <row r="13" spans="1:42" x14ac:dyDescent="0.2">
      <c r="A13" s="27">
        <v>45112.445766365738</v>
      </c>
      <c r="B13" s="28" t="s">
        <v>37</v>
      </c>
      <c r="C13" s="41" t="s">
        <v>118</v>
      </c>
      <c r="D13" s="26" t="s">
        <v>36</v>
      </c>
      <c r="E13" s="26" t="s">
        <v>56</v>
      </c>
      <c r="F13" s="26" t="s">
        <v>129</v>
      </c>
      <c r="G13" s="26" t="s">
        <v>108</v>
      </c>
      <c r="H13" s="26" t="s">
        <v>130</v>
      </c>
      <c r="I13" s="17">
        <f ca="1">IFERROR(__xludf.DUMMYFUNCTION("""COMPUTED_VALUE"""),45223)</f>
        <v>45223</v>
      </c>
      <c r="J13" s="29" t="s">
        <v>131</v>
      </c>
      <c r="K13" s="26" t="s">
        <v>132</v>
      </c>
      <c r="L13" s="30">
        <v>393801311</v>
      </c>
      <c r="M13" s="26" t="s">
        <v>123</v>
      </c>
      <c r="N13" s="26" t="s">
        <v>133</v>
      </c>
      <c r="O13" s="26" t="s">
        <v>134</v>
      </c>
      <c r="P13" s="42" t="s">
        <v>135</v>
      </c>
      <c r="Q13" s="20">
        <v>9317</v>
      </c>
      <c r="R13" s="26" t="s">
        <v>36</v>
      </c>
      <c r="S13" s="31">
        <v>9317</v>
      </c>
      <c r="T13" s="32">
        <v>45108</v>
      </c>
      <c r="U13" s="31"/>
      <c r="V13" s="26"/>
      <c r="W13" s="33" t="s">
        <v>136</v>
      </c>
      <c r="X13" s="26">
        <v>0</v>
      </c>
      <c r="Y13" s="22">
        <v>0</v>
      </c>
      <c r="Z13" s="34" t="s">
        <v>50</v>
      </c>
      <c r="AA13" s="19" t="s">
        <v>51</v>
      </c>
      <c r="AB13" s="26" t="s">
        <v>137</v>
      </c>
      <c r="AC13" s="26" t="s">
        <v>53</v>
      </c>
      <c r="AD13" s="19" t="s">
        <v>138</v>
      </c>
      <c r="AE13" s="26" t="s">
        <v>129</v>
      </c>
      <c r="AF13" s="43">
        <v>45218</v>
      </c>
      <c r="AG13" s="26"/>
      <c r="AH13" s="26">
        <v>1</v>
      </c>
      <c r="AI13" s="40" t="s">
        <v>64</v>
      </c>
      <c r="AJ13" s="26"/>
      <c r="AK13" s="26"/>
      <c r="AL13" s="35"/>
      <c r="AM13" s="35"/>
      <c r="AN13" s="35"/>
      <c r="AO13" s="35"/>
      <c r="AP13" s="35"/>
    </row>
    <row r="14" spans="1:42" x14ac:dyDescent="0.2">
      <c r="A14" s="27">
        <v>45112.45254795139</v>
      </c>
      <c r="B14" s="28" t="s">
        <v>37</v>
      </c>
      <c r="C14" s="41" t="s">
        <v>118</v>
      </c>
      <c r="D14" s="26" t="s">
        <v>36</v>
      </c>
      <c r="E14" s="26" t="s">
        <v>139</v>
      </c>
      <c r="F14" s="26" t="s">
        <v>40</v>
      </c>
      <c r="G14" s="26" t="s">
        <v>41</v>
      </c>
      <c r="H14" s="26" t="s">
        <v>42</v>
      </c>
      <c r="I14" s="17">
        <f ca="1">IFERROR(__xludf.DUMMYFUNCTION("""COMPUTED_VALUE"""),45118)</f>
        <v>45118</v>
      </c>
      <c r="J14" s="29" t="s">
        <v>140</v>
      </c>
      <c r="K14" s="26" t="s">
        <v>141</v>
      </c>
      <c r="L14" s="30">
        <v>936968111</v>
      </c>
      <c r="M14" s="26" t="s">
        <v>123</v>
      </c>
      <c r="N14" s="26" t="s">
        <v>142</v>
      </c>
      <c r="O14" s="26" t="s">
        <v>143</v>
      </c>
      <c r="P14" s="26" t="s">
        <v>144</v>
      </c>
      <c r="Q14" s="20">
        <v>15936</v>
      </c>
      <c r="R14" s="26" t="s">
        <v>36</v>
      </c>
      <c r="S14" s="31">
        <v>2000</v>
      </c>
      <c r="T14" s="32">
        <v>45110</v>
      </c>
      <c r="U14" s="31">
        <v>13936</v>
      </c>
      <c r="V14" s="38">
        <v>45135</v>
      </c>
      <c r="W14" s="33" t="s">
        <v>145</v>
      </c>
      <c r="X14" s="26">
        <v>0</v>
      </c>
      <c r="Y14" s="22">
        <v>0</v>
      </c>
      <c r="Z14" s="34" t="s">
        <v>50</v>
      </c>
      <c r="AA14" s="19" t="s">
        <v>51</v>
      </c>
      <c r="AB14" s="26" t="s">
        <v>146</v>
      </c>
      <c r="AC14" s="26" t="s">
        <v>53</v>
      </c>
      <c r="AD14" s="19" t="s">
        <v>54</v>
      </c>
      <c r="AE14" s="26" t="s">
        <v>72</v>
      </c>
      <c r="AF14" s="17">
        <v>45115</v>
      </c>
      <c r="AG14" s="26"/>
      <c r="AH14" s="26">
        <v>1</v>
      </c>
      <c r="AI14" s="40" t="s">
        <v>147</v>
      </c>
      <c r="AJ14" s="26"/>
      <c r="AK14" s="26"/>
      <c r="AL14" s="35"/>
      <c r="AM14" s="35"/>
      <c r="AN14" s="35"/>
      <c r="AO14" s="35"/>
      <c r="AP14" s="35"/>
    </row>
    <row r="15" spans="1:42" x14ac:dyDescent="0.2">
      <c r="A15" s="27">
        <v>45112.455120439816</v>
      </c>
      <c r="B15" s="28" t="s">
        <v>37</v>
      </c>
      <c r="C15" s="41" t="s">
        <v>118</v>
      </c>
      <c r="D15" s="26" t="s">
        <v>36</v>
      </c>
      <c r="E15" s="26" t="s">
        <v>148</v>
      </c>
      <c r="F15" s="26" t="s">
        <v>40</v>
      </c>
      <c r="G15" s="26" t="s">
        <v>108</v>
      </c>
      <c r="H15" s="26" t="s">
        <v>109</v>
      </c>
      <c r="I15" s="17">
        <f ca="1">IFERROR(__xludf.DUMMYFUNCTION("""COMPUTED_VALUE"""),45117)</f>
        <v>45117</v>
      </c>
      <c r="J15" s="29" t="s">
        <v>149</v>
      </c>
      <c r="K15" s="26" t="s">
        <v>150</v>
      </c>
      <c r="L15" s="30">
        <v>582108941</v>
      </c>
      <c r="M15" s="26" t="s">
        <v>123</v>
      </c>
      <c r="N15" s="26" t="s">
        <v>151</v>
      </c>
      <c r="O15" s="26" t="s">
        <v>134</v>
      </c>
      <c r="P15" s="26" t="s">
        <v>152</v>
      </c>
      <c r="Q15" s="20">
        <v>7349</v>
      </c>
      <c r="R15" s="26" t="s">
        <v>36</v>
      </c>
      <c r="S15" s="31">
        <v>4000</v>
      </c>
      <c r="T15" s="32">
        <v>45110</v>
      </c>
      <c r="U15" s="31">
        <v>3349</v>
      </c>
      <c r="V15" s="32">
        <v>45134</v>
      </c>
      <c r="W15" s="33" t="s">
        <v>153</v>
      </c>
      <c r="X15" s="26">
        <v>0</v>
      </c>
      <c r="Y15" s="22">
        <v>0</v>
      </c>
      <c r="Z15" s="34" t="s">
        <v>50</v>
      </c>
      <c r="AA15" s="19" t="s">
        <v>51</v>
      </c>
      <c r="AB15" s="26" t="s">
        <v>154</v>
      </c>
      <c r="AC15" s="26" t="s">
        <v>53</v>
      </c>
      <c r="AD15" s="19" t="s">
        <v>54</v>
      </c>
      <c r="AE15" s="26">
        <v>350</v>
      </c>
      <c r="AF15" s="17">
        <v>45115</v>
      </c>
      <c r="AG15" s="26"/>
      <c r="AH15" s="26">
        <v>1</v>
      </c>
      <c r="AI15" s="40">
        <v>2</v>
      </c>
      <c r="AJ15" s="26"/>
      <c r="AK15" s="26"/>
      <c r="AL15" s="35"/>
      <c r="AM15" s="35"/>
      <c r="AN15" s="35"/>
      <c r="AO15" s="35"/>
      <c r="AP15" s="35"/>
    </row>
    <row r="16" spans="1:42" x14ac:dyDescent="0.2">
      <c r="A16" s="27">
        <v>45112.457664155096</v>
      </c>
      <c r="B16" s="28" t="s">
        <v>37</v>
      </c>
      <c r="C16" s="41" t="s">
        <v>118</v>
      </c>
      <c r="D16" s="26" t="s">
        <v>36</v>
      </c>
      <c r="E16" s="26" t="s">
        <v>139</v>
      </c>
      <c r="F16" s="26" t="s">
        <v>36</v>
      </c>
      <c r="G16" s="26" t="s">
        <v>41</v>
      </c>
      <c r="H16" s="26" t="s">
        <v>65</v>
      </c>
      <c r="I16" s="17">
        <f ca="1">IFERROR(__xludf.DUMMYFUNCTION("""COMPUTED_VALUE"""),45116)</f>
        <v>45116</v>
      </c>
      <c r="J16" s="29" t="s">
        <v>155</v>
      </c>
      <c r="K16" s="19" t="s">
        <v>156</v>
      </c>
      <c r="L16" s="30">
        <v>388867916</v>
      </c>
      <c r="M16" s="26" t="s">
        <v>123</v>
      </c>
      <c r="N16" s="26" t="s">
        <v>133</v>
      </c>
      <c r="O16" s="26" t="s">
        <v>134</v>
      </c>
      <c r="P16" s="26" t="s">
        <v>157</v>
      </c>
      <c r="Q16" s="20">
        <v>15936</v>
      </c>
      <c r="R16" s="26" t="s">
        <v>36</v>
      </c>
      <c r="S16" s="31">
        <v>6000</v>
      </c>
      <c r="T16" s="32">
        <v>45111</v>
      </c>
      <c r="U16" s="31">
        <v>9936</v>
      </c>
      <c r="V16" s="32">
        <v>45132</v>
      </c>
      <c r="W16" s="33" t="s">
        <v>158</v>
      </c>
      <c r="X16" s="26">
        <v>0</v>
      </c>
      <c r="Y16" s="22">
        <v>0</v>
      </c>
      <c r="Z16" s="34" t="s">
        <v>50</v>
      </c>
      <c r="AA16" s="19" t="s">
        <v>51</v>
      </c>
      <c r="AB16" s="26" t="s">
        <v>146</v>
      </c>
      <c r="AC16" s="26" t="s">
        <v>53</v>
      </c>
      <c r="AD16" s="19" t="s">
        <v>54</v>
      </c>
      <c r="AE16" s="26" t="s">
        <v>72</v>
      </c>
      <c r="AF16" s="17">
        <v>45115</v>
      </c>
      <c r="AG16" s="26"/>
      <c r="AH16" s="26">
        <v>1</v>
      </c>
      <c r="AI16" s="40" t="s">
        <v>147</v>
      </c>
      <c r="AJ16" s="26"/>
      <c r="AK16" s="26"/>
      <c r="AL16" s="35"/>
      <c r="AM16" s="35"/>
      <c r="AN16" s="35"/>
      <c r="AO16" s="35"/>
      <c r="AP16" s="35"/>
    </row>
    <row r="17" spans="1:42" x14ac:dyDescent="0.2">
      <c r="A17" s="27">
        <v>45112.46018115741</v>
      </c>
      <c r="B17" s="28" t="s">
        <v>37</v>
      </c>
      <c r="C17" s="41" t="s">
        <v>118</v>
      </c>
      <c r="D17" s="26" t="s">
        <v>36</v>
      </c>
      <c r="E17" s="26" t="s">
        <v>77</v>
      </c>
      <c r="F17" s="26" t="s">
        <v>36</v>
      </c>
      <c r="G17" s="26" t="s">
        <v>41</v>
      </c>
      <c r="H17" s="26" t="s">
        <v>65</v>
      </c>
      <c r="I17" s="17">
        <f ca="1">IFERROR(__xludf.DUMMYFUNCTION("""COMPUTED_VALUE"""),45116)</f>
        <v>45116</v>
      </c>
      <c r="J17" s="29" t="s">
        <v>159</v>
      </c>
      <c r="K17" s="26" t="s">
        <v>160</v>
      </c>
      <c r="L17" s="30">
        <v>837545747</v>
      </c>
      <c r="M17" s="26" t="s">
        <v>123</v>
      </c>
      <c r="N17" s="26" t="s">
        <v>142</v>
      </c>
      <c r="O17" s="26" t="s">
        <v>143</v>
      </c>
      <c r="P17" s="26" t="s">
        <v>161</v>
      </c>
      <c r="Q17" s="20">
        <v>1968</v>
      </c>
      <c r="R17" s="26" t="s">
        <v>36</v>
      </c>
      <c r="S17" s="31">
        <v>1968</v>
      </c>
      <c r="T17" s="32">
        <v>45111</v>
      </c>
      <c r="U17" s="31"/>
      <c r="V17" s="26"/>
      <c r="W17" s="33" t="s">
        <v>162</v>
      </c>
      <c r="X17" s="26">
        <v>0</v>
      </c>
      <c r="Y17" s="22">
        <v>0</v>
      </c>
      <c r="Z17" s="34" t="s">
        <v>50</v>
      </c>
      <c r="AA17" s="19" t="s">
        <v>51</v>
      </c>
      <c r="AB17" s="26" t="s">
        <v>104</v>
      </c>
      <c r="AC17" s="26" t="s">
        <v>53</v>
      </c>
      <c r="AD17" s="19" t="s">
        <v>54</v>
      </c>
      <c r="AE17" s="26" t="s">
        <v>72</v>
      </c>
      <c r="AF17" s="17">
        <v>45115</v>
      </c>
      <c r="AG17" s="26"/>
      <c r="AH17" s="26">
        <v>2</v>
      </c>
      <c r="AI17" s="40" t="s">
        <v>84</v>
      </c>
      <c r="AJ17" s="26"/>
      <c r="AK17" s="26"/>
      <c r="AL17" s="35"/>
      <c r="AM17" s="35"/>
      <c r="AN17" s="35"/>
      <c r="AO17" s="35"/>
      <c r="AP17" s="35"/>
    </row>
    <row r="18" spans="1:42" x14ac:dyDescent="0.2">
      <c r="A18" s="27">
        <v>45112.465972129634</v>
      </c>
      <c r="B18" s="28" t="s">
        <v>37</v>
      </c>
      <c r="C18" s="41" t="s">
        <v>118</v>
      </c>
      <c r="D18" s="26" t="s">
        <v>36</v>
      </c>
      <c r="E18" s="26" t="s">
        <v>39</v>
      </c>
      <c r="F18" s="26" t="s">
        <v>40</v>
      </c>
      <c r="G18" s="26" t="s">
        <v>41</v>
      </c>
      <c r="H18" s="26" t="s">
        <v>42</v>
      </c>
      <c r="I18" s="17">
        <f ca="1">IFERROR(__xludf.DUMMYFUNCTION("""COMPUTED_VALUE"""),45118)</f>
        <v>45118</v>
      </c>
      <c r="J18" s="29" t="s">
        <v>163</v>
      </c>
      <c r="K18" s="26" t="s">
        <v>164</v>
      </c>
      <c r="L18" s="30">
        <v>374350103</v>
      </c>
      <c r="M18" s="26" t="s">
        <v>123</v>
      </c>
      <c r="N18" s="26" t="s">
        <v>133</v>
      </c>
      <c r="O18" s="26" t="s">
        <v>125</v>
      </c>
      <c r="P18" s="26" t="s">
        <v>165</v>
      </c>
      <c r="Q18" s="20">
        <v>5736</v>
      </c>
      <c r="R18" s="26" t="s">
        <v>36</v>
      </c>
      <c r="S18" s="31">
        <v>5736</v>
      </c>
      <c r="T18" s="32">
        <v>45111</v>
      </c>
      <c r="U18" s="31"/>
      <c r="V18" s="26"/>
      <c r="W18" s="33" t="s">
        <v>166</v>
      </c>
      <c r="X18" s="26">
        <v>0</v>
      </c>
      <c r="Y18" s="22">
        <v>0</v>
      </c>
      <c r="Z18" s="34" t="s">
        <v>50</v>
      </c>
      <c r="AA18" s="19" t="s">
        <v>51</v>
      </c>
      <c r="AB18" s="26" t="s">
        <v>137</v>
      </c>
      <c r="AC18" s="26" t="s">
        <v>53</v>
      </c>
      <c r="AD18" s="19" t="s">
        <v>54</v>
      </c>
      <c r="AE18" s="26" t="s">
        <v>72</v>
      </c>
      <c r="AF18" s="17">
        <v>45115</v>
      </c>
      <c r="AG18" s="26"/>
      <c r="AH18" s="26">
        <v>1</v>
      </c>
      <c r="AI18" s="40" t="s">
        <v>55</v>
      </c>
      <c r="AJ18" s="26"/>
      <c r="AK18" s="26"/>
      <c r="AL18" s="35"/>
      <c r="AM18" s="35"/>
      <c r="AN18" s="35"/>
      <c r="AO18" s="35"/>
      <c r="AP18" s="35"/>
    </row>
    <row r="19" spans="1:42" x14ac:dyDescent="0.2">
      <c r="A19" s="27">
        <v>45112.554154027777</v>
      </c>
      <c r="B19" s="28" t="s">
        <v>37</v>
      </c>
      <c r="C19" s="41" t="s">
        <v>118</v>
      </c>
      <c r="D19" s="26" t="s">
        <v>36</v>
      </c>
      <c r="E19" s="26" t="s">
        <v>39</v>
      </c>
      <c r="F19" s="26" t="s">
        <v>36</v>
      </c>
      <c r="G19" s="26" t="s">
        <v>41</v>
      </c>
      <c r="H19" s="26" t="s">
        <v>65</v>
      </c>
      <c r="I19" s="17">
        <f ca="1">IFERROR(__xludf.DUMMYFUNCTION("""COMPUTED_VALUE"""),45116)</f>
        <v>45116</v>
      </c>
      <c r="J19" s="29" t="s">
        <v>167</v>
      </c>
      <c r="K19" s="26" t="s">
        <v>168</v>
      </c>
      <c r="L19" s="30">
        <v>911089376</v>
      </c>
      <c r="M19" s="26" t="s">
        <v>80</v>
      </c>
      <c r="N19" s="26" t="s">
        <v>81</v>
      </c>
      <c r="O19" s="26" t="s">
        <v>169</v>
      </c>
      <c r="P19" s="26" t="s">
        <v>170</v>
      </c>
      <c r="Q19" s="20">
        <v>5736</v>
      </c>
      <c r="R19" s="26" t="s">
        <v>36</v>
      </c>
      <c r="S19" s="31">
        <v>5736</v>
      </c>
      <c r="T19" s="32">
        <v>45112</v>
      </c>
      <c r="U19" s="31"/>
      <c r="V19" s="26"/>
      <c r="W19" s="33" t="s">
        <v>171</v>
      </c>
      <c r="X19" s="26">
        <v>0</v>
      </c>
      <c r="Y19" s="22">
        <v>0</v>
      </c>
      <c r="Z19" s="34" t="s">
        <v>50</v>
      </c>
      <c r="AA19" s="19" t="s">
        <v>51</v>
      </c>
      <c r="AB19" s="26" t="s">
        <v>104</v>
      </c>
      <c r="AC19" s="26" t="s">
        <v>53</v>
      </c>
      <c r="AD19" s="19" t="s">
        <v>54</v>
      </c>
      <c r="AE19" s="26" t="s">
        <v>72</v>
      </c>
      <c r="AF19" s="17">
        <v>45115</v>
      </c>
      <c r="AG19" s="26"/>
      <c r="AH19" s="26">
        <v>1</v>
      </c>
      <c r="AI19" s="40" t="s">
        <v>55</v>
      </c>
      <c r="AJ19" s="26"/>
      <c r="AK19" s="26"/>
      <c r="AL19" s="35"/>
      <c r="AM19" s="35"/>
      <c r="AN19" s="35"/>
      <c r="AO19" s="35"/>
      <c r="AP19" s="35"/>
    </row>
    <row r="20" spans="1:42" x14ac:dyDescent="0.2">
      <c r="A20" s="27">
        <v>45113.118004456017</v>
      </c>
      <c r="B20" s="28" t="s">
        <v>37</v>
      </c>
      <c r="C20" s="41" t="s">
        <v>118</v>
      </c>
      <c r="D20" s="26" t="s">
        <v>36</v>
      </c>
      <c r="E20" s="26" t="s">
        <v>106</v>
      </c>
      <c r="F20" s="26" t="s">
        <v>36</v>
      </c>
      <c r="G20" s="26" t="s">
        <v>108</v>
      </c>
      <c r="H20" s="26" t="s">
        <v>172</v>
      </c>
      <c r="I20" s="17">
        <f ca="1">IFERROR(__xludf.DUMMYFUNCTION("""COMPUTED_VALUE"""),45121)</f>
        <v>45121</v>
      </c>
      <c r="J20" s="29" t="s">
        <v>173</v>
      </c>
      <c r="K20" s="26" t="s">
        <v>174</v>
      </c>
      <c r="L20" s="30">
        <v>386930805</v>
      </c>
      <c r="M20" s="26" t="s">
        <v>80</v>
      </c>
      <c r="N20" s="26" t="s">
        <v>87</v>
      </c>
      <c r="O20" s="26" t="s">
        <v>175</v>
      </c>
      <c r="P20" s="26" t="s">
        <v>176</v>
      </c>
      <c r="Q20" s="20">
        <v>3768</v>
      </c>
      <c r="R20" s="26" t="s">
        <v>36</v>
      </c>
      <c r="S20" s="31">
        <v>3768</v>
      </c>
      <c r="T20" s="32">
        <v>45113</v>
      </c>
      <c r="U20" s="31"/>
      <c r="V20" s="26"/>
      <c r="W20" s="33" t="s">
        <v>177</v>
      </c>
      <c r="X20" s="26">
        <v>0</v>
      </c>
      <c r="Y20" s="22">
        <v>0</v>
      </c>
      <c r="Z20" s="34" t="s">
        <v>50</v>
      </c>
      <c r="AA20" s="19" t="s">
        <v>51</v>
      </c>
      <c r="AB20" s="26" t="s">
        <v>137</v>
      </c>
      <c r="AC20" s="26" t="s">
        <v>53</v>
      </c>
      <c r="AD20" s="19" t="s">
        <v>54</v>
      </c>
      <c r="AE20" s="26">
        <v>480</v>
      </c>
      <c r="AF20" s="17">
        <v>45115</v>
      </c>
      <c r="AG20" s="26"/>
      <c r="AH20" s="26">
        <v>1</v>
      </c>
      <c r="AI20" s="40">
        <v>1</v>
      </c>
      <c r="AJ20" s="26"/>
      <c r="AK20" s="26"/>
      <c r="AL20" s="35"/>
      <c r="AM20" s="35"/>
      <c r="AN20" s="35"/>
      <c r="AO20" s="35"/>
      <c r="AP20" s="35"/>
    </row>
    <row r="21" spans="1:42" x14ac:dyDescent="0.2">
      <c r="A21" s="27">
        <v>45113.12290855324</v>
      </c>
      <c r="B21" s="28" t="s">
        <v>37</v>
      </c>
      <c r="C21" s="41" t="s">
        <v>118</v>
      </c>
      <c r="D21" s="26" t="s">
        <v>36</v>
      </c>
      <c r="E21" s="26" t="s">
        <v>139</v>
      </c>
      <c r="F21" s="26" t="s">
        <v>36</v>
      </c>
      <c r="G21" s="26" t="s">
        <v>41</v>
      </c>
      <c r="H21" s="26" t="s">
        <v>178</v>
      </c>
      <c r="I21" s="17">
        <f ca="1">IFERROR(__xludf.DUMMYFUNCTION("""COMPUTED_VALUE"""),45121)</f>
        <v>45121</v>
      </c>
      <c r="J21" s="29" t="s">
        <v>179</v>
      </c>
      <c r="K21" s="26" t="s">
        <v>180</v>
      </c>
      <c r="L21" s="30">
        <v>396917524</v>
      </c>
      <c r="M21" s="26" t="s">
        <v>80</v>
      </c>
      <c r="N21" s="26" t="s">
        <v>87</v>
      </c>
      <c r="O21" s="26" t="s">
        <v>181</v>
      </c>
      <c r="P21" s="26" t="s">
        <v>182</v>
      </c>
      <c r="Q21" s="20">
        <v>15936</v>
      </c>
      <c r="R21" s="26" t="s">
        <v>36</v>
      </c>
      <c r="S21" s="31">
        <v>4000</v>
      </c>
      <c r="T21" s="32">
        <v>45112</v>
      </c>
      <c r="U21" s="31">
        <v>11936</v>
      </c>
      <c r="V21" s="32">
        <v>45137</v>
      </c>
      <c r="W21" s="33" t="s">
        <v>183</v>
      </c>
      <c r="X21" s="26">
        <v>0</v>
      </c>
      <c r="Y21" s="22">
        <v>0</v>
      </c>
      <c r="Z21" s="34" t="s">
        <v>50</v>
      </c>
      <c r="AA21" s="19" t="s">
        <v>51</v>
      </c>
      <c r="AB21" s="26" t="s">
        <v>104</v>
      </c>
      <c r="AC21" s="26" t="s">
        <v>53</v>
      </c>
      <c r="AD21" s="19" t="s">
        <v>54</v>
      </c>
      <c r="AE21" s="26" t="s">
        <v>72</v>
      </c>
      <c r="AF21" s="17">
        <v>45115</v>
      </c>
      <c r="AG21" s="26"/>
      <c r="AH21" s="26">
        <v>1</v>
      </c>
      <c r="AI21" s="40" t="s">
        <v>147</v>
      </c>
      <c r="AJ21" s="26"/>
      <c r="AK21" s="26"/>
      <c r="AL21" s="35"/>
      <c r="AM21" s="35"/>
      <c r="AN21" s="35"/>
      <c r="AO21" s="35"/>
      <c r="AP21" s="35"/>
    </row>
    <row r="22" spans="1:42" x14ac:dyDescent="0.2">
      <c r="A22" s="27">
        <v>45113.285887881946</v>
      </c>
      <c r="B22" s="28" t="s">
        <v>37</v>
      </c>
      <c r="C22" s="41" t="s">
        <v>118</v>
      </c>
      <c r="D22" s="26" t="s">
        <v>36</v>
      </c>
      <c r="E22" s="26" t="s">
        <v>148</v>
      </c>
      <c r="F22" s="26" t="s">
        <v>36</v>
      </c>
      <c r="G22" s="26" t="s">
        <v>108</v>
      </c>
      <c r="H22" s="26" t="s">
        <v>172</v>
      </c>
      <c r="I22" s="17">
        <f ca="1">IFERROR(__xludf.DUMMYFUNCTION("""COMPUTED_VALUE"""),45121)</f>
        <v>45121</v>
      </c>
      <c r="J22" s="29" t="s">
        <v>184</v>
      </c>
      <c r="K22" s="26" t="s">
        <v>185</v>
      </c>
      <c r="L22" s="30">
        <v>363267347</v>
      </c>
      <c r="M22" s="26" t="s">
        <v>80</v>
      </c>
      <c r="N22" s="26" t="s">
        <v>186</v>
      </c>
      <c r="O22" s="26" t="s">
        <v>187</v>
      </c>
      <c r="P22" s="26" t="s">
        <v>188</v>
      </c>
      <c r="Q22" s="20">
        <v>7349</v>
      </c>
      <c r="R22" s="26" t="s">
        <v>36</v>
      </c>
      <c r="S22" s="31">
        <v>2000</v>
      </c>
      <c r="T22" s="32">
        <v>45113</v>
      </c>
      <c r="U22" s="31">
        <f>2000+3349</f>
        <v>5349</v>
      </c>
      <c r="V22" s="26" t="s">
        <v>189</v>
      </c>
      <c r="W22" s="33" t="s">
        <v>190</v>
      </c>
      <c r="X22" s="26">
        <v>0</v>
      </c>
      <c r="Y22" s="22">
        <v>0</v>
      </c>
      <c r="Z22" s="34" t="s">
        <v>50</v>
      </c>
      <c r="AA22" s="19" t="s">
        <v>51</v>
      </c>
      <c r="AB22" s="26" t="s">
        <v>128</v>
      </c>
      <c r="AC22" s="26" t="s">
        <v>53</v>
      </c>
      <c r="AD22" s="19" t="s">
        <v>54</v>
      </c>
      <c r="AE22" s="26">
        <v>400</v>
      </c>
      <c r="AF22" s="17">
        <v>45115</v>
      </c>
      <c r="AG22" s="26"/>
      <c r="AH22" s="26">
        <v>1</v>
      </c>
      <c r="AI22" s="40">
        <v>2</v>
      </c>
      <c r="AJ22" s="26"/>
      <c r="AK22" s="26"/>
      <c r="AL22" s="35"/>
      <c r="AM22" s="35"/>
      <c r="AN22" s="35"/>
      <c r="AO22" s="35"/>
      <c r="AP22" s="35"/>
    </row>
    <row r="23" spans="1:42" x14ac:dyDescent="0.2">
      <c r="A23" s="27">
        <v>45113.33940921296</v>
      </c>
      <c r="B23" s="28" t="s">
        <v>37</v>
      </c>
      <c r="C23" s="41" t="s">
        <v>118</v>
      </c>
      <c r="D23" s="26" t="s">
        <v>36</v>
      </c>
      <c r="E23" s="26" t="s">
        <v>77</v>
      </c>
      <c r="F23" s="26" t="s">
        <v>36</v>
      </c>
      <c r="G23" s="26" t="s">
        <v>41</v>
      </c>
      <c r="H23" s="26" t="s">
        <v>65</v>
      </c>
      <c r="I23" s="17">
        <f ca="1">IFERROR(__xludf.DUMMYFUNCTION("""COMPUTED_VALUE"""),45116)</f>
        <v>45116</v>
      </c>
      <c r="J23" s="29" t="s">
        <v>191</v>
      </c>
      <c r="K23" s="26" t="s">
        <v>192</v>
      </c>
      <c r="L23" s="30">
        <v>987486749</v>
      </c>
      <c r="M23" s="26" t="s">
        <v>112</v>
      </c>
      <c r="N23" s="26" t="s">
        <v>193</v>
      </c>
      <c r="O23" s="26" t="s">
        <v>194</v>
      </c>
      <c r="P23" s="26" t="s">
        <v>195</v>
      </c>
      <c r="Q23" s="20">
        <v>1968</v>
      </c>
      <c r="R23" s="26" t="s">
        <v>36</v>
      </c>
      <c r="S23" s="31">
        <v>1968</v>
      </c>
      <c r="T23" s="32">
        <v>45113</v>
      </c>
      <c r="U23" s="31"/>
      <c r="V23" s="26"/>
      <c r="W23" s="33" t="s">
        <v>196</v>
      </c>
      <c r="X23" s="26">
        <v>0</v>
      </c>
      <c r="Y23" s="22">
        <v>0</v>
      </c>
      <c r="Z23" s="34" t="s">
        <v>50</v>
      </c>
      <c r="AA23" s="19" t="s">
        <v>51</v>
      </c>
      <c r="AB23" s="26" t="s">
        <v>104</v>
      </c>
      <c r="AC23" s="26" t="s">
        <v>53</v>
      </c>
      <c r="AD23" s="19" t="s">
        <v>54</v>
      </c>
      <c r="AE23" s="26" t="s">
        <v>72</v>
      </c>
      <c r="AF23" s="17">
        <v>45115</v>
      </c>
      <c r="AG23" s="26"/>
      <c r="AH23" s="26">
        <v>1</v>
      </c>
      <c r="AI23" s="40" t="s">
        <v>84</v>
      </c>
      <c r="AJ23" s="26"/>
      <c r="AK23" s="26"/>
      <c r="AL23" s="35"/>
      <c r="AM23" s="35"/>
      <c r="AN23" s="35"/>
      <c r="AO23" s="35"/>
      <c r="AP23" s="35"/>
    </row>
    <row r="24" spans="1:42" x14ac:dyDescent="0.2">
      <c r="A24" s="27">
        <v>45113.399763819441</v>
      </c>
      <c r="B24" s="28" t="s">
        <v>37</v>
      </c>
      <c r="C24" s="41" t="s">
        <v>118</v>
      </c>
      <c r="D24" s="26" t="s">
        <v>36</v>
      </c>
      <c r="E24" s="26" t="s">
        <v>106</v>
      </c>
      <c r="F24" s="26" t="s">
        <v>107</v>
      </c>
      <c r="G24" s="26" t="s">
        <v>108</v>
      </c>
      <c r="H24" s="26" t="s">
        <v>197</v>
      </c>
      <c r="I24" s="17" t="str">
        <f ca="1">IFERROR(__xludf.DUMMYFUNCTION("""COMPUTED_VALUE""")," ")</f>
        <v xml:space="preserve"> </v>
      </c>
      <c r="J24" s="44" t="s">
        <v>198</v>
      </c>
      <c r="K24" s="26" t="s">
        <v>199</v>
      </c>
      <c r="L24" s="30">
        <v>373383818</v>
      </c>
      <c r="M24" s="26" t="s">
        <v>112</v>
      </c>
      <c r="N24" s="26" t="s">
        <v>200</v>
      </c>
      <c r="O24" s="26" t="s">
        <v>91</v>
      </c>
      <c r="P24" s="26" t="s">
        <v>201</v>
      </c>
      <c r="Q24" s="20">
        <v>3768</v>
      </c>
      <c r="R24" s="26" t="s">
        <v>36</v>
      </c>
      <c r="S24" s="31">
        <v>3668</v>
      </c>
      <c r="T24" s="32">
        <v>45091</v>
      </c>
      <c r="U24" s="31"/>
      <c r="V24" s="26"/>
      <c r="W24" s="33" t="s">
        <v>202</v>
      </c>
      <c r="X24" s="26">
        <v>100</v>
      </c>
      <c r="Y24" s="22">
        <v>0</v>
      </c>
      <c r="Z24" s="34" t="s">
        <v>50</v>
      </c>
      <c r="AA24" s="19" t="s">
        <v>51</v>
      </c>
      <c r="AB24" s="26" t="s">
        <v>116</v>
      </c>
      <c r="AC24" s="26" t="s">
        <v>53</v>
      </c>
      <c r="AD24" s="19" t="s">
        <v>54</v>
      </c>
      <c r="AE24" s="26" t="s">
        <v>203</v>
      </c>
      <c r="AF24" s="17">
        <v>44940</v>
      </c>
      <c r="AG24" s="26" t="s">
        <v>204</v>
      </c>
      <c r="AH24" s="26">
        <v>2</v>
      </c>
      <c r="AI24" s="40">
        <v>1</v>
      </c>
      <c r="AJ24" s="26"/>
      <c r="AK24" s="26"/>
      <c r="AL24" s="35"/>
      <c r="AM24" s="35"/>
      <c r="AN24" s="35"/>
      <c r="AO24" s="35"/>
      <c r="AP24" s="35"/>
    </row>
    <row r="25" spans="1:42" x14ac:dyDescent="0.2">
      <c r="A25" s="27">
        <v>45113.486363483797</v>
      </c>
      <c r="B25" s="28" t="s">
        <v>37</v>
      </c>
      <c r="C25" s="41" t="s">
        <v>118</v>
      </c>
      <c r="D25" s="26" t="s">
        <v>36</v>
      </c>
      <c r="E25" s="26" t="s">
        <v>119</v>
      </c>
      <c r="F25" s="26" t="s">
        <v>36</v>
      </c>
      <c r="G25" s="26" t="s">
        <v>108</v>
      </c>
      <c r="H25" s="26" t="s">
        <v>172</v>
      </c>
      <c r="I25" s="17">
        <f ca="1">IFERROR(__xludf.DUMMYFUNCTION("""COMPUTED_VALUE"""),45121)</f>
        <v>45121</v>
      </c>
      <c r="J25" s="29" t="s">
        <v>205</v>
      </c>
      <c r="K25" s="26" t="s">
        <v>206</v>
      </c>
      <c r="L25" s="30">
        <v>945064515</v>
      </c>
      <c r="M25" s="26" t="s">
        <v>123</v>
      </c>
      <c r="N25" s="26" t="s">
        <v>207</v>
      </c>
      <c r="O25" s="26" t="s">
        <v>134</v>
      </c>
      <c r="P25" s="26" t="s">
        <v>208</v>
      </c>
      <c r="Q25" s="20">
        <v>13968</v>
      </c>
      <c r="R25" s="26" t="s">
        <v>36</v>
      </c>
      <c r="S25" s="31">
        <v>13968</v>
      </c>
      <c r="T25" s="32">
        <v>45113</v>
      </c>
      <c r="U25" s="31"/>
      <c r="V25" s="26"/>
      <c r="W25" s="33" t="s">
        <v>209</v>
      </c>
      <c r="X25" s="26">
        <v>0</v>
      </c>
      <c r="Y25" s="22">
        <v>0</v>
      </c>
      <c r="Z25" s="34" t="s">
        <v>50</v>
      </c>
      <c r="AA25" s="19" t="s">
        <v>51</v>
      </c>
      <c r="AB25" s="26" t="s">
        <v>137</v>
      </c>
      <c r="AC25" s="26" t="s">
        <v>53</v>
      </c>
      <c r="AD25" s="19" t="s">
        <v>54</v>
      </c>
      <c r="AE25" s="26">
        <v>410</v>
      </c>
      <c r="AF25" s="17">
        <v>45115</v>
      </c>
      <c r="AG25" s="26"/>
      <c r="AH25" s="26">
        <v>1</v>
      </c>
      <c r="AI25" s="40">
        <v>4</v>
      </c>
      <c r="AJ25" s="26"/>
      <c r="AK25" s="26"/>
      <c r="AL25" s="35"/>
      <c r="AM25" s="35"/>
      <c r="AN25" s="35"/>
      <c r="AO25" s="35"/>
      <c r="AP25" s="35"/>
    </row>
    <row r="26" spans="1:42" x14ac:dyDescent="0.2">
      <c r="A26" s="27">
        <v>45113.646823414354</v>
      </c>
      <c r="B26" s="28" t="s">
        <v>37</v>
      </c>
      <c r="C26" s="41" t="s">
        <v>118</v>
      </c>
      <c r="D26" s="26" t="s">
        <v>36</v>
      </c>
      <c r="E26" s="26" t="s">
        <v>77</v>
      </c>
      <c r="F26" s="26" t="s">
        <v>36</v>
      </c>
      <c r="G26" s="26" t="s">
        <v>41</v>
      </c>
      <c r="H26" s="26" t="s">
        <v>42</v>
      </c>
      <c r="I26" s="17">
        <f ca="1">IFERROR(__xludf.DUMMYFUNCTION("""COMPUTED_VALUE"""),45118)</f>
        <v>45118</v>
      </c>
      <c r="J26" s="29" t="s">
        <v>210</v>
      </c>
      <c r="K26" s="26" t="s">
        <v>211</v>
      </c>
      <c r="L26" s="30">
        <v>967148280</v>
      </c>
      <c r="M26" s="26" t="s">
        <v>123</v>
      </c>
      <c r="N26" s="26" t="s">
        <v>151</v>
      </c>
      <c r="O26" s="26" t="s">
        <v>134</v>
      </c>
      <c r="P26" s="26" t="s">
        <v>212</v>
      </c>
      <c r="Q26" s="20">
        <v>1968</v>
      </c>
      <c r="R26" s="26" t="s">
        <v>36</v>
      </c>
      <c r="S26" s="31">
        <v>1968</v>
      </c>
      <c r="T26" s="32">
        <v>45113</v>
      </c>
      <c r="U26" s="31"/>
      <c r="V26" s="26"/>
      <c r="W26" s="33" t="s">
        <v>213</v>
      </c>
      <c r="X26" s="26">
        <v>0</v>
      </c>
      <c r="Y26" s="22">
        <v>0</v>
      </c>
      <c r="Z26" s="34" t="s">
        <v>50</v>
      </c>
      <c r="AA26" s="19" t="s">
        <v>51</v>
      </c>
      <c r="AB26" s="26" t="s">
        <v>104</v>
      </c>
      <c r="AC26" s="26" t="s">
        <v>53</v>
      </c>
      <c r="AD26" s="19" t="s">
        <v>54</v>
      </c>
      <c r="AE26" s="26" t="s">
        <v>72</v>
      </c>
      <c r="AF26" s="17">
        <v>45115</v>
      </c>
      <c r="AG26" s="26"/>
      <c r="AH26" s="26">
        <v>1</v>
      </c>
      <c r="AI26" s="40" t="s">
        <v>84</v>
      </c>
      <c r="AJ26" s="26"/>
      <c r="AK26" s="26"/>
      <c r="AL26" s="35"/>
      <c r="AM26" s="35"/>
      <c r="AN26" s="35"/>
      <c r="AO26" s="35"/>
      <c r="AP26" s="35"/>
    </row>
    <row r="27" spans="1:42" x14ac:dyDescent="0.2">
      <c r="A27" s="27">
        <v>45114.192065416668</v>
      </c>
      <c r="B27" s="28" t="s">
        <v>37</v>
      </c>
      <c r="C27" s="41" t="s">
        <v>118</v>
      </c>
      <c r="D27" s="26" t="s">
        <v>36</v>
      </c>
      <c r="E27" s="26" t="s">
        <v>77</v>
      </c>
      <c r="F27" s="26" t="s">
        <v>36</v>
      </c>
      <c r="G27" s="26" t="s">
        <v>41</v>
      </c>
      <c r="H27" s="26" t="s">
        <v>178</v>
      </c>
      <c r="I27" s="17">
        <f ca="1">IFERROR(__xludf.DUMMYFUNCTION("""COMPUTED_VALUE"""),45121)</f>
        <v>45121</v>
      </c>
      <c r="J27" s="29" t="s">
        <v>214</v>
      </c>
      <c r="K27" s="26" t="s">
        <v>215</v>
      </c>
      <c r="L27" s="30">
        <v>338655774</v>
      </c>
      <c r="M27" s="26" t="s">
        <v>112</v>
      </c>
      <c r="N27" s="26" t="s">
        <v>193</v>
      </c>
      <c r="O27" s="26" t="s">
        <v>216</v>
      </c>
      <c r="P27" s="26" t="s">
        <v>217</v>
      </c>
      <c r="Q27" s="20">
        <v>1968</v>
      </c>
      <c r="R27" s="26" t="s">
        <v>36</v>
      </c>
      <c r="S27" s="31">
        <v>1968</v>
      </c>
      <c r="T27" s="32">
        <v>45114</v>
      </c>
      <c r="U27" s="31"/>
      <c r="V27" s="26"/>
      <c r="W27" s="33" t="s">
        <v>218</v>
      </c>
      <c r="X27" s="26">
        <v>0</v>
      </c>
      <c r="Y27" s="22">
        <v>0</v>
      </c>
      <c r="Z27" s="34" t="s">
        <v>50</v>
      </c>
      <c r="AA27" s="19" t="s">
        <v>51</v>
      </c>
      <c r="AB27" s="26" t="s">
        <v>104</v>
      </c>
      <c r="AC27" s="26" t="s">
        <v>53</v>
      </c>
      <c r="AD27" s="19" t="s">
        <v>54</v>
      </c>
      <c r="AE27" s="26" t="s">
        <v>72</v>
      </c>
      <c r="AF27" s="17">
        <v>45115</v>
      </c>
      <c r="AG27" s="26"/>
      <c r="AH27" s="26">
        <v>1</v>
      </c>
      <c r="AI27" s="40" t="s">
        <v>84</v>
      </c>
      <c r="AJ27" s="26"/>
      <c r="AK27" s="26"/>
      <c r="AL27" s="35"/>
      <c r="AM27" s="35"/>
      <c r="AN27" s="35"/>
      <c r="AO27" s="35"/>
      <c r="AP27" s="35"/>
    </row>
    <row r="28" spans="1:42" x14ac:dyDescent="0.2">
      <c r="A28" s="27">
        <v>45114.194703078705</v>
      </c>
      <c r="B28" s="28" t="s">
        <v>37</v>
      </c>
      <c r="C28" s="41" t="s">
        <v>118</v>
      </c>
      <c r="D28" s="26" t="s">
        <v>36</v>
      </c>
      <c r="E28" s="26" t="s">
        <v>219</v>
      </c>
      <c r="F28" s="26" t="s">
        <v>220</v>
      </c>
      <c r="G28" s="26" t="s">
        <v>221</v>
      </c>
      <c r="H28" s="26" t="s">
        <v>222</v>
      </c>
      <c r="I28" s="17">
        <f ca="1">IFERROR(__xludf.DUMMYFUNCTION("""COMPUTED_VALUE"""),45132)</f>
        <v>45132</v>
      </c>
      <c r="J28" s="29" t="s">
        <v>223</v>
      </c>
      <c r="K28" s="26" t="s">
        <v>224</v>
      </c>
      <c r="L28" s="30">
        <v>984415889</v>
      </c>
      <c r="M28" s="26" t="s">
        <v>112</v>
      </c>
      <c r="N28" s="26" t="s">
        <v>113</v>
      </c>
      <c r="O28" s="26" t="s">
        <v>36</v>
      </c>
      <c r="P28" s="26" t="s">
        <v>225</v>
      </c>
      <c r="Q28" s="20">
        <v>3968</v>
      </c>
      <c r="R28" s="26" t="s">
        <v>36</v>
      </c>
      <c r="S28" s="31">
        <v>3868</v>
      </c>
      <c r="T28" s="32">
        <v>45114</v>
      </c>
      <c r="U28" s="31"/>
      <c r="V28" s="26"/>
      <c r="W28" s="33" t="s">
        <v>226</v>
      </c>
      <c r="X28" s="26">
        <v>100</v>
      </c>
      <c r="Y28" s="22">
        <v>0</v>
      </c>
      <c r="Z28" s="34" t="s">
        <v>50</v>
      </c>
      <c r="AA28" s="19" t="s">
        <v>51</v>
      </c>
      <c r="AB28" s="26" t="s">
        <v>116</v>
      </c>
      <c r="AC28" s="26" t="s">
        <v>53</v>
      </c>
      <c r="AD28" s="19" t="s">
        <v>54</v>
      </c>
      <c r="AE28" s="26"/>
      <c r="AF28" s="17">
        <v>45117</v>
      </c>
      <c r="AG28" s="26"/>
      <c r="AH28" s="26">
        <v>1</v>
      </c>
      <c r="AI28" s="40">
        <v>1</v>
      </c>
      <c r="AJ28" s="26"/>
      <c r="AK28" s="26"/>
      <c r="AL28" s="35"/>
      <c r="AM28" s="35"/>
      <c r="AN28" s="35"/>
      <c r="AO28" s="35"/>
      <c r="AP28" s="35"/>
    </row>
    <row r="29" spans="1:42" x14ac:dyDescent="0.2">
      <c r="A29" s="27">
        <v>45114.598482210647</v>
      </c>
      <c r="B29" s="28" t="s">
        <v>37</v>
      </c>
      <c r="C29" s="41" t="s">
        <v>118</v>
      </c>
      <c r="D29" s="26" t="s">
        <v>36</v>
      </c>
      <c r="E29" s="26" t="s">
        <v>77</v>
      </c>
      <c r="F29" s="26" t="s">
        <v>36</v>
      </c>
      <c r="G29" s="26" t="s">
        <v>41</v>
      </c>
      <c r="H29" s="26" t="s">
        <v>42</v>
      </c>
      <c r="I29" s="17">
        <f ca="1">IFERROR(__xludf.DUMMYFUNCTION("""COMPUTED_VALUE"""),45118)</f>
        <v>45118</v>
      </c>
      <c r="J29" s="29" t="s">
        <v>227</v>
      </c>
      <c r="K29" s="26" t="s">
        <v>228</v>
      </c>
      <c r="L29" s="30">
        <v>365895831</v>
      </c>
      <c r="M29" s="26" t="s">
        <v>123</v>
      </c>
      <c r="N29" s="26" t="s">
        <v>142</v>
      </c>
      <c r="O29" s="26" t="s">
        <v>125</v>
      </c>
      <c r="P29" s="26" t="s">
        <v>229</v>
      </c>
      <c r="Q29" s="20">
        <v>1968</v>
      </c>
      <c r="R29" s="26" t="s">
        <v>36</v>
      </c>
      <c r="S29" s="31">
        <v>200</v>
      </c>
      <c r="T29" s="32">
        <v>45112</v>
      </c>
      <c r="U29" s="31">
        <v>1768</v>
      </c>
      <c r="V29" s="32">
        <v>45114</v>
      </c>
      <c r="W29" s="26" t="s">
        <v>230</v>
      </c>
      <c r="X29" s="26">
        <v>0</v>
      </c>
      <c r="Y29" s="22">
        <v>0</v>
      </c>
      <c r="Z29" s="34" t="s">
        <v>50</v>
      </c>
      <c r="AA29" s="19" t="s">
        <v>51</v>
      </c>
      <c r="AB29" s="26" t="s">
        <v>104</v>
      </c>
      <c r="AC29" s="26" t="s">
        <v>53</v>
      </c>
      <c r="AD29" s="19" t="s">
        <v>54</v>
      </c>
      <c r="AE29" s="26">
        <v>0</v>
      </c>
      <c r="AF29" s="17">
        <v>45117</v>
      </c>
      <c r="AG29" s="26"/>
      <c r="AH29" s="26">
        <v>1</v>
      </c>
      <c r="AI29" s="40" t="s">
        <v>84</v>
      </c>
      <c r="AJ29" s="26"/>
      <c r="AK29" s="26"/>
      <c r="AL29" s="35"/>
      <c r="AM29" s="35"/>
      <c r="AN29" s="35"/>
      <c r="AO29" s="35"/>
      <c r="AP29" s="35"/>
    </row>
    <row r="30" spans="1:42" x14ac:dyDescent="0.2">
      <c r="A30" s="27">
        <v>45114.600710543978</v>
      </c>
      <c r="B30" s="28" t="s">
        <v>37</v>
      </c>
      <c r="C30" s="41" t="s">
        <v>118</v>
      </c>
      <c r="D30" s="26" t="s">
        <v>36</v>
      </c>
      <c r="E30" s="26" t="s">
        <v>77</v>
      </c>
      <c r="F30" s="26" t="s">
        <v>36</v>
      </c>
      <c r="G30" s="26" t="s">
        <v>41</v>
      </c>
      <c r="H30" s="26" t="s">
        <v>178</v>
      </c>
      <c r="I30" s="17">
        <f ca="1">IFERROR(__xludf.DUMMYFUNCTION("""COMPUTED_VALUE"""),45121)</f>
        <v>45121</v>
      </c>
      <c r="J30" s="29" t="s">
        <v>231</v>
      </c>
      <c r="K30" s="26" t="s">
        <v>232</v>
      </c>
      <c r="L30" s="30">
        <v>389288483</v>
      </c>
      <c r="M30" s="26" t="s">
        <v>123</v>
      </c>
      <c r="N30" s="26" t="s">
        <v>81</v>
      </c>
      <c r="O30" s="26" t="s">
        <v>134</v>
      </c>
      <c r="P30" s="26" t="s">
        <v>233</v>
      </c>
      <c r="Q30" s="20">
        <v>1968</v>
      </c>
      <c r="R30" s="26" t="s">
        <v>36</v>
      </c>
      <c r="S30" s="31">
        <v>1968</v>
      </c>
      <c r="T30" s="32">
        <v>45114</v>
      </c>
      <c r="U30" s="31"/>
      <c r="V30" s="26"/>
      <c r="W30" s="33" t="s">
        <v>234</v>
      </c>
      <c r="X30" s="26">
        <v>0</v>
      </c>
      <c r="Y30" s="22">
        <v>0</v>
      </c>
      <c r="Z30" s="34" t="s">
        <v>50</v>
      </c>
      <c r="AA30" s="19" t="s">
        <v>51</v>
      </c>
      <c r="AB30" s="26" t="s">
        <v>104</v>
      </c>
      <c r="AC30" s="26" t="s">
        <v>53</v>
      </c>
      <c r="AD30" s="19" t="s">
        <v>54</v>
      </c>
      <c r="AE30" s="26">
        <v>90</v>
      </c>
      <c r="AF30" s="17">
        <v>45117</v>
      </c>
      <c r="AG30" s="26"/>
      <c r="AH30" s="26">
        <v>1</v>
      </c>
      <c r="AI30" s="40" t="s">
        <v>84</v>
      </c>
      <c r="AJ30" s="26"/>
      <c r="AK30" s="26"/>
      <c r="AL30" s="35"/>
      <c r="AM30" s="35"/>
      <c r="AN30" s="35"/>
      <c r="AO30" s="35"/>
      <c r="AP30" s="35"/>
    </row>
    <row r="31" spans="1:42" x14ac:dyDescent="0.2">
      <c r="A31" s="27">
        <v>45115.1960191088</v>
      </c>
      <c r="B31" s="28" t="s">
        <v>37</v>
      </c>
      <c r="C31" s="41" t="s">
        <v>118</v>
      </c>
      <c r="D31" s="26" t="s">
        <v>36</v>
      </c>
      <c r="E31" s="26" t="s">
        <v>77</v>
      </c>
      <c r="F31" s="26" t="s">
        <v>36</v>
      </c>
      <c r="G31" s="26" t="s">
        <v>41</v>
      </c>
      <c r="H31" s="26" t="s">
        <v>178</v>
      </c>
      <c r="I31" s="17">
        <f ca="1">IFERROR(__xludf.DUMMYFUNCTION("""COMPUTED_VALUE"""),45121)</f>
        <v>45121</v>
      </c>
      <c r="J31" s="29" t="s">
        <v>235</v>
      </c>
      <c r="K31" s="26" t="s">
        <v>236</v>
      </c>
      <c r="L31" s="30">
        <v>356702869</v>
      </c>
      <c r="M31" s="26" t="s">
        <v>112</v>
      </c>
      <c r="N31" s="26" t="s">
        <v>113</v>
      </c>
      <c r="O31" s="26" t="s">
        <v>237</v>
      </c>
      <c r="P31" s="26" t="s">
        <v>238</v>
      </c>
      <c r="Q31" s="20">
        <v>1968</v>
      </c>
      <c r="R31" s="26" t="s">
        <v>36</v>
      </c>
      <c r="S31" s="31">
        <v>1968</v>
      </c>
      <c r="T31" s="32">
        <v>45115</v>
      </c>
      <c r="U31" s="31"/>
      <c r="V31" s="26"/>
      <c r="W31" s="33" t="s">
        <v>239</v>
      </c>
      <c r="X31" s="26">
        <v>0</v>
      </c>
      <c r="Y31" s="22">
        <v>0</v>
      </c>
      <c r="Z31" s="34" t="s">
        <v>50</v>
      </c>
      <c r="AA31" s="19" t="s">
        <v>51</v>
      </c>
      <c r="AB31" s="26" t="s">
        <v>104</v>
      </c>
      <c r="AC31" s="26" t="s">
        <v>53</v>
      </c>
      <c r="AD31" s="19" t="s">
        <v>54</v>
      </c>
      <c r="AE31" s="26" t="s">
        <v>240</v>
      </c>
      <c r="AF31" s="17">
        <v>45117</v>
      </c>
      <c r="AG31" s="26"/>
      <c r="AH31" s="26">
        <v>1</v>
      </c>
      <c r="AI31" s="40" t="s">
        <v>84</v>
      </c>
      <c r="AJ31" s="26"/>
      <c r="AK31" s="26"/>
      <c r="AL31" s="35"/>
      <c r="AM31" s="35"/>
      <c r="AN31" s="35"/>
      <c r="AO31" s="35"/>
      <c r="AP31" s="35"/>
    </row>
    <row r="32" spans="1:42" x14ac:dyDescent="0.2">
      <c r="A32" s="27">
        <v>45115.198730000004</v>
      </c>
      <c r="B32" s="28" t="s">
        <v>37</v>
      </c>
      <c r="C32" s="41" t="s">
        <v>118</v>
      </c>
      <c r="D32" s="26" t="s">
        <v>36</v>
      </c>
      <c r="E32" s="26" t="s">
        <v>77</v>
      </c>
      <c r="F32" s="26" t="s">
        <v>36</v>
      </c>
      <c r="G32" s="26" t="s">
        <v>41</v>
      </c>
      <c r="H32" s="26" t="s">
        <v>178</v>
      </c>
      <c r="I32" s="17">
        <f ca="1">IFERROR(__xludf.DUMMYFUNCTION("""COMPUTED_VALUE"""),45121)</f>
        <v>45121</v>
      </c>
      <c r="J32" s="29" t="s">
        <v>241</v>
      </c>
      <c r="K32" s="26" t="s">
        <v>242</v>
      </c>
      <c r="L32" s="30">
        <v>372174268</v>
      </c>
      <c r="M32" s="26" t="s">
        <v>112</v>
      </c>
      <c r="N32" s="26" t="s">
        <v>113</v>
      </c>
      <c r="O32" s="26" t="s">
        <v>243</v>
      </c>
      <c r="P32" s="39" t="s">
        <v>244</v>
      </c>
      <c r="Q32" s="20">
        <v>1968</v>
      </c>
      <c r="R32" s="26" t="s">
        <v>36</v>
      </c>
      <c r="S32" s="31">
        <v>1968</v>
      </c>
      <c r="T32" s="32">
        <v>45115</v>
      </c>
      <c r="U32" s="31"/>
      <c r="V32" s="26"/>
      <c r="W32" s="33" t="s">
        <v>245</v>
      </c>
      <c r="X32" s="26">
        <v>0</v>
      </c>
      <c r="Y32" s="22">
        <v>0</v>
      </c>
      <c r="Z32" s="34" t="s">
        <v>50</v>
      </c>
      <c r="AA32" s="19" t="s">
        <v>51</v>
      </c>
      <c r="AB32" s="26" t="s">
        <v>104</v>
      </c>
      <c r="AC32" s="26" t="s">
        <v>53</v>
      </c>
      <c r="AD32" s="19" t="s">
        <v>54</v>
      </c>
      <c r="AE32" s="26" t="s">
        <v>72</v>
      </c>
      <c r="AF32" s="17">
        <v>45117</v>
      </c>
      <c r="AG32" s="26"/>
      <c r="AH32" s="26">
        <v>1</v>
      </c>
      <c r="AI32" s="40" t="s">
        <v>84</v>
      </c>
      <c r="AJ32" s="26"/>
      <c r="AK32" s="26"/>
      <c r="AL32" s="35"/>
      <c r="AM32" s="35"/>
      <c r="AN32" s="35"/>
      <c r="AO32" s="35"/>
      <c r="AP32" s="35"/>
    </row>
    <row r="33" spans="1:42" x14ac:dyDescent="0.2">
      <c r="A33" s="27">
        <v>45115.202544097221</v>
      </c>
      <c r="B33" s="28" t="s">
        <v>37</v>
      </c>
      <c r="C33" s="41" t="s">
        <v>118</v>
      </c>
      <c r="D33" s="26" t="s">
        <v>36</v>
      </c>
      <c r="E33" s="26" t="s">
        <v>77</v>
      </c>
      <c r="F33" s="26" t="s">
        <v>36</v>
      </c>
      <c r="G33" s="26" t="s">
        <v>41</v>
      </c>
      <c r="H33" s="26" t="s">
        <v>178</v>
      </c>
      <c r="I33" s="17">
        <f ca="1">IFERROR(__xludf.DUMMYFUNCTION("""COMPUTED_VALUE"""),45121)</f>
        <v>45121</v>
      </c>
      <c r="J33" s="29" t="s">
        <v>246</v>
      </c>
      <c r="K33" s="26" t="s">
        <v>247</v>
      </c>
      <c r="L33" s="30">
        <v>338487291</v>
      </c>
      <c r="M33" s="26" t="s">
        <v>112</v>
      </c>
      <c r="N33" s="26" t="s">
        <v>113</v>
      </c>
      <c r="O33" s="26" t="s">
        <v>248</v>
      </c>
      <c r="P33" s="39" t="s">
        <v>249</v>
      </c>
      <c r="Q33" s="20">
        <v>1968</v>
      </c>
      <c r="R33" s="26" t="s">
        <v>36</v>
      </c>
      <c r="S33" s="31">
        <v>1968</v>
      </c>
      <c r="T33" s="32">
        <v>45115</v>
      </c>
      <c r="U33" s="31"/>
      <c r="V33" s="26"/>
      <c r="W33" s="33" t="s">
        <v>250</v>
      </c>
      <c r="X33" s="26">
        <v>0</v>
      </c>
      <c r="Y33" s="22">
        <v>0</v>
      </c>
      <c r="Z33" s="34" t="s">
        <v>50</v>
      </c>
      <c r="AA33" s="19" t="s">
        <v>51</v>
      </c>
      <c r="AB33" s="26" t="s">
        <v>104</v>
      </c>
      <c r="AC33" s="26" t="s">
        <v>53</v>
      </c>
      <c r="AD33" s="19" t="s">
        <v>54</v>
      </c>
      <c r="AE33" s="26" t="s">
        <v>240</v>
      </c>
      <c r="AF33" s="17">
        <v>45117</v>
      </c>
      <c r="AG33" s="26"/>
      <c r="AH33" s="26">
        <v>1</v>
      </c>
      <c r="AI33" s="40" t="s">
        <v>84</v>
      </c>
      <c r="AJ33" s="26"/>
      <c r="AK33" s="26"/>
      <c r="AL33" s="35"/>
      <c r="AM33" s="35"/>
      <c r="AN33" s="35"/>
      <c r="AO33" s="35"/>
      <c r="AP33" s="35"/>
    </row>
    <row r="34" spans="1:42" x14ac:dyDescent="0.2">
      <c r="A34" s="27">
        <v>45115.223222060187</v>
      </c>
      <c r="B34" s="28" t="s">
        <v>37</v>
      </c>
      <c r="C34" s="41" t="s">
        <v>118</v>
      </c>
      <c r="D34" s="26" t="s">
        <v>36</v>
      </c>
      <c r="E34" s="26" t="s">
        <v>106</v>
      </c>
      <c r="F34" s="26" t="s">
        <v>36</v>
      </c>
      <c r="G34" s="26" t="s">
        <v>108</v>
      </c>
      <c r="H34" s="26" t="s">
        <v>120</v>
      </c>
      <c r="I34" s="17">
        <f ca="1">IFERROR(__xludf.DUMMYFUNCTION("""COMPUTED_VALUE"""),45125)</f>
        <v>45125</v>
      </c>
      <c r="J34" s="29" t="s">
        <v>251</v>
      </c>
      <c r="K34" s="26" t="s">
        <v>252</v>
      </c>
      <c r="L34" s="30">
        <v>795351271</v>
      </c>
      <c r="M34" s="26" t="s">
        <v>80</v>
      </c>
      <c r="N34" s="26" t="s">
        <v>253</v>
      </c>
      <c r="O34" s="26" t="s">
        <v>254</v>
      </c>
      <c r="P34" s="26" t="s">
        <v>255</v>
      </c>
      <c r="Q34" s="20">
        <v>3768</v>
      </c>
      <c r="R34" s="26" t="s">
        <v>36</v>
      </c>
      <c r="S34" s="31">
        <v>1000</v>
      </c>
      <c r="T34" s="32">
        <v>45115</v>
      </c>
      <c r="U34" s="31">
        <v>2768</v>
      </c>
      <c r="V34" s="32">
        <v>45124</v>
      </c>
      <c r="W34" s="33" t="s">
        <v>256</v>
      </c>
      <c r="X34" s="26">
        <v>0</v>
      </c>
      <c r="Y34" s="22">
        <v>0</v>
      </c>
      <c r="Z34" s="34" t="s">
        <v>50</v>
      </c>
      <c r="AA34" s="19" t="s">
        <v>51</v>
      </c>
      <c r="AB34" s="26" t="s">
        <v>146</v>
      </c>
      <c r="AC34" s="26" t="s">
        <v>53</v>
      </c>
      <c r="AD34" s="19" t="s">
        <v>54</v>
      </c>
      <c r="AE34" s="26">
        <v>360</v>
      </c>
      <c r="AF34" s="17">
        <v>45117</v>
      </c>
      <c r="AG34" s="26"/>
      <c r="AH34" s="26">
        <v>1</v>
      </c>
      <c r="AI34" s="40">
        <v>1</v>
      </c>
      <c r="AJ34" s="26"/>
      <c r="AK34" s="26"/>
      <c r="AL34" s="35"/>
      <c r="AM34" s="35"/>
      <c r="AN34" s="35"/>
      <c r="AO34" s="35"/>
      <c r="AP34" s="35"/>
    </row>
    <row r="35" spans="1:42" x14ac:dyDescent="0.2">
      <c r="A35" s="27">
        <v>45115.698677743057</v>
      </c>
      <c r="B35" s="28" t="s">
        <v>37</v>
      </c>
      <c r="C35" s="41" t="s">
        <v>118</v>
      </c>
      <c r="D35" s="26" t="s">
        <v>36</v>
      </c>
      <c r="E35" s="26" t="s">
        <v>39</v>
      </c>
      <c r="F35" s="26" t="s">
        <v>40</v>
      </c>
      <c r="G35" s="26" t="s">
        <v>41</v>
      </c>
      <c r="H35" s="26" t="s">
        <v>257</v>
      </c>
      <c r="I35" s="17">
        <f ca="1">IFERROR(__xludf.DUMMYFUNCTION("""COMPUTED_VALUE"""),45126)</f>
        <v>45126</v>
      </c>
      <c r="J35" s="29" t="s">
        <v>258</v>
      </c>
      <c r="K35" s="26" t="s">
        <v>259</v>
      </c>
      <c r="L35" s="30">
        <v>337513398</v>
      </c>
      <c r="M35" s="26" t="s">
        <v>59</v>
      </c>
      <c r="N35" s="26" t="s">
        <v>260</v>
      </c>
      <c r="O35" s="26" t="s">
        <v>261</v>
      </c>
      <c r="P35" s="26" t="s">
        <v>262</v>
      </c>
      <c r="Q35" s="20">
        <v>5736</v>
      </c>
      <c r="R35" s="26" t="s">
        <v>36</v>
      </c>
      <c r="S35" s="31">
        <v>2000</v>
      </c>
      <c r="T35" s="32">
        <v>45114</v>
      </c>
      <c r="U35" s="31">
        <v>3736</v>
      </c>
      <c r="V35" s="32">
        <v>45138</v>
      </c>
      <c r="W35" s="33" t="s">
        <v>263</v>
      </c>
      <c r="X35" s="26">
        <v>0</v>
      </c>
      <c r="Y35" s="22">
        <v>0</v>
      </c>
      <c r="Z35" s="34" t="s">
        <v>50</v>
      </c>
      <c r="AA35" s="19" t="s">
        <v>51</v>
      </c>
      <c r="AB35" s="26" t="s">
        <v>104</v>
      </c>
      <c r="AC35" s="26" t="s">
        <v>53</v>
      </c>
      <c r="AD35" s="19" t="s">
        <v>54</v>
      </c>
      <c r="AE35" s="26" t="s">
        <v>264</v>
      </c>
      <c r="AF35" s="17">
        <v>45117</v>
      </c>
      <c r="AG35" s="26"/>
      <c r="AH35" s="26">
        <v>1</v>
      </c>
      <c r="AI35" s="40" t="s">
        <v>55</v>
      </c>
      <c r="AJ35" s="26"/>
      <c r="AK35" s="26"/>
      <c r="AL35" s="35"/>
      <c r="AM35" s="35"/>
      <c r="AN35" s="35"/>
      <c r="AO35" s="35"/>
      <c r="AP35" s="35"/>
    </row>
    <row r="36" spans="1:42" x14ac:dyDescent="0.2">
      <c r="A36" s="27">
        <v>45116.123960335652</v>
      </c>
      <c r="B36" s="28" t="s">
        <v>37</v>
      </c>
      <c r="C36" s="41" t="s">
        <v>118</v>
      </c>
      <c r="D36" s="26" t="s">
        <v>36</v>
      </c>
      <c r="E36" s="26" t="s">
        <v>77</v>
      </c>
      <c r="F36" s="26" t="s">
        <v>36</v>
      </c>
      <c r="G36" s="26" t="s">
        <v>41</v>
      </c>
      <c r="H36" s="26" t="s">
        <v>178</v>
      </c>
      <c r="I36" s="17">
        <f ca="1">IFERROR(__xludf.DUMMYFUNCTION("""COMPUTED_VALUE"""),45121)</f>
        <v>45121</v>
      </c>
      <c r="J36" s="29" t="s">
        <v>265</v>
      </c>
      <c r="K36" s="26" t="s">
        <v>266</v>
      </c>
      <c r="L36" s="30">
        <v>342877879</v>
      </c>
      <c r="M36" s="26" t="s">
        <v>94</v>
      </c>
      <c r="N36" s="26" t="s">
        <v>200</v>
      </c>
      <c r="O36" s="26" t="s">
        <v>91</v>
      </c>
      <c r="P36" s="26" t="s">
        <v>267</v>
      </c>
      <c r="Q36" s="20">
        <v>1968</v>
      </c>
      <c r="R36" s="26" t="s">
        <v>36</v>
      </c>
      <c r="S36" s="31">
        <v>1968</v>
      </c>
      <c r="T36" s="32">
        <v>45115</v>
      </c>
      <c r="U36" s="31"/>
      <c r="V36" s="26"/>
      <c r="W36" s="33" t="s">
        <v>268</v>
      </c>
      <c r="X36" s="26">
        <v>0</v>
      </c>
      <c r="Y36" s="22">
        <v>0</v>
      </c>
      <c r="Z36" s="34" t="s">
        <v>50</v>
      </c>
      <c r="AA36" s="19" t="s">
        <v>51</v>
      </c>
      <c r="AB36" s="26" t="s">
        <v>104</v>
      </c>
      <c r="AC36" s="26" t="s">
        <v>53</v>
      </c>
      <c r="AD36" s="19" t="s">
        <v>54</v>
      </c>
      <c r="AE36" s="26">
        <v>300</v>
      </c>
      <c r="AF36" s="17">
        <v>45117</v>
      </c>
      <c r="AG36" s="26"/>
      <c r="AH36" s="26">
        <v>1</v>
      </c>
      <c r="AI36" s="40" t="s">
        <v>84</v>
      </c>
      <c r="AJ36" s="26"/>
      <c r="AK36" s="26"/>
      <c r="AL36" s="35"/>
      <c r="AM36" s="35"/>
      <c r="AN36" s="35"/>
      <c r="AO36" s="35"/>
      <c r="AP36" s="35"/>
    </row>
    <row r="37" spans="1:42" x14ac:dyDescent="0.2">
      <c r="A37" s="27">
        <v>45116.270248564819</v>
      </c>
      <c r="B37" s="28" t="s">
        <v>37</v>
      </c>
      <c r="C37" s="41" t="s">
        <v>118</v>
      </c>
      <c r="D37" s="26" t="s">
        <v>36</v>
      </c>
      <c r="E37" s="26" t="s">
        <v>77</v>
      </c>
      <c r="F37" s="26" t="s">
        <v>36</v>
      </c>
      <c r="G37" s="26" t="s">
        <v>41</v>
      </c>
      <c r="H37" s="26" t="s">
        <v>257</v>
      </c>
      <c r="I37" s="17">
        <f ca="1">IFERROR(__xludf.DUMMYFUNCTION("""COMPUTED_VALUE"""),45126)</f>
        <v>45126</v>
      </c>
      <c r="J37" s="29" t="s">
        <v>269</v>
      </c>
      <c r="K37" s="26" t="s">
        <v>270</v>
      </c>
      <c r="L37" s="30">
        <v>946632262</v>
      </c>
      <c r="M37" s="26" t="s">
        <v>123</v>
      </c>
      <c r="N37" s="26" t="s">
        <v>133</v>
      </c>
      <c r="O37" s="26" t="s">
        <v>143</v>
      </c>
      <c r="P37" s="26" t="s">
        <v>271</v>
      </c>
      <c r="Q37" s="20">
        <v>1968</v>
      </c>
      <c r="R37" s="26" t="s">
        <v>36</v>
      </c>
      <c r="S37" s="31">
        <v>1968</v>
      </c>
      <c r="T37" s="32">
        <v>45115</v>
      </c>
      <c r="U37" s="31"/>
      <c r="V37" s="26"/>
      <c r="W37" s="33" t="s">
        <v>272</v>
      </c>
      <c r="X37" s="26">
        <v>0</v>
      </c>
      <c r="Y37" s="22">
        <v>0</v>
      </c>
      <c r="Z37" s="34" t="s">
        <v>50</v>
      </c>
      <c r="AA37" s="19" t="s">
        <v>51</v>
      </c>
      <c r="AB37" s="26" t="s">
        <v>104</v>
      </c>
      <c r="AC37" s="26" t="s">
        <v>53</v>
      </c>
      <c r="AD37" s="19" t="s">
        <v>54</v>
      </c>
      <c r="AE37" s="26" t="s">
        <v>72</v>
      </c>
      <c r="AF37" s="17">
        <v>45117</v>
      </c>
      <c r="AG37" s="26"/>
      <c r="AH37" s="26">
        <v>1</v>
      </c>
      <c r="AI37" s="40" t="s">
        <v>84</v>
      </c>
      <c r="AJ37" s="26"/>
      <c r="AK37" s="26"/>
      <c r="AL37" s="35"/>
      <c r="AM37" s="35"/>
      <c r="AN37" s="35"/>
      <c r="AO37" s="35"/>
      <c r="AP37" s="35"/>
    </row>
    <row r="38" spans="1:42" x14ac:dyDescent="0.2">
      <c r="A38" s="27">
        <v>45116.362005787036</v>
      </c>
      <c r="B38" s="28" t="s">
        <v>37</v>
      </c>
      <c r="C38" s="41" t="s">
        <v>118</v>
      </c>
      <c r="D38" s="26" t="s">
        <v>36</v>
      </c>
      <c r="E38" s="26" t="s">
        <v>106</v>
      </c>
      <c r="F38" s="26" t="s">
        <v>36</v>
      </c>
      <c r="G38" s="26" t="s">
        <v>108</v>
      </c>
      <c r="H38" s="26" t="s">
        <v>120</v>
      </c>
      <c r="I38" s="17">
        <f ca="1">IFERROR(__xludf.DUMMYFUNCTION("""COMPUTED_VALUE"""),45125)</f>
        <v>45125</v>
      </c>
      <c r="J38" s="29" t="s">
        <v>273</v>
      </c>
      <c r="K38" s="26" t="s">
        <v>274</v>
      </c>
      <c r="L38" s="30">
        <v>366820763</v>
      </c>
      <c r="M38" s="26" t="s">
        <v>112</v>
      </c>
      <c r="N38" s="26" t="s">
        <v>275</v>
      </c>
      <c r="O38" s="26" t="s">
        <v>91</v>
      </c>
      <c r="P38" s="26" t="s">
        <v>276</v>
      </c>
      <c r="Q38" s="20">
        <v>3768</v>
      </c>
      <c r="R38" s="26" t="s">
        <v>36</v>
      </c>
      <c r="S38" s="31">
        <v>3768</v>
      </c>
      <c r="T38" s="32">
        <v>45116</v>
      </c>
      <c r="U38" s="31"/>
      <c r="V38" s="26"/>
      <c r="W38" s="33" t="s">
        <v>277</v>
      </c>
      <c r="X38" s="26">
        <v>0</v>
      </c>
      <c r="Y38" s="22">
        <v>0</v>
      </c>
      <c r="Z38" s="34" t="s">
        <v>50</v>
      </c>
      <c r="AA38" s="19" t="s">
        <v>51</v>
      </c>
      <c r="AB38" s="26" t="s">
        <v>116</v>
      </c>
      <c r="AC38" s="26" t="s">
        <v>53</v>
      </c>
      <c r="AD38" s="19" t="s">
        <v>54</v>
      </c>
      <c r="AE38" s="26">
        <v>490</v>
      </c>
      <c r="AF38" s="17">
        <v>45117</v>
      </c>
      <c r="AG38" s="26"/>
      <c r="AH38" s="26">
        <v>1</v>
      </c>
      <c r="AI38" s="40">
        <v>1</v>
      </c>
      <c r="AJ38" s="26"/>
      <c r="AK38" s="26"/>
      <c r="AL38" s="35"/>
      <c r="AM38" s="35"/>
      <c r="AN38" s="35"/>
      <c r="AO38" s="35"/>
      <c r="AP38" s="35"/>
    </row>
    <row r="39" spans="1:42" x14ac:dyDescent="0.2">
      <c r="A39" s="27">
        <v>45116.546405659727</v>
      </c>
      <c r="B39" s="28" t="s">
        <v>37</v>
      </c>
      <c r="C39" s="41" t="s">
        <v>118</v>
      </c>
      <c r="D39" s="26" t="s">
        <v>36</v>
      </c>
      <c r="E39" s="26" t="s">
        <v>119</v>
      </c>
      <c r="F39" s="26" t="s">
        <v>36</v>
      </c>
      <c r="G39" s="26" t="s">
        <v>108</v>
      </c>
      <c r="H39" s="26" t="s">
        <v>120</v>
      </c>
      <c r="I39" s="17">
        <f ca="1">IFERROR(__xludf.DUMMYFUNCTION("""COMPUTED_VALUE"""),45125)</f>
        <v>45125</v>
      </c>
      <c r="J39" s="29" t="s">
        <v>278</v>
      </c>
      <c r="K39" s="26" t="s">
        <v>279</v>
      </c>
      <c r="L39" s="30">
        <v>868157092</v>
      </c>
      <c r="M39" s="26" t="s">
        <v>80</v>
      </c>
      <c r="N39" s="26" t="s">
        <v>81</v>
      </c>
      <c r="O39" s="26" t="s">
        <v>280</v>
      </c>
      <c r="P39" s="26" t="s">
        <v>281</v>
      </c>
      <c r="Q39" s="20">
        <v>13968</v>
      </c>
      <c r="R39" s="26" t="s">
        <v>36</v>
      </c>
      <c r="S39" s="31">
        <v>13968</v>
      </c>
      <c r="T39" s="32">
        <v>45116</v>
      </c>
      <c r="U39" s="31"/>
      <c r="V39" s="26"/>
      <c r="W39" s="33" t="s">
        <v>282</v>
      </c>
      <c r="X39" s="26">
        <v>0</v>
      </c>
      <c r="Y39" s="22">
        <v>0</v>
      </c>
      <c r="Z39" s="34" t="s">
        <v>50</v>
      </c>
      <c r="AA39" s="19" t="s">
        <v>51</v>
      </c>
      <c r="AB39" s="26" t="s">
        <v>128</v>
      </c>
      <c r="AC39" s="26" t="s">
        <v>53</v>
      </c>
      <c r="AD39" s="19" t="s">
        <v>54</v>
      </c>
      <c r="AE39" s="26">
        <v>420</v>
      </c>
      <c r="AF39" s="17">
        <v>45117</v>
      </c>
      <c r="AG39" s="26"/>
      <c r="AH39" s="26">
        <v>1</v>
      </c>
      <c r="AI39" s="40">
        <v>4</v>
      </c>
      <c r="AJ39" s="26"/>
      <c r="AK39" s="26"/>
      <c r="AL39" s="35"/>
      <c r="AM39" s="35"/>
      <c r="AN39" s="35"/>
      <c r="AO39" s="35"/>
      <c r="AP39" s="35"/>
    </row>
    <row r="40" spans="1:42" x14ac:dyDescent="0.2">
      <c r="A40" s="27">
        <v>45116.552718368053</v>
      </c>
      <c r="B40" s="28" t="s">
        <v>37</v>
      </c>
      <c r="C40" s="41" t="s">
        <v>118</v>
      </c>
      <c r="D40" s="26" t="s">
        <v>36</v>
      </c>
      <c r="E40" s="26" t="s">
        <v>77</v>
      </c>
      <c r="F40" s="26" t="s">
        <v>36</v>
      </c>
      <c r="G40" s="26" t="s">
        <v>41</v>
      </c>
      <c r="H40" s="26" t="s">
        <v>283</v>
      </c>
      <c r="I40" s="17" t="str">
        <f ca="1">IFERROR(__xludf.DUMMYFUNCTION("""COMPUTED_VALUE""")," ")</f>
        <v xml:space="preserve"> </v>
      </c>
      <c r="J40" s="29" t="s">
        <v>284</v>
      </c>
      <c r="K40" s="26" t="s">
        <v>285</v>
      </c>
      <c r="L40" s="30">
        <v>387252393</v>
      </c>
      <c r="M40" s="26" t="s">
        <v>80</v>
      </c>
      <c r="N40" s="26" t="s">
        <v>253</v>
      </c>
      <c r="O40" s="26" t="s">
        <v>286</v>
      </c>
      <c r="P40" s="26" t="s">
        <v>287</v>
      </c>
      <c r="Q40" s="20">
        <v>1968</v>
      </c>
      <c r="R40" s="26" t="s">
        <v>36</v>
      </c>
      <c r="S40" s="31">
        <v>1968</v>
      </c>
      <c r="T40" s="32">
        <v>45116</v>
      </c>
      <c r="U40" s="31"/>
      <c r="V40" s="26"/>
      <c r="W40" s="26" t="s">
        <v>288</v>
      </c>
      <c r="X40" s="26">
        <v>0</v>
      </c>
      <c r="Y40" s="22">
        <v>0</v>
      </c>
      <c r="Z40" s="34" t="s">
        <v>50</v>
      </c>
      <c r="AA40" s="19" t="s">
        <v>51</v>
      </c>
      <c r="AB40" s="26" t="s">
        <v>104</v>
      </c>
      <c r="AC40" s="26" t="s">
        <v>53</v>
      </c>
      <c r="AD40" s="19" t="s">
        <v>54</v>
      </c>
      <c r="AE40" s="26" t="s">
        <v>72</v>
      </c>
      <c r="AF40" s="17">
        <v>45117</v>
      </c>
      <c r="AG40" s="26"/>
      <c r="AH40" s="26">
        <v>1</v>
      </c>
      <c r="AI40" s="40" t="s">
        <v>84</v>
      </c>
      <c r="AJ40" s="26"/>
      <c r="AK40" s="26"/>
      <c r="AL40" s="35"/>
      <c r="AM40" s="35"/>
      <c r="AN40" s="35"/>
      <c r="AO40" s="35"/>
      <c r="AP40" s="35"/>
    </row>
    <row r="41" spans="1:42" x14ac:dyDescent="0.2">
      <c r="A41" s="27">
        <v>45117.593256631946</v>
      </c>
      <c r="B41" s="28" t="s">
        <v>37</v>
      </c>
      <c r="C41" s="41" t="s">
        <v>118</v>
      </c>
      <c r="D41" s="26" t="s">
        <v>36</v>
      </c>
      <c r="E41" s="26" t="s">
        <v>77</v>
      </c>
      <c r="F41" s="26" t="s">
        <v>36</v>
      </c>
      <c r="G41" s="26" t="s">
        <v>41</v>
      </c>
      <c r="H41" s="26" t="s">
        <v>289</v>
      </c>
      <c r="I41" s="17">
        <f ca="1">IFERROR(__xludf.DUMMYFUNCTION("""COMPUTED_VALUE"""),45125)</f>
        <v>45125</v>
      </c>
      <c r="J41" s="29" t="s">
        <v>290</v>
      </c>
      <c r="K41" s="26" t="s">
        <v>291</v>
      </c>
      <c r="L41" s="30">
        <v>336393778</v>
      </c>
      <c r="M41" s="26" t="s">
        <v>292</v>
      </c>
      <c r="N41" s="26" t="s">
        <v>293</v>
      </c>
      <c r="O41" s="26" t="s">
        <v>294</v>
      </c>
      <c r="P41" s="26" t="s">
        <v>295</v>
      </c>
      <c r="Q41" s="20">
        <v>1968</v>
      </c>
      <c r="R41" s="26" t="s">
        <v>36</v>
      </c>
      <c r="S41" s="31">
        <v>1968</v>
      </c>
      <c r="T41" s="32">
        <v>45117</v>
      </c>
      <c r="U41" s="31"/>
      <c r="V41" s="26"/>
      <c r="W41" s="33" t="s">
        <v>296</v>
      </c>
      <c r="X41" s="26">
        <v>0</v>
      </c>
      <c r="Y41" s="22">
        <v>0</v>
      </c>
      <c r="Z41" s="34" t="s">
        <v>50</v>
      </c>
      <c r="AA41" s="19" t="s">
        <v>51</v>
      </c>
      <c r="AB41" s="26" t="s">
        <v>104</v>
      </c>
      <c r="AC41" s="26" t="s">
        <v>53</v>
      </c>
      <c r="AD41" s="19" t="s">
        <v>54</v>
      </c>
      <c r="AE41" s="26">
        <v>310</v>
      </c>
      <c r="AF41" s="17">
        <v>45120</v>
      </c>
      <c r="AG41" s="26"/>
      <c r="AH41" s="26">
        <v>1</v>
      </c>
      <c r="AI41" s="40" t="s">
        <v>84</v>
      </c>
      <c r="AJ41" s="26"/>
      <c r="AK41" s="26"/>
      <c r="AL41" s="35"/>
      <c r="AM41" s="35"/>
      <c r="AN41" s="35"/>
      <c r="AO41" s="35"/>
      <c r="AP41" s="35"/>
    </row>
    <row r="42" spans="1:42" x14ac:dyDescent="0.2">
      <c r="A42" s="27">
        <v>45117.603040405098</v>
      </c>
      <c r="B42" s="28" t="s">
        <v>37</v>
      </c>
      <c r="C42" s="41" t="s">
        <v>118</v>
      </c>
      <c r="D42" s="26" t="s">
        <v>36</v>
      </c>
      <c r="E42" s="26" t="s">
        <v>77</v>
      </c>
      <c r="F42" s="26" t="s">
        <v>36</v>
      </c>
      <c r="G42" s="26" t="s">
        <v>41</v>
      </c>
      <c r="H42" s="26" t="s">
        <v>257</v>
      </c>
      <c r="I42" s="17">
        <f ca="1">IFERROR(__xludf.DUMMYFUNCTION("""COMPUTED_VALUE"""),45126)</f>
        <v>45126</v>
      </c>
      <c r="J42" s="29" t="s">
        <v>297</v>
      </c>
      <c r="K42" s="26" t="s">
        <v>298</v>
      </c>
      <c r="L42" s="30">
        <v>862932804</v>
      </c>
      <c r="M42" s="26" t="s">
        <v>80</v>
      </c>
      <c r="N42" s="26" t="s">
        <v>299</v>
      </c>
      <c r="O42" s="26" t="s">
        <v>300</v>
      </c>
      <c r="P42" s="26" t="s">
        <v>301</v>
      </c>
      <c r="Q42" s="20">
        <v>1968</v>
      </c>
      <c r="R42" s="26" t="s">
        <v>36</v>
      </c>
      <c r="S42" s="31">
        <v>1968</v>
      </c>
      <c r="T42" s="32">
        <v>45117</v>
      </c>
      <c r="U42" s="31">
        <v>13968</v>
      </c>
      <c r="V42" s="38">
        <v>45158</v>
      </c>
      <c r="W42" s="33" t="s">
        <v>302</v>
      </c>
      <c r="X42" s="26">
        <v>0</v>
      </c>
      <c r="Y42" s="22">
        <v>0</v>
      </c>
      <c r="Z42" s="34" t="s">
        <v>50</v>
      </c>
      <c r="AA42" s="19" t="s">
        <v>51</v>
      </c>
      <c r="AB42" s="26" t="s">
        <v>104</v>
      </c>
      <c r="AC42" s="26" t="s">
        <v>53</v>
      </c>
      <c r="AD42" s="19" t="s">
        <v>54</v>
      </c>
      <c r="AE42" s="26" t="s">
        <v>72</v>
      </c>
      <c r="AF42" s="17">
        <v>45120</v>
      </c>
      <c r="AG42" s="26"/>
      <c r="AH42" s="26">
        <v>1</v>
      </c>
      <c r="AI42" s="40" t="s">
        <v>84</v>
      </c>
      <c r="AJ42" s="26"/>
      <c r="AK42" s="26"/>
      <c r="AL42" s="35"/>
      <c r="AM42" s="35"/>
      <c r="AN42" s="35"/>
      <c r="AO42" s="35"/>
      <c r="AP42" s="35"/>
    </row>
    <row r="43" spans="1:42" x14ac:dyDescent="0.2">
      <c r="A43" s="27">
        <v>45117.605544502316</v>
      </c>
      <c r="B43" s="28" t="s">
        <v>37</v>
      </c>
      <c r="C43" s="41" t="s">
        <v>118</v>
      </c>
      <c r="D43" s="26" t="s">
        <v>36</v>
      </c>
      <c r="E43" s="26" t="s">
        <v>77</v>
      </c>
      <c r="F43" s="26" t="s">
        <v>36</v>
      </c>
      <c r="G43" s="26" t="s">
        <v>41</v>
      </c>
      <c r="H43" s="26" t="s">
        <v>289</v>
      </c>
      <c r="I43" s="17">
        <f ca="1">IFERROR(__xludf.DUMMYFUNCTION("""COMPUTED_VALUE"""),45125)</f>
        <v>45125</v>
      </c>
      <c r="J43" s="29" t="s">
        <v>303</v>
      </c>
      <c r="K43" s="26" t="s">
        <v>304</v>
      </c>
      <c r="L43" s="30">
        <v>385578677</v>
      </c>
      <c r="M43" s="26" t="s">
        <v>123</v>
      </c>
      <c r="N43" s="26" t="s">
        <v>133</v>
      </c>
      <c r="O43" s="26" t="s">
        <v>134</v>
      </c>
      <c r="P43" s="26" t="s">
        <v>305</v>
      </c>
      <c r="Q43" s="20">
        <v>1968</v>
      </c>
      <c r="R43" s="26" t="s">
        <v>36</v>
      </c>
      <c r="S43" s="31">
        <v>1968</v>
      </c>
      <c r="T43" s="32">
        <v>45117</v>
      </c>
      <c r="U43" s="31"/>
      <c r="V43" s="26"/>
      <c r="W43" s="33" t="s">
        <v>306</v>
      </c>
      <c r="X43" s="26">
        <v>0</v>
      </c>
      <c r="Y43" s="22">
        <v>0</v>
      </c>
      <c r="Z43" s="34" t="s">
        <v>50</v>
      </c>
      <c r="AA43" s="19" t="s">
        <v>51</v>
      </c>
      <c r="AB43" s="26" t="s">
        <v>104</v>
      </c>
      <c r="AC43" s="26" t="s">
        <v>53</v>
      </c>
      <c r="AD43" s="19" t="s">
        <v>54</v>
      </c>
      <c r="AE43" s="26">
        <v>0</v>
      </c>
      <c r="AF43" s="17">
        <v>45120</v>
      </c>
      <c r="AG43" s="26"/>
      <c r="AH43" s="26">
        <v>1</v>
      </c>
      <c r="AI43" s="40" t="s">
        <v>84</v>
      </c>
      <c r="AJ43" s="26"/>
      <c r="AK43" s="26"/>
      <c r="AL43" s="35"/>
      <c r="AM43" s="35"/>
      <c r="AN43" s="35"/>
      <c r="AO43" s="35"/>
      <c r="AP43" s="35"/>
    </row>
    <row r="44" spans="1:42" x14ac:dyDescent="0.2">
      <c r="A44" s="27">
        <v>45117.60907583333</v>
      </c>
      <c r="B44" s="28" t="s">
        <v>37</v>
      </c>
      <c r="C44" s="41" t="s">
        <v>118</v>
      </c>
      <c r="D44" s="26" t="s">
        <v>36</v>
      </c>
      <c r="E44" s="26" t="s">
        <v>77</v>
      </c>
      <c r="F44" s="26" t="s">
        <v>307</v>
      </c>
      <c r="G44" s="26" t="s">
        <v>41</v>
      </c>
      <c r="H44" s="26" t="s">
        <v>289</v>
      </c>
      <c r="I44" s="17">
        <f ca="1">IFERROR(__xludf.DUMMYFUNCTION("""COMPUTED_VALUE"""),45125)</f>
        <v>45125</v>
      </c>
      <c r="J44" s="29" t="s">
        <v>308</v>
      </c>
      <c r="K44" s="26" t="s">
        <v>309</v>
      </c>
      <c r="L44" s="30">
        <v>328456843</v>
      </c>
      <c r="M44" s="26" t="s">
        <v>123</v>
      </c>
      <c r="N44" s="26" t="s">
        <v>310</v>
      </c>
      <c r="O44" s="26" t="s">
        <v>134</v>
      </c>
      <c r="P44" s="26" t="s">
        <v>311</v>
      </c>
      <c r="Q44" s="20">
        <v>1968</v>
      </c>
      <c r="R44" s="26" t="s">
        <v>36</v>
      </c>
      <c r="S44" s="31">
        <v>1968</v>
      </c>
      <c r="T44" s="32">
        <v>45117</v>
      </c>
      <c r="U44" s="31"/>
      <c r="V44" s="26"/>
      <c r="W44" s="33" t="s">
        <v>312</v>
      </c>
      <c r="X44" s="26">
        <v>0</v>
      </c>
      <c r="Y44" s="22">
        <v>0</v>
      </c>
      <c r="Z44" s="34" t="s">
        <v>50</v>
      </c>
      <c r="AA44" s="19" t="s">
        <v>51</v>
      </c>
      <c r="AB44" s="26" t="s">
        <v>104</v>
      </c>
      <c r="AC44" s="26" t="s">
        <v>53</v>
      </c>
      <c r="AD44" s="19" t="s">
        <v>54</v>
      </c>
      <c r="AE44" s="26">
        <v>0</v>
      </c>
      <c r="AF44" s="17">
        <v>45120</v>
      </c>
      <c r="AG44" s="26"/>
      <c r="AH44" s="26">
        <v>2</v>
      </c>
      <c r="AI44" s="40" t="s">
        <v>84</v>
      </c>
      <c r="AJ44" s="26"/>
      <c r="AK44" s="26"/>
      <c r="AL44" s="35"/>
      <c r="AM44" s="35"/>
      <c r="AN44" s="35"/>
      <c r="AO44" s="35"/>
      <c r="AP44" s="35"/>
    </row>
    <row r="45" spans="1:42" x14ac:dyDescent="0.2">
      <c r="A45" s="27">
        <v>45117.633193229165</v>
      </c>
      <c r="B45" s="28" t="s">
        <v>37</v>
      </c>
      <c r="C45" s="41" t="s">
        <v>118</v>
      </c>
      <c r="D45" s="26" t="s">
        <v>36</v>
      </c>
      <c r="E45" s="26" t="s">
        <v>39</v>
      </c>
      <c r="F45" s="26" t="s">
        <v>36</v>
      </c>
      <c r="G45" s="26" t="s">
        <v>41</v>
      </c>
      <c r="H45" s="26" t="s">
        <v>289</v>
      </c>
      <c r="I45" s="17">
        <f ca="1">IFERROR(__xludf.DUMMYFUNCTION("""COMPUTED_VALUE"""),45125)</f>
        <v>45125</v>
      </c>
      <c r="J45" s="29" t="s">
        <v>313</v>
      </c>
      <c r="K45" s="26" t="s">
        <v>314</v>
      </c>
      <c r="L45" s="30">
        <v>326934705</v>
      </c>
      <c r="M45" s="26" t="s">
        <v>45</v>
      </c>
      <c r="N45" s="26" t="s">
        <v>315</v>
      </c>
      <c r="O45" s="26" t="s">
        <v>316</v>
      </c>
      <c r="P45" s="26" t="s">
        <v>317</v>
      </c>
      <c r="Q45" s="20">
        <v>5736</v>
      </c>
      <c r="R45" s="26" t="s">
        <v>70</v>
      </c>
      <c r="S45" s="31">
        <v>5536</v>
      </c>
      <c r="T45" s="32">
        <v>45117</v>
      </c>
      <c r="U45" s="31">
        <v>100</v>
      </c>
      <c r="V45" s="32">
        <v>45124</v>
      </c>
      <c r="W45" s="26" t="s">
        <v>318</v>
      </c>
      <c r="X45" s="26">
        <v>100</v>
      </c>
      <c r="Y45" s="22">
        <v>0</v>
      </c>
      <c r="Z45" s="34" t="s">
        <v>50</v>
      </c>
      <c r="AA45" s="19" t="s">
        <v>51</v>
      </c>
      <c r="AB45" s="26" t="s">
        <v>104</v>
      </c>
      <c r="AC45" s="26" t="s">
        <v>53</v>
      </c>
      <c r="AD45" s="19" t="s">
        <v>54</v>
      </c>
      <c r="AE45" s="26">
        <v>0</v>
      </c>
      <c r="AF45" s="17">
        <v>45120</v>
      </c>
      <c r="AG45" s="26"/>
      <c r="AH45" s="26">
        <v>1</v>
      </c>
      <c r="AI45" s="40" t="s">
        <v>55</v>
      </c>
      <c r="AJ45" s="26"/>
      <c r="AK45" s="26"/>
      <c r="AL45" s="35"/>
      <c r="AM45" s="35"/>
      <c r="AN45" s="35"/>
      <c r="AO45" s="35"/>
      <c r="AP45" s="35"/>
    </row>
    <row r="46" spans="1:42" x14ac:dyDescent="0.2">
      <c r="A46" s="27">
        <v>45117.634660833333</v>
      </c>
      <c r="B46" s="28" t="s">
        <v>37</v>
      </c>
      <c r="C46" s="41" t="s">
        <v>118</v>
      </c>
      <c r="D46" s="26" t="s">
        <v>36</v>
      </c>
      <c r="E46" s="26" t="s">
        <v>39</v>
      </c>
      <c r="F46" s="26" t="s">
        <v>36</v>
      </c>
      <c r="G46" s="26" t="s">
        <v>41</v>
      </c>
      <c r="H46" s="26" t="s">
        <v>289</v>
      </c>
      <c r="I46" s="17">
        <f ca="1">IFERROR(__xludf.DUMMYFUNCTION("""COMPUTED_VALUE"""),45125)</f>
        <v>45125</v>
      </c>
      <c r="J46" s="29" t="s">
        <v>319</v>
      </c>
      <c r="K46" s="26" t="s">
        <v>320</v>
      </c>
      <c r="L46" s="30">
        <v>985624531</v>
      </c>
      <c r="M46" s="26" t="s">
        <v>45</v>
      </c>
      <c r="N46" s="26" t="s">
        <v>315</v>
      </c>
      <c r="O46" s="26" t="s">
        <v>321</v>
      </c>
      <c r="P46" s="26" t="s">
        <v>322</v>
      </c>
      <c r="Q46" s="20">
        <v>5736</v>
      </c>
      <c r="R46" s="26" t="s">
        <v>70</v>
      </c>
      <c r="S46" s="31">
        <v>5536</v>
      </c>
      <c r="T46" s="32">
        <v>45117</v>
      </c>
      <c r="U46" s="31">
        <v>100</v>
      </c>
      <c r="V46" s="32">
        <v>45124</v>
      </c>
      <c r="W46" s="33" t="s">
        <v>323</v>
      </c>
      <c r="X46" s="26">
        <v>100</v>
      </c>
      <c r="Y46" s="22">
        <v>0</v>
      </c>
      <c r="Z46" s="34" t="s">
        <v>50</v>
      </c>
      <c r="AA46" s="19" t="s">
        <v>51</v>
      </c>
      <c r="AB46" s="26" t="s">
        <v>104</v>
      </c>
      <c r="AC46" s="26" t="s">
        <v>53</v>
      </c>
      <c r="AD46" s="19" t="s">
        <v>54</v>
      </c>
      <c r="AE46" s="26">
        <v>0</v>
      </c>
      <c r="AF46" s="17">
        <v>45120</v>
      </c>
      <c r="AG46" s="26"/>
      <c r="AH46" s="26">
        <v>1</v>
      </c>
      <c r="AI46" s="40" t="s">
        <v>55</v>
      </c>
      <c r="AJ46" s="26"/>
      <c r="AK46" s="26"/>
      <c r="AL46" s="35"/>
      <c r="AM46" s="35"/>
      <c r="AN46" s="35"/>
      <c r="AO46" s="35"/>
      <c r="AP46" s="35"/>
    </row>
    <row r="47" spans="1:42" x14ac:dyDescent="0.2">
      <c r="A47" s="27">
        <v>45117.647413078703</v>
      </c>
      <c r="B47" s="28" t="s">
        <v>37</v>
      </c>
      <c r="C47" s="41" t="s">
        <v>118</v>
      </c>
      <c r="D47" s="26" t="s">
        <v>36</v>
      </c>
      <c r="E47" s="26" t="s">
        <v>106</v>
      </c>
      <c r="F47" s="26" t="s">
        <v>40</v>
      </c>
      <c r="G47" s="26" t="s">
        <v>108</v>
      </c>
      <c r="H47" s="26" t="s">
        <v>324</v>
      </c>
      <c r="I47" s="17">
        <f ca="1">IFERROR(__xludf.DUMMYFUNCTION("""COMPUTED_VALUE"""),45124)</f>
        <v>45124</v>
      </c>
      <c r="J47" s="29" t="s">
        <v>325</v>
      </c>
      <c r="K47" s="26" t="s">
        <v>326</v>
      </c>
      <c r="L47" s="30">
        <v>862851911</v>
      </c>
      <c r="M47" s="26" t="s">
        <v>59</v>
      </c>
      <c r="N47" s="26" t="s">
        <v>327</v>
      </c>
      <c r="O47" s="26" t="s">
        <v>328</v>
      </c>
      <c r="P47" s="26" t="s">
        <v>329</v>
      </c>
      <c r="Q47" s="20">
        <v>3768</v>
      </c>
      <c r="R47" s="26" t="s">
        <v>36</v>
      </c>
      <c r="S47" s="31">
        <v>3768</v>
      </c>
      <c r="T47" s="32">
        <v>45116</v>
      </c>
      <c r="U47" s="31"/>
      <c r="V47" s="26"/>
      <c r="W47" s="33" t="s">
        <v>330</v>
      </c>
      <c r="X47" s="26">
        <v>0</v>
      </c>
      <c r="Y47" s="22">
        <v>0</v>
      </c>
      <c r="Z47" s="34" t="s">
        <v>50</v>
      </c>
      <c r="AA47" s="19" t="s">
        <v>51</v>
      </c>
      <c r="AB47" s="26" t="s">
        <v>128</v>
      </c>
      <c r="AC47" s="26" t="s">
        <v>53</v>
      </c>
      <c r="AD47" s="19"/>
      <c r="AE47" s="26">
        <v>680</v>
      </c>
      <c r="AF47" s="17">
        <v>45120</v>
      </c>
      <c r="AG47" s="26"/>
      <c r="AH47" s="26">
        <v>1</v>
      </c>
      <c r="AI47" s="40">
        <v>1</v>
      </c>
      <c r="AJ47" s="26"/>
      <c r="AK47" s="26"/>
      <c r="AL47" s="35"/>
      <c r="AM47" s="35"/>
      <c r="AN47" s="35"/>
      <c r="AO47" s="35"/>
      <c r="AP47" s="35"/>
    </row>
    <row r="48" spans="1:42" x14ac:dyDescent="0.2">
      <c r="A48" s="27">
        <v>45117.65050019676</v>
      </c>
      <c r="B48" s="28" t="s">
        <v>37</v>
      </c>
      <c r="C48" s="41" t="s">
        <v>118</v>
      </c>
      <c r="D48" s="26" t="s">
        <v>36</v>
      </c>
      <c r="E48" s="26" t="s">
        <v>56</v>
      </c>
      <c r="F48" s="26" t="s">
        <v>40</v>
      </c>
      <c r="G48" s="26" t="s">
        <v>41</v>
      </c>
      <c r="H48" s="26" t="s">
        <v>289</v>
      </c>
      <c r="I48" s="17">
        <f ca="1">IFERROR(__xludf.DUMMYFUNCTION("""COMPUTED_VALUE"""),45125)</f>
        <v>45125</v>
      </c>
      <c r="J48" s="29" t="s">
        <v>331</v>
      </c>
      <c r="K48" s="26" t="s">
        <v>332</v>
      </c>
      <c r="L48" s="30">
        <v>986059641</v>
      </c>
      <c r="M48" s="26" t="s">
        <v>59</v>
      </c>
      <c r="N48" s="26" t="s">
        <v>60</v>
      </c>
      <c r="O48" s="26" t="s">
        <v>333</v>
      </c>
      <c r="P48" s="26" t="s">
        <v>334</v>
      </c>
      <c r="Q48" s="20">
        <v>9317</v>
      </c>
      <c r="R48" s="26" t="s">
        <v>36</v>
      </c>
      <c r="S48" s="31">
        <v>9317</v>
      </c>
      <c r="T48" s="32">
        <v>45116</v>
      </c>
      <c r="U48" s="31"/>
      <c r="V48" s="26"/>
      <c r="W48" s="33" t="s">
        <v>335</v>
      </c>
      <c r="X48" s="26">
        <v>0</v>
      </c>
      <c r="Y48" s="22">
        <v>0</v>
      </c>
      <c r="Z48" s="34" t="s">
        <v>50</v>
      </c>
      <c r="AA48" s="19" t="s">
        <v>51</v>
      </c>
      <c r="AB48" s="26" t="s">
        <v>104</v>
      </c>
      <c r="AC48" s="26" t="s">
        <v>53</v>
      </c>
      <c r="AD48" s="19" t="s">
        <v>54</v>
      </c>
      <c r="AE48" s="26" t="s">
        <v>336</v>
      </c>
      <c r="AF48" s="17">
        <v>45120</v>
      </c>
      <c r="AG48" s="26"/>
      <c r="AH48" s="26">
        <v>1</v>
      </c>
      <c r="AI48" s="40" t="s">
        <v>64</v>
      </c>
      <c r="AJ48" s="26"/>
      <c r="AK48" s="26"/>
      <c r="AL48" s="35"/>
      <c r="AM48" s="35"/>
      <c r="AN48" s="35"/>
      <c r="AO48" s="35"/>
      <c r="AP48" s="35"/>
    </row>
    <row r="49" spans="1:42" x14ac:dyDescent="0.2">
      <c r="A49" s="27">
        <v>45118.056014988426</v>
      </c>
      <c r="B49" s="28" t="s">
        <v>37</v>
      </c>
      <c r="C49" s="41" t="s">
        <v>118</v>
      </c>
      <c r="D49" s="26" t="s">
        <v>36</v>
      </c>
      <c r="E49" s="26" t="s">
        <v>148</v>
      </c>
      <c r="F49" s="26" t="s">
        <v>337</v>
      </c>
      <c r="G49" s="26" t="s">
        <v>108</v>
      </c>
      <c r="H49" s="26" t="s">
        <v>338</v>
      </c>
      <c r="I49" s="17">
        <f ca="1">IFERROR(__xludf.DUMMYFUNCTION("""COMPUTED_VALUE"""),45131)</f>
        <v>45131</v>
      </c>
      <c r="J49" s="29" t="s">
        <v>339</v>
      </c>
      <c r="K49" s="26" t="s">
        <v>340</v>
      </c>
      <c r="L49" s="30">
        <v>338054682</v>
      </c>
      <c r="M49" s="26" t="s">
        <v>94</v>
      </c>
      <c r="N49" s="26" t="s">
        <v>341</v>
      </c>
      <c r="O49" s="26" t="s">
        <v>342</v>
      </c>
      <c r="P49" s="26" t="s">
        <v>343</v>
      </c>
      <c r="Q49" s="20">
        <v>7349</v>
      </c>
      <c r="R49" s="26" t="s">
        <v>36</v>
      </c>
      <c r="S49" s="31">
        <v>7349</v>
      </c>
      <c r="T49" s="32">
        <v>45118</v>
      </c>
      <c r="U49" s="31"/>
      <c r="V49" s="26"/>
      <c r="W49" s="33" t="s">
        <v>344</v>
      </c>
      <c r="X49" s="26">
        <v>100</v>
      </c>
      <c r="Y49" s="22">
        <v>-100</v>
      </c>
      <c r="Z49" s="34" t="s">
        <v>50</v>
      </c>
      <c r="AA49" s="19" t="s">
        <v>51</v>
      </c>
      <c r="AB49" s="26" t="s">
        <v>116</v>
      </c>
      <c r="AC49" s="26" t="s">
        <v>53</v>
      </c>
      <c r="AD49" s="19" t="s">
        <v>54</v>
      </c>
      <c r="AE49" s="26">
        <v>380</v>
      </c>
      <c r="AF49" s="17">
        <v>45122</v>
      </c>
      <c r="AG49" s="26"/>
      <c r="AH49" s="26">
        <v>1</v>
      </c>
      <c r="AI49" s="40">
        <v>2</v>
      </c>
      <c r="AJ49" s="26"/>
      <c r="AK49" s="26"/>
      <c r="AL49" s="35"/>
      <c r="AM49" s="35"/>
      <c r="AN49" s="35"/>
      <c r="AO49" s="35"/>
      <c r="AP49" s="35"/>
    </row>
    <row r="50" spans="1:42" x14ac:dyDescent="0.2">
      <c r="A50" s="27">
        <v>45118.073504085653</v>
      </c>
      <c r="B50" s="28" t="s">
        <v>37</v>
      </c>
      <c r="C50" s="41" t="s">
        <v>118</v>
      </c>
      <c r="D50" s="26" t="s">
        <v>36</v>
      </c>
      <c r="E50" s="26" t="s">
        <v>77</v>
      </c>
      <c r="F50" s="26" t="s">
        <v>36</v>
      </c>
      <c r="G50" s="26" t="s">
        <v>41</v>
      </c>
      <c r="H50" s="26" t="s">
        <v>345</v>
      </c>
      <c r="I50" s="17">
        <f ca="1">IFERROR(__xludf.DUMMYFUNCTION("""COMPUTED_VALUE"""),45127)</f>
        <v>45127</v>
      </c>
      <c r="J50" s="29" t="s">
        <v>346</v>
      </c>
      <c r="K50" s="26" t="s">
        <v>347</v>
      </c>
      <c r="L50" s="30">
        <v>818457332</v>
      </c>
      <c r="M50" s="26" t="s">
        <v>348</v>
      </c>
      <c r="N50" s="26" t="s">
        <v>200</v>
      </c>
      <c r="O50" s="26" t="s">
        <v>349</v>
      </c>
      <c r="P50" s="26" t="s">
        <v>350</v>
      </c>
      <c r="Q50" s="20">
        <v>1968</v>
      </c>
      <c r="R50" s="26" t="s">
        <v>36</v>
      </c>
      <c r="S50" s="31">
        <v>1968</v>
      </c>
      <c r="T50" s="32">
        <v>45116</v>
      </c>
      <c r="U50" s="31"/>
      <c r="V50" s="26"/>
      <c r="W50" s="33" t="s">
        <v>351</v>
      </c>
      <c r="X50" s="26">
        <v>0</v>
      </c>
      <c r="Y50" s="22">
        <v>0</v>
      </c>
      <c r="Z50" s="34" t="s">
        <v>50</v>
      </c>
      <c r="AA50" s="19" t="s">
        <v>51</v>
      </c>
      <c r="AB50" s="26" t="s">
        <v>104</v>
      </c>
      <c r="AC50" s="26" t="s">
        <v>53</v>
      </c>
      <c r="AD50" s="19" t="s">
        <v>54</v>
      </c>
      <c r="AE50" s="26">
        <v>310</v>
      </c>
      <c r="AF50" s="17">
        <v>45120</v>
      </c>
      <c r="AG50" s="26"/>
      <c r="AH50" s="26">
        <v>1</v>
      </c>
      <c r="AI50" s="40" t="s">
        <v>84</v>
      </c>
      <c r="AJ50" s="26"/>
      <c r="AK50" s="26"/>
      <c r="AL50" s="35"/>
      <c r="AM50" s="35"/>
      <c r="AN50" s="35"/>
      <c r="AO50" s="35"/>
      <c r="AP50" s="35"/>
    </row>
    <row r="51" spans="1:42" x14ac:dyDescent="0.2">
      <c r="A51" s="27">
        <v>45118.614845543983</v>
      </c>
      <c r="B51" s="28" t="s">
        <v>37</v>
      </c>
      <c r="C51" s="41" t="s">
        <v>118</v>
      </c>
      <c r="D51" s="26" t="s">
        <v>36</v>
      </c>
      <c r="E51" s="26" t="s">
        <v>77</v>
      </c>
      <c r="F51" s="26" t="s">
        <v>36</v>
      </c>
      <c r="G51" s="26" t="s">
        <v>41</v>
      </c>
      <c r="H51" s="26" t="s">
        <v>345</v>
      </c>
      <c r="I51" s="17">
        <f ca="1">IFERROR(__xludf.DUMMYFUNCTION("""COMPUTED_VALUE"""),45127)</f>
        <v>45127</v>
      </c>
      <c r="J51" s="29" t="s">
        <v>352</v>
      </c>
      <c r="K51" s="26" t="s">
        <v>353</v>
      </c>
      <c r="L51" s="30">
        <v>344335209</v>
      </c>
      <c r="M51" s="26" t="s">
        <v>354</v>
      </c>
      <c r="N51" s="26" t="s">
        <v>355</v>
      </c>
      <c r="O51" s="26" t="s">
        <v>356</v>
      </c>
      <c r="P51" s="26" t="s">
        <v>357</v>
      </c>
      <c r="Q51" s="20">
        <v>1968</v>
      </c>
      <c r="R51" s="26" t="s">
        <v>36</v>
      </c>
      <c r="S51" s="31">
        <v>1968</v>
      </c>
      <c r="T51" s="32">
        <v>45118</v>
      </c>
      <c r="U51" s="31"/>
      <c r="V51" s="26"/>
      <c r="W51" s="33" t="s">
        <v>358</v>
      </c>
      <c r="X51" s="26">
        <v>0</v>
      </c>
      <c r="Y51" s="22">
        <v>0</v>
      </c>
      <c r="Z51" s="34" t="s">
        <v>50</v>
      </c>
      <c r="AA51" s="19" t="s">
        <v>51</v>
      </c>
      <c r="AB51" s="26" t="s">
        <v>104</v>
      </c>
      <c r="AC51" s="26"/>
      <c r="AD51" s="19" t="s">
        <v>54</v>
      </c>
      <c r="AE51" s="26"/>
      <c r="AF51" s="17">
        <v>45120</v>
      </c>
      <c r="AG51" s="26"/>
      <c r="AH51" s="26">
        <v>1</v>
      </c>
      <c r="AI51" s="40" t="s">
        <v>84</v>
      </c>
      <c r="AJ51" s="26"/>
      <c r="AK51" s="26"/>
      <c r="AL51" s="35"/>
      <c r="AM51" s="35"/>
      <c r="AN51" s="35"/>
      <c r="AO51" s="35"/>
      <c r="AP51" s="35"/>
    </row>
    <row r="52" spans="1:42" x14ac:dyDescent="0.2">
      <c r="A52" s="27">
        <v>45118.622044004631</v>
      </c>
      <c r="B52" s="28" t="s">
        <v>37</v>
      </c>
      <c r="C52" s="41" t="s">
        <v>118</v>
      </c>
      <c r="D52" s="26" t="s">
        <v>36</v>
      </c>
      <c r="E52" s="26" t="s">
        <v>56</v>
      </c>
      <c r="F52" s="26" t="s">
        <v>36</v>
      </c>
      <c r="G52" s="26" t="s">
        <v>41</v>
      </c>
      <c r="H52" s="26" t="s">
        <v>345</v>
      </c>
      <c r="I52" s="17">
        <f ca="1">IFERROR(__xludf.DUMMYFUNCTION("""COMPUTED_VALUE"""),45127)</f>
        <v>45127</v>
      </c>
      <c r="J52" s="29" t="s">
        <v>359</v>
      </c>
      <c r="K52" s="26" t="s">
        <v>360</v>
      </c>
      <c r="L52" s="30">
        <v>336574538</v>
      </c>
      <c r="M52" s="26" t="s">
        <v>354</v>
      </c>
      <c r="N52" s="26" t="s">
        <v>355</v>
      </c>
      <c r="O52" s="26" t="s">
        <v>361</v>
      </c>
      <c r="P52" s="26" t="s">
        <v>362</v>
      </c>
      <c r="Q52" s="20">
        <v>9317</v>
      </c>
      <c r="R52" s="26" t="s">
        <v>36</v>
      </c>
      <c r="S52" s="31">
        <v>9317</v>
      </c>
      <c r="T52" s="32">
        <v>45117</v>
      </c>
      <c r="U52" s="31"/>
      <c r="V52" s="26"/>
      <c r="W52" s="33" t="s">
        <v>363</v>
      </c>
      <c r="X52" s="26">
        <v>0</v>
      </c>
      <c r="Y52" s="22">
        <v>0</v>
      </c>
      <c r="Z52" s="34" t="s">
        <v>50</v>
      </c>
      <c r="AA52" s="19" t="s">
        <v>51</v>
      </c>
      <c r="AB52" s="26" t="s">
        <v>104</v>
      </c>
      <c r="AC52" s="26" t="s">
        <v>53</v>
      </c>
      <c r="AD52" s="19" t="s">
        <v>54</v>
      </c>
      <c r="AE52" s="26"/>
      <c r="AF52" s="17">
        <v>45120</v>
      </c>
      <c r="AG52" s="26" t="s">
        <v>364</v>
      </c>
      <c r="AH52" s="26">
        <v>1</v>
      </c>
      <c r="AI52" s="40" t="s">
        <v>64</v>
      </c>
      <c r="AJ52" s="26"/>
      <c r="AK52" s="26"/>
      <c r="AL52" s="35"/>
      <c r="AM52" s="35"/>
      <c r="AN52" s="35"/>
      <c r="AO52" s="35"/>
      <c r="AP52" s="35"/>
    </row>
    <row r="53" spans="1:42" x14ac:dyDescent="0.2">
      <c r="A53" s="27">
        <v>45118.63029173611</v>
      </c>
      <c r="B53" s="28" t="s">
        <v>37</v>
      </c>
      <c r="C53" s="41" t="s">
        <v>118</v>
      </c>
      <c r="D53" s="26" t="s">
        <v>36</v>
      </c>
      <c r="E53" s="26" t="s">
        <v>106</v>
      </c>
      <c r="F53" s="26" t="s">
        <v>36</v>
      </c>
      <c r="G53" s="26" t="s">
        <v>108</v>
      </c>
      <c r="H53" s="26" t="s">
        <v>324</v>
      </c>
      <c r="I53" s="17">
        <f ca="1">IFERROR(__xludf.DUMMYFUNCTION("""COMPUTED_VALUE"""),45124)</f>
        <v>45124</v>
      </c>
      <c r="J53" s="29" t="s">
        <v>365</v>
      </c>
      <c r="K53" s="26" t="s">
        <v>366</v>
      </c>
      <c r="L53" s="30">
        <v>973724205</v>
      </c>
      <c r="M53" s="26" t="s">
        <v>123</v>
      </c>
      <c r="N53" s="26" t="s">
        <v>151</v>
      </c>
      <c r="O53" s="26" t="s">
        <v>367</v>
      </c>
      <c r="P53" s="26" t="s">
        <v>368</v>
      </c>
      <c r="Q53" s="20">
        <v>3768</v>
      </c>
      <c r="R53" s="26" t="s">
        <v>36</v>
      </c>
      <c r="S53" s="31">
        <v>200</v>
      </c>
      <c r="T53" s="32">
        <v>45114</v>
      </c>
      <c r="U53" s="31">
        <v>3568</v>
      </c>
      <c r="V53" s="45">
        <v>45118</v>
      </c>
      <c r="W53" s="26" t="s">
        <v>369</v>
      </c>
      <c r="X53" s="26">
        <v>0</v>
      </c>
      <c r="Y53" s="22">
        <v>0</v>
      </c>
      <c r="Z53" s="34" t="s">
        <v>50</v>
      </c>
      <c r="AA53" s="19" t="s">
        <v>51</v>
      </c>
      <c r="AB53" s="26" t="s">
        <v>116</v>
      </c>
      <c r="AC53" s="26" t="s">
        <v>53</v>
      </c>
      <c r="AD53" s="19" t="s">
        <v>54</v>
      </c>
      <c r="AE53" s="26">
        <v>380</v>
      </c>
      <c r="AF53" s="17">
        <v>45120</v>
      </c>
      <c r="AG53" s="26"/>
      <c r="AH53" s="26">
        <v>1</v>
      </c>
      <c r="AI53" s="40">
        <v>1</v>
      </c>
      <c r="AJ53" s="26"/>
      <c r="AK53" s="26"/>
      <c r="AL53" s="35"/>
      <c r="AM53" s="35"/>
      <c r="AN53" s="35"/>
      <c r="AO53" s="35"/>
      <c r="AP53" s="35"/>
    </row>
    <row r="54" spans="1:42" x14ac:dyDescent="0.2">
      <c r="A54" s="27">
        <v>45119.18786121528</v>
      </c>
      <c r="B54" s="28" t="s">
        <v>37</v>
      </c>
      <c r="C54" s="41" t="s">
        <v>118</v>
      </c>
      <c r="D54" s="26" t="s">
        <v>36</v>
      </c>
      <c r="E54" s="26" t="s">
        <v>106</v>
      </c>
      <c r="F54" s="26" t="s">
        <v>36</v>
      </c>
      <c r="G54" s="26" t="s">
        <v>108</v>
      </c>
      <c r="H54" s="26" t="s">
        <v>338</v>
      </c>
      <c r="I54" s="17">
        <f ca="1">IFERROR(__xludf.DUMMYFUNCTION("""COMPUTED_VALUE"""),45131)</f>
        <v>45131</v>
      </c>
      <c r="J54" s="29" t="s">
        <v>370</v>
      </c>
      <c r="K54" s="26" t="s">
        <v>371</v>
      </c>
      <c r="L54" s="30">
        <v>562311624</v>
      </c>
      <c r="M54" s="26" t="s">
        <v>354</v>
      </c>
      <c r="N54" s="26" t="s">
        <v>355</v>
      </c>
      <c r="O54" s="26" t="s">
        <v>372</v>
      </c>
      <c r="P54" s="26" t="s">
        <v>373</v>
      </c>
      <c r="Q54" s="20">
        <v>3768</v>
      </c>
      <c r="R54" s="26" t="s">
        <v>36</v>
      </c>
      <c r="S54" s="31">
        <v>3768</v>
      </c>
      <c r="T54" s="32">
        <v>45119</v>
      </c>
      <c r="U54" s="31"/>
      <c r="V54" s="26"/>
      <c r="W54" s="33" t="s">
        <v>374</v>
      </c>
      <c r="X54" s="26">
        <v>0</v>
      </c>
      <c r="Y54" s="22">
        <v>0</v>
      </c>
      <c r="Z54" s="34" t="s">
        <v>50</v>
      </c>
      <c r="AA54" s="19" t="s">
        <v>51</v>
      </c>
      <c r="AB54" s="26" t="s">
        <v>116</v>
      </c>
      <c r="AC54" s="26" t="s">
        <v>53</v>
      </c>
      <c r="AD54" s="19" t="s">
        <v>54</v>
      </c>
      <c r="AE54" s="26">
        <v>420</v>
      </c>
      <c r="AF54" s="17">
        <v>45122</v>
      </c>
      <c r="AG54" s="26"/>
      <c r="AH54" s="26">
        <v>1</v>
      </c>
      <c r="AI54" s="40">
        <v>1</v>
      </c>
      <c r="AJ54" s="26"/>
      <c r="AK54" s="26"/>
      <c r="AL54" s="35"/>
      <c r="AM54" s="35"/>
      <c r="AN54" s="35"/>
      <c r="AO54" s="35"/>
      <c r="AP54" s="35"/>
    </row>
    <row r="55" spans="1:42" x14ac:dyDescent="0.2">
      <c r="A55" s="27">
        <v>45119.369715810186</v>
      </c>
      <c r="B55" s="28" t="s">
        <v>37</v>
      </c>
      <c r="C55" s="41" t="s">
        <v>118</v>
      </c>
      <c r="D55" s="26" t="s">
        <v>36</v>
      </c>
      <c r="E55" s="26" t="s">
        <v>219</v>
      </c>
      <c r="F55" s="26" t="s">
        <v>375</v>
      </c>
      <c r="G55" s="26" t="s">
        <v>221</v>
      </c>
      <c r="H55" s="26" t="s">
        <v>376</v>
      </c>
      <c r="I55" s="17">
        <f ca="1">IFERROR(__xludf.DUMMYFUNCTION("""COMPUTED_VALUE"""),45127)</f>
        <v>45127</v>
      </c>
      <c r="J55" s="29" t="s">
        <v>377</v>
      </c>
      <c r="K55" s="26" t="s">
        <v>378</v>
      </c>
      <c r="L55" s="30">
        <v>969567497</v>
      </c>
      <c r="M55" s="26" t="s">
        <v>112</v>
      </c>
      <c r="N55" s="26" t="s">
        <v>379</v>
      </c>
      <c r="O55" s="26" t="s">
        <v>380</v>
      </c>
      <c r="P55" s="26" t="s">
        <v>381</v>
      </c>
      <c r="Q55" s="20">
        <v>3968</v>
      </c>
      <c r="R55" s="26" t="s">
        <v>36</v>
      </c>
      <c r="S55" s="31">
        <v>3868</v>
      </c>
      <c r="T55" s="32">
        <v>45118</v>
      </c>
      <c r="U55" s="31"/>
      <c r="V55" s="26"/>
      <c r="W55" s="33" t="s">
        <v>382</v>
      </c>
      <c r="X55" s="26">
        <v>100</v>
      </c>
      <c r="Y55" s="22">
        <v>0</v>
      </c>
      <c r="Z55" s="34" t="s">
        <v>50</v>
      </c>
      <c r="AA55" s="19" t="s">
        <v>51</v>
      </c>
      <c r="AB55" s="26" t="s">
        <v>104</v>
      </c>
      <c r="AC55" s="26" t="s">
        <v>53</v>
      </c>
      <c r="AD55" s="19" t="s">
        <v>54</v>
      </c>
      <c r="AE55" s="26">
        <v>530</v>
      </c>
      <c r="AF55" s="17">
        <v>45120</v>
      </c>
      <c r="AG55" s="26"/>
      <c r="AH55" s="26">
        <v>1</v>
      </c>
      <c r="AI55" s="40">
        <v>1</v>
      </c>
      <c r="AJ55" s="26"/>
      <c r="AK55" s="26"/>
      <c r="AL55" s="35"/>
      <c r="AM55" s="35"/>
      <c r="AN55" s="35"/>
      <c r="AO55" s="35"/>
      <c r="AP55" s="35"/>
    </row>
    <row r="56" spans="1:42" x14ac:dyDescent="0.2">
      <c r="A56" s="27">
        <v>45119.431088240744</v>
      </c>
      <c r="B56" s="28" t="s">
        <v>37</v>
      </c>
      <c r="C56" s="41" t="s">
        <v>118</v>
      </c>
      <c r="D56" s="26" t="s">
        <v>36</v>
      </c>
      <c r="E56" s="26" t="s">
        <v>106</v>
      </c>
      <c r="F56" s="26" t="s">
        <v>36</v>
      </c>
      <c r="G56" s="26" t="s">
        <v>108</v>
      </c>
      <c r="H56" s="26" t="s">
        <v>324</v>
      </c>
      <c r="I56" s="17">
        <f ca="1">IFERROR(__xludf.DUMMYFUNCTION("""COMPUTED_VALUE"""),45124)</f>
        <v>45124</v>
      </c>
      <c r="J56" s="29" t="s">
        <v>383</v>
      </c>
      <c r="K56" s="26" t="s">
        <v>384</v>
      </c>
      <c r="L56" s="30">
        <v>378322608</v>
      </c>
      <c r="M56" s="26" t="s">
        <v>80</v>
      </c>
      <c r="N56" s="26" t="s">
        <v>253</v>
      </c>
      <c r="O56" s="26" t="s">
        <v>385</v>
      </c>
      <c r="P56" s="26" t="s">
        <v>386</v>
      </c>
      <c r="Q56" s="20">
        <v>3768</v>
      </c>
      <c r="R56" s="26" t="s">
        <v>36</v>
      </c>
      <c r="S56" s="31">
        <v>3768</v>
      </c>
      <c r="T56" s="32">
        <v>45119</v>
      </c>
      <c r="U56" s="31"/>
      <c r="V56" s="26"/>
      <c r="W56" s="33" t="s">
        <v>387</v>
      </c>
      <c r="X56" s="26">
        <v>0</v>
      </c>
      <c r="Y56" s="22">
        <v>0</v>
      </c>
      <c r="Z56" s="34" t="s">
        <v>50</v>
      </c>
      <c r="AA56" s="19" t="s">
        <v>51</v>
      </c>
      <c r="AB56" s="26" t="s">
        <v>137</v>
      </c>
      <c r="AC56" s="26" t="s">
        <v>53</v>
      </c>
      <c r="AD56" s="19" t="s">
        <v>54</v>
      </c>
      <c r="AE56" s="26">
        <v>380</v>
      </c>
      <c r="AF56" s="17">
        <v>45120</v>
      </c>
      <c r="AG56" s="26"/>
      <c r="AH56" s="26">
        <v>1</v>
      </c>
      <c r="AI56" s="40">
        <v>1</v>
      </c>
      <c r="AJ56" s="26"/>
      <c r="AK56" s="26"/>
      <c r="AL56" s="35"/>
      <c r="AM56" s="35"/>
      <c r="AN56" s="35"/>
      <c r="AO56" s="35"/>
      <c r="AP56" s="35"/>
    </row>
    <row r="57" spans="1:42" x14ac:dyDescent="0.2">
      <c r="A57" s="27">
        <v>45120.05188190972</v>
      </c>
      <c r="B57" s="28" t="s">
        <v>37</v>
      </c>
      <c r="C57" s="41" t="s">
        <v>118</v>
      </c>
      <c r="D57" s="26" t="s">
        <v>36</v>
      </c>
      <c r="E57" s="26" t="s">
        <v>77</v>
      </c>
      <c r="F57" s="26" t="s">
        <v>91</v>
      </c>
      <c r="G57" s="26" t="s">
        <v>41</v>
      </c>
      <c r="H57" s="26" t="s">
        <v>388</v>
      </c>
      <c r="I57" s="17">
        <f ca="1">IFERROR(__xludf.DUMMYFUNCTION("""COMPUTED_VALUE"""),45127)</f>
        <v>45127</v>
      </c>
      <c r="J57" s="29" t="s">
        <v>389</v>
      </c>
      <c r="K57" s="26" t="s">
        <v>390</v>
      </c>
      <c r="L57" s="30">
        <v>354384499</v>
      </c>
      <c r="M57" s="26" t="s">
        <v>391</v>
      </c>
      <c r="N57" s="26" t="s">
        <v>392</v>
      </c>
      <c r="O57" s="26" t="s">
        <v>393</v>
      </c>
      <c r="P57" s="26" t="s">
        <v>394</v>
      </c>
      <c r="Q57" s="20">
        <v>1968</v>
      </c>
      <c r="R57" s="26" t="s">
        <v>36</v>
      </c>
      <c r="S57" s="31">
        <v>1968</v>
      </c>
      <c r="T57" s="32">
        <v>45119</v>
      </c>
      <c r="U57" s="31"/>
      <c r="V57" s="26"/>
      <c r="W57" s="33" t="s">
        <v>395</v>
      </c>
      <c r="X57" s="26">
        <v>0</v>
      </c>
      <c r="Y57" s="22">
        <v>0</v>
      </c>
      <c r="Z57" s="34" t="s">
        <v>50</v>
      </c>
      <c r="AA57" s="19" t="s">
        <v>51</v>
      </c>
      <c r="AB57" s="26" t="s">
        <v>104</v>
      </c>
      <c r="AC57" s="26" t="s">
        <v>53</v>
      </c>
      <c r="AD57" s="19" t="s">
        <v>54</v>
      </c>
      <c r="AE57" s="26"/>
      <c r="AF57" s="17">
        <v>45120</v>
      </c>
      <c r="AG57" s="26"/>
      <c r="AH57" s="26">
        <v>1</v>
      </c>
      <c r="AI57" s="40" t="s">
        <v>84</v>
      </c>
      <c r="AJ57" s="26"/>
      <c r="AK57" s="26"/>
      <c r="AL57" s="35"/>
      <c r="AM57" s="35"/>
      <c r="AN57" s="35"/>
      <c r="AO57" s="35"/>
      <c r="AP57" s="35"/>
    </row>
    <row r="58" spans="1:42" x14ac:dyDescent="0.2">
      <c r="A58" s="27">
        <v>45120.141541226854</v>
      </c>
      <c r="B58" s="28" t="s">
        <v>37</v>
      </c>
      <c r="C58" s="41" t="s">
        <v>118</v>
      </c>
      <c r="D58" s="26" t="s">
        <v>36</v>
      </c>
      <c r="E58" s="26" t="s">
        <v>106</v>
      </c>
      <c r="F58" s="26" t="s">
        <v>36</v>
      </c>
      <c r="G58" s="26" t="s">
        <v>108</v>
      </c>
      <c r="H58" s="26" t="s">
        <v>338</v>
      </c>
      <c r="I58" s="17">
        <f ca="1">IFERROR(__xludf.DUMMYFUNCTION("""COMPUTED_VALUE"""),45131)</f>
        <v>45131</v>
      </c>
      <c r="J58" s="29" t="s">
        <v>396</v>
      </c>
      <c r="K58" s="26" t="s">
        <v>397</v>
      </c>
      <c r="L58" s="30">
        <v>332557993</v>
      </c>
      <c r="M58" s="26" t="s">
        <v>80</v>
      </c>
      <c r="N58" s="26" t="s">
        <v>87</v>
      </c>
      <c r="O58" s="26" t="s">
        <v>398</v>
      </c>
      <c r="P58" s="26" t="s">
        <v>399</v>
      </c>
      <c r="Q58" s="20">
        <v>3768</v>
      </c>
      <c r="R58" s="26" t="s">
        <v>36</v>
      </c>
      <c r="S58" s="31">
        <v>3768</v>
      </c>
      <c r="T58" s="32">
        <v>45120</v>
      </c>
      <c r="U58" s="31"/>
      <c r="V58" s="26"/>
      <c r="W58" s="33" t="s">
        <v>400</v>
      </c>
      <c r="X58" s="26">
        <v>0</v>
      </c>
      <c r="Y58" s="22">
        <v>0</v>
      </c>
      <c r="Z58" s="34" t="s">
        <v>50</v>
      </c>
      <c r="AA58" s="19" t="s">
        <v>51</v>
      </c>
      <c r="AB58" s="26" t="s">
        <v>137</v>
      </c>
      <c r="AC58" s="26" t="s">
        <v>53</v>
      </c>
      <c r="AD58" s="19" t="s">
        <v>54</v>
      </c>
      <c r="AE58" s="26">
        <v>350</v>
      </c>
      <c r="AF58" s="17">
        <v>45122</v>
      </c>
      <c r="AG58" s="26"/>
      <c r="AH58" s="26">
        <v>1</v>
      </c>
      <c r="AI58" s="40">
        <v>1</v>
      </c>
      <c r="AJ58" s="26"/>
      <c r="AK58" s="26"/>
      <c r="AL58" s="35"/>
      <c r="AM58" s="35"/>
      <c r="AN58" s="35"/>
      <c r="AO58" s="35"/>
      <c r="AP58" s="35"/>
    </row>
    <row r="59" spans="1:42" x14ac:dyDescent="0.2">
      <c r="A59" s="27">
        <v>45120.300932743055</v>
      </c>
      <c r="B59" s="28" t="s">
        <v>37</v>
      </c>
      <c r="C59" s="41" t="s">
        <v>118</v>
      </c>
      <c r="D59" s="26" t="s">
        <v>36</v>
      </c>
      <c r="E59" s="26" t="s">
        <v>39</v>
      </c>
      <c r="F59" s="26" t="s">
        <v>40</v>
      </c>
      <c r="G59" s="26" t="s">
        <v>41</v>
      </c>
      <c r="H59" s="26" t="s">
        <v>345</v>
      </c>
      <c r="I59" s="17">
        <f ca="1">IFERROR(__xludf.DUMMYFUNCTION("""COMPUTED_VALUE"""),45127)</f>
        <v>45127</v>
      </c>
      <c r="J59" s="29" t="s">
        <v>401</v>
      </c>
      <c r="K59" s="26" t="s">
        <v>402</v>
      </c>
      <c r="L59" s="30">
        <v>944409803</v>
      </c>
      <c r="M59" s="26" t="s">
        <v>59</v>
      </c>
      <c r="N59" s="26" t="s">
        <v>403</v>
      </c>
      <c r="O59" s="26" t="s">
        <v>404</v>
      </c>
      <c r="P59" s="26" t="s">
        <v>405</v>
      </c>
      <c r="Q59" s="20">
        <v>5736</v>
      </c>
      <c r="R59" s="26" t="s">
        <v>70</v>
      </c>
      <c r="S59" s="31">
        <v>2000</v>
      </c>
      <c r="T59" s="32">
        <v>45120</v>
      </c>
      <c r="U59" s="31">
        <v>3636</v>
      </c>
      <c r="V59" s="32">
        <v>45137</v>
      </c>
      <c r="W59" s="33" t="s">
        <v>406</v>
      </c>
      <c r="X59" s="35">
        <v>100</v>
      </c>
      <c r="Y59" s="22">
        <v>0</v>
      </c>
      <c r="Z59" s="34" t="s">
        <v>50</v>
      </c>
      <c r="AA59" s="19" t="s">
        <v>51</v>
      </c>
      <c r="AB59" s="35"/>
      <c r="AC59" s="35"/>
      <c r="AD59" s="19"/>
      <c r="AE59" s="19"/>
      <c r="AF59" s="17">
        <v>45120</v>
      </c>
      <c r="AG59" s="35"/>
      <c r="AH59" s="36">
        <v>1</v>
      </c>
      <c r="AI59" s="37" t="s">
        <v>55</v>
      </c>
      <c r="AJ59" s="35"/>
      <c r="AK59" s="35"/>
      <c r="AL59" s="35"/>
      <c r="AM59" s="35"/>
      <c r="AN59" s="35"/>
      <c r="AO59" s="35"/>
      <c r="AP59" s="35"/>
    </row>
    <row r="60" spans="1:42" x14ac:dyDescent="0.2">
      <c r="A60" s="27">
        <v>45120.302701608802</v>
      </c>
      <c r="B60" s="28" t="s">
        <v>37</v>
      </c>
      <c r="C60" s="41" t="s">
        <v>118</v>
      </c>
      <c r="D60" s="26" t="s">
        <v>36</v>
      </c>
      <c r="E60" s="26" t="s">
        <v>39</v>
      </c>
      <c r="F60" s="26" t="s">
        <v>36</v>
      </c>
      <c r="G60" s="26" t="s">
        <v>41</v>
      </c>
      <c r="H60" s="26" t="s">
        <v>345</v>
      </c>
      <c r="I60" s="17">
        <f ca="1">IFERROR(__xludf.DUMMYFUNCTION("""COMPUTED_VALUE"""),45127)</f>
        <v>45127</v>
      </c>
      <c r="J60" s="29" t="s">
        <v>407</v>
      </c>
      <c r="K60" s="26" t="s">
        <v>408</v>
      </c>
      <c r="L60" s="30">
        <v>336823067</v>
      </c>
      <c r="M60" s="26" t="s">
        <v>59</v>
      </c>
      <c r="N60" s="26" t="s">
        <v>403</v>
      </c>
      <c r="O60" s="26" t="s">
        <v>409</v>
      </c>
      <c r="P60" s="26" t="s">
        <v>410</v>
      </c>
      <c r="Q60" s="20">
        <v>5736</v>
      </c>
      <c r="R60" s="26" t="s">
        <v>70</v>
      </c>
      <c r="S60" s="31">
        <v>5636</v>
      </c>
      <c r="T60" s="32">
        <v>45118</v>
      </c>
      <c r="U60" s="31"/>
      <c r="V60" s="26"/>
      <c r="W60" s="33" t="s">
        <v>411</v>
      </c>
      <c r="X60" s="35">
        <v>100</v>
      </c>
      <c r="Y60" s="22">
        <v>0</v>
      </c>
      <c r="Z60" s="34" t="s">
        <v>50</v>
      </c>
      <c r="AA60" s="19" t="s">
        <v>51</v>
      </c>
      <c r="AB60" s="35"/>
      <c r="AC60" s="35"/>
      <c r="AD60" s="19"/>
      <c r="AE60" s="19"/>
      <c r="AF60" s="17">
        <v>45120</v>
      </c>
      <c r="AG60" s="35"/>
      <c r="AH60" s="36">
        <v>1</v>
      </c>
      <c r="AI60" s="37" t="s">
        <v>55</v>
      </c>
      <c r="AJ60" s="35"/>
      <c r="AK60" s="35"/>
      <c r="AL60" s="35"/>
      <c r="AM60" s="35"/>
      <c r="AN60" s="35"/>
      <c r="AO60" s="35"/>
      <c r="AP60" s="35"/>
    </row>
    <row r="61" spans="1:42" x14ac:dyDescent="0.2">
      <c r="A61" s="27">
        <v>45120.353344016199</v>
      </c>
      <c r="B61" s="28" t="s">
        <v>37</v>
      </c>
      <c r="C61" s="41" t="s">
        <v>118</v>
      </c>
      <c r="D61" s="26" t="s">
        <v>36</v>
      </c>
      <c r="E61" s="26" t="s">
        <v>412</v>
      </c>
      <c r="F61" s="26" t="s">
        <v>36</v>
      </c>
      <c r="G61" s="26" t="s">
        <v>41</v>
      </c>
      <c r="H61" s="26" t="s">
        <v>413</v>
      </c>
      <c r="I61" s="17">
        <f ca="1">IFERROR(__xludf.DUMMYFUNCTION("""COMPUTED_VALUE"""),45246)</f>
        <v>45246</v>
      </c>
      <c r="J61" s="29" t="s">
        <v>414</v>
      </c>
      <c r="K61" s="19" t="s">
        <v>415</v>
      </c>
      <c r="L61" s="30">
        <v>342575428</v>
      </c>
      <c r="M61" s="26" t="s">
        <v>59</v>
      </c>
      <c r="N61" s="26" t="s">
        <v>68</v>
      </c>
      <c r="O61" s="26" t="s">
        <v>416</v>
      </c>
      <c r="P61" s="42" t="s">
        <v>417</v>
      </c>
      <c r="Q61" s="20">
        <v>12412</v>
      </c>
      <c r="R61" s="26" t="s">
        <v>36</v>
      </c>
      <c r="S61" s="21">
        <v>12355</v>
      </c>
      <c r="T61" s="32">
        <v>45119</v>
      </c>
      <c r="U61" s="31"/>
      <c r="V61" s="16" t="s">
        <v>418</v>
      </c>
      <c r="W61" s="33" t="s">
        <v>419</v>
      </c>
      <c r="X61" s="26">
        <v>0</v>
      </c>
      <c r="Y61" s="22">
        <v>57</v>
      </c>
      <c r="Z61" s="34" t="s">
        <v>50</v>
      </c>
      <c r="AA61" s="19" t="s">
        <v>51</v>
      </c>
      <c r="AB61" s="26" t="s">
        <v>104</v>
      </c>
      <c r="AC61" s="26" t="s">
        <v>53</v>
      </c>
      <c r="AD61" s="19" t="s">
        <v>54</v>
      </c>
      <c r="AE61" s="26" t="s">
        <v>420</v>
      </c>
      <c r="AF61" s="17">
        <v>45231</v>
      </c>
      <c r="AG61" s="26"/>
      <c r="AH61" s="26">
        <v>1</v>
      </c>
      <c r="AI61" s="40" t="s">
        <v>421</v>
      </c>
      <c r="AJ61" s="26"/>
      <c r="AK61" s="26"/>
      <c r="AL61" s="35"/>
      <c r="AM61" s="35"/>
      <c r="AN61" s="35"/>
      <c r="AO61" s="35"/>
      <c r="AP61" s="35"/>
    </row>
    <row r="62" spans="1:42" x14ac:dyDescent="0.2">
      <c r="A62" s="27">
        <v>45120.444647233795</v>
      </c>
      <c r="B62" s="28" t="s">
        <v>37</v>
      </c>
      <c r="C62" s="41" t="s">
        <v>118</v>
      </c>
      <c r="D62" s="26" t="s">
        <v>36</v>
      </c>
      <c r="E62" s="26" t="s">
        <v>77</v>
      </c>
      <c r="F62" s="26" t="s">
        <v>422</v>
      </c>
      <c r="G62" s="26" t="s">
        <v>41</v>
      </c>
      <c r="H62" s="26" t="s">
        <v>423</v>
      </c>
      <c r="I62" s="17">
        <f ca="1">IFERROR(__xludf.DUMMYFUNCTION("""COMPUTED_VALUE"""),45225)</f>
        <v>45225</v>
      </c>
      <c r="J62" s="29" t="s">
        <v>424</v>
      </c>
      <c r="K62" s="26" t="s">
        <v>425</v>
      </c>
      <c r="L62" s="30">
        <v>374147040</v>
      </c>
      <c r="M62" s="26" t="s">
        <v>391</v>
      </c>
      <c r="N62" s="26" t="s">
        <v>426</v>
      </c>
      <c r="O62" s="26" t="s">
        <v>427</v>
      </c>
      <c r="P62" s="42" t="s">
        <v>428</v>
      </c>
      <c r="Q62" s="20">
        <v>3768</v>
      </c>
      <c r="R62" s="26" t="s">
        <v>36</v>
      </c>
      <c r="S62" s="31">
        <v>3668</v>
      </c>
      <c r="T62" s="32">
        <v>45117</v>
      </c>
      <c r="U62" s="31"/>
      <c r="V62" s="26"/>
      <c r="W62" s="33" t="s">
        <v>429</v>
      </c>
      <c r="X62" s="26">
        <v>100</v>
      </c>
      <c r="Y62" s="22">
        <v>0</v>
      </c>
      <c r="Z62" s="34" t="s">
        <v>50</v>
      </c>
      <c r="AA62" s="19" t="s">
        <v>51</v>
      </c>
      <c r="AB62" s="26" t="s">
        <v>154</v>
      </c>
      <c r="AC62" s="26" t="s">
        <v>53</v>
      </c>
      <c r="AD62" s="19" t="s">
        <v>54</v>
      </c>
      <c r="AE62" s="26" t="s">
        <v>430</v>
      </c>
      <c r="AF62" s="43">
        <v>45218</v>
      </c>
      <c r="AG62" s="26" t="s">
        <v>431</v>
      </c>
      <c r="AH62" s="26">
        <v>1</v>
      </c>
      <c r="AI62" s="40">
        <v>1</v>
      </c>
      <c r="AJ62" s="26"/>
      <c r="AK62" s="26"/>
      <c r="AL62" s="35"/>
      <c r="AM62" s="35"/>
      <c r="AN62" s="35"/>
      <c r="AO62" s="35"/>
      <c r="AP62" s="35"/>
    </row>
    <row r="63" spans="1:42" x14ac:dyDescent="0.2">
      <c r="A63" s="27">
        <v>45120.609694050931</v>
      </c>
      <c r="B63" s="28" t="s">
        <v>37</v>
      </c>
      <c r="C63" s="41" t="s">
        <v>118</v>
      </c>
      <c r="D63" s="26" t="s">
        <v>36</v>
      </c>
      <c r="E63" s="26" t="s">
        <v>106</v>
      </c>
      <c r="F63" s="26" t="s">
        <v>36</v>
      </c>
      <c r="G63" s="26" t="s">
        <v>108</v>
      </c>
      <c r="H63" s="26" t="s">
        <v>338</v>
      </c>
      <c r="I63" s="17">
        <f ca="1">IFERROR(__xludf.DUMMYFUNCTION("""COMPUTED_VALUE"""),45131)</f>
        <v>45131</v>
      </c>
      <c r="J63" s="29" t="s">
        <v>432</v>
      </c>
      <c r="K63" s="26" t="s">
        <v>433</v>
      </c>
      <c r="L63" s="30">
        <v>559645820</v>
      </c>
      <c r="M63" s="26" t="s">
        <v>123</v>
      </c>
      <c r="N63" s="26" t="s">
        <v>133</v>
      </c>
      <c r="O63" s="26" t="s">
        <v>134</v>
      </c>
      <c r="P63" s="26" t="s">
        <v>434</v>
      </c>
      <c r="Q63" s="20">
        <v>3768</v>
      </c>
      <c r="R63" s="26" t="s">
        <v>36</v>
      </c>
      <c r="S63" s="31">
        <v>3768</v>
      </c>
      <c r="T63" s="32">
        <v>45120</v>
      </c>
      <c r="U63" s="31"/>
      <c r="V63" s="26"/>
      <c r="W63" s="33" t="s">
        <v>435</v>
      </c>
      <c r="X63" s="26">
        <v>0</v>
      </c>
      <c r="Y63" s="22">
        <v>0</v>
      </c>
      <c r="Z63" s="34" t="s">
        <v>50</v>
      </c>
      <c r="AA63" s="19" t="s">
        <v>51</v>
      </c>
      <c r="AB63" s="26" t="s">
        <v>154</v>
      </c>
      <c r="AC63" s="26" t="s">
        <v>53</v>
      </c>
      <c r="AD63" s="19" t="s">
        <v>54</v>
      </c>
      <c r="AE63" s="26">
        <v>380</v>
      </c>
      <c r="AF63" s="17">
        <v>45122</v>
      </c>
      <c r="AG63" s="26"/>
      <c r="AH63" s="26">
        <v>1</v>
      </c>
      <c r="AI63" s="40">
        <v>1</v>
      </c>
      <c r="AJ63" s="26"/>
      <c r="AK63" s="26"/>
      <c r="AL63" s="35"/>
      <c r="AM63" s="35"/>
      <c r="AN63" s="35"/>
      <c r="AO63" s="35"/>
      <c r="AP63" s="35"/>
    </row>
    <row r="64" spans="1:42" x14ac:dyDescent="0.2">
      <c r="A64" s="27">
        <v>45120.636752465274</v>
      </c>
      <c r="B64" s="28" t="s">
        <v>37</v>
      </c>
      <c r="C64" s="41" t="s">
        <v>118</v>
      </c>
      <c r="D64" s="26" t="s">
        <v>36</v>
      </c>
      <c r="E64" s="26" t="s">
        <v>106</v>
      </c>
      <c r="F64" s="26" t="s">
        <v>36</v>
      </c>
      <c r="G64" s="26" t="s">
        <v>108</v>
      </c>
      <c r="H64" s="26" t="s">
        <v>324</v>
      </c>
      <c r="I64" s="17">
        <f ca="1">IFERROR(__xludf.DUMMYFUNCTION("""COMPUTED_VALUE"""),45124)</f>
        <v>45124</v>
      </c>
      <c r="J64" s="29" t="s">
        <v>436</v>
      </c>
      <c r="K64" s="26" t="s">
        <v>437</v>
      </c>
      <c r="L64" s="30">
        <v>384556326</v>
      </c>
      <c r="M64" s="26" t="s">
        <v>80</v>
      </c>
      <c r="N64" s="26" t="s">
        <v>438</v>
      </c>
      <c r="O64" s="26" t="s">
        <v>439</v>
      </c>
      <c r="P64" s="26" t="s">
        <v>440</v>
      </c>
      <c r="Q64" s="20">
        <v>3768</v>
      </c>
      <c r="R64" s="26" t="s">
        <v>36</v>
      </c>
      <c r="S64" s="21">
        <v>200</v>
      </c>
      <c r="T64" s="46">
        <v>45120</v>
      </c>
      <c r="U64" s="31">
        <v>3568</v>
      </c>
      <c r="V64" s="32">
        <v>45122</v>
      </c>
      <c r="W64" s="33" t="s">
        <v>441</v>
      </c>
      <c r="X64" s="26">
        <v>0</v>
      </c>
      <c r="Y64" s="22">
        <v>0</v>
      </c>
      <c r="Z64" s="34" t="s">
        <v>50</v>
      </c>
      <c r="AA64" s="19" t="s">
        <v>51</v>
      </c>
      <c r="AB64" s="26" t="s">
        <v>128</v>
      </c>
      <c r="AC64" s="26" t="s">
        <v>53</v>
      </c>
      <c r="AD64" s="19" t="s">
        <v>54</v>
      </c>
      <c r="AE64" s="26">
        <v>400</v>
      </c>
      <c r="AF64" s="17">
        <v>45126</v>
      </c>
      <c r="AG64" s="42" t="s">
        <v>442</v>
      </c>
      <c r="AH64" s="26">
        <v>1</v>
      </c>
      <c r="AI64" s="40">
        <v>1</v>
      </c>
      <c r="AJ64" s="26"/>
      <c r="AK64" s="26"/>
      <c r="AL64" s="35"/>
      <c r="AM64" s="35"/>
      <c r="AN64" s="35"/>
      <c r="AO64" s="35"/>
      <c r="AP64" s="35"/>
    </row>
    <row r="65" spans="1:42" x14ac:dyDescent="0.2">
      <c r="A65" s="27">
        <v>45120.644970717593</v>
      </c>
      <c r="B65" s="28" t="s">
        <v>37</v>
      </c>
      <c r="C65" s="41" t="s">
        <v>118</v>
      </c>
      <c r="D65" s="26" t="s">
        <v>36</v>
      </c>
      <c r="E65" s="26" t="s">
        <v>39</v>
      </c>
      <c r="F65" s="26" t="s">
        <v>91</v>
      </c>
      <c r="G65" s="26" t="s">
        <v>41</v>
      </c>
      <c r="H65" s="26" t="s">
        <v>443</v>
      </c>
      <c r="I65" s="17">
        <f ca="1">IFERROR(__xludf.DUMMYFUNCTION("""COMPUTED_VALUE"""),45130)</f>
        <v>45130</v>
      </c>
      <c r="J65" s="29" t="s">
        <v>444</v>
      </c>
      <c r="K65" s="26" t="s">
        <v>445</v>
      </c>
      <c r="L65" s="30">
        <v>369989557</v>
      </c>
      <c r="M65" s="26" t="s">
        <v>391</v>
      </c>
      <c r="N65" s="26" t="s">
        <v>446</v>
      </c>
      <c r="O65" s="26" t="s">
        <v>427</v>
      </c>
      <c r="P65" s="26" t="s">
        <v>447</v>
      </c>
      <c r="Q65" s="20">
        <v>5736</v>
      </c>
      <c r="R65" s="26" t="s">
        <v>36</v>
      </c>
      <c r="S65" s="31">
        <v>5736</v>
      </c>
      <c r="T65" s="32">
        <v>45109</v>
      </c>
      <c r="U65" s="31"/>
      <c r="V65" s="26"/>
      <c r="W65" s="33" t="s">
        <v>448</v>
      </c>
      <c r="X65" s="26">
        <v>0</v>
      </c>
      <c r="Y65" s="22">
        <v>0</v>
      </c>
      <c r="Z65" s="34" t="s">
        <v>50</v>
      </c>
      <c r="AA65" s="19" t="s">
        <v>51</v>
      </c>
      <c r="AB65" s="26" t="s">
        <v>104</v>
      </c>
      <c r="AC65" s="26" t="s">
        <v>53</v>
      </c>
      <c r="AD65" s="19" t="s">
        <v>54</v>
      </c>
      <c r="AE65" s="26"/>
      <c r="AF65" s="17">
        <v>45127</v>
      </c>
      <c r="AG65" s="26"/>
      <c r="AH65" s="26">
        <v>1</v>
      </c>
      <c r="AI65" s="40" t="s">
        <v>55</v>
      </c>
      <c r="AJ65" s="26"/>
      <c r="AK65" s="26"/>
      <c r="AL65" s="35"/>
      <c r="AM65" s="35"/>
      <c r="AN65" s="35"/>
      <c r="AO65" s="35"/>
      <c r="AP65" s="35"/>
    </row>
    <row r="66" spans="1:42" x14ac:dyDescent="0.2">
      <c r="A66" s="27">
        <v>45121.160393298611</v>
      </c>
      <c r="B66" s="28" t="s">
        <v>37</v>
      </c>
      <c r="C66" s="41" t="s">
        <v>118</v>
      </c>
      <c r="D66" s="26" t="s">
        <v>36</v>
      </c>
      <c r="E66" s="26" t="s">
        <v>106</v>
      </c>
      <c r="F66" s="26" t="s">
        <v>449</v>
      </c>
      <c r="G66" s="26" t="s">
        <v>108</v>
      </c>
      <c r="H66" s="26" t="s">
        <v>450</v>
      </c>
      <c r="I66" s="17">
        <f ca="1">IFERROR(__xludf.DUMMYFUNCTION("""COMPUTED_VALUE"""),45525)</f>
        <v>45525</v>
      </c>
      <c r="J66" s="29" t="s">
        <v>451</v>
      </c>
      <c r="K66" s="26" t="s">
        <v>452</v>
      </c>
      <c r="L66" s="30">
        <v>345785595</v>
      </c>
      <c r="M66" s="26" t="s">
        <v>391</v>
      </c>
      <c r="N66" s="26" t="s">
        <v>453</v>
      </c>
      <c r="O66" s="26" t="s">
        <v>454</v>
      </c>
      <c r="P66" s="26" t="s">
        <v>455</v>
      </c>
      <c r="Q66" s="20">
        <v>3768</v>
      </c>
      <c r="R66" s="26" t="s">
        <v>36</v>
      </c>
      <c r="S66" s="31">
        <v>3392</v>
      </c>
      <c r="T66" s="32">
        <v>45113</v>
      </c>
      <c r="U66" s="31"/>
      <c r="V66" s="16" t="s">
        <v>456</v>
      </c>
      <c r="W66" s="33" t="s">
        <v>457</v>
      </c>
      <c r="X66" s="26">
        <v>0</v>
      </c>
      <c r="Y66" s="22">
        <v>376</v>
      </c>
      <c r="Z66" s="34" t="s">
        <v>50</v>
      </c>
      <c r="AA66" s="19" t="s">
        <v>51</v>
      </c>
      <c r="AB66" s="26" t="s">
        <v>128</v>
      </c>
      <c r="AC66" s="26" t="s">
        <v>53</v>
      </c>
      <c r="AD66" s="19" t="s">
        <v>54</v>
      </c>
      <c r="AE66" s="26"/>
      <c r="AF66" s="17">
        <v>45517</v>
      </c>
      <c r="AG66" s="26"/>
      <c r="AH66" s="26">
        <v>1</v>
      </c>
      <c r="AI66" s="40">
        <v>1</v>
      </c>
      <c r="AJ66" s="26"/>
      <c r="AK66" s="26"/>
      <c r="AL66" s="35"/>
      <c r="AM66" s="35"/>
      <c r="AN66" s="35"/>
      <c r="AO66" s="35"/>
      <c r="AP66" s="35"/>
    </row>
    <row r="67" spans="1:42" x14ac:dyDescent="0.2">
      <c r="A67" s="27">
        <v>45122.419528391205</v>
      </c>
      <c r="B67" s="28" t="s">
        <v>37</v>
      </c>
      <c r="C67" s="41" t="s">
        <v>118</v>
      </c>
      <c r="D67" s="26" t="s">
        <v>36</v>
      </c>
      <c r="E67" s="26" t="s">
        <v>119</v>
      </c>
      <c r="F67" s="26" t="s">
        <v>36</v>
      </c>
      <c r="G67" s="26" t="s">
        <v>108</v>
      </c>
      <c r="H67" s="26" t="s">
        <v>324</v>
      </c>
      <c r="I67" s="17">
        <f ca="1">IFERROR(__xludf.DUMMYFUNCTION("""COMPUTED_VALUE"""),45124)</f>
        <v>45124</v>
      </c>
      <c r="J67" s="29" t="s">
        <v>458</v>
      </c>
      <c r="K67" s="19" t="s">
        <v>459</v>
      </c>
      <c r="L67" s="47">
        <v>911919266</v>
      </c>
      <c r="M67" s="19" t="s">
        <v>80</v>
      </c>
      <c r="N67" s="19" t="s">
        <v>460</v>
      </c>
      <c r="O67" s="26" t="s">
        <v>143</v>
      </c>
      <c r="P67" s="26" t="s">
        <v>461</v>
      </c>
      <c r="Q67" s="20">
        <v>13968</v>
      </c>
      <c r="R67" s="26" t="s">
        <v>36</v>
      </c>
      <c r="S67" s="31">
        <v>2000</v>
      </c>
      <c r="T67" s="32">
        <v>45122</v>
      </c>
      <c r="U67" s="31">
        <f>2000+9968</f>
        <v>11968</v>
      </c>
      <c r="V67" s="26" t="s">
        <v>462</v>
      </c>
      <c r="W67" s="33" t="s">
        <v>463</v>
      </c>
      <c r="X67" s="26">
        <v>0</v>
      </c>
      <c r="Y67" s="22">
        <v>0</v>
      </c>
      <c r="Z67" s="34" t="s">
        <v>50</v>
      </c>
      <c r="AA67" s="19" t="s">
        <v>51</v>
      </c>
      <c r="AB67" s="26" t="s">
        <v>116</v>
      </c>
      <c r="AC67" s="26" t="s">
        <v>53</v>
      </c>
      <c r="AD67" s="19" t="s">
        <v>54</v>
      </c>
      <c r="AE67" s="26">
        <v>390</v>
      </c>
      <c r="AF67" s="17">
        <v>45126</v>
      </c>
      <c r="AG67" s="26"/>
      <c r="AH67" s="26">
        <v>1</v>
      </c>
      <c r="AI67" s="40">
        <v>4</v>
      </c>
      <c r="AJ67" s="26"/>
      <c r="AK67" s="26"/>
      <c r="AL67" s="35"/>
      <c r="AM67" s="35"/>
      <c r="AN67" s="35"/>
      <c r="AO67" s="35"/>
      <c r="AP67" s="35"/>
    </row>
    <row r="68" spans="1:42" x14ac:dyDescent="0.2">
      <c r="A68" s="27">
        <v>45122.533268831015</v>
      </c>
      <c r="B68" s="28" t="s">
        <v>37</v>
      </c>
      <c r="C68" s="41" t="s">
        <v>118</v>
      </c>
      <c r="D68" s="26" t="s">
        <v>36</v>
      </c>
      <c r="E68" s="26" t="s">
        <v>77</v>
      </c>
      <c r="F68" s="26" t="s">
        <v>36</v>
      </c>
      <c r="G68" s="26" t="s">
        <v>41</v>
      </c>
      <c r="H68" s="26" t="s">
        <v>388</v>
      </c>
      <c r="I68" s="17">
        <f ca="1">IFERROR(__xludf.DUMMYFUNCTION("""COMPUTED_VALUE"""),45127)</f>
        <v>45127</v>
      </c>
      <c r="J68" s="29" t="s">
        <v>464</v>
      </c>
      <c r="K68" s="26" t="s">
        <v>465</v>
      </c>
      <c r="L68" s="30">
        <v>705642119</v>
      </c>
      <c r="M68" s="26" t="s">
        <v>80</v>
      </c>
      <c r="N68" s="26" t="s">
        <v>466</v>
      </c>
      <c r="O68" s="26" t="s">
        <v>467</v>
      </c>
      <c r="P68" s="26" t="s">
        <v>468</v>
      </c>
      <c r="Q68" s="20">
        <v>1968</v>
      </c>
      <c r="R68" s="26" t="s">
        <v>36</v>
      </c>
      <c r="S68" s="31">
        <v>1968</v>
      </c>
      <c r="T68" s="32">
        <v>45122</v>
      </c>
      <c r="U68" s="31"/>
      <c r="V68" s="26"/>
      <c r="W68" s="33" t="s">
        <v>469</v>
      </c>
      <c r="X68" s="26">
        <v>0</v>
      </c>
      <c r="Y68" s="22">
        <v>0</v>
      </c>
      <c r="Z68" s="34" t="s">
        <v>50</v>
      </c>
      <c r="AA68" s="19" t="s">
        <v>51</v>
      </c>
      <c r="AB68" s="26" t="s">
        <v>104</v>
      </c>
      <c r="AC68" s="26" t="s">
        <v>53</v>
      </c>
      <c r="AD68" s="19" t="s">
        <v>54</v>
      </c>
      <c r="AE68" s="26" t="s">
        <v>72</v>
      </c>
      <c r="AF68" s="17">
        <v>45126</v>
      </c>
      <c r="AG68" s="26"/>
      <c r="AH68" s="26">
        <v>1</v>
      </c>
      <c r="AI68" s="40" t="s">
        <v>84</v>
      </c>
      <c r="AJ68" s="26"/>
      <c r="AK68" s="26"/>
      <c r="AL68" s="35"/>
      <c r="AM68" s="35"/>
      <c r="AN68" s="35"/>
      <c r="AO68" s="35"/>
      <c r="AP68" s="35"/>
    </row>
    <row r="69" spans="1:42" x14ac:dyDescent="0.2">
      <c r="A69" s="27">
        <v>45122.574001574074</v>
      </c>
      <c r="B69" s="28" t="s">
        <v>37</v>
      </c>
      <c r="C69" s="41" t="s">
        <v>118</v>
      </c>
      <c r="D69" s="26" t="s">
        <v>36</v>
      </c>
      <c r="E69" s="26" t="s">
        <v>77</v>
      </c>
      <c r="F69" s="26" t="s">
        <v>36</v>
      </c>
      <c r="G69" s="26" t="s">
        <v>41</v>
      </c>
      <c r="H69" s="26" t="s">
        <v>443</v>
      </c>
      <c r="I69" s="17">
        <f ca="1">IFERROR(__xludf.DUMMYFUNCTION("""COMPUTED_VALUE"""),45130)</f>
        <v>45130</v>
      </c>
      <c r="J69" s="29" t="s">
        <v>470</v>
      </c>
      <c r="K69" s="26" t="s">
        <v>471</v>
      </c>
      <c r="L69" s="30">
        <v>867178924</v>
      </c>
      <c r="M69" s="26" t="s">
        <v>80</v>
      </c>
      <c r="N69" s="26" t="s">
        <v>87</v>
      </c>
      <c r="O69" s="26" t="s">
        <v>472</v>
      </c>
      <c r="P69" s="26" t="s">
        <v>473</v>
      </c>
      <c r="Q69" s="20">
        <v>1968</v>
      </c>
      <c r="R69" s="26" t="s">
        <v>36</v>
      </c>
      <c r="S69" s="31">
        <v>1968</v>
      </c>
      <c r="T69" s="32">
        <v>45122</v>
      </c>
      <c r="U69" s="31"/>
      <c r="V69" s="26"/>
      <c r="W69" s="33" t="s">
        <v>474</v>
      </c>
      <c r="X69" s="26">
        <v>0</v>
      </c>
      <c r="Y69" s="22">
        <v>0</v>
      </c>
      <c r="Z69" s="34" t="s">
        <v>50</v>
      </c>
      <c r="AA69" s="19" t="s">
        <v>51</v>
      </c>
      <c r="AB69" s="26" t="s">
        <v>104</v>
      </c>
      <c r="AC69" s="26" t="s">
        <v>53</v>
      </c>
      <c r="AD69" s="19" t="s">
        <v>54</v>
      </c>
      <c r="AE69" s="26" t="s">
        <v>72</v>
      </c>
      <c r="AF69" s="17">
        <v>45126</v>
      </c>
      <c r="AG69" s="26"/>
      <c r="AH69" s="26">
        <v>1</v>
      </c>
      <c r="AI69" s="40" t="s">
        <v>84</v>
      </c>
      <c r="AJ69" s="26"/>
      <c r="AK69" s="26"/>
      <c r="AL69" s="35"/>
      <c r="AM69" s="35"/>
      <c r="AN69" s="35"/>
      <c r="AO69" s="35"/>
      <c r="AP69" s="35"/>
    </row>
    <row r="70" spans="1:42" x14ac:dyDescent="0.2">
      <c r="A70" s="27">
        <v>45123.122837361108</v>
      </c>
      <c r="B70" s="28" t="s">
        <v>37</v>
      </c>
      <c r="C70" s="41" t="s">
        <v>118</v>
      </c>
      <c r="D70" s="26" t="s">
        <v>36</v>
      </c>
      <c r="E70" s="26" t="s">
        <v>77</v>
      </c>
      <c r="F70" s="26" t="s">
        <v>36</v>
      </c>
      <c r="G70" s="26" t="s">
        <v>41</v>
      </c>
      <c r="H70" s="26" t="s">
        <v>443</v>
      </c>
      <c r="I70" s="17">
        <f ca="1">IFERROR(__xludf.DUMMYFUNCTION("""COMPUTED_VALUE"""),45130)</f>
        <v>45130</v>
      </c>
      <c r="J70" s="29" t="s">
        <v>475</v>
      </c>
      <c r="K70" s="26" t="s">
        <v>476</v>
      </c>
      <c r="L70" s="30">
        <v>349218745</v>
      </c>
      <c r="M70" s="26" t="s">
        <v>80</v>
      </c>
      <c r="N70" s="26" t="s">
        <v>466</v>
      </c>
      <c r="O70" s="26" t="s">
        <v>477</v>
      </c>
      <c r="P70" s="26" t="s">
        <v>478</v>
      </c>
      <c r="Q70" s="20">
        <v>1968</v>
      </c>
      <c r="R70" s="26" t="s">
        <v>36</v>
      </c>
      <c r="S70" s="31">
        <v>1968</v>
      </c>
      <c r="T70" s="32">
        <v>45123</v>
      </c>
      <c r="U70" s="31"/>
      <c r="V70" s="26"/>
      <c r="W70" s="33" t="s">
        <v>479</v>
      </c>
      <c r="X70" s="26">
        <v>0</v>
      </c>
      <c r="Y70" s="22">
        <v>0</v>
      </c>
      <c r="Z70" s="34" t="s">
        <v>50</v>
      </c>
      <c r="AA70" s="19" t="s">
        <v>51</v>
      </c>
      <c r="AB70" s="26" t="s">
        <v>104</v>
      </c>
      <c r="AC70" s="26" t="s">
        <v>53</v>
      </c>
      <c r="AD70" s="19" t="s">
        <v>54</v>
      </c>
      <c r="AE70" s="26" t="s">
        <v>72</v>
      </c>
      <c r="AF70" s="17">
        <v>45127</v>
      </c>
      <c r="AG70" s="26"/>
      <c r="AH70" s="26">
        <v>1</v>
      </c>
      <c r="AI70" s="40" t="s">
        <v>84</v>
      </c>
      <c r="AJ70" s="26"/>
      <c r="AK70" s="26"/>
      <c r="AL70" s="35"/>
      <c r="AM70" s="35"/>
      <c r="AN70" s="35"/>
      <c r="AO70" s="35"/>
      <c r="AP70" s="35"/>
    </row>
    <row r="71" spans="1:42" x14ac:dyDescent="0.2">
      <c r="A71" s="27">
        <v>45124.06316262731</v>
      </c>
      <c r="B71" s="28" t="s">
        <v>37</v>
      </c>
      <c r="C71" s="41" t="s">
        <v>118</v>
      </c>
      <c r="D71" s="26" t="s">
        <v>36</v>
      </c>
      <c r="E71" s="26" t="s">
        <v>77</v>
      </c>
      <c r="F71" s="26" t="s">
        <v>36</v>
      </c>
      <c r="G71" s="26" t="s">
        <v>41</v>
      </c>
      <c r="H71" s="26" t="s">
        <v>443</v>
      </c>
      <c r="I71" s="17">
        <f ca="1">IFERROR(__xludf.DUMMYFUNCTION("""COMPUTED_VALUE"""),45130)</f>
        <v>45130</v>
      </c>
      <c r="J71" s="29" t="s">
        <v>480</v>
      </c>
      <c r="K71" s="26" t="s">
        <v>481</v>
      </c>
      <c r="L71" s="30">
        <v>766373357</v>
      </c>
      <c r="M71" s="26" t="s">
        <v>80</v>
      </c>
      <c r="N71" s="26" t="s">
        <v>253</v>
      </c>
      <c r="O71" s="26" t="s">
        <v>482</v>
      </c>
      <c r="P71" s="26" t="s">
        <v>483</v>
      </c>
      <c r="Q71" s="20">
        <v>1968</v>
      </c>
      <c r="R71" s="26" t="s">
        <v>36</v>
      </c>
      <c r="S71" s="31">
        <v>1968</v>
      </c>
      <c r="T71" s="32">
        <v>45124</v>
      </c>
      <c r="U71" s="31"/>
      <c r="V71" s="26"/>
      <c r="W71" s="33" t="s">
        <v>484</v>
      </c>
      <c r="X71" s="26">
        <v>0</v>
      </c>
      <c r="Y71" s="22">
        <v>0</v>
      </c>
      <c r="Z71" s="34" t="s">
        <v>50</v>
      </c>
      <c r="AA71" s="19" t="s">
        <v>51</v>
      </c>
      <c r="AB71" s="26" t="s">
        <v>104</v>
      </c>
      <c r="AC71" s="26" t="s">
        <v>53</v>
      </c>
      <c r="AD71" s="19" t="s">
        <v>54</v>
      </c>
      <c r="AE71" s="26">
        <v>0</v>
      </c>
      <c r="AF71" s="17">
        <v>45126</v>
      </c>
      <c r="AG71" s="26"/>
      <c r="AH71" s="26">
        <v>1</v>
      </c>
      <c r="AI71" s="40" t="s">
        <v>84</v>
      </c>
      <c r="AJ71" s="26"/>
      <c r="AK71" s="26"/>
      <c r="AL71" s="35"/>
      <c r="AM71" s="35"/>
      <c r="AN71" s="35"/>
      <c r="AO71" s="35"/>
      <c r="AP71" s="35"/>
    </row>
    <row r="72" spans="1:42" x14ac:dyDescent="0.2">
      <c r="A72" s="27">
        <v>45124.420776747684</v>
      </c>
      <c r="B72" s="28" t="s">
        <v>37</v>
      </c>
      <c r="C72" s="41" t="s">
        <v>118</v>
      </c>
      <c r="D72" s="26" t="s">
        <v>36</v>
      </c>
      <c r="E72" s="26" t="s">
        <v>39</v>
      </c>
      <c r="F72" s="26" t="s">
        <v>36</v>
      </c>
      <c r="G72" s="26" t="s">
        <v>41</v>
      </c>
      <c r="H72" s="26" t="s">
        <v>388</v>
      </c>
      <c r="I72" s="17">
        <f ca="1">IFERROR(__xludf.DUMMYFUNCTION("""COMPUTED_VALUE"""),45127)</f>
        <v>45127</v>
      </c>
      <c r="J72" s="29" t="s">
        <v>485</v>
      </c>
      <c r="K72" s="26" t="s">
        <v>486</v>
      </c>
      <c r="L72" s="30">
        <v>968557069</v>
      </c>
      <c r="M72" s="26" t="s">
        <v>80</v>
      </c>
      <c r="N72" s="26" t="s">
        <v>87</v>
      </c>
      <c r="O72" s="26" t="s">
        <v>487</v>
      </c>
      <c r="P72" s="26" t="s">
        <v>488</v>
      </c>
      <c r="Q72" s="20">
        <v>5736</v>
      </c>
      <c r="R72" s="26" t="s">
        <v>36</v>
      </c>
      <c r="S72" s="31">
        <v>5736</v>
      </c>
      <c r="T72" s="32">
        <v>45124</v>
      </c>
      <c r="U72" s="31"/>
      <c r="V72" s="26"/>
      <c r="W72" s="33" t="s">
        <v>489</v>
      </c>
      <c r="X72" s="26">
        <v>0</v>
      </c>
      <c r="Y72" s="22">
        <v>0</v>
      </c>
      <c r="Z72" s="34" t="s">
        <v>50</v>
      </c>
      <c r="AA72" s="19" t="s">
        <v>51</v>
      </c>
      <c r="AB72" s="26" t="s">
        <v>104</v>
      </c>
      <c r="AC72" s="26" t="s">
        <v>53</v>
      </c>
      <c r="AD72" s="19" t="s">
        <v>54</v>
      </c>
      <c r="AE72" s="26">
        <v>0</v>
      </c>
      <c r="AF72" s="17">
        <v>45126</v>
      </c>
      <c r="AG72" s="26"/>
      <c r="AH72" s="26">
        <v>1</v>
      </c>
      <c r="AI72" s="40" t="s">
        <v>55</v>
      </c>
      <c r="AJ72" s="26"/>
      <c r="AK72" s="26"/>
      <c r="AL72" s="35"/>
      <c r="AM72" s="35"/>
      <c r="AN72" s="35"/>
      <c r="AO72" s="35"/>
      <c r="AP72" s="35"/>
    </row>
    <row r="73" spans="1:42" x14ac:dyDescent="0.2">
      <c r="A73" s="27">
        <v>45125.317949502314</v>
      </c>
      <c r="B73" s="28" t="s">
        <v>37</v>
      </c>
      <c r="C73" s="41" t="s">
        <v>118</v>
      </c>
      <c r="D73" s="26" t="s">
        <v>36</v>
      </c>
      <c r="E73" s="26" t="s">
        <v>77</v>
      </c>
      <c r="F73" s="26" t="s">
        <v>36</v>
      </c>
      <c r="G73" s="26" t="s">
        <v>41</v>
      </c>
      <c r="H73" s="26" t="s">
        <v>443</v>
      </c>
      <c r="I73" s="17">
        <f ca="1">IFERROR(__xludf.DUMMYFUNCTION("""COMPUTED_VALUE"""),45130)</f>
        <v>45130</v>
      </c>
      <c r="J73" s="29" t="s">
        <v>490</v>
      </c>
      <c r="K73" s="26" t="s">
        <v>491</v>
      </c>
      <c r="L73" s="30">
        <v>388945224</v>
      </c>
      <c r="M73" s="26" t="s">
        <v>123</v>
      </c>
      <c r="N73" s="26" t="s">
        <v>133</v>
      </c>
      <c r="O73" s="26" t="s">
        <v>492</v>
      </c>
      <c r="P73" s="26" t="s">
        <v>493</v>
      </c>
      <c r="Q73" s="20">
        <v>1968</v>
      </c>
      <c r="R73" s="26" t="s">
        <v>36</v>
      </c>
      <c r="S73" s="31">
        <v>1968</v>
      </c>
      <c r="T73" s="32">
        <v>45125</v>
      </c>
      <c r="U73" s="31"/>
      <c r="V73" s="26"/>
      <c r="W73" s="33" t="s">
        <v>494</v>
      </c>
      <c r="X73" s="26">
        <v>0</v>
      </c>
      <c r="Y73" s="22">
        <v>0</v>
      </c>
      <c r="Z73" s="34" t="s">
        <v>50</v>
      </c>
      <c r="AA73" s="19" t="s">
        <v>51</v>
      </c>
      <c r="AB73" s="26" t="s">
        <v>104</v>
      </c>
      <c r="AC73" s="26" t="s">
        <v>53</v>
      </c>
      <c r="AD73" s="19" t="s">
        <v>54</v>
      </c>
      <c r="AE73" s="26"/>
      <c r="AF73" s="17">
        <v>45126</v>
      </c>
      <c r="AG73" s="26"/>
      <c r="AH73" s="26">
        <v>1</v>
      </c>
      <c r="AI73" s="40" t="s">
        <v>84</v>
      </c>
      <c r="AJ73" s="26"/>
      <c r="AK73" s="26"/>
      <c r="AL73" s="35"/>
      <c r="AM73" s="35"/>
      <c r="AN73" s="35"/>
      <c r="AO73" s="35"/>
      <c r="AP73" s="35"/>
    </row>
    <row r="74" spans="1:42" x14ac:dyDescent="0.2">
      <c r="A74" s="27">
        <v>45125.319290127314</v>
      </c>
      <c r="B74" s="28" t="s">
        <v>37</v>
      </c>
      <c r="C74" s="41" t="s">
        <v>118</v>
      </c>
      <c r="D74" s="26" t="s">
        <v>36</v>
      </c>
      <c r="E74" s="26" t="s">
        <v>77</v>
      </c>
      <c r="F74" s="26" t="s">
        <v>91</v>
      </c>
      <c r="G74" s="26" t="s">
        <v>41</v>
      </c>
      <c r="H74" s="26" t="s">
        <v>443</v>
      </c>
      <c r="I74" s="17">
        <f ca="1">IFERROR(__xludf.DUMMYFUNCTION("""COMPUTED_VALUE"""),45130)</f>
        <v>45130</v>
      </c>
      <c r="J74" s="29" t="s">
        <v>495</v>
      </c>
      <c r="K74" s="26" t="s">
        <v>496</v>
      </c>
      <c r="L74" s="30">
        <v>972218749</v>
      </c>
      <c r="M74" s="26" t="s">
        <v>123</v>
      </c>
      <c r="N74" s="26" t="s">
        <v>133</v>
      </c>
      <c r="O74" s="26" t="s">
        <v>134</v>
      </c>
      <c r="P74" s="26" t="s">
        <v>497</v>
      </c>
      <c r="Q74" s="20">
        <v>1968</v>
      </c>
      <c r="R74" s="26" t="s">
        <v>36</v>
      </c>
      <c r="S74" s="31">
        <v>1968</v>
      </c>
      <c r="T74" s="32">
        <v>45125</v>
      </c>
      <c r="U74" s="31"/>
      <c r="V74" s="26"/>
      <c r="W74" s="33" t="s">
        <v>498</v>
      </c>
      <c r="X74" s="26">
        <v>0</v>
      </c>
      <c r="Y74" s="22">
        <v>0</v>
      </c>
      <c r="Z74" s="34" t="s">
        <v>50</v>
      </c>
      <c r="AA74" s="19" t="s">
        <v>51</v>
      </c>
      <c r="AB74" s="26" t="s">
        <v>104</v>
      </c>
      <c r="AC74" s="26" t="s">
        <v>53</v>
      </c>
      <c r="AD74" s="19" t="s">
        <v>54</v>
      </c>
      <c r="AE74" s="26"/>
      <c r="AF74" s="17">
        <v>45126</v>
      </c>
      <c r="AG74" s="26"/>
      <c r="AH74" s="26">
        <v>1</v>
      </c>
      <c r="AI74" s="40" t="s">
        <v>84</v>
      </c>
      <c r="AJ74" s="26"/>
      <c r="AK74" s="26"/>
      <c r="AL74" s="35"/>
      <c r="AM74" s="35"/>
      <c r="AN74" s="35"/>
      <c r="AO74" s="35"/>
      <c r="AP74" s="35"/>
    </row>
    <row r="75" spans="1:42" x14ac:dyDescent="0.2">
      <c r="A75" s="27">
        <v>45125.590465497684</v>
      </c>
      <c r="B75" s="28" t="s">
        <v>37</v>
      </c>
      <c r="C75" s="41" t="s">
        <v>118</v>
      </c>
      <c r="D75" s="26" t="s">
        <v>36</v>
      </c>
      <c r="E75" s="26" t="s">
        <v>39</v>
      </c>
      <c r="F75" s="26" t="s">
        <v>40</v>
      </c>
      <c r="G75" s="26" t="s">
        <v>41</v>
      </c>
      <c r="H75" s="26" t="s">
        <v>388</v>
      </c>
      <c r="I75" s="17">
        <f ca="1">IFERROR(__xludf.DUMMYFUNCTION("""COMPUTED_VALUE"""),45127)</f>
        <v>45127</v>
      </c>
      <c r="J75" s="29" t="s">
        <v>499</v>
      </c>
      <c r="K75" s="26" t="s">
        <v>500</v>
      </c>
      <c r="L75" s="30">
        <v>842011700</v>
      </c>
      <c r="M75" s="26" t="s">
        <v>59</v>
      </c>
      <c r="N75" s="26" t="s">
        <v>327</v>
      </c>
      <c r="O75" s="26" t="s">
        <v>501</v>
      </c>
      <c r="P75" s="26" t="s">
        <v>502</v>
      </c>
      <c r="Q75" s="20">
        <v>5736</v>
      </c>
      <c r="R75" s="26" t="s">
        <v>70</v>
      </c>
      <c r="S75" s="31">
        <v>5636</v>
      </c>
      <c r="T75" s="32">
        <v>45121</v>
      </c>
      <c r="U75" s="31"/>
      <c r="V75" s="26"/>
      <c r="W75" s="33" t="s">
        <v>503</v>
      </c>
      <c r="X75" s="26">
        <v>100</v>
      </c>
      <c r="Y75" s="22">
        <v>0</v>
      </c>
      <c r="Z75" s="34" t="s">
        <v>50</v>
      </c>
      <c r="AA75" s="19" t="s">
        <v>51</v>
      </c>
      <c r="AB75" s="26" t="s">
        <v>104</v>
      </c>
      <c r="AC75" s="26" t="s">
        <v>53</v>
      </c>
      <c r="AD75" s="19" t="s">
        <v>54</v>
      </c>
      <c r="AE75" s="26" t="s">
        <v>504</v>
      </c>
      <c r="AF75" s="17">
        <v>45127</v>
      </c>
      <c r="AG75" s="26"/>
      <c r="AH75" s="26">
        <v>1</v>
      </c>
      <c r="AI75" s="40" t="s">
        <v>55</v>
      </c>
      <c r="AJ75" s="26"/>
      <c r="AK75" s="26"/>
      <c r="AL75" s="35"/>
      <c r="AM75" s="35"/>
      <c r="AN75" s="35"/>
      <c r="AO75" s="35"/>
      <c r="AP75" s="35"/>
    </row>
    <row r="76" spans="1:42" x14ac:dyDescent="0.2">
      <c r="A76" s="27">
        <v>45125.599006574077</v>
      </c>
      <c r="B76" s="28" t="s">
        <v>37</v>
      </c>
      <c r="C76" s="41" t="s">
        <v>118</v>
      </c>
      <c r="D76" s="26" t="s">
        <v>36</v>
      </c>
      <c r="E76" s="26" t="s">
        <v>56</v>
      </c>
      <c r="F76" s="26" t="s">
        <v>36</v>
      </c>
      <c r="G76" s="26" t="s">
        <v>41</v>
      </c>
      <c r="H76" s="26" t="s">
        <v>505</v>
      </c>
      <c r="I76" s="17">
        <f ca="1">IFERROR(__xludf.DUMMYFUNCTION("""COMPUTED_VALUE"""),45141)</f>
        <v>45141</v>
      </c>
      <c r="J76" s="29" t="s">
        <v>506</v>
      </c>
      <c r="K76" s="26" t="s">
        <v>507</v>
      </c>
      <c r="L76" s="30">
        <v>868166453</v>
      </c>
      <c r="M76" s="26" t="s">
        <v>59</v>
      </c>
      <c r="N76" s="26" t="s">
        <v>60</v>
      </c>
      <c r="O76" s="26" t="s">
        <v>508</v>
      </c>
      <c r="P76" s="26" t="s">
        <v>509</v>
      </c>
      <c r="Q76" s="20">
        <v>9317</v>
      </c>
      <c r="R76" s="26" t="s">
        <v>36</v>
      </c>
      <c r="S76" s="31">
        <v>9317</v>
      </c>
      <c r="T76" s="32">
        <v>45125</v>
      </c>
      <c r="U76" s="31"/>
      <c r="V76" s="26"/>
      <c r="W76" s="33" t="s">
        <v>510</v>
      </c>
      <c r="X76" s="26">
        <v>0</v>
      </c>
      <c r="Y76" s="22">
        <v>0</v>
      </c>
      <c r="Z76" s="34" t="s">
        <v>50</v>
      </c>
      <c r="AA76" s="19" t="s">
        <v>51</v>
      </c>
      <c r="AB76" s="26" t="s">
        <v>137</v>
      </c>
      <c r="AC76" s="26" t="s">
        <v>53</v>
      </c>
      <c r="AD76" s="19" t="s">
        <v>54</v>
      </c>
      <c r="AE76" s="26" t="s">
        <v>76</v>
      </c>
      <c r="AF76" s="17">
        <v>45127</v>
      </c>
      <c r="AG76" s="26" t="s">
        <v>511</v>
      </c>
      <c r="AH76" s="26">
        <v>1</v>
      </c>
      <c r="AI76" s="40" t="s">
        <v>64</v>
      </c>
      <c r="AJ76" s="26"/>
      <c r="AK76" s="26"/>
      <c r="AL76" s="35"/>
      <c r="AM76" s="35"/>
      <c r="AN76" s="35"/>
      <c r="AO76" s="35"/>
      <c r="AP76" s="35"/>
    </row>
    <row r="77" spans="1:42" x14ac:dyDescent="0.2">
      <c r="A77" s="27">
        <v>45126.168308067128</v>
      </c>
      <c r="B77" s="28" t="s">
        <v>37</v>
      </c>
      <c r="C77" s="41" t="s">
        <v>118</v>
      </c>
      <c r="D77" s="26" t="s">
        <v>36</v>
      </c>
      <c r="E77" s="26" t="s">
        <v>77</v>
      </c>
      <c r="F77" s="26" t="s">
        <v>36</v>
      </c>
      <c r="G77" s="26" t="s">
        <v>41</v>
      </c>
      <c r="H77" s="26" t="s">
        <v>512</v>
      </c>
      <c r="I77" s="17">
        <f ca="1">IFERROR(__xludf.DUMMYFUNCTION("""COMPUTED_VALUE"""),45134)</f>
        <v>45134</v>
      </c>
      <c r="J77" s="29" t="s">
        <v>513</v>
      </c>
      <c r="K77" s="26" t="s">
        <v>514</v>
      </c>
      <c r="L77" s="30">
        <v>896687285</v>
      </c>
      <c r="M77" s="26" t="s">
        <v>80</v>
      </c>
      <c r="N77" s="26" t="s">
        <v>299</v>
      </c>
      <c r="O77" s="26" t="s">
        <v>515</v>
      </c>
      <c r="P77" s="26" t="s">
        <v>516</v>
      </c>
      <c r="Q77" s="20">
        <v>1968</v>
      </c>
      <c r="R77" s="26" t="s">
        <v>36</v>
      </c>
      <c r="S77" s="31">
        <v>1968</v>
      </c>
      <c r="T77" s="32">
        <v>45126</v>
      </c>
      <c r="U77" s="31"/>
      <c r="V77" s="26"/>
      <c r="W77" s="33" t="s">
        <v>517</v>
      </c>
      <c r="X77" s="26">
        <v>0</v>
      </c>
      <c r="Y77" s="22">
        <v>0</v>
      </c>
      <c r="Z77" s="34" t="s">
        <v>50</v>
      </c>
      <c r="AA77" s="19" t="s">
        <v>51</v>
      </c>
      <c r="AB77" s="26" t="s">
        <v>104</v>
      </c>
      <c r="AC77" s="26" t="s">
        <v>53</v>
      </c>
      <c r="AD77" s="19" t="s">
        <v>54</v>
      </c>
      <c r="AE77" s="26">
        <v>0</v>
      </c>
      <c r="AF77" s="17">
        <v>45127</v>
      </c>
      <c r="AG77" s="26"/>
      <c r="AH77" s="26">
        <v>1</v>
      </c>
      <c r="AI77" s="40" t="s">
        <v>84</v>
      </c>
      <c r="AJ77" s="26"/>
      <c r="AK77" s="26"/>
      <c r="AL77" s="35"/>
      <c r="AM77" s="35"/>
      <c r="AN77" s="35"/>
      <c r="AO77" s="35"/>
      <c r="AP77" s="35"/>
    </row>
    <row r="78" spans="1:42" x14ac:dyDescent="0.2">
      <c r="A78" s="27">
        <v>45126.172565717592</v>
      </c>
      <c r="B78" s="28" t="s">
        <v>37</v>
      </c>
      <c r="C78" s="41" t="s">
        <v>118</v>
      </c>
      <c r="D78" s="26" t="s">
        <v>36</v>
      </c>
      <c r="E78" s="26" t="s">
        <v>219</v>
      </c>
      <c r="F78" s="26" t="s">
        <v>91</v>
      </c>
      <c r="G78" s="26" t="s">
        <v>221</v>
      </c>
      <c r="H78" s="26" t="s">
        <v>376</v>
      </c>
      <c r="I78" s="17">
        <f ca="1">IFERROR(__xludf.DUMMYFUNCTION("""COMPUTED_VALUE"""),45127)</f>
        <v>45127</v>
      </c>
      <c r="J78" s="29" t="s">
        <v>518</v>
      </c>
      <c r="K78" s="26" t="s">
        <v>519</v>
      </c>
      <c r="L78" s="30">
        <v>347573888</v>
      </c>
      <c r="M78" s="26" t="s">
        <v>94</v>
      </c>
      <c r="N78" s="26" t="s">
        <v>200</v>
      </c>
      <c r="O78" s="26" t="s">
        <v>520</v>
      </c>
      <c r="P78" s="26" t="s">
        <v>521</v>
      </c>
      <c r="Q78" s="20">
        <v>3968</v>
      </c>
      <c r="R78" s="26" t="s">
        <v>36</v>
      </c>
      <c r="S78" s="31">
        <v>3968</v>
      </c>
      <c r="T78" s="32">
        <v>45126</v>
      </c>
      <c r="U78" s="31"/>
      <c r="V78" s="26"/>
      <c r="W78" s="33" t="s">
        <v>522</v>
      </c>
      <c r="X78" s="26">
        <v>0</v>
      </c>
      <c r="Y78" s="22">
        <v>0</v>
      </c>
      <c r="Z78" s="34" t="s">
        <v>50</v>
      </c>
      <c r="AA78" s="19" t="s">
        <v>51</v>
      </c>
      <c r="AB78" s="26" t="s">
        <v>104</v>
      </c>
      <c r="AC78" s="26" t="s">
        <v>53</v>
      </c>
      <c r="AD78" s="19" t="s">
        <v>54</v>
      </c>
      <c r="AE78" s="26">
        <v>600</v>
      </c>
      <c r="AF78" s="17">
        <v>45127</v>
      </c>
      <c r="AG78" s="26"/>
      <c r="AH78" s="26">
        <v>1</v>
      </c>
      <c r="AI78" s="40">
        <v>1</v>
      </c>
      <c r="AJ78" s="26"/>
      <c r="AK78" s="26"/>
      <c r="AL78" s="35"/>
      <c r="AM78" s="35"/>
      <c r="AN78" s="35"/>
      <c r="AO78" s="35"/>
      <c r="AP78" s="35"/>
    </row>
    <row r="79" spans="1:42" x14ac:dyDescent="0.2">
      <c r="A79" s="27">
        <v>45126.303404479171</v>
      </c>
      <c r="B79" s="28" t="s">
        <v>37</v>
      </c>
      <c r="C79" s="41" t="s">
        <v>118</v>
      </c>
      <c r="D79" s="26" t="s">
        <v>36</v>
      </c>
      <c r="E79" s="26" t="s">
        <v>148</v>
      </c>
      <c r="F79" s="26" t="s">
        <v>523</v>
      </c>
      <c r="G79" s="26" t="s">
        <v>108</v>
      </c>
      <c r="H79" s="26" t="s">
        <v>524</v>
      </c>
      <c r="I79" s="17">
        <f ca="1">IFERROR(__xludf.DUMMYFUNCTION("""COMPUTED_VALUE"""),45146)</f>
        <v>45146</v>
      </c>
      <c r="J79" s="29" t="s">
        <v>525</v>
      </c>
      <c r="K79" s="26" t="s">
        <v>526</v>
      </c>
      <c r="L79" s="30">
        <v>965069074</v>
      </c>
      <c r="M79" s="26" t="s">
        <v>112</v>
      </c>
      <c r="N79" s="26" t="s">
        <v>193</v>
      </c>
      <c r="O79" s="26" t="s">
        <v>527</v>
      </c>
      <c r="P79" s="26" t="s">
        <v>528</v>
      </c>
      <c r="Q79" s="20">
        <v>7349</v>
      </c>
      <c r="R79" s="26" t="s">
        <v>36</v>
      </c>
      <c r="S79" s="31">
        <v>7349</v>
      </c>
      <c r="T79" s="32">
        <v>45125</v>
      </c>
      <c r="U79" s="31"/>
      <c r="V79" s="26"/>
      <c r="W79" s="33" t="s">
        <v>529</v>
      </c>
      <c r="X79" s="26">
        <v>100</v>
      </c>
      <c r="Y79" s="22">
        <v>-100</v>
      </c>
      <c r="Z79" s="34" t="s">
        <v>50</v>
      </c>
      <c r="AA79" s="19" t="s">
        <v>51</v>
      </c>
      <c r="AB79" s="26" t="s">
        <v>116</v>
      </c>
      <c r="AC79" s="26" t="s">
        <v>53</v>
      </c>
      <c r="AD79" s="19" t="s">
        <v>54</v>
      </c>
      <c r="AE79" s="26" t="s">
        <v>530</v>
      </c>
      <c r="AF79" s="17">
        <v>45140</v>
      </c>
      <c r="AG79" s="26"/>
      <c r="AH79" s="26">
        <v>1</v>
      </c>
      <c r="AI79" s="40">
        <v>2</v>
      </c>
      <c r="AJ79" s="26"/>
      <c r="AK79" s="26"/>
      <c r="AL79" s="35"/>
      <c r="AM79" s="35"/>
      <c r="AN79" s="35"/>
      <c r="AO79" s="35"/>
      <c r="AP79" s="35"/>
    </row>
    <row r="80" spans="1:42" x14ac:dyDescent="0.2">
      <c r="A80" s="27">
        <v>45126.386427974532</v>
      </c>
      <c r="B80" s="28" t="s">
        <v>37</v>
      </c>
      <c r="C80" s="41" t="s">
        <v>118</v>
      </c>
      <c r="D80" s="26" t="s">
        <v>36</v>
      </c>
      <c r="E80" s="26" t="s">
        <v>77</v>
      </c>
      <c r="F80" s="26" t="s">
        <v>40</v>
      </c>
      <c r="G80" s="26" t="s">
        <v>41</v>
      </c>
      <c r="H80" s="26" t="s">
        <v>512</v>
      </c>
      <c r="I80" s="17">
        <f ca="1">IFERROR(__xludf.DUMMYFUNCTION("""COMPUTED_VALUE"""),45134)</f>
        <v>45134</v>
      </c>
      <c r="J80" s="29" t="s">
        <v>531</v>
      </c>
      <c r="K80" s="26" t="s">
        <v>532</v>
      </c>
      <c r="L80" s="30">
        <v>985271904</v>
      </c>
      <c r="M80" s="26" t="s">
        <v>348</v>
      </c>
      <c r="N80" s="26" t="s">
        <v>68</v>
      </c>
      <c r="O80" s="26" t="s">
        <v>533</v>
      </c>
      <c r="P80" s="39" t="s">
        <v>534</v>
      </c>
      <c r="Q80" s="20">
        <v>1968</v>
      </c>
      <c r="R80" s="26" t="s">
        <v>36</v>
      </c>
      <c r="S80" s="31">
        <v>1968</v>
      </c>
      <c r="T80" s="32">
        <v>45126</v>
      </c>
      <c r="U80" s="31"/>
      <c r="V80" s="26"/>
      <c r="W80" s="33" t="s">
        <v>535</v>
      </c>
      <c r="X80" s="26">
        <v>0</v>
      </c>
      <c r="Y80" s="22">
        <v>0</v>
      </c>
      <c r="Z80" s="34" t="s">
        <v>50</v>
      </c>
      <c r="AA80" s="19" t="s">
        <v>51</v>
      </c>
      <c r="AB80" s="26" t="s">
        <v>104</v>
      </c>
      <c r="AC80" s="26" t="s">
        <v>53</v>
      </c>
      <c r="AD80" s="19" t="s">
        <v>54</v>
      </c>
      <c r="AE80" s="26" t="s">
        <v>76</v>
      </c>
      <c r="AF80" s="17">
        <v>45127</v>
      </c>
      <c r="AG80" s="26"/>
      <c r="AH80" s="26">
        <v>1</v>
      </c>
      <c r="AI80" s="40" t="s">
        <v>84</v>
      </c>
      <c r="AJ80" s="26"/>
      <c r="AK80" s="26"/>
      <c r="AL80" s="35"/>
      <c r="AM80" s="35"/>
      <c r="AN80" s="35"/>
      <c r="AO80" s="35"/>
      <c r="AP80" s="35"/>
    </row>
    <row r="81" spans="1:42" x14ac:dyDescent="0.2">
      <c r="A81" s="27">
        <v>45126.388431805557</v>
      </c>
      <c r="B81" s="28" t="s">
        <v>37</v>
      </c>
      <c r="C81" s="41" t="s">
        <v>118</v>
      </c>
      <c r="D81" s="26" t="s">
        <v>36</v>
      </c>
      <c r="E81" s="26" t="s">
        <v>77</v>
      </c>
      <c r="F81" s="26" t="s">
        <v>40</v>
      </c>
      <c r="G81" s="26" t="s">
        <v>41</v>
      </c>
      <c r="H81" s="26" t="s">
        <v>512</v>
      </c>
      <c r="I81" s="17">
        <f ca="1">IFERROR(__xludf.DUMMYFUNCTION("""COMPUTED_VALUE"""),45134)</f>
        <v>45134</v>
      </c>
      <c r="J81" s="29" t="s">
        <v>536</v>
      </c>
      <c r="K81" s="26" t="s">
        <v>537</v>
      </c>
      <c r="L81" s="30">
        <v>399660869</v>
      </c>
      <c r="M81" s="26" t="s">
        <v>348</v>
      </c>
      <c r="N81" s="26" t="s">
        <v>68</v>
      </c>
      <c r="O81" s="26" t="s">
        <v>538</v>
      </c>
      <c r="P81" s="39" t="s">
        <v>534</v>
      </c>
      <c r="Q81" s="20">
        <v>1968</v>
      </c>
      <c r="R81" s="26" t="s">
        <v>36</v>
      </c>
      <c r="S81" s="31">
        <v>1968</v>
      </c>
      <c r="T81" s="32">
        <v>45126</v>
      </c>
      <c r="U81" s="31"/>
      <c r="V81" s="26"/>
      <c r="W81" s="33" t="s">
        <v>539</v>
      </c>
      <c r="X81" s="26">
        <v>0</v>
      </c>
      <c r="Y81" s="22">
        <v>0</v>
      </c>
      <c r="Z81" s="34" t="s">
        <v>50</v>
      </c>
      <c r="AA81" s="19" t="s">
        <v>51</v>
      </c>
      <c r="AB81" s="26" t="s">
        <v>104</v>
      </c>
      <c r="AC81" s="26" t="s">
        <v>53</v>
      </c>
      <c r="AD81" s="19" t="s">
        <v>54</v>
      </c>
      <c r="AE81" s="26" t="s">
        <v>72</v>
      </c>
      <c r="AF81" s="17">
        <v>45127</v>
      </c>
      <c r="AG81" s="26"/>
      <c r="AH81" s="26">
        <v>1</v>
      </c>
      <c r="AI81" s="40" t="s">
        <v>84</v>
      </c>
      <c r="AJ81" s="26"/>
      <c r="AK81" s="26"/>
      <c r="AL81" s="35"/>
      <c r="AM81" s="35"/>
      <c r="AN81" s="35"/>
      <c r="AO81" s="35"/>
      <c r="AP81" s="35"/>
    </row>
    <row r="82" spans="1:42" x14ac:dyDescent="0.2">
      <c r="A82" s="27">
        <v>45127.147883773148</v>
      </c>
      <c r="B82" s="28" t="s">
        <v>37</v>
      </c>
      <c r="C82" s="41" t="s">
        <v>118</v>
      </c>
      <c r="D82" s="26" t="s">
        <v>36</v>
      </c>
      <c r="E82" s="26" t="s">
        <v>39</v>
      </c>
      <c r="F82" s="26" t="s">
        <v>36</v>
      </c>
      <c r="G82" s="26" t="s">
        <v>41</v>
      </c>
      <c r="H82" s="26" t="s">
        <v>512</v>
      </c>
      <c r="I82" s="17">
        <f ca="1">IFERROR(__xludf.DUMMYFUNCTION("""COMPUTED_VALUE"""),45134)</f>
        <v>45134</v>
      </c>
      <c r="J82" s="29" t="s">
        <v>540</v>
      </c>
      <c r="K82" s="26" t="s">
        <v>541</v>
      </c>
      <c r="L82" s="30">
        <v>384268008</v>
      </c>
      <c r="M82" s="26" t="s">
        <v>354</v>
      </c>
      <c r="N82" s="26" t="s">
        <v>355</v>
      </c>
      <c r="O82" s="26" t="s">
        <v>542</v>
      </c>
      <c r="P82" s="26" t="s">
        <v>543</v>
      </c>
      <c r="Q82" s="20">
        <v>5736</v>
      </c>
      <c r="R82" s="26" t="s">
        <v>36</v>
      </c>
      <c r="S82" s="31">
        <v>2000</v>
      </c>
      <c r="T82" s="32">
        <v>45127</v>
      </c>
      <c r="U82" s="31">
        <v>3736</v>
      </c>
      <c r="V82" s="32">
        <v>45137</v>
      </c>
      <c r="W82" s="33" t="s">
        <v>544</v>
      </c>
      <c r="X82" s="26">
        <v>0</v>
      </c>
      <c r="Y82" s="22">
        <v>0</v>
      </c>
      <c r="Z82" s="34" t="s">
        <v>50</v>
      </c>
      <c r="AA82" s="19" t="s">
        <v>51</v>
      </c>
      <c r="AB82" s="26" t="s">
        <v>104</v>
      </c>
      <c r="AC82" s="26" t="s">
        <v>53</v>
      </c>
      <c r="AD82" s="19" t="s">
        <v>54</v>
      </c>
      <c r="AE82" s="26"/>
      <c r="AF82" s="17">
        <v>45127</v>
      </c>
      <c r="AG82" s="26"/>
      <c r="AH82" s="26">
        <v>1</v>
      </c>
      <c r="AI82" s="40" t="s">
        <v>55</v>
      </c>
      <c r="AJ82" s="26"/>
      <c r="AK82" s="26"/>
      <c r="AL82" s="35"/>
      <c r="AM82" s="35"/>
      <c r="AN82" s="35"/>
      <c r="AO82" s="35"/>
      <c r="AP82" s="35"/>
    </row>
    <row r="83" spans="1:42" x14ac:dyDescent="0.2">
      <c r="A83" s="27">
        <v>45127.336179768521</v>
      </c>
      <c r="B83" s="28" t="s">
        <v>37</v>
      </c>
      <c r="C83" s="41" t="s">
        <v>118</v>
      </c>
      <c r="D83" s="26" t="s">
        <v>36</v>
      </c>
      <c r="E83" s="26" t="s">
        <v>39</v>
      </c>
      <c r="F83" s="26" t="s">
        <v>91</v>
      </c>
      <c r="G83" s="26" t="s">
        <v>41</v>
      </c>
      <c r="H83" s="26" t="s">
        <v>545</v>
      </c>
      <c r="I83" s="17">
        <f ca="1">IFERROR(__xludf.DUMMYFUNCTION("""COMPUTED_VALUE"""),45133)</f>
        <v>45133</v>
      </c>
      <c r="J83" s="29" t="s">
        <v>546</v>
      </c>
      <c r="K83" s="26" t="s">
        <v>547</v>
      </c>
      <c r="L83" s="30">
        <v>343528363</v>
      </c>
      <c r="M83" s="26" t="s">
        <v>548</v>
      </c>
      <c r="N83" s="26" t="s">
        <v>549</v>
      </c>
      <c r="O83" s="26" t="s">
        <v>550</v>
      </c>
      <c r="P83" s="28" t="s">
        <v>551</v>
      </c>
      <c r="Q83" s="20">
        <v>5736</v>
      </c>
      <c r="R83" s="26" t="s">
        <v>36</v>
      </c>
      <c r="S83" s="31">
        <v>5536</v>
      </c>
      <c r="T83" s="32">
        <v>45127</v>
      </c>
      <c r="U83" s="31"/>
      <c r="V83" s="16" t="s">
        <v>552</v>
      </c>
      <c r="W83" s="33" t="s">
        <v>553</v>
      </c>
      <c r="X83" s="26">
        <v>0</v>
      </c>
      <c r="Y83" s="22">
        <v>200</v>
      </c>
      <c r="Z83" s="34" t="s">
        <v>50</v>
      </c>
      <c r="AA83" s="19" t="s">
        <v>51</v>
      </c>
      <c r="AB83" s="26" t="s">
        <v>104</v>
      </c>
      <c r="AC83" s="26" t="s">
        <v>53</v>
      </c>
      <c r="AD83" s="19" t="s">
        <v>54</v>
      </c>
      <c r="AE83" s="26">
        <v>270</v>
      </c>
      <c r="AF83" s="17">
        <v>45127</v>
      </c>
      <c r="AG83" s="26"/>
      <c r="AH83" s="26">
        <v>1</v>
      </c>
      <c r="AI83" s="40" t="s">
        <v>55</v>
      </c>
      <c r="AJ83" s="26"/>
      <c r="AK83" s="26"/>
      <c r="AL83" s="35"/>
      <c r="AM83" s="35"/>
      <c r="AN83" s="35"/>
      <c r="AO83" s="35"/>
      <c r="AP83" s="35"/>
    </row>
    <row r="84" spans="1:42" x14ac:dyDescent="0.2">
      <c r="A84" s="27">
        <v>45127.551212453705</v>
      </c>
      <c r="B84" s="28" t="s">
        <v>37</v>
      </c>
      <c r="C84" s="41" t="s">
        <v>118</v>
      </c>
      <c r="D84" s="26" t="s">
        <v>36</v>
      </c>
      <c r="E84" s="26" t="s">
        <v>106</v>
      </c>
      <c r="F84" s="26" t="s">
        <v>40</v>
      </c>
      <c r="G84" s="26" t="s">
        <v>108</v>
      </c>
      <c r="H84" s="26" t="s">
        <v>554</v>
      </c>
      <c r="I84" s="17">
        <f ca="1">IFERROR(__xludf.DUMMYFUNCTION("""COMPUTED_VALUE"""),45133)</f>
        <v>45133</v>
      </c>
      <c r="J84" s="29" t="s">
        <v>555</v>
      </c>
      <c r="K84" s="26" t="s">
        <v>556</v>
      </c>
      <c r="L84" s="30">
        <v>325737304</v>
      </c>
      <c r="M84" s="26" t="s">
        <v>59</v>
      </c>
      <c r="N84" s="26" t="s">
        <v>557</v>
      </c>
      <c r="O84" s="26" t="s">
        <v>558</v>
      </c>
      <c r="P84" s="26" t="s">
        <v>559</v>
      </c>
      <c r="Q84" s="20">
        <v>3768</v>
      </c>
      <c r="R84" s="26" t="s">
        <v>36</v>
      </c>
      <c r="S84" s="31">
        <v>3768</v>
      </c>
      <c r="T84" s="32">
        <v>45127</v>
      </c>
      <c r="U84" s="31"/>
      <c r="V84" s="26"/>
      <c r="W84" s="33" t="s">
        <v>560</v>
      </c>
      <c r="X84" s="26">
        <v>0</v>
      </c>
      <c r="Y84" s="22">
        <v>0</v>
      </c>
      <c r="Z84" s="34" t="s">
        <v>50</v>
      </c>
      <c r="AA84" s="19" t="s">
        <v>51</v>
      </c>
      <c r="AB84" s="26" t="s">
        <v>137</v>
      </c>
      <c r="AC84" s="26" t="s">
        <v>53</v>
      </c>
      <c r="AD84" s="19" t="s">
        <v>54</v>
      </c>
      <c r="AE84" s="26" t="s">
        <v>561</v>
      </c>
      <c r="AF84" s="17">
        <v>45132</v>
      </c>
      <c r="AG84" s="26"/>
      <c r="AH84" s="26">
        <v>1</v>
      </c>
      <c r="AI84" s="40">
        <v>1</v>
      </c>
      <c r="AJ84" s="26"/>
      <c r="AK84" s="26"/>
      <c r="AL84" s="35"/>
      <c r="AM84" s="35"/>
      <c r="AN84" s="35"/>
      <c r="AO84" s="35"/>
      <c r="AP84" s="35"/>
    </row>
    <row r="85" spans="1:42" x14ac:dyDescent="0.2">
      <c r="A85" s="27">
        <v>45127.625438391202</v>
      </c>
      <c r="B85" s="28" t="s">
        <v>37</v>
      </c>
      <c r="C85" s="41" t="s">
        <v>118</v>
      </c>
      <c r="D85" s="26" t="s">
        <v>36</v>
      </c>
      <c r="E85" s="26" t="s">
        <v>119</v>
      </c>
      <c r="F85" s="26" t="s">
        <v>40</v>
      </c>
      <c r="G85" s="26" t="s">
        <v>108</v>
      </c>
      <c r="H85" s="26" t="s">
        <v>562</v>
      </c>
      <c r="I85" s="17">
        <f ca="1">IFERROR(__xludf.DUMMYFUNCTION("""COMPUTED_VALUE"""),45133)</f>
        <v>45133</v>
      </c>
      <c r="J85" s="29" t="s">
        <v>563</v>
      </c>
      <c r="K85" s="26" t="s">
        <v>564</v>
      </c>
      <c r="L85" s="30">
        <v>982295843</v>
      </c>
      <c r="M85" s="26" t="s">
        <v>45</v>
      </c>
      <c r="N85" s="26" t="s">
        <v>565</v>
      </c>
      <c r="O85" s="26" t="s">
        <v>566</v>
      </c>
      <c r="P85" s="26" t="s">
        <v>567</v>
      </c>
      <c r="Q85" s="20">
        <v>13968</v>
      </c>
      <c r="R85" s="26" t="s">
        <v>36</v>
      </c>
      <c r="S85" s="31">
        <v>13968</v>
      </c>
      <c r="T85" s="32">
        <v>45127</v>
      </c>
      <c r="U85" s="31"/>
      <c r="V85" s="26"/>
      <c r="W85" s="33" t="s">
        <v>568</v>
      </c>
      <c r="X85" s="26">
        <v>0</v>
      </c>
      <c r="Y85" s="22">
        <v>0</v>
      </c>
      <c r="Z85" s="34" t="s">
        <v>50</v>
      </c>
      <c r="AA85" s="19" t="s">
        <v>51</v>
      </c>
      <c r="AB85" s="26" t="s">
        <v>154</v>
      </c>
      <c r="AC85" s="26" t="s">
        <v>53</v>
      </c>
      <c r="AD85" s="19" t="s">
        <v>54</v>
      </c>
      <c r="AE85" s="26">
        <v>390</v>
      </c>
      <c r="AF85" s="17">
        <v>45132</v>
      </c>
      <c r="AG85" s="26"/>
      <c r="AH85" s="26">
        <v>1</v>
      </c>
      <c r="AI85" s="40">
        <v>4</v>
      </c>
      <c r="AJ85" s="26"/>
      <c r="AK85" s="26"/>
      <c r="AL85" s="35"/>
      <c r="AM85" s="35"/>
      <c r="AN85" s="35"/>
      <c r="AO85" s="35"/>
      <c r="AP85" s="35"/>
    </row>
    <row r="86" spans="1:42" x14ac:dyDescent="0.2">
      <c r="A86" s="27">
        <v>45128.130064629629</v>
      </c>
      <c r="B86" s="48" t="s">
        <v>37</v>
      </c>
      <c r="C86" s="41" t="s">
        <v>118</v>
      </c>
      <c r="D86" s="19" t="s">
        <v>36</v>
      </c>
      <c r="E86" s="26" t="s">
        <v>39</v>
      </c>
      <c r="F86" s="19" t="s">
        <v>40</v>
      </c>
      <c r="G86" s="19" t="s">
        <v>41</v>
      </c>
      <c r="H86" s="19" t="s">
        <v>545</v>
      </c>
      <c r="I86" s="17">
        <f ca="1">IFERROR(__xludf.DUMMYFUNCTION("""COMPUTED_VALUE"""),45133)</f>
        <v>45133</v>
      </c>
      <c r="J86" s="49" t="s">
        <v>569</v>
      </c>
      <c r="K86" s="19" t="s">
        <v>570</v>
      </c>
      <c r="L86" s="47">
        <v>363237626</v>
      </c>
      <c r="M86" s="19" t="s">
        <v>45</v>
      </c>
      <c r="N86" s="19" t="s">
        <v>571</v>
      </c>
      <c r="O86" s="19" t="s">
        <v>572</v>
      </c>
      <c r="P86" s="19" t="s">
        <v>573</v>
      </c>
      <c r="Q86" s="20">
        <v>5736</v>
      </c>
      <c r="R86" s="19" t="s">
        <v>36</v>
      </c>
      <c r="S86" s="50">
        <v>5736</v>
      </c>
      <c r="T86" s="51">
        <v>45128</v>
      </c>
      <c r="U86" s="50"/>
      <c r="V86" s="19"/>
      <c r="W86" s="52" t="s">
        <v>574</v>
      </c>
      <c r="X86" s="19">
        <v>0</v>
      </c>
      <c r="Y86" s="22">
        <v>0</v>
      </c>
      <c r="Z86" s="34" t="s">
        <v>50</v>
      </c>
      <c r="AA86" s="19" t="s">
        <v>51</v>
      </c>
      <c r="AB86" s="19" t="s">
        <v>104</v>
      </c>
      <c r="AC86" s="19" t="s">
        <v>53</v>
      </c>
      <c r="AD86" s="19" t="s">
        <v>54</v>
      </c>
      <c r="AE86" s="19">
        <v>0</v>
      </c>
      <c r="AF86" s="17">
        <v>45132</v>
      </c>
      <c r="AG86" s="19"/>
      <c r="AH86" s="19">
        <v>1</v>
      </c>
      <c r="AI86" s="53" t="s">
        <v>55</v>
      </c>
      <c r="AJ86" s="19"/>
      <c r="AK86" s="19"/>
      <c r="AL86" s="19"/>
      <c r="AM86" s="19"/>
      <c r="AN86" s="19"/>
      <c r="AO86" s="19"/>
      <c r="AP86" s="19"/>
    </row>
    <row r="87" spans="1:42" x14ac:dyDescent="0.2">
      <c r="A87" s="27">
        <v>45128.189057974538</v>
      </c>
      <c r="B87" s="28" t="s">
        <v>37</v>
      </c>
      <c r="C87" s="41" t="s">
        <v>118</v>
      </c>
      <c r="D87" s="26" t="s">
        <v>36</v>
      </c>
      <c r="E87" s="26" t="s">
        <v>219</v>
      </c>
      <c r="F87" s="26" t="s">
        <v>575</v>
      </c>
      <c r="G87" s="26" t="s">
        <v>221</v>
      </c>
      <c r="H87" s="26" t="s">
        <v>222</v>
      </c>
      <c r="I87" s="17">
        <f ca="1">IFERROR(__xludf.DUMMYFUNCTION("""COMPUTED_VALUE"""),45132)</f>
        <v>45132</v>
      </c>
      <c r="J87" s="29" t="s">
        <v>576</v>
      </c>
      <c r="K87" s="26" t="s">
        <v>577</v>
      </c>
      <c r="L87" s="30">
        <v>792846064</v>
      </c>
      <c r="M87" s="26" t="s">
        <v>112</v>
      </c>
      <c r="N87" s="26" t="s">
        <v>578</v>
      </c>
      <c r="O87" s="26" t="s">
        <v>579</v>
      </c>
      <c r="P87" s="26" t="s">
        <v>580</v>
      </c>
      <c r="Q87" s="20">
        <v>3968</v>
      </c>
      <c r="R87" s="26" t="s">
        <v>36</v>
      </c>
      <c r="S87" s="31">
        <v>3868</v>
      </c>
      <c r="T87" s="32">
        <v>45128</v>
      </c>
      <c r="U87" s="31"/>
      <c r="V87" s="26"/>
      <c r="W87" s="33" t="s">
        <v>581</v>
      </c>
      <c r="X87" s="26">
        <v>100</v>
      </c>
      <c r="Y87" s="22">
        <v>0</v>
      </c>
      <c r="Z87" s="34" t="s">
        <v>50</v>
      </c>
      <c r="AA87" s="19" t="s">
        <v>51</v>
      </c>
      <c r="AB87" s="26" t="s">
        <v>104</v>
      </c>
      <c r="AC87" s="26" t="s">
        <v>53</v>
      </c>
      <c r="AD87" s="19" t="s">
        <v>54</v>
      </c>
      <c r="AE87" s="26">
        <v>650</v>
      </c>
      <c r="AF87" s="17">
        <v>45132</v>
      </c>
      <c r="AG87" s="26"/>
      <c r="AH87" s="26">
        <v>1</v>
      </c>
      <c r="AI87" s="40">
        <v>1</v>
      </c>
      <c r="AJ87" s="26"/>
      <c r="AK87" s="26"/>
      <c r="AL87" s="35"/>
      <c r="AM87" s="35"/>
      <c r="AN87" s="35"/>
      <c r="AO87" s="35"/>
      <c r="AP87" s="35"/>
    </row>
    <row r="88" spans="1:42" x14ac:dyDescent="0.2">
      <c r="A88" s="27">
        <v>45128.29972815972</v>
      </c>
      <c r="B88" s="28" t="s">
        <v>37</v>
      </c>
      <c r="C88" s="41" t="s">
        <v>118</v>
      </c>
      <c r="D88" s="26" t="s">
        <v>36</v>
      </c>
      <c r="E88" s="26" t="s">
        <v>106</v>
      </c>
      <c r="F88" s="26" t="s">
        <v>91</v>
      </c>
      <c r="G88" s="26" t="s">
        <v>108</v>
      </c>
      <c r="H88" s="26" t="s">
        <v>554</v>
      </c>
      <c r="I88" s="17">
        <f ca="1">IFERROR(__xludf.DUMMYFUNCTION("""COMPUTED_VALUE"""),45133)</f>
        <v>45133</v>
      </c>
      <c r="J88" s="29" t="s">
        <v>582</v>
      </c>
      <c r="K88" s="26" t="s">
        <v>583</v>
      </c>
      <c r="L88" s="30">
        <v>399327650</v>
      </c>
      <c r="M88" s="26" t="s">
        <v>391</v>
      </c>
      <c r="N88" s="26" t="s">
        <v>584</v>
      </c>
      <c r="O88" s="26" t="s">
        <v>585</v>
      </c>
      <c r="P88" s="34" t="s">
        <v>586</v>
      </c>
      <c r="Q88" s="20">
        <v>3768</v>
      </c>
      <c r="R88" s="26" t="s">
        <v>36</v>
      </c>
      <c r="S88" s="31">
        <v>3768</v>
      </c>
      <c r="T88" s="32">
        <v>45127</v>
      </c>
      <c r="U88" s="31"/>
      <c r="V88" s="26"/>
      <c r="W88" s="33" t="s">
        <v>587</v>
      </c>
      <c r="X88" s="26">
        <v>0</v>
      </c>
      <c r="Y88" s="22">
        <v>0</v>
      </c>
      <c r="Z88" s="34" t="s">
        <v>50</v>
      </c>
      <c r="AA88" s="19" t="s">
        <v>51</v>
      </c>
      <c r="AB88" s="26" t="s">
        <v>128</v>
      </c>
      <c r="AC88" s="26" t="s">
        <v>53</v>
      </c>
      <c r="AD88" s="19" t="s">
        <v>54</v>
      </c>
      <c r="AE88" s="26"/>
      <c r="AF88" s="17">
        <v>45132</v>
      </c>
      <c r="AG88" s="26" t="s">
        <v>588</v>
      </c>
      <c r="AH88" s="26">
        <v>1</v>
      </c>
      <c r="AI88" s="40">
        <v>1</v>
      </c>
      <c r="AJ88" s="26"/>
      <c r="AK88" s="26"/>
      <c r="AL88" s="35"/>
      <c r="AM88" s="35"/>
      <c r="AN88" s="35"/>
      <c r="AO88" s="35"/>
      <c r="AP88" s="35"/>
    </row>
    <row r="89" spans="1:42" x14ac:dyDescent="0.2">
      <c r="A89" s="27">
        <v>45128.492746006945</v>
      </c>
      <c r="B89" s="28" t="s">
        <v>37</v>
      </c>
      <c r="C89" s="41" t="s">
        <v>118</v>
      </c>
      <c r="D89" s="26" t="s">
        <v>36</v>
      </c>
      <c r="E89" s="26" t="s">
        <v>106</v>
      </c>
      <c r="F89" s="26" t="s">
        <v>40</v>
      </c>
      <c r="G89" s="26" t="s">
        <v>108</v>
      </c>
      <c r="H89" s="26" t="s">
        <v>562</v>
      </c>
      <c r="I89" s="17">
        <f ca="1">IFERROR(__xludf.DUMMYFUNCTION("""COMPUTED_VALUE"""),45133)</f>
        <v>45133</v>
      </c>
      <c r="J89" s="29" t="s">
        <v>589</v>
      </c>
      <c r="K89" s="26" t="s">
        <v>590</v>
      </c>
      <c r="L89" s="30">
        <v>964366421</v>
      </c>
      <c r="M89" s="26" t="s">
        <v>80</v>
      </c>
      <c r="N89" s="26" t="s">
        <v>438</v>
      </c>
      <c r="O89" s="26" t="s">
        <v>591</v>
      </c>
      <c r="P89" s="26" t="s">
        <v>592</v>
      </c>
      <c r="Q89" s="20">
        <v>3768</v>
      </c>
      <c r="R89" s="26" t="s">
        <v>36</v>
      </c>
      <c r="S89" s="31">
        <v>4000</v>
      </c>
      <c r="T89" s="32">
        <v>45128</v>
      </c>
      <c r="U89" s="31"/>
      <c r="V89" s="16" t="s">
        <v>593</v>
      </c>
      <c r="W89" s="33" t="s">
        <v>594</v>
      </c>
      <c r="X89" s="26">
        <v>0</v>
      </c>
      <c r="Y89" s="22">
        <v>-232</v>
      </c>
      <c r="Z89" s="34" t="s">
        <v>50</v>
      </c>
      <c r="AA89" s="19" t="s">
        <v>51</v>
      </c>
      <c r="AB89" s="26" t="s">
        <v>137</v>
      </c>
      <c r="AC89" s="26" t="s">
        <v>53</v>
      </c>
      <c r="AD89" s="19" t="s">
        <v>54</v>
      </c>
      <c r="AE89" s="26">
        <v>550</v>
      </c>
      <c r="AF89" s="17">
        <v>45132</v>
      </c>
      <c r="AG89" s="26"/>
      <c r="AH89" s="26">
        <v>1</v>
      </c>
      <c r="AI89" s="40">
        <v>1</v>
      </c>
      <c r="AJ89" s="26"/>
      <c r="AK89" s="26"/>
      <c r="AL89" s="35"/>
      <c r="AM89" s="35"/>
      <c r="AN89" s="35"/>
      <c r="AO89" s="35"/>
      <c r="AP89" s="35"/>
    </row>
    <row r="90" spans="1:42" x14ac:dyDescent="0.2">
      <c r="A90" s="27">
        <v>45129.209418113431</v>
      </c>
      <c r="B90" s="28" t="s">
        <v>37</v>
      </c>
      <c r="C90" s="41" t="s">
        <v>118</v>
      </c>
      <c r="D90" s="26" t="s">
        <v>36</v>
      </c>
      <c r="E90" s="26" t="s">
        <v>106</v>
      </c>
      <c r="F90" s="26" t="s">
        <v>40</v>
      </c>
      <c r="G90" s="26" t="s">
        <v>108</v>
      </c>
      <c r="H90" s="26" t="s">
        <v>562</v>
      </c>
      <c r="I90" s="17">
        <f ca="1">IFERROR(__xludf.DUMMYFUNCTION("""COMPUTED_VALUE"""),45133)</f>
        <v>45133</v>
      </c>
      <c r="J90" s="29" t="s">
        <v>595</v>
      </c>
      <c r="K90" s="26" t="s">
        <v>596</v>
      </c>
      <c r="L90" s="30">
        <v>984599602</v>
      </c>
      <c r="M90" s="26" t="s">
        <v>80</v>
      </c>
      <c r="N90" s="26" t="s">
        <v>466</v>
      </c>
      <c r="O90" s="26" t="s">
        <v>597</v>
      </c>
      <c r="P90" s="26" t="s">
        <v>598</v>
      </c>
      <c r="Q90" s="20">
        <v>3768</v>
      </c>
      <c r="R90" s="26" t="s">
        <v>36</v>
      </c>
      <c r="S90" s="31">
        <v>3768</v>
      </c>
      <c r="T90" s="32">
        <v>45129</v>
      </c>
      <c r="U90" s="31"/>
      <c r="V90" s="26"/>
      <c r="W90" s="33" t="s">
        <v>599</v>
      </c>
      <c r="X90" s="26">
        <v>0</v>
      </c>
      <c r="Y90" s="22">
        <v>0</v>
      </c>
      <c r="Z90" s="34" t="s">
        <v>50</v>
      </c>
      <c r="AA90" s="19" t="s">
        <v>51</v>
      </c>
      <c r="AB90" s="26" t="s">
        <v>154</v>
      </c>
      <c r="AC90" s="26" t="s">
        <v>53</v>
      </c>
      <c r="AD90" s="19" t="s">
        <v>54</v>
      </c>
      <c r="AE90" s="26">
        <v>440</v>
      </c>
      <c r="AF90" s="17">
        <v>45132</v>
      </c>
      <c r="AG90" s="26"/>
      <c r="AH90" s="26">
        <v>1</v>
      </c>
      <c r="AI90" s="40">
        <v>1</v>
      </c>
      <c r="AJ90" s="26"/>
      <c r="AK90" s="26"/>
      <c r="AL90" s="35"/>
      <c r="AM90" s="35"/>
      <c r="AN90" s="35"/>
      <c r="AO90" s="35"/>
      <c r="AP90" s="35"/>
    </row>
    <row r="91" spans="1:42" x14ac:dyDescent="0.2">
      <c r="A91" s="27">
        <v>45129.469104988428</v>
      </c>
      <c r="B91" s="28" t="s">
        <v>37</v>
      </c>
      <c r="C91" s="41" t="s">
        <v>118</v>
      </c>
      <c r="D91" s="26" t="s">
        <v>36</v>
      </c>
      <c r="E91" s="26" t="s">
        <v>77</v>
      </c>
      <c r="F91" s="26" t="s">
        <v>36</v>
      </c>
      <c r="G91" s="26" t="s">
        <v>41</v>
      </c>
      <c r="H91" s="26" t="s">
        <v>545</v>
      </c>
      <c r="I91" s="17">
        <f ca="1">IFERROR(__xludf.DUMMYFUNCTION("""COMPUTED_VALUE"""),45133)</f>
        <v>45133</v>
      </c>
      <c r="J91" s="29" t="s">
        <v>600</v>
      </c>
      <c r="K91" s="26" t="s">
        <v>601</v>
      </c>
      <c r="L91" s="30">
        <v>799183971</v>
      </c>
      <c r="M91" s="26" t="s">
        <v>80</v>
      </c>
      <c r="N91" s="26" t="s">
        <v>466</v>
      </c>
      <c r="O91" s="26" t="s">
        <v>602</v>
      </c>
      <c r="P91" s="26" t="s">
        <v>603</v>
      </c>
      <c r="Q91" s="20">
        <v>1968</v>
      </c>
      <c r="R91" s="26" t="s">
        <v>36</v>
      </c>
      <c r="S91" s="31">
        <v>1000</v>
      </c>
      <c r="T91" s="32">
        <v>44926</v>
      </c>
      <c r="U91" s="31">
        <v>1000</v>
      </c>
      <c r="V91" s="32">
        <v>45129</v>
      </c>
      <c r="W91" s="26" t="s">
        <v>604</v>
      </c>
      <c r="X91" s="26">
        <v>0</v>
      </c>
      <c r="Y91" s="22">
        <v>-32</v>
      </c>
      <c r="Z91" s="34" t="s">
        <v>50</v>
      </c>
      <c r="AA91" s="19" t="s">
        <v>51</v>
      </c>
      <c r="AB91" s="26" t="s">
        <v>104</v>
      </c>
      <c r="AC91" s="26" t="s">
        <v>53</v>
      </c>
      <c r="AD91" s="19" t="s">
        <v>54</v>
      </c>
      <c r="AE91" s="26">
        <v>0</v>
      </c>
      <c r="AF91" s="17">
        <v>45132</v>
      </c>
      <c r="AG91" s="26"/>
      <c r="AH91" s="26">
        <v>1</v>
      </c>
      <c r="AI91" s="40" t="s">
        <v>84</v>
      </c>
      <c r="AJ91" s="26"/>
      <c r="AK91" s="26"/>
      <c r="AL91" s="35"/>
      <c r="AM91" s="35"/>
      <c r="AN91" s="35"/>
      <c r="AO91" s="35"/>
      <c r="AP91" s="35"/>
    </row>
    <row r="92" spans="1:42" x14ac:dyDescent="0.2">
      <c r="A92" s="27">
        <v>45129.605859907402</v>
      </c>
      <c r="B92" s="28" t="s">
        <v>37</v>
      </c>
      <c r="C92" s="41" t="s">
        <v>118</v>
      </c>
      <c r="D92" s="26" t="s">
        <v>36</v>
      </c>
      <c r="E92" s="26" t="s">
        <v>39</v>
      </c>
      <c r="F92" s="26" t="s">
        <v>40</v>
      </c>
      <c r="G92" s="26" t="s">
        <v>41</v>
      </c>
      <c r="H92" s="26" t="s">
        <v>545</v>
      </c>
      <c r="I92" s="17">
        <f ca="1">IFERROR(__xludf.DUMMYFUNCTION("""COMPUTED_VALUE"""),45133)</f>
        <v>45133</v>
      </c>
      <c r="J92" s="29" t="s">
        <v>605</v>
      </c>
      <c r="K92" s="26" t="s">
        <v>606</v>
      </c>
      <c r="L92" s="30">
        <v>398775012</v>
      </c>
      <c r="M92" s="26" t="s">
        <v>45</v>
      </c>
      <c r="N92" s="26" t="s">
        <v>571</v>
      </c>
      <c r="O92" s="26" t="s">
        <v>607</v>
      </c>
      <c r="P92" s="26" t="s">
        <v>608</v>
      </c>
      <c r="Q92" s="20">
        <v>5736</v>
      </c>
      <c r="R92" s="26" t="s">
        <v>70</v>
      </c>
      <c r="S92" s="31">
        <v>5636</v>
      </c>
      <c r="T92" s="32">
        <v>45129</v>
      </c>
      <c r="U92" s="31"/>
      <c r="V92" s="26"/>
      <c r="W92" s="33" t="s">
        <v>609</v>
      </c>
      <c r="X92" s="26">
        <v>100</v>
      </c>
      <c r="Y92" s="22">
        <v>0</v>
      </c>
      <c r="Z92" s="34" t="s">
        <v>50</v>
      </c>
      <c r="AA92" s="19" t="s">
        <v>51</v>
      </c>
      <c r="AB92" s="26" t="s">
        <v>104</v>
      </c>
      <c r="AC92" s="26" t="s">
        <v>53</v>
      </c>
      <c r="AD92" s="19" t="s">
        <v>54</v>
      </c>
      <c r="AE92" s="26">
        <v>0</v>
      </c>
      <c r="AF92" s="17">
        <v>45132</v>
      </c>
      <c r="AG92" s="26"/>
      <c r="AH92" s="26">
        <v>1</v>
      </c>
      <c r="AI92" s="40" t="s">
        <v>55</v>
      </c>
      <c r="AJ92" s="26"/>
      <c r="AK92" s="26"/>
      <c r="AL92" s="35"/>
      <c r="AM92" s="35"/>
      <c r="AN92" s="35"/>
      <c r="AO92" s="35"/>
      <c r="AP92" s="35"/>
    </row>
    <row r="93" spans="1:42" x14ac:dyDescent="0.2">
      <c r="A93" s="27">
        <v>45130.48658788194</v>
      </c>
      <c r="B93" s="28" t="s">
        <v>37</v>
      </c>
      <c r="C93" s="41" t="s">
        <v>118</v>
      </c>
      <c r="D93" s="26" t="s">
        <v>36</v>
      </c>
      <c r="E93" s="26" t="s">
        <v>77</v>
      </c>
      <c r="F93" s="26" t="s">
        <v>36</v>
      </c>
      <c r="G93" s="26" t="s">
        <v>41</v>
      </c>
      <c r="H93" s="26" t="s">
        <v>505</v>
      </c>
      <c r="I93" s="17">
        <f ca="1">IFERROR(__xludf.DUMMYFUNCTION("""COMPUTED_VALUE"""),45141)</f>
        <v>45141</v>
      </c>
      <c r="J93" s="29" t="s">
        <v>610</v>
      </c>
      <c r="K93" s="26" t="s">
        <v>611</v>
      </c>
      <c r="L93" s="30">
        <v>822037086</v>
      </c>
      <c r="M93" s="26" t="s">
        <v>123</v>
      </c>
      <c r="N93" s="26" t="s">
        <v>133</v>
      </c>
      <c r="O93" s="26" t="s">
        <v>134</v>
      </c>
      <c r="P93" s="26" t="s">
        <v>612</v>
      </c>
      <c r="Q93" s="20">
        <v>1968</v>
      </c>
      <c r="R93" s="26" t="s">
        <v>36</v>
      </c>
      <c r="S93" s="31">
        <v>1968</v>
      </c>
      <c r="T93" s="32">
        <v>45130</v>
      </c>
      <c r="U93" s="31"/>
      <c r="V93" s="26"/>
      <c r="W93" s="33" t="s">
        <v>613</v>
      </c>
      <c r="X93" s="26">
        <v>0</v>
      </c>
      <c r="Y93" s="22">
        <v>0</v>
      </c>
      <c r="Z93" s="34" t="s">
        <v>50</v>
      </c>
      <c r="AA93" s="19" t="s">
        <v>51</v>
      </c>
      <c r="AB93" s="26" t="s">
        <v>104</v>
      </c>
      <c r="AC93" s="26" t="s">
        <v>53</v>
      </c>
      <c r="AD93" s="19" t="s">
        <v>54</v>
      </c>
      <c r="AE93" s="26"/>
      <c r="AF93" s="17">
        <v>45132</v>
      </c>
      <c r="AG93" s="26"/>
      <c r="AH93" s="26">
        <v>1</v>
      </c>
      <c r="AI93" s="40" t="s">
        <v>84</v>
      </c>
      <c r="AJ93" s="26"/>
      <c r="AK93" s="26"/>
      <c r="AL93" s="35"/>
      <c r="AM93" s="35"/>
      <c r="AN93" s="35"/>
      <c r="AO93" s="35"/>
      <c r="AP93" s="35"/>
    </row>
    <row r="94" spans="1:42" x14ac:dyDescent="0.2">
      <c r="A94" s="27">
        <v>45130.570557245373</v>
      </c>
      <c r="B94" s="28" t="s">
        <v>37</v>
      </c>
      <c r="C94" s="41" t="s">
        <v>118</v>
      </c>
      <c r="D94" s="26" t="s">
        <v>36</v>
      </c>
      <c r="E94" s="26" t="s">
        <v>77</v>
      </c>
      <c r="F94" s="26" t="s">
        <v>36</v>
      </c>
      <c r="G94" s="26" t="s">
        <v>41</v>
      </c>
      <c r="H94" s="26" t="s">
        <v>545</v>
      </c>
      <c r="I94" s="17">
        <f ca="1">IFERROR(__xludf.DUMMYFUNCTION("""COMPUTED_VALUE"""),45133)</f>
        <v>45133</v>
      </c>
      <c r="J94" s="29" t="s">
        <v>614</v>
      </c>
      <c r="K94" s="26" t="s">
        <v>615</v>
      </c>
      <c r="L94" s="30">
        <v>946647706</v>
      </c>
      <c r="M94" s="26" t="s">
        <v>80</v>
      </c>
      <c r="N94" s="26" t="s">
        <v>253</v>
      </c>
      <c r="O94" s="26" t="s">
        <v>616</v>
      </c>
      <c r="P94" s="26" t="s">
        <v>617</v>
      </c>
      <c r="Q94" s="20">
        <v>1968</v>
      </c>
      <c r="R94" s="26" t="s">
        <v>36</v>
      </c>
      <c r="S94" s="31">
        <v>1968</v>
      </c>
      <c r="T94" s="32">
        <v>45130</v>
      </c>
      <c r="U94" s="31"/>
      <c r="V94" s="26"/>
      <c r="W94" s="33" t="s">
        <v>618</v>
      </c>
      <c r="X94" s="26">
        <v>0</v>
      </c>
      <c r="Y94" s="22">
        <v>0</v>
      </c>
      <c r="Z94" s="34" t="s">
        <v>50</v>
      </c>
      <c r="AA94" s="19" t="s">
        <v>51</v>
      </c>
      <c r="AB94" s="26" t="s">
        <v>104</v>
      </c>
      <c r="AC94" s="26" t="s">
        <v>53</v>
      </c>
      <c r="AD94" s="19" t="s">
        <v>54</v>
      </c>
      <c r="AE94" s="26">
        <v>0</v>
      </c>
      <c r="AF94" s="17">
        <v>45132</v>
      </c>
      <c r="AG94" s="26"/>
      <c r="AH94" s="26">
        <v>1</v>
      </c>
      <c r="AI94" s="40" t="s">
        <v>84</v>
      </c>
      <c r="AJ94" s="26"/>
      <c r="AK94" s="26"/>
      <c r="AL94" s="35"/>
      <c r="AM94" s="35"/>
      <c r="AN94" s="35"/>
      <c r="AO94" s="35"/>
      <c r="AP94" s="35"/>
    </row>
    <row r="95" spans="1:42" x14ac:dyDescent="0.2">
      <c r="A95" s="27">
        <v>45130.686571180559</v>
      </c>
      <c r="B95" s="28" t="s">
        <v>37</v>
      </c>
      <c r="C95" s="41" t="s">
        <v>118</v>
      </c>
      <c r="D95" s="26" t="s">
        <v>36</v>
      </c>
      <c r="E95" s="26" t="s">
        <v>77</v>
      </c>
      <c r="F95" s="26" t="s">
        <v>91</v>
      </c>
      <c r="G95" s="26" t="s">
        <v>41</v>
      </c>
      <c r="H95" s="26" t="s">
        <v>545</v>
      </c>
      <c r="I95" s="17">
        <f ca="1">IFERROR(__xludf.DUMMYFUNCTION("""COMPUTED_VALUE"""),45133)</f>
        <v>45133</v>
      </c>
      <c r="J95" s="29" t="s">
        <v>619</v>
      </c>
      <c r="K95" s="26" t="s">
        <v>620</v>
      </c>
      <c r="L95" s="30">
        <v>945086003</v>
      </c>
      <c r="M95" s="26" t="s">
        <v>548</v>
      </c>
      <c r="N95" s="26" t="s">
        <v>621</v>
      </c>
      <c r="O95" s="26" t="s">
        <v>622</v>
      </c>
      <c r="P95" s="26" t="s">
        <v>623</v>
      </c>
      <c r="Q95" s="20">
        <v>1968</v>
      </c>
      <c r="R95" s="26" t="s">
        <v>36</v>
      </c>
      <c r="S95" s="31">
        <v>1968</v>
      </c>
      <c r="T95" s="32">
        <v>45130</v>
      </c>
      <c r="U95" s="31"/>
      <c r="V95" s="26"/>
      <c r="W95" s="33" t="s">
        <v>624</v>
      </c>
      <c r="X95" s="26">
        <v>0</v>
      </c>
      <c r="Y95" s="22">
        <v>0</v>
      </c>
      <c r="Z95" s="34" t="s">
        <v>50</v>
      </c>
      <c r="AA95" s="19" t="s">
        <v>51</v>
      </c>
      <c r="AB95" s="26" t="s">
        <v>104</v>
      </c>
      <c r="AC95" s="26" t="s">
        <v>53</v>
      </c>
      <c r="AD95" s="19" t="s">
        <v>54</v>
      </c>
      <c r="AE95" s="26">
        <v>300</v>
      </c>
      <c r="AF95" s="17">
        <v>45132</v>
      </c>
      <c r="AG95" s="26"/>
      <c r="AH95" s="26">
        <v>1</v>
      </c>
      <c r="AI95" s="40" t="s">
        <v>84</v>
      </c>
      <c r="AJ95" s="26"/>
      <c r="AK95" s="26"/>
      <c r="AL95" s="35"/>
      <c r="AM95" s="35"/>
      <c r="AN95" s="35"/>
      <c r="AO95" s="35"/>
      <c r="AP95" s="35"/>
    </row>
    <row r="96" spans="1:42" x14ac:dyDescent="0.2">
      <c r="A96" s="27">
        <v>45131.338384733797</v>
      </c>
      <c r="B96" s="28" t="s">
        <v>37</v>
      </c>
      <c r="C96" s="41" t="s">
        <v>118</v>
      </c>
      <c r="D96" s="26" t="s">
        <v>36</v>
      </c>
      <c r="E96" s="26" t="s">
        <v>77</v>
      </c>
      <c r="F96" s="26" t="s">
        <v>91</v>
      </c>
      <c r="G96" s="26" t="s">
        <v>41</v>
      </c>
      <c r="H96" s="26" t="s">
        <v>505</v>
      </c>
      <c r="I96" s="17">
        <f ca="1">IFERROR(__xludf.DUMMYFUNCTION("""COMPUTED_VALUE"""),45141)</f>
        <v>45141</v>
      </c>
      <c r="J96" s="29" t="s">
        <v>625</v>
      </c>
      <c r="K96" s="26" t="s">
        <v>626</v>
      </c>
      <c r="L96" s="30">
        <v>359981545</v>
      </c>
      <c r="M96" s="26" t="s">
        <v>354</v>
      </c>
      <c r="N96" s="26" t="s">
        <v>355</v>
      </c>
      <c r="O96" s="26" t="s">
        <v>627</v>
      </c>
      <c r="P96" s="54" t="s">
        <v>628</v>
      </c>
      <c r="Q96" s="20">
        <v>1968</v>
      </c>
      <c r="R96" s="26" t="s">
        <v>36</v>
      </c>
      <c r="S96" s="31">
        <v>1968</v>
      </c>
      <c r="T96" s="32">
        <v>45131</v>
      </c>
      <c r="U96" s="31"/>
      <c r="V96" s="26"/>
      <c r="W96" s="33" t="s">
        <v>629</v>
      </c>
      <c r="X96" s="26">
        <v>0</v>
      </c>
      <c r="Y96" s="22">
        <v>0</v>
      </c>
      <c r="Z96" s="34" t="s">
        <v>50</v>
      </c>
      <c r="AA96" s="19" t="s">
        <v>51</v>
      </c>
      <c r="AB96" s="26" t="s">
        <v>104</v>
      </c>
      <c r="AC96" s="26" t="s">
        <v>53</v>
      </c>
      <c r="AD96" s="19" t="s">
        <v>54</v>
      </c>
      <c r="AE96" s="26"/>
      <c r="AF96" s="17">
        <v>45132</v>
      </c>
      <c r="AG96" s="26" t="s">
        <v>630</v>
      </c>
      <c r="AH96" s="26">
        <v>1</v>
      </c>
      <c r="AI96" s="40" t="s">
        <v>84</v>
      </c>
      <c r="AJ96" s="26"/>
      <c r="AK96" s="26"/>
      <c r="AL96" s="35"/>
      <c r="AM96" s="35"/>
      <c r="AN96" s="35"/>
      <c r="AO96" s="35"/>
      <c r="AP96" s="35"/>
    </row>
    <row r="97" spans="1:42" x14ac:dyDescent="0.2">
      <c r="A97" s="27">
        <v>45131.375640659724</v>
      </c>
      <c r="B97" s="28" t="s">
        <v>37</v>
      </c>
      <c r="C97" s="41" t="s">
        <v>118</v>
      </c>
      <c r="D97" s="26" t="s">
        <v>36</v>
      </c>
      <c r="E97" s="26" t="s">
        <v>56</v>
      </c>
      <c r="F97" s="26" t="s">
        <v>36</v>
      </c>
      <c r="G97" s="26" t="s">
        <v>41</v>
      </c>
      <c r="H97" s="26" t="s">
        <v>505</v>
      </c>
      <c r="I97" s="17">
        <f ca="1">IFERROR(__xludf.DUMMYFUNCTION("""COMPUTED_VALUE"""),45141)</f>
        <v>45141</v>
      </c>
      <c r="J97" s="29" t="s">
        <v>631</v>
      </c>
      <c r="K97" s="26" t="s">
        <v>632</v>
      </c>
      <c r="L97" s="30">
        <v>352890423</v>
      </c>
      <c r="M97" s="26" t="s">
        <v>633</v>
      </c>
      <c r="N97" s="26" t="s">
        <v>634</v>
      </c>
      <c r="O97" s="26" t="s">
        <v>635</v>
      </c>
      <c r="P97" s="54" t="s">
        <v>636</v>
      </c>
      <c r="Q97" s="20">
        <v>9317</v>
      </c>
      <c r="R97" s="26" t="s">
        <v>36</v>
      </c>
      <c r="S97" s="31">
        <v>9317</v>
      </c>
      <c r="T97" s="32">
        <v>45131</v>
      </c>
      <c r="U97" s="31"/>
      <c r="V97" s="26"/>
      <c r="W97" s="33" t="s">
        <v>637</v>
      </c>
      <c r="X97" s="26">
        <v>0</v>
      </c>
      <c r="Y97" s="22">
        <v>0</v>
      </c>
      <c r="Z97" s="34" t="s">
        <v>50</v>
      </c>
      <c r="AA97" s="19" t="s">
        <v>51</v>
      </c>
      <c r="AB97" s="26" t="s">
        <v>104</v>
      </c>
      <c r="AC97" s="26" t="s">
        <v>53</v>
      </c>
      <c r="AD97" s="19" t="s">
        <v>54</v>
      </c>
      <c r="AE97" s="26" t="s">
        <v>72</v>
      </c>
      <c r="AF97" s="17">
        <v>45132</v>
      </c>
      <c r="AG97" s="26"/>
      <c r="AH97" s="26">
        <v>1</v>
      </c>
      <c r="AI97" s="40" t="s">
        <v>64</v>
      </c>
      <c r="AJ97" s="26"/>
      <c r="AK97" s="26"/>
      <c r="AL97" s="35"/>
      <c r="AM97" s="35"/>
      <c r="AN97" s="35"/>
      <c r="AO97" s="35"/>
      <c r="AP97" s="35"/>
    </row>
    <row r="98" spans="1:42" x14ac:dyDescent="0.2">
      <c r="A98" s="27">
        <v>45131.506195219903</v>
      </c>
      <c r="B98" s="28" t="s">
        <v>37</v>
      </c>
      <c r="C98" s="41" t="s">
        <v>118</v>
      </c>
      <c r="D98" s="26" t="s">
        <v>36</v>
      </c>
      <c r="E98" s="26" t="s">
        <v>56</v>
      </c>
      <c r="F98" s="26" t="s">
        <v>36</v>
      </c>
      <c r="G98" s="26" t="s">
        <v>41</v>
      </c>
      <c r="H98" s="26" t="s">
        <v>505</v>
      </c>
      <c r="I98" s="17">
        <f ca="1">IFERROR(__xludf.DUMMYFUNCTION("""COMPUTED_VALUE"""),45141)</f>
        <v>45141</v>
      </c>
      <c r="J98" s="29" t="s">
        <v>638</v>
      </c>
      <c r="K98" s="26" t="s">
        <v>639</v>
      </c>
      <c r="L98" s="30">
        <v>349810085</v>
      </c>
      <c r="M98" s="26" t="s">
        <v>123</v>
      </c>
      <c r="N98" s="26" t="s">
        <v>81</v>
      </c>
      <c r="O98" s="26" t="s">
        <v>134</v>
      </c>
      <c r="P98" s="26" t="s">
        <v>640</v>
      </c>
      <c r="Q98" s="20">
        <v>9317</v>
      </c>
      <c r="R98" s="26" t="s">
        <v>36</v>
      </c>
      <c r="S98" s="31">
        <v>9317</v>
      </c>
      <c r="T98" s="32">
        <v>45131</v>
      </c>
      <c r="U98" s="31"/>
      <c r="V98" s="26"/>
      <c r="W98" s="33" t="s">
        <v>641</v>
      </c>
      <c r="X98" s="26">
        <v>0</v>
      </c>
      <c r="Y98" s="22">
        <v>0</v>
      </c>
      <c r="Z98" s="34" t="s">
        <v>50</v>
      </c>
      <c r="AA98" s="19" t="s">
        <v>51</v>
      </c>
      <c r="AB98" s="26" t="s">
        <v>104</v>
      </c>
      <c r="AC98" s="26" t="s">
        <v>53</v>
      </c>
      <c r="AD98" s="19" t="s">
        <v>54</v>
      </c>
      <c r="AE98" s="26"/>
      <c r="AF98" s="17">
        <v>45132</v>
      </c>
      <c r="AG98" s="26"/>
      <c r="AH98" s="26">
        <v>1</v>
      </c>
      <c r="AI98" s="40" t="s">
        <v>64</v>
      </c>
      <c r="AJ98" s="26"/>
      <c r="AK98" s="26"/>
      <c r="AL98" s="35"/>
      <c r="AM98" s="35"/>
      <c r="AN98" s="35"/>
      <c r="AO98" s="35"/>
      <c r="AP98" s="35"/>
    </row>
    <row r="99" spans="1:42" x14ac:dyDescent="0.2">
      <c r="A99" s="27">
        <v>45131.507667824073</v>
      </c>
      <c r="B99" s="28" t="s">
        <v>37</v>
      </c>
      <c r="C99" s="41" t="s">
        <v>118</v>
      </c>
      <c r="D99" s="26" t="s">
        <v>36</v>
      </c>
      <c r="E99" s="26" t="s">
        <v>77</v>
      </c>
      <c r="F99" s="26" t="s">
        <v>36</v>
      </c>
      <c r="G99" s="26" t="s">
        <v>41</v>
      </c>
      <c r="H99" s="26" t="s">
        <v>642</v>
      </c>
      <c r="I99" s="17">
        <f ca="1">IFERROR(__xludf.DUMMYFUNCTION("""COMPUTED_VALUE"""),45142)</f>
        <v>45142</v>
      </c>
      <c r="J99" s="29" t="s">
        <v>643</v>
      </c>
      <c r="K99" s="26" t="s">
        <v>644</v>
      </c>
      <c r="L99" s="30">
        <v>974303653</v>
      </c>
      <c r="M99" s="26" t="s">
        <v>123</v>
      </c>
      <c r="N99" s="26" t="s">
        <v>133</v>
      </c>
      <c r="O99" s="26" t="s">
        <v>134</v>
      </c>
      <c r="P99" s="26" t="s">
        <v>645</v>
      </c>
      <c r="Q99" s="20">
        <v>1968</v>
      </c>
      <c r="R99" s="26" t="s">
        <v>36</v>
      </c>
      <c r="S99" s="31">
        <v>1968</v>
      </c>
      <c r="T99" s="32">
        <v>45131</v>
      </c>
      <c r="U99" s="31"/>
      <c r="V99" s="26"/>
      <c r="W99" s="33" t="s">
        <v>646</v>
      </c>
      <c r="X99" s="26">
        <v>0</v>
      </c>
      <c r="Y99" s="22">
        <v>0</v>
      </c>
      <c r="Z99" s="34" t="s">
        <v>50</v>
      </c>
      <c r="AA99" s="19" t="s">
        <v>51</v>
      </c>
      <c r="AB99" s="26" t="s">
        <v>104</v>
      </c>
      <c r="AC99" s="26" t="s">
        <v>53</v>
      </c>
      <c r="AD99" s="19" t="s">
        <v>54</v>
      </c>
      <c r="AE99" s="26"/>
      <c r="AF99" s="17">
        <v>45135</v>
      </c>
      <c r="AG99" s="26"/>
      <c r="AH99" s="26">
        <v>1</v>
      </c>
      <c r="AI99" s="40" t="s">
        <v>84</v>
      </c>
      <c r="AJ99" s="26"/>
      <c r="AK99" s="26"/>
      <c r="AL99" s="35"/>
      <c r="AM99" s="35"/>
      <c r="AN99" s="35"/>
      <c r="AO99" s="35"/>
      <c r="AP99" s="35"/>
    </row>
    <row r="100" spans="1:42" x14ac:dyDescent="0.2">
      <c r="A100" s="27">
        <v>45131.509268692127</v>
      </c>
      <c r="B100" s="28" t="s">
        <v>37</v>
      </c>
      <c r="C100" s="41" t="s">
        <v>118</v>
      </c>
      <c r="D100" s="26" t="s">
        <v>36</v>
      </c>
      <c r="E100" s="26" t="s">
        <v>77</v>
      </c>
      <c r="F100" s="26" t="s">
        <v>36</v>
      </c>
      <c r="G100" s="26" t="s">
        <v>41</v>
      </c>
      <c r="H100" s="26" t="s">
        <v>647</v>
      </c>
      <c r="I100" s="17" t="str">
        <f ca="1">IFERROR(__xludf.DUMMYFUNCTION("""COMPUTED_VALUE""")," ")</f>
        <v xml:space="preserve"> </v>
      </c>
      <c r="J100" s="29" t="s">
        <v>648</v>
      </c>
      <c r="K100" s="26" t="s">
        <v>649</v>
      </c>
      <c r="L100" s="30">
        <v>836574737</v>
      </c>
      <c r="M100" s="26" t="s">
        <v>123</v>
      </c>
      <c r="N100" s="26" t="s">
        <v>124</v>
      </c>
      <c r="O100" s="26" t="s">
        <v>134</v>
      </c>
      <c r="P100" s="26" t="s">
        <v>650</v>
      </c>
      <c r="Q100" s="20">
        <v>1968</v>
      </c>
      <c r="R100" s="26" t="s">
        <v>36</v>
      </c>
      <c r="S100" s="31">
        <v>1968</v>
      </c>
      <c r="T100" s="32">
        <v>45131</v>
      </c>
      <c r="U100" s="31"/>
      <c r="V100" s="26"/>
      <c r="W100" s="33" t="s">
        <v>651</v>
      </c>
      <c r="X100" s="26">
        <v>0</v>
      </c>
      <c r="Y100" s="22">
        <v>0</v>
      </c>
      <c r="Z100" s="34" t="s">
        <v>50</v>
      </c>
      <c r="AA100" s="19" t="s">
        <v>51</v>
      </c>
      <c r="AB100" s="26" t="s">
        <v>104</v>
      </c>
      <c r="AC100" s="26" t="s">
        <v>53</v>
      </c>
      <c r="AD100" s="19" t="s">
        <v>54</v>
      </c>
      <c r="AE100" s="26"/>
      <c r="AF100" s="17">
        <v>45132</v>
      </c>
      <c r="AG100" s="26"/>
      <c r="AH100" s="26">
        <v>1</v>
      </c>
      <c r="AI100" s="40" t="s">
        <v>84</v>
      </c>
      <c r="AJ100" s="26"/>
      <c r="AK100" s="26"/>
      <c r="AL100" s="35"/>
      <c r="AM100" s="35"/>
      <c r="AN100" s="35"/>
      <c r="AO100" s="35"/>
      <c r="AP100" s="35"/>
    </row>
    <row r="101" spans="1:42" x14ac:dyDescent="0.2">
      <c r="A101" s="27">
        <v>45131.548695231482</v>
      </c>
      <c r="B101" s="28" t="s">
        <v>37</v>
      </c>
      <c r="C101" s="41" t="s">
        <v>118</v>
      </c>
      <c r="D101" s="26" t="s">
        <v>36</v>
      </c>
      <c r="E101" s="26" t="s">
        <v>77</v>
      </c>
      <c r="F101" s="26" t="s">
        <v>36</v>
      </c>
      <c r="G101" s="26" t="s">
        <v>41</v>
      </c>
      <c r="H101" s="26" t="s">
        <v>652</v>
      </c>
      <c r="I101" s="17" t="str">
        <f ca="1">IFERROR(__xludf.DUMMYFUNCTION("""COMPUTED_VALUE""")," ")</f>
        <v xml:space="preserve"> </v>
      </c>
      <c r="J101" s="29" t="s">
        <v>653</v>
      </c>
      <c r="K101" s="26" t="s">
        <v>654</v>
      </c>
      <c r="L101" s="30">
        <v>328679335</v>
      </c>
      <c r="M101" s="26" t="s">
        <v>80</v>
      </c>
      <c r="N101" s="26" t="s">
        <v>87</v>
      </c>
      <c r="O101" s="26" t="s">
        <v>655</v>
      </c>
      <c r="P101" s="26" t="s">
        <v>656</v>
      </c>
      <c r="Q101" s="20">
        <v>1968</v>
      </c>
      <c r="R101" s="26" t="s">
        <v>36</v>
      </c>
      <c r="S101" s="31">
        <v>1968</v>
      </c>
      <c r="T101" s="32">
        <v>45131</v>
      </c>
      <c r="U101" s="31"/>
      <c r="V101" s="26"/>
      <c r="W101" s="33" t="s">
        <v>657</v>
      </c>
      <c r="X101" s="26">
        <v>0</v>
      </c>
      <c r="Y101" s="22">
        <v>0</v>
      </c>
      <c r="Z101" s="34" t="s">
        <v>50</v>
      </c>
      <c r="AA101" s="19" t="s">
        <v>51</v>
      </c>
      <c r="AB101" s="26" t="s">
        <v>104</v>
      </c>
      <c r="AC101" s="26" t="s">
        <v>53</v>
      </c>
      <c r="AD101" s="19" t="s">
        <v>54</v>
      </c>
      <c r="AE101" s="26">
        <v>0</v>
      </c>
      <c r="AF101" s="17">
        <v>45135</v>
      </c>
      <c r="AG101" s="26"/>
      <c r="AH101" s="26">
        <v>1</v>
      </c>
      <c r="AI101" s="40" t="s">
        <v>84</v>
      </c>
      <c r="AJ101" s="26"/>
      <c r="AK101" s="26"/>
      <c r="AL101" s="35"/>
      <c r="AM101" s="35"/>
      <c r="AN101" s="35"/>
      <c r="AO101" s="35"/>
      <c r="AP101" s="35"/>
    </row>
    <row r="102" spans="1:42" x14ac:dyDescent="0.2">
      <c r="A102" s="27">
        <v>45131.561032083337</v>
      </c>
      <c r="B102" s="28" t="s">
        <v>37</v>
      </c>
      <c r="C102" s="41" t="s">
        <v>118</v>
      </c>
      <c r="D102" s="26" t="s">
        <v>36</v>
      </c>
      <c r="E102" s="26" t="s">
        <v>77</v>
      </c>
      <c r="F102" s="26" t="s">
        <v>36</v>
      </c>
      <c r="G102" s="26" t="s">
        <v>41</v>
      </c>
      <c r="H102" s="26" t="s">
        <v>642</v>
      </c>
      <c r="I102" s="17">
        <f ca="1">IFERROR(__xludf.DUMMYFUNCTION("""COMPUTED_VALUE"""),45142)</f>
        <v>45142</v>
      </c>
      <c r="J102" s="29" t="s">
        <v>658</v>
      </c>
      <c r="K102" s="26" t="s">
        <v>659</v>
      </c>
      <c r="L102" s="30">
        <v>964000969</v>
      </c>
      <c r="M102" s="26" t="s">
        <v>123</v>
      </c>
      <c r="N102" s="26" t="s">
        <v>660</v>
      </c>
      <c r="O102" s="26" t="s">
        <v>134</v>
      </c>
      <c r="P102" s="26" t="s">
        <v>661</v>
      </c>
      <c r="Q102" s="20">
        <v>1968</v>
      </c>
      <c r="R102" s="26" t="s">
        <v>36</v>
      </c>
      <c r="S102" s="31">
        <v>1968</v>
      </c>
      <c r="T102" s="32">
        <v>45131</v>
      </c>
      <c r="U102" s="31"/>
      <c r="V102" s="26"/>
      <c r="W102" s="33" t="s">
        <v>662</v>
      </c>
      <c r="X102" s="26">
        <v>0</v>
      </c>
      <c r="Y102" s="22">
        <v>0</v>
      </c>
      <c r="Z102" s="34" t="s">
        <v>50</v>
      </c>
      <c r="AA102" s="19" t="s">
        <v>51</v>
      </c>
      <c r="AB102" s="26" t="s">
        <v>104</v>
      </c>
      <c r="AC102" s="26" t="s">
        <v>53</v>
      </c>
      <c r="AD102" s="19" t="s">
        <v>54</v>
      </c>
      <c r="AE102" s="26"/>
      <c r="AF102" s="17">
        <v>45135</v>
      </c>
      <c r="AG102" s="26"/>
      <c r="AH102" s="26">
        <v>1</v>
      </c>
      <c r="AI102" s="40" t="s">
        <v>84</v>
      </c>
      <c r="AJ102" s="26"/>
      <c r="AK102" s="26"/>
      <c r="AL102" s="35"/>
      <c r="AM102" s="35"/>
      <c r="AN102" s="35"/>
      <c r="AO102" s="35"/>
      <c r="AP102" s="35"/>
    </row>
    <row r="103" spans="1:42" x14ac:dyDescent="0.2">
      <c r="A103" s="27">
        <v>45132.181454571764</v>
      </c>
      <c r="B103" s="28" t="s">
        <v>37</v>
      </c>
      <c r="C103" s="41" t="s">
        <v>118</v>
      </c>
      <c r="D103" s="26" t="s">
        <v>36</v>
      </c>
      <c r="E103" s="26" t="s">
        <v>106</v>
      </c>
      <c r="F103" s="26" t="s">
        <v>91</v>
      </c>
      <c r="G103" s="26" t="s">
        <v>108</v>
      </c>
      <c r="H103" s="26" t="s">
        <v>663</v>
      </c>
      <c r="I103" s="17" t="str">
        <f ca="1">IFERROR(__xludf.DUMMYFUNCTION("""COMPUTED_VALUE""")," ")</f>
        <v xml:space="preserve"> </v>
      </c>
      <c r="J103" s="29" t="s">
        <v>664</v>
      </c>
      <c r="K103" s="26" t="s">
        <v>665</v>
      </c>
      <c r="L103" s="30">
        <v>358096013</v>
      </c>
      <c r="M103" s="26" t="s">
        <v>348</v>
      </c>
      <c r="N103" s="26" t="s">
        <v>200</v>
      </c>
      <c r="O103" s="26" t="s">
        <v>666</v>
      </c>
      <c r="P103" s="26" t="s">
        <v>667</v>
      </c>
      <c r="Q103" s="20">
        <v>3768</v>
      </c>
      <c r="R103" s="26" t="s">
        <v>36</v>
      </c>
      <c r="S103" s="31">
        <v>3768</v>
      </c>
      <c r="T103" s="32">
        <v>45132</v>
      </c>
      <c r="U103" s="31"/>
      <c r="V103" s="26"/>
      <c r="W103" s="33" t="s">
        <v>668</v>
      </c>
      <c r="X103" s="26">
        <v>0</v>
      </c>
      <c r="Y103" s="22">
        <v>0</v>
      </c>
      <c r="Z103" s="34" t="s">
        <v>50</v>
      </c>
      <c r="AA103" s="19" t="s">
        <v>51</v>
      </c>
      <c r="AB103" s="26" t="s">
        <v>137</v>
      </c>
      <c r="AC103" s="26" t="s">
        <v>53</v>
      </c>
      <c r="AD103" s="19" t="s">
        <v>54</v>
      </c>
      <c r="AE103" s="26">
        <v>360</v>
      </c>
      <c r="AF103" s="17">
        <v>45132</v>
      </c>
      <c r="AG103" s="26"/>
      <c r="AH103" s="26">
        <v>1</v>
      </c>
      <c r="AI103" s="40">
        <v>1</v>
      </c>
      <c r="AJ103" s="26"/>
      <c r="AK103" s="26"/>
      <c r="AL103" s="35"/>
      <c r="AM103" s="35"/>
      <c r="AN103" s="35"/>
      <c r="AO103" s="35"/>
      <c r="AP103" s="35"/>
    </row>
    <row r="104" spans="1:42" x14ac:dyDescent="0.2">
      <c r="A104" s="27">
        <v>45132.192034861117</v>
      </c>
      <c r="B104" s="28" t="s">
        <v>37</v>
      </c>
      <c r="C104" s="41" t="s">
        <v>118</v>
      </c>
      <c r="D104" s="26" t="s">
        <v>36</v>
      </c>
      <c r="E104" s="26" t="s">
        <v>77</v>
      </c>
      <c r="F104" s="26" t="s">
        <v>669</v>
      </c>
      <c r="G104" s="26" t="s">
        <v>41</v>
      </c>
      <c r="H104" s="26" t="s">
        <v>505</v>
      </c>
      <c r="I104" s="17">
        <f ca="1">IFERROR(__xludf.DUMMYFUNCTION("""COMPUTED_VALUE"""),45141)</f>
        <v>45141</v>
      </c>
      <c r="J104" s="29" t="s">
        <v>670</v>
      </c>
      <c r="K104" s="26" t="s">
        <v>671</v>
      </c>
      <c r="L104" s="30">
        <v>363366851</v>
      </c>
      <c r="M104" s="26" t="s">
        <v>94</v>
      </c>
      <c r="N104" s="26" t="s">
        <v>672</v>
      </c>
      <c r="O104" s="26" t="s">
        <v>91</v>
      </c>
      <c r="P104" s="26" t="s">
        <v>673</v>
      </c>
      <c r="Q104" s="20">
        <v>1968</v>
      </c>
      <c r="R104" s="26" t="s">
        <v>36</v>
      </c>
      <c r="S104" s="31">
        <v>1968</v>
      </c>
      <c r="T104" s="32">
        <v>45132</v>
      </c>
      <c r="U104" s="31"/>
      <c r="V104" s="26"/>
      <c r="W104" s="33" t="s">
        <v>674</v>
      </c>
      <c r="X104" s="26">
        <v>100</v>
      </c>
      <c r="Y104" s="22">
        <v>-100</v>
      </c>
      <c r="Z104" s="34" t="s">
        <v>50</v>
      </c>
      <c r="AA104" s="19" t="s">
        <v>51</v>
      </c>
      <c r="AB104" s="26" t="s">
        <v>104</v>
      </c>
      <c r="AC104" s="26" t="s">
        <v>53</v>
      </c>
      <c r="AD104" s="19" t="s">
        <v>54</v>
      </c>
      <c r="AE104" s="26" t="s">
        <v>675</v>
      </c>
      <c r="AF104" s="17">
        <v>45132</v>
      </c>
      <c r="AG104" s="26" t="s">
        <v>676</v>
      </c>
      <c r="AH104" s="26">
        <v>1</v>
      </c>
      <c r="AI104" s="40" t="s">
        <v>84</v>
      </c>
      <c r="AJ104" s="26"/>
      <c r="AK104" s="26"/>
      <c r="AL104" s="35"/>
      <c r="AM104" s="35"/>
      <c r="AN104" s="35"/>
      <c r="AO104" s="35"/>
      <c r="AP104" s="35"/>
    </row>
    <row r="105" spans="1:42" x14ac:dyDescent="0.2">
      <c r="A105" s="27">
        <v>45132.194486099535</v>
      </c>
      <c r="B105" s="28" t="s">
        <v>37</v>
      </c>
      <c r="C105" s="41" t="s">
        <v>118</v>
      </c>
      <c r="D105" s="26" t="s">
        <v>36</v>
      </c>
      <c r="E105" s="26" t="s">
        <v>77</v>
      </c>
      <c r="F105" s="26" t="s">
        <v>677</v>
      </c>
      <c r="G105" s="26" t="s">
        <v>41</v>
      </c>
      <c r="H105" s="26" t="s">
        <v>678</v>
      </c>
      <c r="I105" s="17">
        <f ca="1">IFERROR(__xludf.DUMMYFUNCTION("""COMPUTED_VALUE"""),45153)</f>
        <v>45153</v>
      </c>
      <c r="J105" s="29" t="s">
        <v>679</v>
      </c>
      <c r="K105" s="26" t="s">
        <v>680</v>
      </c>
      <c r="L105" s="30">
        <v>979210702</v>
      </c>
      <c r="M105" s="26" t="s">
        <v>94</v>
      </c>
      <c r="N105" s="26" t="s">
        <v>672</v>
      </c>
      <c r="O105" s="26" t="s">
        <v>91</v>
      </c>
      <c r="P105" s="54" t="s">
        <v>681</v>
      </c>
      <c r="Q105" s="20">
        <v>1968</v>
      </c>
      <c r="R105" s="26" t="s">
        <v>36</v>
      </c>
      <c r="S105" s="31">
        <v>1868</v>
      </c>
      <c r="T105" s="32">
        <v>45124</v>
      </c>
      <c r="U105" s="31">
        <v>100</v>
      </c>
      <c r="V105" s="45">
        <v>45135</v>
      </c>
      <c r="W105" s="33" t="s">
        <v>682</v>
      </c>
      <c r="X105" s="26">
        <v>100</v>
      </c>
      <c r="Y105" s="22">
        <v>-100</v>
      </c>
      <c r="Z105" s="34" t="s">
        <v>50</v>
      </c>
      <c r="AA105" s="19" t="s">
        <v>51</v>
      </c>
      <c r="AB105" s="26" t="s">
        <v>104</v>
      </c>
      <c r="AC105" s="26" t="s">
        <v>53</v>
      </c>
      <c r="AD105" s="19" t="s">
        <v>54</v>
      </c>
      <c r="AE105" s="26" t="s">
        <v>675</v>
      </c>
      <c r="AF105" s="17">
        <v>45146</v>
      </c>
      <c r="AG105" s="26"/>
      <c r="AH105" s="26">
        <v>1</v>
      </c>
      <c r="AI105" s="40" t="s">
        <v>84</v>
      </c>
      <c r="AJ105" s="26"/>
      <c r="AK105" s="26"/>
      <c r="AL105" s="35"/>
      <c r="AM105" s="35"/>
      <c r="AN105" s="35"/>
      <c r="AO105" s="35"/>
      <c r="AP105" s="35"/>
    </row>
    <row r="106" spans="1:42" x14ac:dyDescent="0.2">
      <c r="A106" s="27">
        <v>45132.620226134255</v>
      </c>
      <c r="B106" s="28" t="s">
        <v>37</v>
      </c>
      <c r="C106" s="41" t="s">
        <v>118</v>
      </c>
      <c r="D106" s="26" t="s">
        <v>36</v>
      </c>
      <c r="E106" s="26" t="s">
        <v>77</v>
      </c>
      <c r="F106" s="26" t="s">
        <v>36</v>
      </c>
      <c r="G106" s="26" t="s">
        <v>41</v>
      </c>
      <c r="H106" s="26" t="s">
        <v>642</v>
      </c>
      <c r="I106" s="17">
        <f ca="1">IFERROR(__xludf.DUMMYFUNCTION("""COMPUTED_VALUE"""),45142)</f>
        <v>45142</v>
      </c>
      <c r="J106" s="29" t="s">
        <v>683</v>
      </c>
      <c r="K106" s="26" t="s">
        <v>684</v>
      </c>
      <c r="L106" s="30">
        <v>961082812</v>
      </c>
      <c r="M106" s="26" t="s">
        <v>354</v>
      </c>
      <c r="N106" s="26" t="s">
        <v>355</v>
      </c>
      <c r="O106" s="26" t="s">
        <v>685</v>
      </c>
      <c r="P106" s="26" t="s">
        <v>686</v>
      </c>
      <c r="Q106" s="20">
        <v>1968</v>
      </c>
      <c r="R106" s="26" t="s">
        <v>36</v>
      </c>
      <c r="S106" s="31">
        <v>1968</v>
      </c>
      <c r="T106" s="32">
        <v>45132</v>
      </c>
      <c r="U106" s="31"/>
      <c r="V106" s="26"/>
      <c r="W106" s="33" t="s">
        <v>687</v>
      </c>
      <c r="X106" s="26">
        <v>0</v>
      </c>
      <c r="Y106" s="22">
        <v>0</v>
      </c>
      <c r="Z106" s="34" t="s">
        <v>50</v>
      </c>
      <c r="AA106" s="19" t="s">
        <v>51</v>
      </c>
      <c r="AB106" s="26" t="s">
        <v>104</v>
      </c>
      <c r="AC106" s="26" t="s">
        <v>53</v>
      </c>
      <c r="AD106" s="19" t="s">
        <v>54</v>
      </c>
      <c r="AE106" s="26"/>
      <c r="AF106" s="17">
        <v>45135</v>
      </c>
      <c r="AG106" s="26"/>
      <c r="AH106" s="26">
        <v>1</v>
      </c>
      <c r="AI106" s="40" t="s">
        <v>84</v>
      </c>
      <c r="AJ106" s="26"/>
      <c r="AK106" s="26"/>
      <c r="AL106" s="35"/>
      <c r="AM106" s="35"/>
      <c r="AN106" s="35"/>
      <c r="AO106" s="35"/>
      <c r="AP106" s="35"/>
    </row>
    <row r="107" spans="1:42" x14ac:dyDescent="0.2">
      <c r="A107" s="27">
        <v>45133.150812291671</v>
      </c>
      <c r="B107" s="28" t="s">
        <v>37</v>
      </c>
      <c r="C107" s="41" t="s">
        <v>118</v>
      </c>
      <c r="D107" s="26" t="s">
        <v>36</v>
      </c>
      <c r="E107" s="26" t="s">
        <v>77</v>
      </c>
      <c r="F107" s="26" t="s">
        <v>36</v>
      </c>
      <c r="G107" s="26" t="s">
        <v>41</v>
      </c>
      <c r="H107" s="26" t="s">
        <v>688</v>
      </c>
      <c r="I107" s="17">
        <f ca="1">IFERROR(__xludf.DUMMYFUNCTION("""COMPUTED_VALUE"""),45145)</f>
        <v>45145</v>
      </c>
      <c r="J107" s="29" t="s">
        <v>689</v>
      </c>
      <c r="K107" s="26" t="s">
        <v>690</v>
      </c>
      <c r="L107" s="30">
        <v>981347525</v>
      </c>
      <c r="M107" s="26" t="s">
        <v>80</v>
      </c>
      <c r="N107" s="26" t="s">
        <v>253</v>
      </c>
      <c r="O107" s="26" t="s">
        <v>691</v>
      </c>
      <c r="P107" s="26" t="s">
        <v>692</v>
      </c>
      <c r="Q107" s="20">
        <v>1968</v>
      </c>
      <c r="R107" s="26" t="s">
        <v>36</v>
      </c>
      <c r="S107" s="31">
        <v>1968</v>
      </c>
      <c r="T107" s="32">
        <v>45133</v>
      </c>
      <c r="U107" s="31"/>
      <c r="V107" s="26"/>
      <c r="W107" s="33" t="s">
        <v>693</v>
      </c>
      <c r="X107" s="26">
        <v>0</v>
      </c>
      <c r="Y107" s="22">
        <v>0</v>
      </c>
      <c r="Z107" s="34" t="s">
        <v>50</v>
      </c>
      <c r="AA107" s="19" t="s">
        <v>51</v>
      </c>
      <c r="AB107" s="26" t="s">
        <v>104</v>
      </c>
      <c r="AC107" s="26" t="s">
        <v>53</v>
      </c>
      <c r="AD107" s="19" t="s">
        <v>54</v>
      </c>
      <c r="AE107" s="26">
        <v>0</v>
      </c>
      <c r="AF107" s="17">
        <v>45140</v>
      </c>
      <c r="AG107" s="26"/>
      <c r="AH107" s="26">
        <v>1</v>
      </c>
      <c r="AI107" s="40" t="s">
        <v>84</v>
      </c>
      <c r="AJ107" s="26"/>
      <c r="AK107" s="26"/>
      <c r="AL107" s="35"/>
      <c r="AM107" s="35"/>
      <c r="AN107" s="35"/>
      <c r="AO107" s="35"/>
      <c r="AP107" s="35"/>
    </row>
    <row r="108" spans="1:42" x14ac:dyDescent="0.2">
      <c r="A108" s="27">
        <v>45133.250859108797</v>
      </c>
      <c r="B108" s="28" t="s">
        <v>37</v>
      </c>
      <c r="C108" s="41" t="s">
        <v>118</v>
      </c>
      <c r="D108" s="26" t="s">
        <v>36</v>
      </c>
      <c r="E108" s="26" t="s">
        <v>77</v>
      </c>
      <c r="F108" s="26" t="s">
        <v>36</v>
      </c>
      <c r="G108" s="26" t="s">
        <v>41</v>
      </c>
      <c r="H108" s="26" t="s">
        <v>694</v>
      </c>
      <c r="I108" s="17">
        <f ca="1">IFERROR(__xludf.DUMMYFUNCTION("""COMPUTED_VALUE"""),45146)</f>
        <v>45146</v>
      </c>
      <c r="J108" s="29" t="s">
        <v>695</v>
      </c>
      <c r="K108" s="26" t="s">
        <v>696</v>
      </c>
      <c r="L108" s="30">
        <v>978289205</v>
      </c>
      <c r="M108" s="26" t="s">
        <v>354</v>
      </c>
      <c r="N108" s="26" t="s">
        <v>355</v>
      </c>
      <c r="O108" s="26" t="s">
        <v>697</v>
      </c>
      <c r="P108" s="26" t="s">
        <v>698</v>
      </c>
      <c r="Q108" s="20">
        <v>1968</v>
      </c>
      <c r="R108" s="26" t="s">
        <v>36</v>
      </c>
      <c r="S108" s="31">
        <v>1968</v>
      </c>
      <c r="T108" s="32">
        <v>45133</v>
      </c>
      <c r="U108" s="31"/>
      <c r="V108" s="26"/>
      <c r="W108" s="33" t="s">
        <v>699</v>
      </c>
      <c r="X108" s="26">
        <v>0</v>
      </c>
      <c r="Y108" s="22">
        <v>0</v>
      </c>
      <c r="Z108" s="34" t="s">
        <v>50</v>
      </c>
      <c r="AA108" s="19" t="s">
        <v>51</v>
      </c>
      <c r="AB108" s="26" t="s">
        <v>104</v>
      </c>
      <c r="AC108" s="26" t="s">
        <v>53</v>
      </c>
      <c r="AD108" s="19" t="s">
        <v>54</v>
      </c>
      <c r="AE108" s="26"/>
      <c r="AF108" s="17">
        <v>45135</v>
      </c>
      <c r="AG108" s="26" t="s">
        <v>700</v>
      </c>
      <c r="AH108" s="26">
        <v>1</v>
      </c>
      <c r="AI108" s="40" t="s">
        <v>84</v>
      </c>
      <c r="AJ108" s="26"/>
      <c r="AK108" s="26"/>
      <c r="AL108" s="35"/>
      <c r="AM108" s="35"/>
      <c r="AN108" s="35"/>
      <c r="AO108" s="35"/>
      <c r="AP108" s="35"/>
    </row>
    <row r="109" spans="1:42" x14ac:dyDescent="0.2">
      <c r="A109" s="27">
        <v>45133.665733518515</v>
      </c>
      <c r="B109" s="28" t="s">
        <v>37</v>
      </c>
      <c r="C109" s="41" t="s">
        <v>118</v>
      </c>
      <c r="D109" s="26" t="s">
        <v>36</v>
      </c>
      <c r="E109" s="26" t="s">
        <v>77</v>
      </c>
      <c r="F109" s="26" t="s">
        <v>91</v>
      </c>
      <c r="G109" s="26" t="s">
        <v>41</v>
      </c>
      <c r="H109" s="26" t="s">
        <v>694</v>
      </c>
      <c r="I109" s="17">
        <f ca="1">IFERROR(__xludf.DUMMYFUNCTION("""COMPUTED_VALUE"""),45146)</f>
        <v>45146</v>
      </c>
      <c r="J109" s="29" t="s">
        <v>701</v>
      </c>
      <c r="K109" s="19" t="s">
        <v>702</v>
      </c>
      <c r="L109" s="47">
        <v>981226530</v>
      </c>
      <c r="M109" s="19" t="s">
        <v>348</v>
      </c>
      <c r="N109" s="19" t="s">
        <v>200</v>
      </c>
      <c r="O109" s="26" t="s">
        <v>703</v>
      </c>
      <c r="P109" s="34" t="s">
        <v>704</v>
      </c>
      <c r="Q109" s="20">
        <v>1968</v>
      </c>
      <c r="R109" s="26" t="s">
        <v>36</v>
      </c>
      <c r="S109" s="31">
        <v>1968</v>
      </c>
      <c r="T109" s="32">
        <v>45133</v>
      </c>
      <c r="U109" s="31"/>
      <c r="V109" s="26"/>
      <c r="W109" s="33" t="s">
        <v>705</v>
      </c>
      <c r="X109" s="26">
        <v>0</v>
      </c>
      <c r="Y109" s="22">
        <v>0</v>
      </c>
      <c r="Z109" s="34" t="s">
        <v>50</v>
      </c>
      <c r="AA109" s="19" t="s">
        <v>51</v>
      </c>
      <c r="AB109" s="26" t="s">
        <v>104</v>
      </c>
      <c r="AC109" s="26" t="s">
        <v>53</v>
      </c>
      <c r="AD109" s="19" t="s">
        <v>54</v>
      </c>
      <c r="AE109" s="26">
        <v>300</v>
      </c>
      <c r="AF109" s="17">
        <v>45140</v>
      </c>
      <c r="AG109" s="26" t="s">
        <v>706</v>
      </c>
      <c r="AH109" s="26">
        <v>1</v>
      </c>
      <c r="AI109" s="40" t="s">
        <v>84</v>
      </c>
      <c r="AJ109" s="26"/>
      <c r="AK109" s="26"/>
      <c r="AL109" s="35"/>
      <c r="AM109" s="35"/>
      <c r="AN109" s="35"/>
      <c r="AO109" s="35"/>
      <c r="AP109" s="35"/>
    </row>
    <row r="110" spans="1:42" x14ac:dyDescent="0.2">
      <c r="A110" s="27">
        <v>45134.079758958338</v>
      </c>
      <c r="B110" s="28" t="s">
        <v>37</v>
      </c>
      <c r="C110" s="41" t="s">
        <v>118</v>
      </c>
      <c r="D110" s="26" t="s">
        <v>36</v>
      </c>
      <c r="E110" s="26" t="s">
        <v>77</v>
      </c>
      <c r="F110" s="26" t="s">
        <v>669</v>
      </c>
      <c r="G110" s="26" t="s">
        <v>41</v>
      </c>
      <c r="H110" s="26" t="s">
        <v>707</v>
      </c>
      <c r="I110" s="17">
        <f ca="1">IFERROR(__xludf.DUMMYFUNCTION("""COMPUTED_VALUE"""),45144)</f>
        <v>45144</v>
      </c>
      <c r="J110" s="49" t="s">
        <v>708</v>
      </c>
      <c r="K110" s="19" t="s">
        <v>709</v>
      </c>
      <c r="L110" s="47">
        <v>973580876</v>
      </c>
      <c r="M110" s="19" t="s">
        <v>94</v>
      </c>
      <c r="N110" s="19" t="s">
        <v>672</v>
      </c>
      <c r="O110" s="19" t="s">
        <v>91</v>
      </c>
      <c r="P110" s="26" t="s">
        <v>710</v>
      </c>
      <c r="Q110" s="20">
        <v>1968</v>
      </c>
      <c r="R110" s="26" t="s">
        <v>36</v>
      </c>
      <c r="S110" s="31">
        <v>1968</v>
      </c>
      <c r="T110" s="32">
        <v>45133</v>
      </c>
      <c r="U110" s="31"/>
      <c r="V110" s="26"/>
      <c r="W110" s="33" t="s">
        <v>711</v>
      </c>
      <c r="X110" s="26">
        <v>100</v>
      </c>
      <c r="Y110" s="22">
        <v>-100</v>
      </c>
      <c r="Z110" s="34" t="s">
        <v>50</v>
      </c>
      <c r="AA110" s="19" t="s">
        <v>51</v>
      </c>
      <c r="AB110" s="26" t="s">
        <v>104</v>
      </c>
      <c r="AC110" s="26" t="s">
        <v>53</v>
      </c>
      <c r="AD110" s="19" t="s">
        <v>54</v>
      </c>
      <c r="AE110" s="26" t="s">
        <v>712</v>
      </c>
      <c r="AF110" s="17">
        <v>45135</v>
      </c>
      <c r="AG110" s="26"/>
      <c r="AH110" s="26">
        <v>1</v>
      </c>
      <c r="AI110" s="40" t="s">
        <v>84</v>
      </c>
      <c r="AJ110" s="26"/>
      <c r="AK110" s="26"/>
      <c r="AL110" s="35"/>
      <c r="AM110" s="35"/>
      <c r="AN110" s="35"/>
      <c r="AO110" s="35"/>
      <c r="AP110" s="35"/>
    </row>
    <row r="111" spans="1:42" x14ac:dyDescent="0.2">
      <c r="A111" s="27">
        <v>45134.111136689811</v>
      </c>
      <c r="B111" s="28" t="s">
        <v>37</v>
      </c>
      <c r="C111" s="41" t="s">
        <v>118</v>
      </c>
      <c r="D111" s="26" t="s">
        <v>36</v>
      </c>
      <c r="E111" s="26" t="s">
        <v>39</v>
      </c>
      <c r="F111" s="26" t="s">
        <v>36</v>
      </c>
      <c r="G111" s="26" t="s">
        <v>41</v>
      </c>
      <c r="H111" s="26" t="s">
        <v>707</v>
      </c>
      <c r="I111" s="17">
        <f ca="1">IFERROR(__xludf.DUMMYFUNCTION("""COMPUTED_VALUE"""),45144)</f>
        <v>45144</v>
      </c>
      <c r="J111" s="49" t="s">
        <v>713</v>
      </c>
      <c r="K111" s="19" t="s">
        <v>714</v>
      </c>
      <c r="L111" s="47">
        <v>888679582</v>
      </c>
      <c r="M111" s="19" t="s">
        <v>354</v>
      </c>
      <c r="N111" s="19" t="s">
        <v>355</v>
      </c>
      <c r="O111" s="19" t="s">
        <v>715</v>
      </c>
      <c r="P111" s="26" t="s">
        <v>716</v>
      </c>
      <c r="Q111" s="20">
        <v>5736</v>
      </c>
      <c r="R111" s="26" t="s">
        <v>36</v>
      </c>
      <c r="S111" s="31">
        <v>5736</v>
      </c>
      <c r="T111" s="32">
        <v>45134</v>
      </c>
      <c r="U111" s="31"/>
      <c r="V111" s="26"/>
      <c r="W111" s="33" t="s">
        <v>717</v>
      </c>
      <c r="X111" s="26">
        <v>0</v>
      </c>
      <c r="Y111" s="22">
        <v>0</v>
      </c>
      <c r="Z111" s="34" t="s">
        <v>50</v>
      </c>
      <c r="AA111" s="19" t="s">
        <v>51</v>
      </c>
      <c r="AB111" s="26" t="s">
        <v>104</v>
      </c>
      <c r="AC111" s="26" t="s">
        <v>53</v>
      </c>
      <c r="AD111" s="19" t="s">
        <v>54</v>
      </c>
      <c r="AE111" s="26"/>
      <c r="AF111" s="17">
        <v>45135</v>
      </c>
      <c r="AG111" s="26"/>
      <c r="AH111" s="26">
        <v>1</v>
      </c>
      <c r="AI111" s="40" t="s">
        <v>55</v>
      </c>
      <c r="AJ111" s="26"/>
      <c r="AK111" s="26"/>
      <c r="AL111" s="35"/>
      <c r="AM111" s="35"/>
      <c r="AN111" s="35"/>
      <c r="AO111" s="35"/>
      <c r="AP111" s="35"/>
    </row>
    <row r="112" spans="1:42" x14ac:dyDescent="0.2">
      <c r="A112" s="27">
        <v>45134.349719363425</v>
      </c>
      <c r="B112" s="28" t="s">
        <v>37</v>
      </c>
      <c r="C112" s="41" t="s">
        <v>118</v>
      </c>
      <c r="D112" s="26" t="s">
        <v>36</v>
      </c>
      <c r="E112" s="26" t="s">
        <v>39</v>
      </c>
      <c r="F112" s="26" t="s">
        <v>36</v>
      </c>
      <c r="G112" s="26" t="s">
        <v>41</v>
      </c>
      <c r="H112" s="26" t="s">
        <v>707</v>
      </c>
      <c r="I112" s="17">
        <f ca="1">IFERROR(__xludf.DUMMYFUNCTION("""COMPUTED_VALUE"""),45144)</f>
        <v>45144</v>
      </c>
      <c r="J112" s="29" t="s">
        <v>718</v>
      </c>
      <c r="K112" s="26" t="s">
        <v>719</v>
      </c>
      <c r="L112" s="30">
        <v>352598172</v>
      </c>
      <c r="M112" s="26" t="s">
        <v>80</v>
      </c>
      <c r="N112" s="26" t="s">
        <v>299</v>
      </c>
      <c r="O112" s="26" t="s">
        <v>720</v>
      </c>
      <c r="P112" s="26" t="s">
        <v>721</v>
      </c>
      <c r="Q112" s="20">
        <v>5736</v>
      </c>
      <c r="R112" s="26" t="s">
        <v>36</v>
      </c>
      <c r="S112" s="31">
        <v>5736</v>
      </c>
      <c r="T112" s="32">
        <v>45134</v>
      </c>
      <c r="U112" s="31"/>
      <c r="V112" s="26"/>
      <c r="W112" s="33" t="s">
        <v>722</v>
      </c>
      <c r="X112" s="26">
        <v>0</v>
      </c>
      <c r="Y112" s="22">
        <v>0</v>
      </c>
      <c r="Z112" s="34" t="s">
        <v>50</v>
      </c>
      <c r="AA112" s="19" t="s">
        <v>51</v>
      </c>
      <c r="AB112" s="26" t="s">
        <v>104</v>
      </c>
      <c r="AC112" s="26" t="s">
        <v>53</v>
      </c>
      <c r="AD112" s="19" t="s">
        <v>54</v>
      </c>
      <c r="AE112" s="26">
        <v>0</v>
      </c>
      <c r="AF112" s="17">
        <v>45135</v>
      </c>
      <c r="AG112" s="26"/>
      <c r="AH112" s="26">
        <v>1</v>
      </c>
      <c r="AI112" s="40" t="s">
        <v>55</v>
      </c>
      <c r="AJ112" s="26"/>
      <c r="AK112" s="26"/>
      <c r="AL112" s="35"/>
      <c r="AM112" s="35"/>
      <c r="AN112" s="35"/>
      <c r="AO112" s="35"/>
      <c r="AP112" s="35"/>
    </row>
    <row r="113" spans="1:42" x14ac:dyDescent="0.2">
      <c r="A113" s="27">
        <v>45134.587144594909</v>
      </c>
      <c r="B113" s="28" t="s">
        <v>37</v>
      </c>
      <c r="C113" s="41" t="s">
        <v>118</v>
      </c>
      <c r="D113" s="26" t="s">
        <v>36</v>
      </c>
      <c r="E113" s="26" t="s">
        <v>39</v>
      </c>
      <c r="F113" s="26" t="s">
        <v>36</v>
      </c>
      <c r="G113" s="26" t="s">
        <v>41</v>
      </c>
      <c r="H113" s="19" t="s">
        <v>723</v>
      </c>
      <c r="I113" s="17">
        <f ca="1">IFERROR(__xludf.DUMMYFUNCTION("""COMPUTED_VALUE"""),45176)</f>
        <v>45176</v>
      </c>
      <c r="J113" s="29" t="s">
        <v>724</v>
      </c>
      <c r="K113" s="26" t="s">
        <v>725</v>
      </c>
      <c r="L113" s="30">
        <v>395598817</v>
      </c>
      <c r="M113" s="26" t="s">
        <v>59</v>
      </c>
      <c r="N113" s="26" t="s">
        <v>68</v>
      </c>
      <c r="O113" s="26" t="s">
        <v>726</v>
      </c>
      <c r="P113" s="26" t="s">
        <v>727</v>
      </c>
      <c r="Q113" s="20">
        <v>5736</v>
      </c>
      <c r="R113" s="26" t="s">
        <v>70</v>
      </c>
      <c r="S113" s="31">
        <v>5736</v>
      </c>
      <c r="T113" s="32">
        <v>45132</v>
      </c>
      <c r="U113" s="31"/>
      <c r="V113" s="26"/>
      <c r="W113" s="26"/>
      <c r="X113" s="26">
        <v>100</v>
      </c>
      <c r="Y113" s="22">
        <v>-100</v>
      </c>
      <c r="Z113" s="34" t="s">
        <v>50</v>
      </c>
      <c r="AA113" s="19" t="s">
        <v>51</v>
      </c>
      <c r="AB113" s="26" t="s">
        <v>137</v>
      </c>
      <c r="AC113" s="26" t="s">
        <v>53</v>
      </c>
      <c r="AD113" s="19" t="s">
        <v>138</v>
      </c>
      <c r="AE113" s="26" t="s">
        <v>72</v>
      </c>
      <c r="AF113" s="17">
        <v>45176</v>
      </c>
      <c r="AG113" s="26" t="s">
        <v>728</v>
      </c>
      <c r="AH113" s="26">
        <v>1</v>
      </c>
      <c r="AI113" s="40" t="s">
        <v>55</v>
      </c>
      <c r="AJ113" s="26"/>
      <c r="AK113" s="26"/>
      <c r="AL113" s="35"/>
      <c r="AM113" s="35"/>
      <c r="AN113" s="35"/>
      <c r="AO113" s="35"/>
      <c r="AP113" s="35"/>
    </row>
    <row r="114" spans="1:42" x14ac:dyDescent="0.2">
      <c r="A114" s="27">
        <v>45134.588575752314</v>
      </c>
      <c r="B114" s="28" t="s">
        <v>37</v>
      </c>
      <c r="C114" s="41" t="s">
        <v>118</v>
      </c>
      <c r="D114" s="26" t="s">
        <v>36</v>
      </c>
      <c r="E114" s="26" t="s">
        <v>39</v>
      </c>
      <c r="F114" s="26" t="s">
        <v>36</v>
      </c>
      <c r="G114" s="26" t="s">
        <v>41</v>
      </c>
      <c r="H114" s="19" t="s">
        <v>723</v>
      </c>
      <c r="I114" s="17">
        <f ca="1">IFERROR(__xludf.DUMMYFUNCTION("""COMPUTED_VALUE"""),45176)</f>
        <v>45176</v>
      </c>
      <c r="J114" s="29" t="s">
        <v>729</v>
      </c>
      <c r="K114" s="26" t="s">
        <v>730</v>
      </c>
      <c r="L114" s="30">
        <v>387537249</v>
      </c>
      <c r="M114" s="26" t="s">
        <v>59</v>
      </c>
      <c r="N114" s="26" t="s">
        <v>68</v>
      </c>
      <c r="O114" s="26" t="s">
        <v>731</v>
      </c>
      <c r="P114" s="26" t="s">
        <v>732</v>
      </c>
      <c r="Q114" s="20">
        <v>5736</v>
      </c>
      <c r="R114" s="26" t="s">
        <v>70</v>
      </c>
      <c r="S114" s="31">
        <v>5636</v>
      </c>
      <c r="T114" s="32">
        <v>45132</v>
      </c>
      <c r="U114" s="31"/>
      <c r="V114" s="26"/>
      <c r="W114" s="33" t="s">
        <v>733</v>
      </c>
      <c r="X114" s="26">
        <v>100</v>
      </c>
      <c r="Y114" s="22">
        <v>0</v>
      </c>
      <c r="Z114" s="34" t="s">
        <v>50</v>
      </c>
      <c r="AA114" s="19" t="s">
        <v>51</v>
      </c>
      <c r="AB114" s="26" t="s">
        <v>128</v>
      </c>
      <c r="AC114" s="26" t="s">
        <v>53</v>
      </c>
      <c r="AD114" s="19" t="s">
        <v>138</v>
      </c>
      <c r="AE114" s="26" t="s">
        <v>734</v>
      </c>
      <c r="AF114" s="17">
        <v>45176</v>
      </c>
      <c r="AG114" s="26" t="s">
        <v>728</v>
      </c>
      <c r="AH114" s="26">
        <v>1</v>
      </c>
      <c r="AI114" s="40" t="s">
        <v>55</v>
      </c>
      <c r="AJ114" s="26"/>
      <c r="AK114" s="26"/>
      <c r="AL114" s="35"/>
      <c r="AM114" s="35"/>
      <c r="AN114" s="35"/>
      <c r="AO114" s="35"/>
      <c r="AP114" s="35"/>
    </row>
    <row r="115" spans="1:42" x14ac:dyDescent="0.2">
      <c r="A115" s="27">
        <v>45134.590434004625</v>
      </c>
      <c r="B115" s="28" t="s">
        <v>37</v>
      </c>
      <c r="C115" s="41" t="s">
        <v>118</v>
      </c>
      <c r="D115" s="26" t="s">
        <v>36</v>
      </c>
      <c r="E115" s="26" t="s">
        <v>56</v>
      </c>
      <c r="F115" s="26" t="s">
        <v>36</v>
      </c>
      <c r="G115" s="26" t="s">
        <v>41</v>
      </c>
      <c r="H115" s="26" t="s">
        <v>707</v>
      </c>
      <c r="I115" s="17">
        <f ca="1">IFERROR(__xludf.DUMMYFUNCTION("""COMPUTED_VALUE"""),45144)</f>
        <v>45144</v>
      </c>
      <c r="J115" s="29" t="s">
        <v>735</v>
      </c>
      <c r="K115" s="26" t="s">
        <v>736</v>
      </c>
      <c r="L115" s="30">
        <v>969534780</v>
      </c>
      <c r="M115" s="26" t="s">
        <v>59</v>
      </c>
      <c r="N115" s="26" t="s">
        <v>260</v>
      </c>
      <c r="O115" s="26" t="s">
        <v>737</v>
      </c>
      <c r="P115" s="26" t="s">
        <v>738</v>
      </c>
      <c r="Q115" s="20">
        <v>9317</v>
      </c>
      <c r="R115" s="26" t="s">
        <v>70</v>
      </c>
      <c r="S115" s="31">
        <v>9317</v>
      </c>
      <c r="T115" s="32">
        <v>45133</v>
      </c>
      <c r="U115" s="31"/>
      <c r="V115" s="26"/>
      <c r="W115" s="26"/>
      <c r="X115" s="26">
        <v>100</v>
      </c>
      <c r="Y115" s="22">
        <v>-100</v>
      </c>
      <c r="Z115" s="34" t="s">
        <v>50</v>
      </c>
      <c r="AA115" s="19" t="s">
        <v>51</v>
      </c>
      <c r="AB115" s="26" t="s">
        <v>104</v>
      </c>
      <c r="AC115" s="26" t="s">
        <v>53</v>
      </c>
      <c r="AD115" s="19" t="s">
        <v>54</v>
      </c>
      <c r="AE115" s="26" t="s">
        <v>72</v>
      </c>
      <c r="AF115" s="17">
        <v>45135</v>
      </c>
      <c r="AG115" s="26"/>
      <c r="AH115" s="26">
        <v>1</v>
      </c>
      <c r="AI115" s="40" t="s">
        <v>64</v>
      </c>
      <c r="AJ115" s="26"/>
      <c r="AK115" s="26"/>
      <c r="AL115" s="35"/>
      <c r="AM115" s="35"/>
      <c r="AN115" s="35"/>
      <c r="AO115" s="35"/>
      <c r="AP115" s="35"/>
    </row>
    <row r="116" spans="1:42" x14ac:dyDescent="0.2">
      <c r="A116" s="27">
        <v>45135.032719733797</v>
      </c>
      <c r="B116" s="28" t="s">
        <v>37</v>
      </c>
      <c r="C116" s="41" t="s">
        <v>118</v>
      </c>
      <c r="D116" s="26" t="s">
        <v>36</v>
      </c>
      <c r="E116" s="26" t="s">
        <v>148</v>
      </c>
      <c r="F116" s="26" t="s">
        <v>739</v>
      </c>
      <c r="G116" s="26" t="s">
        <v>108</v>
      </c>
      <c r="H116" s="26" t="s">
        <v>740</v>
      </c>
      <c r="I116" s="17">
        <f ca="1">IFERROR(__xludf.DUMMYFUNCTION("""COMPUTED_VALUE"""),45155)</f>
        <v>45155</v>
      </c>
      <c r="J116" s="29" t="s">
        <v>741</v>
      </c>
      <c r="K116" s="26" t="s">
        <v>742</v>
      </c>
      <c r="L116" s="30">
        <v>978561641</v>
      </c>
      <c r="M116" s="26" t="s">
        <v>391</v>
      </c>
      <c r="N116" s="26" t="s">
        <v>446</v>
      </c>
      <c r="O116" s="26" t="s">
        <v>427</v>
      </c>
      <c r="P116" s="26" t="s">
        <v>743</v>
      </c>
      <c r="Q116" s="20">
        <v>7349</v>
      </c>
      <c r="R116" s="26" t="s">
        <v>36</v>
      </c>
      <c r="S116" s="31">
        <v>7349</v>
      </c>
      <c r="T116" s="32">
        <v>45134</v>
      </c>
      <c r="U116" s="31"/>
      <c r="V116" s="26"/>
      <c r="W116" s="33" t="s">
        <v>744</v>
      </c>
      <c r="X116" s="26">
        <v>100</v>
      </c>
      <c r="Y116" s="22">
        <v>-100</v>
      </c>
      <c r="Z116" s="34" t="s">
        <v>50</v>
      </c>
      <c r="AA116" s="19" t="s">
        <v>51</v>
      </c>
      <c r="AB116" s="26" t="s">
        <v>154</v>
      </c>
      <c r="AC116" s="26" t="s">
        <v>53</v>
      </c>
      <c r="AD116" s="19" t="s">
        <v>54</v>
      </c>
      <c r="AE116" s="26"/>
      <c r="AF116" s="17">
        <v>45149</v>
      </c>
      <c r="AG116" s="26"/>
      <c r="AH116" s="26">
        <v>1</v>
      </c>
      <c r="AI116" s="40">
        <v>2</v>
      </c>
      <c r="AJ116" s="26"/>
      <c r="AK116" s="26"/>
      <c r="AL116" s="35"/>
      <c r="AM116" s="35"/>
      <c r="AN116" s="35"/>
      <c r="AO116" s="35"/>
      <c r="AP116" s="35"/>
    </row>
    <row r="117" spans="1:42" x14ac:dyDescent="0.2">
      <c r="A117" s="27">
        <v>45135.076531099534</v>
      </c>
      <c r="B117" s="28" t="s">
        <v>37</v>
      </c>
      <c r="C117" s="41" t="s">
        <v>118</v>
      </c>
      <c r="D117" s="26" t="s">
        <v>36</v>
      </c>
      <c r="E117" s="26" t="s">
        <v>77</v>
      </c>
      <c r="F117" s="26" t="s">
        <v>745</v>
      </c>
      <c r="G117" s="26" t="s">
        <v>41</v>
      </c>
      <c r="H117" s="26" t="s">
        <v>746</v>
      </c>
      <c r="I117" s="17">
        <f ca="1">IFERROR(__xludf.DUMMYFUNCTION("""COMPUTED_VALUE"""),45148)</f>
        <v>45148</v>
      </c>
      <c r="J117" s="29" t="s">
        <v>747</v>
      </c>
      <c r="K117" s="35" t="s">
        <v>748</v>
      </c>
      <c r="L117" s="30">
        <v>345085002</v>
      </c>
      <c r="M117" s="26" t="s">
        <v>749</v>
      </c>
      <c r="N117" s="26" t="s">
        <v>750</v>
      </c>
      <c r="O117" s="26" t="s">
        <v>91</v>
      </c>
      <c r="P117" s="26" t="s">
        <v>751</v>
      </c>
      <c r="Q117" s="20">
        <v>1968</v>
      </c>
      <c r="R117" s="26" t="s">
        <v>36</v>
      </c>
      <c r="S117" s="21">
        <v>1868</v>
      </c>
      <c r="T117" s="32">
        <v>45134</v>
      </c>
      <c r="U117" s="31">
        <v>100</v>
      </c>
      <c r="V117" s="38">
        <v>45135</v>
      </c>
      <c r="W117" s="33" t="s">
        <v>752</v>
      </c>
      <c r="X117" s="26">
        <v>100</v>
      </c>
      <c r="Y117" s="22">
        <v>-100</v>
      </c>
      <c r="Z117" s="34" t="s">
        <v>50</v>
      </c>
      <c r="AA117" s="19" t="s">
        <v>51</v>
      </c>
      <c r="AB117" s="26" t="s">
        <v>104</v>
      </c>
      <c r="AC117" s="26" t="s">
        <v>53</v>
      </c>
      <c r="AD117" s="19" t="s">
        <v>54</v>
      </c>
      <c r="AE117" s="26">
        <v>320</v>
      </c>
      <c r="AF117" s="17">
        <v>45135</v>
      </c>
      <c r="AG117" s="26" t="s">
        <v>753</v>
      </c>
      <c r="AH117" s="26">
        <v>1</v>
      </c>
      <c r="AI117" s="40" t="s">
        <v>84</v>
      </c>
      <c r="AJ117" s="26"/>
      <c r="AK117" s="26"/>
      <c r="AL117" s="35"/>
      <c r="AM117" s="35"/>
      <c r="AN117" s="35"/>
      <c r="AO117" s="35"/>
      <c r="AP117" s="35"/>
    </row>
    <row r="118" spans="1:42" x14ac:dyDescent="0.2">
      <c r="A118" s="27">
        <v>45135.102386168983</v>
      </c>
      <c r="B118" s="28" t="s">
        <v>37</v>
      </c>
      <c r="C118" s="41" t="s">
        <v>118</v>
      </c>
      <c r="D118" s="26" t="s">
        <v>36</v>
      </c>
      <c r="E118" s="26" t="s">
        <v>56</v>
      </c>
      <c r="F118" s="26" t="s">
        <v>91</v>
      </c>
      <c r="G118" s="26" t="s">
        <v>41</v>
      </c>
      <c r="H118" s="26" t="s">
        <v>707</v>
      </c>
      <c r="I118" s="17">
        <f ca="1">IFERROR(__xludf.DUMMYFUNCTION("""COMPUTED_VALUE"""),45144)</f>
        <v>45144</v>
      </c>
      <c r="J118" s="29" t="s">
        <v>754</v>
      </c>
      <c r="K118" s="26" t="s">
        <v>755</v>
      </c>
      <c r="L118" s="30">
        <v>869050236</v>
      </c>
      <c r="M118" s="26" t="s">
        <v>548</v>
      </c>
      <c r="N118" s="26" t="s">
        <v>756</v>
      </c>
      <c r="O118" s="26" t="s">
        <v>757</v>
      </c>
      <c r="P118" s="26" t="s">
        <v>758</v>
      </c>
      <c r="Q118" s="20">
        <v>9317</v>
      </c>
      <c r="R118" s="26" t="s">
        <v>36</v>
      </c>
      <c r="S118" s="31">
        <v>9317</v>
      </c>
      <c r="T118" s="32">
        <v>45135</v>
      </c>
      <c r="U118" s="31"/>
      <c r="V118" s="26"/>
      <c r="W118" s="33" t="s">
        <v>759</v>
      </c>
      <c r="X118" s="26">
        <v>0</v>
      </c>
      <c r="Y118" s="22">
        <v>0</v>
      </c>
      <c r="Z118" s="34" t="s">
        <v>50</v>
      </c>
      <c r="AA118" s="19" t="s">
        <v>51</v>
      </c>
      <c r="AB118" s="26" t="s">
        <v>104</v>
      </c>
      <c r="AC118" s="26" t="s">
        <v>53</v>
      </c>
      <c r="AD118" s="19" t="s">
        <v>54</v>
      </c>
      <c r="AE118" s="26" t="s">
        <v>76</v>
      </c>
      <c r="AF118" s="17">
        <v>45135</v>
      </c>
      <c r="AG118" s="26"/>
      <c r="AH118" s="26">
        <v>1</v>
      </c>
      <c r="AI118" s="40" t="s">
        <v>64</v>
      </c>
      <c r="AJ118" s="26"/>
      <c r="AK118" s="26"/>
      <c r="AL118" s="35"/>
      <c r="AM118" s="35"/>
      <c r="AN118" s="35"/>
      <c r="AO118" s="35"/>
      <c r="AP118" s="35"/>
    </row>
    <row r="119" spans="1:42" x14ac:dyDescent="0.2">
      <c r="A119" s="27">
        <v>45135.2728866088</v>
      </c>
      <c r="B119" s="28" t="s">
        <v>37</v>
      </c>
      <c r="C119" s="41" t="s">
        <v>118</v>
      </c>
      <c r="D119" s="26" t="s">
        <v>36</v>
      </c>
      <c r="E119" s="26" t="s">
        <v>139</v>
      </c>
      <c r="F119" s="26" t="s">
        <v>36</v>
      </c>
      <c r="G119" s="26" t="s">
        <v>41</v>
      </c>
      <c r="H119" s="26" t="s">
        <v>694</v>
      </c>
      <c r="I119" s="17">
        <f ca="1">IFERROR(__xludf.DUMMYFUNCTION("""COMPUTED_VALUE"""),45146)</f>
        <v>45146</v>
      </c>
      <c r="J119" s="29" t="s">
        <v>760</v>
      </c>
      <c r="K119" s="26" t="s">
        <v>761</v>
      </c>
      <c r="L119" s="30">
        <v>964065205</v>
      </c>
      <c r="M119" s="26" t="s">
        <v>123</v>
      </c>
      <c r="N119" s="26" t="s">
        <v>151</v>
      </c>
      <c r="O119" s="26" t="s">
        <v>134</v>
      </c>
      <c r="P119" s="26" t="s">
        <v>762</v>
      </c>
      <c r="Q119" s="20">
        <v>15936</v>
      </c>
      <c r="R119" s="26" t="s">
        <v>36</v>
      </c>
      <c r="S119" s="31">
        <v>15936</v>
      </c>
      <c r="T119" s="32">
        <v>45134</v>
      </c>
      <c r="U119" s="31"/>
      <c r="V119" s="26"/>
      <c r="W119" s="33" t="s">
        <v>763</v>
      </c>
      <c r="X119" s="26">
        <v>0</v>
      </c>
      <c r="Y119" s="22">
        <v>0</v>
      </c>
      <c r="Z119" s="34" t="s">
        <v>50</v>
      </c>
      <c r="AA119" s="19" t="s">
        <v>51</v>
      </c>
      <c r="AB119" s="26" t="s">
        <v>104</v>
      </c>
      <c r="AC119" s="26" t="s">
        <v>53</v>
      </c>
      <c r="AD119" s="19" t="s">
        <v>54</v>
      </c>
      <c r="AE119" s="26"/>
      <c r="AF119" s="17">
        <v>45140</v>
      </c>
      <c r="AG119" s="26"/>
      <c r="AH119" s="26">
        <v>1</v>
      </c>
      <c r="AI119" s="40" t="s">
        <v>147</v>
      </c>
      <c r="AJ119" s="26"/>
      <c r="AK119" s="26"/>
      <c r="AL119" s="35"/>
      <c r="AM119" s="35"/>
      <c r="AN119" s="35"/>
      <c r="AO119" s="35"/>
      <c r="AP119" s="35"/>
    </row>
    <row r="120" spans="1:42" x14ac:dyDescent="0.2">
      <c r="A120" s="27">
        <v>45135.299190937498</v>
      </c>
      <c r="B120" s="28" t="s">
        <v>37</v>
      </c>
      <c r="C120" s="41" t="s">
        <v>118</v>
      </c>
      <c r="D120" s="19" t="s">
        <v>36</v>
      </c>
      <c r="E120" s="26" t="s">
        <v>106</v>
      </c>
      <c r="F120" s="19" t="s">
        <v>764</v>
      </c>
      <c r="G120" s="19" t="s">
        <v>108</v>
      </c>
      <c r="H120" s="19" t="s">
        <v>765</v>
      </c>
      <c r="I120" s="17">
        <f ca="1">IFERROR(__xludf.DUMMYFUNCTION("""COMPUTED_VALUE"""),45139)</f>
        <v>45139</v>
      </c>
      <c r="J120" s="49" t="s">
        <v>766</v>
      </c>
      <c r="K120" s="19" t="s">
        <v>767</v>
      </c>
      <c r="L120" s="47">
        <v>372239500</v>
      </c>
      <c r="M120" s="19" t="s">
        <v>749</v>
      </c>
      <c r="N120" s="19" t="s">
        <v>768</v>
      </c>
      <c r="O120" s="19" t="s">
        <v>769</v>
      </c>
      <c r="P120" s="26" t="s">
        <v>770</v>
      </c>
      <c r="Q120" s="20">
        <v>3768</v>
      </c>
      <c r="R120" s="26" t="s">
        <v>36</v>
      </c>
      <c r="S120" s="31">
        <v>3768</v>
      </c>
      <c r="T120" s="32">
        <v>45135</v>
      </c>
      <c r="U120" s="31"/>
      <c r="V120" s="26"/>
      <c r="W120" s="33" t="s">
        <v>771</v>
      </c>
      <c r="X120" s="26">
        <v>100</v>
      </c>
      <c r="Y120" s="22">
        <v>-100</v>
      </c>
      <c r="Z120" s="34" t="s">
        <v>50</v>
      </c>
      <c r="AA120" s="19" t="s">
        <v>51</v>
      </c>
      <c r="AB120" s="26" t="s">
        <v>128</v>
      </c>
      <c r="AC120" s="26" t="s">
        <v>53</v>
      </c>
      <c r="AD120" s="19" t="s">
        <v>54</v>
      </c>
      <c r="AE120" s="26">
        <v>530</v>
      </c>
      <c r="AF120" s="17">
        <v>45135</v>
      </c>
      <c r="AG120" s="26"/>
      <c r="AH120" s="26">
        <v>1</v>
      </c>
      <c r="AI120" s="40">
        <v>1</v>
      </c>
      <c r="AJ120" s="26"/>
      <c r="AK120" s="26"/>
      <c r="AL120" s="35"/>
      <c r="AM120" s="35"/>
      <c r="AN120" s="35"/>
      <c r="AO120" s="35"/>
      <c r="AP120" s="35"/>
    </row>
    <row r="121" spans="1:42" x14ac:dyDescent="0.2">
      <c r="A121" s="27">
        <v>45135.509572372684</v>
      </c>
      <c r="B121" s="28" t="s">
        <v>37</v>
      </c>
      <c r="C121" s="41" t="s">
        <v>118</v>
      </c>
      <c r="D121" s="26" t="s">
        <v>36</v>
      </c>
      <c r="E121" s="26" t="s">
        <v>77</v>
      </c>
      <c r="F121" s="26" t="s">
        <v>36</v>
      </c>
      <c r="G121" s="26" t="s">
        <v>41</v>
      </c>
      <c r="H121" s="26" t="s">
        <v>707</v>
      </c>
      <c r="I121" s="17">
        <f ca="1">IFERROR(__xludf.DUMMYFUNCTION("""COMPUTED_VALUE"""),45144)</f>
        <v>45144</v>
      </c>
      <c r="J121" s="29" t="s">
        <v>772</v>
      </c>
      <c r="K121" s="26" t="s">
        <v>773</v>
      </c>
      <c r="L121" s="30">
        <v>375194316</v>
      </c>
      <c r="M121" s="26" t="s">
        <v>80</v>
      </c>
      <c r="N121" s="26" t="s">
        <v>253</v>
      </c>
      <c r="O121" s="26" t="s">
        <v>774</v>
      </c>
      <c r="P121" s="28" t="s">
        <v>775</v>
      </c>
      <c r="Q121" s="20">
        <v>1968</v>
      </c>
      <c r="R121" s="26" t="s">
        <v>36</v>
      </c>
      <c r="S121" s="31">
        <v>1968</v>
      </c>
      <c r="T121" s="32">
        <v>45135</v>
      </c>
      <c r="U121" s="31"/>
      <c r="V121" s="26"/>
      <c r="W121" s="33" t="s">
        <v>776</v>
      </c>
      <c r="X121" s="26">
        <v>0</v>
      </c>
      <c r="Y121" s="22">
        <v>0</v>
      </c>
      <c r="Z121" s="34" t="s">
        <v>50</v>
      </c>
      <c r="AA121" s="19" t="s">
        <v>51</v>
      </c>
      <c r="AB121" s="26" t="s">
        <v>104</v>
      </c>
      <c r="AC121" s="26" t="s">
        <v>53</v>
      </c>
      <c r="AD121" s="19" t="s">
        <v>54</v>
      </c>
      <c r="AE121" s="26">
        <v>0</v>
      </c>
      <c r="AF121" s="17">
        <v>45140</v>
      </c>
      <c r="AG121" s="26"/>
      <c r="AH121" s="26">
        <v>1</v>
      </c>
      <c r="AI121" s="40" t="s">
        <v>84</v>
      </c>
      <c r="AJ121" s="26"/>
      <c r="AK121" s="26"/>
      <c r="AL121" s="35"/>
      <c r="AM121" s="35"/>
      <c r="AN121" s="35"/>
      <c r="AO121" s="35"/>
      <c r="AP121" s="35"/>
    </row>
    <row r="122" spans="1:42" x14ac:dyDescent="0.2">
      <c r="A122" s="27">
        <v>45135.59923107639</v>
      </c>
      <c r="B122" s="28" t="s">
        <v>37</v>
      </c>
      <c r="C122" s="41" t="s">
        <v>118</v>
      </c>
      <c r="D122" s="26" t="s">
        <v>36</v>
      </c>
      <c r="E122" s="26" t="s">
        <v>106</v>
      </c>
      <c r="F122" s="26" t="s">
        <v>36</v>
      </c>
      <c r="G122" s="26" t="s">
        <v>108</v>
      </c>
      <c r="H122" s="26" t="s">
        <v>765</v>
      </c>
      <c r="I122" s="17">
        <f ca="1">IFERROR(__xludf.DUMMYFUNCTION("""COMPUTED_VALUE"""),45139)</f>
        <v>45139</v>
      </c>
      <c r="J122" s="29" t="s">
        <v>777</v>
      </c>
      <c r="K122" s="26" t="s">
        <v>778</v>
      </c>
      <c r="L122" s="30">
        <v>334788920</v>
      </c>
      <c r="M122" s="26" t="s">
        <v>292</v>
      </c>
      <c r="N122" s="26" t="s">
        <v>293</v>
      </c>
      <c r="O122" s="26" t="s">
        <v>779</v>
      </c>
      <c r="P122" s="26" t="s">
        <v>780</v>
      </c>
      <c r="Q122" s="20">
        <v>3768</v>
      </c>
      <c r="R122" s="26" t="s">
        <v>36</v>
      </c>
      <c r="S122" s="31">
        <v>3768</v>
      </c>
      <c r="T122" s="32">
        <v>45135</v>
      </c>
      <c r="U122" s="31"/>
      <c r="V122" s="26"/>
      <c r="W122" s="55" t="s">
        <v>781</v>
      </c>
      <c r="X122" s="26">
        <v>0</v>
      </c>
      <c r="Y122" s="22">
        <v>0</v>
      </c>
      <c r="Z122" s="34" t="s">
        <v>50</v>
      </c>
      <c r="AA122" s="19" t="s">
        <v>51</v>
      </c>
      <c r="AB122" s="26" t="s">
        <v>128</v>
      </c>
      <c r="AC122" s="26" t="s">
        <v>53</v>
      </c>
      <c r="AD122" s="19" t="s">
        <v>54</v>
      </c>
      <c r="AE122" s="26">
        <v>450</v>
      </c>
      <c r="AF122" s="17">
        <v>45140</v>
      </c>
      <c r="AG122" s="26"/>
      <c r="AH122" s="26">
        <v>1</v>
      </c>
      <c r="AI122" s="40">
        <v>1</v>
      </c>
      <c r="AJ122" s="26"/>
      <c r="AK122" s="26"/>
      <c r="AL122" s="35"/>
      <c r="AM122" s="35"/>
      <c r="AN122" s="35"/>
      <c r="AO122" s="35"/>
      <c r="AP122" s="35"/>
    </row>
    <row r="123" spans="1:42" x14ac:dyDescent="0.2">
      <c r="A123" s="27">
        <v>45135.64557390046</v>
      </c>
      <c r="B123" s="28" t="s">
        <v>37</v>
      </c>
      <c r="C123" s="41" t="s">
        <v>118</v>
      </c>
      <c r="D123" s="26" t="s">
        <v>36</v>
      </c>
      <c r="E123" s="26" t="s">
        <v>139</v>
      </c>
      <c r="F123" s="26" t="s">
        <v>36</v>
      </c>
      <c r="G123" s="26" t="s">
        <v>41</v>
      </c>
      <c r="H123" s="26" t="s">
        <v>688</v>
      </c>
      <c r="I123" s="17">
        <f ca="1">IFERROR(__xludf.DUMMYFUNCTION("""COMPUTED_VALUE"""),45145)</f>
        <v>45145</v>
      </c>
      <c r="J123" s="29" t="s">
        <v>782</v>
      </c>
      <c r="K123" s="35" t="s">
        <v>783</v>
      </c>
      <c r="L123" s="30">
        <v>372995798</v>
      </c>
      <c r="M123" s="26" t="s">
        <v>633</v>
      </c>
      <c r="N123" s="26" t="s">
        <v>784</v>
      </c>
      <c r="O123" s="26" t="s">
        <v>785</v>
      </c>
      <c r="P123" s="54" t="s">
        <v>786</v>
      </c>
      <c r="Q123" s="20">
        <v>15936</v>
      </c>
      <c r="R123" s="26" t="s">
        <v>36</v>
      </c>
      <c r="S123" s="31">
        <v>15936</v>
      </c>
      <c r="T123" s="32">
        <v>45135</v>
      </c>
      <c r="U123" s="31"/>
      <c r="V123" s="26"/>
      <c r="W123" s="33" t="s">
        <v>787</v>
      </c>
      <c r="X123" s="26">
        <v>0</v>
      </c>
      <c r="Y123" s="22">
        <v>0</v>
      </c>
      <c r="Z123" s="34" t="s">
        <v>50</v>
      </c>
      <c r="AA123" s="19" t="s">
        <v>51</v>
      </c>
      <c r="AB123" s="26" t="s">
        <v>104</v>
      </c>
      <c r="AC123" s="26" t="s">
        <v>53</v>
      </c>
      <c r="AD123" s="19" t="s">
        <v>54</v>
      </c>
      <c r="AE123" s="26">
        <v>290</v>
      </c>
      <c r="AF123" s="17">
        <v>45141</v>
      </c>
      <c r="AG123" s="26"/>
      <c r="AH123" s="26">
        <v>1</v>
      </c>
      <c r="AI123" s="40" t="s">
        <v>147</v>
      </c>
      <c r="AJ123" s="26"/>
      <c r="AK123" s="26"/>
      <c r="AL123" s="35"/>
      <c r="AM123" s="35"/>
      <c r="AN123" s="35"/>
      <c r="AO123" s="35"/>
      <c r="AP123" s="35"/>
    </row>
    <row r="124" spans="1:42" x14ac:dyDescent="0.2">
      <c r="A124" s="27">
        <v>45136.398270659723</v>
      </c>
      <c r="B124" s="28" t="s">
        <v>37</v>
      </c>
      <c r="C124" s="41" t="s">
        <v>118</v>
      </c>
      <c r="D124" s="26" t="s">
        <v>36</v>
      </c>
      <c r="E124" s="26" t="s">
        <v>77</v>
      </c>
      <c r="F124" s="26" t="s">
        <v>91</v>
      </c>
      <c r="G124" s="35" t="s">
        <v>41</v>
      </c>
      <c r="H124" s="26" t="s">
        <v>788</v>
      </c>
      <c r="I124" s="17">
        <f ca="1">IFERROR(__xludf.DUMMYFUNCTION("""COMPUTED_VALUE"""),45147)</f>
        <v>45147</v>
      </c>
      <c r="J124" s="56" t="s">
        <v>789</v>
      </c>
      <c r="K124" s="35" t="s">
        <v>790</v>
      </c>
      <c r="L124" s="57">
        <v>325760706</v>
      </c>
      <c r="M124" s="35" t="s">
        <v>391</v>
      </c>
      <c r="N124" s="26" t="s">
        <v>446</v>
      </c>
      <c r="O124" s="26" t="s">
        <v>427</v>
      </c>
      <c r="P124" s="26" t="s">
        <v>791</v>
      </c>
      <c r="Q124" s="20">
        <v>1968</v>
      </c>
      <c r="R124" s="26" t="s">
        <v>36</v>
      </c>
      <c r="S124" s="31">
        <v>1000</v>
      </c>
      <c r="T124" s="32">
        <v>45135</v>
      </c>
      <c r="U124" s="31">
        <v>968</v>
      </c>
      <c r="V124" s="32">
        <v>45136</v>
      </c>
      <c r="W124" s="26" t="s">
        <v>792</v>
      </c>
      <c r="X124" s="26">
        <v>0</v>
      </c>
      <c r="Y124" s="22">
        <v>0</v>
      </c>
      <c r="Z124" s="34" t="s">
        <v>50</v>
      </c>
      <c r="AA124" s="19" t="s">
        <v>51</v>
      </c>
      <c r="AB124" s="26" t="s">
        <v>104</v>
      </c>
      <c r="AC124" s="26" t="s">
        <v>53</v>
      </c>
      <c r="AD124" s="19" t="s">
        <v>54</v>
      </c>
      <c r="AE124" s="26"/>
      <c r="AF124" s="17">
        <v>45140</v>
      </c>
      <c r="AG124" s="26"/>
      <c r="AH124" s="26">
        <v>1</v>
      </c>
      <c r="AI124" s="40" t="s">
        <v>84</v>
      </c>
      <c r="AJ124" s="26"/>
      <c r="AK124" s="26"/>
      <c r="AL124" s="35"/>
      <c r="AM124" s="35"/>
      <c r="AN124" s="35"/>
      <c r="AO124" s="35"/>
      <c r="AP124" s="35"/>
    </row>
    <row r="125" spans="1:42" x14ac:dyDescent="0.2">
      <c r="A125" s="27">
        <v>45136.562311956019</v>
      </c>
      <c r="B125" s="28" t="s">
        <v>37</v>
      </c>
      <c r="C125" s="41" t="s">
        <v>118</v>
      </c>
      <c r="D125" s="26" t="s">
        <v>36</v>
      </c>
      <c r="E125" s="26" t="s">
        <v>77</v>
      </c>
      <c r="F125" s="26" t="s">
        <v>36</v>
      </c>
      <c r="G125" s="26" t="s">
        <v>41</v>
      </c>
      <c r="H125" s="26" t="s">
        <v>788</v>
      </c>
      <c r="I125" s="17">
        <f ca="1">IFERROR(__xludf.DUMMYFUNCTION("""COMPUTED_VALUE"""),45147)</f>
        <v>45147</v>
      </c>
      <c r="J125" s="29" t="s">
        <v>793</v>
      </c>
      <c r="K125" s="26" t="s">
        <v>794</v>
      </c>
      <c r="L125" s="30">
        <v>965503982</v>
      </c>
      <c r="M125" s="26" t="s">
        <v>80</v>
      </c>
      <c r="N125" s="26" t="s">
        <v>253</v>
      </c>
      <c r="O125" s="26" t="s">
        <v>795</v>
      </c>
      <c r="P125" s="26" t="s">
        <v>796</v>
      </c>
      <c r="Q125" s="20">
        <v>1968</v>
      </c>
      <c r="R125" s="26" t="s">
        <v>36</v>
      </c>
      <c r="S125" s="31">
        <v>1968</v>
      </c>
      <c r="T125" s="32">
        <v>45136</v>
      </c>
      <c r="U125" s="31"/>
      <c r="V125" s="26"/>
      <c r="W125" s="33" t="s">
        <v>797</v>
      </c>
      <c r="X125" s="26">
        <v>0</v>
      </c>
      <c r="Y125" s="22">
        <v>0</v>
      </c>
      <c r="Z125" s="34" t="s">
        <v>50</v>
      </c>
      <c r="AA125" s="19" t="s">
        <v>51</v>
      </c>
      <c r="AB125" s="26" t="s">
        <v>104</v>
      </c>
      <c r="AC125" s="26" t="s">
        <v>53</v>
      </c>
      <c r="AD125" s="19" t="s">
        <v>54</v>
      </c>
      <c r="AE125" s="26">
        <v>0</v>
      </c>
      <c r="AF125" s="17">
        <v>45140</v>
      </c>
      <c r="AG125" s="26"/>
      <c r="AH125" s="26">
        <v>1</v>
      </c>
      <c r="AI125" s="40" t="s">
        <v>84</v>
      </c>
      <c r="AJ125" s="26"/>
      <c r="AK125" s="26"/>
      <c r="AL125" s="35"/>
      <c r="AM125" s="35"/>
      <c r="AN125" s="35"/>
      <c r="AO125" s="35"/>
      <c r="AP125" s="35"/>
    </row>
    <row r="126" spans="1:42" x14ac:dyDescent="0.2">
      <c r="A126" s="27">
        <v>45136.564921354162</v>
      </c>
      <c r="B126" s="28" t="s">
        <v>37</v>
      </c>
      <c r="C126" s="41" t="s">
        <v>118</v>
      </c>
      <c r="D126" s="26" t="s">
        <v>36</v>
      </c>
      <c r="E126" s="26" t="s">
        <v>77</v>
      </c>
      <c r="F126" s="26" t="s">
        <v>36</v>
      </c>
      <c r="G126" s="26" t="s">
        <v>41</v>
      </c>
      <c r="H126" s="26" t="s">
        <v>694</v>
      </c>
      <c r="I126" s="17">
        <f ca="1">IFERROR(__xludf.DUMMYFUNCTION("""COMPUTED_VALUE"""),45146)</f>
        <v>45146</v>
      </c>
      <c r="J126" s="29" t="s">
        <v>798</v>
      </c>
      <c r="K126" s="26" t="s">
        <v>799</v>
      </c>
      <c r="L126" s="30">
        <v>946859742</v>
      </c>
      <c r="M126" s="26" t="s">
        <v>80</v>
      </c>
      <c r="N126" s="26" t="s">
        <v>186</v>
      </c>
      <c r="O126" s="26" t="s">
        <v>800</v>
      </c>
      <c r="P126" s="26" t="s">
        <v>801</v>
      </c>
      <c r="Q126" s="20">
        <v>1968</v>
      </c>
      <c r="R126" s="26" t="s">
        <v>36</v>
      </c>
      <c r="S126" s="31">
        <v>1968</v>
      </c>
      <c r="T126" s="32">
        <v>45135</v>
      </c>
      <c r="U126" s="31"/>
      <c r="V126" s="26"/>
      <c r="W126" s="33" t="s">
        <v>802</v>
      </c>
      <c r="X126" s="26">
        <v>0</v>
      </c>
      <c r="Y126" s="22">
        <v>0</v>
      </c>
      <c r="Z126" s="34" t="s">
        <v>50</v>
      </c>
      <c r="AA126" s="19" t="s">
        <v>51</v>
      </c>
      <c r="AB126" s="26" t="s">
        <v>104</v>
      </c>
      <c r="AC126" s="26" t="s">
        <v>53</v>
      </c>
      <c r="AD126" s="19" t="s">
        <v>54</v>
      </c>
      <c r="AE126" s="26">
        <v>0</v>
      </c>
      <c r="AF126" s="17">
        <v>45140</v>
      </c>
      <c r="AG126" s="26"/>
      <c r="AH126" s="26">
        <v>1</v>
      </c>
      <c r="AI126" s="40" t="s">
        <v>84</v>
      </c>
      <c r="AJ126" s="26"/>
      <c r="AK126" s="26"/>
      <c r="AL126" s="35"/>
      <c r="AM126" s="35"/>
      <c r="AN126" s="35"/>
      <c r="AO126" s="35"/>
      <c r="AP126" s="35"/>
    </row>
    <row r="127" spans="1:42" x14ac:dyDescent="0.2">
      <c r="A127" s="27">
        <v>45137.16424633102</v>
      </c>
      <c r="B127" s="28" t="s">
        <v>37</v>
      </c>
      <c r="C127" s="41" t="s">
        <v>118</v>
      </c>
      <c r="D127" s="26" t="s">
        <v>36</v>
      </c>
      <c r="E127" s="26" t="s">
        <v>77</v>
      </c>
      <c r="F127" s="26" t="s">
        <v>36</v>
      </c>
      <c r="G127" s="26" t="s">
        <v>41</v>
      </c>
      <c r="H127" s="26" t="s">
        <v>694</v>
      </c>
      <c r="I127" s="17">
        <f ca="1">IFERROR(__xludf.DUMMYFUNCTION("""COMPUTED_VALUE"""),45146)</f>
        <v>45146</v>
      </c>
      <c r="J127" s="29" t="s">
        <v>803</v>
      </c>
      <c r="K127" s="26" t="s">
        <v>804</v>
      </c>
      <c r="L127" s="30">
        <v>968077871</v>
      </c>
      <c r="M127" s="26" t="s">
        <v>123</v>
      </c>
      <c r="N127" s="26" t="s">
        <v>133</v>
      </c>
      <c r="O127" s="26" t="s">
        <v>805</v>
      </c>
      <c r="P127" s="26" t="s">
        <v>806</v>
      </c>
      <c r="Q127" s="20">
        <v>1968</v>
      </c>
      <c r="R127" s="26" t="s">
        <v>36</v>
      </c>
      <c r="S127" s="31">
        <v>1968</v>
      </c>
      <c r="T127" s="32">
        <v>45136</v>
      </c>
      <c r="U127" s="31"/>
      <c r="V127" s="26"/>
      <c r="W127" s="33" t="s">
        <v>807</v>
      </c>
      <c r="X127" s="26">
        <v>0</v>
      </c>
      <c r="Y127" s="22">
        <v>0</v>
      </c>
      <c r="Z127" s="34" t="s">
        <v>50</v>
      </c>
      <c r="AA127" s="19" t="s">
        <v>51</v>
      </c>
      <c r="AB127" s="26" t="s">
        <v>104</v>
      </c>
      <c r="AC127" s="26" t="s">
        <v>53</v>
      </c>
      <c r="AD127" s="19" t="s">
        <v>54</v>
      </c>
      <c r="AE127" s="26"/>
      <c r="AF127" s="17">
        <v>45140</v>
      </c>
      <c r="AG127" s="26"/>
      <c r="AH127" s="26">
        <v>1</v>
      </c>
      <c r="AI127" s="40" t="s">
        <v>84</v>
      </c>
      <c r="AJ127" s="26"/>
      <c r="AK127" s="26"/>
      <c r="AL127" s="35"/>
      <c r="AM127" s="35"/>
      <c r="AN127" s="35"/>
      <c r="AO127" s="35"/>
      <c r="AP127" s="35"/>
    </row>
    <row r="128" spans="1:42" x14ac:dyDescent="0.2">
      <c r="A128" s="27">
        <v>45137.176973854162</v>
      </c>
      <c r="B128" s="28" t="s">
        <v>37</v>
      </c>
      <c r="C128" s="41" t="s">
        <v>118</v>
      </c>
      <c r="D128" s="26" t="s">
        <v>36</v>
      </c>
      <c r="E128" s="26" t="s">
        <v>77</v>
      </c>
      <c r="F128" s="26" t="s">
        <v>808</v>
      </c>
      <c r="G128" s="26" t="s">
        <v>41</v>
      </c>
      <c r="H128" s="26" t="s">
        <v>694</v>
      </c>
      <c r="I128" s="17">
        <f ca="1">IFERROR(__xludf.DUMMYFUNCTION("""COMPUTED_VALUE"""),45146)</f>
        <v>45146</v>
      </c>
      <c r="J128" s="29" t="s">
        <v>809</v>
      </c>
      <c r="K128" s="26" t="s">
        <v>810</v>
      </c>
      <c r="L128" s="30">
        <v>942665938</v>
      </c>
      <c r="M128" s="26" t="s">
        <v>354</v>
      </c>
      <c r="N128" s="26" t="s">
        <v>355</v>
      </c>
      <c r="O128" s="26" t="s">
        <v>811</v>
      </c>
      <c r="P128" s="26" t="s">
        <v>812</v>
      </c>
      <c r="Q128" s="20">
        <v>1968</v>
      </c>
      <c r="R128" s="26" t="s">
        <v>36</v>
      </c>
      <c r="S128" s="31">
        <v>1968</v>
      </c>
      <c r="T128" s="32">
        <v>45136</v>
      </c>
      <c r="U128" s="31"/>
      <c r="V128" s="26"/>
      <c r="W128" s="33" t="s">
        <v>813</v>
      </c>
      <c r="X128" s="26">
        <v>0</v>
      </c>
      <c r="Y128" s="22">
        <v>0</v>
      </c>
      <c r="Z128" s="34" t="s">
        <v>50</v>
      </c>
      <c r="AA128" s="19" t="s">
        <v>51</v>
      </c>
      <c r="AB128" s="26" t="s">
        <v>104</v>
      </c>
      <c r="AC128" s="26" t="s">
        <v>53</v>
      </c>
      <c r="AD128" s="19" t="s">
        <v>54</v>
      </c>
      <c r="AE128" s="26"/>
      <c r="AF128" s="17">
        <v>45140</v>
      </c>
      <c r="AG128" s="26"/>
      <c r="AH128" s="26">
        <v>1</v>
      </c>
      <c r="AI128" s="40" t="s">
        <v>84</v>
      </c>
      <c r="AJ128" s="26"/>
      <c r="AK128" s="26"/>
      <c r="AL128" s="35"/>
      <c r="AM128" s="35"/>
      <c r="AN128" s="35"/>
      <c r="AO128" s="35"/>
      <c r="AP128" s="35"/>
    </row>
    <row r="129" spans="1:42" x14ac:dyDescent="0.2">
      <c r="A129" s="27">
        <v>45137.43208003472</v>
      </c>
      <c r="B129" s="28" t="s">
        <v>37</v>
      </c>
      <c r="C129" s="41" t="s">
        <v>118</v>
      </c>
      <c r="D129" s="26" t="s">
        <v>36</v>
      </c>
      <c r="E129" s="26" t="s">
        <v>148</v>
      </c>
      <c r="F129" s="26" t="s">
        <v>814</v>
      </c>
      <c r="G129" s="26" t="s">
        <v>108</v>
      </c>
      <c r="H129" s="26" t="s">
        <v>815</v>
      </c>
      <c r="I129" s="17">
        <f ca="1">IFERROR(__xludf.DUMMYFUNCTION("""COMPUTED_VALUE"""),45579)</f>
        <v>45579</v>
      </c>
      <c r="J129" s="29" t="s">
        <v>816</v>
      </c>
      <c r="K129" s="26" t="s">
        <v>817</v>
      </c>
      <c r="L129" s="30">
        <v>396915210</v>
      </c>
      <c r="M129" s="26" t="s">
        <v>94</v>
      </c>
      <c r="N129" s="26" t="s">
        <v>818</v>
      </c>
      <c r="O129" s="26" t="s">
        <v>91</v>
      </c>
      <c r="P129" s="42" t="s">
        <v>819</v>
      </c>
      <c r="Q129" s="20">
        <v>7349</v>
      </c>
      <c r="R129" s="26" t="s">
        <v>36</v>
      </c>
      <c r="S129" s="31">
        <v>6231</v>
      </c>
      <c r="T129" s="32">
        <v>45119</v>
      </c>
      <c r="U129" s="31"/>
      <c r="V129" s="16" t="s">
        <v>820</v>
      </c>
      <c r="W129" s="33" t="s">
        <v>821</v>
      </c>
      <c r="X129" s="26">
        <v>100</v>
      </c>
      <c r="Y129" s="22">
        <v>1018</v>
      </c>
      <c r="Z129" s="34" t="s">
        <v>50</v>
      </c>
      <c r="AA129" s="19" t="s">
        <v>51</v>
      </c>
      <c r="AB129" s="26" t="s">
        <v>128</v>
      </c>
      <c r="AC129" s="26" t="s">
        <v>53</v>
      </c>
      <c r="AD129" s="19" t="s">
        <v>54</v>
      </c>
      <c r="AE129" s="26" t="s">
        <v>822</v>
      </c>
      <c r="AF129" s="17">
        <v>45573</v>
      </c>
      <c r="AG129" s="26"/>
      <c r="AH129" s="26">
        <v>1</v>
      </c>
      <c r="AI129" s="40">
        <v>2</v>
      </c>
      <c r="AJ129" s="26"/>
      <c r="AK129" s="26"/>
      <c r="AL129" s="35"/>
      <c r="AM129" s="35"/>
      <c r="AN129" s="35"/>
      <c r="AO129" s="35"/>
      <c r="AP129" s="35"/>
    </row>
    <row r="130" spans="1:42" x14ac:dyDescent="0.2">
      <c r="A130" s="27">
        <v>45138.041912905093</v>
      </c>
      <c r="B130" s="28" t="s">
        <v>37</v>
      </c>
      <c r="C130" s="41" t="s">
        <v>118</v>
      </c>
      <c r="D130" s="26" t="s">
        <v>36</v>
      </c>
      <c r="E130" s="26" t="s">
        <v>106</v>
      </c>
      <c r="F130" s="26" t="s">
        <v>823</v>
      </c>
      <c r="G130" s="26" t="s">
        <v>108</v>
      </c>
      <c r="H130" s="26" t="s">
        <v>824</v>
      </c>
      <c r="I130" s="17">
        <f ca="1">IFERROR(__xludf.DUMMYFUNCTION("""COMPUTED_VALUE"""),45275)</f>
        <v>45275</v>
      </c>
      <c r="J130" s="29" t="s">
        <v>825</v>
      </c>
      <c r="K130" s="26" t="s">
        <v>826</v>
      </c>
      <c r="L130" s="30">
        <v>915682008</v>
      </c>
      <c r="M130" s="26" t="s">
        <v>94</v>
      </c>
      <c r="N130" s="26" t="s">
        <v>827</v>
      </c>
      <c r="O130" s="26" t="s">
        <v>91</v>
      </c>
      <c r="P130" s="26" t="s">
        <v>828</v>
      </c>
      <c r="Q130" s="20">
        <v>3768</v>
      </c>
      <c r="R130" s="26" t="s">
        <v>36</v>
      </c>
      <c r="S130" s="58">
        <v>3768</v>
      </c>
      <c r="T130" s="59">
        <v>45137</v>
      </c>
      <c r="U130" s="58"/>
      <c r="V130" s="35"/>
      <c r="W130" s="55" t="s">
        <v>829</v>
      </c>
      <c r="X130" s="26">
        <v>100</v>
      </c>
      <c r="Y130" s="22">
        <v>-100</v>
      </c>
      <c r="Z130" s="34" t="s">
        <v>50</v>
      </c>
      <c r="AA130" s="19" t="s">
        <v>51</v>
      </c>
      <c r="AB130" s="26" t="s">
        <v>137</v>
      </c>
      <c r="AC130" s="26" t="s">
        <v>53</v>
      </c>
      <c r="AD130" s="19" t="s">
        <v>54</v>
      </c>
      <c r="AE130" s="26">
        <v>410</v>
      </c>
      <c r="AF130" s="17">
        <v>45268</v>
      </c>
      <c r="AG130" s="26"/>
      <c r="AH130" s="26">
        <v>1</v>
      </c>
      <c r="AI130" s="40">
        <v>1</v>
      </c>
      <c r="AJ130" s="26"/>
      <c r="AK130" s="26"/>
      <c r="AL130" s="35"/>
      <c r="AM130" s="35"/>
      <c r="AN130" s="35"/>
      <c r="AO130" s="35"/>
      <c r="AP130" s="35"/>
    </row>
    <row r="131" spans="1:42" x14ac:dyDescent="0.2">
      <c r="A131" s="27">
        <v>45138.144335046294</v>
      </c>
      <c r="B131" s="28" t="s">
        <v>37</v>
      </c>
      <c r="C131" s="41" t="s">
        <v>118</v>
      </c>
      <c r="D131" s="26" t="s">
        <v>36</v>
      </c>
      <c r="E131" s="26" t="s">
        <v>106</v>
      </c>
      <c r="F131" s="26" t="s">
        <v>91</v>
      </c>
      <c r="G131" s="26" t="s">
        <v>108</v>
      </c>
      <c r="H131" s="26" t="s">
        <v>830</v>
      </c>
      <c r="I131" s="17">
        <f ca="1">IFERROR(__xludf.DUMMYFUNCTION("""COMPUTED_VALUE"""),45159)</f>
        <v>45159</v>
      </c>
      <c r="J131" s="29" t="s">
        <v>831</v>
      </c>
      <c r="K131" s="26" t="s">
        <v>832</v>
      </c>
      <c r="L131" s="30">
        <v>389280135</v>
      </c>
      <c r="M131" s="26" t="s">
        <v>391</v>
      </c>
      <c r="N131" s="26" t="s">
        <v>584</v>
      </c>
      <c r="O131" s="26" t="s">
        <v>833</v>
      </c>
      <c r="P131" s="26" t="s">
        <v>834</v>
      </c>
      <c r="Q131" s="20">
        <v>3768</v>
      </c>
      <c r="R131" s="26" t="s">
        <v>70</v>
      </c>
      <c r="S131" s="31">
        <v>2668</v>
      </c>
      <c r="T131" s="32">
        <v>45136</v>
      </c>
      <c r="U131" s="31">
        <v>1000</v>
      </c>
      <c r="V131" s="38">
        <v>45136</v>
      </c>
      <c r="W131" s="26" t="s">
        <v>835</v>
      </c>
      <c r="X131" s="26">
        <v>100</v>
      </c>
      <c r="Y131" s="22">
        <v>0</v>
      </c>
      <c r="Z131" s="34" t="s">
        <v>50</v>
      </c>
      <c r="AA131" s="19" t="s">
        <v>51</v>
      </c>
      <c r="AB131" s="26" t="s">
        <v>128</v>
      </c>
      <c r="AC131" s="26" t="s">
        <v>53</v>
      </c>
      <c r="AD131" s="19" t="s">
        <v>54</v>
      </c>
      <c r="AE131" s="26"/>
      <c r="AF131" s="17">
        <v>45149</v>
      </c>
      <c r="AG131" s="26"/>
      <c r="AH131" s="26">
        <v>1</v>
      </c>
      <c r="AI131" s="40">
        <v>1</v>
      </c>
      <c r="AJ131" s="26"/>
      <c r="AK131" s="26"/>
      <c r="AL131" s="35"/>
      <c r="AM131" s="35"/>
      <c r="AN131" s="35"/>
      <c r="AO131" s="35"/>
      <c r="AP131" s="35"/>
    </row>
    <row r="132" spans="1:42" x14ac:dyDescent="0.2">
      <c r="A132" s="27">
        <v>45138.146602997687</v>
      </c>
      <c r="B132" s="28" t="s">
        <v>37</v>
      </c>
      <c r="C132" s="41" t="s">
        <v>118</v>
      </c>
      <c r="D132" s="26" t="s">
        <v>36</v>
      </c>
      <c r="E132" s="26" t="s">
        <v>106</v>
      </c>
      <c r="F132" s="26" t="s">
        <v>91</v>
      </c>
      <c r="G132" s="26" t="s">
        <v>108</v>
      </c>
      <c r="H132" s="26" t="s">
        <v>836</v>
      </c>
      <c r="I132" s="17">
        <f ca="1">IFERROR(__xludf.DUMMYFUNCTION("""COMPUTED_VALUE"""),45160)</f>
        <v>45160</v>
      </c>
      <c r="J132" s="29" t="s">
        <v>837</v>
      </c>
      <c r="K132" s="26" t="s">
        <v>838</v>
      </c>
      <c r="L132" s="30">
        <v>332981738</v>
      </c>
      <c r="M132" s="26" t="s">
        <v>391</v>
      </c>
      <c r="N132" s="26" t="s">
        <v>584</v>
      </c>
      <c r="O132" s="26" t="s">
        <v>839</v>
      </c>
      <c r="P132" s="28" t="s">
        <v>840</v>
      </c>
      <c r="Q132" s="20">
        <v>3768</v>
      </c>
      <c r="R132" s="26" t="s">
        <v>70</v>
      </c>
      <c r="S132" s="31">
        <v>2668</v>
      </c>
      <c r="T132" s="32">
        <v>45136</v>
      </c>
      <c r="U132" s="31">
        <v>1000</v>
      </c>
      <c r="V132" s="38">
        <v>45136</v>
      </c>
      <c r="W132" s="26" t="s">
        <v>841</v>
      </c>
      <c r="X132" s="26">
        <v>100</v>
      </c>
      <c r="Y132" s="22">
        <v>0</v>
      </c>
      <c r="Z132" s="34" t="s">
        <v>50</v>
      </c>
      <c r="AA132" s="19" t="s">
        <v>51</v>
      </c>
      <c r="AB132" s="26" t="s">
        <v>128</v>
      </c>
      <c r="AC132" s="26" t="s">
        <v>53</v>
      </c>
      <c r="AD132" s="19" t="s">
        <v>54</v>
      </c>
      <c r="AE132" s="26"/>
      <c r="AF132" s="17">
        <v>45146</v>
      </c>
      <c r="AG132" s="26"/>
      <c r="AH132" s="26">
        <v>1</v>
      </c>
      <c r="AI132" s="40">
        <v>1</v>
      </c>
      <c r="AJ132" s="26"/>
      <c r="AK132" s="26"/>
      <c r="AL132" s="35"/>
      <c r="AM132" s="35"/>
      <c r="AN132" s="35"/>
      <c r="AO132" s="35"/>
      <c r="AP132" s="35"/>
    </row>
    <row r="133" spans="1:42" x14ac:dyDescent="0.2">
      <c r="A133" s="27">
        <v>45138.358398402779</v>
      </c>
      <c r="B133" s="28" t="s">
        <v>37</v>
      </c>
      <c r="C133" s="41" t="s">
        <v>118</v>
      </c>
      <c r="D133" s="26" t="s">
        <v>36</v>
      </c>
      <c r="E133" s="26" t="s">
        <v>56</v>
      </c>
      <c r="F133" s="26" t="s">
        <v>36</v>
      </c>
      <c r="G133" s="26" t="s">
        <v>41</v>
      </c>
      <c r="H133" s="26" t="s">
        <v>788</v>
      </c>
      <c r="I133" s="17">
        <f ca="1">IFERROR(__xludf.DUMMYFUNCTION("""COMPUTED_VALUE"""),45147)</f>
        <v>45147</v>
      </c>
      <c r="J133" s="29" t="s">
        <v>842</v>
      </c>
      <c r="K133" s="26" t="s">
        <v>843</v>
      </c>
      <c r="L133" s="30">
        <v>983183436</v>
      </c>
      <c r="M133" s="26" t="s">
        <v>391</v>
      </c>
      <c r="N133" s="26" t="s">
        <v>844</v>
      </c>
      <c r="O133" s="26" t="s">
        <v>845</v>
      </c>
      <c r="P133" s="26" t="s">
        <v>846</v>
      </c>
      <c r="Q133" s="20">
        <v>9317</v>
      </c>
      <c r="R133" s="26" t="s">
        <v>36</v>
      </c>
      <c r="S133" s="31">
        <v>9317</v>
      </c>
      <c r="T133" s="32">
        <v>45138</v>
      </c>
      <c r="U133" s="31"/>
      <c r="V133" s="26"/>
      <c r="W133" s="26" t="s">
        <v>847</v>
      </c>
      <c r="X133" s="26">
        <v>0</v>
      </c>
      <c r="Y133" s="22">
        <v>0</v>
      </c>
      <c r="Z133" s="34" t="s">
        <v>50</v>
      </c>
      <c r="AA133" s="19" t="s">
        <v>51</v>
      </c>
      <c r="AB133" s="26" t="s">
        <v>104</v>
      </c>
      <c r="AC133" s="26" t="s">
        <v>53</v>
      </c>
      <c r="AD133" s="19" t="s">
        <v>54</v>
      </c>
      <c r="AE133" s="26"/>
      <c r="AF133" s="17">
        <v>45140</v>
      </c>
      <c r="AG133" s="26"/>
      <c r="AH133" s="26">
        <v>1</v>
      </c>
      <c r="AI133" s="40" t="s">
        <v>64</v>
      </c>
      <c r="AJ133" s="26"/>
      <c r="AK133" s="26"/>
      <c r="AL133" s="35"/>
      <c r="AM133" s="35"/>
      <c r="AN133" s="35"/>
      <c r="AO133" s="35"/>
      <c r="AP133" s="35"/>
    </row>
    <row r="134" spans="1:42" x14ac:dyDescent="0.2">
      <c r="A134" s="27">
        <v>45138.643615775465</v>
      </c>
      <c r="B134" s="28" t="s">
        <v>37</v>
      </c>
      <c r="C134" s="41" t="s">
        <v>118</v>
      </c>
      <c r="D134" s="26" t="s">
        <v>36</v>
      </c>
      <c r="E134" s="26" t="s">
        <v>77</v>
      </c>
      <c r="F134" s="26" t="s">
        <v>36</v>
      </c>
      <c r="G134" s="26" t="s">
        <v>41</v>
      </c>
      <c r="H134" s="26" t="s">
        <v>788</v>
      </c>
      <c r="I134" s="17">
        <f ca="1">IFERROR(__xludf.DUMMYFUNCTION("""COMPUTED_VALUE"""),45147)</f>
        <v>45147</v>
      </c>
      <c r="J134" s="29" t="s">
        <v>848</v>
      </c>
      <c r="K134" s="26" t="s">
        <v>849</v>
      </c>
      <c r="L134" s="30">
        <v>796091369</v>
      </c>
      <c r="M134" s="26" t="s">
        <v>123</v>
      </c>
      <c r="N134" s="26" t="s">
        <v>850</v>
      </c>
      <c r="O134" s="26" t="s">
        <v>805</v>
      </c>
      <c r="P134" s="26" t="s">
        <v>851</v>
      </c>
      <c r="Q134" s="20">
        <v>1968</v>
      </c>
      <c r="R134" s="26" t="s">
        <v>36</v>
      </c>
      <c r="S134" s="31">
        <v>1968</v>
      </c>
      <c r="T134" s="32">
        <v>45135</v>
      </c>
      <c r="U134" s="31"/>
      <c r="V134" s="26"/>
      <c r="W134" s="33" t="s">
        <v>852</v>
      </c>
      <c r="X134" s="26">
        <v>0</v>
      </c>
      <c r="Y134" s="22">
        <v>0</v>
      </c>
      <c r="Z134" s="34" t="s">
        <v>50</v>
      </c>
      <c r="AA134" s="19" t="s">
        <v>51</v>
      </c>
      <c r="AB134" s="26" t="s">
        <v>104</v>
      </c>
      <c r="AC134" s="26" t="s">
        <v>53</v>
      </c>
      <c r="AD134" s="19" t="s">
        <v>54</v>
      </c>
      <c r="AE134" s="26"/>
      <c r="AF134" s="17">
        <v>45140</v>
      </c>
      <c r="AG134" s="26"/>
      <c r="AH134" s="26">
        <v>1</v>
      </c>
      <c r="AI134" s="40" t="s">
        <v>84</v>
      </c>
      <c r="AJ134" s="26"/>
      <c r="AK134" s="26"/>
      <c r="AL134" s="35"/>
      <c r="AM134" s="35"/>
      <c r="AN134" s="35"/>
      <c r="AO134" s="35"/>
      <c r="AP134" s="35"/>
    </row>
    <row r="135" spans="1:42" x14ac:dyDescent="0.2">
      <c r="A135" s="27">
        <v>45138.644795335647</v>
      </c>
      <c r="B135" s="28" t="s">
        <v>37</v>
      </c>
      <c r="C135" s="41" t="s">
        <v>118</v>
      </c>
      <c r="D135" s="26" t="s">
        <v>36</v>
      </c>
      <c r="E135" s="26" t="s">
        <v>77</v>
      </c>
      <c r="F135" s="26" t="s">
        <v>36</v>
      </c>
      <c r="G135" s="26" t="s">
        <v>41</v>
      </c>
      <c r="H135" s="26" t="s">
        <v>788</v>
      </c>
      <c r="I135" s="17">
        <f ca="1">IFERROR(__xludf.DUMMYFUNCTION("""COMPUTED_VALUE"""),45147)</f>
        <v>45147</v>
      </c>
      <c r="J135" s="29" t="s">
        <v>853</v>
      </c>
      <c r="K135" s="26" t="s">
        <v>854</v>
      </c>
      <c r="L135" s="30">
        <v>796061607</v>
      </c>
      <c r="M135" s="26" t="s">
        <v>123</v>
      </c>
      <c r="N135" s="26" t="s">
        <v>850</v>
      </c>
      <c r="O135" s="26" t="s">
        <v>805</v>
      </c>
      <c r="P135" s="26" t="s">
        <v>855</v>
      </c>
      <c r="Q135" s="20">
        <v>1968</v>
      </c>
      <c r="R135" s="26" t="s">
        <v>36</v>
      </c>
      <c r="S135" s="31">
        <v>1968</v>
      </c>
      <c r="T135" s="32">
        <v>45135</v>
      </c>
      <c r="U135" s="31"/>
      <c r="V135" s="26"/>
      <c r="W135" s="33" t="s">
        <v>856</v>
      </c>
      <c r="X135" s="26">
        <v>0</v>
      </c>
      <c r="Y135" s="22">
        <v>0</v>
      </c>
      <c r="Z135" s="34" t="s">
        <v>50</v>
      </c>
      <c r="AA135" s="19" t="s">
        <v>51</v>
      </c>
      <c r="AB135" s="26" t="s">
        <v>104</v>
      </c>
      <c r="AC135" s="26" t="s">
        <v>53</v>
      </c>
      <c r="AD135" s="19" t="s">
        <v>54</v>
      </c>
      <c r="AE135" s="26"/>
      <c r="AF135" s="17">
        <v>45140</v>
      </c>
      <c r="AG135" s="26"/>
      <c r="AH135" s="26">
        <v>1</v>
      </c>
      <c r="AI135" s="40" t="s">
        <v>84</v>
      </c>
      <c r="AJ135" s="26"/>
      <c r="AK135" s="26"/>
      <c r="AL135" s="35"/>
      <c r="AM135" s="35"/>
      <c r="AN135" s="35"/>
      <c r="AO135" s="35"/>
      <c r="AP135" s="35"/>
    </row>
    <row r="136" spans="1:42" x14ac:dyDescent="0.2">
      <c r="A136" s="27">
        <v>45138.710829247684</v>
      </c>
      <c r="B136" s="28" t="s">
        <v>37</v>
      </c>
      <c r="C136" s="41" t="s">
        <v>118</v>
      </c>
      <c r="D136" s="26" t="s">
        <v>36</v>
      </c>
      <c r="E136" s="26" t="s">
        <v>56</v>
      </c>
      <c r="F136" s="26" t="s">
        <v>36</v>
      </c>
      <c r="G136" s="26" t="s">
        <v>41</v>
      </c>
      <c r="H136" s="26" t="s">
        <v>857</v>
      </c>
      <c r="I136" s="17">
        <f ca="1">IFERROR(__xludf.DUMMYFUNCTION("""COMPUTED_VALUE"""),45187)</f>
        <v>45187</v>
      </c>
      <c r="J136" s="29" t="s">
        <v>858</v>
      </c>
      <c r="K136" s="26" t="s">
        <v>859</v>
      </c>
      <c r="L136" s="30">
        <v>965917843</v>
      </c>
      <c r="M136" s="26" t="s">
        <v>59</v>
      </c>
      <c r="N136" s="26" t="s">
        <v>68</v>
      </c>
      <c r="O136" s="26" t="s">
        <v>860</v>
      </c>
      <c r="P136" s="26" t="s">
        <v>861</v>
      </c>
      <c r="Q136" s="20">
        <v>9317</v>
      </c>
      <c r="R136" s="26" t="s">
        <v>36</v>
      </c>
      <c r="S136" s="31">
        <v>9317</v>
      </c>
      <c r="T136" s="32">
        <v>45138</v>
      </c>
      <c r="U136" s="31"/>
      <c r="V136" s="26"/>
      <c r="W136" s="33" t="s">
        <v>862</v>
      </c>
      <c r="X136" s="26">
        <v>0</v>
      </c>
      <c r="Y136" s="22">
        <v>0</v>
      </c>
      <c r="Z136" s="34" t="s">
        <v>50</v>
      </c>
      <c r="AA136" s="19" t="s">
        <v>51</v>
      </c>
      <c r="AB136" s="26" t="s">
        <v>104</v>
      </c>
      <c r="AC136" s="26" t="s">
        <v>53</v>
      </c>
      <c r="AD136" s="19" t="s">
        <v>54</v>
      </c>
      <c r="AE136" s="26" t="s">
        <v>76</v>
      </c>
      <c r="AF136" s="17">
        <v>45181</v>
      </c>
      <c r="AG136" s="26" t="s">
        <v>863</v>
      </c>
      <c r="AH136" s="26">
        <v>1</v>
      </c>
      <c r="AI136" s="40" t="s">
        <v>64</v>
      </c>
      <c r="AJ136" s="26"/>
      <c r="AK136" s="26"/>
      <c r="AL136" s="35"/>
      <c r="AM136" s="35"/>
      <c r="AN136" s="35"/>
      <c r="AO136" s="35"/>
      <c r="AP136" s="35"/>
    </row>
    <row r="137" spans="1:42" x14ac:dyDescent="0.2">
      <c r="A137" s="27">
        <v>45138.714533599537</v>
      </c>
      <c r="B137" s="28" t="s">
        <v>864</v>
      </c>
      <c r="C137" s="41" t="s">
        <v>118</v>
      </c>
      <c r="D137" s="26" t="s">
        <v>36</v>
      </c>
      <c r="E137" s="26" t="s">
        <v>39</v>
      </c>
      <c r="F137" s="26" t="s">
        <v>40</v>
      </c>
      <c r="G137" s="26" t="s">
        <v>41</v>
      </c>
      <c r="H137" s="26" t="s">
        <v>865</v>
      </c>
      <c r="I137" s="17" t="str">
        <f ca="1">IFERROR(__xludf.DUMMYFUNCTION("""COMPUTED_VALUE""")," ")</f>
        <v xml:space="preserve"> </v>
      </c>
      <c r="J137" s="29" t="s">
        <v>866</v>
      </c>
      <c r="K137" s="19" t="s">
        <v>867</v>
      </c>
      <c r="L137" s="30"/>
      <c r="M137" s="26" t="s">
        <v>59</v>
      </c>
      <c r="N137" s="26" t="s">
        <v>68</v>
      </c>
      <c r="O137" s="26" t="s">
        <v>143</v>
      </c>
      <c r="P137" s="26" t="s">
        <v>868</v>
      </c>
      <c r="Q137" s="20">
        <v>5736</v>
      </c>
      <c r="R137" s="26" t="s">
        <v>36</v>
      </c>
      <c r="S137" s="31">
        <v>5736</v>
      </c>
      <c r="T137" s="32">
        <v>45138</v>
      </c>
      <c r="U137" s="31"/>
      <c r="V137" s="26"/>
      <c r="W137" s="55" t="s">
        <v>869</v>
      </c>
      <c r="X137" s="26">
        <v>0</v>
      </c>
      <c r="Y137" s="22">
        <v>0</v>
      </c>
      <c r="Z137" s="34" t="s">
        <v>50</v>
      </c>
      <c r="AA137" s="19" t="s">
        <v>51</v>
      </c>
      <c r="AB137" s="26"/>
      <c r="AC137" s="26" t="s">
        <v>53</v>
      </c>
      <c r="AD137" s="19" t="s">
        <v>54</v>
      </c>
      <c r="AE137" s="26" t="s">
        <v>870</v>
      </c>
      <c r="AF137" s="60"/>
      <c r="AG137" s="26"/>
      <c r="AH137" s="26">
        <v>1</v>
      </c>
      <c r="AI137" s="40" t="s">
        <v>55</v>
      </c>
      <c r="AJ137" s="26"/>
      <c r="AK137" s="26"/>
      <c r="AL137" s="35"/>
      <c r="AM137" s="35"/>
      <c r="AN137" s="35"/>
      <c r="AO137" s="35"/>
      <c r="AP137" s="35"/>
    </row>
    <row r="138" spans="1:42" x14ac:dyDescent="0.2">
      <c r="A138" s="27">
        <v>45138.716795428241</v>
      </c>
      <c r="B138" s="28" t="s">
        <v>37</v>
      </c>
      <c r="C138" s="41" t="s">
        <v>118</v>
      </c>
      <c r="D138" s="26" t="s">
        <v>36</v>
      </c>
      <c r="E138" s="26" t="s">
        <v>56</v>
      </c>
      <c r="F138" s="26" t="s">
        <v>36</v>
      </c>
      <c r="G138" s="26" t="s">
        <v>41</v>
      </c>
      <c r="H138" s="26" t="s">
        <v>788</v>
      </c>
      <c r="I138" s="17">
        <f ca="1">IFERROR(__xludf.DUMMYFUNCTION("""COMPUTED_VALUE"""),45147)</f>
        <v>45147</v>
      </c>
      <c r="J138" s="29" t="s">
        <v>871</v>
      </c>
      <c r="K138" s="26" t="s">
        <v>872</v>
      </c>
      <c r="L138" s="30">
        <v>929275364</v>
      </c>
      <c r="M138" s="26" t="s">
        <v>59</v>
      </c>
      <c r="N138" s="26" t="s">
        <v>68</v>
      </c>
      <c r="O138" s="61" t="s">
        <v>873</v>
      </c>
      <c r="P138" s="26" t="s">
        <v>874</v>
      </c>
      <c r="Q138" s="20">
        <v>9317</v>
      </c>
      <c r="R138" s="26" t="s">
        <v>70</v>
      </c>
      <c r="S138" s="31">
        <v>9317</v>
      </c>
      <c r="T138" s="32">
        <v>45136</v>
      </c>
      <c r="U138" s="31"/>
      <c r="V138" s="26"/>
      <c r="W138" s="33" t="s">
        <v>875</v>
      </c>
      <c r="X138" s="26">
        <v>100</v>
      </c>
      <c r="Y138" s="22">
        <v>-100</v>
      </c>
      <c r="Z138" s="34" t="s">
        <v>50</v>
      </c>
      <c r="AA138" s="19" t="s">
        <v>51</v>
      </c>
      <c r="AB138" s="26" t="s">
        <v>104</v>
      </c>
      <c r="AC138" s="26" t="s">
        <v>53</v>
      </c>
      <c r="AD138" s="19" t="s">
        <v>54</v>
      </c>
      <c r="AE138" s="26" t="s">
        <v>72</v>
      </c>
      <c r="AF138" s="17">
        <v>45140</v>
      </c>
      <c r="AG138" s="26"/>
      <c r="AH138" s="26">
        <v>1</v>
      </c>
      <c r="AI138" s="40" t="s">
        <v>64</v>
      </c>
      <c r="AJ138" s="26"/>
      <c r="AK138" s="26"/>
      <c r="AL138" s="35"/>
      <c r="AM138" s="35"/>
      <c r="AN138" s="35"/>
      <c r="AO138" s="35"/>
      <c r="AP138" s="35"/>
    </row>
    <row r="139" spans="1:42" x14ac:dyDescent="0.2">
      <c r="A139" s="27">
        <v>45138.718848599536</v>
      </c>
      <c r="B139" s="28" t="s">
        <v>37</v>
      </c>
      <c r="C139" s="41" t="s">
        <v>118</v>
      </c>
      <c r="D139" s="26" t="s">
        <v>36</v>
      </c>
      <c r="E139" s="26" t="s">
        <v>56</v>
      </c>
      <c r="F139" s="26" t="s">
        <v>36</v>
      </c>
      <c r="G139" s="26" t="s">
        <v>41</v>
      </c>
      <c r="H139" s="26" t="s">
        <v>788</v>
      </c>
      <c r="I139" s="17">
        <f ca="1">IFERROR(__xludf.DUMMYFUNCTION("""COMPUTED_VALUE"""),45147)</f>
        <v>45147</v>
      </c>
      <c r="J139" s="29" t="s">
        <v>876</v>
      </c>
      <c r="K139" s="26" t="s">
        <v>877</v>
      </c>
      <c r="L139" s="30">
        <v>523885476</v>
      </c>
      <c r="M139" s="26" t="s">
        <v>59</v>
      </c>
      <c r="N139" s="26" t="s">
        <v>68</v>
      </c>
      <c r="O139" s="26" t="s">
        <v>878</v>
      </c>
      <c r="P139" s="26" t="s">
        <v>879</v>
      </c>
      <c r="Q139" s="20">
        <v>9317</v>
      </c>
      <c r="R139" s="26" t="s">
        <v>70</v>
      </c>
      <c r="S139" s="31">
        <v>9217</v>
      </c>
      <c r="T139" s="32">
        <v>45167</v>
      </c>
      <c r="U139" s="31"/>
      <c r="V139" s="26"/>
      <c r="W139" s="26" t="s">
        <v>880</v>
      </c>
      <c r="X139" s="26">
        <v>100</v>
      </c>
      <c r="Y139" s="22">
        <v>0</v>
      </c>
      <c r="Z139" s="34" t="s">
        <v>50</v>
      </c>
      <c r="AA139" s="19" t="s">
        <v>51</v>
      </c>
      <c r="AB139" s="26" t="s">
        <v>104</v>
      </c>
      <c r="AC139" s="26" t="s">
        <v>53</v>
      </c>
      <c r="AD139" s="19" t="s">
        <v>54</v>
      </c>
      <c r="AE139" s="26" t="s">
        <v>72</v>
      </c>
      <c r="AF139" s="17">
        <v>45140</v>
      </c>
      <c r="AG139" s="26"/>
      <c r="AH139" s="26">
        <v>1</v>
      </c>
      <c r="AI139" s="40" t="s">
        <v>64</v>
      </c>
      <c r="AJ139" s="26"/>
      <c r="AK139" s="26"/>
      <c r="AL139" s="35"/>
      <c r="AM139" s="35"/>
      <c r="AN139" s="35"/>
      <c r="AO139" s="35"/>
      <c r="AP139" s="35"/>
    </row>
    <row r="140" spans="1:42" x14ac:dyDescent="0.2">
      <c r="A140" s="27">
        <v>45139.05561304398</v>
      </c>
      <c r="B140" s="28" t="s">
        <v>37</v>
      </c>
      <c r="C140" s="41" t="s">
        <v>118</v>
      </c>
      <c r="D140" s="26" t="s">
        <v>36</v>
      </c>
      <c r="E140" s="26" t="s">
        <v>106</v>
      </c>
      <c r="F140" s="26" t="s">
        <v>881</v>
      </c>
      <c r="G140" s="26" t="s">
        <v>108</v>
      </c>
      <c r="H140" s="26" t="s">
        <v>882</v>
      </c>
      <c r="I140" s="17">
        <f ca="1">IFERROR(__xludf.DUMMYFUNCTION("""COMPUTED_VALUE"""),45180)</f>
        <v>45180</v>
      </c>
      <c r="J140" s="29" t="s">
        <v>883</v>
      </c>
      <c r="K140" s="26" t="s">
        <v>884</v>
      </c>
      <c r="L140" s="30">
        <v>869655281</v>
      </c>
      <c r="M140" s="26" t="s">
        <v>749</v>
      </c>
      <c r="N140" s="26" t="s">
        <v>885</v>
      </c>
      <c r="O140" s="26" t="s">
        <v>91</v>
      </c>
      <c r="P140" s="26" t="s">
        <v>886</v>
      </c>
      <c r="Q140" s="20">
        <v>3768</v>
      </c>
      <c r="R140" s="26" t="s">
        <v>36</v>
      </c>
      <c r="S140" s="31">
        <v>3668</v>
      </c>
      <c r="T140" s="32">
        <v>45138</v>
      </c>
      <c r="U140" s="31"/>
      <c r="V140" s="26"/>
      <c r="W140" s="33" t="s">
        <v>887</v>
      </c>
      <c r="X140" s="26">
        <v>100</v>
      </c>
      <c r="Y140" s="22">
        <v>0</v>
      </c>
      <c r="Z140" s="34" t="s">
        <v>50</v>
      </c>
      <c r="AA140" s="19" t="s">
        <v>51</v>
      </c>
      <c r="AB140" s="26" t="s">
        <v>128</v>
      </c>
      <c r="AC140" s="26" t="s">
        <v>53</v>
      </c>
      <c r="AD140" s="19" t="s">
        <v>54</v>
      </c>
      <c r="AE140" s="26">
        <v>420</v>
      </c>
      <c r="AF140" s="17">
        <v>45169</v>
      </c>
      <c r="AG140" s="26"/>
      <c r="AH140" s="26">
        <v>1</v>
      </c>
      <c r="AI140" s="40">
        <v>1</v>
      </c>
      <c r="AJ140" s="26"/>
      <c r="AK140" s="26"/>
      <c r="AL140" s="35"/>
      <c r="AM140" s="35"/>
      <c r="AN140" s="35"/>
      <c r="AO140" s="35"/>
      <c r="AP140" s="35"/>
    </row>
    <row r="141" spans="1:42" x14ac:dyDescent="0.2">
      <c r="A141" s="27">
        <v>45133.127809166668</v>
      </c>
      <c r="B141" s="28" t="s">
        <v>37</v>
      </c>
      <c r="C141" s="41" t="s">
        <v>118</v>
      </c>
      <c r="D141" s="26" t="s">
        <v>36</v>
      </c>
      <c r="E141" s="26" t="s">
        <v>106</v>
      </c>
      <c r="F141" s="26" t="s">
        <v>888</v>
      </c>
      <c r="G141" s="26" t="s">
        <v>108</v>
      </c>
      <c r="H141" s="26" t="s">
        <v>889</v>
      </c>
      <c r="I141" s="17">
        <f ca="1">IFERROR(__xludf.DUMMYFUNCTION("""COMPUTED_VALUE"""),45342)</f>
        <v>45342</v>
      </c>
      <c r="J141" s="29" t="s">
        <v>890</v>
      </c>
      <c r="K141" s="26" t="s">
        <v>891</v>
      </c>
      <c r="L141" s="30">
        <v>858907995</v>
      </c>
      <c r="M141" s="26" t="s">
        <v>391</v>
      </c>
      <c r="N141" s="26" t="s">
        <v>584</v>
      </c>
      <c r="O141" s="26" t="s">
        <v>892</v>
      </c>
      <c r="P141" s="42" t="s">
        <v>893</v>
      </c>
      <c r="Q141" s="20">
        <v>3768</v>
      </c>
      <c r="R141" s="26" t="s">
        <v>36</v>
      </c>
      <c r="S141" s="31">
        <v>1000</v>
      </c>
      <c r="T141" s="32">
        <v>45131</v>
      </c>
      <c r="U141" s="31">
        <v>2668</v>
      </c>
      <c r="V141" s="32">
        <v>45134</v>
      </c>
      <c r="W141" s="26" t="s">
        <v>894</v>
      </c>
      <c r="X141" s="26">
        <v>100</v>
      </c>
      <c r="Y141" s="22">
        <v>0</v>
      </c>
      <c r="Z141" s="34" t="s">
        <v>50</v>
      </c>
      <c r="AA141" s="19" t="s">
        <v>51</v>
      </c>
      <c r="AB141" s="26" t="s">
        <v>128</v>
      </c>
      <c r="AC141" s="26" t="s">
        <v>53</v>
      </c>
      <c r="AD141" s="19" t="s">
        <v>54</v>
      </c>
      <c r="AE141" s="26"/>
      <c r="AF141" s="17">
        <v>45175</v>
      </c>
      <c r="AG141" s="62" t="s">
        <v>895</v>
      </c>
      <c r="AH141" s="26">
        <v>1</v>
      </c>
      <c r="AI141" s="40">
        <v>1</v>
      </c>
      <c r="AJ141" s="26"/>
      <c r="AK141" s="26"/>
      <c r="AL141" s="35"/>
      <c r="AM141" s="35"/>
      <c r="AN141" s="35"/>
      <c r="AO141" s="35"/>
      <c r="AP141" s="35"/>
    </row>
    <row r="142" spans="1:42" x14ac:dyDescent="0.2">
      <c r="A142" s="27">
        <v>45112.448677592591</v>
      </c>
      <c r="B142" s="28" t="s">
        <v>37</v>
      </c>
      <c r="C142" s="41" t="s">
        <v>118</v>
      </c>
      <c r="D142" s="26" t="s">
        <v>36</v>
      </c>
      <c r="E142" s="26" t="s">
        <v>119</v>
      </c>
      <c r="F142" s="26" t="s">
        <v>36</v>
      </c>
      <c r="G142" s="26" t="s">
        <v>108</v>
      </c>
      <c r="H142" s="26" t="s">
        <v>172</v>
      </c>
      <c r="I142" s="17">
        <f ca="1">IFERROR(__xludf.DUMMYFUNCTION("""COMPUTED_VALUE"""),45121)</f>
        <v>45121</v>
      </c>
      <c r="J142" s="29" t="s">
        <v>896</v>
      </c>
      <c r="K142" s="26" t="s">
        <v>897</v>
      </c>
      <c r="L142" s="30">
        <v>936526160</v>
      </c>
      <c r="M142" s="26" t="s">
        <v>123</v>
      </c>
      <c r="N142" s="26" t="s">
        <v>898</v>
      </c>
      <c r="O142" s="26" t="s">
        <v>143</v>
      </c>
      <c r="P142" s="26" t="s">
        <v>899</v>
      </c>
      <c r="Q142" s="20">
        <v>13968</v>
      </c>
      <c r="R142" s="26" t="s">
        <v>36</v>
      </c>
      <c r="S142" s="31">
        <v>6000</v>
      </c>
      <c r="T142" s="32">
        <v>45108</v>
      </c>
      <c r="U142" s="31">
        <v>7968</v>
      </c>
      <c r="V142" s="32">
        <v>45139</v>
      </c>
      <c r="W142" s="33" t="s">
        <v>900</v>
      </c>
      <c r="X142" s="26">
        <v>0</v>
      </c>
      <c r="Y142" s="22">
        <v>0</v>
      </c>
      <c r="Z142" s="34" t="s">
        <v>50</v>
      </c>
      <c r="AA142" s="19" t="s">
        <v>901</v>
      </c>
      <c r="AB142" s="26" t="s">
        <v>128</v>
      </c>
      <c r="AC142" s="26" t="s">
        <v>53</v>
      </c>
      <c r="AD142" s="19" t="s">
        <v>54</v>
      </c>
      <c r="AE142" s="26">
        <v>390</v>
      </c>
      <c r="AF142" s="17">
        <v>45115</v>
      </c>
      <c r="AG142" s="26"/>
      <c r="AH142" s="26">
        <v>1</v>
      </c>
      <c r="AI142" s="40">
        <v>4</v>
      </c>
      <c r="AJ142" s="26"/>
      <c r="AK142" s="26"/>
      <c r="AL142" s="35"/>
      <c r="AM142" s="35"/>
      <c r="AN142" s="35"/>
      <c r="AO142" s="35"/>
      <c r="AP142" s="35"/>
    </row>
    <row r="143" spans="1:42" x14ac:dyDescent="0.2">
      <c r="A143" s="27">
        <v>45112.462112916663</v>
      </c>
      <c r="B143" s="28" t="s">
        <v>37</v>
      </c>
      <c r="C143" s="41" t="s">
        <v>118</v>
      </c>
      <c r="D143" s="26" t="s">
        <v>36</v>
      </c>
      <c r="E143" s="26" t="s">
        <v>77</v>
      </c>
      <c r="F143" s="26" t="s">
        <v>36</v>
      </c>
      <c r="G143" s="26" t="s">
        <v>41</v>
      </c>
      <c r="H143" s="26" t="s">
        <v>902</v>
      </c>
      <c r="I143" s="17" t="str">
        <f ca="1">IFERROR(__xludf.DUMMYFUNCTION("""COMPUTED_VALUE""")," ")</f>
        <v xml:space="preserve"> </v>
      </c>
      <c r="J143" s="29" t="s">
        <v>903</v>
      </c>
      <c r="K143" s="26" t="s">
        <v>904</v>
      </c>
      <c r="L143" s="30">
        <v>965957301</v>
      </c>
      <c r="M143" s="26" t="s">
        <v>123</v>
      </c>
      <c r="N143" s="26" t="s">
        <v>898</v>
      </c>
      <c r="O143" s="26" t="s">
        <v>134</v>
      </c>
      <c r="P143" s="63" t="s">
        <v>905</v>
      </c>
      <c r="Q143" s="20">
        <v>1968</v>
      </c>
      <c r="R143" s="26" t="s">
        <v>36</v>
      </c>
      <c r="S143" s="31">
        <v>4000</v>
      </c>
      <c r="T143" s="32">
        <v>45111</v>
      </c>
      <c r="U143" s="58"/>
      <c r="V143" s="32"/>
      <c r="W143" s="33" t="s">
        <v>906</v>
      </c>
      <c r="X143" s="26">
        <v>0</v>
      </c>
      <c r="Y143" s="22">
        <v>-2032</v>
      </c>
      <c r="Z143" s="34" t="s">
        <v>50</v>
      </c>
      <c r="AA143" s="19" t="s">
        <v>901</v>
      </c>
      <c r="AB143" s="26" t="s">
        <v>137</v>
      </c>
      <c r="AC143" s="26" t="s">
        <v>53</v>
      </c>
      <c r="AD143" s="19" t="s">
        <v>54</v>
      </c>
      <c r="AE143" s="26" t="s">
        <v>72</v>
      </c>
      <c r="AF143" s="17">
        <v>45135</v>
      </c>
      <c r="AG143" s="26" t="s">
        <v>907</v>
      </c>
      <c r="AH143" s="26">
        <v>1</v>
      </c>
      <c r="AI143" s="40" t="s">
        <v>84</v>
      </c>
      <c r="AJ143" s="26"/>
      <c r="AK143" s="26"/>
      <c r="AL143" s="35"/>
      <c r="AM143" s="35"/>
      <c r="AN143" s="35"/>
      <c r="AO143" s="35"/>
      <c r="AP143" s="35"/>
    </row>
    <row r="144" spans="1:42" x14ac:dyDescent="0.2">
      <c r="A144" s="27">
        <v>45114.51596837963</v>
      </c>
      <c r="B144" s="28" t="s">
        <v>37</v>
      </c>
      <c r="C144" s="41" t="s">
        <v>118</v>
      </c>
      <c r="D144" s="26" t="s">
        <v>36</v>
      </c>
      <c r="E144" s="26" t="s">
        <v>56</v>
      </c>
      <c r="F144" s="26" t="s">
        <v>36</v>
      </c>
      <c r="G144" s="26" t="s">
        <v>41</v>
      </c>
      <c r="H144" s="26" t="s">
        <v>178</v>
      </c>
      <c r="I144" s="17">
        <f ca="1">IFERROR(__xludf.DUMMYFUNCTION("""COMPUTED_VALUE"""),45121)</f>
        <v>45121</v>
      </c>
      <c r="J144" s="29" t="s">
        <v>908</v>
      </c>
      <c r="K144" s="26" t="s">
        <v>909</v>
      </c>
      <c r="L144" s="30">
        <v>349387708</v>
      </c>
      <c r="M144" s="26" t="s">
        <v>910</v>
      </c>
      <c r="N144" s="26" t="s">
        <v>355</v>
      </c>
      <c r="O144" s="26" t="s">
        <v>911</v>
      </c>
      <c r="P144" s="26" t="s">
        <v>912</v>
      </c>
      <c r="Q144" s="20">
        <v>9317</v>
      </c>
      <c r="R144" s="26" t="s">
        <v>36</v>
      </c>
      <c r="S144" s="31">
        <v>2000</v>
      </c>
      <c r="T144" s="32">
        <v>45114</v>
      </c>
      <c r="U144" s="31">
        <f>5000+2317</f>
        <v>7317</v>
      </c>
      <c r="V144" s="26" t="s">
        <v>913</v>
      </c>
      <c r="W144" s="33" t="s">
        <v>914</v>
      </c>
      <c r="X144" s="26">
        <v>0</v>
      </c>
      <c r="Y144" s="22">
        <v>0</v>
      </c>
      <c r="Z144" s="34" t="s">
        <v>50</v>
      </c>
      <c r="AA144" s="19" t="s">
        <v>901</v>
      </c>
      <c r="AB144" s="26" t="s">
        <v>104</v>
      </c>
      <c r="AC144" s="26" t="s">
        <v>53</v>
      </c>
      <c r="AD144" s="19" t="s">
        <v>54</v>
      </c>
      <c r="AE144" s="26" t="s">
        <v>36</v>
      </c>
      <c r="AF144" s="17">
        <v>45117</v>
      </c>
      <c r="AG144" s="26"/>
      <c r="AH144" s="26">
        <v>2</v>
      </c>
      <c r="AI144" s="40" t="s">
        <v>64</v>
      </c>
      <c r="AJ144" s="26"/>
      <c r="AK144" s="26"/>
      <c r="AL144" s="35"/>
      <c r="AM144" s="35"/>
      <c r="AN144" s="35"/>
      <c r="AO144" s="35"/>
      <c r="AP144" s="35"/>
    </row>
    <row r="145" spans="1:42" x14ac:dyDescent="0.2">
      <c r="A145" s="27">
        <v>45114.70860293982</v>
      </c>
      <c r="B145" s="28" t="s">
        <v>37</v>
      </c>
      <c r="C145" s="41" t="s">
        <v>118</v>
      </c>
      <c r="D145" s="26" t="s">
        <v>36</v>
      </c>
      <c r="E145" s="26" t="s">
        <v>915</v>
      </c>
      <c r="F145" s="26" t="s">
        <v>36</v>
      </c>
      <c r="G145" s="26" t="s">
        <v>221</v>
      </c>
      <c r="H145" s="26" t="s">
        <v>222</v>
      </c>
      <c r="I145" s="17">
        <f ca="1">IFERROR(__xludf.DUMMYFUNCTION("""COMPUTED_VALUE"""),45132)</f>
        <v>45132</v>
      </c>
      <c r="J145" s="29" t="s">
        <v>916</v>
      </c>
      <c r="K145" s="26" t="s">
        <v>917</v>
      </c>
      <c r="L145" s="30">
        <v>859089236</v>
      </c>
      <c r="M145" s="26" t="s">
        <v>123</v>
      </c>
      <c r="N145" s="26" t="s">
        <v>133</v>
      </c>
      <c r="O145" s="26" t="s">
        <v>134</v>
      </c>
      <c r="P145" s="26" t="s">
        <v>918</v>
      </c>
      <c r="Q145" s="20">
        <v>10894</v>
      </c>
      <c r="R145" s="26" t="s">
        <v>36</v>
      </c>
      <c r="S145" s="31">
        <v>4000</v>
      </c>
      <c r="T145" s="32">
        <v>45114</v>
      </c>
      <c r="U145" s="31">
        <v>6894</v>
      </c>
      <c r="V145" s="32">
        <v>45145</v>
      </c>
      <c r="W145" s="55" t="s">
        <v>919</v>
      </c>
      <c r="X145" s="26">
        <v>0</v>
      </c>
      <c r="Y145" s="22">
        <v>0</v>
      </c>
      <c r="Z145" s="34" t="s">
        <v>50</v>
      </c>
      <c r="AA145" s="19" t="s">
        <v>901</v>
      </c>
      <c r="AB145" s="26" t="s">
        <v>116</v>
      </c>
      <c r="AC145" s="26" t="s">
        <v>53</v>
      </c>
      <c r="AD145" s="19" t="s">
        <v>54</v>
      </c>
      <c r="AE145" s="26">
        <v>520</v>
      </c>
      <c r="AF145" s="17">
        <v>45117</v>
      </c>
      <c r="AG145" s="26"/>
      <c r="AH145" s="26">
        <v>1</v>
      </c>
      <c r="AI145" s="40">
        <v>3</v>
      </c>
      <c r="AJ145" s="26"/>
      <c r="AK145" s="26"/>
      <c r="AL145" s="35"/>
      <c r="AM145" s="35"/>
      <c r="AN145" s="35"/>
      <c r="AO145" s="35"/>
      <c r="AP145" s="35"/>
    </row>
    <row r="146" spans="1:42" x14ac:dyDescent="0.2">
      <c r="A146" s="27">
        <v>45116.267685266204</v>
      </c>
      <c r="B146" s="28" t="s">
        <v>37</v>
      </c>
      <c r="C146" s="41" t="s">
        <v>118</v>
      </c>
      <c r="D146" s="26" t="s">
        <v>36</v>
      </c>
      <c r="E146" s="26" t="s">
        <v>77</v>
      </c>
      <c r="F146" s="26" t="s">
        <v>36</v>
      </c>
      <c r="G146" s="26" t="s">
        <v>41</v>
      </c>
      <c r="H146" s="26" t="s">
        <v>178</v>
      </c>
      <c r="I146" s="17">
        <f ca="1">IFERROR(__xludf.DUMMYFUNCTION("""COMPUTED_VALUE"""),45121)</f>
        <v>45121</v>
      </c>
      <c r="J146" s="29" t="s">
        <v>920</v>
      </c>
      <c r="K146" s="26" t="s">
        <v>921</v>
      </c>
      <c r="L146" s="30">
        <v>334705606</v>
      </c>
      <c r="M146" s="26" t="s">
        <v>123</v>
      </c>
      <c r="N146" s="26" t="s">
        <v>151</v>
      </c>
      <c r="O146" s="26" t="s">
        <v>922</v>
      </c>
      <c r="P146" s="26" t="s">
        <v>923</v>
      </c>
      <c r="Q146" s="20">
        <v>1968</v>
      </c>
      <c r="R146" s="26" t="s">
        <v>36</v>
      </c>
      <c r="S146" s="31">
        <v>1968</v>
      </c>
      <c r="T146" s="32">
        <v>45115</v>
      </c>
      <c r="U146" s="31"/>
      <c r="V146" s="26"/>
      <c r="W146" s="33" t="s">
        <v>924</v>
      </c>
      <c r="X146" s="26">
        <v>0</v>
      </c>
      <c r="Y146" s="22">
        <v>0</v>
      </c>
      <c r="Z146" s="34" t="s">
        <v>50</v>
      </c>
      <c r="AA146" s="19" t="s">
        <v>901</v>
      </c>
      <c r="AB146" s="26" t="s">
        <v>104</v>
      </c>
      <c r="AC146" s="26" t="s">
        <v>53</v>
      </c>
      <c r="AD146" s="19" t="s">
        <v>54</v>
      </c>
      <c r="AE146" s="26" t="s">
        <v>72</v>
      </c>
      <c r="AF146" s="17">
        <v>45117</v>
      </c>
      <c r="AG146" s="26"/>
      <c r="AH146" s="26">
        <v>2</v>
      </c>
      <c r="AI146" s="40" t="s">
        <v>84</v>
      </c>
      <c r="AJ146" s="26"/>
      <c r="AK146" s="26"/>
      <c r="AL146" s="35"/>
      <c r="AM146" s="35"/>
      <c r="AN146" s="35"/>
      <c r="AO146" s="35"/>
      <c r="AP146" s="35"/>
    </row>
    <row r="147" spans="1:42" x14ac:dyDescent="0.2">
      <c r="A147" s="27">
        <v>45116.523580729168</v>
      </c>
      <c r="B147" s="28" t="s">
        <v>37</v>
      </c>
      <c r="C147" s="41" t="s">
        <v>118</v>
      </c>
      <c r="D147" s="26" t="s">
        <v>36</v>
      </c>
      <c r="E147" s="26" t="s">
        <v>119</v>
      </c>
      <c r="F147" s="26" t="s">
        <v>36</v>
      </c>
      <c r="G147" s="26" t="s">
        <v>108</v>
      </c>
      <c r="H147" s="26" t="s">
        <v>120</v>
      </c>
      <c r="I147" s="17">
        <f ca="1">IFERROR(__xludf.DUMMYFUNCTION("""COMPUTED_VALUE"""),45125)</f>
        <v>45125</v>
      </c>
      <c r="J147" s="29" t="s">
        <v>925</v>
      </c>
      <c r="K147" s="26" t="s">
        <v>926</v>
      </c>
      <c r="L147" s="30">
        <v>869510201</v>
      </c>
      <c r="M147" s="26" t="s">
        <v>80</v>
      </c>
      <c r="N147" s="26" t="s">
        <v>438</v>
      </c>
      <c r="O147" s="26" t="s">
        <v>927</v>
      </c>
      <c r="P147" s="26" t="s">
        <v>928</v>
      </c>
      <c r="Q147" s="20">
        <v>13968</v>
      </c>
      <c r="R147" s="26" t="s">
        <v>36</v>
      </c>
      <c r="S147" s="31">
        <v>4000</v>
      </c>
      <c r="T147" s="32">
        <v>45116</v>
      </c>
      <c r="U147" s="31">
        <v>9968</v>
      </c>
      <c r="V147" s="32" t="s">
        <v>929</v>
      </c>
      <c r="W147" s="33" t="s">
        <v>930</v>
      </c>
      <c r="X147" s="26">
        <v>0</v>
      </c>
      <c r="Y147" s="22">
        <v>0</v>
      </c>
      <c r="Z147" s="34" t="s">
        <v>50</v>
      </c>
      <c r="AA147" s="19" t="s">
        <v>901</v>
      </c>
      <c r="AB147" s="26" t="s">
        <v>128</v>
      </c>
      <c r="AC147" s="26" t="s">
        <v>53</v>
      </c>
      <c r="AD147" s="19" t="s">
        <v>54</v>
      </c>
      <c r="AE147" s="26">
        <v>400</v>
      </c>
      <c r="AF147" s="17">
        <v>45117</v>
      </c>
      <c r="AG147" s="26"/>
      <c r="AH147" s="26">
        <v>1</v>
      </c>
      <c r="AI147" s="40">
        <v>4</v>
      </c>
      <c r="AJ147" s="26"/>
      <c r="AK147" s="26"/>
      <c r="AL147" s="35"/>
      <c r="AM147" s="35"/>
      <c r="AN147" s="35"/>
      <c r="AO147" s="35"/>
      <c r="AP147" s="35"/>
    </row>
    <row r="148" spans="1:42" x14ac:dyDescent="0.2">
      <c r="A148" s="27">
        <v>45116.569108240743</v>
      </c>
      <c r="B148" s="28" t="s">
        <v>37</v>
      </c>
      <c r="C148" s="41" t="s">
        <v>118</v>
      </c>
      <c r="D148" s="26" t="s">
        <v>36</v>
      </c>
      <c r="E148" s="26" t="s">
        <v>77</v>
      </c>
      <c r="F148" s="26" t="s">
        <v>36</v>
      </c>
      <c r="G148" s="26" t="s">
        <v>41</v>
      </c>
      <c r="H148" s="26" t="s">
        <v>257</v>
      </c>
      <c r="I148" s="17">
        <f ca="1">IFERROR(__xludf.DUMMYFUNCTION("""COMPUTED_VALUE"""),45126)</f>
        <v>45126</v>
      </c>
      <c r="J148" s="29" t="s">
        <v>931</v>
      </c>
      <c r="K148" s="26" t="s">
        <v>932</v>
      </c>
      <c r="L148" s="30">
        <v>862228762</v>
      </c>
      <c r="M148" s="26" t="s">
        <v>123</v>
      </c>
      <c r="N148" s="26" t="s">
        <v>151</v>
      </c>
      <c r="O148" s="26" t="s">
        <v>933</v>
      </c>
      <c r="P148" s="26" t="s">
        <v>934</v>
      </c>
      <c r="Q148" s="20">
        <v>1968</v>
      </c>
      <c r="R148" s="26" t="s">
        <v>36</v>
      </c>
      <c r="S148" s="21">
        <v>2000</v>
      </c>
      <c r="T148" s="46">
        <v>45116</v>
      </c>
      <c r="U148" s="31"/>
      <c r="V148" s="26"/>
      <c r="W148" s="33" t="s">
        <v>935</v>
      </c>
      <c r="X148" s="26">
        <v>0</v>
      </c>
      <c r="Y148" s="22">
        <v>-32</v>
      </c>
      <c r="Z148" s="34" t="s">
        <v>50</v>
      </c>
      <c r="AA148" s="19" t="s">
        <v>901</v>
      </c>
      <c r="AB148" s="26" t="s">
        <v>104</v>
      </c>
      <c r="AC148" s="26" t="s">
        <v>53</v>
      </c>
      <c r="AD148" s="19" t="s">
        <v>54</v>
      </c>
      <c r="AE148" s="26">
        <v>0</v>
      </c>
      <c r="AF148" s="17">
        <v>45117</v>
      </c>
      <c r="AG148" s="26" t="s">
        <v>936</v>
      </c>
      <c r="AH148" s="26">
        <v>1</v>
      </c>
      <c r="AI148" s="40" t="s">
        <v>84</v>
      </c>
      <c r="AJ148" s="26"/>
      <c r="AK148" s="26"/>
      <c r="AL148" s="35"/>
      <c r="AM148" s="35"/>
      <c r="AN148" s="35"/>
      <c r="AO148" s="35"/>
      <c r="AP148" s="35"/>
    </row>
    <row r="149" spans="1:42" x14ac:dyDescent="0.2">
      <c r="A149" s="27">
        <v>45116.570676493051</v>
      </c>
      <c r="B149" s="28" t="s">
        <v>37</v>
      </c>
      <c r="C149" s="41" t="s">
        <v>118</v>
      </c>
      <c r="D149" s="26" t="s">
        <v>36</v>
      </c>
      <c r="E149" s="26" t="s">
        <v>139</v>
      </c>
      <c r="F149" s="26" t="s">
        <v>36</v>
      </c>
      <c r="G149" s="26" t="s">
        <v>41</v>
      </c>
      <c r="H149" s="26" t="s">
        <v>289</v>
      </c>
      <c r="I149" s="17">
        <f ca="1">IFERROR(__xludf.DUMMYFUNCTION("""COMPUTED_VALUE"""),45125)</f>
        <v>45125</v>
      </c>
      <c r="J149" s="29" t="s">
        <v>937</v>
      </c>
      <c r="K149" s="26" t="s">
        <v>938</v>
      </c>
      <c r="L149" s="30">
        <v>389029369</v>
      </c>
      <c r="M149" s="26" t="s">
        <v>123</v>
      </c>
      <c r="N149" s="26" t="s">
        <v>124</v>
      </c>
      <c r="O149" s="26" t="s">
        <v>134</v>
      </c>
      <c r="P149" s="26" t="s">
        <v>939</v>
      </c>
      <c r="Q149" s="20">
        <v>15936</v>
      </c>
      <c r="R149" s="26" t="s">
        <v>36</v>
      </c>
      <c r="S149" s="31">
        <v>2000</v>
      </c>
      <c r="T149" s="32">
        <v>45116</v>
      </c>
      <c r="U149" s="58">
        <v>13936</v>
      </c>
      <c r="V149" s="59">
        <v>45136</v>
      </c>
      <c r="W149" s="33" t="s">
        <v>940</v>
      </c>
      <c r="X149" s="26">
        <v>0</v>
      </c>
      <c r="Y149" s="22">
        <v>0</v>
      </c>
      <c r="Z149" s="34" t="s">
        <v>50</v>
      </c>
      <c r="AA149" s="19" t="s">
        <v>901</v>
      </c>
      <c r="AB149" s="26" t="s">
        <v>104</v>
      </c>
      <c r="AC149" s="26" t="s">
        <v>53</v>
      </c>
      <c r="AD149" s="19" t="s">
        <v>54</v>
      </c>
      <c r="AE149" s="26">
        <v>0</v>
      </c>
      <c r="AF149" s="17">
        <v>45117</v>
      </c>
      <c r="AG149" s="26"/>
      <c r="AH149" s="26">
        <v>2</v>
      </c>
      <c r="AI149" s="40" t="s">
        <v>147</v>
      </c>
      <c r="AJ149" s="26"/>
      <c r="AK149" s="26"/>
      <c r="AL149" s="35"/>
      <c r="AM149" s="35"/>
      <c r="AN149" s="35"/>
      <c r="AO149" s="35"/>
      <c r="AP149" s="35"/>
    </row>
    <row r="150" spans="1:42" x14ac:dyDescent="0.2">
      <c r="A150" s="27">
        <v>45116.571833263893</v>
      </c>
      <c r="B150" s="28" t="s">
        <v>37</v>
      </c>
      <c r="C150" s="41" t="s">
        <v>118</v>
      </c>
      <c r="D150" s="26" t="s">
        <v>36</v>
      </c>
      <c r="E150" s="26" t="s">
        <v>39</v>
      </c>
      <c r="F150" s="26" t="s">
        <v>36</v>
      </c>
      <c r="G150" s="26" t="s">
        <v>41</v>
      </c>
      <c r="H150" s="26" t="s">
        <v>257</v>
      </c>
      <c r="I150" s="17">
        <f ca="1">IFERROR(__xludf.DUMMYFUNCTION("""COMPUTED_VALUE"""),45126)</f>
        <v>45126</v>
      </c>
      <c r="J150" s="29" t="s">
        <v>941</v>
      </c>
      <c r="K150" s="26" t="s">
        <v>942</v>
      </c>
      <c r="L150" s="30">
        <v>856012088</v>
      </c>
      <c r="M150" s="26" t="s">
        <v>123</v>
      </c>
      <c r="N150" s="26" t="s">
        <v>151</v>
      </c>
      <c r="O150" s="26" t="s">
        <v>143</v>
      </c>
      <c r="P150" s="26" t="s">
        <v>943</v>
      </c>
      <c r="Q150" s="20">
        <v>5736</v>
      </c>
      <c r="R150" s="26" t="s">
        <v>36</v>
      </c>
      <c r="S150" s="31">
        <v>2000</v>
      </c>
      <c r="T150" s="32">
        <v>45116</v>
      </c>
      <c r="U150" s="31">
        <v>3736</v>
      </c>
      <c r="V150" s="32">
        <v>45140</v>
      </c>
      <c r="W150" s="33" t="s">
        <v>944</v>
      </c>
      <c r="X150" s="26">
        <v>0</v>
      </c>
      <c r="Y150" s="22">
        <v>0</v>
      </c>
      <c r="Z150" s="34" t="s">
        <v>50</v>
      </c>
      <c r="AA150" s="19" t="s">
        <v>901</v>
      </c>
      <c r="AB150" s="26" t="s">
        <v>104</v>
      </c>
      <c r="AC150" s="26" t="s">
        <v>53</v>
      </c>
      <c r="AD150" s="19" t="s">
        <v>54</v>
      </c>
      <c r="AE150" s="26">
        <v>0</v>
      </c>
      <c r="AF150" s="17">
        <v>45117</v>
      </c>
      <c r="AG150" s="26"/>
      <c r="AH150" s="26">
        <v>2</v>
      </c>
      <c r="AI150" s="40" t="s">
        <v>55</v>
      </c>
      <c r="AJ150" s="26"/>
      <c r="AK150" s="26"/>
      <c r="AL150" s="35"/>
      <c r="AM150" s="35"/>
      <c r="AN150" s="35"/>
      <c r="AO150" s="35"/>
      <c r="AP150" s="35"/>
    </row>
    <row r="151" spans="1:42" x14ac:dyDescent="0.2">
      <c r="A151" s="27">
        <v>45116.621635856485</v>
      </c>
      <c r="B151" s="28" t="s">
        <v>37</v>
      </c>
      <c r="C151" s="41" t="s">
        <v>118</v>
      </c>
      <c r="D151" s="26" t="s">
        <v>36</v>
      </c>
      <c r="E151" s="26" t="s">
        <v>39</v>
      </c>
      <c r="F151" s="26" t="s">
        <v>36</v>
      </c>
      <c r="G151" s="26" t="s">
        <v>41</v>
      </c>
      <c r="H151" s="26" t="s">
        <v>257</v>
      </c>
      <c r="I151" s="17">
        <f ca="1">IFERROR(__xludf.DUMMYFUNCTION("""COMPUTED_VALUE"""),45126)</f>
        <v>45126</v>
      </c>
      <c r="J151" s="29" t="s">
        <v>945</v>
      </c>
      <c r="K151" s="26" t="s">
        <v>946</v>
      </c>
      <c r="L151" s="30">
        <v>944020238</v>
      </c>
      <c r="M151" s="26" t="s">
        <v>123</v>
      </c>
      <c r="N151" s="26" t="s">
        <v>133</v>
      </c>
      <c r="O151" s="26" t="s">
        <v>134</v>
      </c>
      <c r="P151" s="26" t="s">
        <v>947</v>
      </c>
      <c r="Q151" s="20">
        <v>5736</v>
      </c>
      <c r="R151" s="26" t="s">
        <v>36</v>
      </c>
      <c r="S151" s="31">
        <v>2000</v>
      </c>
      <c r="T151" s="32">
        <v>45116</v>
      </c>
      <c r="U151" s="31">
        <v>3768</v>
      </c>
      <c r="V151" s="38">
        <v>45146</v>
      </c>
      <c r="W151" s="33" t="s">
        <v>948</v>
      </c>
      <c r="X151" s="26">
        <v>0</v>
      </c>
      <c r="Y151" s="22">
        <v>-32</v>
      </c>
      <c r="Z151" s="34" t="s">
        <v>50</v>
      </c>
      <c r="AA151" s="19" t="s">
        <v>901</v>
      </c>
      <c r="AB151" s="26" t="s">
        <v>104</v>
      </c>
      <c r="AC151" s="26" t="s">
        <v>53</v>
      </c>
      <c r="AD151" s="19" t="s">
        <v>54</v>
      </c>
      <c r="AE151" s="26">
        <v>0</v>
      </c>
      <c r="AF151" s="17">
        <v>45117</v>
      </c>
      <c r="AG151" s="26"/>
      <c r="AH151" s="26">
        <v>2</v>
      </c>
      <c r="AI151" s="40" t="s">
        <v>55</v>
      </c>
      <c r="AJ151" s="26"/>
      <c r="AK151" s="26"/>
      <c r="AL151" s="35"/>
      <c r="AM151" s="35"/>
      <c r="AN151" s="35"/>
      <c r="AO151" s="35"/>
      <c r="AP151" s="35"/>
    </row>
    <row r="152" spans="1:42" x14ac:dyDescent="0.2">
      <c r="A152" s="27">
        <v>45116.695345694447</v>
      </c>
      <c r="B152" s="28" t="s">
        <v>37</v>
      </c>
      <c r="C152" s="41" t="s">
        <v>118</v>
      </c>
      <c r="D152" s="26" t="s">
        <v>36</v>
      </c>
      <c r="E152" s="26" t="s">
        <v>119</v>
      </c>
      <c r="F152" s="26" t="s">
        <v>36</v>
      </c>
      <c r="G152" s="26" t="s">
        <v>108</v>
      </c>
      <c r="H152" s="26" t="s">
        <v>338</v>
      </c>
      <c r="I152" s="17">
        <f ca="1">IFERROR(__xludf.DUMMYFUNCTION("""COMPUTED_VALUE"""),45131)</f>
        <v>45131</v>
      </c>
      <c r="J152" s="29" t="s">
        <v>949</v>
      </c>
      <c r="K152" s="26" t="s">
        <v>950</v>
      </c>
      <c r="L152" s="30">
        <v>979716998</v>
      </c>
      <c r="M152" s="26" t="s">
        <v>80</v>
      </c>
      <c r="N152" s="26" t="s">
        <v>299</v>
      </c>
      <c r="O152" s="26" t="s">
        <v>951</v>
      </c>
      <c r="P152" s="26" t="s">
        <v>952</v>
      </c>
      <c r="Q152" s="20">
        <v>13968</v>
      </c>
      <c r="R152" s="26" t="s">
        <v>36</v>
      </c>
      <c r="S152" s="31">
        <v>4000</v>
      </c>
      <c r="T152" s="32">
        <v>45116</v>
      </c>
      <c r="U152" s="31">
        <v>9968</v>
      </c>
      <c r="V152" s="32">
        <v>45145</v>
      </c>
      <c r="W152" s="33" t="s">
        <v>953</v>
      </c>
      <c r="X152" s="26">
        <v>0</v>
      </c>
      <c r="Y152" s="22">
        <v>0</v>
      </c>
      <c r="Z152" s="34" t="s">
        <v>50</v>
      </c>
      <c r="AA152" s="19" t="s">
        <v>901</v>
      </c>
      <c r="AB152" s="26" t="s">
        <v>128</v>
      </c>
      <c r="AC152" s="26" t="s">
        <v>53</v>
      </c>
      <c r="AD152" s="19" t="s">
        <v>54</v>
      </c>
      <c r="AE152" s="26">
        <v>410</v>
      </c>
      <c r="AF152" s="17">
        <v>45122</v>
      </c>
      <c r="AG152" s="26"/>
      <c r="AH152" s="26">
        <v>1</v>
      </c>
      <c r="AI152" s="40">
        <v>4</v>
      </c>
      <c r="AJ152" s="26"/>
      <c r="AK152" s="26"/>
      <c r="AL152" s="35"/>
      <c r="AM152" s="35"/>
      <c r="AN152" s="35"/>
      <c r="AO152" s="35"/>
      <c r="AP152" s="35"/>
    </row>
    <row r="153" spans="1:42" x14ac:dyDescent="0.2">
      <c r="A153" s="27">
        <v>45117.321116203704</v>
      </c>
      <c r="B153" s="28" t="s">
        <v>37</v>
      </c>
      <c r="C153" s="41" t="s">
        <v>118</v>
      </c>
      <c r="D153" s="26" t="s">
        <v>36</v>
      </c>
      <c r="E153" s="26" t="s">
        <v>139</v>
      </c>
      <c r="F153" s="26" t="s">
        <v>36</v>
      </c>
      <c r="G153" s="26" t="s">
        <v>41</v>
      </c>
      <c r="H153" s="26" t="s">
        <v>289</v>
      </c>
      <c r="I153" s="17">
        <f ca="1">IFERROR(__xludf.DUMMYFUNCTION("""COMPUTED_VALUE"""),45125)</f>
        <v>45125</v>
      </c>
      <c r="J153" s="29" t="s">
        <v>954</v>
      </c>
      <c r="K153" s="26" t="s">
        <v>955</v>
      </c>
      <c r="L153" s="30">
        <v>388176025</v>
      </c>
      <c r="M153" s="26" t="s">
        <v>123</v>
      </c>
      <c r="N153" s="26" t="s">
        <v>142</v>
      </c>
      <c r="O153" s="26" t="s">
        <v>134</v>
      </c>
      <c r="P153" s="26" t="s">
        <v>956</v>
      </c>
      <c r="Q153" s="20">
        <v>15936</v>
      </c>
      <c r="R153" s="26" t="s">
        <v>36</v>
      </c>
      <c r="S153" s="31">
        <v>2000</v>
      </c>
      <c r="T153" s="32">
        <v>45117</v>
      </c>
      <c r="U153" s="58">
        <v>13936</v>
      </c>
      <c r="V153" s="59">
        <v>45142</v>
      </c>
      <c r="W153" s="33" t="s">
        <v>957</v>
      </c>
      <c r="X153" s="26">
        <v>0</v>
      </c>
      <c r="Y153" s="22">
        <v>0</v>
      </c>
      <c r="Z153" s="34" t="s">
        <v>50</v>
      </c>
      <c r="AA153" s="19" t="s">
        <v>901</v>
      </c>
      <c r="AB153" s="26" t="s">
        <v>104</v>
      </c>
      <c r="AC153" s="26" t="s">
        <v>53</v>
      </c>
      <c r="AD153" s="19" t="s">
        <v>54</v>
      </c>
      <c r="AE153" s="26" t="s">
        <v>72</v>
      </c>
      <c r="AF153" s="17">
        <v>45120</v>
      </c>
      <c r="AG153" s="26"/>
      <c r="AH153" s="26">
        <v>2</v>
      </c>
      <c r="AI153" s="40" t="s">
        <v>147</v>
      </c>
      <c r="AJ153" s="26"/>
      <c r="AK153" s="26"/>
      <c r="AL153" s="35"/>
      <c r="AM153" s="35"/>
      <c r="AN153" s="35"/>
      <c r="AO153" s="35"/>
      <c r="AP153" s="35"/>
    </row>
    <row r="154" spans="1:42" x14ac:dyDescent="0.2">
      <c r="A154" s="27">
        <v>45117.323669259262</v>
      </c>
      <c r="B154" s="28" t="s">
        <v>37</v>
      </c>
      <c r="C154" s="41" t="s">
        <v>118</v>
      </c>
      <c r="D154" s="26" t="s">
        <v>36</v>
      </c>
      <c r="E154" s="26" t="s">
        <v>56</v>
      </c>
      <c r="F154" s="26" t="s">
        <v>36</v>
      </c>
      <c r="G154" s="26" t="s">
        <v>41</v>
      </c>
      <c r="H154" s="26" t="s">
        <v>289</v>
      </c>
      <c r="I154" s="17">
        <f ca="1">IFERROR(__xludf.DUMMYFUNCTION("""COMPUTED_VALUE"""),45125)</f>
        <v>45125</v>
      </c>
      <c r="J154" s="29" t="s">
        <v>958</v>
      </c>
      <c r="K154" s="26" t="s">
        <v>959</v>
      </c>
      <c r="L154" s="30">
        <v>987583839</v>
      </c>
      <c r="M154" s="26" t="s">
        <v>123</v>
      </c>
      <c r="N154" s="26" t="s">
        <v>151</v>
      </c>
      <c r="O154" s="26" t="s">
        <v>125</v>
      </c>
      <c r="P154" s="26" t="s">
        <v>960</v>
      </c>
      <c r="Q154" s="20">
        <v>9317</v>
      </c>
      <c r="R154" s="26" t="s">
        <v>36</v>
      </c>
      <c r="S154" s="31">
        <v>2000</v>
      </c>
      <c r="T154" s="32">
        <v>45117</v>
      </c>
      <c r="U154" s="31">
        <v>7317</v>
      </c>
      <c r="V154" s="32">
        <v>45140</v>
      </c>
      <c r="W154" s="33" t="s">
        <v>961</v>
      </c>
      <c r="X154" s="26">
        <v>0</v>
      </c>
      <c r="Y154" s="22">
        <v>0</v>
      </c>
      <c r="Z154" s="34" t="s">
        <v>50</v>
      </c>
      <c r="AA154" s="19" t="s">
        <v>901</v>
      </c>
      <c r="AB154" s="26" t="s">
        <v>104</v>
      </c>
      <c r="AC154" s="26" t="s">
        <v>53</v>
      </c>
      <c r="AD154" s="19" t="s">
        <v>54</v>
      </c>
      <c r="AE154" s="26">
        <v>0</v>
      </c>
      <c r="AF154" s="17">
        <v>45120</v>
      </c>
      <c r="AG154" s="26"/>
      <c r="AH154" s="26">
        <v>3</v>
      </c>
      <c r="AI154" s="40" t="s">
        <v>64</v>
      </c>
      <c r="AJ154" s="26"/>
      <c r="AK154" s="26"/>
      <c r="AL154" s="35"/>
      <c r="AM154" s="35"/>
      <c r="AN154" s="35"/>
      <c r="AO154" s="35"/>
      <c r="AP154" s="35"/>
    </row>
    <row r="155" spans="1:42" x14ac:dyDescent="0.2">
      <c r="A155" s="27">
        <v>45117.616404953704</v>
      </c>
      <c r="B155" s="28" t="s">
        <v>37</v>
      </c>
      <c r="C155" s="41" t="s">
        <v>118</v>
      </c>
      <c r="D155" s="26" t="s">
        <v>36</v>
      </c>
      <c r="E155" s="26" t="s">
        <v>139</v>
      </c>
      <c r="F155" s="26" t="s">
        <v>36</v>
      </c>
      <c r="G155" s="26" t="s">
        <v>41</v>
      </c>
      <c r="H155" s="26" t="s">
        <v>257</v>
      </c>
      <c r="I155" s="17">
        <f ca="1">IFERROR(__xludf.DUMMYFUNCTION("""COMPUTED_VALUE"""),45126)</f>
        <v>45126</v>
      </c>
      <c r="J155" s="29" t="s">
        <v>962</v>
      </c>
      <c r="K155" s="26" t="s">
        <v>963</v>
      </c>
      <c r="L155" s="30">
        <v>564104314</v>
      </c>
      <c r="M155" s="26" t="s">
        <v>123</v>
      </c>
      <c r="N155" s="26" t="s">
        <v>207</v>
      </c>
      <c r="O155" s="26" t="s">
        <v>964</v>
      </c>
      <c r="P155" s="26" t="s">
        <v>965</v>
      </c>
      <c r="Q155" s="20">
        <v>15936</v>
      </c>
      <c r="R155" s="26" t="s">
        <v>36</v>
      </c>
      <c r="S155" s="31">
        <v>5000</v>
      </c>
      <c r="T155" s="32">
        <v>45117</v>
      </c>
      <c r="U155" s="58">
        <f>10930+6</f>
        <v>10936</v>
      </c>
      <c r="V155" s="26" t="s">
        <v>966</v>
      </c>
      <c r="W155" s="33" t="s">
        <v>967</v>
      </c>
      <c r="X155" s="26">
        <v>0</v>
      </c>
      <c r="Y155" s="22">
        <v>0</v>
      </c>
      <c r="Z155" s="34" t="s">
        <v>50</v>
      </c>
      <c r="AA155" s="19" t="s">
        <v>901</v>
      </c>
      <c r="AB155" s="26" t="s">
        <v>104</v>
      </c>
      <c r="AC155" s="26" t="s">
        <v>53</v>
      </c>
      <c r="AD155" s="19" t="s">
        <v>54</v>
      </c>
      <c r="AE155" s="26">
        <v>0</v>
      </c>
      <c r="AF155" s="17">
        <v>45120</v>
      </c>
      <c r="AG155" s="26"/>
      <c r="AH155" s="26">
        <v>1</v>
      </c>
      <c r="AI155" s="40" t="s">
        <v>147</v>
      </c>
      <c r="AJ155" s="26"/>
      <c r="AK155" s="26"/>
      <c r="AL155" s="35"/>
      <c r="AM155" s="35"/>
      <c r="AN155" s="35"/>
      <c r="AO155" s="35"/>
      <c r="AP155" s="35"/>
    </row>
    <row r="156" spans="1:42" x14ac:dyDescent="0.2">
      <c r="A156" s="27">
        <v>45117.678283958332</v>
      </c>
      <c r="B156" s="28" t="s">
        <v>37</v>
      </c>
      <c r="C156" s="41" t="s">
        <v>118</v>
      </c>
      <c r="D156" s="26" t="s">
        <v>36</v>
      </c>
      <c r="E156" s="26" t="s">
        <v>56</v>
      </c>
      <c r="F156" s="26" t="s">
        <v>36</v>
      </c>
      <c r="G156" s="26" t="s">
        <v>41</v>
      </c>
      <c r="H156" s="26" t="s">
        <v>257</v>
      </c>
      <c r="I156" s="17">
        <f ca="1">IFERROR(__xludf.DUMMYFUNCTION("""COMPUTED_VALUE"""),45126)</f>
        <v>45126</v>
      </c>
      <c r="J156" s="29" t="s">
        <v>968</v>
      </c>
      <c r="K156" s="26" t="s">
        <v>969</v>
      </c>
      <c r="L156" s="30">
        <v>964458478</v>
      </c>
      <c r="M156" s="26" t="s">
        <v>123</v>
      </c>
      <c r="N156" s="26" t="s">
        <v>151</v>
      </c>
      <c r="O156" s="26" t="s">
        <v>970</v>
      </c>
      <c r="P156" s="26" t="s">
        <v>971</v>
      </c>
      <c r="Q156" s="20">
        <v>9317</v>
      </c>
      <c r="R156" s="26" t="s">
        <v>36</v>
      </c>
      <c r="S156" s="31">
        <v>2000</v>
      </c>
      <c r="T156" s="32">
        <v>45117</v>
      </c>
      <c r="U156" s="31">
        <v>7350</v>
      </c>
      <c r="V156" s="32">
        <v>45148</v>
      </c>
      <c r="W156" s="33" t="s">
        <v>972</v>
      </c>
      <c r="X156" s="26">
        <v>0</v>
      </c>
      <c r="Y156" s="22">
        <v>-33</v>
      </c>
      <c r="Z156" s="34" t="s">
        <v>50</v>
      </c>
      <c r="AA156" s="19" t="s">
        <v>901</v>
      </c>
      <c r="AB156" s="26" t="s">
        <v>104</v>
      </c>
      <c r="AC156" s="26" t="s">
        <v>53</v>
      </c>
      <c r="AD156" s="19" t="s">
        <v>54</v>
      </c>
      <c r="AE156" s="26">
        <v>0</v>
      </c>
      <c r="AF156" s="17">
        <v>45120</v>
      </c>
      <c r="AG156" s="26" t="s">
        <v>936</v>
      </c>
      <c r="AH156" s="26">
        <v>2</v>
      </c>
      <c r="AI156" s="40" t="s">
        <v>64</v>
      </c>
      <c r="AJ156" s="26"/>
      <c r="AK156" s="26"/>
      <c r="AL156" s="35"/>
      <c r="AM156" s="35"/>
      <c r="AN156" s="35"/>
      <c r="AO156" s="35"/>
      <c r="AP156" s="35"/>
    </row>
    <row r="157" spans="1:42" x14ac:dyDescent="0.2">
      <c r="A157" s="27">
        <v>45118.390876041667</v>
      </c>
      <c r="B157" s="28" t="s">
        <v>37</v>
      </c>
      <c r="C157" s="41" t="s">
        <v>118</v>
      </c>
      <c r="D157" s="26" t="s">
        <v>36</v>
      </c>
      <c r="E157" s="26" t="s">
        <v>77</v>
      </c>
      <c r="F157" s="26" t="s">
        <v>36</v>
      </c>
      <c r="G157" s="26" t="s">
        <v>41</v>
      </c>
      <c r="H157" s="26" t="s">
        <v>388</v>
      </c>
      <c r="I157" s="17">
        <f ca="1">IFERROR(__xludf.DUMMYFUNCTION("""COMPUTED_VALUE"""),45127)</f>
        <v>45127</v>
      </c>
      <c r="J157" s="29" t="s">
        <v>973</v>
      </c>
      <c r="K157" s="26" t="s">
        <v>974</v>
      </c>
      <c r="L157" s="30">
        <v>394473090</v>
      </c>
      <c r="M157" s="26" t="s">
        <v>123</v>
      </c>
      <c r="N157" s="26" t="s">
        <v>151</v>
      </c>
      <c r="O157" s="26" t="s">
        <v>975</v>
      </c>
      <c r="P157" s="26" t="s">
        <v>976</v>
      </c>
      <c r="Q157" s="20">
        <v>1968</v>
      </c>
      <c r="R157" s="26" t="s">
        <v>36</v>
      </c>
      <c r="S157" s="31">
        <v>1968</v>
      </c>
      <c r="T157" s="32">
        <v>45118</v>
      </c>
      <c r="U157" s="31"/>
      <c r="V157" s="16" t="s">
        <v>977</v>
      </c>
      <c r="W157" s="33" t="s">
        <v>978</v>
      </c>
      <c r="X157" s="26">
        <v>0</v>
      </c>
      <c r="Y157" s="22">
        <v>0</v>
      </c>
      <c r="Z157" s="34" t="s">
        <v>50</v>
      </c>
      <c r="AA157" s="19" t="s">
        <v>901</v>
      </c>
      <c r="AB157" s="26" t="s">
        <v>104</v>
      </c>
      <c r="AC157" s="26" t="s">
        <v>53</v>
      </c>
      <c r="AD157" s="19" t="s">
        <v>54</v>
      </c>
      <c r="AE157" s="26">
        <v>0</v>
      </c>
      <c r="AF157" s="17">
        <v>45120</v>
      </c>
      <c r="AG157" s="26"/>
      <c r="AH157" s="26">
        <v>2</v>
      </c>
      <c r="AI157" s="40" t="s">
        <v>84</v>
      </c>
      <c r="AJ157" s="26"/>
      <c r="AK157" s="26"/>
      <c r="AL157" s="35"/>
      <c r="AM157" s="35"/>
      <c r="AN157" s="35"/>
      <c r="AO157" s="35"/>
      <c r="AP157" s="35"/>
    </row>
    <row r="158" spans="1:42" x14ac:dyDescent="0.2">
      <c r="A158" s="27">
        <v>45119.147364004632</v>
      </c>
      <c r="B158" s="28" t="s">
        <v>37</v>
      </c>
      <c r="C158" s="41" t="s">
        <v>118</v>
      </c>
      <c r="D158" s="26" t="s">
        <v>36</v>
      </c>
      <c r="E158" s="26" t="s">
        <v>119</v>
      </c>
      <c r="F158" s="26" t="s">
        <v>36</v>
      </c>
      <c r="G158" s="26" t="s">
        <v>108</v>
      </c>
      <c r="H158" s="26" t="s">
        <v>324</v>
      </c>
      <c r="I158" s="17">
        <f ca="1">IFERROR(__xludf.DUMMYFUNCTION("""COMPUTED_VALUE"""),45124)</f>
        <v>45124</v>
      </c>
      <c r="J158" s="29" t="s">
        <v>979</v>
      </c>
      <c r="K158" s="26" t="s">
        <v>980</v>
      </c>
      <c r="L158" s="30">
        <v>918498353</v>
      </c>
      <c r="M158" s="26" t="s">
        <v>123</v>
      </c>
      <c r="N158" s="26" t="s">
        <v>151</v>
      </c>
      <c r="O158" s="26" t="s">
        <v>981</v>
      </c>
      <c r="P158" s="26" t="s">
        <v>982</v>
      </c>
      <c r="Q158" s="20">
        <v>13968</v>
      </c>
      <c r="R158" s="26" t="s">
        <v>36</v>
      </c>
      <c r="S158" s="31">
        <v>2000</v>
      </c>
      <c r="T158" s="32">
        <v>45119</v>
      </c>
      <c r="U158" s="31">
        <f>2000+9968</f>
        <v>11968</v>
      </c>
      <c r="V158" s="26" t="s">
        <v>983</v>
      </c>
      <c r="W158" s="33" t="s">
        <v>984</v>
      </c>
      <c r="X158" s="26">
        <v>0</v>
      </c>
      <c r="Y158" s="22">
        <v>0</v>
      </c>
      <c r="Z158" s="34" t="s">
        <v>50</v>
      </c>
      <c r="AA158" s="19" t="s">
        <v>901</v>
      </c>
      <c r="AB158" s="26" t="s">
        <v>116</v>
      </c>
      <c r="AC158" s="26" t="s">
        <v>53</v>
      </c>
      <c r="AD158" s="19" t="s">
        <v>54</v>
      </c>
      <c r="AE158" s="26">
        <v>430</v>
      </c>
      <c r="AF158" s="17">
        <v>45126</v>
      </c>
      <c r="AG158" s="42" t="s">
        <v>985</v>
      </c>
      <c r="AH158" s="26">
        <v>1</v>
      </c>
      <c r="AI158" s="40">
        <v>4</v>
      </c>
      <c r="AJ158" s="26"/>
      <c r="AK158" s="26"/>
      <c r="AL158" s="35"/>
      <c r="AM158" s="35"/>
      <c r="AN158" s="35"/>
      <c r="AO158" s="35"/>
      <c r="AP158" s="35"/>
    </row>
    <row r="159" spans="1:42" x14ac:dyDescent="0.2">
      <c r="A159" s="27">
        <v>45119.621899201389</v>
      </c>
      <c r="B159" s="28" t="s">
        <v>37</v>
      </c>
      <c r="C159" s="41" t="s">
        <v>118</v>
      </c>
      <c r="D159" s="26" t="s">
        <v>36</v>
      </c>
      <c r="E159" s="26" t="s">
        <v>56</v>
      </c>
      <c r="F159" s="26" t="s">
        <v>36</v>
      </c>
      <c r="G159" s="26" t="s">
        <v>41</v>
      </c>
      <c r="H159" s="26" t="s">
        <v>345</v>
      </c>
      <c r="I159" s="17">
        <f ca="1">IFERROR(__xludf.DUMMYFUNCTION("""COMPUTED_VALUE"""),45127)</f>
        <v>45127</v>
      </c>
      <c r="J159" s="29" t="s">
        <v>986</v>
      </c>
      <c r="K159" s="26" t="s">
        <v>987</v>
      </c>
      <c r="L159" s="30">
        <v>326120501</v>
      </c>
      <c r="M159" s="26" t="s">
        <v>80</v>
      </c>
      <c r="N159" s="26" t="s">
        <v>299</v>
      </c>
      <c r="O159" s="26" t="s">
        <v>988</v>
      </c>
      <c r="P159" s="26" t="s">
        <v>989</v>
      </c>
      <c r="Q159" s="20">
        <v>9317</v>
      </c>
      <c r="R159" s="26" t="s">
        <v>36</v>
      </c>
      <c r="S159" s="31">
        <v>2000</v>
      </c>
      <c r="T159" s="32">
        <v>45119</v>
      </c>
      <c r="U159" s="31">
        <v>7317</v>
      </c>
      <c r="V159" s="32">
        <v>45147</v>
      </c>
      <c r="W159" s="33" t="s">
        <v>990</v>
      </c>
      <c r="X159" s="26">
        <v>0</v>
      </c>
      <c r="Y159" s="22">
        <v>0</v>
      </c>
      <c r="Z159" s="34" t="s">
        <v>50</v>
      </c>
      <c r="AA159" s="19" t="s">
        <v>901</v>
      </c>
      <c r="AB159" s="26" t="s">
        <v>104</v>
      </c>
      <c r="AC159" s="26" t="s">
        <v>53</v>
      </c>
      <c r="AD159" s="19" t="s">
        <v>54</v>
      </c>
      <c r="AE159" s="26" t="s">
        <v>72</v>
      </c>
      <c r="AF159" s="17">
        <v>45120</v>
      </c>
      <c r="AG159" s="26"/>
      <c r="AH159" s="26">
        <v>1</v>
      </c>
      <c r="AI159" s="40" t="s">
        <v>64</v>
      </c>
      <c r="AJ159" s="26"/>
      <c r="AK159" s="26"/>
      <c r="AL159" s="35"/>
      <c r="AM159" s="35"/>
      <c r="AN159" s="35"/>
      <c r="AO159" s="35"/>
      <c r="AP159" s="35"/>
    </row>
    <row r="160" spans="1:42" x14ac:dyDescent="0.2">
      <c r="A160" s="27">
        <v>45119.67692726852</v>
      </c>
      <c r="B160" s="28" t="s">
        <v>37</v>
      </c>
      <c r="C160" s="41" t="s">
        <v>118</v>
      </c>
      <c r="D160" s="26" t="s">
        <v>36</v>
      </c>
      <c r="E160" s="26" t="s">
        <v>148</v>
      </c>
      <c r="F160" s="26" t="s">
        <v>36</v>
      </c>
      <c r="G160" s="26" t="s">
        <v>108</v>
      </c>
      <c r="H160" s="26" t="s">
        <v>324</v>
      </c>
      <c r="I160" s="17">
        <f ca="1">IFERROR(__xludf.DUMMYFUNCTION("""COMPUTED_VALUE"""),45124)</f>
        <v>45124</v>
      </c>
      <c r="J160" s="29" t="s">
        <v>991</v>
      </c>
      <c r="K160" s="26" t="s">
        <v>992</v>
      </c>
      <c r="L160" s="30">
        <v>379032845</v>
      </c>
      <c r="M160" s="26" t="s">
        <v>80</v>
      </c>
      <c r="N160" s="26" t="s">
        <v>466</v>
      </c>
      <c r="O160" s="26" t="s">
        <v>993</v>
      </c>
      <c r="P160" s="26" t="s">
        <v>994</v>
      </c>
      <c r="Q160" s="20">
        <v>7349</v>
      </c>
      <c r="R160" s="26" t="s">
        <v>36</v>
      </c>
      <c r="S160" s="31">
        <v>4000</v>
      </c>
      <c r="T160" s="32">
        <v>45119</v>
      </c>
      <c r="U160" s="31">
        <v>3349</v>
      </c>
      <c r="V160" s="32">
        <v>45164</v>
      </c>
      <c r="W160" s="33" t="s">
        <v>995</v>
      </c>
      <c r="X160" s="26">
        <v>0</v>
      </c>
      <c r="Y160" s="22">
        <v>0</v>
      </c>
      <c r="Z160" s="34" t="s">
        <v>50</v>
      </c>
      <c r="AA160" s="19" t="s">
        <v>901</v>
      </c>
      <c r="AB160" s="26" t="s">
        <v>128</v>
      </c>
      <c r="AC160" s="26" t="s">
        <v>53</v>
      </c>
      <c r="AD160" s="19" t="s">
        <v>54</v>
      </c>
      <c r="AE160" s="26">
        <v>400</v>
      </c>
      <c r="AF160" s="17">
        <v>45120</v>
      </c>
      <c r="AG160" s="26"/>
      <c r="AH160" s="26">
        <v>1</v>
      </c>
      <c r="AI160" s="40">
        <v>2</v>
      </c>
      <c r="AJ160" s="26"/>
      <c r="AK160" s="26"/>
      <c r="AL160" s="35"/>
      <c r="AM160" s="35"/>
      <c r="AN160" s="35"/>
      <c r="AO160" s="35"/>
      <c r="AP160" s="35"/>
    </row>
    <row r="161" spans="1:42" x14ac:dyDescent="0.2">
      <c r="A161" s="27">
        <v>45120.31502819444</v>
      </c>
      <c r="B161" s="28" t="s">
        <v>37</v>
      </c>
      <c r="C161" s="41" t="s">
        <v>118</v>
      </c>
      <c r="D161" s="26" t="s">
        <v>36</v>
      </c>
      <c r="E161" s="26" t="s">
        <v>139</v>
      </c>
      <c r="F161" s="26" t="s">
        <v>40</v>
      </c>
      <c r="G161" s="26" t="s">
        <v>41</v>
      </c>
      <c r="H161" s="26" t="s">
        <v>345</v>
      </c>
      <c r="I161" s="17">
        <f ca="1">IFERROR(__xludf.DUMMYFUNCTION("""COMPUTED_VALUE"""),45127)</f>
        <v>45127</v>
      </c>
      <c r="J161" s="29" t="s">
        <v>996</v>
      </c>
      <c r="K161" s="26" t="s">
        <v>997</v>
      </c>
      <c r="L161" s="30">
        <v>372627914</v>
      </c>
      <c r="M161" s="26" t="s">
        <v>59</v>
      </c>
      <c r="N161" s="26" t="s">
        <v>60</v>
      </c>
      <c r="O161" s="26" t="s">
        <v>998</v>
      </c>
      <c r="P161" s="26" t="s">
        <v>999</v>
      </c>
      <c r="Q161" s="20">
        <v>15936</v>
      </c>
      <c r="R161" s="26" t="s">
        <v>36</v>
      </c>
      <c r="S161" s="31">
        <v>7000</v>
      </c>
      <c r="T161" s="32">
        <v>45118</v>
      </c>
      <c r="U161" s="31">
        <v>8936</v>
      </c>
      <c r="V161" s="32">
        <v>45152</v>
      </c>
      <c r="W161" s="33" t="s">
        <v>1000</v>
      </c>
      <c r="X161" s="26">
        <v>0</v>
      </c>
      <c r="Y161" s="22">
        <v>0</v>
      </c>
      <c r="Z161" s="34" t="s">
        <v>50</v>
      </c>
      <c r="AA161" s="19" t="s">
        <v>901</v>
      </c>
      <c r="AB161" s="26" t="s">
        <v>104</v>
      </c>
      <c r="AC161" s="26" t="s">
        <v>53</v>
      </c>
      <c r="AD161" s="19" t="s">
        <v>54</v>
      </c>
      <c r="AE161" s="26" t="s">
        <v>72</v>
      </c>
      <c r="AF161" s="17">
        <v>45120</v>
      </c>
      <c r="AG161" s="26"/>
      <c r="AH161" s="26">
        <v>1</v>
      </c>
      <c r="AI161" s="40" t="s">
        <v>147</v>
      </c>
      <c r="AJ161" s="26"/>
      <c r="AK161" s="26"/>
      <c r="AL161" s="35"/>
      <c r="AM161" s="35"/>
      <c r="AN161" s="35"/>
      <c r="AO161" s="35"/>
      <c r="AP161" s="35"/>
    </row>
    <row r="162" spans="1:42" x14ac:dyDescent="0.2">
      <c r="A162" s="27">
        <v>45120.327920509255</v>
      </c>
      <c r="B162" s="28" t="s">
        <v>37</v>
      </c>
      <c r="C162" s="41" t="s">
        <v>118</v>
      </c>
      <c r="D162" s="26" t="s">
        <v>36</v>
      </c>
      <c r="E162" s="26" t="s">
        <v>39</v>
      </c>
      <c r="F162" s="26" t="s">
        <v>36</v>
      </c>
      <c r="G162" s="26" t="s">
        <v>41</v>
      </c>
      <c r="H162" s="26" t="s">
        <v>388</v>
      </c>
      <c r="I162" s="17">
        <f ca="1">IFERROR(__xludf.DUMMYFUNCTION("""COMPUTED_VALUE"""),45127)</f>
        <v>45127</v>
      </c>
      <c r="J162" s="29" t="s">
        <v>1001</v>
      </c>
      <c r="K162" s="26" t="s">
        <v>1002</v>
      </c>
      <c r="L162" s="30">
        <v>982199502</v>
      </c>
      <c r="M162" s="26" t="s">
        <v>80</v>
      </c>
      <c r="N162" s="26" t="s">
        <v>299</v>
      </c>
      <c r="O162" s="26" t="s">
        <v>1003</v>
      </c>
      <c r="P162" s="26" t="s">
        <v>1004</v>
      </c>
      <c r="Q162" s="20">
        <v>5736</v>
      </c>
      <c r="R162" s="26" t="s">
        <v>36</v>
      </c>
      <c r="S162" s="31">
        <v>2000</v>
      </c>
      <c r="T162" s="32">
        <v>45120</v>
      </c>
      <c r="U162" s="31">
        <v>3736</v>
      </c>
      <c r="V162" s="32">
        <v>45139</v>
      </c>
      <c r="W162" s="33" t="s">
        <v>1005</v>
      </c>
      <c r="X162" s="26">
        <v>0</v>
      </c>
      <c r="Y162" s="22">
        <v>0</v>
      </c>
      <c r="Z162" s="34" t="s">
        <v>50</v>
      </c>
      <c r="AA162" s="19" t="s">
        <v>901</v>
      </c>
      <c r="AB162" s="26" t="s">
        <v>104</v>
      </c>
      <c r="AC162" s="26" t="s">
        <v>53</v>
      </c>
      <c r="AD162" s="19" t="s">
        <v>54</v>
      </c>
      <c r="AE162" s="26" t="s">
        <v>72</v>
      </c>
      <c r="AF162" s="17">
        <v>45120</v>
      </c>
      <c r="AG162" s="26"/>
      <c r="AH162" s="26">
        <v>2</v>
      </c>
      <c r="AI162" s="40" t="s">
        <v>55</v>
      </c>
      <c r="AJ162" s="26"/>
      <c r="AK162" s="26"/>
      <c r="AL162" s="35"/>
      <c r="AM162" s="35"/>
      <c r="AN162" s="35"/>
      <c r="AO162" s="35"/>
      <c r="AP162" s="35"/>
    </row>
    <row r="163" spans="1:42" x14ac:dyDescent="0.2">
      <c r="A163" s="27">
        <v>45120.604046099535</v>
      </c>
      <c r="B163" s="28" t="s">
        <v>37</v>
      </c>
      <c r="C163" s="41" t="s">
        <v>118</v>
      </c>
      <c r="D163" s="26" t="s">
        <v>36</v>
      </c>
      <c r="E163" s="26" t="s">
        <v>77</v>
      </c>
      <c r="F163" s="26" t="s">
        <v>36</v>
      </c>
      <c r="G163" s="26" t="s">
        <v>41</v>
      </c>
      <c r="H163" s="26" t="s">
        <v>345</v>
      </c>
      <c r="I163" s="17">
        <f ca="1">IFERROR(__xludf.DUMMYFUNCTION("""COMPUTED_VALUE"""),45127)</f>
        <v>45127</v>
      </c>
      <c r="J163" s="29" t="s">
        <v>1006</v>
      </c>
      <c r="K163" s="26" t="s">
        <v>1007</v>
      </c>
      <c r="L163" s="30">
        <v>859144338</v>
      </c>
      <c r="M163" s="26" t="s">
        <v>123</v>
      </c>
      <c r="N163" s="26" t="s">
        <v>133</v>
      </c>
      <c r="O163" s="26" t="s">
        <v>1008</v>
      </c>
      <c r="P163" s="26" t="s">
        <v>1009</v>
      </c>
      <c r="Q163" s="20">
        <v>1968</v>
      </c>
      <c r="R163" s="26" t="s">
        <v>36</v>
      </c>
      <c r="S163" s="31">
        <v>2000</v>
      </c>
      <c r="T163" s="32">
        <v>45120</v>
      </c>
      <c r="U163" s="31"/>
      <c r="V163" s="26"/>
      <c r="W163" s="33" t="s">
        <v>1010</v>
      </c>
      <c r="X163" s="26">
        <v>0</v>
      </c>
      <c r="Y163" s="22">
        <v>-32</v>
      </c>
      <c r="Z163" s="34" t="s">
        <v>50</v>
      </c>
      <c r="AA163" s="19" t="s">
        <v>901</v>
      </c>
      <c r="AB163" s="26" t="s">
        <v>104</v>
      </c>
      <c r="AC163" s="26" t="s">
        <v>53</v>
      </c>
      <c r="AD163" s="19" t="s">
        <v>54</v>
      </c>
      <c r="AE163" s="26" t="s">
        <v>72</v>
      </c>
      <c r="AF163" s="17">
        <v>45122</v>
      </c>
      <c r="AG163" s="26" t="s">
        <v>936</v>
      </c>
      <c r="AH163" s="26">
        <v>1</v>
      </c>
      <c r="AI163" s="40" t="s">
        <v>84</v>
      </c>
      <c r="AJ163" s="26"/>
      <c r="AK163" s="26"/>
      <c r="AL163" s="35"/>
      <c r="AM163" s="35"/>
      <c r="AN163" s="35"/>
      <c r="AO163" s="35"/>
      <c r="AP163" s="35"/>
    </row>
    <row r="164" spans="1:42" x14ac:dyDescent="0.2">
      <c r="A164" s="27">
        <v>45120.675553969908</v>
      </c>
      <c r="B164" s="28" t="s">
        <v>37</v>
      </c>
      <c r="C164" s="41" t="s">
        <v>118</v>
      </c>
      <c r="D164" s="26" t="s">
        <v>36</v>
      </c>
      <c r="E164" s="26" t="s">
        <v>39</v>
      </c>
      <c r="F164" s="26" t="s">
        <v>36</v>
      </c>
      <c r="G164" s="26" t="s">
        <v>41</v>
      </c>
      <c r="H164" s="26" t="s">
        <v>345</v>
      </c>
      <c r="I164" s="17">
        <f ca="1">IFERROR(__xludf.DUMMYFUNCTION("""COMPUTED_VALUE"""),45127)</f>
        <v>45127</v>
      </c>
      <c r="J164" s="29" t="s">
        <v>1011</v>
      </c>
      <c r="K164" s="26" t="s">
        <v>1012</v>
      </c>
      <c r="L164" s="30">
        <v>943904287</v>
      </c>
      <c r="M164" s="26" t="s">
        <v>123</v>
      </c>
      <c r="N164" s="26" t="s">
        <v>151</v>
      </c>
      <c r="O164" s="26" t="s">
        <v>1013</v>
      </c>
      <c r="P164" s="26" t="s">
        <v>1014</v>
      </c>
      <c r="Q164" s="20">
        <v>5736</v>
      </c>
      <c r="R164" s="26" t="s">
        <v>36</v>
      </c>
      <c r="S164" s="31">
        <v>2068</v>
      </c>
      <c r="T164" s="32">
        <v>45120</v>
      </c>
      <c r="U164" s="31">
        <v>3668</v>
      </c>
      <c r="V164" s="38">
        <v>45147</v>
      </c>
      <c r="W164" s="55" t="s">
        <v>1015</v>
      </c>
      <c r="X164" s="26">
        <v>0</v>
      </c>
      <c r="Y164" s="22">
        <v>0</v>
      </c>
      <c r="Z164" s="34" t="s">
        <v>50</v>
      </c>
      <c r="AA164" s="19" t="s">
        <v>901</v>
      </c>
      <c r="AB164" s="26" t="s">
        <v>104</v>
      </c>
      <c r="AC164" s="26" t="s">
        <v>53</v>
      </c>
      <c r="AD164" s="19" t="s">
        <v>54</v>
      </c>
      <c r="AE164" s="26">
        <v>0</v>
      </c>
      <c r="AF164" s="17">
        <v>45122</v>
      </c>
      <c r="AG164" s="26"/>
      <c r="AH164" s="26">
        <v>2</v>
      </c>
      <c r="AI164" s="40" t="s">
        <v>55</v>
      </c>
      <c r="AJ164" s="26"/>
      <c r="AK164" s="26"/>
      <c r="AL164" s="35"/>
      <c r="AM164" s="35"/>
      <c r="AN164" s="35"/>
      <c r="AO164" s="35"/>
      <c r="AP164" s="35"/>
    </row>
    <row r="165" spans="1:42" x14ac:dyDescent="0.2">
      <c r="A165" s="27">
        <v>45121.153717511574</v>
      </c>
      <c r="B165" s="28" t="s">
        <v>37</v>
      </c>
      <c r="C165" s="41" t="s">
        <v>118</v>
      </c>
      <c r="D165" s="26" t="s">
        <v>36</v>
      </c>
      <c r="E165" s="26" t="s">
        <v>77</v>
      </c>
      <c r="F165" s="26" t="s">
        <v>36</v>
      </c>
      <c r="G165" s="26" t="s">
        <v>41</v>
      </c>
      <c r="H165" s="26" t="s">
        <v>1016</v>
      </c>
      <c r="I165" s="17" t="str">
        <f ca="1">IFERROR(__xludf.DUMMYFUNCTION("""COMPUTED_VALUE""")," ")</f>
        <v xml:space="preserve"> </v>
      </c>
      <c r="J165" s="29" t="s">
        <v>1017</v>
      </c>
      <c r="K165" s="26" t="s">
        <v>1018</v>
      </c>
      <c r="L165" s="30">
        <v>845001105</v>
      </c>
      <c r="M165" s="26" t="s">
        <v>80</v>
      </c>
      <c r="N165" s="26" t="s">
        <v>466</v>
      </c>
      <c r="O165" s="26" t="s">
        <v>1019</v>
      </c>
      <c r="P165" s="26" t="s">
        <v>1020</v>
      </c>
      <c r="Q165" s="20">
        <v>1968</v>
      </c>
      <c r="R165" s="26" t="s">
        <v>36</v>
      </c>
      <c r="S165" s="31">
        <v>2000</v>
      </c>
      <c r="T165" s="32">
        <v>45121</v>
      </c>
      <c r="U165" s="31"/>
      <c r="V165" s="26"/>
      <c r="W165" s="33" t="s">
        <v>1021</v>
      </c>
      <c r="X165" s="26">
        <v>0</v>
      </c>
      <c r="Y165" s="22">
        <v>-32</v>
      </c>
      <c r="Z165" s="34" t="s">
        <v>50</v>
      </c>
      <c r="AA165" s="19" t="s">
        <v>901</v>
      </c>
      <c r="AB165" s="26" t="s">
        <v>104</v>
      </c>
      <c r="AC165" s="26" t="s">
        <v>53</v>
      </c>
      <c r="AD165" s="19" t="s">
        <v>54</v>
      </c>
      <c r="AE165" s="26" t="s">
        <v>72</v>
      </c>
      <c r="AF165" s="17">
        <v>45122</v>
      </c>
      <c r="AG165" s="26" t="s">
        <v>1022</v>
      </c>
      <c r="AH165" s="26">
        <v>1</v>
      </c>
      <c r="AI165" s="40" t="s">
        <v>84</v>
      </c>
      <c r="AJ165" s="26"/>
      <c r="AK165" s="26"/>
      <c r="AL165" s="35"/>
      <c r="AM165" s="35"/>
      <c r="AN165" s="35"/>
      <c r="AO165" s="35"/>
      <c r="AP165" s="35"/>
    </row>
    <row r="166" spans="1:42" x14ac:dyDescent="0.2">
      <c r="A166" s="27">
        <v>45121.264756099539</v>
      </c>
      <c r="B166" s="28" t="s">
        <v>37</v>
      </c>
      <c r="C166" s="41" t="s">
        <v>118</v>
      </c>
      <c r="D166" s="26" t="s">
        <v>36</v>
      </c>
      <c r="E166" s="26" t="s">
        <v>39</v>
      </c>
      <c r="F166" s="26" t="s">
        <v>36</v>
      </c>
      <c r="G166" s="26" t="s">
        <v>41</v>
      </c>
      <c r="H166" s="26" t="s">
        <v>388</v>
      </c>
      <c r="I166" s="17">
        <f ca="1">IFERROR(__xludf.DUMMYFUNCTION("""COMPUTED_VALUE"""),45127)</f>
        <v>45127</v>
      </c>
      <c r="J166" s="29" t="s">
        <v>1023</v>
      </c>
      <c r="K166" s="26" t="s">
        <v>1024</v>
      </c>
      <c r="L166" s="30">
        <v>346917938</v>
      </c>
      <c r="M166" s="26" t="s">
        <v>123</v>
      </c>
      <c r="N166" s="26" t="s">
        <v>151</v>
      </c>
      <c r="O166" s="26" t="s">
        <v>1025</v>
      </c>
      <c r="P166" s="26" t="s">
        <v>1026</v>
      </c>
      <c r="Q166" s="20">
        <v>5736</v>
      </c>
      <c r="R166" s="26" t="s">
        <v>36</v>
      </c>
      <c r="S166" s="31">
        <v>536</v>
      </c>
      <c r="T166" s="32">
        <v>45116</v>
      </c>
      <c r="U166" s="21">
        <v>5200</v>
      </c>
      <c r="V166" s="26" t="s">
        <v>1027</v>
      </c>
      <c r="W166" s="26" t="s">
        <v>1028</v>
      </c>
      <c r="X166" s="26">
        <v>0</v>
      </c>
      <c r="Y166" s="22">
        <v>0</v>
      </c>
      <c r="Z166" s="34" t="s">
        <v>50</v>
      </c>
      <c r="AA166" s="19" t="s">
        <v>901</v>
      </c>
      <c r="AB166" s="26" t="s">
        <v>104</v>
      </c>
      <c r="AC166" s="26" t="s">
        <v>53</v>
      </c>
      <c r="AD166" s="19" t="s">
        <v>54</v>
      </c>
      <c r="AE166" s="26">
        <v>0</v>
      </c>
      <c r="AF166" s="17">
        <v>45122</v>
      </c>
      <c r="AG166" s="26"/>
      <c r="AH166" s="26">
        <v>2</v>
      </c>
      <c r="AI166" s="40" t="s">
        <v>55</v>
      </c>
      <c r="AJ166" s="26"/>
      <c r="AK166" s="26"/>
      <c r="AL166" s="35"/>
      <c r="AM166" s="35"/>
      <c r="AN166" s="35"/>
      <c r="AO166" s="35"/>
      <c r="AP166" s="35"/>
    </row>
    <row r="167" spans="1:42" x14ac:dyDescent="0.2">
      <c r="A167" s="27">
        <v>45121.628325601851</v>
      </c>
      <c r="B167" s="28" t="s">
        <v>37</v>
      </c>
      <c r="C167" s="41" t="s">
        <v>118</v>
      </c>
      <c r="D167" s="26" t="s">
        <v>36</v>
      </c>
      <c r="E167" s="26" t="s">
        <v>119</v>
      </c>
      <c r="F167" s="26" t="s">
        <v>36</v>
      </c>
      <c r="G167" s="26" t="s">
        <v>108</v>
      </c>
      <c r="H167" s="26" t="s">
        <v>324</v>
      </c>
      <c r="I167" s="17">
        <f ca="1">IFERROR(__xludf.DUMMYFUNCTION("""COMPUTED_VALUE"""),45124)</f>
        <v>45124</v>
      </c>
      <c r="J167" s="29" t="s">
        <v>1029</v>
      </c>
      <c r="K167" s="26" t="s">
        <v>1030</v>
      </c>
      <c r="L167" s="30">
        <v>984718447</v>
      </c>
      <c r="M167" s="26" t="s">
        <v>80</v>
      </c>
      <c r="N167" s="26" t="s">
        <v>253</v>
      </c>
      <c r="O167" s="26" t="s">
        <v>1031</v>
      </c>
      <c r="P167" s="26" t="s">
        <v>1032</v>
      </c>
      <c r="Q167" s="20">
        <v>13968</v>
      </c>
      <c r="R167" s="26" t="s">
        <v>36</v>
      </c>
      <c r="S167" s="31">
        <v>4000</v>
      </c>
      <c r="T167" s="32">
        <v>45121</v>
      </c>
      <c r="U167" s="31">
        <v>9968</v>
      </c>
      <c r="V167" s="32">
        <v>45140</v>
      </c>
      <c r="W167" s="33" t="s">
        <v>1033</v>
      </c>
      <c r="X167" s="26">
        <v>0</v>
      </c>
      <c r="Y167" s="22">
        <v>0</v>
      </c>
      <c r="Z167" s="34" t="s">
        <v>50</v>
      </c>
      <c r="AA167" s="19" t="s">
        <v>901</v>
      </c>
      <c r="AB167" s="26" t="s">
        <v>116</v>
      </c>
      <c r="AC167" s="26" t="s">
        <v>53</v>
      </c>
      <c r="AD167" s="19" t="s">
        <v>54</v>
      </c>
      <c r="AE167" s="26">
        <v>500</v>
      </c>
      <c r="AF167" s="17">
        <v>45122</v>
      </c>
      <c r="AG167" s="26"/>
      <c r="AH167" s="26">
        <v>1</v>
      </c>
      <c r="AI167" s="40">
        <v>4</v>
      </c>
      <c r="AJ167" s="26"/>
      <c r="AK167" s="26"/>
      <c r="AL167" s="35"/>
      <c r="AM167" s="35"/>
      <c r="AN167" s="35"/>
      <c r="AO167" s="35"/>
      <c r="AP167" s="35"/>
    </row>
    <row r="168" spans="1:42" x14ac:dyDescent="0.2">
      <c r="A168" s="27">
        <v>45121.659501631948</v>
      </c>
      <c r="B168" s="28" t="s">
        <v>37</v>
      </c>
      <c r="C168" s="41" t="s">
        <v>118</v>
      </c>
      <c r="D168" s="26" t="s">
        <v>36</v>
      </c>
      <c r="E168" s="26" t="s">
        <v>119</v>
      </c>
      <c r="F168" s="26" t="s">
        <v>36</v>
      </c>
      <c r="G168" s="26" t="s">
        <v>108</v>
      </c>
      <c r="H168" s="26" t="s">
        <v>338</v>
      </c>
      <c r="I168" s="17">
        <f ca="1">IFERROR(__xludf.DUMMYFUNCTION("""COMPUTED_VALUE"""),45131)</f>
        <v>45131</v>
      </c>
      <c r="J168" s="29" t="s">
        <v>1034</v>
      </c>
      <c r="K168" s="26" t="s">
        <v>1035</v>
      </c>
      <c r="L168" s="30">
        <v>964458529</v>
      </c>
      <c r="M168" s="26" t="s">
        <v>80</v>
      </c>
      <c r="N168" s="26" t="s">
        <v>87</v>
      </c>
      <c r="O168" s="26" t="s">
        <v>1036</v>
      </c>
      <c r="P168" s="26" t="s">
        <v>1037</v>
      </c>
      <c r="Q168" s="20">
        <v>13968</v>
      </c>
      <c r="R168" s="26" t="s">
        <v>36</v>
      </c>
      <c r="S168" s="31">
        <v>4000</v>
      </c>
      <c r="T168" s="32">
        <v>45121</v>
      </c>
      <c r="U168" s="31">
        <v>9968</v>
      </c>
      <c r="V168" s="38">
        <v>45153</v>
      </c>
      <c r="W168" s="33" t="s">
        <v>1038</v>
      </c>
      <c r="X168" s="26">
        <v>0</v>
      </c>
      <c r="Y168" s="22">
        <v>0</v>
      </c>
      <c r="Z168" s="34" t="s">
        <v>50</v>
      </c>
      <c r="AA168" s="19" t="s">
        <v>901</v>
      </c>
      <c r="AB168" s="26" t="s">
        <v>116</v>
      </c>
      <c r="AC168" s="26" t="s">
        <v>53</v>
      </c>
      <c r="AD168" s="19" t="s">
        <v>54</v>
      </c>
      <c r="AE168" s="26">
        <v>500</v>
      </c>
      <c r="AF168" s="17">
        <v>45122</v>
      </c>
      <c r="AG168" s="26"/>
      <c r="AH168" s="26">
        <v>1</v>
      </c>
      <c r="AI168" s="40">
        <v>4</v>
      </c>
      <c r="AJ168" s="26"/>
      <c r="AK168" s="26"/>
      <c r="AL168" s="35"/>
      <c r="AM168" s="35"/>
      <c r="AN168" s="35"/>
      <c r="AO168" s="35"/>
      <c r="AP168" s="35"/>
    </row>
    <row r="169" spans="1:42" x14ac:dyDescent="0.2">
      <c r="A169" s="27">
        <v>45122.665465717597</v>
      </c>
      <c r="B169" s="28" t="s">
        <v>37</v>
      </c>
      <c r="C169" s="41" t="s">
        <v>118</v>
      </c>
      <c r="D169" s="26" t="s">
        <v>36</v>
      </c>
      <c r="E169" s="26" t="s">
        <v>56</v>
      </c>
      <c r="F169" s="26" t="s">
        <v>36</v>
      </c>
      <c r="G169" s="26" t="s">
        <v>41</v>
      </c>
      <c r="H169" s="26" t="s">
        <v>443</v>
      </c>
      <c r="I169" s="17">
        <f ca="1">IFERROR(__xludf.DUMMYFUNCTION("""COMPUTED_VALUE"""),45130)</f>
        <v>45130</v>
      </c>
      <c r="J169" s="29" t="s">
        <v>1039</v>
      </c>
      <c r="K169" s="26" t="s">
        <v>1040</v>
      </c>
      <c r="L169" s="30">
        <v>393908251</v>
      </c>
      <c r="M169" s="26" t="s">
        <v>123</v>
      </c>
      <c r="N169" s="26" t="s">
        <v>151</v>
      </c>
      <c r="O169" s="26" t="s">
        <v>134</v>
      </c>
      <c r="P169" s="26" t="s">
        <v>1041</v>
      </c>
      <c r="Q169" s="20">
        <v>9317</v>
      </c>
      <c r="R169" s="26" t="s">
        <v>36</v>
      </c>
      <c r="S169" s="31">
        <v>1968</v>
      </c>
      <c r="T169" s="32">
        <v>45122</v>
      </c>
      <c r="U169" s="50">
        <v>7349</v>
      </c>
      <c r="V169" s="14">
        <v>45147</v>
      </c>
      <c r="W169" s="19" t="s">
        <v>1042</v>
      </c>
      <c r="X169" s="26">
        <v>0</v>
      </c>
      <c r="Y169" s="22">
        <v>0</v>
      </c>
      <c r="Z169" s="34" t="s">
        <v>50</v>
      </c>
      <c r="AA169" s="19" t="s">
        <v>901</v>
      </c>
      <c r="AB169" s="26" t="s">
        <v>104</v>
      </c>
      <c r="AC169" s="26" t="s">
        <v>53</v>
      </c>
      <c r="AD169" s="19" t="s">
        <v>54</v>
      </c>
      <c r="AE169" s="26">
        <v>0</v>
      </c>
      <c r="AF169" s="17">
        <v>45126</v>
      </c>
      <c r="AG169" s="26"/>
      <c r="AH169" s="26">
        <v>1</v>
      </c>
      <c r="AI169" s="40" t="s">
        <v>64</v>
      </c>
      <c r="AJ169" s="26"/>
      <c r="AK169" s="26"/>
      <c r="AL169" s="35"/>
      <c r="AM169" s="35"/>
      <c r="AN169" s="35"/>
      <c r="AO169" s="35"/>
      <c r="AP169" s="35"/>
    </row>
    <row r="170" spans="1:42" x14ac:dyDescent="0.2">
      <c r="A170" s="27">
        <v>45123.190877847221</v>
      </c>
      <c r="B170" s="28" t="s">
        <v>37</v>
      </c>
      <c r="C170" s="41" t="s">
        <v>118</v>
      </c>
      <c r="D170" s="26" t="s">
        <v>36</v>
      </c>
      <c r="E170" s="26" t="s">
        <v>56</v>
      </c>
      <c r="F170" s="26" t="s">
        <v>40</v>
      </c>
      <c r="G170" s="26" t="s">
        <v>41</v>
      </c>
      <c r="H170" s="26" t="s">
        <v>443</v>
      </c>
      <c r="I170" s="17">
        <f ca="1">IFERROR(__xludf.DUMMYFUNCTION("""COMPUTED_VALUE"""),45130)</f>
        <v>45130</v>
      </c>
      <c r="J170" s="29" t="s">
        <v>1043</v>
      </c>
      <c r="K170" s="26" t="s">
        <v>1044</v>
      </c>
      <c r="L170" s="30">
        <v>357707294</v>
      </c>
      <c r="M170" s="26" t="s">
        <v>123</v>
      </c>
      <c r="N170" s="26" t="s">
        <v>133</v>
      </c>
      <c r="O170" s="26" t="s">
        <v>134</v>
      </c>
      <c r="P170" s="26" t="s">
        <v>1045</v>
      </c>
      <c r="Q170" s="20">
        <v>9317</v>
      </c>
      <c r="R170" s="26" t="s">
        <v>36</v>
      </c>
      <c r="S170" s="31">
        <v>1968</v>
      </c>
      <c r="T170" s="32">
        <v>45123</v>
      </c>
      <c r="U170" s="31">
        <v>7349</v>
      </c>
      <c r="V170" s="38">
        <v>45149</v>
      </c>
      <c r="W170" s="33" t="s">
        <v>1046</v>
      </c>
      <c r="X170" s="26">
        <v>0</v>
      </c>
      <c r="Y170" s="22">
        <v>0</v>
      </c>
      <c r="Z170" s="34" t="s">
        <v>50</v>
      </c>
      <c r="AA170" s="19" t="s">
        <v>901</v>
      </c>
      <c r="AB170" s="26" t="s">
        <v>104</v>
      </c>
      <c r="AC170" s="26" t="s">
        <v>53</v>
      </c>
      <c r="AD170" s="19" t="s">
        <v>54</v>
      </c>
      <c r="AE170" s="26">
        <v>0</v>
      </c>
      <c r="AF170" s="17">
        <v>45126</v>
      </c>
      <c r="AG170" s="26"/>
      <c r="AH170" s="26">
        <v>1</v>
      </c>
      <c r="AI170" s="40" t="s">
        <v>64</v>
      </c>
      <c r="AJ170" s="26"/>
      <c r="AK170" s="26"/>
      <c r="AL170" s="35"/>
      <c r="AM170" s="35"/>
      <c r="AN170" s="35"/>
      <c r="AO170" s="35"/>
      <c r="AP170" s="35"/>
    </row>
    <row r="171" spans="1:42" x14ac:dyDescent="0.2">
      <c r="A171" s="27">
        <v>45124.109302557874</v>
      </c>
      <c r="B171" s="28" t="s">
        <v>37</v>
      </c>
      <c r="C171" s="41" t="s">
        <v>118</v>
      </c>
      <c r="D171" s="26" t="s">
        <v>36</v>
      </c>
      <c r="E171" s="26" t="s">
        <v>77</v>
      </c>
      <c r="F171" s="26" t="s">
        <v>36</v>
      </c>
      <c r="G171" s="26" t="s">
        <v>41</v>
      </c>
      <c r="H171" s="26" t="s">
        <v>642</v>
      </c>
      <c r="I171" s="17">
        <f ca="1">IFERROR(__xludf.DUMMYFUNCTION("""COMPUTED_VALUE"""),45142)</f>
        <v>45142</v>
      </c>
      <c r="J171" s="29" t="s">
        <v>1047</v>
      </c>
      <c r="K171" s="26" t="s">
        <v>1048</v>
      </c>
      <c r="L171" s="30">
        <v>392941006</v>
      </c>
      <c r="M171" s="26" t="s">
        <v>123</v>
      </c>
      <c r="N171" s="26" t="s">
        <v>151</v>
      </c>
      <c r="O171" s="26" t="s">
        <v>1049</v>
      </c>
      <c r="P171" s="26" t="s">
        <v>1050</v>
      </c>
      <c r="Q171" s="20">
        <v>1968</v>
      </c>
      <c r="R171" s="26" t="s">
        <v>36</v>
      </c>
      <c r="S171" s="58">
        <v>500</v>
      </c>
      <c r="T171" s="59">
        <v>45123</v>
      </c>
      <c r="U171" s="31">
        <v>1468</v>
      </c>
      <c r="V171" s="32">
        <v>45131</v>
      </c>
      <c r="W171" s="26" t="s">
        <v>1051</v>
      </c>
      <c r="X171" s="26">
        <v>0</v>
      </c>
      <c r="Y171" s="22">
        <v>0</v>
      </c>
      <c r="Z171" s="34" t="s">
        <v>50</v>
      </c>
      <c r="AA171" s="19" t="s">
        <v>901</v>
      </c>
      <c r="AB171" s="26" t="s">
        <v>104</v>
      </c>
      <c r="AC171" s="26" t="s">
        <v>53</v>
      </c>
      <c r="AD171" s="19" t="s">
        <v>54</v>
      </c>
      <c r="AE171" s="26">
        <v>0</v>
      </c>
      <c r="AF171" s="17">
        <v>45135</v>
      </c>
      <c r="AG171" s="26" t="s">
        <v>936</v>
      </c>
      <c r="AH171" s="26">
        <v>2</v>
      </c>
      <c r="AI171" s="40" t="s">
        <v>84</v>
      </c>
      <c r="AJ171" s="26"/>
      <c r="AK171" s="26"/>
      <c r="AL171" s="35"/>
      <c r="AM171" s="35"/>
      <c r="AN171" s="35"/>
      <c r="AO171" s="35"/>
      <c r="AP171" s="35"/>
    </row>
    <row r="172" spans="1:42" x14ac:dyDescent="0.2">
      <c r="A172" s="27">
        <v>45125.200166099537</v>
      </c>
      <c r="B172" s="28" t="s">
        <v>37</v>
      </c>
      <c r="C172" s="41" t="s">
        <v>118</v>
      </c>
      <c r="D172" s="26" t="s">
        <v>36</v>
      </c>
      <c r="E172" s="26" t="s">
        <v>106</v>
      </c>
      <c r="F172" s="26" t="s">
        <v>36</v>
      </c>
      <c r="G172" s="26" t="s">
        <v>108</v>
      </c>
      <c r="H172" s="26" t="s">
        <v>562</v>
      </c>
      <c r="I172" s="17">
        <f ca="1">IFERROR(__xludf.DUMMYFUNCTION("""COMPUTED_VALUE"""),45133)</f>
        <v>45133</v>
      </c>
      <c r="J172" s="29" t="s">
        <v>1052</v>
      </c>
      <c r="K172" s="26" t="s">
        <v>1053</v>
      </c>
      <c r="L172" s="30">
        <v>334341927</v>
      </c>
      <c r="M172" s="26" t="s">
        <v>80</v>
      </c>
      <c r="N172" s="26" t="s">
        <v>253</v>
      </c>
      <c r="O172" s="26" t="s">
        <v>1054</v>
      </c>
      <c r="P172" s="26" t="s">
        <v>1055</v>
      </c>
      <c r="Q172" s="20">
        <v>3768</v>
      </c>
      <c r="R172" s="26" t="s">
        <v>70</v>
      </c>
      <c r="S172" s="31">
        <v>4000</v>
      </c>
      <c r="T172" s="32">
        <v>45125</v>
      </c>
      <c r="U172" s="31"/>
      <c r="V172" s="26"/>
      <c r="W172" s="33" t="s">
        <v>1056</v>
      </c>
      <c r="X172" s="26">
        <v>100</v>
      </c>
      <c r="Y172" s="22">
        <v>-332</v>
      </c>
      <c r="Z172" s="34" t="s">
        <v>50</v>
      </c>
      <c r="AA172" s="19" t="s">
        <v>901</v>
      </c>
      <c r="AB172" s="26" t="s">
        <v>104</v>
      </c>
      <c r="AC172" s="26" t="s">
        <v>53</v>
      </c>
      <c r="AD172" s="19" t="s">
        <v>54</v>
      </c>
      <c r="AE172" s="26">
        <v>640</v>
      </c>
      <c r="AF172" s="17">
        <v>45126</v>
      </c>
      <c r="AG172" s="61" t="s">
        <v>1057</v>
      </c>
      <c r="AH172" s="26">
        <v>1</v>
      </c>
      <c r="AI172" s="40">
        <v>1</v>
      </c>
      <c r="AJ172" s="26"/>
      <c r="AK172" s="26"/>
      <c r="AL172" s="35"/>
      <c r="AM172" s="35"/>
      <c r="AN172" s="35"/>
      <c r="AO172" s="35"/>
      <c r="AP172" s="35"/>
    </row>
    <row r="173" spans="1:42" x14ac:dyDescent="0.2">
      <c r="A173" s="27">
        <v>45125.405916099538</v>
      </c>
      <c r="B173" s="28" t="s">
        <v>37</v>
      </c>
      <c r="C173" s="41" t="s">
        <v>118</v>
      </c>
      <c r="D173" s="26" t="s">
        <v>36</v>
      </c>
      <c r="E173" s="26" t="s">
        <v>77</v>
      </c>
      <c r="F173" s="26" t="s">
        <v>36</v>
      </c>
      <c r="G173" s="26" t="s">
        <v>41</v>
      </c>
      <c r="H173" s="26" t="s">
        <v>443</v>
      </c>
      <c r="I173" s="17">
        <f ca="1">IFERROR(__xludf.DUMMYFUNCTION("""COMPUTED_VALUE"""),45130)</f>
        <v>45130</v>
      </c>
      <c r="J173" s="29" t="s">
        <v>1058</v>
      </c>
      <c r="K173" s="26" t="s">
        <v>1059</v>
      </c>
      <c r="L173" s="30">
        <v>364834044</v>
      </c>
      <c r="M173" s="26" t="s">
        <v>123</v>
      </c>
      <c r="N173" s="26" t="s">
        <v>151</v>
      </c>
      <c r="O173" s="26" t="s">
        <v>125</v>
      </c>
      <c r="P173" s="26" t="s">
        <v>1060</v>
      </c>
      <c r="Q173" s="20">
        <v>1968</v>
      </c>
      <c r="R173" s="26" t="s">
        <v>36</v>
      </c>
      <c r="S173" s="31">
        <v>1000</v>
      </c>
      <c r="T173" s="32">
        <v>45122</v>
      </c>
      <c r="U173" s="31">
        <v>968</v>
      </c>
      <c r="V173" s="32">
        <v>45124</v>
      </c>
      <c r="W173" s="33" t="s">
        <v>1061</v>
      </c>
      <c r="X173" s="35">
        <v>0</v>
      </c>
      <c r="Y173" s="22">
        <v>0</v>
      </c>
      <c r="Z173" s="34" t="s">
        <v>50</v>
      </c>
      <c r="AA173" s="19" t="s">
        <v>901</v>
      </c>
      <c r="AB173" s="35"/>
      <c r="AC173" s="35"/>
      <c r="AD173" s="19"/>
      <c r="AE173" s="19"/>
      <c r="AF173" s="17">
        <v>45127</v>
      </c>
      <c r="AG173" s="35" t="s">
        <v>936</v>
      </c>
      <c r="AH173" s="36">
        <v>1</v>
      </c>
      <c r="AI173" s="37" t="s">
        <v>84</v>
      </c>
      <c r="AJ173" s="35"/>
      <c r="AK173" s="35"/>
      <c r="AL173" s="35"/>
      <c r="AM173" s="35"/>
      <c r="AN173" s="35"/>
      <c r="AO173" s="35"/>
      <c r="AP173" s="35"/>
    </row>
    <row r="174" spans="1:42" x14ac:dyDescent="0.2">
      <c r="A174" s="27">
        <v>45125.407689305561</v>
      </c>
      <c r="B174" s="28" t="s">
        <v>37</v>
      </c>
      <c r="C174" s="41" t="s">
        <v>118</v>
      </c>
      <c r="D174" s="26" t="s">
        <v>36</v>
      </c>
      <c r="E174" s="26" t="s">
        <v>77</v>
      </c>
      <c r="F174" s="26" t="s">
        <v>36</v>
      </c>
      <c r="G174" s="26" t="s">
        <v>41</v>
      </c>
      <c r="H174" s="26" t="s">
        <v>512</v>
      </c>
      <c r="I174" s="17">
        <f ca="1">IFERROR(__xludf.DUMMYFUNCTION("""COMPUTED_VALUE"""),45134)</f>
        <v>45134</v>
      </c>
      <c r="J174" s="29" t="s">
        <v>1062</v>
      </c>
      <c r="K174" s="26" t="s">
        <v>1063</v>
      </c>
      <c r="L174" s="30">
        <v>396320646</v>
      </c>
      <c r="M174" s="26" t="s">
        <v>123</v>
      </c>
      <c r="N174" s="26" t="s">
        <v>133</v>
      </c>
      <c r="O174" s="26" t="s">
        <v>134</v>
      </c>
      <c r="P174" s="26" t="s">
        <v>1064</v>
      </c>
      <c r="Q174" s="20">
        <v>1968</v>
      </c>
      <c r="R174" s="26" t="s">
        <v>36</v>
      </c>
      <c r="S174" s="31">
        <v>2000</v>
      </c>
      <c r="T174" s="32">
        <v>45125</v>
      </c>
      <c r="U174" s="31"/>
      <c r="V174" s="26"/>
      <c r="W174" s="33" t="s">
        <v>1065</v>
      </c>
      <c r="X174" s="35">
        <v>0</v>
      </c>
      <c r="Y174" s="22">
        <v>-32</v>
      </c>
      <c r="Z174" s="34" t="s">
        <v>50</v>
      </c>
      <c r="AA174" s="19" t="s">
        <v>901</v>
      </c>
      <c r="AB174" s="35"/>
      <c r="AC174" s="35"/>
      <c r="AD174" s="19"/>
      <c r="AE174" s="19"/>
      <c r="AF174" s="17">
        <v>45127</v>
      </c>
      <c r="AG174" s="35" t="s">
        <v>936</v>
      </c>
      <c r="AH174" s="36">
        <v>1</v>
      </c>
      <c r="AI174" s="37" t="s">
        <v>84</v>
      </c>
      <c r="AJ174" s="35"/>
      <c r="AK174" s="35"/>
      <c r="AL174" s="35"/>
      <c r="AM174" s="35"/>
      <c r="AN174" s="35"/>
      <c r="AO174" s="35"/>
      <c r="AP174" s="35"/>
    </row>
    <row r="175" spans="1:42" x14ac:dyDescent="0.2">
      <c r="A175" s="27">
        <v>45125.663629884264</v>
      </c>
      <c r="B175" s="28" t="s">
        <v>37</v>
      </c>
      <c r="C175" s="41" t="s">
        <v>118</v>
      </c>
      <c r="D175" s="26" t="s">
        <v>36</v>
      </c>
      <c r="E175" s="26" t="s">
        <v>139</v>
      </c>
      <c r="F175" s="26" t="s">
        <v>91</v>
      </c>
      <c r="G175" s="26" t="s">
        <v>41</v>
      </c>
      <c r="H175" s="26" t="s">
        <v>512</v>
      </c>
      <c r="I175" s="17">
        <f ca="1">IFERROR(__xludf.DUMMYFUNCTION("""COMPUTED_VALUE"""),45134)</f>
        <v>45134</v>
      </c>
      <c r="J175" s="29" t="s">
        <v>1066</v>
      </c>
      <c r="K175" s="26" t="s">
        <v>1067</v>
      </c>
      <c r="L175" s="30">
        <v>377425236</v>
      </c>
      <c r="M175" s="26" t="s">
        <v>910</v>
      </c>
      <c r="N175" s="26" t="s">
        <v>355</v>
      </c>
      <c r="O175" s="26" t="s">
        <v>1068</v>
      </c>
      <c r="P175" s="26" t="s">
        <v>1069</v>
      </c>
      <c r="Q175" s="20">
        <v>15936</v>
      </c>
      <c r="R175" s="26" t="s">
        <v>36</v>
      </c>
      <c r="S175" s="31">
        <v>4000</v>
      </c>
      <c r="T175" s="32">
        <v>45125</v>
      </c>
      <c r="U175" s="31">
        <v>11936</v>
      </c>
      <c r="V175" s="38">
        <v>45152</v>
      </c>
      <c r="W175" s="33" t="s">
        <v>1070</v>
      </c>
      <c r="X175" s="26">
        <v>0</v>
      </c>
      <c r="Y175" s="22">
        <v>0</v>
      </c>
      <c r="Z175" s="34" t="s">
        <v>50</v>
      </c>
      <c r="AA175" s="19" t="s">
        <v>901</v>
      </c>
      <c r="AB175" s="26" t="s">
        <v>104</v>
      </c>
      <c r="AC175" s="26" t="s">
        <v>53</v>
      </c>
      <c r="AD175" s="19" t="s">
        <v>138</v>
      </c>
      <c r="AE175" s="26"/>
      <c r="AF175" s="17">
        <v>45127</v>
      </c>
      <c r="AG175" s="26"/>
      <c r="AH175" s="26">
        <v>1</v>
      </c>
      <c r="AI175" s="40" t="s">
        <v>147</v>
      </c>
      <c r="AJ175" s="26"/>
      <c r="AK175" s="26"/>
      <c r="AL175" s="35"/>
      <c r="AM175" s="35"/>
      <c r="AN175" s="35"/>
      <c r="AO175" s="35"/>
      <c r="AP175" s="35"/>
    </row>
    <row r="176" spans="1:42" x14ac:dyDescent="0.2">
      <c r="A176" s="27">
        <v>45126.329607627311</v>
      </c>
      <c r="B176" s="28" t="s">
        <v>37</v>
      </c>
      <c r="C176" s="41" t="s">
        <v>118</v>
      </c>
      <c r="D176" s="26" t="s">
        <v>36</v>
      </c>
      <c r="E176" s="26" t="s">
        <v>139</v>
      </c>
      <c r="F176" s="26" t="s">
        <v>36</v>
      </c>
      <c r="G176" s="26" t="s">
        <v>41</v>
      </c>
      <c r="H176" s="26" t="s">
        <v>512</v>
      </c>
      <c r="I176" s="17">
        <f ca="1">IFERROR(__xludf.DUMMYFUNCTION("""COMPUTED_VALUE"""),45134)</f>
        <v>45134</v>
      </c>
      <c r="J176" s="29" t="s">
        <v>1071</v>
      </c>
      <c r="K176" s="26" t="s">
        <v>1072</v>
      </c>
      <c r="L176" s="30">
        <v>395183401</v>
      </c>
      <c r="M176" s="26" t="s">
        <v>80</v>
      </c>
      <c r="N176" s="26" t="s">
        <v>1073</v>
      </c>
      <c r="O176" s="26" t="s">
        <v>1074</v>
      </c>
      <c r="P176" s="26" t="s">
        <v>1075</v>
      </c>
      <c r="Q176" s="20">
        <v>15936</v>
      </c>
      <c r="R176" s="26" t="s">
        <v>36</v>
      </c>
      <c r="S176" s="31">
        <v>4000</v>
      </c>
      <c r="T176" s="32">
        <v>45126</v>
      </c>
      <c r="U176" s="31">
        <v>11936</v>
      </c>
      <c r="V176" s="32">
        <v>45151</v>
      </c>
      <c r="W176" s="33" t="s">
        <v>1076</v>
      </c>
      <c r="X176" s="26">
        <v>0</v>
      </c>
      <c r="Y176" s="22">
        <v>0</v>
      </c>
      <c r="Z176" s="34" t="s">
        <v>50</v>
      </c>
      <c r="AA176" s="19" t="s">
        <v>901</v>
      </c>
      <c r="AB176" s="26" t="s">
        <v>104</v>
      </c>
      <c r="AC176" s="26" t="s">
        <v>53</v>
      </c>
      <c r="AD176" s="19" t="s">
        <v>54</v>
      </c>
      <c r="AE176" s="26">
        <v>0</v>
      </c>
      <c r="AF176" s="17">
        <v>45127</v>
      </c>
      <c r="AG176" s="26"/>
      <c r="AH176" s="26">
        <v>1</v>
      </c>
      <c r="AI176" s="40" t="s">
        <v>147</v>
      </c>
      <c r="AJ176" s="26"/>
      <c r="AK176" s="26"/>
      <c r="AL176" s="35"/>
      <c r="AM176" s="35"/>
      <c r="AN176" s="35"/>
      <c r="AO176" s="35"/>
      <c r="AP176" s="35"/>
    </row>
    <row r="177" spans="1:42" x14ac:dyDescent="0.2">
      <c r="A177" s="27">
        <v>45126.565612916667</v>
      </c>
      <c r="B177" s="28" t="s">
        <v>37</v>
      </c>
      <c r="C177" s="41" t="s">
        <v>118</v>
      </c>
      <c r="D177" s="26" t="s">
        <v>36</v>
      </c>
      <c r="E177" s="26" t="s">
        <v>915</v>
      </c>
      <c r="F177" s="26" t="s">
        <v>36</v>
      </c>
      <c r="G177" s="26" t="s">
        <v>221</v>
      </c>
      <c r="H177" s="26" t="s">
        <v>222</v>
      </c>
      <c r="I177" s="17">
        <f ca="1">IFERROR(__xludf.DUMMYFUNCTION("""COMPUTED_VALUE"""),45132)</f>
        <v>45132</v>
      </c>
      <c r="J177" s="29" t="s">
        <v>1077</v>
      </c>
      <c r="K177" s="26" t="s">
        <v>1078</v>
      </c>
      <c r="L177" s="30">
        <v>812944568</v>
      </c>
      <c r="M177" s="26" t="s">
        <v>123</v>
      </c>
      <c r="N177" s="26" t="s">
        <v>207</v>
      </c>
      <c r="O177" s="26" t="s">
        <v>134</v>
      </c>
      <c r="P177" s="26" t="s">
        <v>1079</v>
      </c>
      <c r="Q177" s="20">
        <v>10894</v>
      </c>
      <c r="R177" s="26" t="s">
        <v>70</v>
      </c>
      <c r="S177" s="31">
        <v>3968</v>
      </c>
      <c r="T177" s="32">
        <v>45126</v>
      </c>
      <c r="U177" s="31">
        <v>6926</v>
      </c>
      <c r="V177" s="32">
        <v>45148</v>
      </c>
      <c r="W177" s="33" t="s">
        <v>1080</v>
      </c>
      <c r="X177" s="26">
        <v>100</v>
      </c>
      <c r="Y177" s="22">
        <v>-100</v>
      </c>
      <c r="Z177" s="34" t="s">
        <v>50</v>
      </c>
      <c r="AA177" s="19" t="s">
        <v>901</v>
      </c>
      <c r="AB177" s="26" t="s">
        <v>104</v>
      </c>
      <c r="AC177" s="26" t="s">
        <v>53</v>
      </c>
      <c r="AD177" s="19" t="s">
        <v>54</v>
      </c>
      <c r="AE177" s="26">
        <v>620</v>
      </c>
      <c r="AF177" s="17">
        <v>45127</v>
      </c>
      <c r="AG177" s="26" t="s">
        <v>1081</v>
      </c>
      <c r="AH177" s="26">
        <v>1</v>
      </c>
      <c r="AI177" s="40">
        <v>3</v>
      </c>
      <c r="AJ177" s="26"/>
      <c r="AK177" s="26"/>
      <c r="AL177" s="35"/>
      <c r="AM177" s="35"/>
      <c r="AN177" s="35"/>
      <c r="AO177" s="35"/>
      <c r="AP177" s="35"/>
    </row>
    <row r="178" spans="1:42" x14ac:dyDescent="0.2">
      <c r="A178" s="27">
        <v>45126.665546886579</v>
      </c>
      <c r="B178" s="28" t="s">
        <v>37</v>
      </c>
      <c r="C178" s="41" t="s">
        <v>118</v>
      </c>
      <c r="D178" s="26" t="s">
        <v>36</v>
      </c>
      <c r="E178" s="26" t="s">
        <v>56</v>
      </c>
      <c r="F178" s="26" t="s">
        <v>36</v>
      </c>
      <c r="G178" s="26" t="s">
        <v>41</v>
      </c>
      <c r="H178" s="26" t="s">
        <v>512</v>
      </c>
      <c r="I178" s="17">
        <f ca="1">IFERROR(__xludf.DUMMYFUNCTION("""COMPUTED_VALUE"""),45134)</f>
        <v>45134</v>
      </c>
      <c r="J178" s="29" t="s">
        <v>1082</v>
      </c>
      <c r="K178" s="26" t="s">
        <v>1083</v>
      </c>
      <c r="L178" s="30">
        <v>967317306</v>
      </c>
      <c r="M178" s="26" t="s">
        <v>80</v>
      </c>
      <c r="N178" s="26" t="s">
        <v>299</v>
      </c>
      <c r="O178" s="26" t="s">
        <v>1084</v>
      </c>
      <c r="P178" s="26" t="s">
        <v>1085</v>
      </c>
      <c r="Q178" s="20">
        <v>9317</v>
      </c>
      <c r="R178" s="26" t="s">
        <v>36</v>
      </c>
      <c r="S178" s="31">
        <v>2000</v>
      </c>
      <c r="T178" s="32">
        <v>45126</v>
      </c>
      <c r="U178" s="31">
        <v>7317</v>
      </c>
      <c r="V178" s="32">
        <v>45152</v>
      </c>
      <c r="W178" s="33" t="s">
        <v>1086</v>
      </c>
      <c r="X178" s="26">
        <v>0</v>
      </c>
      <c r="Y178" s="22">
        <v>0</v>
      </c>
      <c r="Z178" s="34" t="s">
        <v>50</v>
      </c>
      <c r="AA178" s="19" t="s">
        <v>901</v>
      </c>
      <c r="AB178" s="26" t="s">
        <v>104</v>
      </c>
      <c r="AC178" s="26" t="s">
        <v>53</v>
      </c>
      <c r="AD178" s="19" t="s">
        <v>54</v>
      </c>
      <c r="AE178" s="26">
        <v>0</v>
      </c>
      <c r="AF178" s="17">
        <v>45127</v>
      </c>
      <c r="AG178" s="26"/>
      <c r="AH178" s="26">
        <v>1</v>
      </c>
      <c r="AI178" s="40" t="s">
        <v>64</v>
      </c>
      <c r="AJ178" s="26"/>
      <c r="AK178" s="26"/>
      <c r="AL178" s="35"/>
      <c r="AM178" s="35"/>
      <c r="AN178" s="35"/>
      <c r="AO178" s="35"/>
      <c r="AP178" s="35"/>
    </row>
    <row r="179" spans="1:42" x14ac:dyDescent="0.2">
      <c r="A179" s="27">
        <v>45127.256380682869</v>
      </c>
      <c r="B179" s="28" t="s">
        <v>37</v>
      </c>
      <c r="C179" s="41" t="s">
        <v>118</v>
      </c>
      <c r="D179" s="26" t="s">
        <v>36</v>
      </c>
      <c r="E179" s="26" t="s">
        <v>148</v>
      </c>
      <c r="F179" s="26" t="s">
        <v>40</v>
      </c>
      <c r="G179" s="26" t="s">
        <v>108</v>
      </c>
      <c r="H179" s="26" t="s">
        <v>562</v>
      </c>
      <c r="I179" s="17">
        <f ca="1">IFERROR(__xludf.DUMMYFUNCTION("""COMPUTED_VALUE"""),45133)</f>
        <v>45133</v>
      </c>
      <c r="J179" s="29" t="s">
        <v>1087</v>
      </c>
      <c r="K179" s="26" t="s">
        <v>1088</v>
      </c>
      <c r="L179" s="30">
        <v>878615082</v>
      </c>
      <c r="M179" s="26" t="s">
        <v>80</v>
      </c>
      <c r="N179" s="26" t="s">
        <v>466</v>
      </c>
      <c r="O179" s="26" t="s">
        <v>1089</v>
      </c>
      <c r="P179" s="26" t="s">
        <v>1090</v>
      </c>
      <c r="Q179" s="20">
        <v>7349</v>
      </c>
      <c r="R179" s="26" t="s">
        <v>36</v>
      </c>
      <c r="S179" s="31">
        <v>4000</v>
      </c>
      <c r="T179" s="32">
        <v>45127</v>
      </c>
      <c r="U179" s="31">
        <v>3349</v>
      </c>
      <c r="V179" s="38">
        <v>45168</v>
      </c>
      <c r="W179" s="33" t="s">
        <v>1091</v>
      </c>
      <c r="X179" s="26">
        <v>0</v>
      </c>
      <c r="Y179" s="22">
        <v>0</v>
      </c>
      <c r="Z179" s="34" t="s">
        <v>50</v>
      </c>
      <c r="AA179" s="19" t="s">
        <v>901</v>
      </c>
      <c r="AB179" s="26" t="s">
        <v>128</v>
      </c>
      <c r="AC179" s="26" t="s">
        <v>53</v>
      </c>
      <c r="AD179" s="19" t="s">
        <v>54</v>
      </c>
      <c r="AE179" s="26">
        <v>500</v>
      </c>
      <c r="AF179" s="17">
        <v>45127</v>
      </c>
      <c r="AG179" s="26"/>
      <c r="AH179" s="26">
        <v>1</v>
      </c>
      <c r="AI179" s="40">
        <v>2</v>
      </c>
      <c r="AJ179" s="26"/>
      <c r="AK179" s="26"/>
      <c r="AL179" s="35"/>
      <c r="AM179" s="35"/>
      <c r="AN179" s="35"/>
      <c r="AO179" s="35"/>
      <c r="AP179" s="35"/>
    </row>
    <row r="180" spans="1:42" x14ac:dyDescent="0.2">
      <c r="A180" s="27">
        <v>45128.461960486107</v>
      </c>
      <c r="B180" s="28" t="s">
        <v>37</v>
      </c>
      <c r="C180" s="41" t="s">
        <v>118</v>
      </c>
      <c r="D180" s="26" t="s">
        <v>36</v>
      </c>
      <c r="E180" s="26" t="s">
        <v>56</v>
      </c>
      <c r="F180" s="26" t="s">
        <v>40</v>
      </c>
      <c r="G180" s="26" t="s">
        <v>41</v>
      </c>
      <c r="H180" s="26" t="s">
        <v>545</v>
      </c>
      <c r="I180" s="17">
        <f ca="1">IFERROR(__xludf.DUMMYFUNCTION("""COMPUTED_VALUE"""),45133)</f>
        <v>45133</v>
      </c>
      <c r="J180" s="29" t="s">
        <v>1092</v>
      </c>
      <c r="K180" s="26" t="s">
        <v>1093</v>
      </c>
      <c r="L180" s="30">
        <v>865501583</v>
      </c>
      <c r="M180" s="26" t="s">
        <v>80</v>
      </c>
      <c r="N180" s="26" t="s">
        <v>87</v>
      </c>
      <c r="O180" s="26" t="s">
        <v>1094</v>
      </c>
      <c r="P180" s="26" t="s">
        <v>1095</v>
      </c>
      <c r="Q180" s="20">
        <v>9317</v>
      </c>
      <c r="R180" s="26" t="s">
        <v>36</v>
      </c>
      <c r="S180" s="31">
        <v>2000</v>
      </c>
      <c r="T180" s="32">
        <v>45128</v>
      </c>
      <c r="U180" s="31">
        <v>7317</v>
      </c>
      <c r="V180" s="38">
        <v>45160</v>
      </c>
      <c r="W180" s="33" t="s">
        <v>1096</v>
      </c>
      <c r="X180" s="26">
        <v>0</v>
      </c>
      <c r="Y180" s="22">
        <v>0</v>
      </c>
      <c r="Z180" s="34" t="s">
        <v>50</v>
      </c>
      <c r="AA180" s="19" t="s">
        <v>901</v>
      </c>
      <c r="AB180" s="26" t="s">
        <v>104</v>
      </c>
      <c r="AC180" s="26" t="s">
        <v>53</v>
      </c>
      <c r="AD180" s="19" t="s">
        <v>54</v>
      </c>
      <c r="AE180" s="26">
        <v>0</v>
      </c>
      <c r="AF180" s="17">
        <v>45132</v>
      </c>
      <c r="AG180" s="26"/>
      <c r="AH180" s="26">
        <v>1</v>
      </c>
      <c r="AI180" s="40" t="s">
        <v>64</v>
      </c>
      <c r="AJ180" s="26"/>
      <c r="AK180" s="26"/>
      <c r="AL180" s="35"/>
      <c r="AM180" s="35"/>
      <c r="AN180" s="35"/>
      <c r="AO180" s="35"/>
      <c r="AP180" s="35"/>
    </row>
    <row r="181" spans="1:42" x14ac:dyDescent="0.2">
      <c r="A181" s="27">
        <v>45129.116970844909</v>
      </c>
      <c r="B181" s="28" t="s">
        <v>37</v>
      </c>
      <c r="C181" s="41" t="s">
        <v>118</v>
      </c>
      <c r="D181" s="26" t="s">
        <v>36</v>
      </c>
      <c r="E181" s="26" t="s">
        <v>56</v>
      </c>
      <c r="F181" s="26" t="s">
        <v>36</v>
      </c>
      <c r="G181" s="26" t="s">
        <v>41</v>
      </c>
      <c r="H181" s="26" t="s">
        <v>545</v>
      </c>
      <c r="I181" s="17">
        <f ca="1">IFERROR(__xludf.DUMMYFUNCTION("""COMPUTED_VALUE"""),45133)</f>
        <v>45133</v>
      </c>
      <c r="J181" s="29" t="s">
        <v>1097</v>
      </c>
      <c r="K181" s="26" t="s">
        <v>1098</v>
      </c>
      <c r="L181" s="30">
        <v>396291309</v>
      </c>
      <c r="M181" s="26" t="s">
        <v>123</v>
      </c>
      <c r="N181" s="26" t="s">
        <v>151</v>
      </c>
      <c r="O181" s="26" t="s">
        <v>1099</v>
      </c>
      <c r="P181" s="26" t="s">
        <v>1100</v>
      </c>
      <c r="Q181" s="20">
        <v>9317</v>
      </c>
      <c r="R181" s="26" t="s">
        <v>36</v>
      </c>
      <c r="S181" s="31">
        <v>4675</v>
      </c>
      <c r="T181" s="32">
        <v>45129</v>
      </c>
      <c r="U181" s="31">
        <v>4642</v>
      </c>
      <c r="V181" s="38">
        <v>45150</v>
      </c>
      <c r="W181" s="55" t="s">
        <v>1101</v>
      </c>
      <c r="X181" s="26">
        <v>0</v>
      </c>
      <c r="Y181" s="22">
        <v>0</v>
      </c>
      <c r="Z181" s="34" t="s">
        <v>50</v>
      </c>
      <c r="AA181" s="19" t="s">
        <v>901</v>
      </c>
      <c r="AB181" s="26" t="s">
        <v>104</v>
      </c>
      <c r="AC181" s="26" t="s">
        <v>53</v>
      </c>
      <c r="AD181" s="19" t="s">
        <v>54</v>
      </c>
      <c r="AE181" s="26"/>
      <c r="AF181" s="17">
        <v>45132</v>
      </c>
      <c r="AG181" s="26"/>
      <c r="AH181" s="26">
        <v>1</v>
      </c>
      <c r="AI181" s="40" t="s">
        <v>64</v>
      </c>
      <c r="AJ181" s="26"/>
      <c r="AK181" s="26"/>
      <c r="AL181" s="35"/>
      <c r="AM181" s="35"/>
      <c r="AN181" s="35"/>
      <c r="AO181" s="35"/>
      <c r="AP181" s="35"/>
    </row>
    <row r="182" spans="1:42" x14ac:dyDescent="0.2">
      <c r="A182" s="27">
        <v>45129.486731793979</v>
      </c>
      <c r="B182" s="28" t="s">
        <v>37</v>
      </c>
      <c r="C182" s="41" t="s">
        <v>118</v>
      </c>
      <c r="D182" s="26" t="s">
        <v>36</v>
      </c>
      <c r="E182" s="26" t="s">
        <v>119</v>
      </c>
      <c r="F182" s="26" t="s">
        <v>36</v>
      </c>
      <c r="G182" s="26" t="s">
        <v>108</v>
      </c>
      <c r="H182" s="26" t="s">
        <v>562</v>
      </c>
      <c r="I182" s="17">
        <f ca="1">IFERROR(__xludf.DUMMYFUNCTION("""COMPUTED_VALUE"""),45133)</f>
        <v>45133</v>
      </c>
      <c r="J182" s="29" t="s">
        <v>1102</v>
      </c>
      <c r="K182" s="26" t="s">
        <v>1103</v>
      </c>
      <c r="L182" s="30">
        <v>378868780</v>
      </c>
      <c r="M182" s="26" t="s">
        <v>80</v>
      </c>
      <c r="N182" s="26" t="s">
        <v>253</v>
      </c>
      <c r="O182" s="26" t="s">
        <v>1104</v>
      </c>
      <c r="P182" s="26" t="s">
        <v>1105</v>
      </c>
      <c r="Q182" s="20">
        <v>13968</v>
      </c>
      <c r="R182" s="26" t="s">
        <v>1106</v>
      </c>
      <c r="S182" s="31">
        <v>4000</v>
      </c>
      <c r="T182" s="32">
        <v>45129</v>
      </c>
      <c r="U182" s="31">
        <v>9968</v>
      </c>
      <c r="V182" s="32">
        <v>45151</v>
      </c>
      <c r="W182" s="33" t="s">
        <v>1107</v>
      </c>
      <c r="X182" s="26">
        <v>150</v>
      </c>
      <c r="Y182" s="22">
        <v>-150</v>
      </c>
      <c r="Z182" s="34" t="s">
        <v>50</v>
      </c>
      <c r="AA182" s="19" t="s">
        <v>901</v>
      </c>
      <c r="AB182" s="26" t="s">
        <v>137</v>
      </c>
      <c r="AC182" s="26" t="s">
        <v>53</v>
      </c>
      <c r="AD182" s="19" t="s">
        <v>54</v>
      </c>
      <c r="AE182" s="26">
        <v>500</v>
      </c>
      <c r="AF182" s="17">
        <v>45132</v>
      </c>
      <c r="AG182" s="26"/>
      <c r="AH182" s="26">
        <v>1</v>
      </c>
      <c r="AI182" s="40">
        <v>4</v>
      </c>
      <c r="AJ182" s="26"/>
      <c r="AK182" s="26"/>
      <c r="AL182" s="35"/>
      <c r="AM182" s="35"/>
      <c r="AN182" s="35"/>
      <c r="AO182" s="35"/>
      <c r="AP182" s="35"/>
    </row>
    <row r="183" spans="1:42" x14ac:dyDescent="0.2">
      <c r="A183" s="27">
        <v>45129.563838657406</v>
      </c>
      <c r="B183" s="28" t="s">
        <v>37</v>
      </c>
      <c r="C183" s="41" t="s">
        <v>118</v>
      </c>
      <c r="D183" s="26" t="s">
        <v>36</v>
      </c>
      <c r="E183" s="26" t="s">
        <v>119</v>
      </c>
      <c r="F183" s="26" t="s">
        <v>36</v>
      </c>
      <c r="G183" s="26" t="s">
        <v>108</v>
      </c>
      <c r="H183" s="26" t="s">
        <v>562</v>
      </c>
      <c r="I183" s="17">
        <f ca="1">IFERROR(__xludf.DUMMYFUNCTION("""COMPUTED_VALUE"""),45133)</f>
        <v>45133</v>
      </c>
      <c r="J183" s="29" t="s">
        <v>1108</v>
      </c>
      <c r="K183" s="26" t="s">
        <v>1109</v>
      </c>
      <c r="L183" s="30">
        <v>528404137</v>
      </c>
      <c r="M183" s="26" t="s">
        <v>80</v>
      </c>
      <c r="N183" s="26" t="s">
        <v>253</v>
      </c>
      <c r="O183" s="26" t="s">
        <v>1110</v>
      </c>
      <c r="P183" s="54" t="s">
        <v>1111</v>
      </c>
      <c r="Q183" s="20">
        <v>13968</v>
      </c>
      <c r="R183" s="26" t="s">
        <v>36</v>
      </c>
      <c r="S183" s="31">
        <v>3968</v>
      </c>
      <c r="T183" s="32">
        <v>45129</v>
      </c>
      <c r="U183" s="31">
        <v>10000</v>
      </c>
      <c r="V183" s="32">
        <v>45147</v>
      </c>
      <c r="W183" s="33" t="s">
        <v>1112</v>
      </c>
      <c r="X183" s="26">
        <v>0</v>
      </c>
      <c r="Y183" s="22">
        <v>0</v>
      </c>
      <c r="Z183" s="34" t="s">
        <v>50</v>
      </c>
      <c r="AA183" s="19" t="s">
        <v>901</v>
      </c>
      <c r="AB183" s="26" t="s">
        <v>137</v>
      </c>
      <c r="AC183" s="26" t="s">
        <v>53</v>
      </c>
      <c r="AD183" s="19" t="s">
        <v>54</v>
      </c>
      <c r="AE183" s="26">
        <v>390</v>
      </c>
      <c r="AF183" s="17">
        <v>45132</v>
      </c>
      <c r="AG183" s="26"/>
      <c r="AH183" s="26">
        <v>1</v>
      </c>
      <c r="AI183" s="40">
        <v>4</v>
      </c>
      <c r="AJ183" s="26"/>
      <c r="AK183" s="26"/>
      <c r="AL183" s="35"/>
      <c r="AM183" s="35"/>
      <c r="AN183" s="35"/>
      <c r="AO183" s="35"/>
      <c r="AP183" s="35"/>
    </row>
    <row r="184" spans="1:42" x14ac:dyDescent="0.2">
      <c r="A184" s="27">
        <v>45130.484909432867</v>
      </c>
      <c r="B184" s="28" t="s">
        <v>37</v>
      </c>
      <c r="C184" s="41" t="s">
        <v>118</v>
      </c>
      <c r="D184" s="26" t="s">
        <v>36</v>
      </c>
      <c r="E184" s="26" t="s">
        <v>139</v>
      </c>
      <c r="F184" s="26" t="s">
        <v>36</v>
      </c>
      <c r="G184" s="26" t="s">
        <v>41</v>
      </c>
      <c r="H184" s="26" t="s">
        <v>545</v>
      </c>
      <c r="I184" s="17">
        <f ca="1">IFERROR(__xludf.DUMMYFUNCTION("""COMPUTED_VALUE"""),45133)</f>
        <v>45133</v>
      </c>
      <c r="J184" s="29" t="s">
        <v>1113</v>
      </c>
      <c r="K184" s="26" t="s">
        <v>1114</v>
      </c>
      <c r="L184" s="30">
        <v>967495817</v>
      </c>
      <c r="M184" s="26" t="s">
        <v>123</v>
      </c>
      <c r="N184" s="26" t="s">
        <v>151</v>
      </c>
      <c r="O184" s="26" t="s">
        <v>134</v>
      </c>
      <c r="P184" s="26" t="s">
        <v>1115</v>
      </c>
      <c r="Q184" s="20">
        <v>15936</v>
      </c>
      <c r="R184" s="26" t="s">
        <v>36</v>
      </c>
      <c r="S184" s="31">
        <v>1968</v>
      </c>
      <c r="T184" s="32">
        <v>45130</v>
      </c>
      <c r="U184" s="64">
        <f>13960+8</f>
        <v>13968</v>
      </c>
      <c r="V184" s="39" t="s">
        <v>1116</v>
      </c>
      <c r="W184" s="33" t="s">
        <v>1117</v>
      </c>
      <c r="X184" s="26">
        <v>0</v>
      </c>
      <c r="Y184" s="22">
        <v>0</v>
      </c>
      <c r="Z184" s="34" t="s">
        <v>50</v>
      </c>
      <c r="AA184" s="19" t="s">
        <v>901</v>
      </c>
      <c r="AB184" s="26" t="s">
        <v>104</v>
      </c>
      <c r="AC184" s="26" t="s">
        <v>53</v>
      </c>
      <c r="AD184" s="19" t="s">
        <v>54</v>
      </c>
      <c r="AE184" s="26"/>
      <c r="AF184" s="17">
        <v>45132</v>
      </c>
      <c r="AG184" s="26"/>
      <c r="AH184" s="26">
        <v>1</v>
      </c>
      <c r="AI184" s="40" t="s">
        <v>147</v>
      </c>
      <c r="AJ184" s="26"/>
      <c r="AK184" s="26"/>
      <c r="AL184" s="35"/>
      <c r="AM184" s="35"/>
      <c r="AN184" s="35"/>
      <c r="AO184" s="35"/>
      <c r="AP184" s="35"/>
    </row>
    <row r="185" spans="1:42" x14ac:dyDescent="0.2">
      <c r="A185" s="27">
        <v>45131.61167795139</v>
      </c>
      <c r="B185" s="28" t="s">
        <v>37</v>
      </c>
      <c r="C185" s="41" t="s">
        <v>118</v>
      </c>
      <c r="D185" s="26" t="s">
        <v>36</v>
      </c>
      <c r="E185" s="26" t="s">
        <v>139</v>
      </c>
      <c r="F185" s="26" t="s">
        <v>36</v>
      </c>
      <c r="G185" s="26" t="s">
        <v>41</v>
      </c>
      <c r="H185" s="26" t="s">
        <v>642</v>
      </c>
      <c r="I185" s="17">
        <f ca="1">IFERROR(__xludf.DUMMYFUNCTION("""COMPUTED_VALUE"""),45142)</f>
        <v>45142</v>
      </c>
      <c r="J185" s="29" t="s">
        <v>1118</v>
      </c>
      <c r="K185" s="26" t="s">
        <v>1119</v>
      </c>
      <c r="L185" s="30">
        <v>969712615</v>
      </c>
      <c r="M185" s="26" t="s">
        <v>123</v>
      </c>
      <c r="N185" s="26" t="s">
        <v>151</v>
      </c>
      <c r="O185" s="26" t="s">
        <v>134</v>
      </c>
      <c r="P185" s="26" t="s">
        <v>1120</v>
      </c>
      <c r="Q185" s="20">
        <v>15936</v>
      </c>
      <c r="R185" s="26" t="s">
        <v>36</v>
      </c>
      <c r="S185" s="31">
        <v>1968</v>
      </c>
      <c r="T185" s="32">
        <v>45131</v>
      </c>
      <c r="U185" s="31">
        <v>13968</v>
      </c>
      <c r="V185" s="32">
        <v>45153</v>
      </c>
      <c r="W185" s="33" t="s">
        <v>1121</v>
      </c>
      <c r="X185" s="26">
        <v>0</v>
      </c>
      <c r="Y185" s="22">
        <v>0</v>
      </c>
      <c r="Z185" s="34" t="s">
        <v>50</v>
      </c>
      <c r="AA185" s="19" t="s">
        <v>901</v>
      </c>
      <c r="AB185" s="26" t="s">
        <v>104</v>
      </c>
      <c r="AC185" s="26" t="s">
        <v>53</v>
      </c>
      <c r="AD185" s="19" t="s">
        <v>54</v>
      </c>
      <c r="AE185" s="26"/>
      <c r="AF185" s="17">
        <v>45135</v>
      </c>
      <c r="AG185" s="26"/>
      <c r="AH185" s="26">
        <v>1</v>
      </c>
      <c r="AI185" s="40" t="s">
        <v>147</v>
      </c>
      <c r="AJ185" s="26"/>
      <c r="AK185" s="26"/>
      <c r="AL185" s="35"/>
      <c r="AM185" s="35"/>
      <c r="AN185" s="35"/>
      <c r="AO185" s="35"/>
      <c r="AP185" s="35"/>
    </row>
    <row r="186" spans="1:42" x14ac:dyDescent="0.2">
      <c r="A186" s="27">
        <v>45132.206383668978</v>
      </c>
      <c r="B186" s="28" t="s">
        <v>37</v>
      </c>
      <c r="C186" s="41" t="s">
        <v>118</v>
      </c>
      <c r="D186" s="26" t="s">
        <v>36</v>
      </c>
      <c r="E186" s="26" t="s">
        <v>56</v>
      </c>
      <c r="F186" s="26" t="s">
        <v>36</v>
      </c>
      <c r="G186" s="26" t="s">
        <v>41</v>
      </c>
      <c r="H186" s="26" t="s">
        <v>642</v>
      </c>
      <c r="I186" s="17">
        <f ca="1">IFERROR(__xludf.DUMMYFUNCTION("""COMPUTED_VALUE"""),45142)</f>
        <v>45142</v>
      </c>
      <c r="J186" s="29" t="s">
        <v>1122</v>
      </c>
      <c r="K186" s="26" t="s">
        <v>1123</v>
      </c>
      <c r="L186" s="30">
        <v>363399640</v>
      </c>
      <c r="M186" s="26" t="s">
        <v>123</v>
      </c>
      <c r="N186" s="26" t="s">
        <v>151</v>
      </c>
      <c r="O186" s="26" t="s">
        <v>134</v>
      </c>
      <c r="P186" s="26" t="s">
        <v>1124</v>
      </c>
      <c r="Q186" s="20">
        <v>9317</v>
      </c>
      <c r="R186" s="26" t="s">
        <v>70</v>
      </c>
      <c r="S186" s="31">
        <v>1968</v>
      </c>
      <c r="T186" s="32">
        <v>45132</v>
      </c>
      <c r="U186" s="31">
        <v>7249</v>
      </c>
      <c r="V186" s="38">
        <v>45156</v>
      </c>
      <c r="W186" s="33" t="s">
        <v>1125</v>
      </c>
      <c r="X186" s="26">
        <v>100</v>
      </c>
      <c r="Y186" s="22">
        <v>0</v>
      </c>
      <c r="Z186" s="34" t="s">
        <v>50</v>
      </c>
      <c r="AA186" s="19" t="s">
        <v>901</v>
      </c>
      <c r="AB186" s="26" t="s">
        <v>104</v>
      </c>
      <c r="AC186" s="26" t="s">
        <v>53</v>
      </c>
      <c r="AD186" s="19" t="s">
        <v>54</v>
      </c>
      <c r="AE186" s="26"/>
      <c r="AF186" s="17">
        <v>45135</v>
      </c>
      <c r="AG186" s="26"/>
      <c r="AH186" s="26">
        <v>1</v>
      </c>
      <c r="AI186" s="40" t="s">
        <v>64</v>
      </c>
      <c r="AJ186" s="26"/>
      <c r="AK186" s="26"/>
      <c r="AL186" s="35"/>
      <c r="AM186" s="35"/>
      <c r="AN186" s="35"/>
      <c r="AO186" s="35"/>
      <c r="AP186" s="35"/>
    </row>
    <row r="187" spans="1:42" x14ac:dyDescent="0.2">
      <c r="A187" s="27">
        <v>45132.2079428125</v>
      </c>
      <c r="B187" s="28" t="s">
        <v>37</v>
      </c>
      <c r="C187" s="41" t="s">
        <v>118</v>
      </c>
      <c r="D187" s="26" t="s">
        <v>36</v>
      </c>
      <c r="E187" s="26" t="s">
        <v>56</v>
      </c>
      <c r="F187" s="26" t="s">
        <v>36</v>
      </c>
      <c r="G187" s="26" t="s">
        <v>41</v>
      </c>
      <c r="H187" s="26" t="s">
        <v>642</v>
      </c>
      <c r="I187" s="17">
        <f ca="1">IFERROR(__xludf.DUMMYFUNCTION("""COMPUTED_VALUE"""),45142)</f>
        <v>45142</v>
      </c>
      <c r="J187" s="29" t="s">
        <v>1126</v>
      </c>
      <c r="K187" s="26" t="s">
        <v>1127</v>
      </c>
      <c r="L187" s="30">
        <v>363963244</v>
      </c>
      <c r="M187" s="26" t="s">
        <v>123</v>
      </c>
      <c r="N187" s="26" t="s">
        <v>151</v>
      </c>
      <c r="O187" s="26" t="s">
        <v>134</v>
      </c>
      <c r="P187" s="42" t="s">
        <v>1128</v>
      </c>
      <c r="Q187" s="20">
        <v>9317</v>
      </c>
      <c r="R187" s="26" t="s">
        <v>70</v>
      </c>
      <c r="S187" s="31">
        <v>1968</v>
      </c>
      <c r="T187" s="32">
        <v>45132</v>
      </c>
      <c r="U187" s="31">
        <v>7249</v>
      </c>
      <c r="V187" s="38">
        <v>45156</v>
      </c>
      <c r="W187" s="33" t="s">
        <v>1129</v>
      </c>
      <c r="X187" s="26">
        <v>100</v>
      </c>
      <c r="Y187" s="22">
        <v>0</v>
      </c>
      <c r="Z187" s="34" t="s">
        <v>50</v>
      </c>
      <c r="AA187" s="19" t="s">
        <v>901</v>
      </c>
      <c r="AB187" s="26" t="s">
        <v>104</v>
      </c>
      <c r="AC187" s="26" t="s">
        <v>53</v>
      </c>
      <c r="AD187" s="19" t="s">
        <v>54</v>
      </c>
      <c r="AE187" s="26"/>
      <c r="AF187" s="17">
        <v>45135</v>
      </c>
      <c r="AG187" s="26"/>
      <c r="AH187" s="26">
        <v>1</v>
      </c>
      <c r="AI187" s="40" t="s">
        <v>64</v>
      </c>
      <c r="AJ187" s="26"/>
      <c r="AK187" s="26"/>
      <c r="AL187" s="35"/>
      <c r="AM187" s="35"/>
      <c r="AN187" s="35"/>
      <c r="AO187" s="35"/>
      <c r="AP187" s="35"/>
    </row>
    <row r="188" spans="1:42" x14ac:dyDescent="0.2">
      <c r="A188" s="27">
        <v>45133.158599259259</v>
      </c>
      <c r="B188" s="28" t="s">
        <v>37</v>
      </c>
      <c r="C188" s="41" t="s">
        <v>118</v>
      </c>
      <c r="D188" s="26" t="s">
        <v>36</v>
      </c>
      <c r="E188" s="26" t="s">
        <v>56</v>
      </c>
      <c r="F188" s="26" t="s">
        <v>36</v>
      </c>
      <c r="G188" s="26" t="s">
        <v>41</v>
      </c>
      <c r="H188" s="26" t="s">
        <v>505</v>
      </c>
      <c r="I188" s="17">
        <f ca="1">IFERROR(__xludf.DUMMYFUNCTION("""COMPUTED_VALUE"""),45141)</f>
        <v>45141</v>
      </c>
      <c r="J188" s="29" t="s">
        <v>1130</v>
      </c>
      <c r="K188" s="26" t="s">
        <v>1131</v>
      </c>
      <c r="L188" s="30">
        <v>376281233</v>
      </c>
      <c r="M188" s="26" t="s">
        <v>123</v>
      </c>
      <c r="N188" s="26" t="s">
        <v>151</v>
      </c>
      <c r="O188" s="26" t="s">
        <v>134</v>
      </c>
      <c r="P188" s="26" t="s">
        <v>1132</v>
      </c>
      <c r="Q188" s="20">
        <v>9317</v>
      </c>
      <c r="R188" s="26" t="s">
        <v>70</v>
      </c>
      <c r="S188" s="31">
        <v>2000</v>
      </c>
      <c r="T188" s="32">
        <v>45133</v>
      </c>
      <c r="U188" s="31">
        <v>7317</v>
      </c>
      <c r="V188" s="32">
        <v>45153</v>
      </c>
      <c r="W188" s="33" t="s">
        <v>1133</v>
      </c>
      <c r="X188" s="26">
        <v>100</v>
      </c>
      <c r="Y188" s="22">
        <v>-100</v>
      </c>
      <c r="Z188" s="34" t="s">
        <v>50</v>
      </c>
      <c r="AA188" s="19" t="s">
        <v>901</v>
      </c>
      <c r="AB188" s="26" t="s">
        <v>104</v>
      </c>
      <c r="AC188" s="26" t="s">
        <v>53</v>
      </c>
      <c r="AD188" s="19" t="s">
        <v>54</v>
      </c>
      <c r="AE188" s="26"/>
      <c r="AF188" s="17">
        <v>45135</v>
      </c>
      <c r="AG188" s="26"/>
      <c r="AH188" s="26">
        <v>1</v>
      </c>
      <c r="AI188" s="40" t="s">
        <v>64</v>
      </c>
      <c r="AJ188" s="26"/>
      <c r="AK188" s="26"/>
      <c r="AL188" s="35"/>
      <c r="AM188" s="35"/>
      <c r="AN188" s="35"/>
      <c r="AO188" s="35"/>
      <c r="AP188" s="35"/>
    </row>
    <row r="189" spans="1:42" x14ac:dyDescent="0.2">
      <c r="A189" s="27">
        <v>45133.659970324079</v>
      </c>
      <c r="B189" s="28" t="s">
        <v>37</v>
      </c>
      <c r="C189" s="41" t="s">
        <v>118</v>
      </c>
      <c r="D189" s="26" t="s">
        <v>36</v>
      </c>
      <c r="E189" s="26" t="s">
        <v>56</v>
      </c>
      <c r="F189" s="26" t="s">
        <v>36</v>
      </c>
      <c r="G189" s="26" t="s">
        <v>41</v>
      </c>
      <c r="H189" s="26" t="s">
        <v>642</v>
      </c>
      <c r="I189" s="17">
        <f ca="1">IFERROR(__xludf.DUMMYFUNCTION("""COMPUTED_VALUE"""),45142)</f>
        <v>45142</v>
      </c>
      <c r="J189" s="29" t="s">
        <v>1134</v>
      </c>
      <c r="K189" s="26" t="s">
        <v>1135</v>
      </c>
      <c r="L189" s="30">
        <v>867843947</v>
      </c>
      <c r="M189" s="26" t="s">
        <v>910</v>
      </c>
      <c r="N189" s="26" t="s">
        <v>355</v>
      </c>
      <c r="O189" s="26" t="s">
        <v>1136</v>
      </c>
      <c r="P189" s="26" t="s">
        <v>1137</v>
      </c>
      <c r="Q189" s="20">
        <v>9317</v>
      </c>
      <c r="R189" s="26" t="s">
        <v>36</v>
      </c>
      <c r="S189" s="31">
        <v>2000</v>
      </c>
      <c r="T189" s="32">
        <v>45133</v>
      </c>
      <c r="U189" s="31">
        <v>7317</v>
      </c>
      <c r="V189" s="32">
        <v>45155</v>
      </c>
      <c r="W189" s="26" t="s">
        <v>1138</v>
      </c>
      <c r="X189" s="26">
        <v>0</v>
      </c>
      <c r="Y189" s="22">
        <v>0</v>
      </c>
      <c r="Z189" s="34" t="s">
        <v>50</v>
      </c>
      <c r="AA189" s="19" t="s">
        <v>901</v>
      </c>
      <c r="AB189" s="26" t="s">
        <v>104</v>
      </c>
      <c r="AC189" s="26" t="s">
        <v>53</v>
      </c>
      <c r="AD189" s="19" t="s">
        <v>54</v>
      </c>
      <c r="AE189" s="26"/>
      <c r="AF189" s="17">
        <v>45135</v>
      </c>
      <c r="AG189" s="26"/>
      <c r="AH189" s="26">
        <v>1</v>
      </c>
      <c r="AI189" s="40" t="s">
        <v>64</v>
      </c>
      <c r="AJ189" s="26"/>
      <c r="AK189" s="26"/>
      <c r="AL189" s="35"/>
      <c r="AM189" s="35"/>
      <c r="AN189" s="35"/>
      <c r="AO189" s="35"/>
      <c r="AP189" s="35"/>
    </row>
    <row r="190" spans="1:42" x14ac:dyDescent="0.2">
      <c r="A190" s="27">
        <v>45133.667646215283</v>
      </c>
      <c r="B190" s="28" t="s">
        <v>37</v>
      </c>
      <c r="C190" s="41" t="s">
        <v>118</v>
      </c>
      <c r="D190" s="26" t="s">
        <v>36</v>
      </c>
      <c r="E190" s="26" t="s">
        <v>148</v>
      </c>
      <c r="F190" s="26" t="s">
        <v>36</v>
      </c>
      <c r="G190" s="26" t="s">
        <v>108</v>
      </c>
      <c r="H190" s="26" t="s">
        <v>765</v>
      </c>
      <c r="I190" s="17">
        <f ca="1">IFERROR(__xludf.DUMMYFUNCTION("""COMPUTED_VALUE"""),45139)</f>
        <v>45139</v>
      </c>
      <c r="J190" s="28" t="s">
        <v>1139</v>
      </c>
      <c r="K190" s="26" t="s">
        <v>1140</v>
      </c>
      <c r="L190" s="30">
        <v>384449827</v>
      </c>
      <c r="M190" s="26" t="s">
        <v>80</v>
      </c>
      <c r="N190" s="26" t="s">
        <v>81</v>
      </c>
      <c r="O190" s="26" t="s">
        <v>1141</v>
      </c>
      <c r="P190" s="26" t="s">
        <v>1142</v>
      </c>
      <c r="Q190" s="20">
        <v>7349</v>
      </c>
      <c r="R190" s="26" t="s">
        <v>36</v>
      </c>
      <c r="S190" s="31">
        <v>4000</v>
      </c>
      <c r="T190" s="32">
        <v>45133</v>
      </c>
      <c r="U190" s="31">
        <v>3350</v>
      </c>
      <c r="V190" s="32">
        <v>45156</v>
      </c>
      <c r="W190" s="33" t="s">
        <v>1143</v>
      </c>
      <c r="X190" s="26">
        <v>0</v>
      </c>
      <c r="Y190" s="22">
        <v>-1</v>
      </c>
      <c r="Z190" s="34" t="s">
        <v>50</v>
      </c>
      <c r="AA190" s="19" t="s">
        <v>901</v>
      </c>
      <c r="AB190" s="26" t="s">
        <v>1144</v>
      </c>
      <c r="AC190" s="26" t="s">
        <v>53</v>
      </c>
      <c r="AD190" s="19" t="s">
        <v>54</v>
      </c>
      <c r="AE190" s="26">
        <v>400</v>
      </c>
      <c r="AF190" s="17">
        <v>45135</v>
      </c>
      <c r="AG190" s="26"/>
      <c r="AH190" s="26">
        <v>1</v>
      </c>
      <c r="AI190" s="40">
        <v>2</v>
      </c>
      <c r="AJ190" s="26"/>
      <c r="AK190" s="26"/>
      <c r="AL190" s="35"/>
      <c r="AM190" s="35"/>
      <c r="AN190" s="35"/>
      <c r="AO190" s="35"/>
      <c r="AP190" s="35"/>
    </row>
    <row r="191" spans="1:42" x14ac:dyDescent="0.2">
      <c r="A191" s="27">
        <v>45133.669334293983</v>
      </c>
      <c r="B191" s="28" t="s">
        <v>37</v>
      </c>
      <c r="C191" s="41" t="s">
        <v>118</v>
      </c>
      <c r="D191" s="26" t="s">
        <v>36</v>
      </c>
      <c r="E191" s="26" t="s">
        <v>56</v>
      </c>
      <c r="F191" s="26" t="s">
        <v>36</v>
      </c>
      <c r="G191" s="26" t="s">
        <v>41</v>
      </c>
      <c r="H191" s="19" t="s">
        <v>1145</v>
      </c>
      <c r="I191" s="17">
        <f ca="1">IFERROR(__xludf.DUMMYFUNCTION("""COMPUTED_VALUE"""),45155)</f>
        <v>45155</v>
      </c>
      <c r="J191" s="49" t="s">
        <v>1146</v>
      </c>
      <c r="K191" s="19" t="s">
        <v>1147</v>
      </c>
      <c r="L191" s="47">
        <v>866768171</v>
      </c>
      <c r="M191" s="19" t="s">
        <v>80</v>
      </c>
      <c r="N191" s="19" t="s">
        <v>186</v>
      </c>
      <c r="O191" s="19" t="s">
        <v>1148</v>
      </c>
      <c r="P191" s="26" t="s">
        <v>1149</v>
      </c>
      <c r="Q191" s="20">
        <v>9317</v>
      </c>
      <c r="R191" s="26" t="s">
        <v>36</v>
      </c>
      <c r="S191" s="31">
        <v>4000</v>
      </c>
      <c r="T191" s="32">
        <v>45133</v>
      </c>
      <c r="U191" s="31">
        <v>5317</v>
      </c>
      <c r="V191" s="32">
        <v>45163</v>
      </c>
      <c r="W191" s="33" t="s">
        <v>1150</v>
      </c>
      <c r="X191" s="26">
        <v>0</v>
      </c>
      <c r="Y191" s="22">
        <v>0</v>
      </c>
      <c r="Z191" s="34" t="s">
        <v>50</v>
      </c>
      <c r="AA191" s="19" t="s">
        <v>901</v>
      </c>
      <c r="AB191" s="26" t="s">
        <v>104</v>
      </c>
      <c r="AC191" s="26" t="s">
        <v>53</v>
      </c>
      <c r="AD191" s="19" t="s">
        <v>54</v>
      </c>
      <c r="AE191" s="26">
        <v>0</v>
      </c>
      <c r="AF191" s="17">
        <v>45149</v>
      </c>
      <c r="AG191" s="26"/>
      <c r="AH191" s="26">
        <v>1</v>
      </c>
      <c r="AI191" s="40" t="s">
        <v>64</v>
      </c>
      <c r="AJ191" s="26"/>
      <c r="AK191" s="26"/>
      <c r="AL191" s="35"/>
      <c r="AM191" s="35"/>
      <c r="AN191" s="35"/>
      <c r="AO191" s="35"/>
      <c r="AP191" s="35"/>
    </row>
    <row r="192" spans="1:42" x14ac:dyDescent="0.2">
      <c r="A192" s="27">
        <v>45135.269649178241</v>
      </c>
      <c r="B192" s="28" t="s">
        <v>37</v>
      </c>
      <c r="C192" s="41" t="s">
        <v>118</v>
      </c>
      <c r="D192" s="26" t="s">
        <v>36</v>
      </c>
      <c r="E192" s="26" t="s">
        <v>139</v>
      </c>
      <c r="F192" s="26" t="s">
        <v>36</v>
      </c>
      <c r="G192" s="26" t="s">
        <v>41</v>
      </c>
      <c r="H192" s="26" t="s">
        <v>694</v>
      </c>
      <c r="I192" s="17">
        <f ca="1">IFERROR(__xludf.DUMMYFUNCTION("""COMPUTED_VALUE"""),45146)</f>
        <v>45146</v>
      </c>
      <c r="J192" s="29" t="s">
        <v>1151</v>
      </c>
      <c r="K192" s="26" t="s">
        <v>1152</v>
      </c>
      <c r="L192" s="30">
        <v>372180187</v>
      </c>
      <c r="M192" s="26" t="s">
        <v>123</v>
      </c>
      <c r="N192" s="26" t="s">
        <v>310</v>
      </c>
      <c r="O192" s="26" t="s">
        <v>134</v>
      </c>
      <c r="P192" s="26" t="s">
        <v>1153</v>
      </c>
      <c r="Q192" s="20">
        <v>15936</v>
      </c>
      <c r="R192" s="26" t="s">
        <v>36</v>
      </c>
      <c r="S192" s="31">
        <v>1968</v>
      </c>
      <c r="T192" s="32">
        <v>45135</v>
      </c>
      <c r="U192" s="31">
        <v>13968</v>
      </c>
      <c r="V192" s="32">
        <v>45163</v>
      </c>
      <c r="W192" s="33" t="s">
        <v>1154</v>
      </c>
      <c r="X192" s="26">
        <v>0</v>
      </c>
      <c r="Y192" s="22">
        <v>0</v>
      </c>
      <c r="Z192" s="34" t="s">
        <v>50</v>
      </c>
      <c r="AA192" s="19" t="s">
        <v>901</v>
      </c>
      <c r="AB192" s="26" t="s">
        <v>104</v>
      </c>
      <c r="AC192" s="26" t="s">
        <v>53</v>
      </c>
      <c r="AD192" s="19" t="s">
        <v>54</v>
      </c>
      <c r="AE192" s="26"/>
      <c r="AF192" s="17">
        <v>45135</v>
      </c>
      <c r="AG192" s="26" t="s">
        <v>1155</v>
      </c>
      <c r="AH192" s="26">
        <v>1</v>
      </c>
      <c r="AI192" s="40" t="s">
        <v>147</v>
      </c>
      <c r="AJ192" s="26"/>
      <c r="AK192" s="26"/>
      <c r="AL192" s="35"/>
      <c r="AM192" s="35"/>
      <c r="AN192" s="35"/>
      <c r="AO192" s="35"/>
      <c r="AP192" s="35"/>
    </row>
    <row r="193" spans="1:42" x14ac:dyDescent="0.2">
      <c r="A193" s="27">
        <v>45135.537602071759</v>
      </c>
      <c r="B193" s="28" t="s">
        <v>37</v>
      </c>
      <c r="C193" s="41" t="s">
        <v>118</v>
      </c>
      <c r="D193" s="26" t="s">
        <v>36</v>
      </c>
      <c r="E193" s="26" t="s">
        <v>56</v>
      </c>
      <c r="F193" s="26" t="s">
        <v>36</v>
      </c>
      <c r="G193" s="26" t="s">
        <v>41</v>
      </c>
      <c r="H193" s="26" t="s">
        <v>707</v>
      </c>
      <c r="I193" s="17">
        <f ca="1">IFERROR(__xludf.DUMMYFUNCTION("""COMPUTED_VALUE"""),45144)</f>
        <v>45144</v>
      </c>
      <c r="J193" s="29" t="s">
        <v>1156</v>
      </c>
      <c r="K193" s="26" t="s">
        <v>1157</v>
      </c>
      <c r="L193" s="30">
        <v>363565334</v>
      </c>
      <c r="M193" s="26" t="s">
        <v>80</v>
      </c>
      <c r="N193" s="26" t="s">
        <v>466</v>
      </c>
      <c r="O193" s="26" t="s">
        <v>1158</v>
      </c>
      <c r="P193" s="26" t="s">
        <v>1159</v>
      </c>
      <c r="Q193" s="20">
        <v>9317</v>
      </c>
      <c r="R193" s="26" t="s">
        <v>36</v>
      </c>
      <c r="S193" s="31">
        <v>4000</v>
      </c>
      <c r="T193" s="32">
        <v>45135</v>
      </c>
      <c r="U193" s="31">
        <v>5317</v>
      </c>
      <c r="V193" s="32">
        <v>45166</v>
      </c>
      <c r="W193" s="33" t="s">
        <v>1160</v>
      </c>
      <c r="X193" s="26">
        <v>0</v>
      </c>
      <c r="Y193" s="22">
        <v>0</v>
      </c>
      <c r="Z193" s="34" t="s">
        <v>50</v>
      </c>
      <c r="AA193" s="19" t="s">
        <v>901</v>
      </c>
      <c r="AB193" s="26" t="s">
        <v>104</v>
      </c>
      <c r="AC193" s="26" t="s">
        <v>53</v>
      </c>
      <c r="AD193" s="19" t="s">
        <v>54</v>
      </c>
      <c r="AE193" s="26">
        <v>0</v>
      </c>
      <c r="AF193" s="17">
        <v>45140</v>
      </c>
      <c r="AG193" s="26"/>
      <c r="AH193" s="26">
        <v>1</v>
      </c>
      <c r="AI193" s="40" t="s">
        <v>64</v>
      </c>
      <c r="AJ193" s="26"/>
      <c r="AK193" s="26"/>
      <c r="AL193" s="35"/>
      <c r="AM193" s="35"/>
      <c r="AN193" s="35"/>
      <c r="AO193" s="35"/>
      <c r="AP193" s="35"/>
    </row>
    <row r="194" spans="1:42" x14ac:dyDescent="0.2">
      <c r="A194" s="27">
        <v>45135.548659942127</v>
      </c>
      <c r="B194" s="28" t="s">
        <v>37</v>
      </c>
      <c r="C194" s="41" t="s">
        <v>118</v>
      </c>
      <c r="D194" s="26" t="s">
        <v>36</v>
      </c>
      <c r="E194" s="26" t="s">
        <v>56</v>
      </c>
      <c r="F194" s="26" t="s">
        <v>36</v>
      </c>
      <c r="G194" s="26" t="s">
        <v>41</v>
      </c>
      <c r="H194" s="26" t="s">
        <v>707</v>
      </c>
      <c r="I194" s="17">
        <f ca="1">IFERROR(__xludf.DUMMYFUNCTION("""COMPUTED_VALUE"""),45144)</f>
        <v>45144</v>
      </c>
      <c r="J194" s="29" t="s">
        <v>1161</v>
      </c>
      <c r="K194" s="26" t="s">
        <v>1162</v>
      </c>
      <c r="L194" s="30">
        <v>865321398</v>
      </c>
      <c r="M194" s="26" t="s">
        <v>123</v>
      </c>
      <c r="N194" s="26" t="s">
        <v>151</v>
      </c>
      <c r="O194" s="26" t="s">
        <v>134</v>
      </c>
      <c r="P194" s="26" t="s">
        <v>1163</v>
      </c>
      <c r="Q194" s="20">
        <v>9317</v>
      </c>
      <c r="R194" s="26" t="s">
        <v>36</v>
      </c>
      <c r="S194" s="31"/>
      <c r="T194" s="32">
        <v>45133</v>
      </c>
      <c r="U194" s="31">
        <v>9317</v>
      </c>
      <c r="V194" s="38">
        <v>45163</v>
      </c>
      <c r="W194" s="33" t="s">
        <v>1164</v>
      </c>
      <c r="X194" s="26">
        <v>0</v>
      </c>
      <c r="Y194" s="22">
        <v>0</v>
      </c>
      <c r="Z194" s="34" t="s">
        <v>50</v>
      </c>
      <c r="AA194" s="19" t="s">
        <v>901</v>
      </c>
      <c r="AB194" s="26" t="s">
        <v>104</v>
      </c>
      <c r="AC194" s="26" t="s">
        <v>53</v>
      </c>
      <c r="AD194" s="19" t="s">
        <v>54</v>
      </c>
      <c r="AE194" s="26"/>
      <c r="AF194" s="17">
        <v>45140</v>
      </c>
      <c r="AG194" s="42" t="s">
        <v>1165</v>
      </c>
      <c r="AH194" s="26">
        <v>3</v>
      </c>
      <c r="AI194" s="40" t="s">
        <v>64</v>
      </c>
      <c r="AJ194" s="26"/>
      <c r="AK194" s="26"/>
      <c r="AL194" s="35"/>
      <c r="AM194" s="35"/>
      <c r="AN194" s="35"/>
      <c r="AO194" s="35"/>
      <c r="AP194" s="35"/>
    </row>
    <row r="195" spans="1:42" x14ac:dyDescent="0.2">
      <c r="A195" s="27">
        <v>45135.686927951392</v>
      </c>
      <c r="B195" s="28" t="s">
        <v>37</v>
      </c>
      <c r="C195" s="41" t="s">
        <v>118</v>
      </c>
      <c r="D195" s="26" t="s">
        <v>36</v>
      </c>
      <c r="E195" s="26" t="s">
        <v>119</v>
      </c>
      <c r="F195" s="26" t="s">
        <v>36</v>
      </c>
      <c r="G195" s="26" t="s">
        <v>108</v>
      </c>
      <c r="H195" s="26" t="s">
        <v>524</v>
      </c>
      <c r="I195" s="17">
        <f ca="1">IFERROR(__xludf.DUMMYFUNCTION("""COMPUTED_VALUE"""),45146)</f>
        <v>45146</v>
      </c>
      <c r="J195" s="29" t="s">
        <v>1166</v>
      </c>
      <c r="K195" s="35" t="s">
        <v>1167</v>
      </c>
      <c r="L195" s="47">
        <v>763160009</v>
      </c>
      <c r="M195" s="19" t="s">
        <v>80</v>
      </c>
      <c r="N195" s="19" t="s">
        <v>299</v>
      </c>
      <c r="O195" s="26" t="s">
        <v>1168</v>
      </c>
      <c r="P195" s="26" t="s">
        <v>1169</v>
      </c>
      <c r="Q195" s="20">
        <v>13968</v>
      </c>
      <c r="R195" s="26" t="s">
        <v>36</v>
      </c>
      <c r="S195" s="58">
        <v>4000</v>
      </c>
      <c r="T195" s="59">
        <v>45139</v>
      </c>
      <c r="U195" s="31">
        <v>9968</v>
      </c>
      <c r="V195" s="38">
        <v>45163</v>
      </c>
      <c r="W195" s="33" t="s">
        <v>1170</v>
      </c>
      <c r="X195" s="26">
        <v>0</v>
      </c>
      <c r="Y195" s="22">
        <v>0</v>
      </c>
      <c r="Z195" s="34" t="s">
        <v>50</v>
      </c>
      <c r="AA195" s="19" t="s">
        <v>901</v>
      </c>
      <c r="AB195" s="26" t="s">
        <v>137</v>
      </c>
      <c r="AC195" s="26" t="s">
        <v>53</v>
      </c>
      <c r="AD195" s="19" t="s">
        <v>54</v>
      </c>
      <c r="AE195" s="26">
        <v>510</v>
      </c>
      <c r="AF195" s="17">
        <v>45141</v>
      </c>
      <c r="AG195" s="26"/>
      <c r="AH195" s="26">
        <v>1</v>
      </c>
      <c r="AI195" s="40">
        <v>4</v>
      </c>
      <c r="AJ195" s="26"/>
      <c r="AK195" s="26"/>
      <c r="AL195" s="35"/>
      <c r="AM195" s="35"/>
      <c r="AN195" s="35"/>
      <c r="AO195" s="35"/>
      <c r="AP195" s="35"/>
    </row>
    <row r="196" spans="1:42" x14ac:dyDescent="0.2">
      <c r="A196" s="27">
        <v>45137.162602905097</v>
      </c>
      <c r="B196" s="28" t="s">
        <v>37</v>
      </c>
      <c r="C196" s="41" t="s">
        <v>118</v>
      </c>
      <c r="D196" s="26" t="s">
        <v>36</v>
      </c>
      <c r="E196" s="26" t="s">
        <v>139</v>
      </c>
      <c r="F196" s="26" t="s">
        <v>36</v>
      </c>
      <c r="G196" s="26" t="s">
        <v>41</v>
      </c>
      <c r="H196" s="26" t="s">
        <v>694</v>
      </c>
      <c r="I196" s="17">
        <f ca="1">IFERROR(__xludf.DUMMYFUNCTION("""COMPUTED_VALUE"""),45146)</f>
        <v>45146</v>
      </c>
      <c r="J196" s="29" t="s">
        <v>1171</v>
      </c>
      <c r="K196" s="26" t="s">
        <v>1172</v>
      </c>
      <c r="L196" s="30">
        <v>386960308</v>
      </c>
      <c r="M196" s="26" t="s">
        <v>123</v>
      </c>
      <c r="N196" s="26" t="s">
        <v>151</v>
      </c>
      <c r="O196" s="26" t="s">
        <v>143</v>
      </c>
      <c r="P196" s="26" t="s">
        <v>1173</v>
      </c>
      <c r="Q196" s="20">
        <v>15936</v>
      </c>
      <c r="R196" s="26" t="s">
        <v>36</v>
      </c>
      <c r="S196" s="31">
        <v>2000</v>
      </c>
      <c r="T196" s="32">
        <v>45136</v>
      </c>
      <c r="U196" s="31">
        <v>13936</v>
      </c>
      <c r="V196" s="32">
        <v>45159</v>
      </c>
      <c r="W196" s="33" t="s">
        <v>1174</v>
      </c>
      <c r="X196" s="26">
        <v>0</v>
      </c>
      <c r="Y196" s="22">
        <v>0</v>
      </c>
      <c r="Z196" s="34" t="s">
        <v>50</v>
      </c>
      <c r="AA196" s="19" t="s">
        <v>901</v>
      </c>
      <c r="AB196" s="26" t="s">
        <v>104</v>
      </c>
      <c r="AC196" s="26" t="s">
        <v>53</v>
      </c>
      <c r="AD196" s="19" t="s">
        <v>54</v>
      </c>
      <c r="AE196" s="26"/>
      <c r="AF196" s="17">
        <v>45140</v>
      </c>
      <c r="AG196" s="26" t="s">
        <v>1175</v>
      </c>
      <c r="AH196" s="26">
        <v>1</v>
      </c>
      <c r="AI196" s="40" t="s">
        <v>147</v>
      </c>
      <c r="AJ196" s="26"/>
      <c r="AK196" s="26"/>
      <c r="AL196" s="35"/>
      <c r="AM196" s="35"/>
      <c r="AN196" s="35"/>
      <c r="AO196" s="35"/>
      <c r="AP196" s="35"/>
    </row>
    <row r="197" spans="1:42" x14ac:dyDescent="0.2">
      <c r="A197" s="27">
        <v>45137.172407743055</v>
      </c>
      <c r="B197" s="28" t="s">
        <v>37</v>
      </c>
      <c r="C197" s="41" t="s">
        <v>118</v>
      </c>
      <c r="D197" s="26" t="s">
        <v>36</v>
      </c>
      <c r="E197" s="26" t="s">
        <v>148</v>
      </c>
      <c r="F197" s="26" t="s">
        <v>36</v>
      </c>
      <c r="G197" s="26" t="s">
        <v>108</v>
      </c>
      <c r="H197" s="26" t="s">
        <v>1176</v>
      </c>
      <c r="I197" s="17">
        <f ca="1">IFERROR(__xludf.DUMMYFUNCTION("""COMPUTED_VALUE"""),45258)</f>
        <v>45258</v>
      </c>
      <c r="J197" s="29" t="s">
        <v>1177</v>
      </c>
      <c r="K197" s="26" t="s">
        <v>1178</v>
      </c>
      <c r="L197" s="30">
        <v>384873689</v>
      </c>
      <c r="M197" s="26" t="s">
        <v>80</v>
      </c>
      <c r="N197" s="26" t="s">
        <v>466</v>
      </c>
      <c r="O197" s="26" t="s">
        <v>1179</v>
      </c>
      <c r="P197" s="26" t="s">
        <v>1180</v>
      </c>
      <c r="Q197" s="20">
        <v>7349</v>
      </c>
      <c r="R197" s="26" t="s">
        <v>36</v>
      </c>
      <c r="S197" s="31">
        <v>4000</v>
      </c>
      <c r="T197" s="32">
        <v>45137</v>
      </c>
      <c r="U197" s="31">
        <v>3349</v>
      </c>
      <c r="V197" s="32">
        <v>45165</v>
      </c>
      <c r="W197" s="33" t="s">
        <v>1181</v>
      </c>
      <c r="X197" s="26">
        <v>0</v>
      </c>
      <c r="Y197" s="22">
        <v>0</v>
      </c>
      <c r="Z197" s="34" t="s">
        <v>50</v>
      </c>
      <c r="AA197" s="19" t="s">
        <v>901</v>
      </c>
      <c r="AB197" s="26" t="s">
        <v>137</v>
      </c>
      <c r="AC197" s="26" t="s">
        <v>53</v>
      </c>
      <c r="AD197" s="19" t="s">
        <v>54</v>
      </c>
      <c r="AE197" s="26">
        <v>390</v>
      </c>
      <c r="AF197" s="17">
        <v>45141</v>
      </c>
      <c r="AG197" s="26" t="s">
        <v>1182</v>
      </c>
      <c r="AH197" s="26">
        <v>1</v>
      </c>
      <c r="AI197" s="40">
        <v>2</v>
      </c>
      <c r="AJ197" s="26"/>
      <c r="AK197" s="26"/>
      <c r="AL197" s="35"/>
      <c r="AM197" s="35"/>
      <c r="AN197" s="35"/>
      <c r="AO197" s="35"/>
      <c r="AP197" s="35"/>
    </row>
    <row r="198" spans="1:42" x14ac:dyDescent="0.2">
      <c r="A198" s="27">
        <v>45137.690395347221</v>
      </c>
      <c r="B198" s="28" t="s">
        <v>37</v>
      </c>
      <c r="C198" s="41" t="s">
        <v>118</v>
      </c>
      <c r="D198" s="26" t="s">
        <v>36</v>
      </c>
      <c r="E198" s="26" t="s">
        <v>106</v>
      </c>
      <c r="F198" s="26" t="s">
        <v>36</v>
      </c>
      <c r="G198" s="26" t="s">
        <v>108</v>
      </c>
      <c r="H198" s="26" t="s">
        <v>1183</v>
      </c>
      <c r="I198" s="17" t="str">
        <f ca="1">IFERROR(__xludf.DUMMYFUNCTION("""COMPUTED_VALUE""")," ")</f>
        <v xml:space="preserve"> </v>
      </c>
      <c r="J198" s="29" t="s">
        <v>1184</v>
      </c>
      <c r="K198" s="26" t="s">
        <v>1185</v>
      </c>
      <c r="L198" s="30">
        <v>983278536</v>
      </c>
      <c r="M198" s="26" t="s">
        <v>80</v>
      </c>
      <c r="N198" s="26" t="s">
        <v>299</v>
      </c>
      <c r="O198" s="26" t="s">
        <v>1186</v>
      </c>
      <c r="P198" s="26" t="s">
        <v>1187</v>
      </c>
      <c r="Q198" s="20">
        <v>3768</v>
      </c>
      <c r="R198" s="26" t="s">
        <v>36</v>
      </c>
      <c r="S198" s="31">
        <v>4000</v>
      </c>
      <c r="T198" s="32">
        <v>45137</v>
      </c>
      <c r="U198" s="31"/>
      <c r="V198" s="16" t="s">
        <v>1188</v>
      </c>
      <c r="W198" s="26" t="s">
        <v>1189</v>
      </c>
      <c r="X198" s="26">
        <v>0</v>
      </c>
      <c r="Y198" s="22">
        <v>-232</v>
      </c>
      <c r="Z198" s="34" t="s">
        <v>50</v>
      </c>
      <c r="AA198" s="19" t="s">
        <v>901</v>
      </c>
      <c r="AB198" s="26" t="s">
        <v>137</v>
      </c>
      <c r="AC198" s="26" t="s">
        <v>53</v>
      </c>
      <c r="AD198" s="19" t="s">
        <v>54</v>
      </c>
      <c r="AE198" s="26">
        <v>400</v>
      </c>
      <c r="AF198" s="17">
        <v>45140</v>
      </c>
      <c r="AG198" s="26" t="s">
        <v>1190</v>
      </c>
      <c r="AH198" s="26">
        <v>1</v>
      </c>
      <c r="AI198" s="40">
        <v>1</v>
      </c>
      <c r="AJ198" s="26"/>
      <c r="AK198" s="26"/>
      <c r="AL198" s="35"/>
      <c r="AM198" s="35"/>
      <c r="AN198" s="35"/>
      <c r="AO198" s="35"/>
      <c r="AP198" s="35"/>
    </row>
    <row r="199" spans="1:42" x14ac:dyDescent="0.2">
      <c r="A199" s="27">
        <v>45139.088572118053</v>
      </c>
      <c r="B199" s="28" t="s">
        <v>37</v>
      </c>
      <c r="C199" s="41" t="s">
        <v>118</v>
      </c>
      <c r="D199" s="26" t="s">
        <v>36</v>
      </c>
      <c r="E199" s="26" t="s">
        <v>39</v>
      </c>
      <c r="F199" s="26" t="s">
        <v>36</v>
      </c>
      <c r="G199" s="26" t="s">
        <v>41</v>
      </c>
      <c r="H199" s="26" t="s">
        <v>688</v>
      </c>
      <c r="I199" s="17">
        <f ca="1">IFERROR(__xludf.DUMMYFUNCTION("""COMPUTED_VALUE"""),45145)</f>
        <v>45145</v>
      </c>
      <c r="J199" s="29" t="s">
        <v>1191</v>
      </c>
      <c r="K199" s="26" t="s">
        <v>1192</v>
      </c>
      <c r="L199" s="30">
        <v>904320829</v>
      </c>
      <c r="M199" s="26" t="s">
        <v>123</v>
      </c>
      <c r="N199" s="26" t="s">
        <v>310</v>
      </c>
      <c r="O199" s="26" t="s">
        <v>805</v>
      </c>
      <c r="P199" s="26" t="s">
        <v>1193</v>
      </c>
      <c r="Q199" s="20">
        <v>5736</v>
      </c>
      <c r="R199" s="26" t="s">
        <v>36</v>
      </c>
      <c r="S199" s="31">
        <v>1968</v>
      </c>
      <c r="T199" s="59">
        <v>45139</v>
      </c>
      <c r="U199" s="31">
        <v>3768</v>
      </c>
      <c r="V199" s="32">
        <v>45166</v>
      </c>
      <c r="W199" s="33" t="s">
        <v>1194</v>
      </c>
      <c r="X199" s="26">
        <v>0</v>
      </c>
      <c r="Y199" s="22">
        <v>0</v>
      </c>
      <c r="Z199" s="34" t="s">
        <v>50</v>
      </c>
      <c r="AA199" s="19" t="s">
        <v>901</v>
      </c>
      <c r="AB199" s="26" t="s">
        <v>104</v>
      </c>
      <c r="AC199" s="26" t="s">
        <v>53</v>
      </c>
      <c r="AD199" s="19" t="s">
        <v>54</v>
      </c>
      <c r="AE199" s="26"/>
      <c r="AF199" s="17">
        <v>45141</v>
      </c>
      <c r="AG199" s="26" t="s">
        <v>1195</v>
      </c>
      <c r="AH199" s="26">
        <v>1</v>
      </c>
      <c r="AI199" s="40" t="s">
        <v>55</v>
      </c>
      <c r="AJ199" s="26"/>
      <c r="AK199" s="26"/>
      <c r="AL199" s="35"/>
      <c r="AM199" s="35"/>
      <c r="AN199" s="35"/>
      <c r="AO199" s="35"/>
      <c r="AP199" s="35"/>
    </row>
    <row r="200" spans="1:42" x14ac:dyDescent="0.2">
      <c r="A200" s="27">
        <v>45139.154572349536</v>
      </c>
      <c r="B200" s="28" t="s">
        <v>37</v>
      </c>
      <c r="C200" s="41" t="s">
        <v>118</v>
      </c>
      <c r="D200" s="26" t="s">
        <v>36</v>
      </c>
      <c r="E200" s="26" t="s">
        <v>106</v>
      </c>
      <c r="F200" s="26" t="s">
        <v>36</v>
      </c>
      <c r="G200" s="26" t="s">
        <v>108</v>
      </c>
      <c r="H200" s="26" t="s">
        <v>524</v>
      </c>
      <c r="I200" s="17">
        <f ca="1">IFERROR(__xludf.DUMMYFUNCTION("""COMPUTED_VALUE"""),45146)</f>
        <v>45146</v>
      </c>
      <c r="J200" s="29" t="s">
        <v>1196</v>
      </c>
      <c r="K200" s="26" t="s">
        <v>1197</v>
      </c>
      <c r="L200" s="30">
        <v>366847954</v>
      </c>
      <c r="M200" s="26" t="s">
        <v>45</v>
      </c>
      <c r="N200" s="26" t="s">
        <v>1198</v>
      </c>
      <c r="O200" s="26" t="s">
        <v>1199</v>
      </c>
      <c r="P200" s="26" t="s">
        <v>1200</v>
      </c>
      <c r="Q200" s="20">
        <v>3768</v>
      </c>
      <c r="R200" s="26" t="s">
        <v>36</v>
      </c>
      <c r="S200" s="31">
        <v>3768</v>
      </c>
      <c r="T200" s="32">
        <v>45140</v>
      </c>
      <c r="U200" s="31"/>
      <c r="V200" s="26"/>
      <c r="W200" s="33" t="s">
        <v>1201</v>
      </c>
      <c r="X200" s="35">
        <v>0</v>
      </c>
      <c r="Y200" s="22">
        <v>0</v>
      </c>
      <c r="Z200" s="34" t="s">
        <v>50</v>
      </c>
      <c r="AA200" s="19" t="s">
        <v>901</v>
      </c>
      <c r="AB200" s="26" t="s">
        <v>154</v>
      </c>
      <c r="AC200" s="26" t="s">
        <v>53</v>
      </c>
      <c r="AD200" s="19" t="s">
        <v>54</v>
      </c>
      <c r="AE200" s="26">
        <v>440</v>
      </c>
      <c r="AF200" s="17">
        <v>45140</v>
      </c>
      <c r="AG200" s="35"/>
      <c r="AH200" s="36">
        <v>1</v>
      </c>
      <c r="AI200" s="37">
        <v>1</v>
      </c>
      <c r="AJ200" s="35"/>
      <c r="AK200" s="35"/>
      <c r="AL200" s="35"/>
      <c r="AM200" s="35"/>
      <c r="AN200" s="35"/>
      <c r="AO200" s="35"/>
      <c r="AP200" s="35"/>
    </row>
    <row r="201" spans="1:42" x14ac:dyDescent="0.2">
      <c r="A201" s="27">
        <v>45139.313176226853</v>
      </c>
      <c r="B201" s="28" t="s">
        <v>37</v>
      </c>
      <c r="C201" s="41" t="s">
        <v>118</v>
      </c>
      <c r="D201" s="26" t="s">
        <v>36</v>
      </c>
      <c r="E201" s="26" t="s">
        <v>56</v>
      </c>
      <c r="F201" s="26" t="s">
        <v>36</v>
      </c>
      <c r="G201" s="26" t="s">
        <v>41</v>
      </c>
      <c r="H201" s="26" t="s">
        <v>707</v>
      </c>
      <c r="I201" s="17">
        <f ca="1">IFERROR(__xludf.DUMMYFUNCTION("""COMPUTED_VALUE"""),45144)</f>
        <v>45144</v>
      </c>
      <c r="J201" s="29" t="s">
        <v>1202</v>
      </c>
      <c r="K201" s="26" t="s">
        <v>1203</v>
      </c>
      <c r="L201" s="30">
        <v>375845005</v>
      </c>
      <c r="M201" s="26" t="s">
        <v>80</v>
      </c>
      <c r="N201" s="26" t="s">
        <v>299</v>
      </c>
      <c r="O201" s="26" t="s">
        <v>1204</v>
      </c>
      <c r="P201" s="26" t="s">
        <v>1205</v>
      </c>
      <c r="Q201" s="20">
        <v>9317</v>
      </c>
      <c r="R201" s="26" t="s">
        <v>36</v>
      </c>
      <c r="S201" s="31">
        <v>2000</v>
      </c>
      <c r="T201" s="32">
        <v>45137</v>
      </c>
      <c r="U201" s="31">
        <v>7317</v>
      </c>
      <c r="V201" s="32">
        <v>45163</v>
      </c>
      <c r="W201" s="33" t="s">
        <v>1206</v>
      </c>
      <c r="X201" s="35">
        <v>0</v>
      </c>
      <c r="Y201" s="22">
        <v>0</v>
      </c>
      <c r="Z201" s="34" t="s">
        <v>50</v>
      </c>
      <c r="AA201" s="19" t="s">
        <v>901</v>
      </c>
      <c r="AB201" s="26" t="s">
        <v>104</v>
      </c>
      <c r="AC201" s="26" t="s">
        <v>53</v>
      </c>
      <c r="AD201" s="19" t="s">
        <v>54</v>
      </c>
      <c r="AE201" s="26">
        <v>0</v>
      </c>
      <c r="AF201" s="17">
        <v>45140</v>
      </c>
      <c r="AG201" s="26" t="s">
        <v>1207</v>
      </c>
      <c r="AH201" s="36">
        <v>1</v>
      </c>
      <c r="AI201" s="37" t="s">
        <v>64</v>
      </c>
      <c r="AJ201" s="35"/>
      <c r="AK201" s="35"/>
      <c r="AL201" s="35"/>
      <c r="AM201" s="35"/>
      <c r="AN201" s="35"/>
      <c r="AO201" s="35"/>
      <c r="AP201" s="35"/>
    </row>
    <row r="202" spans="1:42" x14ac:dyDescent="0.2">
      <c r="A202" s="27">
        <v>45139.318922106482</v>
      </c>
      <c r="B202" s="28" t="s">
        <v>37</v>
      </c>
      <c r="C202" s="41" t="s">
        <v>118</v>
      </c>
      <c r="D202" s="26" t="s">
        <v>36</v>
      </c>
      <c r="E202" s="26" t="s">
        <v>106</v>
      </c>
      <c r="F202" s="26" t="s">
        <v>91</v>
      </c>
      <c r="G202" s="26" t="s">
        <v>108</v>
      </c>
      <c r="H202" s="26" t="s">
        <v>1208</v>
      </c>
      <c r="I202" s="17">
        <f ca="1">IFERROR(__xludf.DUMMYFUNCTION("""COMPUTED_VALUE"""),45149)</f>
        <v>45149</v>
      </c>
      <c r="J202" s="29" t="s">
        <v>1209</v>
      </c>
      <c r="K202" s="26" t="s">
        <v>1210</v>
      </c>
      <c r="L202" s="30">
        <v>382707664</v>
      </c>
      <c r="M202" s="26" t="s">
        <v>94</v>
      </c>
      <c r="N202" s="26" t="s">
        <v>200</v>
      </c>
      <c r="O202" s="26" t="s">
        <v>91</v>
      </c>
      <c r="P202" s="26" t="s">
        <v>1211</v>
      </c>
      <c r="Q202" s="20">
        <v>3768</v>
      </c>
      <c r="R202" s="26" t="s">
        <v>36</v>
      </c>
      <c r="S202" s="31">
        <v>3768</v>
      </c>
      <c r="T202" s="32">
        <v>45139</v>
      </c>
      <c r="U202" s="31"/>
      <c r="V202" s="26"/>
      <c r="W202" s="33" t="s">
        <v>1212</v>
      </c>
      <c r="X202" s="35">
        <v>0</v>
      </c>
      <c r="Y202" s="22">
        <v>0</v>
      </c>
      <c r="Z202" s="34" t="s">
        <v>50</v>
      </c>
      <c r="AA202" s="19" t="s">
        <v>901</v>
      </c>
      <c r="AB202" s="26" t="s">
        <v>154</v>
      </c>
      <c r="AC202" s="26" t="s">
        <v>53</v>
      </c>
      <c r="AD202" s="19" t="s">
        <v>54</v>
      </c>
      <c r="AE202" s="26">
        <v>380</v>
      </c>
      <c r="AF202" s="17">
        <v>45141</v>
      </c>
      <c r="AG202" s="35"/>
      <c r="AH202" s="36">
        <v>1</v>
      </c>
      <c r="AI202" s="37">
        <v>1</v>
      </c>
      <c r="AJ202" s="35"/>
      <c r="AK202" s="35"/>
      <c r="AL202" s="35"/>
      <c r="AM202" s="35"/>
      <c r="AN202" s="35"/>
      <c r="AO202" s="35"/>
      <c r="AP202" s="35"/>
    </row>
    <row r="203" spans="1:42" x14ac:dyDescent="0.2">
      <c r="A203" s="27">
        <v>45139.582730543982</v>
      </c>
      <c r="B203" s="28" t="s">
        <v>37</v>
      </c>
      <c r="C203" s="41" t="s">
        <v>118</v>
      </c>
      <c r="D203" s="26" t="s">
        <v>36</v>
      </c>
      <c r="E203" s="26" t="s">
        <v>106</v>
      </c>
      <c r="F203" s="26" t="s">
        <v>36</v>
      </c>
      <c r="G203" s="26" t="s">
        <v>108</v>
      </c>
      <c r="H203" s="26" t="s">
        <v>1176</v>
      </c>
      <c r="I203" s="17">
        <f ca="1">IFERROR(__xludf.DUMMYFUNCTION("""COMPUTED_VALUE"""),45258)</f>
        <v>45258</v>
      </c>
      <c r="J203" s="29" t="s">
        <v>1213</v>
      </c>
      <c r="K203" s="26" t="s">
        <v>1214</v>
      </c>
      <c r="L203" s="30">
        <v>916659831</v>
      </c>
      <c r="M203" s="26" t="s">
        <v>80</v>
      </c>
      <c r="N203" s="26" t="s">
        <v>299</v>
      </c>
      <c r="O203" s="26" t="s">
        <v>1215</v>
      </c>
      <c r="P203" s="26" t="s">
        <v>1216</v>
      </c>
      <c r="Q203" s="20">
        <v>3768</v>
      </c>
      <c r="R203" s="26" t="s">
        <v>36</v>
      </c>
      <c r="S203" s="31">
        <v>2000</v>
      </c>
      <c r="T203" s="32">
        <v>45139</v>
      </c>
      <c r="U203" s="31">
        <v>1768</v>
      </c>
      <c r="V203" s="32">
        <v>45145</v>
      </c>
      <c r="W203" s="33" t="s">
        <v>1217</v>
      </c>
      <c r="X203" s="26">
        <v>0</v>
      </c>
      <c r="Y203" s="22">
        <v>0</v>
      </c>
      <c r="Z203" s="34" t="s">
        <v>50</v>
      </c>
      <c r="AA203" s="19" t="s">
        <v>901</v>
      </c>
      <c r="AB203" s="26" t="s">
        <v>128</v>
      </c>
      <c r="AC203" s="26" t="s">
        <v>53</v>
      </c>
      <c r="AD203" s="19" t="s">
        <v>54</v>
      </c>
      <c r="AE203" s="26">
        <v>400</v>
      </c>
      <c r="AF203" s="17">
        <v>45141</v>
      </c>
      <c r="AG203" s="26" t="s">
        <v>1218</v>
      </c>
      <c r="AH203" s="26">
        <v>1</v>
      </c>
      <c r="AI203" s="40">
        <v>1</v>
      </c>
      <c r="AJ203" s="26"/>
      <c r="AK203" s="26"/>
      <c r="AL203" s="35"/>
      <c r="AM203" s="35"/>
      <c r="AN203" s="35"/>
      <c r="AO203" s="35"/>
      <c r="AP203" s="35"/>
    </row>
    <row r="204" spans="1:42" x14ac:dyDescent="0.2">
      <c r="A204" s="27">
        <v>45140.137239710646</v>
      </c>
      <c r="B204" s="28" t="s">
        <v>37</v>
      </c>
      <c r="C204" s="41" t="s">
        <v>118</v>
      </c>
      <c r="D204" s="26" t="s">
        <v>36</v>
      </c>
      <c r="E204" s="26" t="s">
        <v>77</v>
      </c>
      <c r="F204" s="26" t="s">
        <v>745</v>
      </c>
      <c r="G204" s="26" t="s">
        <v>41</v>
      </c>
      <c r="H204" s="26" t="s">
        <v>746</v>
      </c>
      <c r="I204" s="17">
        <f ca="1">IFERROR(__xludf.DUMMYFUNCTION("""COMPUTED_VALUE"""),45148)</f>
        <v>45148</v>
      </c>
      <c r="J204" s="29" t="s">
        <v>1219</v>
      </c>
      <c r="K204" s="26" t="s">
        <v>1220</v>
      </c>
      <c r="L204" s="30">
        <v>389656601</v>
      </c>
      <c r="M204" s="26" t="s">
        <v>391</v>
      </c>
      <c r="N204" s="26" t="s">
        <v>1221</v>
      </c>
      <c r="O204" s="26" t="s">
        <v>427</v>
      </c>
      <c r="P204" s="26" t="s">
        <v>1222</v>
      </c>
      <c r="Q204" s="20">
        <v>1968</v>
      </c>
      <c r="R204" s="26" t="s">
        <v>36</v>
      </c>
      <c r="S204" s="31">
        <v>1968</v>
      </c>
      <c r="T204" s="32">
        <v>45139</v>
      </c>
      <c r="U204" s="31"/>
      <c r="V204" s="26"/>
      <c r="W204" s="33" t="s">
        <v>1223</v>
      </c>
      <c r="X204" s="26">
        <v>100</v>
      </c>
      <c r="Y204" s="22">
        <v>-100</v>
      </c>
      <c r="Z204" s="34" t="s">
        <v>50</v>
      </c>
      <c r="AA204" s="19" t="s">
        <v>901</v>
      </c>
      <c r="AB204" s="26" t="s">
        <v>104</v>
      </c>
      <c r="AC204" s="26" t="s">
        <v>53</v>
      </c>
      <c r="AD204" s="19" t="s">
        <v>54</v>
      </c>
      <c r="AE204" s="26"/>
      <c r="AF204" s="17">
        <v>45141</v>
      </c>
      <c r="AG204" s="26"/>
      <c r="AH204" s="26">
        <v>1</v>
      </c>
      <c r="AI204" s="40" t="s">
        <v>84</v>
      </c>
      <c r="AJ204" s="26"/>
      <c r="AK204" s="26"/>
      <c r="AL204" s="35"/>
      <c r="AM204" s="35"/>
      <c r="AN204" s="35"/>
      <c r="AO204" s="35"/>
      <c r="AP204" s="35"/>
    </row>
    <row r="205" spans="1:42" x14ac:dyDescent="0.2">
      <c r="A205" s="27">
        <v>45140.433598356482</v>
      </c>
      <c r="B205" s="28" t="s">
        <v>37</v>
      </c>
      <c r="C205" s="41" t="s">
        <v>118</v>
      </c>
      <c r="D205" s="26" t="s">
        <v>36</v>
      </c>
      <c r="E205" s="26" t="s">
        <v>77</v>
      </c>
      <c r="F205" s="26" t="s">
        <v>36</v>
      </c>
      <c r="G205" s="26" t="s">
        <v>41</v>
      </c>
      <c r="H205" s="26" t="s">
        <v>688</v>
      </c>
      <c r="I205" s="17">
        <f ca="1">IFERROR(__xludf.DUMMYFUNCTION("""COMPUTED_VALUE"""),45145)</f>
        <v>45145</v>
      </c>
      <c r="J205" s="29" t="s">
        <v>1224</v>
      </c>
      <c r="K205" s="26" t="s">
        <v>1225</v>
      </c>
      <c r="L205" s="30">
        <v>825844668</v>
      </c>
      <c r="M205" s="26" t="s">
        <v>123</v>
      </c>
      <c r="N205" s="26" t="s">
        <v>310</v>
      </c>
      <c r="O205" s="26" t="s">
        <v>1226</v>
      </c>
      <c r="P205" s="26" t="s">
        <v>1227</v>
      </c>
      <c r="Q205" s="20">
        <v>1968</v>
      </c>
      <c r="R205" s="26" t="s">
        <v>36</v>
      </c>
      <c r="S205" s="31">
        <v>1968</v>
      </c>
      <c r="T205" s="32">
        <v>45139</v>
      </c>
      <c r="U205" s="31"/>
      <c r="V205" s="26"/>
      <c r="W205" s="33" t="s">
        <v>1228</v>
      </c>
      <c r="X205" s="26">
        <v>0</v>
      </c>
      <c r="Y205" s="22">
        <v>0</v>
      </c>
      <c r="Z205" s="34" t="s">
        <v>50</v>
      </c>
      <c r="AA205" s="19" t="s">
        <v>901</v>
      </c>
      <c r="AB205" s="26" t="s">
        <v>104</v>
      </c>
      <c r="AC205" s="26" t="s">
        <v>53</v>
      </c>
      <c r="AD205" s="19" t="s">
        <v>54</v>
      </c>
      <c r="AE205" s="26"/>
      <c r="AF205" s="17">
        <v>45141</v>
      </c>
      <c r="AG205" s="26"/>
      <c r="AH205" s="26">
        <v>1</v>
      </c>
      <c r="AI205" s="40" t="s">
        <v>84</v>
      </c>
      <c r="AJ205" s="26"/>
      <c r="AK205" s="26"/>
      <c r="AL205" s="35"/>
      <c r="AM205" s="35"/>
      <c r="AN205" s="35"/>
      <c r="AO205" s="35"/>
      <c r="AP205" s="35"/>
    </row>
    <row r="206" spans="1:42" x14ac:dyDescent="0.2">
      <c r="A206" s="27">
        <v>45140.433974050931</v>
      </c>
      <c r="B206" s="28" t="s">
        <v>37</v>
      </c>
      <c r="C206" s="41" t="s">
        <v>118</v>
      </c>
      <c r="D206" s="26" t="s">
        <v>36</v>
      </c>
      <c r="E206" s="26" t="s">
        <v>77</v>
      </c>
      <c r="F206" s="26" t="s">
        <v>36</v>
      </c>
      <c r="G206" s="26" t="s">
        <v>41</v>
      </c>
      <c r="H206" s="26" t="s">
        <v>1229</v>
      </c>
      <c r="I206" s="17">
        <f ca="1">IFERROR(__xludf.DUMMYFUNCTION("""COMPUTED_VALUE"""),45176)</f>
        <v>45176</v>
      </c>
      <c r="J206" s="29" t="s">
        <v>1230</v>
      </c>
      <c r="K206" s="26" t="s">
        <v>1231</v>
      </c>
      <c r="L206" s="30">
        <v>977686014</v>
      </c>
      <c r="M206" s="26" t="s">
        <v>292</v>
      </c>
      <c r="N206" s="26" t="s">
        <v>1232</v>
      </c>
      <c r="O206" s="26" t="s">
        <v>1233</v>
      </c>
      <c r="P206" s="26" t="s">
        <v>1234</v>
      </c>
      <c r="Q206" s="20">
        <v>1968</v>
      </c>
      <c r="R206" s="26" t="s">
        <v>36</v>
      </c>
      <c r="S206" s="31">
        <v>1968</v>
      </c>
      <c r="T206" s="32">
        <v>45140</v>
      </c>
      <c r="U206" s="31"/>
      <c r="V206" s="26"/>
      <c r="W206" s="33" t="s">
        <v>1235</v>
      </c>
      <c r="X206" s="26">
        <v>0</v>
      </c>
      <c r="Y206" s="22">
        <v>0</v>
      </c>
      <c r="Z206" s="34" t="s">
        <v>50</v>
      </c>
      <c r="AA206" s="19" t="s">
        <v>901</v>
      </c>
      <c r="AB206" s="26" t="s">
        <v>104</v>
      </c>
      <c r="AC206" s="26" t="s">
        <v>53</v>
      </c>
      <c r="AD206" s="19" t="s">
        <v>138</v>
      </c>
      <c r="AE206" s="26">
        <v>290</v>
      </c>
      <c r="AF206" s="17">
        <v>45145</v>
      </c>
      <c r="AG206" s="26" t="s">
        <v>1236</v>
      </c>
      <c r="AH206" s="26">
        <v>1</v>
      </c>
      <c r="AI206" s="40" t="s">
        <v>84</v>
      </c>
      <c r="AJ206" s="26"/>
      <c r="AK206" s="26"/>
      <c r="AL206" s="35"/>
      <c r="AM206" s="35"/>
      <c r="AN206" s="35"/>
      <c r="AO206" s="35"/>
      <c r="AP206" s="35"/>
    </row>
    <row r="207" spans="1:42" x14ac:dyDescent="0.2">
      <c r="A207" s="27">
        <v>45141.006808854167</v>
      </c>
      <c r="B207" s="28" t="s">
        <v>37</v>
      </c>
      <c r="C207" s="41" t="s">
        <v>118</v>
      </c>
      <c r="D207" s="26" t="s">
        <v>36</v>
      </c>
      <c r="E207" s="26" t="s">
        <v>106</v>
      </c>
      <c r="F207" s="26" t="s">
        <v>91</v>
      </c>
      <c r="G207" s="26" t="s">
        <v>108</v>
      </c>
      <c r="H207" s="26" t="s">
        <v>1208</v>
      </c>
      <c r="I207" s="17">
        <f ca="1">IFERROR(__xludf.DUMMYFUNCTION("""COMPUTED_VALUE"""),45149)</f>
        <v>45149</v>
      </c>
      <c r="J207" s="55" t="s">
        <v>1237</v>
      </c>
      <c r="K207" s="26" t="s">
        <v>1238</v>
      </c>
      <c r="L207" s="30">
        <v>916747257</v>
      </c>
      <c r="M207" s="26" t="s">
        <v>94</v>
      </c>
      <c r="N207" s="26" t="s">
        <v>200</v>
      </c>
      <c r="O207" s="26" t="s">
        <v>91</v>
      </c>
      <c r="P207" s="26" t="s">
        <v>1239</v>
      </c>
      <c r="Q207" s="20">
        <v>3768</v>
      </c>
      <c r="R207" s="26" t="s">
        <v>36</v>
      </c>
      <c r="S207" s="31">
        <v>3768</v>
      </c>
      <c r="T207" s="32">
        <v>45140</v>
      </c>
      <c r="U207" s="31"/>
      <c r="V207" s="26"/>
      <c r="W207" s="33" t="s">
        <v>1240</v>
      </c>
      <c r="X207" s="26">
        <v>0</v>
      </c>
      <c r="Y207" s="22">
        <v>0</v>
      </c>
      <c r="Z207" s="34" t="s">
        <v>50</v>
      </c>
      <c r="AA207" s="19" t="s">
        <v>901</v>
      </c>
      <c r="AB207" s="26" t="s">
        <v>137</v>
      </c>
      <c r="AC207" s="26" t="s">
        <v>53</v>
      </c>
      <c r="AD207" s="19" t="s">
        <v>54</v>
      </c>
      <c r="AE207" s="26">
        <v>580</v>
      </c>
      <c r="AF207" s="17">
        <v>45141</v>
      </c>
      <c r="AG207" s="29" t="s">
        <v>1241</v>
      </c>
      <c r="AH207" s="26">
        <v>2</v>
      </c>
      <c r="AI207" s="40">
        <v>1</v>
      </c>
      <c r="AJ207" s="26"/>
      <c r="AK207" s="26"/>
      <c r="AL207" s="35"/>
      <c r="AM207" s="35"/>
      <c r="AN207" s="35"/>
      <c r="AO207" s="35"/>
      <c r="AP207" s="35"/>
    </row>
    <row r="208" spans="1:42" x14ac:dyDescent="0.2">
      <c r="A208" s="27">
        <v>45141.030648275468</v>
      </c>
      <c r="B208" s="28" t="s">
        <v>37</v>
      </c>
      <c r="C208" s="41" t="s">
        <v>118</v>
      </c>
      <c r="D208" s="26" t="s">
        <v>36</v>
      </c>
      <c r="E208" s="26" t="s">
        <v>106</v>
      </c>
      <c r="F208" s="26" t="s">
        <v>40</v>
      </c>
      <c r="G208" s="26" t="s">
        <v>108</v>
      </c>
      <c r="H208" s="26" t="s">
        <v>1242</v>
      </c>
      <c r="I208" s="17">
        <f ca="1">IFERROR(__xludf.DUMMYFUNCTION("""COMPUTED_VALUE"""),45510)</f>
        <v>45510</v>
      </c>
      <c r="J208" s="29" t="s">
        <v>1243</v>
      </c>
      <c r="K208" s="26" t="s">
        <v>1244</v>
      </c>
      <c r="L208" s="30">
        <v>359294307</v>
      </c>
      <c r="M208" s="26" t="s">
        <v>1245</v>
      </c>
      <c r="N208" s="26" t="s">
        <v>1246</v>
      </c>
      <c r="O208" s="26" t="s">
        <v>1247</v>
      </c>
      <c r="P208" s="42" t="s">
        <v>1248</v>
      </c>
      <c r="Q208" s="20">
        <v>3768</v>
      </c>
      <c r="R208" s="26" t="s">
        <v>36</v>
      </c>
      <c r="S208" s="31">
        <v>3768</v>
      </c>
      <c r="T208" s="32">
        <v>45140</v>
      </c>
      <c r="U208" s="31"/>
      <c r="V208" s="26"/>
      <c r="W208" s="33" t="s">
        <v>1249</v>
      </c>
      <c r="X208" s="26">
        <v>0</v>
      </c>
      <c r="Y208" s="22">
        <v>0</v>
      </c>
      <c r="Z208" s="34" t="s">
        <v>50</v>
      </c>
      <c r="AA208" s="19" t="s">
        <v>901</v>
      </c>
      <c r="AB208" s="26" t="s">
        <v>154</v>
      </c>
      <c r="AC208" s="26" t="s">
        <v>53</v>
      </c>
      <c r="AD208" s="19" t="s">
        <v>54</v>
      </c>
      <c r="AE208" s="26" t="s">
        <v>1250</v>
      </c>
      <c r="AF208" s="17">
        <v>45505</v>
      </c>
      <c r="AG208" s="29" t="s">
        <v>1251</v>
      </c>
      <c r="AH208" s="61" t="s">
        <v>1252</v>
      </c>
      <c r="AI208" s="65" t="s">
        <v>1253</v>
      </c>
      <c r="AJ208" s="26"/>
      <c r="AK208" s="26"/>
      <c r="AL208" s="35"/>
      <c r="AM208" s="35"/>
      <c r="AN208" s="35"/>
      <c r="AO208" s="35"/>
      <c r="AP208" s="35"/>
    </row>
    <row r="209" spans="1:42" x14ac:dyDescent="0.2">
      <c r="A209" s="27">
        <v>45141.090960624999</v>
      </c>
      <c r="B209" s="28" t="s">
        <v>37</v>
      </c>
      <c r="C209" s="41" t="s">
        <v>118</v>
      </c>
      <c r="D209" s="26" t="s">
        <v>36</v>
      </c>
      <c r="E209" s="26" t="s">
        <v>77</v>
      </c>
      <c r="F209" s="26" t="s">
        <v>36</v>
      </c>
      <c r="G209" s="26" t="s">
        <v>41</v>
      </c>
      <c r="H209" s="26" t="s">
        <v>746</v>
      </c>
      <c r="I209" s="17">
        <f ca="1">IFERROR(__xludf.DUMMYFUNCTION("""COMPUTED_VALUE"""),45148)</f>
        <v>45148</v>
      </c>
      <c r="J209" s="29" t="s">
        <v>1254</v>
      </c>
      <c r="K209" s="26" t="s">
        <v>1255</v>
      </c>
      <c r="L209" s="30">
        <v>347327205</v>
      </c>
      <c r="M209" s="26" t="s">
        <v>80</v>
      </c>
      <c r="N209" s="26" t="s">
        <v>87</v>
      </c>
      <c r="O209" s="26" t="s">
        <v>1256</v>
      </c>
      <c r="P209" s="26" t="s">
        <v>1257</v>
      </c>
      <c r="Q209" s="20">
        <v>1968</v>
      </c>
      <c r="R209" s="26" t="s">
        <v>36</v>
      </c>
      <c r="S209" s="31">
        <v>1968</v>
      </c>
      <c r="T209" s="32">
        <v>45140</v>
      </c>
      <c r="U209" s="31"/>
      <c r="V209" s="26"/>
      <c r="W209" s="33" t="s">
        <v>1258</v>
      </c>
      <c r="X209" s="26">
        <v>0</v>
      </c>
      <c r="Y209" s="22">
        <v>0</v>
      </c>
      <c r="Z209" s="34" t="s">
        <v>50</v>
      </c>
      <c r="AA209" s="19" t="s">
        <v>901</v>
      </c>
      <c r="AB209" s="26" t="s">
        <v>104</v>
      </c>
      <c r="AC209" s="26" t="s">
        <v>53</v>
      </c>
      <c r="AD209" s="19" t="s">
        <v>54</v>
      </c>
      <c r="AE209" s="26">
        <v>0</v>
      </c>
      <c r="AF209" s="17">
        <v>45141</v>
      </c>
      <c r="AG209" s="26"/>
      <c r="AH209" s="26">
        <v>1</v>
      </c>
      <c r="AI209" s="40" t="s">
        <v>84</v>
      </c>
      <c r="AJ209" s="26"/>
      <c r="AK209" s="26"/>
      <c r="AL209" s="35"/>
      <c r="AM209" s="35"/>
      <c r="AN209" s="35"/>
      <c r="AO209" s="35"/>
      <c r="AP209" s="35"/>
    </row>
    <row r="210" spans="1:42" x14ac:dyDescent="0.2">
      <c r="A210" s="27">
        <v>45141.114741585647</v>
      </c>
      <c r="B210" s="28" t="s">
        <v>37</v>
      </c>
      <c r="C210" s="41" t="s">
        <v>118</v>
      </c>
      <c r="D210" s="26" t="s">
        <v>36</v>
      </c>
      <c r="E210" s="26" t="s">
        <v>56</v>
      </c>
      <c r="F210" s="26" t="s">
        <v>36</v>
      </c>
      <c r="G210" s="26" t="s">
        <v>41</v>
      </c>
      <c r="H210" s="26" t="s">
        <v>688</v>
      </c>
      <c r="I210" s="17">
        <f ca="1">IFERROR(__xludf.DUMMYFUNCTION("""COMPUTED_VALUE"""),45145)</f>
        <v>45145</v>
      </c>
      <c r="J210" s="29" t="s">
        <v>1259</v>
      </c>
      <c r="K210" s="26" t="s">
        <v>1260</v>
      </c>
      <c r="L210" s="30">
        <v>363128226</v>
      </c>
      <c r="M210" s="26" t="s">
        <v>80</v>
      </c>
      <c r="N210" s="26" t="s">
        <v>299</v>
      </c>
      <c r="O210" s="26" t="s">
        <v>1261</v>
      </c>
      <c r="P210" s="26" t="s">
        <v>1262</v>
      </c>
      <c r="Q210" s="20">
        <v>9317</v>
      </c>
      <c r="R210" s="26" t="s">
        <v>36</v>
      </c>
      <c r="S210" s="31">
        <v>2000</v>
      </c>
      <c r="T210" s="32">
        <v>45141</v>
      </c>
      <c r="U210" s="31">
        <v>7317</v>
      </c>
      <c r="V210" s="32">
        <v>45160</v>
      </c>
      <c r="W210" s="33" t="s">
        <v>1263</v>
      </c>
      <c r="X210" s="26">
        <v>0</v>
      </c>
      <c r="Y210" s="22">
        <v>0</v>
      </c>
      <c r="Z210" s="34" t="s">
        <v>50</v>
      </c>
      <c r="AA210" s="19" t="s">
        <v>901</v>
      </c>
      <c r="AB210" s="26" t="s">
        <v>104</v>
      </c>
      <c r="AC210" s="26" t="s">
        <v>53</v>
      </c>
      <c r="AD210" s="19" t="s">
        <v>54</v>
      </c>
      <c r="AE210" s="26">
        <v>0</v>
      </c>
      <c r="AF210" s="17">
        <v>45141</v>
      </c>
      <c r="AG210" s="26"/>
      <c r="AH210" s="26">
        <v>1</v>
      </c>
      <c r="AI210" s="40" t="s">
        <v>64</v>
      </c>
      <c r="AJ210" s="26"/>
      <c r="AK210" s="26"/>
      <c r="AL210" s="35"/>
      <c r="AM210" s="35"/>
      <c r="AN210" s="35"/>
      <c r="AO210" s="35"/>
      <c r="AP210" s="35"/>
    </row>
    <row r="211" spans="1:42" x14ac:dyDescent="0.2">
      <c r="A211" s="27">
        <v>45142.191447013887</v>
      </c>
      <c r="B211" s="28" t="s">
        <v>37</v>
      </c>
      <c r="C211" s="41" t="s">
        <v>118</v>
      </c>
      <c r="D211" s="26" t="s">
        <v>36</v>
      </c>
      <c r="E211" s="26" t="s">
        <v>139</v>
      </c>
      <c r="F211" s="26" t="s">
        <v>91</v>
      </c>
      <c r="G211" s="26" t="s">
        <v>41</v>
      </c>
      <c r="H211" s="26" t="s">
        <v>688</v>
      </c>
      <c r="I211" s="17">
        <f ca="1">IFERROR(__xludf.DUMMYFUNCTION("""COMPUTED_VALUE"""),45145)</f>
        <v>45145</v>
      </c>
      <c r="J211" s="29" t="s">
        <v>1264</v>
      </c>
      <c r="K211" s="26" t="s">
        <v>1265</v>
      </c>
      <c r="L211" s="30">
        <v>965227970</v>
      </c>
      <c r="M211" s="26" t="s">
        <v>123</v>
      </c>
      <c r="N211" s="26" t="s">
        <v>310</v>
      </c>
      <c r="O211" s="26" t="s">
        <v>1226</v>
      </c>
      <c r="P211" s="26" t="s">
        <v>1266</v>
      </c>
      <c r="Q211" s="20">
        <v>15936</v>
      </c>
      <c r="R211" s="26" t="s">
        <v>36</v>
      </c>
      <c r="S211" s="31">
        <v>2000</v>
      </c>
      <c r="T211" s="32">
        <v>45141</v>
      </c>
      <c r="U211" s="31">
        <v>13936</v>
      </c>
      <c r="V211" s="32">
        <v>45164</v>
      </c>
      <c r="W211" s="55" t="s">
        <v>1267</v>
      </c>
      <c r="X211" s="26">
        <v>0</v>
      </c>
      <c r="Y211" s="22">
        <v>0</v>
      </c>
      <c r="Z211" s="34" t="s">
        <v>50</v>
      </c>
      <c r="AA211" s="19" t="s">
        <v>901</v>
      </c>
      <c r="AB211" s="26" t="s">
        <v>104</v>
      </c>
      <c r="AC211" s="26" t="s">
        <v>53</v>
      </c>
      <c r="AD211" s="19" t="s">
        <v>54</v>
      </c>
      <c r="AE211" s="26"/>
      <c r="AF211" s="17">
        <v>45145</v>
      </c>
      <c r="AG211" s="26"/>
      <c r="AH211" s="26">
        <v>1</v>
      </c>
      <c r="AI211" s="40" t="s">
        <v>147</v>
      </c>
      <c r="AJ211" s="26"/>
      <c r="AK211" s="26"/>
      <c r="AL211" s="35"/>
      <c r="AM211" s="35"/>
      <c r="AN211" s="35"/>
      <c r="AO211" s="35"/>
      <c r="AP211" s="35"/>
    </row>
    <row r="212" spans="1:42" x14ac:dyDescent="0.2">
      <c r="A212" s="27">
        <v>45142.192615150459</v>
      </c>
      <c r="B212" s="28" t="s">
        <v>37</v>
      </c>
      <c r="C212" s="41" t="s">
        <v>118</v>
      </c>
      <c r="D212" s="26" t="s">
        <v>36</v>
      </c>
      <c r="E212" s="26" t="s">
        <v>77</v>
      </c>
      <c r="F212" s="26" t="s">
        <v>91</v>
      </c>
      <c r="G212" s="26" t="s">
        <v>41</v>
      </c>
      <c r="H212" s="26" t="s">
        <v>746</v>
      </c>
      <c r="I212" s="17">
        <f ca="1">IFERROR(__xludf.DUMMYFUNCTION("""COMPUTED_VALUE"""),45148)</f>
        <v>45148</v>
      </c>
      <c r="J212" s="29" t="s">
        <v>1268</v>
      </c>
      <c r="K212" s="26" t="s">
        <v>1269</v>
      </c>
      <c r="L212" s="30">
        <v>386798828</v>
      </c>
      <c r="M212" s="26" t="s">
        <v>123</v>
      </c>
      <c r="N212" s="26" t="s">
        <v>850</v>
      </c>
      <c r="O212" s="26" t="s">
        <v>1226</v>
      </c>
      <c r="P212" s="26" t="s">
        <v>1270</v>
      </c>
      <c r="Q212" s="20">
        <v>1968</v>
      </c>
      <c r="R212" s="26" t="s">
        <v>36</v>
      </c>
      <c r="S212" s="31">
        <v>1968</v>
      </c>
      <c r="T212" s="32">
        <v>45142</v>
      </c>
      <c r="U212" s="31"/>
      <c r="V212" s="26"/>
      <c r="W212" s="33" t="s">
        <v>1271</v>
      </c>
      <c r="X212" s="26">
        <v>0</v>
      </c>
      <c r="Y212" s="22">
        <v>0</v>
      </c>
      <c r="Z212" s="34" t="s">
        <v>50</v>
      </c>
      <c r="AA212" s="19" t="s">
        <v>901</v>
      </c>
      <c r="AB212" s="26" t="s">
        <v>104</v>
      </c>
      <c r="AC212" s="26" t="s">
        <v>53</v>
      </c>
      <c r="AD212" s="19" t="s">
        <v>54</v>
      </c>
      <c r="AE212" s="26"/>
      <c r="AF212" s="17">
        <v>45145</v>
      </c>
      <c r="AG212" s="26"/>
      <c r="AH212" s="26">
        <v>1</v>
      </c>
      <c r="AI212" s="40" t="s">
        <v>84</v>
      </c>
      <c r="AJ212" s="26"/>
      <c r="AK212" s="26"/>
      <c r="AL212" s="35"/>
      <c r="AM212" s="35"/>
      <c r="AN212" s="35"/>
      <c r="AO212" s="35"/>
      <c r="AP212" s="35"/>
    </row>
    <row r="213" spans="1:42" x14ac:dyDescent="0.2">
      <c r="A213" s="27">
        <v>45142.407265324073</v>
      </c>
      <c r="B213" s="28" t="s">
        <v>37</v>
      </c>
      <c r="C213" s="41" t="s">
        <v>118</v>
      </c>
      <c r="D213" s="26" t="s">
        <v>36</v>
      </c>
      <c r="E213" s="26" t="s">
        <v>77</v>
      </c>
      <c r="F213" s="26" t="s">
        <v>36</v>
      </c>
      <c r="G213" s="26" t="s">
        <v>41</v>
      </c>
      <c r="H213" s="26" t="s">
        <v>688</v>
      </c>
      <c r="I213" s="17">
        <f ca="1">IFERROR(__xludf.DUMMYFUNCTION("""COMPUTED_VALUE"""),45145)</f>
        <v>45145</v>
      </c>
      <c r="J213" s="29" t="s">
        <v>1272</v>
      </c>
      <c r="K213" s="26" t="s">
        <v>1273</v>
      </c>
      <c r="L213" s="30">
        <v>978660653</v>
      </c>
      <c r="M213" s="26" t="s">
        <v>80</v>
      </c>
      <c r="N213" s="26" t="s">
        <v>81</v>
      </c>
      <c r="O213" s="26" t="s">
        <v>1274</v>
      </c>
      <c r="P213" s="26" t="s">
        <v>1275</v>
      </c>
      <c r="Q213" s="20">
        <v>1968</v>
      </c>
      <c r="R213" s="26" t="s">
        <v>36</v>
      </c>
      <c r="S213" s="31">
        <v>1968</v>
      </c>
      <c r="T213" s="32">
        <v>45142</v>
      </c>
      <c r="U213" s="31"/>
      <c r="V213" s="26"/>
      <c r="W213" s="33" t="s">
        <v>1276</v>
      </c>
      <c r="X213" s="26">
        <v>0</v>
      </c>
      <c r="Y213" s="22">
        <v>0</v>
      </c>
      <c r="Z213" s="34" t="s">
        <v>50</v>
      </c>
      <c r="AA213" s="19" t="s">
        <v>901</v>
      </c>
      <c r="AB213" s="26" t="s">
        <v>104</v>
      </c>
      <c r="AC213" s="26" t="s">
        <v>53</v>
      </c>
      <c r="AD213" s="19" t="s">
        <v>54</v>
      </c>
      <c r="AE213" s="26">
        <v>0</v>
      </c>
      <c r="AF213" s="17">
        <v>45145</v>
      </c>
      <c r="AG213" s="26"/>
      <c r="AH213" s="26">
        <v>1</v>
      </c>
      <c r="AI213" s="40" t="s">
        <v>84</v>
      </c>
      <c r="AJ213" s="26"/>
      <c r="AK213" s="26"/>
      <c r="AL213" s="35"/>
      <c r="AM213" s="35"/>
      <c r="AN213" s="35"/>
      <c r="AO213" s="35"/>
      <c r="AP213" s="35"/>
    </row>
    <row r="214" spans="1:42" x14ac:dyDescent="0.2">
      <c r="A214" s="27">
        <v>45142.529810474538</v>
      </c>
      <c r="B214" s="28" t="s">
        <v>37</v>
      </c>
      <c r="C214" s="41" t="s">
        <v>118</v>
      </c>
      <c r="D214" s="26" t="s">
        <v>36</v>
      </c>
      <c r="E214" s="26" t="s">
        <v>139</v>
      </c>
      <c r="F214" s="26" t="s">
        <v>36</v>
      </c>
      <c r="G214" s="26" t="s">
        <v>41</v>
      </c>
      <c r="H214" s="26" t="s">
        <v>688</v>
      </c>
      <c r="I214" s="17">
        <f ca="1">IFERROR(__xludf.DUMMYFUNCTION("""COMPUTED_VALUE"""),45145)</f>
        <v>45145</v>
      </c>
      <c r="J214" s="29" t="s">
        <v>1277</v>
      </c>
      <c r="K214" s="26" t="s">
        <v>1278</v>
      </c>
      <c r="L214" s="30">
        <v>916927480</v>
      </c>
      <c r="M214" s="26" t="s">
        <v>123</v>
      </c>
      <c r="N214" s="26" t="s">
        <v>310</v>
      </c>
      <c r="O214" s="26" t="s">
        <v>805</v>
      </c>
      <c r="P214" s="26" t="s">
        <v>1279</v>
      </c>
      <c r="Q214" s="20">
        <v>15936</v>
      </c>
      <c r="R214" s="26" t="s">
        <v>36</v>
      </c>
      <c r="S214" s="31">
        <v>1968</v>
      </c>
      <c r="T214" s="32">
        <v>45142</v>
      </c>
      <c r="U214" s="31">
        <v>13968</v>
      </c>
      <c r="V214" s="32">
        <v>45165</v>
      </c>
      <c r="W214" s="33" t="s">
        <v>1280</v>
      </c>
      <c r="X214" s="26">
        <v>0</v>
      </c>
      <c r="Y214" s="22">
        <v>0</v>
      </c>
      <c r="Z214" s="34" t="s">
        <v>50</v>
      </c>
      <c r="AA214" s="19" t="s">
        <v>901</v>
      </c>
      <c r="AB214" s="26" t="s">
        <v>104</v>
      </c>
      <c r="AC214" s="26" t="s">
        <v>53</v>
      </c>
      <c r="AD214" s="19" t="s">
        <v>54</v>
      </c>
      <c r="AE214" s="26"/>
      <c r="AF214" s="17">
        <v>45145</v>
      </c>
      <c r="AG214" s="26"/>
      <c r="AH214" s="26">
        <v>1</v>
      </c>
      <c r="AI214" s="40" t="s">
        <v>147</v>
      </c>
      <c r="AJ214" s="26"/>
      <c r="AK214" s="26"/>
      <c r="AL214" s="35"/>
      <c r="AM214" s="35"/>
      <c r="AN214" s="35"/>
      <c r="AO214" s="35"/>
      <c r="AP214" s="35"/>
    </row>
    <row r="215" spans="1:42" x14ac:dyDescent="0.2">
      <c r="A215" s="27">
        <v>45142.656168217596</v>
      </c>
      <c r="B215" s="28" t="s">
        <v>37</v>
      </c>
      <c r="C215" s="41" t="s">
        <v>118</v>
      </c>
      <c r="D215" s="26" t="s">
        <v>36</v>
      </c>
      <c r="E215" s="26" t="s">
        <v>219</v>
      </c>
      <c r="F215" s="26" t="s">
        <v>91</v>
      </c>
      <c r="G215" s="26" t="s">
        <v>221</v>
      </c>
      <c r="H215" s="26" t="s">
        <v>1281</v>
      </c>
      <c r="I215" s="17">
        <f ca="1">IFERROR(__xludf.DUMMYFUNCTION("""COMPUTED_VALUE"""),45159)</f>
        <v>45159</v>
      </c>
      <c r="J215" s="29" t="s">
        <v>1282</v>
      </c>
      <c r="K215" s="26" t="s">
        <v>1283</v>
      </c>
      <c r="L215" s="30">
        <v>843509268</v>
      </c>
      <c r="M215" s="26" t="s">
        <v>123</v>
      </c>
      <c r="N215" s="26" t="s">
        <v>310</v>
      </c>
      <c r="O215" s="26" t="s">
        <v>1226</v>
      </c>
      <c r="P215" s="26" t="s">
        <v>1284</v>
      </c>
      <c r="Q215" s="20">
        <v>3968</v>
      </c>
      <c r="R215" s="26" t="s">
        <v>36</v>
      </c>
      <c r="S215" s="31">
        <v>1000</v>
      </c>
      <c r="T215" s="32">
        <v>45291</v>
      </c>
      <c r="U215" s="31">
        <v>2968</v>
      </c>
      <c r="V215" s="32">
        <v>45142</v>
      </c>
      <c r="W215" s="26" t="s">
        <v>1285</v>
      </c>
      <c r="X215" s="26">
        <v>0</v>
      </c>
      <c r="Y215" s="22">
        <v>0</v>
      </c>
      <c r="Z215" s="34" t="s">
        <v>50</v>
      </c>
      <c r="AA215" s="19" t="s">
        <v>901</v>
      </c>
      <c r="AB215" s="26" t="s">
        <v>104</v>
      </c>
      <c r="AC215" s="26" t="s">
        <v>53</v>
      </c>
      <c r="AD215" s="19" t="s">
        <v>54</v>
      </c>
      <c r="AE215" s="26"/>
      <c r="AF215" s="17">
        <v>45149</v>
      </c>
      <c r="AG215" s="26"/>
      <c r="AH215" s="26">
        <v>1</v>
      </c>
      <c r="AI215" s="40">
        <v>1</v>
      </c>
      <c r="AJ215" s="26"/>
      <c r="AK215" s="26"/>
      <c r="AL215" s="35"/>
      <c r="AM215" s="35"/>
      <c r="AN215" s="35"/>
      <c r="AO215" s="35"/>
      <c r="AP215" s="35"/>
    </row>
    <row r="216" spans="1:42" x14ac:dyDescent="0.2">
      <c r="A216" s="27">
        <v>45143.207623645838</v>
      </c>
      <c r="B216" s="28" t="s">
        <v>37</v>
      </c>
      <c r="C216" s="41" t="s">
        <v>118</v>
      </c>
      <c r="D216" s="26" t="s">
        <v>36</v>
      </c>
      <c r="E216" s="26" t="s">
        <v>119</v>
      </c>
      <c r="F216" s="26" t="s">
        <v>36</v>
      </c>
      <c r="G216" s="26" t="s">
        <v>108</v>
      </c>
      <c r="H216" s="26" t="s">
        <v>524</v>
      </c>
      <c r="I216" s="17">
        <f ca="1">IFERROR(__xludf.DUMMYFUNCTION("""COMPUTED_VALUE"""),45146)</f>
        <v>45146</v>
      </c>
      <c r="J216" s="29" t="s">
        <v>1286</v>
      </c>
      <c r="K216" s="26" t="s">
        <v>1287</v>
      </c>
      <c r="L216" s="30">
        <v>338090014</v>
      </c>
      <c r="M216" s="26" t="s">
        <v>123</v>
      </c>
      <c r="N216" s="26" t="s">
        <v>310</v>
      </c>
      <c r="O216" s="26" t="s">
        <v>1288</v>
      </c>
      <c r="P216" s="26" t="s">
        <v>1289</v>
      </c>
      <c r="Q216" s="20">
        <v>13968</v>
      </c>
      <c r="R216" s="26" t="s">
        <v>36</v>
      </c>
      <c r="S216" s="31">
        <v>4000</v>
      </c>
      <c r="T216" s="32">
        <v>45143</v>
      </c>
      <c r="U216" s="31">
        <v>9968</v>
      </c>
      <c r="V216" s="38">
        <v>45161</v>
      </c>
      <c r="W216" s="26" t="s">
        <v>1290</v>
      </c>
      <c r="X216" s="26">
        <v>0</v>
      </c>
      <c r="Y216" s="22">
        <v>0</v>
      </c>
      <c r="Z216" s="34" t="s">
        <v>50</v>
      </c>
      <c r="AA216" s="19" t="s">
        <v>901</v>
      </c>
      <c r="AB216" s="26" t="s">
        <v>128</v>
      </c>
      <c r="AC216" s="26" t="s">
        <v>53</v>
      </c>
      <c r="AD216" s="19" t="s">
        <v>54</v>
      </c>
      <c r="AE216" s="26"/>
      <c r="AF216" s="17">
        <v>45145</v>
      </c>
      <c r="AG216" s="26"/>
      <c r="AH216" s="26">
        <v>1</v>
      </c>
      <c r="AI216" s="40">
        <v>4</v>
      </c>
      <c r="AJ216" s="26"/>
      <c r="AK216" s="26"/>
      <c r="AL216" s="35"/>
      <c r="AM216" s="35"/>
      <c r="AN216" s="35"/>
      <c r="AO216" s="35"/>
      <c r="AP216" s="35"/>
    </row>
    <row r="217" spans="1:42" x14ac:dyDescent="0.2">
      <c r="A217" s="27">
        <v>45143.214586423608</v>
      </c>
      <c r="B217" s="28" t="s">
        <v>37</v>
      </c>
      <c r="C217" s="41" t="s">
        <v>118</v>
      </c>
      <c r="D217" s="26" t="s">
        <v>36</v>
      </c>
      <c r="E217" s="26" t="s">
        <v>77</v>
      </c>
      <c r="F217" s="26" t="s">
        <v>36</v>
      </c>
      <c r="G217" s="26" t="s">
        <v>41</v>
      </c>
      <c r="H217" s="26" t="s">
        <v>746</v>
      </c>
      <c r="I217" s="17">
        <f ca="1">IFERROR(__xludf.DUMMYFUNCTION("""COMPUTED_VALUE"""),45148)</f>
        <v>45148</v>
      </c>
      <c r="J217" s="29" t="s">
        <v>1291</v>
      </c>
      <c r="K217" s="26" t="s">
        <v>1292</v>
      </c>
      <c r="L217" s="30">
        <v>325286428</v>
      </c>
      <c r="M217" s="26" t="s">
        <v>123</v>
      </c>
      <c r="N217" s="26" t="s">
        <v>850</v>
      </c>
      <c r="O217" s="26" t="s">
        <v>1226</v>
      </c>
      <c r="P217" s="26" t="s">
        <v>1293</v>
      </c>
      <c r="Q217" s="20">
        <v>1968</v>
      </c>
      <c r="R217" s="26" t="s">
        <v>36</v>
      </c>
      <c r="S217" s="31">
        <v>1968</v>
      </c>
      <c r="T217" s="32">
        <v>45143</v>
      </c>
      <c r="U217" s="31"/>
      <c r="V217" s="26"/>
      <c r="W217" s="33" t="s">
        <v>1294</v>
      </c>
      <c r="X217" s="26">
        <v>0</v>
      </c>
      <c r="Y217" s="22">
        <v>0</v>
      </c>
      <c r="Z217" s="34" t="s">
        <v>50</v>
      </c>
      <c r="AA217" s="19" t="s">
        <v>901</v>
      </c>
      <c r="AB217" s="26" t="s">
        <v>104</v>
      </c>
      <c r="AC217" s="26" t="s">
        <v>53</v>
      </c>
      <c r="AD217" s="19" t="s">
        <v>54</v>
      </c>
      <c r="AE217" s="26"/>
      <c r="AF217" s="17">
        <v>45145</v>
      </c>
      <c r="AG217" s="26"/>
      <c r="AH217" s="26">
        <v>1</v>
      </c>
      <c r="AI217" s="40" t="s">
        <v>84</v>
      </c>
      <c r="AJ217" s="26"/>
      <c r="AK217" s="26"/>
      <c r="AL217" s="35"/>
      <c r="AM217" s="35"/>
      <c r="AN217" s="35"/>
      <c r="AO217" s="35"/>
      <c r="AP217" s="35"/>
    </row>
    <row r="218" spans="1:42" x14ac:dyDescent="0.2">
      <c r="A218" s="27">
        <v>45143.256676863428</v>
      </c>
      <c r="B218" s="28" t="s">
        <v>37</v>
      </c>
      <c r="C218" s="41" t="s">
        <v>118</v>
      </c>
      <c r="D218" s="26" t="s">
        <v>36</v>
      </c>
      <c r="E218" s="26" t="s">
        <v>39</v>
      </c>
      <c r="F218" s="26" t="s">
        <v>36</v>
      </c>
      <c r="G218" s="26" t="s">
        <v>41</v>
      </c>
      <c r="H218" s="26" t="s">
        <v>688</v>
      </c>
      <c r="I218" s="17">
        <f ca="1">IFERROR(__xludf.DUMMYFUNCTION("""COMPUTED_VALUE"""),45145)</f>
        <v>45145</v>
      </c>
      <c r="J218" s="29" t="s">
        <v>1295</v>
      </c>
      <c r="K218" s="26" t="s">
        <v>1296</v>
      </c>
      <c r="L218" s="30">
        <v>328658106</v>
      </c>
      <c r="M218" s="26" t="s">
        <v>123</v>
      </c>
      <c r="N218" s="26" t="s">
        <v>310</v>
      </c>
      <c r="O218" s="26" t="s">
        <v>805</v>
      </c>
      <c r="P218" s="26" t="s">
        <v>1297</v>
      </c>
      <c r="Q218" s="20">
        <v>5736</v>
      </c>
      <c r="R218" s="26" t="s">
        <v>36</v>
      </c>
      <c r="S218" s="31">
        <f>200</f>
        <v>200</v>
      </c>
      <c r="T218" s="32">
        <v>45142</v>
      </c>
      <c r="U218" s="31">
        <f>1800+3768</f>
        <v>5568</v>
      </c>
      <c r="V218" s="26" t="s">
        <v>1298</v>
      </c>
      <c r="W218" s="26" t="s">
        <v>1299</v>
      </c>
      <c r="X218" s="26">
        <v>0</v>
      </c>
      <c r="Y218" s="22">
        <v>-32</v>
      </c>
      <c r="Z218" s="34" t="s">
        <v>50</v>
      </c>
      <c r="AA218" s="19" t="s">
        <v>901</v>
      </c>
      <c r="AB218" s="26" t="s">
        <v>104</v>
      </c>
      <c r="AC218" s="26" t="s">
        <v>53</v>
      </c>
      <c r="AD218" s="19" t="s">
        <v>54</v>
      </c>
      <c r="AE218" s="26"/>
      <c r="AF218" s="17">
        <v>45145</v>
      </c>
      <c r="AG218" s="26"/>
      <c r="AH218" s="26">
        <v>1</v>
      </c>
      <c r="AI218" s="40" t="s">
        <v>55</v>
      </c>
      <c r="AJ218" s="26"/>
      <c r="AK218" s="26"/>
      <c r="AL218" s="35"/>
      <c r="AM218" s="35"/>
      <c r="AN218" s="35"/>
      <c r="AO218" s="35"/>
      <c r="AP218" s="35"/>
    </row>
    <row r="219" spans="1:42" x14ac:dyDescent="0.2">
      <c r="A219" s="27">
        <v>45143.562562581021</v>
      </c>
      <c r="B219" s="28" t="s">
        <v>37</v>
      </c>
      <c r="C219" s="41" t="s">
        <v>118</v>
      </c>
      <c r="D219" s="26" t="s">
        <v>36</v>
      </c>
      <c r="E219" s="26" t="s">
        <v>77</v>
      </c>
      <c r="F219" s="26" t="s">
        <v>36</v>
      </c>
      <c r="G219" s="26" t="s">
        <v>41</v>
      </c>
      <c r="H219" s="26" t="s">
        <v>788</v>
      </c>
      <c r="I219" s="17">
        <f ca="1">IFERROR(__xludf.DUMMYFUNCTION("""COMPUTED_VALUE"""),45147)</f>
        <v>45147</v>
      </c>
      <c r="J219" s="29" t="s">
        <v>1300</v>
      </c>
      <c r="K219" s="26" t="s">
        <v>1301</v>
      </c>
      <c r="L219" s="30">
        <v>366275678</v>
      </c>
      <c r="M219" s="26" t="s">
        <v>123</v>
      </c>
      <c r="N219" s="26" t="s">
        <v>850</v>
      </c>
      <c r="O219" s="26" t="s">
        <v>1226</v>
      </c>
      <c r="P219" s="26" t="s">
        <v>1302</v>
      </c>
      <c r="Q219" s="20">
        <v>1968</v>
      </c>
      <c r="R219" s="26" t="s">
        <v>36</v>
      </c>
      <c r="S219" s="31">
        <v>1968</v>
      </c>
      <c r="T219" s="32">
        <v>45143</v>
      </c>
      <c r="U219" s="31"/>
      <c r="V219" s="26"/>
      <c r="W219" s="33" t="s">
        <v>1303</v>
      </c>
      <c r="X219" s="26">
        <v>0</v>
      </c>
      <c r="Y219" s="22">
        <v>0</v>
      </c>
      <c r="Z219" s="34" t="s">
        <v>50</v>
      </c>
      <c r="AA219" s="19" t="s">
        <v>901</v>
      </c>
      <c r="AB219" s="26" t="s">
        <v>104</v>
      </c>
      <c r="AC219" s="26" t="s">
        <v>53</v>
      </c>
      <c r="AD219" s="19" t="s">
        <v>54</v>
      </c>
      <c r="AE219" s="26"/>
      <c r="AF219" s="17">
        <v>45145</v>
      </c>
      <c r="AG219" s="26"/>
      <c r="AH219" s="26">
        <v>1</v>
      </c>
      <c r="AI219" s="40" t="s">
        <v>84</v>
      </c>
      <c r="AJ219" s="26"/>
      <c r="AK219" s="26"/>
      <c r="AL219" s="35"/>
      <c r="AM219" s="35"/>
      <c r="AN219" s="35"/>
      <c r="AO219" s="35"/>
      <c r="AP219" s="35"/>
    </row>
    <row r="220" spans="1:42" x14ac:dyDescent="0.2">
      <c r="A220" s="27">
        <v>45143.62103282407</v>
      </c>
      <c r="B220" s="28" t="s">
        <v>37</v>
      </c>
      <c r="C220" s="41" t="s">
        <v>118</v>
      </c>
      <c r="D220" s="26" t="s">
        <v>36</v>
      </c>
      <c r="E220" s="26" t="s">
        <v>77</v>
      </c>
      <c r="F220" s="26" t="s">
        <v>91</v>
      </c>
      <c r="G220" s="26" t="s">
        <v>41</v>
      </c>
      <c r="H220" s="26" t="s">
        <v>1145</v>
      </c>
      <c r="I220" s="17">
        <f ca="1">IFERROR(__xludf.DUMMYFUNCTION("""COMPUTED_VALUE"""),45155)</f>
        <v>45155</v>
      </c>
      <c r="J220" s="29" t="s">
        <v>1304</v>
      </c>
      <c r="K220" s="26" t="s">
        <v>1305</v>
      </c>
      <c r="L220" s="30">
        <v>846368169</v>
      </c>
      <c r="M220" s="26" t="s">
        <v>391</v>
      </c>
      <c r="N220" s="26" t="s">
        <v>1306</v>
      </c>
      <c r="O220" s="26" t="s">
        <v>1307</v>
      </c>
      <c r="P220" s="28" t="s">
        <v>1308</v>
      </c>
      <c r="Q220" s="20">
        <v>1968</v>
      </c>
      <c r="R220" s="26" t="s">
        <v>36</v>
      </c>
      <c r="S220" s="31">
        <v>1968</v>
      </c>
      <c r="T220" s="32">
        <v>45143</v>
      </c>
      <c r="U220" s="31"/>
      <c r="V220" s="26"/>
      <c r="W220" s="33" t="s">
        <v>1309</v>
      </c>
      <c r="X220" s="26">
        <v>0</v>
      </c>
      <c r="Y220" s="22">
        <v>0</v>
      </c>
      <c r="Z220" s="34" t="s">
        <v>50</v>
      </c>
      <c r="AA220" s="19" t="s">
        <v>901</v>
      </c>
      <c r="AB220" s="26" t="s">
        <v>104</v>
      </c>
      <c r="AC220" s="26" t="s">
        <v>53</v>
      </c>
      <c r="AD220" s="19" t="s">
        <v>54</v>
      </c>
      <c r="AE220" s="26">
        <v>200</v>
      </c>
      <c r="AF220" s="17">
        <v>45146</v>
      </c>
      <c r="AG220" s="26" t="s">
        <v>1310</v>
      </c>
      <c r="AH220" s="26">
        <v>1</v>
      </c>
      <c r="AI220" s="40" t="s">
        <v>84</v>
      </c>
      <c r="AJ220" s="26"/>
      <c r="AK220" s="26"/>
      <c r="AL220" s="35"/>
      <c r="AM220" s="35"/>
      <c r="AN220" s="35"/>
      <c r="AO220" s="35"/>
      <c r="AP220" s="35"/>
    </row>
    <row r="221" spans="1:42" x14ac:dyDescent="0.2">
      <c r="A221" s="27">
        <v>45144.18178298611</v>
      </c>
      <c r="B221" s="28" t="s">
        <v>37</v>
      </c>
      <c r="C221" s="41" t="s">
        <v>118</v>
      </c>
      <c r="D221" s="26" t="s">
        <v>36</v>
      </c>
      <c r="E221" s="26" t="s">
        <v>77</v>
      </c>
      <c r="F221" s="26" t="s">
        <v>36</v>
      </c>
      <c r="G221" s="26" t="s">
        <v>41</v>
      </c>
      <c r="H221" s="26" t="s">
        <v>746</v>
      </c>
      <c r="I221" s="17">
        <f ca="1">IFERROR(__xludf.DUMMYFUNCTION("""COMPUTED_VALUE"""),45148)</f>
        <v>45148</v>
      </c>
      <c r="J221" s="29" t="s">
        <v>1311</v>
      </c>
      <c r="K221" s="26" t="s">
        <v>1312</v>
      </c>
      <c r="L221" s="30">
        <v>339710705</v>
      </c>
      <c r="M221" s="26" t="s">
        <v>123</v>
      </c>
      <c r="N221" s="26" t="s">
        <v>310</v>
      </c>
      <c r="O221" s="26" t="s">
        <v>1313</v>
      </c>
      <c r="P221" s="26" t="s">
        <v>1314</v>
      </c>
      <c r="Q221" s="20">
        <v>1968</v>
      </c>
      <c r="R221" s="26" t="s">
        <v>36</v>
      </c>
      <c r="S221" s="31">
        <v>1968</v>
      </c>
      <c r="T221" s="32">
        <v>45144</v>
      </c>
      <c r="U221" s="31"/>
      <c r="V221" s="26"/>
      <c r="W221" s="33" t="s">
        <v>1315</v>
      </c>
      <c r="X221" s="26">
        <v>0</v>
      </c>
      <c r="Y221" s="22">
        <v>0</v>
      </c>
      <c r="Z221" s="34" t="s">
        <v>50</v>
      </c>
      <c r="AA221" s="19" t="s">
        <v>901</v>
      </c>
      <c r="AB221" s="26" t="s">
        <v>104</v>
      </c>
      <c r="AC221" s="26" t="s">
        <v>53</v>
      </c>
      <c r="AD221" s="19" t="s">
        <v>54</v>
      </c>
      <c r="AE221" s="26"/>
      <c r="AF221" s="17">
        <v>45145</v>
      </c>
      <c r="AG221" s="26"/>
      <c r="AH221" s="26">
        <v>1</v>
      </c>
      <c r="AI221" s="40" t="s">
        <v>84</v>
      </c>
      <c r="AJ221" s="26"/>
      <c r="AK221" s="26"/>
      <c r="AL221" s="35"/>
      <c r="AM221" s="35"/>
      <c r="AN221" s="35"/>
      <c r="AO221" s="35"/>
      <c r="AP221" s="35"/>
    </row>
    <row r="222" spans="1:42" x14ac:dyDescent="0.2">
      <c r="A222" s="27">
        <v>45144.543056481481</v>
      </c>
      <c r="B222" s="28" t="s">
        <v>37</v>
      </c>
      <c r="C222" s="41" t="s">
        <v>118</v>
      </c>
      <c r="D222" s="26" t="s">
        <v>36</v>
      </c>
      <c r="E222" s="26" t="s">
        <v>39</v>
      </c>
      <c r="F222" s="26" t="s">
        <v>91</v>
      </c>
      <c r="G222" s="26" t="s">
        <v>41</v>
      </c>
      <c r="H222" s="26" t="s">
        <v>678</v>
      </c>
      <c r="I222" s="17">
        <f ca="1">IFERROR(__xludf.DUMMYFUNCTION("""COMPUTED_VALUE"""),45153)</f>
        <v>45153</v>
      </c>
      <c r="J222" s="29" t="s">
        <v>1316</v>
      </c>
      <c r="K222" s="26" t="s">
        <v>1317</v>
      </c>
      <c r="L222" s="30">
        <v>337193808</v>
      </c>
      <c r="M222" s="26" t="s">
        <v>910</v>
      </c>
      <c r="N222" s="26" t="s">
        <v>355</v>
      </c>
      <c r="O222" s="26" t="s">
        <v>1318</v>
      </c>
      <c r="P222" s="26" t="s">
        <v>1319</v>
      </c>
      <c r="Q222" s="20">
        <v>5736</v>
      </c>
      <c r="R222" s="26" t="s">
        <v>36</v>
      </c>
      <c r="S222" s="31">
        <v>2000</v>
      </c>
      <c r="T222" s="32">
        <v>45144</v>
      </c>
      <c r="U222" s="31">
        <v>3736</v>
      </c>
      <c r="V222" s="38">
        <v>45158</v>
      </c>
      <c r="W222" s="33" t="s">
        <v>1320</v>
      </c>
      <c r="X222" s="26">
        <v>0</v>
      </c>
      <c r="Y222" s="22">
        <v>0</v>
      </c>
      <c r="Z222" s="34" t="s">
        <v>50</v>
      </c>
      <c r="AA222" s="19" t="s">
        <v>901</v>
      </c>
      <c r="AB222" s="26" t="s">
        <v>104</v>
      </c>
      <c r="AC222" s="26" t="s">
        <v>53</v>
      </c>
      <c r="AD222" s="19" t="s">
        <v>54</v>
      </c>
      <c r="AE222" s="26"/>
      <c r="AF222" s="17">
        <v>45145</v>
      </c>
      <c r="AG222" s="26" t="s">
        <v>1321</v>
      </c>
      <c r="AH222" s="26">
        <v>1</v>
      </c>
      <c r="AI222" s="40" t="s">
        <v>55</v>
      </c>
      <c r="AJ222" s="26"/>
      <c r="AK222" s="26"/>
      <c r="AL222" s="35"/>
      <c r="AM222" s="35"/>
      <c r="AN222" s="35"/>
      <c r="AO222" s="35"/>
      <c r="AP222" s="35"/>
    </row>
    <row r="223" spans="1:42" x14ac:dyDescent="0.2">
      <c r="A223" s="27">
        <v>45144.640584039356</v>
      </c>
      <c r="B223" s="28" t="s">
        <v>37</v>
      </c>
      <c r="C223" s="41" t="s">
        <v>118</v>
      </c>
      <c r="D223" s="26" t="s">
        <v>36</v>
      </c>
      <c r="E223" s="26" t="s">
        <v>56</v>
      </c>
      <c r="F223" s="26" t="s">
        <v>91</v>
      </c>
      <c r="G223" s="26" t="s">
        <v>41</v>
      </c>
      <c r="H223" s="26" t="s">
        <v>746</v>
      </c>
      <c r="I223" s="17">
        <f ca="1">IFERROR(__xludf.DUMMYFUNCTION("""COMPUTED_VALUE"""),45148)</f>
        <v>45148</v>
      </c>
      <c r="J223" s="44" t="s">
        <v>1322</v>
      </c>
      <c r="K223" s="26" t="s">
        <v>1323</v>
      </c>
      <c r="L223" s="30">
        <v>878775240</v>
      </c>
      <c r="M223" s="26" t="s">
        <v>94</v>
      </c>
      <c r="N223" s="26" t="s">
        <v>200</v>
      </c>
      <c r="O223" s="26" t="s">
        <v>1324</v>
      </c>
      <c r="P223" s="26" t="s">
        <v>1325</v>
      </c>
      <c r="Q223" s="20">
        <v>9317</v>
      </c>
      <c r="R223" s="26" t="s">
        <v>36</v>
      </c>
      <c r="S223" s="31">
        <v>9317</v>
      </c>
      <c r="T223" s="32">
        <v>45144</v>
      </c>
      <c r="U223" s="31"/>
      <c r="V223" s="26"/>
      <c r="W223" s="33" t="s">
        <v>1326</v>
      </c>
      <c r="X223" s="26">
        <v>0</v>
      </c>
      <c r="Y223" s="22">
        <v>0</v>
      </c>
      <c r="Z223" s="34" t="s">
        <v>50</v>
      </c>
      <c r="AA223" s="19" t="s">
        <v>901</v>
      </c>
      <c r="AB223" s="26" t="s">
        <v>104</v>
      </c>
      <c r="AC223" s="26" t="s">
        <v>53</v>
      </c>
      <c r="AD223" s="19" t="s">
        <v>54</v>
      </c>
      <c r="AE223" s="26" t="s">
        <v>1327</v>
      </c>
      <c r="AF223" s="17">
        <v>45145</v>
      </c>
      <c r="AG223" s="26"/>
      <c r="AH223" s="26">
        <v>1</v>
      </c>
      <c r="AI223" s="40" t="s">
        <v>64</v>
      </c>
      <c r="AJ223" s="26"/>
      <c r="AK223" s="26"/>
      <c r="AL223" s="35"/>
      <c r="AM223" s="35"/>
      <c r="AN223" s="35"/>
      <c r="AO223" s="35"/>
      <c r="AP223" s="35"/>
    </row>
    <row r="224" spans="1:42" x14ac:dyDescent="0.2">
      <c r="A224" s="27">
        <v>45145.10950987268</v>
      </c>
      <c r="B224" s="28" t="s">
        <v>37</v>
      </c>
      <c r="C224" s="41" t="s">
        <v>118</v>
      </c>
      <c r="D224" s="26" t="s">
        <v>36</v>
      </c>
      <c r="E224" s="26" t="s">
        <v>77</v>
      </c>
      <c r="F224" s="26" t="s">
        <v>36</v>
      </c>
      <c r="G224" s="26" t="s">
        <v>41</v>
      </c>
      <c r="H224" s="26" t="s">
        <v>746</v>
      </c>
      <c r="I224" s="17">
        <f ca="1">IFERROR(__xludf.DUMMYFUNCTION("""COMPUTED_VALUE"""),45148)</f>
        <v>45148</v>
      </c>
      <c r="J224" s="29" t="s">
        <v>1328</v>
      </c>
      <c r="K224" s="26" t="s">
        <v>1329</v>
      </c>
      <c r="L224" s="30">
        <v>963827081</v>
      </c>
      <c r="M224" s="26" t="s">
        <v>123</v>
      </c>
      <c r="N224" s="26" t="s">
        <v>850</v>
      </c>
      <c r="O224" s="26" t="s">
        <v>1226</v>
      </c>
      <c r="P224" s="26" t="s">
        <v>1330</v>
      </c>
      <c r="Q224" s="20">
        <v>1968</v>
      </c>
      <c r="R224" s="26" t="s">
        <v>36</v>
      </c>
      <c r="S224" s="31">
        <v>1968</v>
      </c>
      <c r="T224" s="32">
        <v>45145</v>
      </c>
      <c r="U224" s="31"/>
      <c r="V224" s="26"/>
      <c r="W224" s="33" t="s">
        <v>1331</v>
      </c>
      <c r="X224" s="26">
        <v>0</v>
      </c>
      <c r="Y224" s="22">
        <v>0</v>
      </c>
      <c r="Z224" s="34" t="s">
        <v>50</v>
      </c>
      <c r="AA224" s="19" t="s">
        <v>901</v>
      </c>
      <c r="AB224" s="26" t="s">
        <v>104</v>
      </c>
      <c r="AC224" s="26" t="s">
        <v>53</v>
      </c>
      <c r="AD224" s="19" t="s">
        <v>54</v>
      </c>
      <c r="AE224" s="26"/>
      <c r="AF224" s="17">
        <v>45145</v>
      </c>
      <c r="AG224" s="26"/>
      <c r="AH224" s="26">
        <v>1</v>
      </c>
      <c r="AI224" s="40" t="s">
        <v>84</v>
      </c>
      <c r="AJ224" s="26"/>
      <c r="AK224" s="26"/>
      <c r="AL224" s="35"/>
      <c r="AM224" s="35"/>
      <c r="AN224" s="35"/>
      <c r="AO224" s="35"/>
      <c r="AP224" s="35"/>
    </row>
    <row r="225" spans="1:42" x14ac:dyDescent="0.2">
      <c r="A225" s="27">
        <v>45145.153169722224</v>
      </c>
      <c r="B225" s="28" t="s">
        <v>37</v>
      </c>
      <c r="C225" s="41" t="s">
        <v>118</v>
      </c>
      <c r="D225" s="26" t="s">
        <v>36</v>
      </c>
      <c r="E225" s="26" t="s">
        <v>148</v>
      </c>
      <c r="F225" s="26" t="s">
        <v>1332</v>
      </c>
      <c r="G225" s="26" t="s">
        <v>108</v>
      </c>
      <c r="H225" s="26" t="s">
        <v>836</v>
      </c>
      <c r="I225" s="17">
        <f ca="1">IFERROR(__xludf.DUMMYFUNCTION("""COMPUTED_VALUE"""),45160)</f>
        <v>45160</v>
      </c>
      <c r="J225" s="29" t="s">
        <v>1333</v>
      </c>
      <c r="K225" s="26" t="s">
        <v>1334</v>
      </c>
      <c r="L225" s="30">
        <v>567431332</v>
      </c>
      <c r="M225" s="26" t="s">
        <v>391</v>
      </c>
      <c r="N225" s="26" t="s">
        <v>1335</v>
      </c>
      <c r="O225" s="26" t="s">
        <v>1336</v>
      </c>
      <c r="P225" s="28" t="s">
        <v>1337</v>
      </c>
      <c r="Q225" s="20">
        <v>7349</v>
      </c>
      <c r="R225" s="26" t="s">
        <v>36</v>
      </c>
      <c r="S225" s="31">
        <v>7369</v>
      </c>
      <c r="T225" s="32">
        <v>45145</v>
      </c>
      <c r="U225" s="31"/>
      <c r="V225" s="26"/>
      <c r="W225" s="33" t="s">
        <v>1338</v>
      </c>
      <c r="X225" s="26">
        <v>100</v>
      </c>
      <c r="Y225" s="22">
        <v>-120</v>
      </c>
      <c r="Z225" s="34" t="s">
        <v>50</v>
      </c>
      <c r="AA225" s="19" t="s">
        <v>901</v>
      </c>
      <c r="AB225" s="26" t="s">
        <v>137</v>
      </c>
      <c r="AC225" s="26" t="s">
        <v>53</v>
      </c>
      <c r="AD225" s="19" t="s">
        <v>54</v>
      </c>
      <c r="AE225" s="26"/>
      <c r="AF225" s="17">
        <v>45145</v>
      </c>
      <c r="AG225" s="26"/>
      <c r="AH225" s="26">
        <v>1</v>
      </c>
      <c r="AI225" s="40">
        <v>2</v>
      </c>
      <c r="AJ225" s="26"/>
      <c r="AK225" s="26"/>
      <c r="AL225" s="35"/>
      <c r="AM225" s="35"/>
      <c r="AN225" s="35"/>
      <c r="AO225" s="35"/>
      <c r="AP225" s="35"/>
    </row>
    <row r="226" spans="1:42" x14ac:dyDescent="0.2">
      <c r="A226" s="27">
        <v>45145.163508923608</v>
      </c>
      <c r="B226" s="28" t="s">
        <v>37</v>
      </c>
      <c r="C226" s="41" t="s">
        <v>118</v>
      </c>
      <c r="D226" s="26" t="s">
        <v>36</v>
      </c>
      <c r="E226" s="26" t="s">
        <v>56</v>
      </c>
      <c r="F226" s="26" t="s">
        <v>91</v>
      </c>
      <c r="G226" s="26" t="s">
        <v>41</v>
      </c>
      <c r="H226" s="26" t="s">
        <v>746</v>
      </c>
      <c r="I226" s="17">
        <f ca="1">IFERROR(__xludf.DUMMYFUNCTION("""COMPUTED_VALUE"""),45148)</f>
        <v>45148</v>
      </c>
      <c r="J226" s="29" t="s">
        <v>1339</v>
      </c>
      <c r="K226" s="26" t="s">
        <v>1340</v>
      </c>
      <c r="L226" s="30">
        <v>984908099</v>
      </c>
      <c r="M226" s="26" t="s">
        <v>348</v>
      </c>
      <c r="N226" s="26" t="s">
        <v>200</v>
      </c>
      <c r="O226" s="26" t="s">
        <v>1341</v>
      </c>
      <c r="P226" s="26" t="s">
        <v>1342</v>
      </c>
      <c r="Q226" s="20">
        <v>9317</v>
      </c>
      <c r="R226" s="26" t="s">
        <v>36</v>
      </c>
      <c r="S226" s="31">
        <v>9317</v>
      </c>
      <c r="T226" s="32">
        <v>45145</v>
      </c>
      <c r="U226" s="31"/>
      <c r="V226" s="26"/>
      <c r="W226" s="33" t="s">
        <v>1343</v>
      </c>
      <c r="X226" s="26">
        <v>0</v>
      </c>
      <c r="Y226" s="22">
        <v>0</v>
      </c>
      <c r="Z226" s="34" t="s">
        <v>50</v>
      </c>
      <c r="AA226" s="19" t="s">
        <v>901</v>
      </c>
      <c r="AB226" s="26" t="s">
        <v>104</v>
      </c>
      <c r="AC226" s="26" t="s">
        <v>53</v>
      </c>
      <c r="AD226" s="19" t="s">
        <v>54</v>
      </c>
      <c r="AE226" s="26" t="s">
        <v>1327</v>
      </c>
      <c r="AF226" s="17">
        <v>45145</v>
      </c>
      <c r="AG226" s="26"/>
      <c r="AH226" s="26">
        <v>1</v>
      </c>
      <c r="AI226" s="40" t="s">
        <v>64</v>
      </c>
      <c r="AJ226" s="26"/>
      <c r="AK226" s="26"/>
      <c r="AL226" s="35"/>
      <c r="AM226" s="35"/>
      <c r="AN226" s="35"/>
      <c r="AO226" s="35"/>
      <c r="AP226" s="35"/>
    </row>
    <row r="227" spans="1:42" x14ac:dyDescent="0.2">
      <c r="A227" s="27">
        <v>45145.424388587962</v>
      </c>
      <c r="B227" s="28" t="s">
        <v>37</v>
      </c>
      <c r="C227" s="41" t="s">
        <v>118</v>
      </c>
      <c r="D227" s="26" t="s">
        <v>36</v>
      </c>
      <c r="E227" s="26" t="s">
        <v>77</v>
      </c>
      <c r="F227" s="26" t="s">
        <v>91</v>
      </c>
      <c r="G227" s="26" t="s">
        <v>41</v>
      </c>
      <c r="H227" s="26" t="s">
        <v>1145</v>
      </c>
      <c r="I227" s="17">
        <f ca="1">IFERROR(__xludf.DUMMYFUNCTION("""COMPUTED_VALUE"""),45155)</f>
        <v>45155</v>
      </c>
      <c r="J227" s="29" t="s">
        <v>1344</v>
      </c>
      <c r="K227" s="26" t="s">
        <v>1345</v>
      </c>
      <c r="L227" s="30">
        <v>369840006</v>
      </c>
      <c r="M227" s="26" t="s">
        <v>910</v>
      </c>
      <c r="N227" s="26" t="s">
        <v>355</v>
      </c>
      <c r="O227" s="26" t="s">
        <v>1346</v>
      </c>
      <c r="P227" s="28" t="s">
        <v>1347</v>
      </c>
      <c r="Q227" s="20">
        <v>1968</v>
      </c>
      <c r="R227" s="26" t="s">
        <v>36</v>
      </c>
      <c r="S227" s="31">
        <v>1968</v>
      </c>
      <c r="T227" s="32">
        <v>45145</v>
      </c>
      <c r="U227" s="31"/>
      <c r="V227" s="26"/>
      <c r="W227" s="33" t="s">
        <v>1348</v>
      </c>
      <c r="X227" s="26">
        <v>0</v>
      </c>
      <c r="Y227" s="22">
        <v>0</v>
      </c>
      <c r="Z227" s="34" t="s">
        <v>50</v>
      </c>
      <c r="AA227" s="19" t="s">
        <v>901</v>
      </c>
      <c r="AB227" s="26" t="s">
        <v>104</v>
      </c>
      <c r="AC227" s="26" t="s">
        <v>53</v>
      </c>
      <c r="AD227" s="19" t="s">
        <v>54</v>
      </c>
      <c r="AE227" s="26"/>
      <c r="AF227" s="17">
        <v>45146</v>
      </c>
      <c r="AG227" s="26"/>
      <c r="AH227" s="26">
        <v>1</v>
      </c>
      <c r="AI227" s="40" t="s">
        <v>84</v>
      </c>
      <c r="AJ227" s="26"/>
      <c r="AK227" s="26"/>
      <c r="AL227" s="35"/>
      <c r="AM227" s="35"/>
      <c r="AN227" s="35"/>
      <c r="AO227" s="35"/>
      <c r="AP227" s="35"/>
    </row>
    <row r="228" spans="1:42" x14ac:dyDescent="0.2">
      <c r="A228" s="27">
        <v>45146.066205069445</v>
      </c>
      <c r="B228" s="28" t="s">
        <v>37</v>
      </c>
      <c r="C228" s="41" t="s">
        <v>118</v>
      </c>
      <c r="D228" s="26" t="s">
        <v>36</v>
      </c>
      <c r="E228" s="26" t="s">
        <v>39</v>
      </c>
      <c r="F228" s="26" t="s">
        <v>36</v>
      </c>
      <c r="G228" s="26" t="s">
        <v>41</v>
      </c>
      <c r="H228" s="26" t="s">
        <v>678</v>
      </c>
      <c r="I228" s="17">
        <f ca="1">IFERROR(__xludf.DUMMYFUNCTION("""COMPUTED_VALUE"""),45153)</f>
        <v>45153</v>
      </c>
      <c r="J228" s="29" t="s">
        <v>1349</v>
      </c>
      <c r="K228" s="26" t="s">
        <v>1350</v>
      </c>
      <c r="L228" s="30">
        <v>383462291</v>
      </c>
      <c r="M228" s="26" t="s">
        <v>80</v>
      </c>
      <c r="N228" s="26" t="s">
        <v>81</v>
      </c>
      <c r="O228" s="26" t="s">
        <v>1351</v>
      </c>
      <c r="P228" s="28" t="s">
        <v>1352</v>
      </c>
      <c r="Q228" s="20">
        <v>5736</v>
      </c>
      <c r="R228" s="26" t="s">
        <v>36</v>
      </c>
      <c r="S228" s="31">
        <v>2000</v>
      </c>
      <c r="T228" s="32">
        <v>45146</v>
      </c>
      <c r="U228" s="31">
        <v>4000</v>
      </c>
      <c r="V228" s="32">
        <v>45169</v>
      </c>
      <c r="W228" s="33" t="s">
        <v>1353</v>
      </c>
      <c r="X228" s="26">
        <v>0</v>
      </c>
      <c r="Y228" s="22">
        <v>-264</v>
      </c>
      <c r="Z228" s="34" t="s">
        <v>50</v>
      </c>
      <c r="AA228" s="19" t="s">
        <v>901</v>
      </c>
      <c r="AB228" s="26" t="s">
        <v>104</v>
      </c>
      <c r="AC228" s="26" t="s">
        <v>53</v>
      </c>
      <c r="AD228" s="19" t="s">
        <v>54</v>
      </c>
      <c r="AE228" s="26">
        <v>0</v>
      </c>
      <c r="AF228" s="17">
        <v>45146</v>
      </c>
      <c r="AG228" s="26"/>
      <c r="AH228" s="26">
        <v>1</v>
      </c>
      <c r="AI228" s="40" t="s">
        <v>55</v>
      </c>
      <c r="AJ228" s="26"/>
      <c r="AK228" s="26"/>
      <c r="AL228" s="35"/>
      <c r="AM228" s="35"/>
      <c r="AN228" s="35"/>
      <c r="AO228" s="35"/>
      <c r="AP228" s="35"/>
    </row>
    <row r="229" spans="1:42" x14ac:dyDescent="0.2">
      <c r="A229" s="27">
        <v>45146.116690740746</v>
      </c>
      <c r="B229" s="28" t="s">
        <v>37</v>
      </c>
      <c r="C229" s="41" t="s">
        <v>118</v>
      </c>
      <c r="D229" s="26" t="s">
        <v>36</v>
      </c>
      <c r="E229" s="26" t="s">
        <v>56</v>
      </c>
      <c r="F229" s="26" t="s">
        <v>1354</v>
      </c>
      <c r="G229" s="26" t="s">
        <v>41</v>
      </c>
      <c r="H229" s="26" t="s">
        <v>1355</v>
      </c>
      <c r="I229" s="17" t="str">
        <f ca="1">IFERROR(__xludf.DUMMYFUNCTION("""COMPUTED_VALUE""")," ")</f>
        <v xml:space="preserve"> </v>
      </c>
      <c r="J229" s="29" t="s">
        <v>1356</v>
      </c>
      <c r="K229" s="26" t="s">
        <v>1357</v>
      </c>
      <c r="L229" s="30">
        <v>899493881</v>
      </c>
      <c r="M229" s="26" t="s">
        <v>94</v>
      </c>
      <c r="N229" s="26" t="s">
        <v>1358</v>
      </c>
      <c r="O229" s="26" t="s">
        <v>91</v>
      </c>
      <c r="P229" s="26" t="s">
        <v>1359</v>
      </c>
      <c r="Q229" s="20">
        <v>9317</v>
      </c>
      <c r="R229" s="26" t="s">
        <v>36</v>
      </c>
      <c r="S229" s="31">
        <v>9317</v>
      </c>
      <c r="T229" s="32">
        <v>45145</v>
      </c>
      <c r="U229" s="31"/>
      <c r="V229" s="26"/>
      <c r="W229" s="33" t="s">
        <v>1360</v>
      </c>
      <c r="X229" s="26">
        <v>100</v>
      </c>
      <c r="Y229" s="22">
        <v>-100</v>
      </c>
      <c r="Z229" s="34" t="s">
        <v>50</v>
      </c>
      <c r="AA229" s="19" t="s">
        <v>901</v>
      </c>
      <c r="AB229" s="26" t="s">
        <v>104</v>
      </c>
      <c r="AC229" s="26" t="s">
        <v>53</v>
      </c>
      <c r="AD229" s="19" t="s">
        <v>54</v>
      </c>
      <c r="AE229" s="26" t="s">
        <v>1361</v>
      </c>
      <c r="AF229" s="17">
        <v>45309</v>
      </c>
      <c r="AG229" s="26" t="s">
        <v>1362</v>
      </c>
      <c r="AH229" s="26">
        <v>1</v>
      </c>
      <c r="AI229" s="40" t="s">
        <v>64</v>
      </c>
      <c r="AJ229" s="26"/>
      <c r="AK229" s="26"/>
      <c r="AL229" s="35"/>
      <c r="AM229" s="35"/>
      <c r="AN229" s="35"/>
      <c r="AO229" s="35"/>
      <c r="AP229" s="35"/>
    </row>
    <row r="230" spans="1:42" x14ac:dyDescent="0.2">
      <c r="A230" s="27">
        <v>45146.402583043979</v>
      </c>
      <c r="B230" s="28" t="s">
        <v>37</v>
      </c>
      <c r="C230" s="41" t="s">
        <v>118</v>
      </c>
      <c r="D230" s="26" t="s">
        <v>36</v>
      </c>
      <c r="E230" s="26" t="s">
        <v>77</v>
      </c>
      <c r="F230" s="26" t="s">
        <v>36</v>
      </c>
      <c r="G230" s="26" t="s">
        <v>41</v>
      </c>
      <c r="H230" s="26" t="s">
        <v>1145</v>
      </c>
      <c r="I230" s="17">
        <f ca="1">IFERROR(__xludf.DUMMYFUNCTION("""COMPUTED_VALUE"""),45155)</f>
        <v>45155</v>
      </c>
      <c r="J230" s="29" t="s">
        <v>1363</v>
      </c>
      <c r="K230" s="26" t="s">
        <v>1364</v>
      </c>
      <c r="L230" s="30">
        <v>827050763</v>
      </c>
      <c r="M230" s="26" t="s">
        <v>112</v>
      </c>
      <c r="N230" s="26" t="s">
        <v>113</v>
      </c>
      <c r="O230" s="26" t="s">
        <v>1365</v>
      </c>
      <c r="P230" s="26" t="s">
        <v>1366</v>
      </c>
      <c r="Q230" s="20">
        <v>1968</v>
      </c>
      <c r="R230" s="26" t="s">
        <v>36</v>
      </c>
      <c r="S230" s="31">
        <v>1968</v>
      </c>
      <c r="T230" s="32">
        <v>45146</v>
      </c>
      <c r="U230" s="31"/>
      <c r="V230" s="26"/>
      <c r="W230" s="33" t="s">
        <v>1367</v>
      </c>
      <c r="X230" s="26">
        <v>0</v>
      </c>
      <c r="Y230" s="22">
        <v>0</v>
      </c>
      <c r="Z230" s="34" t="s">
        <v>50</v>
      </c>
      <c r="AA230" s="19" t="s">
        <v>901</v>
      </c>
      <c r="AB230" s="26" t="s">
        <v>104</v>
      </c>
      <c r="AC230" s="26" t="s">
        <v>53</v>
      </c>
      <c r="AD230" s="19" t="s">
        <v>54</v>
      </c>
      <c r="AE230" s="26" t="s">
        <v>240</v>
      </c>
      <c r="AF230" s="17">
        <v>45149</v>
      </c>
      <c r="AG230" s="26"/>
      <c r="AH230" s="26">
        <v>1</v>
      </c>
      <c r="AI230" s="40" t="s">
        <v>84</v>
      </c>
      <c r="AJ230" s="26"/>
      <c r="AK230" s="26"/>
      <c r="AL230" s="35"/>
      <c r="AM230" s="35"/>
      <c r="AN230" s="35"/>
      <c r="AO230" s="35"/>
      <c r="AP230" s="35"/>
    </row>
    <row r="231" spans="1:42" x14ac:dyDescent="0.2">
      <c r="A231" s="27">
        <v>45146.602801701389</v>
      </c>
      <c r="B231" s="28" t="s">
        <v>37</v>
      </c>
      <c r="C231" s="41" t="s">
        <v>118</v>
      </c>
      <c r="D231" s="26" t="s">
        <v>36</v>
      </c>
      <c r="E231" s="26" t="s">
        <v>56</v>
      </c>
      <c r="F231" s="26" t="s">
        <v>36</v>
      </c>
      <c r="G231" s="26" t="s">
        <v>41</v>
      </c>
      <c r="H231" s="26" t="s">
        <v>678</v>
      </c>
      <c r="I231" s="17">
        <f ca="1">IFERROR(__xludf.DUMMYFUNCTION("""COMPUTED_VALUE"""),45153)</f>
        <v>45153</v>
      </c>
      <c r="J231" s="29" t="s">
        <v>1368</v>
      </c>
      <c r="K231" s="26" t="s">
        <v>1369</v>
      </c>
      <c r="L231" s="66">
        <v>333601190</v>
      </c>
      <c r="M231" s="26" t="s">
        <v>80</v>
      </c>
      <c r="N231" s="26" t="s">
        <v>299</v>
      </c>
      <c r="O231" s="26" t="s">
        <v>1370</v>
      </c>
      <c r="P231" s="26" t="s">
        <v>1371</v>
      </c>
      <c r="Q231" s="20">
        <v>9317</v>
      </c>
      <c r="R231" s="26" t="s">
        <v>36</v>
      </c>
      <c r="S231" s="31">
        <v>2000</v>
      </c>
      <c r="T231" s="32">
        <v>45146</v>
      </c>
      <c r="U231" s="31">
        <v>7317</v>
      </c>
      <c r="V231" s="32">
        <v>45169</v>
      </c>
      <c r="W231" s="33" t="s">
        <v>1372</v>
      </c>
      <c r="X231" s="26">
        <v>0</v>
      </c>
      <c r="Y231" s="22">
        <v>0</v>
      </c>
      <c r="Z231" s="34" t="s">
        <v>50</v>
      </c>
      <c r="AA231" s="19" t="s">
        <v>901</v>
      </c>
      <c r="AB231" s="26" t="s">
        <v>104</v>
      </c>
      <c r="AC231" s="26" t="s">
        <v>53</v>
      </c>
      <c r="AD231" s="19" t="s">
        <v>54</v>
      </c>
      <c r="AE231" s="26">
        <v>0</v>
      </c>
      <c r="AF231" s="17">
        <v>45149</v>
      </c>
      <c r="AG231" s="26"/>
      <c r="AH231" s="26">
        <v>1</v>
      </c>
      <c r="AI231" s="40" t="s">
        <v>64</v>
      </c>
      <c r="AJ231" s="26"/>
      <c r="AK231" s="26"/>
      <c r="AL231" s="35"/>
      <c r="AM231" s="35"/>
      <c r="AN231" s="35"/>
      <c r="AO231" s="35"/>
      <c r="AP231" s="35"/>
    </row>
    <row r="232" spans="1:42" x14ac:dyDescent="0.2">
      <c r="A232" s="27">
        <v>45146.608082650462</v>
      </c>
      <c r="B232" s="28" t="s">
        <v>37</v>
      </c>
      <c r="C232" s="41" t="s">
        <v>118</v>
      </c>
      <c r="D232" s="26" t="s">
        <v>77</v>
      </c>
      <c r="E232" s="26" t="s">
        <v>77</v>
      </c>
      <c r="F232" s="26" t="s">
        <v>36</v>
      </c>
      <c r="G232" s="26" t="s">
        <v>41</v>
      </c>
      <c r="H232" s="26" t="s">
        <v>678</v>
      </c>
      <c r="I232" s="17">
        <f ca="1">IFERROR(__xludf.DUMMYFUNCTION("""COMPUTED_VALUE"""),45153)</f>
        <v>45153</v>
      </c>
      <c r="J232" s="29" t="s">
        <v>1373</v>
      </c>
      <c r="K232" s="26" t="s">
        <v>1374</v>
      </c>
      <c r="L232" s="30">
        <v>363655245</v>
      </c>
      <c r="M232" s="26" t="s">
        <v>123</v>
      </c>
      <c r="N232" s="26" t="s">
        <v>310</v>
      </c>
      <c r="O232" s="26" t="s">
        <v>1375</v>
      </c>
      <c r="P232" s="26" t="s">
        <v>1376</v>
      </c>
      <c r="Q232" s="20">
        <v>1968</v>
      </c>
      <c r="R232" s="26" t="s">
        <v>36</v>
      </c>
      <c r="S232" s="31">
        <v>1968</v>
      </c>
      <c r="T232" s="32">
        <v>45146</v>
      </c>
      <c r="U232" s="31"/>
      <c r="V232" s="26"/>
      <c r="W232" s="33" t="s">
        <v>1377</v>
      </c>
      <c r="X232" s="26">
        <v>0</v>
      </c>
      <c r="Y232" s="22">
        <v>0</v>
      </c>
      <c r="Z232" s="34" t="s">
        <v>50</v>
      </c>
      <c r="AA232" s="19" t="s">
        <v>901</v>
      </c>
      <c r="AB232" s="26" t="s">
        <v>104</v>
      </c>
      <c r="AC232" s="26" t="s">
        <v>53</v>
      </c>
      <c r="AD232" s="19" t="s">
        <v>54</v>
      </c>
      <c r="AE232" s="26"/>
      <c r="AF232" s="17">
        <v>45149</v>
      </c>
      <c r="AG232" s="26"/>
      <c r="AH232" s="26">
        <v>1</v>
      </c>
      <c r="AI232" s="40" t="s">
        <v>84</v>
      </c>
      <c r="AJ232" s="26"/>
      <c r="AK232" s="26"/>
      <c r="AL232" s="35"/>
      <c r="AM232" s="35"/>
      <c r="AN232" s="35"/>
      <c r="AO232" s="35"/>
      <c r="AP232" s="35"/>
    </row>
    <row r="233" spans="1:42" x14ac:dyDescent="0.2">
      <c r="A233" s="27">
        <v>45146.60992534722</v>
      </c>
      <c r="B233" s="28" t="s">
        <v>37</v>
      </c>
      <c r="C233" s="41" t="s">
        <v>118</v>
      </c>
      <c r="D233" s="26" t="s">
        <v>36</v>
      </c>
      <c r="E233" s="26" t="s">
        <v>77</v>
      </c>
      <c r="F233" s="26" t="s">
        <v>1145</v>
      </c>
      <c r="G233" s="26" t="s">
        <v>41</v>
      </c>
      <c r="H233" s="26" t="s">
        <v>1145</v>
      </c>
      <c r="I233" s="17">
        <f ca="1">IFERROR(__xludf.DUMMYFUNCTION("""COMPUTED_VALUE"""),45155)</f>
        <v>45155</v>
      </c>
      <c r="J233" s="29" t="s">
        <v>1378</v>
      </c>
      <c r="K233" s="26" t="s">
        <v>1379</v>
      </c>
      <c r="L233" s="30">
        <v>399344608</v>
      </c>
      <c r="M233" s="26" t="s">
        <v>123</v>
      </c>
      <c r="N233" s="26" t="s">
        <v>310</v>
      </c>
      <c r="O233" s="26" t="s">
        <v>1226</v>
      </c>
      <c r="P233" s="34" t="s">
        <v>1380</v>
      </c>
      <c r="Q233" s="20">
        <v>1968</v>
      </c>
      <c r="R233" s="26" t="s">
        <v>36</v>
      </c>
      <c r="S233" s="31">
        <v>1968</v>
      </c>
      <c r="T233" s="32">
        <v>45146</v>
      </c>
      <c r="U233" s="31"/>
      <c r="V233" s="26"/>
      <c r="W233" s="33" t="s">
        <v>1381</v>
      </c>
      <c r="X233" s="26">
        <v>0</v>
      </c>
      <c r="Y233" s="22">
        <v>0</v>
      </c>
      <c r="Z233" s="34" t="s">
        <v>50</v>
      </c>
      <c r="AA233" s="19" t="s">
        <v>901</v>
      </c>
      <c r="AB233" s="26" t="s">
        <v>104</v>
      </c>
      <c r="AC233" s="26" t="s">
        <v>53</v>
      </c>
      <c r="AD233" s="19" t="s">
        <v>54</v>
      </c>
      <c r="AE233" s="26"/>
      <c r="AF233" s="17">
        <v>45149</v>
      </c>
      <c r="AG233" s="26"/>
      <c r="AH233" s="26">
        <v>1</v>
      </c>
      <c r="AI233" s="40" t="s">
        <v>84</v>
      </c>
      <c r="AJ233" s="26"/>
      <c r="AK233" s="26"/>
      <c r="AL233" s="35"/>
      <c r="AM233" s="35"/>
      <c r="AN233" s="35"/>
      <c r="AO233" s="35"/>
      <c r="AP233" s="35"/>
    </row>
    <row r="234" spans="1:42" x14ac:dyDescent="0.2">
      <c r="A234" s="27">
        <v>45146.612690347218</v>
      </c>
      <c r="B234" s="28" t="s">
        <v>37</v>
      </c>
      <c r="C234" s="41" t="s">
        <v>118</v>
      </c>
      <c r="D234" s="26" t="s">
        <v>36</v>
      </c>
      <c r="E234" s="26" t="s">
        <v>77</v>
      </c>
      <c r="F234" s="26" t="s">
        <v>36</v>
      </c>
      <c r="G234" s="26" t="s">
        <v>41</v>
      </c>
      <c r="H234" s="26" t="s">
        <v>1145</v>
      </c>
      <c r="I234" s="17">
        <f ca="1">IFERROR(__xludf.DUMMYFUNCTION("""COMPUTED_VALUE"""),45155)</f>
        <v>45155</v>
      </c>
      <c r="J234" s="29" t="s">
        <v>1382</v>
      </c>
      <c r="K234" s="26" t="s">
        <v>1383</v>
      </c>
      <c r="L234" s="30">
        <v>388160258</v>
      </c>
      <c r="M234" s="26" t="s">
        <v>123</v>
      </c>
      <c r="N234" s="26" t="s">
        <v>1384</v>
      </c>
      <c r="O234" s="26" t="s">
        <v>1226</v>
      </c>
      <c r="P234" s="34" t="s">
        <v>1380</v>
      </c>
      <c r="Q234" s="20">
        <v>1968</v>
      </c>
      <c r="R234" s="26" t="s">
        <v>36</v>
      </c>
      <c r="S234" s="31">
        <v>200</v>
      </c>
      <c r="T234" s="32">
        <v>45143</v>
      </c>
      <c r="U234" s="31">
        <v>1768</v>
      </c>
      <c r="V234" s="38">
        <v>45145</v>
      </c>
      <c r="W234" s="33" t="s">
        <v>1385</v>
      </c>
      <c r="X234" s="26">
        <v>0</v>
      </c>
      <c r="Y234" s="22">
        <v>0</v>
      </c>
      <c r="Z234" s="34" t="s">
        <v>50</v>
      </c>
      <c r="AA234" s="19" t="s">
        <v>901</v>
      </c>
      <c r="AB234" s="26" t="s">
        <v>104</v>
      </c>
      <c r="AC234" s="26" t="s">
        <v>53</v>
      </c>
      <c r="AD234" s="19" t="s">
        <v>54</v>
      </c>
      <c r="AE234" s="26"/>
      <c r="AF234" s="17">
        <v>45149</v>
      </c>
      <c r="AG234" s="26"/>
      <c r="AH234" s="26">
        <v>1</v>
      </c>
      <c r="AI234" s="40" t="s">
        <v>84</v>
      </c>
      <c r="AJ234" s="26"/>
      <c r="AK234" s="26"/>
      <c r="AL234" s="35"/>
      <c r="AM234" s="35"/>
      <c r="AN234" s="35"/>
      <c r="AO234" s="35"/>
      <c r="AP234" s="35"/>
    </row>
    <row r="235" spans="1:42" x14ac:dyDescent="0.2">
      <c r="A235" s="27">
        <v>45147.103486863431</v>
      </c>
      <c r="B235" s="28" t="s">
        <v>37</v>
      </c>
      <c r="C235" s="41" t="s">
        <v>118</v>
      </c>
      <c r="D235" s="26" t="s">
        <v>36</v>
      </c>
      <c r="E235" s="26" t="s">
        <v>77</v>
      </c>
      <c r="F235" s="26" t="s">
        <v>36</v>
      </c>
      <c r="G235" s="26" t="s">
        <v>41</v>
      </c>
      <c r="H235" s="26" t="s">
        <v>723</v>
      </c>
      <c r="I235" s="17">
        <f ca="1">IFERROR(__xludf.DUMMYFUNCTION("""COMPUTED_VALUE"""),45176)</f>
        <v>45176</v>
      </c>
      <c r="J235" s="29" t="s">
        <v>1386</v>
      </c>
      <c r="K235" s="26" t="s">
        <v>1387</v>
      </c>
      <c r="L235" s="30">
        <v>867951661</v>
      </c>
      <c r="M235" s="26" t="s">
        <v>80</v>
      </c>
      <c r="N235" s="26" t="s">
        <v>81</v>
      </c>
      <c r="O235" s="26" t="s">
        <v>1388</v>
      </c>
      <c r="P235" s="26" t="s">
        <v>1389</v>
      </c>
      <c r="Q235" s="20">
        <v>1968</v>
      </c>
      <c r="R235" s="26" t="s">
        <v>36</v>
      </c>
      <c r="S235" s="31">
        <v>500</v>
      </c>
      <c r="T235" s="32">
        <v>45147</v>
      </c>
      <c r="U235" s="31">
        <v>1468</v>
      </c>
      <c r="V235" s="32">
        <v>45163</v>
      </c>
      <c r="W235" s="33" t="s">
        <v>1390</v>
      </c>
      <c r="X235" s="26">
        <v>0</v>
      </c>
      <c r="Y235" s="22">
        <v>0</v>
      </c>
      <c r="Z235" s="34" t="s">
        <v>50</v>
      </c>
      <c r="AA235" s="19" t="s">
        <v>901</v>
      </c>
      <c r="AB235" s="26" t="s">
        <v>104</v>
      </c>
      <c r="AC235" s="26" t="s">
        <v>53</v>
      </c>
      <c r="AD235" s="19" t="s">
        <v>138</v>
      </c>
      <c r="AE235" s="26">
        <v>0</v>
      </c>
      <c r="AF235" s="17">
        <v>45176</v>
      </c>
      <c r="AG235" s="26" t="s">
        <v>1391</v>
      </c>
      <c r="AH235" s="26">
        <v>1</v>
      </c>
      <c r="AI235" s="40" t="s">
        <v>84</v>
      </c>
      <c r="AJ235" s="26"/>
      <c r="AK235" s="26"/>
      <c r="AL235" s="35"/>
      <c r="AM235" s="35"/>
      <c r="AN235" s="35"/>
      <c r="AO235" s="35"/>
      <c r="AP235" s="35"/>
    </row>
    <row r="236" spans="1:42" x14ac:dyDescent="0.2">
      <c r="A236" s="27">
        <v>45147.177124525464</v>
      </c>
      <c r="B236" s="28" t="s">
        <v>37</v>
      </c>
      <c r="C236" s="41" t="s">
        <v>118</v>
      </c>
      <c r="D236" s="26" t="s">
        <v>36</v>
      </c>
      <c r="E236" s="26" t="s">
        <v>77</v>
      </c>
      <c r="F236" s="26" t="s">
        <v>1392</v>
      </c>
      <c r="G236" s="26" t="s">
        <v>41</v>
      </c>
      <c r="H236" s="26" t="s">
        <v>1145</v>
      </c>
      <c r="I236" s="17">
        <f ca="1">IFERROR(__xludf.DUMMYFUNCTION("""COMPUTED_VALUE"""),45155)</f>
        <v>45155</v>
      </c>
      <c r="J236" s="29" t="s">
        <v>1393</v>
      </c>
      <c r="K236" s="26" t="s">
        <v>1394</v>
      </c>
      <c r="L236" s="30">
        <v>981469970</v>
      </c>
      <c r="M236" s="26" t="s">
        <v>94</v>
      </c>
      <c r="N236" s="26" t="s">
        <v>672</v>
      </c>
      <c r="O236" s="26" t="s">
        <v>91</v>
      </c>
      <c r="P236" s="26" t="s">
        <v>1395</v>
      </c>
      <c r="Q236" s="20">
        <v>1968</v>
      </c>
      <c r="R236" s="26" t="s">
        <v>36</v>
      </c>
      <c r="S236" s="31">
        <v>1968</v>
      </c>
      <c r="T236" s="32">
        <v>45147</v>
      </c>
      <c r="U236" s="31"/>
      <c r="V236" s="26"/>
      <c r="W236" s="33" t="s">
        <v>1396</v>
      </c>
      <c r="X236" s="26">
        <v>100</v>
      </c>
      <c r="Y236" s="22">
        <v>-100</v>
      </c>
      <c r="Z236" s="34" t="s">
        <v>50</v>
      </c>
      <c r="AA236" s="19" t="s">
        <v>901</v>
      </c>
      <c r="AB236" s="26" t="s">
        <v>104</v>
      </c>
      <c r="AC236" s="26" t="s">
        <v>53</v>
      </c>
      <c r="AD236" s="19" t="s">
        <v>54</v>
      </c>
      <c r="AE236" s="26" t="s">
        <v>1327</v>
      </c>
      <c r="AF236" s="17">
        <v>45149</v>
      </c>
      <c r="AG236" s="26"/>
      <c r="AH236" s="26">
        <v>1</v>
      </c>
      <c r="AI236" s="40" t="s">
        <v>84</v>
      </c>
      <c r="AJ236" s="26"/>
      <c r="AK236" s="26"/>
      <c r="AL236" s="35"/>
      <c r="AM236" s="35"/>
      <c r="AN236" s="35"/>
      <c r="AO236" s="35"/>
      <c r="AP236" s="35"/>
    </row>
    <row r="237" spans="1:42" x14ac:dyDescent="0.2">
      <c r="A237" s="27">
        <v>45147.182291249999</v>
      </c>
      <c r="B237" s="28" t="s">
        <v>37</v>
      </c>
      <c r="C237" s="41" t="s">
        <v>118</v>
      </c>
      <c r="D237" s="26" t="s">
        <v>36</v>
      </c>
      <c r="E237" s="26" t="s">
        <v>77</v>
      </c>
      <c r="F237" s="26" t="s">
        <v>91</v>
      </c>
      <c r="G237" s="26" t="s">
        <v>41</v>
      </c>
      <c r="H237" s="26" t="s">
        <v>1397</v>
      </c>
      <c r="I237" s="17">
        <f ca="1">IFERROR(__xludf.DUMMYFUNCTION("""COMPUTED_VALUE"""),45155)</f>
        <v>45155</v>
      </c>
      <c r="J237" s="29" t="s">
        <v>1398</v>
      </c>
      <c r="K237" s="26" t="s">
        <v>1399</v>
      </c>
      <c r="L237" s="30">
        <v>917925971</v>
      </c>
      <c r="M237" s="26" t="s">
        <v>94</v>
      </c>
      <c r="N237" s="26" t="s">
        <v>1400</v>
      </c>
      <c r="O237" s="26" t="s">
        <v>91</v>
      </c>
      <c r="P237" s="26" t="s">
        <v>1401</v>
      </c>
      <c r="Q237" s="20">
        <v>1968</v>
      </c>
      <c r="R237" s="26" t="s">
        <v>36</v>
      </c>
      <c r="S237" s="31">
        <v>1968</v>
      </c>
      <c r="T237" s="32">
        <v>45146</v>
      </c>
      <c r="U237" s="31"/>
      <c r="V237" s="26"/>
      <c r="W237" s="26" t="s">
        <v>1402</v>
      </c>
      <c r="X237" s="26">
        <v>0</v>
      </c>
      <c r="Y237" s="22">
        <v>0</v>
      </c>
      <c r="Z237" s="34" t="s">
        <v>50</v>
      </c>
      <c r="AA237" s="19" t="s">
        <v>901</v>
      </c>
      <c r="AB237" s="26" t="s">
        <v>104</v>
      </c>
      <c r="AC237" s="26" t="s">
        <v>53</v>
      </c>
      <c r="AD237" s="19" t="s">
        <v>54</v>
      </c>
      <c r="AE237" s="26" t="s">
        <v>1327</v>
      </c>
      <c r="AF237" s="17">
        <v>45149</v>
      </c>
      <c r="AG237" s="26" t="s">
        <v>1403</v>
      </c>
      <c r="AH237" s="26">
        <v>1</v>
      </c>
      <c r="AI237" s="40" t="s">
        <v>84</v>
      </c>
      <c r="AJ237" s="26"/>
      <c r="AK237" s="26"/>
      <c r="AL237" s="35"/>
      <c r="AM237" s="35"/>
      <c r="AN237" s="35"/>
      <c r="AO237" s="35"/>
      <c r="AP237" s="35"/>
    </row>
    <row r="238" spans="1:42" x14ac:dyDescent="0.2">
      <c r="A238" s="27">
        <v>45147.374809953704</v>
      </c>
      <c r="B238" s="28" t="s">
        <v>37</v>
      </c>
      <c r="C238" s="41" t="s">
        <v>118</v>
      </c>
      <c r="D238" s="26" t="s">
        <v>36</v>
      </c>
      <c r="E238" s="26" t="s">
        <v>39</v>
      </c>
      <c r="F238" s="26" t="s">
        <v>91</v>
      </c>
      <c r="G238" s="26" t="s">
        <v>41</v>
      </c>
      <c r="H238" s="26" t="s">
        <v>1145</v>
      </c>
      <c r="I238" s="17">
        <f ca="1">IFERROR(__xludf.DUMMYFUNCTION("""COMPUTED_VALUE"""),45155)</f>
        <v>45155</v>
      </c>
      <c r="J238" s="29" t="s">
        <v>1404</v>
      </c>
      <c r="K238" s="26" t="s">
        <v>1405</v>
      </c>
      <c r="L238" s="30">
        <v>911147050</v>
      </c>
      <c r="M238" s="26" t="s">
        <v>910</v>
      </c>
      <c r="N238" s="26" t="s">
        <v>355</v>
      </c>
      <c r="O238" s="26" t="s">
        <v>1406</v>
      </c>
      <c r="P238" s="26" t="s">
        <v>1407</v>
      </c>
      <c r="Q238" s="20">
        <v>5736</v>
      </c>
      <c r="R238" s="26" t="s">
        <v>36</v>
      </c>
      <c r="S238" s="31">
        <v>2000</v>
      </c>
      <c r="T238" s="32">
        <v>45147</v>
      </c>
      <c r="U238" s="31">
        <v>3736</v>
      </c>
      <c r="V238" s="32">
        <v>45167</v>
      </c>
      <c r="W238" s="33" t="s">
        <v>1408</v>
      </c>
      <c r="X238" s="26">
        <v>0</v>
      </c>
      <c r="Y238" s="22">
        <v>0</v>
      </c>
      <c r="Z238" s="34" t="s">
        <v>50</v>
      </c>
      <c r="AA238" s="19" t="s">
        <v>901</v>
      </c>
      <c r="AB238" s="26" t="s">
        <v>104</v>
      </c>
      <c r="AC238" s="26" t="s">
        <v>53</v>
      </c>
      <c r="AD238" s="19" t="s">
        <v>54</v>
      </c>
      <c r="AE238" s="26"/>
      <c r="AF238" s="17">
        <v>45149</v>
      </c>
      <c r="AG238" s="26"/>
      <c r="AH238" s="26">
        <v>1</v>
      </c>
      <c r="AI238" s="40" t="s">
        <v>55</v>
      </c>
      <c r="AJ238" s="26"/>
      <c r="AK238" s="26"/>
      <c r="AL238" s="35"/>
      <c r="AM238" s="35"/>
      <c r="AN238" s="35"/>
      <c r="AO238" s="35"/>
      <c r="AP238" s="35"/>
    </row>
    <row r="239" spans="1:42" x14ac:dyDescent="0.2">
      <c r="A239" s="27">
        <v>45147.588303113429</v>
      </c>
      <c r="B239" s="28" t="s">
        <v>37</v>
      </c>
      <c r="C239" s="41" t="s">
        <v>118</v>
      </c>
      <c r="D239" s="26" t="s">
        <v>36</v>
      </c>
      <c r="E239" s="26" t="s">
        <v>77</v>
      </c>
      <c r="F239" s="26" t="s">
        <v>36</v>
      </c>
      <c r="G239" s="26" t="s">
        <v>41</v>
      </c>
      <c r="H239" s="26" t="s">
        <v>678</v>
      </c>
      <c r="I239" s="17">
        <f ca="1">IFERROR(__xludf.DUMMYFUNCTION("""COMPUTED_VALUE"""),45153)</f>
        <v>45153</v>
      </c>
      <c r="J239" s="29" t="s">
        <v>1409</v>
      </c>
      <c r="K239" s="26" t="s">
        <v>1410</v>
      </c>
      <c r="L239" s="30">
        <v>363298700</v>
      </c>
      <c r="M239" s="26" t="s">
        <v>80</v>
      </c>
      <c r="N239" s="26" t="s">
        <v>466</v>
      </c>
      <c r="O239" s="26" t="s">
        <v>1411</v>
      </c>
      <c r="P239" s="26" t="s">
        <v>1412</v>
      </c>
      <c r="Q239" s="20">
        <v>1968</v>
      </c>
      <c r="R239" s="26" t="s">
        <v>36</v>
      </c>
      <c r="S239" s="31">
        <v>1968</v>
      </c>
      <c r="T239" s="32">
        <v>45147</v>
      </c>
      <c r="U239" s="31"/>
      <c r="V239" s="26"/>
      <c r="W239" s="33" t="s">
        <v>1413</v>
      </c>
      <c r="X239" s="26">
        <v>0</v>
      </c>
      <c r="Y239" s="22">
        <v>0</v>
      </c>
      <c r="Z239" s="34" t="s">
        <v>50</v>
      </c>
      <c r="AA239" s="19" t="s">
        <v>901</v>
      </c>
      <c r="AB239" s="26" t="s">
        <v>104</v>
      </c>
      <c r="AC239" s="26" t="s">
        <v>53</v>
      </c>
      <c r="AD239" s="19" t="s">
        <v>54</v>
      </c>
      <c r="AE239" s="26">
        <v>0</v>
      </c>
      <c r="AF239" s="17">
        <v>45149</v>
      </c>
      <c r="AG239" s="26"/>
      <c r="AH239" s="26">
        <v>1</v>
      </c>
      <c r="AI239" s="40" t="s">
        <v>84</v>
      </c>
      <c r="AJ239" s="26"/>
      <c r="AK239" s="26"/>
      <c r="AL239" s="35"/>
      <c r="AM239" s="35"/>
      <c r="AN239" s="35"/>
      <c r="AO239" s="35"/>
      <c r="AP239" s="35"/>
    </row>
    <row r="240" spans="1:42" x14ac:dyDescent="0.2">
      <c r="A240" s="27">
        <v>45148.167669456016</v>
      </c>
      <c r="B240" s="28" t="s">
        <v>37</v>
      </c>
      <c r="C240" s="41" t="s">
        <v>118</v>
      </c>
      <c r="D240" s="26" t="s">
        <v>36</v>
      </c>
      <c r="E240" s="26" t="s">
        <v>77</v>
      </c>
      <c r="F240" s="26" t="s">
        <v>36</v>
      </c>
      <c r="G240" s="26" t="s">
        <v>41</v>
      </c>
      <c r="H240" s="26" t="s">
        <v>678</v>
      </c>
      <c r="I240" s="17">
        <f ca="1">IFERROR(__xludf.DUMMYFUNCTION("""COMPUTED_VALUE"""),45153)</f>
        <v>45153</v>
      </c>
      <c r="J240" s="29" t="s">
        <v>1414</v>
      </c>
      <c r="K240" s="26" t="s">
        <v>1415</v>
      </c>
      <c r="L240" s="30">
        <v>337288255</v>
      </c>
      <c r="M240" s="26" t="s">
        <v>123</v>
      </c>
      <c r="N240" s="26" t="s">
        <v>850</v>
      </c>
      <c r="O240" s="26" t="s">
        <v>1226</v>
      </c>
      <c r="P240" s="26" t="s">
        <v>1416</v>
      </c>
      <c r="Q240" s="20">
        <v>1968</v>
      </c>
      <c r="R240" s="26" t="s">
        <v>36</v>
      </c>
      <c r="S240" s="31">
        <v>1968</v>
      </c>
      <c r="T240" s="32">
        <v>45148</v>
      </c>
      <c r="U240" s="31"/>
      <c r="V240" s="26"/>
      <c r="W240" s="33" t="s">
        <v>1417</v>
      </c>
      <c r="X240" s="26">
        <v>0</v>
      </c>
      <c r="Y240" s="22">
        <v>0</v>
      </c>
      <c r="Z240" s="34" t="s">
        <v>50</v>
      </c>
      <c r="AA240" s="19" t="s">
        <v>901</v>
      </c>
      <c r="AB240" s="26" t="s">
        <v>104</v>
      </c>
      <c r="AC240" s="26" t="s">
        <v>53</v>
      </c>
      <c r="AD240" s="19" t="s">
        <v>54</v>
      </c>
      <c r="AE240" s="26"/>
      <c r="AF240" s="17">
        <v>45149</v>
      </c>
      <c r="AG240" s="26"/>
      <c r="AH240" s="26">
        <v>1</v>
      </c>
      <c r="AI240" s="40" t="s">
        <v>84</v>
      </c>
      <c r="AJ240" s="26"/>
      <c r="AK240" s="26"/>
      <c r="AL240" s="35"/>
      <c r="AM240" s="35"/>
      <c r="AN240" s="35"/>
      <c r="AO240" s="35"/>
      <c r="AP240" s="35"/>
    </row>
    <row r="241" spans="1:42" x14ac:dyDescent="0.2">
      <c r="A241" s="27">
        <v>45148.169614560189</v>
      </c>
      <c r="B241" s="28" t="s">
        <v>37</v>
      </c>
      <c r="C241" s="41" t="s">
        <v>118</v>
      </c>
      <c r="D241" s="26" t="s">
        <v>36</v>
      </c>
      <c r="E241" s="26" t="s">
        <v>39</v>
      </c>
      <c r="F241" s="26" t="s">
        <v>36</v>
      </c>
      <c r="G241" s="26" t="s">
        <v>41</v>
      </c>
      <c r="H241" s="26" t="s">
        <v>1145</v>
      </c>
      <c r="I241" s="17">
        <f ca="1">IFERROR(__xludf.DUMMYFUNCTION("""COMPUTED_VALUE"""),45155)</f>
        <v>45155</v>
      </c>
      <c r="J241" s="29" t="s">
        <v>1418</v>
      </c>
      <c r="K241" s="26" t="s">
        <v>1419</v>
      </c>
      <c r="L241" s="30">
        <v>972988509</v>
      </c>
      <c r="M241" s="26" t="s">
        <v>123</v>
      </c>
      <c r="N241" s="26" t="s">
        <v>310</v>
      </c>
      <c r="O241" s="26" t="s">
        <v>1226</v>
      </c>
      <c r="P241" s="26" t="s">
        <v>1420</v>
      </c>
      <c r="Q241" s="20">
        <v>5736</v>
      </c>
      <c r="R241" s="26" t="s">
        <v>36</v>
      </c>
      <c r="S241" s="31">
        <v>2000</v>
      </c>
      <c r="T241" s="32">
        <v>45147</v>
      </c>
      <c r="U241" s="31">
        <v>3736</v>
      </c>
      <c r="V241" s="32">
        <v>45169</v>
      </c>
      <c r="W241" s="33" t="s">
        <v>1421</v>
      </c>
      <c r="X241" s="26">
        <v>0</v>
      </c>
      <c r="Y241" s="22">
        <v>0</v>
      </c>
      <c r="Z241" s="34" t="s">
        <v>50</v>
      </c>
      <c r="AA241" s="19" t="s">
        <v>901</v>
      </c>
      <c r="AB241" s="26" t="s">
        <v>104</v>
      </c>
      <c r="AC241" s="26" t="s">
        <v>53</v>
      </c>
      <c r="AD241" s="19" t="s">
        <v>54</v>
      </c>
      <c r="AE241" s="26"/>
      <c r="AF241" s="17">
        <v>45149</v>
      </c>
      <c r="AG241" s="26"/>
      <c r="AH241" s="26">
        <v>1</v>
      </c>
      <c r="AI241" s="40" t="s">
        <v>55</v>
      </c>
      <c r="AJ241" s="26"/>
      <c r="AK241" s="26"/>
      <c r="AL241" s="35"/>
      <c r="AM241" s="35"/>
      <c r="AN241" s="35"/>
      <c r="AO241" s="35"/>
      <c r="AP241" s="35"/>
    </row>
    <row r="242" spans="1:42" x14ac:dyDescent="0.2">
      <c r="A242" s="27">
        <v>45149.064839861108</v>
      </c>
      <c r="B242" s="28" t="s">
        <v>37</v>
      </c>
      <c r="C242" s="41" t="s">
        <v>118</v>
      </c>
      <c r="D242" s="26" t="s">
        <v>36</v>
      </c>
      <c r="E242" s="26" t="s">
        <v>139</v>
      </c>
      <c r="F242" s="26" t="s">
        <v>91</v>
      </c>
      <c r="G242" s="26" t="s">
        <v>41</v>
      </c>
      <c r="H242" s="26" t="s">
        <v>678</v>
      </c>
      <c r="I242" s="17">
        <f ca="1">IFERROR(__xludf.DUMMYFUNCTION("""COMPUTED_VALUE"""),45153)</f>
        <v>45153</v>
      </c>
      <c r="J242" s="29" t="s">
        <v>1422</v>
      </c>
      <c r="K242" s="26" t="s">
        <v>1423</v>
      </c>
      <c r="L242" s="30">
        <v>988523219</v>
      </c>
      <c r="M242" s="26" t="s">
        <v>391</v>
      </c>
      <c r="N242" s="26" t="s">
        <v>1424</v>
      </c>
      <c r="O242" s="26" t="s">
        <v>1425</v>
      </c>
      <c r="P242" s="26" t="s">
        <v>1426</v>
      </c>
      <c r="Q242" s="20">
        <v>15936</v>
      </c>
      <c r="R242" s="26" t="s">
        <v>36</v>
      </c>
      <c r="S242" s="31">
        <v>1000</v>
      </c>
      <c r="T242" s="32">
        <v>45138</v>
      </c>
      <c r="U242" s="31">
        <v>14936</v>
      </c>
      <c r="V242" s="32">
        <v>45148</v>
      </c>
      <c r="W242" s="26" t="s">
        <v>1427</v>
      </c>
      <c r="X242" s="26">
        <v>0</v>
      </c>
      <c r="Y242" s="22">
        <v>0</v>
      </c>
      <c r="Z242" s="34" t="s">
        <v>50</v>
      </c>
      <c r="AA242" s="19" t="s">
        <v>901</v>
      </c>
      <c r="AB242" s="26" t="s">
        <v>104</v>
      </c>
      <c r="AC242" s="26" t="s">
        <v>53</v>
      </c>
      <c r="AD242" s="19" t="s">
        <v>54</v>
      </c>
      <c r="AE242" s="26"/>
      <c r="AF242" s="17">
        <v>45149</v>
      </c>
      <c r="AG242" s="26"/>
      <c r="AH242" s="26">
        <v>1</v>
      </c>
      <c r="AI242" s="40" t="s">
        <v>147</v>
      </c>
      <c r="AJ242" s="26"/>
      <c r="AK242" s="26"/>
      <c r="AL242" s="35"/>
      <c r="AM242" s="35"/>
      <c r="AN242" s="35"/>
      <c r="AO242" s="35"/>
      <c r="AP242" s="35"/>
    </row>
    <row r="243" spans="1:42" x14ac:dyDescent="0.2">
      <c r="A243" s="27">
        <v>45149.101105439811</v>
      </c>
      <c r="B243" s="28" t="s">
        <v>37</v>
      </c>
      <c r="C243" s="41" t="s">
        <v>118</v>
      </c>
      <c r="D243" s="26" t="s">
        <v>36</v>
      </c>
      <c r="E243" s="26" t="s">
        <v>77</v>
      </c>
      <c r="F243" s="26" t="s">
        <v>91</v>
      </c>
      <c r="G243" s="26" t="s">
        <v>41</v>
      </c>
      <c r="H243" s="26" t="s">
        <v>1397</v>
      </c>
      <c r="I243" s="17">
        <f ca="1">IFERROR(__xludf.DUMMYFUNCTION("""COMPUTED_VALUE"""),45155)</f>
        <v>45155</v>
      </c>
      <c r="J243" s="29" t="s">
        <v>1428</v>
      </c>
      <c r="K243" s="26" t="s">
        <v>1429</v>
      </c>
      <c r="L243" s="30">
        <v>369755668</v>
      </c>
      <c r="M243" s="26" t="s">
        <v>94</v>
      </c>
      <c r="N243" s="26" t="s">
        <v>1400</v>
      </c>
      <c r="O243" s="26" t="s">
        <v>91</v>
      </c>
      <c r="P243" s="26" t="s">
        <v>1430</v>
      </c>
      <c r="Q243" s="20">
        <v>1968</v>
      </c>
      <c r="R243" s="26" t="s">
        <v>36</v>
      </c>
      <c r="S243" s="31">
        <v>1000</v>
      </c>
      <c r="T243" s="32">
        <v>45147</v>
      </c>
      <c r="U243" s="31">
        <v>968</v>
      </c>
      <c r="V243" s="32">
        <v>45148</v>
      </c>
      <c r="W243" s="26" t="s">
        <v>1431</v>
      </c>
      <c r="X243" s="26">
        <v>0</v>
      </c>
      <c r="Y243" s="22">
        <v>0</v>
      </c>
      <c r="Z243" s="34" t="s">
        <v>50</v>
      </c>
      <c r="AA243" s="19" t="s">
        <v>901</v>
      </c>
      <c r="AB243" s="26" t="s">
        <v>104</v>
      </c>
      <c r="AC243" s="26" t="s">
        <v>53</v>
      </c>
      <c r="AD243" s="19" t="s">
        <v>54</v>
      </c>
      <c r="AE243" s="26" t="s">
        <v>1327</v>
      </c>
      <c r="AF243" s="17">
        <v>45149</v>
      </c>
      <c r="AG243" s="26"/>
      <c r="AH243" s="26">
        <v>1</v>
      </c>
      <c r="AI243" s="40" t="s">
        <v>84</v>
      </c>
      <c r="AJ243" s="26"/>
      <c r="AK243" s="26"/>
      <c r="AL243" s="35"/>
      <c r="AM243" s="35"/>
      <c r="AN243" s="35"/>
      <c r="AO243" s="35"/>
      <c r="AP243" s="35"/>
    </row>
    <row r="244" spans="1:42" x14ac:dyDescent="0.2">
      <c r="A244" s="27">
        <v>45149.103708657407</v>
      </c>
      <c r="B244" s="28" t="s">
        <v>37</v>
      </c>
      <c r="C244" s="41" t="s">
        <v>118</v>
      </c>
      <c r="D244" s="26" t="s">
        <v>36</v>
      </c>
      <c r="E244" s="26" t="s">
        <v>77</v>
      </c>
      <c r="F244" s="26" t="s">
        <v>91</v>
      </c>
      <c r="G244" s="26" t="s">
        <v>41</v>
      </c>
      <c r="H244" s="26" t="s">
        <v>1397</v>
      </c>
      <c r="I244" s="17">
        <f ca="1">IFERROR(__xludf.DUMMYFUNCTION("""COMPUTED_VALUE"""),45155)</f>
        <v>45155</v>
      </c>
      <c r="J244" s="29" t="s">
        <v>1432</v>
      </c>
      <c r="K244" s="26" t="s">
        <v>1433</v>
      </c>
      <c r="L244" s="30">
        <v>867012736</v>
      </c>
      <c r="M244" s="26" t="s">
        <v>94</v>
      </c>
      <c r="N244" s="26" t="s">
        <v>1400</v>
      </c>
      <c r="O244" s="26" t="s">
        <v>91</v>
      </c>
      <c r="P244" s="26" t="s">
        <v>1434</v>
      </c>
      <c r="Q244" s="20">
        <v>1968</v>
      </c>
      <c r="R244" s="26" t="s">
        <v>36</v>
      </c>
      <c r="S244" s="31">
        <v>1000</v>
      </c>
      <c r="T244" s="32">
        <v>45147</v>
      </c>
      <c r="U244" s="31">
        <v>968</v>
      </c>
      <c r="V244" s="32">
        <v>45148</v>
      </c>
      <c r="W244" s="26" t="s">
        <v>1435</v>
      </c>
      <c r="X244" s="26">
        <v>0</v>
      </c>
      <c r="Y244" s="22">
        <v>0</v>
      </c>
      <c r="Z244" s="34" t="s">
        <v>50</v>
      </c>
      <c r="AA244" s="19" t="s">
        <v>901</v>
      </c>
      <c r="AB244" s="26" t="s">
        <v>104</v>
      </c>
      <c r="AC244" s="26" t="s">
        <v>53</v>
      </c>
      <c r="AD244" s="19" t="s">
        <v>54</v>
      </c>
      <c r="AE244" s="26" t="s">
        <v>1327</v>
      </c>
      <c r="AF244" s="17">
        <v>45149</v>
      </c>
      <c r="AG244" s="26"/>
      <c r="AH244" s="26">
        <v>1</v>
      </c>
      <c r="AI244" s="40" t="s">
        <v>84</v>
      </c>
      <c r="AJ244" s="26"/>
      <c r="AK244" s="26"/>
      <c r="AL244" s="35"/>
      <c r="AM244" s="35"/>
      <c r="AN244" s="35"/>
      <c r="AO244" s="35"/>
      <c r="AP244" s="35"/>
    </row>
    <row r="245" spans="1:42" x14ac:dyDescent="0.2">
      <c r="A245" s="27">
        <v>45149.107128599542</v>
      </c>
      <c r="B245" s="28" t="s">
        <v>37</v>
      </c>
      <c r="C245" s="41" t="s">
        <v>118</v>
      </c>
      <c r="D245" s="26" t="s">
        <v>36</v>
      </c>
      <c r="E245" s="26" t="s">
        <v>56</v>
      </c>
      <c r="F245" s="26" t="s">
        <v>677</v>
      </c>
      <c r="G245" s="26" t="s">
        <v>41</v>
      </c>
      <c r="H245" s="26" t="s">
        <v>1436</v>
      </c>
      <c r="I245" s="17">
        <f ca="1">IFERROR(__xludf.DUMMYFUNCTION("""COMPUTED_VALUE"""),45179)</f>
        <v>45179</v>
      </c>
      <c r="J245" s="29" t="s">
        <v>1437</v>
      </c>
      <c r="K245" s="26" t="s">
        <v>1438</v>
      </c>
      <c r="L245" s="30">
        <v>334486906</v>
      </c>
      <c r="M245" s="26" t="s">
        <v>94</v>
      </c>
      <c r="N245" s="26" t="s">
        <v>672</v>
      </c>
      <c r="O245" s="26" t="s">
        <v>91</v>
      </c>
      <c r="P245" s="26" t="s">
        <v>1439</v>
      </c>
      <c r="Q245" s="20">
        <v>9317</v>
      </c>
      <c r="R245" s="26" t="s">
        <v>36</v>
      </c>
      <c r="S245" s="31">
        <v>9317</v>
      </c>
      <c r="T245" s="32">
        <v>45148</v>
      </c>
      <c r="U245" s="31"/>
      <c r="V245" s="26"/>
      <c r="W245" s="55" t="s">
        <v>1440</v>
      </c>
      <c r="X245" s="26">
        <v>100</v>
      </c>
      <c r="Y245" s="22">
        <v>-100</v>
      </c>
      <c r="Z245" s="34" t="s">
        <v>50</v>
      </c>
      <c r="AA245" s="19" t="s">
        <v>901</v>
      </c>
      <c r="AB245" s="26" t="s">
        <v>104</v>
      </c>
      <c r="AC245" s="26" t="s">
        <v>53</v>
      </c>
      <c r="AD245" s="19" t="s">
        <v>54</v>
      </c>
      <c r="AE245" s="26" t="s">
        <v>1327</v>
      </c>
      <c r="AF245" s="17">
        <v>45169</v>
      </c>
      <c r="AG245" s="26"/>
      <c r="AH245" s="26">
        <v>1</v>
      </c>
      <c r="AI245" s="40" t="s">
        <v>64</v>
      </c>
      <c r="AJ245" s="26"/>
      <c r="AK245" s="26"/>
      <c r="AL245" s="35"/>
      <c r="AM245" s="35"/>
      <c r="AN245" s="35"/>
      <c r="AO245" s="35"/>
      <c r="AP245" s="35"/>
    </row>
    <row r="246" spans="1:42" x14ac:dyDescent="0.2">
      <c r="A246" s="27">
        <v>45149.111069525461</v>
      </c>
      <c r="B246" s="28" t="s">
        <v>37</v>
      </c>
      <c r="C246" s="41" t="s">
        <v>118</v>
      </c>
      <c r="D246" s="26" t="s">
        <v>36</v>
      </c>
      <c r="E246" s="26" t="s">
        <v>139</v>
      </c>
      <c r="F246" s="26" t="s">
        <v>36</v>
      </c>
      <c r="G246" s="26" t="s">
        <v>41</v>
      </c>
      <c r="H246" s="26" t="s">
        <v>1436</v>
      </c>
      <c r="I246" s="17">
        <f ca="1">IFERROR(__xludf.DUMMYFUNCTION("""COMPUTED_VALUE"""),45179)</f>
        <v>45179</v>
      </c>
      <c r="J246" s="29" t="s">
        <v>1441</v>
      </c>
      <c r="K246" s="26" t="s">
        <v>1442</v>
      </c>
      <c r="L246" s="30">
        <v>868043757</v>
      </c>
      <c r="M246" s="26" t="s">
        <v>633</v>
      </c>
      <c r="N246" s="26" t="s">
        <v>1384</v>
      </c>
      <c r="O246" s="26" t="s">
        <v>1443</v>
      </c>
      <c r="P246" s="26" t="s">
        <v>1444</v>
      </c>
      <c r="Q246" s="20">
        <v>15936</v>
      </c>
      <c r="R246" s="26" t="s">
        <v>36</v>
      </c>
      <c r="S246" s="31">
        <v>2000</v>
      </c>
      <c r="T246" s="32">
        <v>45148</v>
      </c>
      <c r="U246" s="31">
        <f>5000+8936</f>
        <v>13936</v>
      </c>
      <c r="V246" s="26" t="s">
        <v>1445</v>
      </c>
      <c r="W246" s="33" t="s">
        <v>1446</v>
      </c>
      <c r="X246" s="26">
        <v>0</v>
      </c>
      <c r="Y246" s="22">
        <v>0</v>
      </c>
      <c r="Z246" s="34" t="s">
        <v>50</v>
      </c>
      <c r="AA246" s="19" t="s">
        <v>901</v>
      </c>
      <c r="AB246" s="26" t="s">
        <v>104</v>
      </c>
      <c r="AC246" s="26" t="s">
        <v>53</v>
      </c>
      <c r="AD246" s="19" t="s">
        <v>138</v>
      </c>
      <c r="AE246" s="26">
        <v>240</v>
      </c>
      <c r="AF246" s="17">
        <v>45176</v>
      </c>
      <c r="AG246" s="26" t="s">
        <v>1391</v>
      </c>
      <c r="AH246" s="26" t="s">
        <v>1447</v>
      </c>
      <c r="AI246" s="40" t="s">
        <v>147</v>
      </c>
      <c r="AJ246" s="26"/>
      <c r="AK246" s="26"/>
      <c r="AL246" s="35"/>
      <c r="AM246" s="35"/>
      <c r="AN246" s="35"/>
      <c r="AO246" s="35"/>
      <c r="AP246" s="35"/>
    </row>
    <row r="247" spans="1:42" x14ac:dyDescent="0.2">
      <c r="A247" s="27">
        <v>45149.568350960646</v>
      </c>
      <c r="B247" s="28" t="s">
        <v>37</v>
      </c>
      <c r="C247" s="41" t="s">
        <v>118</v>
      </c>
      <c r="D247" s="26" t="s">
        <v>36</v>
      </c>
      <c r="E247" s="26" t="s">
        <v>148</v>
      </c>
      <c r="F247" s="26" t="s">
        <v>40</v>
      </c>
      <c r="G247" s="26" t="s">
        <v>108</v>
      </c>
      <c r="H247" s="26" t="s">
        <v>830</v>
      </c>
      <c r="I247" s="17">
        <f ca="1">IFERROR(__xludf.DUMMYFUNCTION("""COMPUTED_VALUE"""),45159)</f>
        <v>45159</v>
      </c>
      <c r="J247" s="29" t="s">
        <v>1448</v>
      </c>
      <c r="K247" s="26" t="s">
        <v>1449</v>
      </c>
      <c r="L247" s="30">
        <v>384544182</v>
      </c>
      <c r="M247" s="26" t="s">
        <v>45</v>
      </c>
      <c r="N247" s="26" t="s">
        <v>1450</v>
      </c>
      <c r="O247" s="26" t="s">
        <v>1451</v>
      </c>
      <c r="P247" s="54" t="s">
        <v>1452</v>
      </c>
      <c r="Q247" s="20">
        <v>7349</v>
      </c>
      <c r="R247" s="26" t="s">
        <v>36</v>
      </c>
      <c r="S247" s="31">
        <v>7349</v>
      </c>
      <c r="T247" s="32">
        <v>45149</v>
      </c>
      <c r="U247" s="31"/>
      <c r="V247" s="26"/>
      <c r="W247" s="33" t="s">
        <v>1453</v>
      </c>
      <c r="X247" s="26">
        <v>0</v>
      </c>
      <c r="Y247" s="22">
        <v>0</v>
      </c>
      <c r="Z247" s="34" t="s">
        <v>50</v>
      </c>
      <c r="AA247" s="19" t="s">
        <v>901</v>
      </c>
      <c r="AB247" s="26" t="s">
        <v>137</v>
      </c>
      <c r="AC247" s="26" t="s">
        <v>53</v>
      </c>
      <c r="AD247" s="19" t="s">
        <v>54</v>
      </c>
      <c r="AE247" s="26">
        <v>400</v>
      </c>
      <c r="AF247" s="17">
        <v>45154</v>
      </c>
      <c r="AG247" s="26"/>
      <c r="AH247" s="26">
        <v>1</v>
      </c>
      <c r="AI247" s="40">
        <v>2</v>
      </c>
      <c r="AJ247" s="26"/>
      <c r="AK247" s="26"/>
      <c r="AL247" s="35"/>
      <c r="AM247" s="35"/>
      <c r="AN247" s="35"/>
      <c r="AO247" s="35"/>
      <c r="AP247" s="35"/>
    </row>
    <row r="248" spans="1:42" x14ac:dyDescent="0.2">
      <c r="A248" s="27">
        <v>45150.575214606477</v>
      </c>
      <c r="B248" s="28" t="s">
        <v>37</v>
      </c>
      <c r="C248" s="41" t="s">
        <v>118</v>
      </c>
      <c r="D248" s="26" t="s">
        <v>36</v>
      </c>
      <c r="E248" s="26" t="s">
        <v>56</v>
      </c>
      <c r="F248" s="26" t="s">
        <v>91</v>
      </c>
      <c r="G248" s="26" t="s">
        <v>41</v>
      </c>
      <c r="H248" s="26" t="s">
        <v>1454</v>
      </c>
      <c r="I248" s="17">
        <f ca="1">IFERROR(__xludf.DUMMYFUNCTION("""COMPUTED_VALUE"""),45156)</f>
        <v>45156</v>
      </c>
      <c r="J248" s="29" t="s">
        <v>1455</v>
      </c>
      <c r="K248" s="26" t="s">
        <v>1456</v>
      </c>
      <c r="L248" s="30">
        <v>345840253</v>
      </c>
      <c r="M248" s="26" t="s">
        <v>910</v>
      </c>
      <c r="N248" s="26" t="s">
        <v>355</v>
      </c>
      <c r="O248" s="26" t="s">
        <v>1457</v>
      </c>
      <c r="P248" s="26" t="s">
        <v>1458</v>
      </c>
      <c r="Q248" s="20">
        <v>9317</v>
      </c>
      <c r="R248" s="26" t="s">
        <v>36</v>
      </c>
      <c r="S248" s="31">
        <v>2000</v>
      </c>
      <c r="T248" s="32">
        <v>45150</v>
      </c>
      <c r="U248" s="31">
        <v>7317</v>
      </c>
      <c r="V248" s="32">
        <v>45164</v>
      </c>
      <c r="W248" s="33" t="s">
        <v>1459</v>
      </c>
      <c r="X248" s="26">
        <v>0</v>
      </c>
      <c r="Y248" s="22">
        <v>0</v>
      </c>
      <c r="Z248" s="34" t="s">
        <v>50</v>
      </c>
      <c r="AA248" s="19" t="s">
        <v>901</v>
      </c>
      <c r="AB248" s="26" t="s">
        <v>104</v>
      </c>
      <c r="AC248" s="26" t="s">
        <v>53</v>
      </c>
      <c r="AD248" s="19" t="s">
        <v>54</v>
      </c>
      <c r="AE248" s="26"/>
      <c r="AF248" s="17">
        <v>45154</v>
      </c>
      <c r="AG248" s="26"/>
      <c r="AH248" s="26">
        <v>1</v>
      </c>
      <c r="AI248" s="40" t="s">
        <v>64</v>
      </c>
      <c r="AJ248" s="26"/>
      <c r="AK248" s="26"/>
      <c r="AL248" s="35"/>
      <c r="AM248" s="35"/>
      <c r="AN248" s="35"/>
      <c r="AO248" s="35"/>
      <c r="AP248" s="35"/>
    </row>
    <row r="249" spans="1:42" x14ac:dyDescent="0.2">
      <c r="A249" s="27">
        <v>45150.65836991898</v>
      </c>
      <c r="B249" s="28" t="s">
        <v>37</v>
      </c>
      <c r="C249" s="41" t="s">
        <v>118</v>
      </c>
      <c r="D249" s="26" t="s">
        <v>36</v>
      </c>
      <c r="E249" s="26" t="s">
        <v>77</v>
      </c>
      <c r="F249" s="26" t="s">
        <v>36</v>
      </c>
      <c r="G249" s="26" t="s">
        <v>41</v>
      </c>
      <c r="H249" s="26" t="s">
        <v>1454</v>
      </c>
      <c r="I249" s="17">
        <f ca="1">IFERROR(__xludf.DUMMYFUNCTION("""COMPUTED_VALUE"""),45156)</f>
        <v>45156</v>
      </c>
      <c r="J249" s="29" t="s">
        <v>1460</v>
      </c>
      <c r="K249" s="26" t="s">
        <v>1461</v>
      </c>
      <c r="L249" s="30">
        <v>366688584</v>
      </c>
      <c r="M249" s="26" t="s">
        <v>123</v>
      </c>
      <c r="N249" s="26" t="s">
        <v>310</v>
      </c>
      <c r="O249" s="26" t="s">
        <v>1226</v>
      </c>
      <c r="P249" s="42" t="s">
        <v>1462</v>
      </c>
      <c r="Q249" s="20">
        <v>1968</v>
      </c>
      <c r="R249" s="26" t="s">
        <v>36</v>
      </c>
      <c r="S249" s="31">
        <v>1968</v>
      </c>
      <c r="T249" s="32">
        <v>45150</v>
      </c>
      <c r="U249" s="31"/>
      <c r="V249" s="26"/>
      <c r="W249" s="33" t="s">
        <v>1463</v>
      </c>
      <c r="X249" s="26">
        <v>0</v>
      </c>
      <c r="Y249" s="22">
        <v>0</v>
      </c>
      <c r="Z249" s="34" t="s">
        <v>50</v>
      </c>
      <c r="AA249" s="19" t="s">
        <v>901</v>
      </c>
      <c r="AB249" s="26" t="s">
        <v>104</v>
      </c>
      <c r="AC249" s="26" t="s">
        <v>53</v>
      </c>
      <c r="AD249" s="19" t="s">
        <v>54</v>
      </c>
      <c r="AE249" s="26"/>
      <c r="AF249" s="17">
        <v>45154</v>
      </c>
      <c r="AG249" s="26"/>
      <c r="AH249" s="26">
        <v>1</v>
      </c>
      <c r="AI249" s="40" t="s">
        <v>84</v>
      </c>
      <c r="AJ249" s="26"/>
      <c r="AK249" s="26"/>
      <c r="AL249" s="35"/>
      <c r="AM249" s="35"/>
      <c r="AN249" s="35"/>
      <c r="AO249" s="35"/>
      <c r="AP249" s="35"/>
    </row>
    <row r="250" spans="1:42" x14ac:dyDescent="0.2">
      <c r="A250" s="27">
        <v>45151.117771828707</v>
      </c>
      <c r="B250" s="28" t="s">
        <v>37</v>
      </c>
      <c r="C250" s="41" t="s">
        <v>118</v>
      </c>
      <c r="D250" s="26" t="s">
        <v>36</v>
      </c>
      <c r="E250" s="26" t="s">
        <v>119</v>
      </c>
      <c r="F250" s="26" t="s">
        <v>36</v>
      </c>
      <c r="G250" s="26" t="s">
        <v>108</v>
      </c>
      <c r="H250" s="26" t="s">
        <v>830</v>
      </c>
      <c r="I250" s="17">
        <f ca="1">IFERROR(__xludf.DUMMYFUNCTION("""COMPUTED_VALUE"""),45159)</f>
        <v>45159</v>
      </c>
      <c r="J250" s="29" t="s">
        <v>1464</v>
      </c>
      <c r="K250" s="26" t="s">
        <v>1465</v>
      </c>
      <c r="L250" s="30">
        <v>888528598</v>
      </c>
      <c r="M250" s="26" t="s">
        <v>292</v>
      </c>
      <c r="N250" s="26" t="s">
        <v>1466</v>
      </c>
      <c r="O250" s="26" t="s">
        <v>1467</v>
      </c>
      <c r="P250" s="42" t="s">
        <v>1468</v>
      </c>
      <c r="Q250" s="20">
        <v>13968</v>
      </c>
      <c r="R250" s="26" t="s">
        <v>36</v>
      </c>
      <c r="S250" s="31">
        <v>13968</v>
      </c>
      <c r="T250" s="32">
        <v>45150</v>
      </c>
      <c r="U250" s="31"/>
      <c r="V250" s="26"/>
      <c r="W250" s="33" t="s">
        <v>1469</v>
      </c>
      <c r="X250" s="26">
        <v>0</v>
      </c>
      <c r="Y250" s="22">
        <v>0</v>
      </c>
      <c r="Z250" s="34" t="s">
        <v>50</v>
      </c>
      <c r="AA250" s="19" t="s">
        <v>901</v>
      </c>
      <c r="AB250" s="26" t="s">
        <v>128</v>
      </c>
      <c r="AC250" s="26" t="s">
        <v>53</v>
      </c>
      <c r="AD250" s="19" t="s">
        <v>54</v>
      </c>
      <c r="AE250" s="26">
        <v>490</v>
      </c>
      <c r="AF250" s="17">
        <v>45154</v>
      </c>
      <c r="AG250" s="26"/>
      <c r="AH250" s="26">
        <v>1</v>
      </c>
      <c r="AI250" s="40">
        <v>4</v>
      </c>
      <c r="AJ250" s="26"/>
      <c r="AK250" s="26"/>
      <c r="AL250" s="35"/>
      <c r="AM250" s="35"/>
      <c r="AN250" s="35"/>
      <c r="AO250" s="35"/>
      <c r="AP250" s="35"/>
    </row>
    <row r="251" spans="1:42" x14ac:dyDescent="0.2">
      <c r="A251" s="27">
        <v>45151.448695277781</v>
      </c>
      <c r="B251" s="28" t="s">
        <v>37</v>
      </c>
      <c r="C251" s="41" t="s">
        <v>118</v>
      </c>
      <c r="D251" s="26" t="s">
        <v>36</v>
      </c>
      <c r="E251" s="26" t="s">
        <v>106</v>
      </c>
      <c r="F251" s="26" t="s">
        <v>40</v>
      </c>
      <c r="G251" s="26" t="s">
        <v>108</v>
      </c>
      <c r="H251" s="26" t="s">
        <v>830</v>
      </c>
      <c r="I251" s="17">
        <f ca="1">IFERROR(__xludf.DUMMYFUNCTION("""COMPUTED_VALUE"""),45159)</f>
        <v>45159</v>
      </c>
      <c r="J251" s="29" t="s">
        <v>1470</v>
      </c>
      <c r="K251" s="26" t="s">
        <v>1471</v>
      </c>
      <c r="L251" s="30">
        <v>772209554</v>
      </c>
      <c r="M251" s="26" t="s">
        <v>45</v>
      </c>
      <c r="N251" s="26" t="s">
        <v>1472</v>
      </c>
      <c r="O251" s="26" t="s">
        <v>1473</v>
      </c>
      <c r="P251" s="54" t="s">
        <v>1452</v>
      </c>
      <c r="Q251" s="20">
        <v>3768</v>
      </c>
      <c r="R251" s="26" t="s">
        <v>70</v>
      </c>
      <c r="S251" s="31">
        <v>3686</v>
      </c>
      <c r="T251" s="32" t="s">
        <v>1474</v>
      </c>
      <c r="U251" s="31"/>
      <c r="V251" s="26"/>
      <c r="W251" s="33" t="s">
        <v>1475</v>
      </c>
      <c r="X251" s="26">
        <v>100</v>
      </c>
      <c r="Y251" s="22">
        <v>-18</v>
      </c>
      <c r="Z251" s="34" t="s">
        <v>50</v>
      </c>
      <c r="AA251" s="19" t="s">
        <v>901</v>
      </c>
      <c r="AB251" s="26" t="s">
        <v>137</v>
      </c>
      <c r="AC251" s="26" t="s">
        <v>53</v>
      </c>
      <c r="AD251" s="19" t="s">
        <v>54</v>
      </c>
      <c r="AE251" s="26">
        <v>510</v>
      </c>
      <c r="AF251" s="17">
        <v>45154</v>
      </c>
      <c r="AG251" s="26"/>
      <c r="AH251" s="26">
        <v>1</v>
      </c>
      <c r="AI251" s="40">
        <v>1</v>
      </c>
      <c r="AJ251" s="26"/>
      <c r="AK251" s="26"/>
      <c r="AL251" s="35"/>
      <c r="AM251" s="35"/>
      <c r="AN251" s="35"/>
      <c r="AO251" s="35"/>
      <c r="AP251" s="35"/>
    </row>
    <row r="252" spans="1:42" x14ac:dyDescent="0.2">
      <c r="A252" s="27">
        <v>45151.450138437503</v>
      </c>
      <c r="B252" s="28" t="s">
        <v>37</v>
      </c>
      <c r="C252" s="41" t="s">
        <v>118</v>
      </c>
      <c r="D252" s="26" t="s">
        <v>36</v>
      </c>
      <c r="E252" s="26" t="s">
        <v>106</v>
      </c>
      <c r="F252" s="26" t="s">
        <v>40</v>
      </c>
      <c r="G252" s="26" t="s">
        <v>108</v>
      </c>
      <c r="H252" s="26" t="s">
        <v>830</v>
      </c>
      <c r="I252" s="17">
        <f ca="1">IFERROR(__xludf.DUMMYFUNCTION("""COMPUTED_VALUE"""),45159)</f>
        <v>45159</v>
      </c>
      <c r="J252" s="29" t="s">
        <v>1476</v>
      </c>
      <c r="K252" s="26" t="s">
        <v>1477</v>
      </c>
      <c r="L252" s="30">
        <v>914290552</v>
      </c>
      <c r="M252" s="26" t="s">
        <v>45</v>
      </c>
      <c r="N252" s="26" t="s">
        <v>1472</v>
      </c>
      <c r="O252" s="26" t="s">
        <v>1478</v>
      </c>
      <c r="P252" s="26" t="s">
        <v>1479</v>
      </c>
      <c r="Q252" s="20">
        <v>3768</v>
      </c>
      <c r="R252" s="26" t="s">
        <v>70</v>
      </c>
      <c r="S252" s="31">
        <v>3686</v>
      </c>
      <c r="T252" s="32">
        <v>45151</v>
      </c>
      <c r="U252" s="31"/>
      <c r="V252" s="26"/>
      <c r="W252" s="26"/>
      <c r="X252" s="26">
        <v>100</v>
      </c>
      <c r="Y252" s="22">
        <v>-18</v>
      </c>
      <c r="Z252" s="34" t="s">
        <v>50</v>
      </c>
      <c r="AA252" s="19" t="s">
        <v>901</v>
      </c>
      <c r="AB252" s="26" t="s">
        <v>128</v>
      </c>
      <c r="AC252" s="26" t="s">
        <v>53</v>
      </c>
      <c r="AD252" s="19" t="s">
        <v>54</v>
      </c>
      <c r="AE252" s="26">
        <v>360</v>
      </c>
      <c r="AF252" s="17">
        <v>45154</v>
      </c>
      <c r="AG252" s="26"/>
      <c r="AH252" s="26">
        <v>1</v>
      </c>
      <c r="AI252" s="40">
        <v>1</v>
      </c>
      <c r="AJ252" s="26"/>
      <c r="AK252" s="26"/>
      <c r="AL252" s="35"/>
      <c r="AM252" s="35"/>
      <c r="AN252" s="35"/>
      <c r="AO252" s="35"/>
      <c r="AP252" s="35"/>
    </row>
    <row r="253" spans="1:42" x14ac:dyDescent="0.2">
      <c r="A253" s="14">
        <v>45013</v>
      </c>
      <c r="B253" s="28" t="s">
        <v>37</v>
      </c>
      <c r="C253" s="41" t="s">
        <v>118</v>
      </c>
      <c r="D253" s="26" t="s">
        <v>36</v>
      </c>
      <c r="E253" s="26" t="s">
        <v>39</v>
      </c>
      <c r="F253" s="35" t="s">
        <v>523</v>
      </c>
      <c r="G253" s="35" t="s">
        <v>108</v>
      </c>
      <c r="H253" s="26" t="s">
        <v>740</v>
      </c>
      <c r="I253" s="17">
        <f ca="1">IFERROR(__xludf.DUMMYFUNCTION("""COMPUTED_VALUE"""),45155)</f>
        <v>45155</v>
      </c>
      <c r="J253" s="29" t="s">
        <v>1480</v>
      </c>
      <c r="K253" s="26" t="s">
        <v>1481</v>
      </c>
      <c r="L253" s="57">
        <v>332072646</v>
      </c>
      <c r="M253" s="26" t="s">
        <v>1245</v>
      </c>
      <c r="N253" s="26" t="s">
        <v>1246</v>
      </c>
      <c r="O253" s="67" t="s">
        <v>1482</v>
      </c>
      <c r="P253" s="26" t="s">
        <v>1483</v>
      </c>
      <c r="Q253" s="20">
        <v>5736</v>
      </c>
      <c r="R253" s="26" t="s">
        <v>36</v>
      </c>
      <c r="S253" s="31">
        <v>3000</v>
      </c>
      <c r="T253" s="32">
        <v>45013</v>
      </c>
      <c r="U253" s="31">
        <v>2536</v>
      </c>
      <c r="V253" s="38">
        <v>45145</v>
      </c>
      <c r="W253" s="33" t="s">
        <v>1484</v>
      </c>
      <c r="X253" s="26">
        <v>0</v>
      </c>
      <c r="Y253" s="22">
        <v>200</v>
      </c>
      <c r="Z253" s="34" t="s">
        <v>50</v>
      </c>
      <c r="AA253" s="19" t="s">
        <v>901</v>
      </c>
      <c r="AB253" s="26" t="s">
        <v>104</v>
      </c>
      <c r="AC253" s="26" t="s">
        <v>53</v>
      </c>
      <c r="AD253" s="19" t="s">
        <v>54</v>
      </c>
      <c r="AE253" s="19"/>
      <c r="AF253" s="17">
        <v>45154</v>
      </c>
      <c r="AG253" s="35"/>
      <c r="AH253" s="36">
        <v>1</v>
      </c>
      <c r="AI253" s="37" t="s">
        <v>55</v>
      </c>
      <c r="AJ253" s="35"/>
      <c r="AK253" s="35"/>
      <c r="AL253" s="35"/>
      <c r="AM253" s="35"/>
      <c r="AN253" s="35"/>
      <c r="AO253" s="35"/>
      <c r="AP253" s="35"/>
    </row>
    <row r="254" spans="1:42" x14ac:dyDescent="0.2">
      <c r="A254" s="27">
        <v>45151.581346643521</v>
      </c>
      <c r="B254" s="28" t="s">
        <v>37</v>
      </c>
      <c r="C254" s="41" t="s">
        <v>118</v>
      </c>
      <c r="D254" s="26" t="s">
        <v>36</v>
      </c>
      <c r="E254" s="26" t="s">
        <v>56</v>
      </c>
      <c r="F254" s="26" t="s">
        <v>36</v>
      </c>
      <c r="G254" s="26" t="s">
        <v>41</v>
      </c>
      <c r="H254" s="26" t="s">
        <v>1397</v>
      </c>
      <c r="I254" s="17">
        <f ca="1">IFERROR(__xludf.DUMMYFUNCTION("""COMPUTED_VALUE"""),45155)</f>
        <v>45155</v>
      </c>
      <c r="J254" s="29" t="s">
        <v>1485</v>
      </c>
      <c r="K254" s="26" t="s">
        <v>1486</v>
      </c>
      <c r="L254" s="30">
        <v>813375896</v>
      </c>
      <c r="M254" s="26" t="s">
        <v>80</v>
      </c>
      <c r="N254" s="26" t="s">
        <v>299</v>
      </c>
      <c r="O254" s="26" t="s">
        <v>1487</v>
      </c>
      <c r="P254" s="54" t="s">
        <v>1488</v>
      </c>
      <c r="Q254" s="20">
        <v>9317</v>
      </c>
      <c r="R254" s="26" t="s">
        <v>36</v>
      </c>
      <c r="S254" s="31">
        <v>2000</v>
      </c>
      <c r="T254" s="32">
        <v>45150</v>
      </c>
      <c r="U254" s="31">
        <v>7317</v>
      </c>
      <c r="V254" s="32">
        <v>45169</v>
      </c>
      <c r="W254" s="33" t="s">
        <v>1489</v>
      </c>
      <c r="X254" s="26">
        <v>0</v>
      </c>
      <c r="Y254" s="22">
        <v>0</v>
      </c>
      <c r="Z254" s="34" t="s">
        <v>50</v>
      </c>
      <c r="AA254" s="19" t="s">
        <v>901</v>
      </c>
      <c r="AB254" s="26" t="s">
        <v>104</v>
      </c>
      <c r="AC254" s="26" t="s">
        <v>53</v>
      </c>
      <c r="AD254" s="19" t="s">
        <v>54</v>
      </c>
      <c r="AE254" s="26">
        <v>0</v>
      </c>
      <c r="AF254" s="17">
        <v>45154</v>
      </c>
      <c r="AG254" s="26"/>
      <c r="AH254" s="26">
        <v>1</v>
      </c>
      <c r="AI254" s="40" t="s">
        <v>64</v>
      </c>
      <c r="AJ254" s="26"/>
      <c r="AK254" s="26"/>
      <c r="AL254" s="35"/>
      <c r="AM254" s="35"/>
      <c r="AN254" s="35"/>
      <c r="AO254" s="35"/>
      <c r="AP254" s="35"/>
    </row>
    <row r="255" spans="1:42" x14ac:dyDescent="0.2">
      <c r="A255" s="27">
        <v>45151.583225902781</v>
      </c>
      <c r="B255" s="28" t="s">
        <v>37</v>
      </c>
      <c r="C255" s="41" t="s">
        <v>118</v>
      </c>
      <c r="D255" s="26" t="s">
        <v>36</v>
      </c>
      <c r="E255" s="26" t="s">
        <v>77</v>
      </c>
      <c r="F255" s="26" t="s">
        <v>36</v>
      </c>
      <c r="G255" s="26" t="s">
        <v>41</v>
      </c>
      <c r="H255" s="26" t="s">
        <v>1454</v>
      </c>
      <c r="I255" s="17">
        <f ca="1">IFERROR(__xludf.DUMMYFUNCTION("""COMPUTED_VALUE"""),45156)</f>
        <v>45156</v>
      </c>
      <c r="J255" s="29" t="s">
        <v>1490</v>
      </c>
      <c r="K255" s="26" t="s">
        <v>1491</v>
      </c>
      <c r="L255" s="30">
        <v>353088925</v>
      </c>
      <c r="M255" s="26" t="s">
        <v>80</v>
      </c>
      <c r="N255" s="26" t="s">
        <v>299</v>
      </c>
      <c r="O255" s="26" t="s">
        <v>1492</v>
      </c>
      <c r="P255" s="28" t="s">
        <v>1493</v>
      </c>
      <c r="Q255" s="20">
        <v>1968</v>
      </c>
      <c r="R255" s="26" t="s">
        <v>36</v>
      </c>
      <c r="S255" s="31">
        <v>1968</v>
      </c>
      <c r="T255" s="32">
        <v>45151</v>
      </c>
      <c r="U255" s="31"/>
      <c r="V255" s="26"/>
      <c r="W255" s="26" t="s">
        <v>1494</v>
      </c>
      <c r="X255" s="26">
        <v>0</v>
      </c>
      <c r="Y255" s="22">
        <v>0</v>
      </c>
      <c r="Z255" s="34" t="s">
        <v>50</v>
      </c>
      <c r="AA255" s="19" t="s">
        <v>901</v>
      </c>
      <c r="AB255" s="26" t="s">
        <v>104</v>
      </c>
      <c r="AC255" s="26" t="s">
        <v>53</v>
      </c>
      <c r="AD255" s="19" t="s">
        <v>54</v>
      </c>
      <c r="AE255" s="26">
        <v>0</v>
      </c>
      <c r="AF255" s="17">
        <v>45154</v>
      </c>
      <c r="AG255" s="26"/>
      <c r="AH255" s="26">
        <v>1</v>
      </c>
      <c r="AI255" s="40" t="s">
        <v>84</v>
      </c>
      <c r="AJ255" s="26"/>
      <c r="AK255" s="26"/>
      <c r="AL255" s="35"/>
      <c r="AM255" s="35"/>
      <c r="AN255" s="35"/>
      <c r="AO255" s="35"/>
      <c r="AP255" s="35"/>
    </row>
    <row r="256" spans="1:42" x14ac:dyDescent="0.2">
      <c r="A256" s="27">
        <v>45151.637896886576</v>
      </c>
      <c r="B256" s="68" t="s">
        <v>37</v>
      </c>
      <c r="C256" s="41" t="s">
        <v>118</v>
      </c>
      <c r="D256" s="26" t="s">
        <v>77</v>
      </c>
      <c r="E256" s="26" t="s">
        <v>119</v>
      </c>
      <c r="F256" s="26" t="s">
        <v>289</v>
      </c>
      <c r="G256" s="26" t="s">
        <v>108</v>
      </c>
      <c r="H256" s="26" t="s">
        <v>1495</v>
      </c>
      <c r="I256" s="17">
        <f ca="1">IFERROR(__xludf.DUMMYFUNCTION("""COMPUTED_VALUE"""),45188)</f>
        <v>45188</v>
      </c>
      <c r="J256" s="29" t="s">
        <v>1496</v>
      </c>
      <c r="K256" s="26" t="s">
        <v>1497</v>
      </c>
      <c r="L256" s="30">
        <v>328456843</v>
      </c>
      <c r="M256" s="26" t="s">
        <v>123</v>
      </c>
      <c r="N256" s="26" t="s">
        <v>310</v>
      </c>
      <c r="O256" s="26" t="s">
        <v>1226</v>
      </c>
      <c r="P256" s="42" t="s">
        <v>1498</v>
      </c>
      <c r="Q256" s="20">
        <v>13968</v>
      </c>
      <c r="R256" s="26" t="s">
        <v>36</v>
      </c>
      <c r="S256" s="31">
        <v>13968</v>
      </c>
      <c r="T256" s="32">
        <v>45151</v>
      </c>
      <c r="U256" s="31"/>
      <c r="V256" s="26"/>
      <c r="W256" s="33" t="s">
        <v>1499</v>
      </c>
      <c r="X256" s="26">
        <v>0</v>
      </c>
      <c r="Y256" s="22">
        <v>0</v>
      </c>
      <c r="Z256" s="34" t="s">
        <v>50</v>
      </c>
      <c r="AA256" s="19" t="s">
        <v>901</v>
      </c>
      <c r="AB256" s="26" t="s">
        <v>154</v>
      </c>
      <c r="AC256" s="26" t="s">
        <v>53</v>
      </c>
      <c r="AD256" s="19" t="s">
        <v>54</v>
      </c>
      <c r="AE256" s="26"/>
      <c r="AF256" s="17">
        <v>45181</v>
      </c>
      <c r="AG256" s="26"/>
      <c r="AH256" s="26">
        <v>2</v>
      </c>
      <c r="AI256" s="40">
        <v>4</v>
      </c>
      <c r="AJ256" s="26"/>
      <c r="AK256" s="26"/>
      <c r="AL256" s="35"/>
      <c r="AM256" s="35"/>
      <c r="AN256" s="35"/>
      <c r="AO256" s="35"/>
      <c r="AP256" s="35"/>
    </row>
    <row r="257" spans="1:42" x14ac:dyDescent="0.2">
      <c r="A257" s="27">
        <v>45151.640935821764</v>
      </c>
      <c r="B257" s="28" t="s">
        <v>37</v>
      </c>
      <c r="C257" s="41" t="s">
        <v>118</v>
      </c>
      <c r="D257" s="26" t="s">
        <v>77</v>
      </c>
      <c r="E257" s="26" t="s">
        <v>106</v>
      </c>
      <c r="F257" s="26" t="s">
        <v>65</v>
      </c>
      <c r="G257" s="26" t="s">
        <v>108</v>
      </c>
      <c r="H257" s="26" t="s">
        <v>1500</v>
      </c>
      <c r="I257" s="17">
        <f ca="1">IFERROR(__xludf.DUMMYFUNCTION("""COMPUTED_VALUE"""),45181)</f>
        <v>45181</v>
      </c>
      <c r="J257" s="29" t="s">
        <v>159</v>
      </c>
      <c r="K257" s="26" t="s">
        <v>1501</v>
      </c>
      <c r="L257" s="30">
        <v>837545747</v>
      </c>
      <c r="M257" s="26" t="s">
        <v>123</v>
      </c>
      <c r="N257" s="26" t="s">
        <v>327</v>
      </c>
      <c r="O257" s="26" t="s">
        <v>1226</v>
      </c>
      <c r="P257" s="26" t="s">
        <v>161</v>
      </c>
      <c r="Q257" s="20">
        <v>3768</v>
      </c>
      <c r="R257" s="26" t="s">
        <v>36</v>
      </c>
      <c r="S257" s="31">
        <v>3768</v>
      </c>
      <c r="T257" s="32">
        <v>45148</v>
      </c>
      <c r="U257" s="31"/>
      <c r="V257" s="26"/>
      <c r="W257" s="55" t="s">
        <v>1502</v>
      </c>
      <c r="X257" s="26">
        <v>0</v>
      </c>
      <c r="Y257" s="22">
        <v>0</v>
      </c>
      <c r="Z257" s="34" t="s">
        <v>50</v>
      </c>
      <c r="AA257" s="19" t="s">
        <v>901</v>
      </c>
      <c r="AB257" s="26" t="s">
        <v>146</v>
      </c>
      <c r="AC257" s="26" t="s">
        <v>53</v>
      </c>
      <c r="AD257" s="19" t="s">
        <v>54</v>
      </c>
      <c r="AE257" s="26"/>
      <c r="AF257" s="17">
        <v>45169</v>
      </c>
      <c r="AG257" s="26"/>
      <c r="AH257" s="26">
        <v>2</v>
      </c>
      <c r="AI257" s="40">
        <v>1</v>
      </c>
      <c r="AJ257" s="26"/>
      <c r="AK257" s="26"/>
      <c r="AL257" s="35"/>
      <c r="AM257" s="35"/>
      <c r="AN257" s="35"/>
      <c r="AO257" s="35"/>
      <c r="AP257" s="35"/>
    </row>
    <row r="258" spans="1:42" x14ac:dyDescent="0.2">
      <c r="A258" s="27">
        <v>45151.668036944444</v>
      </c>
      <c r="B258" s="28" t="s">
        <v>37</v>
      </c>
      <c r="C258" s="41" t="s">
        <v>118</v>
      </c>
      <c r="D258" s="26" t="s">
        <v>36</v>
      </c>
      <c r="E258" s="26" t="s">
        <v>77</v>
      </c>
      <c r="F258" s="26" t="s">
        <v>36</v>
      </c>
      <c r="G258" s="26" t="s">
        <v>41</v>
      </c>
      <c r="H258" s="26" t="s">
        <v>723</v>
      </c>
      <c r="I258" s="17">
        <f ca="1">IFERROR(__xludf.DUMMYFUNCTION("""COMPUTED_VALUE"""),45176)</f>
        <v>45176</v>
      </c>
      <c r="J258" s="29" t="s">
        <v>1503</v>
      </c>
      <c r="K258" s="26" t="s">
        <v>1504</v>
      </c>
      <c r="L258" s="30">
        <v>364617396</v>
      </c>
      <c r="M258" s="26" t="s">
        <v>123</v>
      </c>
      <c r="N258" s="26" t="s">
        <v>310</v>
      </c>
      <c r="O258" s="26" t="s">
        <v>1226</v>
      </c>
      <c r="P258" s="26" t="s">
        <v>1505</v>
      </c>
      <c r="Q258" s="20">
        <v>1968</v>
      </c>
      <c r="R258" s="26" t="s">
        <v>36</v>
      </c>
      <c r="S258" s="31">
        <v>1968</v>
      </c>
      <c r="T258" s="32">
        <v>45151</v>
      </c>
      <c r="U258" s="31"/>
      <c r="V258" s="26"/>
      <c r="W258" s="33" t="s">
        <v>1506</v>
      </c>
      <c r="X258" s="26">
        <v>0</v>
      </c>
      <c r="Y258" s="22">
        <v>0</v>
      </c>
      <c r="Z258" s="34" t="s">
        <v>50</v>
      </c>
      <c r="AA258" s="19" t="s">
        <v>901</v>
      </c>
      <c r="AB258" s="26" t="s">
        <v>104</v>
      </c>
      <c r="AC258" s="26" t="s">
        <v>53</v>
      </c>
      <c r="AD258" s="19" t="s">
        <v>138</v>
      </c>
      <c r="AE258" s="26"/>
      <c r="AF258" s="17">
        <v>45176</v>
      </c>
      <c r="AG258" s="26" t="s">
        <v>1391</v>
      </c>
      <c r="AH258" s="26">
        <v>1</v>
      </c>
      <c r="AI258" s="40" t="s">
        <v>84</v>
      </c>
      <c r="AJ258" s="26"/>
      <c r="AK258" s="26"/>
      <c r="AL258" s="35"/>
      <c r="AM258" s="35"/>
      <c r="AN258" s="35"/>
      <c r="AO258" s="35"/>
      <c r="AP258" s="35"/>
    </row>
    <row r="259" spans="1:42" x14ac:dyDescent="0.2">
      <c r="A259" s="27">
        <v>45152.547425127312</v>
      </c>
      <c r="B259" s="28" t="s">
        <v>37</v>
      </c>
      <c r="C259" s="41" t="s">
        <v>118</v>
      </c>
      <c r="D259" s="26" t="s">
        <v>36</v>
      </c>
      <c r="E259" s="26" t="s">
        <v>139</v>
      </c>
      <c r="F259" s="26" t="s">
        <v>36</v>
      </c>
      <c r="G259" s="26" t="s">
        <v>41</v>
      </c>
      <c r="H259" s="26" t="s">
        <v>1454</v>
      </c>
      <c r="I259" s="17">
        <f ca="1">IFERROR(__xludf.DUMMYFUNCTION("""COMPUTED_VALUE"""),45156)</f>
        <v>45156</v>
      </c>
      <c r="J259" s="29" t="s">
        <v>1507</v>
      </c>
      <c r="K259" s="26" t="s">
        <v>1508</v>
      </c>
      <c r="L259" s="30">
        <v>833505129</v>
      </c>
      <c r="M259" s="26" t="s">
        <v>80</v>
      </c>
      <c r="N259" s="26" t="s">
        <v>299</v>
      </c>
      <c r="O259" s="26" t="s">
        <v>1509</v>
      </c>
      <c r="P259" s="26" t="s">
        <v>1510</v>
      </c>
      <c r="Q259" s="20">
        <v>15936</v>
      </c>
      <c r="R259" s="26" t="s">
        <v>36</v>
      </c>
      <c r="S259" s="31">
        <v>15936</v>
      </c>
      <c r="T259" s="32">
        <v>45152</v>
      </c>
      <c r="U259" s="31"/>
      <c r="V259" s="26"/>
      <c r="W259" s="33" t="s">
        <v>1511</v>
      </c>
      <c r="X259" s="26">
        <v>0</v>
      </c>
      <c r="Y259" s="22">
        <v>0</v>
      </c>
      <c r="Z259" s="34" t="s">
        <v>50</v>
      </c>
      <c r="AA259" s="19" t="s">
        <v>901</v>
      </c>
      <c r="AB259" s="26" t="s">
        <v>104</v>
      </c>
      <c r="AC259" s="26" t="s">
        <v>53</v>
      </c>
      <c r="AD259" s="19" t="s">
        <v>54</v>
      </c>
      <c r="AE259" s="26">
        <v>0</v>
      </c>
      <c r="AF259" s="17">
        <v>45154</v>
      </c>
      <c r="AG259" s="26"/>
      <c r="AH259" s="26">
        <v>1</v>
      </c>
      <c r="AI259" s="40" t="s">
        <v>147</v>
      </c>
      <c r="AJ259" s="26"/>
      <c r="AK259" s="26"/>
      <c r="AL259" s="35"/>
      <c r="AM259" s="35"/>
      <c r="AN259" s="35"/>
      <c r="AO259" s="35"/>
      <c r="AP259" s="35"/>
    </row>
    <row r="260" spans="1:42" x14ac:dyDescent="0.2">
      <c r="A260" s="27">
        <v>45153.007123599542</v>
      </c>
      <c r="B260" s="28" t="s">
        <v>37</v>
      </c>
      <c r="C260" s="41" t="s">
        <v>118</v>
      </c>
      <c r="D260" s="26" t="s">
        <v>36</v>
      </c>
      <c r="E260" s="26" t="s">
        <v>39</v>
      </c>
      <c r="F260" s="26" t="s">
        <v>1512</v>
      </c>
      <c r="G260" s="26" t="s">
        <v>41</v>
      </c>
      <c r="H260" s="26" t="s">
        <v>1513</v>
      </c>
      <c r="I260" s="17">
        <f ca="1">IFERROR(__xludf.DUMMYFUNCTION("""COMPUTED_VALUE"""),45181)</f>
        <v>45181</v>
      </c>
      <c r="J260" s="29" t="s">
        <v>1514</v>
      </c>
      <c r="K260" s="26" t="s">
        <v>1515</v>
      </c>
      <c r="L260" s="30">
        <v>967980897</v>
      </c>
      <c r="M260" s="26" t="s">
        <v>391</v>
      </c>
      <c r="N260" s="26" t="s">
        <v>1516</v>
      </c>
      <c r="O260" s="26" t="s">
        <v>1517</v>
      </c>
      <c r="P260" s="26" t="s">
        <v>1518</v>
      </c>
      <c r="Q260" s="20">
        <v>5736</v>
      </c>
      <c r="R260" s="26" t="s">
        <v>36</v>
      </c>
      <c r="S260" s="31">
        <v>5736</v>
      </c>
      <c r="T260" s="32">
        <v>45152</v>
      </c>
      <c r="U260" s="31"/>
      <c r="V260" s="26"/>
      <c r="W260" s="33" t="s">
        <v>1519</v>
      </c>
      <c r="X260" s="26">
        <v>100</v>
      </c>
      <c r="Y260" s="22">
        <v>-100</v>
      </c>
      <c r="Z260" s="34" t="s">
        <v>50</v>
      </c>
      <c r="AA260" s="19" t="s">
        <v>901</v>
      </c>
      <c r="AB260" s="26" t="s">
        <v>104</v>
      </c>
      <c r="AC260" s="26" t="s">
        <v>53</v>
      </c>
      <c r="AD260" s="19" t="s">
        <v>54</v>
      </c>
      <c r="AE260" s="26"/>
      <c r="AF260" s="17">
        <v>45181</v>
      </c>
      <c r="AG260" s="26" t="s">
        <v>863</v>
      </c>
      <c r="AH260" s="26">
        <v>1</v>
      </c>
      <c r="AI260" s="40" t="s">
        <v>55</v>
      </c>
      <c r="AJ260" s="26"/>
      <c r="AK260" s="26"/>
      <c r="AL260" s="35"/>
      <c r="AM260" s="35"/>
      <c r="AN260" s="35"/>
      <c r="AO260" s="35"/>
      <c r="AP260" s="35"/>
    </row>
    <row r="261" spans="1:42" x14ac:dyDescent="0.2">
      <c r="A261" s="27">
        <v>45153.162099791662</v>
      </c>
      <c r="B261" s="28" t="s">
        <v>37</v>
      </c>
      <c r="C261" s="41" t="s">
        <v>118</v>
      </c>
      <c r="D261" s="26" t="s">
        <v>36</v>
      </c>
      <c r="E261" s="26" t="s">
        <v>77</v>
      </c>
      <c r="F261" s="26" t="s">
        <v>36</v>
      </c>
      <c r="G261" s="26" t="s">
        <v>41</v>
      </c>
      <c r="H261" s="26" t="s">
        <v>1454</v>
      </c>
      <c r="I261" s="17">
        <f ca="1">IFERROR(__xludf.DUMMYFUNCTION("""COMPUTED_VALUE"""),45156)</f>
        <v>45156</v>
      </c>
      <c r="J261" s="29" t="s">
        <v>1520</v>
      </c>
      <c r="K261" s="26" t="s">
        <v>1521</v>
      </c>
      <c r="L261" s="30">
        <v>394575898</v>
      </c>
      <c r="M261" s="26" t="s">
        <v>80</v>
      </c>
      <c r="N261" s="26" t="s">
        <v>186</v>
      </c>
      <c r="O261" s="26" t="s">
        <v>1492</v>
      </c>
      <c r="P261" s="26" t="s">
        <v>1522</v>
      </c>
      <c r="Q261" s="20">
        <v>1968</v>
      </c>
      <c r="R261" s="26" t="s">
        <v>36</v>
      </c>
      <c r="S261" s="31">
        <v>1000</v>
      </c>
      <c r="T261" s="32">
        <v>45153</v>
      </c>
      <c r="U261" s="31">
        <v>968</v>
      </c>
      <c r="V261" s="32">
        <v>45155</v>
      </c>
      <c r="W261" s="33" t="s">
        <v>1523</v>
      </c>
      <c r="X261" s="26">
        <v>0</v>
      </c>
      <c r="Y261" s="22">
        <v>0</v>
      </c>
      <c r="Z261" s="34" t="s">
        <v>50</v>
      </c>
      <c r="AA261" s="19" t="s">
        <v>901</v>
      </c>
      <c r="AB261" s="26" t="s">
        <v>104</v>
      </c>
      <c r="AC261" s="26" t="s">
        <v>53</v>
      </c>
      <c r="AD261" s="19" t="s">
        <v>54</v>
      </c>
      <c r="AE261" s="26">
        <v>0</v>
      </c>
      <c r="AF261" s="17">
        <v>45154</v>
      </c>
      <c r="AG261" s="26"/>
      <c r="AH261" s="26">
        <v>1</v>
      </c>
      <c r="AI261" s="40" t="s">
        <v>84</v>
      </c>
      <c r="AJ261" s="26"/>
      <c r="AK261" s="26"/>
      <c r="AL261" s="35"/>
      <c r="AM261" s="35"/>
      <c r="AN261" s="35"/>
      <c r="AO261" s="35"/>
      <c r="AP261" s="35"/>
    </row>
    <row r="262" spans="1:42" x14ac:dyDescent="0.2">
      <c r="A262" s="27">
        <v>45153.16255241898</v>
      </c>
      <c r="B262" s="28" t="s">
        <v>37</v>
      </c>
      <c r="C262" s="41" t="s">
        <v>118</v>
      </c>
      <c r="D262" s="26" t="s">
        <v>77</v>
      </c>
      <c r="E262" s="26" t="s">
        <v>106</v>
      </c>
      <c r="F262" s="26" t="s">
        <v>65</v>
      </c>
      <c r="G262" s="26" t="s">
        <v>108</v>
      </c>
      <c r="H262" s="26" t="s">
        <v>882</v>
      </c>
      <c r="I262" s="17">
        <f ca="1">IFERROR(__xludf.DUMMYFUNCTION("""COMPUTED_VALUE"""),45180)</f>
        <v>45180</v>
      </c>
      <c r="J262" s="29" t="s">
        <v>1524</v>
      </c>
      <c r="K262" s="26" t="s">
        <v>1525</v>
      </c>
      <c r="L262" s="30">
        <v>334705606</v>
      </c>
      <c r="M262" s="26" t="s">
        <v>123</v>
      </c>
      <c r="N262" s="26" t="s">
        <v>310</v>
      </c>
      <c r="O262" s="26" t="s">
        <v>1526</v>
      </c>
      <c r="P262" s="26" t="s">
        <v>1527</v>
      </c>
      <c r="Q262" s="20">
        <v>3768</v>
      </c>
      <c r="R262" s="26" t="s">
        <v>36</v>
      </c>
      <c r="S262" s="31">
        <v>3768</v>
      </c>
      <c r="T262" s="32">
        <v>45152</v>
      </c>
      <c r="U262" s="31"/>
      <c r="V262" s="26"/>
      <c r="W262" s="33" t="s">
        <v>1528</v>
      </c>
      <c r="X262" s="26">
        <v>0</v>
      </c>
      <c r="Y262" s="22">
        <v>0</v>
      </c>
      <c r="Z262" s="34" t="s">
        <v>50</v>
      </c>
      <c r="AA262" s="19" t="s">
        <v>901</v>
      </c>
      <c r="AB262" s="26" t="s">
        <v>128</v>
      </c>
      <c r="AC262" s="26" t="s">
        <v>53</v>
      </c>
      <c r="AD262" s="19" t="s">
        <v>54</v>
      </c>
      <c r="AE262" s="26"/>
      <c r="AF262" s="17">
        <v>45167</v>
      </c>
      <c r="AG262" s="26"/>
      <c r="AH262" s="26">
        <v>2</v>
      </c>
      <c r="AI262" s="40">
        <v>1</v>
      </c>
      <c r="AJ262" s="26"/>
      <c r="AK262" s="26"/>
      <c r="AL262" s="35"/>
      <c r="AM262" s="35"/>
      <c r="AN262" s="35"/>
      <c r="AO262" s="35"/>
      <c r="AP262" s="35"/>
    </row>
    <row r="263" spans="1:42" x14ac:dyDescent="0.2">
      <c r="A263" s="27">
        <v>45153.171631041667</v>
      </c>
      <c r="B263" s="28" t="s">
        <v>37</v>
      </c>
      <c r="C263" s="41" t="s">
        <v>118</v>
      </c>
      <c r="D263" s="26" t="s">
        <v>36</v>
      </c>
      <c r="E263" s="26" t="s">
        <v>139</v>
      </c>
      <c r="F263" s="26" t="s">
        <v>36</v>
      </c>
      <c r="G263" s="26" t="s">
        <v>41</v>
      </c>
      <c r="H263" s="26" t="s">
        <v>1454</v>
      </c>
      <c r="I263" s="17">
        <f ca="1">IFERROR(__xludf.DUMMYFUNCTION("""COMPUTED_VALUE"""),45156)</f>
        <v>45156</v>
      </c>
      <c r="J263" s="29" t="s">
        <v>1529</v>
      </c>
      <c r="K263" s="26" t="s">
        <v>1530</v>
      </c>
      <c r="L263" s="30">
        <v>377102005</v>
      </c>
      <c r="M263" s="26" t="s">
        <v>123</v>
      </c>
      <c r="N263" s="26" t="s">
        <v>850</v>
      </c>
      <c r="O263" s="26" t="s">
        <v>1226</v>
      </c>
      <c r="P263" s="26" t="s">
        <v>1531</v>
      </c>
      <c r="Q263" s="20">
        <v>15936</v>
      </c>
      <c r="R263" s="26" t="s">
        <v>36</v>
      </c>
      <c r="S263" s="31">
        <v>2000</v>
      </c>
      <c r="T263" s="32">
        <v>45153</v>
      </c>
      <c r="U263" s="31">
        <f>10000+3936</f>
        <v>13936</v>
      </c>
      <c r="V263" s="26" t="s">
        <v>1532</v>
      </c>
      <c r="W263" s="33" t="s">
        <v>1533</v>
      </c>
      <c r="X263" s="26">
        <v>0</v>
      </c>
      <c r="Y263" s="22">
        <v>0</v>
      </c>
      <c r="Z263" s="34" t="s">
        <v>50</v>
      </c>
      <c r="AA263" s="19" t="s">
        <v>901</v>
      </c>
      <c r="AB263" s="26" t="s">
        <v>104</v>
      </c>
      <c r="AC263" s="26" t="s">
        <v>53</v>
      </c>
      <c r="AD263" s="19" t="s">
        <v>54</v>
      </c>
      <c r="AE263" s="26"/>
      <c r="AF263" s="17">
        <v>45154</v>
      </c>
      <c r="AG263" s="26"/>
      <c r="AH263" s="26">
        <v>1</v>
      </c>
      <c r="AI263" s="40" t="s">
        <v>147</v>
      </c>
      <c r="AJ263" s="26"/>
      <c r="AK263" s="26"/>
      <c r="AL263" s="35"/>
      <c r="AM263" s="35"/>
      <c r="AN263" s="35"/>
      <c r="AO263" s="35"/>
      <c r="AP263" s="35"/>
    </row>
    <row r="264" spans="1:42" x14ac:dyDescent="0.2">
      <c r="A264" s="27">
        <v>45153.638342546299</v>
      </c>
      <c r="B264" s="28" t="s">
        <v>37</v>
      </c>
      <c r="C264" s="41" t="s">
        <v>118</v>
      </c>
      <c r="D264" s="26" t="s">
        <v>36</v>
      </c>
      <c r="E264" s="26" t="s">
        <v>219</v>
      </c>
      <c r="F264" s="26" t="s">
        <v>36</v>
      </c>
      <c r="G264" s="26" t="s">
        <v>221</v>
      </c>
      <c r="H264" s="26" t="s">
        <v>1281</v>
      </c>
      <c r="I264" s="17">
        <f ca="1">IFERROR(__xludf.DUMMYFUNCTION("""COMPUTED_VALUE"""),45159)</f>
        <v>45159</v>
      </c>
      <c r="J264" s="29" t="s">
        <v>1534</v>
      </c>
      <c r="K264" s="26" t="s">
        <v>1535</v>
      </c>
      <c r="L264" s="30">
        <v>867726558</v>
      </c>
      <c r="M264" s="26" t="s">
        <v>80</v>
      </c>
      <c r="N264" s="26" t="s">
        <v>466</v>
      </c>
      <c r="O264" s="26" t="s">
        <v>1536</v>
      </c>
      <c r="P264" s="26" t="s">
        <v>1537</v>
      </c>
      <c r="Q264" s="20">
        <v>3968</v>
      </c>
      <c r="R264" s="26" t="s">
        <v>36</v>
      </c>
      <c r="S264" s="31">
        <v>3968</v>
      </c>
      <c r="T264" s="32">
        <v>45153</v>
      </c>
      <c r="U264" s="31"/>
      <c r="V264" s="26"/>
      <c r="W264" s="33" t="s">
        <v>1538</v>
      </c>
      <c r="X264" s="26">
        <v>0</v>
      </c>
      <c r="Y264" s="22">
        <v>0</v>
      </c>
      <c r="Z264" s="34" t="s">
        <v>50</v>
      </c>
      <c r="AA264" s="19" t="s">
        <v>901</v>
      </c>
      <c r="AB264" s="26" t="s">
        <v>104</v>
      </c>
      <c r="AC264" s="26" t="s">
        <v>53</v>
      </c>
      <c r="AD264" s="19" t="s">
        <v>54</v>
      </c>
      <c r="AE264" s="26">
        <v>0</v>
      </c>
      <c r="AF264" s="17">
        <v>45154</v>
      </c>
      <c r="AG264" s="26"/>
      <c r="AH264" s="26">
        <v>1</v>
      </c>
      <c r="AI264" s="40">
        <v>1</v>
      </c>
      <c r="AJ264" s="26"/>
      <c r="AK264" s="26"/>
      <c r="AL264" s="35"/>
      <c r="AM264" s="35"/>
      <c r="AN264" s="35"/>
      <c r="AO264" s="35"/>
      <c r="AP264" s="35"/>
    </row>
    <row r="265" spans="1:42" x14ac:dyDescent="0.2">
      <c r="A265" s="27">
        <v>45153.650449537032</v>
      </c>
      <c r="B265" s="28" t="s">
        <v>37</v>
      </c>
      <c r="C265" s="41" t="s">
        <v>118</v>
      </c>
      <c r="D265" s="26" t="s">
        <v>36</v>
      </c>
      <c r="E265" s="26" t="s">
        <v>77</v>
      </c>
      <c r="F265" s="26" t="s">
        <v>36</v>
      </c>
      <c r="G265" s="26" t="s">
        <v>41</v>
      </c>
      <c r="H265" s="26" t="s">
        <v>1454</v>
      </c>
      <c r="I265" s="17">
        <f ca="1">IFERROR(__xludf.DUMMYFUNCTION("""COMPUTED_VALUE"""),45156)</f>
        <v>45156</v>
      </c>
      <c r="J265" s="29" t="s">
        <v>1539</v>
      </c>
      <c r="K265" s="26" t="s">
        <v>1540</v>
      </c>
      <c r="L265" s="30">
        <v>377631587</v>
      </c>
      <c r="M265" s="26" t="s">
        <v>123</v>
      </c>
      <c r="N265" s="26" t="s">
        <v>310</v>
      </c>
      <c r="O265" s="26" t="s">
        <v>1541</v>
      </c>
      <c r="P265" s="26" t="s">
        <v>1542</v>
      </c>
      <c r="Q265" s="20">
        <v>1968</v>
      </c>
      <c r="R265" s="26" t="s">
        <v>36</v>
      </c>
      <c r="S265" s="31">
        <v>1968</v>
      </c>
      <c r="T265" s="32">
        <v>45153</v>
      </c>
      <c r="U265" s="31"/>
      <c r="V265" s="26"/>
      <c r="W265" s="33" t="s">
        <v>1543</v>
      </c>
      <c r="X265" s="26">
        <v>0</v>
      </c>
      <c r="Y265" s="22">
        <v>0</v>
      </c>
      <c r="Z265" s="34" t="s">
        <v>50</v>
      </c>
      <c r="AA265" s="19" t="s">
        <v>901</v>
      </c>
      <c r="AB265" s="26" t="s">
        <v>104</v>
      </c>
      <c r="AC265" s="26" t="s">
        <v>53</v>
      </c>
      <c r="AD265" s="19" t="s">
        <v>54</v>
      </c>
      <c r="AE265" s="26"/>
      <c r="AF265" s="17">
        <v>45154</v>
      </c>
      <c r="AG265" s="26"/>
      <c r="AH265" s="26">
        <v>1</v>
      </c>
      <c r="AI265" s="40" t="s">
        <v>84</v>
      </c>
      <c r="AJ265" s="26"/>
      <c r="AK265" s="26"/>
      <c r="AL265" s="35"/>
      <c r="AM265" s="35"/>
      <c r="AN265" s="35"/>
      <c r="AO265" s="35"/>
      <c r="AP265" s="35"/>
    </row>
    <row r="266" spans="1:42" x14ac:dyDescent="0.2">
      <c r="A266" s="27">
        <v>45153.651910173612</v>
      </c>
      <c r="B266" s="28" t="s">
        <v>37</v>
      </c>
      <c r="C266" s="41" t="s">
        <v>118</v>
      </c>
      <c r="D266" s="26" t="s">
        <v>36</v>
      </c>
      <c r="E266" s="26" t="s">
        <v>106</v>
      </c>
      <c r="F266" s="26" t="s">
        <v>36</v>
      </c>
      <c r="G266" s="26" t="s">
        <v>108</v>
      </c>
      <c r="H266" s="26" t="s">
        <v>1544</v>
      </c>
      <c r="I266" s="17">
        <f ca="1">IFERROR(__xludf.DUMMYFUNCTION("""COMPUTED_VALUE"""),45168)</f>
        <v>45168</v>
      </c>
      <c r="J266" s="29" t="s">
        <v>1545</v>
      </c>
      <c r="K266" s="26" t="s">
        <v>1546</v>
      </c>
      <c r="L266" s="30">
        <v>829373265</v>
      </c>
      <c r="M266" s="26" t="s">
        <v>123</v>
      </c>
      <c r="N266" s="26" t="s">
        <v>310</v>
      </c>
      <c r="O266" s="26" t="s">
        <v>1547</v>
      </c>
      <c r="P266" s="26" t="s">
        <v>1548</v>
      </c>
      <c r="Q266" s="20">
        <v>3768</v>
      </c>
      <c r="R266" s="26" t="s">
        <v>36</v>
      </c>
      <c r="S266" s="31">
        <v>3768</v>
      </c>
      <c r="T266" s="32">
        <v>45153</v>
      </c>
      <c r="U266" s="31"/>
      <c r="V266" s="26"/>
      <c r="W266" s="33" t="s">
        <v>1549</v>
      </c>
      <c r="X266" s="26">
        <v>0</v>
      </c>
      <c r="Y266" s="22">
        <v>0</v>
      </c>
      <c r="Z266" s="34" t="s">
        <v>50</v>
      </c>
      <c r="AA266" s="19" t="s">
        <v>901</v>
      </c>
      <c r="AB266" s="26" t="s">
        <v>146</v>
      </c>
      <c r="AC266" s="26" t="s">
        <v>53</v>
      </c>
      <c r="AD266" s="19" t="s">
        <v>54</v>
      </c>
      <c r="AE266" s="26"/>
      <c r="AF266" s="17">
        <v>45159</v>
      </c>
      <c r="AG266" s="26"/>
      <c r="AH266" s="26">
        <v>1</v>
      </c>
      <c r="AI266" s="40">
        <v>1</v>
      </c>
      <c r="AJ266" s="26"/>
      <c r="AK266" s="26"/>
      <c r="AL266" s="35"/>
      <c r="AM266" s="35"/>
      <c r="AN266" s="35"/>
      <c r="AO266" s="35"/>
      <c r="AP266" s="35"/>
    </row>
    <row r="267" spans="1:42" x14ac:dyDescent="0.2">
      <c r="A267" s="27">
        <v>45153.653745254633</v>
      </c>
      <c r="B267" s="28" t="s">
        <v>37</v>
      </c>
      <c r="C267" s="41" t="s">
        <v>118</v>
      </c>
      <c r="D267" s="26" t="s">
        <v>36</v>
      </c>
      <c r="E267" s="26" t="s">
        <v>77</v>
      </c>
      <c r="F267" s="26" t="s">
        <v>36</v>
      </c>
      <c r="G267" s="26" t="s">
        <v>41</v>
      </c>
      <c r="H267" s="26" t="s">
        <v>1454</v>
      </c>
      <c r="I267" s="17">
        <f ca="1">IFERROR(__xludf.DUMMYFUNCTION("""COMPUTED_VALUE"""),45156)</f>
        <v>45156</v>
      </c>
      <c r="J267" s="29" t="s">
        <v>1550</v>
      </c>
      <c r="K267" s="26" t="s">
        <v>1551</v>
      </c>
      <c r="L267" s="30">
        <v>384380346</v>
      </c>
      <c r="M267" s="26" t="s">
        <v>910</v>
      </c>
      <c r="N267" s="26" t="s">
        <v>355</v>
      </c>
      <c r="O267" s="26" t="s">
        <v>1552</v>
      </c>
      <c r="P267" s="26" t="s">
        <v>1553</v>
      </c>
      <c r="Q267" s="20">
        <v>1968</v>
      </c>
      <c r="R267" s="26" t="s">
        <v>36</v>
      </c>
      <c r="S267" s="31">
        <v>1968</v>
      </c>
      <c r="T267" s="32">
        <v>45153</v>
      </c>
      <c r="U267" s="31"/>
      <c r="V267" s="26"/>
      <c r="W267" s="33" t="s">
        <v>1554</v>
      </c>
      <c r="X267" s="26">
        <v>0</v>
      </c>
      <c r="Y267" s="22">
        <v>0</v>
      </c>
      <c r="Z267" s="34" t="s">
        <v>50</v>
      </c>
      <c r="AA267" s="19" t="s">
        <v>901</v>
      </c>
      <c r="AB267" s="26" t="s">
        <v>104</v>
      </c>
      <c r="AC267" s="26" t="s">
        <v>53</v>
      </c>
      <c r="AD267" s="19" t="s">
        <v>54</v>
      </c>
      <c r="AE267" s="26"/>
      <c r="AF267" s="17">
        <v>45154</v>
      </c>
      <c r="AG267" s="26"/>
      <c r="AH267" s="26">
        <v>1</v>
      </c>
      <c r="AI267" s="40" t="s">
        <v>84</v>
      </c>
      <c r="AJ267" s="26"/>
      <c r="AK267" s="26"/>
      <c r="AL267" s="35"/>
      <c r="AM267" s="35"/>
      <c r="AN267" s="35"/>
      <c r="AO267" s="35"/>
      <c r="AP267" s="35"/>
    </row>
    <row r="268" spans="1:42" x14ac:dyDescent="0.2">
      <c r="A268" s="27">
        <v>45154.636136331013</v>
      </c>
      <c r="B268" s="28" t="s">
        <v>37</v>
      </c>
      <c r="C268" s="41" t="s">
        <v>118</v>
      </c>
      <c r="D268" s="26" t="s">
        <v>36</v>
      </c>
      <c r="E268" s="26" t="s">
        <v>106</v>
      </c>
      <c r="F268" s="26" t="s">
        <v>1555</v>
      </c>
      <c r="G268" s="26" t="s">
        <v>108</v>
      </c>
      <c r="H268" s="26" t="s">
        <v>1500</v>
      </c>
      <c r="I268" s="17">
        <f ca="1">IFERROR(__xludf.DUMMYFUNCTION("""COMPUTED_VALUE"""),45181)</f>
        <v>45181</v>
      </c>
      <c r="J268" s="29" t="s">
        <v>1556</v>
      </c>
      <c r="K268" s="26" t="s">
        <v>1557</v>
      </c>
      <c r="L268" s="30">
        <v>386217760</v>
      </c>
      <c r="M268" s="26" t="s">
        <v>112</v>
      </c>
      <c r="N268" s="26" t="s">
        <v>578</v>
      </c>
      <c r="O268" s="26" t="s">
        <v>91</v>
      </c>
      <c r="P268" s="26" t="s">
        <v>1558</v>
      </c>
      <c r="Q268" s="20">
        <v>3768</v>
      </c>
      <c r="R268" s="26" t="s">
        <v>36</v>
      </c>
      <c r="S268" s="31">
        <v>3668</v>
      </c>
      <c r="T268" s="32">
        <v>45154</v>
      </c>
      <c r="U268" s="31"/>
      <c r="V268" s="26"/>
      <c r="W268" s="33" t="s">
        <v>1559</v>
      </c>
      <c r="X268" s="26">
        <v>100</v>
      </c>
      <c r="Y268" s="22">
        <v>0</v>
      </c>
      <c r="Z268" s="34" t="s">
        <v>50</v>
      </c>
      <c r="AA268" s="19" t="s">
        <v>901</v>
      </c>
      <c r="AB268" s="26" t="s">
        <v>137</v>
      </c>
      <c r="AC268" s="26" t="s">
        <v>53</v>
      </c>
      <c r="AD268" s="19" t="s">
        <v>54</v>
      </c>
      <c r="AE268" s="26"/>
      <c r="AF268" s="17">
        <v>45155</v>
      </c>
      <c r="AG268" s="26" t="s">
        <v>1560</v>
      </c>
      <c r="AH268" s="26">
        <v>1</v>
      </c>
      <c r="AI268" s="40">
        <v>1</v>
      </c>
      <c r="AJ268" s="26"/>
      <c r="AK268" s="26"/>
      <c r="AL268" s="35"/>
      <c r="AM268" s="35"/>
      <c r="AN268" s="35"/>
      <c r="AO268" s="35"/>
      <c r="AP268" s="35"/>
    </row>
    <row r="269" spans="1:42" x14ac:dyDescent="0.2">
      <c r="A269" s="27">
        <v>45154.642576562503</v>
      </c>
      <c r="B269" s="28" t="s">
        <v>37</v>
      </c>
      <c r="C269" s="41" t="s">
        <v>118</v>
      </c>
      <c r="D269" s="26" t="s">
        <v>36</v>
      </c>
      <c r="E269" s="26" t="s">
        <v>106</v>
      </c>
      <c r="F269" s="26" t="s">
        <v>91</v>
      </c>
      <c r="G269" s="26" t="s">
        <v>108</v>
      </c>
      <c r="H269" s="26" t="s">
        <v>836</v>
      </c>
      <c r="I269" s="17">
        <f ca="1">IFERROR(__xludf.DUMMYFUNCTION("""COMPUTED_VALUE"""),45160)</f>
        <v>45160</v>
      </c>
      <c r="J269" s="29" t="s">
        <v>1561</v>
      </c>
      <c r="K269" s="26" t="s">
        <v>1562</v>
      </c>
      <c r="L269" s="30">
        <v>865820763</v>
      </c>
      <c r="M269" s="26" t="s">
        <v>348</v>
      </c>
      <c r="N269" s="26" t="s">
        <v>200</v>
      </c>
      <c r="O269" s="26" t="s">
        <v>91</v>
      </c>
      <c r="P269" s="26" t="s">
        <v>1563</v>
      </c>
      <c r="Q269" s="20">
        <v>3768</v>
      </c>
      <c r="R269" s="26" t="s">
        <v>36</v>
      </c>
      <c r="S269" s="31">
        <v>3768</v>
      </c>
      <c r="T269" s="32">
        <v>45154</v>
      </c>
      <c r="U269" s="31"/>
      <c r="V269" s="26"/>
      <c r="W269" s="33" t="s">
        <v>1564</v>
      </c>
      <c r="X269" s="26">
        <v>0</v>
      </c>
      <c r="Y269" s="22">
        <v>0</v>
      </c>
      <c r="Z269" s="34" t="s">
        <v>50</v>
      </c>
      <c r="AA269" s="19" t="s">
        <v>901</v>
      </c>
      <c r="AB269" s="26" t="s">
        <v>137</v>
      </c>
      <c r="AC269" s="26" t="s">
        <v>53</v>
      </c>
      <c r="AD269" s="19" t="s">
        <v>54</v>
      </c>
      <c r="AE269" s="26">
        <v>350</v>
      </c>
      <c r="AF269" s="17">
        <v>45155</v>
      </c>
      <c r="AG269" s="26"/>
      <c r="AH269" s="26">
        <v>1</v>
      </c>
      <c r="AI269" s="40">
        <v>1</v>
      </c>
      <c r="AJ269" s="26"/>
      <c r="AK269" s="26"/>
      <c r="AL269" s="35"/>
      <c r="AM269" s="35"/>
      <c r="AN269" s="35"/>
      <c r="AO269" s="35"/>
      <c r="AP269" s="35"/>
    </row>
    <row r="270" spans="1:42" x14ac:dyDescent="0.2">
      <c r="A270" s="27">
        <v>45155.092046446764</v>
      </c>
      <c r="B270" s="68" t="s">
        <v>37</v>
      </c>
      <c r="C270" s="41" t="s">
        <v>118</v>
      </c>
      <c r="D270" s="26" t="s">
        <v>36</v>
      </c>
      <c r="E270" s="26" t="s">
        <v>119</v>
      </c>
      <c r="F270" s="26" t="s">
        <v>36</v>
      </c>
      <c r="G270" s="26" t="s">
        <v>108</v>
      </c>
      <c r="H270" s="26" t="s">
        <v>1565</v>
      </c>
      <c r="I270" s="17">
        <f ca="1">IFERROR(__xludf.DUMMYFUNCTION("""COMPUTED_VALUE"""),45502)</f>
        <v>45502</v>
      </c>
      <c r="J270" s="29" t="s">
        <v>1566</v>
      </c>
      <c r="K270" s="26" t="s">
        <v>1567</v>
      </c>
      <c r="L270" s="30">
        <v>372012901</v>
      </c>
      <c r="M270" s="26" t="s">
        <v>292</v>
      </c>
      <c r="N270" s="26" t="s">
        <v>1466</v>
      </c>
      <c r="O270" s="26" t="s">
        <v>1568</v>
      </c>
      <c r="P270" s="26" t="s">
        <v>1569</v>
      </c>
      <c r="Q270" s="20">
        <v>13968</v>
      </c>
      <c r="R270" s="26" t="s">
        <v>36</v>
      </c>
      <c r="S270" s="21">
        <v>5975</v>
      </c>
      <c r="T270" s="46">
        <v>45143</v>
      </c>
      <c r="U270" s="31">
        <v>6358</v>
      </c>
      <c r="V270" s="32">
        <v>45152</v>
      </c>
      <c r="W270" s="26" t="s">
        <v>1570</v>
      </c>
      <c r="X270" s="26">
        <v>0</v>
      </c>
      <c r="Y270" s="22">
        <v>1635</v>
      </c>
      <c r="Z270" s="34" t="s">
        <v>50</v>
      </c>
      <c r="AA270" s="19" t="s">
        <v>901</v>
      </c>
      <c r="AB270" s="26" t="s">
        <v>137</v>
      </c>
      <c r="AC270" s="26" t="s">
        <v>53</v>
      </c>
      <c r="AD270" s="19" t="s">
        <v>54</v>
      </c>
      <c r="AE270" s="26" t="s">
        <v>1571</v>
      </c>
      <c r="AF270" s="17">
        <v>45502</v>
      </c>
      <c r="AG270" s="26" t="s">
        <v>1572</v>
      </c>
      <c r="AH270" s="26">
        <v>1</v>
      </c>
      <c r="AI270" s="40">
        <v>4</v>
      </c>
      <c r="AJ270" s="26"/>
      <c r="AK270" s="26"/>
      <c r="AL270" s="35"/>
      <c r="AM270" s="35"/>
      <c r="AN270" s="35"/>
      <c r="AO270" s="35"/>
      <c r="AP270" s="35"/>
    </row>
    <row r="271" spans="1:42" x14ac:dyDescent="0.2">
      <c r="A271" s="27">
        <v>45155.544584571762</v>
      </c>
      <c r="B271" s="28" t="s">
        <v>37</v>
      </c>
      <c r="C271" s="41" t="s">
        <v>118</v>
      </c>
      <c r="D271" s="26" t="s">
        <v>36</v>
      </c>
      <c r="E271" s="26" t="s">
        <v>39</v>
      </c>
      <c r="F271" s="26" t="s">
        <v>36</v>
      </c>
      <c r="G271" s="26" t="s">
        <v>41</v>
      </c>
      <c r="H271" s="26" t="s">
        <v>129</v>
      </c>
      <c r="I271" s="17">
        <f ca="1">IFERROR(__xludf.DUMMYFUNCTION("""COMPUTED_VALUE"""),45163)</f>
        <v>45163</v>
      </c>
      <c r="J271" s="29" t="s">
        <v>1573</v>
      </c>
      <c r="K271" s="26" t="s">
        <v>1574</v>
      </c>
      <c r="L271" s="30">
        <v>979927513</v>
      </c>
      <c r="M271" s="26" t="s">
        <v>123</v>
      </c>
      <c r="N271" s="26" t="s">
        <v>310</v>
      </c>
      <c r="O271" s="26" t="s">
        <v>1575</v>
      </c>
      <c r="P271" s="42" t="s">
        <v>1576</v>
      </c>
      <c r="Q271" s="20">
        <v>5736</v>
      </c>
      <c r="R271" s="26" t="s">
        <v>36</v>
      </c>
      <c r="S271" s="31">
        <v>5736</v>
      </c>
      <c r="T271" s="32">
        <v>45155</v>
      </c>
      <c r="U271" s="31"/>
      <c r="V271" s="26"/>
      <c r="W271" s="33" t="s">
        <v>1577</v>
      </c>
      <c r="X271" s="26">
        <v>0</v>
      </c>
      <c r="Y271" s="22">
        <v>0</v>
      </c>
      <c r="Z271" s="34" t="s">
        <v>50</v>
      </c>
      <c r="AA271" s="19" t="s">
        <v>901</v>
      </c>
      <c r="AB271" s="26" t="s">
        <v>104</v>
      </c>
      <c r="AC271" s="26" t="s">
        <v>53</v>
      </c>
      <c r="AD271" s="19" t="s">
        <v>54</v>
      </c>
      <c r="AE271" s="26"/>
      <c r="AF271" s="17">
        <v>45156</v>
      </c>
      <c r="AG271" s="26"/>
      <c r="AH271" s="26">
        <v>1</v>
      </c>
      <c r="AI271" s="40" t="s">
        <v>55</v>
      </c>
      <c r="AJ271" s="26"/>
      <c r="AK271" s="26"/>
      <c r="AL271" s="35"/>
      <c r="AM271" s="35"/>
      <c r="AN271" s="35"/>
      <c r="AO271" s="35"/>
      <c r="AP271" s="35"/>
    </row>
    <row r="272" spans="1:42" x14ac:dyDescent="0.2">
      <c r="A272" s="27">
        <v>45155.55099797454</v>
      </c>
      <c r="B272" s="28" t="s">
        <v>37</v>
      </c>
      <c r="C272" s="41" t="s">
        <v>118</v>
      </c>
      <c r="D272" s="26" t="s">
        <v>36</v>
      </c>
      <c r="E272" s="26" t="s">
        <v>77</v>
      </c>
      <c r="F272" s="26" t="s">
        <v>36</v>
      </c>
      <c r="G272" s="26" t="s">
        <v>41</v>
      </c>
      <c r="H272" s="26" t="s">
        <v>129</v>
      </c>
      <c r="I272" s="17">
        <f ca="1">IFERROR(__xludf.DUMMYFUNCTION("""COMPUTED_VALUE"""),45163)</f>
        <v>45163</v>
      </c>
      <c r="J272" s="29" t="s">
        <v>1578</v>
      </c>
      <c r="K272" s="26" t="s">
        <v>1579</v>
      </c>
      <c r="L272" s="30">
        <v>966721308</v>
      </c>
      <c r="M272" s="26" t="s">
        <v>80</v>
      </c>
      <c r="N272" s="26" t="s">
        <v>186</v>
      </c>
      <c r="O272" s="26" t="s">
        <v>1492</v>
      </c>
      <c r="P272" s="26" t="s">
        <v>1580</v>
      </c>
      <c r="Q272" s="20">
        <v>1968</v>
      </c>
      <c r="R272" s="26" t="s">
        <v>36</v>
      </c>
      <c r="S272" s="31">
        <v>1968</v>
      </c>
      <c r="T272" s="32">
        <v>45155</v>
      </c>
      <c r="U272" s="31"/>
      <c r="V272" s="26"/>
      <c r="W272" s="33" t="s">
        <v>1581</v>
      </c>
      <c r="X272" s="26">
        <v>0</v>
      </c>
      <c r="Y272" s="22">
        <v>0</v>
      </c>
      <c r="Z272" s="34" t="s">
        <v>50</v>
      </c>
      <c r="AA272" s="19" t="s">
        <v>901</v>
      </c>
      <c r="AB272" s="26" t="s">
        <v>104</v>
      </c>
      <c r="AC272" s="26" t="s">
        <v>53</v>
      </c>
      <c r="AD272" s="19" t="s">
        <v>54</v>
      </c>
      <c r="AE272" s="26">
        <v>0</v>
      </c>
      <c r="AF272" s="17">
        <v>45156</v>
      </c>
      <c r="AG272" s="26"/>
      <c r="AH272" s="26">
        <v>1</v>
      </c>
      <c r="AI272" s="40" t="s">
        <v>84</v>
      </c>
      <c r="AJ272" s="26"/>
      <c r="AK272" s="26"/>
      <c r="AL272" s="35"/>
      <c r="AM272" s="35"/>
      <c r="AN272" s="35"/>
      <c r="AO272" s="35"/>
      <c r="AP272" s="35"/>
    </row>
    <row r="273" spans="1:42" x14ac:dyDescent="0.2">
      <c r="A273" s="27">
        <v>45156.136034826384</v>
      </c>
      <c r="B273" s="28" t="s">
        <v>37</v>
      </c>
      <c r="C273" s="41" t="s">
        <v>118</v>
      </c>
      <c r="D273" s="26" t="s">
        <v>36</v>
      </c>
      <c r="E273" s="26" t="s">
        <v>119</v>
      </c>
      <c r="F273" s="26" t="s">
        <v>36</v>
      </c>
      <c r="G273" s="26" t="s">
        <v>108</v>
      </c>
      <c r="H273" s="26" t="s">
        <v>836</v>
      </c>
      <c r="I273" s="17">
        <f ca="1">IFERROR(__xludf.DUMMYFUNCTION("""COMPUTED_VALUE"""),45160)</f>
        <v>45160</v>
      </c>
      <c r="J273" s="29" t="s">
        <v>1582</v>
      </c>
      <c r="K273" s="26" t="s">
        <v>1583</v>
      </c>
      <c r="L273" s="30">
        <v>334992012</v>
      </c>
      <c r="M273" s="26" t="s">
        <v>123</v>
      </c>
      <c r="N273" s="26" t="s">
        <v>310</v>
      </c>
      <c r="O273" s="26" t="s">
        <v>1584</v>
      </c>
      <c r="P273" s="26" t="s">
        <v>1585</v>
      </c>
      <c r="Q273" s="20">
        <v>13968</v>
      </c>
      <c r="R273" s="26" t="s">
        <v>36</v>
      </c>
      <c r="S273" s="31">
        <v>13968</v>
      </c>
      <c r="T273" s="32">
        <v>45156</v>
      </c>
      <c r="U273" s="31"/>
      <c r="V273" s="26"/>
      <c r="W273" s="33" t="s">
        <v>1586</v>
      </c>
      <c r="X273" s="26">
        <v>0</v>
      </c>
      <c r="Y273" s="22">
        <v>0</v>
      </c>
      <c r="Z273" s="34" t="s">
        <v>50</v>
      </c>
      <c r="AA273" s="19" t="s">
        <v>901</v>
      </c>
      <c r="AB273" s="26" t="s">
        <v>154</v>
      </c>
      <c r="AC273" s="26" t="s">
        <v>53</v>
      </c>
      <c r="AD273" s="19" t="s">
        <v>54</v>
      </c>
      <c r="AE273" s="26">
        <v>360</v>
      </c>
      <c r="AF273" s="17">
        <v>45159</v>
      </c>
      <c r="AG273" s="42"/>
      <c r="AH273" s="26">
        <v>1</v>
      </c>
      <c r="AI273" s="40">
        <v>4</v>
      </c>
      <c r="AJ273" s="26"/>
      <c r="AK273" s="26"/>
      <c r="AL273" s="35"/>
      <c r="AM273" s="35"/>
      <c r="AN273" s="35"/>
      <c r="AO273" s="35"/>
      <c r="AP273" s="35"/>
    </row>
    <row r="274" spans="1:42" x14ac:dyDescent="0.2">
      <c r="A274" s="27">
        <v>45156.350697743052</v>
      </c>
      <c r="B274" s="28" t="s">
        <v>37</v>
      </c>
      <c r="C274" s="41" t="s">
        <v>118</v>
      </c>
      <c r="D274" s="26" t="s">
        <v>36</v>
      </c>
      <c r="E274" s="26" t="s">
        <v>77</v>
      </c>
      <c r="F274" s="26" t="s">
        <v>36</v>
      </c>
      <c r="G274" s="26" t="s">
        <v>41</v>
      </c>
      <c r="H274" s="26" t="s">
        <v>129</v>
      </c>
      <c r="I274" s="17">
        <f ca="1">IFERROR(__xludf.DUMMYFUNCTION("""COMPUTED_VALUE"""),45163)</f>
        <v>45163</v>
      </c>
      <c r="J274" s="29" t="s">
        <v>1587</v>
      </c>
      <c r="K274" s="26" t="s">
        <v>1588</v>
      </c>
      <c r="L274" s="30">
        <v>914856286</v>
      </c>
      <c r="M274" s="26" t="s">
        <v>80</v>
      </c>
      <c r="N274" s="26" t="s">
        <v>253</v>
      </c>
      <c r="O274" s="26" t="s">
        <v>1589</v>
      </c>
      <c r="P274" s="26" t="s">
        <v>1590</v>
      </c>
      <c r="Q274" s="20">
        <v>1968</v>
      </c>
      <c r="R274" s="26" t="s">
        <v>36</v>
      </c>
      <c r="S274" s="31">
        <v>1200</v>
      </c>
      <c r="T274" s="32">
        <v>45148</v>
      </c>
      <c r="U274" s="58">
        <v>768</v>
      </c>
      <c r="V274" s="59">
        <v>45156</v>
      </c>
      <c r="W274" s="26" t="s">
        <v>1591</v>
      </c>
      <c r="X274" s="26">
        <v>0</v>
      </c>
      <c r="Y274" s="22">
        <v>0</v>
      </c>
      <c r="Z274" s="34" t="s">
        <v>50</v>
      </c>
      <c r="AA274" s="19" t="s">
        <v>901</v>
      </c>
      <c r="AB274" s="26" t="s">
        <v>104</v>
      </c>
      <c r="AC274" s="26" t="s">
        <v>53</v>
      </c>
      <c r="AD274" s="19" t="s">
        <v>54</v>
      </c>
      <c r="AE274" s="26">
        <v>0</v>
      </c>
      <c r="AF274" s="17">
        <v>45156</v>
      </c>
      <c r="AG274" s="26"/>
      <c r="AH274" s="26">
        <v>1</v>
      </c>
      <c r="AI274" s="40" t="s">
        <v>84</v>
      </c>
      <c r="AJ274" s="26"/>
      <c r="AK274" s="26"/>
      <c r="AL274" s="35"/>
      <c r="AM274" s="35"/>
      <c r="AN274" s="35"/>
      <c r="AO274" s="35"/>
      <c r="AP274" s="35"/>
    </row>
    <row r="275" spans="1:42" x14ac:dyDescent="0.2">
      <c r="A275" s="27">
        <v>45156.352698715273</v>
      </c>
      <c r="B275" s="28" t="s">
        <v>37</v>
      </c>
      <c r="C275" s="41" t="s">
        <v>118</v>
      </c>
      <c r="D275" s="26" t="s">
        <v>36</v>
      </c>
      <c r="E275" s="26" t="s">
        <v>77</v>
      </c>
      <c r="F275" s="26" t="s">
        <v>36</v>
      </c>
      <c r="G275" s="26" t="s">
        <v>41</v>
      </c>
      <c r="H275" s="26" t="s">
        <v>723</v>
      </c>
      <c r="I275" s="17">
        <f ca="1">IFERROR(__xludf.DUMMYFUNCTION("""COMPUTED_VALUE"""),45176)</f>
        <v>45176</v>
      </c>
      <c r="J275" s="29" t="s">
        <v>1592</v>
      </c>
      <c r="K275" s="26" t="s">
        <v>1593</v>
      </c>
      <c r="L275" s="30">
        <v>981108047</v>
      </c>
      <c r="M275" s="26" t="s">
        <v>80</v>
      </c>
      <c r="N275" s="26" t="s">
        <v>1594</v>
      </c>
      <c r="O275" s="26" t="s">
        <v>1595</v>
      </c>
      <c r="P275" s="26" t="s">
        <v>1596</v>
      </c>
      <c r="Q275" s="20">
        <v>1968</v>
      </c>
      <c r="R275" s="26" t="s">
        <v>36</v>
      </c>
      <c r="S275" s="31">
        <v>1568</v>
      </c>
      <c r="T275" s="32">
        <v>45156</v>
      </c>
      <c r="U275" s="31">
        <v>400</v>
      </c>
      <c r="V275" s="26" t="s">
        <v>1597</v>
      </c>
      <c r="W275" s="26" t="s">
        <v>1598</v>
      </c>
      <c r="X275" s="26">
        <v>0</v>
      </c>
      <c r="Y275" s="22">
        <v>0</v>
      </c>
      <c r="Z275" s="34" t="s">
        <v>50</v>
      </c>
      <c r="AA275" s="19" t="s">
        <v>901</v>
      </c>
      <c r="AB275" s="26" t="s">
        <v>104</v>
      </c>
      <c r="AC275" s="26" t="s">
        <v>53</v>
      </c>
      <c r="AD275" s="19" t="s">
        <v>138</v>
      </c>
      <c r="AE275" s="26">
        <v>0</v>
      </c>
      <c r="AF275" s="17">
        <v>45176</v>
      </c>
      <c r="AG275" s="26" t="s">
        <v>1391</v>
      </c>
      <c r="AH275" s="26">
        <v>1</v>
      </c>
      <c r="AI275" s="40" t="s">
        <v>84</v>
      </c>
      <c r="AJ275" s="26"/>
      <c r="AK275" s="26"/>
      <c r="AL275" s="35"/>
      <c r="AM275" s="35"/>
      <c r="AN275" s="35"/>
      <c r="AO275" s="35"/>
      <c r="AP275" s="35"/>
    </row>
    <row r="276" spans="1:42" x14ac:dyDescent="0.2">
      <c r="A276" s="27">
        <v>45156.427558831019</v>
      </c>
      <c r="B276" s="28" t="s">
        <v>37</v>
      </c>
      <c r="C276" s="41" t="s">
        <v>118</v>
      </c>
      <c r="D276" s="26" t="s">
        <v>36</v>
      </c>
      <c r="E276" s="26" t="s">
        <v>219</v>
      </c>
      <c r="F276" s="26" t="s">
        <v>36</v>
      </c>
      <c r="G276" s="26" t="s">
        <v>221</v>
      </c>
      <c r="H276" s="26" t="s">
        <v>1281</v>
      </c>
      <c r="I276" s="17">
        <f ca="1">IFERROR(__xludf.DUMMYFUNCTION("""COMPUTED_VALUE"""),45159)</f>
        <v>45159</v>
      </c>
      <c r="J276" s="29" t="s">
        <v>1599</v>
      </c>
      <c r="K276" s="26" t="s">
        <v>1600</v>
      </c>
      <c r="L276" s="30">
        <v>904375237</v>
      </c>
      <c r="M276" s="26" t="s">
        <v>80</v>
      </c>
      <c r="N276" s="26" t="s">
        <v>466</v>
      </c>
      <c r="O276" s="26" t="s">
        <v>1601</v>
      </c>
      <c r="P276" s="26" t="s">
        <v>1602</v>
      </c>
      <c r="Q276" s="20">
        <v>3968</v>
      </c>
      <c r="R276" s="26" t="s">
        <v>36</v>
      </c>
      <c r="S276" s="31">
        <v>3968</v>
      </c>
      <c r="T276" s="32">
        <v>45156</v>
      </c>
      <c r="U276" s="31"/>
      <c r="V276" s="26"/>
      <c r="W276" s="33" t="s">
        <v>1603</v>
      </c>
      <c r="X276" s="26">
        <v>0</v>
      </c>
      <c r="Y276" s="22">
        <v>0</v>
      </c>
      <c r="Z276" s="34" t="s">
        <v>50</v>
      </c>
      <c r="AA276" s="19" t="s">
        <v>901</v>
      </c>
      <c r="AB276" s="26" t="s">
        <v>137</v>
      </c>
      <c r="AC276" s="26" t="s">
        <v>53</v>
      </c>
      <c r="AD276" s="19" t="s">
        <v>54</v>
      </c>
      <c r="AE276" s="26">
        <v>650</v>
      </c>
      <c r="AF276" s="17">
        <v>45159</v>
      </c>
      <c r="AG276" s="26"/>
      <c r="AH276" s="26">
        <v>1</v>
      </c>
      <c r="AI276" s="40">
        <v>1</v>
      </c>
      <c r="AJ276" s="26"/>
      <c r="AK276" s="26"/>
      <c r="AL276" s="35"/>
      <c r="AM276" s="35"/>
      <c r="AN276" s="35"/>
      <c r="AO276" s="35"/>
      <c r="AP276" s="35"/>
    </row>
    <row r="277" spans="1:42" x14ac:dyDescent="0.2">
      <c r="A277" s="27">
        <v>45157.453498796298</v>
      </c>
      <c r="B277" s="68" t="s">
        <v>37</v>
      </c>
      <c r="C277" s="41" t="s">
        <v>118</v>
      </c>
      <c r="D277" s="26" t="s">
        <v>36</v>
      </c>
      <c r="E277" s="26" t="s">
        <v>106</v>
      </c>
      <c r="F277" s="26" t="s">
        <v>40</v>
      </c>
      <c r="G277" s="26" t="s">
        <v>108</v>
      </c>
      <c r="H277" s="26" t="s">
        <v>830</v>
      </c>
      <c r="I277" s="17">
        <f ca="1">IFERROR(__xludf.DUMMYFUNCTION("""COMPUTED_VALUE"""),45159)</f>
        <v>45159</v>
      </c>
      <c r="J277" s="29" t="s">
        <v>1604</v>
      </c>
      <c r="K277" s="26" t="s">
        <v>1605</v>
      </c>
      <c r="L277" s="30">
        <v>383808703</v>
      </c>
      <c r="M277" s="26" t="s">
        <v>45</v>
      </c>
      <c r="N277" s="26" t="s">
        <v>1606</v>
      </c>
      <c r="O277" s="26" t="s">
        <v>1607</v>
      </c>
      <c r="P277" s="26" t="s">
        <v>1452</v>
      </c>
      <c r="Q277" s="20">
        <v>3768</v>
      </c>
      <c r="R277" s="26" t="s">
        <v>36</v>
      </c>
      <c r="S277" s="31">
        <v>3768</v>
      </c>
      <c r="T277" s="32">
        <v>45157</v>
      </c>
      <c r="U277" s="31"/>
      <c r="V277" s="26"/>
      <c r="W277" s="33" t="s">
        <v>1608</v>
      </c>
      <c r="X277" s="26">
        <v>0</v>
      </c>
      <c r="Y277" s="22">
        <v>0</v>
      </c>
      <c r="Z277" s="34" t="s">
        <v>50</v>
      </c>
      <c r="AA277" s="19" t="s">
        <v>901</v>
      </c>
      <c r="AB277" s="26" t="s">
        <v>128</v>
      </c>
      <c r="AC277" s="26" t="s">
        <v>53</v>
      </c>
      <c r="AD277" s="19" t="s">
        <v>54</v>
      </c>
      <c r="AE277" s="26">
        <v>430</v>
      </c>
      <c r="AF277" s="17">
        <v>45159</v>
      </c>
      <c r="AG277" s="26"/>
      <c r="AH277" s="26">
        <v>1</v>
      </c>
      <c r="AI277" s="40">
        <v>1</v>
      </c>
      <c r="AJ277" s="26"/>
      <c r="AK277" s="26"/>
      <c r="AL277" s="35"/>
      <c r="AM277" s="35"/>
      <c r="AN277" s="35"/>
      <c r="AO277" s="35"/>
      <c r="AP277" s="35"/>
    </row>
    <row r="278" spans="1:42" x14ac:dyDescent="0.2">
      <c r="A278" s="27">
        <v>45157.639971921293</v>
      </c>
      <c r="B278" s="28" t="s">
        <v>37</v>
      </c>
      <c r="C278" s="41" t="s">
        <v>118</v>
      </c>
      <c r="D278" s="26" t="s">
        <v>36</v>
      </c>
      <c r="E278" s="26" t="s">
        <v>219</v>
      </c>
      <c r="F278" s="26" t="s">
        <v>36</v>
      </c>
      <c r="G278" s="26" t="s">
        <v>221</v>
      </c>
      <c r="H278" s="26" t="s">
        <v>1281</v>
      </c>
      <c r="I278" s="17">
        <f ca="1">IFERROR(__xludf.DUMMYFUNCTION("""COMPUTED_VALUE"""),45159)</f>
        <v>45159</v>
      </c>
      <c r="J278" s="29" t="s">
        <v>1609</v>
      </c>
      <c r="K278" s="26" t="s">
        <v>1610</v>
      </c>
      <c r="L278" s="30">
        <v>867576858</v>
      </c>
      <c r="M278" s="26" t="s">
        <v>80</v>
      </c>
      <c r="N278" s="26" t="s">
        <v>81</v>
      </c>
      <c r="O278" s="26" t="s">
        <v>1611</v>
      </c>
      <c r="P278" s="69" t="s">
        <v>1612</v>
      </c>
      <c r="Q278" s="20">
        <v>3968</v>
      </c>
      <c r="R278" s="26" t="s">
        <v>36</v>
      </c>
      <c r="S278" s="31">
        <v>3968</v>
      </c>
      <c r="T278" s="32">
        <v>45157</v>
      </c>
      <c r="U278" s="31"/>
      <c r="V278" s="26"/>
      <c r="W278" s="33" t="s">
        <v>1613</v>
      </c>
      <c r="X278" s="26">
        <v>0</v>
      </c>
      <c r="Y278" s="22">
        <v>0</v>
      </c>
      <c r="Z278" s="34" t="s">
        <v>50</v>
      </c>
      <c r="AA278" s="19" t="s">
        <v>901</v>
      </c>
      <c r="AB278" s="26" t="s">
        <v>104</v>
      </c>
      <c r="AC278" s="26" t="s">
        <v>53</v>
      </c>
      <c r="AD278" s="19" t="s">
        <v>54</v>
      </c>
      <c r="AE278" s="26">
        <v>780</v>
      </c>
      <c r="AF278" s="17">
        <v>45161</v>
      </c>
      <c r="AG278" s="26" t="s">
        <v>1614</v>
      </c>
      <c r="AH278" s="26">
        <v>1</v>
      </c>
      <c r="AI278" s="40">
        <v>1</v>
      </c>
      <c r="AJ278" s="26"/>
      <c r="AK278" s="26"/>
      <c r="AL278" s="35"/>
      <c r="AM278" s="35"/>
      <c r="AN278" s="35"/>
      <c r="AO278" s="35"/>
      <c r="AP278" s="35"/>
    </row>
    <row r="279" spans="1:42" x14ac:dyDescent="0.2">
      <c r="A279" s="27">
        <v>45158.247345011579</v>
      </c>
      <c r="B279" s="28" t="s">
        <v>37</v>
      </c>
      <c r="C279" s="41" t="s">
        <v>118</v>
      </c>
      <c r="D279" s="26" t="s">
        <v>36</v>
      </c>
      <c r="E279" s="26" t="s">
        <v>148</v>
      </c>
      <c r="F279" s="26" t="s">
        <v>40</v>
      </c>
      <c r="G279" s="26" t="s">
        <v>108</v>
      </c>
      <c r="H279" s="26" t="s">
        <v>836</v>
      </c>
      <c r="I279" s="17">
        <f ca="1">IFERROR(__xludf.DUMMYFUNCTION("""COMPUTED_VALUE"""),45160)</f>
        <v>45160</v>
      </c>
      <c r="J279" s="29" t="s">
        <v>1615</v>
      </c>
      <c r="K279" s="26" t="s">
        <v>1616</v>
      </c>
      <c r="L279" s="30">
        <v>978794309</v>
      </c>
      <c r="M279" s="26" t="s">
        <v>59</v>
      </c>
      <c r="N279" s="26" t="s">
        <v>68</v>
      </c>
      <c r="O279" s="26" t="s">
        <v>1617</v>
      </c>
      <c r="P279" s="26" t="s">
        <v>1618</v>
      </c>
      <c r="Q279" s="20">
        <v>7349</v>
      </c>
      <c r="R279" s="26" t="s">
        <v>36</v>
      </c>
      <c r="S279" s="31">
        <v>7349</v>
      </c>
      <c r="T279" s="32">
        <v>45157</v>
      </c>
      <c r="U279" s="31"/>
      <c r="V279" s="26"/>
      <c r="W279" s="33" t="s">
        <v>1619</v>
      </c>
      <c r="X279" s="26">
        <v>0</v>
      </c>
      <c r="Y279" s="22">
        <v>0</v>
      </c>
      <c r="Z279" s="34" t="s">
        <v>50</v>
      </c>
      <c r="AA279" s="19" t="s">
        <v>901</v>
      </c>
      <c r="AB279" s="26" t="s">
        <v>137</v>
      </c>
      <c r="AC279" s="26" t="s">
        <v>53</v>
      </c>
      <c r="AD279" s="19" t="s">
        <v>54</v>
      </c>
      <c r="AE279" s="26">
        <v>350</v>
      </c>
      <c r="AF279" s="17">
        <v>45159</v>
      </c>
      <c r="AG279" s="26"/>
      <c r="AH279" s="26">
        <v>1</v>
      </c>
      <c r="AI279" s="40">
        <v>2</v>
      </c>
      <c r="AJ279" s="26"/>
      <c r="AK279" s="26"/>
      <c r="AL279" s="35"/>
      <c r="AM279" s="35"/>
      <c r="AN279" s="35"/>
      <c r="AO279" s="35"/>
      <c r="AP279" s="35"/>
    </row>
    <row r="280" spans="1:42" x14ac:dyDescent="0.2">
      <c r="A280" s="27">
        <v>45158.635843217591</v>
      </c>
      <c r="B280" s="28" t="s">
        <v>37</v>
      </c>
      <c r="C280" s="41" t="s">
        <v>118</v>
      </c>
      <c r="D280" s="26" t="s">
        <v>36</v>
      </c>
      <c r="E280" s="26" t="s">
        <v>56</v>
      </c>
      <c r="F280" s="26" t="s">
        <v>91</v>
      </c>
      <c r="G280" s="26" t="s">
        <v>41</v>
      </c>
      <c r="H280" s="26" t="s">
        <v>129</v>
      </c>
      <c r="I280" s="17">
        <f ca="1">IFERROR(__xludf.DUMMYFUNCTION("""COMPUTED_VALUE"""),45163)</f>
        <v>45163</v>
      </c>
      <c r="J280" s="29" t="s">
        <v>1620</v>
      </c>
      <c r="K280" s="26" t="s">
        <v>1621</v>
      </c>
      <c r="L280" s="30">
        <v>382718982</v>
      </c>
      <c r="M280" s="26" t="s">
        <v>548</v>
      </c>
      <c r="N280" s="26" t="s">
        <v>1622</v>
      </c>
      <c r="O280" s="26" t="s">
        <v>1623</v>
      </c>
      <c r="P280" s="26" t="s">
        <v>1624</v>
      </c>
      <c r="Q280" s="20">
        <v>9317</v>
      </c>
      <c r="R280" s="26" t="s">
        <v>36</v>
      </c>
      <c r="S280" s="31">
        <v>9317</v>
      </c>
      <c r="T280" s="32">
        <v>45158</v>
      </c>
      <c r="U280" s="31"/>
      <c r="V280" s="26"/>
      <c r="W280" s="33" t="s">
        <v>1625</v>
      </c>
      <c r="X280" s="26">
        <v>0</v>
      </c>
      <c r="Y280" s="22">
        <v>0</v>
      </c>
      <c r="Z280" s="34" t="s">
        <v>50</v>
      </c>
      <c r="AA280" s="19" t="s">
        <v>901</v>
      </c>
      <c r="AB280" s="26" t="s">
        <v>104</v>
      </c>
      <c r="AC280" s="26" t="s">
        <v>53</v>
      </c>
      <c r="AD280" s="19" t="s">
        <v>54</v>
      </c>
      <c r="AE280" s="26" t="s">
        <v>76</v>
      </c>
      <c r="AF280" s="17">
        <v>45159</v>
      </c>
      <c r="AG280" s="26"/>
      <c r="AH280" s="26">
        <v>1</v>
      </c>
      <c r="AI280" s="40" t="s">
        <v>64</v>
      </c>
      <c r="AJ280" s="26"/>
      <c r="AK280" s="26"/>
      <c r="AL280" s="35"/>
      <c r="AM280" s="35"/>
      <c r="AN280" s="35"/>
      <c r="AO280" s="35"/>
      <c r="AP280" s="35"/>
    </row>
    <row r="281" spans="1:42" x14ac:dyDescent="0.2">
      <c r="A281" s="27">
        <v>45159.090416435181</v>
      </c>
      <c r="B281" s="68" t="s">
        <v>37</v>
      </c>
      <c r="C281" s="41" t="s">
        <v>118</v>
      </c>
      <c r="D281" s="26" t="s">
        <v>36</v>
      </c>
      <c r="E281" s="26" t="s">
        <v>119</v>
      </c>
      <c r="F281" s="26" t="s">
        <v>36</v>
      </c>
      <c r="G281" s="26" t="s">
        <v>108</v>
      </c>
      <c r="H281" s="26" t="s">
        <v>1626</v>
      </c>
      <c r="I281" s="17">
        <f ca="1">IFERROR(__xludf.DUMMYFUNCTION("""COMPUTED_VALUE"""),45272)</f>
        <v>45272</v>
      </c>
      <c r="J281" s="29" t="s">
        <v>297</v>
      </c>
      <c r="K281" s="26" t="s">
        <v>1627</v>
      </c>
      <c r="L281" s="30">
        <v>862932804</v>
      </c>
      <c r="M281" s="26" t="s">
        <v>80</v>
      </c>
      <c r="N281" s="26" t="s">
        <v>299</v>
      </c>
      <c r="O281" s="26" t="s">
        <v>300</v>
      </c>
      <c r="P281" s="26" t="s">
        <v>1628</v>
      </c>
      <c r="Q281" s="20">
        <v>13968</v>
      </c>
      <c r="R281" s="26" t="s">
        <v>36</v>
      </c>
      <c r="S281" s="31">
        <v>13968</v>
      </c>
      <c r="T281" s="32">
        <v>45158</v>
      </c>
      <c r="U281" s="31"/>
      <c r="V281" s="26"/>
      <c r="W281" s="33" t="s">
        <v>1629</v>
      </c>
      <c r="X281" s="26">
        <v>0</v>
      </c>
      <c r="Y281" s="22">
        <v>0</v>
      </c>
      <c r="Z281" s="34" t="s">
        <v>50</v>
      </c>
      <c r="AA281" s="19" t="s">
        <v>901</v>
      </c>
      <c r="AB281" s="26" t="s">
        <v>104</v>
      </c>
      <c r="AC281" s="26" t="s">
        <v>53</v>
      </c>
      <c r="AD281" s="19" t="s">
        <v>54</v>
      </c>
      <c r="AE281" s="26" t="s">
        <v>1630</v>
      </c>
      <c r="AF281" s="43">
        <v>45229</v>
      </c>
      <c r="AG281" s="26" t="s">
        <v>1631</v>
      </c>
      <c r="AH281" s="26">
        <v>2</v>
      </c>
      <c r="AI281" s="40">
        <v>4</v>
      </c>
      <c r="AJ281" s="26"/>
      <c r="AK281" s="26"/>
      <c r="AL281" s="35"/>
      <c r="AM281" s="35"/>
      <c r="AN281" s="35"/>
      <c r="AO281" s="35"/>
      <c r="AP281" s="35"/>
    </row>
    <row r="282" spans="1:42" x14ac:dyDescent="0.2">
      <c r="A282" s="27">
        <v>45159.092099641202</v>
      </c>
      <c r="B282" s="28" t="s">
        <v>37</v>
      </c>
      <c r="C282" s="41" t="s">
        <v>118</v>
      </c>
      <c r="D282" s="26" t="s">
        <v>36</v>
      </c>
      <c r="E282" s="26" t="s">
        <v>915</v>
      </c>
      <c r="F282" s="26" t="s">
        <v>36</v>
      </c>
      <c r="G282" s="26" t="s">
        <v>108</v>
      </c>
      <c r="H282" s="26" t="s">
        <v>1544</v>
      </c>
      <c r="I282" s="17">
        <f ca="1">IFERROR(__xludf.DUMMYFUNCTION("""COMPUTED_VALUE"""),45168)</f>
        <v>45168</v>
      </c>
      <c r="J282" s="29" t="s">
        <v>1632</v>
      </c>
      <c r="K282" s="26" t="s">
        <v>1633</v>
      </c>
      <c r="L282" s="30">
        <v>376745593</v>
      </c>
      <c r="M282" s="26" t="s">
        <v>80</v>
      </c>
      <c r="N282" s="26" t="s">
        <v>1634</v>
      </c>
      <c r="O282" s="26" t="s">
        <v>1635</v>
      </c>
      <c r="P282" s="26" t="s">
        <v>1636</v>
      </c>
      <c r="Q282" s="20">
        <v>10894</v>
      </c>
      <c r="R282" s="26" t="s">
        <v>36</v>
      </c>
      <c r="S282" s="31">
        <v>10127</v>
      </c>
      <c r="T282" s="32">
        <v>45158</v>
      </c>
      <c r="U282" s="31"/>
      <c r="V282" s="16" t="s">
        <v>1637</v>
      </c>
      <c r="W282" s="33" t="s">
        <v>1638</v>
      </c>
      <c r="X282" s="26">
        <v>0</v>
      </c>
      <c r="Y282" s="22">
        <v>767</v>
      </c>
      <c r="Z282" s="34" t="s">
        <v>50</v>
      </c>
      <c r="AA282" s="19" t="s">
        <v>901</v>
      </c>
      <c r="AB282" s="26" t="s">
        <v>137</v>
      </c>
      <c r="AC282" s="26" t="s">
        <v>53</v>
      </c>
      <c r="AD282" s="19" t="s">
        <v>54</v>
      </c>
      <c r="AE282" s="26">
        <v>370</v>
      </c>
      <c r="AF282" s="17">
        <v>45159</v>
      </c>
      <c r="AG282" s="26"/>
      <c r="AH282" s="26">
        <v>1</v>
      </c>
      <c r="AI282" s="40">
        <v>3</v>
      </c>
      <c r="AJ282" s="26"/>
      <c r="AK282" s="26"/>
      <c r="AL282" s="35"/>
      <c r="AM282" s="35"/>
      <c r="AN282" s="35"/>
      <c r="AO282" s="35"/>
      <c r="AP282" s="35"/>
    </row>
    <row r="283" spans="1:42" x14ac:dyDescent="0.2">
      <c r="A283" s="27">
        <v>45159.122875856483</v>
      </c>
      <c r="B283" s="28" t="s">
        <v>37</v>
      </c>
      <c r="C283" s="41" t="s">
        <v>118</v>
      </c>
      <c r="D283" s="26" t="s">
        <v>36</v>
      </c>
      <c r="E283" s="26" t="s">
        <v>77</v>
      </c>
      <c r="F283" s="26" t="s">
        <v>91</v>
      </c>
      <c r="G283" s="26" t="s">
        <v>41</v>
      </c>
      <c r="H283" s="26" t="s">
        <v>129</v>
      </c>
      <c r="I283" s="17">
        <f ca="1">IFERROR(__xludf.DUMMYFUNCTION("""COMPUTED_VALUE"""),45163)</f>
        <v>45163</v>
      </c>
      <c r="J283" s="29" t="s">
        <v>1639</v>
      </c>
      <c r="K283" s="26" t="s">
        <v>1640</v>
      </c>
      <c r="L283" s="30">
        <v>343605641</v>
      </c>
      <c r="M283" s="26" t="s">
        <v>391</v>
      </c>
      <c r="N283" s="26" t="s">
        <v>1641</v>
      </c>
      <c r="O283" s="26" t="s">
        <v>91</v>
      </c>
      <c r="P283" s="26" t="s">
        <v>1642</v>
      </c>
      <c r="Q283" s="20">
        <v>1968</v>
      </c>
      <c r="R283" s="26" t="s">
        <v>36</v>
      </c>
      <c r="S283" s="31">
        <v>1968</v>
      </c>
      <c r="T283" s="32">
        <v>45159</v>
      </c>
      <c r="U283" s="31"/>
      <c r="V283" s="26"/>
      <c r="W283" s="33" t="s">
        <v>1643</v>
      </c>
      <c r="X283" s="26">
        <v>0</v>
      </c>
      <c r="Y283" s="22">
        <v>0</v>
      </c>
      <c r="Z283" s="34" t="s">
        <v>50</v>
      </c>
      <c r="AA283" s="19" t="s">
        <v>901</v>
      </c>
      <c r="AB283" s="26" t="s">
        <v>104</v>
      </c>
      <c r="AC283" s="26" t="s">
        <v>53</v>
      </c>
      <c r="AD283" s="19" t="s">
        <v>54</v>
      </c>
      <c r="AE283" s="26"/>
      <c r="AF283" s="17">
        <v>45159</v>
      </c>
      <c r="AG283" s="26"/>
      <c r="AH283" s="26">
        <v>1</v>
      </c>
      <c r="AI283" s="40" t="s">
        <v>84</v>
      </c>
      <c r="AJ283" s="26"/>
      <c r="AK283" s="26"/>
      <c r="AL283" s="35"/>
      <c r="AM283" s="35"/>
      <c r="AN283" s="35"/>
      <c r="AO283" s="35"/>
      <c r="AP283" s="35"/>
    </row>
    <row r="284" spans="1:42" x14ac:dyDescent="0.2">
      <c r="A284" s="27">
        <v>45159.128153067126</v>
      </c>
      <c r="B284" s="28" t="s">
        <v>37</v>
      </c>
      <c r="C284" s="41" t="s">
        <v>118</v>
      </c>
      <c r="D284" s="26" t="s">
        <v>36</v>
      </c>
      <c r="E284" s="26" t="s">
        <v>106</v>
      </c>
      <c r="F284" s="26" t="s">
        <v>91</v>
      </c>
      <c r="G284" s="26" t="s">
        <v>108</v>
      </c>
      <c r="H284" s="26" t="s">
        <v>1544</v>
      </c>
      <c r="I284" s="17">
        <f ca="1">IFERROR(__xludf.DUMMYFUNCTION("""COMPUTED_VALUE"""),45168)</f>
        <v>45168</v>
      </c>
      <c r="J284" s="29" t="s">
        <v>1644</v>
      </c>
      <c r="K284" s="26" t="s">
        <v>1645</v>
      </c>
      <c r="L284" s="30">
        <v>982904344</v>
      </c>
      <c r="M284" s="26" t="s">
        <v>391</v>
      </c>
      <c r="N284" s="26" t="s">
        <v>1641</v>
      </c>
      <c r="O284" s="26" t="s">
        <v>91</v>
      </c>
      <c r="P284" s="26" t="s">
        <v>1646</v>
      </c>
      <c r="Q284" s="20">
        <v>3768</v>
      </c>
      <c r="R284" s="26" t="s">
        <v>36</v>
      </c>
      <c r="S284" s="31">
        <v>3768</v>
      </c>
      <c r="T284" s="32">
        <v>45155</v>
      </c>
      <c r="U284" s="31"/>
      <c r="V284" s="26"/>
      <c r="W284" s="33" t="s">
        <v>1647</v>
      </c>
      <c r="X284" s="26">
        <v>0</v>
      </c>
      <c r="Y284" s="22">
        <v>0</v>
      </c>
      <c r="Z284" s="34" t="s">
        <v>50</v>
      </c>
      <c r="AA284" s="19" t="s">
        <v>901</v>
      </c>
      <c r="AB284" s="26" t="s">
        <v>137</v>
      </c>
      <c r="AC284" s="26" t="s">
        <v>53</v>
      </c>
      <c r="AD284" s="19" t="s">
        <v>54</v>
      </c>
      <c r="AE284" s="26"/>
      <c r="AF284" s="17">
        <v>45159</v>
      </c>
      <c r="AG284" s="26"/>
      <c r="AH284" s="26">
        <v>1</v>
      </c>
      <c r="AI284" s="40">
        <v>1</v>
      </c>
      <c r="AJ284" s="26"/>
      <c r="AK284" s="26"/>
      <c r="AL284" s="35"/>
      <c r="AM284" s="35"/>
      <c r="AN284" s="35"/>
      <c r="AO284" s="35"/>
      <c r="AP284" s="35"/>
    </row>
    <row r="285" spans="1:42" x14ac:dyDescent="0.2">
      <c r="A285" s="27">
        <v>45159.321638298614</v>
      </c>
      <c r="B285" s="28" t="s">
        <v>37</v>
      </c>
      <c r="C285" s="41" t="s">
        <v>118</v>
      </c>
      <c r="D285" s="26" t="s">
        <v>36</v>
      </c>
      <c r="E285" s="26" t="s">
        <v>77</v>
      </c>
      <c r="F285" s="26" t="s">
        <v>36</v>
      </c>
      <c r="G285" s="26" t="s">
        <v>41</v>
      </c>
      <c r="H285" s="26" t="s">
        <v>1513</v>
      </c>
      <c r="I285" s="17">
        <f ca="1">IFERROR(__xludf.DUMMYFUNCTION("""COMPUTED_VALUE"""),45181)</f>
        <v>45181</v>
      </c>
      <c r="J285" s="29" t="s">
        <v>1648</v>
      </c>
      <c r="K285" s="26" t="s">
        <v>1649</v>
      </c>
      <c r="L285" s="30">
        <v>328693544</v>
      </c>
      <c r="M285" s="26" t="s">
        <v>123</v>
      </c>
      <c r="N285" s="26" t="s">
        <v>310</v>
      </c>
      <c r="O285" s="26" t="s">
        <v>1226</v>
      </c>
      <c r="P285" s="26" t="s">
        <v>1650</v>
      </c>
      <c r="Q285" s="20">
        <v>1968</v>
      </c>
      <c r="R285" s="26" t="s">
        <v>36</v>
      </c>
      <c r="S285" s="31">
        <v>1970</v>
      </c>
      <c r="T285" s="32">
        <v>45158</v>
      </c>
      <c r="U285" s="31"/>
      <c r="V285" s="26"/>
      <c r="W285" s="33" t="s">
        <v>1651</v>
      </c>
      <c r="X285" s="26">
        <v>0</v>
      </c>
      <c r="Y285" s="22">
        <v>-2</v>
      </c>
      <c r="Z285" s="34" t="s">
        <v>50</v>
      </c>
      <c r="AA285" s="19" t="s">
        <v>901</v>
      </c>
      <c r="AB285" s="26" t="s">
        <v>104</v>
      </c>
      <c r="AC285" s="26" t="s">
        <v>53</v>
      </c>
      <c r="AD285" s="19" t="s">
        <v>54</v>
      </c>
      <c r="AE285" s="26"/>
      <c r="AF285" s="17">
        <v>45159</v>
      </c>
      <c r="AG285" s="26" t="s">
        <v>1652</v>
      </c>
      <c r="AH285" s="26">
        <v>1</v>
      </c>
      <c r="AI285" s="40" t="s">
        <v>84</v>
      </c>
      <c r="AJ285" s="26"/>
      <c r="AK285" s="26"/>
      <c r="AL285" s="35"/>
      <c r="AM285" s="35"/>
      <c r="AN285" s="35"/>
      <c r="AO285" s="35"/>
      <c r="AP285" s="35"/>
    </row>
    <row r="286" spans="1:42" x14ac:dyDescent="0.2">
      <c r="A286" s="27">
        <v>45159.324696504627</v>
      </c>
      <c r="B286" s="28" t="s">
        <v>37</v>
      </c>
      <c r="C286" s="41" t="s">
        <v>118</v>
      </c>
      <c r="D286" s="26" t="s">
        <v>77</v>
      </c>
      <c r="E286" s="26" t="s">
        <v>106</v>
      </c>
      <c r="F286" s="26" t="s">
        <v>257</v>
      </c>
      <c r="G286" s="26" t="s">
        <v>108</v>
      </c>
      <c r="H286" s="26" t="s">
        <v>882</v>
      </c>
      <c r="I286" s="17">
        <f ca="1">IFERROR(__xludf.DUMMYFUNCTION("""COMPUTED_VALUE"""),45180)</f>
        <v>45180</v>
      </c>
      <c r="J286" s="29" t="s">
        <v>973</v>
      </c>
      <c r="K286" s="26" t="s">
        <v>1653</v>
      </c>
      <c r="L286" s="30">
        <v>394473090</v>
      </c>
      <c r="M286" s="26" t="s">
        <v>123</v>
      </c>
      <c r="N286" s="26" t="s">
        <v>310</v>
      </c>
      <c r="O286" s="26" t="s">
        <v>1654</v>
      </c>
      <c r="P286" s="26" t="s">
        <v>1655</v>
      </c>
      <c r="Q286" s="20">
        <v>3768</v>
      </c>
      <c r="R286" s="26" t="s">
        <v>36</v>
      </c>
      <c r="S286" s="31">
        <v>3236</v>
      </c>
      <c r="T286" s="32">
        <v>45157</v>
      </c>
      <c r="U286" s="31">
        <v>432</v>
      </c>
      <c r="V286" s="38">
        <v>45118</v>
      </c>
      <c r="W286" s="33" t="s">
        <v>1656</v>
      </c>
      <c r="X286" s="26">
        <v>100</v>
      </c>
      <c r="Y286" s="22">
        <v>0</v>
      </c>
      <c r="Z286" s="34" t="s">
        <v>50</v>
      </c>
      <c r="AA286" s="19" t="s">
        <v>901</v>
      </c>
      <c r="AB286" s="26" t="s">
        <v>104</v>
      </c>
      <c r="AC286" s="26" t="s">
        <v>53</v>
      </c>
      <c r="AD286" s="19" t="s">
        <v>54</v>
      </c>
      <c r="AE286" s="26"/>
      <c r="AF286" s="17">
        <v>45167</v>
      </c>
      <c r="AG286" s="26"/>
      <c r="AH286" s="26">
        <v>2</v>
      </c>
      <c r="AI286" s="40">
        <v>1</v>
      </c>
      <c r="AJ286" s="26"/>
      <c r="AK286" s="26"/>
      <c r="AL286" s="35"/>
      <c r="AM286" s="35"/>
      <c r="AN286" s="35"/>
      <c r="AO286" s="35"/>
      <c r="AP286" s="35"/>
    </row>
    <row r="287" spans="1:42" x14ac:dyDescent="0.2">
      <c r="A287" s="27">
        <v>45160.01407665509</v>
      </c>
      <c r="B287" s="28" t="s">
        <v>37</v>
      </c>
      <c r="C287" s="41" t="s">
        <v>118</v>
      </c>
      <c r="D287" s="26" t="s">
        <v>36</v>
      </c>
      <c r="E287" s="26" t="s">
        <v>106</v>
      </c>
      <c r="F287" s="26" t="s">
        <v>91</v>
      </c>
      <c r="G287" s="26" t="s">
        <v>108</v>
      </c>
      <c r="H287" s="26" t="s">
        <v>1657</v>
      </c>
      <c r="I287" s="17">
        <f ca="1">IFERROR(__xludf.DUMMYFUNCTION("""COMPUTED_VALUE"""),45177)</f>
        <v>45177</v>
      </c>
      <c r="J287" s="29" t="s">
        <v>1658</v>
      </c>
      <c r="K287" s="26" t="s">
        <v>1659</v>
      </c>
      <c r="L287" s="30">
        <v>396112630</v>
      </c>
      <c r="M287" s="26" t="s">
        <v>94</v>
      </c>
      <c r="N287" s="26" t="s">
        <v>672</v>
      </c>
      <c r="O287" s="26" t="s">
        <v>91</v>
      </c>
      <c r="P287" s="26" t="s">
        <v>1660</v>
      </c>
      <c r="Q287" s="20">
        <v>3768</v>
      </c>
      <c r="R287" s="26" t="s">
        <v>36</v>
      </c>
      <c r="S287" s="31">
        <v>3768</v>
      </c>
      <c r="T287" s="32">
        <v>45157</v>
      </c>
      <c r="U287" s="31"/>
      <c r="V287" s="26"/>
      <c r="W287" s="33" t="s">
        <v>1661</v>
      </c>
      <c r="X287" s="26">
        <v>100</v>
      </c>
      <c r="Y287" s="22">
        <v>-100</v>
      </c>
      <c r="Z287" s="34" t="s">
        <v>50</v>
      </c>
      <c r="AA287" s="19" t="s">
        <v>901</v>
      </c>
      <c r="AB287" s="26" t="s">
        <v>137</v>
      </c>
      <c r="AC287" s="26" t="s">
        <v>53</v>
      </c>
      <c r="AD287" s="19" t="s">
        <v>54</v>
      </c>
      <c r="AE287" s="26">
        <v>600</v>
      </c>
      <c r="AF287" s="17">
        <v>45167</v>
      </c>
      <c r="AG287" s="26"/>
      <c r="AH287" s="26">
        <v>1</v>
      </c>
      <c r="AI287" s="40">
        <v>1</v>
      </c>
      <c r="AJ287" s="26"/>
      <c r="AK287" s="26"/>
      <c r="AL287" s="35"/>
      <c r="AM287" s="35"/>
      <c r="AN287" s="35"/>
      <c r="AO287" s="35"/>
      <c r="AP287" s="35"/>
    </row>
    <row r="288" spans="1:42" x14ac:dyDescent="0.2">
      <c r="A288" s="27">
        <v>45160.044300543981</v>
      </c>
      <c r="B288" s="28" t="s">
        <v>37</v>
      </c>
      <c r="C288" s="41" t="s">
        <v>118</v>
      </c>
      <c r="D288" s="26" t="s">
        <v>36</v>
      </c>
      <c r="E288" s="26" t="s">
        <v>119</v>
      </c>
      <c r="F288" s="26" t="s">
        <v>91</v>
      </c>
      <c r="G288" s="26" t="s">
        <v>108</v>
      </c>
      <c r="H288" s="26" t="s">
        <v>1657</v>
      </c>
      <c r="I288" s="17">
        <f ca="1">IFERROR(__xludf.DUMMYFUNCTION("""COMPUTED_VALUE"""),45177)</f>
        <v>45177</v>
      </c>
      <c r="J288" s="29" t="s">
        <v>1662</v>
      </c>
      <c r="K288" s="26" t="s">
        <v>1663</v>
      </c>
      <c r="L288" s="30">
        <v>334362815</v>
      </c>
      <c r="M288" s="26" t="s">
        <v>94</v>
      </c>
      <c r="N288" s="26" t="s">
        <v>672</v>
      </c>
      <c r="O288" s="26" t="s">
        <v>91</v>
      </c>
      <c r="P288" s="26" t="s">
        <v>1664</v>
      </c>
      <c r="Q288" s="20">
        <v>13968</v>
      </c>
      <c r="R288" s="26" t="s">
        <v>36</v>
      </c>
      <c r="S288" s="31">
        <v>13968</v>
      </c>
      <c r="T288" s="32">
        <v>45157</v>
      </c>
      <c r="U288" s="31"/>
      <c r="V288" s="26"/>
      <c r="W288" s="33" t="s">
        <v>1665</v>
      </c>
      <c r="X288" s="26">
        <v>0</v>
      </c>
      <c r="Y288" s="22">
        <v>0</v>
      </c>
      <c r="Z288" s="34" t="s">
        <v>50</v>
      </c>
      <c r="AA288" s="19" t="s">
        <v>901</v>
      </c>
      <c r="AB288" s="26" t="s">
        <v>137</v>
      </c>
      <c r="AC288" s="26" t="s">
        <v>53</v>
      </c>
      <c r="AD288" s="19" t="s">
        <v>54</v>
      </c>
      <c r="AE288" s="26">
        <v>520</v>
      </c>
      <c r="AF288" s="17">
        <v>45167</v>
      </c>
      <c r="AG288" s="26"/>
      <c r="AH288" s="26">
        <v>1</v>
      </c>
      <c r="AI288" s="40">
        <v>4</v>
      </c>
      <c r="AJ288" s="26"/>
      <c r="AK288" s="26"/>
      <c r="AL288" s="35"/>
      <c r="AM288" s="35"/>
      <c r="AN288" s="35"/>
      <c r="AO288" s="35"/>
      <c r="AP288" s="35"/>
    </row>
    <row r="289" spans="1:42" x14ac:dyDescent="0.2">
      <c r="A289" s="27">
        <v>45160.048683657413</v>
      </c>
      <c r="B289" s="28" t="s">
        <v>37</v>
      </c>
      <c r="C289" s="41" t="s">
        <v>118</v>
      </c>
      <c r="D289" s="26" t="s">
        <v>36</v>
      </c>
      <c r="E289" s="26" t="s">
        <v>219</v>
      </c>
      <c r="F289" s="26" t="s">
        <v>91</v>
      </c>
      <c r="G289" s="26" t="s">
        <v>221</v>
      </c>
      <c r="H289" s="26" t="s">
        <v>1666</v>
      </c>
      <c r="I289" s="17">
        <f ca="1">IFERROR(__xludf.DUMMYFUNCTION("""COMPUTED_VALUE"""),45177)</f>
        <v>45177</v>
      </c>
      <c r="J289" s="29" t="s">
        <v>1667</v>
      </c>
      <c r="K289" s="26" t="s">
        <v>1668</v>
      </c>
      <c r="L289" s="30">
        <v>916437103</v>
      </c>
      <c r="M289" s="26" t="s">
        <v>112</v>
      </c>
      <c r="N289" s="26" t="s">
        <v>756</v>
      </c>
      <c r="O289" s="26" t="s">
        <v>91</v>
      </c>
      <c r="P289" s="26" t="s">
        <v>1669</v>
      </c>
      <c r="Q289" s="20">
        <v>3968</v>
      </c>
      <c r="R289" s="26" t="s">
        <v>36</v>
      </c>
      <c r="S289" s="31">
        <v>3968</v>
      </c>
      <c r="T289" s="32">
        <v>45156</v>
      </c>
      <c r="U289" s="31"/>
      <c r="V289" s="26"/>
      <c r="W289" s="33" t="s">
        <v>1670</v>
      </c>
      <c r="X289" s="26">
        <v>0</v>
      </c>
      <c r="Y289" s="22">
        <v>0</v>
      </c>
      <c r="Z289" s="34" t="s">
        <v>50</v>
      </c>
      <c r="AA289" s="19" t="s">
        <v>901</v>
      </c>
      <c r="AB289" s="26" t="s">
        <v>104</v>
      </c>
      <c r="AC289" s="26" t="s">
        <v>53</v>
      </c>
      <c r="AD289" s="19" t="s">
        <v>54</v>
      </c>
      <c r="AE289" s="26">
        <v>550</v>
      </c>
      <c r="AF289" s="17">
        <v>45167</v>
      </c>
      <c r="AG289" s="26"/>
      <c r="AH289" s="26">
        <v>1</v>
      </c>
      <c r="AI289" s="40">
        <v>1</v>
      </c>
      <c r="AJ289" s="26"/>
      <c r="AK289" s="26"/>
      <c r="AL289" s="35"/>
      <c r="AM289" s="35"/>
      <c r="AN289" s="35"/>
      <c r="AO289" s="35"/>
      <c r="AP289" s="35"/>
    </row>
    <row r="290" spans="1:42" x14ac:dyDescent="0.2">
      <c r="A290" s="27">
        <v>45160.165744305559</v>
      </c>
      <c r="B290" s="28" t="s">
        <v>37</v>
      </c>
      <c r="C290" s="41" t="s">
        <v>118</v>
      </c>
      <c r="D290" s="26" t="s">
        <v>36</v>
      </c>
      <c r="E290" s="26" t="s">
        <v>106</v>
      </c>
      <c r="F290" s="26" t="s">
        <v>91</v>
      </c>
      <c r="G290" s="26" t="s">
        <v>108</v>
      </c>
      <c r="H290" s="26" t="s">
        <v>1500</v>
      </c>
      <c r="I290" s="17">
        <f ca="1">IFERROR(__xludf.DUMMYFUNCTION("""COMPUTED_VALUE"""),45181)</f>
        <v>45181</v>
      </c>
      <c r="J290" s="29" t="s">
        <v>1671</v>
      </c>
      <c r="K290" s="26" t="s">
        <v>1672</v>
      </c>
      <c r="L290" s="30">
        <v>862437655</v>
      </c>
      <c r="M290" s="26" t="s">
        <v>112</v>
      </c>
      <c r="N290" s="26" t="s">
        <v>1673</v>
      </c>
      <c r="O290" s="26" t="s">
        <v>91</v>
      </c>
      <c r="P290" s="26" t="s">
        <v>1674</v>
      </c>
      <c r="Q290" s="20">
        <v>3768</v>
      </c>
      <c r="R290" s="26" t="s">
        <v>36</v>
      </c>
      <c r="S290" s="31">
        <v>3768</v>
      </c>
      <c r="T290" s="32">
        <v>45160</v>
      </c>
      <c r="U290" s="31"/>
      <c r="V290" s="26"/>
      <c r="W290" s="33" t="s">
        <v>1675</v>
      </c>
      <c r="X290" s="26">
        <v>0</v>
      </c>
      <c r="Y290" s="22">
        <v>0</v>
      </c>
      <c r="Z290" s="34" t="s">
        <v>50</v>
      </c>
      <c r="AA290" s="19" t="s">
        <v>901</v>
      </c>
      <c r="AB290" s="26" t="s">
        <v>137</v>
      </c>
      <c r="AC290" s="26" t="s">
        <v>53</v>
      </c>
      <c r="AD290" s="19" t="s">
        <v>54</v>
      </c>
      <c r="AE290" s="26">
        <v>410</v>
      </c>
      <c r="AF290" s="17">
        <v>45175</v>
      </c>
      <c r="AG290" s="26" t="s">
        <v>1676</v>
      </c>
      <c r="AH290" s="26">
        <v>1</v>
      </c>
      <c r="AI290" s="40">
        <v>1</v>
      </c>
      <c r="AJ290" s="26"/>
      <c r="AK290" s="26"/>
      <c r="AL290" s="35"/>
      <c r="AM290" s="35"/>
      <c r="AN290" s="35"/>
      <c r="AO290" s="35"/>
      <c r="AP290" s="35"/>
    </row>
    <row r="291" spans="1:42" x14ac:dyDescent="0.2">
      <c r="A291" s="27">
        <v>45160.33472831019</v>
      </c>
      <c r="B291" s="28" t="s">
        <v>37</v>
      </c>
      <c r="C291" s="41" t="s">
        <v>118</v>
      </c>
      <c r="D291" s="26" t="s">
        <v>36</v>
      </c>
      <c r="E291" s="26" t="s">
        <v>219</v>
      </c>
      <c r="F291" s="26" t="s">
        <v>1677</v>
      </c>
      <c r="G291" s="26" t="s">
        <v>221</v>
      </c>
      <c r="H291" s="26" t="s">
        <v>1666</v>
      </c>
      <c r="I291" s="17">
        <f ca="1">IFERROR(__xludf.DUMMYFUNCTION("""COMPUTED_VALUE"""),45177)</f>
        <v>45177</v>
      </c>
      <c r="J291" s="29" t="s">
        <v>1678</v>
      </c>
      <c r="K291" s="26" t="s">
        <v>1679</v>
      </c>
      <c r="L291" s="30">
        <v>917056032</v>
      </c>
      <c r="M291" s="26" t="s">
        <v>112</v>
      </c>
      <c r="N291" s="26" t="s">
        <v>578</v>
      </c>
      <c r="O291" s="26" t="s">
        <v>91</v>
      </c>
      <c r="P291" s="26" t="s">
        <v>1680</v>
      </c>
      <c r="Q291" s="20">
        <v>3968</v>
      </c>
      <c r="R291" s="26" t="s">
        <v>36</v>
      </c>
      <c r="S291" s="31">
        <v>1000</v>
      </c>
      <c r="T291" s="32">
        <v>45160</v>
      </c>
      <c r="U291" s="31">
        <v>2868</v>
      </c>
      <c r="V291" s="32">
        <v>45168</v>
      </c>
      <c r="W291" s="26" t="s">
        <v>1681</v>
      </c>
      <c r="X291" s="26">
        <v>100</v>
      </c>
      <c r="Y291" s="22">
        <v>0</v>
      </c>
      <c r="Z291" s="34" t="s">
        <v>50</v>
      </c>
      <c r="AA291" s="19" t="s">
        <v>901</v>
      </c>
      <c r="AB291" s="26" t="s">
        <v>104</v>
      </c>
      <c r="AC291" s="26" t="s">
        <v>53</v>
      </c>
      <c r="AD291" s="19" t="s">
        <v>54</v>
      </c>
      <c r="AE291" s="26">
        <v>555</v>
      </c>
      <c r="AF291" s="17">
        <v>45167</v>
      </c>
      <c r="AG291" s="26"/>
      <c r="AH291" s="26">
        <v>1</v>
      </c>
      <c r="AI291" s="40">
        <v>1</v>
      </c>
      <c r="AJ291" s="26"/>
      <c r="AK291" s="26"/>
      <c r="AL291" s="35"/>
      <c r="AM291" s="35"/>
      <c r="AN291" s="35"/>
      <c r="AO291" s="35"/>
      <c r="AP291" s="35"/>
    </row>
    <row r="292" spans="1:42" x14ac:dyDescent="0.2">
      <c r="A292" s="27">
        <v>45160.34158010417</v>
      </c>
      <c r="B292" s="28" t="s">
        <v>37</v>
      </c>
      <c r="C292" s="41" t="s">
        <v>118</v>
      </c>
      <c r="D292" s="26" t="s">
        <v>36</v>
      </c>
      <c r="E292" s="26" t="s">
        <v>219</v>
      </c>
      <c r="F292" s="26" t="s">
        <v>1677</v>
      </c>
      <c r="G292" s="26" t="s">
        <v>221</v>
      </c>
      <c r="H292" s="26" t="s">
        <v>1666</v>
      </c>
      <c r="I292" s="17">
        <f ca="1">IFERROR(__xludf.DUMMYFUNCTION("""COMPUTED_VALUE"""),45177)</f>
        <v>45177</v>
      </c>
      <c r="J292" s="29" t="s">
        <v>1682</v>
      </c>
      <c r="K292" s="26" t="s">
        <v>1683</v>
      </c>
      <c r="L292" s="30">
        <v>348193188</v>
      </c>
      <c r="M292" s="26" t="s">
        <v>112</v>
      </c>
      <c r="N292" s="26" t="s">
        <v>379</v>
      </c>
      <c r="O292" s="26" t="s">
        <v>91</v>
      </c>
      <c r="P292" s="26" t="s">
        <v>1684</v>
      </c>
      <c r="Q292" s="20">
        <v>3968</v>
      </c>
      <c r="R292" s="26" t="s">
        <v>36</v>
      </c>
      <c r="S292" s="31">
        <v>3868</v>
      </c>
      <c r="T292" s="32">
        <v>45160</v>
      </c>
      <c r="U292" s="31"/>
      <c r="V292" s="26"/>
      <c r="W292" s="33" t="s">
        <v>1685</v>
      </c>
      <c r="X292" s="26">
        <v>100</v>
      </c>
      <c r="Y292" s="22">
        <v>0</v>
      </c>
      <c r="Z292" s="34" t="s">
        <v>50</v>
      </c>
      <c r="AA292" s="19" t="s">
        <v>901</v>
      </c>
      <c r="AB292" s="26" t="s">
        <v>104</v>
      </c>
      <c r="AC292" s="26" t="s">
        <v>53</v>
      </c>
      <c r="AD292" s="19" t="s">
        <v>54</v>
      </c>
      <c r="AE292" s="26">
        <v>520</v>
      </c>
      <c r="AF292" s="17">
        <v>45167</v>
      </c>
      <c r="AG292" s="26"/>
      <c r="AH292" s="26">
        <v>1</v>
      </c>
      <c r="AI292" s="40">
        <v>1</v>
      </c>
      <c r="AJ292" s="26"/>
      <c r="AK292" s="26"/>
      <c r="AL292" s="35"/>
      <c r="AM292" s="35"/>
      <c r="AN292" s="35"/>
      <c r="AO292" s="35"/>
      <c r="AP292" s="35"/>
    </row>
    <row r="293" spans="1:42" x14ac:dyDescent="0.2">
      <c r="A293" s="27">
        <v>45160.413647766203</v>
      </c>
      <c r="B293" s="28" t="s">
        <v>37</v>
      </c>
      <c r="C293" s="41" t="s">
        <v>118</v>
      </c>
      <c r="D293" s="26" t="s">
        <v>36</v>
      </c>
      <c r="E293" s="26" t="s">
        <v>77</v>
      </c>
      <c r="F293" s="26" t="s">
        <v>91</v>
      </c>
      <c r="G293" s="26" t="s">
        <v>41</v>
      </c>
      <c r="H293" s="26" t="s">
        <v>723</v>
      </c>
      <c r="I293" s="17">
        <f ca="1">IFERROR(__xludf.DUMMYFUNCTION("""COMPUTED_VALUE"""),45176)</f>
        <v>45176</v>
      </c>
      <c r="J293" s="29" t="s">
        <v>1686</v>
      </c>
      <c r="K293" s="26" t="s">
        <v>1687</v>
      </c>
      <c r="L293" s="30">
        <v>921370085</v>
      </c>
      <c r="M293" s="26" t="s">
        <v>94</v>
      </c>
      <c r="N293" s="26" t="s">
        <v>1400</v>
      </c>
      <c r="O293" s="26" t="s">
        <v>91</v>
      </c>
      <c r="P293" s="26" t="s">
        <v>1688</v>
      </c>
      <c r="Q293" s="20">
        <v>1968</v>
      </c>
      <c r="R293" s="26" t="s">
        <v>36</v>
      </c>
      <c r="S293" s="31">
        <v>1000</v>
      </c>
      <c r="T293" s="32">
        <v>45152</v>
      </c>
      <c r="U293" s="31">
        <v>968</v>
      </c>
      <c r="V293" s="32">
        <v>45160</v>
      </c>
      <c r="W293" s="26" t="s">
        <v>1689</v>
      </c>
      <c r="X293" s="26">
        <v>0</v>
      </c>
      <c r="Y293" s="22">
        <v>0</v>
      </c>
      <c r="Z293" s="34" t="s">
        <v>50</v>
      </c>
      <c r="AA293" s="19" t="s">
        <v>901</v>
      </c>
      <c r="AB293" s="26" t="s">
        <v>104</v>
      </c>
      <c r="AC293" s="26" t="s">
        <v>53</v>
      </c>
      <c r="AD293" s="19" t="s">
        <v>138</v>
      </c>
      <c r="AE293" s="26" t="s">
        <v>1327</v>
      </c>
      <c r="AF293" s="17">
        <v>45176</v>
      </c>
      <c r="AG293" s="26" t="s">
        <v>1391</v>
      </c>
      <c r="AH293" s="26">
        <v>1</v>
      </c>
      <c r="AI293" s="40" t="s">
        <v>84</v>
      </c>
      <c r="AJ293" s="26"/>
      <c r="AK293" s="26"/>
      <c r="AL293" s="35"/>
      <c r="AM293" s="35"/>
      <c r="AN293" s="35"/>
      <c r="AO293" s="35"/>
      <c r="AP293" s="35"/>
    </row>
    <row r="294" spans="1:42" x14ac:dyDescent="0.2">
      <c r="A294" s="27">
        <v>45160.416507650458</v>
      </c>
      <c r="B294" s="28" t="s">
        <v>37</v>
      </c>
      <c r="C294" s="41" t="s">
        <v>118</v>
      </c>
      <c r="D294" s="26" t="s">
        <v>36</v>
      </c>
      <c r="E294" s="26" t="s">
        <v>77</v>
      </c>
      <c r="F294" s="26" t="s">
        <v>36</v>
      </c>
      <c r="G294" s="26" t="s">
        <v>41</v>
      </c>
      <c r="H294" s="26" t="s">
        <v>723</v>
      </c>
      <c r="I294" s="17">
        <f ca="1">IFERROR(__xludf.DUMMYFUNCTION("""COMPUTED_VALUE"""),45176)</f>
        <v>45176</v>
      </c>
      <c r="J294" s="29" t="s">
        <v>1690</v>
      </c>
      <c r="K294" s="26" t="s">
        <v>1691</v>
      </c>
      <c r="L294" s="30">
        <v>372759439</v>
      </c>
      <c r="M294" s="26" t="s">
        <v>94</v>
      </c>
      <c r="N294" s="26" t="s">
        <v>1400</v>
      </c>
      <c r="O294" s="26" t="s">
        <v>91</v>
      </c>
      <c r="P294" s="26" t="s">
        <v>1688</v>
      </c>
      <c r="Q294" s="20">
        <v>1968</v>
      </c>
      <c r="R294" s="26" t="s">
        <v>36</v>
      </c>
      <c r="S294" s="31">
        <v>1000</v>
      </c>
      <c r="T294" s="32">
        <v>45152</v>
      </c>
      <c r="U294" s="31">
        <v>968</v>
      </c>
      <c r="V294" s="32">
        <v>45160</v>
      </c>
      <c r="W294" s="26" t="s">
        <v>1692</v>
      </c>
      <c r="X294" s="26">
        <v>0</v>
      </c>
      <c r="Y294" s="22">
        <v>0</v>
      </c>
      <c r="Z294" s="34" t="s">
        <v>50</v>
      </c>
      <c r="AA294" s="19" t="s">
        <v>901</v>
      </c>
      <c r="AB294" s="26" t="s">
        <v>104</v>
      </c>
      <c r="AC294" s="26" t="s">
        <v>53</v>
      </c>
      <c r="AD294" s="19" t="s">
        <v>138</v>
      </c>
      <c r="AE294" s="26" t="s">
        <v>1327</v>
      </c>
      <c r="AF294" s="17">
        <v>45176</v>
      </c>
      <c r="AG294" s="26" t="s">
        <v>1391</v>
      </c>
      <c r="AH294" s="26">
        <v>1</v>
      </c>
      <c r="AI294" s="40" t="s">
        <v>84</v>
      </c>
      <c r="AJ294" s="26"/>
      <c r="AK294" s="26"/>
      <c r="AL294" s="35"/>
      <c r="AM294" s="35"/>
      <c r="AN294" s="35"/>
      <c r="AO294" s="35"/>
      <c r="AP294" s="35"/>
    </row>
    <row r="295" spans="1:42" x14ac:dyDescent="0.2">
      <c r="A295" s="27">
        <v>45160.560843692132</v>
      </c>
      <c r="B295" s="28" t="s">
        <v>37</v>
      </c>
      <c r="C295" s="41" t="s">
        <v>118</v>
      </c>
      <c r="D295" s="26" t="s">
        <v>36</v>
      </c>
      <c r="E295" s="26" t="s">
        <v>106</v>
      </c>
      <c r="F295" s="26" t="s">
        <v>91</v>
      </c>
      <c r="G295" s="26" t="s">
        <v>108</v>
      </c>
      <c r="H295" s="26" t="s">
        <v>1544</v>
      </c>
      <c r="I295" s="17">
        <f ca="1">IFERROR(__xludf.DUMMYFUNCTION("""COMPUTED_VALUE"""),45168)</f>
        <v>45168</v>
      </c>
      <c r="J295" s="29" t="s">
        <v>1693</v>
      </c>
      <c r="K295" s="26" t="s">
        <v>1694</v>
      </c>
      <c r="L295" s="30">
        <v>812123425</v>
      </c>
      <c r="M295" s="26" t="s">
        <v>391</v>
      </c>
      <c r="N295" s="26" t="s">
        <v>584</v>
      </c>
      <c r="O295" s="26" t="s">
        <v>1695</v>
      </c>
      <c r="P295" s="26" t="s">
        <v>1696</v>
      </c>
      <c r="Q295" s="20">
        <v>3768</v>
      </c>
      <c r="R295" s="26" t="s">
        <v>36</v>
      </c>
      <c r="S295" s="31">
        <v>3768</v>
      </c>
      <c r="T295" s="32">
        <v>45160</v>
      </c>
      <c r="U295" s="31"/>
      <c r="V295" s="26"/>
      <c r="W295" s="33" t="s">
        <v>1697</v>
      </c>
      <c r="X295" s="26">
        <v>0</v>
      </c>
      <c r="Y295" s="22">
        <v>0</v>
      </c>
      <c r="Z295" s="34" t="s">
        <v>50</v>
      </c>
      <c r="AA295" s="19" t="s">
        <v>901</v>
      </c>
      <c r="AB295" s="26" t="s">
        <v>146</v>
      </c>
      <c r="AC295" s="26" t="s">
        <v>53</v>
      </c>
      <c r="AD295" s="19" t="s">
        <v>54</v>
      </c>
      <c r="AE295" s="26"/>
      <c r="AF295" s="17">
        <v>45161</v>
      </c>
      <c r="AG295" s="26"/>
      <c r="AH295" s="26">
        <v>1</v>
      </c>
      <c r="AI295" s="40">
        <v>1</v>
      </c>
      <c r="AJ295" s="26"/>
      <c r="AK295" s="26"/>
      <c r="AL295" s="35"/>
      <c r="AM295" s="35"/>
      <c r="AN295" s="35"/>
      <c r="AO295" s="35"/>
      <c r="AP295" s="35"/>
    </row>
    <row r="296" spans="1:42" x14ac:dyDescent="0.2">
      <c r="A296" s="27">
        <v>45161.120575266206</v>
      </c>
      <c r="B296" s="28" t="s">
        <v>37</v>
      </c>
      <c r="C296" s="41" t="s">
        <v>118</v>
      </c>
      <c r="D296" s="26" t="s">
        <v>36</v>
      </c>
      <c r="E296" s="26" t="s">
        <v>77</v>
      </c>
      <c r="F296" s="26" t="s">
        <v>36</v>
      </c>
      <c r="G296" s="26" t="s">
        <v>41</v>
      </c>
      <c r="H296" s="26" t="s">
        <v>723</v>
      </c>
      <c r="I296" s="17">
        <f ca="1">IFERROR(__xludf.DUMMYFUNCTION("""COMPUTED_VALUE"""),45176)</f>
        <v>45176</v>
      </c>
      <c r="J296" s="29" t="s">
        <v>1698</v>
      </c>
      <c r="K296" s="26" t="s">
        <v>1699</v>
      </c>
      <c r="L296" s="30">
        <v>328027164</v>
      </c>
      <c r="M296" s="26" t="s">
        <v>80</v>
      </c>
      <c r="N296" s="26" t="s">
        <v>81</v>
      </c>
      <c r="O296" s="26" t="s">
        <v>1700</v>
      </c>
      <c r="P296" s="26" t="s">
        <v>1701</v>
      </c>
      <c r="Q296" s="20">
        <v>1968</v>
      </c>
      <c r="R296" s="26" t="s">
        <v>36</v>
      </c>
      <c r="S296" s="31">
        <v>1968</v>
      </c>
      <c r="T296" s="32">
        <v>45161</v>
      </c>
      <c r="U296" s="31"/>
      <c r="V296" s="26"/>
      <c r="W296" s="33" t="s">
        <v>1702</v>
      </c>
      <c r="X296" s="26">
        <v>0</v>
      </c>
      <c r="Y296" s="22">
        <v>0</v>
      </c>
      <c r="Z296" s="34" t="s">
        <v>50</v>
      </c>
      <c r="AA296" s="19" t="s">
        <v>901</v>
      </c>
      <c r="AB296" s="26" t="s">
        <v>104</v>
      </c>
      <c r="AC296" s="26" t="s">
        <v>53</v>
      </c>
      <c r="AD296" s="19" t="s">
        <v>138</v>
      </c>
      <c r="AE296" s="26">
        <v>0</v>
      </c>
      <c r="AF296" s="17">
        <v>45176</v>
      </c>
      <c r="AG296" s="26" t="s">
        <v>1391</v>
      </c>
      <c r="AH296" s="26">
        <v>1</v>
      </c>
      <c r="AI296" s="40" t="s">
        <v>84</v>
      </c>
      <c r="AJ296" s="26"/>
      <c r="AK296" s="26"/>
      <c r="AL296" s="35"/>
      <c r="AM296" s="35"/>
      <c r="AN296" s="35"/>
      <c r="AO296" s="35"/>
      <c r="AP296" s="35"/>
    </row>
    <row r="297" spans="1:42" x14ac:dyDescent="0.2">
      <c r="A297" s="27">
        <v>45161.344824479165</v>
      </c>
      <c r="B297" s="28" t="s">
        <v>1703</v>
      </c>
      <c r="C297" s="41" t="s">
        <v>118</v>
      </c>
      <c r="D297" s="26" t="s">
        <v>56</v>
      </c>
      <c r="E297" s="26" t="s">
        <v>1704</v>
      </c>
      <c r="F297" s="26" t="s">
        <v>289</v>
      </c>
      <c r="G297" s="26" t="s">
        <v>1705</v>
      </c>
      <c r="H297" s="35" t="s">
        <v>865</v>
      </c>
      <c r="I297" s="17" t="str">
        <f ca="1">IFERROR(__xludf.DUMMYFUNCTION("""COMPUTED_VALUE""")," ")</f>
        <v xml:space="preserve"> </v>
      </c>
      <c r="J297" s="44" t="s">
        <v>958</v>
      </c>
      <c r="K297" s="19" t="s">
        <v>959</v>
      </c>
      <c r="L297" s="30">
        <v>987583839</v>
      </c>
      <c r="M297" s="26" t="s">
        <v>123</v>
      </c>
      <c r="N297" s="26" t="s">
        <v>310</v>
      </c>
      <c r="O297" s="26" t="s">
        <v>1226</v>
      </c>
      <c r="P297" s="26" t="s">
        <v>960</v>
      </c>
      <c r="Q297" s="20">
        <v>7729</v>
      </c>
      <c r="R297" s="26" t="s">
        <v>36</v>
      </c>
      <c r="S297" s="31">
        <v>6619</v>
      </c>
      <c r="T297" s="32">
        <v>45160</v>
      </c>
      <c r="U297" s="31"/>
      <c r="V297" s="16" t="s">
        <v>820</v>
      </c>
      <c r="W297" s="33" t="s">
        <v>1706</v>
      </c>
      <c r="X297" s="26">
        <v>100</v>
      </c>
      <c r="Y297" s="22">
        <v>1010</v>
      </c>
      <c r="Z297" s="34" t="s">
        <v>50</v>
      </c>
      <c r="AA297" s="19" t="s">
        <v>901</v>
      </c>
      <c r="AB297" s="26"/>
      <c r="AC297" s="26" t="s">
        <v>53</v>
      </c>
      <c r="AD297" s="19" t="s">
        <v>54</v>
      </c>
      <c r="AE297" s="26"/>
      <c r="AF297" s="60"/>
      <c r="AG297" s="26"/>
      <c r="AH297" s="26">
        <v>3</v>
      </c>
      <c r="AI297" s="40">
        <v>2</v>
      </c>
      <c r="AJ297" s="26"/>
      <c r="AK297" s="26"/>
      <c r="AL297" s="35"/>
      <c r="AM297" s="35"/>
      <c r="AN297" s="35"/>
      <c r="AO297" s="35"/>
      <c r="AP297" s="35"/>
    </row>
    <row r="298" spans="1:42" x14ac:dyDescent="0.2">
      <c r="A298" s="27">
        <v>45161.347982858795</v>
      </c>
      <c r="B298" s="28" t="s">
        <v>1703</v>
      </c>
      <c r="C298" s="41" t="s">
        <v>118</v>
      </c>
      <c r="D298" s="26" t="s">
        <v>56</v>
      </c>
      <c r="E298" s="26" t="s">
        <v>1704</v>
      </c>
      <c r="F298" s="26" t="s">
        <v>36</v>
      </c>
      <c r="G298" s="26" t="s">
        <v>1705</v>
      </c>
      <c r="H298" s="35" t="s">
        <v>865</v>
      </c>
      <c r="I298" s="17" t="str">
        <f ca="1">IFERROR(__xludf.DUMMYFUNCTION("""COMPUTED_VALUE""")," ")</f>
        <v xml:space="preserve"> </v>
      </c>
      <c r="J298" s="29" t="s">
        <v>968</v>
      </c>
      <c r="K298" s="19" t="s">
        <v>1707</v>
      </c>
      <c r="L298" s="30">
        <v>964458478</v>
      </c>
      <c r="M298" s="26" t="s">
        <v>123</v>
      </c>
      <c r="N298" s="26" t="s">
        <v>310</v>
      </c>
      <c r="O298" s="26" t="s">
        <v>970</v>
      </c>
      <c r="P298" s="26" t="s">
        <v>1708</v>
      </c>
      <c r="Q298" s="20">
        <v>7729</v>
      </c>
      <c r="R298" s="26" t="s">
        <v>36</v>
      </c>
      <c r="S298" s="31">
        <v>6586</v>
      </c>
      <c r="T298" s="32">
        <v>45161</v>
      </c>
      <c r="U298" s="31"/>
      <c r="V298" s="16" t="s">
        <v>820</v>
      </c>
      <c r="W298" s="33" t="s">
        <v>1709</v>
      </c>
      <c r="X298" s="26">
        <v>100</v>
      </c>
      <c r="Y298" s="22">
        <v>1043</v>
      </c>
      <c r="Z298" s="34" t="s">
        <v>50</v>
      </c>
      <c r="AA298" s="19" t="s">
        <v>901</v>
      </c>
      <c r="AB298" s="26"/>
      <c r="AC298" s="26" t="s">
        <v>53</v>
      </c>
      <c r="AD298" s="19" t="s">
        <v>54</v>
      </c>
      <c r="AE298" s="26"/>
      <c r="AF298" s="60"/>
      <c r="AG298" s="26"/>
      <c r="AH298" s="26">
        <v>2</v>
      </c>
      <c r="AI298" s="40">
        <v>2</v>
      </c>
      <c r="AJ298" s="26"/>
      <c r="AK298" s="26"/>
      <c r="AL298" s="35"/>
      <c r="AM298" s="35"/>
      <c r="AN298" s="35"/>
      <c r="AO298" s="35"/>
      <c r="AP298" s="35"/>
    </row>
    <row r="299" spans="1:42" x14ac:dyDescent="0.2">
      <c r="A299" s="27">
        <v>45161.50096730324</v>
      </c>
      <c r="B299" s="28" t="s">
        <v>37</v>
      </c>
      <c r="C299" s="41" t="s">
        <v>118</v>
      </c>
      <c r="D299" s="26" t="s">
        <v>36</v>
      </c>
      <c r="E299" s="26" t="s">
        <v>106</v>
      </c>
      <c r="F299" s="26" t="s">
        <v>1555</v>
      </c>
      <c r="G299" s="26" t="s">
        <v>108</v>
      </c>
      <c r="H299" s="26" t="s">
        <v>1710</v>
      </c>
      <c r="I299" s="17">
        <f ca="1">IFERROR(__xludf.DUMMYFUNCTION("""COMPUTED_VALUE"""),45293)</f>
        <v>45293</v>
      </c>
      <c r="J299" s="29" t="s">
        <v>1711</v>
      </c>
      <c r="K299" s="26" t="s">
        <v>1712</v>
      </c>
      <c r="L299" s="30">
        <v>784956253</v>
      </c>
      <c r="M299" s="26" t="s">
        <v>112</v>
      </c>
      <c r="N299" s="26" t="s">
        <v>193</v>
      </c>
      <c r="O299" s="26" t="s">
        <v>91</v>
      </c>
      <c r="P299" s="26" t="s">
        <v>1713</v>
      </c>
      <c r="Q299" s="20">
        <v>3768</v>
      </c>
      <c r="R299" s="26" t="s">
        <v>36</v>
      </c>
      <c r="S299" s="31">
        <v>3668</v>
      </c>
      <c r="T299" s="32">
        <v>45160</v>
      </c>
      <c r="U299" s="31"/>
      <c r="V299" s="26"/>
      <c r="W299" s="33" t="s">
        <v>1714</v>
      </c>
      <c r="X299" s="26">
        <v>100</v>
      </c>
      <c r="Y299" s="22">
        <v>0</v>
      </c>
      <c r="Z299" s="34" t="s">
        <v>50</v>
      </c>
      <c r="AA299" s="19" t="s">
        <v>901</v>
      </c>
      <c r="AB299" s="26" t="s">
        <v>137</v>
      </c>
      <c r="AC299" s="26" t="s">
        <v>53</v>
      </c>
      <c r="AD299" s="19" t="s">
        <v>54</v>
      </c>
      <c r="AE299" s="26">
        <v>60</v>
      </c>
      <c r="AF299" s="17">
        <v>45167</v>
      </c>
      <c r="AG299" s="26" t="s">
        <v>1715</v>
      </c>
      <c r="AH299" s="26">
        <v>1</v>
      </c>
      <c r="AI299" s="40">
        <v>1</v>
      </c>
      <c r="AJ299" s="26"/>
      <c r="AK299" s="26"/>
      <c r="AL299" s="35"/>
      <c r="AM299" s="35"/>
      <c r="AN299" s="35"/>
      <c r="AO299" s="35"/>
      <c r="AP299" s="35"/>
    </row>
    <row r="300" spans="1:42" x14ac:dyDescent="0.2">
      <c r="A300" s="27">
        <v>45161.662179293984</v>
      </c>
      <c r="B300" s="28" t="s">
        <v>37</v>
      </c>
      <c r="C300" s="41" t="s">
        <v>118</v>
      </c>
      <c r="D300" s="26" t="s">
        <v>36</v>
      </c>
      <c r="E300" s="26" t="s">
        <v>39</v>
      </c>
      <c r="F300" s="26" t="s">
        <v>36</v>
      </c>
      <c r="G300" s="26" t="s">
        <v>41</v>
      </c>
      <c r="H300" s="26" t="s">
        <v>1229</v>
      </c>
      <c r="I300" s="17">
        <f ca="1">IFERROR(__xludf.DUMMYFUNCTION("""COMPUTED_VALUE"""),45176)</f>
        <v>45176</v>
      </c>
      <c r="J300" s="29" t="s">
        <v>1716</v>
      </c>
      <c r="K300" s="26" t="s">
        <v>1717</v>
      </c>
      <c r="L300" s="30">
        <v>386723964</v>
      </c>
      <c r="M300" s="26" t="s">
        <v>59</v>
      </c>
      <c r="N300" s="26" t="s">
        <v>60</v>
      </c>
      <c r="O300" s="26" t="s">
        <v>1718</v>
      </c>
      <c r="P300" s="26" t="s">
        <v>1719</v>
      </c>
      <c r="Q300" s="20">
        <v>5736</v>
      </c>
      <c r="R300" s="26" t="s">
        <v>36</v>
      </c>
      <c r="S300" s="31">
        <v>5736</v>
      </c>
      <c r="T300" s="32">
        <v>45161</v>
      </c>
      <c r="U300" s="31"/>
      <c r="V300" s="26"/>
      <c r="W300" s="33" t="s">
        <v>1720</v>
      </c>
      <c r="X300" s="26">
        <v>0</v>
      </c>
      <c r="Y300" s="22">
        <v>0</v>
      </c>
      <c r="Z300" s="34" t="s">
        <v>50</v>
      </c>
      <c r="AA300" s="19" t="s">
        <v>901</v>
      </c>
      <c r="AB300" s="26" t="s">
        <v>128</v>
      </c>
      <c r="AC300" s="26" t="s">
        <v>53</v>
      </c>
      <c r="AD300" s="19" t="s">
        <v>54</v>
      </c>
      <c r="AE300" s="26" t="s">
        <v>264</v>
      </c>
      <c r="AF300" s="17">
        <v>45167</v>
      </c>
      <c r="AG300" s="26"/>
      <c r="AH300" s="26">
        <v>1</v>
      </c>
      <c r="AI300" s="40" t="s">
        <v>55</v>
      </c>
      <c r="AJ300" s="26"/>
      <c r="AK300" s="26"/>
      <c r="AL300" s="35"/>
      <c r="AM300" s="35"/>
      <c r="AN300" s="35"/>
      <c r="AO300" s="35"/>
      <c r="AP300" s="35"/>
    </row>
    <row r="301" spans="1:42" x14ac:dyDescent="0.2">
      <c r="A301" s="27">
        <v>45161.687208599542</v>
      </c>
      <c r="B301" s="68" t="s">
        <v>37</v>
      </c>
      <c r="C301" s="41" t="s">
        <v>118</v>
      </c>
      <c r="D301" s="26" t="s">
        <v>36</v>
      </c>
      <c r="E301" s="26" t="s">
        <v>106</v>
      </c>
      <c r="F301" s="26" t="s">
        <v>40</v>
      </c>
      <c r="G301" s="26" t="s">
        <v>108</v>
      </c>
      <c r="H301" s="26" t="s">
        <v>1721</v>
      </c>
      <c r="I301" s="17">
        <f ca="1">IFERROR(__xludf.DUMMYFUNCTION("""COMPUTED_VALUE"""),45189)</f>
        <v>45189</v>
      </c>
      <c r="J301" s="29" t="s">
        <v>1722</v>
      </c>
      <c r="K301" s="26" t="s">
        <v>1723</v>
      </c>
      <c r="L301" s="30">
        <v>974082976</v>
      </c>
      <c r="M301" s="26" t="s">
        <v>45</v>
      </c>
      <c r="N301" s="26" t="s">
        <v>1606</v>
      </c>
      <c r="O301" s="26" t="s">
        <v>1724</v>
      </c>
      <c r="P301" s="26" t="s">
        <v>1725</v>
      </c>
      <c r="Q301" s="20">
        <v>3768</v>
      </c>
      <c r="R301" s="26" t="s">
        <v>36</v>
      </c>
      <c r="S301" s="31">
        <v>3768</v>
      </c>
      <c r="T301" s="32">
        <v>45161</v>
      </c>
      <c r="U301" s="31"/>
      <c r="V301" s="26"/>
      <c r="W301" s="33" t="s">
        <v>1726</v>
      </c>
      <c r="X301" s="26">
        <v>0</v>
      </c>
      <c r="Y301" s="22">
        <v>0</v>
      </c>
      <c r="Z301" s="34" t="s">
        <v>50</v>
      </c>
      <c r="AA301" s="19" t="s">
        <v>901</v>
      </c>
      <c r="AB301" s="26" t="s">
        <v>128</v>
      </c>
      <c r="AC301" s="26" t="s">
        <v>53</v>
      </c>
      <c r="AD301" s="19" t="s">
        <v>54</v>
      </c>
      <c r="AE301" s="26">
        <v>380</v>
      </c>
      <c r="AF301" s="17">
        <v>45177</v>
      </c>
      <c r="AG301" s="26" t="s">
        <v>1727</v>
      </c>
      <c r="AH301" s="26">
        <v>1</v>
      </c>
      <c r="AI301" s="40">
        <v>1</v>
      </c>
      <c r="AJ301" s="26"/>
      <c r="AK301" s="26"/>
      <c r="AL301" s="35"/>
      <c r="AM301" s="35"/>
      <c r="AN301" s="35"/>
      <c r="AO301" s="35"/>
      <c r="AP301" s="35"/>
    </row>
    <row r="302" spans="1:42" x14ac:dyDescent="0.2">
      <c r="A302" s="27">
        <v>45162.162897291666</v>
      </c>
      <c r="B302" s="28" t="s">
        <v>37</v>
      </c>
      <c r="C302" s="41" t="s">
        <v>118</v>
      </c>
      <c r="D302" s="26" t="s">
        <v>36</v>
      </c>
      <c r="E302" s="26" t="s">
        <v>77</v>
      </c>
      <c r="F302" s="26" t="s">
        <v>91</v>
      </c>
      <c r="G302" s="26" t="s">
        <v>41</v>
      </c>
      <c r="H302" s="26" t="s">
        <v>1229</v>
      </c>
      <c r="I302" s="17">
        <f ca="1">IFERROR(__xludf.DUMMYFUNCTION("""COMPUTED_VALUE"""),45176)</f>
        <v>45176</v>
      </c>
      <c r="J302" s="29" t="s">
        <v>1728</v>
      </c>
      <c r="K302" s="26" t="s">
        <v>1729</v>
      </c>
      <c r="L302" s="30">
        <v>969465735</v>
      </c>
      <c r="M302" s="26" t="s">
        <v>548</v>
      </c>
      <c r="N302" s="26" t="s">
        <v>621</v>
      </c>
      <c r="O302" s="26" t="s">
        <v>1730</v>
      </c>
      <c r="P302" s="26" t="s">
        <v>1731</v>
      </c>
      <c r="Q302" s="20">
        <v>1968</v>
      </c>
      <c r="R302" s="26" t="s">
        <v>36</v>
      </c>
      <c r="S302" s="31">
        <v>1968</v>
      </c>
      <c r="T302" s="32">
        <v>45162</v>
      </c>
      <c r="U302" s="31"/>
      <c r="V302" s="26"/>
      <c r="W302" s="33" t="s">
        <v>1732</v>
      </c>
      <c r="X302" s="26">
        <v>0</v>
      </c>
      <c r="Y302" s="22">
        <v>0</v>
      </c>
      <c r="Z302" s="34" t="s">
        <v>50</v>
      </c>
      <c r="AA302" s="19" t="s">
        <v>901</v>
      </c>
      <c r="AB302" s="26" t="s">
        <v>104</v>
      </c>
      <c r="AC302" s="26" t="s">
        <v>53</v>
      </c>
      <c r="AD302" s="19" t="s">
        <v>54</v>
      </c>
      <c r="AE302" s="26" t="s">
        <v>76</v>
      </c>
      <c r="AF302" s="17">
        <v>45167</v>
      </c>
      <c r="AG302" s="26"/>
      <c r="AH302" s="26">
        <v>1</v>
      </c>
      <c r="AI302" s="40" t="s">
        <v>84</v>
      </c>
      <c r="AJ302" s="26"/>
      <c r="AK302" s="26"/>
      <c r="AL302" s="35"/>
      <c r="AM302" s="35"/>
      <c r="AN302" s="35"/>
      <c r="AO302" s="35"/>
      <c r="AP302" s="35"/>
    </row>
    <row r="303" spans="1:42" x14ac:dyDescent="0.2">
      <c r="A303" s="27">
        <v>45162.640556493054</v>
      </c>
      <c r="B303" s="28" t="s">
        <v>37</v>
      </c>
      <c r="C303" s="41" t="s">
        <v>118</v>
      </c>
      <c r="D303" s="26" t="s">
        <v>36</v>
      </c>
      <c r="E303" s="26" t="s">
        <v>56</v>
      </c>
      <c r="F303" s="26" t="s">
        <v>36</v>
      </c>
      <c r="G303" s="26" t="s">
        <v>41</v>
      </c>
      <c r="H303" s="26" t="s">
        <v>1733</v>
      </c>
      <c r="I303" s="17">
        <f ca="1">IFERROR(__xludf.DUMMYFUNCTION("""COMPUTED_VALUE"""),45275)</f>
        <v>45275</v>
      </c>
      <c r="J303" s="29" t="s">
        <v>1734</v>
      </c>
      <c r="K303" s="26" t="s">
        <v>1735</v>
      </c>
      <c r="L303" s="30">
        <v>332536651</v>
      </c>
      <c r="M303" s="26" t="s">
        <v>59</v>
      </c>
      <c r="N303" s="26" t="s">
        <v>438</v>
      </c>
      <c r="O303" s="26" t="s">
        <v>1736</v>
      </c>
      <c r="P303" s="26" t="s">
        <v>1737</v>
      </c>
      <c r="Q303" s="20">
        <v>9317</v>
      </c>
      <c r="R303" s="26" t="s">
        <v>36</v>
      </c>
      <c r="S303" s="31">
        <v>9317</v>
      </c>
      <c r="T303" s="32">
        <v>45162</v>
      </c>
      <c r="U303" s="31"/>
      <c r="V303" s="26"/>
      <c r="W303" s="55" t="s">
        <v>1738</v>
      </c>
      <c r="X303" s="26">
        <v>0</v>
      </c>
      <c r="Y303" s="22">
        <v>0</v>
      </c>
      <c r="Z303" s="34" t="s">
        <v>50</v>
      </c>
      <c r="AA303" s="19" t="s">
        <v>901</v>
      </c>
      <c r="AB303" s="26" t="s">
        <v>154</v>
      </c>
      <c r="AC303" s="26" t="s">
        <v>53</v>
      </c>
      <c r="AD303" s="19" t="s">
        <v>54</v>
      </c>
      <c r="AE303" s="26" t="s">
        <v>76</v>
      </c>
      <c r="AF303" s="17">
        <v>45167</v>
      </c>
      <c r="AG303" s="42" t="s">
        <v>1739</v>
      </c>
      <c r="AH303" s="26">
        <v>1</v>
      </c>
      <c r="AI303" s="40" t="s">
        <v>64</v>
      </c>
      <c r="AJ303" s="26"/>
      <c r="AK303" s="26"/>
      <c r="AL303" s="35"/>
      <c r="AM303" s="35"/>
      <c r="AN303" s="35"/>
      <c r="AO303" s="35"/>
      <c r="AP303" s="35"/>
    </row>
    <row r="304" spans="1:42" x14ac:dyDescent="0.2">
      <c r="A304" s="27">
        <v>45163.046048935183</v>
      </c>
      <c r="B304" s="28" t="s">
        <v>37</v>
      </c>
      <c r="C304" s="41" t="s">
        <v>118</v>
      </c>
      <c r="D304" s="26" t="s">
        <v>36</v>
      </c>
      <c r="E304" s="26" t="s">
        <v>148</v>
      </c>
      <c r="F304" s="26" t="s">
        <v>178</v>
      </c>
      <c r="G304" s="26" t="s">
        <v>108</v>
      </c>
      <c r="H304" s="26" t="s">
        <v>882</v>
      </c>
      <c r="I304" s="17">
        <f ca="1">IFERROR(__xludf.DUMMYFUNCTION("""COMPUTED_VALUE"""),45180)</f>
        <v>45180</v>
      </c>
      <c r="J304" s="29" t="s">
        <v>1740</v>
      </c>
      <c r="K304" s="26" t="s">
        <v>1741</v>
      </c>
      <c r="L304" s="30">
        <v>389288483</v>
      </c>
      <c r="M304" s="26" t="s">
        <v>112</v>
      </c>
      <c r="N304" s="26" t="s">
        <v>1742</v>
      </c>
      <c r="O304" s="26" t="s">
        <v>1743</v>
      </c>
      <c r="P304" s="26" t="s">
        <v>1744</v>
      </c>
      <c r="Q304" s="20">
        <v>7349</v>
      </c>
      <c r="R304" s="26" t="s">
        <v>36</v>
      </c>
      <c r="S304" s="31">
        <v>7349</v>
      </c>
      <c r="T304" s="32">
        <v>45162</v>
      </c>
      <c r="U304" s="31"/>
      <c r="V304" s="26"/>
      <c r="W304" s="33" t="s">
        <v>1745</v>
      </c>
      <c r="X304" s="26">
        <v>100</v>
      </c>
      <c r="Y304" s="22">
        <v>-100</v>
      </c>
      <c r="Z304" s="34" t="s">
        <v>50</v>
      </c>
      <c r="AA304" s="19" t="s">
        <v>901</v>
      </c>
      <c r="AB304" s="26" t="s">
        <v>128</v>
      </c>
      <c r="AC304" s="26" t="s">
        <v>53</v>
      </c>
      <c r="AD304" s="19" t="s">
        <v>54</v>
      </c>
      <c r="AE304" s="26" t="s">
        <v>1746</v>
      </c>
      <c r="AF304" s="17">
        <v>45167</v>
      </c>
      <c r="AG304" s="26" t="s">
        <v>1747</v>
      </c>
      <c r="AH304" s="26">
        <v>2</v>
      </c>
      <c r="AI304" s="40">
        <v>2</v>
      </c>
      <c r="AJ304" s="26"/>
      <c r="AK304" s="26"/>
      <c r="AL304" s="35"/>
      <c r="AM304" s="35"/>
      <c r="AN304" s="35"/>
      <c r="AO304" s="35"/>
      <c r="AP304" s="35"/>
    </row>
    <row r="305" spans="1:42" x14ac:dyDescent="0.2">
      <c r="A305" s="27">
        <v>45163.049455162036</v>
      </c>
      <c r="B305" s="28" t="s">
        <v>37</v>
      </c>
      <c r="C305" s="41" t="s">
        <v>118</v>
      </c>
      <c r="D305" s="26" t="s">
        <v>36</v>
      </c>
      <c r="E305" s="26" t="s">
        <v>106</v>
      </c>
      <c r="F305" s="26" t="s">
        <v>257</v>
      </c>
      <c r="G305" s="26" t="s">
        <v>108</v>
      </c>
      <c r="H305" s="35" t="s">
        <v>1748</v>
      </c>
      <c r="I305" s="17">
        <f ca="1">IFERROR(__xludf.DUMMYFUNCTION("""COMPUTED_VALUE"""),45190)</f>
        <v>45190</v>
      </c>
      <c r="J305" s="29" t="s">
        <v>1749</v>
      </c>
      <c r="K305" s="26" t="s">
        <v>270</v>
      </c>
      <c r="L305" s="30">
        <v>946632262</v>
      </c>
      <c r="M305" s="26" t="s">
        <v>112</v>
      </c>
      <c r="N305" s="26" t="s">
        <v>1750</v>
      </c>
      <c r="O305" s="26" t="s">
        <v>91</v>
      </c>
      <c r="P305" s="26" t="s">
        <v>1751</v>
      </c>
      <c r="Q305" s="20">
        <v>3768</v>
      </c>
      <c r="R305" s="26" t="s">
        <v>36</v>
      </c>
      <c r="S305" s="31">
        <v>3668</v>
      </c>
      <c r="T305" s="32">
        <v>45162</v>
      </c>
      <c r="U305" s="31"/>
      <c r="V305" s="26"/>
      <c r="W305" s="33" t="s">
        <v>1752</v>
      </c>
      <c r="X305" s="26">
        <v>100</v>
      </c>
      <c r="Y305" s="22">
        <v>0</v>
      </c>
      <c r="Z305" s="34" t="s">
        <v>50</v>
      </c>
      <c r="AA305" s="19" t="s">
        <v>901</v>
      </c>
      <c r="AB305" s="26" t="s">
        <v>128</v>
      </c>
      <c r="AC305" s="26" t="s">
        <v>53</v>
      </c>
      <c r="AD305" s="19" t="s">
        <v>54</v>
      </c>
      <c r="AE305" s="26" t="s">
        <v>1753</v>
      </c>
      <c r="AF305" s="17">
        <v>45181</v>
      </c>
      <c r="AG305" s="26"/>
      <c r="AH305" s="26">
        <v>2</v>
      </c>
      <c r="AI305" s="40">
        <v>1</v>
      </c>
      <c r="AJ305" s="26"/>
      <c r="AK305" s="26"/>
      <c r="AL305" s="35"/>
      <c r="AM305" s="35"/>
      <c r="AN305" s="35"/>
      <c r="AO305" s="35"/>
      <c r="AP305" s="35"/>
    </row>
    <row r="306" spans="1:42" x14ac:dyDescent="0.2">
      <c r="A306" s="27">
        <v>45163.150939212966</v>
      </c>
      <c r="B306" s="28" t="s">
        <v>37</v>
      </c>
      <c r="C306" s="41" t="s">
        <v>118</v>
      </c>
      <c r="D306" s="26" t="s">
        <v>36</v>
      </c>
      <c r="E306" s="26" t="s">
        <v>77</v>
      </c>
      <c r="F306" s="26" t="s">
        <v>36</v>
      </c>
      <c r="G306" s="26" t="s">
        <v>41</v>
      </c>
      <c r="H306" s="26" t="s">
        <v>723</v>
      </c>
      <c r="I306" s="17">
        <f ca="1">IFERROR(__xludf.DUMMYFUNCTION("""COMPUTED_VALUE"""),45176)</f>
        <v>45176</v>
      </c>
      <c r="J306" s="29" t="s">
        <v>1754</v>
      </c>
      <c r="K306" s="26" t="s">
        <v>1755</v>
      </c>
      <c r="L306" s="30">
        <v>971498394</v>
      </c>
      <c r="M306" s="26" t="s">
        <v>112</v>
      </c>
      <c r="N306" s="26" t="s">
        <v>113</v>
      </c>
      <c r="O306" s="26" t="s">
        <v>1756</v>
      </c>
      <c r="P306" s="26" t="s">
        <v>1757</v>
      </c>
      <c r="Q306" s="20">
        <v>1968</v>
      </c>
      <c r="R306" s="26" t="s">
        <v>36</v>
      </c>
      <c r="S306" s="31">
        <v>1968</v>
      </c>
      <c r="T306" s="32">
        <v>44798</v>
      </c>
      <c r="U306" s="31"/>
      <c r="V306" s="26"/>
      <c r="W306" s="33" t="s">
        <v>1758</v>
      </c>
      <c r="X306" s="26">
        <v>0</v>
      </c>
      <c r="Y306" s="22">
        <v>0</v>
      </c>
      <c r="Z306" s="34" t="s">
        <v>50</v>
      </c>
      <c r="AA306" s="19" t="s">
        <v>901</v>
      </c>
      <c r="AB306" s="26" t="s">
        <v>104</v>
      </c>
      <c r="AC306" s="26" t="s">
        <v>53</v>
      </c>
      <c r="AD306" s="19" t="s">
        <v>138</v>
      </c>
      <c r="AE306" s="26" t="s">
        <v>72</v>
      </c>
      <c r="AF306" s="17">
        <v>45176</v>
      </c>
      <c r="AG306" s="26" t="s">
        <v>1391</v>
      </c>
      <c r="AH306" s="26">
        <v>1</v>
      </c>
      <c r="AI306" s="40" t="s">
        <v>84</v>
      </c>
      <c r="AJ306" s="26"/>
      <c r="AK306" s="26"/>
      <c r="AL306" s="35"/>
      <c r="AM306" s="35"/>
      <c r="AN306" s="35"/>
      <c r="AO306" s="35"/>
      <c r="AP306" s="35"/>
    </row>
    <row r="307" spans="1:42" x14ac:dyDescent="0.2">
      <c r="A307" s="27">
        <v>45163.152079687497</v>
      </c>
      <c r="B307" s="28" t="s">
        <v>37</v>
      </c>
      <c r="C307" s="41" t="s">
        <v>118</v>
      </c>
      <c r="D307" s="26" t="s">
        <v>36</v>
      </c>
      <c r="E307" s="26" t="s">
        <v>77</v>
      </c>
      <c r="F307" s="26" t="s">
        <v>36</v>
      </c>
      <c r="G307" s="26" t="s">
        <v>41</v>
      </c>
      <c r="H307" s="26" t="s">
        <v>723</v>
      </c>
      <c r="I307" s="17">
        <f ca="1">IFERROR(__xludf.DUMMYFUNCTION("""COMPUTED_VALUE"""),45176)</f>
        <v>45176</v>
      </c>
      <c r="J307" s="29" t="s">
        <v>1759</v>
      </c>
      <c r="K307" s="26" t="s">
        <v>1760</v>
      </c>
      <c r="L307" s="30">
        <v>355047751</v>
      </c>
      <c r="M307" s="26" t="s">
        <v>112</v>
      </c>
      <c r="N307" s="26" t="s">
        <v>113</v>
      </c>
      <c r="O307" s="26" t="s">
        <v>1761</v>
      </c>
      <c r="P307" s="26" t="s">
        <v>1757</v>
      </c>
      <c r="Q307" s="20">
        <v>1968</v>
      </c>
      <c r="R307" s="26" t="s">
        <v>36</v>
      </c>
      <c r="S307" s="31">
        <v>1968</v>
      </c>
      <c r="T307" s="32">
        <v>45163</v>
      </c>
      <c r="U307" s="31"/>
      <c r="V307" s="26"/>
      <c r="W307" s="33" t="s">
        <v>1762</v>
      </c>
      <c r="X307" s="26">
        <v>0</v>
      </c>
      <c r="Y307" s="22">
        <v>0</v>
      </c>
      <c r="Z307" s="34" t="s">
        <v>50</v>
      </c>
      <c r="AA307" s="19" t="s">
        <v>901</v>
      </c>
      <c r="AB307" s="26" t="s">
        <v>104</v>
      </c>
      <c r="AC307" s="26" t="s">
        <v>53</v>
      </c>
      <c r="AD307" s="19" t="s">
        <v>138</v>
      </c>
      <c r="AE307" s="26" t="s">
        <v>72</v>
      </c>
      <c r="AF307" s="17">
        <v>45176</v>
      </c>
      <c r="AG307" s="26" t="s">
        <v>1391</v>
      </c>
      <c r="AH307" s="26">
        <v>1</v>
      </c>
      <c r="AI307" s="40" t="s">
        <v>84</v>
      </c>
      <c r="AJ307" s="26"/>
      <c r="AK307" s="26"/>
      <c r="AL307" s="35"/>
      <c r="AM307" s="35"/>
      <c r="AN307" s="35"/>
      <c r="AO307" s="35"/>
      <c r="AP307" s="35"/>
    </row>
    <row r="308" spans="1:42" x14ac:dyDescent="0.2">
      <c r="A308" s="27">
        <v>45163.559836365741</v>
      </c>
      <c r="B308" s="28" t="s">
        <v>37</v>
      </c>
      <c r="C308" s="41" t="s">
        <v>118</v>
      </c>
      <c r="D308" s="26" t="s">
        <v>36</v>
      </c>
      <c r="E308" s="26" t="s">
        <v>77</v>
      </c>
      <c r="F308" s="26" t="s">
        <v>36</v>
      </c>
      <c r="G308" s="26" t="s">
        <v>41</v>
      </c>
      <c r="H308" s="26" t="s">
        <v>1436</v>
      </c>
      <c r="I308" s="17">
        <f ca="1">IFERROR(__xludf.DUMMYFUNCTION("""COMPUTED_VALUE"""),45179)</f>
        <v>45179</v>
      </c>
      <c r="J308" s="29" t="s">
        <v>1763</v>
      </c>
      <c r="K308" s="26" t="s">
        <v>1764</v>
      </c>
      <c r="L308" s="30">
        <v>337182729</v>
      </c>
      <c r="M308" s="26" t="s">
        <v>80</v>
      </c>
      <c r="N308" s="26" t="s">
        <v>186</v>
      </c>
      <c r="O308" s="26" t="s">
        <v>1765</v>
      </c>
      <c r="P308" s="26" t="s">
        <v>1766</v>
      </c>
      <c r="Q308" s="20">
        <v>1968</v>
      </c>
      <c r="R308" s="26" t="s">
        <v>36</v>
      </c>
      <c r="S308" s="31">
        <v>1968</v>
      </c>
      <c r="T308" s="32">
        <v>45163</v>
      </c>
      <c r="U308" s="31"/>
      <c r="V308" s="26"/>
      <c r="W308" s="33" t="s">
        <v>1767</v>
      </c>
      <c r="X308" s="26">
        <v>0</v>
      </c>
      <c r="Y308" s="22">
        <v>0</v>
      </c>
      <c r="Z308" s="34" t="s">
        <v>50</v>
      </c>
      <c r="AA308" s="19" t="s">
        <v>901</v>
      </c>
      <c r="AB308" s="26" t="s">
        <v>104</v>
      </c>
      <c r="AC308" s="26" t="s">
        <v>53</v>
      </c>
      <c r="AD308" s="19" t="s">
        <v>54</v>
      </c>
      <c r="AE308" s="26">
        <v>0</v>
      </c>
      <c r="AF308" s="17">
        <v>45169</v>
      </c>
      <c r="AG308" s="26"/>
      <c r="AH308" s="26">
        <v>1</v>
      </c>
      <c r="AI308" s="40" t="s">
        <v>84</v>
      </c>
      <c r="AJ308" s="26"/>
      <c r="AK308" s="26"/>
      <c r="AL308" s="35"/>
      <c r="AM308" s="35"/>
      <c r="AN308" s="35"/>
      <c r="AO308" s="35"/>
      <c r="AP308" s="35"/>
    </row>
    <row r="309" spans="1:42" x14ac:dyDescent="0.2">
      <c r="A309" s="27">
        <v>45163.706435868051</v>
      </c>
      <c r="B309" s="28" t="s">
        <v>37</v>
      </c>
      <c r="C309" s="41" t="s">
        <v>118</v>
      </c>
      <c r="D309" s="26" t="s">
        <v>36</v>
      </c>
      <c r="E309" s="26" t="s">
        <v>77</v>
      </c>
      <c r="F309" s="26" t="s">
        <v>36</v>
      </c>
      <c r="G309" s="26" t="s">
        <v>41</v>
      </c>
      <c r="H309" s="26" t="s">
        <v>857</v>
      </c>
      <c r="I309" s="17">
        <f ca="1">IFERROR(__xludf.DUMMYFUNCTION("""COMPUTED_VALUE"""),45187)</f>
        <v>45187</v>
      </c>
      <c r="J309" s="29" t="s">
        <v>1768</v>
      </c>
      <c r="K309" s="26" t="s">
        <v>1769</v>
      </c>
      <c r="L309" s="30">
        <v>857684733</v>
      </c>
      <c r="M309" s="26" t="s">
        <v>1770</v>
      </c>
      <c r="N309" s="26" t="s">
        <v>1384</v>
      </c>
      <c r="O309" s="26" t="s">
        <v>1771</v>
      </c>
      <c r="P309" s="26" t="s">
        <v>1772</v>
      </c>
      <c r="Q309" s="20">
        <v>1968</v>
      </c>
      <c r="R309" s="26" t="s">
        <v>36</v>
      </c>
      <c r="S309" s="31">
        <v>1968</v>
      </c>
      <c r="T309" s="32">
        <v>45163</v>
      </c>
      <c r="U309" s="31"/>
      <c r="V309" s="26"/>
      <c r="W309" s="33" t="s">
        <v>1773</v>
      </c>
      <c r="X309" s="26">
        <v>0</v>
      </c>
      <c r="Y309" s="22">
        <v>0</v>
      </c>
      <c r="Z309" s="34" t="s">
        <v>50</v>
      </c>
      <c r="AA309" s="19" t="s">
        <v>901</v>
      </c>
      <c r="AB309" s="26" t="s">
        <v>104</v>
      </c>
      <c r="AC309" s="26" t="s">
        <v>53</v>
      </c>
      <c r="AD309" s="19" t="s">
        <v>54</v>
      </c>
      <c r="AE309" s="26" t="s">
        <v>72</v>
      </c>
      <c r="AF309" s="17">
        <v>45167</v>
      </c>
      <c r="AG309" s="26" t="s">
        <v>1774</v>
      </c>
      <c r="AH309" s="26">
        <v>1</v>
      </c>
      <c r="AI309" s="40" t="s">
        <v>84</v>
      </c>
      <c r="AJ309" s="26"/>
      <c r="AK309" s="26"/>
      <c r="AL309" s="35"/>
      <c r="AM309" s="35"/>
      <c r="AN309" s="35"/>
      <c r="AO309" s="35"/>
      <c r="AP309" s="35"/>
    </row>
    <row r="310" spans="1:42" x14ac:dyDescent="0.2">
      <c r="A310" s="27">
        <v>45164.572498900467</v>
      </c>
      <c r="B310" s="28" t="s">
        <v>37</v>
      </c>
      <c r="C310" s="41" t="s">
        <v>118</v>
      </c>
      <c r="D310" s="26" t="s">
        <v>36</v>
      </c>
      <c r="E310" s="26" t="s">
        <v>139</v>
      </c>
      <c r="F310" s="26" t="s">
        <v>36</v>
      </c>
      <c r="G310" s="26" t="s">
        <v>41</v>
      </c>
      <c r="H310" s="26" t="s">
        <v>723</v>
      </c>
      <c r="I310" s="17">
        <f ca="1">IFERROR(__xludf.DUMMYFUNCTION("""COMPUTED_VALUE"""),45176)</f>
        <v>45176</v>
      </c>
      <c r="J310" s="29" t="s">
        <v>1775</v>
      </c>
      <c r="K310" s="26" t="s">
        <v>1776</v>
      </c>
      <c r="L310" s="30">
        <v>362000460</v>
      </c>
      <c r="M310" s="26" t="s">
        <v>80</v>
      </c>
      <c r="N310" s="26" t="s">
        <v>299</v>
      </c>
      <c r="O310" s="26" t="s">
        <v>1777</v>
      </c>
      <c r="P310" s="26" t="s">
        <v>1778</v>
      </c>
      <c r="Q310" s="20">
        <v>15936</v>
      </c>
      <c r="R310" s="26" t="s">
        <v>36</v>
      </c>
      <c r="S310" s="31">
        <v>15936</v>
      </c>
      <c r="T310" s="32">
        <v>45164</v>
      </c>
      <c r="U310" s="31"/>
      <c r="V310" s="26"/>
      <c r="W310" s="33" t="s">
        <v>1779</v>
      </c>
      <c r="X310" s="26">
        <v>0</v>
      </c>
      <c r="Y310" s="22">
        <v>0</v>
      </c>
      <c r="Z310" s="34" t="s">
        <v>50</v>
      </c>
      <c r="AA310" s="19" t="s">
        <v>901</v>
      </c>
      <c r="AB310" s="26" t="s">
        <v>104</v>
      </c>
      <c r="AC310" s="26" t="s">
        <v>53</v>
      </c>
      <c r="AD310" s="19" t="s">
        <v>138</v>
      </c>
      <c r="AE310" s="26">
        <v>0</v>
      </c>
      <c r="AF310" s="17">
        <v>45176</v>
      </c>
      <c r="AG310" s="26" t="s">
        <v>1391</v>
      </c>
      <c r="AH310" s="26">
        <v>1</v>
      </c>
      <c r="AI310" s="40" t="s">
        <v>147</v>
      </c>
      <c r="AJ310" s="26"/>
      <c r="AK310" s="26"/>
      <c r="AL310" s="35"/>
      <c r="AM310" s="35"/>
      <c r="AN310" s="35"/>
      <c r="AO310" s="35"/>
      <c r="AP310" s="35"/>
    </row>
    <row r="311" spans="1:42" x14ac:dyDescent="0.2">
      <c r="A311" s="27">
        <v>45166.06028917824</v>
      </c>
      <c r="B311" s="28" t="s">
        <v>37</v>
      </c>
      <c r="C311" s="41" t="s">
        <v>118</v>
      </c>
      <c r="D311" s="26" t="s">
        <v>36</v>
      </c>
      <c r="E311" s="26" t="s">
        <v>106</v>
      </c>
      <c r="F311" s="26" t="s">
        <v>1780</v>
      </c>
      <c r="G311" s="26" t="s">
        <v>108</v>
      </c>
      <c r="H311" s="26" t="s">
        <v>1781</v>
      </c>
      <c r="I311" s="17">
        <f ca="1">IFERROR(__xludf.DUMMYFUNCTION("""COMPUTED_VALUE"""),45203)</f>
        <v>45203</v>
      </c>
      <c r="J311" s="29" t="s">
        <v>1782</v>
      </c>
      <c r="K311" s="26" t="s">
        <v>1783</v>
      </c>
      <c r="L311" s="30">
        <v>785735449</v>
      </c>
      <c r="M311" s="26" t="s">
        <v>391</v>
      </c>
      <c r="N311" s="26" t="s">
        <v>584</v>
      </c>
      <c r="O311" s="26" t="s">
        <v>1784</v>
      </c>
      <c r="P311" s="42" t="s">
        <v>1785</v>
      </c>
      <c r="Q311" s="20">
        <v>3768</v>
      </c>
      <c r="R311" s="26" t="s">
        <v>36</v>
      </c>
      <c r="S311" s="31">
        <v>3770</v>
      </c>
      <c r="T311" s="32">
        <v>45164</v>
      </c>
      <c r="U311" s="31"/>
      <c r="V311" s="26"/>
      <c r="W311" s="33" t="s">
        <v>1786</v>
      </c>
      <c r="X311" s="26">
        <v>100</v>
      </c>
      <c r="Y311" s="22">
        <v>-102</v>
      </c>
      <c r="Z311" s="34" t="s">
        <v>50</v>
      </c>
      <c r="AA311" s="19" t="s">
        <v>901</v>
      </c>
      <c r="AB311" s="26" t="s">
        <v>128</v>
      </c>
      <c r="AC311" s="26" t="s">
        <v>53</v>
      </c>
      <c r="AD311" s="19" t="s">
        <v>54</v>
      </c>
      <c r="AE311" s="26" t="s">
        <v>1787</v>
      </c>
      <c r="AF311" s="17">
        <v>45181</v>
      </c>
      <c r="AG311" s="26"/>
      <c r="AH311" s="26">
        <v>1</v>
      </c>
      <c r="AI311" s="40">
        <v>1</v>
      </c>
      <c r="AJ311" s="26"/>
      <c r="AK311" s="26"/>
      <c r="AL311" s="35"/>
      <c r="AM311" s="35"/>
      <c r="AN311" s="35"/>
      <c r="AO311" s="35"/>
      <c r="AP311" s="35"/>
    </row>
    <row r="312" spans="1:42" x14ac:dyDescent="0.2">
      <c r="A312" s="27">
        <v>45166.202627268518</v>
      </c>
      <c r="B312" s="28" t="s">
        <v>37</v>
      </c>
      <c r="C312" s="41" t="s">
        <v>118</v>
      </c>
      <c r="D312" s="26" t="s">
        <v>77</v>
      </c>
      <c r="E312" s="26" t="s">
        <v>148</v>
      </c>
      <c r="F312" s="26" t="s">
        <v>642</v>
      </c>
      <c r="G312" s="26" t="s">
        <v>108</v>
      </c>
      <c r="H312" s="26" t="s">
        <v>1788</v>
      </c>
      <c r="I312" s="17">
        <f ca="1">IFERROR(__xludf.DUMMYFUNCTION("""COMPUTED_VALUE"""),45228)</f>
        <v>45228</v>
      </c>
      <c r="J312" s="29" t="s">
        <v>1047</v>
      </c>
      <c r="K312" s="26" t="s">
        <v>1789</v>
      </c>
      <c r="L312" s="30">
        <v>392941006</v>
      </c>
      <c r="M312" s="26" t="s">
        <v>123</v>
      </c>
      <c r="N312" s="26" t="s">
        <v>310</v>
      </c>
      <c r="O312" s="26" t="s">
        <v>1226</v>
      </c>
      <c r="P312" s="42" t="s">
        <v>1050</v>
      </c>
      <c r="Q312" s="20">
        <v>7349</v>
      </c>
      <c r="R312" s="26" t="s">
        <v>36</v>
      </c>
      <c r="S312" s="31">
        <v>7349</v>
      </c>
      <c r="T312" s="32">
        <v>45165</v>
      </c>
      <c r="U312" s="31"/>
      <c r="V312" s="26"/>
      <c r="W312" s="33" t="s">
        <v>1790</v>
      </c>
      <c r="X312" s="26">
        <v>100</v>
      </c>
      <c r="Y312" s="22">
        <v>-100</v>
      </c>
      <c r="Z312" s="34" t="s">
        <v>50</v>
      </c>
      <c r="AA312" s="19" t="s">
        <v>901</v>
      </c>
      <c r="AB312" s="26" t="s">
        <v>128</v>
      </c>
      <c r="AC312" s="26" t="s">
        <v>53</v>
      </c>
      <c r="AD312" s="19" t="s">
        <v>54</v>
      </c>
      <c r="AE312" s="26"/>
      <c r="AF312" s="43">
        <v>45218</v>
      </c>
      <c r="AG312" s="26"/>
      <c r="AH312" s="26">
        <v>2</v>
      </c>
      <c r="AI312" s="40">
        <v>2</v>
      </c>
      <c r="AJ312" s="26"/>
      <c r="AK312" s="26"/>
      <c r="AL312" s="35"/>
      <c r="AM312" s="35"/>
      <c r="AN312" s="35"/>
      <c r="AO312" s="35"/>
      <c r="AP312" s="35"/>
    </row>
    <row r="313" spans="1:42" x14ac:dyDescent="0.2">
      <c r="A313" s="27">
        <v>45166.607482129628</v>
      </c>
      <c r="B313" s="28" t="s">
        <v>37</v>
      </c>
      <c r="C313" s="41" t="s">
        <v>118</v>
      </c>
      <c r="D313" s="26" t="s">
        <v>36</v>
      </c>
      <c r="E313" s="26" t="s">
        <v>39</v>
      </c>
      <c r="F313" s="26" t="s">
        <v>91</v>
      </c>
      <c r="G313" s="26" t="s">
        <v>41</v>
      </c>
      <c r="H313" s="26" t="s">
        <v>1436</v>
      </c>
      <c r="I313" s="17">
        <f ca="1">IFERROR(__xludf.DUMMYFUNCTION("""COMPUTED_VALUE"""),45179)</f>
        <v>45179</v>
      </c>
      <c r="J313" s="29" t="s">
        <v>1791</v>
      </c>
      <c r="K313" s="26" t="s">
        <v>1792</v>
      </c>
      <c r="L313" s="30">
        <v>339320112</v>
      </c>
      <c r="M313" s="26" t="s">
        <v>910</v>
      </c>
      <c r="N313" s="26" t="s">
        <v>355</v>
      </c>
      <c r="O313" s="26" t="s">
        <v>1793</v>
      </c>
      <c r="P313" s="42" t="s">
        <v>1794</v>
      </c>
      <c r="Q313" s="20">
        <v>5736</v>
      </c>
      <c r="R313" s="26" t="s">
        <v>36</v>
      </c>
      <c r="S313" s="31">
        <v>5736</v>
      </c>
      <c r="T313" s="32">
        <v>45166</v>
      </c>
      <c r="U313" s="31"/>
      <c r="V313" s="26"/>
      <c r="W313" s="33" t="s">
        <v>1795</v>
      </c>
      <c r="X313" s="26">
        <v>0</v>
      </c>
      <c r="Y313" s="22">
        <v>0</v>
      </c>
      <c r="Z313" s="34" t="s">
        <v>50</v>
      </c>
      <c r="AA313" s="19" t="s">
        <v>901</v>
      </c>
      <c r="AB313" s="26" t="s">
        <v>104</v>
      </c>
      <c r="AC313" s="26" t="s">
        <v>53</v>
      </c>
      <c r="AD313" s="19" t="s">
        <v>54</v>
      </c>
      <c r="AE313" s="26"/>
      <c r="AF313" s="17">
        <v>45169</v>
      </c>
      <c r="AG313" s="26"/>
      <c r="AH313" s="26">
        <v>1</v>
      </c>
      <c r="AI313" s="40" t="s">
        <v>55</v>
      </c>
      <c r="AJ313" s="26"/>
      <c r="AK313" s="26"/>
      <c r="AL313" s="35"/>
      <c r="AM313" s="35"/>
      <c r="AN313" s="35"/>
      <c r="AO313" s="35"/>
      <c r="AP313" s="35"/>
    </row>
    <row r="314" spans="1:42" x14ac:dyDescent="0.2">
      <c r="A314" s="27">
        <v>45166.621040891201</v>
      </c>
      <c r="B314" s="28" t="s">
        <v>37</v>
      </c>
      <c r="C314" s="41" t="s">
        <v>118</v>
      </c>
      <c r="D314" s="26" t="s">
        <v>36</v>
      </c>
      <c r="E314" s="26" t="s">
        <v>77</v>
      </c>
      <c r="F314" s="26" t="s">
        <v>307</v>
      </c>
      <c r="G314" s="26" t="s">
        <v>41</v>
      </c>
      <c r="H314" s="26" t="s">
        <v>1513</v>
      </c>
      <c r="I314" s="17">
        <f ca="1">IFERROR(__xludf.DUMMYFUNCTION("""COMPUTED_VALUE"""),45181)</f>
        <v>45181</v>
      </c>
      <c r="J314" s="29" t="s">
        <v>1796</v>
      </c>
      <c r="K314" s="26" t="s">
        <v>1797</v>
      </c>
      <c r="L314" s="30">
        <v>862148770</v>
      </c>
      <c r="M314" s="26" t="s">
        <v>123</v>
      </c>
      <c r="N314" s="26" t="s">
        <v>327</v>
      </c>
      <c r="O314" s="26" t="s">
        <v>1798</v>
      </c>
      <c r="P314" s="26" t="s">
        <v>1799</v>
      </c>
      <c r="Q314" s="20">
        <v>1968</v>
      </c>
      <c r="R314" s="26" t="s">
        <v>36</v>
      </c>
      <c r="S314" s="31">
        <v>1968</v>
      </c>
      <c r="T314" s="32">
        <v>45166</v>
      </c>
      <c r="U314" s="31"/>
      <c r="V314" s="26"/>
      <c r="W314" s="33" t="s">
        <v>1800</v>
      </c>
      <c r="X314" s="26">
        <v>0</v>
      </c>
      <c r="Y314" s="22">
        <v>0</v>
      </c>
      <c r="Z314" s="34" t="s">
        <v>50</v>
      </c>
      <c r="AA314" s="19" t="s">
        <v>901</v>
      </c>
      <c r="AB314" s="26" t="s">
        <v>104</v>
      </c>
      <c r="AC314" s="26" t="s">
        <v>53</v>
      </c>
      <c r="AD314" s="19" t="s">
        <v>54</v>
      </c>
      <c r="AE314" s="26"/>
      <c r="AF314" s="17">
        <v>45181</v>
      </c>
      <c r="AG314" s="26" t="s">
        <v>1801</v>
      </c>
      <c r="AH314" s="26">
        <v>1</v>
      </c>
      <c r="AI314" s="40" t="s">
        <v>84</v>
      </c>
      <c r="AJ314" s="26"/>
      <c r="AK314" s="26"/>
      <c r="AL314" s="35"/>
      <c r="AM314" s="35"/>
      <c r="AN314" s="35"/>
      <c r="AO314" s="35"/>
      <c r="AP314" s="35"/>
    </row>
    <row r="315" spans="1:42" x14ac:dyDescent="0.2">
      <c r="A315" s="27">
        <v>45166.623303865737</v>
      </c>
      <c r="B315" s="28" t="s">
        <v>37</v>
      </c>
      <c r="C315" s="41" t="s">
        <v>118</v>
      </c>
      <c r="D315" s="26" t="s">
        <v>36</v>
      </c>
      <c r="E315" s="26" t="s">
        <v>77</v>
      </c>
      <c r="F315" s="26" t="s">
        <v>91</v>
      </c>
      <c r="G315" s="26" t="s">
        <v>41</v>
      </c>
      <c r="H315" s="26" t="s">
        <v>1802</v>
      </c>
      <c r="I315" s="17" t="str">
        <f ca="1">IFERROR(__xludf.DUMMYFUNCTION("""COMPUTED_VALUE""")," ")</f>
        <v xml:space="preserve"> </v>
      </c>
      <c r="J315" s="29" t="s">
        <v>1803</v>
      </c>
      <c r="K315" s="26" t="s">
        <v>1804</v>
      </c>
      <c r="L315" s="30">
        <v>784378174</v>
      </c>
      <c r="M315" s="26" t="s">
        <v>123</v>
      </c>
      <c r="N315" s="26" t="s">
        <v>850</v>
      </c>
      <c r="O315" s="26" t="s">
        <v>1226</v>
      </c>
      <c r="P315" s="26" t="s">
        <v>1805</v>
      </c>
      <c r="Q315" s="20">
        <v>1968</v>
      </c>
      <c r="R315" s="26" t="s">
        <v>36</v>
      </c>
      <c r="S315" s="31">
        <v>1968</v>
      </c>
      <c r="T315" s="32">
        <v>45166</v>
      </c>
      <c r="U315" s="31"/>
      <c r="V315" s="26"/>
      <c r="W315" s="33" t="s">
        <v>1806</v>
      </c>
      <c r="X315" s="26">
        <v>0</v>
      </c>
      <c r="Y315" s="22">
        <v>0</v>
      </c>
      <c r="Z315" s="34" t="s">
        <v>50</v>
      </c>
      <c r="AA315" s="19" t="s">
        <v>901</v>
      </c>
      <c r="AB315" s="26" t="s">
        <v>104</v>
      </c>
      <c r="AC315" s="26" t="s">
        <v>53</v>
      </c>
      <c r="AD315" s="19" t="s">
        <v>54</v>
      </c>
      <c r="AE315" s="26"/>
      <c r="AF315" s="17">
        <v>45169</v>
      </c>
      <c r="AG315" s="61" t="s">
        <v>1807</v>
      </c>
      <c r="AH315" s="26">
        <v>1</v>
      </c>
      <c r="AI315" s="40" t="s">
        <v>84</v>
      </c>
      <c r="AJ315" s="26"/>
      <c r="AK315" s="26"/>
      <c r="AL315" s="35"/>
      <c r="AM315" s="35"/>
      <c r="AN315" s="35"/>
      <c r="AO315" s="35"/>
      <c r="AP315" s="35"/>
    </row>
    <row r="316" spans="1:42" x14ac:dyDescent="0.2">
      <c r="A316" s="27">
        <v>45167.035518958335</v>
      </c>
      <c r="B316" s="28" t="s">
        <v>37</v>
      </c>
      <c r="C316" s="41" t="s">
        <v>118</v>
      </c>
      <c r="D316" s="26" t="s">
        <v>36</v>
      </c>
      <c r="E316" s="26" t="s">
        <v>106</v>
      </c>
      <c r="F316" s="26" t="s">
        <v>1808</v>
      </c>
      <c r="G316" s="26" t="s">
        <v>108</v>
      </c>
      <c r="H316" s="26" t="s">
        <v>1809</v>
      </c>
      <c r="I316" s="17">
        <f ca="1">IFERROR(__xludf.DUMMYFUNCTION("""COMPUTED_VALUE"""),45200)</f>
        <v>45200</v>
      </c>
      <c r="J316" s="29" t="s">
        <v>1810</v>
      </c>
      <c r="K316" s="26" t="s">
        <v>1811</v>
      </c>
      <c r="L316" s="30">
        <v>373648314</v>
      </c>
      <c r="M316" s="26" t="s">
        <v>94</v>
      </c>
      <c r="N316" s="26" t="s">
        <v>1812</v>
      </c>
      <c r="O316" s="26" t="s">
        <v>91</v>
      </c>
      <c r="P316" s="42" t="s">
        <v>1813</v>
      </c>
      <c r="Q316" s="20">
        <v>3768</v>
      </c>
      <c r="R316" s="26" t="s">
        <v>36</v>
      </c>
      <c r="S316" s="31">
        <v>3768</v>
      </c>
      <c r="T316" s="32">
        <v>45166</v>
      </c>
      <c r="U316" s="31"/>
      <c r="V316" s="26"/>
      <c r="W316" s="33" t="s">
        <v>1814</v>
      </c>
      <c r="X316" s="26">
        <v>100</v>
      </c>
      <c r="Y316" s="22">
        <v>-100</v>
      </c>
      <c r="Z316" s="34" t="s">
        <v>50</v>
      </c>
      <c r="AA316" s="19" t="s">
        <v>901</v>
      </c>
      <c r="AB316" s="26" t="s">
        <v>128</v>
      </c>
      <c r="AC316" s="26" t="s">
        <v>53</v>
      </c>
      <c r="AD316" s="19" t="s">
        <v>54</v>
      </c>
      <c r="AE316" s="26" t="s">
        <v>427</v>
      </c>
      <c r="AF316" s="17">
        <v>45177</v>
      </c>
      <c r="AG316" s="26" t="s">
        <v>1815</v>
      </c>
      <c r="AH316" s="26">
        <v>1</v>
      </c>
      <c r="AI316" s="40">
        <v>1</v>
      </c>
      <c r="AJ316" s="26"/>
      <c r="AK316" s="26"/>
      <c r="AL316" s="35"/>
      <c r="AM316" s="35"/>
      <c r="AN316" s="35"/>
      <c r="AO316" s="35"/>
      <c r="AP316" s="35"/>
    </row>
    <row r="317" spans="1:42" x14ac:dyDescent="0.2">
      <c r="A317" s="27">
        <v>45167.132885092593</v>
      </c>
      <c r="B317" s="28" t="s">
        <v>37</v>
      </c>
      <c r="C317" s="41" t="s">
        <v>118</v>
      </c>
      <c r="D317" s="26" t="s">
        <v>36</v>
      </c>
      <c r="E317" s="26" t="s">
        <v>56</v>
      </c>
      <c r="F317" s="26" t="s">
        <v>36</v>
      </c>
      <c r="G317" s="26" t="s">
        <v>41</v>
      </c>
      <c r="H317" s="26" t="s">
        <v>857</v>
      </c>
      <c r="I317" s="17">
        <f ca="1">IFERROR(__xludf.DUMMYFUNCTION("""COMPUTED_VALUE"""),45187)</f>
        <v>45187</v>
      </c>
      <c r="J317" s="29" t="s">
        <v>1816</v>
      </c>
      <c r="K317" s="26" t="s">
        <v>1817</v>
      </c>
      <c r="L317" s="30">
        <v>918543199</v>
      </c>
      <c r="M317" s="26" t="s">
        <v>80</v>
      </c>
      <c r="N317" s="26" t="s">
        <v>299</v>
      </c>
      <c r="O317" s="26" t="s">
        <v>1818</v>
      </c>
      <c r="P317" s="26" t="s">
        <v>1819</v>
      </c>
      <c r="Q317" s="20">
        <v>9317</v>
      </c>
      <c r="R317" s="26" t="s">
        <v>36</v>
      </c>
      <c r="S317" s="31">
        <v>9317</v>
      </c>
      <c r="T317" s="32" t="s">
        <v>1820</v>
      </c>
      <c r="U317" s="31"/>
      <c r="V317" s="26"/>
      <c r="W317" s="33" t="s">
        <v>1821</v>
      </c>
      <c r="X317" s="26">
        <v>0</v>
      </c>
      <c r="Y317" s="22">
        <v>0</v>
      </c>
      <c r="Z317" s="34" t="s">
        <v>50</v>
      </c>
      <c r="AA317" s="19" t="s">
        <v>901</v>
      </c>
      <c r="AB317" s="26" t="s">
        <v>104</v>
      </c>
      <c r="AC317" s="26" t="s">
        <v>53</v>
      </c>
      <c r="AD317" s="19" t="s">
        <v>54</v>
      </c>
      <c r="AE317" s="26">
        <v>0</v>
      </c>
      <c r="AF317" s="17">
        <v>45181</v>
      </c>
      <c r="AG317" s="26" t="s">
        <v>863</v>
      </c>
      <c r="AH317" s="26">
        <v>1</v>
      </c>
      <c r="AI317" s="40" t="s">
        <v>64</v>
      </c>
      <c r="AJ317" s="26"/>
      <c r="AK317" s="26"/>
      <c r="AL317" s="35"/>
      <c r="AM317" s="35"/>
      <c r="AN317" s="35"/>
      <c r="AO317" s="35"/>
      <c r="AP317" s="35"/>
    </row>
    <row r="318" spans="1:42" x14ac:dyDescent="0.2">
      <c r="A318" s="27">
        <v>45167.684135682866</v>
      </c>
      <c r="B318" s="28" t="s">
        <v>37</v>
      </c>
      <c r="C318" s="41" t="s">
        <v>118</v>
      </c>
      <c r="D318" s="26" t="s">
        <v>36</v>
      </c>
      <c r="E318" s="26" t="s">
        <v>77</v>
      </c>
      <c r="F318" s="26" t="s">
        <v>91</v>
      </c>
      <c r="G318" s="26" t="s">
        <v>41</v>
      </c>
      <c r="H318" s="26" t="s">
        <v>1436</v>
      </c>
      <c r="I318" s="17">
        <f ca="1">IFERROR(__xludf.DUMMYFUNCTION("""COMPUTED_VALUE"""),45179)</f>
        <v>45179</v>
      </c>
      <c r="J318" s="29" t="s">
        <v>1822</v>
      </c>
      <c r="K318" s="26" t="s">
        <v>1823</v>
      </c>
      <c r="L318" s="30" t="s">
        <v>1824</v>
      </c>
      <c r="M318" s="26" t="s">
        <v>348</v>
      </c>
      <c r="N318" s="26" t="s">
        <v>200</v>
      </c>
      <c r="O318" s="26" t="s">
        <v>1825</v>
      </c>
      <c r="P318" s="26" t="s">
        <v>1826</v>
      </c>
      <c r="Q318" s="20">
        <v>1968</v>
      </c>
      <c r="R318" s="26" t="s">
        <v>36</v>
      </c>
      <c r="S318" s="31">
        <v>1868</v>
      </c>
      <c r="T318" s="32">
        <v>45167</v>
      </c>
      <c r="U318" s="31"/>
      <c r="V318" s="26"/>
      <c r="W318" s="33" t="s">
        <v>1827</v>
      </c>
      <c r="X318" s="26">
        <v>0</v>
      </c>
      <c r="Y318" s="22">
        <v>100</v>
      </c>
      <c r="Z318" s="34" t="s">
        <v>50</v>
      </c>
      <c r="AA318" s="19" t="s">
        <v>901</v>
      </c>
      <c r="AB318" s="26" t="s">
        <v>104</v>
      </c>
      <c r="AC318" s="26" t="s">
        <v>1828</v>
      </c>
      <c r="AD318" s="19" t="s">
        <v>54</v>
      </c>
      <c r="AE318" s="26" t="s">
        <v>1327</v>
      </c>
      <c r="AF318" s="60" t="s">
        <v>1829</v>
      </c>
      <c r="AG318" s="26" t="s">
        <v>1830</v>
      </c>
      <c r="AH318" s="26">
        <v>1</v>
      </c>
      <c r="AI318" s="40" t="s">
        <v>84</v>
      </c>
      <c r="AJ318" s="26"/>
      <c r="AK318" s="26"/>
      <c r="AL318" s="35"/>
      <c r="AM318" s="35"/>
      <c r="AN318" s="35"/>
      <c r="AO318" s="35"/>
      <c r="AP318" s="35"/>
    </row>
    <row r="319" spans="1:42" x14ac:dyDescent="0.2">
      <c r="A319" s="27">
        <v>45168.579035451388</v>
      </c>
      <c r="B319" s="28" t="s">
        <v>37</v>
      </c>
      <c r="C319" s="41" t="s">
        <v>118</v>
      </c>
      <c r="D319" s="26" t="s">
        <v>77</v>
      </c>
      <c r="E319" s="26" t="s">
        <v>106</v>
      </c>
      <c r="F319" s="26" t="s">
        <v>388</v>
      </c>
      <c r="G319" s="26" t="s">
        <v>108</v>
      </c>
      <c r="H319" s="26" t="s">
        <v>882</v>
      </c>
      <c r="I319" s="17">
        <f ca="1">IFERROR(__xludf.DUMMYFUNCTION("""COMPUTED_VALUE"""),45180)</f>
        <v>45180</v>
      </c>
      <c r="J319" s="29" t="s">
        <v>1831</v>
      </c>
      <c r="K319" s="26" t="s">
        <v>1832</v>
      </c>
      <c r="L319" s="30">
        <v>989239773</v>
      </c>
      <c r="M319" s="26" t="s">
        <v>112</v>
      </c>
      <c r="N319" s="26" t="s">
        <v>1833</v>
      </c>
      <c r="O319" s="26" t="s">
        <v>393</v>
      </c>
      <c r="P319" s="26" t="s">
        <v>1834</v>
      </c>
      <c r="Q319" s="20">
        <v>3768</v>
      </c>
      <c r="R319" s="26" t="s">
        <v>36</v>
      </c>
      <c r="S319" s="31">
        <v>3668</v>
      </c>
      <c r="T319" s="32">
        <v>45168</v>
      </c>
      <c r="U319" s="31"/>
      <c r="V319" s="26"/>
      <c r="W319" s="26"/>
      <c r="X319" s="26">
        <v>100</v>
      </c>
      <c r="Y319" s="22">
        <v>0</v>
      </c>
      <c r="Z319" s="34" t="s">
        <v>50</v>
      </c>
      <c r="AA319" s="19" t="s">
        <v>901</v>
      </c>
      <c r="AB319" s="26" t="s">
        <v>137</v>
      </c>
      <c r="AC319" s="26" t="s">
        <v>53</v>
      </c>
      <c r="AD319" s="19" t="s">
        <v>54</v>
      </c>
      <c r="AE319" s="26" t="s">
        <v>388</v>
      </c>
      <c r="AF319" s="17">
        <v>45169</v>
      </c>
      <c r="AG319" s="26"/>
      <c r="AH319" s="26">
        <v>1</v>
      </c>
      <c r="AI319" s="40">
        <v>1</v>
      </c>
      <c r="AJ319" s="26"/>
      <c r="AK319" s="26"/>
      <c r="AL319" s="35"/>
      <c r="AM319" s="35"/>
      <c r="AN319" s="35"/>
      <c r="AO319" s="35"/>
      <c r="AP319" s="35"/>
    </row>
    <row r="320" spans="1:42" x14ac:dyDescent="0.2">
      <c r="A320" s="27">
        <v>45168.608994074079</v>
      </c>
      <c r="B320" s="28" t="s">
        <v>37</v>
      </c>
      <c r="C320" s="41" t="s">
        <v>118</v>
      </c>
      <c r="D320" s="26" t="s">
        <v>36</v>
      </c>
      <c r="E320" s="26" t="s">
        <v>77</v>
      </c>
      <c r="F320" s="26" t="s">
        <v>91</v>
      </c>
      <c r="G320" s="26" t="s">
        <v>41</v>
      </c>
      <c r="H320" s="26" t="s">
        <v>1436</v>
      </c>
      <c r="I320" s="17">
        <f ca="1">IFERROR(__xludf.DUMMYFUNCTION("""COMPUTED_VALUE"""),45179)</f>
        <v>45179</v>
      </c>
      <c r="J320" s="29" t="s">
        <v>1835</v>
      </c>
      <c r="K320" s="26" t="s">
        <v>1836</v>
      </c>
      <c r="L320" s="30">
        <v>388926958</v>
      </c>
      <c r="M320" s="26" t="s">
        <v>910</v>
      </c>
      <c r="N320" s="26" t="s">
        <v>355</v>
      </c>
      <c r="O320" s="26" t="s">
        <v>1837</v>
      </c>
      <c r="P320" s="26" t="s">
        <v>1838</v>
      </c>
      <c r="Q320" s="20">
        <v>1968</v>
      </c>
      <c r="R320" s="26" t="s">
        <v>36</v>
      </c>
      <c r="S320" s="31">
        <v>1968</v>
      </c>
      <c r="T320" s="32">
        <v>45168</v>
      </c>
      <c r="U320" s="31"/>
      <c r="V320" s="26"/>
      <c r="W320" s="33" t="s">
        <v>1839</v>
      </c>
      <c r="X320" s="26">
        <v>0</v>
      </c>
      <c r="Y320" s="22">
        <v>0</v>
      </c>
      <c r="Z320" s="34" t="s">
        <v>50</v>
      </c>
      <c r="AA320" s="19" t="s">
        <v>901</v>
      </c>
      <c r="AB320" s="26" t="s">
        <v>104</v>
      </c>
      <c r="AC320" s="26" t="s">
        <v>53</v>
      </c>
      <c r="AD320" s="19" t="s">
        <v>54</v>
      </c>
      <c r="AE320" s="26"/>
      <c r="AF320" s="17">
        <v>45169</v>
      </c>
      <c r="AG320" s="26"/>
      <c r="AH320" s="26">
        <v>1</v>
      </c>
      <c r="AI320" s="40" t="s">
        <v>84</v>
      </c>
      <c r="AJ320" s="26"/>
      <c r="AK320" s="26"/>
      <c r="AL320" s="35"/>
      <c r="AM320" s="35"/>
      <c r="AN320" s="35"/>
      <c r="AO320" s="35"/>
      <c r="AP320" s="35"/>
    </row>
    <row r="321" spans="1:42" x14ac:dyDescent="0.2">
      <c r="A321" s="27">
        <v>45169.133149340283</v>
      </c>
      <c r="B321" s="28" t="s">
        <v>37</v>
      </c>
      <c r="C321" s="41" t="s">
        <v>118</v>
      </c>
      <c r="D321" s="26" t="s">
        <v>36</v>
      </c>
      <c r="E321" s="26" t="s">
        <v>77</v>
      </c>
      <c r="F321" s="26" t="s">
        <v>36</v>
      </c>
      <c r="G321" s="26" t="s">
        <v>41</v>
      </c>
      <c r="H321" s="26" t="s">
        <v>1840</v>
      </c>
      <c r="I321" s="17" t="str">
        <f ca="1">IFERROR(__xludf.DUMMYFUNCTION("""COMPUTED_VALUE""")," ")</f>
        <v xml:space="preserve"> </v>
      </c>
      <c r="J321" s="29" t="s">
        <v>1841</v>
      </c>
      <c r="K321" s="26" t="s">
        <v>1842</v>
      </c>
      <c r="L321" s="30">
        <v>854661843</v>
      </c>
      <c r="M321" s="26" t="s">
        <v>80</v>
      </c>
      <c r="N321" s="26" t="s">
        <v>299</v>
      </c>
      <c r="O321" s="26" t="s">
        <v>1843</v>
      </c>
      <c r="P321" s="26" t="s">
        <v>1844</v>
      </c>
      <c r="Q321" s="20">
        <v>1968</v>
      </c>
      <c r="R321" s="26" t="s">
        <v>36</v>
      </c>
      <c r="S321" s="31">
        <v>1968</v>
      </c>
      <c r="T321" s="32">
        <v>45169</v>
      </c>
      <c r="U321" s="31"/>
      <c r="V321" s="26"/>
      <c r="W321" s="33" t="s">
        <v>1845</v>
      </c>
      <c r="X321" s="26">
        <v>0</v>
      </c>
      <c r="Y321" s="22">
        <v>0</v>
      </c>
      <c r="Z321" s="34" t="s">
        <v>50</v>
      </c>
      <c r="AA321" s="19" t="s">
        <v>901</v>
      </c>
      <c r="AB321" s="26" t="s">
        <v>104</v>
      </c>
      <c r="AC321" s="26" t="s">
        <v>53</v>
      </c>
      <c r="AD321" s="19" t="s">
        <v>54</v>
      </c>
      <c r="AE321" s="26">
        <v>0</v>
      </c>
      <c r="AF321" s="17">
        <v>45169</v>
      </c>
      <c r="AG321" s="44" t="s">
        <v>1846</v>
      </c>
      <c r="AH321" s="26">
        <v>1</v>
      </c>
      <c r="AI321" s="40" t="s">
        <v>84</v>
      </c>
      <c r="AJ321" s="26"/>
      <c r="AK321" s="26"/>
      <c r="AL321" s="35"/>
      <c r="AM321" s="35"/>
      <c r="AN321" s="35"/>
      <c r="AO321" s="35"/>
      <c r="AP321" s="35"/>
    </row>
    <row r="322" spans="1:42" x14ac:dyDescent="0.2">
      <c r="A322" s="27">
        <v>45169.623012604163</v>
      </c>
      <c r="B322" s="28" t="s">
        <v>37</v>
      </c>
      <c r="C322" s="41" t="s">
        <v>118</v>
      </c>
      <c r="D322" s="26" t="s">
        <v>56</v>
      </c>
      <c r="E322" s="26" t="s">
        <v>1704</v>
      </c>
      <c r="F322" s="26" t="s">
        <v>36</v>
      </c>
      <c r="G322" s="26" t="s">
        <v>1847</v>
      </c>
      <c r="H322" s="26" t="s">
        <v>1848</v>
      </c>
      <c r="I322" s="17">
        <f ca="1">IFERROR(__xludf.DUMMYFUNCTION("""COMPUTED_VALUE"""),45728)</f>
        <v>45728</v>
      </c>
      <c r="J322" s="29" t="s">
        <v>1161</v>
      </c>
      <c r="K322" s="26" t="s">
        <v>1849</v>
      </c>
      <c r="L322" s="30">
        <v>865321398</v>
      </c>
      <c r="M322" s="26" t="s">
        <v>123</v>
      </c>
      <c r="N322" s="26" t="s">
        <v>310</v>
      </c>
      <c r="O322" s="26" t="s">
        <v>1226</v>
      </c>
      <c r="P322" s="42" t="s">
        <v>1850</v>
      </c>
      <c r="Q322" s="20">
        <v>7729</v>
      </c>
      <c r="R322" s="26" t="s">
        <v>36</v>
      </c>
      <c r="S322" s="31">
        <v>4651</v>
      </c>
      <c r="T322" s="32">
        <v>45169</v>
      </c>
      <c r="U322" s="31">
        <v>1968</v>
      </c>
      <c r="V322" s="26" t="s">
        <v>1851</v>
      </c>
      <c r="W322" s="33" t="s">
        <v>1852</v>
      </c>
      <c r="X322" s="26">
        <v>100</v>
      </c>
      <c r="Y322" s="22">
        <v>1010</v>
      </c>
      <c r="Z322" s="34" t="s">
        <v>50</v>
      </c>
      <c r="AA322" s="19" t="s">
        <v>901</v>
      </c>
      <c r="AB322" s="26" t="s">
        <v>128</v>
      </c>
      <c r="AC322" s="26" t="s">
        <v>53</v>
      </c>
      <c r="AD322" s="19" t="s">
        <v>54</v>
      </c>
      <c r="AE322" s="26"/>
      <c r="AF322" s="17">
        <v>45722</v>
      </c>
      <c r="AG322" s="26"/>
      <c r="AH322" s="26">
        <v>3</v>
      </c>
      <c r="AI322" s="40">
        <v>2</v>
      </c>
      <c r="AJ322" s="26"/>
      <c r="AK322" s="26"/>
      <c r="AL322" s="35"/>
      <c r="AM322" s="35"/>
      <c r="AN322" s="35"/>
      <c r="AO322" s="35"/>
      <c r="AP322" s="35"/>
    </row>
    <row r="323" spans="1:42" x14ac:dyDescent="0.2">
      <c r="A323" s="27">
        <v>45169.625830833334</v>
      </c>
      <c r="B323" s="28" t="s">
        <v>37</v>
      </c>
      <c r="C323" s="41" t="s">
        <v>118</v>
      </c>
      <c r="D323" s="26" t="s">
        <v>77</v>
      </c>
      <c r="E323" s="26" t="s">
        <v>148</v>
      </c>
      <c r="F323" s="26" t="s">
        <v>41</v>
      </c>
      <c r="G323" s="26" t="s">
        <v>108</v>
      </c>
      <c r="H323" s="26" t="s">
        <v>1853</v>
      </c>
      <c r="I323" s="17">
        <f ca="1">IFERROR(__xludf.DUMMYFUNCTION("""COMPUTED_VALUE"""),45229)</f>
        <v>45229</v>
      </c>
      <c r="J323" s="29" t="s">
        <v>610</v>
      </c>
      <c r="K323" s="35" t="s">
        <v>1854</v>
      </c>
      <c r="L323" s="30">
        <v>394898440</v>
      </c>
      <c r="M323" s="26" t="s">
        <v>123</v>
      </c>
      <c r="N323" s="26" t="s">
        <v>850</v>
      </c>
      <c r="O323" s="26" t="s">
        <v>1226</v>
      </c>
      <c r="P323" s="26" t="s">
        <v>1855</v>
      </c>
      <c r="Q323" s="20">
        <v>7349</v>
      </c>
      <c r="R323" s="26" t="s">
        <v>36</v>
      </c>
      <c r="S323" s="31">
        <v>7349</v>
      </c>
      <c r="T323" s="32">
        <v>45169</v>
      </c>
      <c r="U323" s="31"/>
      <c r="V323" s="26"/>
      <c r="W323" s="33" t="s">
        <v>1856</v>
      </c>
      <c r="X323" s="26">
        <v>100</v>
      </c>
      <c r="Y323" s="22">
        <v>-100</v>
      </c>
      <c r="Z323" s="34" t="s">
        <v>50</v>
      </c>
      <c r="AA323" s="19" t="s">
        <v>901</v>
      </c>
      <c r="AB323" s="26" t="s">
        <v>128</v>
      </c>
      <c r="AC323" s="26" t="s">
        <v>53</v>
      </c>
      <c r="AD323" s="19" t="s">
        <v>138</v>
      </c>
      <c r="AE323" s="26"/>
      <c r="AF323" s="17">
        <v>45229</v>
      </c>
      <c r="AG323" s="26" t="s">
        <v>1631</v>
      </c>
      <c r="AH323" s="26">
        <v>2</v>
      </c>
      <c r="AI323" s="40">
        <v>2</v>
      </c>
      <c r="AJ323" s="26"/>
      <c r="AK323" s="26"/>
      <c r="AL323" s="35"/>
      <c r="AM323" s="35"/>
      <c r="AN323" s="35"/>
      <c r="AO323" s="35"/>
      <c r="AP323" s="35"/>
    </row>
    <row r="324" spans="1:42" x14ac:dyDescent="0.2">
      <c r="A324" s="27">
        <v>45170.116183680555</v>
      </c>
      <c r="B324" s="28" t="s">
        <v>37</v>
      </c>
      <c r="C324" s="41" t="s">
        <v>118</v>
      </c>
      <c r="D324" s="26" t="s">
        <v>36</v>
      </c>
      <c r="E324" s="26" t="s">
        <v>56</v>
      </c>
      <c r="F324" s="26" t="s">
        <v>36</v>
      </c>
      <c r="G324" s="26" t="s">
        <v>41</v>
      </c>
      <c r="H324" s="26" t="s">
        <v>723</v>
      </c>
      <c r="I324" s="17">
        <f ca="1">IFERROR(__xludf.DUMMYFUNCTION("""COMPUTED_VALUE"""),45176)</f>
        <v>45176</v>
      </c>
      <c r="J324" s="29" t="s">
        <v>1857</v>
      </c>
      <c r="K324" s="26" t="s">
        <v>1858</v>
      </c>
      <c r="L324" s="30">
        <v>355692620</v>
      </c>
      <c r="M324" s="26" t="s">
        <v>80</v>
      </c>
      <c r="N324" s="26" t="s">
        <v>299</v>
      </c>
      <c r="O324" s="26" t="s">
        <v>1487</v>
      </c>
      <c r="P324" s="26" t="s">
        <v>1859</v>
      </c>
      <c r="Q324" s="20">
        <v>9317</v>
      </c>
      <c r="R324" s="26" t="s">
        <v>36</v>
      </c>
      <c r="S324" s="31">
        <v>9317</v>
      </c>
      <c r="T324" s="32">
        <v>45154</v>
      </c>
      <c r="U324" s="31"/>
      <c r="V324" s="26"/>
      <c r="W324" s="33" t="s">
        <v>1860</v>
      </c>
      <c r="X324" s="26">
        <v>0</v>
      </c>
      <c r="Y324" s="22">
        <v>0</v>
      </c>
      <c r="Z324" s="34" t="s">
        <v>50</v>
      </c>
      <c r="AA324" s="19" t="s">
        <v>901</v>
      </c>
      <c r="AB324" s="26" t="s">
        <v>104</v>
      </c>
      <c r="AC324" s="26" t="s">
        <v>53</v>
      </c>
      <c r="AD324" s="19" t="s">
        <v>138</v>
      </c>
      <c r="AE324" s="26">
        <v>0</v>
      </c>
      <c r="AF324" s="17">
        <v>45176</v>
      </c>
      <c r="AG324" s="26" t="s">
        <v>1391</v>
      </c>
      <c r="AH324" s="26">
        <v>1</v>
      </c>
      <c r="AI324" s="40" t="s">
        <v>64</v>
      </c>
      <c r="AJ324" s="26"/>
      <c r="AK324" s="26"/>
      <c r="AL324" s="35"/>
      <c r="AM324" s="35"/>
      <c r="AN324" s="35"/>
      <c r="AO324" s="35"/>
      <c r="AP324" s="35"/>
    </row>
    <row r="325" spans="1:42" x14ac:dyDescent="0.2">
      <c r="A325" s="27">
        <v>45175.211930474536</v>
      </c>
      <c r="B325" s="28" t="s">
        <v>37</v>
      </c>
      <c r="C325" s="41" t="s">
        <v>118</v>
      </c>
      <c r="D325" s="26" t="s">
        <v>36</v>
      </c>
      <c r="E325" s="26" t="s">
        <v>139</v>
      </c>
      <c r="F325" s="26" t="s">
        <v>36</v>
      </c>
      <c r="G325" s="26" t="s">
        <v>41</v>
      </c>
      <c r="H325" s="26" t="s">
        <v>1861</v>
      </c>
      <c r="I325" s="17">
        <f ca="1">IFERROR(__xludf.DUMMYFUNCTION("""COMPUTED_VALUE"""),45187)</f>
        <v>45187</v>
      </c>
      <c r="J325" s="29" t="s">
        <v>1862</v>
      </c>
      <c r="K325" s="26" t="s">
        <v>1863</v>
      </c>
      <c r="L325" s="30">
        <v>969495520</v>
      </c>
      <c r="M325" s="26" t="s">
        <v>59</v>
      </c>
      <c r="N325" s="26" t="s">
        <v>68</v>
      </c>
      <c r="O325" s="26" t="s">
        <v>1864</v>
      </c>
      <c r="P325" s="26" t="s">
        <v>1865</v>
      </c>
      <c r="Q325" s="20">
        <v>15936</v>
      </c>
      <c r="R325" s="26" t="s">
        <v>36</v>
      </c>
      <c r="S325" s="31">
        <v>15963</v>
      </c>
      <c r="T325" s="32">
        <v>45166</v>
      </c>
      <c r="U325" s="31"/>
      <c r="V325" s="26"/>
      <c r="W325" s="33" t="s">
        <v>1866</v>
      </c>
      <c r="X325" s="26">
        <v>0</v>
      </c>
      <c r="Y325" s="22">
        <v>-27</v>
      </c>
      <c r="Z325" s="34" t="s">
        <v>50</v>
      </c>
      <c r="AA325" s="19" t="s">
        <v>901</v>
      </c>
      <c r="AB325" s="26" t="s">
        <v>128</v>
      </c>
      <c r="AC325" s="26" t="s">
        <v>53</v>
      </c>
      <c r="AD325" s="19" t="s">
        <v>138</v>
      </c>
      <c r="AE325" s="26" t="s">
        <v>72</v>
      </c>
      <c r="AF325" s="17">
        <v>45187</v>
      </c>
      <c r="AG325" s="26" t="s">
        <v>1631</v>
      </c>
      <c r="AH325" s="26">
        <v>1</v>
      </c>
      <c r="AI325" s="40" t="s">
        <v>147</v>
      </c>
      <c r="AJ325" s="26"/>
      <c r="AK325" s="26"/>
      <c r="AL325" s="35"/>
      <c r="AM325" s="35"/>
      <c r="AN325" s="35"/>
      <c r="AO325" s="35"/>
      <c r="AP325" s="35"/>
    </row>
    <row r="326" spans="1:42" x14ac:dyDescent="0.2">
      <c r="A326" s="27">
        <v>45116.621635856485</v>
      </c>
      <c r="B326" s="28" t="s">
        <v>37</v>
      </c>
      <c r="C326" s="41" t="s">
        <v>118</v>
      </c>
      <c r="D326" s="26" t="s">
        <v>36</v>
      </c>
      <c r="E326" s="26" t="s">
        <v>39</v>
      </c>
      <c r="F326" s="26" t="s">
        <v>257</v>
      </c>
      <c r="G326" s="26" t="s">
        <v>108</v>
      </c>
      <c r="H326" s="26" t="s">
        <v>1748</v>
      </c>
      <c r="I326" s="17">
        <f ca="1">IFERROR(__xludf.DUMMYFUNCTION("""COMPUTED_VALUE"""),45190)</f>
        <v>45190</v>
      </c>
      <c r="J326" s="29" t="s">
        <v>945</v>
      </c>
      <c r="K326" s="26" t="s">
        <v>946</v>
      </c>
      <c r="L326" s="30">
        <v>944020238</v>
      </c>
      <c r="M326" s="26" t="s">
        <v>123</v>
      </c>
      <c r="N326" s="26" t="s">
        <v>133</v>
      </c>
      <c r="O326" s="26" t="s">
        <v>134</v>
      </c>
      <c r="P326" s="26" t="s">
        <v>947</v>
      </c>
      <c r="Q326" s="20">
        <v>5736</v>
      </c>
      <c r="R326" s="26" t="s">
        <v>36</v>
      </c>
      <c r="S326" s="31">
        <v>2000</v>
      </c>
      <c r="T326" s="32">
        <v>45116</v>
      </c>
      <c r="U326" s="31">
        <v>3768</v>
      </c>
      <c r="V326" s="38">
        <v>45146</v>
      </c>
      <c r="W326" s="33" t="s">
        <v>948</v>
      </c>
      <c r="X326" s="26">
        <v>0</v>
      </c>
      <c r="Y326" s="22">
        <v>-32</v>
      </c>
      <c r="Z326" s="34" t="s">
        <v>50</v>
      </c>
      <c r="AA326" s="19" t="s">
        <v>901</v>
      </c>
      <c r="AB326" s="26" t="s">
        <v>104</v>
      </c>
      <c r="AC326" s="26" t="s">
        <v>53</v>
      </c>
      <c r="AD326" s="19" t="s">
        <v>54</v>
      </c>
      <c r="AE326" s="26">
        <v>0</v>
      </c>
      <c r="AF326" s="17">
        <v>45181</v>
      </c>
      <c r="AG326" s="26"/>
      <c r="AH326" s="26">
        <v>2</v>
      </c>
      <c r="AI326" s="40" t="s">
        <v>55</v>
      </c>
      <c r="AJ326" s="26"/>
      <c r="AK326" s="26"/>
      <c r="AL326" s="35"/>
      <c r="AM326" s="35"/>
      <c r="AN326" s="35"/>
      <c r="AO326" s="35"/>
      <c r="AP326" s="35"/>
    </row>
    <row r="327" spans="1:42" x14ac:dyDescent="0.2">
      <c r="A327" s="27">
        <v>45110.141500324069</v>
      </c>
      <c r="B327" s="28" t="s">
        <v>37</v>
      </c>
      <c r="C327" s="41" t="s">
        <v>118</v>
      </c>
      <c r="D327" s="26" t="s">
        <v>36</v>
      </c>
      <c r="E327" s="26" t="s">
        <v>56</v>
      </c>
      <c r="F327" s="26" t="s">
        <v>107</v>
      </c>
      <c r="G327" s="26" t="s">
        <v>108</v>
      </c>
      <c r="H327" s="26" t="s">
        <v>109</v>
      </c>
      <c r="I327" s="17">
        <f ca="1">IFERROR(__xludf.DUMMYFUNCTION("""COMPUTED_VALUE"""),45117)</f>
        <v>45117</v>
      </c>
      <c r="J327" s="29" t="s">
        <v>1867</v>
      </c>
      <c r="K327" s="26" t="s">
        <v>1868</v>
      </c>
      <c r="L327" s="30">
        <v>827433766</v>
      </c>
      <c r="M327" s="26" t="s">
        <v>112</v>
      </c>
      <c r="N327" s="26" t="s">
        <v>113</v>
      </c>
      <c r="O327" s="26" t="s">
        <v>36</v>
      </c>
      <c r="P327" s="26" t="s">
        <v>1869</v>
      </c>
      <c r="Q327" s="20">
        <v>9317</v>
      </c>
      <c r="R327" s="26" t="s">
        <v>36</v>
      </c>
      <c r="S327" s="31">
        <v>9217</v>
      </c>
      <c r="T327" s="32">
        <v>45026</v>
      </c>
      <c r="U327" s="31"/>
      <c r="V327" s="26"/>
      <c r="W327" s="33" t="s">
        <v>1870</v>
      </c>
      <c r="X327" s="26">
        <v>0</v>
      </c>
      <c r="Y327" s="22">
        <v>100</v>
      </c>
      <c r="Z327" s="26" t="s">
        <v>118</v>
      </c>
      <c r="AA327" s="19" t="s">
        <v>1871</v>
      </c>
      <c r="AB327" s="26" t="s">
        <v>116</v>
      </c>
      <c r="AC327" s="26" t="s">
        <v>53</v>
      </c>
      <c r="AD327" s="19" t="s">
        <v>54</v>
      </c>
      <c r="AE327" s="26" t="s">
        <v>1872</v>
      </c>
      <c r="AF327" s="17">
        <v>45112</v>
      </c>
      <c r="AG327" s="26"/>
      <c r="AH327" s="26">
        <v>1</v>
      </c>
      <c r="AI327" s="40" t="s">
        <v>64</v>
      </c>
      <c r="AJ327" s="26"/>
      <c r="AK327" s="26"/>
      <c r="AL327" s="35"/>
      <c r="AM327" s="35"/>
      <c r="AN327" s="35"/>
      <c r="AO327" s="35"/>
      <c r="AP327" s="35"/>
    </row>
    <row r="328" spans="1:42" x14ac:dyDescent="0.2">
      <c r="A328" s="27">
        <v>45110.144747361112</v>
      </c>
      <c r="B328" s="28" t="s">
        <v>37</v>
      </c>
      <c r="C328" s="41" t="s">
        <v>118</v>
      </c>
      <c r="D328" s="26" t="s">
        <v>36</v>
      </c>
      <c r="E328" s="26" t="s">
        <v>39</v>
      </c>
      <c r="F328" s="26" t="s">
        <v>107</v>
      </c>
      <c r="G328" s="26" t="s">
        <v>108</v>
      </c>
      <c r="H328" s="26" t="s">
        <v>1873</v>
      </c>
      <c r="I328" s="17" t="str">
        <f ca="1">IFERROR(__xludf.DUMMYFUNCTION("""COMPUTED_VALUE""")," ")</f>
        <v xml:space="preserve"> </v>
      </c>
      <c r="J328" s="29" t="s">
        <v>1874</v>
      </c>
      <c r="K328" s="26" t="s">
        <v>1875</v>
      </c>
      <c r="L328" s="30">
        <v>332353988</v>
      </c>
      <c r="M328" s="26" t="s">
        <v>112</v>
      </c>
      <c r="N328" s="26" t="s">
        <v>113</v>
      </c>
      <c r="O328" s="26" t="s">
        <v>36</v>
      </c>
      <c r="P328" s="26" t="s">
        <v>1876</v>
      </c>
      <c r="Q328" s="20">
        <v>5736</v>
      </c>
      <c r="R328" s="26" t="s">
        <v>36</v>
      </c>
      <c r="S328" s="31">
        <v>5636</v>
      </c>
      <c r="T328" s="32">
        <v>45040</v>
      </c>
      <c r="U328" s="31"/>
      <c r="V328" s="26"/>
      <c r="W328" s="26"/>
      <c r="X328" s="26">
        <v>0</v>
      </c>
      <c r="Y328" s="22">
        <v>100</v>
      </c>
      <c r="Z328" s="26" t="s">
        <v>118</v>
      </c>
      <c r="AA328" s="19" t="s">
        <v>1871</v>
      </c>
      <c r="AB328" s="26" t="s">
        <v>116</v>
      </c>
      <c r="AC328" s="26" t="s">
        <v>53</v>
      </c>
      <c r="AD328" s="19" t="s">
        <v>54</v>
      </c>
      <c r="AE328" s="26" t="s">
        <v>1877</v>
      </c>
      <c r="AF328" s="17">
        <v>45112</v>
      </c>
      <c r="AG328" s="26"/>
      <c r="AH328" s="26">
        <v>1</v>
      </c>
      <c r="AI328" s="40" t="s">
        <v>55</v>
      </c>
      <c r="AJ328" s="26"/>
      <c r="AK328" s="26"/>
      <c r="AL328" s="35"/>
      <c r="AM328" s="35"/>
      <c r="AN328" s="35"/>
      <c r="AO328" s="35"/>
      <c r="AP328" s="35"/>
    </row>
    <row r="329" spans="1:42" x14ac:dyDescent="0.2">
      <c r="A329" s="27">
        <v>44867.972969537033</v>
      </c>
      <c r="B329" s="28" t="s">
        <v>37</v>
      </c>
      <c r="C329" s="41" t="s">
        <v>118</v>
      </c>
      <c r="D329" s="26" t="s">
        <v>36</v>
      </c>
      <c r="E329" s="26" t="s">
        <v>56</v>
      </c>
      <c r="F329" s="35" t="s">
        <v>1878</v>
      </c>
      <c r="G329" s="26" t="s">
        <v>41</v>
      </c>
      <c r="H329" s="26" t="s">
        <v>42</v>
      </c>
      <c r="I329" s="17">
        <f ca="1">IFERROR(__xludf.DUMMYFUNCTION("""COMPUTED_VALUE"""),45118)</f>
        <v>45118</v>
      </c>
      <c r="J329" s="29" t="s">
        <v>1879</v>
      </c>
      <c r="K329" s="26" t="s">
        <v>1880</v>
      </c>
      <c r="L329" s="30">
        <v>36204007427</v>
      </c>
      <c r="M329" s="26" t="s">
        <v>123</v>
      </c>
      <c r="N329" s="26" t="s">
        <v>1881</v>
      </c>
      <c r="O329" s="26">
        <v>36204007427</v>
      </c>
      <c r="P329" s="35"/>
      <c r="Q329" s="20">
        <v>9317</v>
      </c>
      <c r="R329" s="35" t="s">
        <v>36</v>
      </c>
      <c r="S329" s="31">
        <v>8000</v>
      </c>
      <c r="T329" s="32">
        <v>44867</v>
      </c>
      <c r="U329" s="31">
        <v>8799</v>
      </c>
      <c r="V329" s="32">
        <v>44891</v>
      </c>
      <c r="W329" s="26" t="s">
        <v>1882</v>
      </c>
      <c r="X329" s="35">
        <v>0</v>
      </c>
      <c r="Y329" s="22">
        <v>-7482</v>
      </c>
      <c r="Z329" s="35" t="s">
        <v>118</v>
      </c>
      <c r="AA329" s="19" t="s">
        <v>1883</v>
      </c>
      <c r="AB329" s="35"/>
      <c r="AC329" s="35"/>
      <c r="AD329" s="19"/>
      <c r="AE329" s="19"/>
      <c r="AF329" s="17">
        <v>45112</v>
      </c>
      <c r="AG329" s="70" t="s">
        <v>1884</v>
      </c>
      <c r="AH329" s="36">
        <v>1</v>
      </c>
      <c r="AI329" s="37" t="s">
        <v>64</v>
      </c>
      <c r="AJ329" s="35"/>
      <c r="AK329" s="35"/>
      <c r="AL329" s="35"/>
      <c r="AM329" s="35"/>
      <c r="AN329" s="35"/>
      <c r="AO329" s="35"/>
      <c r="AP329" s="35"/>
    </row>
    <row r="330" spans="1:42" x14ac:dyDescent="0.2">
      <c r="A330" s="27">
        <v>45111.103253923611</v>
      </c>
      <c r="B330" s="28" t="s">
        <v>37</v>
      </c>
      <c r="C330" s="41" t="s">
        <v>118</v>
      </c>
      <c r="D330" s="26" t="s">
        <v>36</v>
      </c>
      <c r="E330" s="26" t="s">
        <v>148</v>
      </c>
      <c r="F330" s="26" t="s">
        <v>1885</v>
      </c>
      <c r="G330" s="26" t="s">
        <v>221</v>
      </c>
      <c r="H330" s="26" t="s">
        <v>1886</v>
      </c>
      <c r="I330" s="17">
        <f ca="1">IFERROR(__xludf.DUMMYFUNCTION("""COMPUTED_VALUE"""),45117)</f>
        <v>45117</v>
      </c>
      <c r="J330" s="29" t="s">
        <v>1887</v>
      </c>
      <c r="K330" s="26" t="s">
        <v>1888</v>
      </c>
      <c r="L330" s="30">
        <v>968106223</v>
      </c>
      <c r="M330" s="26" t="s">
        <v>112</v>
      </c>
      <c r="N330" s="26" t="s">
        <v>1673</v>
      </c>
      <c r="O330" s="26" t="s">
        <v>91</v>
      </c>
      <c r="P330" s="26" t="s">
        <v>1889</v>
      </c>
      <c r="Q330" s="20">
        <v>7349</v>
      </c>
      <c r="R330" s="26" t="s">
        <v>36</v>
      </c>
      <c r="S330" s="31">
        <v>2000</v>
      </c>
      <c r="T330" s="32">
        <v>44938</v>
      </c>
      <c r="U330" s="50">
        <v>4336</v>
      </c>
      <c r="V330" s="32" t="s">
        <v>1890</v>
      </c>
      <c r="W330" s="26" t="s">
        <v>1891</v>
      </c>
      <c r="X330" s="26">
        <v>100</v>
      </c>
      <c r="Y330" s="22">
        <v>813</v>
      </c>
      <c r="Z330" s="26" t="s">
        <v>118</v>
      </c>
      <c r="AA330" s="19" t="s">
        <v>1871</v>
      </c>
      <c r="AB330" s="26" t="s">
        <v>52</v>
      </c>
      <c r="AC330" s="26" t="s">
        <v>53</v>
      </c>
      <c r="AD330" s="19" t="s">
        <v>54</v>
      </c>
      <c r="AE330" s="26">
        <v>635</v>
      </c>
      <c r="AF330" s="17">
        <v>45112</v>
      </c>
      <c r="AG330" s="26"/>
      <c r="AH330" s="26">
        <v>1</v>
      </c>
      <c r="AI330" s="40">
        <v>2</v>
      </c>
      <c r="AJ330" s="26"/>
      <c r="AK330" s="26"/>
      <c r="AL330" s="35"/>
      <c r="AM330" s="35"/>
      <c r="AN330" s="35"/>
      <c r="AO330" s="35"/>
      <c r="AP330" s="35"/>
    </row>
    <row r="331" spans="1:42" x14ac:dyDescent="0.2">
      <c r="A331" s="27">
        <v>45111.107357210647</v>
      </c>
      <c r="B331" s="28" t="s">
        <v>37</v>
      </c>
      <c r="C331" s="41" t="s">
        <v>118</v>
      </c>
      <c r="D331" s="26" t="s">
        <v>36</v>
      </c>
      <c r="E331" s="26" t="s">
        <v>39</v>
      </c>
      <c r="F331" s="26" t="s">
        <v>1892</v>
      </c>
      <c r="G331" s="26" t="s">
        <v>108</v>
      </c>
      <c r="H331" s="26" t="s">
        <v>172</v>
      </c>
      <c r="I331" s="17">
        <f ca="1">IFERROR(__xludf.DUMMYFUNCTION("""COMPUTED_VALUE"""),45121)</f>
        <v>45121</v>
      </c>
      <c r="J331" s="29" t="s">
        <v>1893</v>
      </c>
      <c r="K331" s="26" t="s">
        <v>1894</v>
      </c>
      <c r="L331" s="30">
        <v>865522942</v>
      </c>
      <c r="M331" s="26" t="s">
        <v>112</v>
      </c>
      <c r="N331" s="26" t="s">
        <v>1673</v>
      </c>
      <c r="O331" s="26" t="s">
        <v>91</v>
      </c>
      <c r="P331" s="26" t="s">
        <v>1895</v>
      </c>
      <c r="Q331" s="20">
        <v>5736</v>
      </c>
      <c r="R331" s="26" t="s">
        <v>36</v>
      </c>
      <c r="S331" s="31">
        <v>5636</v>
      </c>
      <c r="T331" s="32">
        <v>44992</v>
      </c>
      <c r="U331" s="31"/>
      <c r="V331" s="26"/>
      <c r="W331" s="26"/>
      <c r="X331" s="26">
        <v>0</v>
      </c>
      <c r="Y331" s="22">
        <v>100</v>
      </c>
      <c r="Z331" s="26" t="s">
        <v>118</v>
      </c>
      <c r="AA331" s="19" t="s">
        <v>1871</v>
      </c>
      <c r="AB331" s="26" t="s">
        <v>116</v>
      </c>
      <c r="AC331" s="26" t="s">
        <v>53</v>
      </c>
      <c r="AD331" s="19" t="s">
        <v>54</v>
      </c>
      <c r="AE331" s="26" t="s">
        <v>1896</v>
      </c>
      <c r="AF331" s="17">
        <v>45112</v>
      </c>
      <c r="AG331" s="26"/>
      <c r="AH331" s="26">
        <v>1</v>
      </c>
      <c r="AI331" s="40" t="s">
        <v>55</v>
      </c>
      <c r="AJ331" s="26"/>
      <c r="AK331" s="26"/>
      <c r="AL331" s="35"/>
      <c r="AM331" s="35"/>
      <c r="AN331" s="35"/>
      <c r="AO331" s="35"/>
      <c r="AP331" s="35"/>
    </row>
    <row r="332" spans="1:42" x14ac:dyDescent="0.2">
      <c r="A332" s="27">
        <v>45112.342587812498</v>
      </c>
      <c r="B332" s="28" t="s">
        <v>37</v>
      </c>
      <c r="C332" s="41" t="s">
        <v>118</v>
      </c>
      <c r="D332" s="26" t="s">
        <v>36</v>
      </c>
      <c r="E332" s="26" t="s">
        <v>39</v>
      </c>
      <c r="F332" s="26" t="s">
        <v>1897</v>
      </c>
      <c r="G332" s="26" t="s">
        <v>108</v>
      </c>
      <c r="H332" s="26" t="s">
        <v>109</v>
      </c>
      <c r="I332" s="17">
        <f ca="1">IFERROR(__xludf.DUMMYFUNCTION("""COMPUTED_VALUE"""),45117)</f>
        <v>45117</v>
      </c>
      <c r="J332" s="29" t="s">
        <v>1898</v>
      </c>
      <c r="K332" s="26" t="s">
        <v>1899</v>
      </c>
      <c r="L332" s="30">
        <v>942595228</v>
      </c>
      <c r="M332" s="26" t="s">
        <v>94</v>
      </c>
      <c r="N332" s="26" t="s">
        <v>1900</v>
      </c>
      <c r="O332" s="26" t="s">
        <v>91</v>
      </c>
      <c r="P332" s="26" t="s">
        <v>1901</v>
      </c>
      <c r="Q332" s="20">
        <v>5736</v>
      </c>
      <c r="R332" s="26" t="s">
        <v>36</v>
      </c>
      <c r="S332" s="31">
        <v>5639</v>
      </c>
      <c r="T332" s="32">
        <v>45184</v>
      </c>
      <c r="U332" s="31"/>
      <c r="V332" s="26"/>
      <c r="W332" s="26"/>
      <c r="X332" s="26">
        <v>0</v>
      </c>
      <c r="Y332" s="22">
        <v>97</v>
      </c>
      <c r="Z332" s="26" t="s">
        <v>118</v>
      </c>
      <c r="AA332" s="19" t="s">
        <v>1871</v>
      </c>
      <c r="AB332" s="26" t="s">
        <v>116</v>
      </c>
      <c r="AC332" s="26" t="s">
        <v>53</v>
      </c>
      <c r="AD332" s="19" t="s">
        <v>54</v>
      </c>
      <c r="AE332" s="26" t="s">
        <v>1902</v>
      </c>
      <c r="AF332" s="17">
        <v>45115</v>
      </c>
      <c r="AG332" s="26"/>
      <c r="AH332" s="26">
        <v>1</v>
      </c>
      <c r="AI332" s="40" t="s">
        <v>55</v>
      </c>
      <c r="AJ332" s="26"/>
      <c r="AK332" s="26"/>
      <c r="AL332" s="35"/>
      <c r="AM332" s="35"/>
      <c r="AN332" s="35"/>
      <c r="AO332" s="35"/>
      <c r="AP332" s="35"/>
    </row>
    <row r="333" spans="1:42" x14ac:dyDescent="0.2">
      <c r="A333" s="27">
        <v>45112.39379746528</v>
      </c>
      <c r="B333" s="28" t="s">
        <v>37</v>
      </c>
      <c r="C333" s="41" t="s">
        <v>118</v>
      </c>
      <c r="D333" s="26" t="s">
        <v>36</v>
      </c>
      <c r="E333" s="26" t="s">
        <v>148</v>
      </c>
      <c r="F333" s="26" t="s">
        <v>1903</v>
      </c>
      <c r="G333" s="26" t="s">
        <v>108</v>
      </c>
      <c r="H333" s="26" t="s">
        <v>109</v>
      </c>
      <c r="I333" s="17">
        <f ca="1">IFERROR(__xludf.DUMMYFUNCTION("""COMPUTED_VALUE"""),45117)</f>
        <v>45117</v>
      </c>
      <c r="J333" s="29" t="s">
        <v>1904</v>
      </c>
      <c r="K333" s="26" t="s">
        <v>1905</v>
      </c>
      <c r="L333" s="30">
        <v>384693073</v>
      </c>
      <c r="M333" s="26" t="s">
        <v>749</v>
      </c>
      <c r="N333" s="26" t="s">
        <v>327</v>
      </c>
      <c r="O333" s="26" t="s">
        <v>91</v>
      </c>
      <c r="P333" s="26" t="s">
        <v>1906</v>
      </c>
      <c r="Q333" s="20">
        <v>3768</v>
      </c>
      <c r="R333" s="26" t="s">
        <v>36</v>
      </c>
      <c r="S333" s="31">
        <v>5000</v>
      </c>
      <c r="T333" s="32">
        <v>44844</v>
      </c>
      <c r="U333" s="31">
        <v>8615</v>
      </c>
      <c r="V333" s="32">
        <v>44865</v>
      </c>
      <c r="W333" s="33" t="s">
        <v>1907</v>
      </c>
      <c r="X333" s="26">
        <v>0</v>
      </c>
      <c r="Y333" s="22">
        <v>-9847</v>
      </c>
      <c r="Z333" s="26" t="s">
        <v>118</v>
      </c>
      <c r="AA333" s="19" t="s">
        <v>1871</v>
      </c>
      <c r="AB333" s="26" t="s">
        <v>116</v>
      </c>
      <c r="AC333" s="26" t="s">
        <v>53</v>
      </c>
      <c r="AD333" s="19" t="s">
        <v>54</v>
      </c>
      <c r="AE333" s="26">
        <v>420</v>
      </c>
      <c r="AF333" s="17">
        <v>45115</v>
      </c>
      <c r="AG333" s="26"/>
      <c r="AH333" s="26">
        <v>1</v>
      </c>
      <c r="AI333" s="40">
        <v>1</v>
      </c>
      <c r="AJ333" s="26"/>
      <c r="AK333" s="26"/>
      <c r="AL333" s="35"/>
      <c r="AM333" s="35"/>
      <c r="AN333" s="35"/>
      <c r="AO333" s="35"/>
      <c r="AP333" s="35"/>
    </row>
    <row r="334" spans="1:42" x14ac:dyDescent="0.2">
      <c r="A334" s="27">
        <v>45113.113603738428</v>
      </c>
      <c r="B334" s="28" t="s">
        <v>90</v>
      </c>
      <c r="C334" s="41" t="s">
        <v>118</v>
      </c>
      <c r="D334" s="26" t="s">
        <v>36</v>
      </c>
      <c r="E334" s="26" t="s">
        <v>148</v>
      </c>
      <c r="F334" s="26" t="s">
        <v>91</v>
      </c>
      <c r="G334" s="26" t="s">
        <v>108</v>
      </c>
      <c r="H334" s="26" t="s">
        <v>1908</v>
      </c>
      <c r="I334" s="17" t="str">
        <f ca="1">IFERROR(__xludf.DUMMYFUNCTION("""COMPUTED_VALUE""")," ")</f>
        <v xml:space="preserve"> </v>
      </c>
      <c r="J334" s="44" t="s">
        <v>1909</v>
      </c>
      <c r="K334" s="26" t="s">
        <v>1910</v>
      </c>
      <c r="L334" s="30">
        <v>765881307</v>
      </c>
      <c r="M334" s="26" t="s">
        <v>749</v>
      </c>
      <c r="N334" s="26" t="s">
        <v>1911</v>
      </c>
      <c r="O334" s="26" t="s">
        <v>91</v>
      </c>
      <c r="P334" s="26" t="s">
        <v>1912</v>
      </c>
      <c r="Q334" s="20">
        <v>3768</v>
      </c>
      <c r="R334" s="26" t="s">
        <v>36</v>
      </c>
      <c r="S334" s="31">
        <v>16779</v>
      </c>
      <c r="T334" s="32">
        <v>44830</v>
      </c>
      <c r="U334" s="31"/>
      <c r="V334" s="26"/>
      <c r="W334" s="26" t="s">
        <v>1913</v>
      </c>
      <c r="X334" s="26">
        <v>0</v>
      </c>
      <c r="Y334" s="22">
        <v>-13011</v>
      </c>
      <c r="Z334" s="26" t="s">
        <v>118</v>
      </c>
      <c r="AA334" s="19" t="s">
        <v>1871</v>
      </c>
      <c r="AB334" s="26" t="s">
        <v>116</v>
      </c>
      <c r="AC334" s="26" t="s">
        <v>53</v>
      </c>
      <c r="AD334" s="19" t="s">
        <v>54</v>
      </c>
      <c r="AE334" s="26">
        <v>400</v>
      </c>
      <c r="AF334" s="17">
        <v>45115</v>
      </c>
      <c r="AG334" s="26" t="s">
        <v>1914</v>
      </c>
      <c r="AH334" s="26">
        <v>1</v>
      </c>
      <c r="AI334" s="40">
        <v>1</v>
      </c>
      <c r="AJ334" s="26"/>
      <c r="AK334" s="26"/>
      <c r="AL334" s="35"/>
      <c r="AM334" s="35"/>
      <c r="AN334" s="35"/>
      <c r="AO334" s="35"/>
      <c r="AP334" s="35"/>
    </row>
    <row r="335" spans="1:42" x14ac:dyDescent="0.2">
      <c r="A335" s="27">
        <v>45113.333005208333</v>
      </c>
      <c r="B335" s="28" t="s">
        <v>37</v>
      </c>
      <c r="C335" s="41" t="s">
        <v>118</v>
      </c>
      <c r="D335" s="26" t="s">
        <v>36</v>
      </c>
      <c r="E335" s="26" t="s">
        <v>39</v>
      </c>
      <c r="F335" s="26" t="s">
        <v>107</v>
      </c>
      <c r="G335" s="26" t="s">
        <v>108</v>
      </c>
      <c r="H335" s="26" t="s">
        <v>120</v>
      </c>
      <c r="I335" s="17">
        <f ca="1">IFERROR(__xludf.DUMMYFUNCTION("""COMPUTED_VALUE"""),45125)</f>
        <v>45125</v>
      </c>
      <c r="J335" s="29" t="s">
        <v>1915</v>
      </c>
      <c r="K335" s="26" t="s">
        <v>1916</v>
      </c>
      <c r="L335" s="30">
        <v>393225685</v>
      </c>
      <c r="M335" s="26" t="s">
        <v>112</v>
      </c>
      <c r="N335" s="26" t="s">
        <v>113</v>
      </c>
      <c r="O335" s="26" t="s">
        <v>36</v>
      </c>
      <c r="P335" s="26" t="s">
        <v>1917</v>
      </c>
      <c r="Q335" s="20">
        <v>5736</v>
      </c>
      <c r="R335" s="26" t="s">
        <v>36</v>
      </c>
      <c r="S335" s="31">
        <v>1500</v>
      </c>
      <c r="T335" s="32">
        <v>44915</v>
      </c>
      <c r="U335" s="31">
        <v>5890</v>
      </c>
      <c r="V335" s="26"/>
      <c r="W335" s="26"/>
      <c r="X335" s="26">
        <v>0</v>
      </c>
      <c r="Y335" s="22">
        <v>-1654</v>
      </c>
      <c r="Z335" s="26" t="s">
        <v>118</v>
      </c>
      <c r="AA335" s="19" t="s">
        <v>1871</v>
      </c>
      <c r="AB335" s="26" t="s">
        <v>104</v>
      </c>
      <c r="AC335" s="26" t="s">
        <v>53</v>
      </c>
      <c r="AD335" s="19" t="s">
        <v>54</v>
      </c>
      <c r="AE335" s="26" t="s">
        <v>1918</v>
      </c>
      <c r="AF335" s="17">
        <v>45149</v>
      </c>
      <c r="AG335" s="26" t="s">
        <v>1919</v>
      </c>
      <c r="AH335" s="26">
        <v>1</v>
      </c>
      <c r="AI335" s="40" t="s">
        <v>55</v>
      </c>
      <c r="AJ335" s="26"/>
      <c r="AK335" s="26"/>
      <c r="AL335" s="35"/>
      <c r="AM335" s="35"/>
      <c r="AN335" s="35"/>
      <c r="AO335" s="35"/>
      <c r="AP335" s="35"/>
    </row>
    <row r="336" spans="1:42" x14ac:dyDescent="0.2">
      <c r="A336" s="27">
        <v>45113.583492662037</v>
      </c>
      <c r="B336" s="28" t="s">
        <v>37</v>
      </c>
      <c r="C336" s="41" t="s">
        <v>118</v>
      </c>
      <c r="D336" s="26" t="s">
        <v>36</v>
      </c>
      <c r="E336" s="26" t="s">
        <v>148</v>
      </c>
      <c r="F336" s="26" t="s">
        <v>1885</v>
      </c>
      <c r="G336" s="26" t="s">
        <v>221</v>
      </c>
      <c r="H336" s="26" t="s">
        <v>222</v>
      </c>
      <c r="I336" s="17">
        <f ca="1">IFERROR(__xludf.DUMMYFUNCTION("""COMPUTED_VALUE"""),45132)</f>
        <v>45132</v>
      </c>
      <c r="J336" s="29" t="s">
        <v>1920</v>
      </c>
      <c r="K336" s="26" t="s">
        <v>1921</v>
      </c>
      <c r="L336" s="30">
        <v>342242759</v>
      </c>
      <c r="M336" s="26" t="s">
        <v>112</v>
      </c>
      <c r="N336" s="26" t="s">
        <v>113</v>
      </c>
      <c r="O336" s="26" t="s">
        <v>36</v>
      </c>
      <c r="P336" s="26" t="s">
        <v>1922</v>
      </c>
      <c r="Q336" s="20">
        <v>7349</v>
      </c>
      <c r="R336" s="26" t="s">
        <v>36</v>
      </c>
      <c r="S336" s="31">
        <v>9000</v>
      </c>
      <c r="T336" s="32">
        <v>44835</v>
      </c>
      <c r="U336" s="31">
        <v>5055</v>
      </c>
      <c r="V336" s="32">
        <v>44840</v>
      </c>
      <c r="W336" s="26"/>
      <c r="X336" s="26">
        <v>0</v>
      </c>
      <c r="Y336" s="22">
        <v>-6706</v>
      </c>
      <c r="Z336" s="26" t="s">
        <v>118</v>
      </c>
      <c r="AA336" s="19" t="s">
        <v>1871</v>
      </c>
      <c r="AB336" s="26" t="s">
        <v>104</v>
      </c>
      <c r="AC336" s="26" t="s">
        <v>53</v>
      </c>
      <c r="AD336" s="19" t="s">
        <v>54</v>
      </c>
      <c r="AE336" s="26"/>
      <c r="AF336" s="17">
        <v>45117</v>
      </c>
      <c r="AG336" s="26"/>
      <c r="AH336" s="26">
        <v>1</v>
      </c>
      <c r="AI336" s="40">
        <v>2</v>
      </c>
      <c r="AJ336" s="26"/>
      <c r="AK336" s="26"/>
      <c r="AL336" s="35"/>
      <c r="AM336" s="35"/>
      <c r="AN336" s="35"/>
      <c r="AO336" s="35"/>
      <c r="AP336" s="35"/>
    </row>
    <row r="337" spans="1:42" x14ac:dyDescent="0.2">
      <c r="A337" s="27">
        <v>45114.143549791668</v>
      </c>
      <c r="B337" s="28" t="s">
        <v>37</v>
      </c>
      <c r="C337" s="41" t="s">
        <v>118</v>
      </c>
      <c r="D337" s="26" t="s">
        <v>36</v>
      </c>
      <c r="E337" s="26" t="s">
        <v>148</v>
      </c>
      <c r="F337" s="26" t="s">
        <v>1923</v>
      </c>
      <c r="G337" s="26" t="s">
        <v>108</v>
      </c>
      <c r="H337" s="26" t="s">
        <v>172</v>
      </c>
      <c r="I337" s="17">
        <f ca="1">IFERROR(__xludf.DUMMYFUNCTION("""COMPUTED_VALUE"""),45121)</f>
        <v>45121</v>
      </c>
      <c r="J337" s="29" t="s">
        <v>1924</v>
      </c>
      <c r="K337" s="26" t="s">
        <v>1742</v>
      </c>
      <c r="L337" s="30">
        <v>396364598</v>
      </c>
      <c r="M337" s="26" t="s">
        <v>749</v>
      </c>
      <c r="N337" s="26" t="s">
        <v>68</v>
      </c>
      <c r="O337" s="26" t="s">
        <v>91</v>
      </c>
      <c r="P337" s="26" t="s">
        <v>1925</v>
      </c>
      <c r="Q337" s="20">
        <v>3768</v>
      </c>
      <c r="R337" s="26" t="s">
        <v>36</v>
      </c>
      <c r="S337" s="31">
        <v>4000</v>
      </c>
      <c r="T337" s="38">
        <v>44767</v>
      </c>
      <c r="U337" s="31">
        <v>9468</v>
      </c>
      <c r="V337" s="32">
        <v>44774</v>
      </c>
      <c r="W337" s="33" t="s">
        <v>1926</v>
      </c>
      <c r="X337" s="26">
        <v>0</v>
      </c>
      <c r="Y337" s="22">
        <v>-9700</v>
      </c>
      <c r="Z337" s="26" t="s">
        <v>118</v>
      </c>
      <c r="AA337" s="19" t="s">
        <v>1871</v>
      </c>
      <c r="AB337" s="26" t="s">
        <v>116</v>
      </c>
      <c r="AC337" s="26" t="s">
        <v>53</v>
      </c>
      <c r="AD337" s="19" t="s">
        <v>54</v>
      </c>
      <c r="AE337" s="26">
        <v>340</v>
      </c>
      <c r="AF337" s="17">
        <v>45115</v>
      </c>
      <c r="AG337" s="26"/>
      <c r="AH337" s="26">
        <v>1</v>
      </c>
      <c r="AI337" s="40">
        <v>1</v>
      </c>
      <c r="AJ337" s="26"/>
      <c r="AK337" s="26"/>
      <c r="AL337" s="35"/>
      <c r="AM337" s="35"/>
      <c r="AN337" s="35"/>
      <c r="AO337" s="35"/>
      <c r="AP337" s="35"/>
    </row>
    <row r="338" spans="1:42" x14ac:dyDescent="0.2">
      <c r="A338" s="27">
        <v>45114.309524317126</v>
      </c>
      <c r="B338" s="28" t="s">
        <v>37</v>
      </c>
      <c r="C338" s="41" t="s">
        <v>118</v>
      </c>
      <c r="D338" s="26" t="s">
        <v>36</v>
      </c>
      <c r="E338" s="26" t="s">
        <v>148</v>
      </c>
      <c r="F338" s="26" t="s">
        <v>1927</v>
      </c>
      <c r="G338" s="26" t="s">
        <v>108</v>
      </c>
      <c r="H338" s="26" t="s">
        <v>120</v>
      </c>
      <c r="I338" s="17">
        <f ca="1">IFERROR(__xludf.DUMMYFUNCTION("""COMPUTED_VALUE"""),45125)</f>
        <v>45125</v>
      </c>
      <c r="J338" s="29" t="s">
        <v>1928</v>
      </c>
      <c r="K338" s="26" t="s">
        <v>1929</v>
      </c>
      <c r="L338" s="30">
        <v>818889997</v>
      </c>
      <c r="M338" s="26" t="s">
        <v>749</v>
      </c>
      <c r="N338" s="26" t="s">
        <v>756</v>
      </c>
      <c r="O338" s="26" t="s">
        <v>91</v>
      </c>
      <c r="P338" s="26" t="s">
        <v>1930</v>
      </c>
      <c r="Q338" s="20">
        <v>3768</v>
      </c>
      <c r="R338" s="26" t="s">
        <v>36</v>
      </c>
      <c r="S338" s="31">
        <v>10534</v>
      </c>
      <c r="T338" s="32">
        <v>44980</v>
      </c>
      <c r="U338" s="31"/>
      <c r="V338" s="26"/>
      <c r="W338" s="33" t="s">
        <v>1931</v>
      </c>
      <c r="X338" s="26">
        <v>0</v>
      </c>
      <c r="Y338" s="22">
        <v>-6766</v>
      </c>
      <c r="Z338" s="26" t="s">
        <v>118</v>
      </c>
      <c r="AA338" s="19" t="s">
        <v>1871</v>
      </c>
      <c r="AB338" s="26" t="s">
        <v>116</v>
      </c>
      <c r="AC338" s="26" t="s">
        <v>53</v>
      </c>
      <c r="AD338" s="19" t="s">
        <v>54</v>
      </c>
      <c r="AE338" s="26">
        <v>370</v>
      </c>
      <c r="AF338" s="17">
        <v>45117</v>
      </c>
      <c r="AG338" s="26"/>
      <c r="AH338" s="26">
        <v>1</v>
      </c>
      <c r="AI338" s="40">
        <v>1</v>
      </c>
      <c r="AJ338" s="26"/>
      <c r="AK338" s="26"/>
      <c r="AL338" s="35"/>
      <c r="AM338" s="35"/>
      <c r="AN338" s="35"/>
      <c r="AO338" s="35"/>
      <c r="AP338" s="35"/>
    </row>
    <row r="339" spans="1:42" x14ac:dyDescent="0.2">
      <c r="A339" s="27">
        <v>45116.476572650463</v>
      </c>
      <c r="B339" s="28" t="s">
        <v>37</v>
      </c>
      <c r="C339" s="41" t="s">
        <v>118</v>
      </c>
      <c r="D339" s="26" t="s">
        <v>36</v>
      </c>
      <c r="E339" s="26" t="s">
        <v>219</v>
      </c>
      <c r="F339" s="26" t="s">
        <v>575</v>
      </c>
      <c r="G339" s="26" t="s">
        <v>221</v>
      </c>
      <c r="H339" s="26" t="s">
        <v>222</v>
      </c>
      <c r="I339" s="17">
        <f ca="1">IFERROR(__xludf.DUMMYFUNCTION("""COMPUTED_VALUE"""),45132)</f>
        <v>45132</v>
      </c>
      <c r="J339" s="29" t="s">
        <v>1932</v>
      </c>
      <c r="K339" s="26" t="s">
        <v>1933</v>
      </c>
      <c r="L339" s="30">
        <v>395709592</v>
      </c>
      <c r="M339" s="26" t="s">
        <v>112</v>
      </c>
      <c r="N339" s="26" t="s">
        <v>1934</v>
      </c>
      <c r="O339" s="26" t="s">
        <v>36</v>
      </c>
      <c r="P339" s="26" t="s">
        <v>1935</v>
      </c>
      <c r="Q339" s="20">
        <v>3968</v>
      </c>
      <c r="R339" s="26" t="s">
        <v>36</v>
      </c>
      <c r="S339" s="31">
        <v>7349</v>
      </c>
      <c r="T339" s="32">
        <v>44927</v>
      </c>
      <c r="U339" s="31"/>
      <c r="V339" s="26"/>
      <c r="W339" s="26"/>
      <c r="X339" s="26">
        <v>0</v>
      </c>
      <c r="Y339" s="22">
        <v>-3381</v>
      </c>
      <c r="Z339" s="26" t="s">
        <v>118</v>
      </c>
      <c r="AA339" s="19" t="s">
        <v>1871</v>
      </c>
      <c r="AB339" s="26" t="s">
        <v>104</v>
      </c>
      <c r="AC339" s="26" t="s">
        <v>53</v>
      </c>
      <c r="AD339" s="19" t="s">
        <v>54</v>
      </c>
      <c r="AE339" s="26">
        <v>515</v>
      </c>
      <c r="AF339" s="17">
        <v>45117</v>
      </c>
      <c r="AG339" s="26"/>
      <c r="AH339" s="26">
        <v>1</v>
      </c>
      <c r="AI339" s="40">
        <v>1</v>
      </c>
      <c r="AJ339" s="26"/>
      <c r="AK339" s="26"/>
      <c r="AL339" s="35"/>
      <c r="AM339" s="35"/>
      <c r="AN339" s="35"/>
      <c r="AO339" s="35"/>
      <c r="AP339" s="35"/>
    </row>
    <row r="340" spans="1:42" x14ac:dyDescent="0.2">
      <c r="A340" s="27">
        <v>45117.033999155094</v>
      </c>
      <c r="B340" s="28" t="s">
        <v>37</v>
      </c>
      <c r="C340" s="41" t="s">
        <v>118</v>
      </c>
      <c r="D340" s="26" t="s">
        <v>36</v>
      </c>
      <c r="E340" s="26" t="s">
        <v>148</v>
      </c>
      <c r="F340" s="26" t="s">
        <v>1936</v>
      </c>
      <c r="G340" s="26" t="s">
        <v>221</v>
      </c>
      <c r="H340" s="26" t="s">
        <v>1937</v>
      </c>
      <c r="I340" s="17" t="str">
        <f ca="1">IFERROR(__xludf.DUMMYFUNCTION("""COMPUTED_VALUE""")," ")</f>
        <v xml:space="preserve"> </v>
      </c>
      <c r="J340" s="29" t="s">
        <v>1938</v>
      </c>
      <c r="K340" s="26" t="s">
        <v>1939</v>
      </c>
      <c r="L340" s="30">
        <v>981858871</v>
      </c>
      <c r="M340" s="26" t="s">
        <v>112</v>
      </c>
      <c r="N340" s="26" t="s">
        <v>113</v>
      </c>
      <c r="O340" s="26" t="s">
        <v>36</v>
      </c>
      <c r="P340" s="26" t="s">
        <v>1940</v>
      </c>
      <c r="Q340" s="20">
        <v>7349</v>
      </c>
      <c r="R340" s="26" t="s">
        <v>36</v>
      </c>
      <c r="S340" s="31">
        <v>1000</v>
      </c>
      <c r="T340" s="32">
        <v>45009</v>
      </c>
      <c r="U340" s="31">
        <v>6349</v>
      </c>
      <c r="V340" s="32">
        <v>45012</v>
      </c>
      <c r="W340" s="26"/>
      <c r="X340" s="26">
        <v>0</v>
      </c>
      <c r="Y340" s="22">
        <v>0</v>
      </c>
      <c r="Z340" s="26" t="s">
        <v>118</v>
      </c>
      <c r="AA340" s="19" t="s">
        <v>1871</v>
      </c>
      <c r="AB340" s="26" t="s">
        <v>104</v>
      </c>
      <c r="AC340" s="26" t="s">
        <v>53</v>
      </c>
      <c r="AD340" s="19" t="s">
        <v>54</v>
      </c>
      <c r="AE340" s="26">
        <v>585</v>
      </c>
      <c r="AF340" s="17">
        <v>45117</v>
      </c>
      <c r="AG340" s="26"/>
      <c r="AH340" s="26">
        <v>2</v>
      </c>
      <c r="AI340" s="40">
        <v>2</v>
      </c>
      <c r="AJ340" s="26"/>
      <c r="AK340" s="26"/>
      <c r="AL340" s="35"/>
      <c r="AM340" s="35"/>
      <c r="AN340" s="35"/>
      <c r="AO340" s="35"/>
      <c r="AP340" s="35"/>
    </row>
    <row r="341" spans="1:42" x14ac:dyDescent="0.2">
      <c r="A341" s="27">
        <v>44857.136983136574</v>
      </c>
      <c r="B341" s="68" t="s">
        <v>37</v>
      </c>
      <c r="C341" s="41" t="s">
        <v>118</v>
      </c>
      <c r="D341" s="35"/>
      <c r="E341" s="26" t="s">
        <v>148</v>
      </c>
      <c r="F341" s="35"/>
      <c r="G341" s="35" t="s">
        <v>108</v>
      </c>
      <c r="H341" s="35" t="s">
        <v>338</v>
      </c>
      <c r="I341" s="17">
        <f ca="1">IFERROR(__xludf.DUMMYFUNCTION("""COMPUTED_VALUE"""),45131)</f>
        <v>45131</v>
      </c>
      <c r="J341" s="55" t="s">
        <v>1941</v>
      </c>
      <c r="K341" s="35" t="s">
        <v>1942</v>
      </c>
      <c r="L341" s="30">
        <v>362473344</v>
      </c>
      <c r="M341" s="26" t="s">
        <v>80</v>
      </c>
      <c r="N341" s="26" t="s">
        <v>466</v>
      </c>
      <c r="O341" s="26" t="s">
        <v>36</v>
      </c>
      <c r="P341" s="35" t="s">
        <v>1943</v>
      </c>
      <c r="Q341" s="20">
        <v>7349</v>
      </c>
      <c r="R341" s="26" t="s">
        <v>36</v>
      </c>
      <c r="S341" s="31">
        <v>13615</v>
      </c>
      <c r="T341" s="32">
        <v>44857</v>
      </c>
      <c r="U341" s="58"/>
      <c r="V341" s="35"/>
      <c r="W341" s="55" t="s">
        <v>1944</v>
      </c>
      <c r="X341" s="35">
        <v>0</v>
      </c>
      <c r="Y341" s="22">
        <v>-6266</v>
      </c>
      <c r="Z341" s="35" t="s">
        <v>118</v>
      </c>
      <c r="AA341" s="19" t="s">
        <v>1871</v>
      </c>
      <c r="AB341" s="35"/>
      <c r="AC341" s="26" t="s">
        <v>53</v>
      </c>
      <c r="AD341" s="19" t="s">
        <v>54</v>
      </c>
      <c r="AE341" s="19"/>
      <c r="AF341" s="17">
        <v>45122</v>
      </c>
      <c r="AG341" s="35"/>
      <c r="AH341" s="36">
        <v>1</v>
      </c>
      <c r="AI341" s="37">
        <v>2</v>
      </c>
      <c r="AJ341" s="35"/>
      <c r="AK341" s="35"/>
      <c r="AL341" s="35"/>
      <c r="AM341" s="35"/>
      <c r="AN341" s="35"/>
      <c r="AO341" s="35"/>
      <c r="AP341" s="35"/>
    </row>
    <row r="342" spans="1:42" x14ac:dyDescent="0.2">
      <c r="A342" s="27">
        <v>45119.036273680555</v>
      </c>
      <c r="B342" s="28" t="s">
        <v>37</v>
      </c>
      <c r="C342" s="41" t="s">
        <v>118</v>
      </c>
      <c r="D342" s="26" t="s">
        <v>36</v>
      </c>
      <c r="E342" s="26" t="s">
        <v>148</v>
      </c>
      <c r="F342" s="26" t="s">
        <v>1945</v>
      </c>
      <c r="G342" s="26" t="s">
        <v>221</v>
      </c>
      <c r="H342" s="26" t="s">
        <v>376</v>
      </c>
      <c r="I342" s="17">
        <f ca="1">IFERROR(__xludf.DUMMYFUNCTION("""COMPUTED_VALUE"""),45127)</f>
        <v>45127</v>
      </c>
      <c r="J342" s="29" t="s">
        <v>1946</v>
      </c>
      <c r="K342" s="26" t="s">
        <v>1947</v>
      </c>
      <c r="L342" s="30">
        <v>773526039</v>
      </c>
      <c r="M342" s="26" t="s">
        <v>112</v>
      </c>
      <c r="N342" s="26" t="s">
        <v>113</v>
      </c>
      <c r="O342" s="26" t="s">
        <v>36</v>
      </c>
      <c r="P342" s="26" t="s">
        <v>1948</v>
      </c>
      <c r="Q342" s="20">
        <v>7349</v>
      </c>
      <c r="R342" s="26" t="s">
        <v>36</v>
      </c>
      <c r="S342" s="31">
        <v>7350</v>
      </c>
      <c r="T342" s="32">
        <v>44804</v>
      </c>
      <c r="U342" s="31"/>
      <c r="V342" s="26"/>
      <c r="W342" s="26"/>
      <c r="X342" s="26">
        <v>0</v>
      </c>
      <c r="Y342" s="22">
        <v>-1</v>
      </c>
      <c r="Z342" s="26" t="s">
        <v>118</v>
      </c>
      <c r="AA342" s="19" t="s">
        <v>1871</v>
      </c>
      <c r="AB342" s="26" t="s">
        <v>104</v>
      </c>
      <c r="AC342" s="26" t="s">
        <v>53</v>
      </c>
      <c r="AD342" s="19" t="s">
        <v>54</v>
      </c>
      <c r="AE342" s="26">
        <v>505</v>
      </c>
      <c r="AF342" s="17">
        <v>45120</v>
      </c>
      <c r="AG342" s="26"/>
      <c r="AH342" s="26">
        <v>1</v>
      </c>
      <c r="AI342" s="40">
        <v>2</v>
      </c>
      <c r="AJ342" s="26"/>
      <c r="AK342" s="26"/>
      <c r="AL342" s="35"/>
      <c r="AM342" s="35"/>
      <c r="AN342" s="35"/>
      <c r="AO342" s="35"/>
      <c r="AP342" s="35"/>
    </row>
    <row r="343" spans="1:42" x14ac:dyDescent="0.2">
      <c r="A343" s="27">
        <v>45119.039443541667</v>
      </c>
      <c r="B343" s="28" t="s">
        <v>37</v>
      </c>
      <c r="C343" s="41" t="s">
        <v>118</v>
      </c>
      <c r="D343" s="26" t="s">
        <v>36</v>
      </c>
      <c r="E343" s="26" t="s">
        <v>56</v>
      </c>
      <c r="F343" s="26" t="s">
        <v>220</v>
      </c>
      <c r="G343" s="26" t="s">
        <v>221</v>
      </c>
      <c r="H343" s="26" t="s">
        <v>376</v>
      </c>
      <c r="I343" s="17">
        <f ca="1">IFERROR(__xludf.DUMMYFUNCTION("""COMPUTED_VALUE"""),45127)</f>
        <v>45127</v>
      </c>
      <c r="J343" s="29" t="s">
        <v>1949</v>
      </c>
      <c r="K343" s="26" t="s">
        <v>1950</v>
      </c>
      <c r="L343" s="30">
        <v>397246044</v>
      </c>
      <c r="M343" s="26" t="s">
        <v>112</v>
      </c>
      <c r="N343" s="26" t="s">
        <v>113</v>
      </c>
      <c r="O343" s="26" t="s">
        <v>36</v>
      </c>
      <c r="P343" s="26" t="s">
        <v>1951</v>
      </c>
      <c r="Q343" s="20">
        <v>9317</v>
      </c>
      <c r="R343" s="26" t="s">
        <v>36</v>
      </c>
      <c r="S343" s="31">
        <v>9217</v>
      </c>
      <c r="T343" s="32">
        <v>44925</v>
      </c>
      <c r="U343" s="31"/>
      <c r="V343" s="26"/>
      <c r="W343" s="26"/>
      <c r="X343" s="26">
        <v>0</v>
      </c>
      <c r="Y343" s="22">
        <v>100</v>
      </c>
      <c r="Z343" s="26" t="s">
        <v>118</v>
      </c>
      <c r="AA343" s="19" t="s">
        <v>1871</v>
      </c>
      <c r="AB343" s="26" t="s">
        <v>104</v>
      </c>
      <c r="AC343" s="26" t="s">
        <v>53</v>
      </c>
      <c r="AD343" s="19" t="s">
        <v>54</v>
      </c>
      <c r="AE343" s="26">
        <v>620</v>
      </c>
      <c r="AF343" s="17">
        <v>45120</v>
      </c>
      <c r="AG343" s="26"/>
      <c r="AH343" s="26">
        <v>1</v>
      </c>
      <c r="AI343" s="40" t="s">
        <v>64</v>
      </c>
      <c r="AJ343" s="26"/>
      <c r="AK343" s="26"/>
      <c r="AL343" s="35"/>
      <c r="AM343" s="35"/>
      <c r="AN343" s="35"/>
      <c r="AO343" s="35"/>
      <c r="AP343" s="35"/>
    </row>
    <row r="344" spans="1:42" x14ac:dyDescent="0.2">
      <c r="A344" s="27">
        <v>45119.291572002316</v>
      </c>
      <c r="B344" s="28" t="s">
        <v>37</v>
      </c>
      <c r="C344" s="41" t="s">
        <v>118</v>
      </c>
      <c r="D344" s="26" t="s">
        <v>36</v>
      </c>
      <c r="E344" s="26" t="s">
        <v>77</v>
      </c>
      <c r="F344" s="26" t="s">
        <v>1952</v>
      </c>
      <c r="G344" s="26" t="s">
        <v>41</v>
      </c>
      <c r="H344" s="26" t="s">
        <v>388</v>
      </c>
      <c r="I344" s="17">
        <f ca="1">IFERROR(__xludf.DUMMYFUNCTION("""COMPUTED_VALUE"""),45127)</f>
        <v>45127</v>
      </c>
      <c r="J344" s="29" t="s">
        <v>1953</v>
      </c>
      <c r="K344" s="26" t="s">
        <v>1954</v>
      </c>
      <c r="L344" s="66">
        <v>336142756</v>
      </c>
      <c r="M344" s="26" t="s">
        <v>1245</v>
      </c>
      <c r="N344" s="26" t="s">
        <v>36</v>
      </c>
      <c r="O344" s="26" t="s">
        <v>61</v>
      </c>
      <c r="P344" s="62" t="s">
        <v>1955</v>
      </c>
      <c r="Q344" s="20">
        <v>1968</v>
      </c>
      <c r="R344" s="26" t="s">
        <v>36</v>
      </c>
      <c r="S344" s="31">
        <v>10804</v>
      </c>
      <c r="T344" s="32">
        <v>44779</v>
      </c>
      <c r="U344" s="31"/>
      <c r="V344" s="26"/>
      <c r="W344" s="33" t="s">
        <v>1956</v>
      </c>
      <c r="X344" s="26">
        <v>0</v>
      </c>
      <c r="Y344" s="22">
        <v>-8836</v>
      </c>
      <c r="Z344" s="26" t="s">
        <v>118</v>
      </c>
      <c r="AA344" s="19" t="s">
        <v>1871</v>
      </c>
      <c r="AB344" s="26" t="s">
        <v>104</v>
      </c>
      <c r="AC344" s="26" t="s">
        <v>53</v>
      </c>
      <c r="AD344" s="19" t="s">
        <v>54</v>
      </c>
      <c r="AE344" s="26" t="s">
        <v>72</v>
      </c>
      <c r="AF344" s="17">
        <v>45132</v>
      </c>
      <c r="AG344" s="26" t="s">
        <v>1957</v>
      </c>
      <c r="AH344" s="26">
        <v>1</v>
      </c>
      <c r="AI344" s="40" t="s">
        <v>84</v>
      </c>
      <c r="AJ344" s="26"/>
      <c r="AK344" s="26"/>
      <c r="AL344" s="35"/>
      <c r="AM344" s="35"/>
      <c r="AN344" s="35"/>
      <c r="AO344" s="35"/>
      <c r="AP344" s="35"/>
    </row>
    <row r="345" spans="1:42" x14ac:dyDescent="0.2">
      <c r="A345" s="27">
        <v>45119.365741076384</v>
      </c>
      <c r="B345" s="28" t="s">
        <v>37</v>
      </c>
      <c r="C345" s="41" t="s">
        <v>118</v>
      </c>
      <c r="D345" s="26" t="s">
        <v>36</v>
      </c>
      <c r="E345" s="26" t="s">
        <v>56</v>
      </c>
      <c r="F345" s="26" t="s">
        <v>220</v>
      </c>
      <c r="G345" s="26" t="s">
        <v>221</v>
      </c>
      <c r="H345" s="26" t="s">
        <v>376</v>
      </c>
      <c r="I345" s="17">
        <f ca="1">IFERROR(__xludf.DUMMYFUNCTION("""COMPUTED_VALUE"""),45127)</f>
        <v>45127</v>
      </c>
      <c r="J345" s="29" t="s">
        <v>1958</v>
      </c>
      <c r="K345" s="26" t="s">
        <v>1959</v>
      </c>
      <c r="L345" s="30">
        <v>911071141</v>
      </c>
      <c r="M345" s="26" t="s">
        <v>112</v>
      </c>
      <c r="N345" s="26" t="s">
        <v>113</v>
      </c>
      <c r="O345" s="26" t="s">
        <v>36</v>
      </c>
      <c r="P345" s="26" t="s">
        <v>1960</v>
      </c>
      <c r="Q345" s="20">
        <v>9317</v>
      </c>
      <c r="R345" s="26" t="s">
        <v>36</v>
      </c>
      <c r="S345" s="31">
        <v>7350</v>
      </c>
      <c r="T345" s="32">
        <v>44944</v>
      </c>
      <c r="U345" s="31">
        <v>1868</v>
      </c>
      <c r="V345" s="32">
        <v>44961</v>
      </c>
      <c r="W345" s="33" t="s">
        <v>1961</v>
      </c>
      <c r="X345" s="26">
        <v>0</v>
      </c>
      <c r="Y345" s="22">
        <v>99</v>
      </c>
      <c r="Z345" s="26" t="s">
        <v>118</v>
      </c>
      <c r="AA345" s="19" t="s">
        <v>1871</v>
      </c>
      <c r="AB345" s="26" t="s">
        <v>104</v>
      </c>
      <c r="AC345" s="26" t="s">
        <v>53</v>
      </c>
      <c r="AD345" s="19" t="s">
        <v>54</v>
      </c>
      <c r="AE345" s="26">
        <v>580</v>
      </c>
      <c r="AF345" s="17">
        <v>45120</v>
      </c>
      <c r="AG345" s="26"/>
      <c r="AH345" s="26">
        <v>1</v>
      </c>
      <c r="AI345" s="40" t="s">
        <v>64</v>
      </c>
      <c r="AJ345" s="26"/>
      <c r="AK345" s="26"/>
      <c r="AL345" s="35"/>
      <c r="AM345" s="35"/>
      <c r="AN345" s="35"/>
      <c r="AO345" s="35"/>
      <c r="AP345" s="35"/>
    </row>
    <row r="346" spans="1:42" x14ac:dyDescent="0.2">
      <c r="A346" s="14">
        <v>45007</v>
      </c>
      <c r="B346" s="28" t="s">
        <v>37</v>
      </c>
      <c r="C346" s="41" t="s">
        <v>118</v>
      </c>
      <c r="D346" s="35"/>
      <c r="E346" s="26" t="s">
        <v>219</v>
      </c>
      <c r="F346" s="35"/>
      <c r="G346" s="35" t="s">
        <v>221</v>
      </c>
      <c r="H346" s="26" t="s">
        <v>376</v>
      </c>
      <c r="I346" s="17">
        <f ca="1">IFERROR(__xludf.DUMMYFUNCTION("""COMPUTED_VALUE"""),45127)</f>
        <v>45127</v>
      </c>
      <c r="J346" s="29" t="s">
        <v>1962</v>
      </c>
      <c r="K346" s="35" t="s">
        <v>1963</v>
      </c>
      <c r="L346" s="30">
        <v>358840928</v>
      </c>
      <c r="M346" s="26" t="s">
        <v>112</v>
      </c>
      <c r="N346" s="26" t="s">
        <v>113</v>
      </c>
      <c r="O346" s="35"/>
      <c r="P346" s="26" t="s">
        <v>1964</v>
      </c>
      <c r="Q346" s="20">
        <v>3968</v>
      </c>
      <c r="R346" s="26" t="s">
        <v>36</v>
      </c>
      <c r="S346" s="58"/>
      <c r="T346" s="35"/>
      <c r="U346" s="58"/>
      <c r="V346" s="35"/>
      <c r="W346" s="35"/>
      <c r="X346" s="35">
        <v>0</v>
      </c>
      <c r="Y346" s="22">
        <v>0</v>
      </c>
      <c r="Z346" s="35" t="s">
        <v>118</v>
      </c>
      <c r="AA346" s="19" t="s">
        <v>1871</v>
      </c>
      <c r="AB346" s="26" t="s">
        <v>104</v>
      </c>
      <c r="AC346" s="26" t="s">
        <v>53</v>
      </c>
      <c r="AD346" s="19" t="s">
        <v>54</v>
      </c>
      <c r="AE346" s="19"/>
      <c r="AF346" s="60" t="s">
        <v>1829</v>
      </c>
      <c r="AG346" s="35" t="s">
        <v>1965</v>
      </c>
      <c r="AH346" s="36">
        <v>1</v>
      </c>
      <c r="AI346" s="37">
        <v>1</v>
      </c>
      <c r="AJ346" s="35"/>
      <c r="AK346" s="35"/>
      <c r="AL346" s="35"/>
      <c r="AM346" s="35"/>
      <c r="AN346" s="35"/>
      <c r="AO346" s="35"/>
      <c r="AP346" s="35"/>
    </row>
    <row r="347" spans="1:42" x14ac:dyDescent="0.2">
      <c r="A347" s="27">
        <v>45119.404550069448</v>
      </c>
      <c r="B347" s="28" t="s">
        <v>37</v>
      </c>
      <c r="C347" s="41" t="s">
        <v>118</v>
      </c>
      <c r="D347" s="26" t="s">
        <v>148</v>
      </c>
      <c r="E347" s="26" t="s">
        <v>219</v>
      </c>
      <c r="F347" s="26" t="s">
        <v>220</v>
      </c>
      <c r="G347" s="26" t="s">
        <v>221</v>
      </c>
      <c r="H347" s="26" t="s">
        <v>376</v>
      </c>
      <c r="I347" s="17">
        <f ca="1">IFERROR(__xludf.DUMMYFUNCTION("""COMPUTED_VALUE"""),45127)</f>
        <v>45127</v>
      </c>
      <c r="J347" s="29" t="s">
        <v>1966</v>
      </c>
      <c r="K347" s="26" t="s">
        <v>1967</v>
      </c>
      <c r="L347" s="30">
        <v>819580736</v>
      </c>
      <c r="M347" s="26" t="s">
        <v>112</v>
      </c>
      <c r="N347" s="26" t="s">
        <v>113</v>
      </c>
      <c r="O347" s="26" t="s">
        <v>36</v>
      </c>
      <c r="P347" s="26" t="s">
        <v>1968</v>
      </c>
      <c r="Q347" s="20">
        <v>3968</v>
      </c>
      <c r="R347" s="26" t="s">
        <v>36</v>
      </c>
      <c r="S347" s="31">
        <v>1000</v>
      </c>
      <c r="T347" s="32">
        <v>44530</v>
      </c>
      <c r="U347" s="31">
        <v>6349</v>
      </c>
      <c r="V347" s="32" t="s">
        <v>1969</v>
      </c>
      <c r="W347" s="26"/>
      <c r="X347" s="26">
        <v>0</v>
      </c>
      <c r="Y347" s="22">
        <v>-3381</v>
      </c>
      <c r="Z347" s="26" t="s">
        <v>118</v>
      </c>
      <c r="AA347" s="19" t="s">
        <v>1871</v>
      </c>
      <c r="AB347" s="26" t="s">
        <v>104</v>
      </c>
      <c r="AC347" s="26" t="s">
        <v>53</v>
      </c>
      <c r="AD347" s="19" t="s">
        <v>54</v>
      </c>
      <c r="AE347" s="26"/>
      <c r="AF347" s="17">
        <v>45120</v>
      </c>
      <c r="AG347" s="26"/>
      <c r="AH347" s="26">
        <v>1</v>
      </c>
      <c r="AI347" s="40">
        <v>1</v>
      </c>
      <c r="AJ347" s="26"/>
      <c r="AK347" s="26"/>
      <c r="AL347" s="35"/>
      <c r="AM347" s="35"/>
      <c r="AN347" s="35"/>
      <c r="AO347" s="35"/>
      <c r="AP347" s="35"/>
    </row>
    <row r="348" spans="1:42" x14ac:dyDescent="0.2">
      <c r="A348" s="14">
        <v>45011</v>
      </c>
      <c r="B348" s="28" t="s">
        <v>37</v>
      </c>
      <c r="C348" s="41" t="s">
        <v>118</v>
      </c>
      <c r="D348" s="34" t="s">
        <v>38</v>
      </c>
      <c r="E348" s="26" t="s">
        <v>106</v>
      </c>
      <c r="F348" s="71" t="s">
        <v>106</v>
      </c>
      <c r="G348" s="26" t="s">
        <v>108</v>
      </c>
      <c r="H348" s="26" t="s">
        <v>324</v>
      </c>
      <c r="I348" s="17">
        <f ca="1">IFERROR(__xludf.DUMMYFUNCTION("""COMPUTED_VALUE"""),45124)</f>
        <v>45124</v>
      </c>
      <c r="J348" s="29" t="s">
        <v>1970</v>
      </c>
      <c r="K348" s="26" t="s">
        <v>1971</v>
      </c>
      <c r="L348" s="30">
        <v>386843268</v>
      </c>
      <c r="M348" s="26" t="s">
        <v>391</v>
      </c>
      <c r="N348" s="26" t="s">
        <v>1972</v>
      </c>
      <c r="O348" s="35"/>
      <c r="P348" s="54" t="s">
        <v>1973</v>
      </c>
      <c r="Q348" s="20">
        <v>3768</v>
      </c>
      <c r="R348" s="26" t="s">
        <v>36</v>
      </c>
      <c r="S348" s="31">
        <v>3768</v>
      </c>
      <c r="T348" s="32">
        <v>45011</v>
      </c>
      <c r="U348" s="58"/>
      <c r="V348" s="35"/>
      <c r="W348" s="33" t="s">
        <v>1974</v>
      </c>
      <c r="X348" s="35">
        <v>0</v>
      </c>
      <c r="Y348" s="22">
        <v>0</v>
      </c>
      <c r="Z348" s="35" t="s">
        <v>118</v>
      </c>
      <c r="AA348" s="19" t="s">
        <v>1871</v>
      </c>
      <c r="AB348" s="26" t="s">
        <v>116</v>
      </c>
      <c r="AC348" s="26" t="s">
        <v>53</v>
      </c>
      <c r="AD348" s="19" t="s">
        <v>54</v>
      </c>
      <c r="AE348" s="19"/>
      <c r="AF348" s="17">
        <v>45106</v>
      </c>
      <c r="AG348" s="26" t="s">
        <v>1975</v>
      </c>
      <c r="AH348" s="36">
        <v>1</v>
      </c>
      <c r="AI348" s="37">
        <v>1</v>
      </c>
      <c r="AJ348" s="35"/>
      <c r="AK348" s="35"/>
      <c r="AL348" s="35"/>
      <c r="AM348" s="35"/>
      <c r="AN348" s="35"/>
      <c r="AO348" s="35"/>
      <c r="AP348" s="35"/>
    </row>
    <row r="349" spans="1:42" x14ac:dyDescent="0.2">
      <c r="A349" s="27">
        <v>45120.145151620367</v>
      </c>
      <c r="B349" s="28" t="s">
        <v>37</v>
      </c>
      <c r="C349" s="41" t="s">
        <v>118</v>
      </c>
      <c r="D349" s="26" t="s">
        <v>36</v>
      </c>
      <c r="E349" s="26" t="s">
        <v>106</v>
      </c>
      <c r="F349" s="26" t="s">
        <v>36</v>
      </c>
      <c r="G349" s="26" t="s">
        <v>108</v>
      </c>
      <c r="H349" s="26" t="s">
        <v>338</v>
      </c>
      <c r="I349" s="17">
        <f ca="1">IFERROR(__xludf.DUMMYFUNCTION("""COMPUTED_VALUE"""),45131)</f>
        <v>45131</v>
      </c>
      <c r="J349" s="29" t="s">
        <v>1976</v>
      </c>
      <c r="K349" s="26" t="s">
        <v>1977</v>
      </c>
      <c r="L349" s="30">
        <v>365410577</v>
      </c>
      <c r="M349" s="26" t="s">
        <v>80</v>
      </c>
      <c r="N349" s="26" t="s">
        <v>466</v>
      </c>
      <c r="O349" s="26" t="s">
        <v>1978</v>
      </c>
      <c r="P349" s="26" t="s">
        <v>1979</v>
      </c>
      <c r="Q349" s="20">
        <v>3768</v>
      </c>
      <c r="R349" s="26" t="s">
        <v>36</v>
      </c>
      <c r="S349" s="31">
        <v>10354</v>
      </c>
      <c r="T349" s="32">
        <v>44866</v>
      </c>
      <c r="U349" s="31"/>
      <c r="V349" s="26"/>
      <c r="W349" s="33" t="s">
        <v>1980</v>
      </c>
      <c r="X349" s="26">
        <v>0</v>
      </c>
      <c r="Y349" s="22">
        <v>-6586</v>
      </c>
      <c r="Z349" s="26" t="s">
        <v>118</v>
      </c>
      <c r="AA349" s="19" t="s">
        <v>1871</v>
      </c>
      <c r="AB349" s="26" t="s">
        <v>137</v>
      </c>
      <c r="AC349" s="26" t="s">
        <v>53</v>
      </c>
      <c r="AD349" s="19" t="s">
        <v>54</v>
      </c>
      <c r="AE349" s="26">
        <v>390</v>
      </c>
      <c r="AF349" s="17">
        <v>45122</v>
      </c>
      <c r="AG349" s="26"/>
      <c r="AH349" s="26">
        <v>1</v>
      </c>
      <c r="AI349" s="40">
        <v>1</v>
      </c>
      <c r="AJ349" s="26"/>
      <c r="AK349" s="26"/>
      <c r="AL349" s="35"/>
      <c r="AM349" s="35"/>
      <c r="AN349" s="35"/>
      <c r="AO349" s="35"/>
      <c r="AP349" s="35"/>
    </row>
    <row r="350" spans="1:42" x14ac:dyDescent="0.2">
      <c r="A350" s="27">
        <v>45124.304447685186</v>
      </c>
      <c r="B350" s="28" t="s">
        <v>37</v>
      </c>
      <c r="C350" s="41" t="s">
        <v>118</v>
      </c>
      <c r="D350" s="26" t="s">
        <v>36</v>
      </c>
      <c r="E350" s="26" t="s">
        <v>148</v>
      </c>
      <c r="F350" s="26" t="s">
        <v>1981</v>
      </c>
      <c r="G350" s="26" t="s">
        <v>221</v>
      </c>
      <c r="H350" s="26" t="s">
        <v>376</v>
      </c>
      <c r="I350" s="17">
        <f ca="1">IFERROR(__xludf.DUMMYFUNCTION("""COMPUTED_VALUE"""),45127)</f>
        <v>45127</v>
      </c>
      <c r="J350" s="29" t="s">
        <v>1982</v>
      </c>
      <c r="K350" s="26" t="s">
        <v>1983</v>
      </c>
      <c r="L350" s="30">
        <v>949274193</v>
      </c>
      <c r="M350" s="26" t="s">
        <v>112</v>
      </c>
      <c r="N350" s="26" t="s">
        <v>578</v>
      </c>
      <c r="O350" s="26" t="s">
        <v>91</v>
      </c>
      <c r="P350" s="26" t="s">
        <v>1984</v>
      </c>
      <c r="Q350" s="20">
        <v>7349</v>
      </c>
      <c r="R350" s="26" t="s">
        <v>36</v>
      </c>
      <c r="S350" s="31">
        <v>7349</v>
      </c>
      <c r="T350" s="32">
        <v>44921</v>
      </c>
      <c r="U350" s="31"/>
      <c r="V350" s="26"/>
      <c r="W350" s="33" t="s">
        <v>1985</v>
      </c>
      <c r="X350" s="26">
        <v>0</v>
      </c>
      <c r="Y350" s="22">
        <v>0</v>
      </c>
      <c r="Z350" s="26" t="s">
        <v>118</v>
      </c>
      <c r="AA350" s="19" t="s">
        <v>1871</v>
      </c>
      <c r="AB350" s="26" t="s">
        <v>104</v>
      </c>
      <c r="AC350" s="26" t="s">
        <v>53</v>
      </c>
      <c r="AD350" s="19" t="s">
        <v>54</v>
      </c>
      <c r="AE350" s="26">
        <v>530</v>
      </c>
      <c r="AF350" s="17">
        <v>45126</v>
      </c>
      <c r="AG350" s="26"/>
      <c r="AH350" s="26">
        <v>1</v>
      </c>
      <c r="AI350" s="40">
        <v>2</v>
      </c>
      <c r="AJ350" s="26"/>
      <c r="AK350" s="26"/>
      <c r="AL350" s="35"/>
      <c r="AM350" s="35"/>
      <c r="AN350" s="35"/>
      <c r="AO350" s="35"/>
      <c r="AP350" s="35"/>
    </row>
    <row r="351" spans="1:42" x14ac:dyDescent="0.2">
      <c r="A351" s="27">
        <v>44841.95674144676</v>
      </c>
      <c r="B351" s="68" t="s">
        <v>37</v>
      </c>
      <c r="C351" s="41" t="s">
        <v>118</v>
      </c>
      <c r="D351" s="35"/>
      <c r="E351" s="26" t="s">
        <v>106</v>
      </c>
      <c r="F351" s="35"/>
      <c r="G351" s="35" t="s">
        <v>108</v>
      </c>
      <c r="H351" s="35" t="s">
        <v>120</v>
      </c>
      <c r="I351" s="17">
        <f ca="1">IFERROR(__xludf.DUMMYFUNCTION("""COMPUTED_VALUE"""),45125)</f>
        <v>45125</v>
      </c>
      <c r="J351" s="55" t="s">
        <v>1986</v>
      </c>
      <c r="K351" s="26" t="s">
        <v>1987</v>
      </c>
      <c r="L351" s="30">
        <v>915738026</v>
      </c>
      <c r="M351" s="26" t="s">
        <v>80</v>
      </c>
      <c r="N351" s="26" t="s">
        <v>81</v>
      </c>
      <c r="O351" s="35"/>
      <c r="P351" s="35" t="s">
        <v>1988</v>
      </c>
      <c r="Q351" s="20">
        <v>3768</v>
      </c>
      <c r="R351" s="26" t="s">
        <v>1989</v>
      </c>
      <c r="S351" s="31">
        <v>10708</v>
      </c>
      <c r="T351" s="32">
        <v>44841</v>
      </c>
      <c r="U351" s="58"/>
      <c r="V351" s="35"/>
      <c r="W351" s="55" t="s">
        <v>1986</v>
      </c>
      <c r="X351" s="35">
        <v>250</v>
      </c>
      <c r="Y351" s="22">
        <v>-7190</v>
      </c>
      <c r="Z351" s="35" t="s">
        <v>118</v>
      </c>
      <c r="AA351" s="19" t="s">
        <v>1871</v>
      </c>
      <c r="AB351" s="35"/>
      <c r="AC351" s="35"/>
      <c r="AD351" s="19" t="s">
        <v>54</v>
      </c>
      <c r="AE351" s="19">
        <v>360</v>
      </c>
      <c r="AF351" s="17">
        <v>45126</v>
      </c>
      <c r="AG351" s="72" t="s">
        <v>1990</v>
      </c>
      <c r="AH351" s="36">
        <v>1</v>
      </c>
      <c r="AI351" s="37">
        <v>1</v>
      </c>
      <c r="AJ351" s="35"/>
      <c r="AK351" s="35"/>
      <c r="AL351" s="35"/>
      <c r="AM351" s="35"/>
      <c r="AN351" s="35"/>
      <c r="AO351" s="35"/>
      <c r="AP351" s="35"/>
    </row>
    <row r="352" spans="1:42" x14ac:dyDescent="0.2">
      <c r="A352" s="27">
        <v>44956.0439687037</v>
      </c>
      <c r="B352" s="68" t="s">
        <v>37</v>
      </c>
      <c r="C352" s="41" t="s">
        <v>118</v>
      </c>
      <c r="D352" s="35"/>
      <c r="E352" s="26" t="s">
        <v>106</v>
      </c>
      <c r="F352" s="35"/>
      <c r="G352" s="35" t="s">
        <v>108</v>
      </c>
      <c r="H352" s="35" t="s">
        <v>554</v>
      </c>
      <c r="I352" s="17">
        <f ca="1">IFERROR(__xludf.DUMMYFUNCTION("""COMPUTED_VALUE"""),45133)</f>
        <v>45133</v>
      </c>
      <c r="J352" s="55" t="s">
        <v>1991</v>
      </c>
      <c r="K352" s="26" t="s">
        <v>1992</v>
      </c>
      <c r="L352" s="30">
        <v>332266815</v>
      </c>
      <c r="M352" s="26" t="s">
        <v>1993</v>
      </c>
      <c r="N352" s="26" t="s">
        <v>1994</v>
      </c>
      <c r="O352" s="35"/>
      <c r="P352" s="28" t="s">
        <v>1995</v>
      </c>
      <c r="Q352" s="20">
        <v>3768</v>
      </c>
      <c r="R352" s="26" t="s">
        <v>36</v>
      </c>
      <c r="S352" s="31">
        <v>4168</v>
      </c>
      <c r="T352" s="32">
        <v>45020</v>
      </c>
      <c r="U352" s="58"/>
      <c r="V352" s="35"/>
      <c r="W352" s="33" t="s">
        <v>1996</v>
      </c>
      <c r="X352" s="35">
        <v>0</v>
      </c>
      <c r="Y352" s="22">
        <v>-400</v>
      </c>
      <c r="Z352" s="35" t="s">
        <v>118</v>
      </c>
      <c r="AA352" s="19" t="s">
        <v>1871</v>
      </c>
      <c r="AB352" s="35"/>
      <c r="AC352" s="35"/>
      <c r="AD352" s="19" t="s">
        <v>54</v>
      </c>
      <c r="AE352" s="19">
        <v>400</v>
      </c>
      <c r="AF352" s="17">
        <v>45126</v>
      </c>
      <c r="AG352" s="72" t="s">
        <v>1997</v>
      </c>
      <c r="AH352" s="36">
        <v>1</v>
      </c>
      <c r="AI352" s="37">
        <v>1</v>
      </c>
      <c r="AJ352" s="35"/>
      <c r="AK352" s="35"/>
      <c r="AL352" s="35"/>
      <c r="AM352" s="35"/>
      <c r="AN352" s="35"/>
      <c r="AO352" s="35"/>
      <c r="AP352" s="35"/>
    </row>
    <row r="353" spans="1:42" x14ac:dyDescent="0.2">
      <c r="A353" s="27">
        <v>45125.289007581014</v>
      </c>
      <c r="B353" s="28" t="s">
        <v>37</v>
      </c>
      <c r="C353" s="41" t="s">
        <v>118</v>
      </c>
      <c r="D353" s="26" t="s">
        <v>39</v>
      </c>
      <c r="E353" s="26" t="s">
        <v>106</v>
      </c>
      <c r="F353" s="26" t="s">
        <v>523</v>
      </c>
      <c r="G353" s="26" t="s">
        <v>108</v>
      </c>
      <c r="H353" s="26" t="s">
        <v>562</v>
      </c>
      <c r="I353" s="17">
        <f ca="1">IFERROR(__xludf.DUMMYFUNCTION("""COMPUTED_VALUE"""),45133)</f>
        <v>45133</v>
      </c>
      <c r="J353" s="29" t="s">
        <v>1998</v>
      </c>
      <c r="K353" s="26" t="s">
        <v>1679</v>
      </c>
      <c r="L353" s="30">
        <v>359917066</v>
      </c>
      <c r="M353" s="26" t="s">
        <v>112</v>
      </c>
      <c r="N353" s="26" t="s">
        <v>578</v>
      </c>
      <c r="O353" s="26" t="s">
        <v>91</v>
      </c>
      <c r="P353" s="26" t="s">
        <v>1999</v>
      </c>
      <c r="Q353" s="20">
        <v>3768</v>
      </c>
      <c r="R353" s="26" t="s">
        <v>36</v>
      </c>
      <c r="S353" s="31">
        <v>5636</v>
      </c>
      <c r="T353" s="32">
        <v>45061</v>
      </c>
      <c r="U353" s="31"/>
      <c r="V353" s="26"/>
      <c r="W353" s="33" t="s">
        <v>2000</v>
      </c>
      <c r="X353" s="26">
        <v>0</v>
      </c>
      <c r="Y353" s="22">
        <v>-1868</v>
      </c>
      <c r="Z353" s="26" t="s">
        <v>118</v>
      </c>
      <c r="AA353" s="19" t="s">
        <v>1871</v>
      </c>
      <c r="AB353" s="26" t="s">
        <v>154</v>
      </c>
      <c r="AC353" s="26" t="s">
        <v>53</v>
      </c>
      <c r="AD353" s="19" t="s">
        <v>54</v>
      </c>
      <c r="AE353" s="26">
        <v>64</v>
      </c>
      <c r="AF353" s="17">
        <v>45126</v>
      </c>
      <c r="AG353" s="26"/>
      <c r="AH353" s="26">
        <v>1</v>
      </c>
      <c r="AI353" s="40">
        <v>1</v>
      </c>
      <c r="AJ353" s="26"/>
      <c r="AK353" s="26"/>
      <c r="AL353" s="35"/>
      <c r="AM353" s="35"/>
      <c r="AN353" s="35"/>
      <c r="AO353" s="35"/>
      <c r="AP353" s="35"/>
    </row>
    <row r="354" spans="1:42" x14ac:dyDescent="0.2">
      <c r="A354" s="27">
        <v>45132.556293553236</v>
      </c>
      <c r="B354" s="28" t="s">
        <v>37</v>
      </c>
      <c r="C354" s="41" t="s">
        <v>118</v>
      </c>
      <c r="D354" s="26" t="s">
        <v>36</v>
      </c>
      <c r="E354" s="26" t="s">
        <v>148</v>
      </c>
      <c r="F354" s="26" t="s">
        <v>91</v>
      </c>
      <c r="G354" s="26" t="s">
        <v>108</v>
      </c>
      <c r="H354" s="26" t="s">
        <v>765</v>
      </c>
      <c r="I354" s="17">
        <f ca="1">IFERROR(__xludf.DUMMYFUNCTION("""COMPUTED_VALUE"""),45139)</f>
        <v>45139</v>
      </c>
      <c r="J354" s="29" t="s">
        <v>2001</v>
      </c>
      <c r="K354" s="26" t="s">
        <v>2002</v>
      </c>
      <c r="L354" s="30">
        <v>362303549</v>
      </c>
      <c r="M354" s="26" t="s">
        <v>112</v>
      </c>
      <c r="N354" s="26" t="s">
        <v>578</v>
      </c>
      <c r="O354" s="26" t="s">
        <v>2003</v>
      </c>
      <c r="P354" s="26" t="s">
        <v>2004</v>
      </c>
      <c r="Q354" s="20">
        <v>13968</v>
      </c>
      <c r="R354" s="26" t="s">
        <v>36</v>
      </c>
      <c r="S354" s="31">
        <v>16779</v>
      </c>
      <c r="T354" s="32">
        <v>44797</v>
      </c>
      <c r="U354" s="31"/>
      <c r="V354" s="26"/>
      <c r="W354" s="26"/>
      <c r="X354" s="26">
        <v>0</v>
      </c>
      <c r="Y354" s="22">
        <v>0</v>
      </c>
      <c r="Z354" s="26" t="s">
        <v>118</v>
      </c>
      <c r="AA354" s="19" t="s">
        <v>1871</v>
      </c>
      <c r="AB354" s="26" t="s">
        <v>137</v>
      </c>
      <c r="AC354" s="26" t="s">
        <v>53</v>
      </c>
      <c r="AD354" s="19" t="s">
        <v>54</v>
      </c>
      <c r="AE354" s="26">
        <v>540</v>
      </c>
      <c r="AF354" s="17">
        <v>45133</v>
      </c>
      <c r="AG354" s="26"/>
      <c r="AH354" s="26">
        <v>2</v>
      </c>
      <c r="AI354" s="40">
        <v>2</v>
      </c>
      <c r="AJ354" s="26"/>
      <c r="AK354" s="26"/>
      <c r="AL354" s="35"/>
      <c r="AM354" s="35"/>
      <c r="AN354" s="35"/>
      <c r="AO354" s="35"/>
      <c r="AP354" s="35"/>
    </row>
    <row r="355" spans="1:42" x14ac:dyDescent="0.2">
      <c r="A355" s="73">
        <v>44772</v>
      </c>
      <c r="B355" s="28" t="s">
        <v>37</v>
      </c>
      <c r="C355" s="41" t="s">
        <v>118</v>
      </c>
      <c r="D355" s="35"/>
      <c r="E355" s="26" t="s">
        <v>106</v>
      </c>
      <c r="F355" s="35"/>
      <c r="G355" s="35" t="s">
        <v>108</v>
      </c>
      <c r="H355" s="35" t="s">
        <v>740</v>
      </c>
      <c r="I355" s="17">
        <f ca="1">IFERROR(__xludf.DUMMYFUNCTION("""COMPUTED_VALUE"""),45155)</f>
        <v>45155</v>
      </c>
      <c r="J355" s="29" t="s">
        <v>2005</v>
      </c>
      <c r="K355" s="26" t="s">
        <v>2006</v>
      </c>
      <c r="L355" s="30">
        <v>977228890</v>
      </c>
      <c r="M355" s="35" t="s">
        <v>391</v>
      </c>
      <c r="N355" s="39" t="s">
        <v>2007</v>
      </c>
      <c r="O355" s="35"/>
      <c r="P355" s="26" t="s">
        <v>2008</v>
      </c>
      <c r="Q355" s="20">
        <v>3768</v>
      </c>
      <c r="R355" s="26" t="s">
        <v>36</v>
      </c>
      <c r="S355" s="31">
        <v>9268</v>
      </c>
      <c r="T355" s="38">
        <v>44772</v>
      </c>
      <c r="U355" s="31">
        <v>1000</v>
      </c>
      <c r="V355" s="32">
        <v>44762</v>
      </c>
      <c r="W355" s="33" t="s">
        <v>2009</v>
      </c>
      <c r="X355" s="35">
        <v>0</v>
      </c>
      <c r="Y355" s="22">
        <v>-6500</v>
      </c>
      <c r="Z355" s="35" t="s">
        <v>118</v>
      </c>
      <c r="AA355" s="19" t="s">
        <v>1871</v>
      </c>
      <c r="AB355" s="35"/>
      <c r="AC355" s="26" t="s">
        <v>53</v>
      </c>
      <c r="AD355" s="19" t="s">
        <v>54</v>
      </c>
      <c r="AE355" s="19">
        <v>410</v>
      </c>
      <c r="AF355" s="17">
        <v>45154</v>
      </c>
      <c r="AG355" s="72" t="s">
        <v>2010</v>
      </c>
      <c r="AH355" s="36">
        <v>1</v>
      </c>
      <c r="AI355" s="37">
        <v>1</v>
      </c>
      <c r="AJ355" s="35"/>
      <c r="AK355" s="35"/>
      <c r="AL355" s="35"/>
      <c r="AM355" s="35"/>
      <c r="AN355" s="35"/>
      <c r="AO355" s="35"/>
      <c r="AP355" s="35"/>
    </row>
    <row r="356" spans="1:42" x14ac:dyDescent="0.2">
      <c r="A356" s="27">
        <v>45127.242293564814</v>
      </c>
      <c r="B356" s="28" t="s">
        <v>37</v>
      </c>
      <c r="C356" s="41" t="s">
        <v>118</v>
      </c>
      <c r="D356" s="26" t="s">
        <v>36</v>
      </c>
      <c r="E356" s="26" t="s">
        <v>39</v>
      </c>
      <c r="F356" s="26" t="s">
        <v>107</v>
      </c>
      <c r="G356" s="26" t="s">
        <v>108</v>
      </c>
      <c r="H356" s="26" t="s">
        <v>2011</v>
      </c>
      <c r="I356" s="17" t="str">
        <f ca="1">IFERROR(__xludf.DUMMYFUNCTION("""COMPUTED_VALUE""")," ")</f>
        <v xml:space="preserve"> </v>
      </c>
      <c r="J356" s="29" t="s">
        <v>2012</v>
      </c>
      <c r="K356" s="26" t="s">
        <v>2013</v>
      </c>
      <c r="L356" s="30">
        <v>356690278</v>
      </c>
      <c r="M356" s="26" t="s">
        <v>112</v>
      </c>
      <c r="N356" s="26" t="s">
        <v>578</v>
      </c>
      <c r="O356" s="26" t="s">
        <v>91</v>
      </c>
      <c r="P356" s="26" t="s">
        <v>2014</v>
      </c>
      <c r="Q356" s="20">
        <v>5736</v>
      </c>
      <c r="R356" s="26" t="s">
        <v>36</v>
      </c>
      <c r="S356" s="31">
        <v>5636</v>
      </c>
      <c r="T356" s="32">
        <v>45048</v>
      </c>
      <c r="U356" s="31"/>
      <c r="V356" s="26"/>
      <c r="W356" s="33" t="s">
        <v>2015</v>
      </c>
      <c r="X356" s="26">
        <v>0</v>
      </c>
      <c r="Y356" s="22">
        <v>100</v>
      </c>
      <c r="Z356" s="26" t="s">
        <v>118</v>
      </c>
      <c r="AA356" s="19" t="s">
        <v>1871</v>
      </c>
      <c r="AB356" s="26" t="s">
        <v>154</v>
      </c>
      <c r="AC356" s="26" t="s">
        <v>53</v>
      </c>
      <c r="AD356" s="19" t="s">
        <v>54</v>
      </c>
      <c r="AE356" s="26">
        <v>66</v>
      </c>
      <c r="AF356" s="17">
        <v>45127</v>
      </c>
      <c r="AG356" s="26"/>
      <c r="AH356" s="26">
        <v>1</v>
      </c>
      <c r="AI356" s="40" t="s">
        <v>55</v>
      </c>
      <c r="AJ356" s="26"/>
      <c r="AK356" s="26"/>
      <c r="AL356" s="35"/>
      <c r="AM356" s="35"/>
      <c r="AN356" s="35"/>
      <c r="AO356" s="35"/>
      <c r="AP356" s="35"/>
    </row>
    <row r="357" spans="1:42" x14ac:dyDescent="0.2">
      <c r="A357" s="27">
        <v>45127.242293564814</v>
      </c>
      <c r="B357" s="28" t="s">
        <v>37</v>
      </c>
      <c r="C357" s="41" t="s">
        <v>118</v>
      </c>
      <c r="D357" s="26" t="s">
        <v>36</v>
      </c>
      <c r="E357" s="26" t="s">
        <v>39</v>
      </c>
      <c r="F357" s="61" t="s">
        <v>2016</v>
      </c>
      <c r="G357" s="26" t="s">
        <v>108</v>
      </c>
      <c r="H357" s="26" t="s">
        <v>2017</v>
      </c>
      <c r="I357" s="17">
        <f ca="1">IFERROR(__xludf.DUMMYFUNCTION("""COMPUTED_VALUE"""),45485)</f>
        <v>45485</v>
      </c>
      <c r="J357" s="29" t="s">
        <v>2012</v>
      </c>
      <c r="K357" s="26" t="s">
        <v>2018</v>
      </c>
      <c r="L357" s="30">
        <v>356690278</v>
      </c>
      <c r="M357" s="26" t="s">
        <v>112</v>
      </c>
      <c r="N357" s="26" t="s">
        <v>578</v>
      </c>
      <c r="O357" s="26" t="s">
        <v>91</v>
      </c>
      <c r="P357" s="26" t="s">
        <v>2014</v>
      </c>
      <c r="Q357" s="20">
        <v>5736</v>
      </c>
      <c r="R357" s="26" t="s">
        <v>36</v>
      </c>
      <c r="S357" s="31">
        <v>5636</v>
      </c>
      <c r="T357" s="32">
        <v>45048</v>
      </c>
      <c r="U357" s="31"/>
      <c r="V357" s="26"/>
      <c r="W357" s="33" t="s">
        <v>2015</v>
      </c>
      <c r="X357" s="26">
        <v>0</v>
      </c>
      <c r="Y357" s="22">
        <v>100</v>
      </c>
      <c r="Z357" s="26" t="s">
        <v>118</v>
      </c>
      <c r="AA357" s="19" t="s">
        <v>1871</v>
      </c>
      <c r="AB357" s="26" t="s">
        <v>154</v>
      </c>
      <c r="AC357" s="26" t="s">
        <v>53</v>
      </c>
      <c r="AD357" s="19" t="s">
        <v>54</v>
      </c>
      <c r="AE357" s="26">
        <v>66</v>
      </c>
      <c r="AF357" s="17">
        <v>45127</v>
      </c>
      <c r="AG357" s="26"/>
      <c r="AH357" s="26">
        <v>1</v>
      </c>
      <c r="AI357" s="40" t="s">
        <v>55</v>
      </c>
      <c r="AJ357" s="26"/>
      <c r="AK357" s="26"/>
      <c r="AL357" s="35"/>
      <c r="AM357" s="35"/>
      <c r="AN357" s="35"/>
      <c r="AO357" s="35"/>
      <c r="AP357" s="35"/>
    </row>
    <row r="358" spans="1:42" x14ac:dyDescent="0.2">
      <c r="A358" s="27">
        <v>45127.387896122687</v>
      </c>
      <c r="B358" s="28" t="s">
        <v>37</v>
      </c>
      <c r="C358" s="41" t="s">
        <v>118</v>
      </c>
      <c r="D358" s="26" t="s">
        <v>36</v>
      </c>
      <c r="E358" s="26" t="s">
        <v>106</v>
      </c>
      <c r="F358" s="26" t="s">
        <v>2019</v>
      </c>
      <c r="G358" s="26" t="s">
        <v>108</v>
      </c>
      <c r="H358" s="26" t="s">
        <v>554</v>
      </c>
      <c r="I358" s="17">
        <f ca="1">IFERROR(__xludf.DUMMYFUNCTION("""COMPUTED_VALUE"""),45133)</f>
        <v>45133</v>
      </c>
      <c r="J358" s="29" t="s">
        <v>2020</v>
      </c>
      <c r="K358" s="26" t="s">
        <v>2021</v>
      </c>
      <c r="L358" s="30">
        <v>987863730</v>
      </c>
      <c r="M358" s="26" t="s">
        <v>354</v>
      </c>
      <c r="N358" s="26" t="s">
        <v>2022</v>
      </c>
      <c r="O358" s="26" t="s">
        <v>2023</v>
      </c>
      <c r="P358" s="26" t="s">
        <v>2024</v>
      </c>
      <c r="Q358" s="20">
        <v>3768</v>
      </c>
      <c r="R358" s="26" t="s">
        <v>36</v>
      </c>
      <c r="S358" s="31">
        <v>10804</v>
      </c>
      <c r="T358" s="32">
        <v>44795</v>
      </c>
      <c r="U358" s="31"/>
      <c r="V358" s="26"/>
      <c r="W358" s="26"/>
      <c r="X358" s="26">
        <v>0</v>
      </c>
      <c r="Y358" s="22">
        <v>-7036</v>
      </c>
      <c r="Z358" s="26" t="s">
        <v>118</v>
      </c>
      <c r="AA358" s="19" t="s">
        <v>1871</v>
      </c>
      <c r="AB358" s="26" t="s">
        <v>137</v>
      </c>
      <c r="AC358" s="26" t="s">
        <v>53</v>
      </c>
      <c r="AD358" s="19" t="s">
        <v>54</v>
      </c>
      <c r="AE358" s="26">
        <v>500</v>
      </c>
      <c r="AF358" s="17">
        <v>45132</v>
      </c>
      <c r="AG358" s="72" t="s">
        <v>2025</v>
      </c>
      <c r="AH358" s="26">
        <v>1</v>
      </c>
      <c r="AI358" s="40">
        <v>1</v>
      </c>
      <c r="AJ358" s="26"/>
      <c r="AK358" s="26"/>
      <c r="AL358" s="35"/>
      <c r="AM358" s="35"/>
      <c r="AN358" s="35"/>
      <c r="AO358" s="35"/>
      <c r="AP358" s="35"/>
    </row>
    <row r="359" spans="1:42" x14ac:dyDescent="0.2">
      <c r="A359" s="27">
        <v>45128.062125405093</v>
      </c>
      <c r="B359" s="28" t="s">
        <v>37</v>
      </c>
      <c r="C359" s="41" t="s">
        <v>118</v>
      </c>
      <c r="D359" s="26" t="s">
        <v>36</v>
      </c>
      <c r="E359" s="26" t="s">
        <v>148</v>
      </c>
      <c r="F359" s="26" t="s">
        <v>91</v>
      </c>
      <c r="G359" s="26" t="s">
        <v>108</v>
      </c>
      <c r="H359" s="26" t="s">
        <v>554</v>
      </c>
      <c r="I359" s="17">
        <f ca="1">IFERROR(__xludf.DUMMYFUNCTION("""COMPUTED_VALUE"""),45133)</f>
        <v>45133</v>
      </c>
      <c r="J359" s="29" t="s">
        <v>2026</v>
      </c>
      <c r="K359" s="26" t="s">
        <v>2027</v>
      </c>
      <c r="L359" s="30">
        <v>389738277</v>
      </c>
      <c r="M359" s="26" t="s">
        <v>354</v>
      </c>
      <c r="N359" s="26" t="s">
        <v>2022</v>
      </c>
      <c r="O359" s="26" t="s">
        <v>2028</v>
      </c>
      <c r="P359" s="26" t="s">
        <v>2029</v>
      </c>
      <c r="Q359" s="20">
        <v>7349</v>
      </c>
      <c r="R359" s="26" t="s">
        <v>36</v>
      </c>
      <c r="S359" s="31">
        <v>16779</v>
      </c>
      <c r="T359" s="32">
        <v>44785</v>
      </c>
      <c r="U359" s="31"/>
      <c r="V359" s="26"/>
      <c r="W359" s="55" t="s">
        <v>2030</v>
      </c>
      <c r="X359" s="26">
        <v>0</v>
      </c>
      <c r="Y359" s="22">
        <v>-9430</v>
      </c>
      <c r="Z359" s="26" t="s">
        <v>118</v>
      </c>
      <c r="AA359" s="19" t="s">
        <v>1871</v>
      </c>
      <c r="AB359" s="26" t="s">
        <v>137</v>
      </c>
      <c r="AC359" s="26" t="s">
        <v>53</v>
      </c>
      <c r="AD359" s="19" t="s">
        <v>54</v>
      </c>
      <c r="AE359" s="26">
        <v>570</v>
      </c>
      <c r="AF359" s="17">
        <v>45132</v>
      </c>
      <c r="AG359" s="26"/>
      <c r="AH359" s="26">
        <v>1</v>
      </c>
      <c r="AI359" s="40">
        <v>2</v>
      </c>
      <c r="AJ359" s="26"/>
      <c r="AK359" s="26"/>
      <c r="AL359" s="35"/>
      <c r="AM359" s="35"/>
      <c r="AN359" s="35"/>
      <c r="AO359" s="35"/>
      <c r="AP359" s="35"/>
    </row>
    <row r="360" spans="1:42" x14ac:dyDescent="0.2">
      <c r="A360" s="27">
        <v>45128.321677395834</v>
      </c>
      <c r="B360" s="28" t="s">
        <v>37</v>
      </c>
      <c r="C360" s="41" t="s">
        <v>118</v>
      </c>
      <c r="D360" s="26" t="s">
        <v>36</v>
      </c>
      <c r="E360" s="26" t="s">
        <v>219</v>
      </c>
      <c r="F360" s="26" t="s">
        <v>36</v>
      </c>
      <c r="G360" s="26" t="s">
        <v>221</v>
      </c>
      <c r="H360" s="26" t="s">
        <v>2031</v>
      </c>
      <c r="I360" s="17">
        <f ca="1">IFERROR(__xludf.DUMMYFUNCTION("""COMPUTED_VALUE"""),45299)</f>
        <v>45299</v>
      </c>
      <c r="J360" s="29" t="s">
        <v>2032</v>
      </c>
      <c r="K360" s="26" t="s">
        <v>2033</v>
      </c>
      <c r="L360" s="30">
        <v>913467433</v>
      </c>
      <c r="M360" s="26" t="s">
        <v>633</v>
      </c>
      <c r="N360" s="26" t="s">
        <v>1384</v>
      </c>
      <c r="O360" s="26" t="s">
        <v>2034</v>
      </c>
      <c r="P360" s="26" t="s">
        <v>2035</v>
      </c>
      <c r="Q360" s="20">
        <v>3968</v>
      </c>
      <c r="R360" s="26" t="s">
        <v>36</v>
      </c>
      <c r="S360" s="31">
        <v>3768</v>
      </c>
      <c r="T360" s="32">
        <v>44926</v>
      </c>
      <c r="U360" s="31">
        <v>300</v>
      </c>
      <c r="V360" s="74">
        <v>45282</v>
      </c>
      <c r="W360" s="33" t="s">
        <v>2036</v>
      </c>
      <c r="X360" s="26">
        <v>0</v>
      </c>
      <c r="Y360" s="22">
        <v>0</v>
      </c>
      <c r="Z360" s="26" t="s">
        <v>118</v>
      </c>
      <c r="AA360" s="19" t="s">
        <v>1871</v>
      </c>
      <c r="AB360" s="26"/>
      <c r="AC360" s="26" t="s">
        <v>53</v>
      </c>
      <c r="AD360" s="19" t="s">
        <v>54</v>
      </c>
      <c r="AE360" s="26" t="s">
        <v>2037</v>
      </c>
      <c r="AF360" s="17">
        <v>45293</v>
      </c>
      <c r="AG360" s="75" t="s">
        <v>2038</v>
      </c>
      <c r="AH360" s="26">
        <v>1</v>
      </c>
      <c r="AI360" s="40">
        <v>1</v>
      </c>
      <c r="AJ360" s="26"/>
      <c r="AK360" s="26"/>
      <c r="AL360" s="35"/>
      <c r="AM360" s="35"/>
      <c r="AN360" s="35"/>
      <c r="AO360" s="35"/>
      <c r="AP360" s="35"/>
    </row>
    <row r="361" spans="1:42" x14ac:dyDescent="0.2">
      <c r="A361" s="14"/>
      <c r="B361" s="68" t="s">
        <v>37</v>
      </c>
      <c r="C361" s="41" t="s">
        <v>118</v>
      </c>
      <c r="D361" s="35"/>
      <c r="E361" s="26" t="s">
        <v>106</v>
      </c>
      <c r="F361" s="35"/>
      <c r="G361" s="35" t="s">
        <v>108</v>
      </c>
      <c r="H361" s="26" t="s">
        <v>554</v>
      </c>
      <c r="I361" s="17">
        <f ca="1">IFERROR(__xludf.DUMMYFUNCTION("""COMPUTED_VALUE"""),45133)</f>
        <v>45133</v>
      </c>
      <c r="J361" s="29" t="s">
        <v>2039</v>
      </c>
      <c r="K361" s="26" t="s">
        <v>2040</v>
      </c>
      <c r="L361" s="30">
        <v>386846319</v>
      </c>
      <c r="M361" s="35" t="s">
        <v>112</v>
      </c>
      <c r="N361" s="35" t="s">
        <v>310</v>
      </c>
      <c r="O361" s="35"/>
      <c r="P361" s="76" t="s">
        <v>2041</v>
      </c>
      <c r="Q361" s="20">
        <v>3768</v>
      </c>
      <c r="R361" s="26" t="s">
        <v>36</v>
      </c>
      <c r="S361" s="31">
        <v>3768</v>
      </c>
      <c r="T361" s="38">
        <v>44600</v>
      </c>
      <c r="U361" s="58"/>
      <c r="V361" s="35"/>
      <c r="W361" s="35"/>
      <c r="X361" s="35">
        <v>0</v>
      </c>
      <c r="Y361" s="22">
        <v>0</v>
      </c>
      <c r="Z361" s="35" t="s">
        <v>118</v>
      </c>
      <c r="AA361" s="19" t="s">
        <v>1871</v>
      </c>
      <c r="AB361" s="35"/>
      <c r="AC361" s="26" t="s">
        <v>53</v>
      </c>
      <c r="AD361" s="19" t="s">
        <v>54</v>
      </c>
      <c r="AE361" s="19"/>
      <c r="AF361" s="17">
        <v>45132</v>
      </c>
      <c r="AG361" s="42" t="s">
        <v>2042</v>
      </c>
      <c r="AH361" s="36">
        <v>1</v>
      </c>
      <c r="AI361" s="37">
        <v>1</v>
      </c>
      <c r="AJ361" s="35"/>
      <c r="AK361" s="35"/>
      <c r="AL361" s="35"/>
      <c r="AM361" s="35"/>
      <c r="AN361" s="35"/>
      <c r="AO361" s="35"/>
      <c r="AP361" s="35"/>
    </row>
    <row r="362" spans="1:42" x14ac:dyDescent="0.2">
      <c r="A362" s="27">
        <v>45129.250872847224</v>
      </c>
      <c r="B362" s="28" t="s">
        <v>37</v>
      </c>
      <c r="C362" s="41" t="s">
        <v>118</v>
      </c>
      <c r="D362" s="26" t="s">
        <v>36</v>
      </c>
      <c r="E362" s="26" t="s">
        <v>148</v>
      </c>
      <c r="F362" s="26" t="s">
        <v>307</v>
      </c>
      <c r="G362" s="26" t="s">
        <v>108</v>
      </c>
      <c r="H362" s="26" t="s">
        <v>554</v>
      </c>
      <c r="I362" s="17">
        <f ca="1">IFERROR(__xludf.DUMMYFUNCTION("""COMPUTED_VALUE"""),45133)</f>
        <v>45133</v>
      </c>
      <c r="J362" s="29" t="s">
        <v>2043</v>
      </c>
      <c r="K362" s="26" t="s">
        <v>2044</v>
      </c>
      <c r="L362" s="30">
        <v>963970712</v>
      </c>
      <c r="M362" s="26" t="s">
        <v>112</v>
      </c>
      <c r="N362" s="26" t="s">
        <v>578</v>
      </c>
      <c r="O362" s="26" t="s">
        <v>91</v>
      </c>
      <c r="P362" s="26" t="s">
        <v>2045</v>
      </c>
      <c r="Q362" s="20">
        <v>7349</v>
      </c>
      <c r="R362" s="26" t="s">
        <v>36</v>
      </c>
      <c r="S362" s="31">
        <v>6768</v>
      </c>
      <c r="T362" s="32">
        <v>44772</v>
      </c>
      <c r="U362" s="31"/>
      <c r="V362" s="26"/>
      <c r="W362" s="33" t="s">
        <v>2046</v>
      </c>
      <c r="X362" s="26">
        <v>0</v>
      </c>
      <c r="Y362" s="22">
        <v>581</v>
      </c>
      <c r="Z362" s="26" t="s">
        <v>118</v>
      </c>
      <c r="AA362" s="19" t="s">
        <v>1871</v>
      </c>
      <c r="AB362" s="26" t="s">
        <v>137</v>
      </c>
      <c r="AC362" s="26" t="s">
        <v>53</v>
      </c>
      <c r="AD362" s="19" t="s">
        <v>54</v>
      </c>
      <c r="AE362" s="26"/>
      <c r="AF362" s="17">
        <v>45132</v>
      </c>
      <c r="AG362" s="26"/>
      <c r="AH362" s="26">
        <v>1</v>
      </c>
      <c r="AI362" s="40">
        <v>2</v>
      </c>
      <c r="AJ362" s="26"/>
      <c r="AK362" s="26"/>
      <c r="AL362" s="35"/>
      <c r="AM362" s="35"/>
      <c r="AN362" s="35"/>
      <c r="AO362" s="35"/>
      <c r="AP362" s="35"/>
    </row>
    <row r="363" spans="1:42" x14ac:dyDescent="0.2">
      <c r="A363" s="27">
        <v>45130.034728842591</v>
      </c>
      <c r="B363" s="28" t="s">
        <v>37</v>
      </c>
      <c r="C363" s="41" t="s">
        <v>118</v>
      </c>
      <c r="D363" s="26" t="s">
        <v>36</v>
      </c>
      <c r="E363" s="26" t="s">
        <v>148</v>
      </c>
      <c r="F363" s="26" t="s">
        <v>1885</v>
      </c>
      <c r="G363" s="26" t="s">
        <v>221</v>
      </c>
      <c r="H363" s="26" t="s">
        <v>222</v>
      </c>
      <c r="I363" s="17">
        <f ca="1">IFERROR(__xludf.DUMMYFUNCTION("""COMPUTED_VALUE"""),45132)</f>
        <v>45132</v>
      </c>
      <c r="J363" s="29" t="s">
        <v>2047</v>
      </c>
      <c r="K363" s="26" t="s">
        <v>2048</v>
      </c>
      <c r="L363" s="30">
        <v>782199042</v>
      </c>
      <c r="M363" s="26" t="s">
        <v>112</v>
      </c>
      <c r="N363" s="26" t="s">
        <v>578</v>
      </c>
      <c r="O363" s="26" t="s">
        <v>91</v>
      </c>
      <c r="P363" s="26" t="s">
        <v>2049</v>
      </c>
      <c r="Q363" s="20">
        <v>7349</v>
      </c>
      <c r="R363" s="26" t="s">
        <v>36</v>
      </c>
      <c r="S363" s="77">
        <v>4000</v>
      </c>
      <c r="T363" s="78">
        <v>44912</v>
      </c>
      <c r="U363" s="77">
        <v>3349</v>
      </c>
      <c r="V363" s="78">
        <v>44962</v>
      </c>
      <c r="W363" s="79" t="s">
        <v>2050</v>
      </c>
      <c r="X363" s="80">
        <v>0</v>
      </c>
      <c r="Y363" s="22">
        <v>0</v>
      </c>
      <c r="Z363" s="81" t="s">
        <v>50</v>
      </c>
      <c r="AA363" s="82" t="s">
        <v>2051</v>
      </c>
      <c r="AB363" s="26" t="s">
        <v>104</v>
      </c>
      <c r="AC363" s="26" t="s">
        <v>53</v>
      </c>
      <c r="AD363" s="19" t="s">
        <v>54</v>
      </c>
      <c r="AE363" s="26">
        <v>655</v>
      </c>
      <c r="AF363" s="17">
        <v>45132</v>
      </c>
      <c r="AG363" s="26"/>
      <c r="AH363" s="26">
        <v>1</v>
      </c>
      <c r="AI363" s="40">
        <v>2</v>
      </c>
      <c r="AJ363" s="26"/>
      <c r="AK363" s="26"/>
      <c r="AL363" s="35"/>
      <c r="AM363" s="35"/>
      <c r="AN363" s="35"/>
      <c r="AO363" s="35"/>
      <c r="AP363" s="35"/>
    </row>
    <row r="364" spans="1:42" x14ac:dyDescent="0.2">
      <c r="A364" s="27">
        <v>45131.092645358796</v>
      </c>
      <c r="B364" s="28" t="s">
        <v>37</v>
      </c>
      <c r="C364" s="41" t="s">
        <v>118</v>
      </c>
      <c r="D364" s="26" t="s">
        <v>36</v>
      </c>
      <c r="E364" s="26" t="s">
        <v>39</v>
      </c>
      <c r="F364" s="26" t="s">
        <v>2052</v>
      </c>
      <c r="G364" s="26" t="s">
        <v>108</v>
      </c>
      <c r="H364" s="26" t="s">
        <v>765</v>
      </c>
      <c r="I364" s="17">
        <f ca="1">IFERROR(__xludf.DUMMYFUNCTION("""COMPUTED_VALUE"""),45139)</f>
        <v>45139</v>
      </c>
      <c r="J364" s="29" t="s">
        <v>2053</v>
      </c>
      <c r="K364" s="26" t="s">
        <v>2054</v>
      </c>
      <c r="L364" s="30">
        <v>818899064</v>
      </c>
      <c r="M364" s="26" t="s">
        <v>112</v>
      </c>
      <c r="N364" s="26" t="s">
        <v>578</v>
      </c>
      <c r="O364" s="26" t="s">
        <v>91</v>
      </c>
      <c r="P364" s="26" t="s">
        <v>2055</v>
      </c>
      <c r="Q364" s="20">
        <v>5736</v>
      </c>
      <c r="R364" s="26" t="s">
        <v>36</v>
      </c>
      <c r="S364" s="31">
        <v>5636</v>
      </c>
      <c r="T364" s="32">
        <v>44975</v>
      </c>
      <c r="U364" s="31"/>
      <c r="V364" s="26"/>
      <c r="W364" s="33" t="s">
        <v>2056</v>
      </c>
      <c r="X364" s="26">
        <v>0</v>
      </c>
      <c r="Y364" s="22">
        <v>100</v>
      </c>
      <c r="Z364" s="26" t="s">
        <v>118</v>
      </c>
      <c r="AA364" s="19" t="s">
        <v>1871</v>
      </c>
      <c r="AB364" s="26" t="s">
        <v>146</v>
      </c>
      <c r="AC364" s="26" t="s">
        <v>53</v>
      </c>
      <c r="AD364" s="19" t="s">
        <v>54</v>
      </c>
      <c r="AE364" s="26">
        <v>82</v>
      </c>
      <c r="AF364" s="17">
        <v>45132</v>
      </c>
      <c r="AG364" s="26"/>
      <c r="AH364" s="26">
        <v>1</v>
      </c>
      <c r="AI364" s="40" t="s">
        <v>55</v>
      </c>
      <c r="AJ364" s="26"/>
      <c r="AK364" s="26"/>
      <c r="AL364" s="35"/>
      <c r="AM364" s="35"/>
      <c r="AN364" s="35"/>
      <c r="AO364" s="35"/>
      <c r="AP364" s="35"/>
    </row>
    <row r="365" spans="1:42" x14ac:dyDescent="0.2">
      <c r="A365" s="27">
        <v>45131.15054555556</v>
      </c>
      <c r="B365" s="28" t="s">
        <v>37</v>
      </c>
      <c r="C365" s="41" t="s">
        <v>118</v>
      </c>
      <c r="D365" s="26" t="s">
        <v>36</v>
      </c>
      <c r="E365" s="26" t="s">
        <v>106</v>
      </c>
      <c r="F365" s="26" t="s">
        <v>91</v>
      </c>
      <c r="G365" s="26" t="s">
        <v>108</v>
      </c>
      <c r="H365" s="26" t="s">
        <v>2057</v>
      </c>
      <c r="I365" s="17">
        <f ca="1">IFERROR(__xludf.DUMMYFUNCTION("""COMPUTED_VALUE"""),45391)</f>
        <v>45391</v>
      </c>
      <c r="J365" s="29" t="s">
        <v>2058</v>
      </c>
      <c r="K365" s="26" t="s">
        <v>2059</v>
      </c>
      <c r="L365" s="30">
        <v>982575131</v>
      </c>
      <c r="M365" s="26" t="s">
        <v>749</v>
      </c>
      <c r="N365" s="26" t="s">
        <v>2060</v>
      </c>
      <c r="O365" s="26" t="s">
        <v>2061</v>
      </c>
      <c r="P365" s="42" t="s">
        <v>2062</v>
      </c>
      <c r="Q365" s="20">
        <v>3768</v>
      </c>
      <c r="R365" s="26" t="s">
        <v>36</v>
      </c>
      <c r="S365" s="31">
        <v>7624</v>
      </c>
      <c r="T365" s="32">
        <v>44986</v>
      </c>
      <c r="U365" s="31"/>
      <c r="V365" s="26"/>
      <c r="W365" s="33" t="s">
        <v>2063</v>
      </c>
      <c r="X365" s="26">
        <v>0</v>
      </c>
      <c r="Y365" s="22">
        <v>-3856</v>
      </c>
      <c r="Z365" s="26" t="s">
        <v>118</v>
      </c>
      <c r="AA365" s="19" t="s">
        <v>1871</v>
      </c>
      <c r="AB365" s="26" t="s">
        <v>137</v>
      </c>
      <c r="AC365" s="26" t="s">
        <v>53</v>
      </c>
      <c r="AD365" s="19" t="s">
        <v>54</v>
      </c>
      <c r="AE365" s="26" t="s">
        <v>2064</v>
      </c>
      <c r="AF365" s="17">
        <v>45386</v>
      </c>
      <c r="AG365" s="42" t="s">
        <v>2065</v>
      </c>
      <c r="AH365" s="26">
        <v>1</v>
      </c>
      <c r="AI365" s="40">
        <v>1</v>
      </c>
      <c r="AJ365" s="26"/>
      <c r="AK365" s="26"/>
      <c r="AL365" s="35"/>
      <c r="AM365" s="35"/>
      <c r="AN365" s="35"/>
      <c r="AO365" s="35"/>
      <c r="AP365" s="35"/>
    </row>
    <row r="366" spans="1:42" x14ac:dyDescent="0.2">
      <c r="A366" s="27">
        <v>45132.197977800926</v>
      </c>
      <c r="B366" s="28" t="s">
        <v>37</v>
      </c>
      <c r="C366" s="41" t="s">
        <v>118</v>
      </c>
      <c r="D366" s="26" t="s">
        <v>36</v>
      </c>
      <c r="E366" s="26" t="s">
        <v>39</v>
      </c>
      <c r="F366" s="26" t="s">
        <v>107</v>
      </c>
      <c r="G366" s="26" t="s">
        <v>108</v>
      </c>
      <c r="H366" s="26" t="s">
        <v>765</v>
      </c>
      <c r="I366" s="17">
        <f ca="1">IFERROR(__xludf.DUMMYFUNCTION("""COMPUTED_VALUE"""),45139)</f>
        <v>45139</v>
      </c>
      <c r="J366" s="29" t="s">
        <v>2066</v>
      </c>
      <c r="K366" s="26" t="s">
        <v>2067</v>
      </c>
      <c r="L366" s="30">
        <v>342964702</v>
      </c>
      <c r="M366" s="26" t="s">
        <v>112</v>
      </c>
      <c r="N366" s="26" t="s">
        <v>578</v>
      </c>
      <c r="O366" s="26" t="s">
        <v>91</v>
      </c>
      <c r="P366" s="76" t="s">
        <v>2068</v>
      </c>
      <c r="Q366" s="20">
        <v>5736</v>
      </c>
      <c r="R366" s="26" t="s">
        <v>36</v>
      </c>
      <c r="S366" s="31">
        <v>1393</v>
      </c>
      <c r="T366" s="32">
        <v>45025</v>
      </c>
      <c r="U366" s="31"/>
      <c r="V366" s="26"/>
      <c r="W366" s="33" t="s">
        <v>2069</v>
      </c>
      <c r="X366" s="26">
        <v>0</v>
      </c>
      <c r="Y366" s="22">
        <v>0</v>
      </c>
      <c r="Z366" s="26" t="s">
        <v>118</v>
      </c>
      <c r="AA366" s="19" t="s">
        <v>1871</v>
      </c>
      <c r="AB366" s="26" t="s">
        <v>137</v>
      </c>
      <c r="AC366" s="26" t="s">
        <v>53</v>
      </c>
      <c r="AD366" s="19" t="s">
        <v>54</v>
      </c>
      <c r="AE366" s="26" t="s">
        <v>2070</v>
      </c>
      <c r="AF366" s="17">
        <v>45132</v>
      </c>
      <c r="AG366" s="26"/>
      <c r="AH366" s="26">
        <v>2</v>
      </c>
      <c r="AI366" s="40" t="s">
        <v>55</v>
      </c>
      <c r="AJ366" s="26"/>
      <c r="AK366" s="26"/>
      <c r="AL366" s="35"/>
      <c r="AM366" s="35"/>
      <c r="AN366" s="35"/>
      <c r="AO366" s="35"/>
      <c r="AP366" s="35"/>
    </row>
    <row r="367" spans="1:42" x14ac:dyDescent="0.2">
      <c r="A367" s="27">
        <v>45132.556293553236</v>
      </c>
      <c r="B367" s="28" t="s">
        <v>37</v>
      </c>
      <c r="C367" s="41" t="s">
        <v>118</v>
      </c>
      <c r="D367" s="26" t="s">
        <v>36</v>
      </c>
      <c r="E367" s="26" t="s">
        <v>148</v>
      </c>
      <c r="F367" s="26" t="s">
        <v>765</v>
      </c>
      <c r="G367" s="26" t="s">
        <v>221</v>
      </c>
      <c r="H367" s="26" t="s">
        <v>2071</v>
      </c>
      <c r="I367" s="17">
        <f ca="1">IFERROR(__xludf.DUMMYFUNCTION("""COMPUTED_VALUE"""),45392)</f>
        <v>45392</v>
      </c>
      <c r="J367" s="29" t="s">
        <v>2072</v>
      </c>
      <c r="K367" s="26" t="s">
        <v>2073</v>
      </c>
      <c r="L367" s="30">
        <v>362303549</v>
      </c>
      <c r="M367" s="26" t="s">
        <v>112</v>
      </c>
      <c r="N367" s="26" t="s">
        <v>578</v>
      </c>
      <c r="O367" s="26" t="s">
        <v>91</v>
      </c>
      <c r="P367" s="39" t="s">
        <v>2074</v>
      </c>
      <c r="Q367" s="20">
        <v>13968</v>
      </c>
      <c r="R367" s="26" t="s">
        <v>36</v>
      </c>
      <c r="S367" s="31">
        <v>16779</v>
      </c>
      <c r="T367" s="32">
        <v>44432</v>
      </c>
      <c r="U367" s="31"/>
      <c r="V367" s="26"/>
      <c r="W367" s="26"/>
      <c r="X367" s="26">
        <v>0</v>
      </c>
      <c r="Y367" s="22">
        <v>0</v>
      </c>
      <c r="Z367" s="26" t="s">
        <v>118</v>
      </c>
      <c r="AA367" s="19" t="s">
        <v>1871</v>
      </c>
      <c r="AB367" s="26"/>
      <c r="AC367" s="26" t="s">
        <v>53</v>
      </c>
      <c r="AD367" s="19" t="s">
        <v>54</v>
      </c>
      <c r="AE367" s="26" t="s">
        <v>765</v>
      </c>
      <c r="AF367" s="17">
        <v>45371</v>
      </c>
      <c r="AG367" s="26" t="s">
        <v>2075</v>
      </c>
      <c r="AH367" s="26">
        <v>2</v>
      </c>
      <c r="AI367" s="40">
        <v>4</v>
      </c>
      <c r="AJ367" s="26"/>
      <c r="AK367" s="26"/>
      <c r="AL367" s="35"/>
      <c r="AM367" s="35"/>
      <c r="AN367" s="35"/>
      <c r="AO367" s="35"/>
      <c r="AP367" s="35"/>
    </row>
    <row r="368" spans="1:42" x14ac:dyDescent="0.2">
      <c r="A368" s="27">
        <v>45133.298441805557</v>
      </c>
      <c r="B368" s="28" t="s">
        <v>37</v>
      </c>
      <c r="C368" s="41" t="s">
        <v>118</v>
      </c>
      <c r="D368" s="26" t="s">
        <v>36</v>
      </c>
      <c r="E368" s="26" t="s">
        <v>106</v>
      </c>
      <c r="F368" s="26" t="s">
        <v>2076</v>
      </c>
      <c r="G368" s="26" t="s">
        <v>108</v>
      </c>
      <c r="H368" s="26" t="s">
        <v>562</v>
      </c>
      <c r="I368" s="17">
        <f ca="1">IFERROR(__xludf.DUMMYFUNCTION("""COMPUTED_VALUE"""),45133)</f>
        <v>45133</v>
      </c>
      <c r="J368" s="29" t="s">
        <v>2077</v>
      </c>
      <c r="K368" s="26" t="s">
        <v>2078</v>
      </c>
      <c r="L368" s="30">
        <v>356889072</v>
      </c>
      <c r="M368" s="26" t="s">
        <v>94</v>
      </c>
      <c r="N368" s="26" t="s">
        <v>200</v>
      </c>
      <c r="O368" s="26" t="s">
        <v>91</v>
      </c>
      <c r="P368" s="26" t="s">
        <v>2079</v>
      </c>
      <c r="Q368" s="20">
        <v>3768</v>
      </c>
      <c r="R368" s="26" t="s">
        <v>36</v>
      </c>
      <c r="S368" s="31">
        <v>6688</v>
      </c>
      <c r="T368" s="32">
        <v>44670</v>
      </c>
      <c r="U368" s="31"/>
      <c r="V368" s="26"/>
      <c r="W368" s="26"/>
      <c r="X368" s="26">
        <v>0</v>
      </c>
      <c r="Y368" s="22">
        <v>-2920</v>
      </c>
      <c r="Z368" s="26" t="s">
        <v>118</v>
      </c>
      <c r="AA368" s="19" t="s">
        <v>1871</v>
      </c>
      <c r="AB368" s="26" t="s">
        <v>128</v>
      </c>
      <c r="AC368" s="26" t="s">
        <v>53</v>
      </c>
      <c r="AD368" s="19" t="s">
        <v>54</v>
      </c>
      <c r="AE368" s="26" t="s">
        <v>2080</v>
      </c>
      <c r="AF368" s="17">
        <v>45133</v>
      </c>
      <c r="AG368" s="26"/>
      <c r="AH368" s="26">
        <v>1</v>
      </c>
      <c r="AI368" s="40">
        <v>1</v>
      </c>
      <c r="AJ368" s="26"/>
      <c r="AK368" s="26"/>
      <c r="AL368" s="35"/>
      <c r="AM368" s="35"/>
      <c r="AN368" s="35"/>
      <c r="AO368" s="35"/>
      <c r="AP368" s="35"/>
    </row>
    <row r="369" spans="1:42" x14ac:dyDescent="0.2">
      <c r="A369" s="27">
        <v>45133.42310266204</v>
      </c>
      <c r="B369" s="28" t="s">
        <v>37</v>
      </c>
      <c r="C369" s="41" t="s">
        <v>118</v>
      </c>
      <c r="D369" s="26" t="s">
        <v>36</v>
      </c>
      <c r="E369" s="26" t="s">
        <v>148</v>
      </c>
      <c r="F369" s="26" t="s">
        <v>91</v>
      </c>
      <c r="G369" s="26" t="s">
        <v>108</v>
      </c>
      <c r="H369" s="26" t="s">
        <v>2081</v>
      </c>
      <c r="I369" s="17">
        <f ca="1">IFERROR(__xludf.DUMMYFUNCTION("""COMPUTED_VALUE"""),45246)</f>
        <v>45246</v>
      </c>
      <c r="J369" s="29" t="s">
        <v>2082</v>
      </c>
      <c r="K369" s="26" t="s">
        <v>2083</v>
      </c>
      <c r="L369" s="30">
        <v>397543799</v>
      </c>
      <c r="M369" s="26" t="s">
        <v>749</v>
      </c>
      <c r="N369" s="26" t="s">
        <v>2084</v>
      </c>
      <c r="O369" s="26" t="s">
        <v>2085</v>
      </c>
      <c r="P369" s="42" t="s">
        <v>2086</v>
      </c>
      <c r="Q369" s="20">
        <v>7349</v>
      </c>
      <c r="R369" s="26" t="s">
        <v>36</v>
      </c>
      <c r="S369" s="31">
        <v>5000</v>
      </c>
      <c r="T369" s="32">
        <v>44791</v>
      </c>
      <c r="U369" s="31">
        <v>11779</v>
      </c>
      <c r="V369" s="32">
        <v>44804</v>
      </c>
      <c r="W369" s="33" t="s">
        <v>2087</v>
      </c>
      <c r="X369" s="26">
        <v>0</v>
      </c>
      <c r="Y369" s="22">
        <v>0</v>
      </c>
      <c r="Z369" s="26" t="s">
        <v>118</v>
      </c>
      <c r="AA369" s="19" t="s">
        <v>1871</v>
      </c>
      <c r="AB369" s="26" t="s">
        <v>128</v>
      </c>
      <c r="AC369" s="26" t="s">
        <v>53</v>
      </c>
      <c r="AD369" s="19" t="s">
        <v>54</v>
      </c>
      <c r="AE369" s="26">
        <v>380</v>
      </c>
      <c r="AF369" s="17">
        <v>45238</v>
      </c>
      <c r="AG369" s="26"/>
      <c r="AH369" s="26">
        <v>1</v>
      </c>
      <c r="AI369" s="40">
        <v>1</v>
      </c>
      <c r="AJ369" s="26"/>
      <c r="AK369" s="26"/>
      <c r="AL369" s="35"/>
      <c r="AM369" s="35"/>
      <c r="AN369" s="35"/>
      <c r="AO369" s="35"/>
      <c r="AP369" s="35"/>
    </row>
    <row r="370" spans="1:42" x14ac:dyDescent="0.2">
      <c r="A370" s="27">
        <v>45134.687313032409</v>
      </c>
      <c r="B370" s="28" t="s">
        <v>37</v>
      </c>
      <c r="C370" s="41" t="s">
        <v>118</v>
      </c>
      <c r="D370" s="26" t="s">
        <v>36</v>
      </c>
      <c r="E370" s="26" t="s">
        <v>39</v>
      </c>
      <c r="F370" s="26" t="s">
        <v>1892</v>
      </c>
      <c r="G370" s="26" t="s">
        <v>108</v>
      </c>
      <c r="H370" s="26" t="s">
        <v>2088</v>
      </c>
      <c r="I370" s="17">
        <f ca="1">IFERROR(__xludf.DUMMYFUNCTION("""COMPUTED_VALUE"""),45222)</f>
        <v>45222</v>
      </c>
      <c r="J370" s="29" t="s">
        <v>2089</v>
      </c>
      <c r="K370" s="26" t="s">
        <v>2090</v>
      </c>
      <c r="L370" s="30">
        <v>964416373</v>
      </c>
      <c r="M370" s="26" t="s">
        <v>112</v>
      </c>
      <c r="N370" s="26" t="s">
        <v>578</v>
      </c>
      <c r="O370" s="26" t="s">
        <v>91</v>
      </c>
      <c r="P370" s="26" t="s">
        <v>2091</v>
      </c>
      <c r="Q370" s="20">
        <v>5736</v>
      </c>
      <c r="R370" s="26" t="s">
        <v>36</v>
      </c>
      <c r="S370" s="31">
        <v>5355</v>
      </c>
      <c r="T370" s="32">
        <v>44984</v>
      </c>
      <c r="U370" s="31">
        <v>281</v>
      </c>
      <c r="V370" s="32">
        <v>44987</v>
      </c>
      <c r="W370" s="26"/>
      <c r="X370" s="26">
        <v>0</v>
      </c>
      <c r="Y370" s="22">
        <v>100</v>
      </c>
      <c r="Z370" s="26" t="s">
        <v>118</v>
      </c>
      <c r="AA370" s="19" t="s">
        <v>1871</v>
      </c>
      <c r="AB370" s="26" t="s">
        <v>128</v>
      </c>
      <c r="AC370" s="26" t="s">
        <v>53</v>
      </c>
      <c r="AD370" s="19" t="s">
        <v>54</v>
      </c>
      <c r="AE370" s="26">
        <v>92</v>
      </c>
      <c r="AF370" s="17">
        <v>45135</v>
      </c>
      <c r="AG370" s="26" t="s">
        <v>2092</v>
      </c>
      <c r="AH370" s="26">
        <v>1</v>
      </c>
      <c r="AI370" s="40" t="s">
        <v>55</v>
      </c>
      <c r="AJ370" s="26"/>
      <c r="AK370" s="26"/>
      <c r="AL370" s="35"/>
      <c r="AM370" s="35"/>
      <c r="AN370" s="35"/>
      <c r="AO370" s="35"/>
      <c r="AP370" s="35"/>
    </row>
    <row r="371" spans="1:42" x14ac:dyDescent="0.2">
      <c r="A371" s="27">
        <v>45137.336244317128</v>
      </c>
      <c r="B371" s="28" t="s">
        <v>37</v>
      </c>
      <c r="C371" s="41" t="s">
        <v>118</v>
      </c>
      <c r="D371" s="26" t="s">
        <v>36</v>
      </c>
      <c r="E371" s="26" t="s">
        <v>39</v>
      </c>
      <c r="F371" s="26" t="s">
        <v>107</v>
      </c>
      <c r="G371" s="26" t="s">
        <v>108</v>
      </c>
      <c r="H371" s="26" t="s">
        <v>1208</v>
      </c>
      <c r="I371" s="17">
        <f ca="1">IFERROR(__xludf.DUMMYFUNCTION("""COMPUTED_VALUE"""),45149)</f>
        <v>45149</v>
      </c>
      <c r="J371" s="29" t="s">
        <v>2093</v>
      </c>
      <c r="K371" s="26" t="s">
        <v>2094</v>
      </c>
      <c r="L371" s="30">
        <v>373383818</v>
      </c>
      <c r="M371" s="26" t="s">
        <v>112</v>
      </c>
      <c r="N371" s="26" t="s">
        <v>578</v>
      </c>
      <c r="O371" s="26" t="s">
        <v>91</v>
      </c>
      <c r="P371" s="26" t="s">
        <v>2095</v>
      </c>
      <c r="Q371" s="20">
        <v>5736</v>
      </c>
      <c r="R371" s="26" t="s">
        <v>36</v>
      </c>
      <c r="S371" s="31">
        <v>3668</v>
      </c>
      <c r="T371" s="32">
        <v>45091</v>
      </c>
      <c r="U371" s="31"/>
      <c r="V371" s="26"/>
      <c r="W371" s="33" t="s">
        <v>2096</v>
      </c>
      <c r="X371" s="26">
        <v>0</v>
      </c>
      <c r="Y371" s="22">
        <v>0</v>
      </c>
      <c r="Z371" s="26" t="s">
        <v>118</v>
      </c>
      <c r="AA371" s="19" t="s">
        <v>1871</v>
      </c>
      <c r="AB371" s="26" t="s">
        <v>154</v>
      </c>
      <c r="AC371" s="26" t="s">
        <v>53</v>
      </c>
      <c r="AD371" s="19" t="s">
        <v>54</v>
      </c>
      <c r="AE371" s="26">
        <v>65</v>
      </c>
      <c r="AF371" s="17">
        <v>44940</v>
      </c>
      <c r="AG371" s="72" t="s">
        <v>204</v>
      </c>
      <c r="AH371" s="26">
        <v>2</v>
      </c>
      <c r="AI371" s="40" t="s">
        <v>55</v>
      </c>
      <c r="AJ371" s="26"/>
      <c r="AK371" s="26"/>
      <c r="AL371" s="35"/>
      <c r="AM371" s="35"/>
      <c r="AN371" s="35"/>
      <c r="AO371" s="35"/>
      <c r="AP371" s="35"/>
    </row>
    <row r="372" spans="1:42" x14ac:dyDescent="0.2">
      <c r="A372" s="27">
        <v>45137.34259320602</v>
      </c>
      <c r="B372" s="28" t="s">
        <v>37</v>
      </c>
      <c r="C372" s="41" t="s">
        <v>118</v>
      </c>
      <c r="D372" s="26" t="s">
        <v>36</v>
      </c>
      <c r="E372" s="26" t="s">
        <v>148</v>
      </c>
      <c r="F372" s="26" t="s">
        <v>523</v>
      </c>
      <c r="G372" s="26" t="s">
        <v>108</v>
      </c>
      <c r="H372" s="26" t="s">
        <v>1208</v>
      </c>
      <c r="I372" s="17">
        <f ca="1">IFERROR(__xludf.DUMMYFUNCTION("""COMPUTED_VALUE"""),45149)</f>
        <v>45149</v>
      </c>
      <c r="J372" s="29" t="s">
        <v>2097</v>
      </c>
      <c r="K372" s="26" t="s">
        <v>2098</v>
      </c>
      <c r="L372" s="30">
        <v>369819091</v>
      </c>
      <c r="M372" s="26" t="s">
        <v>112</v>
      </c>
      <c r="N372" s="26" t="s">
        <v>578</v>
      </c>
      <c r="O372" s="26" t="s">
        <v>91</v>
      </c>
      <c r="P372" s="26" t="s">
        <v>2099</v>
      </c>
      <c r="Q372" s="20">
        <v>15936</v>
      </c>
      <c r="R372" s="26" t="s">
        <v>36</v>
      </c>
      <c r="S372" s="31">
        <v>13779</v>
      </c>
      <c r="T372" s="32">
        <v>44787</v>
      </c>
      <c r="U372" s="31">
        <v>3000</v>
      </c>
      <c r="V372" s="32">
        <v>44787</v>
      </c>
      <c r="W372" s="26" t="s">
        <v>2100</v>
      </c>
      <c r="X372" s="26">
        <v>0</v>
      </c>
      <c r="Y372" s="22">
        <v>-843</v>
      </c>
      <c r="Z372" s="26" t="s">
        <v>118</v>
      </c>
      <c r="AA372" s="19" t="s">
        <v>1871</v>
      </c>
      <c r="AB372" s="26" t="s">
        <v>154</v>
      </c>
      <c r="AC372" s="26" t="s">
        <v>53</v>
      </c>
      <c r="AD372" s="19" t="s">
        <v>54</v>
      </c>
      <c r="AE372" s="26">
        <v>59</v>
      </c>
      <c r="AF372" s="17">
        <v>45141</v>
      </c>
      <c r="AG372" s="26"/>
      <c r="AH372" s="26">
        <v>1</v>
      </c>
      <c r="AI372" s="40" t="s">
        <v>147</v>
      </c>
      <c r="AJ372" s="26"/>
      <c r="AK372" s="26"/>
      <c r="AL372" s="35"/>
      <c r="AM372" s="35"/>
      <c r="AN372" s="35"/>
      <c r="AO372" s="35"/>
      <c r="AP372" s="35"/>
    </row>
    <row r="373" spans="1:42" x14ac:dyDescent="0.2">
      <c r="A373" s="27">
        <v>45137.412248020832</v>
      </c>
      <c r="B373" s="28" t="s">
        <v>37</v>
      </c>
      <c r="C373" s="41" t="s">
        <v>118</v>
      </c>
      <c r="D373" s="26" t="s">
        <v>36</v>
      </c>
      <c r="E373" s="26" t="s">
        <v>106</v>
      </c>
      <c r="F373" s="26" t="s">
        <v>36</v>
      </c>
      <c r="G373" s="26" t="s">
        <v>108</v>
      </c>
      <c r="H373" s="26" t="s">
        <v>524</v>
      </c>
      <c r="I373" s="17">
        <f ca="1">IFERROR(__xludf.DUMMYFUNCTION("""COMPUTED_VALUE"""),45146)</f>
        <v>45146</v>
      </c>
      <c r="J373" s="29" t="s">
        <v>2101</v>
      </c>
      <c r="K373" s="26" t="s">
        <v>2102</v>
      </c>
      <c r="L373" s="30">
        <v>385154938</v>
      </c>
      <c r="M373" s="26" t="s">
        <v>80</v>
      </c>
      <c r="N373" s="26" t="s">
        <v>81</v>
      </c>
      <c r="O373" s="26" t="s">
        <v>2103</v>
      </c>
      <c r="P373" s="26" t="s">
        <v>2104</v>
      </c>
      <c r="Q373" s="20">
        <v>3768</v>
      </c>
      <c r="R373" s="26" t="s">
        <v>36</v>
      </c>
      <c r="S373" s="31">
        <v>4000</v>
      </c>
      <c r="T373" s="32">
        <v>44856</v>
      </c>
      <c r="U373" s="31">
        <v>6704</v>
      </c>
      <c r="V373" s="32">
        <v>44887</v>
      </c>
      <c r="W373" s="33" t="s">
        <v>2105</v>
      </c>
      <c r="X373" s="26">
        <v>0</v>
      </c>
      <c r="Y373" s="22">
        <v>-6936</v>
      </c>
      <c r="Z373" s="26" t="s">
        <v>118</v>
      </c>
      <c r="AA373" s="19" t="s">
        <v>1871</v>
      </c>
      <c r="AB373" s="26" t="s">
        <v>137</v>
      </c>
      <c r="AC373" s="26" t="s">
        <v>53</v>
      </c>
      <c r="AD373" s="19" t="s">
        <v>54</v>
      </c>
      <c r="AE373" s="26">
        <v>370</v>
      </c>
      <c r="AF373" s="17">
        <v>45140</v>
      </c>
      <c r="AG373" s="26"/>
      <c r="AH373" s="26">
        <v>1</v>
      </c>
      <c r="AI373" s="40">
        <v>1</v>
      </c>
      <c r="AJ373" s="26"/>
      <c r="AK373" s="26"/>
      <c r="AL373" s="35"/>
      <c r="AM373" s="35"/>
      <c r="AN373" s="35"/>
      <c r="AO373" s="35"/>
      <c r="AP373" s="35"/>
    </row>
    <row r="374" spans="1:42" x14ac:dyDescent="0.2">
      <c r="A374" s="27">
        <v>45138.623079849538</v>
      </c>
      <c r="B374" s="28" t="s">
        <v>37</v>
      </c>
      <c r="C374" s="41" t="s">
        <v>118</v>
      </c>
      <c r="D374" s="26" t="s">
        <v>36</v>
      </c>
      <c r="E374" s="26" t="s">
        <v>106</v>
      </c>
      <c r="F374" s="26" t="s">
        <v>36</v>
      </c>
      <c r="G374" s="26" t="s">
        <v>108</v>
      </c>
      <c r="H374" s="26" t="s">
        <v>1208</v>
      </c>
      <c r="I374" s="17">
        <f ca="1">IFERROR(__xludf.DUMMYFUNCTION("""COMPUTED_VALUE"""),45149)</f>
        <v>45149</v>
      </c>
      <c r="J374" s="29" t="s">
        <v>2106</v>
      </c>
      <c r="K374" s="26" t="s">
        <v>2107</v>
      </c>
      <c r="L374" s="30">
        <v>352054892</v>
      </c>
      <c r="M374" s="26" t="s">
        <v>80</v>
      </c>
      <c r="N374" s="26" t="s">
        <v>87</v>
      </c>
      <c r="O374" s="26" t="s">
        <v>2108</v>
      </c>
      <c r="P374" s="26" t="s">
        <v>2109</v>
      </c>
      <c r="Q374" s="20">
        <v>3768</v>
      </c>
      <c r="R374" s="26" t="s">
        <v>36</v>
      </c>
      <c r="S374" s="31">
        <v>10804</v>
      </c>
      <c r="T374" s="32">
        <v>44867</v>
      </c>
      <c r="U374" s="31"/>
      <c r="V374" s="26"/>
      <c r="W374" s="33" t="s">
        <v>2110</v>
      </c>
      <c r="X374" s="26">
        <v>0</v>
      </c>
      <c r="Y374" s="22">
        <v>-7036</v>
      </c>
      <c r="Z374" s="26" t="s">
        <v>118</v>
      </c>
      <c r="AA374" s="19" t="s">
        <v>1871</v>
      </c>
      <c r="AB374" s="26" t="s">
        <v>128</v>
      </c>
      <c r="AC374" s="26" t="s">
        <v>53</v>
      </c>
      <c r="AD374" s="19" t="s">
        <v>54</v>
      </c>
      <c r="AE374" s="26">
        <v>470</v>
      </c>
      <c r="AF374" s="17">
        <v>45141</v>
      </c>
      <c r="AG374" s="26"/>
      <c r="AH374" s="26">
        <v>1</v>
      </c>
      <c r="AI374" s="40">
        <v>1</v>
      </c>
      <c r="AJ374" s="26"/>
      <c r="AK374" s="26"/>
      <c r="AL374" s="35"/>
      <c r="AM374" s="35"/>
      <c r="AN374" s="35"/>
      <c r="AO374" s="35"/>
      <c r="AP374" s="35"/>
    </row>
    <row r="375" spans="1:42" x14ac:dyDescent="0.2">
      <c r="A375" s="27">
        <v>45138.651831828705</v>
      </c>
      <c r="B375" s="28" t="s">
        <v>37</v>
      </c>
      <c r="C375" s="41" t="s">
        <v>118</v>
      </c>
      <c r="D375" s="26" t="s">
        <v>36</v>
      </c>
      <c r="E375" s="26" t="s">
        <v>106</v>
      </c>
      <c r="F375" s="26" t="s">
        <v>91</v>
      </c>
      <c r="G375" s="26" t="s">
        <v>108</v>
      </c>
      <c r="H375" s="26" t="s">
        <v>2111</v>
      </c>
      <c r="I375" s="17" t="str">
        <f ca="1">IFERROR(__xludf.DUMMYFUNCTION("""COMPUTED_VALUE""")," ")</f>
        <v xml:space="preserve"> </v>
      </c>
      <c r="J375" s="29" t="s">
        <v>2112</v>
      </c>
      <c r="K375" s="26" t="s">
        <v>2113</v>
      </c>
      <c r="L375" s="30">
        <v>327360253</v>
      </c>
      <c r="M375" s="26" t="s">
        <v>112</v>
      </c>
      <c r="N375" s="26" t="s">
        <v>578</v>
      </c>
      <c r="O375" s="26" t="s">
        <v>91</v>
      </c>
      <c r="P375" s="26" t="s">
        <v>2114</v>
      </c>
      <c r="Q375" s="20">
        <v>3768</v>
      </c>
      <c r="R375" s="26" t="s">
        <v>36</v>
      </c>
      <c r="S375" s="31">
        <v>9968</v>
      </c>
      <c r="T375" s="32">
        <v>44495</v>
      </c>
      <c r="U375" s="31"/>
      <c r="V375" s="26"/>
      <c r="W375" s="55" t="s">
        <v>2115</v>
      </c>
      <c r="X375" s="26">
        <v>0</v>
      </c>
      <c r="Y375" s="22">
        <v>-6200</v>
      </c>
      <c r="Z375" s="26" t="s">
        <v>118</v>
      </c>
      <c r="AA375" s="19" t="s">
        <v>1871</v>
      </c>
      <c r="AB375" s="26" t="s">
        <v>137</v>
      </c>
      <c r="AC375" s="26" t="s">
        <v>53</v>
      </c>
      <c r="AD375" s="19" t="s">
        <v>54</v>
      </c>
      <c r="AE375" s="26"/>
      <c r="AF375" s="17">
        <v>45140</v>
      </c>
      <c r="AG375" s="26"/>
      <c r="AH375" s="26">
        <v>1</v>
      </c>
      <c r="AI375" s="40">
        <v>1</v>
      </c>
      <c r="AJ375" s="26"/>
      <c r="AK375" s="26"/>
      <c r="AL375" s="35"/>
      <c r="AM375" s="35"/>
      <c r="AN375" s="35"/>
      <c r="AO375" s="35"/>
      <c r="AP375" s="35"/>
    </row>
    <row r="376" spans="1:42" x14ac:dyDescent="0.2">
      <c r="A376" s="27">
        <v>45139.098666307866</v>
      </c>
      <c r="B376" s="28" t="s">
        <v>37</v>
      </c>
      <c r="C376" s="41" t="s">
        <v>118</v>
      </c>
      <c r="D376" s="26" t="s">
        <v>36</v>
      </c>
      <c r="E376" s="26" t="s">
        <v>106</v>
      </c>
      <c r="F376" s="26" t="s">
        <v>2116</v>
      </c>
      <c r="G376" s="26" t="s">
        <v>108</v>
      </c>
      <c r="H376" s="26" t="s">
        <v>524</v>
      </c>
      <c r="I376" s="17">
        <f ca="1">IFERROR(__xludf.DUMMYFUNCTION("""COMPUTED_VALUE"""),45146)</f>
        <v>45146</v>
      </c>
      <c r="J376" s="29" t="s">
        <v>2117</v>
      </c>
      <c r="K376" s="26" t="s">
        <v>2118</v>
      </c>
      <c r="L376" s="30">
        <v>326075641</v>
      </c>
      <c r="M376" s="26" t="s">
        <v>548</v>
      </c>
      <c r="N376" s="26" t="s">
        <v>2119</v>
      </c>
      <c r="O376" s="26" t="s">
        <v>427</v>
      </c>
      <c r="P376" s="26" t="s">
        <v>2120</v>
      </c>
      <c r="Q376" s="20">
        <v>3768</v>
      </c>
      <c r="R376" s="26" t="s">
        <v>36</v>
      </c>
      <c r="S376" s="31">
        <v>10804</v>
      </c>
      <c r="T376" s="32">
        <v>44878</v>
      </c>
      <c r="U376" s="31"/>
      <c r="V376" s="26"/>
      <c r="W376" s="26"/>
      <c r="X376" s="26">
        <v>0</v>
      </c>
      <c r="Y376" s="22">
        <v>-7036</v>
      </c>
      <c r="Z376" s="26" t="s">
        <v>118</v>
      </c>
      <c r="AA376" s="19" t="s">
        <v>1871</v>
      </c>
      <c r="AB376" s="26" t="s">
        <v>128</v>
      </c>
      <c r="AC376" s="26" t="s">
        <v>53</v>
      </c>
      <c r="AD376" s="19" t="s">
        <v>54</v>
      </c>
      <c r="AE376" s="26"/>
      <c r="AF376" s="17">
        <v>45140</v>
      </c>
      <c r="AG376" s="26"/>
      <c r="AH376" s="26">
        <v>1</v>
      </c>
      <c r="AI376" s="40">
        <v>1</v>
      </c>
      <c r="AJ376" s="26"/>
      <c r="AK376" s="26"/>
      <c r="AL376" s="35"/>
      <c r="AM376" s="35"/>
      <c r="AN376" s="35"/>
      <c r="AO376" s="35"/>
      <c r="AP376" s="35"/>
    </row>
    <row r="377" spans="1:42" x14ac:dyDescent="0.2">
      <c r="A377" s="27">
        <v>45140.671705706016</v>
      </c>
      <c r="B377" s="28" t="s">
        <v>37</v>
      </c>
      <c r="C377" s="41" t="s">
        <v>118</v>
      </c>
      <c r="D377" s="26" t="s">
        <v>36</v>
      </c>
      <c r="E377" s="26" t="s">
        <v>148</v>
      </c>
      <c r="F377" s="26" t="s">
        <v>1885</v>
      </c>
      <c r="G377" s="26" t="s">
        <v>221</v>
      </c>
      <c r="H377" s="26" t="s">
        <v>2121</v>
      </c>
      <c r="I377" s="17">
        <f ca="1">IFERROR(__xludf.DUMMYFUNCTION("""COMPUTED_VALUE"""),45230)</f>
        <v>45230</v>
      </c>
      <c r="J377" s="29" t="s">
        <v>2122</v>
      </c>
      <c r="K377" s="26" t="s">
        <v>2123</v>
      </c>
      <c r="L377" s="30">
        <v>362664287</v>
      </c>
      <c r="M377" s="26" t="s">
        <v>112</v>
      </c>
      <c r="N377" s="26" t="s">
        <v>578</v>
      </c>
      <c r="O377" s="26" t="s">
        <v>91</v>
      </c>
      <c r="P377" s="28" t="s">
        <v>2124</v>
      </c>
      <c r="Q377" s="20">
        <v>7349</v>
      </c>
      <c r="R377" s="26" t="s">
        <v>36</v>
      </c>
      <c r="S377" s="31">
        <v>10434</v>
      </c>
      <c r="T377" s="32" t="s">
        <v>2125</v>
      </c>
      <c r="U377" s="31">
        <v>3568</v>
      </c>
      <c r="V377" s="26"/>
      <c r="W377" s="26" t="s">
        <v>2126</v>
      </c>
      <c r="X377" s="26">
        <v>0</v>
      </c>
      <c r="Y377" s="22">
        <v>-6653</v>
      </c>
      <c r="Z377" s="26" t="s">
        <v>118</v>
      </c>
      <c r="AA377" s="19" t="s">
        <v>1871</v>
      </c>
      <c r="AB377" s="26" t="s">
        <v>104</v>
      </c>
      <c r="AC377" s="26" t="s">
        <v>53</v>
      </c>
      <c r="AD377" s="19" t="s">
        <v>54</v>
      </c>
      <c r="AE377" s="26">
        <v>495</v>
      </c>
      <c r="AF377" s="17">
        <v>45156</v>
      </c>
      <c r="AG377" s="26" t="s">
        <v>2127</v>
      </c>
      <c r="AH377" s="26">
        <v>1</v>
      </c>
      <c r="AI377" s="40">
        <v>2</v>
      </c>
      <c r="AJ377" s="26"/>
      <c r="AK377" s="26"/>
      <c r="AL377" s="35"/>
      <c r="AM377" s="35"/>
      <c r="AN377" s="35"/>
      <c r="AO377" s="35"/>
      <c r="AP377" s="35"/>
    </row>
    <row r="378" spans="1:42" x14ac:dyDescent="0.2">
      <c r="A378" s="27">
        <v>45141.614474201386</v>
      </c>
      <c r="B378" s="28" t="s">
        <v>37</v>
      </c>
      <c r="C378" s="41" t="s">
        <v>118</v>
      </c>
      <c r="D378" s="26" t="s">
        <v>36</v>
      </c>
      <c r="E378" s="26" t="s">
        <v>148</v>
      </c>
      <c r="F378" s="26" t="s">
        <v>1897</v>
      </c>
      <c r="G378" s="26" t="s">
        <v>108</v>
      </c>
      <c r="H378" s="26" t="s">
        <v>2128</v>
      </c>
      <c r="I378" s="17">
        <f ca="1">IFERROR(__xludf.DUMMYFUNCTION("""COMPUTED_VALUE"""),45237)</f>
        <v>45237</v>
      </c>
      <c r="J378" s="29" t="s">
        <v>2129</v>
      </c>
      <c r="K378" s="26" t="s">
        <v>2130</v>
      </c>
      <c r="L378" s="30">
        <v>392578488</v>
      </c>
      <c r="M378" s="26" t="s">
        <v>112</v>
      </c>
      <c r="N378" s="26" t="s">
        <v>578</v>
      </c>
      <c r="O378" s="26" t="s">
        <v>91</v>
      </c>
      <c r="P378" s="54" t="s">
        <v>2131</v>
      </c>
      <c r="Q378" s="20">
        <v>7349</v>
      </c>
      <c r="R378" s="26" t="s">
        <v>36</v>
      </c>
      <c r="S378" s="31">
        <v>7149</v>
      </c>
      <c r="T378" s="32">
        <v>45077</v>
      </c>
      <c r="U378" s="31"/>
      <c r="V378" s="26"/>
      <c r="W378" s="33" t="s">
        <v>2132</v>
      </c>
      <c r="X378" s="26">
        <v>0</v>
      </c>
      <c r="Y378" s="22">
        <v>200</v>
      </c>
      <c r="Z378" s="26" t="s">
        <v>118</v>
      </c>
      <c r="AA378" s="19" t="s">
        <v>1871</v>
      </c>
      <c r="AB378" s="26" t="s">
        <v>128</v>
      </c>
      <c r="AC378" s="26" t="s">
        <v>53</v>
      </c>
      <c r="AD378" s="19" t="s">
        <v>54</v>
      </c>
      <c r="AE378" s="26" t="s">
        <v>2133</v>
      </c>
      <c r="AF378" s="17">
        <v>45141</v>
      </c>
      <c r="AG378" s="26" t="s">
        <v>2133</v>
      </c>
      <c r="AH378" s="26">
        <v>1</v>
      </c>
      <c r="AI378" s="40">
        <v>2</v>
      </c>
      <c r="AJ378" s="26"/>
      <c r="AK378" s="26"/>
      <c r="AL378" s="35"/>
      <c r="AM378" s="35"/>
      <c r="AN378" s="35"/>
      <c r="AO378" s="35"/>
      <c r="AP378" s="35"/>
    </row>
    <row r="379" spans="1:42" x14ac:dyDescent="0.2">
      <c r="A379" s="27">
        <v>45144.112546018514</v>
      </c>
      <c r="B379" s="28" t="s">
        <v>37</v>
      </c>
      <c r="C379" s="41" t="s">
        <v>118</v>
      </c>
      <c r="D379" s="26" t="s">
        <v>36</v>
      </c>
      <c r="E379" s="26" t="s">
        <v>39</v>
      </c>
      <c r="F379" s="26" t="s">
        <v>2134</v>
      </c>
      <c r="G379" s="26" t="s">
        <v>108</v>
      </c>
      <c r="H379" s="26" t="s">
        <v>830</v>
      </c>
      <c r="I379" s="17">
        <f ca="1">IFERROR(__xludf.DUMMYFUNCTION("""COMPUTED_VALUE"""),45159)</f>
        <v>45159</v>
      </c>
      <c r="J379" s="29" t="s">
        <v>2135</v>
      </c>
      <c r="K379" s="26" t="s">
        <v>2136</v>
      </c>
      <c r="L379" s="30">
        <v>387529969</v>
      </c>
      <c r="M379" s="26" t="s">
        <v>112</v>
      </c>
      <c r="N379" s="26" t="s">
        <v>578</v>
      </c>
      <c r="O379" s="26" t="s">
        <v>91</v>
      </c>
      <c r="P379" s="26" t="s">
        <v>2137</v>
      </c>
      <c r="Q379" s="20">
        <v>5736</v>
      </c>
      <c r="R379" s="26" t="s">
        <v>36</v>
      </c>
      <c r="S379" s="31">
        <v>5636</v>
      </c>
      <c r="T379" s="32">
        <v>44987</v>
      </c>
      <c r="U379" s="31"/>
      <c r="V379" s="26"/>
      <c r="W379" s="33" t="s">
        <v>2138</v>
      </c>
      <c r="X379" s="26">
        <v>0</v>
      </c>
      <c r="Y379" s="22">
        <v>100</v>
      </c>
      <c r="Z379" s="26" t="s">
        <v>118</v>
      </c>
      <c r="AA379" s="19" t="s">
        <v>1871</v>
      </c>
      <c r="AB379" s="26" t="s">
        <v>154</v>
      </c>
      <c r="AC379" s="26" t="s">
        <v>53</v>
      </c>
      <c r="AD379" s="19" t="s">
        <v>54</v>
      </c>
      <c r="AE379" s="26"/>
      <c r="AF379" s="17">
        <v>45145</v>
      </c>
      <c r="AG379" s="26" t="s">
        <v>2139</v>
      </c>
      <c r="AH379" s="26">
        <v>1</v>
      </c>
      <c r="AI379" s="40" t="s">
        <v>55</v>
      </c>
      <c r="AJ379" s="26"/>
      <c r="AK379" s="26"/>
      <c r="AL379" s="35"/>
      <c r="AM379" s="35"/>
      <c r="AN379" s="35"/>
      <c r="AO379" s="35"/>
      <c r="AP379" s="35"/>
    </row>
    <row r="380" spans="1:42" x14ac:dyDescent="0.2">
      <c r="A380" s="27">
        <v>45145.072761435185</v>
      </c>
      <c r="B380" s="28" t="s">
        <v>37</v>
      </c>
      <c r="C380" s="41" t="s">
        <v>118</v>
      </c>
      <c r="D380" s="26" t="s">
        <v>36</v>
      </c>
      <c r="E380" s="26" t="s">
        <v>106</v>
      </c>
      <c r="F380" s="26" t="s">
        <v>2140</v>
      </c>
      <c r="G380" s="26" t="s">
        <v>108</v>
      </c>
      <c r="H380" s="26" t="s">
        <v>836</v>
      </c>
      <c r="I380" s="17">
        <f ca="1">IFERROR(__xludf.DUMMYFUNCTION("""COMPUTED_VALUE"""),45160)</f>
        <v>45160</v>
      </c>
      <c r="J380" s="29" t="s">
        <v>2141</v>
      </c>
      <c r="K380" s="26" t="s">
        <v>2142</v>
      </c>
      <c r="L380" s="30">
        <v>333420633</v>
      </c>
      <c r="M380" s="26" t="s">
        <v>391</v>
      </c>
      <c r="N380" s="26" t="s">
        <v>2143</v>
      </c>
      <c r="O380" s="26" t="s">
        <v>2144</v>
      </c>
      <c r="P380" s="26" t="s">
        <v>2145</v>
      </c>
      <c r="Q380" s="20">
        <v>3768</v>
      </c>
      <c r="R380" s="26" t="s">
        <v>36</v>
      </c>
      <c r="S380" s="31">
        <v>10268</v>
      </c>
      <c r="T380" s="32">
        <v>44717</v>
      </c>
      <c r="U380" s="31">
        <v>300</v>
      </c>
      <c r="V380" s="32">
        <v>45142</v>
      </c>
      <c r="W380" s="33" t="s">
        <v>2146</v>
      </c>
      <c r="X380" s="26">
        <v>0</v>
      </c>
      <c r="Y380" s="22">
        <v>-6800</v>
      </c>
      <c r="Z380" s="26" t="s">
        <v>118</v>
      </c>
      <c r="AA380" s="19" t="s">
        <v>1871</v>
      </c>
      <c r="AB380" s="26" t="s">
        <v>137</v>
      </c>
      <c r="AC380" s="26" t="s">
        <v>53</v>
      </c>
      <c r="AD380" s="19" t="s">
        <v>54</v>
      </c>
      <c r="AE380" s="26">
        <v>350</v>
      </c>
      <c r="AF380" s="17">
        <v>45145</v>
      </c>
      <c r="AG380" s="26"/>
      <c r="AH380" s="26">
        <v>1</v>
      </c>
      <c r="AI380" s="40">
        <v>1</v>
      </c>
      <c r="AJ380" s="26"/>
      <c r="AK380" s="26"/>
      <c r="AL380" s="35"/>
      <c r="AM380" s="35"/>
      <c r="AN380" s="35"/>
      <c r="AO380" s="35"/>
      <c r="AP380" s="35"/>
    </row>
    <row r="381" spans="1:42" x14ac:dyDescent="0.2">
      <c r="A381" s="27">
        <v>44955.865685127312</v>
      </c>
      <c r="B381" s="28" t="s">
        <v>37</v>
      </c>
      <c r="C381" s="41" t="s">
        <v>118</v>
      </c>
      <c r="D381" s="26" t="s">
        <v>36</v>
      </c>
      <c r="E381" s="26" t="s">
        <v>119</v>
      </c>
      <c r="F381" s="35" t="s">
        <v>2147</v>
      </c>
      <c r="G381" s="35" t="s">
        <v>108</v>
      </c>
      <c r="H381" s="35" t="s">
        <v>740</v>
      </c>
      <c r="I381" s="17">
        <f ca="1">IFERROR(__xludf.DUMMYFUNCTION("""COMPUTED_VALUE"""),45155)</f>
        <v>45155</v>
      </c>
      <c r="J381" s="29" t="s">
        <v>2148</v>
      </c>
      <c r="K381" s="26" t="s">
        <v>2149</v>
      </c>
      <c r="L381" s="83">
        <v>826538931</v>
      </c>
      <c r="M381" s="26" t="s">
        <v>123</v>
      </c>
      <c r="N381" s="26" t="s">
        <v>124</v>
      </c>
      <c r="O381" s="67" t="s">
        <v>2150</v>
      </c>
      <c r="P381" s="72" t="s">
        <v>2151</v>
      </c>
      <c r="Q381" s="20">
        <v>13968</v>
      </c>
      <c r="R381" s="26" t="s">
        <v>36</v>
      </c>
      <c r="S381" s="19">
        <f>500+12679</f>
        <v>13179</v>
      </c>
      <c r="T381" s="19" t="s">
        <v>2152</v>
      </c>
      <c r="U381" s="50">
        <v>957</v>
      </c>
      <c r="V381" s="14">
        <v>45147</v>
      </c>
      <c r="W381" s="33" t="s">
        <v>2153</v>
      </c>
      <c r="X381" s="35">
        <v>0</v>
      </c>
      <c r="Y381" s="22">
        <v>0</v>
      </c>
      <c r="Z381" s="35" t="s">
        <v>118</v>
      </c>
      <c r="AA381" s="19" t="s">
        <v>1871</v>
      </c>
      <c r="AB381" s="26" t="s">
        <v>128</v>
      </c>
      <c r="AC381" s="26" t="s">
        <v>53</v>
      </c>
      <c r="AD381" s="19" t="s">
        <v>54</v>
      </c>
      <c r="AE381" s="19">
        <v>480</v>
      </c>
      <c r="AF381" s="17">
        <v>45149</v>
      </c>
      <c r="AG381" s="35" t="s">
        <v>2154</v>
      </c>
      <c r="AH381" s="36">
        <v>1</v>
      </c>
      <c r="AI381" s="37">
        <v>4</v>
      </c>
      <c r="AJ381" s="35"/>
      <c r="AK381" s="35"/>
      <c r="AL381" s="35"/>
      <c r="AM381" s="35"/>
      <c r="AN381" s="35"/>
      <c r="AO381" s="35"/>
      <c r="AP381" s="35"/>
    </row>
    <row r="382" spans="1:42" x14ac:dyDescent="0.2">
      <c r="A382" s="27">
        <v>44955.865685127312</v>
      </c>
      <c r="B382" s="28" t="s">
        <v>37</v>
      </c>
      <c r="C382" s="41" t="s">
        <v>118</v>
      </c>
      <c r="D382" s="26" t="s">
        <v>36</v>
      </c>
      <c r="E382" s="26" t="s">
        <v>119</v>
      </c>
      <c r="F382" s="35" t="s">
        <v>2147</v>
      </c>
      <c r="G382" s="35" t="s">
        <v>108</v>
      </c>
      <c r="H382" s="35" t="s">
        <v>740</v>
      </c>
      <c r="I382" s="17">
        <f ca="1">IFERROR(__xludf.DUMMYFUNCTION("""COMPUTED_VALUE"""),45155)</f>
        <v>45155</v>
      </c>
      <c r="J382" s="29" t="s">
        <v>2155</v>
      </c>
      <c r="K382" s="26" t="s">
        <v>2156</v>
      </c>
      <c r="L382" s="83">
        <v>824048516</v>
      </c>
      <c r="M382" s="26" t="s">
        <v>123</v>
      </c>
      <c r="N382" s="26" t="s">
        <v>2157</v>
      </c>
      <c r="O382" s="67" t="s">
        <v>2158</v>
      </c>
      <c r="P382" s="72" t="s">
        <v>2151</v>
      </c>
      <c r="Q382" s="20">
        <v>13968</v>
      </c>
      <c r="R382" s="26" t="s">
        <v>36</v>
      </c>
      <c r="S382" s="19">
        <f>500+12779</f>
        <v>13279</v>
      </c>
      <c r="T382" s="19" t="s">
        <v>2159</v>
      </c>
      <c r="U382" s="31">
        <v>957</v>
      </c>
      <c r="V382" s="32">
        <v>45147</v>
      </c>
      <c r="W382" s="33" t="s">
        <v>2160</v>
      </c>
      <c r="X382" s="35">
        <v>0</v>
      </c>
      <c r="Y382" s="22">
        <v>0</v>
      </c>
      <c r="Z382" s="35" t="s">
        <v>118</v>
      </c>
      <c r="AA382" s="19" t="s">
        <v>1871</v>
      </c>
      <c r="AB382" s="26" t="s">
        <v>146</v>
      </c>
      <c r="AC382" s="26" t="s">
        <v>53</v>
      </c>
      <c r="AD382" s="19" t="s">
        <v>54</v>
      </c>
      <c r="AE382" s="19">
        <v>380</v>
      </c>
      <c r="AF382" s="17">
        <v>45149</v>
      </c>
      <c r="AG382" s="35" t="s">
        <v>2161</v>
      </c>
      <c r="AH382" s="36">
        <v>1</v>
      </c>
      <c r="AI382" s="37">
        <v>4</v>
      </c>
      <c r="AJ382" s="35"/>
      <c r="AK382" s="35"/>
      <c r="AL382" s="35"/>
      <c r="AM382" s="35"/>
      <c r="AN382" s="35"/>
      <c r="AO382" s="35"/>
      <c r="AP382" s="35"/>
    </row>
    <row r="383" spans="1:42" x14ac:dyDescent="0.2">
      <c r="A383" s="27">
        <v>45145.702184456022</v>
      </c>
      <c r="B383" s="28" t="s">
        <v>37</v>
      </c>
      <c r="C383" s="41" t="s">
        <v>118</v>
      </c>
      <c r="D383" s="26" t="s">
        <v>36</v>
      </c>
      <c r="E383" s="26" t="s">
        <v>148</v>
      </c>
      <c r="F383" s="26" t="s">
        <v>2162</v>
      </c>
      <c r="G383" s="26" t="s">
        <v>108</v>
      </c>
      <c r="H383" s="26" t="s">
        <v>2163</v>
      </c>
      <c r="I383" s="17">
        <f ca="1">IFERROR(__xludf.DUMMYFUNCTION("""COMPUTED_VALUE"""),45440)</f>
        <v>45440</v>
      </c>
      <c r="J383" s="29" t="s">
        <v>2164</v>
      </c>
      <c r="K383" s="26" t="s">
        <v>2165</v>
      </c>
      <c r="L383" s="30">
        <v>799070398</v>
      </c>
      <c r="M383" s="26" t="s">
        <v>112</v>
      </c>
      <c r="N383" s="26" t="s">
        <v>578</v>
      </c>
      <c r="O383" s="26" t="s">
        <v>91</v>
      </c>
      <c r="P383" s="26" t="s">
        <v>2166</v>
      </c>
      <c r="Q383" s="20">
        <v>7349</v>
      </c>
      <c r="R383" s="26" t="s">
        <v>36</v>
      </c>
      <c r="S383" s="31">
        <v>10918</v>
      </c>
      <c r="T383" s="32">
        <v>44650</v>
      </c>
      <c r="U383" s="31"/>
      <c r="V383" s="26"/>
      <c r="W383" s="33" t="s">
        <v>2167</v>
      </c>
      <c r="X383" s="26">
        <v>0</v>
      </c>
      <c r="Y383" s="22">
        <v>-3569</v>
      </c>
      <c r="Z383" s="26" t="s">
        <v>118</v>
      </c>
      <c r="AA383" s="19" t="s">
        <v>1871</v>
      </c>
      <c r="AB383" s="26" t="s">
        <v>104</v>
      </c>
      <c r="AC383" s="26" t="s">
        <v>53</v>
      </c>
      <c r="AD383" s="19" t="s">
        <v>54</v>
      </c>
      <c r="AE383" s="26"/>
      <c r="AF383" s="17">
        <v>45149</v>
      </c>
      <c r="AG383" s="26" t="s">
        <v>2168</v>
      </c>
      <c r="AH383" s="26">
        <v>1</v>
      </c>
      <c r="AI383" s="40">
        <v>2</v>
      </c>
      <c r="AJ383" s="26"/>
      <c r="AK383" s="26"/>
      <c r="AL383" s="35"/>
      <c r="AM383" s="35"/>
      <c r="AN383" s="35"/>
      <c r="AO383" s="35"/>
      <c r="AP383" s="35"/>
    </row>
    <row r="384" spans="1:42" x14ac:dyDescent="0.2">
      <c r="A384" s="27">
        <v>45146.139515347226</v>
      </c>
      <c r="B384" s="28" t="s">
        <v>37</v>
      </c>
      <c r="C384" s="41" t="s">
        <v>118</v>
      </c>
      <c r="D384" s="26" t="s">
        <v>36</v>
      </c>
      <c r="E384" s="26" t="s">
        <v>148</v>
      </c>
      <c r="F384" s="26" t="s">
        <v>523</v>
      </c>
      <c r="G384" s="26" t="s">
        <v>108</v>
      </c>
      <c r="H384" s="26" t="s">
        <v>740</v>
      </c>
      <c r="I384" s="17">
        <f ca="1">IFERROR(__xludf.DUMMYFUNCTION("""COMPUTED_VALUE"""),45155)</f>
        <v>45155</v>
      </c>
      <c r="J384" s="29" t="s">
        <v>2169</v>
      </c>
      <c r="K384" s="26" t="s">
        <v>2170</v>
      </c>
      <c r="L384" s="30">
        <v>348178114</v>
      </c>
      <c r="M384" s="26" t="s">
        <v>112</v>
      </c>
      <c r="N384" s="26" t="s">
        <v>578</v>
      </c>
      <c r="O384" s="26" t="s">
        <v>91</v>
      </c>
      <c r="P384" s="26" t="s">
        <v>2171</v>
      </c>
      <c r="Q384" s="20">
        <v>7349</v>
      </c>
      <c r="R384" s="26" t="s">
        <v>36</v>
      </c>
      <c r="S384" s="31">
        <v>7349</v>
      </c>
      <c r="T384" s="32">
        <v>44899</v>
      </c>
      <c r="U384" s="31"/>
      <c r="V384" s="26"/>
      <c r="W384" s="33" t="s">
        <v>2172</v>
      </c>
      <c r="X384" s="26">
        <v>0</v>
      </c>
      <c r="Y384" s="22">
        <v>0</v>
      </c>
      <c r="Z384" s="26" t="s">
        <v>118</v>
      </c>
      <c r="AA384" s="19" t="s">
        <v>1871</v>
      </c>
      <c r="AB384" s="26" t="s">
        <v>137</v>
      </c>
      <c r="AC384" s="26" t="s">
        <v>53</v>
      </c>
      <c r="AD384" s="19" t="s">
        <v>54</v>
      </c>
      <c r="AE384" s="26">
        <v>43</v>
      </c>
      <c r="AF384" s="17">
        <v>45146</v>
      </c>
      <c r="AG384" s="26"/>
      <c r="AH384" s="26">
        <v>1</v>
      </c>
      <c r="AI384" s="40">
        <v>2</v>
      </c>
      <c r="AJ384" s="26"/>
      <c r="AK384" s="26"/>
      <c r="AL384" s="35"/>
      <c r="AM384" s="35"/>
      <c r="AN384" s="35"/>
      <c r="AO384" s="35"/>
      <c r="AP384" s="35"/>
    </row>
    <row r="385" spans="1:42" x14ac:dyDescent="0.2">
      <c r="A385" s="27">
        <v>45146.484392881946</v>
      </c>
      <c r="B385" s="28" t="s">
        <v>37</v>
      </c>
      <c r="C385" s="41" t="s">
        <v>118</v>
      </c>
      <c r="D385" s="26" t="s">
        <v>36</v>
      </c>
      <c r="E385" s="26" t="s">
        <v>39</v>
      </c>
      <c r="F385" s="26" t="s">
        <v>2173</v>
      </c>
      <c r="G385" s="26" t="s">
        <v>108</v>
      </c>
      <c r="H385" s="26" t="s">
        <v>836</v>
      </c>
      <c r="I385" s="17">
        <f ca="1">IFERROR(__xludf.DUMMYFUNCTION("""COMPUTED_VALUE"""),45160)</f>
        <v>45160</v>
      </c>
      <c r="J385" s="29" t="s">
        <v>2174</v>
      </c>
      <c r="K385" s="26" t="s">
        <v>2175</v>
      </c>
      <c r="L385" s="30">
        <v>835799958</v>
      </c>
      <c r="M385" s="26" t="s">
        <v>59</v>
      </c>
      <c r="N385" s="26" t="s">
        <v>2176</v>
      </c>
      <c r="O385" s="26" t="s">
        <v>91</v>
      </c>
      <c r="P385" s="26" t="s">
        <v>2177</v>
      </c>
      <c r="Q385" s="20">
        <v>5736</v>
      </c>
      <c r="R385" s="26" t="s">
        <v>36</v>
      </c>
      <c r="S385" s="31">
        <v>5636</v>
      </c>
      <c r="T385" s="32">
        <v>45268</v>
      </c>
      <c r="U385" s="31"/>
      <c r="V385" s="26"/>
      <c r="W385" s="26"/>
      <c r="X385" s="26">
        <v>0</v>
      </c>
      <c r="Y385" s="22">
        <v>100</v>
      </c>
      <c r="Z385" s="26" t="s">
        <v>118</v>
      </c>
      <c r="AA385" s="19" t="s">
        <v>1871</v>
      </c>
      <c r="AB385" s="26" t="s">
        <v>137</v>
      </c>
      <c r="AC385" s="26" t="s">
        <v>53</v>
      </c>
      <c r="AD385" s="19" t="s">
        <v>54</v>
      </c>
      <c r="AE385" s="26"/>
      <c r="AF385" s="17">
        <v>45149</v>
      </c>
      <c r="AG385" s="26"/>
      <c r="AH385" s="26">
        <v>1</v>
      </c>
      <c r="AI385" s="40" t="s">
        <v>55</v>
      </c>
      <c r="AJ385" s="26"/>
      <c r="AK385" s="26"/>
      <c r="AL385" s="35"/>
      <c r="AM385" s="35"/>
      <c r="AN385" s="35"/>
      <c r="AO385" s="35"/>
      <c r="AP385" s="35"/>
    </row>
    <row r="386" spans="1:42" x14ac:dyDescent="0.2">
      <c r="A386" s="14">
        <v>44920</v>
      </c>
      <c r="B386" s="28" t="s">
        <v>37</v>
      </c>
      <c r="C386" s="41" t="s">
        <v>118</v>
      </c>
      <c r="D386" s="26" t="s">
        <v>36</v>
      </c>
      <c r="E386" s="26" t="s">
        <v>148</v>
      </c>
      <c r="F386" s="35" t="s">
        <v>2178</v>
      </c>
      <c r="G386" s="35" t="s">
        <v>108</v>
      </c>
      <c r="H386" s="35" t="s">
        <v>740</v>
      </c>
      <c r="I386" s="17">
        <f ca="1">IFERROR(__xludf.DUMMYFUNCTION("""COMPUTED_VALUE"""),45155)</f>
        <v>45155</v>
      </c>
      <c r="J386" s="29" t="s">
        <v>2179</v>
      </c>
      <c r="K386" s="26" t="s">
        <v>2180</v>
      </c>
      <c r="L386" s="30">
        <v>345593251</v>
      </c>
      <c r="M386" s="26" t="s">
        <v>123</v>
      </c>
      <c r="N386" s="26" t="s">
        <v>207</v>
      </c>
      <c r="O386" s="35" t="s">
        <v>36</v>
      </c>
      <c r="P386" s="28" t="s">
        <v>2181</v>
      </c>
      <c r="Q386" s="20">
        <v>7349</v>
      </c>
      <c r="R386" s="26" t="s">
        <v>36</v>
      </c>
      <c r="S386" s="31">
        <v>7349</v>
      </c>
      <c r="T386" s="32">
        <v>44985</v>
      </c>
      <c r="U386" s="58"/>
      <c r="V386" s="35"/>
      <c r="W386" s="33" t="s">
        <v>2182</v>
      </c>
      <c r="X386" s="35">
        <v>0</v>
      </c>
      <c r="Y386" s="22">
        <v>0</v>
      </c>
      <c r="Z386" s="35" t="s">
        <v>118</v>
      </c>
      <c r="AA386" s="19" t="s">
        <v>1871</v>
      </c>
      <c r="AB386" s="35"/>
      <c r="AC386" s="26" t="s">
        <v>53</v>
      </c>
      <c r="AD386" s="19" t="s">
        <v>54</v>
      </c>
      <c r="AE386" s="19"/>
      <c r="AF386" s="17">
        <v>45149</v>
      </c>
      <c r="AG386" s="84" t="s">
        <v>2183</v>
      </c>
      <c r="AH386" s="36">
        <v>1</v>
      </c>
      <c r="AI386" s="37">
        <v>2</v>
      </c>
      <c r="AJ386" s="35"/>
      <c r="AK386" s="35"/>
      <c r="AL386" s="35"/>
      <c r="AM386" s="35"/>
      <c r="AN386" s="35"/>
      <c r="AO386" s="35"/>
      <c r="AP386" s="35"/>
    </row>
    <row r="387" spans="1:42" x14ac:dyDescent="0.2">
      <c r="A387" s="14">
        <v>44963</v>
      </c>
      <c r="B387" s="28" t="s">
        <v>37</v>
      </c>
      <c r="C387" s="41" t="s">
        <v>118</v>
      </c>
      <c r="D387" s="26" t="s">
        <v>36</v>
      </c>
      <c r="E387" s="26" t="s">
        <v>148</v>
      </c>
      <c r="F387" s="26" t="s">
        <v>2184</v>
      </c>
      <c r="G387" s="35" t="s">
        <v>108</v>
      </c>
      <c r="H387" s="35" t="s">
        <v>740</v>
      </c>
      <c r="I387" s="17">
        <f ca="1">IFERROR(__xludf.DUMMYFUNCTION("""COMPUTED_VALUE"""),45155)</f>
        <v>45155</v>
      </c>
      <c r="J387" s="29" t="s">
        <v>2185</v>
      </c>
      <c r="K387" s="26" t="s">
        <v>2186</v>
      </c>
      <c r="L387" s="30">
        <v>366117635</v>
      </c>
      <c r="M387" s="26" t="s">
        <v>548</v>
      </c>
      <c r="N387" s="26" t="s">
        <v>756</v>
      </c>
      <c r="O387" s="26" t="s">
        <v>2187</v>
      </c>
      <c r="P387" s="28" t="s">
        <v>2188</v>
      </c>
      <c r="Q387" s="20">
        <v>7349</v>
      </c>
      <c r="R387" s="26" t="s">
        <v>36</v>
      </c>
      <c r="S387" s="58">
        <v>7349</v>
      </c>
      <c r="T387" s="32">
        <v>44963</v>
      </c>
      <c r="U387" s="58"/>
      <c r="V387" s="35"/>
      <c r="W387" s="33" t="s">
        <v>2189</v>
      </c>
      <c r="X387" s="35">
        <v>0</v>
      </c>
      <c r="Y387" s="22">
        <v>0</v>
      </c>
      <c r="Z387" s="35" t="s">
        <v>118</v>
      </c>
      <c r="AA387" s="19" t="s">
        <v>1871</v>
      </c>
      <c r="AB387" s="26" t="s">
        <v>1144</v>
      </c>
      <c r="AC387" s="26" t="s">
        <v>53</v>
      </c>
      <c r="AD387" s="19" t="s">
        <v>54</v>
      </c>
      <c r="AE387" s="19"/>
      <c r="AF387" s="17">
        <v>45149</v>
      </c>
      <c r="AG387" s="35"/>
      <c r="AH387" s="36">
        <v>1</v>
      </c>
      <c r="AI387" s="37">
        <v>2</v>
      </c>
      <c r="AJ387" s="35"/>
      <c r="AK387" s="35"/>
      <c r="AL387" s="35"/>
      <c r="AM387" s="35"/>
      <c r="AN387" s="35"/>
      <c r="AO387" s="35"/>
      <c r="AP387" s="35"/>
    </row>
    <row r="388" spans="1:42" x14ac:dyDescent="0.2">
      <c r="A388" s="27">
        <v>44838.830707326386</v>
      </c>
      <c r="B388" s="28" t="s">
        <v>37</v>
      </c>
      <c r="C388" s="41" t="s">
        <v>118</v>
      </c>
      <c r="D388" s="26" t="s">
        <v>36</v>
      </c>
      <c r="E388" s="26" t="s">
        <v>106</v>
      </c>
      <c r="F388" s="35" t="s">
        <v>2190</v>
      </c>
      <c r="G388" s="35" t="s">
        <v>108</v>
      </c>
      <c r="H388" s="35" t="s">
        <v>2191</v>
      </c>
      <c r="I388" s="17">
        <f ca="1">IFERROR(__xludf.DUMMYFUNCTION("""COMPUTED_VALUE"""),45263)</f>
        <v>45263</v>
      </c>
      <c r="J388" s="33" t="s">
        <v>2192</v>
      </c>
      <c r="K388" s="26" t="s">
        <v>2193</v>
      </c>
      <c r="L388" s="30">
        <v>346174033</v>
      </c>
      <c r="M388" s="26" t="s">
        <v>80</v>
      </c>
      <c r="N388" s="26" t="s">
        <v>438</v>
      </c>
      <c r="O388" s="35"/>
      <c r="P388" s="72" t="s">
        <v>2194</v>
      </c>
      <c r="Q388" s="20">
        <v>3768</v>
      </c>
      <c r="R388" s="26" t="s">
        <v>36</v>
      </c>
      <c r="S388" s="31">
        <v>10804</v>
      </c>
      <c r="T388" s="32">
        <v>44838</v>
      </c>
      <c r="U388" s="58"/>
      <c r="V388" s="35"/>
      <c r="W388" s="55" t="s">
        <v>2195</v>
      </c>
      <c r="X388" s="35">
        <v>0</v>
      </c>
      <c r="Y388" s="22">
        <v>-7036</v>
      </c>
      <c r="Z388" s="35" t="s">
        <v>118</v>
      </c>
      <c r="AA388" s="19" t="s">
        <v>1871</v>
      </c>
      <c r="AB388" s="35" t="s">
        <v>2196</v>
      </c>
      <c r="AC388" s="26" t="s">
        <v>53</v>
      </c>
      <c r="AD388" s="19" t="s">
        <v>54</v>
      </c>
      <c r="AE388" s="19"/>
      <c r="AF388" s="43">
        <v>45250</v>
      </c>
      <c r="AG388" s="35" t="s">
        <v>2197</v>
      </c>
      <c r="AH388" s="36">
        <v>1</v>
      </c>
      <c r="AI388" s="37">
        <v>1</v>
      </c>
      <c r="AJ388" s="35"/>
      <c r="AK388" s="35"/>
      <c r="AL388" s="35"/>
      <c r="AM388" s="35"/>
      <c r="AN388" s="35"/>
      <c r="AO388" s="35"/>
      <c r="AP388" s="35"/>
    </row>
    <row r="389" spans="1:42" x14ac:dyDescent="0.2">
      <c r="A389" s="27">
        <v>44866.856008587958</v>
      </c>
      <c r="B389" s="28" t="s">
        <v>37</v>
      </c>
      <c r="C389" s="41" t="s">
        <v>118</v>
      </c>
      <c r="D389" s="26" t="s">
        <v>36</v>
      </c>
      <c r="E389" s="26" t="s">
        <v>915</v>
      </c>
      <c r="F389" s="35" t="s">
        <v>1878</v>
      </c>
      <c r="G389" s="35" t="s">
        <v>221</v>
      </c>
      <c r="H389" s="35" t="s">
        <v>1281</v>
      </c>
      <c r="I389" s="17">
        <f ca="1">IFERROR(__xludf.DUMMYFUNCTION("""COMPUTED_VALUE"""),45159)</f>
        <v>45159</v>
      </c>
      <c r="J389" s="29" t="s">
        <v>2198</v>
      </c>
      <c r="K389" s="26" t="s">
        <v>2199</v>
      </c>
      <c r="L389" s="83">
        <v>336286212</v>
      </c>
      <c r="M389" s="26" t="s">
        <v>80</v>
      </c>
      <c r="N389" s="26" t="s">
        <v>438</v>
      </c>
      <c r="O389" s="67" t="s">
        <v>2200</v>
      </c>
      <c r="P389" s="35" t="s">
        <v>2201</v>
      </c>
      <c r="Q389" s="20">
        <v>10894</v>
      </c>
      <c r="R389" s="26" t="s">
        <v>36</v>
      </c>
      <c r="S389" s="58">
        <v>6245</v>
      </c>
      <c r="T389" s="32">
        <v>44865</v>
      </c>
      <c r="U389" s="58"/>
      <c r="V389" s="35"/>
      <c r="W389" s="55" t="s">
        <v>2202</v>
      </c>
      <c r="X389" s="35">
        <v>0</v>
      </c>
      <c r="Y389" s="22">
        <v>0</v>
      </c>
      <c r="Z389" s="35" t="s">
        <v>118</v>
      </c>
      <c r="AA389" s="19" t="s">
        <v>1871</v>
      </c>
      <c r="AB389" s="35"/>
      <c r="AC389" s="26" t="s">
        <v>53</v>
      </c>
      <c r="AD389" s="19" t="s">
        <v>54</v>
      </c>
      <c r="AE389" s="19"/>
      <c r="AF389" s="17">
        <v>45149</v>
      </c>
      <c r="AG389" s="35" t="s">
        <v>2203</v>
      </c>
      <c r="AH389" s="36">
        <v>1</v>
      </c>
      <c r="AI389" s="37">
        <v>3</v>
      </c>
      <c r="AJ389" s="35"/>
      <c r="AK389" s="35"/>
      <c r="AL389" s="35"/>
      <c r="AM389" s="35"/>
      <c r="AN389" s="35"/>
      <c r="AO389" s="35"/>
      <c r="AP389" s="35"/>
    </row>
    <row r="390" spans="1:42" x14ac:dyDescent="0.2">
      <c r="A390" s="27">
        <v>44955.569621030096</v>
      </c>
      <c r="B390" s="28" t="s">
        <v>37</v>
      </c>
      <c r="C390" s="41" t="s">
        <v>118</v>
      </c>
      <c r="D390" s="26" t="s">
        <v>36</v>
      </c>
      <c r="E390" s="26" t="s">
        <v>2204</v>
      </c>
      <c r="F390" s="28" t="s">
        <v>2147</v>
      </c>
      <c r="G390" s="35" t="s">
        <v>41</v>
      </c>
      <c r="H390" s="26" t="s">
        <v>1397</v>
      </c>
      <c r="I390" s="17">
        <f ca="1">IFERROR(__xludf.DUMMYFUNCTION("""COMPUTED_VALUE"""),45155)</f>
        <v>45155</v>
      </c>
      <c r="J390" s="29" t="s">
        <v>2205</v>
      </c>
      <c r="K390" s="26" t="s">
        <v>2206</v>
      </c>
      <c r="L390" s="57">
        <v>377878055</v>
      </c>
      <c r="M390" s="26" t="s">
        <v>80</v>
      </c>
      <c r="N390" s="39" t="s">
        <v>2207</v>
      </c>
      <c r="O390" s="67" t="s">
        <v>2208</v>
      </c>
      <c r="P390" s="72" t="s">
        <v>2209</v>
      </c>
      <c r="Q390" s="20">
        <v>15936</v>
      </c>
      <c r="R390" s="26" t="s">
        <v>36</v>
      </c>
      <c r="S390" s="77">
        <v>5000</v>
      </c>
      <c r="T390" s="78">
        <v>44943</v>
      </c>
      <c r="U390" s="77">
        <v>11779</v>
      </c>
      <c r="V390" s="78">
        <v>44973</v>
      </c>
      <c r="W390" s="85" t="s">
        <v>2210</v>
      </c>
      <c r="X390" s="86"/>
      <c r="Y390" s="22">
        <v>0</v>
      </c>
      <c r="Z390" s="34" t="s">
        <v>118</v>
      </c>
      <c r="AA390" s="19" t="s">
        <v>1871</v>
      </c>
      <c r="AB390" s="26" t="s">
        <v>104</v>
      </c>
      <c r="AC390" s="26" t="s">
        <v>53</v>
      </c>
      <c r="AD390" s="19" t="s">
        <v>54</v>
      </c>
      <c r="AE390" s="35" t="s">
        <v>2211</v>
      </c>
      <c r="AF390" s="17">
        <v>45154</v>
      </c>
      <c r="AG390" s="35" t="s">
        <v>2211</v>
      </c>
      <c r="AH390" s="36">
        <v>1</v>
      </c>
      <c r="AI390" s="37" t="s">
        <v>147</v>
      </c>
      <c r="AJ390" s="35" t="s">
        <v>2212</v>
      </c>
      <c r="AK390" s="35"/>
      <c r="AL390" s="35"/>
      <c r="AM390" s="35"/>
      <c r="AN390" s="35"/>
      <c r="AO390" s="35"/>
      <c r="AP390" s="35"/>
    </row>
    <row r="391" spans="1:42" x14ac:dyDescent="0.2">
      <c r="A391" s="27">
        <v>45150.633390590279</v>
      </c>
      <c r="B391" s="28" t="s">
        <v>37</v>
      </c>
      <c r="C391" s="41" t="s">
        <v>118</v>
      </c>
      <c r="D391" s="26" t="s">
        <v>36</v>
      </c>
      <c r="E391" s="26" t="s">
        <v>77</v>
      </c>
      <c r="F391" s="26" t="s">
        <v>2213</v>
      </c>
      <c r="G391" s="26" t="s">
        <v>41</v>
      </c>
      <c r="H391" s="26" t="s">
        <v>1397</v>
      </c>
      <c r="I391" s="17">
        <f ca="1">IFERROR(__xludf.DUMMYFUNCTION("""COMPUTED_VALUE"""),45155)</f>
        <v>45155</v>
      </c>
      <c r="J391" s="29" t="s">
        <v>2214</v>
      </c>
      <c r="K391" s="26" t="s">
        <v>2215</v>
      </c>
      <c r="L391" s="30">
        <v>353071178</v>
      </c>
      <c r="M391" s="26" t="s">
        <v>112</v>
      </c>
      <c r="N391" s="26" t="s">
        <v>578</v>
      </c>
      <c r="O391" s="26" t="s">
        <v>91</v>
      </c>
      <c r="P391" s="26" t="s">
        <v>2216</v>
      </c>
      <c r="Q391" s="20">
        <v>1968</v>
      </c>
      <c r="R391" s="26" t="s">
        <v>36</v>
      </c>
      <c r="S391" s="31">
        <v>1868</v>
      </c>
      <c r="T391" s="32">
        <v>45056</v>
      </c>
      <c r="U391" s="31"/>
      <c r="V391" s="26"/>
      <c r="W391" s="33" t="s">
        <v>2217</v>
      </c>
      <c r="X391" s="26">
        <v>0</v>
      </c>
      <c r="Y391" s="22">
        <v>100</v>
      </c>
      <c r="Z391" s="26" t="s">
        <v>118</v>
      </c>
      <c r="AA391" s="19" t="s">
        <v>1871</v>
      </c>
      <c r="AB391" s="26" t="s">
        <v>104</v>
      </c>
      <c r="AC391" s="26" t="s">
        <v>2218</v>
      </c>
      <c r="AD391" s="19" t="s">
        <v>54</v>
      </c>
      <c r="AE391" s="26"/>
      <c r="AF391" s="60" t="s">
        <v>1829</v>
      </c>
      <c r="AG391" s="26" t="s">
        <v>2219</v>
      </c>
      <c r="AH391" s="26">
        <v>1</v>
      </c>
      <c r="AI391" s="40" t="s">
        <v>84</v>
      </c>
      <c r="AJ391" s="26"/>
      <c r="AK391" s="26"/>
      <c r="AL391" s="35"/>
      <c r="AM391" s="35"/>
      <c r="AN391" s="35"/>
      <c r="AO391" s="35"/>
      <c r="AP391" s="35"/>
    </row>
    <row r="392" spans="1:42" x14ac:dyDescent="0.2">
      <c r="A392" s="27">
        <v>45151.102017002311</v>
      </c>
      <c r="B392" s="28" t="s">
        <v>37</v>
      </c>
      <c r="C392" s="41" t="s">
        <v>118</v>
      </c>
      <c r="D392" s="26" t="s">
        <v>36</v>
      </c>
      <c r="E392" s="26" t="s">
        <v>39</v>
      </c>
      <c r="F392" s="26" t="s">
        <v>2220</v>
      </c>
      <c r="G392" s="26" t="s">
        <v>41</v>
      </c>
      <c r="H392" s="26" t="s">
        <v>1397</v>
      </c>
      <c r="I392" s="17">
        <f ca="1">IFERROR(__xludf.DUMMYFUNCTION("""COMPUTED_VALUE"""),45155)</f>
        <v>45155</v>
      </c>
      <c r="J392" s="29" t="s">
        <v>2221</v>
      </c>
      <c r="K392" s="26" t="s">
        <v>2222</v>
      </c>
      <c r="L392" s="30">
        <v>388082959</v>
      </c>
      <c r="M392" s="26" t="s">
        <v>112</v>
      </c>
      <c r="N392" s="26" t="s">
        <v>578</v>
      </c>
      <c r="O392" s="26" t="s">
        <v>91</v>
      </c>
      <c r="P392" s="42" t="s">
        <v>2223</v>
      </c>
      <c r="Q392" s="20">
        <v>5736</v>
      </c>
      <c r="R392" s="26" t="s">
        <v>36</v>
      </c>
      <c r="S392" s="31">
        <v>6868</v>
      </c>
      <c r="T392" s="32">
        <v>44650</v>
      </c>
      <c r="U392" s="31"/>
      <c r="V392" s="26"/>
      <c r="W392" s="33" t="s">
        <v>2224</v>
      </c>
      <c r="X392" s="26">
        <v>0</v>
      </c>
      <c r="Y392" s="22">
        <v>-1132</v>
      </c>
      <c r="Z392" s="26" t="s">
        <v>118</v>
      </c>
      <c r="AA392" s="19" t="s">
        <v>1871</v>
      </c>
      <c r="AB392" s="26" t="s">
        <v>104</v>
      </c>
      <c r="AC392" s="26" t="s">
        <v>53</v>
      </c>
      <c r="AD392" s="19" t="s">
        <v>54</v>
      </c>
      <c r="AE392" s="26"/>
      <c r="AF392" s="17">
        <v>45154</v>
      </c>
      <c r="AG392" s="26"/>
      <c r="AH392" s="26">
        <v>1</v>
      </c>
      <c r="AI392" s="40" t="s">
        <v>55</v>
      </c>
      <c r="AJ392" s="26"/>
      <c r="AK392" s="26"/>
      <c r="AL392" s="35"/>
      <c r="AM392" s="35"/>
      <c r="AN392" s="35"/>
      <c r="AO392" s="35"/>
      <c r="AP392" s="35"/>
    </row>
    <row r="393" spans="1:42" x14ac:dyDescent="0.2">
      <c r="A393" s="27">
        <v>45151.152301041671</v>
      </c>
      <c r="B393" s="28" t="s">
        <v>37</v>
      </c>
      <c r="C393" s="41" t="s">
        <v>118</v>
      </c>
      <c r="D393" s="26" t="s">
        <v>36</v>
      </c>
      <c r="E393" s="26" t="s">
        <v>77</v>
      </c>
      <c r="F393" s="26" t="s">
        <v>2225</v>
      </c>
      <c r="G393" s="26" t="s">
        <v>108</v>
      </c>
      <c r="H393" s="26" t="s">
        <v>740</v>
      </c>
      <c r="I393" s="17">
        <f ca="1">IFERROR(__xludf.DUMMYFUNCTION("""COMPUTED_VALUE"""),45155)</f>
        <v>45155</v>
      </c>
      <c r="J393" s="29" t="s">
        <v>2226</v>
      </c>
      <c r="K393" s="26" t="s">
        <v>2227</v>
      </c>
      <c r="L393" s="30">
        <v>384260603</v>
      </c>
      <c r="M393" s="26" t="s">
        <v>112</v>
      </c>
      <c r="N393" s="26" t="s">
        <v>578</v>
      </c>
      <c r="O393" s="26" t="s">
        <v>91</v>
      </c>
      <c r="P393" s="26" t="s">
        <v>2228</v>
      </c>
      <c r="Q393" s="20">
        <v>1968</v>
      </c>
      <c r="R393" s="26" t="s">
        <v>36</v>
      </c>
      <c r="S393" s="31">
        <v>7349</v>
      </c>
      <c r="T393" s="32">
        <v>44905</v>
      </c>
      <c r="U393" s="31"/>
      <c r="V393" s="26"/>
      <c r="W393" s="26"/>
      <c r="X393" s="26">
        <v>0</v>
      </c>
      <c r="Y393" s="22">
        <v>-5381</v>
      </c>
      <c r="Z393" s="26" t="s">
        <v>118</v>
      </c>
      <c r="AA393" s="19" t="s">
        <v>1871</v>
      </c>
      <c r="AB393" s="26" t="s">
        <v>104</v>
      </c>
      <c r="AC393" s="26" t="s">
        <v>53</v>
      </c>
      <c r="AD393" s="19" t="s">
        <v>54</v>
      </c>
      <c r="AE393" s="26"/>
      <c r="AF393" s="17">
        <v>45154</v>
      </c>
      <c r="AG393" s="26"/>
      <c r="AH393" s="26">
        <v>1</v>
      </c>
      <c r="AI393" s="40" t="s">
        <v>84</v>
      </c>
      <c r="AJ393" s="26"/>
      <c r="AK393" s="26"/>
      <c r="AL393" s="35"/>
      <c r="AM393" s="35"/>
      <c r="AN393" s="35"/>
      <c r="AO393" s="35"/>
      <c r="AP393" s="35"/>
    </row>
    <row r="394" spans="1:42" x14ac:dyDescent="0.2">
      <c r="A394" s="27">
        <v>45152.306305451391</v>
      </c>
      <c r="B394" s="28" t="s">
        <v>37</v>
      </c>
      <c r="C394" s="41" t="s">
        <v>118</v>
      </c>
      <c r="D394" s="26" t="s">
        <v>36</v>
      </c>
      <c r="E394" s="26" t="s">
        <v>148</v>
      </c>
      <c r="F394" s="26" t="s">
        <v>1878</v>
      </c>
      <c r="G394" s="26" t="s">
        <v>108</v>
      </c>
      <c r="H394" s="26" t="s">
        <v>836</v>
      </c>
      <c r="I394" s="17">
        <f ca="1">IFERROR(__xludf.DUMMYFUNCTION("""COMPUTED_VALUE"""),45160)</f>
        <v>45160</v>
      </c>
      <c r="J394" s="29" t="s">
        <v>2229</v>
      </c>
      <c r="K394" s="26" t="s">
        <v>2230</v>
      </c>
      <c r="L394" s="30">
        <v>562293072</v>
      </c>
      <c r="M394" s="26" t="s">
        <v>391</v>
      </c>
      <c r="N394" s="26" t="s">
        <v>2143</v>
      </c>
      <c r="O394" s="26" t="s">
        <v>2144</v>
      </c>
      <c r="P394" s="26" t="s">
        <v>2231</v>
      </c>
      <c r="Q394" s="20">
        <v>7349</v>
      </c>
      <c r="R394" s="26" t="s">
        <v>36</v>
      </c>
      <c r="S394" s="31">
        <v>10564</v>
      </c>
      <c r="T394" s="32">
        <v>44932</v>
      </c>
      <c r="U394" s="31"/>
      <c r="V394" s="26"/>
      <c r="W394" s="33" t="s">
        <v>2232</v>
      </c>
      <c r="X394" s="26">
        <v>0</v>
      </c>
      <c r="Y394" s="22">
        <v>-3215</v>
      </c>
      <c r="Z394" s="26" t="s">
        <v>118</v>
      </c>
      <c r="AA394" s="19" t="s">
        <v>1871</v>
      </c>
      <c r="AB394" s="26" t="s">
        <v>137</v>
      </c>
      <c r="AC394" s="26" t="s">
        <v>53</v>
      </c>
      <c r="AD394" s="19" t="s">
        <v>54</v>
      </c>
      <c r="AE394" s="26" t="s">
        <v>2233</v>
      </c>
      <c r="AF394" s="17">
        <v>45154</v>
      </c>
      <c r="AG394" s="26"/>
      <c r="AH394" s="26">
        <v>1</v>
      </c>
      <c r="AI394" s="40">
        <v>2</v>
      </c>
      <c r="AJ394" s="26"/>
      <c r="AK394" s="26"/>
      <c r="AL394" s="35"/>
      <c r="AM394" s="35"/>
      <c r="AN394" s="35"/>
      <c r="AO394" s="35"/>
      <c r="AP394" s="35"/>
    </row>
    <row r="395" spans="1:42" x14ac:dyDescent="0.2">
      <c r="A395" s="27">
        <v>45153.327590243054</v>
      </c>
      <c r="B395" s="28" t="s">
        <v>37</v>
      </c>
      <c r="C395" s="41" t="s">
        <v>118</v>
      </c>
      <c r="D395" s="26" t="s">
        <v>36</v>
      </c>
      <c r="E395" s="26" t="s">
        <v>106</v>
      </c>
      <c r="F395" s="26" t="s">
        <v>2234</v>
      </c>
      <c r="G395" s="26" t="s">
        <v>108</v>
      </c>
      <c r="H395" s="26" t="s">
        <v>836</v>
      </c>
      <c r="I395" s="17">
        <f ca="1">IFERROR(__xludf.DUMMYFUNCTION("""COMPUTED_VALUE"""),45160)</f>
        <v>45160</v>
      </c>
      <c r="J395" s="29" t="s">
        <v>2235</v>
      </c>
      <c r="K395" s="26" t="s">
        <v>2236</v>
      </c>
      <c r="L395" s="30">
        <v>326619845</v>
      </c>
      <c r="M395" s="26" t="s">
        <v>391</v>
      </c>
      <c r="N395" s="26" t="s">
        <v>2237</v>
      </c>
      <c r="O395" s="26" t="s">
        <v>2238</v>
      </c>
      <c r="P395" s="26" t="s">
        <v>2239</v>
      </c>
      <c r="Q395" s="20">
        <v>3768</v>
      </c>
      <c r="R395" s="26" t="s">
        <v>36</v>
      </c>
      <c r="S395" s="31">
        <v>10804</v>
      </c>
      <c r="T395" s="32">
        <v>45226</v>
      </c>
      <c r="U395" s="31"/>
      <c r="V395" s="26"/>
      <c r="W395" s="26"/>
      <c r="X395" s="26">
        <v>0</v>
      </c>
      <c r="Y395" s="22">
        <v>-7036</v>
      </c>
      <c r="Z395" s="26" t="s">
        <v>118</v>
      </c>
      <c r="AA395" s="19" t="s">
        <v>1871</v>
      </c>
      <c r="AB395" s="26" t="s">
        <v>128</v>
      </c>
      <c r="AC395" s="26" t="s">
        <v>53</v>
      </c>
      <c r="AD395" s="19" t="s">
        <v>54</v>
      </c>
      <c r="AE395" s="26">
        <v>320</v>
      </c>
      <c r="AF395" s="17">
        <v>45154</v>
      </c>
      <c r="AG395" s="26"/>
      <c r="AH395" s="26">
        <v>1</v>
      </c>
      <c r="AI395" s="40">
        <v>1</v>
      </c>
      <c r="AJ395" s="26"/>
      <c r="AK395" s="26"/>
      <c r="AL395" s="35"/>
      <c r="AM395" s="35"/>
      <c r="AN395" s="35"/>
      <c r="AO395" s="35"/>
      <c r="AP395" s="35"/>
    </row>
    <row r="396" spans="1:42" x14ac:dyDescent="0.2">
      <c r="A396" s="87">
        <v>367421983</v>
      </c>
      <c r="B396" s="28" t="s">
        <v>37</v>
      </c>
      <c r="C396" s="41" t="s">
        <v>118</v>
      </c>
      <c r="D396" s="26" t="s">
        <v>36</v>
      </c>
      <c r="E396" s="26" t="s">
        <v>106</v>
      </c>
      <c r="F396" s="26" t="s">
        <v>2240</v>
      </c>
      <c r="G396" s="26" t="s">
        <v>108</v>
      </c>
      <c r="H396" s="26" t="s">
        <v>830</v>
      </c>
      <c r="I396" s="17">
        <f ca="1">IFERROR(__xludf.DUMMYFUNCTION("""COMPUTED_VALUE"""),45159)</f>
        <v>45159</v>
      </c>
      <c r="J396" s="29" t="s">
        <v>2241</v>
      </c>
      <c r="K396" s="26" t="s">
        <v>2242</v>
      </c>
      <c r="L396" s="30">
        <v>367421983</v>
      </c>
      <c r="M396" s="35" t="s">
        <v>1245</v>
      </c>
      <c r="N396" s="35" t="s">
        <v>2243</v>
      </c>
      <c r="O396" s="35"/>
      <c r="P396" s="42" t="s">
        <v>2244</v>
      </c>
      <c r="Q396" s="20">
        <v>3768</v>
      </c>
      <c r="R396" s="26" t="s">
        <v>36</v>
      </c>
      <c r="S396" s="31">
        <v>3738</v>
      </c>
      <c r="T396" s="32">
        <v>44816</v>
      </c>
      <c r="U396" s="58"/>
      <c r="V396" s="35"/>
      <c r="W396" s="33" t="s">
        <v>2245</v>
      </c>
      <c r="X396" s="35">
        <v>0</v>
      </c>
      <c r="Y396" s="22">
        <v>30</v>
      </c>
      <c r="Z396" s="35" t="s">
        <v>118</v>
      </c>
      <c r="AA396" s="19" t="s">
        <v>1871</v>
      </c>
      <c r="AB396" s="35" t="s">
        <v>1144</v>
      </c>
      <c r="AC396" s="26" t="s">
        <v>53</v>
      </c>
      <c r="AD396" s="19" t="s">
        <v>54</v>
      </c>
      <c r="AE396" s="19"/>
      <c r="AF396" s="17">
        <v>45155</v>
      </c>
      <c r="AG396" s="35" t="s">
        <v>2246</v>
      </c>
      <c r="AH396" s="36">
        <v>1</v>
      </c>
      <c r="AI396" s="37">
        <v>1</v>
      </c>
      <c r="AJ396" s="35" t="s">
        <v>2247</v>
      </c>
      <c r="AK396" s="35"/>
      <c r="AL396" s="35"/>
      <c r="AM396" s="35"/>
      <c r="AN396" s="35"/>
      <c r="AO396" s="35"/>
      <c r="AP396" s="35"/>
    </row>
    <row r="397" spans="1:42" x14ac:dyDescent="0.2">
      <c r="A397" s="27">
        <v>45154.640628981477</v>
      </c>
      <c r="B397" s="28" t="s">
        <v>37</v>
      </c>
      <c r="C397" s="41" t="s">
        <v>118</v>
      </c>
      <c r="D397" s="26" t="s">
        <v>36</v>
      </c>
      <c r="E397" s="26" t="s">
        <v>148</v>
      </c>
      <c r="F397" s="26" t="s">
        <v>1936</v>
      </c>
      <c r="G397" s="26" t="s">
        <v>221</v>
      </c>
      <c r="H397" s="26" t="s">
        <v>1281</v>
      </c>
      <c r="I397" s="17">
        <f ca="1">IFERROR(__xludf.DUMMYFUNCTION("""COMPUTED_VALUE"""),45159)</f>
        <v>45159</v>
      </c>
      <c r="J397" s="29" t="s">
        <v>2248</v>
      </c>
      <c r="K397" s="26" t="s">
        <v>2249</v>
      </c>
      <c r="L397" s="30">
        <v>965782210</v>
      </c>
      <c r="M397" s="26" t="s">
        <v>112</v>
      </c>
      <c r="N397" s="26" t="s">
        <v>578</v>
      </c>
      <c r="O397" s="26" t="s">
        <v>91</v>
      </c>
      <c r="P397" s="26" t="s">
        <v>2250</v>
      </c>
      <c r="Q397" s="20">
        <v>7349</v>
      </c>
      <c r="R397" s="26" t="s">
        <v>36</v>
      </c>
      <c r="S397" s="31">
        <v>13654</v>
      </c>
      <c r="T397" s="32">
        <v>44862</v>
      </c>
      <c r="U397" s="31"/>
      <c r="V397" s="26"/>
      <c r="W397" s="33" t="s">
        <v>2251</v>
      </c>
      <c r="X397" s="26">
        <v>0</v>
      </c>
      <c r="Y397" s="22">
        <v>-6305</v>
      </c>
      <c r="Z397" s="26" t="s">
        <v>118</v>
      </c>
      <c r="AA397" s="19" t="s">
        <v>1871</v>
      </c>
      <c r="AB397" s="26" t="s">
        <v>104</v>
      </c>
      <c r="AC397" s="26" t="s">
        <v>53</v>
      </c>
      <c r="AD397" s="19" t="s">
        <v>54</v>
      </c>
      <c r="AE397" s="26">
        <v>760</v>
      </c>
      <c r="AF397" s="17">
        <v>45155</v>
      </c>
      <c r="AG397" s="26"/>
      <c r="AH397" s="26">
        <v>1</v>
      </c>
      <c r="AI397" s="40">
        <v>2</v>
      </c>
      <c r="AJ397" s="26"/>
      <c r="AK397" s="26"/>
      <c r="AL397" s="35"/>
      <c r="AM397" s="35"/>
      <c r="AN397" s="35"/>
      <c r="AO397" s="35"/>
      <c r="AP397" s="35"/>
    </row>
    <row r="398" spans="1:42" x14ac:dyDescent="0.2">
      <c r="A398" s="27">
        <v>45154.644807175922</v>
      </c>
      <c r="B398" s="28" t="s">
        <v>37</v>
      </c>
      <c r="C398" s="41" t="s">
        <v>118</v>
      </c>
      <c r="D398" s="26" t="s">
        <v>36</v>
      </c>
      <c r="E398" s="26" t="s">
        <v>148</v>
      </c>
      <c r="F398" s="26" t="s">
        <v>2252</v>
      </c>
      <c r="G398" s="26" t="s">
        <v>221</v>
      </c>
      <c r="H398" s="26" t="s">
        <v>2253</v>
      </c>
      <c r="I398" s="17" t="str">
        <f ca="1">IFERROR(__xludf.DUMMYFUNCTION("""COMPUTED_VALUE""")," ")</f>
        <v xml:space="preserve"> </v>
      </c>
      <c r="J398" s="29" t="s">
        <v>2254</v>
      </c>
      <c r="K398" s="26" t="s">
        <v>2255</v>
      </c>
      <c r="L398" s="30">
        <v>929050509</v>
      </c>
      <c r="M398" s="26" t="s">
        <v>112</v>
      </c>
      <c r="N398" s="26" t="s">
        <v>578</v>
      </c>
      <c r="O398" s="26" t="s">
        <v>91</v>
      </c>
      <c r="P398" s="26" t="s">
        <v>2256</v>
      </c>
      <c r="Q398" s="20">
        <v>7349</v>
      </c>
      <c r="R398" s="26" t="s">
        <v>36</v>
      </c>
      <c r="S398" s="31">
        <v>6349</v>
      </c>
      <c r="T398" s="32">
        <v>44873</v>
      </c>
      <c r="U398" s="31">
        <v>1000</v>
      </c>
      <c r="V398" s="32">
        <v>44837</v>
      </c>
      <c r="W398" s="26"/>
      <c r="X398" s="26">
        <v>0</v>
      </c>
      <c r="Y398" s="22">
        <v>0</v>
      </c>
      <c r="Z398" s="26" t="s">
        <v>118</v>
      </c>
      <c r="AA398" s="19" t="s">
        <v>1871</v>
      </c>
      <c r="AB398" s="26" t="s">
        <v>104</v>
      </c>
      <c r="AC398" s="26" t="s">
        <v>53</v>
      </c>
      <c r="AD398" s="19" t="s">
        <v>54</v>
      </c>
      <c r="AE398" s="26"/>
      <c r="AF398" s="17">
        <v>45155</v>
      </c>
      <c r="AG398" s="26" t="s">
        <v>2253</v>
      </c>
      <c r="AH398" s="26">
        <v>1</v>
      </c>
      <c r="AI398" s="40">
        <v>2</v>
      </c>
      <c r="AJ398" s="26"/>
      <c r="AK398" s="26"/>
      <c r="AL398" s="35"/>
      <c r="AM398" s="35"/>
      <c r="AN398" s="35"/>
      <c r="AO398" s="35"/>
      <c r="AP398" s="35"/>
    </row>
    <row r="399" spans="1:42" x14ac:dyDescent="0.2">
      <c r="A399" s="27">
        <v>44645</v>
      </c>
      <c r="B399" s="68" t="s">
        <v>37</v>
      </c>
      <c r="C399" s="41" t="s">
        <v>118</v>
      </c>
      <c r="D399" s="26" t="s">
        <v>36</v>
      </c>
      <c r="E399" s="26" t="s">
        <v>106</v>
      </c>
      <c r="F399" s="26" t="s">
        <v>2257</v>
      </c>
      <c r="G399" s="35" t="s">
        <v>108</v>
      </c>
      <c r="H399" s="35" t="s">
        <v>2258</v>
      </c>
      <c r="I399" s="17">
        <f ca="1">IFERROR(__xludf.DUMMYFUNCTION("""COMPUTED_VALUE"""),45267)</f>
        <v>45267</v>
      </c>
      <c r="J399" s="29" t="s">
        <v>2259</v>
      </c>
      <c r="K399" s="26" t="s">
        <v>2260</v>
      </c>
      <c r="L399" s="30">
        <v>976412103</v>
      </c>
      <c r="M399" s="35" t="s">
        <v>2261</v>
      </c>
      <c r="N399" s="35" t="s">
        <v>2261</v>
      </c>
      <c r="O399" s="35"/>
      <c r="P399" s="42" t="s">
        <v>2262</v>
      </c>
      <c r="Q399" s="20">
        <v>3768</v>
      </c>
      <c r="R399" s="26" t="s">
        <v>36</v>
      </c>
      <c r="S399" s="31">
        <v>3000</v>
      </c>
      <c r="T399" s="38">
        <v>44644</v>
      </c>
      <c r="U399" s="31">
        <v>6968</v>
      </c>
      <c r="V399" s="32">
        <v>44648</v>
      </c>
      <c r="W399" s="33" t="s">
        <v>2263</v>
      </c>
      <c r="X399" s="35">
        <v>0</v>
      </c>
      <c r="Y399" s="22">
        <v>0</v>
      </c>
      <c r="Z399" s="35" t="s">
        <v>118</v>
      </c>
      <c r="AA399" s="19" t="s">
        <v>1871</v>
      </c>
      <c r="AB399" s="35"/>
      <c r="AC399" s="26" t="s">
        <v>53</v>
      </c>
      <c r="AD399" s="19" t="s">
        <v>54</v>
      </c>
      <c r="AE399" s="19"/>
      <c r="AF399" s="43">
        <v>45259</v>
      </c>
      <c r="AG399" s="35"/>
      <c r="AH399" s="36">
        <v>1</v>
      </c>
      <c r="AI399" s="37">
        <v>1</v>
      </c>
      <c r="AJ399" s="35"/>
      <c r="AK399" s="35"/>
      <c r="AL399" s="35"/>
      <c r="AM399" s="35"/>
      <c r="AN399" s="35"/>
      <c r="AO399" s="35"/>
      <c r="AP399" s="35"/>
    </row>
    <row r="400" spans="1:42" x14ac:dyDescent="0.2">
      <c r="A400" s="14">
        <v>44864</v>
      </c>
      <c r="B400" s="68" t="s">
        <v>37</v>
      </c>
      <c r="C400" s="41" t="s">
        <v>118</v>
      </c>
      <c r="D400" s="26" t="s">
        <v>36</v>
      </c>
      <c r="E400" s="26" t="s">
        <v>106</v>
      </c>
      <c r="F400" s="26" t="s">
        <v>36</v>
      </c>
      <c r="G400" s="35" t="s">
        <v>108</v>
      </c>
      <c r="H400" s="35" t="s">
        <v>830</v>
      </c>
      <c r="I400" s="17">
        <f ca="1">IFERROR(__xludf.DUMMYFUNCTION("""COMPUTED_VALUE"""),45159)</f>
        <v>45159</v>
      </c>
      <c r="J400" s="29" t="s">
        <v>2264</v>
      </c>
      <c r="K400" s="26" t="s">
        <v>2265</v>
      </c>
      <c r="L400" s="30">
        <v>976205358</v>
      </c>
      <c r="M400" s="35" t="s">
        <v>1245</v>
      </c>
      <c r="N400" s="72" t="s">
        <v>2266</v>
      </c>
      <c r="O400" s="35"/>
      <c r="P400" s="72" t="s">
        <v>2267</v>
      </c>
      <c r="Q400" s="20">
        <v>3768</v>
      </c>
      <c r="R400" s="26" t="s">
        <v>36</v>
      </c>
      <c r="S400" s="58">
        <v>3768</v>
      </c>
      <c r="T400" s="32">
        <v>44864</v>
      </c>
      <c r="U400" s="58"/>
      <c r="V400" s="35"/>
      <c r="W400" s="33" t="s">
        <v>2268</v>
      </c>
      <c r="X400" s="35">
        <v>0</v>
      </c>
      <c r="Y400" s="22">
        <v>0</v>
      </c>
      <c r="Z400" s="35" t="s">
        <v>118</v>
      </c>
      <c r="AA400" s="19" t="s">
        <v>1871</v>
      </c>
      <c r="AB400" s="26" t="s">
        <v>128</v>
      </c>
      <c r="AC400" s="26" t="s">
        <v>53</v>
      </c>
      <c r="AD400" s="19" t="s">
        <v>54</v>
      </c>
      <c r="AE400" s="19"/>
      <c r="AF400" s="17">
        <v>45156</v>
      </c>
      <c r="AG400" s="42" t="s">
        <v>2269</v>
      </c>
      <c r="AH400" s="36">
        <v>1</v>
      </c>
      <c r="AI400" s="37">
        <v>1</v>
      </c>
      <c r="AJ400" s="35"/>
      <c r="AK400" s="35"/>
      <c r="AL400" s="35"/>
      <c r="AM400" s="35"/>
      <c r="AN400" s="35"/>
      <c r="AO400" s="35"/>
      <c r="AP400" s="35"/>
    </row>
    <row r="401" spans="1:42" x14ac:dyDescent="0.2">
      <c r="A401" s="14">
        <v>44935</v>
      </c>
      <c r="B401" s="28" t="s">
        <v>37</v>
      </c>
      <c r="C401" s="41" t="s">
        <v>118</v>
      </c>
      <c r="D401" s="26" t="s">
        <v>36</v>
      </c>
      <c r="E401" s="26" t="s">
        <v>219</v>
      </c>
      <c r="F401" s="26" t="s">
        <v>36</v>
      </c>
      <c r="G401" s="26" t="s">
        <v>221</v>
      </c>
      <c r="H401" s="26" t="s">
        <v>1281</v>
      </c>
      <c r="I401" s="17">
        <f ca="1">IFERROR(__xludf.DUMMYFUNCTION("""COMPUTED_VALUE"""),45159)</f>
        <v>45159</v>
      </c>
      <c r="J401" s="29" t="s">
        <v>2270</v>
      </c>
      <c r="K401" s="26" t="s">
        <v>2271</v>
      </c>
      <c r="L401" s="30">
        <v>346491790</v>
      </c>
      <c r="M401" s="26" t="s">
        <v>80</v>
      </c>
      <c r="N401" s="26" t="s">
        <v>2272</v>
      </c>
      <c r="O401" s="67" t="s">
        <v>2273</v>
      </c>
      <c r="P401" s="26" t="s">
        <v>2274</v>
      </c>
      <c r="Q401" s="20">
        <v>3968</v>
      </c>
      <c r="R401" s="26" t="s">
        <v>36</v>
      </c>
      <c r="S401" s="31">
        <v>3968</v>
      </c>
      <c r="T401" s="32">
        <v>44934</v>
      </c>
      <c r="U401" s="58"/>
      <c r="V401" s="26"/>
      <c r="W401" s="33" t="s">
        <v>2275</v>
      </c>
      <c r="X401" s="35">
        <v>0</v>
      </c>
      <c r="Y401" s="22">
        <v>0</v>
      </c>
      <c r="Z401" s="35" t="s">
        <v>118</v>
      </c>
      <c r="AA401" s="19" t="s">
        <v>1871</v>
      </c>
      <c r="AB401" s="26" t="s">
        <v>104</v>
      </c>
      <c r="AC401" s="26" t="s">
        <v>53</v>
      </c>
      <c r="AD401" s="19" t="s">
        <v>54</v>
      </c>
      <c r="AE401" s="26">
        <v>780</v>
      </c>
      <c r="AF401" s="17">
        <v>45159</v>
      </c>
      <c r="AG401" s="35"/>
      <c r="AH401" s="36">
        <v>1</v>
      </c>
      <c r="AI401" s="37">
        <v>1</v>
      </c>
      <c r="AJ401" s="35"/>
      <c r="AK401" s="35"/>
      <c r="AL401" s="35"/>
      <c r="AM401" s="35"/>
      <c r="AN401" s="35"/>
      <c r="AO401" s="35"/>
      <c r="AP401" s="35"/>
    </row>
    <row r="402" spans="1:42" x14ac:dyDescent="0.2">
      <c r="A402" s="27">
        <v>45158.262585648146</v>
      </c>
      <c r="B402" s="28" t="s">
        <v>37</v>
      </c>
      <c r="C402" s="41" t="s">
        <v>118</v>
      </c>
      <c r="D402" s="26" t="s">
        <v>36</v>
      </c>
      <c r="E402" s="26" t="s">
        <v>56</v>
      </c>
      <c r="F402" s="26" t="s">
        <v>36</v>
      </c>
      <c r="G402" s="26" t="s">
        <v>41</v>
      </c>
      <c r="H402" s="26" t="s">
        <v>129</v>
      </c>
      <c r="I402" s="17">
        <f ca="1">IFERROR(__xludf.DUMMYFUNCTION("""COMPUTED_VALUE"""),45163)</f>
        <v>45163</v>
      </c>
      <c r="J402" s="29" t="s">
        <v>131</v>
      </c>
      <c r="K402" s="26" t="s">
        <v>2276</v>
      </c>
      <c r="L402" s="30">
        <v>393801311</v>
      </c>
      <c r="M402" s="26" t="s">
        <v>112</v>
      </c>
      <c r="N402" s="26" t="s">
        <v>578</v>
      </c>
      <c r="O402" s="26" t="s">
        <v>91</v>
      </c>
      <c r="P402" s="26" t="s">
        <v>2277</v>
      </c>
      <c r="Q402" s="20">
        <v>9317</v>
      </c>
      <c r="R402" s="26" t="s">
        <v>36</v>
      </c>
      <c r="S402" s="31">
        <v>9317</v>
      </c>
      <c r="T402" s="32">
        <v>45108</v>
      </c>
      <c r="U402" s="31"/>
      <c r="V402" s="26"/>
      <c r="W402" s="33" t="s">
        <v>2278</v>
      </c>
      <c r="X402" s="26">
        <v>0</v>
      </c>
      <c r="Y402" s="22">
        <v>0</v>
      </c>
      <c r="Z402" s="26" t="s">
        <v>118</v>
      </c>
      <c r="AA402" s="19" t="s">
        <v>1871</v>
      </c>
      <c r="AB402" s="26" t="s">
        <v>104</v>
      </c>
      <c r="AC402" s="26" t="s">
        <v>53</v>
      </c>
      <c r="AD402" s="19" t="s">
        <v>54</v>
      </c>
      <c r="AE402" s="26"/>
      <c r="AF402" s="17">
        <v>45159</v>
      </c>
      <c r="AG402" s="26"/>
      <c r="AH402" s="26">
        <v>2</v>
      </c>
      <c r="AI402" s="40" t="s">
        <v>64</v>
      </c>
      <c r="AJ402" s="26"/>
      <c r="AK402" s="26"/>
      <c r="AL402" s="35"/>
      <c r="AM402" s="35"/>
      <c r="AN402" s="35"/>
      <c r="AO402" s="35"/>
      <c r="AP402" s="35"/>
    </row>
    <row r="403" spans="1:42" x14ac:dyDescent="0.2">
      <c r="A403" s="27">
        <v>45158.272988136574</v>
      </c>
      <c r="B403" s="28" t="s">
        <v>37</v>
      </c>
      <c r="C403" s="41" t="s">
        <v>118</v>
      </c>
      <c r="D403" s="26" t="s">
        <v>36</v>
      </c>
      <c r="E403" s="26" t="s">
        <v>148</v>
      </c>
      <c r="F403" s="26" t="s">
        <v>1936</v>
      </c>
      <c r="G403" s="26" t="s">
        <v>221</v>
      </c>
      <c r="H403" s="26" t="s">
        <v>2279</v>
      </c>
      <c r="I403" s="17">
        <f ca="1">IFERROR(__xludf.DUMMYFUNCTION("""COMPUTED_VALUE"""),45222)</f>
        <v>45222</v>
      </c>
      <c r="J403" s="29" t="s">
        <v>1938</v>
      </c>
      <c r="K403" s="26" t="s">
        <v>2280</v>
      </c>
      <c r="L403" s="30">
        <v>981858871</v>
      </c>
      <c r="M403" s="26" t="s">
        <v>112</v>
      </c>
      <c r="N403" s="26" t="s">
        <v>578</v>
      </c>
      <c r="O403" s="26" t="s">
        <v>91</v>
      </c>
      <c r="P403" s="26" t="s">
        <v>2281</v>
      </c>
      <c r="Q403" s="20">
        <v>7349</v>
      </c>
      <c r="R403" s="26" t="s">
        <v>36</v>
      </c>
      <c r="S403" s="31">
        <v>1000</v>
      </c>
      <c r="T403" s="32">
        <v>45009</v>
      </c>
      <c r="U403" s="31">
        <v>6349</v>
      </c>
      <c r="V403" s="32">
        <v>45012</v>
      </c>
      <c r="W403" s="26"/>
      <c r="X403" s="26">
        <v>0</v>
      </c>
      <c r="Y403" s="22">
        <v>0</v>
      </c>
      <c r="Z403" s="26" t="s">
        <v>118</v>
      </c>
      <c r="AA403" s="19" t="s">
        <v>1871</v>
      </c>
      <c r="AB403" s="26" t="s">
        <v>104</v>
      </c>
      <c r="AC403" s="26" t="s">
        <v>53</v>
      </c>
      <c r="AD403" s="19" t="s">
        <v>54</v>
      </c>
      <c r="AE403" s="26"/>
      <c r="AF403" s="60" t="s">
        <v>1829</v>
      </c>
      <c r="AG403" s="26" t="s">
        <v>2282</v>
      </c>
      <c r="AH403" s="26">
        <v>2</v>
      </c>
      <c r="AI403" s="40">
        <v>2</v>
      </c>
      <c r="AJ403" s="26"/>
      <c r="AK403" s="26"/>
      <c r="AL403" s="35"/>
      <c r="AM403" s="35"/>
      <c r="AN403" s="35"/>
      <c r="AO403" s="35"/>
      <c r="AP403" s="35"/>
    </row>
    <row r="404" spans="1:42" x14ac:dyDescent="0.2">
      <c r="A404" s="27">
        <v>45159.274982083334</v>
      </c>
      <c r="B404" s="28" t="s">
        <v>37</v>
      </c>
      <c r="C404" s="41" t="s">
        <v>118</v>
      </c>
      <c r="D404" s="26" t="s">
        <v>36</v>
      </c>
      <c r="E404" s="26" t="s">
        <v>39</v>
      </c>
      <c r="F404" s="26" t="s">
        <v>1555</v>
      </c>
      <c r="G404" s="26" t="s">
        <v>108</v>
      </c>
      <c r="H404" s="26" t="s">
        <v>1500</v>
      </c>
      <c r="I404" s="17">
        <f ca="1">IFERROR(__xludf.DUMMYFUNCTION("""COMPUTED_VALUE"""),45181)</f>
        <v>45181</v>
      </c>
      <c r="J404" s="29" t="s">
        <v>2283</v>
      </c>
      <c r="K404" s="26" t="s">
        <v>2284</v>
      </c>
      <c r="L404" s="30">
        <v>342944800</v>
      </c>
      <c r="M404" s="26" t="s">
        <v>112</v>
      </c>
      <c r="N404" s="26" t="s">
        <v>578</v>
      </c>
      <c r="O404" s="26" t="s">
        <v>91</v>
      </c>
      <c r="P404" s="26" t="s">
        <v>2285</v>
      </c>
      <c r="Q404" s="20">
        <v>5736</v>
      </c>
      <c r="R404" s="26" t="s">
        <v>36</v>
      </c>
      <c r="S404" s="31">
        <v>5736</v>
      </c>
      <c r="T404" s="32">
        <v>45098</v>
      </c>
      <c r="U404" s="31"/>
      <c r="V404" s="26"/>
      <c r="W404" s="33" t="s">
        <v>2286</v>
      </c>
      <c r="X404" s="26">
        <v>0</v>
      </c>
      <c r="Y404" s="22">
        <v>0</v>
      </c>
      <c r="Z404" s="26" t="s">
        <v>118</v>
      </c>
      <c r="AA404" s="19" t="s">
        <v>1871</v>
      </c>
      <c r="AB404" s="26" t="s">
        <v>137</v>
      </c>
      <c r="AC404" s="26" t="s">
        <v>53</v>
      </c>
      <c r="AD404" s="19" t="s">
        <v>54</v>
      </c>
      <c r="AE404" s="26">
        <v>68</v>
      </c>
      <c r="AF404" s="17">
        <v>45169</v>
      </c>
      <c r="AG404" s="26" t="s">
        <v>2287</v>
      </c>
      <c r="AH404" s="26">
        <v>1</v>
      </c>
      <c r="AI404" s="40" t="s">
        <v>55</v>
      </c>
      <c r="AJ404" s="26"/>
      <c r="AK404" s="26"/>
      <c r="AL404" s="35"/>
      <c r="AM404" s="35"/>
      <c r="AN404" s="35"/>
      <c r="AO404" s="35"/>
      <c r="AP404" s="35"/>
    </row>
    <row r="405" spans="1:42" x14ac:dyDescent="0.2">
      <c r="A405" s="27">
        <v>45159.375422164347</v>
      </c>
      <c r="B405" s="28" t="s">
        <v>37</v>
      </c>
      <c r="C405" s="41" t="s">
        <v>118</v>
      </c>
      <c r="D405" s="26" t="s">
        <v>36</v>
      </c>
      <c r="E405" s="26" t="s">
        <v>77</v>
      </c>
      <c r="F405" s="26" t="s">
        <v>91</v>
      </c>
      <c r="G405" s="26" t="s">
        <v>41</v>
      </c>
      <c r="H405" s="26" t="s">
        <v>1229</v>
      </c>
      <c r="I405" s="17">
        <f ca="1">IFERROR(__xludf.DUMMYFUNCTION("""COMPUTED_VALUE"""),45176)</f>
        <v>45176</v>
      </c>
      <c r="J405" s="29" t="s">
        <v>2288</v>
      </c>
      <c r="K405" s="26" t="s">
        <v>2289</v>
      </c>
      <c r="L405" s="30">
        <v>974823192</v>
      </c>
      <c r="M405" s="26" t="s">
        <v>633</v>
      </c>
      <c r="N405" s="26" t="s">
        <v>2290</v>
      </c>
      <c r="O405" s="26" t="s">
        <v>2291</v>
      </c>
      <c r="P405" s="26" t="s">
        <v>2292</v>
      </c>
      <c r="Q405" s="20">
        <v>1968</v>
      </c>
      <c r="R405" s="26" t="s">
        <v>36</v>
      </c>
      <c r="S405" s="31">
        <v>2000</v>
      </c>
      <c r="T405" s="32">
        <v>44688</v>
      </c>
      <c r="U405" s="31"/>
      <c r="V405" s="26"/>
      <c r="W405" s="33" t="s">
        <v>2293</v>
      </c>
      <c r="X405" s="26">
        <v>0</v>
      </c>
      <c r="Y405" s="22">
        <v>-32</v>
      </c>
      <c r="Z405" s="26" t="s">
        <v>118</v>
      </c>
      <c r="AA405" s="19" t="s">
        <v>1871</v>
      </c>
      <c r="AB405" s="26" t="s">
        <v>104</v>
      </c>
      <c r="AC405" s="26" t="s">
        <v>53</v>
      </c>
      <c r="AD405" s="19" t="s">
        <v>54</v>
      </c>
      <c r="AE405" s="26" t="s">
        <v>76</v>
      </c>
      <c r="AF405" s="17">
        <v>45167</v>
      </c>
      <c r="AG405" s="42" t="s">
        <v>2294</v>
      </c>
      <c r="AH405" s="26">
        <v>1</v>
      </c>
      <c r="AI405" s="40" t="s">
        <v>84</v>
      </c>
      <c r="AJ405" s="26"/>
      <c r="AK405" s="26"/>
      <c r="AL405" s="35"/>
      <c r="AM405" s="35"/>
      <c r="AN405" s="35"/>
      <c r="AO405" s="35"/>
      <c r="AP405" s="35"/>
    </row>
    <row r="406" spans="1:42" x14ac:dyDescent="0.2">
      <c r="A406" s="27">
        <v>45159.677664571762</v>
      </c>
      <c r="B406" s="28" t="s">
        <v>37</v>
      </c>
      <c r="C406" s="41" t="s">
        <v>118</v>
      </c>
      <c r="D406" s="26" t="s">
        <v>36</v>
      </c>
      <c r="E406" s="26" t="s">
        <v>148</v>
      </c>
      <c r="F406" s="26" t="s">
        <v>1555</v>
      </c>
      <c r="G406" s="26" t="s">
        <v>108</v>
      </c>
      <c r="H406" s="26" t="s">
        <v>1500</v>
      </c>
      <c r="I406" s="17">
        <f ca="1">IFERROR(__xludf.DUMMYFUNCTION("""COMPUTED_VALUE"""),45181)</f>
        <v>45181</v>
      </c>
      <c r="J406" s="29" t="s">
        <v>2295</v>
      </c>
      <c r="K406" s="26" t="s">
        <v>2296</v>
      </c>
      <c r="L406" s="30">
        <v>963021844</v>
      </c>
      <c r="M406" s="26" t="s">
        <v>112</v>
      </c>
      <c r="N406" s="26" t="s">
        <v>578</v>
      </c>
      <c r="O406" s="26" t="s">
        <v>91</v>
      </c>
      <c r="P406" s="26" t="s">
        <v>2297</v>
      </c>
      <c r="Q406" s="20">
        <v>7349</v>
      </c>
      <c r="R406" s="26" t="s">
        <v>36</v>
      </c>
      <c r="S406" s="31">
        <v>100</v>
      </c>
      <c r="T406" s="32">
        <v>44858</v>
      </c>
      <c r="U406" s="31">
        <v>13515</v>
      </c>
      <c r="V406" s="26" t="s">
        <v>2298</v>
      </c>
      <c r="W406" s="33" t="s">
        <v>2299</v>
      </c>
      <c r="X406" s="26">
        <v>0</v>
      </c>
      <c r="Y406" s="22">
        <v>-6266</v>
      </c>
      <c r="Z406" s="26" t="s">
        <v>118</v>
      </c>
      <c r="AA406" s="19" t="s">
        <v>1871</v>
      </c>
      <c r="AB406" s="26" t="s">
        <v>137</v>
      </c>
      <c r="AC406" s="26" t="s">
        <v>53</v>
      </c>
      <c r="AD406" s="19" t="s">
        <v>54</v>
      </c>
      <c r="AE406" s="55">
        <v>67</v>
      </c>
      <c r="AF406" s="17">
        <v>45169</v>
      </c>
      <c r="AG406" s="42" t="s">
        <v>2300</v>
      </c>
      <c r="AH406" s="26">
        <v>1</v>
      </c>
      <c r="AI406" s="40">
        <v>2</v>
      </c>
      <c r="AJ406" s="26"/>
      <c r="AK406" s="26"/>
      <c r="AL406" s="35"/>
      <c r="AM406" s="35"/>
      <c r="AN406" s="35"/>
      <c r="AO406" s="35"/>
      <c r="AP406" s="35"/>
    </row>
    <row r="407" spans="1:42" x14ac:dyDescent="0.2">
      <c r="A407" s="27">
        <v>45160.02865015046</v>
      </c>
      <c r="B407" s="28" t="s">
        <v>37</v>
      </c>
      <c r="C407" s="41" t="s">
        <v>118</v>
      </c>
      <c r="D407" s="26" t="s">
        <v>36</v>
      </c>
      <c r="E407" s="26" t="s">
        <v>148</v>
      </c>
      <c r="F407" s="26" t="s">
        <v>2301</v>
      </c>
      <c r="G407" s="26" t="s">
        <v>108</v>
      </c>
      <c r="H407" s="26" t="s">
        <v>1544</v>
      </c>
      <c r="I407" s="17">
        <f ca="1">IFERROR(__xludf.DUMMYFUNCTION("""COMPUTED_VALUE"""),45168)</f>
        <v>45168</v>
      </c>
      <c r="J407" s="29" t="s">
        <v>2302</v>
      </c>
      <c r="K407" s="26" t="s">
        <v>2303</v>
      </c>
      <c r="L407" s="30">
        <v>372473109</v>
      </c>
      <c r="M407" s="26" t="s">
        <v>94</v>
      </c>
      <c r="N407" s="26" t="s">
        <v>672</v>
      </c>
      <c r="O407" s="26" t="s">
        <v>91</v>
      </c>
      <c r="P407" s="26" t="s">
        <v>2304</v>
      </c>
      <c r="Q407" s="20">
        <v>7349</v>
      </c>
      <c r="R407" s="26" t="s">
        <v>36</v>
      </c>
      <c r="S407" s="31">
        <v>13619</v>
      </c>
      <c r="T407" s="32">
        <v>44967</v>
      </c>
      <c r="U407" s="31"/>
      <c r="V407" s="26"/>
      <c r="W407" s="33" t="s">
        <v>2305</v>
      </c>
      <c r="X407" s="26">
        <v>0</v>
      </c>
      <c r="Y407" s="22">
        <v>-6270</v>
      </c>
      <c r="Z407" s="26" t="s">
        <v>118</v>
      </c>
      <c r="AA407" s="19" t="s">
        <v>1871</v>
      </c>
      <c r="AB407" s="26" t="s">
        <v>2306</v>
      </c>
      <c r="AC407" s="26" t="s">
        <v>53</v>
      </c>
      <c r="AD407" s="19" t="s">
        <v>54</v>
      </c>
      <c r="AE407" s="26"/>
      <c r="AF407" s="17">
        <v>45161</v>
      </c>
      <c r="AG407" s="26"/>
      <c r="AH407" s="26">
        <v>1</v>
      </c>
      <c r="AI407" s="40">
        <v>2</v>
      </c>
      <c r="AJ407" s="26"/>
      <c r="AK407" s="26"/>
      <c r="AL407" s="26"/>
      <c r="AM407" s="35"/>
      <c r="AN407" s="35"/>
      <c r="AO407" s="35"/>
      <c r="AP407" s="35"/>
    </row>
    <row r="408" spans="1:42" x14ac:dyDescent="0.2">
      <c r="A408" s="27">
        <v>44992.420613425929</v>
      </c>
      <c r="B408" s="28" t="s">
        <v>37</v>
      </c>
      <c r="C408" s="41" t="s">
        <v>118</v>
      </c>
      <c r="D408" s="26" t="s">
        <v>36</v>
      </c>
      <c r="E408" s="26" t="s">
        <v>56</v>
      </c>
      <c r="F408" s="39" t="s">
        <v>1878</v>
      </c>
      <c r="G408" s="35" t="s">
        <v>41</v>
      </c>
      <c r="H408" s="26" t="s">
        <v>723</v>
      </c>
      <c r="I408" s="17">
        <f ca="1">IFERROR(__xludf.DUMMYFUNCTION("""COMPUTED_VALUE"""),45176)</f>
        <v>45176</v>
      </c>
      <c r="J408" s="29" t="s">
        <v>2307</v>
      </c>
      <c r="K408" s="26" t="s">
        <v>2308</v>
      </c>
      <c r="L408" s="30">
        <v>347466460</v>
      </c>
      <c r="M408" s="26" t="s">
        <v>123</v>
      </c>
      <c r="N408" s="35" t="s">
        <v>2309</v>
      </c>
      <c r="O408" s="35"/>
      <c r="P408" s="26" t="s">
        <v>2310</v>
      </c>
      <c r="Q408" s="20">
        <v>9317</v>
      </c>
      <c r="R408" s="26" t="s">
        <v>36</v>
      </c>
      <c r="S408" s="31">
        <v>500</v>
      </c>
      <c r="T408" s="32">
        <v>44888</v>
      </c>
      <c r="U408" s="31">
        <v>16279</v>
      </c>
      <c r="V408" s="74">
        <v>44906</v>
      </c>
      <c r="W408" s="33" t="s">
        <v>2311</v>
      </c>
      <c r="X408" s="35">
        <v>0</v>
      </c>
      <c r="Y408" s="22">
        <v>-7462</v>
      </c>
      <c r="Z408" s="35" t="s">
        <v>118</v>
      </c>
      <c r="AA408" s="19" t="s">
        <v>1871</v>
      </c>
      <c r="AB408" s="26" t="s">
        <v>104</v>
      </c>
      <c r="AC408" s="26" t="s">
        <v>53</v>
      </c>
      <c r="AD408" s="19" t="s">
        <v>138</v>
      </c>
      <c r="AE408" s="19"/>
      <c r="AF408" s="17">
        <v>45176</v>
      </c>
      <c r="AG408" s="19" t="s">
        <v>2312</v>
      </c>
      <c r="AH408" s="36">
        <v>1</v>
      </c>
      <c r="AI408" s="37" t="s">
        <v>64</v>
      </c>
      <c r="AJ408" s="35"/>
      <c r="AK408" s="35"/>
      <c r="AL408" s="35"/>
      <c r="AM408" s="35"/>
      <c r="AN408" s="35"/>
      <c r="AO408" s="35"/>
      <c r="AP408" s="35"/>
    </row>
    <row r="409" spans="1:42" x14ac:dyDescent="0.2">
      <c r="A409" s="14">
        <v>44890</v>
      </c>
      <c r="B409" s="68" t="s">
        <v>37</v>
      </c>
      <c r="C409" s="41" t="s">
        <v>118</v>
      </c>
      <c r="D409" s="26" t="s">
        <v>36</v>
      </c>
      <c r="E409" s="26" t="s">
        <v>219</v>
      </c>
      <c r="F409" s="26" t="s">
        <v>1208</v>
      </c>
      <c r="G409" s="88" t="s">
        <v>221</v>
      </c>
      <c r="H409" s="35" t="s">
        <v>2313</v>
      </c>
      <c r="I409" s="17" t="str">
        <f ca="1">IFERROR(__xludf.DUMMYFUNCTION("""COMPUTED_VALUE""")," ")</f>
        <v xml:space="preserve"> </v>
      </c>
      <c r="J409" s="89" t="s">
        <v>2314</v>
      </c>
      <c r="K409" s="19" t="s">
        <v>2315</v>
      </c>
      <c r="L409" s="47">
        <v>916747257</v>
      </c>
      <c r="M409" s="35" t="s">
        <v>94</v>
      </c>
      <c r="N409" s="35" t="s">
        <v>2316</v>
      </c>
      <c r="O409" s="35"/>
      <c r="P409" s="42" t="s">
        <v>2317</v>
      </c>
      <c r="Q409" s="20">
        <v>3968</v>
      </c>
      <c r="R409" s="26" t="s">
        <v>36</v>
      </c>
      <c r="S409" s="50">
        <v>10804</v>
      </c>
      <c r="T409" s="51">
        <v>44778</v>
      </c>
      <c r="U409" s="58"/>
      <c r="V409" s="35"/>
      <c r="W409" s="52" t="s">
        <v>2318</v>
      </c>
      <c r="X409" s="35">
        <v>0</v>
      </c>
      <c r="Y409" s="22">
        <v>-6836</v>
      </c>
      <c r="Z409" s="35" t="s">
        <v>118</v>
      </c>
      <c r="AA409" s="19" t="s">
        <v>1871</v>
      </c>
      <c r="AB409" s="26"/>
      <c r="AC409" s="26" t="s">
        <v>53</v>
      </c>
      <c r="AD409" s="19" t="s">
        <v>54</v>
      </c>
      <c r="AE409" s="19"/>
      <c r="AF409" s="17">
        <v>45821</v>
      </c>
      <c r="AG409" s="70" t="s">
        <v>2319</v>
      </c>
      <c r="AH409" s="36">
        <v>2</v>
      </c>
      <c r="AI409" s="37">
        <v>1</v>
      </c>
      <c r="AJ409" s="35"/>
      <c r="AK409" s="35"/>
      <c r="AL409" s="35"/>
      <c r="AM409" s="35"/>
      <c r="AN409" s="35"/>
      <c r="AO409" s="35"/>
      <c r="AP409" s="35"/>
    </row>
    <row r="410" spans="1:42" x14ac:dyDescent="0.2">
      <c r="A410" s="14">
        <v>45075</v>
      </c>
      <c r="B410" s="28" t="s">
        <v>37</v>
      </c>
      <c r="C410" s="41" t="s">
        <v>118</v>
      </c>
      <c r="D410" s="26" t="s">
        <v>36</v>
      </c>
      <c r="E410" s="26" t="s">
        <v>148</v>
      </c>
      <c r="F410" s="26" t="s">
        <v>2301</v>
      </c>
      <c r="G410" s="35" t="s">
        <v>108</v>
      </c>
      <c r="H410" s="26" t="s">
        <v>1544</v>
      </c>
      <c r="I410" s="17">
        <f ca="1">IFERROR(__xludf.DUMMYFUNCTION("""COMPUTED_VALUE"""),45168)</f>
        <v>45168</v>
      </c>
      <c r="J410" s="29" t="s">
        <v>2320</v>
      </c>
      <c r="K410" s="26" t="s">
        <v>2321</v>
      </c>
      <c r="L410" s="57">
        <v>942442595</v>
      </c>
      <c r="M410" s="35" t="s">
        <v>94</v>
      </c>
      <c r="N410" s="35" t="s">
        <v>2316</v>
      </c>
      <c r="O410" s="35"/>
      <c r="P410" s="26" t="s">
        <v>2322</v>
      </c>
      <c r="Q410" s="20">
        <v>7349</v>
      </c>
      <c r="R410" s="26" t="s">
        <v>36</v>
      </c>
      <c r="S410" s="31">
        <v>10804</v>
      </c>
      <c r="T410" s="32">
        <v>45012</v>
      </c>
      <c r="U410" s="58"/>
      <c r="V410" s="35"/>
      <c r="W410" s="33" t="s">
        <v>2323</v>
      </c>
      <c r="X410" s="35">
        <v>0</v>
      </c>
      <c r="Y410" s="22">
        <v>-3455</v>
      </c>
      <c r="Z410" s="35" t="s">
        <v>118</v>
      </c>
      <c r="AA410" s="19" t="s">
        <v>1871</v>
      </c>
      <c r="AB410" s="26" t="s">
        <v>2324</v>
      </c>
      <c r="AC410" s="26" t="s">
        <v>53</v>
      </c>
      <c r="AD410" s="19" t="s">
        <v>54</v>
      </c>
      <c r="AE410" s="19"/>
      <c r="AF410" s="17">
        <v>45161</v>
      </c>
      <c r="AG410" s="70" t="s">
        <v>2325</v>
      </c>
      <c r="AH410" s="36">
        <v>1</v>
      </c>
      <c r="AI410" s="37">
        <v>2</v>
      </c>
      <c r="AJ410" s="35"/>
      <c r="AK410" s="35"/>
      <c r="AL410" s="35"/>
      <c r="AM410" s="35"/>
      <c r="AN410" s="35"/>
      <c r="AO410" s="35"/>
      <c r="AP410" s="35"/>
    </row>
    <row r="411" spans="1:42" x14ac:dyDescent="0.2">
      <c r="A411" s="27">
        <v>45160.3277146412</v>
      </c>
      <c r="B411" s="28" t="s">
        <v>37</v>
      </c>
      <c r="C411" s="41" t="s">
        <v>118</v>
      </c>
      <c r="D411" s="26" t="s">
        <v>36</v>
      </c>
      <c r="E411" s="26" t="s">
        <v>148</v>
      </c>
      <c r="F411" s="26" t="s">
        <v>575</v>
      </c>
      <c r="G411" s="26" t="s">
        <v>221</v>
      </c>
      <c r="H411" s="26" t="s">
        <v>1666</v>
      </c>
      <c r="I411" s="17">
        <f ca="1">IFERROR(__xludf.DUMMYFUNCTION("""COMPUTED_VALUE"""),45177)</f>
        <v>45177</v>
      </c>
      <c r="J411" s="29" t="s">
        <v>2326</v>
      </c>
      <c r="K411" s="26" t="s">
        <v>2327</v>
      </c>
      <c r="L411" s="30">
        <v>853193696</v>
      </c>
      <c r="M411" s="26" t="s">
        <v>112</v>
      </c>
      <c r="N411" s="26" t="s">
        <v>578</v>
      </c>
      <c r="O411" s="26" t="s">
        <v>91</v>
      </c>
      <c r="P411" s="26" t="s">
        <v>2328</v>
      </c>
      <c r="Q411" s="20">
        <v>7349</v>
      </c>
      <c r="R411" s="26" t="s">
        <v>36</v>
      </c>
      <c r="S411" s="31">
        <v>1000</v>
      </c>
      <c r="T411" s="32">
        <v>44943</v>
      </c>
      <c r="U411" s="31">
        <v>6349</v>
      </c>
      <c r="V411" s="32">
        <v>44943</v>
      </c>
      <c r="W411" s="26"/>
      <c r="X411" s="26">
        <v>0</v>
      </c>
      <c r="Y411" s="22">
        <v>0</v>
      </c>
      <c r="Z411" s="26" t="s">
        <v>118</v>
      </c>
      <c r="AA411" s="19" t="s">
        <v>1871</v>
      </c>
      <c r="AB411" s="26" t="s">
        <v>104</v>
      </c>
      <c r="AC411" s="26" t="s">
        <v>53</v>
      </c>
      <c r="AD411" s="19" t="s">
        <v>54</v>
      </c>
      <c r="AE411" s="26">
        <v>500</v>
      </c>
      <c r="AF411" s="17">
        <v>45167</v>
      </c>
      <c r="AG411" s="26"/>
      <c r="AH411" s="26">
        <v>1</v>
      </c>
      <c r="AI411" s="40">
        <v>2</v>
      </c>
      <c r="AJ411" s="26"/>
      <c r="AK411" s="26"/>
      <c r="AL411" s="35"/>
      <c r="AM411" s="35"/>
      <c r="AN411" s="35"/>
      <c r="AO411" s="35"/>
      <c r="AP411" s="35"/>
    </row>
    <row r="412" spans="1:42" x14ac:dyDescent="0.2">
      <c r="A412" s="27">
        <v>45160.332566087964</v>
      </c>
      <c r="B412" s="28" t="s">
        <v>37</v>
      </c>
      <c r="C412" s="41" t="s">
        <v>118</v>
      </c>
      <c r="D412" s="26" t="s">
        <v>36</v>
      </c>
      <c r="E412" s="26" t="s">
        <v>148</v>
      </c>
      <c r="F412" s="26" t="s">
        <v>1677</v>
      </c>
      <c r="G412" s="26" t="s">
        <v>221</v>
      </c>
      <c r="H412" s="26" t="s">
        <v>1666</v>
      </c>
      <c r="I412" s="17">
        <f ca="1">IFERROR(__xludf.DUMMYFUNCTION("""COMPUTED_VALUE"""),45177)</f>
        <v>45177</v>
      </c>
      <c r="J412" s="29" t="s">
        <v>2329</v>
      </c>
      <c r="K412" s="26" t="s">
        <v>2330</v>
      </c>
      <c r="L412" s="30">
        <v>868434865</v>
      </c>
      <c r="M412" s="26" t="s">
        <v>112</v>
      </c>
      <c r="N412" s="26" t="s">
        <v>578</v>
      </c>
      <c r="O412" s="26" t="s">
        <v>91</v>
      </c>
      <c r="P412" s="39" t="s">
        <v>2331</v>
      </c>
      <c r="Q412" s="20">
        <v>7349</v>
      </c>
      <c r="R412" s="26" t="s">
        <v>36</v>
      </c>
      <c r="S412" s="31">
        <v>7000</v>
      </c>
      <c r="T412" s="32">
        <v>44841</v>
      </c>
      <c r="U412" s="31">
        <v>6515</v>
      </c>
      <c r="V412" s="32">
        <v>44846</v>
      </c>
      <c r="W412" s="33" t="s">
        <v>2332</v>
      </c>
      <c r="X412" s="26">
        <v>0</v>
      </c>
      <c r="Y412" s="22">
        <v>-6166</v>
      </c>
      <c r="Z412" s="26" t="s">
        <v>118</v>
      </c>
      <c r="AA412" s="19" t="s">
        <v>1871</v>
      </c>
      <c r="AB412" s="26" t="s">
        <v>104</v>
      </c>
      <c r="AC412" s="26" t="s">
        <v>53</v>
      </c>
      <c r="AD412" s="19" t="s">
        <v>54</v>
      </c>
      <c r="AE412" s="26">
        <v>635</v>
      </c>
      <c r="AF412" s="17">
        <v>45167</v>
      </c>
      <c r="AG412" s="26"/>
      <c r="AH412" s="26">
        <v>1</v>
      </c>
      <c r="AI412" s="40">
        <v>2</v>
      </c>
      <c r="AJ412" s="26"/>
      <c r="AK412" s="26"/>
      <c r="AL412" s="35"/>
      <c r="AM412" s="35"/>
      <c r="AN412" s="35"/>
      <c r="AO412" s="35"/>
      <c r="AP412" s="35"/>
    </row>
    <row r="413" spans="1:42" x14ac:dyDescent="0.2">
      <c r="A413" s="27">
        <v>45160.336767928238</v>
      </c>
      <c r="B413" s="28" t="s">
        <v>37</v>
      </c>
      <c r="C413" s="41" t="s">
        <v>118</v>
      </c>
      <c r="D413" s="26" t="s">
        <v>36</v>
      </c>
      <c r="E413" s="26" t="s">
        <v>148</v>
      </c>
      <c r="F413" s="26" t="s">
        <v>1677</v>
      </c>
      <c r="G413" s="26" t="s">
        <v>221</v>
      </c>
      <c r="H413" s="26" t="s">
        <v>1666</v>
      </c>
      <c r="I413" s="17">
        <f ca="1">IFERROR(__xludf.DUMMYFUNCTION("""COMPUTED_VALUE"""),45177)</f>
        <v>45177</v>
      </c>
      <c r="J413" s="29" t="s">
        <v>2333</v>
      </c>
      <c r="K413" s="26" t="s">
        <v>2334</v>
      </c>
      <c r="L413" s="30">
        <v>368411682</v>
      </c>
      <c r="M413" s="26" t="s">
        <v>112</v>
      </c>
      <c r="N413" s="26" t="s">
        <v>578</v>
      </c>
      <c r="O413" s="26" t="s">
        <v>91</v>
      </c>
      <c r="P413" s="39" t="s">
        <v>2331</v>
      </c>
      <c r="Q413" s="20">
        <v>7349</v>
      </c>
      <c r="R413" s="26" t="s">
        <v>36</v>
      </c>
      <c r="S413" s="31">
        <v>4000</v>
      </c>
      <c r="T413" s="32">
        <v>44843</v>
      </c>
      <c r="U413" s="31">
        <v>9515</v>
      </c>
      <c r="V413" s="32">
        <v>44855</v>
      </c>
      <c r="W413" s="26"/>
      <c r="X413" s="26">
        <v>0</v>
      </c>
      <c r="Y413" s="22">
        <v>-6166</v>
      </c>
      <c r="Z413" s="26" t="s">
        <v>118</v>
      </c>
      <c r="AA413" s="19" t="s">
        <v>1871</v>
      </c>
      <c r="AB413" s="26" t="s">
        <v>104</v>
      </c>
      <c r="AC413" s="26" t="s">
        <v>53</v>
      </c>
      <c r="AD413" s="19" t="s">
        <v>54</v>
      </c>
      <c r="AE413" s="26">
        <v>535</v>
      </c>
      <c r="AF413" s="17">
        <v>45167</v>
      </c>
      <c r="AG413" s="26"/>
      <c r="AH413" s="26">
        <v>1</v>
      </c>
      <c r="AI413" s="40">
        <v>2</v>
      </c>
      <c r="AJ413" s="26"/>
      <c r="AK413" s="26"/>
      <c r="AL413" s="35"/>
      <c r="AM413" s="35"/>
      <c r="AN413" s="35"/>
      <c r="AO413" s="35"/>
      <c r="AP413" s="35"/>
    </row>
    <row r="414" spans="1:42" x14ac:dyDescent="0.2">
      <c r="A414" s="27">
        <v>45160.40722231481</v>
      </c>
      <c r="B414" s="28" t="s">
        <v>37</v>
      </c>
      <c r="C414" s="41" t="s">
        <v>118</v>
      </c>
      <c r="D414" s="26" t="s">
        <v>36</v>
      </c>
      <c r="E414" s="26" t="s">
        <v>2335</v>
      </c>
      <c r="F414" s="26" t="s">
        <v>2336</v>
      </c>
      <c r="G414" s="26" t="s">
        <v>108</v>
      </c>
      <c r="H414" s="26" t="s">
        <v>1544</v>
      </c>
      <c r="I414" s="17">
        <f ca="1">IFERROR(__xludf.DUMMYFUNCTION("""COMPUTED_VALUE"""),45168)</f>
        <v>45168</v>
      </c>
      <c r="J414" s="29" t="s">
        <v>2337</v>
      </c>
      <c r="K414" s="26" t="s">
        <v>2338</v>
      </c>
      <c r="L414" s="30">
        <v>332402035</v>
      </c>
      <c r="M414" s="26" t="s">
        <v>94</v>
      </c>
      <c r="N414" s="26" t="s">
        <v>1812</v>
      </c>
      <c r="O414" s="26" t="s">
        <v>91</v>
      </c>
      <c r="P414" s="26" t="s">
        <v>2339</v>
      </c>
      <c r="Q414" s="20" t="e">
        <v>#N/A</v>
      </c>
      <c r="R414" s="26" t="s">
        <v>36</v>
      </c>
      <c r="S414" s="31">
        <v>16779</v>
      </c>
      <c r="T414" s="32">
        <v>44869</v>
      </c>
      <c r="U414" s="31"/>
      <c r="V414" s="26"/>
      <c r="W414" s="26"/>
      <c r="X414" s="26">
        <v>0</v>
      </c>
      <c r="Y414" s="22" t="s">
        <v>2340</v>
      </c>
      <c r="Z414" s="26" t="s">
        <v>118</v>
      </c>
      <c r="AA414" s="19" t="s">
        <v>1871</v>
      </c>
      <c r="AB414" s="26" t="s">
        <v>2196</v>
      </c>
      <c r="AC414" s="26" t="s">
        <v>53</v>
      </c>
      <c r="AD414" s="19" t="s">
        <v>54</v>
      </c>
      <c r="AE414" s="26">
        <v>500</v>
      </c>
      <c r="AF414" s="17">
        <v>45161</v>
      </c>
      <c r="AG414" s="26"/>
      <c r="AH414" s="26">
        <v>1</v>
      </c>
      <c r="AI414" s="40" t="e">
        <v>#N/A</v>
      </c>
      <c r="AJ414" s="26"/>
      <c r="AK414" s="26"/>
      <c r="AL414" s="26"/>
      <c r="AM414" s="35"/>
      <c r="AN414" s="35"/>
      <c r="AO414" s="35"/>
      <c r="AP414" s="35"/>
    </row>
    <row r="415" spans="1:42" x14ac:dyDescent="0.2">
      <c r="A415" s="27">
        <v>45160.410235208328</v>
      </c>
      <c r="B415" s="28" t="s">
        <v>37</v>
      </c>
      <c r="C415" s="41" t="s">
        <v>118</v>
      </c>
      <c r="D415" s="26" t="s">
        <v>36</v>
      </c>
      <c r="E415" s="26" t="s">
        <v>2335</v>
      </c>
      <c r="F415" s="26" t="s">
        <v>2341</v>
      </c>
      <c r="G415" s="26" t="s">
        <v>108</v>
      </c>
      <c r="H415" s="26" t="s">
        <v>1544</v>
      </c>
      <c r="I415" s="17">
        <f ca="1">IFERROR(__xludf.DUMMYFUNCTION("""COMPUTED_VALUE"""),45168)</f>
        <v>45168</v>
      </c>
      <c r="J415" s="29" t="s">
        <v>2342</v>
      </c>
      <c r="K415" s="26" t="s">
        <v>2343</v>
      </c>
      <c r="L415" s="30">
        <v>397160192</v>
      </c>
      <c r="M415" s="26" t="s">
        <v>94</v>
      </c>
      <c r="N415" s="26" t="s">
        <v>827</v>
      </c>
      <c r="O415" s="26" t="s">
        <v>91</v>
      </c>
      <c r="P415" s="26" t="s">
        <v>2344</v>
      </c>
      <c r="Q415" s="20" t="e">
        <v>#N/A</v>
      </c>
      <c r="R415" s="26" t="s">
        <v>36</v>
      </c>
      <c r="S415" s="31">
        <v>6768</v>
      </c>
      <c r="T415" s="38">
        <v>44761</v>
      </c>
      <c r="U415" s="31">
        <v>10200</v>
      </c>
      <c r="V415" s="32">
        <v>44772</v>
      </c>
      <c r="W415" s="33" t="s">
        <v>2345</v>
      </c>
      <c r="X415" s="26">
        <v>0</v>
      </c>
      <c r="Y415" s="22" t="s">
        <v>2340</v>
      </c>
      <c r="Z415" s="26" t="s">
        <v>118</v>
      </c>
      <c r="AA415" s="19" t="s">
        <v>1871</v>
      </c>
      <c r="AB415" s="26" t="s">
        <v>2196</v>
      </c>
      <c r="AC415" s="26" t="s">
        <v>53</v>
      </c>
      <c r="AD415" s="19" t="s">
        <v>54</v>
      </c>
      <c r="AE415" s="26"/>
      <c r="AF415" s="17">
        <v>45161</v>
      </c>
      <c r="AG415" s="26"/>
      <c r="AH415" s="26">
        <v>1</v>
      </c>
      <c r="AI415" s="40" t="e">
        <v>#N/A</v>
      </c>
      <c r="AJ415" s="26"/>
      <c r="AK415" s="26"/>
      <c r="AL415" s="26"/>
      <c r="AM415" s="35"/>
      <c r="AN415" s="35"/>
      <c r="AO415" s="35"/>
      <c r="AP415" s="35"/>
    </row>
    <row r="416" spans="1:42" x14ac:dyDescent="0.2">
      <c r="A416" s="27">
        <v>45161.2973365625</v>
      </c>
      <c r="B416" s="28" t="s">
        <v>37</v>
      </c>
      <c r="C416" s="41" t="s">
        <v>118</v>
      </c>
      <c r="D416" s="26" t="s">
        <v>36</v>
      </c>
      <c r="E416" s="26" t="s">
        <v>148</v>
      </c>
      <c r="F416" s="26" t="s">
        <v>36</v>
      </c>
      <c r="G416" s="26" t="s">
        <v>108</v>
      </c>
      <c r="H416" s="26" t="s">
        <v>1657</v>
      </c>
      <c r="I416" s="17">
        <f ca="1">IFERROR(__xludf.DUMMYFUNCTION("""COMPUTED_VALUE"""),45177)</f>
        <v>45177</v>
      </c>
      <c r="J416" s="29" t="s">
        <v>2346</v>
      </c>
      <c r="K416" s="26" t="s">
        <v>2347</v>
      </c>
      <c r="L416" s="30">
        <v>354425207</v>
      </c>
      <c r="M416" s="26" t="s">
        <v>94</v>
      </c>
      <c r="N416" s="26" t="s">
        <v>2348</v>
      </c>
      <c r="O416" s="26" t="s">
        <v>36</v>
      </c>
      <c r="P416" s="26" t="s">
        <v>2349</v>
      </c>
      <c r="Q416" s="20">
        <v>7349</v>
      </c>
      <c r="R416" s="26" t="s">
        <v>36</v>
      </c>
      <c r="S416" s="31">
        <v>16779</v>
      </c>
      <c r="T416" s="32">
        <v>44780</v>
      </c>
      <c r="U416" s="31"/>
      <c r="V416" s="26"/>
      <c r="W416" s="90" t="s">
        <v>2350</v>
      </c>
      <c r="X416" s="26">
        <v>0</v>
      </c>
      <c r="Y416" s="22">
        <v>-9430</v>
      </c>
      <c r="Z416" s="26" t="s">
        <v>118</v>
      </c>
      <c r="AA416" s="19" t="s">
        <v>1871</v>
      </c>
      <c r="AB416" s="26" t="s">
        <v>146</v>
      </c>
      <c r="AC416" s="26" t="s">
        <v>53</v>
      </c>
      <c r="AD416" s="19" t="s">
        <v>54</v>
      </c>
      <c r="AE416" s="26"/>
      <c r="AF416" s="17">
        <v>45167</v>
      </c>
      <c r="AG416" s="26"/>
      <c r="AH416" s="26">
        <v>1</v>
      </c>
      <c r="AI416" s="40">
        <v>2</v>
      </c>
      <c r="AJ416" s="26"/>
      <c r="AK416" s="26"/>
      <c r="AL416" s="35"/>
      <c r="AM416" s="35"/>
      <c r="AN416" s="35"/>
      <c r="AO416" s="35"/>
      <c r="AP416" s="35"/>
    </row>
    <row r="417" spans="1:42" x14ac:dyDescent="0.2">
      <c r="A417" s="27">
        <v>45161.503305057871</v>
      </c>
      <c r="B417" s="28" t="s">
        <v>37</v>
      </c>
      <c r="C417" s="41" t="s">
        <v>118</v>
      </c>
      <c r="D417" s="26" t="s">
        <v>36</v>
      </c>
      <c r="E417" s="26" t="s">
        <v>39</v>
      </c>
      <c r="F417" s="26" t="s">
        <v>65</v>
      </c>
      <c r="G417" s="26" t="s">
        <v>108</v>
      </c>
      <c r="H417" s="26" t="s">
        <v>1500</v>
      </c>
      <c r="I417" s="17">
        <f ca="1">IFERROR(__xludf.DUMMYFUNCTION("""COMPUTED_VALUE"""),45181)</f>
        <v>45181</v>
      </c>
      <c r="J417" s="29" t="s">
        <v>66</v>
      </c>
      <c r="K417" s="26" t="s">
        <v>67</v>
      </c>
      <c r="L417" s="30">
        <v>857772160</v>
      </c>
      <c r="M417" s="26" t="s">
        <v>112</v>
      </c>
      <c r="N417" s="26" t="s">
        <v>578</v>
      </c>
      <c r="O417" s="26" t="s">
        <v>91</v>
      </c>
      <c r="P417" s="26" t="s">
        <v>2351</v>
      </c>
      <c r="Q417" s="20">
        <v>5736</v>
      </c>
      <c r="R417" s="26" t="s">
        <v>36</v>
      </c>
      <c r="S417" s="31">
        <v>5736</v>
      </c>
      <c r="T417" s="32">
        <v>45109</v>
      </c>
      <c r="U417" s="31"/>
      <c r="V417" s="26"/>
      <c r="W417" s="33" t="s">
        <v>2352</v>
      </c>
      <c r="X417" s="26">
        <v>0</v>
      </c>
      <c r="Y417" s="22">
        <v>0</v>
      </c>
      <c r="Z417" s="26" t="s">
        <v>118</v>
      </c>
      <c r="AA417" s="19" t="s">
        <v>1871</v>
      </c>
      <c r="AB417" s="26" t="s">
        <v>137</v>
      </c>
      <c r="AC417" s="26" t="s">
        <v>53</v>
      </c>
      <c r="AD417" s="19" t="s">
        <v>54</v>
      </c>
      <c r="AE417" s="26"/>
      <c r="AF417" s="17">
        <v>45169</v>
      </c>
      <c r="AG417" s="26"/>
      <c r="AH417" s="26">
        <v>2</v>
      </c>
      <c r="AI417" s="40" t="s">
        <v>55</v>
      </c>
      <c r="AJ417" s="26"/>
      <c r="AK417" s="26"/>
      <c r="AL417" s="35"/>
      <c r="AM417" s="35"/>
      <c r="AN417" s="35"/>
      <c r="AO417" s="35"/>
      <c r="AP417" s="35"/>
    </row>
    <row r="418" spans="1:42" x14ac:dyDescent="0.2">
      <c r="A418" s="27">
        <v>45161.505252418981</v>
      </c>
      <c r="B418" s="28" t="s">
        <v>37</v>
      </c>
      <c r="C418" s="41" t="s">
        <v>118</v>
      </c>
      <c r="D418" s="26" t="s">
        <v>36</v>
      </c>
      <c r="E418" s="26" t="s">
        <v>39</v>
      </c>
      <c r="F418" s="26" t="s">
        <v>65</v>
      </c>
      <c r="G418" s="26" t="s">
        <v>108</v>
      </c>
      <c r="H418" s="26" t="s">
        <v>1500</v>
      </c>
      <c r="I418" s="17">
        <f ca="1">IFERROR(__xludf.DUMMYFUNCTION("""COMPUTED_VALUE"""),45181)</f>
        <v>45181</v>
      </c>
      <c r="J418" s="29" t="s">
        <v>99</v>
      </c>
      <c r="K418" s="26" t="s">
        <v>2353</v>
      </c>
      <c r="L418" s="30">
        <v>799156871</v>
      </c>
      <c r="M418" s="26" t="s">
        <v>112</v>
      </c>
      <c r="N418" s="26" t="s">
        <v>578</v>
      </c>
      <c r="O418" s="26" t="s">
        <v>91</v>
      </c>
      <c r="P418" s="26" t="s">
        <v>2354</v>
      </c>
      <c r="Q418" s="20">
        <v>5736</v>
      </c>
      <c r="R418" s="26" t="s">
        <v>36</v>
      </c>
      <c r="S418" s="31">
        <v>5736</v>
      </c>
      <c r="T418" s="32">
        <v>45110</v>
      </c>
      <c r="U418" s="31"/>
      <c r="V418" s="26"/>
      <c r="W418" s="33" t="s">
        <v>2355</v>
      </c>
      <c r="X418" s="26">
        <v>0</v>
      </c>
      <c r="Y418" s="22">
        <v>0</v>
      </c>
      <c r="Z418" s="26" t="s">
        <v>118</v>
      </c>
      <c r="AA418" s="19" t="s">
        <v>1871</v>
      </c>
      <c r="AB418" s="26" t="s">
        <v>137</v>
      </c>
      <c r="AC418" s="26" t="s">
        <v>53</v>
      </c>
      <c r="AD418" s="19" t="s">
        <v>54</v>
      </c>
      <c r="AE418" s="26"/>
      <c r="AF418" s="17">
        <v>45169</v>
      </c>
      <c r="AG418" s="26"/>
      <c r="AH418" s="26">
        <v>2</v>
      </c>
      <c r="AI418" s="40" t="s">
        <v>55</v>
      </c>
      <c r="AJ418" s="26"/>
      <c r="AK418" s="26"/>
      <c r="AL418" s="35"/>
      <c r="AM418" s="35"/>
      <c r="AN418" s="35"/>
      <c r="AO418" s="35"/>
      <c r="AP418" s="35"/>
    </row>
    <row r="419" spans="1:42" x14ac:dyDescent="0.2">
      <c r="A419" s="27">
        <v>45161.507050462962</v>
      </c>
      <c r="B419" s="28" t="s">
        <v>37</v>
      </c>
      <c r="C419" s="41" t="s">
        <v>118</v>
      </c>
      <c r="D419" s="26" t="s">
        <v>36</v>
      </c>
      <c r="E419" s="26" t="s">
        <v>39</v>
      </c>
      <c r="F419" s="26" t="s">
        <v>65</v>
      </c>
      <c r="G419" s="26" t="s">
        <v>108</v>
      </c>
      <c r="H419" s="26" t="s">
        <v>1500</v>
      </c>
      <c r="I419" s="17">
        <f ca="1">IFERROR(__xludf.DUMMYFUNCTION("""COMPUTED_VALUE"""),45181)</f>
        <v>45181</v>
      </c>
      <c r="J419" s="29" t="s">
        <v>73</v>
      </c>
      <c r="K419" s="26" t="s">
        <v>2356</v>
      </c>
      <c r="L419" s="30">
        <v>327584901</v>
      </c>
      <c r="M419" s="26" t="s">
        <v>112</v>
      </c>
      <c r="N419" s="26" t="s">
        <v>578</v>
      </c>
      <c r="O419" s="26" t="s">
        <v>91</v>
      </c>
      <c r="P419" s="26" t="s">
        <v>69</v>
      </c>
      <c r="Q419" s="20">
        <v>5736</v>
      </c>
      <c r="R419" s="26" t="s">
        <v>36</v>
      </c>
      <c r="S419" s="31">
        <v>5736</v>
      </c>
      <c r="T419" s="32">
        <v>45109</v>
      </c>
      <c r="U419" s="31"/>
      <c r="V419" s="26"/>
      <c r="W419" s="33" t="s">
        <v>2357</v>
      </c>
      <c r="X419" s="26">
        <v>0</v>
      </c>
      <c r="Y419" s="22">
        <v>0</v>
      </c>
      <c r="Z419" s="26" t="s">
        <v>118</v>
      </c>
      <c r="AA419" s="19" t="s">
        <v>1871</v>
      </c>
      <c r="AB419" s="26" t="s">
        <v>137</v>
      </c>
      <c r="AC419" s="26" t="s">
        <v>53</v>
      </c>
      <c r="AD419" s="19" t="s">
        <v>54</v>
      </c>
      <c r="AE419" s="26"/>
      <c r="AF419" s="17">
        <v>45169</v>
      </c>
      <c r="AG419" s="26"/>
      <c r="AH419" s="26">
        <v>2</v>
      </c>
      <c r="AI419" s="40" t="s">
        <v>55</v>
      </c>
      <c r="AJ419" s="26"/>
      <c r="AK419" s="26"/>
      <c r="AL419" s="35"/>
      <c r="AM419" s="35"/>
      <c r="AN419" s="35"/>
      <c r="AO419" s="35"/>
      <c r="AP419" s="35"/>
    </row>
    <row r="420" spans="1:42" x14ac:dyDescent="0.2">
      <c r="A420" s="27">
        <v>45161.508622175927</v>
      </c>
      <c r="B420" s="28" t="s">
        <v>37</v>
      </c>
      <c r="C420" s="41" t="s">
        <v>118</v>
      </c>
      <c r="D420" s="26" t="s">
        <v>36</v>
      </c>
      <c r="E420" s="26" t="s">
        <v>139</v>
      </c>
      <c r="F420" s="26" t="s">
        <v>65</v>
      </c>
      <c r="G420" s="26" t="s">
        <v>108</v>
      </c>
      <c r="H420" s="26" t="s">
        <v>1500</v>
      </c>
      <c r="I420" s="17">
        <f ca="1">IFERROR(__xludf.DUMMYFUNCTION("""COMPUTED_VALUE"""),45181)</f>
        <v>45181</v>
      </c>
      <c r="J420" s="29" t="s">
        <v>155</v>
      </c>
      <c r="K420" s="26" t="s">
        <v>2358</v>
      </c>
      <c r="L420" s="30">
        <v>388867916</v>
      </c>
      <c r="M420" s="26" t="s">
        <v>123</v>
      </c>
      <c r="N420" s="26" t="s">
        <v>133</v>
      </c>
      <c r="O420" s="26" t="s">
        <v>2359</v>
      </c>
      <c r="P420" s="26" t="s">
        <v>2360</v>
      </c>
      <c r="Q420" s="20">
        <v>15936</v>
      </c>
      <c r="R420" s="26" t="s">
        <v>36</v>
      </c>
      <c r="S420" s="31">
        <v>6000</v>
      </c>
      <c r="T420" s="32">
        <v>45111</v>
      </c>
      <c r="U420" s="31">
        <v>9936</v>
      </c>
      <c r="V420" s="32">
        <v>45112</v>
      </c>
      <c r="W420" s="33" t="s">
        <v>158</v>
      </c>
      <c r="X420" s="26">
        <v>0</v>
      </c>
      <c r="Y420" s="22">
        <v>0</v>
      </c>
      <c r="Z420" s="26" t="s">
        <v>118</v>
      </c>
      <c r="AA420" s="19" t="s">
        <v>51</v>
      </c>
      <c r="AB420" s="80" t="s">
        <v>36</v>
      </c>
      <c r="AC420" s="26" t="s">
        <v>53</v>
      </c>
      <c r="AD420" s="19" t="s">
        <v>54</v>
      </c>
      <c r="AE420" s="26"/>
      <c r="AF420" s="17">
        <v>45169</v>
      </c>
      <c r="AG420" s="26"/>
      <c r="AH420" s="26">
        <v>2</v>
      </c>
      <c r="AI420" s="40" t="s">
        <v>147</v>
      </c>
      <c r="AJ420" s="26"/>
      <c r="AK420" s="26"/>
      <c r="AL420" s="35"/>
      <c r="AM420" s="35"/>
      <c r="AN420" s="35"/>
      <c r="AO420" s="35"/>
      <c r="AP420" s="35"/>
    </row>
    <row r="421" spans="1:42" x14ac:dyDescent="0.2">
      <c r="A421" s="27">
        <v>45163.066723414348</v>
      </c>
      <c r="B421" s="28" t="s">
        <v>37</v>
      </c>
      <c r="C421" s="41" t="s">
        <v>118</v>
      </c>
      <c r="D421" s="26" t="s">
        <v>36</v>
      </c>
      <c r="E421" s="26" t="s">
        <v>39</v>
      </c>
      <c r="F421" s="26" t="s">
        <v>2134</v>
      </c>
      <c r="G421" s="26" t="s">
        <v>108</v>
      </c>
      <c r="H421" s="26" t="s">
        <v>1657</v>
      </c>
      <c r="I421" s="17">
        <f ca="1">IFERROR(__xludf.DUMMYFUNCTION("""COMPUTED_VALUE"""),45177)</f>
        <v>45177</v>
      </c>
      <c r="J421" s="29" t="s">
        <v>2361</v>
      </c>
      <c r="K421" s="26" t="s">
        <v>2362</v>
      </c>
      <c r="L421" s="30">
        <v>326939273</v>
      </c>
      <c r="M421" s="26" t="s">
        <v>112</v>
      </c>
      <c r="N421" s="26" t="s">
        <v>578</v>
      </c>
      <c r="O421" s="26" t="s">
        <v>91</v>
      </c>
      <c r="P421" s="26" t="s">
        <v>2363</v>
      </c>
      <c r="Q421" s="20">
        <v>5736</v>
      </c>
      <c r="R421" s="26" t="s">
        <v>36</v>
      </c>
      <c r="S421" s="31">
        <v>1000</v>
      </c>
      <c r="T421" s="32">
        <v>44935</v>
      </c>
      <c r="U421" s="31">
        <v>4636</v>
      </c>
      <c r="V421" s="32">
        <v>44944</v>
      </c>
      <c r="W421" s="26"/>
      <c r="X421" s="26">
        <v>0</v>
      </c>
      <c r="Y421" s="22">
        <v>100</v>
      </c>
      <c r="Z421" s="26" t="s">
        <v>118</v>
      </c>
      <c r="AA421" s="19" t="s">
        <v>1871</v>
      </c>
      <c r="AB421" s="26" t="s">
        <v>137</v>
      </c>
      <c r="AC421" s="26" t="s">
        <v>53</v>
      </c>
      <c r="AD421" s="19" t="s">
        <v>54</v>
      </c>
      <c r="AE421" s="26">
        <v>76</v>
      </c>
      <c r="AF421" s="17">
        <v>45167</v>
      </c>
      <c r="AG421" s="26"/>
      <c r="AH421" s="26">
        <v>1</v>
      </c>
      <c r="AI421" s="40" t="s">
        <v>55</v>
      </c>
      <c r="AJ421" s="26"/>
      <c r="AK421" s="26"/>
      <c r="AL421" s="35"/>
      <c r="AM421" s="35"/>
      <c r="AN421" s="35"/>
      <c r="AO421" s="35"/>
      <c r="AP421" s="35"/>
    </row>
    <row r="422" spans="1:42" x14ac:dyDescent="0.2">
      <c r="A422" s="27">
        <v>45163.424133958339</v>
      </c>
      <c r="B422" s="28" t="s">
        <v>37</v>
      </c>
      <c r="C422" s="41" t="s">
        <v>118</v>
      </c>
      <c r="D422" s="26" t="s">
        <v>36</v>
      </c>
      <c r="E422" s="26" t="s">
        <v>139</v>
      </c>
      <c r="F422" s="26" t="s">
        <v>178</v>
      </c>
      <c r="G422" s="26" t="s">
        <v>108</v>
      </c>
      <c r="H422" s="26" t="s">
        <v>882</v>
      </c>
      <c r="I422" s="17">
        <f ca="1">IFERROR(__xludf.DUMMYFUNCTION("""COMPUTED_VALUE"""),45180)</f>
        <v>45180</v>
      </c>
      <c r="J422" s="29" t="s">
        <v>179</v>
      </c>
      <c r="K422" s="26" t="s">
        <v>2364</v>
      </c>
      <c r="L422" s="30">
        <v>396917524</v>
      </c>
      <c r="M422" s="26" t="s">
        <v>112</v>
      </c>
      <c r="N422" s="26" t="s">
        <v>578</v>
      </c>
      <c r="O422" s="26" t="s">
        <v>36</v>
      </c>
      <c r="P422" s="26" t="s">
        <v>2365</v>
      </c>
      <c r="Q422" s="20">
        <v>15936</v>
      </c>
      <c r="R422" s="26" t="s">
        <v>36</v>
      </c>
      <c r="S422" s="31">
        <v>4000</v>
      </c>
      <c r="T422" s="32">
        <v>45112</v>
      </c>
      <c r="U422" s="31">
        <v>11936</v>
      </c>
      <c r="V422" s="32">
        <v>45137</v>
      </c>
      <c r="W422" s="33" t="s">
        <v>183</v>
      </c>
      <c r="X422" s="26">
        <v>0</v>
      </c>
      <c r="Y422" s="22">
        <v>0</v>
      </c>
      <c r="Z422" s="26" t="s">
        <v>118</v>
      </c>
      <c r="AA422" s="19" t="s">
        <v>1871</v>
      </c>
      <c r="AB422" s="26" t="s">
        <v>137</v>
      </c>
      <c r="AC422" s="26" t="s">
        <v>53</v>
      </c>
      <c r="AD422" s="19" t="s">
        <v>54</v>
      </c>
      <c r="AE422" s="26" t="s">
        <v>178</v>
      </c>
      <c r="AF422" s="17">
        <v>45167</v>
      </c>
      <c r="AG422" s="26"/>
      <c r="AH422" s="26">
        <v>2</v>
      </c>
      <c r="AI422" s="40" t="s">
        <v>147</v>
      </c>
      <c r="AJ422" s="26"/>
      <c r="AK422" s="26"/>
      <c r="AL422" s="35"/>
      <c r="AM422" s="35"/>
      <c r="AN422" s="35"/>
      <c r="AO422" s="35"/>
      <c r="AP422" s="35"/>
    </row>
    <row r="423" spans="1:42" x14ac:dyDescent="0.2">
      <c r="A423" s="27">
        <v>45163.620983784727</v>
      </c>
      <c r="B423" s="28" t="s">
        <v>37</v>
      </c>
      <c r="C423" s="41" t="s">
        <v>118</v>
      </c>
      <c r="D423" s="26" t="s">
        <v>36</v>
      </c>
      <c r="E423" s="26" t="s">
        <v>56</v>
      </c>
      <c r="F423" s="26" t="s">
        <v>178</v>
      </c>
      <c r="G423" s="26" t="s">
        <v>108</v>
      </c>
      <c r="H423" s="26" t="s">
        <v>882</v>
      </c>
      <c r="I423" s="17">
        <f ca="1">IFERROR(__xludf.DUMMYFUNCTION("""COMPUTED_VALUE"""),45180)</f>
        <v>45180</v>
      </c>
      <c r="J423" s="29" t="s">
        <v>908</v>
      </c>
      <c r="K423" s="26" t="s">
        <v>909</v>
      </c>
      <c r="L423" s="30">
        <v>349387708</v>
      </c>
      <c r="M423" s="26" t="s">
        <v>112</v>
      </c>
      <c r="N423" s="26" t="s">
        <v>578</v>
      </c>
      <c r="O423" s="26" t="s">
        <v>91</v>
      </c>
      <c r="P423" s="26" t="s">
        <v>2366</v>
      </c>
      <c r="Q423" s="20">
        <v>9317</v>
      </c>
      <c r="R423" s="26" t="s">
        <v>36</v>
      </c>
      <c r="S423" s="31">
        <v>2000</v>
      </c>
      <c r="T423" s="32">
        <v>45114</v>
      </c>
      <c r="U423" s="31">
        <v>7317</v>
      </c>
      <c r="V423" s="32">
        <v>45139</v>
      </c>
      <c r="W423" s="33" t="s">
        <v>914</v>
      </c>
      <c r="X423" s="26">
        <v>0</v>
      </c>
      <c r="Y423" s="22">
        <v>0</v>
      </c>
      <c r="Z423" s="26" t="s">
        <v>118</v>
      </c>
      <c r="AA423" s="19" t="s">
        <v>1871</v>
      </c>
      <c r="AB423" s="26" t="s">
        <v>137</v>
      </c>
      <c r="AC423" s="26" t="s">
        <v>53</v>
      </c>
      <c r="AD423" s="19" t="s">
        <v>54</v>
      </c>
      <c r="AE423" s="26" t="s">
        <v>178</v>
      </c>
      <c r="AF423" s="17">
        <v>45167</v>
      </c>
      <c r="AG423" s="26"/>
      <c r="AH423" s="26">
        <v>2</v>
      </c>
      <c r="AI423" s="40" t="s">
        <v>64</v>
      </c>
      <c r="AJ423" s="26"/>
      <c r="AK423" s="26"/>
      <c r="AL423" s="35"/>
      <c r="AM423" s="35"/>
      <c r="AN423" s="35"/>
      <c r="AO423" s="35"/>
      <c r="AP423" s="35"/>
    </row>
    <row r="424" spans="1:42" x14ac:dyDescent="0.2">
      <c r="A424" s="27">
        <v>45164.263608923611</v>
      </c>
      <c r="B424" s="28" t="s">
        <v>37</v>
      </c>
      <c r="C424" s="41" t="s">
        <v>118</v>
      </c>
      <c r="D424" s="26" t="s">
        <v>36</v>
      </c>
      <c r="E424" s="26" t="s">
        <v>39</v>
      </c>
      <c r="F424" s="26" t="s">
        <v>388</v>
      </c>
      <c r="G424" s="26" t="s">
        <v>108</v>
      </c>
      <c r="H424" s="26" t="s">
        <v>882</v>
      </c>
      <c r="I424" s="17">
        <f ca="1">IFERROR(__xludf.DUMMYFUNCTION("""COMPUTED_VALUE"""),45180)</f>
        <v>45180</v>
      </c>
      <c r="J424" s="29" t="s">
        <v>2367</v>
      </c>
      <c r="K424" s="26" t="s">
        <v>2368</v>
      </c>
      <c r="L424" s="30">
        <v>982199502</v>
      </c>
      <c r="M424" s="26" t="s">
        <v>112</v>
      </c>
      <c r="N424" s="26" t="s">
        <v>578</v>
      </c>
      <c r="O424" s="26" t="s">
        <v>91</v>
      </c>
      <c r="P424" s="26" t="s">
        <v>2369</v>
      </c>
      <c r="Q424" s="20">
        <v>5736</v>
      </c>
      <c r="R424" s="26" t="s">
        <v>36</v>
      </c>
      <c r="S424" s="31">
        <v>2000</v>
      </c>
      <c r="T424" s="32">
        <v>45120</v>
      </c>
      <c r="U424" s="31">
        <v>3736</v>
      </c>
      <c r="V424" s="32">
        <v>45139</v>
      </c>
      <c r="W424" s="26"/>
      <c r="X424" s="26">
        <v>0</v>
      </c>
      <c r="Y424" s="22">
        <v>0</v>
      </c>
      <c r="Z424" s="26" t="s">
        <v>118</v>
      </c>
      <c r="AA424" s="19" t="s">
        <v>1871</v>
      </c>
      <c r="AB424" s="26" t="s">
        <v>137</v>
      </c>
      <c r="AC424" s="26" t="s">
        <v>53</v>
      </c>
      <c r="AD424" s="19" t="s">
        <v>54</v>
      </c>
      <c r="AE424" s="26"/>
      <c r="AF424" s="17">
        <v>45167</v>
      </c>
      <c r="AG424" s="26"/>
      <c r="AH424" s="26">
        <v>2</v>
      </c>
      <c r="AI424" s="40" t="s">
        <v>55</v>
      </c>
      <c r="AJ424" s="26"/>
      <c r="AK424" s="26"/>
      <c r="AL424" s="35"/>
      <c r="AM424" s="35"/>
      <c r="AN424" s="35"/>
      <c r="AO424" s="35"/>
      <c r="AP424" s="35"/>
    </row>
    <row r="425" spans="1:42" x14ac:dyDescent="0.2">
      <c r="A425" s="27">
        <v>45164.434688692127</v>
      </c>
      <c r="B425" s="28" t="s">
        <v>37</v>
      </c>
      <c r="C425" s="41" t="s">
        <v>118</v>
      </c>
      <c r="D425" s="26" t="s">
        <v>36</v>
      </c>
      <c r="E425" s="26" t="s">
        <v>39</v>
      </c>
      <c r="F425" s="26" t="s">
        <v>388</v>
      </c>
      <c r="G425" s="26" t="s">
        <v>108</v>
      </c>
      <c r="H425" s="26" t="s">
        <v>882</v>
      </c>
      <c r="I425" s="17">
        <f ca="1">IFERROR(__xludf.DUMMYFUNCTION("""COMPUTED_VALUE"""),45180)</f>
        <v>45180</v>
      </c>
      <c r="J425" s="29" t="s">
        <v>1023</v>
      </c>
      <c r="K425" s="26" t="s">
        <v>2370</v>
      </c>
      <c r="L425" s="30">
        <v>346917938</v>
      </c>
      <c r="M425" s="26" t="s">
        <v>112</v>
      </c>
      <c r="N425" s="26" t="s">
        <v>578</v>
      </c>
      <c r="O425" s="26" t="s">
        <v>91</v>
      </c>
      <c r="P425" s="26" t="s">
        <v>1026</v>
      </c>
      <c r="Q425" s="20">
        <v>5736</v>
      </c>
      <c r="R425" s="26" t="s">
        <v>36</v>
      </c>
      <c r="S425" s="31">
        <v>536</v>
      </c>
      <c r="T425" s="32">
        <v>45116</v>
      </c>
      <c r="U425" s="31">
        <v>5200</v>
      </c>
      <c r="V425" s="32">
        <v>45121</v>
      </c>
      <c r="W425" s="26"/>
      <c r="X425" s="26">
        <v>0</v>
      </c>
      <c r="Y425" s="22">
        <v>0</v>
      </c>
      <c r="Z425" s="26" t="s">
        <v>118</v>
      </c>
      <c r="AA425" s="19" t="s">
        <v>1871</v>
      </c>
      <c r="AB425" s="26" t="s">
        <v>137</v>
      </c>
      <c r="AC425" s="26" t="s">
        <v>53</v>
      </c>
      <c r="AD425" s="19" t="s">
        <v>54</v>
      </c>
      <c r="AE425" s="26"/>
      <c r="AF425" s="17">
        <v>45167</v>
      </c>
      <c r="AG425" s="26"/>
      <c r="AH425" s="26">
        <v>2</v>
      </c>
      <c r="AI425" s="40" t="s">
        <v>55</v>
      </c>
      <c r="AJ425" s="26"/>
      <c r="AK425" s="26"/>
      <c r="AL425" s="35"/>
      <c r="AM425" s="35"/>
      <c r="AN425" s="35"/>
      <c r="AO425" s="35"/>
      <c r="AP425" s="35"/>
    </row>
    <row r="426" spans="1:42" x14ac:dyDescent="0.2">
      <c r="A426" s="27">
        <v>44866.861383240743</v>
      </c>
      <c r="B426" s="28" t="s">
        <v>37</v>
      </c>
      <c r="C426" s="41" t="s">
        <v>118</v>
      </c>
      <c r="D426" s="26" t="s">
        <v>36</v>
      </c>
      <c r="E426" s="26" t="s">
        <v>148</v>
      </c>
      <c r="F426" s="35" t="s">
        <v>1878</v>
      </c>
      <c r="G426" s="35" t="s">
        <v>221</v>
      </c>
      <c r="H426" s="35" t="s">
        <v>1666</v>
      </c>
      <c r="I426" s="17">
        <f ca="1">IFERROR(__xludf.DUMMYFUNCTION("""COMPUTED_VALUE"""),45177)</f>
        <v>45177</v>
      </c>
      <c r="J426" s="29" t="s">
        <v>2371</v>
      </c>
      <c r="K426" s="26" t="s">
        <v>2372</v>
      </c>
      <c r="L426" s="57">
        <v>855277113</v>
      </c>
      <c r="M426" s="26" t="s">
        <v>80</v>
      </c>
      <c r="N426" s="35" t="s">
        <v>2373</v>
      </c>
      <c r="O426" s="35">
        <v>40304005751</v>
      </c>
      <c r="P426" s="35" t="s">
        <v>2374</v>
      </c>
      <c r="Q426" s="20">
        <v>7349</v>
      </c>
      <c r="R426" s="26" t="s">
        <v>36</v>
      </c>
      <c r="S426" s="31">
        <v>10000</v>
      </c>
      <c r="T426" s="32">
        <v>44866</v>
      </c>
      <c r="U426" s="31">
        <v>6679</v>
      </c>
      <c r="V426" s="32">
        <v>44889</v>
      </c>
      <c r="W426" s="33" t="s">
        <v>2375</v>
      </c>
      <c r="X426" s="35">
        <v>0</v>
      </c>
      <c r="Y426" s="22">
        <v>-9330</v>
      </c>
      <c r="Z426" s="35" t="s">
        <v>118</v>
      </c>
      <c r="AA426" s="19" t="s">
        <v>1871</v>
      </c>
      <c r="AB426" s="35"/>
      <c r="AC426" s="26" t="s">
        <v>53</v>
      </c>
      <c r="AD426" s="19" t="s">
        <v>54</v>
      </c>
      <c r="AE426" s="19">
        <v>670</v>
      </c>
      <c r="AF426" s="17">
        <v>45167</v>
      </c>
      <c r="AG426" s="35" t="s">
        <v>2376</v>
      </c>
      <c r="AH426" s="36">
        <v>1</v>
      </c>
      <c r="AI426" s="37">
        <v>2</v>
      </c>
      <c r="AJ426" s="35"/>
      <c r="AK426" s="35"/>
      <c r="AL426" s="35"/>
      <c r="AM426" s="35"/>
      <c r="AN426" s="35"/>
      <c r="AO426" s="35"/>
      <c r="AP426" s="35"/>
    </row>
    <row r="427" spans="1:42" x14ac:dyDescent="0.2">
      <c r="A427" s="27">
        <v>45120.675553969908</v>
      </c>
      <c r="B427" s="28" t="s">
        <v>37</v>
      </c>
      <c r="C427" s="41" t="s">
        <v>118</v>
      </c>
      <c r="D427" s="26" t="s">
        <v>36</v>
      </c>
      <c r="E427" s="26" t="s">
        <v>39</v>
      </c>
      <c r="F427" s="26" t="s">
        <v>345</v>
      </c>
      <c r="G427" s="26" t="s">
        <v>108</v>
      </c>
      <c r="H427" s="26" t="s">
        <v>2377</v>
      </c>
      <c r="I427" s="17">
        <f ca="1">IFERROR(__xludf.DUMMYFUNCTION("""COMPUTED_VALUE"""),45197)</f>
        <v>45197</v>
      </c>
      <c r="J427" s="29" t="s">
        <v>1011</v>
      </c>
      <c r="K427" s="26" t="s">
        <v>2378</v>
      </c>
      <c r="L427" s="30">
        <v>943904287</v>
      </c>
      <c r="M427" s="26" t="s">
        <v>123</v>
      </c>
      <c r="N427" s="26" t="s">
        <v>2379</v>
      </c>
      <c r="O427" s="26" t="s">
        <v>1013</v>
      </c>
      <c r="P427" s="42" t="s">
        <v>2380</v>
      </c>
      <c r="Q427" s="20">
        <v>5736</v>
      </c>
      <c r="R427" s="26" t="s">
        <v>36</v>
      </c>
      <c r="S427" s="31">
        <v>2068</v>
      </c>
      <c r="T427" s="32">
        <v>45120</v>
      </c>
      <c r="U427" s="31">
        <v>3668</v>
      </c>
      <c r="V427" s="38">
        <v>45147</v>
      </c>
      <c r="W427" s="55" t="s">
        <v>1015</v>
      </c>
      <c r="X427" s="26">
        <v>0</v>
      </c>
      <c r="Y427" s="22">
        <v>0</v>
      </c>
      <c r="Z427" s="26" t="s">
        <v>118</v>
      </c>
      <c r="AA427" s="19" t="s">
        <v>1871</v>
      </c>
      <c r="AB427" s="26" t="s">
        <v>137</v>
      </c>
      <c r="AC427" s="26" t="s">
        <v>53</v>
      </c>
      <c r="AD427" s="19" t="s">
        <v>54</v>
      </c>
      <c r="AE427" s="26">
        <v>0</v>
      </c>
      <c r="AF427" s="17">
        <v>45187</v>
      </c>
      <c r="AG427" s="26"/>
      <c r="AH427" s="26">
        <v>2</v>
      </c>
      <c r="AI427" s="40" t="s">
        <v>55</v>
      </c>
      <c r="AJ427" s="26"/>
      <c r="AK427" s="26"/>
      <c r="AL427" s="35"/>
      <c r="AM427" s="35"/>
      <c r="AN427" s="35"/>
      <c r="AO427" s="35"/>
      <c r="AP427" s="35"/>
    </row>
    <row r="428" spans="1:42" x14ac:dyDescent="0.2">
      <c r="A428" s="27">
        <v>45135.548659942127</v>
      </c>
      <c r="B428" s="28" t="s">
        <v>37</v>
      </c>
      <c r="C428" s="41" t="s">
        <v>118</v>
      </c>
      <c r="D428" s="26" t="s">
        <v>36</v>
      </c>
      <c r="E428" s="26" t="s">
        <v>56</v>
      </c>
      <c r="F428" s="26" t="s">
        <v>707</v>
      </c>
      <c r="G428" s="26" t="s">
        <v>108</v>
      </c>
      <c r="H428" s="26" t="s">
        <v>2381</v>
      </c>
      <c r="I428" s="17">
        <f ca="1">IFERROR(__xludf.DUMMYFUNCTION("""COMPUTED_VALUE"""),45224)</f>
        <v>45224</v>
      </c>
      <c r="J428" s="29" t="s">
        <v>1161</v>
      </c>
      <c r="K428" s="26" t="s">
        <v>2382</v>
      </c>
      <c r="L428" s="30">
        <v>865321398</v>
      </c>
      <c r="M428" s="26" t="s">
        <v>123</v>
      </c>
      <c r="N428" s="26" t="s">
        <v>2383</v>
      </c>
      <c r="O428" s="26" t="s">
        <v>134</v>
      </c>
      <c r="P428" s="26" t="s">
        <v>1163</v>
      </c>
      <c r="Q428" s="20">
        <v>9317</v>
      </c>
      <c r="R428" s="26" t="s">
        <v>36</v>
      </c>
      <c r="S428" s="31">
        <v>300</v>
      </c>
      <c r="T428" s="32">
        <v>45133</v>
      </c>
      <c r="U428" s="31">
        <v>9317</v>
      </c>
      <c r="V428" s="26" t="s">
        <v>2384</v>
      </c>
      <c r="W428" s="33" t="s">
        <v>1164</v>
      </c>
      <c r="X428" s="26">
        <v>0</v>
      </c>
      <c r="Y428" s="22">
        <v>-300</v>
      </c>
      <c r="Z428" s="26" t="s">
        <v>118</v>
      </c>
      <c r="AA428" s="19" t="s">
        <v>1871</v>
      </c>
      <c r="AB428" s="26" t="s">
        <v>104</v>
      </c>
      <c r="AC428" s="26" t="s">
        <v>53</v>
      </c>
      <c r="AD428" s="19" t="s">
        <v>54</v>
      </c>
      <c r="AE428" s="26"/>
      <c r="AF428" s="17">
        <v>45196</v>
      </c>
      <c r="AG428" s="72" t="s">
        <v>2385</v>
      </c>
      <c r="AH428" s="26">
        <v>3</v>
      </c>
      <c r="AI428" s="40" t="s">
        <v>64</v>
      </c>
      <c r="AJ428" s="26"/>
      <c r="AK428" s="26"/>
      <c r="AL428" s="35"/>
      <c r="AM428" s="35"/>
      <c r="AN428" s="35"/>
      <c r="AO428" s="35"/>
      <c r="AP428" s="35"/>
    </row>
    <row r="429" spans="1:42" x14ac:dyDescent="0.2">
      <c r="A429" s="27">
        <v>45117.321116203704</v>
      </c>
      <c r="B429" s="28" t="s">
        <v>37</v>
      </c>
      <c r="C429" s="41" t="s">
        <v>118</v>
      </c>
      <c r="D429" s="26" t="s">
        <v>36</v>
      </c>
      <c r="E429" s="26" t="s">
        <v>139</v>
      </c>
      <c r="F429" s="26" t="s">
        <v>289</v>
      </c>
      <c r="G429" s="26" t="s">
        <v>108</v>
      </c>
      <c r="H429" s="26" t="s">
        <v>1748</v>
      </c>
      <c r="I429" s="17">
        <f ca="1">IFERROR(__xludf.DUMMYFUNCTION("""COMPUTED_VALUE"""),45190)</f>
        <v>45190</v>
      </c>
      <c r="J429" s="29" t="s">
        <v>954</v>
      </c>
      <c r="K429" s="26" t="s">
        <v>955</v>
      </c>
      <c r="L429" s="30">
        <v>388176025</v>
      </c>
      <c r="M429" s="26" t="s">
        <v>123</v>
      </c>
      <c r="N429" s="26" t="s">
        <v>2386</v>
      </c>
      <c r="O429" s="26" t="s">
        <v>134</v>
      </c>
      <c r="P429" s="42" t="s">
        <v>2387</v>
      </c>
      <c r="Q429" s="20">
        <v>15936</v>
      </c>
      <c r="R429" s="26" t="s">
        <v>36</v>
      </c>
      <c r="S429" s="31">
        <v>2000</v>
      </c>
      <c r="T429" s="32">
        <v>45117</v>
      </c>
      <c r="U429" s="58">
        <v>13936</v>
      </c>
      <c r="V429" s="59">
        <v>45142</v>
      </c>
      <c r="W429" s="33" t="s">
        <v>957</v>
      </c>
      <c r="X429" s="26">
        <v>0</v>
      </c>
      <c r="Y429" s="22">
        <v>0</v>
      </c>
      <c r="Z429" s="26" t="s">
        <v>118</v>
      </c>
      <c r="AA429" s="19" t="s">
        <v>1871</v>
      </c>
      <c r="AB429" s="26" t="s">
        <v>2306</v>
      </c>
      <c r="AC429" s="26" t="s">
        <v>53</v>
      </c>
      <c r="AD429" s="19" t="s">
        <v>54</v>
      </c>
      <c r="AE429" s="26"/>
      <c r="AF429" s="17">
        <v>45181</v>
      </c>
      <c r="AG429" s="26"/>
      <c r="AH429" s="26">
        <v>2</v>
      </c>
      <c r="AI429" s="40" t="s">
        <v>147</v>
      </c>
      <c r="AJ429" s="26"/>
      <c r="AK429" s="26"/>
      <c r="AL429" s="35"/>
      <c r="AM429" s="35"/>
      <c r="AN429" s="35"/>
      <c r="AO429" s="35"/>
      <c r="AP429" s="35"/>
    </row>
    <row r="430" spans="1:42" x14ac:dyDescent="0.2">
      <c r="A430" s="27">
        <v>45116.570676493051</v>
      </c>
      <c r="B430" s="28" t="s">
        <v>37</v>
      </c>
      <c r="C430" s="41" t="s">
        <v>118</v>
      </c>
      <c r="D430" s="26" t="s">
        <v>36</v>
      </c>
      <c r="E430" s="26" t="s">
        <v>139</v>
      </c>
      <c r="F430" s="26" t="s">
        <v>289</v>
      </c>
      <c r="G430" s="26" t="s">
        <v>108</v>
      </c>
      <c r="H430" s="26" t="s">
        <v>2388</v>
      </c>
      <c r="I430" s="17">
        <f ca="1">IFERROR(__xludf.DUMMYFUNCTION("""COMPUTED_VALUE"""),45190)</f>
        <v>45190</v>
      </c>
      <c r="J430" s="29" t="s">
        <v>937</v>
      </c>
      <c r="K430" s="26" t="s">
        <v>2389</v>
      </c>
      <c r="L430" s="30">
        <v>389029369</v>
      </c>
      <c r="M430" s="26" t="s">
        <v>123</v>
      </c>
      <c r="N430" s="26" t="s">
        <v>2390</v>
      </c>
      <c r="O430" s="26" t="s">
        <v>134</v>
      </c>
      <c r="P430" s="42" t="s">
        <v>2391</v>
      </c>
      <c r="Q430" s="20">
        <v>15936</v>
      </c>
      <c r="R430" s="26" t="s">
        <v>36</v>
      </c>
      <c r="S430" s="31">
        <v>2000</v>
      </c>
      <c r="T430" s="32">
        <v>45116</v>
      </c>
      <c r="U430" s="58">
        <v>13936</v>
      </c>
      <c r="V430" s="59">
        <v>45136</v>
      </c>
      <c r="W430" s="33" t="s">
        <v>940</v>
      </c>
      <c r="X430" s="26">
        <v>0</v>
      </c>
      <c r="Y430" s="22">
        <v>0</v>
      </c>
      <c r="Z430" s="26" t="s">
        <v>118</v>
      </c>
      <c r="AA430" s="19" t="s">
        <v>1871</v>
      </c>
      <c r="AB430" s="26" t="s">
        <v>104</v>
      </c>
      <c r="AC430" s="26" t="s">
        <v>53</v>
      </c>
      <c r="AD430" s="19" t="s">
        <v>54</v>
      </c>
      <c r="AE430" s="26">
        <v>0</v>
      </c>
      <c r="AF430" s="17">
        <v>45187</v>
      </c>
      <c r="AG430" s="26" t="s">
        <v>2392</v>
      </c>
      <c r="AH430" s="26">
        <v>2</v>
      </c>
      <c r="AI430" s="40" t="s">
        <v>147</v>
      </c>
      <c r="AJ430" s="26"/>
      <c r="AK430" s="26"/>
      <c r="AL430" s="35"/>
      <c r="AM430" s="35"/>
      <c r="AN430" s="35"/>
      <c r="AO430" s="35"/>
      <c r="AP430" s="35"/>
    </row>
    <row r="431" spans="1:42" x14ac:dyDescent="0.2">
      <c r="A431" s="27">
        <v>45117.323669259262</v>
      </c>
      <c r="B431" s="28" t="s">
        <v>37</v>
      </c>
      <c r="C431" s="41" t="s">
        <v>118</v>
      </c>
      <c r="D431" s="26" t="s">
        <v>36</v>
      </c>
      <c r="E431" s="26" t="s">
        <v>56</v>
      </c>
      <c r="F431" s="26" t="s">
        <v>289</v>
      </c>
      <c r="G431" s="26" t="s">
        <v>108</v>
      </c>
      <c r="H431" s="26" t="s">
        <v>2393</v>
      </c>
      <c r="I431" s="17">
        <f ca="1">IFERROR(__xludf.DUMMYFUNCTION("""COMPUTED_VALUE"""),45257)</f>
        <v>45257</v>
      </c>
      <c r="J431" s="29" t="s">
        <v>958</v>
      </c>
      <c r="K431" s="26" t="s">
        <v>959</v>
      </c>
      <c r="L431" s="30">
        <v>987583839</v>
      </c>
      <c r="M431" s="26" t="s">
        <v>123</v>
      </c>
      <c r="N431" s="26" t="s">
        <v>2390</v>
      </c>
      <c r="O431" s="26" t="s">
        <v>125</v>
      </c>
      <c r="P431" s="42" t="s">
        <v>2394</v>
      </c>
      <c r="Q431" s="20">
        <v>9317</v>
      </c>
      <c r="R431" s="26" t="s">
        <v>36</v>
      </c>
      <c r="S431" s="31">
        <v>2000</v>
      </c>
      <c r="T431" s="32">
        <v>45117</v>
      </c>
      <c r="U431" s="31">
        <v>7317</v>
      </c>
      <c r="V431" s="32">
        <v>45140</v>
      </c>
      <c r="W431" s="33" t="s">
        <v>961</v>
      </c>
      <c r="X431" s="26">
        <v>0</v>
      </c>
      <c r="Y431" s="22">
        <v>0</v>
      </c>
      <c r="Z431" s="26" t="s">
        <v>118</v>
      </c>
      <c r="AA431" s="19" t="s">
        <v>1871</v>
      </c>
      <c r="AB431" s="26" t="s">
        <v>128</v>
      </c>
      <c r="AC431" s="26" t="s">
        <v>53</v>
      </c>
      <c r="AD431" s="19" t="s">
        <v>54</v>
      </c>
      <c r="AE431" s="26">
        <v>0</v>
      </c>
      <c r="AF431" s="43">
        <v>45247</v>
      </c>
      <c r="AG431" s="26" t="s">
        <v>2395</v>
      </c>
      <c r="AH431" s="26">
        <v>3</v>
      </c>
      <c r="AI431" s="40" t="s">
        <v>64</v>
      </c>
      <c r="AJ431" s="26"/>
      <c r="AK431" s="26"/>
      <c r="AL431" s="35"/>
      <c r="AM431" s="35"/>
      <c r="AN431" s="35"/>
      <c r="AO431" s="35"/>
      <c r="AP431" s="35"/>
    </row>
    <row r="432" spans="1:42" x14ac:dyDescent="0.2">
      <c r="A432" s="27">
        <v>45116.571833263893</v>
      </c>
      <c r="B432" s="28" t="s">
        <v>37</v>
      </c>
      <c r="C432" s="41" t="s">
        <v>118</v>
      </c>
      <c r="D432" s="26" t="s">
        <v>36</v>
      </c>
      <c r="E432" s="26" t="s">
        <v>39</v>
      </c>
      <c r="F432" s="26" t="s">
        <v>257</v>
      </c>
      <c r="G432" s="26" t="s">
        <v>108</v>
      </c>
      <c r="H432" s="26" t="s">
        <v>1748</v>
      </c>
      <c r="I432" s="17">
        <f ca="1">IFERROR(__xludf.DUMMYFUNCTION("""COMPUTED_VALUE"""),45190)</f>
        <v>45190</v>
      </c>
      <c r="J432" s="29" t="s">
        <v>941</v>
      </c>
      <c r="K432" s="26" t="s">
        <v>2396</v>
      </c>
      <c r="L432" s="30">
        <v>856012088</v>
      </c>
      <c r="M432" s="26" t="s">
        <v>123</v>
      </c>
      <c r="N432" s="26" t="s">
        <v>2397</v>
      </c>
      <c r="O432" s="26" t="s">
        <v>143</v>
      </c>
      <c r="P432" s="42" t="s">
        <v>2398</v>
      </c>
      <c r="Q432" s="20">
        <v>5736</v>
      </c>
      <c r="R432" s="26" t="s">
        <v>36</v>
      </c>
      <c r="S432" s="31">
        <v>2000</v>
      </c>
      <c r="T432" s="32">
        <v>45116</v>
      </c>
      <c r="U432" s="31">
        <v>3736</v>
      </c>
      <c r="V432" s="32">
        <v>45140</v>
      </c>
      <c r="W432" s="33" t="s">
        <v>944</v>
      </c>
      <c r="X432" s="26">
        <v>0</v>
      </c>
      <c r="Y432" s="22">
        <v>0</v>
      </c>
      <c r="Z432" s="26" t="s">
        <v>118</v>
      </c>
      <c r="AA432" s="19" t="s">
        <v>1871</v>
      </c>
      <c r="AB432" s="26" t="s">
        <v>104</v>
      </c>
      <c r="AC432" s="26" t="s">
        <v>53</v>
      </c>
      <c r="AD432" s="19" t="s">
        <v>54</v>
      </c>
      <c r="AE432" s="26">
        <v>0</v>
      </c>
      <c r="AF432" s="17">
        <v>45181</v>
      </c>
      <c r="AG432" s="26"/>
      <c r="AH432" s="26">
        <v>2</v>
      </c>
      <c r="AI432" s="40" t="s">
        <v>55</v>
      </c>
      <c r="AJ432" s="26"/>
      <c r="AK432" s="26"/>
      <c r="AL432" s="35"/>
      <c r="AM432" s="35"/>
      <c r="AN432" s="35"/>
      <c r="AO432" s="35"/>
      <c r="AP432" s="35"/>
    </row>
    <row r="433" spans="1:42" x14ac:dyDescent="0.2">
      <c r="A433" s="27">
        <v>45113.113603738428</v>
      </c>
      <c r="B433" s="28" t="s">
        <v>1703</v>
      </c>
      <c r="C433" s="41" t="s">
        <v>118</v>
      </c>
      <c r="D433" s="26" t="s">
        <v>36</v>
      </c>
      <c r="E433" s="26" t="s">
        <v>148</v>
      </c>
      <c r="F433" s="26" t="s">
        <v>91</v>
      </c>
      <c r="G433" s="26" t="s">
        <v>221</v>
      </c>
      <c r="H433" s="35" t="s">
        <v>865</v>
      </c>
      <c r="I433" s="17" t="str">
        <f ca="1">IFERROR(__xludf.DUMMYFUNCTION("""COMPUTED_VALUE""")," ")</f>
        <v xml:space="preserve"> </v>
      </c>
      <c r="J433" s="44" t="s">
        <v>1909</v>
      </c>
      <c r="K433" s="19" t="s">
        <v>2399</v>
      </c>
      <c r="L433" s="30">
        <v>765881307</v>
      </c>
      <c r="M433" s="26" t="s">
        <v>749</v>
      </c>
      <c r="N433" s="26" t="s">
        <v>1911</v>
      </c>
      <c r="O433" s="26" t="s">
        <v>91</v>
      </c>
      <c r="P433" s="26" t="s">
        <v>1912</v>
      </c>
      <c r="Q433" s="20">
        <v>3768</v>
      </c>
      <c r="R433" s="26" t="s">
        <v>36</v>
      </c>
      <c r="S433" s="31">
        <v>16779</v>
      </c>
      <c r="T433" s="32">
        <v>44830</v>
      </c>
      <c r="U433" s="31"/>
      <c r="V433" s="26"/>
      <c r="W433" s="26" t="s">
        <v>1913</v>
      </c>
      <c r="X433" s="26">
        <v>0</v>
      </c>
      <c r="Y433" s="22">
        <v>-13011</v>
      </c>
      <c r="Z433" s="26" t="s">
        <v>118</v>
      </c>
      <c r="AA433" s="19" t="s">
        <v>1871</v>
      </c>
      <c r="AB433" s="26"/>
      <c r="AC433" s="26" t="s">
        <v>53</v>
      </c>
      <c r="AD433" s="19" t="s">
        <v>54</v>
      </c>
      <c r="AE433" s="26">
        <v>400</v>
      </c>
      <c r="AF433" s="17"/>
      <c r="AG433" s="26"/>
      <c r="AH433" s="29" t="s">
        <v>2400</v>
      </c>
      <c r="AI433" s="40">
        <v>1</v>
      </c>
      <c r="AJ433" s="26"/>
      <c r="AK433" s="26"/>
      <c r="AL433" s="35"/>
      <c r="AM433" s="35"/>
      <c r="AN433" s="35"/>
      <c r="AO433" s="35"/>
      <c r="AP433" s="35"/>
    </row>
    <row r="434" spans="1:42" x14ac:dyDescent="0.2">
      <c r="A434" s="27">
        <v>44963.473504386573</v>
      </c>
      <c r="B434" s="68" t="s">
        <v>37</v>
      </c>
      <c r="C434" s="41" t="s">
        <v>118</v>
      </c>
      <c r="D434" s="26" t="s">
        <v>36</v>
      </c>
      <c r="E434" s="26" t="s">
        <v>106</v>
      </c>
      <c r="F434" s="35" t="s">
        <v>2190</v>
      </c>
      <c r="G434" s="35" t="s">
        <v>108</v>
      </c>
      <c r="H434" s="35" t="s">
        <v>2401</v>
      </c>
      <c r="I434" s="17">
        <f ca="1">IFERROR(__xludf.DUMMYFUNCTION("""COMPUTED_VALUE"""),45197)</f>
        <v>45197</v>
      </c>
      <c r="J434" s="55" t="s">
        <v>2402</v>
      </c>
      <c r="K434" s="26" t="s">
        <v>2403</v>
      </c>
      <c r="L434" s="30">
        <v>878274903</v>
      </c>
      <c r="M434" s="35" t="s">
        <v>80</v>
      </c>
      <c r="N434" s="35" t="s">
        <v>2404</v>
      </c>
      <c r="O434" s="35" t="s">
        <v>36</v>
      </c>
      <c r="P434" s="72" t="s">
        <v>2405</v>
      </c>
      <c r="Q434" s="20"/>
      <c r="R434" s="26" t="s">
        <v>36</v>
      </c>
      <c r="S434" s="31">
        <v>10000</v>
      </c>
      <c r="T434" s="32">
        <v>44837</v>
      </c>
      <c r="U434" s="31">
        <v>804</v>
      </c>
      <c r="V434" s="32">
        <v>44843</v>
      </c>
      <c r="W434" s="55" t="s">
        <v>2406</v>
      </c>
      <c r="X434" s="35"/>
      <c r="Y434" s="22">
        <v>0</v>
      </c>
      <c r="Z434" s="26" t="s">
        <v>118</v>
      </c>
      <c r="AA434" s="19" t="s">
        <v>2407</v>
      </c>
      <c r="AB434" s="35" t="s">
        <v>2408</v>
      </c>
      <c r="AC434" s="26" t="s">
        <v>53</v>
      </c>
      <c r="AD434" s="19" t="s">
        <v>54</v>
      </c>
      <c r="AE434" s="35"/>
      <c r="AF434" s="17">
        <v>45191</v>
      </c>
      <c r="AG434" s="91"/>
      <c r="AH434" s="92"/>
      <c r="AI434" s="92"/>
      <c r="AJ434" s="35"/>
      <c r="AK434" s="35"/>
      <c r="AL434" s="35"/>
      <c r="AM434" s="35"/>
      <c r="AN434" s="35"/>
      <c r="AO434" s="35"/>
      <c r="AP434" s="35"/>
    </row>
    <row r="435" spans="1:42" x14ac:dyDescent="0.2">
      <c r="A435" s="27">
        <v>45134.111136689811</v>
      </c>
      <c r="B435" s="28" t="s">
        <v>37</v>
      </c>
      <c r="C435" s="41" t="s">
        <v>118</v>
      </c>
      <c r="D435" s="26" t="s">
        <v>36</v>
      </c>
      <c r="E435" s="26" t="s">
        <v>39</v>
      </c>
      <c r="F435" s="26" t="s">
        <v>707</v>
      </c>
      <c r="G435" s="35" t="s">
        <v>108</v>
      </c>
      <c r="H435" s="26" t="s">
        <v>2088</v>
      </c>
      <c r="I435" s="17">
        <f ca="1">IFERROR(__xludf.DUMMYFUNCTION("""COMPUTED_VALUE"""),45222)</f>
        <v>45222</v>
      </c>
      <c r="J435" s="49" t="s">
        <v>713</v>
      </c>
      <c r="K435" s="19" t="s">
        <v>2409</v>
      </c>
      <c r="L435" s="47">
        <v>888679582</v>
      </c>
      <c r="M435" s="19" t="s">
        <v>354</v>
      </c>
      <c r="N435" s="19" t="s">
        <v>2410</v>
      </c>
      <c r="O435" s="19" t="s">
        <v>715</v>
      </c>
      <c r="P435" s="42" t="s">
        <v>2411</v>
      </c>
      <c r="Q435" s="20">
        <v>5736</v>
      </c>
      <c r="R435" s="26" t="s">
        <v>36</v>
      </c>
      <c r="S435" s="31">
        <v>5736</v>
      </c>
      <c r="T435" s="32">
        <v>45134</v>
      </c>
      <c r="U435" s="31"/>
      <c r="V435" s="26"/>
      <c r="W435" s="33" t="s">
        <v>717</v>
      </c>
      <c r="X435" s="26">
        <v>0</v>
      </c>
      <c r="Y435" s="22">
        <v>0</v>
      </c>
      <c r="Z435" s="26" t="s">
        <v>118</v>
      </c>
      <c r="AA435" s="19" t="s">
        <v>51</v>
      </c>
      <c r="AB435" s="35" t="s">
        <v>2408</v>
      </c>
      <c r="AC435" s="26" t="s">
        <v>53</v>
      </c>
      <c r="AD435" s="19" t="s">
        <v>54</v>
      </c>
      <c r="AE435" s="26"/>
      <c r="AF435" s="17">
        <v>45199</v>
      </c>
      <c r="AG435" s="26" t="s">
        <v>2412</v>
      </c>
      <c r="AH435" s="26">
        <v>1</v>
      </c>
      <c r="AI435" s="40" t="s">
        <v>55</v>
      </c>
      <c r="AJ435" s="26"/>
      <c r="AK435" s="26"/>
      <c r="AL435" s="35"/>
      <c r="AM435" s="35"/>
      <c r="AN435" s="35"/>
      <c r="AO435" s="35"/>
      <c r="AP435" s="35"/>
    </row>
    <row r="436" spans="1:42" x14ac:dyDescent="0.2">
      <c r="A436" s="27">
        <v>45139.313176226853</v>
      </c>
      <c r="B436" s="28" t="s">
        <v>37</v>
      </c>
      <c r="C436" s="41" t="s">
        <v>118</v>
      </c>
      <c r="D436" s="26" t="s">
        <v>36</v>
      </c>
      <c r="E436" s="26" t="s">
        <v>56</v>
      </c>
      <c r="F436" s="26" t="s">
        <v>707</v>
      </c>
      <c r="G436" s="35" t="s">
        <v>108</v>
      </c>
      <c r="H436" s="26" t="s">
        <v>1781</v>
      </c>
      <c r="I436" s="17">
        <f ca="1">IFERROR(__xludf.DUMMYFUNCTION("""COMPUTED_VALUE"""),45203)</f>
        <v>45203</v>
      </c>
      <c r="J436" s="29" t="s">
        <v>1202</v>
      </c>
      <c r="K436" s="26" t="s">
        <v>2413</v>
      </c>
      <c r="L436" s="30">
        <v>375845005</v>
      </c>
      <c r="M436" s="26" t="s">
        <v>80</v>
      </c>
      <c r="N436" s="26" t="s">
        <v>299</v>
      </c>
      <c r="O436" s="26" t="s">
        <v>1204</v>
      </c>
      <c r="P436" s="42" t="s">
        <v>2414</v>
      </c>
      <c r="Q436" s="20">
        <v>9317</v>
      </c>
      <c r="R436" s="26" t="s">
        <v>36</v>
      </c>
      <c r="S436" s="31">
        <v>2000</v>
      </c>
      <c r="T436" s="32">
        <v>45137</v>
      </c>
      <c r="U436" s="31">
        <v>7317</v>
      </c>
      <c r="V436" s="32">
        <v>45163</v>
      </c>
      <c r="W436" s="33" t="s">
        <v>1206</v>
      </c>
      <c r="X436" s="35">
        <v>0</v>
      </c>
      <c r="Y436" s="22">
        <v>0</v>
      </c>
      <c r="Z436" s="26" t="s">
        <v>118</v>
      </c>
      <c r="AA436" s="19" t="s">
        <v>901</v>
      </c>
      <c r="AB436" s="35" t="s">
        <v>2408</v>
      </c>
      <c r="AC436" s="26" t="s">
        <v>53</v>
      </c>
      <c r="AD436" s="19" t="s">
        <v>54</v>
      </c>
      <c r="AE436" s="26">
        <v>0</v>
      </c>
      <c r="AF436" s="17">
        <v>45204</v>
      </c>
      <c r="AG436" s="26"/>
      <c r="AH436" s="36">
        <v>1</v>
      </c>
      <c r="AI436" s="37" t="s">
        <v>64</v>
      </c>
      <c r="AJ436" s="35"/>
      <c r="AK436" s="35"/>
      <c r="AL436" s="35"/>
      <c r="AM436" s="35"/>
      <c r="AN436" s="35"/>
      <c r="AO436" s="35"/>
      <c r="AP436" s="35"/>
    </row>
    <row r="437" spans="1:42" x14ac:dyDescent="0.2">
      <c r="A437" s="27">
        <v>45134.349719363425</v>
      </c>
      <c r="B437" s="28" t="s">
        <v>37</v>
      </c>
      <c r="C437" s="41" t="s">
        <v>118</v>
      </c>
      <c r="D437" s="26" t="s">
        <v>36</v>
      </c>
      <c r="E437" s="26" t="s">
        <v>39</v>
      </c>
      <c r="F437" s="26" t="s">
        <v>707</v>
      </c>
      <c r="G437" s="35" t="s">
        <v>108</v>
      </c>
      <c r="H437" s="26" t="s">
        <v>2415</v>
      </c>
      <c r="I437" s="17">
        <f ca="1">IFERROR(__xludf.DUMMYFUNCTION("""COMPUTED_VALUE"""),45254)</f>
        <v>45254</v>
      </c>
      <c r="J437" s="29" t="s">
        <v>718</v>
      </c>
      <c r="K437" s="26" t="s">
        <v>2416</v>
      </c>
      <c r="L437" s="30">
        <v>352598172</v>
      </c>
      <c r="M437" s="26" t="s">
        <v>80</v>
      </c>
      <c r="N437" s="26" t="s">
        <v>299</v>
      </c>
      <c r="O437" s="26" t="s">
        <v>720</v>
      </c>
      <c r="P437" s="42" t="s">
        <v>2417</v>
      </c>
      <c r="Q437" s="20">
        <v>5736</v>
      </c>
      <c r="R437" s="26" t="s">
        <v>36</v>
      </c>
      <c r="S437" s="31">
        <v>5736</v>
      </c>
      <c r="T437" s="32">
        <v>45134</v>
      </c>
      <c r="U437" s="31"/>
      <c r="V437" s="26"/>
      <c r="W437" s="33" t="s">
        <v>722</v>
      </c>
      <c r="X437" s="26">
        <v>0</v>
      </c>
      <c r="Y437" s="22">
        <v>0</v>
      </c>
      <c r="Z437" s="26" t="s">
        <v>118</v>
      </c>
      <c r="AA437" s="19" t="s">
        <v>51</v>
      </c>
      <c r="AB437" s="35" t="s">
        <v>2408</v>
      </c>
      <c r="AC437" s="26" t="s">
        <v>53</v>
      </c>
      <c r="AD437" s="19" t="s">
        <v>54</v>
      </c>
      <c r="AE437" s="26">
        <v>0</v>
      </c>
      <c r="AF437" s="17">
        <v>45199</v>
      </c>
      <c r="AG437" s="26" t="s">
        <v>2418</v>
      </c>
      <c r="AH437" s="26">
        <v>1</v>
      </c>
      <c r="AI437" s="40" t="s">
        <v>55</v>
      </c>
      <c r="AJ437" s="26"/>
      <c r="AK437" s="26"/>
      <c r="AL437" s="35"/>
      <c r="AM437" s="35"/>
      <c r="AN437" s="35"/>
      <c r="AO437" s="35"/>
      <c r="AP437" s="35"/>
    </row>
    <row r="438" spans="1:42" x14ac:dyDescent="0.2">
      <c r="A438" s="27">
        <v>45134.590434004625</v>
      </c>
      <c r="B438" s="28" t="s">
        <v>37</v>
      </c>
      <c r="C438" s="41" t="s">
        <v>118</v>
      </c>
      <c r="D438" s="26" t="s">
        <v>36</v>
      </c>
      <c r="E438" s="26" t="s">
        <v>56</v>
      </c>
      <c r="F438" s="26" t="s">
        <v>707</v>
      </c>
      <c r="G438" s="35" t="s">
        <v>108</v>
      </c>
      <c r="H438" s="26" t="s">
        <v>1781</v>
      </c>
      <c r="I438" s="17">
        <f ca="1">IFERROR(__xludf.DUMMYFUNCTION("""COMPUTED_VALUE"""),45203)</f>
        <v>45203</v>
      </c>
      <c r="J438" s="29" t="s">
        <v>735</v>
      </c>
      <c r="K438" s="26" t="s">
        <v>736</v>
      </c>
      <c r="L438" s="30">
        <v>969534780</v>
      </c>
      <c r="M438" s="26" t="s">
        <v>59</v>
      </c>
      <c r="N438" s="26" t="s">
        <v>260</v>
      </c>
      <c r="O438" s="26" t="s">
        <v>737</v>
      </c>
      <c r="P438" s="42" t="s">
        <v>2419</v>
      </c>
      <c r="Q438" s="20">
        <v>9317</v>
      </c>
      <c r="R438" s="26" t="s">
        <v>70</v>
      </c>
      <c r="S438" s="31">
        <v>9317</v>
      </c>
      <c r="T438" s="32">
        <v>45133</v>
      </c>
      <c r="U438" s="31"/>
      <c r="V438" s="26"/>
      <c r="W438" s="26"/>
      <c r="X438" s="26">
        <v>100</v>
      </c>
      <c r="Y438" s="22">
        <v>-100</v>
      </c>
      <c r="Z438" s="26" t="s">
        <v>118</v>
      </c>
      <c r="AA438" s="19" t="s">
        <v>51</v>
      </c>
      <c r="AB438" s="26" t="s">
        <v>104</v>
      </c>
      <c r="AC438" s="26" t="s">
        <v>53</v>
      </c>
      <c r="AD438" s="19" t="s">
        <v>54</v>
      </c>
      <c r="AE438" s="26" t="s">
        <v>72</v>
      </c>
      <c r="AF438" s="17">
        <v>45199</v>
      </c>
      <c r="AG438" s="26"/>
      <c r="AH438" s="26">
        <v>1</v>
      </c>
      <c r="AI438" s="40" t="s">
        <v>64</v>
      </c>
      <c r="AJ438" s="26"/>
      <c r="AK438" s="26"/>
      <c r="AL438" s="35"/>
      <c r="AM438" s="35"/>
      <c r="AN438" s="35"/>
      <c r="AO438" s="35"/>
      <c r="AP438" s="35"/>
    </row>
    <row r="439" spans="1:42" x14ac:dyDescent="0.2">
      <c r="A439" s="27">
        <v>45135.2728866088</v>
      </c>
      <c r="B439" s="28" t="s">
        <v>37</v>
      </c>
      <c r="C439" s="41" t="s">
        <v>118</v>
      </c>
      <c r="D439" s="26" t="s">
        <v>36</v>
      </c>
      <c r="E439" s="26" t="s">
        <v>139</v>
      </c>
      <c r="F439" s="26" t="s">
        <v>694</v>
      </c>
      <c r="G439" s="35" t="s">
        <v>108</v>
      </c>
      <c r="H439" s="26" t="s">
        <v>1853</v>
      </c>
      <c r="I439" s="17">
        <f ca="1">IFERROR(__xludf.DUMMYFUNCTION("""COMPUTED_VALUE"""),45229)</f>
        <v>45229</v>
      </c>
      <c r="J439" s="29" t="s">
        <v>760</v>
      </c>
      <c r="K439" s="26" t="s">
        <v>2420</v>
      </c>
      <c r="L439" s="30">
        <v>964065205</v>
      </c>
      <c r="M439" s="26" t="s">
        <v>123</v>
      </c>
      <c r="N439" s="26" t="s">
        <v>151</v>
      </c>
      <c r="O439" s="26" t="s">
        <v>134</v>
      </c>
      <c r="P439" s="26" t="s">
        <v>762</v>
      </c>
      <c r="Q439" s="20">
        <v>15936</v>
      </c>
      <c r="R439" s="26" t="s">
        <v>36</v>
      </c>
      <c r="S439" s="31">
        <v>15936</v>
      </c>
      <c r="T439" s="32">
        <v>45134</v>
      </c>
      <c r="U439" s="31"/>
      <c r="V439" s="26"/>
      <c r="W439" s="33" t="s">
        <v>763</v>
      </c>
      <c r="X439" s="26">
        <v>0</v>
      </c>
      <c r="Y439" s="22">
        <v>0</v>
      </c>
      <c r="Z439" s="26" t="s">
        <v>118</v>
      </c>
      <c r="AA439" s="19" t="s">
        <v>51</v>
      </c>
      <c r="AB439" s="26" t="s">
        <v>104</v>
      </c>
      <c r="AC439" s="26" t="s">
        <v>53</v>
      </c>
      <c r="AD439" s="19" t="s">
        <v>54</v>
      </c>
      <c r="AE439" s="26"/>
      <c r="AF439" s="17">
        <v>45229</v>
      </c>
      <c r="AG439" s="26" t="s">
        <v>1631</v>
      </c>
      <c r="AH439" s="26">
        <v>1</v>
      </c>
      <c r="AI439" s="40" t="s">
        <v>147</v>
      </c>
      <c r="AJ439" s="26"/>
      <c r="AK439" s="26"/>
      <c r="AL439" s="35"/>
      <c r="AM439" s="35"/>
      <c r="AN439" s="35"/>
      <c r="AO439" s="35"/>
      <c r="AP439" s="35"/>
    </row>
    <row r="440" spans="1:42" x14ac:dyDescent="0.2">
      <c r="A440" s="27">
        <v>45133.158599259259</v>
      </c>
      <c r="B440" s="28" t="s">
        <v>37</v>
      </c>
      <c r="C440" s="41" t="s">
        <v>118</v>
      </c>
      <c r="D440" s="26" t="s">
        <v>36</v>
      </c>
      <c r="E440" s="26" t="s">
        <v>56</v>
      </c>
      <c r="F440" s="26" t="s">
        <v>505</v>
      </c>
      <c r="G440" s="35" t="s">
        <v>108</v>
      </c>
      <c r="H440" s="26" t="s">
        <v>2421</v>
      </c>
      <c r="I440" s="17">
        <f ca="1">IFERROR(__xludf.DUMMYFUNCTION("""COMPUTED_VALUE"""),45201)</f>
        <v>45201</v>
      </c>
      <c r="J440" s="29" t="s">
        <v>1130</v>
      </c>
      <c r="K440" s="26" t="s">
        <v>2422</v>
      </c>
      <c r="L440" s="30">
        <v>376281233</v>
      </c>
      <c r="M440" s="26" t="s">
        <v>123</v>
      </c>
      <c r="N440" s="26" t="s">
        <v>151</v>
      </c>
      <c r="O440" s="26" t="s">
        <v>134</v>
      </c>
      <c r="P440" s="42" t="s">
        <v>2423</v>
      </c>
      <c r="Q440" s="20">
        <v>9317</v>
      </c>
      <c r="R440" s="26" t="s">
        <v>70</v>
      </c>
      <c r="S440" s="31">
        <v>2000</v>
      </c>
      <c r="T440" s="32">
        <v>45133</v>
      </c>
      <c r="U440" s="31">
        <v>7317</v>
      </c>
      <c r="V440" s="32">
        <v>45153</v>
      </c>
      <c r="W440" s="33" t="s">
        <v>1133</v>
      </c>
      <c r="X440" s="26">
        <v>100</v>
      </c>
      <c r="Y440" s="22">
        <v>-100</v>
      </c>
      <c r="Z440" s="26" t="s">
        <v>118</v>
      </c>
      <c r="AA440" s="19" t="s">
        <v>901</v>
      </c>
      <c r="AB440" s="26" t="s">
        <v>104</v>
      </c>
      <c r="AC440" s="26" t="s">
        <v>53</v>
      </c>
      <c r="AD440" s="19" t="s">
        <v>54</v>
      </c>
      <c r="AE440" s="26"/>
      <c r="AF440" s="17">
        <v>45196</v>
      </c>
      <c r="AG440" s="26"/>
      <c r="AH440" s="26">
        <v>1</v>
      </c>
      <c r="AI440" s="40" t="s">
        <v>64</v>
      </c>
      <c r="AJ440" s="26"/>
      <c r="AK440" s="26"/>
      <c r="AL440" s="35"/>
      <c r="AM440" s="35"/>
      <c r="AN440" s="35"/>
      <c r="AO440" s="35"/>
      <c r="AP440" s="35"/>
    </row>
    <row r="441" spans="1:42" x14ac:dyDescent="0.2">
      <c r="A441" s="27">
        <v>45117.616404953704</v>
      </c>
      <c r="B441" s="28" t="s">
        <v>37</v>
      </c>
      <c r="C441" s="41" t="s">
        <v>118</v>
      </c>
      <c r="D441" s="26" t="s">
        <v>36</v>
      </c>
      <c r="E441" s="26" t="s">
        <v>139</v>
      </c>
      <c r="F441" s="26" t="s">
        <v>257</v>
      </c>
      <c r="G441" s="26" t="s">
        <v>108</v>
      </c>
      <c r="H441" s="26" t="s">
        <v>2424</v>
      </c>
      <c r="I441" s="17">
        <f ca="1">IFERROR(__xludf.DUMMYFUNCTION("""COMPUTED_VALUE"""),45205)</f>
        <v>45205</v>
      </c>
      <c r="J441" s="29" t="s">
        <v>962</v>
      </c>
      <c r="K441" s="26" t="s">
        <v>963</v>
      </c>
      <c r="L441" s="30">
        <v>564104314</v>
      </c>
      <c r="M441" s="26" t="s">
        <v>123</v>
      </c>
      <c r="N441" s="26" t="s">
        <v>207</v>
      </c>
      <c r="O441" s="26" t="s">
        <v>964</v>
      </c>
      <c r="P441" s="42" t="s">
        <v>2425</v>
      </c>
      <c r="Q441" s="20">
        <v>15936</v>
      </c>
      <c r="R441" s="26" t="s">
        <v>36</v>
      </c>
      <c r="S441" s="31">
        <v>5000</v>
      </c>
      <c r="T441" s="32">
        <v>45117</v>
      </c>
      <c r="U441" s="58">
        <f>10930+6</f>
        <v>10936</v>
      </c>
      <c r="V441" s="26" t="s">
        <v>966</v>
      </c>
      <c r="W441" s="33" t="s">
        <v>967</v>
      </c>
      <c r="X441" s="26">
        <v>0</v>
      </c>
      <c r="Y441" s="22">
        <v>0</v>
      </c>
      <c r="Z441" s="26" t="s">
        <v>118</v>
      </c>
      <c r="AA441" s="19" t="s">
        <v>901</v>
      </c>
      <c r="AB441" s="26"/>
      <c r="AC441" s="26" t="s">
        <v>53</v>
      </c>
      <c r="AD441" s="19" t="s">
        <v>54</v>
      </c>
      <c r="AE441" s="26">
        <v>0</v>
      </c>
      <c r="AF441" s="17">
        <v>45199</v>
      </c>
      <c r="AG441" s="26"/>
      <c r="AH441" s="26">
        <v>1</v>
      </c>
      <c r="AI441" s="40" t="s">
        <v>147</v>
      </c>
      <c r="AJ441" s="26"/>
      <c r="AK441" s="26"/>
      <c r="AL441" s="35"/>
      <c r="AM441" s="35"/>
      <c r="AN441" s="35"/>
      <c r="AO441" s="35"/>
      <c r="AP441" s="35"/>
    </row>
    <row r="442" spans="1:42" x14ac:dyDescent="0.2">
      <c r="A442" s="14">
        <v>45198</v>
      </c>
      <c r="B442" s="68" t="s">
        <v>37</v>
      </c>
      <c r="C442" s="41" t="s">
        <v>118</v>
      </c>
      <c r="D442" s="26" t="s">
        <v>36</v>
      </c>
      <c r="E442" s="26" t="s">
        <v>106</v>
      </c>
      <c r="F442" s="26" t="s">
        <v>2257</v>
      </c>
      <c r="G442" s="35" t="s">
        <v>108</v>
      </c>
      <c r="H442" s="26" t="s">
        <v>2426</v>
      </c>
      <c r="I442" s="17">
        <f ca="1">IFERROR(__xludf.DUMMYFUNCTION("""COMPUTED_VALUE"""),45215)</f>
        <v>45215</v>
      </c>
      <c r="J442" s="29" t="s">
        <v>2427</v>
      </c>
      <c r="K442" s="93" t="s">
        <v>2428</v>
      </c>
      <c r="L442" s="30">
        <v>828268695</v>
      </c>
      <c r="M442" s="35" t="s">
        <v>1245</v>
      </c>
      <c r="N442" s="35" t="s">
        <v>2429</v>
      </c>
      <c r="O442" s="35"/>
      <c r="P442" s="72" t="s">
        <v>2430</v>
      </c>
      <c r="Q442" s="20">
        <v>3768</v>
      </c>
      <c r="R442" s="26" t="s">
        <v>36</v>
      </c>
      <c r="S442" s="58">
        <v>3768</v>
      </c>
      <c r="T442" s="32">
        <v>44652</v>
      </c>
      <c r="U442" s="58"/>
      <c r="V442" s="26"/>
      <c r="W442" s="33" t="s">
        <v>2431</v>
      </c>
      <c r="X442" s="35"/>
      <c r="Y442" s="22">
        <v>0</v>
      </c>
      <c r="Z442" s="26" t="s">
        <v>118</v>
      </c>
      <c r="AA442" s="19" t="s">
        <v>2432</v>
      </c>
      <c r="AB442" s="26" t="s">
        <v>2433</v>
      </c>
      <c r="AC442" s="26" t="s">
        <v>53</v>
      </c>
      <c r="AD442" s="19" t="s">
        <v>54</v>
      </c>
      <c r="AE442" s="35"/>
      <c r="AF442" s="17">
        <v>45204</v>
      </c>
      <c r="AG442" s="91"/>
      <c r="AH442" s="92"/>
      <c r="AI442" s="92"/>
      <c r="AJ442" s="35"/>
      <c r="AK442" s="35"/>
      <c r="AL442" s="35"/>
      <c r="AM442" s="35"/>
      <c r="AN442" s="35"/>
      <c r="AO442" s="35"/>
      <c r="AP442" s="35"/>
    </row>
    <row r="443" spans="1:42" x14ac:dyDescent="0.2">
      <c r="A443" s="27">
        <v>45132.206383668978</v>
      </c>
      <c r="B443" s="28" t="s">
        <v>37</v>
      </c>
      <c r="C443" s="41" t="s">
        <v>118</v>
      </c>
      <c r="D443" s="26" t="s">
        <v>36</v>
      </c>
      <c r="E443" s="26" t="s">
        <v>56</v>
      </c>
      <c r="F443" s="26" t="s">
        <v>642</v>
      </c>
      <c r="G443" s="71" t="s">
        <v>108</v>
      </c>
      <c r="H443" s="26" t="s">
        <v>2434</v>
      </c>
      <c r="I443" s="17">
        <f ca="1">IFERROR(__xludf.DUMMYFUNCTION("""COMPUTED_VALUE"""),45320)</f>
        <v>45320</v>
      </c>
      <c r="J443" s="29" t="s">
        <v>1122</v>
      </c>
      <c r="K443" s="26" t="s">
        <v>2435</v>
      </c>
      <c r="L443" s="30">
        <v>363399640</v>
      </c>
      <c r="M443" s="26" t="s">
        <v>123</v>
      </c>
      <c r="N443" s="26" t="s">
        <v>151</v>
      </c>
      <c r="O443" s="26" t="s">
        <v>134</v>
      </c>
      <c r="P443" s="42" t="s">
        <v>1124</v>
      </c>
      <c r="Q443" s="20">
        <v>9317</v>
      </c>
      <c r="R443" s="26" t="s">
        <v>70</v>
      </c>
      <c r="S443" s="31">
        <v>1968</v>
      </c>
      <c r="T443" s="32">
        <v>45132</v>
      </c>
      <c r="U443" s="31">
        <v>7249</v>
      </c>
      <c r="V443" s="38">
        <v>45156</v>
      </c>
      <c r="W443" s="33" t="s">
        <v>1125</v>
      </c>
      <c r="X443" s="26">
        <v>100</v>
      </c>
      <c r="Y443" s="22">
        <v>0</v>
      </c>
      <c r="Z443" s="26" t="s">
        <v>118</v>
      </c>
      <c r="AA443" s="19" t="s">
        <v>901</v>
      </c>
      <c r="AB443" s="26" t="s">
        <v>104</v>
      </c>
      <c r="AC443" s="26" t="s">
        <v>53</v>
      </c>
      <c r="AD443" s="19" t="s">
        <v>54</v>
      </c>
      <c r="AE443" s="26"/>
      <c r="AF443" s="43">
        <v>45218</v>
      </c>
      <c r="AG443" s="26"/>
      <c r="AH443" s="26">
        <v>1</v>
      </c>
      <c r="AI443" s="40" t="s">
        <v>64</v>
      </c>
      <c r="AJ443" s="26"/>
      <c r="AK443" s="26"/>
      <c r="AL443" s="35"/>
      <c r="AM443" s="35"/>
      <c r="AN443" s="35"/>
      <c r="AO443" s="35"/>
      <c r="AP443" s="35"/>
    </row>
    <row r="444" spans="1:42" x14ac:dyDescent="0.2">
      <c r="A444" s="27">
        <v>45132.2079428125</v>
      </c>
      <c r="B444" s="28" t="s">
        <v>37</v>
      </c>
      <c r="C444" s="41" t="s">
        <v>118</v>
      </c>
      <c r="D444" s="26" t="s">
        <v>36</v>
      </c>
      <c r="E444" s="26" t="s">
        <v>56</v>
      </c>
      <c r="F444" s="26" t="s">
        <v>642</v>
      </c>
      <c r="G444" s="71" t="s">
        <v>108</v>
      </c>
      <c r="H444" s="26" t="s">
        <v>1788</v>
      </c>
      <c r="I444" s="17">
        <f ca="1">IFERROR(__xludf.DUMMYFUNCTION("""COMPUTED_VALUE"""),45228)</f>
        <v>45228</v>
      </c>
      <c r="J444" s="29" t="s">
        <v>1126</v>
      </c>
      <c r="K444" s="26" t="s">
        <v>1127</v>
      </c>
      <c r="L444" s="30">
        <v>363963244</v>
      </c>
      <c r="M444" s="26" t="s">
        <v>123</v>
      </c>
      <c r="N444" s="26" t="s">
        <v>151</v>
      </c>
      <c r="O444" s="26" t="s">
        <v>134</v>
      </c>
      <c r="P444" s="42" t="s">
        <v>1128</v>
      </c>
      <c r="Q444" s="20">
        <v>9317</v>
      </c>
      <c r="R444" s="26" t="s">
        <v>70</v>
      </c>
      <c r="S444" s="31">
        <v>1968</v>
      </c>
      <c r="T444" s="32">
        <v>45132</v>
      </c>
      <c r="U444" s="31">
        <v>7249</v>
      </c>
      <c r="V444" s="38">
        <v>45156</v>
      </c>
      <c r="W444" s="33" t="s">
        <v>1129</v>
      </c>
      <c r="X444" s="26">
        <v>100</v>
      </c>
      <c r="Y444" s="22">
        <v>0</v>
      </c>
      <c r="Z444" s="26" t="s">
        <v>118</v>
      </c>
      <c r="AA444" s="19" t="s">
        <v>901</v>
      </c>
      <c r="AB444" s="26" t="s">
        <v>104</v>
      </c>
      <c r="AC444" s="26" t="s">
        <v>53</v>
      </c>
      <c r="AD444" s="19" t="s">
        <v>54</v>
      </c>
      <c r="AE444" s="26"/>
      <c r="AF444" s="43">
        <v>45218</v>
      </c>
      <c r="AG444" s="26"/>
      <c r="AH444" s="26">
        <v>1</v>
      </c>
      <c r="AI444" s="40" t="s">
        <v>64</v>
      </c>
      <c r="AJ444" s="26"/>
      <c r="AK444" s="26"/>
      <c r="AL444" s="35"/>
      <c r="AM444" s="35"/>
      <c r="AN444" s="35"/>
      <c r="AO444" s="35"/>
      <c r="AP444" s="35"/>
    </row>
    <row r="445" spans="1:42" x14ac:dyDescent="0.2">
      <c r="A445" s="27">
        <v>45131.61167795139</v>
      </c>
      <c r="B445" s="28" t="s">
        <v>37</v>
      </c>
      <c r="C445" s="41" t="s">
        <v>118</v>
      </c>
      <c r="D445" s="26" t="s">
        <v>36</v>
      </c>
      <c r="E445" s="26" t="s">
        <v>139</v>
      </c>
      <c r="F445" s="26" t="s">
        <v>642</v>
      </c>
      <c r="G445" s="71" t="s">
        <v>108</v>
      </c>
      <c r="H445" s="26" t="s">
        <v>2436</v>
      </c>
      <c r="I445" s="17" t="str">
        <f ca="1">IFERROR(__xludf.DUMMYFUNCTION("""COMPUTED_VALUE""")," ")</f>
        <v xml:space="preserve"> </v>
      </c>
      <c r="J445" s="29" t="s">
        <v>1118</v>
      </c>
      <c r="K445" s="26" t="s">
        <v>2437</v>
      </c>
      <c r="L445" s="30">
        <v>969712615</v>
      </c>
      <c r="M445" s="26" t="s">
        <v>123</v>
      </c>
      <c r="N445" s="26" t="s">
        <v>151</v>
      </c>
      <c r="O445" s="26" t="s">
        <v>134</v>
      </c>
      <c r="P445" s="42" t="s">
        <v>2438</v>
      </c>
      <c r="Q445" s="20">
        <v>15936</v>
      </c>
      <c r="R445" s="26" t="s">
        <v>36</v>
      </c>
      <c r="S445" s="31">
        <v>1968</v>
      </c>
      <c r="T445" s="32">
        <v>45131</v>
      </c>
      <c r="U445" s="31">
        <v>13968</v>
      </c>
      <c r="V445" s="32">
        <v>45153</v>
      </c>
      <c r="W445" s="33" t="s">
        <v>1121</v>
      </c>
      <c r="X445" s="26">
        <v>0</v>
      </c>
      <c r="Y445" s="22">
        <v>0</v>
      </c>
      <c r="Z445" s="26" t="s">
        <v>118</v>
      </c>
      <c r="AA445" s="19" t="s">
        <v>901</v>
      </c>
      <c r="AB445" s="26" t="s">
        <v>104</v>
      </c>
      <c r="AC445" s="26" t="s">
        <v>53</v>
      </c>
      <c r="AD445" s="19" t="s">
        <v>54</v>
      </c>
      <c r="AE445" s="26"/>
      <c r="AF445" s="43">
        <v>45218</v>
      </c>
      <c r="AG445" s="26"/>
      <c r="AH445" s="26">
        <v>1</v>
      </c>
      <c r="AI445" s="40" t="s">
        <v>147</v>
      </c>
      <c r="AJ445" s="26"/>
      <c r="AK445" s="26"/>
      <c r="AL445" s="35"/>
      <c r="AM445" s="35"/>
      <c r="AN445" s="35"/>
      <c r="AO445" s="35"/>
      <c r="AP445" s="35"/>
    </row>
    <row r="446" spans="1:42" x14ac:dyDescent="0.2">
      <c r="A446" s="27">
        <v>45130.484909432867</v>
      </c>
      <c r="B446" s="28" t="s">
        <v>37</v>
      </c>
      <c r="C446" s="41" t="s">
        <v>118</v>
      </c>
      <c r="D446" s="26" t="s">
        <v>36</v>
      </c>
      <c r="E446" s="26" t="s">
        <v>139</v>
      </c>
      <c r="F446" s="26" t="s">
        <v>545</v>
      </c>
      <c r="G446" s="71" t="s">
        <v>108</v>
      </c>
      <c r="H446" s="26" t="s">
        <v>1788</v>
      </c>
      <c r="I446" s="17">
        <f ca="1">IFERROR(__xludf.DUMMYFUNCTION("""COMPUTED_VALUE"""),45228)</f>
        <v>45228</v>
      </c>
      <c r="J446" s="29" t="s">
        <v>1113</v>
      </c>
      <c r="K446" s="26" t="s">
        <v>2439</v>
      </c>
      <c r="L446" s="30">
        <v>967495817</v>
      </c>
      <c r="M446" s="26" t="s">
        <v>123</v>
      </c>
      <c r="N446" s="26" t="s">
        <v>151</v>
      </c>
      <c r="O446" s="26" t="s">
        <v>134</v>
      </c>
      <c r="P446" s="26" t="s">
        <v>1115</v>
      </c>
      <c r="Q446" s="20">
        <v>15936</v>
      </c>
      <c r="R446" s="26" t="s">
        <v>36</v>
      </c>
      <c r="S446" s="31">
        <v>1968</v>
      </c>
      <c r="T446" s="32">
        <v>45130</v>
      </c>
      <c r="U446" s="64">
        <f>13960+8</f>
        <v>13968</v>
      </c>
      <c r="V446" s="39" t="s">
        <v>1116</v>
      </c>
      <c r="W446" s="33" t="s">
        <v>1117</v>
      </c>
      <c r="X446" s="26">
        <v>0</v>
      </c>
      <c r="Y446" s="22">
        <v>0</v>
      </c>
      <c r="Z446" s="26" t="s">
        <v>118</v>
      </c>
      <c r="AA446" s="19" t="s">
        <v>901</v>
      </c>
      <c r="AB446" s="26" t="s">
        <v>104</v>
      </c>
      <c r="AC446" s="26" t="s">
        <v>53</v>
      </c>
      <c r="AD446" s="19" t="s">
        <v>54</v>
      </c>
      <c r="AE446" s="26"/>
      <c r="AF446" s="43">
        <v>45218</v>
      </c>
      <c r="AG446" s="26"/>
      <c r="AH446" s="26">
        <v>1</v>
      </c>
      <c r="AI446" s="40" t="s">
        <v>147</v>
      </c>
      <c r="AJ446" s="26"/>
      <c r="AK446" s="26"/>
      <c r="AL446" s="35"/>
      <c r="AM446" s="35"/>
      <c r="AN446" s="35"/>
      <c r="AO446" s="35"/>
      <c r="AP446" s="35"/>
    </row>
    <row r="447" spans="1:42" x14ac:dyDescent="0.2">
      <c r="A447" s="27">
        <v>45133.669334293983</v>
      </c>
      <c r="B447" s="28" t="s">
        <v>37</v>
      </c>
      <c r="C447" s="41" t="s">
        <v>118</v>
      </c>
      <c r="D447" s="26" t="s">
        <v>36</v>
      </c>
      <c r="E447" s="26" t="s">
        <v>56</v>
      </c>
      <c r="F447" s="19" t="s">
        <v>1145</v>
      </c>
      <c r="G447" s="26" t="s">
        <v>108</v>
      </c>
      <c r="H447" s="19" t="s">
        <v>2440</v>
      </c>
      <c r="I447" s="17">
        <f ca="1">IFERROR(__xludf.DUMMYFUNCTION("""COMPUTED_VALUE"""),45306)</f>
        <v>45306</v>
      </c>
      <c r="J447" s="49" t="s">
        <v>1146</v>
      </c>
      <c r="K447" s="19" t="s">
        <v>2441</v>
      </c>
      <c r="L447" s="47">
        <v>866768171</v>
      </c>
      <c r="M447" s="19" t="s">
        <v>80</v>
      </c>
      <c r="N447" s="19" t="s">
        <v>186</v>
      </c>
      <c r="O447" s="19" t="s">
        <v>1148</v>
      </c>
      <c r="P447" s="42" t="s">
        <v>2442</v>
      </c>
      <c r="Q447" s="20">
        <v>9317</v>
      </c>
      <c r="R447" s="26" t="s">
        <v>36</v>
      </c>
      <c r="S447" s="31">
        <v>4000</v>
      </c>
      <c r="T447" s="32">
        <v>45133</v>
      </c>
      <c r="U447" s="31">
        <v>5317</v>
      </c>
      <c r="V447" s="32">
        <v>45163</v>
      </c>
      <c r="W447" s="33" t="s">
        <v>1150</v>
      </c>
      <c r="X447" s="26">
        <v>0</v>
      </c>
      <c r="Y447" s="22">
        <v>0</v>
      </c>
      <c r="Z447" s="26" t="s">
        <v>118</v>
      </c>
      <c r="AA447" s="19" t="s">
        <v>901</v>
      </c>
      <c r="AB447" s="26" t="s">
        <v>104</v>
      </c>
      <c r="AC447" s="26" t="s">
        <v>53</v>
      </c>
      <c r="AD447" s="19" t="s">
        <v>54</v>
      </c>
      <c r="AE447" s="26">
        <v>0</v>
      </c>
      <c r="AF447" s="43">
        <v>45215</v>
      </c>
      <c r="AG447" s="19" t="s">
        <v>2443</v>
      </c>
      <c r="AH447" s="26">
        <v>1</v>
      </c>
      <c r="AI447" s="40" t="s">
        <v>64</v>
      </c>
      <c r="AJ447" s="26"/>
      <c r="AK447" s="26"/>
      <c r="AL447" s="35"/>
      <c r="AM447" s="35"/>
      <c r="AN447" s="35"/>
      <c r="AO447" s="35"/>
      <c r="AP447" s="35"/>
    </row>
    <row r="448" spans="1:42" x14ac:dyDescent="0.2">
      <c r="A448" s="27">
        <v>45133.296833229164</v>
      </c>
      <c r="B448" s="28" t="s">
        <v>37</v>
      </c>
      <c r="C448" s="41" t="s">
        <v>118</v>
      </c>
      <c r="D448" s="26" t="s">
        <v>36</v>
      </c>
      <c r="E448" s="26" t="s">
        <v>56</v>
      </c>
      <c r="F448" s="26" t="s">
        <v>36</v>
      </c>
      <c r="G448" s="26" t="s">
        <v>41</v>
      </c>
      <c r="H448" s="26" t="s">
        <v>694</v>
      </c>
      <c r="I448" s="17">
        <f ca="1">IFERROR(__xludf.DUMMYFUNCTION("""COMPUTED_VALUE"""),45146)</f>
        <v>45146</v>
      </c>
      <c r="J448" s="29" t="s">
        <v>2444</v>
      </c>
      <c r="K448" s="26" t="s">
        <v>2445</v>
      </c>
      <c r="L448" s="30">
        <v>963627336</v>
      </c>
      <c r="M448" s="26" t="s">
        <v>80</v>
      </c>
      <c r="N448" s="26" t="s">
        <v>253</v>
      </c>
      <c r="O448" s="26" t="s">
        <v>2446</v>
      </c>
      <c r="P448" s="26" t="s">
        <v>2447</v>
      </c>
      <c r="Q448" s="20">
        <v>9317</v>
      </c>
      <c r="R448" s="26" t="s">
        <v>36</v>
      </c>
      <c r="S448" s="31">
        <v>2000</v>
      </c>
      <c r="T448" s="32">
        <v>45133</v>
      </c>
      <c r="U448" s="31">
        <v>7317</v>
      </c>
      <c r="V448" s="32">
        <v>45174</v>
      </c>
      <c r="W448" s="33" t="s">
        <v>2448</v>
      </c>
      <c r="X448" s="26"/>
      <c r="Y448" s="22">
        <v>0</v>
      </c>
      <c r="Z448" s="26" t="s">
        <v>50</v>
      </c>
      <c r="AA448" s="19" t="s">
        <v>2449</v>
      </c>
      <c r="AB448" s="26" t="s">
        <v>104</v>
      </c>
      <c r="AC448" s="26" t="s">
        <v>53</v>
      </c>
      <c r="AD448" s="19" t="s">
        <v>54</v>
      </c>
      <c r="AE448" s="26">
        <v>0</v>
      </c>
      <c r="AF448" s="17">
        <v>45140</v>
      </c>
      <c r="AG448" s="26" t="s">
        <v>2450</v>
      </c>
      <c r="AH448" s="26"/>
      <c r="AI448" s="40"/>
      <c r="AJ448" s="26"/>
      <c r="AK448" s="26"/>
      <c r="AL448" s="35"/>
      <c r="AM448" s="35"/>
      <c r="AN448" s="35"/>
      <c r="AO448" s="35"/>
      <c r="AP448" s="35"/>
    </row>
    <row r="449" spans="1:42" x14ac:dyDescent="0.2">
      <c r="A449" s="27">
        <v>45137.388139722221</v>
      </c>
      <c r="B449" s="28" t="s">
        <v>37</v>
      </c>
      <c r="C449" s="41" t="s">
        <v>118</v>
      </c>
      <c r="D449" s="26" t="s">
        <v>36</v>
      </c>
      <c r="E449" s="26" t="s">
        <v>39</v>
      </c>
      <c r="F449" s="26" t="s">
        <v>36</v>
      </c>
      <c r="G449" s="26" t="s">
        <v>41</v>
      </c>
      <c r="H449" s="26" t="s">
        <v>788</v>
      </c>
      <c r="I449" s="17">
        <f ca="1">IFERROR(__xludf.DUMMYFUNCTION("""COMPUTED_VALUE"""),45147)</f>
        <v>45147</v>
      </c>
      <c r="J449" s="29" t="s">
        <v>2451</v>
      </c>
      <c r="K449" s="26" t="s">
        <v>2452</v>
      </c>
      <c r="L449" s="30">
        <v>817002676</v>
      </c>
      <c r="M449" s="26" t="s">
        <v>80</v>
      </c>
      <c r="N449" s="26" t="s">
        <v>1073</v>
      </c>
      <c r="O449" s="26" t="s">
        <v>2453</v>
      </c>
      <c r="P449" s="26" t="s">
        <v>2454</v>
      </c>
      <c r="Q449" s="20">
        <v>5736</v>
      </c>
      <c r="R449" s="26" t="s">
        <v>36</v>
      </c>
      <c r="S449" s="31">
        <v>4000</v>
      </c>
      <c r="T449" s="32">
        <v>45137</v>
      </c>
      <c r="U449" s="31">
        <v>1736</v>
      </c>
      <c r="V449" s="32">
        <v>45184</v>
      </c>
      <c r="W449" s="33" t="s">
        <v>2455</v>
      </c>
      <c r="X449" s="26"/>
      <c r="Y449" s="22">
        <v>0</v>
      </c>
      <c r="Z449" s="26" t="s">
        <v>50</v>
      </c>
      <c r="AA449" s="19" t="s">
        <v>2449</v>
      </c>
      <c r="AB449" s="26" t="s">
        <v>104</v>
      </c>
      <c r="AC449" s="26" t="s">
        <v>53</v>
      </c>
      <c r="AD449" s="19" t="s">
        <v>54</v>
      </c>
      <c r="AE449" s="26">
        <v>0</v>
      </c>
      <c r="AF449" s="17">
        <v>45140</v>
      </c>
      <c r="AG449" s="26" t="s">
        <v>2456</v>
      </c>
      <c r="AH449" s="26"/>
      <c r="AI449" s="40"/>
      <c r="AJ449" s="26"/>
      <c r="AK449" s="26"/>
      <c r="AL449" s="35"/>
      <c r="AM449" s="35"/>
      <c r="AN449" s="35"/>
      <c r="AO449" s="35"/>
      <c r="AP449" s="35"/>
    </row>
    <row r="450" spans="1:42" x14ac:dyDescent="0.2">
      <c r="A450" s="27">
        <v>45138.642154270834</v>
      </c>
      <c r="B450" s="28" t="s">
        <v>37</v>
      </c>
      <c r="C450" s="41" t="s">
        <v>118</v>
      </c>
      <c r="D450" s="26" t="s">
        <v>36</v>
      </c>
      <c r="E450" s="26" t="s">
        <v>915</v>
      </c>
      <c r="F450" s="26" t="s">
        <v>36</v>
      </c>
      <c r="G450" s="26" t="s">
        <v>221</v>
      </c>
      <c r="H450" s="26" t="s">
        <v>1666</v>
      </c>
      <c r="I450" s="17">
        <f ca="1">IFERROR(__xludf.DUMMYFUNCTION("""COMPUTED_VALUE"""),45177)</f>
        <v>45177</v>
      </c>
      <c r="J450" s="29" t="s">
        <v>2457</v>
      </c>
      <c r="K450" s="26" t="s">
        <v>2458</v>
      </c>
      <c r="L450" s="30">
        <v>961014069</v>
      </c>
      <c r="M450" s="26" t="s">
        <v>123</v>
      </c>
      <c r="N450" s="26" t="s">
        <v>2459</v>
      </c>
      <c r="O450" s="26" t="s">
        <v>2460</v>
      </c>
      <c r="P450" s="26" t="s">
        <v>2461</v>
      </c>
      <c r="Q450" s="20">
        <v>10894</v>
      </c>
      <c r="R450" s="26" t="s">
        <v>36</v>
      </c>
      <c r="S450" s="31">
        <v>5000</v>
      </c>
      <c r="T450" s="32">
        <v>45138</v>
      </c>
      <c r="U450" s="31">
        <v>5894</v>
      </c>
      <c r="V450" s="32">
        <v>45194</v>
      </c>
      <c r="W450" s="33" t="s">
        <v>2462</v>
      </c>
      <c r="X450" s="26"/>
      <c r="Y450" s="22">
        <v>0</v>
      </c>
      <c r="Z450" s="26" t="s">
        <v>50</v>
      </c>
      <c r="AA450" s="19" t="s">
        <v>2449</v>
      </c>
      <c r="AB450" s="26" t="s">
        <v>104</v>
      </c>
      <c r="AC450" s="26" t="s">
        <v>53</v>
      </c>
      <c r="AD450" s="19" t="s">
        <v>54</v>
      </c>
      <c r="AE450" s="26">
        <v>580</v>
      </c>
      <c r="AF450" s="17">
        <v>45167</v>
      </c>
      <c r="AG450" s="26"/>
      <c r="AH450" s="26"/>
      <c r="AI450" s="40"/>
      <c r="AJ450" s="26"/>
      <c r="AK450" s="26"/>
      <c r="AL450" s="35"/>
      <c r="AM450" s="35"/>
      <c r="AN450" s="35"/>
      <c r="AO450" s="35"/>
      <c r="AP450" s="35"/>
    </row>
    <row r="451" spans="1:42" x14ac:dyDescent="0.2">
      <c r="A451" s="27">
        <v>45145.312231203701</v>
      </c>
      <c r="B451" s="28" t="s">
        <v>37</v>
      </c>
      <c r="C451" s="41" t="s">
        <v>118</v>
      </c>
      <c r="D451" s="26" t="s">
        <v>36</v>
      </c>
      <c r="E451" s="26" t="s">
        <v>77</v>
      </c>
      <c r="F451" s="26" t="s">
        <v>36</v>
      </c>
      <c r="G451" s="26" t="s">
        <v>41</v>
      </c>
      <c r="H451" s="26" t="s">
        <v>2463</v>
      </c>
      <c r="I451" s="17" t="str">
        <f ca="1">IFERROR(__xludf.DUMMYFUNCTION("""COMPUTED_VALUE""")," ")</f>
        <v xml:space="preserve"> </v>
      </c>
      <c r="J451" s="29" t="s">
        <v>2464</v>
      </c>
      <c r="K451" s="26" t="s">
        <v>2465</v>
      </c>
      <c r="L451" s="30">
        <v>335847202</v>
      </c>
      <c r="M451" s="26" t="s">
        <v>123</v>
      </c>
      <c r="N451" s="26" t="s">
        <v>310</v>
      </c>
      <c r="O451" s="26" t="s">
        <v>2466</v>
      </c>
      <c r="P451" s="28" t="s">
        <v>2467</v>
      </c>
      <c r="Q451" s="20">
        <v>1968</v>
      </c>
      <c r="R451" s="26" t="s">
        <v>36</v>
      </c>
      <c r="S451" s="31">
        <v>1968</v>
      </c>
      <c r="T451" s="32">
        <v>45145</v>
      </c>
      <c r="U451" s="31"/>
      <c r="V451" s="26"/>
      <c r="W451" s="55" t="s">
        <v>2468</v>
      </c>
      <c r="X451" s="26"/>
      <c r="Y451" s="22">
        <v>0</v>
      </c>
      <c r="Z451" s="26" t="s">
        <v>50</v>
      </c>
      <c r="AA451" s="19" t="s">
        <v>2449</v>
      </c>
      <c r="AB451" s="26" t="s">
        <v>104</v>
      </c>
      <c r="AC451" s="26" t="s">
        <v>53</v>
      </c>
      <c r="AD451" s="19" t="s">
        <v>54</v>
      </c>
      <c r="AE451" s="26"/>
      <c r="AF451" s="17">
        <v>45146</v>
      </c>
      <c r="AG451" s="26" t="s">
        <v>2469</v>
      </c>
      <c r="AH451" s="26"/>
      <c r="AI451" s="40"/>
      <c r="AJ451" s="26"/>
      <c r="AK451" s="26"/>
      <c r="AL451" s="35"/>
      <c r="AM451" s="35"/>
      <c r="AN451" s="35"/>
      <c r="AO451" s="35"/>
      <c r="AP451" s="35"/>
    </row>
    <row r="452" spans="1:42" x14ac:dyDescent="0.2">
      <c r="A452" s="27">
        <v>45150.660046655088</v>
      </c>
      <c r="B452" s="28" t="s">
        <v>37</v>
      </c>
      <c r="C452" s="41" t="s">
        <v>118</v>
      </c>
      <c r="D452" s="26" t="s">
        <v>36</v>
      </c>
      <c r="E452" s="26" t="s">
        <v>139</v>
      </c>
      <c r="F452" s="26" t="s">
        <v>36</v>
      </c>
      <c r="G452" s="26" t="s">
        <v>41</v>
      </c>
      <c r="H452" s="26" t="s">
        <v>1397</v>
      </c>
      <c r="I452" s="17">
        <f ca="1">IFERROR(__xludf.DUMMYFUNCTION("""COMPUTED_VALUE"""),45155)</f>
        <v>45155</v>
      </c>
      <c r="J452" s="29" t="s">
        <v>2470</v>
      </c>
      <c r="K452" s="26" t="s">
        <v>2471</v>
      </c>
      <c r="L452" s="30">
        <v>846864818</v>
      </c>
      <c r="M452" s="26" t="s">
        <v>123</v>
      </c>
      <c r="N452" s="26" t="s">
        <v>2472</v>
      </c>
      <c r="O452" s="26" t="s">
        <v>1226</v>
      </c>
      <c r="P452" s="26" t="s">
        <v>2473</v>
      </c>
      <c r="Q452" s="20">
        <v>15936</v>
      </c>
      <c r="R452" s="26" t="s">
        <v>36</v>
      </c>
      <c r="S452" s="31">
        <v>2000</v>
      </c>
      <c r="T452" s="32">
        <v>45149</v>
      </c>
      <c r="U452" s="31">
        <v>13936</v>
      </c>
      <c r="V452" s="32">
        <v>45174</v>
      </c>
      <c r="W452" s="33" t="s">
        <v>2474</v>
      </c>
      <c r="X452" s="26"/>
      <c r="Y452" s="22">
        <v>0</v>
      </c>
      <c r="Z452" s="26" t="s">
        <v>50</v>
      </c>
      <c r="AA452" s="19" t="s">
        <v>2449</v>
      </c>
      <c r="AB452" s="26" t="s">
        <v>104</v>
      </c>
      <c r="AC452" s="26" t="s">
        <v>53</v>
      </c>
      <c r="AD452" s="19" t="s">
        <v>54</v>
      </c>
      <c r="AE452" s="26"/>
      <c r="AF452" s="17">
        <v>45154</v>
      </c>
      <c r="AG452" s="26"/>
      <c r="AH452" s="26"/>
      <c r="AI452" s="40"/>
      <c r="AJ452" s="26"/>
      <c r="AK452" s="26"/>
      <c r="AL452" s="35"/>
      <c r="AM452" s="35"/>
      <c r="AN452" s="35"/>
      <c r="AO452" s="35"/>
      <c r="AP452" s="35"/>
    </row>
    <row r="453" spans="1:42" x14ac:dyDescent="0.2">
      <c r="A453" s="27">
        <v>45151.638951331013</v>
      </c>
      <c r="B453" s="28" t="s">
        <v>37</v>
      </c>
      <c r="C453" s="41" t="s">
        <v>118</v>
      </c>
      <c r="D453" s="26" t="s">
        <v>36</v>
      </c>
      <c r="E453" s="26" t="s">
        <v>139</v>
      </c>
      <c r="F453" s="26" t="s">
        <v>36</v>
      </c>
      <c r="G453" s="26" t="s">
        <v>41</v>
      </c>
      <c r="H453" s="26" t="s">
        <v>1454</v>
      </c>
      <c r="I453" s="17">
        <f ca="1">IFERROR(__xludf.DUMMYFUNCTION("""COMPUTED_VALUE"""),45156)</f>
        <v>45156</v>
      </c>
      <c r="J453" s="29" t="s">
        <v>2475</v>
      </c>
      <c r="K453" s="26" t="s">
        <v>2476</v>
      </c>
      <c r="L453" s="30">
        <v>366098587</v>
      </c>
      <c r="M453" s="26" t="s">
        <v>123</v>
      </c>
      <c r="N453" s="26" t="s">
        <v>310</v>
      </c>
      <c r="O453" s="26" t="s">
        <v>2477</v>
      </c>
      <c r="P453" s="26" t="s">
        <v>2478</v>
      </c>
      <c r="Q453" s="20">
        <v>15936</v>
      </c>
      <c r="R453" s="26" t="s">
        <v>36</v>
      </c>
      <c r="S453" s="31">
        <v>2000</v>
      </c>
      <c r="T453" s="32">
        <v>45151</v>
      </c>
      <c r="U453" s="31">
        <v>13936</v>
      </c>
      <c r="V453" s="32">
        <v>45176</v>
      </c>
      <c r="W453" s="33" t="s">
        <v>2479</v>
      </c>
      <c r="X453" s="26"/>
      <c r="Y453" s="22">
        <v>0</v>
      </c>
      <c r="Z453" s="26" t="s">
        <v>50</v>
      </c>
      <c r="AA453" s="19" t="s">
        <v>2449</v>
      </c>
      <c r="AB453" s="26" t="s">
        <v>104</v>
      </c>
      <c r="AC453" s="26" t="s">
        <v>53</v>
      </c>
      <c r="AD453" s="19" t="s">
        <v>54</v>
      </c>
      <c r="AE453" s="26"/>
      <c r="AF453" s="17">
        <v>45154</v>
      </c>
      <c r="AG453" s="26"/>
      <c r="AH453" s="26"/>
      <c r="AI453" s="40"/>
      <c r="AJ453" s="26"/>
      <c r="AK453" s="26"/>
      <c r="AL453" s="35"/>
      <c r="AM453" s="35"/>
      <c r="AN453" s="35"/>
      <c r="AO453" s="35"/>
      <c r="AP453" s="35"/>
    </row>
    <row r="454" spans="1:42" x14ac:dyDescent="0.2">
      <c r="A454" s="27">
        <v>45152.176410972221</v>
      </c>
      <c r="B454" s="28" t="s">
        <v>37</v>
      </c>
      <c r="C454" s="41" t="s">
        <v>118</v>
      </c>
      <c r="D454" s="26" t="s">
        <v>36</v>
      </c>
      <c r="E454" s="26" t="s">
        <v>139</v>
      </c>
      <c r="F454" s="26" t="s">
        <v>36</v>
      </c>
      <c r="G454" s="26" t="s">
        <v>41</v>
      </c>
      <c r="H454" s="26" t="s">
        <v>1397</v>
      </c>
      <c r="I454" s="17">
        <f ca="1">IFERROR(__xludf.DUMMYFUNCTION("""COMPUTED_VALUE"""),45155)</f>
        <v>45155</v>
      </c>
      <c r="J454" s="29" t="s">
        <v>2480</v>
      </c>
      <c r="K454" s="26" t="s">
        <v>2481</v>
      </c>
      <c r="L454" s="30">
        <v>889111445</v>
      </c>
      <c r="M454" s="26" t="s">
        <v>123</v>
      </c>
      <c r="N454" s="26" t="s">
        <v>310</v>
      </c>
      <c r="O454" s="26" t="s">
        <v>1226</v>
      </c>
      <c r="P454" s="26" t="s">
        <v>2482</v>
      </c>
      <c r="Q454" s="20">
        <v>15936</v>
      </c>
      <c r="R454" s="26" t="s">
        <v>36</v>
      </c>
      <c r="S454" s="31">
        <v>2000</v>
      </c>
      <c r="T454" s="32">
        <v>45152</v>
      </c>
      <c r="U454" s="31">
        <v>13936</v>
      </c>
      <c r="V454" s="32">
        <v>45176</v>
      </c>
      <c r="W454" s="33" t="s">
        <v>2483</v>
      </c>
      <c r="X454" s="26"/>
      <c r="Y454" s="22">
        <v>0</v>
      </c>
      <c r="Z454" s="26" t="s">
        <v>50</v>
      </c>
      <c r="AA454" s="19" t="s">
        <v>2449</v>
      </c>
      <c r="AB454" s="26" t="s">
        <v>104</v>
      </c>
      <c r="AC454" s="26" t="s">
        <v>53</v>
      </c>
      <c r="AD454" s="19" t="s">
        <v>54</v>
      </c>
      <c r="AE454" s="26"/>
      <c r="AF454" s="17">
        <v>45154</v>
      </c>
      <c r="AG454" s="26"/>
      <c r="AH454" s="26"/>
      <c r="AI454" s="40"/>
      <c r="AJ454" s="26"/>
      <c r="AK454" s="26"/>
      <c r="AL454" s="35"/>
      <c r="AM454" s="35"/>
      <c r="AN454" s="35"/>
      <c r="AO454" s="35"/>
      <c r="AP454" s="35"/>
    </row>
    <row r="455" spans="1:42" x14ac:dyDescent="0.2">
      <c r="A455" s="27">
        <v>45155.546277442132</v>
      </c>
      <c r="B455" s="28" t="s">
        <v>37</v>
      </c>
      <c r="C455" s="41" t="s">
        <v>118</v>
      </c>
      <c r="D455" s="26" t="s">
        <v>36</v>
      </c>
      <c r="E455" s="26" t="s">
        <v>139</v>
      </c>
      <c r="F455" s="26" t="s">
        <v>36</v>
      </c>
      <c r="G455" s="26" t="s">
        <v>41</v>
      </c>
      <c r="H455" s="26" t="s">
        <v>129</v>
      </c>
      <c r="I455" s="17">
        <f ca="1">IFERROR(__xludf.DUMMYFUNCTION("""COMPUTED_VALUE"""),45163)</f>
        <v>45163</v>
      </c>
      <c r="J455" s="29" t="s">
        <v>2484</v>
      </c>
      <c r="K455" s="26" t="s">
        <v>2485</v>
      </c>
      <c r="L455" s="30">
        <v>989920758</v>
      </c>
      <c r="M455" s="26" t="s">
        <v>123</v>
      </c>
      <c r="N455" s="26" t="s">
        <v>850</v>
      </c>
      <c r="O455" s="26" t="s">
        <v>1226</v>
      </c>
      <c r="P455" s="26" t="s">
        <v>2486</v>
      </c>
      <c r="Q455" s="20">
        <v>15936</v>
      </c>
      <c r="R455" s="26" t="s">
        <v>36</v>
      </c>
      <c r="S455" s="31">
        <v>500</v>
      </c>
      <c r="T455" s="32">
        <v>45154</v>
      </c>
      <c r="U455" s="21">
        <f>1500+13936</f>
        <v>15436</v>
      </c>
      <c r="V455" s="26" t="s">
        <v>2487</v>
      </c>
      <c r="W455" s="33" t="s">
        <v>2488</v>
      </c>
      <c r="X455" s="26"/>
      <c r="Y455" s="22">
        <v>0</v>
      </c>
      <c r="Z455" s="26" t="s">
        <v>50</v>
      </c>
      <c r="AA455" s="19" t="s">
        <v>2449</v>
      </c>
      <c r="AB455" s="26" t="s">
        <v>104</v>
      </c>
      <c r="AC455" s="26" t="s">
        <v>53</v>
      </c>
      <c r="AD455" s="19" t="s">
        <v>54</v>
      </c>
      <c r="AE455" s="26"/>
      <c r="AF455" s="17">
        <v>45156</v>
      </c>
      <c r="AG455" s="26"/>
      <c r="AH455" s="26"/>
      <c r="AI455" s="40"/>
      <c r="AJ455" s="26"/>
      <c r="AK455" s="26"/>
      <c r="AL455" s="35"/>
      <c r="AM455" s="35"/>
      <c r="AN455" s="35"/>
      <c r="AO455" s="35"/>
      <c r="AP455" s="35"/>
    </row>
    <row r="456" spans="1:42" x14ac:dyDescent="0.2">
      <c r="A456" s="27">
        <v>45155.553688101849</v>
      </c>
      <c r="B456" s="28" t="s">
        <v>37</v>
      </c>
      <c r="C456" s="41" t="s">
        <v>118</v>
      </c>
      <c r="D456" s="26" t="s">
        <v>36</v>
      </c>
      <c r="E456" s="26" t="s">
        <v>119</v>
      </c>
      <c r="F456" s="26" t="s">
        <v>36</v>
      </c>
      <c r="G456" s="26" t="s">
        <v>108</v>
      </c>
      <c r="H456" s="26" t="s">
        <v>1544</v>
      </c>
      <c r="I456" s="17">
        <f ca="1">IFERROR(__xludf.DUMMYFUNCTION("""COMPUTED_VALUE"""),45168)</f>
        <v>45168</v>
      </c>
      <c r="J456" s="29" t="s">
        <v>2489</v>
      </c>
      <c r="K456" s="26" t="s">
        <v>2490</v>
      </c>
      <c r="L456" s="30">
        <v>971417226</v>
      </c>
      <c r="M456" s="26" t="s">
        <v>80</v>
      </c>
      <c r="N456" s="26" t="s">
        <v>466</v>
      </c>
      <c r="O456" s="26" t="s">
        <v>2491</v>
      </c>
      <c r="P456" s="26" t="s">
        <v>2492</v>
      </c>
      <c r="Q456" s="20">
        <v>13968</v>
      </c>
      <c r="R456" s="26" t="s">
        <v>36</v>
      </c>
      <c r="S456" s="31">
        <v>4000</v>
      </c>
      <c r="T456" s="32">
        <v>45154</v>
      </c>
      <c r="U456" s="31">
        <v>9968</v>
      </c>
      <c r="V456" s="32">
        <v>45196</v>
      </c>
      <c r="W456" s="33" t="s">
        <v>2493</v>
      </c>
      <c r="X456" s="26"/>
      <c r="Y456" s="22">
        <v>0</v>
      </c>
      <c r="Z456" s="26" t="s">
        <v>50</v>
      </c>
      <c r="AA456" s="19" t="s">
        <v>2449</v>
      </c>
      <c r="AB456" s="26" t="s">
        <v>146</v>
      </c>
      <c r="AC456" s="26" t="s">
        <v>53</v>
      </c>
      <c r="AD456" s="19" t="s">
        <v>54</v>
      </c>
      <c r="AE456" s="26">
        <v>580</v>
      </c>
      <c r="AF456" s="17">
        <v>45159</v>
      </c>
      <c r="AG456" s="26"/>
      <c r="AH456" s="26"/>
      <c r="AI456" s="40"/>
      <c r="AJ456" s="26"/>
      <c r="AK456" s="26"/>
      <c r="AL456" s="35"/>
      <c r="AM456" s="35"/>
      <c r="AN456" s="35"/>
      <c r="AO456" s="35"/>
      <c r="AP456" s="35"/>
    </row>
    <row r="457" spans="1:42" x14ac:dyDescent="0.2">
      <c r="A457" s="27">
        <v>45156.357719976848</v>
      </c>
      <c r="B457" s="28" t="s">
        <v>37</v>
      </c>
      <c r="C457" s="41" t="s">
        <v>118</v>
      </c>
      <c r="D457" s="26" t="s">
        <v>36</v>
      </c>
      <c r="E457" s="26" t="s">
        <v>56</v>
      </c>
      <c r="F457" s="26" t="s">
        <v>36</v>
      </c>
      <c r="G457" s="26" t="s">
        <v>41</v>
      </c>
      <c r="H457" s="26" t="s">
        <v>723</v>
      </c>
      <c r="I457" s="17">
        <f ca="1">IFERROR(__xludf.DUMMYFUNCTION("""COMPUTED_VALUE"""),45176)</f>
        <v>45176</v>
      </c>
      <c r="J457" s="29" t="s">
        <v>2494</v>
      </c>
      <c r="K457" s="26" t="s">
        <v>2495</v>
      </c>
      <c r="L457" s="30">
        <v>368088294</v>
      </c>
      <c r="M457" s="26" t="s">
        <v>80</v>
      </c>
      <c r="N457" s="26" t="s">
        <v>81</v>
      </c>
      <c r="O457" s="26" t="s">
        <v>2496</v>
      </c>
      <c r="P457" s="26" t="s">
        <v>2497</v>
      </c>
      <c r="Q457" s="20">
        <v>9317</v>
      </c>
      <c r="R457" s="26" t="s">
        <v>36</v>
      </c>
      <c r="S457" s="31">
        <v>2500</v>
      </c>
      <c r="T457" s="32">
        <v>45156</v>
      </c>
      <c r="U457" s="31">
        <v>6817</v>
      </c>
      <c r="V457" s="32">
        <v>45180</v>
      </c>
      <c r="W457" s="33" t="s">
        <v>2498</v>
      </c>
      <c r="X457" s="26"/>
      <c r="Y457" s="22">
        <v>0</v>
      </c>
      <c r="Z457" s="26" t="s">
        <v>50</v>
      </c>
      <c r="AA457" s="19" t="s">
        <v>2449</v>
      </c>
      <c r="AB457" s="26" t="s">
        <v>104</v>
      </c>
      <c r="AC457" s="26" t="s">
        <v>53</v>
      </c>
      <c r="AD457" s="19" t="s">
        <v>138</v>
      </c>
      <c r="AE457" s="26">
        <v>0</v>
      </c>
      <c r="AF457" s="17">
        <v>45176</v>
      </c>
      <c r="AG457" s="26" t="s">
        <v>1391</v>
      </c>
      <c r="AH457" s="26"/>
      <c r="AI457" s="40"/>
      <c r="AJ457" s="26"/>
      <c r="AK457" s="26"/>
      <c r="AL457" s="35"/>
      <c r="AM457" s="35"/>
      <c r="AN457" s="35"/>
      <c r="AO457" s="35"/>
      <c r="AP457" s="35"/>
    </row>
    <row r="458" spans="1:42" x14ac:dyDescent="0.2">
      <c r="A458" s="27">
        <v>45156.588579502313</v>
      </c>
      <c r="B458" s="28" t="s">
        <v>37</v>
      </c>
      <c r="C458" s="41" t="s">
        <v>118</v>
      </c>
      <c r="D458" s="26" t="s">
        <v>36</v>
      </c>
      <c r="E458" s="26" t="s">
        <v>139</v>
      </c>
      <c r="F458" s="26" t="s">
        <v>36</v>
      </c>
      <c r="G458" s="26" t="s">
        <v>41</v>
      </c>
      <c r="H458" s="26" t="s">
        <v>129</v>
      </c>
      <c r="I458" s="17">
        <f ca="1">IFERROR(__xludf.DUMMYFUNCTION("""COMPUTED_VALUE"""),45163)</f>
        <v>45163</v>
      </c>
      <c r="J458" s="29" t="s">
        <v>2499</v>
      </c>
      <c r="K458" s="26" t="s">
        <v>2500</v>
      </c>
      <c r="L458" s="30">
        <v>334264836</v>
      </c>
      <c r="M458" s="26" t="s">
        <v>80</v>
      </c>
      <c r="N458" s="26" t="s">
        <v>299</v>
      </c>
      <c r="O458" s="26" t="s">
        <v>2501</v>
      </c>
      <c r="P458" s="26" t="s">
        <v>2502</v>
      </c>
      <c r="Q458" s="20">
        <v>15936</v>
      </c>
      <c r="R458" s="26" t="s">
        <v>36</v>
      </c>
      <c r="S458" s="31">
        <v>2000</v>
      </c>
      <c r="T458" s="32">
        <v>45156</v>
      </c>
      <c r="U458" s="31">
        <v>13968</v>
      </c>
      <c r="V458" s="32">
        <v>45184</v>
      </c>
      <c r="W458" s="33" t="s">
        <v>2503</v>
      </c>
      <c r="X458" s="26"/>
      <c r="Y458" s="22">
        <v>-32</v>
      </c>
      <c r="Z458" s="26" t="s">
        <v>50</v>
      </c>
      <c r="AA458" s="19" t="s">
        <v>2449</v>
      </c>
      <c r="AB458" s="26" t="s">
        <v>104</v>
      </c>
      <c r="AC458" s="26" t="s">
        <v>53</v>
      </c>
      <c r="AD458" s="19" t="s">
        <v>54</v>
      </c>
      <c r="AE458" s="26">
        <v>0</v>
      </c>
      <c r="AF458" s="17">
        <v>45159</v>
      </c>
      <c r="AG458" s="26"/>
      <c r="AH458" s="26"/>
      <c r="AI458" s="40"/>
      <c r="AJ458" s="26"/>
      <c r="AK458" s="26"/>
      <c r="AL458" s="35"/>
      <c r="AM458" s="35"/>
      <c r="AN458" s="35"/>
      <c r="AO458" s="35"/>
      <c r="AP458" s="35"/>
    </row>
    <row r="459" spans="1:42" x14ac:dyDescent="0.2">
      <c r="A459" s="27">
        <v>45159.221967141202</v>
      </c>
      <c r="B459" s="28" t="s">
        <v>37</v>
      </c>
      <c r="C459" s="41" t="s">
        <v>118</v>
      </c>
      <c r="D459" s="26" t="s">
        <v>36</v>
      </c>
      <c r="E459" s="26" t="s">
        <v>77</v>
      </c>
      <c r="F459" s="26" t="s">
        <v>36</v>
      </c>
      <c r="G459" s="26" t="s">
        <v>41</v>
      </c>
      <c r="H459" s="26" t="s">
        <v>129</v>
      </c>
      <c r="I459" s="17">
        <f ca="1">IFERROR(__xludf.DUMMYFUNCTION("""COMPUTED_VALUE"""),45163)</f>
        <v>45163</v>
      </c>
      <c r="J459" s="29" t="s">
        <v>2504</v>
      </c>
      <c r="K459" s="26" t="s">
        <v>2505</v>
      </c>
      <c r="L459" s="30">
        <v>979647407</v>
      </c>
      <c r="M459" s="26" t="s">
        <v>80</v>
      </c>
      <c r="N459" s="26" t="s">
        <v>466</v>
      </c>
      <c r="O459" s="26" t="s">
        <v>2506</v>
      </c>
      <c r="P459" s="26" t="s">
        <v>2507</v>
      </c>
      <c r="Q459" s="20">
        <v>1968</v>
      </c>
      <c r="R459" s="26" t="s">
        <v>36</v>
      </c>
      <c r="S459" s="31">
        <v>2000</v>
      </c>
      <c r="T459" s="32">
        <v>45159</v>
      </c>
      <c r="U459" s="31"/>
      <c r="V459" s="26"/>
      <c r="W459" s="33" t="s">
        <v>2508</v>
      </c>
      <c r="X459" s="26"/>
      <c r="Y459" s="22">
        <v>-32</v>
      </c>
      <c r="Z459" s="26" t="s">
        <v>50</v>
      </c>
      <c r="AA459" s="19" t="s">
        <v>2449</v>
      </c>
      <c r="AB459" s="26" t="s">
        <v>104</v>
      </c>
      <c r="AC459" s="26" t="s">
        <v>53</v>
      </c>
      <c r="AD459" s="19" t="s">
        <v>54</v>
      </c>
      <c r="AE459" s="26">
        <v>0</v>
      </c>
      <c r="AF459" s="17">
        <v>45159</v>
      </c>
      <c r="AG459" s="26" t="s">
        <v>2509</v>
      </c>
      <c r="AH459" s="26"/>
      <c r="AI459" s="40"/>
      <c r="AJ459" s="26"/>
      <c r="AK459" s="26"/>
      <c r="AL459" s="35"/>
      <c r="AM459" s="35"/>
      <c r="AN459" s="35"/>
      <c r="AO459" s="35"/>
      <c r="AP459" s="35"/>
    </row>
    <row r="460" spans="1:42" x14ac:dyDescent="0.2">
      <c r="A460" s="27">
        <v>45160.512461273145</v>
      </c>
      <c r="B460" s="28" t="s">
        <v>37</v>
      </c>
      <c r="C460" s="41" t="s">
        <v>118</v>
      </c>
      <c r="D460" s="26" t="s">
        <v>36</v>
      </c>
      <c r="E460" s="26" t="s">
        <v>77</v>
      </c>
      <c r="F460" s="26" t="s">
        <v>36</v>
      </c>
      <c r="G460" s="26" t="s">
        <v>41</v>
      </c>
      <c r="H460" s="26" t="s">
        <v>1229</v>
      </c>
      <c r="I460" s="17">
        <f ca="1">IFERROR(__xludf.DUMMYFUNCTION("""COMPUTED_VALUE"""),45176)</f>
        <v>45176</v>
      </c>
      <c r="J460" s="29" t="s">
        <v>2510</v>
      </c>
      <c r="K460" s="26" t="s">
        <v>2511</v>
      </c>
      <c r="L460" s="30">
        <v>969388405</v>
      </c>
      <c r="M460" s="26" t="s">
        <v>80</v>
      </c>
      <c r="N460" s="26" t="s">
        <v>438</v>
      </c>
      <c r="O460" s="26" t="s">
        <v>2512</v>
      </c>
      <c r="P460" s="26" t="s">
        <v>2513</v>
      </c>
      <c r="Q460" s="20">
        <v>1968</v>
      </c>
      <c r="R460" s="26" t="s">
        <v>36</v>
      </c>
      <c r="S460" s="31">
        <v>2000</v>
      </c>
      <c r="T460" s="32">
        <v>45160</v>
      </c>
      <c r="U460" s="31"/>
      <c r="V460" s="26"/>
      <c r="W460" s="33" t="s">
        <v>2514</v>
      </c>
      <c r="X460" s="26"/>
      <c r="Y460" s="22">
        <v>-32</v>
      </c>
      <c r="Z460" s="26" t="s">
        <v>50</v>
      </c>
      <c r="AA460" s="19" t="s">
        <v>2449</v>
      </c>
      <c r="AB460" s="26" t="s">
        <v>104</v>
      </c>
      <c r="AC460" s="26" t="s">
        <v>53</v>
      </c>
      <c r="AD460" s="19" t="s">
        <v>54</v>
      </c>
      <c r="AE460" s="26">
        <v>0</v>
      </c>
      <c r="AF460" s="17">
        <v>45167</v>
      </c>
      <c r="AG460" s="26" t="s">
        <v>2515</v>
      </c>
      <c r="AH460" s="26"/>
      <c r="AI460" s="40"/>
      <c r="AJ460" s="26"/>
      <c r="AK460" s="26"/>
      <c r="AL460" s="35"/>
      <c r="AM460" s="35"/>
      <c r="AN460" s="35"/>
      <c r="AO460" s="35"/>
      <c r="AP460" s="35"/>
    </row>
    <row r="461" spans="1:42" x14ac:dyDescent="0.2">
      <c r="A461" s="27">
        <v>45160.526683784723</v>
      </c>
      <c r="B461" s="28" t="s">
        <v>37</v>
      </c>
      <c r="C461" s="41" t="s">
        <v>118</v>
      </c>
      <c r="D461" s="26" t="s">
        <v>36</v>
      </c>
      <c r="E461" s="26" t="s">
        <v>119</v>
      </c>
      <c r="F461" s="26" t="s">
        <v>40</v>
      </c>
      <c r="G461" s="26" t="s">
        <v>108</v>
      </c>
      <c r="H461" s="26" t="s">
        <v>1657</v>
      </c>
      <c r="I461" s="17">
        <f ca="1">IFERROR(__xludf.DUMMYFUNCTION("""COMPUTED_VALUE"""),45177)</f>
        <v>45177</v>
      </c>
      <c r="J461" s="29" t="s">
        <v>2516</v>
      </c>
      <c r="K461" s="26" t="s">
        <v>2517</v>
      </c>
      <c r="L461" s="30">
        <v>986599773</v>
      </c>
      <c r="M461" s="26" t="s">
        <v>80</v>
      </c>
      <c r="N461" s="26" t="s">
        <v>299</v>
      </c>
      <c r="O461" s="26" t="s">
        <v>2518</v>
      </c>
      <c r="P461" s="26" t="s">
        <v>2519</v>
      </c>
      <c r="Q461" s="20">
        <v>13968</v>
      </c>
      <c r="R461" s="26" t="s">
        <v>36</v>
      </c>
      <c r="S461" s="31">
        <v>3768</v>
      </c>
      <c r="T461" s="32">
        <v>45160</v>
      </c>
      <c r="U461" s="31">
        <v>10200</v>
      </c>
      <c r="V461" s="32">
        <v>45190</v>
      </c>
      <c r="W461" s="33" t="s">
        <v>2520</v>
      </c>
      <c r="X461" s="26"/>
      <c r="Y461" s="22">
        <v>0</v>
      </c>
      <c r="Z461" s="26" t="s">
        <v>50</v>
      </c>
      <c r="AA461" s="19" t="s">
        <v>2449</v>
      </c>
      <c r="AB461" s="26" t="s">
        <v>137</v>
      </c>
      <c r="AC461" s="26" t="s">
        <v>53</v>
      </c>
      <c r="AD461" s="19" t="s">
        <v>54</v>
      </c>
      <c r="AE461" s="26" t="s">
        <v>2521</v>
      </c>
      <c r="AF461" s="17">
        <v>45175</v>
      </c>
      <c r="AG461" s="26"/>
      <c r="AH461" s="26"/>
      <c r="AI461" s="40"/>
      <c r="AJ461" s="26"/>
      <c r="AK461" s="26"/>
      <c r="AL461" s="35"/>
      <c r="AM461" s="35"/>
      <c r="AN461" s="35"/>
      <c r="AO461" s="35"/>
      <c r="AP461" s="35"/>
    </row>
    <row r="462" spans="1:42" x14ac:dyDescent="0.2">
      <c r="A462" s="27">
        <v>45161.127765740741</v>
      </c>
      <c r="B462" s="28" t="s">
        <v>37</v>
      </c>
      <c r="C462" s="41" t="s">
        <v>118</v>
      </c>
      <c r="D462" s="26" t="s">
        <v>36</v>
      </c>
      <c r="E462" s="26" t="s">
        <v>139</v>
      </c>
      <c r="F462" s="26" t="s">
        <v>36</v>
      </c>
      <c r="G462" s="26" t="s">
        <v>41</v>
      </c>
      <c r="H462" s="26" t="s">
        <v>723</v>
      </c>
      <c r="I462" s="17">
        <f ca="1">IFERROR(__xludf.DUMMYFUNCTION("""COMPUTED_VALUE"""),45176)</f>
        <v>45176</v>
      </c>
      <c r="J462" s="29" t="s">
        <v>2522</v>
      </c>
      <c r="K462" s="26" t="s">
        <v>2523</v>
      </c>
      <c r="L462" s="30">
        <v>904372750</v>
      </c>
      <c r="M462" s="26" t="s">
        <v>80</v>
      </c>
      <c r="N462" s="26" t="s">
        <v>299</v>
      </c>
      <c r="O462" s="26" t="s">
        <v>2524</v>
      </c>
      <c r="P462" s="26" t="s">
        <v>2525</v>
      </c>
      <c r="Q462" s="20">
        <v>15936</v>
      </c>
      <c r="R462" s="26" t="s">
        <v>36</v>
      </c>
      <c r="S462" s="31">
        <v>2000</v>
      </c>
      <c r="T462" s="32">
        <v>45160</v>
      </c>
      <c r="U462" s="31">
        <v>13936</v>
      </c>
      <c r="V462" s="32">
        <v>45190</v>
      </c>
      <c r="W462" s="33" t="s">
        <v>2526</v>
      </c>
      <c r="X462" s="26"/>
      <c r="Y462" s="22">
        <v>0</v>
      </c>
      <c r="Z462" s="26" t="s">
        <v>50</v>
      </c>
      <c r="AA462" s="19" t="s">
        <v>2449</v>
      </c>
      <c r="AB462" s="26" t="s">
        <v>104</v>
      </c>
      <c r="AC462" s="26" t="s">
        <v>53</v>
      </c>
      <c r="AD462" s="19" t="s">
        <v>138</v>
      </c>
      <c r="AE462" s="26">
        <v>0</v>
      </c>
      <c r="AF462" s="17">
        <v>45176</v>
      </c>
      <c r="AG462" s="26" t="s">
        <v>1391</v>
      </c>
      <c r="AH462" s="26"/>
      <c r="AI462" s="40"/>
      <c r="AJ462" s="26"/>
      <c r="AK462" s="26"/>
      <c r="AL462" s="35"/>
      <c r="AM462" s="35"/>
      <c r="AN462" s="35"/>
      <c r="AO462" s="35"/>
      <c r="AP462" s="35"/>
    </row>
    <row r="463" spans="1:42" x14ac:dyDescent="0.2">
      <c r="A463" s="27">
        <v>45161.129719039352</v>
      </c>
      <c r="B463" s="28" t="s">
        <v>37</v>
      </c>
      <c r="C463" s="41" t="s">
        <v>118</v>
      </c>
      <c r="D463" s="26" t="s">
        <v>36</v>
      </c>
      <c r="E463" s="26" t="s">
        <v>139</v>
      </c>
      <c r="F463" s="26" t="s">
        <v>36</v>
      </c>
      <c r="G463" s="26" t="s">
        <v>41</v>
      </c>
      <c r="H463" s="26" t="s">
        <v>723</v>
      </c>
      <c r="I463" s="17">
        <f ca="1">IFERROR(__xludf.DUMMYFUNCTION("""COMPUTED_VALUE"""),45176)</f>
        <v>45176</v>
      </c>
      <c r="J463" s="29" t="s">
        <v>2527</v>
      </c>
      <c r="K463" s="26" t="s">
        <v>2528</v>
      </c>
      <c r="L463" s="30">
        <v>375495946</v>
      </c>
      <c r="M463" s="26" t="s">
        <v>80</v>
      </c>
      <c r="N463" s="26" t="s">
        <v>299</v>
      </c>
      <c r="O463" s="26" t="s">
        <v>2529</v>
      </c>
      <c r="P463" s="26" t="s">
        <v>2530</v>
      </c>
      <c r="Q463" s="20">
        <v>15936</v>
      </c>
      <c r="R463" s="26" t="s">
        <v>36</v>
      </c>
      <c r="S463" s="31">
        <v>2000</v>
      </c>
      <c r="T463" s="32">
        <v>45160</v>
      </c>
      <c r="U463" s="31">
        <v>13936</v>
      </c>
      <c r="V463" s="32">
        <v>45190</v>
      </c>
      <c r="W463" s="33" t="s">
        <v>2531</v>
      </c>
      <c r="X463" s="26"/>
      <c r="Y463" s="22">
        <v>0</v>
      </c>
      <c r="Z463" s="26" t="s">
        <v>50</v>
      </c>
      <c r="AA463" s="19" t="s">
        <v>2449</v>
      </c>
      <c r="AB463" s="26" t="s">
        <v>104</v>
      </c>
      <c r="AC463" s="26" t="s">
        <v>53</v>
      </c>
      <c r="AD463" s="19" t="s">
        <v>138</v>
      </c>
      <c r="AE463" s="26">
        <v>0</v>
      </c>
      <c r="AF463" s="17">
        <v>45176</v>
      </c>
      <c r="AG463" s="26" t="s">
        <v>1391</v>
      </c>
      <c r="AH463" s="26"/>
      <c r="AI463" s="40"/>
      <c r="AJ463" s="26"/>
      <c r="AK463" s="26"/>
      <c r="AL463" s="35"/>
      <c r="AM463" s="35"/>
      <c r="AN463" s="35"/>
      <c r="AO463" s="35"/>
      <c r="AP463" s="35"/>
    </row>
    <row r="464" spans="1:42" x14ac:dyDescent="0.2">
      <c r="A464" s="27">
        <v>45161.374108645832</v>
      </c>
      <c r="B464" s="28" t="s">
        <v>37</v>
      </c>
      <c r="C464" s="41" t="s">
        <v>118</v>
      </c>
      <c r="D464" s="26" t="s">
        <v>36</v>
      </c>
      <c r="E464" s="26" t="s">
        <v>56</v>
      </c>
      <c r="F464" s="26" t="s">
        <v>36</v>
      </c>
      <c r="G464" s="26" t="s">
        <v>41</v>
      </c>
      <c r="H464" s="26" t="s">
        <v>1229</v>
      </c>
      <c r="I464" s="17">
        <f ca="1">IFERROR(__xludf.DUMMYFUNCTION("""COMPUTED_VALUE"""),45176)</f>
        <v>45176</v>
      </c>
      <c r="J464" s="29" t="s">
        <v>2532</v>
      </c>
      <c r="K464" s="26" t="s">
        <v>2533</v>
      </c>
      <c r="L464" s="30">
        <v>862077155</v>
      </c>
      <c r="M464" s="26" t="s">
        <v>80</v>
      </c>
      <c r="N464" s="26" t="s">
        <v>299</v>
      </c>
      <c r="O464" s="26" t="s">
        <v>2534</v>
      </c>
      <c r="P464" s="26" t="s">
        <v>2535</v>
      </c>
      <c r="Q464" s="20">
        <v>9317</v>
      </c>
      <c r="R464" s="26" t="s">
        <v>36</v>
      </c>
      <c r="S464" s="31">
        <v>1968</v>
      </c>
      <c r="T464" s="32">
        <v>45161</v>
      </c>
      <c r="U464" s="31">
        <v>7349</v>
      </c>
      <c r="V464" s="32">
        <v>45192</v>
      </c>
      <c r="W464" s="33" t="s">
        <v>2536</v>
      </c>
      <c r="X464" s="26"/>
      <c r="Y464" s="22">
        <v>0</v>
      </c>
      <c r="Z464" s="26" t="s">
        <v>50</v>
      </c>
      <c r="AA464" s="19" t="s">
        <v>2449</v>
      </c>
      <c r="AB464" s="26" t="s">
        <v>104</v>
      </c>
      <c r="AC464" s="26" t="s">
        <v>53</v>
      </c>
      <c r="AD464" s="19" t="s">
        <v>54</v>
      </c>
      <c r="AE464" s="26">
        <v>0</v>
      </c>
      <c r="AF464" s="17">
        <v>45167</v>
      </c>
      <c r="AG464" s="39" t="s">
        <v>2537</v>
      </c>
      <c r="AH464" s="26"/>
      <c r="AI464" s="40"/>
      <c r="AJ464" s="26"/>
      <c r="AK464" s="26"/>
      <c r="AL464" s="35"/>
      <c r="AM464" s="35"/>
      <c r="AN464" s="35"/>
      <c r="AO464" s="35"/>
      <c r="AP464" s="35"/>
    </row>
    <row r="465" spans="1:42" x14ac:dyDescent="0.2">
      <c r="A465" s="27">
        <v>45161.568574930556</v>
      </c>
      <c r="B465" s="28" t="s">
        <v>37</v>
      </c>
      <c r="C465" s="41" t="s">
        <v>118</v>
      </c>
      <c r="D465" s="26" t="s">
        <v>36</v>
      </c>
      <c r="E465" s="26" t="s">
        <v>139</v>
      </c>
      <c r="F465" s="26" t="s">
        <v>36</v>
      </c>
      <c r="G465" s="26" t="s">
        <v>41</v>
      </c>
      <c r="H465" s="26" t="s">
        <v>1229</v>
      </c>
      <c r="I465" s="17">
        <f ca="1">IFERROR(__xludf.DUMMYFUNCTION("""COMPUTED_VALUE"""),45176)</f>
        <v>45176</v>
      </c>
      <c r="J465" s="44" t="s">
        <v>2538</v>
      </c>
      <c r="K465" s="26" t="s">
        <v>2539</v>
      </c>
      <c r="L465" s="30">
        <v>327096128</v>
      </c>
      <c r="M465" s="26" t="s">
        <v>80</v>
      </c>
      <c r="N465" s="26" t="s">
        <v>299</v>
      </c>
      <c r="O465" s="26" t="s">
        <v>2540</v>
      </c>
      <c r="P465" s="26" t="s">
        <v>2541</v>
      </c>
      <c r="Q465" s="20">
        <v>15936</v>
      </c>
      <c r="R465" s="26" t="s">
        <v>36</v>
      </c>
      <c r="S465" s="31">
        <v>4000</v>
      </c>
      <c r="T465" s="32">
        <v>45161</v>
      </c>
      <c r="U465" s="31">
        <v>11936</v>
      </c>
      <c r="V465" s="32">
        <v>45187</v>
      </c>
      <c r="W465" s="33" t="s">
        <v>2542</v>
      </c>
      <c r="X465" s="26"/>
      <c r="Y465" s="22">
        <v>0</v>
      </c>
      <c r="Z465" s="26" t="s">
        <v>50</v>
      </c>
      <c r="AA465" s="19" t="s">
        <v>2449</v>
      </c>
      <c r="AB465" s="26" t="s">
        <v>104</v>
      </c>
      <c r="AC465" s="26" t="s">
        <v>53</v>
      </c>
      <c r="AD465" s="19" t="s">
        <v>54</v>
      </c>
      <c r="AE465" s="26">
        <v>0</v>
      </c>
      <c r="AF465" s="17">
        <v>45167</v>
      </c>
      <c r="AG465" s="26"/>
      <c r="AH465" s="26"/>
      <c r="AI465" s="40"/>
      <c r="AJ465" s="26"/>
      <c r="AK465" s="26"/>
      <c r="AL465" s="35"/>
      <c r="AM465" s="35"/>
      <c r="AN465" s="35"/>
      <c r="AO465" s="35"/>
      <c r="AP465" s="35"/>
    </row>
    <row r="466" spans="1:42" x14ac:dyDescent="0.2">
      <c r="A466" s="27">
        <v>45162.275805451391</v>
      </c>
      <c r="B466" s="28" t="s">
        <v>37</v>
      </c>
      <c r="C466" s="41" t="s">
        <v>118</v>
      </c>
      <c r="D466" s="26" t="s">
        <v>36</v>
      </c>
      <c r="E466" s="26" t="s">
        <v>148</v>
      </c>
      <c r="F466" s="26" t="s">
        <v>36</v>
      </c>
      <c r="G466" s="26" t="s">
        <v>108</v>
      </c>
      <c r="H466" s="26" t="s">
        <v>1657</v>
      </c>
      <c r="I466" s="17">
        <f ca="1">IFERROR(__xludf.DUMMYFUNCTION("""COMPUTED_VALUE"""),45177)</f>
        <v>45177</v>
      </c>
      <c r="J466" s="29" t="s">
        <v>2543</v>
      </c>
      <c r="K466" s="26" t="s">
        <v>2544</v>
      </c>
      <c r="L466" s="30">
        <v>914624218</v>
      </c>
      <c r="M466" s="26" t="s">
        <v>80</v>
      </c>
      <c r="N466" s="26" t="s">
        <v>299</v>
      </c>
      <c r="O466" s="26" t="s">
        <v>2545</v>
      </c>
      <c r="P466" s="26" t="s">
        <v>2546</v>
      </c>
      <c r="Q466" s="20">
        <v>7349</v>
      </c>
      <c r="R466" s="26" t="s">
        <v>36</v>
      </c>
      <c r="S466" s="31">
        <v>4000</v>
      </c>
      <c r="T466" s="32">
        <v>45162</v>
      </c>
      <c r="U466" s="31">
        <v>3349</v>
      </c>
      <c r="V466" s="32">
        <v>45195</v>
      </c>
      <c r="W466" s="33" t="s">
        <v>2547</v>
      </c>
      <c r="X466" s="26"/>
      <c r="Y466" s="22">
        <v>0</v>
      </c>
      <c r="Z466" s="26" t="s">
        <v>50</v>
      </c>
      <c r="AA466" s="19" t="s">
        <v>2449</v>
      </c>
      <c r="AB466" s="26" t="s">
        <v>137</v>
      </c>
      <c r="AC466" s="26" t="s">
        <v>53</v>
      </c>
      <c r="AD466" s="19" t="s">
        <v>54</v>
      </c>
      <c r="AE466" s="26">
        <v>460</v>
      </c>
      <c r="AF466" s="17">
        <v>45167</v>
      </c>
      <c r="AG466" s="26"/>
      <c r="AH466" s="26"/>
      <c r="AI466" s="40"/>
      <c r="AJ466" s="26"/>
      <c r="AK466" s="26"/>
      <c r="AL466" s="35"/>
      <c r="AM466" s="35"/>
      <c r="AN466" s="35"/>
      <c r="AO466" s="35"/>
      <c r="AP466" s="35"/>
    </row>
    <row r="467" spans="1:42" x14ac:dyDescent="0.2">
      <c r="A467" s="27">
        <v>45163.567206608801</v>
      </c>
      <c r="B467" s="28" t="s">
        <v>37</v>
      </c>
      <c r="C467" s="41" t="s">
        <v>118</v>
      </c>
      <c r="D467" s="26" t="s">
        <v>36</v>
      </c>
      <c r="E467" s="26" t="s">
        <v>77</v>
      </c>
      <c r="F467" s="26" t="s">
        <v>36</v>
      </c>
      <c r="G467" s="26" t="s">
        <v>41</v>
      </c>
      <c r="H467" s="26" t="s">
        <v>1229</v>
      </c>
      <c r="I467" s="17">
        <f ca="1">IFERROR(__xludf.DUMMYFUNCTION("""COMPUTED_VALUE"""),45176)</f>
        <v>45176</v>
      </c>
      <c r="J467" s="29" t="s">
        <v>2548</v>
      </c>
      <c r="K467" s="26" t="s">
        <v>2549</v>
      </c>
      <c r="L467" s="30">
        <v>961927050</v>
      </c>
      <c r="M467" s="26" t="s">
        <v>123</v>
      </c>
      <c r="N467" s="26" t="s">
        <v>850</v>
      </c>
      <c r="O467" s="26" t="s">
        <v>1226</v>
      </c>
      <c r="P467" s="26" t="s">
        <v>2550</v>
      </c>
      <c r="Q467" s="20">
        <v>1968</v>
      </c>
      <c r="R467" s="26" t="s">
        <v>36</v>
      </c>
      <c r="S467" s="31">
        <v>1968</v>
      </c>
      <c r="T467" s="32">
        <v>45163</v>
      </c>
      <c r="U467" s="31"/>
      <c r="V467" s="26"/>
      <c r="W467" s="33" t="s">
        <v>2551</v>
      </c>
      <c r="X467" s="26"/>
      <c r="Y467" s="22">
        <v>0</v>
      </c>
      <c r="Z467" s="26" t="s">
        <v>50</v>
      </c>
      <c r="AA467" s="19" t="s">
        <v>2449</v>
      </c>
      <c r="AB467" s="26" t="s">
        <v>104</v>
      </c>
      <c r="AC467" s="26" t="s">
        <v>53</v>
      </c>
      <c r="AD467" s="19" t="s">
        <v>54</v>
      </c>
      <c r="AE467" s="26"/>
      <c r="AF467" s="17">
        <v>45167</v>
      </c>
      <c r="AG467" s="26" t="s">
        <v>2552</v>
      </c>
      <c r="AH467" s="26"/>
      <c r="AI467" s="40"/>
      <c r="AJ467" s="26"/>
      <c r="AK467" s="26"/>
      <c r="AL467" s="35"/>
      <c r="AM467" s="35"/>
      <c r="AN467" s="35"/>
      <c r="AO467" s="35"/>
      <c r="AP467" s="35"/>
    </row>
    <row r="468" spans="1:42" x14ac:dyDescent="0.2">
      <c r="A468" s="27">
        <v>45163.576907071758</v>
      </c>
      <c r="B468" s="28" t="s">
        <v>37</v>
      </c>
      <c r="C468" s="41" t="s">
        <v>118</v>
      </c>
      <c r="D468" s="26" t="s">
        <v>36</v>
      </c>
      <c r="E468" s="26" t="s">
        <v>139</v>
      </c>
      <c r="F468" s="26" t="s">
        <v>2553</v>
      </c>
      <c r="G468" s="26" t="s">
        <v>41</v>
      </c>
      <c r="H468" s="26" t="s">
        <v>723</v>
      </c>
      <c r="I468" s="17">
        <f ca="1">IFERROR(__xludf.DUMMYFUNCTION("""COMPUTED_VALUE"""),45176)</f>
        <v>45176</v>
      </c>
      <c r="J468" s="29" t="s">
        <v>2554</v>
      </c>
      <c r="K468" s="26" t="s">
        <v>2555</v>
      </c>
      <c r="L468" s="30">
        <v>973852521</v>
      </c>
      <c r="M468" s="26" t="s">
        <v>123</v>
      </c>
      <c r="N468" s="26" t="s">
        <v>850</v>
      </c>
      <c r="O468" s="26" t="s">
        <v>1226</v>
      </c>
      <c r="P468" s="26" t="s">
        <v>2556</v>
      </c>
      <c r="Q468" s="20">
        <v>15936</v>
      </c>
      <c r="R468" s="26" t="s">
        <v>36</v>
      </c>
      <c r="S468" s="31">
        <v>200</v>
      </c>
      <c r="T468" s="32">
        <v>45155</v>
      </c>
      <c r="U468" s="31">
        <f>4000+11736</f>
        <v>15736</v>
      </c>
      <c r="V468" s="26" t="s">
        <v>2557</v>
      </c>
      <c r="W468" s="26" t="s">
        <v>2558</v>
      </c>
      <c r="X468" s="26"/>
      <c r="Y468" s="22">
        <v>0</v>
      </c>
      <c r="Z468" s="26" t="s">
        <v>50</v>
      </c>
      <c r="AA468" s="19" t="s">
        <v>2449</v>
      </c>
      <c r="AB468" s="26" t="s">
        <v>104</v>
      </c>
      <c r="AC468" s="26" t="s">
        <v>53</v>
      </c>
      <c r="AD468" s="19" t="s">
        <v>138</v>
      </c>
      <c r="AE468" s="26"/>
      <c r="AF468" s="17">
        <v>45176</v>
      </c>
      <c r="AG468" s="26" t="s">
        <v>1391</v>
      </c>
      <c r="AH468" s="26"/>
      <c r="AI468" s="40"/>
      <c r="AJ468" s="26"/>
      <c r="AK468" s="26"/>
      <c r="AL468" s="35"/>
      <c r="AM468" s="35"/>
      <c r="AN468" s="35"/>
      <c r="AO468" s="35"/>
      <c r="AP468" s="35"/>
    </row>
    <row r="469" spans="1:42" x14ac:dyDescent="0.2">
      <c r="A469" s="27">
        <v>45164.332788680556</v>
      </c>
      <c r="B469" s="28" t="s">
        <v>37</v>
      </c>
      <c r="C469" s="41" t="s">
        <v>118</v>
      </c>
      <c r="D469" s="26" t="s">
        <v>36</v>
      </c>
      <c r="E469" s="26" t="s">
        <v>139</v>
      </c>
      <c r="F469" s="26" t="s">
        <v>36</v>
      </c>
      <c r="G469" s="26" t="s">
        <v>41</v>
      </c>
      <c r="H469" s="26" t="s">
        <v>723</v>
      </c>
      <c r="I469" s="17">
        <f ca="1">IFERROR(__xludf.DUMMYFUNCTION("""COMPUTED_VALUE"""),45176)</f>
        <v>45176</v>
      </c>
      <c r="J469" s="29" t="s">
        <v>2559</v>
      </c>
      <c r="K469" s="26" t="s">
        <v>2560</v>
      </c>
      <c r="L469" s="30">
        <v>325434516</v>
      </c>
      <c r="M469" s="26" t="s">
        <v>80</v>
      </c>
      <c r="N469" s="26" t="s">
        <v>299</v>
      </c>
      <c r="O469" s="26" t="s">
        <v>2561</v>
      </c>
      <c r="P469" s="26" t="s">
        <v>2562</v>
      </c>
      <c r="Q469" s="20">
        <v>15936</v>
      </c>
      <c r="R469" s="26" t="s">
        <v>36</v>
      </c>
      <c r="S469" s="31">
        <v>4000</v>
      </c>
      <c r="T469" s="32">
        <v>45164</v>
      </c>
      <c r="U469" s="31">
        <v>11936</v>
      </c>
      <c r="V469" s="32">
        <v>45196</v>
      </c>
      <c r="W469" s="33" t="s">
        <v>2563</v>
      </c>
      <c r="X469" s="26"/>
      <c r="Y469" s="22">
        <v>0</v>
      </c>
      <c r="Z469" s="26" t="s">
        <v>50</v>
      </c>
      <c r="AA469" s="19" t="s">
        <v>2449</v>
      </c>
      <c r="AB469" s="26" t="s">
        <v>104</v>
      </c>
      <c r="AC469" s="26" t="s">
        <v>53</v>
      </c>
      <c r="AD469" s="19" t="s">
        <v>138</v>
      </c>
      <c r="AE469" s="26">
        <v>0</v>
      </c>
      <c r="AF469" s="17">
        <v>45176</v>
      </c>
      <c r="AG469" s="26" t="s">
        <v>1391</v>
      </c>
      <c r="AH469" s="26"/>
      <c r="AI469" s="40"/>
      <c r="AJ469" s="26"/>
      <c r="AK469" s="26"/>
      <c r="AL469" s="35"/>
      <c r="AM469" s="35"/>
      <c r="AN469" s="35"/>
      <c r="AO469" s="35"/>
      <c r="AP469" s="35"/>
    </row>
    <row r="470" spans="1:42" x14ac:dyDescent="0.2">
      <c r="A470" s="27">
        <v>45166.619691145832</v>
      </c>
      <c r="B470" s="28" t="s">
        <v>37</v>
      </c>
      <c r="C470" s="41" t="s">
        <v>118</v>
      </c>
      <c r="D470" s="26" t="s">
        <v>36</v>
      </c>
      <c r="E470" s="26" t="s">
        <v>56</v>
      </c>
      <c r="F470" s="26" t="s">
        <v>36</v>
      </c>
      <c r="G470" s="26" t="s">
        <v>41</v>
      </c>
      <c r="H470" s="26" t="s">
        <v>1436</v>
      </c>
      <c r="I470" s="17">
        <f ca="1">IFERROR(__xludf.DUMMYFUNCTION("""COMPUTED_VALUE"""),45179)</f>
        <v>45179</v>
      </c>
      <c r="J470" s="29" t="s">
        <v>2564</v>
      </c>
      <c r="K470" s="26" t="s">
        <v>2565</v>
      </c>
      <c r="L470" s="30">
        <v>866505937</v>
      </c>
      <c r="M470" s="26" t="s">
        <v>123</v>
      </c>
      <c r="N470" s="26" t="s">
        <v>850</v>
      </c>
      <c r="O470" s="26" t="s">
        <v>1226</v>
      </c>
      <c r="P470" s="26" t="s">
        <v>2566</v>
      </c>
      <c r="Q470" s="20">
        <v>9317</v>
      </c>
      <c r="R470" s="26" t="s">
        <v>36</v>
      </c>
      <c r="S470" s="31">
        <v>5000</v>
      </c>
      <c r="T470" s="32">
        <v>45166</v>
      </c>
      <c r="U470" s="31">
        <v>4317</v>
      </c>
      <c r="V470" s="32">
        <v>45187</v>
      </c>
      <c r="W470" s="33" t="s">
        <v>2567</v>
      </c>
      <c r="X470" s="26"/>
      <c r="Y470" s="22">
        <v>0</v>
      </c>
      <c r="Z470" s="26" t="s">
        <v>50</v>
      </c>
      <c r="AA470" s="19" t="s">
        <v>2449</v>
      </c>
      <c r="AB470" s="26" t="s">
        <v>104</v>
      </c>
      <c r="AC470" s="26" t="s">
        <v>53</v>
      </c>
      <c r="AD470" s="19" t="s">
        <v>54</v>
      </c>
      <c r="AE470" s="26"/>
      <c r="AF470" s="17">
        <v>45169</v>
      </c>
      <c r="AG470" s="26"/>
      <c r="AH470" s="26"/>
      <c r="AI470" s="40"/>
      <c r="AJ470" s="26"/>
      <c r="AK470" s="26"/>
      <c r="AL470" s="35"/>
      <c r="AM470" s="35"/>
      <c r="AN470" s="35"/>
      <c r="AO470" s="35"/>
      <c r="AP470" s="35"/>
    </row>
    <row r="471" spans="1:42" x14ac:dyDescent="0.2">
      <c r="A471" s="27">
        <v>45167.5133331713</v>
      </c>
      <c r="B471" s="28" t="s">
        <v>37</v>
      </c>
      <c r="C471" s="41" t="s">
        <v>118</v>
      </c>
      <c r="D471" s="26" t="s">
        <v>36</v>
      </c>
      <c r="E471" s="26" t="s">
        <v>139</v>
      </c>
      <c r="F471" s="26" t="s">
        <v>36</v>
      </c>
      <c r="G471" s="26" t="s">
        <v>41</v>
      </c>
      <c r="H471" s="26" t="s">
        <v>1436</v>
      </c>
      <c r="I471" s="17">
        <f ca="1">IFERROR(__xludf.DUMMYFUNCTION("""COMPUTED_VALUE"""),45179)</f>
        <v>45179</v>
      </c>
      <c r="J471" s="29" t="s">
        <v>2568</v>
      </c>
      <c r="K471" s="26" t="s">
        <v>2569</v>
      </c>
      <c r="L471" s="30">
        <v>376179475</v>
      </c>
      <c r="M471" s="26" t="s">
        <v>80</v>
      </c>
      <c r="N471" s="26" t="s">
        <v>299</v>
      </c>
      <c r="O471" s="26" t="s">
        <v>2570</v>
      </c>
      <c r="P471" s="26" t="s">
        <v>2571</v>
      </c>
      <c r="Q471" s="20">
        <v>15936</v>
      </c>
      <c r="R471" s="26" t="s">
        <v>36</v>
      </c>
      <c r="S471" s="31">
        <v>2000</v>
      </c>
      <c r="T471" s="32">
        <v>45167</v>
      </c>
      <c r="U471" s="31">
        <v>13968</v>
      </c>
      <c r="V471" s="32">
        <v>45196</v>
      </c>
      <c r="W471" s="33" t="s">
        <v>2572</v>
      </c>
      <c r="X471" s="26"/>
      <c r="Y471" s="22">
        <v>-32</v>
      </c>
      <c r="Z471" s="26" t="s">
        <v>50</v>
      </c>
      <c r="AA471" s="19" t="s">
        <v>2449</v>
      </c>
      <c r="AB471" s="26" t="s">
        <v>104</v>
      </c>
      <c r="AC471" s="26" t="s">
        <v>53</v>
      </c>
      <c r="AD471" s="19" t="s">
        <v>54</v>
      </c>
      <c r="AE471" s="26">
        <v>0</v>
      </c>
      <c r="AF471" s="17">
        <v>45169</v>
      </c>
      <c r="AG471" s="26"/>
      <c r="AH471" s="26"/>
      <c r="AI471" s="40"/>
      <c r="AJ471" s="26"/>
      <c r="AK471" s="26"/>
      <c r="AL471" s="35"/>
      <c r="AM471" s="35"/>
      <c r="AN471" s="35"/>
      <c r="AO471" s="35"/>
      <c r="AP471" s="35"/>
    </row>
    <row r="472" spans="1:42" x14ac:dyDescent="0.2">
      <c r="A472" s="27">
        <v>45169.137477245371</v>
      </c>
      <c r="B472" s="28" t="s">
        <v>37</v>
      </c>
      <c r="C472" s="41" t="s">
        <v>118</v>
      </c>
      <c r="D472" s="26" t="s">
        <v>36</v>
      </c>
      <c r="E472" s="26" t="s">
        <v>77</v>
      </c>
      <c r="F472" s="26" t="s">
        <v>36</v>
      </c>
      <c r="G472" s="26" t="s">
        <v>41</v>
      </c>
      <c r="H472" s="26" t="s">
        <v>2573</v>
      </c>
      <c r="I472" s="17">
        <f ca="1">IFERROR(__xludf.DUMMYFUNCTION("""COMPUTED_VALUE"""),45195)</f>
        <v>45195</v>
      </c>
      <c r="J472" s="29" t="s">
        <v>2574</v>
      </c>
      <c r="K472" s="26" t="s">
        <v>2575</v>
      </c>
      <c r="L472" s="30">
        <v>354145883</v>
      </c>
      <c r="M472" s="26" t="s">
        <v>80</v>
      </c>
      <c r="N472" s="26" t="s">
        <v>299</v>
      </c>
      <c r="O472" s="26" t="s">
        <v>2576</v>
      </c>
      <c r="P472" s="26" t="s">
        <v>2577</v>
      </c>
      <c r="Q472" s="20">
        <v>1968</v>
      </c>
      <c r="R472" s="26" t="s">
        <v>36</v>
      </c>
      <c r="S472" s="31">
        <v>300</v>
      </c>
      <c r="T472" s="32">
        <v>45167</v>
      </c>
      <c r="U472" s="31">
        <v>1668</v>
      </c>
      <c r="V472" s="32">
        <v>45180</v>
      </c>
      <c r="W472" s="33" t="s">
        <v>2578</v>
      </c>
      <c r="X472" s="26"/>
      <c r="Y472" s="22">
        <v>0</v>
      </c>
      <c r="Z472" s="26" t="s">
        <v>50</v>
      </c>
      <c r="AA472" s="19" t="s">
        <v>2449</v>
      </c>
      <c r="AB472" s="26" t="s">
        <v>104</v>
      </c>
      <c r="AC472" s="26" t="s">
        <v>53</v>
      </c>
      <c r="AD472" s="19" t="s">
        <v>138</v>
      </c>
      <c r="AE472" s="26"/>
      <c r="AF472" s="17">
        <v>45187</v>
      </c>
      <c r="AG472" s="26" t="s">
        <v>2579</v>
      </c>
      <c r="AH472" s="26"/>
      <c r="AI472" s="40"/>
      <c r="AJ472" s="26"/>
      <c r="AK472" s="26"/>
      <c r="AL472" s="35"/>
      <c r="AM472" s="35"/>
      <c r="AN472" s="35"/>
      <c r="AO472" s="35"/>
      <c r="AP472" s="35"/>
    </row>
    <row r="473" spans="1:42" x14ac:dyDescent="0.2">
      <c r="A473" s="27">
        <v>45170.076061018517</v>
      </c>
      <c r="B473" s="28" t="s">
        <v>37</v>
      </c>
      <c r="C473" s="41" t="s">
        <v>118</v>
      </c>
      <c r="D473" s="26" t="s">
        <v>36</v>
      </c>
      <c r="E473" s="26" t="s">
        <v>39</v>
      </c>
      <c r="F473" s="26" t="s">
        <v>91</v>
      </c>
      <c r="G473" s="26" t="s">
        <v>41</v>
      </c>
      <c r="H473" s="26" t="s">
        <v>1861</v>
      </c>
      <c r="I473" s="17">
        <f ca="1">IFERROR(__xludf.DUMMYFUNCTION("""COMPUTED_VALUE"""),45187)</f>
        <v>45187</v>
      </c>
      <c r="J473" s="29" t="s">
        <v>2580</v>
      </c>
      <c r="K473" s="26" t="s">
        <v>2581</v>
      </c>
      <c r="L473" s="30">
        <v>978542107</v>
      </c>
      <c r="M473" s="26" t="s">
        <v>910</v>
      </c>
      <c r="N473" s="26" t="s">
        <v>355</v>
      </c>
      <c r="O473" s="26" t="s">
        <v>2582</v>
      </c>
      <c r="P473" s="26" t="s">
        <v>2583</v>
      </c>
      <c r="Q473" s="20">
        <v>5736</v>
      </c>
      <c r="R473" s="26" t="s">
        <v>36</v>
      </c>
      <c r="S473" s="31">
        <v>5736</v>
      </c>
      <c r="T473" s="32">
        <v>45170</v>
      </c>
      <c r="U473" s="31"/>
      <c r="V473" s="26"/>
      <c r="W473" s="33" t="s">
        <v>2584</v>
      </c>
      <c r="X473" s="26"/>
      <c r="Y473" s="22">
        <v>0</v>
      </c>
      <c r="Z473" s="26" t="s">
        <v>50</v>
      </c>
      <c r="AA473" s="19" t="s">
        <v>2449</v>
      </c>
      <c r="AB473" s="26" t="s">
        <v>104</v>
      </c>
      <c r="AC473" s="26" t="s">
        <v>53</v>
      </c>
      <c r="AD473" s="19" t="s">
        <v>138</v>
      </c>
      <c r="AE473" s="26"/>
      <c r="AF473" s="17">
        <v>45187</v>
      </c>
      <c r="AG473" s="26" t="s">
        <v>1631</v>
      </c>
      <c r="AH473" s="26"/>
      <c r="AI473" s="40"/>
      <c r="AJ473" s="26"/>
      <c r="AK473" s="26"/>
      <c r="AL473" s="35"/>
      <c r="AM473" s="35"/>
      <c r="AN473" s="35"/>
      <c r="AO473" s="35"/>
      <c r="AP473" s="35"/>
    </row>
    <row r="474" spans="1:42" x14ac:dyDescent="0.2">
      <c r="A474" s="27">
        <v>45170.556793148149</v>
      </c>
      <c r="B474" s="28" t="s">
        <v>37</v>
      </c>
      <c r="C474" s="41" t="s">
        <v>118</v>
      </c>
      <c r="D474" s="26" t="s">
        <v>36</v>
      </c>
      <c r="E474" s="26" t="s">
        <v>77</v>
      </c>
      <c r="F474" s="26" t="s">
        <v>91</v>
      </c>
      <c r="G474" s="26" t="s">
        <v>41</v>
      </c>
      <c r="H474" s="26" t="s">
        <v>1513</v>
      </c>
      <c r="I474" s="17">
        <f ca="1">IFERROR(__xludf.DUMMYFUNCTION("""COMPUTED_VALUE"""),45181)</f>
        <v>45181</v>
      </c>
      <c r="J474" s="29" t="s">
        <v>2585</v>
      </c>
      <c r="K474" s="26" t="s">
        <v>2586</v>
      </c>
      <c r="L474" s="30">
        <v>817062623</v>
      </c>
      <c r="M474" s="26" t="s">
        <v>910</v>
      </c>
      <c r="N474" s="26" t="s">
        <v>355</v>
      </c>
      <c r="O474" s="26" t="s">
        <v>2587</v>
      </c>
      <c r="P474" s="26" t="s">
        <v>2588</v>
      </c>
      <c r="Q474" s="20">
        <v>1968</v>
      </c>
      <c r="R474" s="26" t="s">
        <v>36</v>
      </c>
      <c r="S474" s="31">
        <v>1968</v>
      </c>
      <c r="T474" s="32">
        <v>45170</v>
      </c>
      <c r="U474" s="31"/>
      <c r="V474" s="26"/>
      <c r="W474" s="33" t="s">
        <v>2589</v>
      </c>
      <c r="X474" s="26"/>
      <c r="Y474" s="22">
        <v>0</v>
      </c>
      <c r="Z474" s="26" t="s">
        <v>50</v>
      </c>
      <c r="AA474" s="19" t="s">
        <v>2449</v>
      </c>
      <c r="AB474" s="26" t="s">
        <v>104</v>
      </c>
      <c r="AC474" s="26" t="s">
        <v>53</v>
      </c>
      <c r="AD474" s="19" t="s">
        <v>54</v>
      </c>
      <c r="AE474" s="26"/>
      <c r="AF474" s="17">
        <v>45175</v>
      </c>
      <c r="AG474" s="26"/>
      <c r="AH474" s="26"/>
      <c r="AI474" s="40"/>
      <c r="AJ474" s="26"/>
      <c r="AK474" s="26"/>
      <c r="AL474" s="35"/>
      <c r="AM474" s="35"/>
      <c r="AN474" s="35"/>
      <c r="AO474" s="35"/>
      <c r="AP474" s="35"/>
    </row>
    <row r="475" spans="1:42" x14ac:dyDescent="0.2">
      <c r="A475" s="27">
        <v>45170.561151921298</v>
      </c>
      <c r="B475" s="28" t="s">
        <v>37</v>
      </c>
      <c r="C475" s="41" t="s">
        <v>118</v>
      </c>
      <c r="D475" s="26" t="s">
        <v>36</v>
      </c>
      <c r="E475" s="26" t="s">
        <v>219</v>
      </c>
      <c r="F475" s="26" t="s">
        <v>2252</v>
      </c>
      <c r="G475" s="26" t="s">
        <v>221</v>
      </c>
      <c r="H475" s="26" t="s">
        <v>2590</v>
      </c>
      <c r="I475" s="17">
        <f ca="1">IFERROR(__xludf.DUMMYFUNCTION("""COMPUTED_VALUE"""),45186)</f>
        <v>45186</v>
      </c>
      <c r="J475" s="29" t="s">
        <v>2591</v>
      </c>
      <c r="K475" s="26" t="s">
        <v>2592</v>
      </c>
      <c r="L475" s="30">
        <v>965465987</v>
      </c>
      <c r="M475" s="26" t="s">
        <v>112</v>
      </c>
      <c r="N475" s="26" t="s">
        <v>578</v>
      </c>
      <c r="O475" s="26" t="s">
        <v>91</v>
      </c>
      <c r="P475" s="26" t="s">
        <v>2593</v>
      </c>
      <c r="Q475" s="20">
        <v>3968</v>
      </c>
      <c r="R475" s="26" t="s">
        <v>36</v>
      </c>
      <c r="S475" s="31">
        <v>3968</v>
      </c>
      <c r="T475" s="32">
        <v>45170</v>
      </c>
      <c r="U475" s="31"/>
      <c r="V475" s="26"/>
      <c r="W475" s="33" t="s">
        <v>2594</v>
      </c>
      <c r="X475" s="26"/>
      <c r="Y475" s="22">
        <v>0</v>
      </c>
      <c r="Z475" s="26" t="s">
        <v>50</v>
      </c>
      <c r="AA475" s="19" t="s">
        <v>2449</v>
      </c>
      <c r="AB475" s="26" t="s">
        <v>104</v>
      </c>
      <c r="AC475" s="26" t="s">
        <v>53</v>
      </c>
      <c r="AD475" s="19" t="s">
        <v>54</v>
      </c>
      <c r="AE475" s="26">
        <v>545</v>
      </c>
      <c r="AF475" s="17">
        <v>45181</v>
      </c>
      <c r="AG475" s="26" t="s">
        <v>863</v>
      </c>
      <c r="AH475" s="26"/>
      <c r="AI475" s="40"/>
      <c r="AJ475" s="26"/>
      <c r="AK475" s="26"/>
      <c r="AL475" s="35"/>
      <c r="AM475" s="35"/>
      <c r="AN475" s="35"/>
      <c r="AO475" s="35"/>
      <c r="AP475" s="35"/>
    </row>
    <row r="476" spans="1:42" x14ac:dyDescent="0.2">
      <c r="A476" s="27">
        <v>45171.615600324076</v>
      </c>
      <c r="B476" s="28" t="s">
        <v>37</v>
      </c>
      <c r="C476" s="41" t="s">
        <v>118</v>
      </c>
      <c r="D476" s="26" t="s">
        <v>36</v>
      </c>
      <c r="E476" s="26" t="s">
        <v>106</v>
      </c>
      <c r="F476" s="26" t="s">
        <v>36</v>
      </c>
      <c r="G476" s="26" t="s">
        <v>108</v>
      </c>
      <c r="H476" s="26" t="s">
        <v>2595</v>
      </c>
      <c r="I476" s="17">
        <f ca="1">IFERROR(__xludf.DUMMYFUNCTION("""COMPUTED_VALUE"""),45191)</f>
        <v>45191</v>
      </c>
      <c r="J476" s="29" t="s">
        <v>2596</v>
      </c>
      <c r="K476" s="26" t="s">
        <v>2597</v>
      </c>
      <c r="L476" s="83">
        <v>973992950</v>
      </c>
      <c r="M476" s="26" t="s">
        <v>80</v>
      </c>
      <c r="N476" s="26" t="s">
        <v>186</v>
      </c>
      <c r="O476" s="26" t="s">
        <v>2598</v>
      </c>
      <c r="P476" s="26" t="s">
        <v>2599</v>
      </c>
      <c r="Q476" s="20">
        <v>3768</v>
      </c>
      <c r="R476" s="26" t="s">
        <v>70</v>
      </c>
      <c r="S476" s="31">
        <v>1000</v>
      </c>
      <c r="T476" s="32">
        <v>45169</v>
      </c>
      <c r="U476" s="31">
        <v>2668</v>
      </c>
      <c r="V476" s="32">
        <v>45186</v>
      </c>
      <c r="W476" s="33" t="s">
        <v>2600</v>
      </c>
      <c r="X476" s="26"/>
      <c r="Y476" s="22">
        <v>100</v>
      </c>
      <c r="Z476" s="26" t="s">
        <v>50</v>
      </c>
      <c r="AA476" s="19" t="s">
        <v>2449</v>
      </c>
      <c r="AB476" s="26" t="s">
        <v>137</v>
      </c>
      <c r="AC476" s="26" t="s">
        <v>53</v>
      </c>
      <c r="AD476" s="19" t="s">
        <v>138</v>
      </c>
      <c r="AE476" s="26">
        <v>390</v>
      </c>
      <c r="AF476" s="17">
        <v>45191</v>
      </c>
      <c r="AG476" s="26" t="s">
        <v>1631</v>
      </c>
      <c r="AH476" s="26"/>
      <c r="AI476" s="40"/>
      <c r="AJ476" s="26"/>
      <c r="AK476" s="26"/>
      <c r="AL476" s="35"/>
      <c r="AM476" s="35"/>
      <c r="AN476" s="35"/>
      <c r="AO476" s="35"/>
      <c r="AP476" s="35"/>
    </row>
    <row r="477" spans="1:42" x14ac:dyDescent="0.2">
      <c r="A477" s="27">
        <v>45171.617349444445</v>
      </c>
      <c r="B477" s="28" t="s">
        <v>37</v>
      </c>
      <c r="C477" s="41" t="s">
        <v>118</v>
      </c>
      <c r="D477" s="26" t="s">
        <v>36</v>
      </c>
      <c r="E477" s="26" t="s">
        <v>106</v>
      </c>
      <c r="F477" s="26" t="s">
        <v>36</v>
      </c>
      <c r="G477" s="26" t="s">
        <v>108</v>
      </c>
      <c r="H477" s="26" t="s">
        <v>2595</v>
      </c>
      <c r="I477" s="17">
        <f ca="1">IFERROR(__xludf.DUMMYFUNCTION("""COMPUTED_VALUE"""),45191)</f>
        <v>45191</v>
      </c>
      <c r="J477" s="29" t="s">
        <v>2601</v>
      </c>
      <c r="K477" s="26" t="s">
        <v>2602</v>
      </c>
      <c r="L477" s="30">
        <v>384969178</v>
      </c>
      <c r="M477" s="26" t="s">
        <v>80</v>
      </c>
      <c r="N477" s="26" t="s">
        <v>186</v>
      </c>
      <c r="O477" s="26" t="s">
        <v>2603</v>
      </c>
      <c r="P477" s="26" t="s">
        <v>2599</v>
      </c>
      <c r="Q477" s="20">
        <v>3768</v>
      </c>
      <c r="R477" s="26" t="s">
        <v>70</v>
      </c>
      <c r="S477" s="31">
        <v>1000</v>
      </c>
      <c r="T477" s="32">
        <v>45169</v>
      </c>
      <c r="U477" s="21">
        <v>2668</v>
      </c>
      <c r="V477" s="46">
        <v>45178</v>
      </c>
      <c r="W477" s="33" t="s">
        <v>2604</v>
      </c>
      <c r="X477" s="26"/>
      <c r="Y477" s="22">
        <v>100</v>
      </c>
      <c r="Z477" s="26" t="s">
        <v>50</v>
      </c>
      <c r="AA477" s="19" t="s">
        <v>2449</v>
      </c>
      <c r="AB477" s="26" t="s">
        <v>128</v>
      </c>
      <c r="AC477" s="26" t="s">
        <v>53</v>
      </c>
      <c r="AD477" s="19" t="s">
        <v>138</v>
      </c>
      <c r="AE477" s="26">
        <v>380</v>
      </c>
      <c r="AF477" s="17">
        <v>45191</v>
      </c>
      <c r="AG477" s="26" t="s">
        <v>1631</v>
      </c>
      <c r="AH477" s="26"/>
      <c r="AI477" s="40"/>
      <c r="AJ477" s="26"/>
      <c r="AK477" s="26"/>
      <c r="AL477" s="35"/>
      <c r="AM477" s="35"/>
      <c r="AN477" s="35"/>
      <c r="AO477" s="35"/>
      <c r="AP477" s="35"/>
    </row>
    <row r="478" spans="1:42" x14ac:dyDescent="0.2">
      <c r="A478" s="27">
        <v>45173.423235567127</v>
      </c>
      <c r="B478" s="28" t="s">
        <v>37</v>
      </c>
      <c r="C478" s="41" t="s">
        <v>118</v>
      </c>
      <c r="D478" s="26" t="s">
        <v>36</v>
      </c>
      <c r="E478" s="26" t="s">
        <v>39</v>
      </c>
      <c r="F478" s="26" t="s">
        <v>40</v>
      </c>
      <c r="G478" s="26" t="s">
        <v>41</v>
      </c>
      <c r="H478" s="26" t="s">
        <v>1513</v>
      </c>
      <c r="I478" s="17">
        <f ca="1">IFERROR(__xludf.DUMMYFUNCTION("""COMPUTED_VALUE"""),45181)</f>
        <v>45181</v>
      </c>
      <c r="J478" s="29" t="s">
        <v>2605</v>
      </c>
      <c r="K478" s="26" t="s">
        <v>2606</v>
      </c>
      <c r="L478" s="30">
        <v>946157832</v>
      </c>
      <c r="M478" s="26" t="s">
        <v>45</v>
      </c>
      <c r="N478" s="26" t="s">
        <v>46</v>
      </c>
      <c r="O478" s="26" t="s">
        <v>2607</v>
      </c>
      <c r="P478" s="26" t="s">
        <v>2608</v>
      </c>
      <c r="Q478" s="20">
        <v>5736</v>
      </c>
      <c r="R478" s="26" t="s">
        <v>36</v>
      </c>
      <c r="S478" s="31">
        <v>5736</v>
      </c>
      <c r="T478" s="32">
        <v>45173</v>
      </c>
      <c r="U478" s="31"/>
      <c r="V478" s="26"/>
      <c r="W478" s="33" t="s">
        <v>2609</v>
      </c>
      <c r="X478" s="26"/>
      <c r="Y478" s="22">
        <v>0</v>
      </c>
      <c r="Z478" s="26" t="s">
        <v>50</v>
      </c>
      <c r="AA478" s="19" t="s">
        <v>2449</v>
      </c>
      <c r="AB478" s="26" t="s">
        <v>128</v>
      </c>
      <c r="AC478" s="26" t="s">
        <v>53</v>
      </c>
      <c r="AD478" s="19" t="s">
        <v>54</v>
      </c>
      <c r="AE478" s="26">
        <v>0</v>
      </c>
      <c r="AF478" s="17">
        <v>45175</v>
      </c>
      <c r="AG478" s="26"/>
      <c r="AH478" s="26"/>
      <c r="AI478" s="40"/>
      <c r="AJ478" s="26"/>
      <c r="AK478" s="26"/>
      <c r="AL478" s="35"/>
      <c r="AM478" s="35"/>
      <c r="AN478" s="35"/>
      <c r="AO478" s="35"/>
      <c r="AP478" s="35"/>
    </row>
    <row r="479" spans="1:42" x14ac:dyDescent="0.2">
      <c r="A479" s="27">
        <v>45173.527454895833</v>
      </c>
      <c r="B479" s="28" t="s">
        <v>37</v>
      </c>
      <c r="C479" s="41" t="s">
        <v>118</v>
      </c>
      <c r="D479" s="26" t="s">
        <v>36</v>
      </c>
      <c r="E479" s="26" t="s">
        <v>139</v>
      </c>
      <c r="F479" s="26" t="s">
        <v>91</v>
      </c>
      <c r="G479" s="26" t="s">
        <v>41</v>
      </c>
      <c r="H479" s="26" t="s">
        <v>1513</v>
      </c>
      <c r="I479" s="17">
        <f ca="1">IFERROR(__xludf.DUMMYFUNCTION("""COMPUTED_VALUE"""),45181)</f>
        <v>45181</v>
      </c>
      <c r="J479" s="29" t="s">
        <v>2610</v>
      </c>
      <c r="K479" s="26" t="s">
        <v>2611</v>
      </c>
      <c r="L479" s="30">
        <v>384217399</v>
      </c>
      <c r="M479" s="26" t="s">
        <v>910</v>
      </c>
      <c r="N479" s="26" t="s">
        <v>355</v>
      </c>
      <c r="O479" s="26" t="s">
        <v>2612</v>
      </c>
      <c r="P479" s="26" t="s">
        <v>2613</v>
      </c>
      <c r="Q479" s="20">
        <v>15936</v>
      </c>
      <c r="R479" s="26" t="s">
        <v>36</v>
      </c>
      <c r="S479" s="31">
        <v>8000</v>
      </c>
      <c r="T479" s="32">
        <v>45173</v>
      </c>
      <c r="U479" s="31">
        <v>7936</v>
      </c>
      <c r="V479" s="32">
        <v>45190</v>
      </c>
      <c r="W479" s="33" t="s">
        <v>2614</v>
      </c>
      <c r="X479" s="26"/>
      <c r="Y479" s="22">
        <v>0</v>
      </c>
      <c r="Z479" s="26" t="s">
        <v>50</v>
      </c>
      <c r="AA479" s="19" t="s">
        <v>2449</v>
      </c>
      <c r="AB479" s="26" t="s">
        <v>104</v>
      </c>
      <c r="AC479" s="26" t="s">
        <v>53</v>
      </c>
      <c r="AD479" s="19" t="s">
        <v>54</v>
      </c>
      <c r="AE479" s="26"/>
      <c r="AF479" s="17">
        <v>45175</v>
      </c>
      <c r="AG479" s="26"/>
      <c r="AH479" s="26"/>
      <c r="AI479" s="40"/>
      <c r="AJ479" s="26"/>
      <c r="AK479" s="26"/>
      <c r="AL479" s="35"/>
      <c r="AM479" s="35"/>
      <c r="AN479" s="35"/>
      <c r="AO479" s="35"/>
      <c r="AP479" s="35"/>
    </row>
    <row r="480" spans="1:42" x14ac:dyDescent="0.2">
      <c r="A480" s="27">
        <v>45173.6097184838</v>
      </c>
      <c r="B480" s="28" t="s">
        <v>37</v>
      </c>
      <c r="C480" s="41" t="s">
        <v>118</v>
      </c>
      <c r="D480" s="26" t="s">
        <v>36</v>
      </c>
      <c r="E480" s="26" t="s">
        <v>219</v>
      </c>
      <c r="F480" s="26" t="s">
        <v>2615</v>
      </c>
      <c r="G480" s="26" t="s">
        <v>221</v>
      </c>
      <c r="H480" s="26" t="s">
        <v>2616</v>
      </c>
      <c r="I480" s="17">
        <f ca="1">IFERROR(__xludf.DUMMYFUNCTION("""COMPUTED_VALUE"""),45202)</f>
        <v>45202</v>
      </c>
      <c r="J480" s="29" t="s">
        <v>2617</v>
      </c>
      <c r="K480" s="26" t="s">
        <v>2618</v>
      </c>
      <c r="L480" s="30">
        <v>968097587</v>
      </c>
      <c r="M480" s="26" t="s">
        <v>112</v>
      </c>
      <c r="N480" s="26" t="s">
        <v>578</v>
      </c>
      <c r="O480" s="26" t="s">
        <v>91</v>
      </c>
      <c r="P480" s="26" t="s">
        <v>2619</v>
      </c>
      <c r="Q480" s="20">
        <v>3968</v>
      </c>
      <c r="R480" s="26" t="s">
        <v>36</v>
      </c>
      <c r="S480" s="31">
        <v>3868</v>
      </c>
      <c r="T480" s="32">
        <v>45173</v>
      </c>
      <c r="U480" s="31"/>
      <c r="V480" s="26"/>
      <c r="W480" s="33" t="s">
        <v>2620</v>
      </c>
      <c r="X480" s="26"/>
      <c r="Y480" s="22">
        <v>100</v>
      </c>
      <c r="Z480" s="26" t="s">
        <v>50</v>
      </c>
      <c r="AA480" s="19" t="s">
        <v>2449</v>
      </c>
      <c r="AB480" s="26" t="s">
        <v>104</v>
      </c>
      <c r="AC480" s="26" t="s">
        <v>53</v>
      </c>
      <c r="AD480" s="19" t="s">
        <v>54</v>
      </c>
      <c r="AE480" s="26"/>
      <c r="AF480" s="17">
        <v>45177</v>
      </c>
      <c r="AG480" s="26" t="s">
        <v>2621</v>
      </c>
      <c r="AH480" s="26"/>
      <c r="AI480" s="40"/>
      <c r="AJ480" s="26"/>
      <c r="AK480" s="26"/>
      <c r="AL480" s="35"/>
      <c r="AM480" s="35"/>
      <c r="AN480" s="35"/>
      <c r="AO480" s="35"/>
      <c r="AP480" s="35"/>
    </row>
    <row r="481" spans="1:42" x14ac:dyDescent="0.2">
      <c r="A481" s="27">
        <v>45174.452257152778</v>
      </c>
      <c r="B481" s="28" t="s">
        <v>37</v>
      </c>
      <c r="C481" s="41" t="s">
        <v>118</v>
      </c>
      <c r="D481" s="26" t="s">
        <v>36</v>
      </c>
      <c r="E481" s="26" t="s">
        <v>77</v>
      </c>
      <c r="F481" s="26" t="s">
        <v>91</v>
      </c>
      <c r="G481" s="26" t="s">
        <v>41</v>
      </c>
      <c r="H481" s="26" t="s">
        <v>2622</v>
      </c>
      <c r="I481" s="17" t="str">
        <f ca="1">IFERROR(__xludf.DUMMYFUNCTION("""COMPUTED_VALUE""")," ")</f>
        <v xml:space="preserve"> </v>
      </c>
      <c r="J481" s="29" t="s">
        <v>2623</v>
      </c>
      <c r="K481" s="26" t="s">
        <v>2624</v>
      </c>
      <c r="L481" s="30">
        <v>986755858</v>
      </c>
      <c r="M481" s="26" t="s">
        <v>348</v>
      </c>
      <c r="N481" s="26" t="s">
        <v>200</v>
      </c>
      <c r="O481" s="26" t="s">
        <v>2625</v>
      </c>
      <c r="P481" s="26" t="s">
        <v>2626</v>
      </c>
      <c r="Q481" s="20">
        <v>1968</v>
      </c>
      <c r="R481" s="26" t="s">
        <v>36</v>
      </c>
      <c r="S481" s="31">
        <v>1968</v>
      </c>
      <c r="T481" s="32">
        <v>45174</v>
      </c>
      <c r="U481" s="31"/>
      <c r="V481" s="26"/>
      <c r="W481" s="33" t="s">
        <v>2627</v>
      </c>
      <c r="X481" s="26"/>
      <c r="Y481" s="22">
        <v>0</v>
      </c>
      <c r="Z481" s="26" t="s">
        <v>50</v>
      </c>
      <c r="AA481" s="19" t="s">
        <v>2449</v>
      </c>
      <c r="AB481" s="26" t="s">
        <v>104</v>
      </c>
      <c r="AC481" s="26" t="s">
        <v>53</v>
      </c>
      <c r="AD481" s="19" t="s">
        <v>54</v>
      </c>
      <c r="AE481" s="26" t="s">
        <v>1327</v>
      </c>
      <c r="AF481" s="17">
        <v>45181</v>
      </c>
      <c r="AG481" s="26" t="s">
        <v>863</v>
      </c>
      <c r="AH481" s="26"/>
      <c r="AI481" s="40"/>
      <c r="AJ481" s="26"/>
      <c r="AK481" s="26"/>
      <c r="AL481" s="35"/>
      <c r="AM481" s="35"/>
      <c r="AN481" s="35"/>
      <c r="AO481" s="35"/>
      <c r="AP481" s="35"/>
    </row>
    <row r="482" spans="1:42" x14ac:dyDescent="0.2">
      <c r="A482" s="27">
        <v>45174.537995150458</v>
      </c>
      <c r="B482" s="28" t="s">
        <v>37</v>
      </c>
      <c r="C482" s="41" t="s">
        <v>118</v>
      </c>
      <c r="D482" s="26" t="s">
        <v>36</v>
      </c>
      <c r="E482" s="26" t="s">
        <v>77</v>
      </c>
      <c r="F482" s="26" t="s">
        <v>36</v>
      </c>
      <c r="G482" s="26" t="s">
        <v>41</v>
      </c>
      <c r="H482" s="26" t="s">
        <v>1861</v>
      </c>
      <c r="I482" s="17">
        <f ca="1">IFERROR(__xludf.DUMMYFUNCTION("""COMPUTED_VALUE"""),45187)</f>
        <v>45187</v>
      </c>
      <c r="J482" s="29" t="s">
        <v>2628</v>
      </c>
      <c r="K482" s="26" t="s">
        <v>2629</v>
      </c>
      <c r="L482" s="30">
        <v>356984839</v>
      </c>
      <c r="M482" s="26" t="s">
        <v>348</v>
      </c>
      <c r="N482" s="26" t="s">
        <v>200</v>
      </c>
      <c r="O482" s="26" t="s">
        <v>2630</v>
      </c>
      <c r="P482" s="26" t="s">
        <v>2631</v>
      </c>
      <c r="Q482" s="20">
        <v>1968</v>
      </c>
      <c r="R482" s="26" t="s">
        <v>36</v>
      </c>
      <c r="S482" s="31">
        <v>1968</v>
      </c>
      <c r="T482" s="32">
        <v>45174</v>
      </c>
      <c r="U482" s="31"/>
      <c r="V482" s="26"/>
      <c r="W482" s="33" t="s">
        <v>2632</v>
      </c>
      <c r="X482" s="26"/>
      <c r="Y482" s="22">
        <v>0</v>
      </c>
      <c r="Z482" s="26" t="s">
        <v>50</v>
      </c>
      <c r="AA482" s="19" t="s">
        <v>2449</v>
      </c>
      <c r="AB482" s="26" t="s">
        <v>104</v>
      </c>
      <c r="AC482" s="26" t="s">
        <v>53</v>
      </c>
      <c r="AD482" s="19" t="s">
        <v>138</v>
      </c>
      <c r="AE482" s="26" t="s">
        <v>1327</v>
      </c>
      <c r="AF482" s="17">
        <v>45187</v>
      </c>
      <c r="AG482" s="26" t="s">
        <v>1631</v>
      </c>
      <c r="AH482" s="26"/>
      <c r="AI482" s="40"/>
      <c r="AJ482" s="26"/>
      <c r="AK482" s="26"/>
      <c r="AL482" s="35"/>
      <c r="AM482" s="35"/>
      <c r="AN482" s="35"/>
      <c r="AO482" s="35"/>
      <c r="AP482" s="35"/>
    </row>
    <row r="483" spans="1:42" x14ac:dyDescent="0.2">
      <c r="A483" s="27">
        <v>45174.635245902777</v>
      </c>
      <c r="B483" s="28" t="s">
        <v>37</v>
      </c>
      <c r="C483" s="41" t="s">
        <v>118</v>
      </c>
      <c r="D483" s="26" t="s">
        <v>36</v>
      </c>
      <c r="E483" s="26" t="s">
        <v>77</v>
      </c>
      <c r="F483" s="26" t="s">
        <v>36</v>
      </c>
      <c r="G483" s="26" t="s">
        <v>41</v>
      </c>
      <c r="H483" s="26" t="s">
        <v>1861</v>
      </c>
      <c r="I483" s="17">
        <f ca="1">IFERROR(__xludf.DUMMYFUNCTION("""COMPUTED_VALUE"""),45187)</f>
        <v>45187</v>
      </c>
      <c r="J483" s="29" t="s">
        <v>2633</v>
      </c>
      <c r="K483" s="26" t="s">
        <v>2634</v>
      </c>
      <c r="L483" s="30">
        <v>943817561</v>
      </c>
      <c r="M483" s="26" t="s">
        <v>80</v>
      </c>
      <c r="N483" s="26" t="s">
        <v>299</v>
      </c>
      <c r="O483" s="26" t="s">
        <v>2635</v>
      </c>
      <c r="P483" s="26" t="s">
        <v>2636</v>
      </c>
      <c r="Q483" s="20">
        <v>1968</v>
      </c>
      <c r="R483" s="26" t="s">
        <v>36</v>
      </c>
      <c r="S483" s="31">
        <v>1969</v>
      </c>
      <c r="T483" s="32">
        <v>45174</v>
      </c>
      <c r="U483" s="31"/>
      <c r="V483" s="26"/>
      <c r="W483" s="33" t="s">
        <v>2637</v>
      </c>
      <c r="X483" s="26"/>
      <c r="Y483" s="22">
        <v>-1</v>
      </c>
      <c r="Z483" s="26" t="s">
        <v>50</v>
      </c>
      <c r="AA483" s="19" t="s">
        <v>2449</v>
      </c>
      <c r="AB483" s="26" t="s">
        <v>104</v>
      </c>
      <c r="AC483" s="26" t="s">
        <v>53</v>
      </c>
      <c r="AD483" s="19" t="s">
        <v>138</v>
      </c>
      <c r="AE483" s="26">
        <v>0</v>
      </c>
      <c r="AF483" s="17">
        <v>45187</v>
      </c>
      <c r="AG483" s="26" t="s">
        <v>1631</v>
      </c>
      <c r="AH483" s="26"/>
      <c r="AI483" s="40"/>
      <c r="AJ483" s="26"/>
      <c r="AK483" s="26"/>
      <c r="AL483" s="35"/>
      <c r="AM483" s="35"/>
      <c r="AN483" s="35"/>
      <c r="AO483" s="35"/>
      <c r="AP483" s="35"/>
    </row>
    <row r="484" spans="1:42" x14ac:dyDescent="0.2">
      <c r="A484" s="27">
        <v>45174.642307465278</v>
      </c>
      <c r="B484" s="28" t="s">
        <v>37</v>
      </c>
      <c r="C484" s="41" t="s">
        <v>118</v>
      </c>
      <c r="D484" s="26" t="s">
        <v>36</v>
      </c>
      <c r="E484" s="26" t="s">
        <v>139</v>
      </c>
      <c r="F484" s="26" t="s">
        <v>36</v>
      </c>
      <c r="G484" s="26" t="s">
        <v>41</v>
      </c>
      <c r="H484" s="26" t="s">
        <v>1861</v>
      </c>
      <c r="I484" s="17">
        <f ca="1">IFERROR(__xludf.DUMMYFUNCTION("""COMPUTED_VALUE"""),45187)</f>
        <v>45187</v>
      </c>
      <c r="J484" s="29" t="s">
        <v>2638</v>
      </c>
      <c r="K484" s="26" t="s">
        <v>2639</v>
      </c>
      <c r="L484" s="30">
        <v>382622857</v>
      </c>
      <c r="M484" s="26" t="s">
        <v>80</v>
      </c>
      <c r="N484" s="26" t="s">
        <v>299</v>
      </c>
      <c r="O484" s="26" t="s">
        <v>2640</v>
      </c>
      <c r="P484" s="26" t="s">
        <v>2641</v>
      </c>
      <c r="Q484" s="20">
        <v>15936</v>
      </c>
      <c r="R484" s="26" t="s">
        <v>36</v>
      </c>
      <c r="S484" s="31">
        <v>15936</v>
      </c>
      <c r="T484" s="32">
        <v>45174</v>
      </c>
      <c r="U484" s="31"/>
      <c r="V484" s="26"/>
      <c r="W484" s="33" t="s">
        <v>2642</v>
      </c>
      <c r="X484" s="26"/>
      <c r="Y484" s="22">
        <v>0</v>
      </c>
      <c r="Z484" s="26" t="s">
        <v>50</v>
      </c>
      <c r="AA484" s="19" t="s">
        <v>2449</v>
      </c>
      <c r="AB484" s="26" t="s">
        <v>104</v>
      </c>
      <c r="AC484" s="26" t="s">
        <v>53</v>
      </c>
      <c r="AD484" s="19" t="s">
        <v>138</v>
      </c>
      <c r="AE484" s="26">
        <v>0</v>
      </c>
      <c r="AF484" s="17">
        <v>45187</v>
      </c>
      <c r="AG484" s="26" t="s">
        <v>1631</v>
      </c>
      <c r="AH484" s="26"/>
      <c r="AI484" s="40"/>
      <c r="AJ484" s="26"/>
      <c r="AK484" s="26"/>
      <c r="AL484" s="35"/>
      <c r="AM484" s="35"/>
      <c r="AN484" s="35"/>
      <c r="AO484" s="35"/>
      <c r="AP484" s="35"/>
    </row>
    <row r="485" spans="1:42" x14ac:dyDescent="0.2">
      <c r="A485" s="27">
        <v>45175.057716863426</v>
      </c>
      <c r="B485" s="28" t="s">
        <v>37</v>
      </c>
      <c r="C485" s="41" t="s">
        <v>118</v>
      </c>
      <c r="D485" s="26" t="s">
        <v>36</v>
      </c>
      <c r="E485" s="26" t="s">
        <v>39</v>
      </c>
      <c r="F485" s="26" t="s">
        <v>1512</v>
      </c>
      <c r="G485" s="26" t="s">
        <v>41</v>
      </c>
      <c r="H485" s="26" t="s">
        <v>1513</v>
      </c>
      <c r="I485" s="17">
        <f ca="1">IFERROR(__xludf.DUMMYFUNCTION("""COMPUTED_VALUE"""),45181)</f>
        <v>45181</v>
      </c>
      <c r="J485" s="29" t="s">
        <v>2643</v>
      </c>
      <c r="K485" s="26" t="s">
        <v>2644</v>
      </c>
      <c r="L485" s="30">
        <v>856182135</v>
      </c>
      <c r="M485" s="26" t="s">
        <v>391</v>
      </c>
      <c r="N485" s="26" t="s">
        <v>2143</v>
      </c>
      <c r="O485" s="26" t="s">
        <v>91</v>
      </c>
      <c r="P485" s="26" t="s">
        <v>2645</v>
      </c>
      <c r="Q485" s="20">
        <v>5736</v>
      </c>
      <c r="R485" s="26" t="s">
        <v>36</v>
      </c>
      <c r="S485" s="31">
        <v>5736</v>
      </c>
      <c r="T485" s="32">
        <v>45174</v>
      </c>
      <c r="U485" s="31"/>
      <c r="V485" s="26"/>
      <c r="W485" s="33" t="s">
        <v>2646</v>
      </c>
      <c r="X485" s="26"/>
      <c r="Y485" s="22">
        <v>0</v>
      </c>
      <c r="Z485" s="26" t="s">
        <v>50</v>
      </c>
      <c r="AA485" s="19" t="s">
        <v>2449</v>
      </c>
      <c r="AB485" s="26" t="s">
        <v>104</v>
      </c>
      <c r="AC485" s="26" t="s">
        <v>53</v>
      </c>
      <c r="AD485" s="19" t="s">
        <v>54</v>
      </c>
      <c r="AE485" s="26"/>
      <c r="AF485" s="17">
        <v>45181</v>
      </c>
      <c r="AG485" s="26" t="s">
        <v>863</v>
      </c>
      <c r="AH485" s="26"/>
      <c r="AI485" s="40"/>
      <c r="AJ485" s="26"/>
      <c r="AK485" s="26"/>
      <c r="AL485" s="35"/>
      <c r="AM485" s="35"/>
      <c r="AN485" s="35"/>
      <c r="AO485" s="35"/>
      <c r="AP485" s="35"/>
    </row>
    <row r="486" spans="1:42" x14ac:dyDescent="0.2">
      <c r="A486" s="27">
        <v>45175.191717546295</v>
      </c>
      <c r="B486" s="28" t="s">
        <v>37</v>
      </c>
      <c r="C486" s="41" t="s">
        <v>118</v>
      </c>
      <c r="D486" s="26" t="s">
        <v>36</v>
      </c>
      <c r="E486" s="26" t="s">
        <v>139</v>
      </c>
      <c r="F486" s="26" t="s">
        <v>36</v>
      </c>
      <c r="G486" s="26" t="s">
        <v>41</v>
      </c>
      <c r="H486" s="26" t="s">
        <v>2647</v>
      </c>
      <c r="I486" s="17">
        <f ca="1">IFERROR(__xludf.DUMMYFUNCTION("""COMPUTED_VALUE"""),45191)</f>
        <v>45191</v>
      </c>
      <c r="J486" s="29" t="s">
        <v>2648</v>
      </c>
      <c r="K486" s="26" t="s">
        <v>2649</v>
      </c>
      <c r="L486" s="30">
        <v>936932818</v>
      </c>
      <c r="M486" s="26" t="s">
        <v>123</v>
      </c>
      <c r="N486" s="26" t="s">
        <v>850</v>
      </c>
      <c r="O486" s="26" t="s">
        <v>1226</v>
      </c>
      <c r="P486" s="26" t="s">
        <v>2650</v>
      </c>
      <c r="Q486" s="20">
        <v>15936</v>
      </c>
      <c r="R486" s="26" t="s">
        <v>36</v>
      </c>
      <c r="S486" s="31">
        <v>200</v>
      </c>
      <c r="T486" s="32">
        <v>45174</v>
      </c>
      <c r="U486" s="31">
        <v>15736</v>
      </c>
      <c r="V486" s="32">
        <v>45185</v>
      </c>
      <c r="W486" s="33" t="s">
        <v>2651</v>
      </c>
      <c r="X486" s="26"/>
      <c r="Y486" s="22">
        <v>0</v>
      </c>
      <c r="Z486" s="26" t="s">
        <v>50</v>
      </c>
      <c r="AA486" s="19" t="s">
        <v>2449</v>
      </c>
      <c r="AB486" s="26" t="s">
        <v>104</v>
      </c>
      <c r="AC486" s="26" t="s">
        <v>53</v>
      </c>
      <c r="AD486" s="19" t="s">
        <v>138</v>
      </c>
      <c r="AE486" s="26"/>
      <c r="AF486" s="17">
        <v>45190</v>
      </c>
      <c r="AG486" s="26" t="s">
        <v>1631</v>
      </c>
      <c r="AH486" s="26" t="s">
        <v>2652</v>
      </c>
      <c r="AI486" s="40"/>
      <c r="AJ486" s="26"/>
      <c r="AK486" s="26"/>
      <c r="AL486" s="35"/>
      <c r="AM486" s="35"/>
      <c r="AN486" s="35"/>
      <c r="AO486" s="35"/>
      <c r="AP486" s="35"/>
    </row>
    <row r="487" spans="1:42" x14ac:dyDescent="0.2">
      <c r="A487" s="27">
        <v>45175.193919895828</v>
      </c>
      <c r="B487" s="28" t="s">
        <v>37</v>
      </c>
      <c r="C487" s="41" t="s">
        <v>118</v>
      </c>
      <c r="D487" s="26" t="s">
        <v>36</v>
      </c>
      <c r="E487" s="26" t="s">
        <v>139</v>
      </c>
      <c r="F487" s="26" t="s">
        <v>36</v>
      </c>
      <c r="G487" s="26" t="s">
        <v>41</v>
      </c>
      <c r="H487" s="26" t="s">
        <v>2647</v>
      </c>
      <c r="I487" s="17">
        <f ca="1">IFERROR(__xludf.DUMMYFUNCTION("""COMPUTED_VALUE"""),45191)</f>
        <v>45191</v>
      </c>
      <c r="J487" s="29" t="s">
        <v>2653</v>
      </c>
      <c r="K487" s="26" t="s">
        <v>2654</v>
      </c>
      <c r="L487" s="30">
        <v>813938859</v>
      </c>
      <c r="M487" s="26" t="s">
        <v>123</v>
      </c>
      <c r="N487" s="26" t="s">
        <v>850</v>
      </c>
      <c r="O487" s="26" t="s">
        <v>1226</v>
      </c>
      <c r="P487" s="26" t="s">
        <v>2655</v>
      </c>
      <c r="Q487" s="20">
        <v>15936</v>
      </c>
      <c r="R487" s="26" t="s">
        <v>36</v>
      </c>
      <c r="S487" s="31">
        <v>200</v>
      </c>
      <c r="T487" s="32">
        <v>45170</v>
      </c>
      <c r="U487" s="21">
        <v>15736</v>
      </c>
      <c r="V487" s="46">
        <v>45188</v>
      </c>
      <c r="W487" s="55" t="s">
        <v>2656</v>
      </c>
      <c r="X487" s="26"/>
      <c r="Y487" s="22">
        <v>0</v>
      </c>
      <c r="Z487" s="26" t="s">
        <v>50</v>
      </c>
      <c r="AA487" s="19" t="s">
        <v>2449</v>
      </c>
      <c r="AB487" s="26" t="s">
        <v>104</v>
      </c>
      <c r="AC487" s="26" t="s">
        <v>53</v>
      </c>
      <c r="AD487" s="19" t="s">
        <v>138</v>
      </c>
      <c r="AE487" s="26"/>
      <c r="AF487" s="17">
        <v>45190</v>
      </c>
      <c r="AG487" s="26" t="s">
        <v>1631</v>
      </c>
      <c r="AH487" s="26" t="s">
        <v>2652</v>
      </c>
      <c r="AI487" s="40"/>
      <c r="AJ487" s="26"/>
      <c r="AK487" s="26"/>
      <c r="AL487" s="35"/>
      <c r="AM487" s="35"/>
      <c r="AN487" s="35"/>
      <c r="AO487" s="35"/>
      <c r="AP487" s="35"/>
    </row>
    <row r="488" spans="1:42" x14ac:dyDescent="0.2">
      <c r="A488" s="27">
        <v>45175.195438576389</v>
      </c>
      <c r="B488" s="28" t="s">
        <v>37</v>
      </c>
      <c r="C488" s="41" t="s">
        <v>118</v>
      </c>
      <c r="D488" s="26" t="s">
        <v>36</v>
      </c>
      <c r="E488" s="26" t="s">
        <v>139</v>
      </c>
      <c r="F488" s="26" t="s">
        <v>36</v>
      </c>
      <c r="G488" s="26" t="s">
        <v>41</v>
      </c>
      <c r="H488" s="26" t="s">
        <v>2647</v>
      </c>
      <c r="I488" s="17">
        <f ca="1">IFERROR(__xludf.DUMMYFUNCTION("""COMPUTED_VALUE"""),45191)</f>
        <v>45191</v>
      </c>
      <c r="J488" s="29" t="s">
        <v>2657</v>
      </c>
      <c r="K488" s="26" t="s">
        <v>2658</v>
      </c>
      <c r="L488" s="30">
        <v>399319960</v>
      </c>
      <c r="M488" s="26" t="s">
        <v>123</v>
      </c>
      <c r="N488" s="26" t="s">
        <v>850</v>
      </c>
      <c r="O488" s="26" t="s">
        <v>1226</v>
      </c>
      <c r="P488" s="26" t="s">
        <v>2659</v>
      </c>
      <c r="Q488" s="20">
        <v>15936</v>
      </c>
      <c r="R488" s="26" t="s">
        <v>36</v>
      </c>
      <c r="S488" s="31">
        <v>200</v>
      </c>
      <c r="T488" s="32">
        <v>45170</v>
      </c>
      <c r="U488" s="31">
        <v>15736</v>
      </c>
      <c r="V488" s="32">
        <v>45185</v>
      </c>
      <c r="W488" s="33" t="s">
        <v>2660</v>
      </c>
      <c r="X488" s="26"/>
      <c r="Y488" s="22">
        <v>0</v>
      </c>
      <c r="Z488" s="26" t="s">
        <v>50</v>
      </c>
      <c r="AA488" s="19" t="s">
        <v>2449</v>
      </c>
      <c r="AB488" s="26" t="s">
        <v>104</v>
      </c>
      <c r="AC488" s="26" t="s">
        <v>53</v>
      </c>
      <c r="AD488" s="19" t="s">
        <v>138</v>
      </c>
      <c r="AE488" s="26"/>
      <c r="AF488" s="17">
        <v>45190</v>
      </c>
      <c r="AG488" s="26" t="s">
        <v>1631</v>
      </c>
      <c r="AH488" s="26" t="s">
        <v>2652</v>
      </c>
      <c r="AI488" s="40"/>
      <c r="AJ488" s="26"/>
      <c r="AK488" s="26"/>
      <c r="AL488" s="35"/>
      <c r="AM488" s="35"/>
      <c r="AN488" s="35"/>
      <c r="AO488" s="35"/>
      <c r="AP488" s="35"/>
    </row>
    <row r="489" spans="1:42" x14ac:dyDescent="0.2">
      <c r="A489" s="27">
        <v>45175.215287604165</v>
      </c>
      <c r="B489" s="28" t="s">
        <v>37</v>
      </c>
      <c r="C489" s="41" t="s">
        <v>118</v>
      </c>
      <c r="D489" s="26" t="s">
        <v>36</v>
      </c>
      <c r="E489" s="26" t="s">
        <v>219</v>
      </c>
      <c r="F489" s="26" t="s">
        <v>36</v>
      </c>
      <c r="G489" s="26" t="s">
        <v>221</v>
      </c>
      <c r="H489" s="26" t="s">
        <v>2121</v>
      </c>
      <c r="I489" s="17">
        <f ca="1">IFERROR(__xludf.DUMMYFUNCTION("""COMPUTED_VALUE"""),45230)</f>
        <v>45230</v>
      </c>
      <c r="J489" s="29" t="s">
        <v>2661</v>
      </c>
      <c r="K489" s="26" t="s">
        <v>2662</v>
      </c>
      <c r="L489" s="30">
        <v>377698960</v>
      </c>
      <c r="M489" s="26" t="s">
        <v>348</v>
      </c>
      <c r="N489" s="26" t="s">
        <v>68</v>
      </c>
      <c r="O489" s="26" t="s">
        <v>2663</v>
      </c>
      <c r="P489" s="26" t="s">
        <v>2664</v>
      </c>
      <c r="Q489" s="20">
        <v>3968</v>
      </c>
      <c r="R489" s="26" t="s">
        <v>36</v>
      </c>
      <c r="S489" s="31">
        <v>3968</v>
      </c>
      <c r="T489" s="32">
        <v>45174</v>
      </c>
      <c r="U489" s="31"/>
      <c r="V489" s="26"/>
      <c r="W489" s="33" t="s">
        <v>2665</v>
      </c>
      <c r="X489" s="26"/>
      <c r="Y489" s="22">
        <v>0</v>
      </c>
      <c r="Z489" s="26" t="s">
        <v>50</v>
      </c>
      <c r="AA489" s="19" t="s">
        <v>2449</v>
      </c>
      <c r="AB489" s="26" t="s">
        <v>116</v>
      </c>
      <c r="AC489" s="26" t="s">
        <v>53</v>
      </c>
      <c r="AD489" s="19" t="s">
        <v>54</v>
      </c>
      <c r="AE489" s="26">
        <v>575</v>
      </c>
      <c r="AF489" s="43">
        <v>45219</v>
      </c>
      <c r="AG489" s="26"/>
      <c r="AH489" s="26"/>
      <c r="AI489" s="40"/>
      <c r="AJ489" s="26"/>
      <c r="AK489" s="26"/>
      <c r="AL489" s="35"/>
      <c r="AM489" s="35"/>
      <c r="AN489" s="35"/>
      <c r="AO489" s="35"/>
      <c r="AP489" s="35"/>
    </row>
    <row r="490" spans="1:42" x14ac:dyDescent="0.2">
      <c r="A490" s="27">
        <v>45175.21931104167</v>
      </c>
      <c r="B490" s="28" t="s">
        <v>37</v>
      </c>
      <c r="C490" s="41" t="s">
        <v>118</v>
      </c>
      <c r="D490" s="26" t="s">
        <v>36</v>
      </c>
      <c r="E490" s="26" t="s">
        <v>56</v>
      </c>
      <c r="F490" s="26" t="s">
        <v>40</v>
      </c>
      <c r="G490" s="26" t="s">
        <v>41</v>
      </c>
      <c r="H490" s="26" t="s">
        <v>2647</v>
      </c>
      <c r="I490" s="17">
        <f ca="1">IFERROR(__xludf.DUMMYFUNCTION("""COMPUTED_VALUE"""),45191)</f>
        <v>45191</v>
      </c>
      <c r="J490" s="29" t="s">
        <v>2666</v>
      </c>
      <c r="K490" s="26" t="s">
        <v>2667</v>
      </c>
      <c r="L490" s="30">
        <v>586505467</v>
      </c>
      <c r="M490" s="26" t="s">
        <v>59</v>
      </c>
      <c r="N490" s="26" t="s">
        <v>68</v>
      </c>
      <c r="O490" s="26" t="s">
        <v>2668</v>
      </c>
      <c r="P490" s="26" t="s">
        <v>2669</v>
      </c>
      <c r="Q490" s="20">
        <v>9317</v>
      </c>
      <c r="R490" s="26" t="s">
        <v>36</v>
      </c>
      <c r="S490" s="31">
        <v>9317</v>
      </c>
      <c r="T490" s="32">
        <v>45174</v>
      </c>
      <c r="U490" s="31"/>
      <c r="V490" s="26"/>
      <c r="W490" s="26"/>
      <c r="X490" s="26"/>
      <c r="Y490" s="22">
        <v>0</v>
      </c>
      <c r="Z490" s="26" t="s">
        <v>50</v>
      </c>
      <c r="AA490" s="19" t="s">
        <v>2449</v>
      </c>
      <c r="AB490" s="26" t="s">
        <v>154</v>
      </c>
      <c r="AC490" s="26" t="s">
        <v>53</v>
      </c>
      <c r="AD490" s="19" t="s">
        <v>138</v>
      </c>
      <c r="AE490" s="26" t="s">
        <v>2670</v>
      </c>
      <c r="AF490" s="17">
        <v>45190</v>
      </c>
      <c r="AG490" s="26" t="s">
        <v>1631</v>
      </c>
      <c r="AH490" s="26" t="s">
        <v>2652</v>
      </c>
      <c r="AI490" s="40"/>
      <c r="AJ490" s="26"/>
      <c r="AK490" s="26"/>
      <c r="AL490" s="35"/>
      <c r="AM490" s="35"/>
      <c r="AN490" s="35"/>
      <c r="AO490" s="35"/>
      <c r="AP490" s="35"/>
    </row>
    <row r="491" spans="1:42" x14ac:dyDescent="0.2">
      <c r="A491" s="27">
        <v>45175.618266134261</v>
      </c>
      <c r="B491" s="28" t="s">
        <v>37</v>
      </c>
      <c r="C491" s="41" t="s">
        <v>118</v>
      </c>
      <c r="D491" s="26" t="s">
        <v>36</v>
      </c>
      <c r="E491" s="26" t="s">
        <v>139</v>
      </c>
      <c r="F491" s="26" t="s">
        <v>36</v>
      </c>
      <c r="G491" s="26" t="s">
        <v>41</v>
      </c>
      <c r="H491" s="26" t="s">
        <v>857</v>
      </c>
      <c r="I491" s="17">
        <f ca="1">IFERROR(__xludf.DUMMYFUNCTION("""COMPUTED_VALUE"""),45187)</f>
        <v>45187</v>
      </c>
      <c r="J491" s="29" t="s">
        <v>2671</v>
      </c>
      <c r="K491" s="26" t="s">
        <v>2672</v>
      </c>
      <c r="L491" s="30">
        <v>971533472</v>
      </c>
      <c r="M491" s="26" t="s">
        <v>123</v>
      </c>
      <c r="N491" s="26" t="s">
        <v>850</v>
      </c>
      <c r="O491" s="26" t="s">
        <v>1226</v>
      </c>
      <c r="P491" s="26" t="s">
        <v>2673</v>
      </c>
      <c r="Q491" s="20">
        <v>15936</v>
      </c>
      <c r="R491" s="26" t="s">
        <v>36</v>
      </c>
      <c r="S491" s="31">
        <v>4000</v>
      </c>
      <c r="T491" s="32">
        <v>45175</v>
      </c>
      <c r="U491" s="31">
        <v>11936</v>
      </c>
      <c r="V491" s="32">
        <v>45195</v>
      </c>
      <c r="W491" s="33" t="s">
        <v>2674</v>
      </c>
      <c r="X491" s="26"/>
      <c r="Y491" s="22">
        <v>0</v>
      </c>
      <c r="Z491" s="26" t="s">
        <v>50</v>
      </c>
      <c r="AA491" s="19" t="s">
        <v>2449</v>
      </c>
      <c r="AB491" s="26" t="s">
        <v>104</v>
      </c>
      <c r="AC491" s="26" t="s">
        <v>53</v>
      </c>
      <c r="AD491" s="19" t="s">
        <v>54</v>
      </c>
      <c r="AE491" s="26"/>
      <c r="AF491" s="17">
        <v>45181</v>
      </c>
      <c r="AG491" s="26" t="s">
        <v>863</v>
      </c>
      <c r="AH491" s="26"/>
      <c r="AI491" s="40"/>
      <c r="AJ491" s="26"/>
      <c r="AK491" s="26"/>
      <c r="AL491" s="35"/>
      <c r="AM491" s="35"/>
      <c r="AN491" s="35"/>
      <c r="AO491" s="35"/>
      <c r="AP491" s="35"/>
    </row>
    <row r="492" spans="1:42" x14ac:dyDescent="0.2">
      <c r="A492" s="27">
        <v>45175.66436466435</v>
      </c>
      <c r="B492" s="28" t="s">
        <v>37</v>
      </c>
      <c r="C492" s="41" t="s">
        <v>118</v>
      </c>
      <c r="D492" s="26" t="s">
        <v>36</v>
      </c>
      <c r="E492" s="26" t="s">
        <v>106</v>
      </c>
      <c r="F492" s="26" t="s">
        <v>91</v>
      </c>
      <c r="G492" s="26" t="s">
        <v>108</v>
      </c>
      <c r="H492" s="26" t="s">
        <v>2675</v>
      </c>
      <c r="I492" s="17" t="str">
        <f ca="1">IFERROR(__xludf.DUMMYFUNCTION("""COMPUTED_VALUE""")," ")</f>
        <v xml:space="preserve"> </v>
      </c>
      <c r="J492" s="29" t="s">
        <v>2676</v>
      </c>
      <c r="K492" s="26" t="s">
        <v>2677</v>
      </c>
      <c r="L492" s="30">
        <v>869168175</v>
      </c>
      <c r="M492" s="26" t="s">
        <v>112</v>
      </c>
      <c r="N492" s="26" t="s">
        <v>275</v>
      </c>
      <c r="O492" s="26" t="s">
        <v>91</v>
      </c>
      <c r="P492" s="26" t="s">
        <v>2678</v>
      </c>
      <c r="Q492" s="20">
        <v>3768</v>
      </c>
      <c r="R492" s="26" t="s">
        <v>36</v>
      </c>
      <c r="S492" s="31">
        <v>3768</v>
      </c>
      <c r="T492" s="32">
        <v>45175</v>
      </c>
      <c r="U492" s="31"/>
      <c r="V492" s="26"/>
      <c r="W492" s="33" t="s">
        <v>2679</v>
      </c>
      <c r="X492" s="26"/>
      <c r="Y492" s="22">
        <v>0</v>
      </c>
      <c r="Z492" s="26" t="s">
        <v>50</v>
      </c>
      <c r="AA492" s="19" t="s">
        <v>2449</v>
      </c>
      <c r="AB492" s="26" t="s">
        <v>154</v>
      </c>
      <c r="AC492" s="26" t="s">
        <v>53</v>
      </c>
      <c r="AD492" s="19" t="s">
        <v>54</v>
      </c>
      <c r="AE492" s="26">
        <v>350</v>
      </c>
      <c r="AF492" s="17">
        <v>45177</v>
      </c>
      <c r="AG492" s="26" t="s">
        <v>2680</v>
      </c>
      <c r="AH492" s="26"/>
      <c r="AI492" s="40"/>
      <c r="AJ492" s="26"/>
      <c r="AK492" s="26"/>
      <c r="AL492" s="35"/>
      <c r="AM492" s="35"/>
      <c r="AN492" s="35"/>
      <c r="AO492" s="35"/>
      <c r="AP492" s="35"/>
    </row>
    <row r="493" spans="1:42" x14ac:dyDescent="0.2">
      <c r="A493" s="27">
        <v>45176.302567939812</v>
      </c>
      <c r="B493" s="28" t="s">
        <v>37</v>
      </c>
      <c r="C493" s="41" t="s">
        <v>118</v>
      </c>
      <c r="D493" s="26" t="s">
        <v>56</v>
      </c>
      <c r="E493" s="26" t="s">
        <v>56</v>
      </c>
      <c r="F493" s="26" t="s">
        <v>36</v>
      </c>
      <c r="G493" s="26" t="s">
        <v>41</v>
      </c>
      <c r="H493" s="26" t="s">
        <v>857</v>
      </c>
      <c r="I493" s="17">
        <f ca="1">IFERROR(__xludf.DUMMYFUNCTION("""COMPUTED_VALUE"""),45187)</f>
        <v>45187</v>
      </c>
      <c r="J493" s="29" t="s">
        <v>2681</v>
      </c>
      <c r="K493" s="26" t="s">
        <v>2682</v>
      </c>
      <c r="L493" s="30">
        <v>963871330</v>
      </c>
      <c r="M493" s="26" t="s">
        <v>80</v>
      </c>
      <c r="N493" s="26" t="s">
        <v>299</v>
      </c>
      <c r="O493" s="26" t="s">
        <v>2683</v>
      </c>
      <c r="P493" s="26" t="s">
        <v>2684</v>
      </c>
      <c r="Q493" s="20">
        <v>9317</v>
      </c>
      <c r="R493" s="26" t="s">
        <v>36</v>
      </c>
      <c r="S493" s="31">
        <v>2000</v>
      </c>
      <c r="T493" s="32">
        <v>45176</v>
      </c>
      <c r="U493" s="31">
        <v>7317</v>
      </c>
      <c r="V493" s="32">
        <v>45192</v>
      </c>
      <c r="W493" s="33" t="s">
        <v>2685</v>
      </c>
      <c r="X493" s="26"/>
      <c r="Y493" s="22">
        <v>0</v>
      </c>
      <c r="Z493" s="26" t="s">
        <v>50</v>
      </c>
      <c r="AA493" s="19" t="s">
        <v>2449</v>
      </c>
      <c r="AB493" s="26" t="s">
        <v>104</v>
      </c>
      <c r="AC493" s="26" t="s">
        <v>53</v>
      </c>
      <c r="AD493" s="19" t="s">
        <v>54</v>
      </c>
      <c r="AE493" s="26">
        <v>0</v>
      </c>
      <c r="AF493" s="17">
        <v>45181</v>
      </c>
      <c r="AG493" s="26" t="s">
        <v>863</v>
      </c>
      <c r="AH493" s="26"/>
      <c r="AI493" s="40"/>
      <c r="AJ493" s="26"/>
      <c r="AK493" s="26"/>
      <c r="AL493" s="35"/>
      <c r="AM493" s="35"/>
      <c r="AN493" s="35"/>
      <c r="AO493" s="35"/>
      <c r="AP493" s="35"/>
    </row>
    <row r="494" spans="1:42" x14ac:dyDescent="0.2">
      <c r="A494" s="27">
        <v>45176.302856539347</v>
      </c>
      <c r="B494" s="28" t="s">
        <v>37</v>
      </c>
      <c r="C494" s="41" t="s">
        <v>118</v>
      </c>
      <c r="D494" s="26" t="s">
        <v>36</v>
      </c>
      <c r="E494" s="26" t="s">
        <v>77</v>
      </c>
      <c r="F494" s="26" t="s">
        <v>91</v>
      </c>
      <c r="G494" s="26" t="s">
        <v>41</v>
      </c>
      <c r="H494" s="26" t="s">
        <v>1861</v>
      </c>
      <c r="I494" s="17">
        <f ca="1">IFERROR(__xludf.DUMMYFUNCTION("""COMPUTED_VALUE"""),45187)</f>
        <v>45187</v>
      </c>
      <c r="J494" s="29" t="s">
        <v>2686</v>
      </c>
      <c r="K494" s="26" t="s">
        <v>2687</v>
      </c>
      <c r="L494" s="30">
        <v>384105194</v>
      </c>
      <c r="M494" s="26" t="s">
        <v>348</v>
      </c>
      <c r="N494" s="26" t="s">
        <v>200</v>
      </c>
      <c r="O494" s="26" t="s">
        <v>2688</v>
      </c>
      <c r="P494" s="26" t="s">
        <v>2689</v>
      </c>
      <c r="Q494" s="20">
        <v>1968</v>
      </c>
      <c r="R494" s="26" t="s">
        <v>36</v>
      </c>
      <c r="S494" s="31">
        <v>1968</v>
      </c>
      <c r="T494" s="32">
        <v>45176</v>
      </c>
      <c r="U494" s="31"/>
      <c r="V494" s="26"/>
      <c r="W494" s="33" t="s">
        <v>2690</v>
      </c>
      <c r="X494" s="26"/>
      <c r="Y494" s="22">
        <v>0</v>
      </c>
      <c r="Z494" s="26" t="s">
        <v>50</v>
      </c>
      <c r="AA494" s="19" t="s">
        <v>2449</v>
      </c>
      <c r="AB494" s="26" t="s">
        <v>104</v>
      </c>
      <c r="AC494" s="26" t="s">
        <v>53</v>
      </c>
      <c r="AD494" s="19" t="s">
        <v>138</v>
      </c>
      <c r="AE494" s="26" t="s">
        <v>1327</v>
      </c>
      <c r="AF494" s="17">
        <v>45187</v>
      </c>
      <c r="AG494" s="26" t="s">
        <v>1631</v>
      </c>
      <c r="AH494" s="26"/>
      <c r="AI494" s="40"/>
      <c r="AJ494" s="26"/>
      <c r="AK494" s="26"/>
      <c r="AL494" s="35"/>
      <c r="AM494" s="35"/>
      <c r="AN494" s="35"/>
      <c r="AO494" s="35"/>
      <c r="AP494" s="35"/>
    </row>
    <row r="495" spans="1:42" x14ac:dyDescent="0.2">
      <c r="A495" s="27">
        <v>45176.372273287037</v>
      </c>
      <c r="B495" s="28" t="s">
        <v>37</v>
      </c>
      <c r="C495" s="41" t="s">
        <v>118</v>
      </c>
      <c r="D495" s="26" t="s">
        <v>36</v>
      </c>
      <c r="E495" s="26" t="s">
        <v>106</v>
      </c>
      <c r="F495" s="26" t="s">
        <v>443</v>
      </c>
      <c r="G495" s="26" t="s">
        <v>108</v>
      </c>
      <c r="H495" s="26" t="s">
        <v>1495</v>
      </c>
      <c r="I495" s="17">
        <f ca="1">IFERROR(__xludf.DUMMYFUNCTION("""COMPUTED_VALUE"""),45188)</f>
        <v>45188</v>
      </c>
      <c r="J495" s="29" t="s">
        <v>475</v>
      </c>
      <c r="K495" s="26" t="s">
        <v>660</v>
      </c>
      <c r="L495" s="30">
        <v>349218745</v>
      </c>
      <c r="M495" s="26" t="s">
        <v>112</v>
      </c>
      <c r="N495" s="26" t="s">
        <v>2691</v>
      </c>
      <c r="O495" s="26" t="s">
        <v>36</v>
      </c>
      <c r="P495" s="26" t="s">
        <v>2692</v>
      </c>
      <c r="Q495" s="20">
        <v>3768</v>
      </c>
      <c r="R495" s="26" t="s">
        <v>36</v>
      </c>
      <c r="S495" s="31">
        <v>3686</v>
      </c>
      <c r="T495" s="32">
        <v>45176</v>
      </c>
      <c r="U495" s="31"/>
      <c r="V495" s="26"/>
      <c r="W495" s="33" t="s">
        <v>2693</v>
      </c>
      <c r="X495" s="26"/>
      <c r="Y495" s="22">
        <v>82</v>
      </c>
      <c r="Z495" s="26" t="s">
        <v>50</v>
      </c>
      <c r="AA495" s="19" t="s">
        <v>2449</v>
      </c>
      <c r="AB495" s="26" t="s">
        <v>154</v>
      </c>
      <c r="AC495" s="26" t="s">
        <v>53</v>
      </c>
      <c r="AD495" s="19" t="s">
        <v>54</v>
      </c>
      <c r="AE495" s="26" t="s">
        <v>443</v>
      </c>
      <c r="AF495" s="17">
        <v>45181</v>
      </c>
      <c r="AG495" s="26"/>
      <c r="AH495" s="26"/>
      <c r="AI495" s="40"/>
      <c r="AJ495" s="26"/>
      <c r="AK495" s="26"/>
      <c r="AL495" s="35"/>
      <c r="AM495" s="35"/>
      <c r="AN495" s="35"/>
      <c r="AO495" s="35"/>
      <c r="AP495" s="35"/>
    </row>
    <row r="496" spans="1:42" x14ac:dyDescent="0.2">
      <c r="A496" s="27">
        <v>45176.600676678238</v>
      </c>
      <c r="B496" s="28" t="s">
        <v>37</v>
      </c>
      <c r="C496" s="41" t="s">
        <v>118</v>
      </c>
      <c r="D496" s="26" t="s">
        <v>36</v>
      </c>
      <c r="E496" s="26" t="s">
        <v>139</v>
      </c>
      <c r="F496" s="26" t="s">
        <v>40</v>
      </c>
      <c r="G496" s="26" t="s">
        <v>41</v>
      </c>
      <c r="H496" s="26" t="s">
        <v>857</v>
      </c>
      <c r="I496" s="17">
        <f ca="1">IFERROR(__xludf.DUMMYFUNCTION("""COMPUTED_VALUE"""),45187)</f>
        <v>45187</v>
      </c>
      <c r="J496" s="29" t="s">
        <v>2694</v>
      </c>
      <c r="K496" s="42" t="s">
        <v>2695</v>
      </c>
      <c r="L496" s="30">
        <v>342540538</v>
      </c>
      <c r="M496" s="26" t="s">
        <v>45</v>
      </c>
      <c r="N496" s="26" t="s">
        <v>2696</v>
      </c>
      <c r="O496" s="26" t="s">
        <v>2697</v>
      </c>
      <c r="P496" s="26" t="s">
        <v>2698</v>
      </c>
      <c r="Q496" s="20">
        <v>15936</v>
      </c>
      <c r="R496" s="26" t="s">
        <v>36</v>
      </c>
      <c r="S496" s="31">
        <v>15936</v>
      </c>
      <c r="T496" s="32">
        <v>45176</v>
      </c>
      <c r="U496" s="31"/>
      <c r="V496" s="26"/>
      <c r="W496" s="33" t="s">
        <v>2699</v>
      </c>
      <c r="X496" s="26"/>
      <c r="Y496" s="22">
        <v>0</v>
      </c>
      <c r="Z496" s="26" t="s">
        <v>50</v>
      </c>
      <c r="AA496" s="19" t="s">
        <v>2449</v>
      </c>
      <c r="AB496" s="26" t="s">
        <v>154</v>
      </c>
      <c r="AC496" s="26" t="s">
        <v>53</v>
      </c>
      <c r="AD496" s="19" t="s">
        <v>54</v>
      </c>
      <c r="AE496" s="26">
        <v>0</v>
      </c>
      <c r="AF496" s="17">
        <v>45181</v>
      </c>
      <c r="AG496" s="26" t="s">
        <v>863</v>
      </c>
      <c r="AH496" s="26"/>
      <c r="AI496" s="40"/>
      <c r="AJ496" s="26"/>
      <c r="AK496" s="26"/>
      <c r="AL496" s="35"/>
      <c r="AM496" s="35"/>
      <c r="AN496" s="35"/>
      <c r="AO496" s="35"/>
      <c r="AP496" s="35"/>
    </row>
    <row r="497" spans="1:42" x14ac:dyDescent="0.2">
      <c r="A497" s="27">
        <v>45176.614578460649</v>
      </c>
      <c r="B497" s="28" t="s">
        <v>37</v>
      </c>
      <c r="C497" s="41" t="s">
        <v>118</v>
      </c>
      <c r="D497" s="26" t="s">
        <v>36</v>
      </c>
      <c r="E497" s="26" t="s">
        <v>119</v>
      </c>
      <c r="F497" s="26" t="s">
        <v>36</v>
      </c>
      <c r="G497" s="26" t="s">
        <v>108</v>
      </c>
      <c r="H497" s="26" t="s">
        <v>1495</v>
      </c>
      <c r="I497" s="17">
        <f ca="1">IFERROR(__xludf.DUMMYFUNCTION("""COMPUTED_VALUE"""),45188)</f>
        <v>45188</v>
      </c>
      <c r="J497" s="29" t="s">
        <v>2700</v>
      </c>
      <c r="K497" s="26" t="s">
        <v>2701</v>
      </c>
      <c r="L497" s="30">
        <v>941564187</v>
      </c>
      <c r="M497" s="26" t="s">
        <v>80</v>
      </c>
      <c r="N497" s="26" t="s">
        <v>299</v>
      </c>
      <c r="O497" s="26" t="s">
        <v>2702</v>
      </c>
      <c r="P497" s="26" t="s">
        <v>2703</v>
      </c>
      <c r="Q497" s="20">
        <v>13968</v>
      </c>
      <c r="R497" s="26" t="s">
        <v>36</v>
      </c>
      <c r="S497" s="31">
        <v>4000</v>
      </c>
      <c r="T497" s="32">
        <v>45176</v>
      </c>
      <c r="U497" s="31">
        <v>9936</v>
      </c>
      <c r="V497" s="32">
        <v>45195</v>
      </c>
      <c r="W497" s="33" t="s">
        <v>2704</v>
      </c>
      <c r="X497" s="26"/>
      <c r="Y497" s="22">
        <v>32</v>
      </c>
      <c r="Z497" s="26" t="s">
        <v>50</v>
      </c>
      <c r="AA497" s="19" t="s">
        <v>2449</v>
      </c>
      <c r="AB497" s="26" t="s">
        <v>137</v>
      </c>
      <c r="AC497" s="26" t="s">
        <v>53</v>
      </c>
      <c r="AD497" s="19" t="s">
        <v>54</v>
      </c>
      <c r="AE497" s="26" t="s">
        <v>2705</v>
      </c>
      <c r="AF497" s="17">
        <v>45181</v>
      </c>
      <c r="AG497" s="26"/>
      <c r="AH497" s="26"/>
      <c r="AI497" s="40"/>
      <c r="AJ497" s="26"/>
      <c r="AK497" s="26"/>
      <c r="AL497" s="35"/>
      <c r="AM497" s="35"/>
      <c r="AN497" s="35"/>
      <c r="AO497" s="35"/>
      <c r="AP497" s="35"/>
    </row>
    <row r="498" spans="1:42" x14ac:dyDescent="0.2">
      <c r="A498" s="27">
        <v>45177.707746562504</v>
      </c>
      <c r="B498" s="28" t="s">
        <v>37</v>
      </c>
      <c r="C498" s="41" t="s">
        <v>118</v>
      </c>
      <c r="D498" s="26" t="s">
        <v>36</v>
      </c>
      <c r="E498" s="26" t="s">
        <v>139</v>
      </c>
      <c r="F498" s="26" t="s">
        <v>36</v>
      </c>
      <c r="G498" s="26" t="s">
        <v>41</v>
      </c>
      <c r="H498" s="26" t="s">
        <v>1861</v>
      </c>
      <c r="I498" s="17">
        <f ca="1">IFERROR(__xludf.DUMMYFUNCTION("""COMPUTED_VALUE"""),45187)</f>
        <v>45187</v>
      </c>
      <c r="J498" s="29" t="s">
        <v>2706</v>
      </c>
      <c r="K498" s="26" t="s">
        <v>2707</v>
      </c>
      <c r="L498" s="30">
        <v>877590645</v>
      </c>
      <c r="M498" s="26" t="s">
        <v>80</v>
      </c>
      <c r="N498" s="26" t="s">
        <v>299</v>
      </c>
      <c r="O498" s="26" t="s">
        <v>1487</v>
      </c>
      <c r="P498" s="26" t="s">
        <v>2641</v>
      </c>
      <c r="Q498" s="20">
        <v>15936</v>
      </c>
      <c r="R498" s="26" t="s">
        <v>36</v>
      </c>
      <c r="S498" s="31">
        <v>4000</v>
      </c>
      <c r="T498" s="32">
        <v>45177</v>
      </c>
      <c r="U498" s="31">
        <v>11936</v>
      </c>
      <c r="V498" s="32">
        <v>45193</v>
      </c>
      <c r="W498" s="33" t="s">
        <v>2708</v>
      </c>
      <c r="X498" s="26"/>
      <c r="Y498" s="22">
        <v>0</v>
      </c>
      <c r="Z498" s="26" t="s">
        <v>50</v>
      </c>
      <c r="AA498" s="19" t="s">
        <v>2449</v>
      </c>
      <c r="AB498" s="26" t="s">
        <v>104</v>
      </c>
      <c r="AC498" s="26" t="s">
        <v>53</v>
      </c>
      <c r="AD498" s="19" t="s">
        <v>138</v>
      </c>
      <c r="AE498" s="26">
        <v>0</v>
      </c>
      <c r="AF498" s="17">
        <v>45187</v>
      </c>
      <c r="AG498" s="26" t="s">
        <v>1631</v>
      </c>
      <c r="AH498" s="26"/>
      <c r="AI498" s="40"/>
      <c r="AJ498" s="26"/>
      <c r="AK498" s="26"/>
      <c r="AL498" s="35"/>
      <c r="AM498" s="35"/>
      <c r="AN498" s="35"/>
      <c r="AO498" s="35"/>
      <c r="AP498" s="35"/>
    </row>
    <row r="499" spans="1:42" x14ac:dyDescent="0.2">
      <c r="A499" s="27">
        <v>45178.128746516202</v>
      </c>
      <c r="B499" s="28" t="s">
        <v>37</v>
      </c>
      <c r="C499" s="41" t="s">
        <v>118</v>
      </c>
      <c r="D499" s="26" t="s">
        <v>36</v>
      </c>
      <c r="E499" s="26" t="s">
        <v>106</v>
      </c>
      <c r="F499" s="26" t="s">
        <v>289</v>
      </c>
      <c r="G499" s="26" t="s">
        <v>108</v>
      </c>
      <c r="H499" s="26" t="s">
        <v>2388</v>
      </c>
      <c r="I499" s="17">
        <f ca="1">IFERROR(__xludf.DUMMYFUNCTION("""COMPUTED_VALUE"""),45190)</f>
        <v>45190</v>
      </c>
      <c r="J499" s="29" t="s">
        <v>2709</v>
      </c>
      <c r="K499" s="26" t="s">
        <v>2710</v>
      </c>
      <c r="L499" s="30">
        <v>385578677</v>
      </c>
      <c r="M499" s="26" t="s">
        <v>112</v>
      </c>
      <c r="N499" s="26" t="s">
        <v>193</v>
      </c>
      <c r="O499" s="26" t="s">
        <v>2711</v>
      </c>
      <c r="P499" s="42" t="s">
        <v>2712</v>
      </c>
      <c r="Q499" s="20">
        <v>3768</v>
      </c>
      <c r="R499" s="26" t="s">
        <v>36</v>
      </c>
      <c r="S499" s="31">
        <v>3768</v>
      </c>
      <c r="T499" s="32">
        <v>45177</v>
      </c>
      <c r="U499" s="31"/>
      <c r="V499" s="26"/>
      <c r="W499" s="33" t="s">
        <v>2713</v>
      </c>
      <c r="X499" s="26"/>
      <c r="Y499" s="22">
        <v>0</v>
      </c>
      <c r="Z499" s="26" t="s">
        <v>50</v>
      </c>
      <c r="AA499" s="19" t="s">
        <v>2449</v>
      </c>
      <c r="AB499" s="26" t="s">
        <v>137</v>
      </c>
      <c r="AC499" s="26" t="s">
        <v>53</v>
      </c>
      <c r="AD499" s="19" t="s">
        <v>54</v>
      </c>
      <c r="AE499" s="26">
        <v>57</v>
      </c>
      <c r="AF499" s="17">
        <v>45181</v>
      </c>
      <c r="AG499" s="26"/>
      <c r="AH499" s="26"/>
      <c r="AI499" s="40"/>
      <c r="AJ499" s="26"/>
      <c r="AK499" s="26"/>
      <c r="AL499" s="35"/>
      <c r="AM499" s="35"/>
      <c r="AN499" s="35"/>
      <c r="AO499" s="35"/>
      <c r="AP499" s="35"/>
    </row>
    <row r="500" spans="1:42" x14ac:dyDescent="0.2">
      <c r="A500" s="27">
        <v>45178.131885219904</v>
      </c>
      <c r="B500" s="28" t="s">
        <v>37</v>
      </c>
      <c r="C500" s="41" t="s">
        <v>118</v>
      </c>
      <c r="D500" s="26" t="s">
        <v>36</v>
      </c>
      <c r="E500" s="26" t="s">
        <v>106</v>
      </c>
      <c r="F500" s="26" t="s">
        <v>289</v>
      </c>
      <c r="G500" s="26" t="s">
        <v>108</v>
      </c>
      <c r="H500" s="26" t="s">
        <v>2388</v>
      </c>
      <c r="I500" s="17">
        <f ca="1">IFERROR(__xludf.DUMMYFUNCTION("""COMPUTED_VALUE"""),45190)</f>
        <v>45190</v>
      </c>
      <c r="J500" s="29" t="s">
        <v>290</v>
      </c>
      <c r="K500" s="26" t="s">
        <v>291</v>
      </c>
      <c r="L500" s="30">
        <v>336393778</v>
      </c>
      <c r="M500" s="26" t="s">
        <v>112</v>
      </c>
      <c r="N500" s="26" t="s">
        <v>193</v>
      </c>
      <c r="O500" s="26" t="s">
        <v>2714</v>
      </c>
      <c r="P500" s="26" t="s">
        <v>2715</v>
      </c>
      <c r="Q500" s="20">
        <v>3768</v>
      </c>
      <c r="R500" s="26" t="s">
        <v>36</v>
      </c>
      <c r="S500" s="31">
        <v>3768</v>
      </c>
      <c r="T500" s="32">
        <v>45178</v>
      </c>
      <c r="U500" s="31"/>
      <c r="V500" s="26"/>
      <c r="W500" s="33" t="s">
        <v>2716</v>
      </c>
      <c r="X500" s="26"/>
      <c r="Y500" s="22">
        <v>0</v>
      </c>
      <c r="Z500" s="26" t="s">
        <v>50</v>
      </c>
      <c r="AA500" s="19" t="s">
        <v>2449</v>
      </c>
      <c r="AB500" s="26" t="s">
        <v>137</v>
      </c>
      <c r="AC500" s="26" t="s">
        <v>53</v>
      </c>
      <c r="AD500" s="19" t="s">
        <v>54</v>
      </c>
      <c r="AE500" s="26">
        <v>85</v>
      </c>
      <c r="AF500" s="17">
        <v>45181</v>
      </c>
      <c r="AG500" s="26"/>
      <c r="AH500" s="26"/>
      <c r="AI500" s="40"/>
      <c r="AJ500" s="26"/>
      <c r="AK500" s="26"/>
      <c r="AL500" s="35"/>
      <c r="AM500" s="35"/>
      <c r="AN500" s="35"/>
      <c r="AO500" s="35"/>
      <c r="AP500" s="35"/>
    </row>
    <row r="501" spans="1:42" x14ac:dyDescent="0.2">
      <c r="A501" s="27">
        <v>45178.258242754629</v>
      </c>
      <c r="B501" s="28" t="s">
        <v>37</v>
      </c>
      <c r="C501" s="41" t="s">
        <v>118</v>
      </c>
      <c r="D501" s="26" t="s">
        <v>36</v>
      </c>
      <c r="E501" s="26" t="s">
        <v>77</v>
      </c>
      <c r="F501" s="26" t="s">
        <v>36</v>
      </c>
      <c r="G501" s="26" t="s">
        <v>41</v>
      </c>
      <c r="H501" s="26" t="s">
        <v>2717</v>
      </c>
      <c r="I501" s="17">
        <f ca="1">IFERROR(__xludf.DUMMYFUNCTION("""COMPUTED_VALUE"""),45196)</f>
        <v>45196</v>
      </c>
      <c r="J501" s="29" t="s">
        <v>2718</v>
      </c>
      <c r="K501" s="26" t="s">
        <v>2719</v>
      </c>
      <c r="L501" s="30">
        <v>369486997</v>
      </c>
      <c r="M501" s="26" t="s">
        <v>80</v>
      </c>
      <c r="N501" s="26" t="s">
        <v>186</v>
      </c>
      <c r="O501" s="26" t="s">
        <v>1492</v>
      </c>
      <c r="P501" s="26" t="s">
        <v>2720</v>
      </c>
      <c r="Q501" s="20">
        <v>1968</v>
      </c>
      <c r="R501" s="26" t="s">
        <v>36</v>
      </c>
      <c r="S501" s="31">
        <v>1968</v>
      </c>
      <c r="T501" s="32">
        <v>45177</v>
      </c>
      <c r="U501" s="31"/>
      <c r="V501" s="26"/>
      <c r="W501" s="33" t="s">
        <v>2721</v>
      </c>
      <c r="X501" s="26"/>
      <c r="Y501" s="22">
        <v>0</v>
      </c>
      <c r="Z501" s="26" t="s">
        <v>50</v>
      </c>
      <c r="AA501" s="19" t="s">
        <v>2449</v>
      </c>
      <c r="AB501" s="26" t="s">
        <v>104</v>
      </c>
      <c r="AC501" s="26" t="s">
        <v>53</v>
      </c>
      <c r="AD501" s="19" t="s">
        <v>54</v>
      </c>
      <c r="AE501" s="26">
        <v>0</v>
      </c>
      <c r="AF501" s="17">
        <v>45187</v>
      </c>
      <c r="AG501" s="26"/>
      <c r="AH501" s="26"/>
      <c r="AI501" s="40"/>
      <c r="AJ501" s="26"/>
      <c r="AK501" s="26"/>
      <c r="AL501" s="35"/>
      <c r="AM501" s="35"/>
      <c r="AN501" s="35"/>
      <c r="AO501" s="35"/>
      <c r="AP501" s="35"/>
    </row>
    <row r="502" spans="1:42" x14ac:dyDescent="0.2">
      <c r="A502" s="27">
        <v>45178.405408877312</v>
      </c>
      <c r="B502" s="28" t="s">
        <v>37</v>
      </c>
      <c r="C502" s="41" t="s">
        <v>118</v>
      </c>
      <c r="D502" s="26" t="s">
        <v>36</v>
      </c>
      <c r="E502" s="26" t="s">
        <v>77</v>
      </c>
      <c r="F502" s="26" t="s">
        <v>36</v>
      </c>
      <c r="G502" s="26" t="s">
        <v>41</v>
      </c>
      <c r="H502" s="26" t="s">
        <v>2722</v>
      </c>
      <c r="I502" s="17">
        <f ca="1">IFERROR(__xludf.DUMMYFUNCTION("""COMPUTED_VALUE"""),45783)</f>
        <v>45783</v>
      </c>
      <c r="J502" s="29" t="s">
        <v>2723</v>
      </c>
      <c r="K502" s="26" t="s">
        <v>2724</v>
      </c>
      <c r="L502" s="30">
        <v>333181484</v>
      </c>
      <c r="M502" s="26" t="s">
        <v>80</v>
      </c>
      <c r="N502" s="26" t="s">
        <v>186</v>
      </c>
      <c r="O502" s="26" t="s">
        <v>2725</v>
      </c>
      <c r="P502" s="42" t="s">
        <v>2726</v>
      </c>
      <c r="Q502" s="20">
        <v>1968</v>
      </c>
      <c r="R502" s="26" t="s">
        <v>36</v>
      </c>
      <c r="S502" s="31">
        <v>1968</v>
      </c>
      <c r="T502" s="32">
        <v>45177</v>
      </c>
      <c r="U502" s="31"/>
      <c r="V502" s="26"/>
      <c r="W502" s="55" t="s">
        <v>2727</v>
      </c>
      <c r="X502" s="26"/>
      <c r="Y502" s="22">
        <v>0</v>
      </c>
      <c r="Z502" s="26" t="s">
        <v>50</v>
      </c>
      <c r="AA502" s="19" t="s">
        <v>2449</v>
      </c>
      <c r="AB502" s="26" t="s">
        <v>104</v>
      </c>
      <c r="AC502" s="26" t="s">
        <v>53</v>
      </c>
      <c r="AD502" s="19" t="s">
        <v>138</v>
      </c>
      <c r="AE502" s="26">
        <v>0</v>
      </c>
      <c r="AF502" s="17">
        <v>45776</v>
      </c>
      <c r="AG502" s="26" t="s">
        <v>2728</v>
      </c>
      <c r="AH502" s="26"/>
      <c r="AI502" s="40"/>
      <c r="AJ502" s="26"/>
      <c r="AK502" s="26"/>
      <c r="AL502" s="35"/>
      <c r="AM502" s="35"/>
      <c r="AN502" s="35"/>
      <c r="AO502" s="35"/>
      <c r="AP502" s="35"/>
    </row>
    <row r="503" spans="1:42" x14ac:dyDescent="0.2">
      <c r="A503" s="27">
        <v>45178.476285324075</v>
      </c>
      <c r="B503" s="28" t="s">
        <v>37</v>
      </c>
      <c r="C503" s="41" t="s">
        <v>118</v>
      </c>
      <c r="D503" s="26" t="s">
        <v>36</v>
      </c>
      <c r="E503" s="26" t="s">
        <v>106</v>
      </c>
      <c r="F503" s="26" t="s">
        <v>178</v>
      </c>
      <c r="G503" s="26" t="s">
        <v>108</v>
      </c>
      <c r="H503" s="26" t="s">
        <v>1748</v>
      </c>
      <c r="I503" s="17">
        <f ca="1">IFERROR(__xludf.DUMMYFUNCTION("""COMPUTED_VALUE"""),45190)</f>
        <v>45190</v>
      </c>
      <c r="J503" s="29" t="s">
        <v>2729</v>
      </c>
      <c r="K503" s="26" t="s">
        <v>266</v>
      </c>
      <c r="L503" s="30">
        <v>342877879</v>
      </c>
      <c r="M503" s="26" t="s">
        <v>112</v>
      </c>
      <c r="N503" s="26" t="s">
        <v>1742</v>
      </c>
      <c r="O503" s="26" t="s">
        <v>2730</v>
      </c>
      <c r="P503" s="26" t="s">
        <v>2731</v>
      </c>
      <c r="Q503" s="20">
        <v>3768</v>
      </c>
      <c r="R503" s="26" t="s">
        <v>36</v>
      </c>
      <c r="S503" s="31">
        <v>3768</v>
      </c>
      <c r="T503" s="32">
        <v>45178</v>
      </c>
      <c r="U503" s="31"/>
      <c r="V503" s="26"/>
      <c r="W503" s="33" t="s">
        <v>2732</v>
      </c>
      <c r="X503" s="26"/>
      <c r="Y503" s="22">
        <v>0</v>
      </c>
      <c r="Z503" s="26" t="s">
        <v>50</v>
      </c>
      <c r="AA503" s="19" t="s">
        <v>2449</v>
      </c>
      <c r="AB503" s="26" t="s">
        <v>137</v>
      </c>
      <c r="AC503" s="26" t="s">
        <v>53</v>
      </c>
      <c r="AD503" s="19" t="s">
        <v>54</v>
      </c>
      <c r="AE503" s="26" t="s">
        <v>2733</v>
      </c>
      <c r="AF503" s="17">
        <v>45181</v>
      </c>
      <c r="AG503" s="26"/>
      <c r="AH503" s="26"/>
      <c r="AI503" s="40"/>
      <c r="AJ503" s="26"/>
      <c r="AK503" s="26"/>
      <c r="AL503" s="35"/>
      <c r="AM503" s="35"/>
      <c r="AN503" s="35"/>
      <c r="AO503" s="35"/>
      <c r="AP503" s="35"/>
    </row>
    <row r="504" spans="1:42" x14ac:dyDescent="0.2">
      <c r="A504" s="27">
        <v>45178.655924594903</v>
      </c>
      <c r="B504" s="28" t="s">
        <v>37</v>
      </c>
      <c r="C504" s="41" t="s">
        <v>118</v>
      </c>
      <c r="D504" s="26" t="s">
        <v>36</v>
      </c>
      <c r="E504" s="26" t="s">
        <v>77</v>
      </c>
      <c r="F504" s="26" t="s">
        <v>36</v>
      </c>
      <c r="G504" s="26" t="s">
        <v>41</v>
      </c>
      <c r="H504" s="26" t="s">
        <v>2734</v>
      </c>
      <c r="I504" s="17">
        <f ca="1">IFERROR(__xludf.DUMMYFUNCTION("""COMPUTED_VALUE"""),45193)</f>
        <v>45193</v>
      </c>
      <c r="J504" s="29" t="s">
        <v>2735</v>
      </c>
      <c r="K504" s="26" t="s">
        <v>2736</v>
      </c>
      <c r="L504" s="30">
        <v>962379905</v>
      </c>
      <c r="M504" s="26" t="s">
        <v>123</v>
      </c>
      <c r="N504" s="26" t="s">
        <v>327</v>
      </c>
      <c r="O504" s="26" t="s">
        <v>2737</v>
      </c>
      <c r="P504" s="26" t="s">
        <v>2738</v>
      </c>
      <c r="Q504" s="20">
        <v>1968</v>
      </c>
      <c r="R504" s="26" t="s">
        <v>36</v>
      </c>
      <c r="S504" s="31">
        <v>1968</v>
      </c>
      <c r="T504" s="32">
        <v>45178</v>
      </c>
      <c r="U504" s="31"/>
      <c r="V504" s="26"/>
      <c r="W504" s="33" t="s">
        <v>2739</v>
      </c>
      <c r="X504" s="26"/>
      <c r="Y504" s="22">
        <v>0</v>
      </c>
      <c r="Z504" s="26" t="s">
        <v>50</v>
      </c>
      <c r="AA504" s="19" t="s">
        <v>2449</v>
      </c>
      <c r="AB504" s="26" t="s">
        <v>104</v>
      </c>
      <c r="AC504" s="26" t="s">
        <v>53</v>
      </c>
      <c r="AD504" s="19" t="s">
        <v>54</v>
      </c>
      <c r="AE504" s="26"/>
      <c r="AF504" s="17">
        <v>45184</v>
      </c>
      <c r="AG504" s="26"/>
      <c r="AH504" s="26"/>
      <c r="AI504" s="40"/>
      <c r="AJ504" s="26"/>
      <c r="AK504" s="26"/>
      <c r="AL504" s="35"/>
      <c r="AM504" s="35"/>
      <c r="AN504" s="35"/>
      <c r="AO504" s="35"/>
      <c r="AP504" s="35"/>
    </row>
    <row r="505" spans="1:42" x14ac:dyDescent="0.2">
      <c r="A505" s="27">
        <v>45178.697237476852</v>
      </c>
      <c r="B505" s="28" t="s">
        <v>37</v>
      </c>
      <c r="C505" s="41" t="s">
        <v>118</v>
      </c>
      <c r="D505" s="26" t="s">
        <v>36</v>
      </c>
      <c r="E505" s="26" t="s">
        <v>56</v>
      </c>
      <c r="F505" s="26" t="s">
        <v>36</v>
      </c>
      <c r="G505" s="26" t="s">
        <v>41</v>
      </c>
      <c r="H505" s="26" t="s">
        <v>1861</v>
      </c>
      <c r="I505" s="17">
        <f ca="1">IFERROR(__xludf.DUMMYFUNCTION("""COMPUTED_VALUE"""),45187)</f>
        <v>45187</v>
      </c>
      <c r="J505" s="29" t="s">
        <v>2740</v>
      </c>
      <c r="K505" s="26" t="s">
        <v>2741</v>
      </c>
      <c r="L505" s="30">
        <v>583291573</v>
      </c>
      <c r="M505" s="26" t="s">
        <v>59</v>
      </c>
      <c r="N505" s="26" t="s">
        <v>260</v>
      </c>
      <c r="O505" s="26" t="s">
        <v>2742</v>
      </c>
      <c r="P505" s="26" t="s">
        <v>2743</v>
      </c>
      <c r="Q505" s="20">
        <v>9317</v>
      </c>
      <c r="R505" s="26" t="s">
        <v>36</v>
      </c>
      <c r="S505" s="31">
        <v>9317</v>
      </c>
      <c r="T505" s="32">
        <v>45177</v>
      </c>
      <c r="U505" s="31"/>
      <c r="V505" s="26"/>
      <c r="W505" s="33" t="s">
        <v>2744</v>
      </c>
      <c r="X505" s="26"/>
      <c r="Y505" s="22">
        <v>0</v>
      </c>
      <c r="Z505" s="26" t="s">
        <v>50</v>
      </c>
      <c r="AA505" s="19" t="s">
        <v>2449</v>
      </c>
      <c r="AB505" s="26" t="s">
        <v>104</v>
      </c>
      <c r="AC505" s="26" t="s">
        <v>53</v>
      </c>
      <c r="AD505" s="19" t="s">
        <v>138</v>
      </c>
      <c r="AE505" s="26" t="s">
        <v>2745</v>
      </c>
      <c r="AF505" s="17">
        <v>45187</v>
      </c>
      <c r="AG505" s="26" t="s">
        <v>1631</v>
      </c>
      <c r="AH505" s="26"/>
      <c r="AI505" s="40"/>
      <c r="AJ505" s="26"/>
      <c r="AK505" s="26"/>
      <c r="AL505" s="35"/>
      <c r="AM505" s="35"/>
      <c r="AN505" s="35"/>
      <c r="AO505" s="35"/>
      <c r="AP505" s="35"/>
    </row>
    <row r="506" spans="1:42" x14ac:dyDescent="0.2">
      <c r="A506" s="27">
        <v>45179.423802280093</v>
      </c>
      <c r="B506" s="28" t="s">
        <v>37</v>
      </c>
      <c r="C506" s="41" t="s">
        <v>118</v>
      </c>
      <c r="D506" s="26" t="s">
        <v>36</v>
      </c>
      <c r="E506" s="26" t="s">
        <v>119</v>
      </c>
      <c r="F506" s="26" t="s">
        <v>36</v>
      </c>
      <c r="G506" s="26" t="s">
        <v>108</v>
      </c>
      <c r="H506" s="26" t="s">
        <v>2595</v>
      </c>
      <c r="I506" s="17">
        <f ca="1">IFERROR(__xludf.DUMMYFUNCTION("""COMPUTED_VALUE"""),45191)</f>
        <v>45191</v>
      </c>
      <c r="J506" s="29" t="s">
        <v>2746</v>
      </c>
      <c r="K506" s="26" t="s">
        <v>2747</v>
      </c>
      <c r="L506" s="30">
        <v>833782005</v>
      </c>
      <c r="M506" s="26" t="s">
        <v>80</v>
      </c>
      <c r="N506" s="26" t="s">
        <v>299</v>
      </c>
      <c r="O506" s="26" t="s">
        <v>1492</v>
      </c>
      <c r="P506" s="26" t="s">
        <v>138</v>
      </c>
      <c r="Q506" s="20">
        <v>13968</v>
      </c>
      <c r="R506" s="26" t="s">
        <v>36</v>
      </c>
      <c r="S506" s="31">
        <v>13968</v>
      </c>
      <c r="T506" s="32">
        <v>45179</v>
      </c>
      <c r="U506" s="31"/>
      <c r="V506" s="26"/>
      <c r="W506" s="33" t="s">
        <v>2748</v>
      </c>
      <c r="X506" s="26"/>
      <c r="Y506" s="22">
        <v>0</v>
      </c>
      <c r="Z506" s="26" t="s">
        <v>50</v>
      </c>
      <c r="AA506" s="19" t="s">
        <v>2449</v>
      </c>
      <c r="AB506" s="26" t="s">
        <v>154</v>
      </c>
      <c r="AC506" s="26" t="s">
        <v>53</v>
      </c>
      <c r="AD506" s="19" t="s">
        <v>138</v>
      </c>
      <c r="AE506" s="26" t="s">
        <v>2705</v>
      </c>
      <c r="AF506" s="17">
        <v>45191</v>
      </c>
      <c r="AG506" s="26" t="s">
        <v>1631</v>
      </c>
      <c r="AH506" s="26"/>
      <c r="AI506" s="40"/>
      <c r="AJ506" s="26"/>
      <c r="AK506" s="26"/>
      <c r="AL506" s="35"/>
      <c r="AM506" s="35"/>
      <c r="AN506" s="35"/>
      <c r="AO506" s="35"/>
      <c r="AP506" s="35"/>
    </row>
    <row r="507" spans="1:42" x14ac:dyDescent="0.2">
      <c r="A507" s="27">
        <v>45179.430725162034</v>
      </c>
      <c r="B507" s="28" t="s">
        <v>37</v>
      </c>
      <c r="C507" s="41" t="s">
        <v>118</v>
      </c>
      <c r="D507" s="26" t="s">
        <v>77</v>
      </c>
      <c r="E507" s="26" t="s">
        <v>106</v>
      </c>
      <c r="F507" s="26" t="s">
        <v>36</v>
      </c>
      <c r="G507" s="26" t="s">
        <v>108</v>
      </c>
      <c r="H507" s="26" t="s">
        <v>1781</v>
      </c>
      <c r="I507" s="17">
        <f ca="1">IFERROR(__xludf.DUMMYFUNCTION("""COMPUTED_VALUE"""),45203)</f>
        <v>45203</v>
      </c>
      <c r="J507" s="29" t="s">
        <v>798</v>
      </c>
      <c r="K507" s="26" t="s">
        <v>2749</v>
      </c>
      <c r="L507" s="30">
        <v>946859742</v>
      </c>
      <c r="M507" s="26" t="s">
        <v>80</v>
      </c>
      <c r="N507" s="26" t="s">
        <v>186</v>
      </c>
      <c r="O507" s="26" t="s">
        <v>800</v>
      </c>
      <c r="P507" s="42" t="s">
        <v>2750</v>
      </c>
      <c r="Q507" s="20">
        <v>3768</v>
      </c>
      <c r="R507" s="26" t="s">
        <v>36</v>
      </c>
      <c r="S507" s="31">
        <v>3768</v>
      </c>
      <c r="T507" s="32">
        <v>45179</v>
      </c>
      <c r="U507" s="31"/>
      <c r="V507" s="26"/>
      <c r="W507" s="33" t="s">
        <v>2751</v>
      </c>
      <c r="X507" s="26"/>
      <c r="Y507" s="22">
        <v>0</v>
      </c>
      <c r="Z507" s="26" t="s">
        <v>50</v>
      </c>
      <c r="AA507" s="19" t="s">
        <v>2449</v>
      </c>
      <c r="AB507" s="26" t="s">
        <v>104</v>
      </c>
      <c r="AC507" s="26" t="s">
        <v>53</v>
      </c>
      <c r="AD507" s="19" t="s">
        <v>54</v>
      </c>
      <c r="AE507" s="26" t="s">
        <v>2752</v>
      </c>
      <c r="AF507" s="17">
        <v>45199</v>
      </c>
      <c r="AG507" s="26"/>
      <c r="AH507" s="26"/>
      <c r="AI507" s="40"/>
      <c r="AJ507" s="26"/>
      <c r="AK507" s="26"/>
      <c r="AL507" s="35"/>
      <c r="AM507" s="35"/>
      <c r="AN507" s="35"/>
      <c r="AO507" s="35"/>
      <c r="AP507" s="35"/>
    </row>
    <row r="508" spans="1:42" x14ac:dyDescent="0.2">
      <c r="A508" s="27">
        <v>45179.570129016203</v>
      </c>
      <c r="B508" s="28" t="s">
        <v>37</v>
      </c>
      <c r="C508" s="41" t="s">
        <v>118</v>
      </c>
      <c r="D508" s="26" t="s">
        <v>36</v>
      </c>
      <c r="E508" s="26" t="s">
        <v>77</v>
      </c>
      <c r="F508" s="26" t="s">
        <v>36</v>
      </c>
      <c r="G508" s="26" t="s">
        <v>41</v>
      </c>
      <c r="H508" s="26" t="s">
        <v>2734</v>
      </c>
      <c r="I508" s="17">
        <f ca="1">IFERROR(__xludf.DUMMYFUNCTION("""COMPUTED_VALUE"""),45193)</f>
        <v>45193</v>
      </c>
      <c r="J508" s="29" t="s">
        <v>2753</v>
      </c>
      <c r="K508" s="26" t="s">
        <v>2754</v>
      </c>
      <c r="L508" s="30">
        <v>838209451</v>
      </c>
      <c r="M508" s="26" t="s">
        <v>2755</v>
      </c>
      <c r="N508" s="26" t="s">
        <v>2756</v>
      </c>
      <c r="O508" s="26" t="s">
        <v>1226</v>
      </c>
      <c r="P508" s="26" t="s">
        <v>2757</v>
      </c>
      <c r="Q508" s="20">
        <v>1968</v>
      </c>
      <c r="R508" s="26" t="s">
        <v>36</v>
      </c>
      <c r="S508" s="31">
        <v>1968</v>
      </c>
      <c r="T508" s="32">
        <v>45179</v>
      </c>
      <c r="U508" s="31"/>
      <c r="V508" s="26"/>
      <c r="W508" s="33" t="s">
        <v>2758</v>
      </c>
      <c r="X508" s="26"/>
      <c r="Y508" s="22">
        <v>0</v>
      </c>
      <c r="Z508" s="26" t="s">
        <v>50</v>
      </c>
      <c r="AA508" s="19" t="s">
        <v>2449</v>
      </c>
      <c r="AB508" s="26" t="s">
        <v>104</v>
      </c>
      <c r="AC508" s="26" t="s">
        <v>53</v>
      </c>
      <c r="AD508" s="19" t="s">
        <v>54</v>
      </c>
      <c r="AE508" s="26"/>
      <c r="AF508" s="17">
        <v>45184</v>
      </c>
      <c r="AG508" s="26"/>
      <c r="AH508" s="26"/>
      <c r="AI508" s="40"/>
      <c r="AJ508" s="26"/>
      <c r="AK508" s="26"/>
      <c r="AL508" s="35"/>
      <c r="AM508" s="35"/>
      <c r="AN508" s="35"/>
      <c r="AO508" s="35"/>
      <c r="AP508" s="35"/>
    </row>
    <row r="509" spans="1:42" x14ac:dyDescent="0.2">
      <c r="A509" s="27">
        <v>45179.736155092593</v>
      </c>
      <c r="B509" s="28" t="s">
        <v>37</v>
      </c>
      <c r="C509" s="41" t="s">
        <v>118</v>
      </c>
      <c r="D509" s="26" t="s">
        <v>36</v>
      </c>
      <c r="E509" s="26" t="s">
        <v>39</v>
      </c>
      <c r="F509" s="26" t="s">
        <v>2759</v>
      </c>
      <c r="G509" s="26" t="s">
        <v>41</v>
      </c>
      <c r="H509" s="26" t="s">
        <v>2760</v>
      </c>
      <c r="I509" s="17">
        <f ca="1">IFERROR(__xludf.DUMMYFUNCTION("""COMPUTED_VALUE"""),45202)</f>
        <v>45202</v>
      </c>
      <c r="J509" s="29" t="s">
        <v>2761</v>
      </c>
      <c r="K509" s="26" t="s">
        <v>2762</v>
      </c>
      <c r="L509" s="30">
        <v>395928168</v>
      </c>
      <c r="M509" s="26" t="s">
        <v>94</v>
      </c>
      <c r="N509" s="26" t="s">
        <v>827</v>
      </c>
      <c r="O509" s="26" t="s">
        <v>91</v>
      </c>
      <c r="P509" s="26" t="s">
        <v>2763</v>
      </c>
      <c r="Q509" s="20">
        <v>5736</v>
      </c>
      <c r="R509" s="26" t="s">
        <v>36</v>
      </c>
      <c r="S509" s="31">
        <v>5736</v>
      </c>
      <c r="T509" s="32">
        <v>45177</v>
      </c>
      <c r="U509" s="31"/>
      <c r="V509" s="26"/>
      <c r="W509" s="33" t="s">
        <v>2764</v>
      </c>
      <c r="X509" s="26"/>
      <c r="Y509" s="22">
        <v>0</v>
      </c>
      <c r="Z509" s="26" t="s">
        <v>50</v>
      </c>
      <c r="AA509" s="19" t="s">
        <v>2449</v>
      </c>
      <c r="AB509" s="26" t="s">
        <v>104</v>
      </c>
      <c r="AC509" s="26" t="s">
        <v>53</v>
      </c>
      <c r="AD509" s="19" t="s">
        <v>54</v>
      </c>
      <c r="AE509" s="26">
        <v>340</v>
      </c>
      <c r="AF509" s="17">
        <v>45191</v>
      </c>
      <c r="AG509" s="26"/>
      <c r="AH509" s="26"/>
      <c r="AI509" s="40"/>
      <c r="AJ509" s="26"/>
      <c r="AK509" s="26"/>
      <c r="AL509" s="35"/>
      <c r="AM509" s="35"/>
      <c r="AN509" s="35"/>
      <c r="AO509" s="35"/>
      <c r="AP509" s="35"/>
    </row>
    <row r="510" spans="1:42" x14ac:dyDescent="0.2">
      <c r="A510" s="27">
        <v>45180.054209340276</v>
      </c>
      <c r="B510" s="28" t="s">
        <v>37</v>
      </c>
      <c r="C510" s="41" t="s">
        <v>118</v>
      </c>
      <c r="D510" s="26" t="s">
        <v>36</v>
      </c>
      <c r="E510" s="26" t="s">
        <v>77</v>
      </c>
      <c r="F510" s="26" t="s">
        <v>36</v>
      </c>
      <c r="G510" s="26" t="s">
        <v>41</v>
      </c>
      <c r="H510" s="26" t="s">
        <v>888</v>
      </c>
      <c r="I510" s="17">
        <f ca="1">IFERROR(__xludf.DUMMYFUNCTION("""COMPUTED_VALUE"""),45191)</f>
        <v>45191</v>
      </c>
      <c r="J510" s="29" t="s">
        <v>2765</v>
      </c>
      <c r="K510" s="26" t="s">
        <v>2766</v>
      </c>
      <c r="L510" s="30">
        <v>868297168</v>
      </c>
      <c r="M510" s="26" t="s">
        <v>391</v>
      </c>
      <c r="N510" s="26" t="s">
        <v>2767</v>
      </c>
      <c r="O510" s="26" t="s">
        <v>91</v>
      </c>
      <c r="P510" s="26" t="s">
        <v>2768</v>
      </c>
      <c r="Q510" s="20">
        <v>1968</v>
      </c>
      <c r="R510" s="26" t="s">
        <v>36</v>
      </c>
      <c r="S510" s="31">
        <v>1968</v>
      </c>
      <c r="T510" s="32">
        <v>45178</v>
      </c>
      <c r="U510" s="31"/>
      <c r="V510" s="26"/>
      <c r="W510" s="33" t="s">
        <v>2769</v>
      </c>
      <c r="X510" s="26"/>
      <c r="Y510" s="22">
        <v>0</v>
      </c>
      <c r="Z510" s="26" t="s">
        <v>50</v>
      </c>
      <c r="AA510" s="19" t="s">
        <v>2449</v>
      </c>
      <c r="AB510" s="26" t="s">
        <v>104</v>
      </c>
      <c r="AC510" s="26" t="s">
        <v>53</v>
      </c>
      <c r="AD510" s="19" t="s">
        <v>54</v>
      </c>
      <c r="AE510" s="26"/>
      <c r="AF510" s="17">
        <v>45181</v>
      </c>
      <c r="AG510" s="26"/>
      <c r="AH510" s="26"/>
      <c r="AI510" s="40"/>
      <c r="AJ510" s="26"/>
      <c r="AK510" s="26"/>
      <c r="AL510" s="35"/>
      <c r="AM510" s="35"/>
      <c r="AN510" s="35"/>
      <c r="AO510" s="35"/>
      <c r="AP510" s="35"/>
    </row>
    <row r="511" spans="1:42" x14ac:dyDescent="0.2">
      <c r="A511" s="27">
        <v>45180.342441064815</v>
      </c>
      <c r="B511" s="28" t="s">
        <v>37</v>
      </c>
      <c r="C511" s="41" t="s">
        <v>118</v>
      </c>
      <c r="D511" s="26" t="s">
        <v>36</v>
      </c>
      <c r="E511" s="26" t="s">
        <v>139</v>
      </c>
      <c r="F511" s="26" t="s">
        <v>36</v>
      </c>
      <c r="G511" s="26" t="s">
        <v>41</v>
      </c>
      <c r="H511" s="26" t="s">
        <v>2647</v>
      </c>
      <c r="I511" s="17">
        <f ca="1">IFERROR(__xludf.DUMMYFUNCTION("""COMPUTED_VALUE"""),45191)</f>
        <v>45191</v>
      </c>
      <c r="J511" s="29" t="s">
        <v>2770</v>
      </c>
      <c r="K511" s="26" t="s">
        <v>2771</v>
      </c>
      <c r="L511" s="30">
        <v>366307676</v>
      </c>
      <c r="M511" s="26" t="s">
        <v>123</v>
      </c>
      <c r="N511" s="26" t="s">
        <v>850</v>
      </c>
      <c r="O511" s="26" t="s">
        <v>1226</v>
      </c>
      <c r="P511" s="26" t="s">
        <v>2772</v>
      </c>
      <c r="Q511" s="20">
        <v>15936</v>
      </c>
      <c r="R511" s="26" t="s">
        <v>36</v>
      </c>
      <c r="S511" s="31">
        <v>15936</v>
      </c>
      <c r="T511" s="32">
        <v>45176</v>
      </c>
      <c r="U511" s="31"/>
      <c r="V511" s="26"/>
      <c r="W511" s="33" t="s">
        <v>2773</v>
      </c>
      <c r="X511" s="26"/>
      <c r="Y511" s="22">
        <v>0</v>
      </c>
      <c r="Z511" s="26" t="s">
        <v>50</v>
      </c>
      <c r="AA511" s="19" t="s">
        <v>2449</v>
      </c>
      <c r="AB511" s="26" t="s">
        <v>104</v>
      </c>
      <c r="AC511" s="26" t="s">
        <v>53</v>
      </c>
      <c r="AD511" s="19" t="s">
        <v>138</v>
      </c>
      <c r="AE511" s="26"/>
      <c r="AF511" s="17">
        <v>45190</v>
      </c>
      <c r="AG511" s="26" t="s">
        <v>1631</v>
      </c>
      <c r="AH511" s="26" t="s">
        <v>2652</v>
      </c>
      <c r="AI511" s="40"/>
      <c r="AJ511" s="26"/>
      <c r="AK511" s="26"/>
      <c r="AL511" s="35"/>
      <c r="AM511" s="35"/>
      <c r="AN511" s="35"/>
      <c r="AO511" s="35"/>
      <c r="AP511" s="35"/>
    </row>
    <row r="512" spans="1:42" x14ac:dyDescent="0.2">
      <c r="A512" s="27">
        <v>45181.118768877313</v>
      </c>
      <c r="B512" s="28" t="s">
        <v>37</v>
      </c>
      <c r="C512" s="41" t="s">
        <v>118</v>
      </c>
      <c r="D512" s="26" t="s">
        <v>36</v>
      </c>
      <c r="E512" s="26" t="s">
        <v>39</v>
      </c>
      <c r="F512" s="26" t="s">
        <v>40</v>
      </c>
      <c r="G512" s="26" t="s">
        <v>41</v>
      </c>
      <c r="H512" s="26" t="s">
        <v>2647</v>
      </c>
      <c r="I512" s="17">
        <f ca="1">IFERROR(__xludf.DUMMYFUNCTION("""COMPUTED_VALUE"""),45191)</f>
        <v>45191</v>
      </c>
      <c r="J512" s="29" t="s">
        <v>2774</v>
      </c>
      <c r="K512" s="26" t="s">
        <v>2775</v>
      </c>
      <c r="L512" s="30">
        <v>382127031</v>
      </c>
      <c r="M512" s="26" t="s">
        <v>45</v>
      </c>
      <c r="N512" s="26" t="s">
        <v>1232</v>
      </c>
      <c r="O512" s="26" t="s">
        <v>2776</v>
      </c>
      <c r="P512" s="26" t="s">
        <v>2777</v>
      </c>
      <c r="Q512" s="20">
        <v>5736</v>
      </c>
      <c r="R512" s="26" t="s">
        <v>70</v>
      </c>
      <c r="S512" s="31">
        <v>5636</v>
      </c>
      <c r="T512" s="32">
        <v>45180</v>
      </c>
      <c r="U512" s="31"/>
      <c r="V512" s="26"/>
      <c r="W512" s="33" t="s">
        <v>2778</v>
      </c>
      <c r="X512" s="26"/>
      <c r="Y512" s="22">
        <v>100</v>
      </c>
      <c r="Z512" s="26" t="s">
        <v>50</v>
      </c>
      <c r="AA512" s="19" t="s">
        <v>2449</v>
      </c>
      <c r="AB512" s="26" t="s">
        <v>104</v>
      </c>
      <c r="AC512" s="26" t="s">
        <v>53</v>
      </c>
      <c r="AD512" s="19" t="s">
        <v>138</v>
      </c>
      <c r="AE512" s="26">
        <v>300</v>
      </c>
      <c r="AF512" s="17">
        <v>45190</v>
      </c>
      <c r="AG512" s="26" t="s">
        <v>1631</v>
      </c>
      <c r="AH512" s="26" t="s">
        <v>2652</v>
      </c>
      <c r="AI512" s="40"/>
      <c r="AJ512" s="26"/>
      <c r="AK512" s="26"/>
      <c r="AL512" s="35"/>
      <c r="AM512" s="35"/>
      <c r="AN512" s="35"/>
      <c r="AO512" s="35"/>
      <c r="AP512" s="35"/>
    </row>
    <row r="513" spans="1:42" x14ac:dyDescent="0.2">
      <c r="A513" s="27">
        <v>45181.120232511574</v>
      </c>
      <c r="B513" s="28" t="s">
        <v>37</v>
      </c>
      <c r="C513" s="41" t="s">
        <v>118</v>
      </c>
      <c r="D513" s="26" t="s">
        <v>36</v>
      </c>
      <c r="E513" s="26" t="s">
        <v>39</v>
      </c>
      <c r="F513" s="26" t="s">
        <v>40</v>
      </c>
      <c r="G513" s="26" t="s">
        <v>41</v>
      </c>
      <c r="H513" s="26" t="s">
        <v>2647</v>
      </c>
      <c r="I513" s="17">
        <f ca="1">IFERROR(__xludf.DUMMYFUNCTION("""COMPUTED_VALUE"""),45191)</f>
        <v>45191</v>
      </c>
      <c r="J513" s="29" t="s">
        <v>2779</v>
      </c>
      <c r="K513" s="26" t="s">
        <v>2780</v>
      </c>
      <c r="L513" s="30">
        <v>989095842</v>
      </c>
      <c r="M513" s="26" t="s">
        <v>45</v>
      </c>
      <c r="N513" s="26" t="s">
        <v>1232</v>
      </c>
      <c r="O513" s="26" t="s">
        <v>2781</v>
      </c>
      <c r="P513" s="26" t="s">
        <v>2782</v>
      </c>
      <c r="Q513" s="20">
        <v>5736</v>
      </c>
      <c r="R513" s="26" t="s">
        <v>70</v>
      </c>
      <c r="S513" s="31">
        <v>5636</v>
      </c>
      <c r="T513" s="32">
        <v>45180</v>
      </c>
      <c r="U513" s="31"/>
      <c r="V513" s="26"/>
      <c r="W513" s="33" t="s">
        <v>2783</v>
      </c>
      <c r="X513" s="26"/>
      <c r="Y513" s="22">
        <v>100</v>
      </c>
      <c r="Z513" s="26" t="s">
        <v>50</v>
      </c>
      <c r="AA513" s="19" t="s">
        <v>2449</v>
      </c>
      <c r="AB513" s="26" t="s">
        <v>104</v>
      </c>
      <c r="AC513" s="26" t="s">
        <v>53</v>
      </c>
      <c r="AD513" s="19" t="s">
        <v>138</v>
      </c>
      <c r="AE513" s="26">
        <v>460</v>
      </c>
      <c r="AF513" s="17">
        <v>45190</v>
      </c>
      <c r="AG513" s="26" t="s">
        <v>1631</v>
      </c>
      <c r="AH513" s="26" t="s">
        <v>2652</v>
      </c>
      <c r="AI513" s="40"/>
      <c r="AJ513" s="26"/>
      <c r="AK513" s="26"/>
      <c r="AL513" s="35"/>
      <c r="AM513" s="35"/>
      <c r="AN513" s="35"/>
      <c r="AO513" s="35"/>
      <c r="AP513" s="35"/>
    </row>
    <row r="514" spans="1:42" x14ac:dyDescent="0.2">
      <c r="A514" s="27">
        <v>45181.258280624999</v>
      </c>
      <c r="B514" s="28" t="s">
        <v>37</v>
      </c>
      <c r="C514" s="41" t="s">
        <v>118</v>
      </c>
      <c r="D514" s="26" t="s">
        <v>36</v>
      </c>
      <c r="E514" s="26" t="s">
        <v>77</v>
      </c>
      <c r="F514" s="26" t="s">
        <v>40</v>
      </c>
      <c r="G514" s="26" t="s">
        <v>41</v>
      </c>
      <c r="H514" s="26" t="s">
        <v>1861</v>
      </c>
      <c r="I514" s="17">
        <f ca="1">IFERROR(__xludf.DUMMYFUNCTION("""COMPUTED_VALUE"""),45187)</f>
        <v>45187</v>
      </c>
      <c r="J514" s="29" t="s">
        <v>2784</v>
      </c>
      <c r="K514" s="26" t="s">
        <v>2785</v>
      </c>
      <c r="L514" s="30">
        <v>335566226</v>
      </c>
      <c r="M514" s="26" t="s">
        <v>348</v>
      </c>
      <c r="N514" s="26" t="s">
        <v>68</v>
      </c>
      <c r="O514" s="26" t="s">
        <v>2786</v>
      </c>
      <c r="P514" s="26" t="s">
        <v>2787</v>
      </c>
      <c r="Q514" s="20">
        <v>1968</v>
      </c>
      <c r="R514" s="26" t="s">
        <v>36</v>
      </c>
      <c r="S514" s="31">
        <v>1968</v>
      </c>
      <c r="T514" s="32">
        <v>45181</v>
      </c>
      <c r="U514" s="31"/>
      <c r="V514" s="26"/>
      <c r="W514" s="33" t="s">
        <v>2788</v>
      </c>
      <c r="X514" s="26"/>
      <c r="Y514" s="22">
        <v>0</v>
      </c>
      <c r="Z514" s="26" t="s">
        <v>50</v>
      </c>
      <c r="AA514" s="19" t="s">
        <v>2449</v>
      </c>
      <c r="AB514" s="26" t="s">
        <v>104</v>
      </c>
      <c r="AC514" s="26" t="s">
        <v>53</v>
      </c>
      <c r="AD514" s="19" t="s">
        <v>138</v>
      </c>
      <c r="AE514" s="26" t="s">
        <v>734</v>
      </c>
      <c r="AF514" s="17">
        <v>45187</v>
      </c>
      <c r="AG514" s="26" t="s">
        <v>1631</v>
      </c>
      <c r="AH514" s="26"/>
      <c r="AI514" s="40"/>
      <c r="AJ514" s="26"/>
      <c r="AK514" s="26"/>
      <c r="AL514" s="35"/>
      <c r="AM514" s="35"/>
      <c r="AN514" s="35"/>
      <c r="AO514" s="35"/>
      <c r="AP514" s="35"/>
    </row>
    <row r="515" spans="1:42" x14ac:dyDescent="0.2">
      <c r="A515" s="27">
        <v>45181.303373726856</v>
      </c>
      <c r="B515" s="28" t="s">
        <v>37</v>
      </c>
      <c r="C515" s="41" t="s">
        <v>118</v>
      </c>
      <c r="D515" s="26" t="s">
        <v>36</v>
      </c>
      <c r="E515" s="26" t="s">
        <v>39</v>
      </c>
      <c r="F515" s="26" t="s">
        <v>91</v>
      </c>
      <c r="G515" s="26" t="s">
        <v>41</v>
      </c>
      <c r="H515" s="26" t="s">
        <v>857</v>
      </c>
      <c r="I515" s="17">
        <f ca="1">IFERROR(__xludf.DUMMYFUNCTION("""COMPUTED_VALUE"""),45187)</f>
        <v>45187</v>
      </c>
      <c r="J515" s="29" t="s">
        <v>2789</v>
      </c>
      <c r="K515" s="26" t="s">
        <v>2790</v>
      </c>
      <c r="L515" s="30">
        <v>967838216</v>
      </c>
      <c r="M515" s="26" t="s">
        <v>391</v>
      </c>
      <c r="N515" s="26" t="s">
        <v>584</v>
      </c>
      <c r="O515" s="26" t="s">
        <v>2791</v>
      </c>
      <c r="P515" s="26" t="s">
        <v>2792</v>
      </c>
      <c r="Q515" s="20">
        <v>5736</v>
      </c>
      <c r="R515" s="26" t="s">
        <v>36</v>
      </c>
      <c r="S515" s="31">
        <v>5736</v>
      </c>
      <c r="T515" s="32">
        <v>45180</v>
      </c>
      <c r="U515" s="31"/>
      <c r="V515" s="26"/>
      <c r="W515" s="33" t="s">
        <v>2793</v>
      </c>
      <c r="X515" s="26"/>
      <c r="Y515" s="22">
        <v>0</v>
      </c>
      <c r="Z515" s="26" t="s">
        <v>50</v>
      </c>
      <c r="AA515" s="19" t="s">
        <v>2449</v>
      </c>
      <c r="AB515" s="26" t="s">
        <v>104</v>
      </c>
      <c r="AC515" s="26" t="s">
        <v>53</v>
      </c>
      <c r="AD515" s="19" t="s">
        <v>54</v>
      </c>
      <c r="AE515" s="26" t="s">
        <v>712</v>
      </c>
      <c r="AF515" s="17">
        <v>45182</v>
      </c>
      <c r="AG515" s="26"/>
      <c r="AH515" s="26"/>
      <c r="AI515" s="40"/>
      <c r="AJ515" s="26"/>
      <c r="AK515" s="26"/>
      <c r="AL515" s="35"/>
      <c r="AM515" s="35"/>
      <c r="AN515" s="35"/>
      <c r="AO515" s="35"/>
      <c r="AP515" s="35"/>
    </row>
    <row r="516" spans="1:42" x14ac:dyDescent="0.2">
      <c r="A516" s="27">
        <v>45182.12292840278</v>
      </c>
      <c r="B516" s="28" t="s">
        <v>37</v>
      </c>
      <c r="C516" s="41" t="s">
        <v>118</v>
      </c>
      <c r="D516" s="26" t="s">
        <v>36</v>
      </c>
      <c r="E516" s="26" t="s">
        <v>77</v>
      </c>
      <c r="F516" s="26" t="s">
        <v>36</v>
      </c>
      <c r="G516" s="26" t="s">
        <v>41</v>
      </c>
      <c r="H516" s="26" t="s">
        <v>2734</v>
      </c>
      <c r="I516" s="17">
        <f ca="1">IFERROR(__xludf.DUMMYFUNCTION("""COMPUTED_VALUE"""),45193)</f>
        <v>45193</v>
      </c>
      <c r="J516" s="29" t="s">
        <v>2794</v>
      </c>
      <c r="K516" s="26" t="s">
        <v>2795</v>
      </c>
      <c r="L516" s="30">
        <v>828866156</v>
      </c>
      <c r="M516" s="26" t="s">
        <v>123</v>
      </c>
      <c r="N516" s="26" t="s">
        <v>850</v>
      </c>
      <c r="O516" s="26" t="s">
        <v>2796</v>
      </c>
      <c r="P516" s="26" t="s">
        <v>2797</v>
      </c>
      <c r="Q516" s="20">
        <v>1968</v>
      </c>
      <c r="R516" s="26" t="s">
        <v>36</v>
      </c>
      <c r="S516" s="31">
        <v>1968</v>
      </c>
      <c r="T516" s="32">
        <v>45181</v>
      </c>
      <c r="U516" s="31"/>
      <c r="V516" s="26"/>
      <c r="W516" s="33" t="s">
        <v>2798</v>
      </c>
      <c r="X516" s="26"/>
      <c r="Y516" s="22">
        <v>0</v>
      </c>
      <c r="Z516" s="26" t="s">
        <v>50</v>
      </c>
      <c r="AA516" s="19" t="s">
        <v>2449</v>
      </c>
      <c r="AB516" s="26" t="s">
        <v>104</v>
      </c>
      <c r="AC516" s="26" t="s">
        <v>53</v>
      </c>
      <c r="AD516" s="19" t="s">
        <v>54</v>
      </c>
      <c r="AE516" s="26"/>
      <c r="AF516" s="17">
        <v>45184</v>
      </c>
      <c r="AG516" s="26"/>
      <c r="AH516" s="26"/>
      <c r="AI516" s="40"/>
      <c r="AJ516" s="26"/>
      <c r="AK516" s="26"/>
      <c r="AL516" s="35"/>
      <c r="AM516" s="35"/>
      <c r="AN516" s="35"/>
      <c r="AO516" s="35"/>
      <c r="AP516" s="35"/>
    </row>
    <row r="517" spans="1:42" x14ac:dyDescent="0.2">
      <c r="A517" s="27">
        <v>45183.104262499997</v>
      </c>
      <c r="B517" s="28" t="s">
        <v>37</v>
      </c>
      <c r="C517" s="41" t="s">
        <v>118</v>
      </c>
      <c r="D517" s="26" t="s">
        <v>36</v>
      </c>
      <c r="E517" s="26" t="s">
        <v>148</v>
      </c>
      <c r="F517" s="26" t="s">
        <v>36</v>
      </c>
      <c r="G517" s="26" t="s">
        <v>108</v>
      </c>
      <c r="H517" s="26" t="s">
        <v>2377</v>
      </c>
      <c r="I517" s="17">
        <f ca="1">IFERROR(__xludf.DUMMYFUNCTION("""COMPUTED_VALUE"""),45197)</f>
        <v>45197</v>
      </c>
      <c r="J517" s="29" t="s">
        <v>2799</v>
      </c>
      <c r="K517" s="26" t="s">
        <v>2800</v>
      </c>
      <c r="L517" s="30">
        <v>981419125</v>
      </c>
      <c r="M517" s="26" t="s">
        <v>80</v>
      </c>
      <c r="N517" s="26" t="s">
        <v>299</v>
      </c>
      <c r="O517" s="26" t="s">
        <v>2801</v>
      </c>
      <c r="P517" s="26" t="s">
        <v>2802</v>
      </c>
      <c r="Q517" s="20">
        <v>7349</v>
      </c>
      <c r="R517" s="26" t="s">
        <v>36</v>
      </c>
      <c r="S517" s="31">
        <v>7349</v>
      </c>
      <c r="T517" s="32">
        <v>45183</v>
      </c>
      <c r="U517" s="31"/>
      <c r="V517" s="26"/>
      <c r="W517" s="33" t="s">
        <v>2803</v>
      </c>
      <c r="X517" s="26"/>
      <c r="Y517" s="22">
        <v>0</v>
      </c>
      <c r="Z517" s="26" t="s">
        <v>50</v>
      </c>
      <c r="AA517" s="19" t="s">
        <v>2449</v>
      </c>
      <c r="AB517" s="26" t="s">
        <v>137</v>
      </c>
      <c r="AC517" s="26" t="s">
        <v>53</v>
      </c>
      <c r="AD517" s="19" t="s">
        <v>54</v>
      </c>
      <c r="AE517" s="26" t="s">
        <v>2705</v>
      </c>
      <c r="AF517" s="17">
        <v>45187</v>
      </c>
      <c r="AG517" s="26" t="s">
        <v>2804</v>
      </c>
      <c r="AH517" s="26"/>
      <c r="AI517" s="40"/>
      <c r="AJ517" s="26"/>
      <c r="AK517" s="26"/>
      <c r="AL517" s="35"/>
      <c r="AM517" s="35"/>
      <c r="AN517" s="35"/>
      <c r="AO517" s="35"/>
      <c r="AP517" s="35"/>
    </row>
    <row r="518" spans="1:42" x14ac:dyDescent="0.2">
      <c r="A518" s="27">
        <v>45183.11984230324</v>
      </c>
      <c r="B518" s="28" t="s">
        <v>37</v>
      </c>
      <c r="C518" s="41" t="s">
        <v>118</v>
      </c>
      <c r="D518" s="26" t="s">
        <v>36</v>
      </c>
      <c r="E518" s="26" t="s">
        <v>119</v>
      </c>
      <c r="F518" s="26" t="s">
        <v>36</v>
      </c>
      <c r="G518" s="26" t="s">
        <v>108</v>
      </c>
      <c r="H518" s="26" t="s">
        <v>2595</v>
      </c>
      <c r="I518" s="17">
        <f ca="1">IFERROR(__xludf.DUMMYFUNCTION("""COMPUTED_VALUE"""),45191)</f>
        <v>45191</v>
      </c>
      <c r="J518" s="29" t="s">
        <v>2805</v>
      </c>
      <c r="K518" s="26" t="s">
        <v>2806</v>
      </c>
      <c r="L518" s="30">
        <v>979251613</v>
      </c>
      <c r="M518" s="26" t="s">
        <v>80</v>
      </c>
      <c r="N518" s="26" t="s">
        <v>299</v>
      </c>
      <c r="O518" s="26" t="s">
        <v>2807</v>
      </c>
      <c r="P518" s="26" t="s">
        <v>2808</v>
      </c>
      <c r="Q518" s="20">
        <v>13968</v>
      </c>
      <c r="R518" s="26" t="s">
        <v>36</v>
      </c>
      <c r="S518" s="31">
        <v>3768</v>
      </c>
      <c r="T518" s="32">
        <v>45183</v>
      </c>
      <c r="U518" s="31">
        <v>10200</v>
      </c>
      <c r="V518" s="32">
        <v>45197</v>
      </c>
      <c r="W518" s="33" t="s">
        <v>2809</v>
      </c>
      <c r="X518" s="26"/>
      <c r="Y518" s="22">
        <v>0</v>
      </c>
      <c r="Z518" s="26" t="s">
        <v>50</v>
      </c>
      <c r="AA518" s="19" t="s">
        <v>2449</v>
      </c>
      <c r="AB518" s="26" t="s">
        <v>128</v>
      </c>
      <c r="AC518" s="26" t="s">
        <v>53</v>
      </c>
      <c r="AD518" s="19" t="s">
        <v>54</v>
      </c>
      <c r="AE518" s="26" t="s">
        <v>2705</v>
      </c>
      <c r="AF518" s="17">
        <v>45191</v>
      </c>
      <c r="AG518" s="26" t="s">
        <v>1631</v>
      </c>
      <c r="AH518" s="26" t="s">
        <v>2810</v>
      </c>
      <c r="AI518" s="40"/>
      <c r="AJ518" s="26"/>
      <c r="AK518" s="26"/>
      <c r="AL518" s="35"/>
      <c r="AM518" s="35"/>
      <c r="AN518" s="35"/>
      <c r="AO518" s="35"/>
      <c r="AP518" s="35"/>
    </row>
    <row r="519" spans="1:42" x14ac:dyDescent="0.2">
      <c r="A519" s="27">
        <v>45183.14867505787</v>
      </c>
      <c r="B519" s="28" t="s">
        <v>37</v>
      </c>
      <c r="C519" s="41" t="s">
        <v>118</v>
      </c>
      <c r="D519" s="26" t="s">
        <v>36</v>
      </c>
      <c r="E519" s="26" t="s">
        <v>106</v>
      </c>
      <c r="F519" s="26" t="s">
        <v>443</v>
      </c>
      <c r="G519" s="26" t="s">
        <v>108</v>
      </c>
      <c r="H519" s="26" t="s">
        <v>2811</v>
      </c>
      <c r="I519" s="17" t="str">
        <f ca="1">IFERROR(__xludf.DUMMYFUNCTION("""COMPUTED_VALUE""")," ")</f>
        <v xml:space="preserve"> </v>
      </c>
      <c r="J519" s="29" t="s">
        <v>2812</v>
      </c>
      <c r="K519" s="26" t="s">
        <v>2813</v>
      </c>
      <c r="L519" s="30">
        <v>766373357</v>
      </c>
      <c r="M519" s="26" t="s">
        <v>112</v>
      </c>
      <c r="N519" s="26" t="s">
        <v>1742</v>
      </c>
      <c r="O519" s="26" t="s">
        <v>482</v>
      </c>
      <c r="P519" s="26" t="s">
        <v>2814</v>
      </c>
      <c r="Q519" s="20">
        <v>3768</v>
      </c>
      <c r="R519" s="26" t="s">
        <v>36</v>
      </c>
      <c r="S519" s="31">
        <v>3768</v>
      </c>
      <c r="T519" s="32">
        <v>45183</v>
      </c>
      <c r="U519" s="31"/>
      <c r="V519" s="26"/>
      <c r="W519" s="33" t="s">
        <v>2815</v>
      </c>
      <c r="X519" s="26"/>
      <c r="Y519" s="22">
        <v>0</v>
      </c>
      <c r="Z519" s="26" t="s">
        <v>50</v>
      </c>
      <c r="AA519" s="19" t="s">
        <v>2449</v>
      </c>
      <c r="AB519" s="26" t="s">
        <v>137</v>
      </c>
      <c r="AC519" s="26" t="s">
        <v>53</v>
      </c>
      <c r="AD519" s="19" t="s">
        <v>54</v>
      </c>
      <c r="AE519" s="26" t="s">
        <v>2816</v>
      </c>
      <c r="AF519" s="17">
        <v>45184</v>
      </c>
      <c r="AG519" s="26"/>
      <c r="AH519" s="26"/>
      <c r="AI519" s="40"/>
      <c r="AJ519" s="26"/>
      <c r="AK519" s="26"/>
      <c r="AL519" s="35"/>
      <c r="AM519" s="35"/>
      <c r="AN519" s="35"/>
      <c r="AO519" s="35"/>
      <c r="AP519" s="35"/>
    </row>
    <row r="520" spans="1:42" x14ac:dyDescent="0.2">
      <c r="A520" s="27">
        <v>45183.469812442127</v>
      </c>
      <c r="B520" s="28" t="s">
        <v>37</v>
      </c>
      <c r="C520" s="41" t="s">
        <v>118</v>
      </c>
      <c r="D520" s="26" t="s">
        <v>36</v>
      </c>
      <c r="E520" s="26" t="s">
        <v>77</v>
      </c>
      <c r="F520" s="26" t="s">
        <v>91</v>
      </c>
      <c r="G520" s="26" t="s">
        <v>41</v>
      </c>
      <c r="H520" s="26" t="s">
        <v>888</v>
      </c>
      <c r="I520" s="17">
        <f ca="1">IFERROR(__xludf.DUMMYFUNCTION("""COMPUTED_VALUE"""),45191)</f>
        <v>45191</v>
      </c>
      <c r="J520" s="29" t="s">
        <v>2817</v>
      </c>
      <c r="K520" s="26" t="s">
        <v>2818</v>
      </c>
      <c r="L520" s="30">
        <v>866423064</v>
      </c>
      <c r="M520" s="26" t="s">
        <v>123</v>
      </c>
      <c r="N520" s="26" t="s">
        <v>850</v>
      </c>
      <c r="O520" s="26" t="s">
        <v>2819</v>
      </c>
      <c r="P520" s="26" t="s">
        <v>2820</v>
      </c>
      <c r="Q520" s="20">
        <v>1968</v>
      </c>
      <c r="R520" s="26" t="s">
        <v>36</v>
      </c>
      <c r="S520" s="31">
        <v>1968</v>
      </c>
      <c r="T520" s="32">
        <v>45183</v>
      </c>
      <c r="U520" s="31"/>
      <c r="V520" s="26"/>
      <c r="W520" s="33" t="s">
        <v>2821</v>
      </c>
      <c r="X520" s="26"/>
      <c r="Y520" s="22">
        <v>0</v>
      </c>
      <c r="Z520" s="26" t="s">
        <v>50</v>
      </c>
      <c r="AA520" s="19" t="s">
        <v>2449</v>
      </c>
      <c r="AB520" s="26" t="s">
        <v>104</v>
      </c>
      <c r="AC520" s="26" t="s">
        <v>53</v>
      </c>
      <c r="AD520" s="19" t="s">
        <v>54</v>
      </c>
      <c r="AE520" s="26" t="s">
        <v>76</v>
      </c>
      <c r="AF520" s="17">
        <v>45184</v>
      </c>
      <c r="AG520" s="26"/>
      <c r="AH520" s="26"/>
      <c r="AI520" s="40"/>
      <c r="AJ520" s="26"/>
      <c r="AK520" s="26"/>
      <c r="AL520" s="35"/>
      <c r="AM520" s="35"/>
      <c r="AN520" s="35"/>
      <c r="AO520" s="35"/>
      <c r="AP520" s="35"/>
    </row>
    <row r="521" spans="1:42" x14ac:dyDescent="0.2">
      <c r="A521" s="27">
        <v>45183.668025358798</v>
      </c>
      <c r="B521" s="28" t="s">
        <v>37</v>
      </c>
      <c r="C521" s="41" t="s">
        <v>118</v>
      </c>
      <c r="D521" s="26" t="s">
        <v>36</v>
      </c>
      <c r="E521" s="26" t="s">
        <v>77</v>
      </c>
      <c r="F521" s="26" t="s">
        <v>91</v>
      </c>
      <c r="G521" s="26" t="s">
        <v>41</v>
      </c>
      <c r="H521" s="26" t="s">
        <v>1861</v>
      </c>
      <c r="I521" s="17">
        <f ca="1">IFERROR(__xludf.DUMMYFUNCTION("""COMPUTED_VALUE"""),45187)</f>
        <v>45187</v>
      </c>
      <c r="J521" s="29" t="s">
        <v>2822</v>
      </c>
      <c r="K521" s="26" t="s">
        <v>2823</v>
      </c>
      <c r="L521" s="30">
        <v>395098077</v>
      </c>
      <c r="M521" s="26" t="s">
        <v>348</v>
      </c>
      <c r="N521" s="26" t="s">
        <v>200</v>
      </c>
      <c r="O521" s="26" t="s">
        <v>91</v>
      </c>
      <c r="P521" s="26" t="s">
        <v>2824</v>
      </c>
      <c r="Q521" s="20">
        <v>1968</v>
      </c>
      <c r="R521" s="26" t="s">
        <v>36</v>
      </c>
      <c r="S521" s="31">
        <v>1968</v>
      </c>
      <c r="T521" s="32">
        <v>45182</v>
      </c>
      <c r="U521" s="31"/>
      <c r="V521" s="26"/>
      <c r="W521" s="33" t="s">
        <v>2825</v>
      </c>
      <c r="X521" s="26"/>
      <c r="Y521" s="22">
        <v>0</v>
      </c>
      <c r="Z521" s="26" t="s">
        <v>50</v>
      </c>
      <c r="AA521" s="19" t="s">
        <v>2449</v>
      </c>
      <c r="AB521" s="26" t="s">
        <v>104</v>
      </c>
      <c r="AC521" s="26" t="s">
        <v>53</v>
      </c>
      <c r="AD521" s="19" t="s">
        <v>138</v>
      </c>
      <c r="AE521" s="26" t="s">
        <v>1327</v>
      </c>
      <c r="AF521" s="17">
        <v>45187</v>
      </c>
      <c r="AG521" s="26" t="s">
        <v>1631</v>
      </c>
      <c r="AH521" s="26"/>
      <c r="AI521" s="40"/>
      <c r="AJ521" s="26"/>
      <c r="AK521" s="26"/>
      <c r="AL521" s="35"/>
      <c r="AM521" s="35"/>
      <c r="AN521" s="35"/>
      <c r="AO521" s="35"/>
      <c r="AP521" s="35"/>
    </row>
    <row r="522" spans="1:42" x14ac:dyDescent="0.2">
      <c r="A522" s="27">
        <v>45183.980334791668</v>
      </c>
      <c r="B522" s="28" t="s">
        <v>37</v>
      </c>
      <c r="C522" s="41" t="s">
        <v>118</v>
      </c>
      <c r="D522" s="26" t="s">
        <v>36</v>
      </c>
      <c r="E522" s="26" t="s">
        <v>77</v>
      </c>
      <c r="F522" s="26" t="s">
        <v>36</v>
      </c>
      <c r="G522" s="26" t="s">
        <v>41</v>
      </c>
      <c r="H522" s="26" t="s">
        <v>1513</v>
      </c>
      <c r="I522" s="17">
        <f ca="1">IFERROR(__xludf.DUMMYFUNCTION("""COMPUTED_VALUE"""),45181)</f>
        <v>45181</v>
      </c>
      <c r="J522" s="29" t="s">
        <v>2826</v>
      </c>
      <c r="K522" s="26" t="s">
        <v>2827</v>
      </c>
      <c r="L522" s="30">
        <v>868819333</v>
      </c>
      <c r="M522" s="26" t="s">
        <v>112</v>
      </c>
      <c r="N522" s="26" t="s">
        <v>1742</v>
      </c>
      <c r="O522" s="26" t="s">
        <v>2828</v>
      </c>
      <c r="P522" s="26" t="s">
        <v>2829</v>
      </c>
      <c r="Q522" s="20">
        <v>1968</v>
      </c>
      <c r="R522" s="26" t="s">
        <v>36</v>
      </c>
      <c r="S522" s="31">
        <v>1968</v>
      </c>
      <c r="T522" s="32">
        <v>45182</v>
      </c>
      <c r="U522" s="31"/>
      <c r="V522" s="26"/>
      <c r="W522" s="33" t="s">
        <v>2830</v>
      </c>
      <c r="X522" s="26"/>
      <c r="Y522" s="22">
        <v>0</v>
      </c>
      <c r="Z522" s="26" t="s">
        <v>50</v>
      </c>
      <c r="AA522" s="19" t="s">
        <v>2449</v>
      </c>
      <c r="AB522" s="26" t="s">
        <v>104</v>
      </c>
      <c r="AC522" s="26" t="s">
        <v>53</v>
      </c>
      <c r="AD522" s="19" t="s">
        <v>54</v>
      </c>
      <c r="AE522" s="26" t="s">
        <v>2831</v>
      </c>
      <c r="AF522" s="17">
        <v>45184</v>
      </c>
      <c r="AG522" s="26" t="s">
        <v>2832</v>
      </c>
      <c r="AH522" s="26"/>
      <c r="AI522" s="40"/>
      <c r="AJ522" s="26"/>
      <c r="AK522" s="26"/>
      <c r="AL522" s="35"/>
      <c r="AM522" s="35"/>
      <c r="AN522" s="35"/>
      <c r="AO522" s="35"/>
      <c r="AP522" s="35"/>
    </row>
    <row r="523" spans="1:42" x14ac:dyDescent="0.2">
      <c r="A523" s="27">
        <v>45184.809166435181</v>
      </c>
      <c r="B523" s="28" t="s">
        <v>37</v>
      </c>
      <c r="C523" s="41" t="s">
        <v>118</v>
      </c>
      <c r="D523" s="26" t="s">
        <v>36</v>
      </c>
      <c r="E523" s="26" t="s">
        <v>56</v>
      </c>
      <c r="F523" s="26" t="s">
        <v>40</v>
      </c>
      <c r="G523" s="26" t="s">
        <v>41</v>
      </c>
      <c r="H523" s="26" t="s">
        <v>888</v>
      </c>
      <c r="I523" s="17">
        <f ca="1">IFERROR(__xludf.DUMMYFUNCTION("""COMPUTED_VALUE"""),45191)</f>
        <v>45191</v>
      </c>
      <c r="J523" s="29" t="s">
        <v>2833</v>
      </c>
      <c r="K523" s="26" t="s">
        <v>2834</v>
      </c>
      <c r="L523" s="30">
        <v>397167205</v>
      </c>
      <c r="M523" s="26" t="s">
        <v>45</v>
      </c>
      <c r="N523" s="26" t="s">
        <v>2835</v>
      </c>
      <c r="O523" s="26" t="s">
        <v>2836</v>
      </c>
      <c r="P523" s="26" t="s">
        <v>2837</v>
      </c>
      <c r="Q523" s="20">
        <v>9317</v>
      </c>
      <c r="R523" s="26" t="s">
        <v>36</v>
      </c>
      <c r="S523" s="31">
        <v>9317</v>
      </c>
      <c r="T523" s="32">
        <v>45184</v>
      </c>
      <c r="U523" s="31"/>
      <c r="V523" s="26"/>
      <c r="W523" s="33" t="s">
        <v>2838</v>
      </c>
      <c r="X523" s="26"/>
      <c r="Y523" s="22">
        <v>0</v>
      </c>
      <c r="Z523" s="26" t="s">
        <v>50</v>
      </c>
      <c r="AA523" s="19" t="s">
        <v>2449</v>
      </c>
      <c r="AB523" s="26" t="s">
        <v>104</v>
      </c>
      <c r="AC523" s="26" t="s">
        <v>53</v>
      </c>
      <c r="AD523" s="19" t="s">
        <v>54</v>
      </c>
      <c r="AE523" s="26">
        <v>340</v>
      </c>
      <c r="AF523" s="17">
        <v>45187</v>
      </c>
      <c r="AG523" s="26"/>
      <c r="AH523" s="26"/>
      <c r="AI523" s="40"/>
      <c r="AJ523" s="26"/>
      <c r="AK523" s="26"/>
      <c r="AL523" s="35"/>
      <c r="AM523" s="35"/>
      <c r="AN523" s="35"/>
      <c r="AO523" s="35"/>
      <c r="AP523" s="35"/>
    </row>
    <row r="524" spans="1:42" x14ac:dyDescent="0.2">
      <c r="A524" s="27">
        <v>45184.9194034838</v>
      </c>
      <c r="B524" s="28" t="s">
        <v>37</v>
      </c>
      <c r="C524" s="41" t="s">
        <v>118</v>
      </c>
      <c r="D524" s="26" t="s">
        <v>36</v>
      </c>
      <c r="E524" s="26" t="s">
        <v>139</v>
      </c>
      <c r="F524" s="26" t="s">
        <v>91</v>
      </c>
      <c r="G524" s="26" t="s">
        <v>41</v>
      </c>
      <c r="H524" s="26" t="s">
        <v>2573</v>
      </c>
      <c r="I524" s="17">
        <f ca="1">IFERROR(__xludf.DUMMYFUNCTION("""COMPUTED_VALUE"""),45195)</f>
        <v>45195</v>
      </c>
      <c r="J524" s="29" t="s">
        <v>2839</v>
      </c>
      <c r="K524" s="26" t="s">
        <v>2840</v>
      </c>
      <c r="L524" s="30">
        <v>789197704</v>
      </c>
      <c r="M524" s="26" t="s">
        <v>910</v>
      </c>
      <c r="N524" s="26" t="s">
        <v>2841</v>
      </c>
      <c r="O524" s="26" t="s">
        <v>2842</v>
      </c>
      <c r="P524" s="26" t="s">
        <v>2843</v>
      </c>
      <c r="Q524" s="20">
        <v>15936</v>
      </c>
      <c r="R524" s="26" t="s">
        <v>36</v>
      </c>
      <c r="S524" s="31">
        <v>15936</v>
      </c>
      <c r="T524" s="32">
        <v>45184</v>
      </c>
      <c r="U524" s="31"/>
      <c r="V524" s="26"/>
      <c r="W524" s="33" t="s">
        <v>2844</v>
      </c>
      <c r="X524" s="26"/>
      <c r="Y524" s="22">
        <v>0</v>
      </c>
      <c r="Z524" s="26" t="s">
        <v>50</v>
      </c>
      <c r="AA524" s="19" t="s">
        <v>2449</v>
      </c>
      <c r="AB524" s="26" t="s">
        <v>104</v>
      </c>
      <c r="AC524" s="26" t="s">
        <v>53</v>
      </c>
      <c r="AD524" s="19" t="s">
        <v>138</v>
      </c>
      <c r="AE524" s="26"/>
      <c r="AF524" s="17">
        <v>45195</v>
      </c>
      <c r="AG524" s="26" t="s">
        <v>1631</v>
      </c>
      <c r="AH524" s="26"/>
      <c r="AI524" s="40"/>
      <c r="AJ524" s="26"/>
      <c r="AK524" s="26"/>
      <c r="AL524" s="35"/>
      <c r="AM524" s="35"/>
      <c r="AN524" s="35"/>
      <c r="AO524" s="35"/>
      <c r="AP524" s="35"/>
    </row>
    <row r="525" spans="1:42" x14ac:dyDescent="0.2">
      <c r="A525" s="27">
        <v>45185.504139907411</v>
      </c>
      <c r="B525" s="28" t="s">
        <v>37</v>
      </c>
      <c r="C525" s="41" t="s">
        <v>118</v>
      </c>
      <c r="D525" s="26" t="s">
        <v>36</v>
      </c>
      <c r="E525" s="26" t="s">
        <v>106</v>
      </c>
      <c r="F525" s="26" t="s">
        <v>91</v>
      </c>
      <c r="G525" s="26" t="s">
        <v>108</v>
      </c>
      <c r="H525" s="26" t="s">
        <v>2377</v>
      </c>
      <c r="I525" s="17">
        <f ca="1">IFERROR(__xludf.DUMMYFUNCTION("""COMPUTED_VALUE"""),45197)</f>
        <v>45197</v>
      </c>
      <c r="J525" s="29" t="s">
        <v>2845</v>
      </c>
      <c r="K525" s="26" t="s">
        <v>2846</v>
      </c>
      <c r="L525" s="30">
        <v>862352919</v>
      </c>
      <c r="M525" s="26" t="s">
        <v>123</v>
      </c>
      <c r="N525" s="26" t="s">
        <v>2847</v>
      </c>
      <c r="O525" s="26" t="s">
        <v>2848</v>
      </c>
      <c r="P525" s="26" t="s">
        <v>2849</v>
      </c>
      <c r="Q525" s="20">
        <v>3768</v>
      </c>
      <c r="R525" s="26" t="s">
        <v>36</v>
      </c>
      <c r="S525" s="31">
        <v>1000</v>
      </c>
      <c r="T525" s="32">
        <v>45125</v>
      </c>
      <c r="U525" s="31">
        <v>2768</v>
      </c>
      <c r="V525" s="32">
        <v>45183</v>
      </c>
      <c r="W525" s="26" t="s">
        <v>2850</v>
      </c>
      <c r="X525" s="26"/>
      <c r="Y525" s="22">
        <v>0</v>
      </c>
      <c r="Z525" s="26" t="s">
        <v>50</v>
      </c>
      <c r="AA525" s="19" t="s">
        <v>2449</v>
      </c>
      <c r="AB525" s="26" t="s">
        <v>154</v>
      </c>
      <c r="AC525" s="26" t="s">
        <v>53</v>
      </c>
      <c r="AD525" s="19" t="s">
        <v>54</v>
      </c>
      <c r="AE525" s="26">
        <v>410</v>
      </c>
      <c r="AF525" s="17">
        <v>45187</v>
      </c>
      <c r="AG525" s="26"/>
      <c r="AH525" s="26"/>
      <c r="AI525" s="40"/>
      <c r="AJ525" s="26"/>
      <c r="AK525" s="26"/>
      <c r="AL525" s="35"/>
      <c r="AM525" s="35"/>
      <c r="AN525" s="35"/>
      <c r="AO525" s="35"/>
      <c r="AP525" s="35"/>
    </row>
    <row r="526" spans="1:42" x14ac:dyDescent="0.2">
      <c r="A526" s="27">
        <v>45185.515056388889</v>
      </c>
      <c r="B526" s="28" t="s">
        <v>37</v>
      </c>
      <c r="C526" s="41" t="s">
        <v>118</v>
      </c>
      <c r="D526" s="26" t="s">
        <v>36</v>
      </c>
      <c r="E526" s="26" t="s">
        <v>77</v>
      </c>
      <c r="F526" s="26" t="s">
        <v>36</v>
      </c>
      <c r="G526" s="26" t="s">
        <v>41</v>
      </c>
      <c r="H526" s="26" t="s">
        <v>2734</v>
      </c>
      <c r="I526" s="17">
        <f ca="1">IFERROR(__xludf.DUMMYFUNCTION("""COMPUTED_VALUE"""),45193)</f>
        <v>45193</v>
      </c>
      <c r="J526" s="29" t="s">
        <v>2851</v>
      </c>
      <c r="K526" s="26" t="s">
        <v>2852</v>
      </c>
      <c r="L526" s="30">
        <v>364402207</v>
      </c>
      <c r="M526" s="26" t="s">
        <v>123</v>
      </c>
      <c r="N526" s="26" t="s">
        <v>850</v>
      </c>
      <c r="O526" s="26" t="s">
        <v>1226</v>
      </c>
      <c r="P526" s="42" t="s">
        <v>2853</v>
      </c>
      <c r="Q526" s="20">
        <v>1968</v>
      </c>
      <c r="R526" s="26" t="s">
        <v>36</v>
      </c>
      <c r="S526" s="31">
        <v>1968</v>
      </c>
      <c r="T526" s="32">
        <v>45184</v>
      </c>
      <c r="U526" s="31"/>
      <c r="V526" s="26"/>
      <c r="W526" s="33" t="s">
        <v>2854</v>
      </c>
      <c r="X526" s="26"/>
      <c r="Y526" s="22">
        <v>0</v>
      </c>
      <c r="Z526" s="26" t="s">
        <v>50</v>
      </c>
      <c r="AA526" s="19" t="s">
        <v>2449</v>
      </c>
      <c r="AB526" s="26" t="s">
        <v>104</v>
      </c>
      <c r="AC526" s="26" t="s">
        <v>53</v>
      </c>
      <c r="AD526" s="19" t="s">
        <v>54</v>
      </c>
      <c r="AE526" s="26"/>
      <c r="AF526" s="17">
        <v>45189</v>
      </c>
      <c r="AG526" s="26" t="s">
        <v>2855</v>
      </c>
      <c r="AH526" s="26"/>
      <c r="AI526" s="40"/>
      <c r="AJ526" s="26"/>
      <c r="AK526" s="26"/>
      <c r="AL526" s="35"/>
      <c r="AM526" s="35"/>
      <c r="AN526" s="35"/>
      <c r="AO526" s="35"/>
      <c r="AP526" s="35"/>
    </row>
    <row r="527" spans="1:42" x14ac:dyDescent="0.2">
      <c r="A527" s="27">
        <v>45185.516189270835</v>
      </c>
      <c r="B527" s="28" t="s">
        <v>37</v>
      </c>
      <c r="C527" s="41" t="s">
        <v>118</v>
      </c>
      <c r="D527" s="26" t="s">
        <v>36</v>
      </c>
      <c r="E527" s="26" t="s">
        <v>77</v>
      </c>
      <c r="F527" s="26" t="s">
        <v>91</v>
      </c>
      <c r="G527" s="26" t="s">
        <v>41</v>
      </c>
      <c r="H527" s="26" t="s">
        <v>2856</v>
      </c>
      <c r="I527" s="17">
        <f ca="1">IFERROR(__xludf.DUMMYFUNCTION("""COMPUTED_VALUE"""),45293)</f>
        <v>45293</v>
      </c>
      <c r="J527" s="55" t="s">
        <v>2857</v>
      </c>
      <c r="K527" s="26" t="s">
        <v>2858</v>
      </c>
      <c r="L527" s="30">
        <v>348847157</v>
      </c>
      <c r="M527" s="26" t="s">
        <v>2755</v>
      </c>
      <c r="N527" s="26" t="s">
        <v>310</v>
      </c>
      <c r="O527" s="26" t="s">
        <v>2859</v>
      </c>
      <c r="P527" s="26" t="s">
        <v>2860</v>
      </c>
      <c r="Q527" s="20">
        <v>1968</v>
      </c>
      <c r="R527" s="26" t="s">
        <v>36</v>
      </c>
      <c r="S527" s="31">
        <v>200</v>
      </c>
      <c r="T527" s="32">
        <v>45208</v>
      </c>
      <c r="U527" s="31">
        <v>1768</v>
      </c>
      <c r="V527" s="32">
        <v>45269</v>
      </c>
      <c r="W527" s="26" t="s">
        <v>2861</v>
      </c>
      <c r="X527" s="26"/>
      <c r="Y527" s="22">
        <v>0</v>
      </c>
      <c r="Z527" s="26" t="s">
        <v>50</v>
      </c>
      <c r="AA527" s="19" t="s">
        <v>2449</v>
      </c>
      <c r="AB527" s="26" t="s">
        <v>104</v>
      </c>
      <c r="AC527" s="26" t="s">
        <v>53</v>
      </c>
      <c r="AD527" s="19" t="s">
        <v>54</v>
      </c>
      <c r="AE527" s="26" t="s">
        <v>76</v>
      </c>
      <c r="AF527" s="17">
        <v>45187</v>
      </c>
      <c r="AG527" s="29" t="s">
        <v>2862</v>
      </c>
      <c r="AH527" s="26"/>
      <c r="AI527" s="40"/>
      <c r="AJ527" s="26"/>
      <c r="AK527" s="26"/>
      <c r="AL527" s="35"/>
      <c r="AM527" s="35"/>
      <c r="AN527" s="35"/>
      <c r="AO527" s="35"/>
      <c r="AP527" s="35"/>
    </row>
    <row r="528" spans="1:42" x14ac:dyDescent="0.2">
      <c r="A528" s="27">
        <v>45185.527162488426</v>
      </c>
      <c r="B528" s="28" t="s">
        <v>37</v>
      </c>
      <c r="C528" s="41" t="s">
        <v>118</v>
      </c>
      <c r="D528" s="26" t="s">
        <v>36</v>
      </c>
      <c r="E528" s="26" t="s">
        <v>56</v>
      </c>
      <c r="F528" s="26" t="s">
        <v>91</v>
      </c>
      <c r="G528" s="26" t="s">
        <v>41</v>
      </c>
      <c r="H528" s="26" t="s">
        <v>888</v>
      </c>
      <c r="I528" s="17">
        <f ca="1">IFERROR(__xludf.DUMMYFUNCTION("""COMPUTED_VALUE"""),45191)</f>
        <v>45191</v>
      </c>
      <c r="J528" s="29" t="s">
        <v>2863</v>
      </c>
      <c r="K528" s="26" t="s">
        <v>2864</v>
      </c>
      <c r="L528" s="30" t="s">
        <v>2865</v>
      </c>
      <c r="M528" s="26" t="s">
        <v>548</v>
      </c>
      <c r="N528" s="26" t="s">
        <v>1622</v>
      </c>
      <c r="O528" s="26" t="s">
        <v>2866</v>
      </c>
      <c r="P528" s="26" t="s">
        <v>2867</v>
      </c>
      <c r="Q528" s="20">
        <v>9317</v>
      </c>
      <c r="R528" s="26" t="s">
        <v>36</v>
      </c>
      <c r="S528" s="31">
        <v>9317</v>
      </c>
      <c r="T528" s="32">
        <v>45185</v>
      </c>
      <c r="U528" s="31"/>
      <c r="V528" s="26"/>
      <c r="W528" s="33" t="s">
        <v>2868</v>
      </c>
      <c r="X528" s="26"/>
      <c r="Y528" s="22">
        <v>0</v>
      </c>
      <c r="Z528" s="26" t="s">
        <v>50</v>
      </c>
      <c r="AA528" s="19" t="s">
        <v>2449</v>
      </c>
      <c r="AB528" s="26" t="s">
        <v>104</v>
      </c>
      <c r="AC528" s="26" t="s">
        <v>53</v>
      </c>
      <c r="AD528" s="19" t="s">
        <v>54</v>
      </c>
      <c r="AE528" s="26">
        <v>80</v>
      </c>
      <c r="AF528" s="17">
        <v>45187</v>
      </c>
      <c r="AG528" s="26"/>
      <c r="AH528" s="26"/>
      <c r="AI528" s="40"/>
      <c r="AJ528" s="26"/>
      <c r="AK528" s="26"/>
      <c r="AL528" s="35"/>
      <c r="AM528" s="35"/>
      <c r="AN528" s="35"/>
      <c r="AO528" s="35"/>
      <c r="AP528" s="35"/>
    </row>
    <row r="529" spans="1:42" x14ac:dyDescent="0.2">
      <c r="A529" s="27">
        <v>45185.88164806713</v>
      </c>
      <c r="B529" s="28" t="s">
        <v>37</v>
      </c>
      <c r="C529" s="41" t="s">
        <v>118</v>
      </c>
      <c r="D529" s="26" t="s">
        <v>36</v>
      </c>
      <c r="E529" s="26" t="s">
        <v>77</v>
      </c>
      <c r="F529" s="26" t="s">
        <v>91</v>
      </c>
      <c r="G529" s="26" t="s">
        <v>41</v>
      </c>
      <c r="H529" s="26" t="s">
        <v>2717</v>
      </c>
      <c r="I529" s="17">
        <f ca="1">IFERROR(__xludf.DUMMYFUNCTION("""COMPUTED_VALUE"""),45196)</f>
        <v>45196</v>
      </c>
      <c r="J529" s="29" t="s">
        <v>2869</v>
      </c>
      <c r="K529" s="26" t="s">
        <v>2870</v>
      </c>
      <c r="L529" s="30">
        <v>325471160</v>
      </c>
      <c r="M529" s="26" t="s">
        <v>123</v>
      </c>
      <c r="N529" s="26" t="s">
        <v>2459</v>
      </c>
      <c r="O529" s="26" t="s">
        <v>2871</v>
      </c>
      <c r="P529" s="26" t="s">
        <v>2872</v>
      </c>
      <c r="Q529" s="20">
        <v>1968</v>
      </c>
      <c r="R529" s="26" t="s">
        <v>36</v>
      </c>
      <c r="S529" s="31">
        <v>1968</v>
      </c>
      <c r="T529" s="32">
        <v>45185</v>
      </c>
      <c r="U529" s="31"/>
      <c r="V529" s="26"/>
      <c r="W529" s="33" t="s">
        <v>2873</v>
      </c>
      <c r="X529" s="26"/>
      <c r="Y529" s="22">
        <v>0</v>
      </c>
      <c r="Z529" s="26" t="s">
        <v>50</v>
      </c>
      <c r="AA529" s="19" t="s">
        <v>2449</v>
      </c>
      <c r="AB529" s="26" t="s">
        <v>104</v>
      </c>
      <c r="AC529" s="26" t="s">
        <v>53</v>
      </c>
      <c r="AD529" s="19" t="s">
        <v>54</v>
      </c>
      <c r="AE529" s="26" t="s">
        <v>76</v>
      </c>
      <c r="AF529" s="17">
        <v>45187</v>
      </c>
      <c r="AG529" s="26"/>
      <c r="AH529" s="26"/>
      <c r="AI529" s="40"/>
      <c r="AJ529" s="26"/>
      <c r="AK529" s="26"/>
      <c r="AL529" s="35"/>
      <c r="AM529" s="35"/>
      <c r="AN529" s="35"/>
      <c r="AO529" s="35"/>
      <c r="AP529" s="35"/>
    </row>
    <row r="530" spans="1:42" x14ac:dyDescent="0.2">
      <c r="A530" s="27">
        <v>45185.935273796291</v>
      </c>
      <c r="B530" s="68" t="s">
        <v>37</v>
      </c>
      <c r="C530" s="41" t="s">
        <v>118</v>
      </c>
      <c r="D530" s="26" t="s">
        <v>36</v>
      </c>
      <c r="E530" s="26" t="s">
        <v>106</v>
      </c>
      <c r="F530" s="26" t="s">
        <v>91</v>
      </c>
      <c r="G530" s="26" t="s">
        <v>108</v>
      </c>
      <c r="H530" s="26" t="s">
        <v>2388</v>
      </c>
      <c r="I530" s="17">
        <f ca="1">IFERROR(__xludf.DUMMYFUNCTION("""COMPUTED_VALUE"""),45190)</f>
        <v>45190</v>
      </c>
      <c r="J530" s="29" t="s">
        <v>2874</v>
      </c>
      <c r="K530" s="26" t="s">
        <v>2875</v>
      </c>
      <c r="L530" s="30">
        <v>327946839</v>
      </c>
      <c r="M530" s="26" t="s">
        <v>548</v>
      </c>
      <c r="N530" s="26" t="s">
        <v>549</v>
      </c>
      <c r="O530" s="26" t="s">
        <v>2876</v>
      </c>
      <c r="P530" s="26" t="s">
        <v>2877</v>
      </c>
      <c r="Q530" s="20">
        <v>3768</v>
      </c>
      <c r="R530" s="26" t="s">
        <v>36</v>
      </c>
      <c r="S530" s="31">
        <v>3768</v>
      </c>
      <c r="T530" s="32">
        <v>45185</v>
      </c>
      <c r="U530" s="31"/>
      <c r="V530" s="26"/>
      <c r="W530" s="33" t="s">
        <v>2878</v>
      </c>
      <c r="X530" s="26"/>
      <c r="Y530" s="22">
        <v>0</v>
      </c>
      <c r="Z530" s="26" t="s">
        <v>50</v>
      </c>
      <c r="AA530" s="19" t="s">
        <v>2449</v>
      </c>
      <c r="AB530" s="26" t="s">
        <v>128</v>
      </c>
      <c r="AC530" s="26" t="s">
        <v>53</v>
      </c>
      <c r="AD530" s="19" t="s">
        <v>54</v>
      </c>
      <c r="AE530" s="26">
        <v>350</v>
      </c>
      <c r="AF530" s="17">
        <v>45187</v>
      </c>
      <c r="AG530" s="26"/>
      <c r="AH530" s="26"/>
      <c r="AI530" s="40"/>
      <c r="AJ530" s="26"/>
      <c r="AK530" s="26"/>
      <c r="AL530" s="35"/>
      <c r="AM530" s="35"/>
      <c r="AN530" s="35"/>
      <c r="AO530" s="35"/>
      <c r="AP530" s="35"/>
    </row>
    <row r="531" spans="1:42" x14ac:dyDescent="0.2">
      <c r="A531" s="27">
        <v>45186.022886076389</v>
      </c>
      <c r="B531" s="28" t="s">
        <v>37</v>
      </c>
      <c r="C531" s="41" t="s">
        <v>118</v>
      </c>
      <c r="D531" s="26" t="s">
        <v>36</v>
      </c>
      <c r="E531" s="26" t="s">
        <v>139</v>
      </c>
      <c r="F531" s="26" t="s">
        <v>36</v>
      </c>
      <c r="G531" s="26" t="s">
        <v>41</v>
      </c>
      <c r="H531" s="26" t="s">
        <v>2573</v>
      </c>
      <c r="I531" s="17">
        <f ca="1">IFERROR(__xludf.DUMMYFUNCTION("""COMPUTED_VALUE"""),45195)</f>
        <v>45195</v>
      </c>
      <c r="J531" s="29" t="s">
        <v>2879</v>
      </c>
      <c r="K531" s="26" t="s">
        <v>2880</v>
      </c>
      <c r="L531" s="30">
        <v>819609803</v>
      </c>
      <c r="M531" s="26" t="s">
        <v>633</v>
      </c>
      <c r="N531" s="26" t="s">
        <v>1384</v>
      </c>
      <c r="O531" s="26" t="s">
        <v>2881</v>
      </c>
      <c r="P531" s="26" t="s">
        <v>2882</v>
      </c>
      <c r="Q531" s="20">
        <v>15936</v>
      </c>
      <c r="R531" s="26" t="s">
        <v>36</v>
      </c>
      <c r="S531" s="31">
        <v>15936</v>
      </c>
      <c r="T531" s="32">
        <v>45184</v>
      </c>
      <c r="U531" s="31"/>
      <c r="V531" s="26"/>
      <c r="W531" s="33" t="s">
        <v>2883</v>
      </c>
      <c r="X531" s="26"/>
      <c r="Y531" s="22">
        <v>0</v>
      </c>
      <c r="Z531" s="26" t="s">
        <v>50</v>
      </c>
      <c r="AA531" s="19" t="s">
        <v>2449</v>
      </c>
      <c r="AB531" s="26" t="s">
        <v>128</v>
      </c>
      <c r="AC531" s="26" t="s">
        <v>53</v>
      </c>
      <c r="AD531" s="19" t="s">
        <v>138</v>
      </c>
      <c r="AE531" s="26" t="s">
        <v>72</v>
      </c>
      <c r="AF531" s="17">
        <v>45195</v>
      </c>
      <c r="AG531" s="26" t="s">
        <v>1631</v>
      </c>
      <c r="AH531" s="26"/>
      <c r="AI531" s="40"/>
      <c r="AJ531" s="26"/>
      <c r="AK531" s="26"/>
      <c r="AL531" s="35"/>
      <c r="AM531" s="35"/>
      <c r="AN531" s="35"/>
      <c r="AO531" s="35"/>
      <c r="AP531" s="35"/>
    </row>
    <row r="532" spans="1:42" x14ac:dyDescent="0.2">
      <c r="A532" s="27">
        <v>45186.372369340279</v>
      </c>
      <c r="B532" s="28" t="s">
        <v>37</v>
      </c>
      <c r="C532" s="41" t="s">
        <v>118</v>
      </c>
      <c r="D532" s="26" t="s">
        <v>36</v>
      </c>
      <c r="E532" s="26" t="s">
        <v>106</v>
      </c>
      <c r="F532" s="26" t="s">
        <v>1555</v>
      </c>
      <c r="G532" s="26" t="s">
        <v>108</v>
      </c>
      <c r="H532" s="26" t="s">
        <v>1809</v>
      </c>
      <c r="I532" s="17">
        <f ca="1">IFERROR(__xludf.DUMMYFUNCTION("""COMPUTED_VALUE"""),45200)</f>
        <v>45200</v>
      </c>
      <c r="J532" s="29" t="s">
        <v>2884</v>
      </c>
      <c r="K532" s="26" t="s">
        <v>2885</v>
      </c>
      <c r="L532" s="30">
        <v>375719788</v>
      </c>
      <c r="M532" s="26" t="s">
        <v>112</v>
      </c>
      <c r="N532" s="26" t="s">
        <v>1673</v>
      </c>
      <c r="O532" s="26" t="s">
        <v>91</v>
      </c>
      <c r="P532" s="42" t="s">
        <v>2886</v>
      </c>
      <c r="Q532" s="20">
        <v>3768</v>
      </c>
      <c r="R532" s="26" t="s">
        <v>36</v>
      </c>
      <c r="S532" s="31">
        <v>3768</v>
      </c>
      <c r="T532" s="32">
        <v>45185</v>
      </c>
      <c r="U532" s="31"/>
      <c r="V532" s="26"/>
      <c r="W532" s="33" t="s">
        <v>2887</v>
      </c>
      <c r="X532" s="26"/>
      <c r="Y532" s="22">
        <v>0</v>
      </c>
      <c r="Z532" s="26" t="s">
        <v>50</v>
      </c>
      <c r="AA532" s="19" t="s">
        <v>2449</v>
      </c>
      <c r="AB532" s="26" t="s">
        <v>137</v>
      </c>
      <c r="AC532" s="26" t="s">
        <v>53</v>
      </c>
      <c r="AD532" s="19" t="s">
        <v>54</v>
      </c>
      <c r="AE532" s="26" t="s">
        <v>2888</v>
      </c>
      <c r="AF532" s="17">
        <v>45191</v>
      </c>
      <c r="AG532" s="26"/>
      <c r="AH532" s="26"/>
      <c r="AI532" s="40"/>
      <c r="AJ532" s="26"/>
      <c r="AK532" s="26"/>
      <c r="AL532" s="35"/>
      <c r="AM532" s="35"/>
      <c r="AN532" s="35"/>
      <c r="AO532" s="35"/>
      <c r="AP532" s="35"/>
    </row>
    <row r="533" spans="1:42" x14ac:dyDescent="0.2">
      <c r="A533" s="27">
        <v>45186.850653692134</v>
      </c>
      <c r="B533" s="28" t="s">
        <v>37</v>
      </c>
      <c r="C533" s="41" t="s">
        <v>118</v>
      </c>
      <c r="D533" s="26" t="s">
        <v>36</v>
      </c>
      <c r="E533" s="26" t="s">
        <v>56</v>
      </c>
      <c r="F533" s="26" t="s">
        <v>40</v>
      </c>
      <c r="G533" s="26" t="s">
        <v>41</v>
      </c>
      <c r="H533" s="26" t="s">
        <v>2889</v>
      </c>
      <c r="I533" s="17">
        <f ca="1">IFERROR(__xludf.DUMMYFUNCTION("""COMPUTED_VALUE"""),45200)</f>
        <v>45200</v>
      </c>
      <c r="J533" s="29" t="s">
        <v>2890</v>
      </c>
      <c r="K533" s="26" t="s">
        <v>2891</v>
      </c>
      <c r="L533" s="30">
        <v>374735732</v>
      </c>
      <c r="M533" s="26" t="s">
        <v>59</v>
      </c>
      <c r="N533" s="26" t="s">
        <v>68</v>
      </c>
      <c r="O533" s="26" t="s">
        <v>2892</v>
      </c>
      <c r="P533" s="26" t="s">
        <v>2893</v>
      </c>
      <c r="Q533" s="20">
        <v>9317</v>
      </c>
      <c r="R533" s="26" t="s">
        <v>70</v>
      </c>
      <c r="S533" s="31">
        <v>9217</v>
      </c>
      <c r="T533" s="32">
        <v>45186</v>
      </c>
      <c r="U533" s="31"/>
      <c r="V533" s="26"/>
      <c r="W533" s="33" t="s">
        <v>2894</v>
      </c>
      <c r="X533" s="26"/>
      <c r="Y533" s="22">
        <v>100</v>
      </c>
      <c r="Z533" s="26" t="s">
        <v>50</v>
      </c>
      <c r="AA533" s="19" t="s">
        <v>2449</v>
      </c>
      <c r="AB533" s="26" t="s">
        <v>137</v>
      </c>
      <c r="AC533" s="26" t="s">
        <v>53</v>
      </c>
      <c r="AD533" s="19" t="s">
        <v>138</v>
      </c>
      <c r="AE533" s="26" t="s">
        <v>734</v>
      </c>
      <c r="AF533" s="17">
        <v>45200</v>
      </c>
      <c r="AG533" s="26" t="s">
        <v>1631</v>
      </c>
      <c r="AH533" s="26"/>
      <c r="AI533" s="40"/>
      <c r="AJ533" s="26"/>
      <c r="AK533" s="26"/>
      <c r="AL533" s="35"/>
      <c r="AM533" s="35"/>
      <c r="AN533" s="35"/>
      <c r="AO533" s="35"/>
      <c r="AP533" s="35"/>
    </row>
    <row r="534" spans="1:42" x14ac:dyDescent="0.2">
      <c r="A534" s="27">
        <v>45186.852771874997</v>
      </c>
      <c r="B534" s="28" t="s">
        <v>37</v>
      </c>
      <c r="C534" s="41" t="s">
        <v>118</v>
      </c>
      <c r="D534" s="26" t="s">
        <v>36</v>
      </c>
      <c r="E534" s="26" t="s">
        <v>56</v>
      </c>
      <c r="F534" s="26" t="s">
        <v>40</v>
      </c>
      <c r="G534" s="26" t="s">
        <v>41</v>
      </c>
      <c r="H534" s="26" t="s">
        <v>2889</v>
      </c>
      <c r="I534" s="17">
        <f ca="1">IFERROR(__xludf.DUMMYFUNCTION("""COMPUTED_VALUE"""),45200)</f>
        <v>45200</v>
      </c>
      <c r="J534" s="29" t="s">
        <v>2895</v>
      </c>
      <c r="K534" s="26" t="s">
        <v>2896</v>
      </c>
      <c r="L534" s="30">
        <v>353373576</v>
      </c>
      <c r="M534" s="26" t="s">
        <v>59</v>
      </c>
      <c r="N534" s="26" t="s">
        <v>68</v>
      </c>
      <c r="O534" s="26" t="s">
        <v>2897</v>
      </c>
      <c r="P534" s="26" t="s">
        <v>2898</v>
      </c>
      <c r="Q534" s="20">
        <v>9317</v>
      </c>
      <c r="R534" s="26" t="s">
        <v>70</v>
      </c>
      <c r="S534" s="31">
        <v>9217</v>
      </c>
      <c r="T534" s="32">
        <v>45185</v>
      </c>
      <c r="U534" s="31"/>
      <c r="V534" s="26"/>
      <c r="W534" s="33" t="s">
        <v>2899</v>
      </c>
      <c r="X534" s="26"/>
      <c r="Y534" s="22">
        <v>100</v>
      </c>
      <c r="Z534" s="26" t="s">
        <v>50</v>
      </c>
      <c r="AA534" s="19" t="s">
        <v>2449</v>
      </c>
      <c r="AB534" s="26" t="s">
        <v>137</v>
      </c>
      <c r="AC534" s="26" t="s">
        <v>53</v>
      </c>
      <c r="AD534" s="19" t="s">
        <v>138</v>
      </c>
      <c r="AE534" s="26" t="s">
        <v>734</v>
      </c>
      <c r="AF534" s="17">
        <v>45200</v>
      </c>
      <c r="AG534" s="26" t="s">
        <v>1631</v>
      </c>
      <c r="AH534" s="26"/>
      <c r="AI534" s="40"/>
      <c r="AJ534" s="26"/>
      <c r="AK534" s="26"/>
      <c r="AL534" s="35"/>
      <c r="AM534" s="35"/>
      <c r="AN534" s="35"/>
      <c r="AO534" s="35"/>
      <c r="AP534" s="35"/>
    </row>
    <row r="535" spans="1:42" x14ac:dyDescent="0.2">
      <c r="A535" s="27">
        <v>45186.898834143518</v>
      </c>
      <c r="B535" s="28" t="s">
        <v>37</v>
      </c>
      <c r="C535" s="41" t="s">
        <v>118</v>
      </c>
      <c r="D535" s="26" t="s">
        <v>36</v>
      </c>
      <c r="E535" s="26" t="s">
        <v>148</v>
      </c>
      <c r="F535" s="26" t="s">
        <v>91</v>
      </c>
      <c r="G535" s="26" t="s">
        <v>108</v>
      </c>
      <c r="H535" s="26" t="s">
        <v>2595</v>
      </c>
      <c r="I535" s="17">
        <f ca="1">IFERROR(__xludf.DUMMYFUNCTION("""COMPUTED_VALUE"""),45191)</f>
        <v>45191</v>
      </c>
      <c r="J535" s="29" t="s">
        <v>2900</v>
      </c>
      <c r="K535" s="26" t="s">
        <v>2901</v>
      </c>
      <c r="L535" s="30">
        <v>793327012</v>
      </c>
      <c r="M535" s="26" t="s">
        <v>391</v>
      </c>
      <c r="N535" s="26" t="s">
        <v>1424</v>
      </c>
      <c r="O535" s="26" t="s">
        <v>2902</v>
      </c>
      <c r="P535" s="26" t="s">
        <v>2902</v>
      </c>
      <c r="Q535" s="20">
        <v>7349</v>
      </c>
      <c r="R535" s="26" t="s">
        <v>36</v>
      </c>
      <c r="S535" s="31">
        <v>1000</v>
      </c>
      <c r="T535" s="32">
        <v>45185</v>
      </c>
      <c r="U535" s="31">
        <v>6349</v>
      </c>
      <c r="V535" s="32">
        <v>45188</v>
      </c>
      <c r="W535" s="33" t="s">
        <v>2903</v>
      </c>
      <c r="X535" s="26"/>
      <c r="Y535" s="22">
        <v>0</v>
      </c>
      <c r="Z535" s="26" t="s">
        <v>50</v>
      </c>
      <c r="AA535" s="19" t="s">
        <v>2449</v>
      </c>
      <c r="AB535" s="26" t="s">
        <v>137</v>
      </c>
      <c r="AC535" s="26" t="s">
        <v>53</v>
      </c>
      <c r="AD535" s="19" t="s">
        <v>138</v>
      </c>
      <c r="AE535" s="26">
        <v>380</v>
      </c>
      <c r="AF535" s="17">
        <v>45191</v>
      </c>
      <c r="AG535" s="26" t="s">
        <v>1631</v>
      </c>
      <c r="AH535" s="26"/>
      <c r="AI535" s="40"/>
      <c r="AJ535" s="26"/>
      <c r="AK535" s="26"/>
      <c r="AL535" s="35"/>
      <c r="AM535" s="35"/>
      <c r="AN535" s="35"/>
      <c r="AO535" s="35"/>
      <c r="AP535" s="35"/>
    </row>
    <row r="536" spans="1:42" x14ac:dyDescent="0.2">
      <c r="A536" s="27">
        <v>45186.923487650463</v>
      </c>
      <c r="B536" s="28" t="s">
        <v>37</v>
      </c>
      <c r="C536" s="41" t="s">
        <v>118</v>
      </c>
      <c r="D536" s="26" t="s">
        <v>36</v>
      </c>
      <c r="E536" s="26" t="s">
        <v>77</v>
      </c>
      <c r="F536" s="26" t="s">
        <v>36</v>
      </c>
      <c r="G536" s="26" t="s">
        <v>41</v>
      </c>
      <c r="H536" s="26" t="s">
        <v>2717</v>
      </c>
      <c r="I536" s="17">
        <f ca="1">IFERROR(__xludf.DUMMYFUNCTION("""COMPUTED_VALUE"""),45196)</f>
        <v>45196</v>
      </c>
      <c r="J536" s="29" t="s">
        <v>2904</v>
      </c>
      <c r="K536" s="26" t="s">
        <v>2905</v>
      </c>
      <c r="L536" s="30">
        <v>865556450</v>
      </c>
      <c r="M536" s="26" t="s">
        <v>80</v>
      </c>
      <c r="N536" s="26" t="s">
        <v>299</v>
      </c>
      <c r="O536" s="26" t="s">
        <v>2906</v>
      </c>
      <c r="P536" s="26" t="s">
        <v>2907</v>
      </c>
      <c r="Q536" s="20">
        <v>1968</v>
      </c>
      <c r="R536" s="26" t="s">
        <v>36</v>
      </c>
      <c r="S536" s="31">
        <v>1968</v>
      </c>
      <c r="T536" s="32">
        <v>45186</v>
      </c>
      <c r="U536" s="31"/>
      <c r="V536" s="26"/>
      <c r="W536" s="33" t="s">
        <v>2908</v>
      </c>
      <c r="X536" s="26"/>
      <c r="Y536" s="22">
        <v>0</v>
      </c>
      <c r="Z536" s="26" t="s">
        <v>50</v>
      </c>
      <c r="AA536" s="19" t="s">
        <v>2449</v>
      </c>
      <c r="AB536" s="26" t="s">
        <v>104</v>
      </c>
      <c r="AC536" s="26" t="s">
        <v>53</v>
      </c>
      <c r="AD536" s="19" t="s">
        <v>54</v>
      </c>
      <c r="AE536" s="26">
        <v>0</v>
      </c>
      <c r="AF536" s="17">
        <v>45187</v>
      </c>
      <c r="AG536" s="26"/>
      <c r="AH536" s="26"/>
      <c r="AI536" s="40"/>
      <c r="AJ536" s="26"/>
      <c r="AK536" s="26"/>
      <c r="AL536" s="35"/>
      <c r="AM536" s="35"/>
      <c r="AN536" s="35"/>
      <c r="AO536" s="35"/>
      <c r="AP536" s="35"/>
    </row>
    <row r="537" spans="1:42" x14ac:dyDescent="0.2">
      <c r="A537" s="27">
        <v>45186.925525289349</v>
      </c>
      <c r="B537" s="28" t="s">
        <v>37</v>
      </c>
      <c r="C537" s="41" t="s">
        <v>118</v>
      </c>
      <c r="D537" s="26" t="s">
        <v>36</v>
      </c>
      <c r="E537" s="26" t="s">
        <v>119</v>
      </c>
      <c r="F537" s="26" t="s">
        <v>36</v>
      </c>
      <c r="G537" s="26" t="s">
        <v>108</v>
      </c>
      <c r="H537" s="26" t="s">
        <v>2595</v>
      </c>
      <c r="I537" s="17">
        <f ca="1">IFERROR(__xludf.DUMMYFUNCTION("""COMPUTED_VALUE"""),45191)</f>
        <v>45191</v>
      </c>
      <c r="J537" s="29" t="s">
        <v>2909</v>
      </c>
      <c r="K537" s="26" t="s">
        <v>2910</v>
      </c>
      <c r="L537" s="30">
        <v>964714862</v>
      </c>
      <c r="M537" s="26" t="s">
        <v>80</v>
      </c>
      <c r="N537" s="26" t="s">
        <v>299</v>
      </c>
      <c r="O537" s="26" t="s">
        <v>2911</v>
      </c>
      <c r="P537" s="26" t="s">
        <v>2912</v>
      </c>
      <c r="Q537" s="20">
        <v>13968</v>
      </c>
      <c r="R537" s="26" t="s">
        <v>36</v>
      </c>
      <c r="S537" s="31">
        <v>4000</v>
      </c>
      <c r="T537" s="32">
        <v>45186</v>
      </c>
      <c r="U537" s="31">
        <v>9968</v>
      </c>
      <c r="V537" s="32">
        <v>45197</v>
      </c>
      <c r="W537" s="33" t="s">
        <v>2913</v>
      </c>
      <c r="X537" s="26"/>
      <c r="Y537" s="22">
        <v>0</v>
      </c>
      <c r="Z537" s="26" t="s">
        <v>50</v>
      </c>
      <c r="AA537" s="19" t="s">
        <v>2449</v>
      </c>
      <c r="AB537" s="26" t="s">
        <v>104</v>
      </c>
      <c r="AC537" s="26" t="s">
        <v>53</v>
      </c>
      <c r="AD537" s="19" t="s">
        <v>138</v>
      </c>
      <c r="AE537" s="26" t="s">
        <v>2705</v>
      </c>
      <c r="AF537" s="17">
        <v>45191</v>
      </c>
      <c r="AG537" s="26" t="s">
        <v>1631</v>
      </c>
      <c r="AH537" s="26"/>
      <c r="AI537" s="40"/>
      <c r="AJ537" s="26"/>
      <c r="AK537" s="26"/>
      <c r="AL537" s="35"/>
      <c r="AM537" s="35"/>
      <c r="AN537" s="35"/>
      <c r="AO537" s="35"/>
      <c r="AP537" s="35"/>
    </row>
    <row r="538" spans="1:42" x14ac:dyDescent="0.2">
      <c r="A538" s="27">
        <v>45187.451336215279</v>
      </c>
      <c r="B538" s="28" t="s">
        <v>37</v>
      </c>
      <c r="C538" s="41" t="s">
        <v>118</v>
      </c>
      <c r="D538" s="26" t="s">
        <v>36</v>
      </c>
      <c r="E538" s="26" t="s">
        <v>148</v>
      </c>
      <c r="F538" s="26" t="s">
        <v>688</v>
      </c>
      <c r="G538" s="26" t="s">
        <v>108</v>
      </c>
      <c r="H538" s="26" t="s">
        <v>2424</v>
      </c>
      <c r="I538" s="17">
        <f ca="1">IFERROR(__xludf.DUMMYFUNCTION("""COMPUTED_VALUE"""),45205)</f>
        <v>45205</v>
      </c>
      <c r="J538" s="29" t="s">
        <v>2914</v>
      </c>
      <c r="K538" s="26" t="s">
        <v>2915</v>
      </c>
      <c r="L538" s="94" t="s">
        <v>2916</v>
      </c>
      <c r="M538" s="26" t="s">
        <v>112</v>
      </c>
      <c r="N538" s="26" t="s">
        <v>2917</v>
      </c>
      <c r="O538" s="26" t="s">
        <v>1274</v>
      </c>
      <c r="P538" s="26" t="s">
        <v>2918</v>
      </c>
      <c r="Q538" s="20">
        <v>7349</v>
      </c>
      <c r="R538" s="26" t="s">
        <v>36</v>
      </c>
      <c r="S538" s="31">
        <v>7349</v>
      </c>
      <c r="T538" s="32">
        <v>45187</v>
      </c>
      <c r="U538" s="31"/>
      <c r="V538" s="26"/>
      <c r="W538" s="33" t="s">
        <v>2919</v>
      </c>
      <c r="X538" s="26"/>
      <c r="Y538" s="22">
        <v>0</v>
      </c>
      <c r="Z538" s="26" t="s">
        <v>50</v>
      </c>
      <c r="AA538" s="19" t="s">
        <v>2449</v>
      </c>
      <c r="AB538" s="26" t="s">
        <v>137</v>
      </c>
      <c r="AC538" s="26" t="s">
        <v>53</v>
      </c>
      <c r="AD538" s="19" t="s">
        <v>54</v>
      </c>
      <c r="AE538" s="26" t="s">
        <v>688</v>
      </c>
      <c r="AF538" s="17">
        <v>45199</v>
      </c>
      <c r="AG538" s="26"/>
      <c r="AH538" s="26"/>
      <c r="AI538" s="40"/>
      <c r="AJ538" s="26"/>
      <c r="AK538" s="26"/>
      <c r="AL538" s="35"/>
      <c r="AM538" s="35"/>
      <c r="AN538" s="35"/>
      <c r="AO538" s="35"/>
      <c r="AP538" s="35"/>
    </row>
    <row r="539" spans="1:42" x14ac:dyDescent="0.2">
      <c r="A539" s="27">
        <v>45187.654638958338</v>
      </c>
      <c r="B539" s="28" t="s">
        <v>37</v>
      </c>
      <c r="C539" s="41" t="s">
        <v>118</v>
      </c>
      <c r="D539" s="26" t="s">
        <v>36</v>
      </c>
      <c r="E539" s="26" t="s">
        <v>39</v>
      </c>
      <c r="F539" s="26" t="s">
        <v>2920</v>
      </c>
      <c r="G539" s="26" t="s">
        <v>41</v>
      </c>
      <c r="H539" s="26" t="s">
        <v>2921</v>
      </c>
      <c r="I539" s="17">
        <f ca="1">IFERROR(__xludf.DUMMYFUNCTION("""COMPUTED_VALUE"""),45209)</f>
        <v>45209</v>
      </c>
      <c r="J539" s="29" t="s">
        <v>2922</v>
      </c>
      <c r="K539" s="26" t="s">
        <v>2923</v>
      </c>
      <c r="L539" s="30">
        <v>378460894</v>
      </c>
      <c r="M539" s="26" t="s">
        <v>1770</v>
      </c>
      <c r="N539" s="26" t="s">
        <v>2290</v>
      </c>
      <c r="O539" s="26" t="s">
        <v>2924</v>
      </c>
      <c r="P539" s="26" t="s">
        <v>2925</v>
      </c>
      <c r="Q539" s="20">
        <v>5736</v>
      </c>
      <c r="R539" s="26" t="s">
        <v>36</v>
      </c>
      <c r="S539" s="31">
        <v>5736</v>
      </c>
      <c r="T539" s="32">
        <v>45187</v>
      </c>
      <c r="U539" s="31"/>
      <c r="V539" s="26"/>
      <c r="W539" s="33" t="s">
        <v>2926</v>
      </c>
      <c r="X539" s="26"/>
      <c r="Y539" s="22">
        <v>0</v>
      </c>
      <c r="Z539" s="26" t="s">
        <v>50</v>
      </c>
      <c r="AA539" s="19" t="s">
        <v>2449</v>
      </c>
      <c r="AB539" s="26" t="s">
        <v>146</v>
      </c>
      <c r="AC539" s="26" t="s">
        <v>53</v>
      </c>
      <c r="AD539" s="19" t="s">
        <v>54</v>
      </c>
      <c r="AE539" s="26" t="s">
        <v>76</v>
      </c>
      <c r="AF539" s="17">
        <v>45189</v>
      </c>
      <c r="AG539" s="26" t="s">
        <v>2927</v>
      </c>
      <c r="AH539" s="26"/>
      <c r="AI539" s="40"/>
      <c r="AJ539" s="26"/>
      <c r="AK539" s="26"/>
      <c r="AL539" s="35"/>
      <c r="AM539" s="35"/>
      <c r="AN539" s="35"/>
      <c r="AO539" s="35"/>
      <c r="AP539" s="35"/>
    </row>
    <row r="540" spans="1:42" x14ac:dyDescent="0.2">
      <c r="A540" s="27">
        <v>45187.825644988421</v>
      </c>
      <c r="B540" s="28" t="s">
        <v>37</v>
      </c>
      <c r="C540" s="41" t="s">
        <v>118</v>
      </c>
      <c r="D540" s="26" t="s">
        <v>36</v>
      </c>
      <c r="E540" s="26" t="s">
        <v>106</v>
      </c>
      <c r="F540" s="26" t="s">
        <v>40</v>
      </c>
      <c r="G540" s="26" t="s">
        <v>108</v>
      </c>
      <c r="H540" s="26" t="s">
        <v>2595</v>
      </c>
      <c r="I540" s="17">
        <f ca="1">IFERROR(__xludf.DUMMYFUNCTION("""COMPUTED_VALUE"""),45191)</f>
        <v>45191</v>
      </c>
      <c r="J540" s="29" t="s">
        <v>2928</v>
      </c>
      <c r="K540" s="26" t="s">
        <v>2929</v>
      </c>
      <c r="L540" s="30">
        <v>869805657</v>
      </c>
      <c r="M540" s="26" t="s">
        <v>59</v>
      </c>
      <c r="N540" s="26" t="s">
        <v>68</v>
      </c>
      <c r="O540" s="26" t="s">
        <v>2930</v>
      </c>
      <c r="P540" s="26" t="s">
        <v>2931</v>
      </c>
      <c r="Q540" s="20">
        <v>3768</v>
      </c>
      <c r="R540" s="26" t="s">
        <v>36</v>
      </c>
      <c r="S540" s="31">
        <v>3768</v>
      </c>
      <c r="T540" s="32">
        <v>45187</v>
      </c>
      <c r="U540" s="31"/>
      <c r="V540" s="26"/>
      <c r="W540" s="33" t="s">
        <v>2932</v>
      </c>
      <c r="X540" s="26"/>
      <c r="Y540" s="22">
        <v>0</v>
      </c>
      <c r="Z540" s="26" t="s">
        <v>50</v>
      </c>
      <c r="AA540" s="19" t="s">
        <v>2449</v>
      </c>
      <c r="AB540" s="26" t="s">
        <v>128</v>
      </c>
      <c r="AC540" s="26" t="s">
        <v>53</v>
      </c>
      <c r="AD540" s="19" t="s">
        <v>138</v>
      </c>
      <c r="AE540" s="26">
        <v>370</v>
      </c>
      <c r="AF540" s="17">
        <v>45191</v>
      </c>
      <c r="AG540" s="26" t="s">
        <v>1631</v>
      </c>
      <c r="AH540" s="26"/>
      <c r="AI540" s="40"/>
      <c r="AJ540" s="26"/>
      <c r="AK540" s="26"/>
      <c r="AL540" s="35"/>
      <c r="AM540" s="35"/>
      <c r="AN540" s="35"/>
      <c r="AO540" s="35"/>
      <c r="AP540" s="35"/>
    </row>
    <row r="541" spans="1:42" x14ac:dyDescent="0.2">
      <c r="A541" s="27">
        <v>45187.856081018515</v>
      </c>
      <c r="B541" s="28" t="s">
        <v>37</v>
      </c>
      <c r="C541" s="41" t="s">
        <v>118</v>
      </c>
      <c r="D541" s="26" t="s">
        <v>36</v>
      </c>
      <c r="E541" s="26" t="s">
        <v>39</v>
      </c>
      <c r="F541" s="26" t="s">
        <v>36</v>
      </c>
      <c r="G541" s="26" t="s">
        <v>41</v>
      </c>
      <c r="H541" s="26" t="s">
        <v>1861</v>
      </c>
      <c r="I541" s="17">
        <f ca="1">IFERROR(__xludf.DUMMYFUNCTION("""COMPUTED_VALUE"""),45187)</f>
        <v>45187</v>
      </c>
      <c r="J541" s="29" t="s">
        <v>2933</v>
      </c>
      <c r="K541" s="26" t="s">
        <v>2934</v>
      </c>
      <c r="L541" s="30">
        <v>971439183</v>
      </c>
      <c r="M541" s="26" t="s">
        <v>80</v>
      </c>
      <c r="N541" s="26" t="s">
        <v>299</v>
      </c>
      <c r="O541" s="26" t="s">
        <v>2935</v>
      </c>
      <c r="P541" s="26" t="s">
        <v>2936</v>
      </c>
      <c r="Q541" s="20">
        <v>5736</v>
      </c>
      <c r="R541" s="26" t="s">
        <v>36</v>
      </c>
      <c r="S541" s="31">
        <v>5736</v>
      </c>
      <c r="T541" s="32">
        <v>45187</v>
      </c>
      <c r="U541" s="31"/>
      <c r="V541" s="26"/>
      <c r="W541" s="33" t="s">
        <v>2937</v>
      </c>
      <c r="X541" s="26"/>
      <c r="Y541" s="22">
        <v>0</v>
      </c>
      <c r="Z541" s="26" t="s">
        <v>50</v>
      </c>
      <c r="AA541" s="19" t="s">
        <v>2449</v>
      </c>
      <c r="AB541" s="26" t="s">
        <v>104</v>
      </c>
      <c r="AC541" s="26" t="s">
        <v>53</v>
      </c>
      <c r="AD541" s="19" t="s">
        <v>138</v>
      </c>
      <c r="AE541" s="26">
        <v>0</v>
      </c>
      <c r="AF541" s="17">
        <v>45187</v>
      </c>
      <c r="AG541" s="26" t="s">
        <v>1631</v>
      </c>
      <c r="AH541" s="26"/>
      <c r="AI541" s="40"/>
      <c r="AJ541" s="26"/>
      <c r="AK541" s="26"/>
      <c r="AL541" s="35"/>
      <c r="AM541" s="35"/>
      <c r="AN541" s="35"/>
      <c r="AO541" s="35"/>
      <c r="AP541" s="35"/>
    </row>
    <row r="542" spans="1:42" x14ac:dyDescent="0.2">
      <c r="A542" s="27">
        <v>45187.913233298612</v>
      </c>
      <c r="B542" s="28" t="s">
        <v>37</v>
      </c>
      <c r="C542" s="41" t="s">
        <v>118</v>
      </c>
      <c r="D542" s="26" t="s">
        <v>36</v>
      </c>
      <c r="E542" s="26" t="s">
        <v>106</v>
      </c>
      <c r="F542" s="26" t="s">
        <v>36</v>
      </c>
      <c r="G542" s="26" t="s">
        <v>108</v>
      </c>
      <c r="H542" s="26" t="s">
        <v>2595</v>
      </c>
      <c r="I542" s="17">
        <f ca="1">IFERROR(__xludf.DUMMYFUNCTION("""COMPUTED_VALUE"""),45191)</f>
        <v>45191</v>
      </c>
      <c r="J542" s="29" t="s">
        <v>2938</v>
      </c>
      <c r="K542" s="26" t="s">
        <v>2939</v>
      </c>
      <c r="L542" s="30">
        <v>376154919</v>
      </c>
      <c r="M542" s="26" t="s">
        <v>80</v>
      </c>
      <c r="N542" s="26" t="s">
        <v>186</v>
      </c>
      <c r="O542" s="26" t="s">
        <v>2940</v>
      </c>
      <c r="P542" s="26" t="s">
        <v>2941</v>
      </c>
      <c r="Q542" s="20">
        <v>3768</v>
      </c>
      <c r="R542" s="26" t="s">
        <v>36</v>
      </c>
      <c r="S542" s="31">
        <v>3768</v>
      </c>
      <c r="T542" s="32">
        <v>45187</v>
      </c>
      <c r="U542" s="31"/>
      <c r="V542" s="26"/>
      <c r="W542" s="26"/>
      <c r="X542" s="26"/>
      <c r="Y542" s="22">
        <v>0</v>
      </c>
      <c r="Z542" s="26" t="s">
        <v>50</v>
      </c>
      <c r="AA542" s="19" t="s">
        <v>2449</v>
      </c>
      <c r="AB542" s="26" t="s">
        <v>137</v>
      </c>
      <c r="AC542" s="26" t="s">
        <v>53</v>
      </c>
      <c r="AD542" s="19" t="s">
        <v>138</v>
      </c>
      <c r="AE542" s="26">
        <v>530</v>
      </c>
      <c r="AF542" s="17">
        <v>45191</v>
      </c>
      <c r="AG542" s="26" t="s">
        <v>1631</v>
      </c>
      <c r="AH542" s="26"/>
      <c r="AI542" s="40"/>
      <c r="AJ542" s="26"/>
      <c r="AK542" s="26"/>
      <c r="AL542" s="35"/>
      <c r="AM542" s="35"/>
      <c r="AN542" s="35"/>
      <c r="AO542" s="35"/>
      <c r="AP542" s="35"/>
    </row>
    <row r="543" spans="1:42" x14ac:dyDescent="0.2">
      <c r="A543" s="27">
        <v>45187.994651724541</v>
      </c>
      <c r="B543" s="28" t="s">
        <v>37</v>
      </c>
      <c r="C543" s="41" t="s">
        <v>118</v>
      </c>
      <c r="D543" s="26" t="s">
        <v>36</v>
      </c>
      <c r="E543" s="26" t="s">
        <v>119</v>
      </c>
      <c r="F543" s="26" t="s">
        <v>36</v>
      </c>
      <c r="G543" s="26" t="s">
        <v>108</v>
      </c>
      <c r="H543" s="26" t="s">
        <v>2595</v>
      </c>
      <c r="I543" s="17">
        <f ca="1">IFERROR(__xludf.DUMMYFUNCTION("""COMPUTED_VALUE"""),45191)</f>
        <v>45191</v>
      </c>
      <c r="J543" s="29" t="s">
        <v>2942</v>
      </c>
      <c r="K543" s="26" t="s">
        <v>2766</v>
      </c>
      <c r="L543" s="30">
        <v>971909764</v>
      </c>
      <c r="M543" s="26" t="s">
        <v>80</v>
      </c>
      <c r="N543" s="26" t="s">
        <v>299</v>
      </c>
      <c r="O543" s="26" t="s">
        <v>2943</v>
      </c>
      <c r="P543" s="26" t="s">
        <v>2641</v>
      </c>
      <c r="Q543" s="20">
        <v>13968</v>
      </c>
      <c r="R543" s="26" t="s">
        <v>36</v>
      </c>
      <c r="S543" s="31">
        <v>200</v>
      </c>
      <c r="T543" s="32">
        <v>45187</v>
      </c>
      <c r="U543" s="31">
        <v>13768</v>
      </c>
      <c r="V543" s="32">
        <v>45189</v>
      </c>
      <c r="W543" s="33" t="s">
        <v>2944</v>
      </c>
      <c r="X543" s="26"/>
      <c r="Y543" s="22">
        <v>0</v>
      </c>
      <c r="Z543" s="26" t="s">
        <v>50</v>
      </c>
      <c r="AA543" s="19" t="s">
        <v>2449</v>
      </c>
      <c r="AB543" s="26" t="s">
        <v>154</v>
      </c>
      <c r="AC543" s="26" t="s">
        <v>53</v>
      </c>
      <c r="AD543" s="19" t="s">
        <v>138</v>
      </c>
      <c r="AE543" s="26" t="s">
        <v>2705</v>
      </c>
      <c r="AF543" s="17">
        <v>45191</v>
      </c>
      <c r="AG543" s="26" t="s">
        <v>1631</v>
      </c>
      <c r="AH543" s="26"/>
      <c r="AI543" s="40"/>
      <c r="AJ543" s="26"/>
      <c r="AK543" s="26"/>
      <c r="AL543" s="35"/>
      <c r="AM543" s="35"/>
      <c r="AN543" s="35"/>
      <c r="AO543" s="35"/>
      <c r="AP543" s="35"/>
    </row>
    <row r="544" spans="1:42" x14ac:dyDescent="0.2">
      <c r="A544" s="27">
        <v>45188.322647777779</v>
      </c>
      <c r="B544" s="28" t="s">
        <v>37</v>
      </c>
      <c r="C544" s="41" t="s">
        <v>118</v>
      </c>
      <c r="D544" s="26" t="s">
        <v>36</v>
      </c>
      <c r="E544" s="26" t="s">
        <v>148</v>
      </c>
      <c r="F544" s="26" t="s">
        <v>36</v>
      </c>
      <c r="G544" s="26" t="s">
        <v>108</v>
      </c>
      <c r="H544" s="26" t="s">
        <v>2945</v>
      </c>
      <c r="I544" s="17">
        <f ca="1">IFERROR(__xludf.DUMMYFUNCTION("""COMPUTED_VALUE"""),45706)</f>
        <v>45706</v>
      </c>
      <c r="J544" s="29" t="s">
        <v>2946</v>
      </c>
      <c r="K544" s="26" t="s">
        <v>2947</v>
      </c>
      <c r="L544" s="30">
        <v>838464988</v>
      </c>
      <c r="M544" s="26" t="s">
        <v>45</v>
      </c>
      <c r="N544" s="26" t="s">
        <v>2948</v>
      </c>
      <c r="O544" s="26" t="s">
        <v>2949</v>
      </c>
      <c r="P544" s="26" t="s">
        <v>2950</v>
      </c>
      <c r="Q544" s="20">
        <v>7349</v>
      </c>
      <c r="R544" s="26" t="s">
        <v>36</v>
      </c>
      <c r="S544" s="31">
        <v>5975</v>
      </c>
      <c r="T544" s="32">
        <v>45187</v>
      </c>
      <c r="U544" s="31"/>
      <c r="V544" s="16" t="s">
        <v>2951</v>
      </c>
      <c r="W544" s="55" t="s">
        <v>2952</v>
      </c>
      <c r="X544" s="26"/>
      <c r="Y544" s="22">
        <v>1374</v>
      </c>
      <c r="Z544" s="26" t="s">
        <v>50</v>
      </c>
      <c r="AA544" s="19" t="s">
        <v>2449</v>
      </c>
      <c r="AB544" s="26" t="s">
        <v>154</v>
      </c>
      <c r="AC544" s="26" t="s">
        <v>53</v>
      </c>
      <c r="AD544" s="19" t="s">
        <v>138</v>
      </c>
      <c r="AE544" s="26"/>
      <c r="AF544" s="17">
        <v>45706</v>
      </c>
      <c r="AG544" s="26"/>
      <c r="AH544" s="26"/>
      <c r="AI544" s="40"/>
      <c r="AJ544" s="26"/>
      <c r="AK544" s="26"/>
      <c r="AL544" s="35"/>
      <c r="AM544" s="35"/>
      <c r="AN544" s="35"/>
      <c r="AO544" s="35"/>
      <c r="AP544" s="35"/>
    </row>
    <row r="545" spans="1:42" x14ac:dyDescent="0.2">
      <c r="A545" s="27">
        <v>45187</v>
      </c>
      <c r="B545" s="28" t="s">
        <v>37</v>
      </c>
      <c r="C545" s="41" t="s">
        <v>118</v>
      </c>
      <c r="D545" s="26" t="s">
        <v>36</v>
      </c>
      <c r="E545" s="26" t="s">
        <v>77</v>
      </c>
      <c r="F545" s="26" t="s">
        <v>2953</v>
      </c>
      <c r="G545" s="26" t="s">
        <v>41</v>
      </c>
      <c r="H545" s="26" t="s">
        <v>888</v>
      </c>
      <c r="I545" s="17">
        <f ca="1">IFERROR(__xludf.DUMMYFUNCTION("""COMPUTED_VALUE"""),45191)</f>
        <v>45191</v>
      </c>
      <c r="J545" s="29" t="s">
        <v>890</v>
      </c>
      <c r="K545" s="26" t="s">
        <v>891</v>
      </c>
      <c r="L545" s="30">
        <v>858907995</v>
      </c>
      <c r="M545" s="26" t="s">
        <v>391</v>
      </c>
      <c r="N545" s="26" t="s">
        <v>584</v>
      </c>
      <c r="O545" s="26" t="s">
        <v>892</v>
      </c>
      <c r="P545" s="42" t="s">
        <v>893</v>
      </c>
      <c r="Q545" s="20">
        <v>1968</v>
      </c>
      <c r="R545" s="26" t="s">
        <v>36</v>
      </c>
      <c r="S545" s="31">
        <v>1868</v>
      </c>
      <c r="T545" s="32">
        <v>45186</v>
      </c>
      <c r="U545" s="31">
        <v>100</v>
      </c>
      <c r="V545" s="38">
        <v>45206</v>
      </c>
      <c r="W545" s="33" t="s">
        <v>2954</v>
      </c>
      <c r="X545" s="26">
        <v>100</v>
      </c>
      <c r="Y545" s="22">
        <v>-100</v>
      </c>
      <c r="Z545" s="26" t="s">
        <v>50</v>
      </c>
      <c r="AA545" s="19" t="s">
        <v>2449</v>
      </c>
      <c r="AB545" s="26"/>
      <c r="AC545" s="26" t="s">
        <v>53</v>
      </c>
      <c r="AD545" s="19" t="s">
        <v>54</v>
      </c>
      <c r="AE545" s="26"/>
      <c r="AF545" s="17">
        <v>45196</v>
      </c>
      <c r="AG545" s="62" t="s">
        <v>2955</v>
      </c>
      <c r="AH545" s="26" t="s">
        <v>2956</v>
      </c>
      <c r="AI545" s="40">
        <v>1</v>
      </c>
      <c r="AJ545" s="26"/>
      <c r="AK545" s="26"/>
      <c r="AL545" s="35"/>
      <c r="AM545" s="35"/>
      <c r="AN545" s="35"/>
      <c r="AO545" s="35"/>
      <c r="AP545" s="35"/>
    </row>
    <row r="546" spans="1:42" x14ac:dyDescent="0.2">
      <c r="A546" s="27">
        <v>45188.734450960648</v>
      </c>
      <c r="B546" s="28" t="s">
        <v>37</v>
      </c>
      <c r="C546" s="41" t="s">
        <v>118</v>
      </c>
      <c r="D546" s="26" t="s">
        <v>36</v>
      </c>
      <c r="E546" s="26" t="s">
        <v>915</v>
      </c>
      <c r="F546" s="26" t="s">
        <v>36</v>
      </c>
      <c r="G546" s="26" t="s">
        <v>221</v>
      </c>
      <c r="H546" s="26" t="s">
        <v>2616</v>
      </c>
      <c r="I546" s="17">
        <f ca="1">IFERROR(__xludf.DUMMYFUNCTION("""COMPUTED_VALUE"""),45202)</f>
        <v>45202</v>
      </c>
      <c r="J546" s="29" t="s">
        <v>2957</v>
      </c>
      <c r="K546" s="26" t="s">
        <v>2958</v>
      </c>
      <c r="L546" s="30">
        <v>906190905</v>
      </c>
      <c r="M546" s="26" t="s">
        <v>80</v>
      </c>
      <c r="N546" s="26" t="s">
        <v>81</v>
      </c>
      <c r="O546" s="26" t="s">
        <v>2959</v>
      </c>
      <c r="P546" s="26" t="s">
        <v>2960</v>
      </c>
      <c r="Q546" s="20">
        <v>10894</v>
      </c>
      <c r="R546" s="26" t="s">
        <v>36</v>
      </c>
      <c r="S546" s="31">
        <v>2000</v>
      </c>
      <c r="T546" s="32">
        <v>45187</v>
      </c>
      <c r="U546" s="31">
        <v>8894</v>
      </c>
      <c r="V546" s="32">
        <v>45197</v>
      </c>
      <c r="W546" s="33" t="s">
        <v>2961</v>
      </c>
      <c r="X546" s="26"/>
      <c r="Y546" s="22">
        <v>0</v>
      </c>
      <c r="Z546" s="26" t="s">
        <v>50</v>
      </c>
      <c r="AA546" s="19" t="s">
        <v>2449</v>
      </c>
      <c r="AB546" s="26" t="s">
        <v>104</v>
      </c>
      <c r="AC546" s="26" t="s">
        <v>53</v>
      </c>
      <c r="AD546" s="19" t="s">
        <v>54</v>
      </c>
      <c r="AE546" s="26">
        <v>700</v>
      </c>
      <c r="AF546" s="17">
        <v>45199</v>
      </c>
      <c r="AG546" s="26"/>
      <c r="AH546" s="26"/>
      <c r="AI546" s="40"/>
      <c r="AJ546" s="26"/>
      <c r="AK546" s="26"/>
      <c r="AL546" s="35"/>
      <c r="AM546" s="35"/>
      <c r="AN546" s="35"/>
      <c r="AO546" s="35"/>
      <c r="AP546" s="35"/>
    </row>
    <row r="547" spans="1:42" x14ac:dyDescent="0.2">
      <c r="A547" s="27">
        <v>45188.892061678242</v>
      </c>
      <c r="B547" s="28" t="s">
        <v>37</v>
      </c>
      <c r="C547" s="41" t="s">
        <v>118</v>
      </c>
      <c r="D547" s="26" t="s">
        <v>36</v>
      </c>
      <c r="E547" s="26" t="s">
        <v>77</v>
      </c>
      <c r="F547" s="26" t="s">
        <v>91</v>
      </c>
      <c r="G547" s="26" t="s">
        <v>41</v>
      </c>
      <c r="H547" s="26" t="s">
        <v>2717</v>
      </c>
      <c r="I547" s="17">
        <f ca="1">IFERROR(__xludf.DUMMYFUNCTION("""COMPUTED_VALUE"""),45196)</f>
        <v>45196</v>
      </c>
      <c r="J547" s="29" t="s">
        <v>2962</v>
      </c>
      <c r="K547" s="26" t="s">
        <v>2963</v>
      </c>
      <c r="L547" s="30">
        <v>367646750</v>
      </c>
      <c r="M547" s="26" t="s">
        <v>910</v>
      </c>
      <c r="N547" s="26" t="s">
        <v>260</v>
      </c>
      <c r="O547" s="26" t="s">
        <v>2964</v>
      </c>
      <c r="P547" s="26" t="s">
        <v>2965</v>
      </c>
      <c r="Q547" s="20">
        <v>1968</v>
      </c>
      <c r="R547" s="26" t="s">
        <v>36</v>
      </c>
      <c r="S547" s="31">
        <v>1968</v>
      </c>
      <c r="T547" s="32">
        <v>45188</v>
      </c>
      <c r="U547" s="31"/>
      <c r="V547" s="26"/>
      <c r="W547" s="33" t="s">
        <v>2966</v>
      </c>
      <c r="X547" s="26"/>
      <c r="Y547" s="22">
        <v>0</v>
      </c>
      <c r="Z547" s="26" t="s">
        <v>50</v>
      </c>
      <c r="AA547" s="19" t="s">
        <v>2449</v>
      </c>
      <c r="AB547" s="26" t="s">
        <v>104</v>
      </c>
      <c r="AC547" s="26" t="s">
        <v>53</v>
      </c>
      <c r="AD547" s="19" t="s">
        <v>54</v>
      </c>
      <c r="AE547" s="26"/>
      <c r="AF547" s="17">
        <v>45191</v>
      </c>
      <c r="AG547" s="26"/>
      <c r="AH547" s="26"/>
      <c r="AI547" s="40"/>
      <c r="AJ547" s="26"/>
      <c r="AK547" s="26"/>
      <c r="AL547" s="35"/>
      <c r="AM547" s="35"/>
      <c r="AN547" s="35"/>
      <c r="AO547" s="35"/>
      <c r="AP547" s="35"/>
    </row>
    <row r="548" spans="1:42" x14ac:dyDescent="0.2">
      <c r="A548" s="27">
        <v>45188.957787210646</v>
      </c>
      <c r="B548" s="28" t="s">
        <v>37</v>
      </c>
      <c r="C548" s="41" t="s">
        <v>118</v>
      </c>
      <c r="D548" s="26" t="s">
        <v>36</v>
      </c>
      <c r="E548" s="26" t="s">
        <v>56</v>
      </c>
      <c r="F548" s="26" t="s">
        <v>91</v>
      </c>
      <c r="G548" s="26" t="s">
        <v>41</v>
      </c>
      <c r="H548" s="26" t="s">
        <v>2967</v>
      </c>
      <c r="I548" s="17">
        <f ca="1">IFERROR(__xludf.DUMMYFUNCTION("""COMPUTED_VALUE"""),45209)</f>
        <v>45209</v>
      </c>
      <c r="J548" s="29" t="s">
        <v>2968</v>
      </c>
      <c r="K548" s="26" t="s">
        <v>2969</v>
      </c>
      <c r="L548" s="30">
        <v>978140557</v>
      </c>
      <c r="M548" s="26" t="s">
        <v>910</v>
      </c>
      <c r="N548" s="26" t="s">
        <v>355</v>
      </c>
      <c r="O548" s="26" t="s">
        <v>2970</v>
      </c>
      <c r="P548" s="26" t="s">
        <v>2971</v>
      </c>
      <c r="Q548" s="20">
        <v>9317</v>
      </c>
      <c r="R548" s="26" t="s">
        <v>36</v>
      </c>
      <c r="S548" s="31">
        <v>9317</v>
      </c>
      <c r="T548" s="32">
        <v>45188</v>
      </c>
      <c r="U548" s="31"/>
      <c r="V548" s="26"/>
      <c r="W548" s="33" t="s">
        <v>2972</v>
      </c>
      <c r="X548" s="26"/>
      <c r="Y548" s="22">
        <v>0</v>
      </c>
      <c r="Z548" s="26" t="s">
        <v>50</v>
      </c>
      <c r="AA548" s="19" t="s">
        <v>2449</v>
      </c>
      <c r="AB548" s="26" t="s">
        <v>104</v>
      </c>
      <c r="AC548" s="26" t="s">
        <v>53</v>
      </c>
      <c r="AD548" s="19" t="s">
        <v>138</v>
      </c>
      <c r="AE548" s="26"/>
      <c r="AF548" s="17">
        <v>44114</v>
      </c>
      <c r="AG548" s="26" t="s">
        <v>1631</v>
      </c>
      <c r="AH548" s="26"/>
      <c r="AI548" s="40"/>
      <c r="AJ548" s="26"/>
      <c r="AK548" s="26"/>
      <c r="AL548" s="35"/>
      <c r="AM548" s="35"/>
      <c r="AN548" s="35"/>
      <c r="AO548" s="35"/>
      <c r="AP548" s="35"/>
    </row>
    <row r="549" spans="1:42" x14ac:dyDescent="0.2">
      <c r="A549" s="27">
        <v>45189.438316400461</v>
      </c>
      <c r="B549" s="28" t="s">
        <v>37</v>
      </c>
      <c r="C549" s="41" t="s">
        <v>118</v>
      </c>
      <c r="D549" s="26" t="s">
        <v>36</v>
      </c>
      <c r="E549" s="26" t="s">
        <v>77</v>
      </c>
      <c r="F549" s="26" t="s">
        <v>36</v>
      </c>
      <c r="G549" s="26" t="s">
        <v>41</v>
      </c>
      <c r="H549" s="26" t="s">
        <v>2973</v>
      </c>
      <c r="I549" s="17">
        <f ca="1">IFERROR(__xludf.DUMMYFUNCTION("""COMPUTED_VALUE"""),45195)</f>
        <v>45195</v>
      </c>
      <c r="J549" s="29" t="s">
        <v>2974</v>
      </c>
      <c r="K549" s="26" t="s">
        <v>2975</v>
      </c>
      <c r="L549" s="30">
        <v>915848806</v>
      </c>
      <c r="M549" s="26" t="s">
        <v>80</v>
      </c>
      <c r="N549" s="26" t="s">
        <v>299</v>
      </c>
      <c r="O549" s="26" t="s">
        <v>2976</v>
      </c>
      <c r="P549" s="26" t="s">
        <v>2977</v>
      </c>
      <c r="Q549" s="20">
        <v>1968</v>
      </c>
      <c r="R549" s="26" t="s">
        <v>36</v>
      </c>
      <c r="S549" s="31">
        <v>1968</v>
      </c>
      <c r="T549" s="32">
        <v>45188</v>
      </c>
      <c r="U549" s="31"/>
      <c r="V549" s="26"/>
      <c r="W549" s="33" t="s">
        <v>2978</v>
      </c>
      <c r="X549" s="26"/>
      <c r="Y549" s="22">
        <v>0</v>
      </c>
      <c r="Z549" s="26" t="s">
        <v>50</v>
      </c>
      <c r="AA549" s="19" t="s">
        <v>2449</v>
      </c>
      <c r="AB549" s="26" t="s">
        <v>104</v>
      </c>
      <c r="AC549" s="26" t="s">
        <v>53</v>
      </c>
      <c r="AD549" s="19" t="s">
        <v>54</v>
      </c>
      <c r="AE549" s="26">
        <v>0</v>
      </c>
      <c r="AF549" s="17">
        <v>45189</v>
      </c>
      <c r="AG549" s="26"/>
      <c r="AH549" s="26"/>
      <c r="AI549" s="40"/>
      <c r="AJ549" s="26"/>
      <c r="AK549" s="26"/>
      <c r="AL549" s="35"/>
      <c r="AM549" s="35"/>
      <c r="AN549" s="35"/>
      <c r="AO549" s="35"/>
      <c r="AP549" s="35"/>
    </row>
    <row r="550" spans="1:42" x14ac:dyDescent="0.2">
      <c r="A550" s="27">
        <v>45189.440525543978</v>
      </c>
      <c r="B550" s="28" t="s">
        <v>37</v>
      </c>
      <c r="C550" s="41" t="s">
        <v>118</v>
      </c>
      <c r="D550" s="26" t="s">
        <v>36</v>
      </c>
      <c r="E550" s="26" t="s">
        <v>77</v>
      </c>
      <c r="F550" s="26" t="s">
        <v>36</v>
      </c>
      <c r="G550" s="26" t="s">
        <v>41</v>
      </c>
      <c r="H550" s="26" t="s">
        <v>2973</v>
      </c>
      <c r="I550" s="17">
        <f ca="1">IFERROR(__xludf.DUMMYFUNCTION("""COMPUTED_VALUE"""),45195)</f>
        <v>45195</v>
      </c>
      <c r="J550" s="29" t="s">
        <v>2979</v>
      </c>
      <c r="K550" s="26" t="s">
        <v>2980</v>
      </c>
      <c r="L550" s="30">
        <v>368306812</v>
      </c>
      <c r="M550" s="26" t="s">
        <v>80</v>
      </c>
      <c r="N550" s="26" t="s">
        <v>81</v>
      </c>
      <c r="O550" s="26" t="s">
        <v>2981</v>
      </c>
      <c r="P550" s="26" t="s">
        <v>2982</v>
      </c>
      <c r="Q550" s="20">
        <v>1968</v>
      </c>
      <c r="R550" s="26" t="s">
        <v>36</v>
      </c>
      <c r="S550" s="31">
        <v>1968</v>
      </c>
      <c r="T550" s="32">
        <v>45189</v>
      </c>
      <c r="U550" s="31"/>
      <c r="V550" s="26"/>
      <c r="W550" s="33" t="s">
        <v>2983</v>
      </c>
      <c r="X550" s="26"/>
      <c r="Y550" s="22">
        <v>0</v>
      </c>
      <c r="Z550" s="26" t="s">
        <v>50</v>
      </c>
      <c r="AA550" s="19" t="s">
        <v>2449</v>
      </c>
      <c r="AB550" s="26" t="s">
        <v>104</v>
      </c>
      <c r="AC550" s="26" t="s">
        <v>53</v>
      </c>
      <c r="AD550" s="19" t="s">
        <v>54</v>
      </c>
      <c r="AE550" s="26">
        <v>0</v>
      </c>
      <c r="AF550" s="17">
        <v>45189</v>
      </c>
      <c r="AG550" s="26"/>
      <c r="AH550" s="26"/>
      <c r="AI550" s="40"/>
      <c r="AJ550" s="26"/>
      <c r="AK550" s="26"/>
      <c r="AL550" s="35"/>
      <c r="AM550" s="35"/>
      <c r="AN550" s="35"/>
      <c r="AO550" s="35"/>
      <c r="AP550" s="35"/>
    </row>
    <row r="551" spans="1:42" x14ac:dyDescent="0.2">
      <c r="A551" s="27">
        <v>45189.737115729164</v>
      </c>
      <c r="B551" s="28" t="s">
        <v>37</v>
      </c>
      <c r="C551" s="41" t="s">
        <v>118</v>
      </c>
      <c r="D551" s="26" t="s">
        <v>36</v>
      </c>
      <c r="E551" s="26" t="s">
        <v>106</v>
      </c>
      <c r="F551" s="26" t="s">
        <v>36</v>
      </c>
      <c r="G551" s="26" t="s">
        <v>108</v>
      </c>
      <c r="H551" s="26" t="s">
        <v>2401</v>
      </c>
      <c r="I551" s="17">
        <f ca="1">IFERROR(__xludf.DUMMYFUNCTION("""COMPUTED_VALUE"""),45197)</f>
        <v>45197</v>
      </c>
      <c r="J551" s="29" t="s">
        <v>2984</v>
      </c>
      <c r="K551" s="26" t="s">
        <v>2985</v>
      </c>
      <c r="L551" s="30">
        <v>941032789</v>
      </c>
      <c r="M551" s="26" t="s">
        <v>45</v>
      </c>
      <c r="N551" s="26" t="s">
        <v>87</v>
      </c>
      <c r="O551" s="26" t="s">
        <v>2986</v>
      </c>
      <c r="P551" s="26" t="s">
        <v>2987</v>
      </c>
      <c r="Q551" s="20">
        <v>3768</v>
      </c>
      <c r="R551" s="26" t="s">
        <v>36</v>
      </c>
      <c r="S551" s="31">
        <v>3768</v>
      </c>
      <c r="T551" s="32">
        <v>45189</v>
      </c>
      <c r="U551" s="31"/>
      <c r="V551" s="26"/>
      <c r="W551" s="33" t="s">
        <v>2988</v>
      </c>
      <c r="X551" s="26"/>
      <c r="Y551" s="22">
        <v>0</v>
      </c>
      <c r="Z551" s="26" t="s">
        <v>50</v>
      </c>
      <c r="AA551" s="19" t="s">
        <v>2449</v>
      </c>
      <c r="AB551" s="26" t="s">
        <v>154</v>
      </c>
      <c r="AC551" s="26" t="s">
        <v>53</v>
      </c>
      <c r="AD551" s="19" t="s">
        <v>54</v>
      </c>
      <c r="AE551" s="26">
        <v>520</v>
      </c>
      <c r="AF551" s="17">
        <v>45191</v>
      </c>
      <c r="AG551" s="26"/>
      <c r="AH551" s="26"/>
      <c r="AI551" s="40"/>
      <c r="AJ551" s="26"/>
      <c r="AK551" s="26"/>
      <c r="AL551" s="35"/>
      <c r="AM551" s="35"/>
      <c r="AN551" s="35"/>
      <c r="AO551" s="35"/>
      <c r="AP551" s="35"/>
    </row>
    <row r="552" spans="1:42" x14ac:dyDescent="0.2">
      <c r="A552" s="27">
        <v>45189.866307812496</v>
      </c>
      <c r="B552" s="28" t="s">
        <v>37</v>
      </c>
      <c r="C552" s="41" t="s">
        <v>118</v>
      </c>
      <c r="D552" s="26" t="s">
        <v>36</v>
      </c>
      <c r="E552" s="26" t="s">
        <v>139</v>
      </c>
      <c r="F552" s="26" t="s">
        <v>36</v>
      </c>
      <c r="G552" s="26" t="s">
        <v>41</v>
      </c>
      <c r="H552" s="26" t="s">
        <v>2989</v>
      </c>
      <c r="I552" s="17">
        <f ca="1">IFERROR(__xludf.DUMMYFUNCTION("""COMPUTED_VALUE"""),45202)</f>
        <v>45202</v>
      </c>
      <c r="J552" s="29" t="s">
        <v>2990</v>
      </c>
      <c r="K552" s="26" t="s">
        <v>2991</v>
      </c>
      <c r="L552" s="30">
        <v>353115382</v>
      </c>
      <c r="M552" s="26" t="s">
        <v>123</v>
      </c>
      <c r="N552" s="26" t="s">
        <v>850</v>
      </c>
      <c r="O552" s="26" t="s">
        <v>1226</v>
      </c>
      <c r="P552" s="26"/>
      <c r="Q552" s="20">
        <v>15936</v>
      </c>
      <c r="R552" s="26" t="s">
        <v>36</v>
      </c>
      <c r="S552" s="31">
        <v>15936</v>
      </c>
      <c r="T552" s="32">
        <v>45189</v>
      </c>
      <c r="U552" s="31"/>
      <c r="V552" s="26"/>
      <c r="W552" s="33" t="s">
        <v>2992</v>
      </c>
      <c r="X552" s="26"/>
      <c r="Y552" s="22">
        <v>0</v>
      </c>
      <c r="Z552" s="26" t="s">
        <v>50</v>
      </c>
      <c r="AA552" s="19" t="s">
        <v>2449</v>
      </c>
      <c r="AB552" s="26" t="s">
        <v>104</v>
      </c>
      <c r="AC552" s="26" t="s">
        <v>53</v>
      </c>
      <c r="AD552" s="19" t="s">
        <v>138</v>
      </c>
      <c r="AE552" s="26"/>
      <c r="AF552" s="17">
        <v>45196</v>
      </c>
      <c r="AG552" s="26" t="s">
        <v>2993</v>
      </c>
      <c r="AH552" s="26"/>
      <c r="AI552" s="40"/>
      <c r="AJ552" s="26"/>
      <c r="AK552" s="26"/>
      <c r="AL552" s="35"/>
      <c r="AM552" s="35"/>
      <c r="AN552" s="35"/>
      <c r="AO552" s="35"/>
      <c r="AP552" s="35"/>
    </row>
    <row r="553" spans="1:42" x14ac:dyDescent="0.2">
      <c r="A553" s="27">
        <v>45189.982217962963</v>
      </c>
      <c r="B553" s="28" t="s">
        <v>37</v>
      </c>
      <c r="C553" s="41" t="s">
        <v>118</v>
      </c>
      <c r="D553" s="26" t="s">
        <v>36</v>
      </c>
      <c r="E553" s="26" t="s">
        <v>106</v>
      </c>
      <c r="F553" s="26" t="s">
        <v>91</v>
      </c>
      <c r="G553" s="26" t="s">
        <v>108</v>
      </c>
      <c r="H553" s="26" t="s">
        <v>2401</v>
      </c>
      <c r="I553" s="17">
        <f ca="1">IFERROR(__xludf.DUMMYFUNCTION("""COMPUTED_VALUE"""),45197)</f>
        <v>45197</v>
      </c>
      <c r="J553" s="29" t="s">
        <v>2994</v>
      </c>
      <c r="K553" s="26" t="s">
        <v>2995</v>
      </c>
      <c r="L553" s="30">
        <v>383681973</v>
      </c>
      <c r="M553" s="26" t="s">
        <v>112</v>
      </c>
      <c r="N553" s="26" t="s">
        <v>275</v>
      </c>
      <c r="O553" s="26" t="s">
        <v>91</v>
      </c>
      <c r="P553" s="26" t="s">
        <v>2996</v>
      </c>
      <c r="Q553" s="20">
        <v>3768</v>
      </c>
      <c r="R553" s="26" t="s">
        <v>36</v>
      </c>
      <c r="S553" s="31">
        <v>3768</v>
      </c>
      <c r="T553" s="32">
        <v>45188</v>
      </c>
      <c r="U553" s="31"/>
      <c r="V553" s="26"/>
      <c r="W553" s="33" t="s">
        <v>2997</v>
      </c>
      <c r="X553" s="26"/>
      <c r="Y553" s="22">
        <v>0</v>
      </c>
      <c r="Z553" s="26" t="s">
        <v>50</v>
      </c>
      <c r="AA553" s="19" t="s">
        <v>2449</v>
      </c>
      <c r="AB553" s="26" t="s">
        <v>128</v>
      </c>
      <c r="AC553" s="26" t="s">
        <v>53</v>
      </c>
      <c r="AD553" s="19" t="s">
        <v>54</v>
      </c>
      <c r="AE553" s="26">
        <v>400</v>
      </c>
      <c r="AF553" s="17">
        <v>45191</v>
      </c>
      <c r="AG553" s="26"/>
      <c r="AH553" s="26"/>
      <c r="AI553" s="40"/>
      <c r="AJ553" s="26"/>
      <c r="AK553" s="26"/>
      <c r="AL553" s="35"/>
      <c r="AM553" s="35"/>
      <c r="AN553" s="35"/>
      <c r="AO553" s="35"/>
      <c r="AP553" s="35"/>
    </row>
    <row r="554" spans="1:42" x14ac:dyDescent="0.2">
      <c r="A554" s="27">
        <v>45189.994170833335</v>
      </c>
      <c r="B554" s="28" t="s">
        <v>37</v>
      </c>
      <c r="C554" s="41" t="s">
        <v>118</v>
      </c>
      <c r="D554" s="26" t="s">
        <v>36</v>
      </c>
      <c r="E554" s="26" t="s">
        <v>56</v>
      </c>
      <c r="F554" s="26" t="s">
        <v>40</v>
      </c>
      <c r="G554" s="26" t="s">
        <v>41</v>
      </c>
      <c r="H554" s="26" t="s">
        <v>2973</v>
      </c>
      <c r="I554" s="17">
        <f ca="1">IFERROR(__xludf.DUMMYFUNCTION("""COMPUTED_VALUE"""),45195)</f>
        <v>45195</v>
      </c>
      <c r="J554" s="29" t="s">
        <v>2998</v>
      </c>
      <c r="K554" s="26" t="s">
        <v>2999</v>
      </c>
      <c r="L554" s="30">
        <v>964600301</v>
      </c>
      <c r="M554" s="26" t="s">
        <v>59</v>
      </c>
      <c r="N554" s="26" t="s">
        <v>60</v>
      </c>
      <c r="O554" s="26" t="s">
        <v>3000</v>
      </c>
      <c r="P554" s="26" t="s">
        <v>3001</v>
      </c>
      <c r="Q554" s="20">
        <v>9317</v>
      </c>
      <c r="R554" s="26" t="s">
        <v>36</v>
      </c>
      <c r="S554" s="31">
        <v>9317</v>
      </c>
      <c r="T554" s="32">
        <v>45189</v>
      </c>
      <c r="U554" s="31"/>
      <c r="V554" s="26"/>
      <c r="W554" s="33" t="s">
        <v>3002</v>
      </c>
      <c r="X554" s="26"/>
      <c r="Y554" s="22">
        <v>0</v>
      </c>
      <c r="Z554" s="26" t="s">
        <v>50</v>
      </c>
      <c r="AA554" s="19" t="s">
        <v>2449</v>
      </c>
      <c r="AB554" s="26" t="s">
        <v>128</v>
      </c>
      <c r="AC554" s="26" t="s">
        <v>53</v>
      </c>
      <c r="AD554" s="19" t="s">
        <v>54</v>
      </c>
      <c r="AE554" s="26" t="s">
        <v>76</v>
      </c>
      <c r="AF554" s="17">
        <v>45191</v>
      </c>
      <c r="AG554" s="26"/>
      <c r="AH554" s="26"/>
      <c r="AI554" s="40"/>
      <c r="AJ554" s="26"/>
      <c r="AK554" s="26"/>
      <c r="AL554" s="35"/>
      <c r="AM554" s="35"/>
      <c r="AN554" s="35"/>
      <c r="AO554" s="35"/>
      <c r="AP554" s="35"/>
    </row>
    <row r="555" spans="1:42" x14ac:dyDescent="0.2">
      <c r="A555" s="27">
        <v>45189.999972986116</v>
      </c>
      <c r="B555" s="28" t="s">
        <v>37</v>
      </c>
      <c r="C555" s="41" t="s">
        <v>118</v>
      </c>
      <c r="D555" s="26" t="s">
        <v>36</v>
      </c>
      <c r="E555" s="26" t="s">
        <v>139</v>
      </c>
      <c r="F555" s="26" t="s">
        <v>40</v>
      </c>
      <c r="G555" s="26" t="s">
        <v>41</v>
      </c>
      <c r="H555" s="26" t="s">
        <v>2973</v>
      </c>
      <c r="I555" s="17">
        <f ca="1">IFERROR(__xludf.DUMMYFUNCTION("""COMPUTED_VALUE"""),45195)</f>
        <v>45195</v>
      </c>
      <c r="J555" s="29" t="s">
        <v>3003</v>
      </c>
      <c r="K555" s="26" t="s">
        <v>3004</v>
      </c>
      <c r="L555" s="30">
        <v>985944818</v>
      </c>
      <c r="M555" s="26" t="s">
        <v>59</v>
      </c>
      <c r="N555" s="26" t="s">
        <v>3005</v>
      </c>
      <c r="O555" s="26" t="s">
        <v>3006</v>
      </c>
      <c r="P555" s="26" t="s">
        <v>3007</v>
      </c>
      <c r="Q555" s="20">
        <v>15936</v>
      </c>
      <c r="R555" s="26" t="s">
        <v>36</v>
      </c>
      <c r="S555" s="31">
        <v>15963</v>
      </c>
      <c r="T555" s="32">
        <v>45189</v>
      </c>
      <c r="U555" s="31"/>
      <c r="V555" s="26"/>
      <c r="W555" s="26"/>
      <c r="X555" s="26"/>
      <c r="Y555" s="22">
        <v>-27</v>
      </c>
      <c r="Z555" s="26" t="s">
        <v>50</v>
      </c>
      <c r="AA555" s="19" t="s">
        <v>2449</v>
      </c>
      <c r="AB555" s="26" t="s">
        <v>128</v>
      </c>
      <c r="AC555" s="26" t="s">
        <v>53</v>
      </c>
      <c r="AD555" s="19" t="s">
        <v>54</v>
      </c>
      <c r="AE555" s="26" t="s">
        <v>76</v>
      </c>
      <c r="AF555" s="17">
        <v>45191</v>
      </c>
      <c r="AG555" s="26"/>
      <c r="AH555" s="26"/>
      <c r="AI555" s="40"/>
      <c r="AJ555" s="26"/>
      <c r="AK555" s="26"/>
      <c r="AL555" s="35"/>
      <c r="AM555" s="35"/>
      <c r="AN555" s="35"/>
      <c r="AO555" s="35"/>
      <c r="AP555" s="35"/>
    </row>
    <row r="556" spans="1:42" x14ac:dyDescent="0.2">
      <c r="A556" s="27">
        <v>45190.008445081017</v>
      </c>
      <c r="B556" s="28" t="s">
        <v>37</v>
      </c>
      <c r="C556" s="41" t="s">
        <v>118</v>
      </c>
      <c r="D556" s="26" t="s">
        <v>36</v>
      </c>
      <c r="E556" s="26" t="s">
        <v>148</v>
      </c>
      <c r="F556" s="26" t="s">
        <v>40</v>
      </c>
      <c r="G556" s="26" t="s">
        <v>108</v>
      </c>
      <c r="H556" s="26" t="s">
        <v>2401</v>
      </c>
      <c r="I556" s="17">
        <f ca="1">IFERROR(__xludf.DUMMYFUNCTION("""COMPUTED_VALUE"""),45197)</f>
        <v>45197</v>
      </c>
      <c r="J556" s="29" t="s">
        <v>3008</v>
      </c>
      <c r="K556" s="26" t="s">
        <v>3009</v>
      </c>
      <c r="L556" s="30">
        <v>334767711</v>
      </c>
      <c r="M556" s="26" t="s">
        <v>348</v>
      </c>
      <c r="N556" s="26" t="s">
        <v>68</v>
      </c>
      <c r="O556" s="26" t="s">
        <v>3010</v>
      </c>
      <c r="P556" s="26" t="s">
        <v>3011</v>
      </c>
      <c r="Q556" s="20">
        <v>7349</v>
      </c>
      <c r="R556" s="26" t="s">
        <v>36</v>
      </c>
      <c r="S556" s="31">
        <v>7349</v>
      </c>
      <c r="T556" s="32">
        <v>45189</v>
      </c>
      <c r="U556" s="31"/>
      <c r="V556" s="26"/>
      <c r="W556" s="33" t="s">
        <v>3012</v>
      </c>
      <c r="X556" s="26"/>
      <c r="Y556" s="22">
        <v>0</v>
      </c>
      <c r="Z556" s="26" t="s">
        <v>50</v>
      </c>
      <c r="AA556" s="19" t="s">
        <v>2449</v>
      </c>
      <c r="AB556" s="26" t="s">
        <v>128</v>
      </c>
      <c r="AC556" s="26" t="s">
        <v>53</v>
      </c>
      <c r="AD556" s="19" t="s">
        <v>54</v>
      </c>
      <c r="AE556" s="26">
        <v>610</v>
      </c>
      <c r="AF556" s="17">
        <v>45191</v>
      </c>
      <c r="AG556" s="26"/>
      <c r="AH556" s="26"/>
      <c r="AI556" s="40"/>
      <c r="AJ556" s="26"/>
      <c r="AK556" s="26"/>
      <c r="AL556" s="35"/>
      <c r="AM556" s="35"/>
      <c r="AN556" s="35"/>
      <c r="AO556" s="35"/>
      <c r="AP556" s="35"/>
    </row>
    <row r="557" spans="1:42" x14ac:dyDescent="0.2">
      <c r="A557" s="27">
        <v>45190.428844791662</v>
      </c>
      <c r="B557" s="28" t="s">
        <v>37</v>
      </c>
      <c r="C557" s="41" t="s">
        <v>118</v>
      </c>
      <c r="D557" s="26" t="s">
        <v>36</v>
      </c>
      <c r="E557" s="26" t="s">
        <v>119</v>
      </c>
      <c r="F557" s="26" t="s">
        <v>36</v>
      </c>
      <c r="G557" s="26" t="s">
        <v>108</v>
      </c>
      <c r="H557" s="26" t="s">
        <v>3013</v>
      </c>
      <c r="I557" s="17">
        <f ca="1">IFERROR(__xludf.DUMMYFUNCTION("""COMPUTED_VALUE"""),45207)</f>
        <v>45207</v>
      </c>
      <c r="J557" s="29" t="s">
        <v>3014</v>
      </c>
      <c r="K557" s="26" t="s">
        <v>3015</v>
      </c>
      <c r="L557" s="30">
        <v>976953605</v>
      </c>
      <c r="M557" s="26" t="s">
        <v>80</v>
      </c>
      <c r="N557" s="26" t="s">
        <v>299</v>
      </c>
      <c r="O557" s="26" t="s">
        <v>3016</v>
      </c>
      <c r="P557" s="26" t="s">
        <v>3017</v>
      </c>
      <c r="Q557" s="20">
        <v>13968</v>
      </c>
      <c r="R557" s="26" t="s">
        <v>36</v>
      </c>
      <c r="S557" s="31">
        <v>13968</v>
      </c>
      <c r="T557" s="32">
        <v>45190</v>
      </c>
      <c r="U557" s="31"/>
      <c r="V557" s="26"/>
      <c r="W557" s="26" t="s">
        <v>3018</v>
      </c>
      <c r="X557" s="26"/>
      <c r="Y557" s="22">
        <v>0</v>
      </c>
      <c r="Z557" s="26" t="s">
        <v>50</v>
      </c>
      <c r="AA557" s="19" t="s">
        <v>2449</v>
      </c>
      <c r="AB557" s="26" t="s">
        <v>146</v>
      </c>
      <c r="AC557" s="26" t="s">
        <v>53</v>
      </c>
      <c r="AD557" s="19" t="s">
        <v>138</v>
      </c>
      <c r="AE557" s="26">
        <v>400</v>
      </c>
      <c r="AF557" s="17">
        <v>45207</v>
      </c>
      <c r="AG557" s="26" t="s">
        <v>1631</v>
      </c>
      <c r="AH557" s="26"/>
      <c r="AI557" s="40"/>
      <c r="AJ557" s="26"/>
      <c r="AK557" s="26"/>
      <c r="AL557" s="35"/>
      <c r="AM557" s="35"/>
      <c r="AN557" s="35"/>
      <c r="AO557" s="35"/>
      <c r="AP557" s="35"/>
    </row>
    <row r="558" spans="1:42" x14ac:dyDescent="0.2">
      <c r="A558" s="27">
        <v>45190.461779363424</v>
      </c>
      <c r="B558" s="28" t="s">
        <v>37</v>
      </c>
      <c r="C558" s="41" t="s">
        <v>118</v>
      </c>
      <c r="D558" s="26" t="s">
        <v>36</v>
      </c>
      <c r="E558" s="26" t="s">
        <v>139</v>
      </c>
      <c r="F558" s="26" t="s">
        <v>36</v>
      </c>
      <c r="G558" s="26" t="s">
        <v>41</v>
      </c>
      <c r="H558" s="26" t="s">
        <v>2573</v>
      </c>
      <c r="I558" s="17">
        <f ca="1">IFERROR(__xludf.DUMMYFUNCTION("""COMPUTED_VALUE"""),45195)</f>
        <v>45195</v>
      </c>
      <c r="J558" s="29" t="s">
        <v>3019</v>
      </c>
      <c r="K558" s="26" t="s">
        <v>3020</v>
      </c>
      <c r="L558" s="30">
        <v>565993520</v>
      </c>
      <c r="M558" s="26" t="s">
        <v>80</v>
      </c>
      <c r="N558" s="26" t="s">
        <v>299</v>
      </c>
      <c r="O558" s="26" t="s">
        <v>3021</v>
      </c>
      <c r="P558" s="26" t="s">
        <v>2641</v>
      </c>
      <c r="Q558" s="20">
        <v>15936</v>
      </c>
      <c r="R558" s="26" t="s">
        <v>36</v>
      </c>
      <c r="S558" s="31">
        <v>500</v>
      </c>
      <c r="T558" s="32">
        <v>45187</v>
      </c>
      <c r="U558" s="31">
        <v>15436</v>
      </c>
      <c r="V558" s="32">
        <v>45190</v>
      </c>
      <c r="W558" s="33" t="s">
        <v>3022</v>
      </c>
      <c r="X558" s="26"/>
      <c r="Y558" s="22">
        <v>0</v>
      </c>
      <c r="Z558" s="26" t="s">
        <v>50</v>
      </c>
      <c r="AA558" s="19" t="s">
        <v>2449</v>
      </c>
      <c r="AB558" s="26" t="s">
        <v>104</v>
      </c>
      <c r="AC558" s="26" t="s">
        <v>53</v>
      </c>
      <c r="AD558" s="19" t="s">
        <v>138</v>
      </c>
      <c r="AE558" s="26">
        <v>0</v>
      </c>
      <c r="AF558" s="17">
        <v>45195</v>
      </c>
      <c r="AG558" s="26" t="s">
        <v>1631</v>
      </c>
      <c r="AH558" s="26"/>
      <c r="AI558" s="40"/>
      <c r="AJ558" s="26"/>
      <c r="AK558" s="26"/>
      <c r="AL558" s="35"/>
      <c r="AM558" s="35"/>
      <c r="AN558" s="35"/>
      <c r="AO558" s="35"/>
      <c r="AP558" s="35"/>
    </row>
    <row r="559" spans="1:42" x14ac:dyDescent="0.2">
      <c r="A559" s="27">
        <v>45190.601269108796</v>
      </c>
      <c r="B559" s="28" t="s">
        <v>37</v>
      </c>
      <c r="C559" s="41" t="s">
        <v>118</v>
      </c>
      <c r="D559" s="26" t="s">
        <v>36</v>
      </c>
      <c r="E559" s="26" t="s">
        <v>106</v>
      </c>
      <c r="F559" s="26" t="s">
        <v>36</v>
      </c>
      <c r="G559" s="26" t="s">
        <v>108</v>
      </c>
      <c r="H559" s="26" t="s">
        <v>1809</v>
      </c>
      <c r="I559" s="17">
        <f ca="1">IFERROR(__xludf.DUMMYFUNCTION("""COMPUTED_VALUE"""),45200)</f>
        <v>45200</v>
      </c>
      <c r="J559" s="29" t="s">
        <v>3023</v>
      </c>
      <c r="K559" s="26" t="s">
        <v>3024</v>
      </c>
      <c r="L559" s="30">
        <v>329487211</v>
      </c>
      <c r="M559" s="26" t="s">
        <v>348</v>
      </c>
      <c r="N559" s="26" t="s">
        <v>200</v>
      </c>
      <c r="O559" s="26" t="s">
        <v>91</v>
      </c>
      <c r="P559" s="26" t="s">
        <v>3025</v>
      </c>
      <c r="Q559" s="20">
        <v>3768</v>
      </c>
      <c r="R559" s="26" t="s">
        <v>36</v>
      </c>
      <c r="S559" s="31">
        <v>3768</v>
      </c>
      <c r="T559" s="32">
        <v>45190</v>
      </c>
      <c r="U559" s="31"/>
      <c r="V559" s="26"/>
      <c r="W559" s="33" t="s">
        <v>3026</v>
      </c>
      <c r="X559" s="26"/>
      <c r="Y559" s="22">
        <v>0</v>
      </c>
      <c r="Z559" s="26" t="s">
        <v>50</v>
      </c>
      <c r="AA559" s="19" t="s">
        <v>2449</v>
      </c>
      <c r="AB559" s="26" t="s">
        <v>128</v>
      </c>
      <c r="AC559" s="26" t="s">
        <v>53</v>
      </c>
      <c r="AD559" s="19" t="s">
        <v>54</v>
      </c>
      <c r="AE559" s="26">
        <v>380</v>
      </c>
      <c r="AF559" s="17">
        <v>45191</v>
      </c>
      <c r="AG559" s="26"/>
      <c r="AH559" s="26"/>
      <c r="AI559" s="40"/>
      <c r="AJ559" s="26"/>
      <c r="AK559" s="26"/>
      <c r="AL559" s="35"/>
      <c r="AM559" s="35"/>
      <c r="AN559" s="35"/>
      <c r="AO559" s="35"/>
      <c r="AP559" s="35"/>
    </row>
    <row r="560" spans="1:42" x14ac:dyDescent="0.2">
      <c r="A560" s="27">
        <v>45190.698563634258</v>
      </c>
      <c r="B560" s="28" t="s">
        <v>37</v>
      </c>
      <c r="C560" s="41" t="s">
        <v>118</v>
      </c>
      <c r="D560" s="26" t="s">
        <v>36</v>
      </c>
      <c r="E560" s="26" t="s">
        <v>219</v>
      </c>
      <c r="F560" s="26" t="s">
        <v>36</v>
      </c>
      <c r="G560" s="26" t="s">
        <v>221</v>
      </c>
      <c r="H560" s="26" t="s">
        <v>3027</v>
      </c>
      <c r="I560" s="17" t="str">
        <f ca="1">IFERROR(__xludf.DUMMYFUNCTION("""COMPUTED_VALUE""")," ")</f>
        <v xml:space="preserve"> </v>
      </c>
      <c r="J560" s="29" t="s">
        <v>3028</v>
      </c>
      <c r="K560" s="26" t="s">
        <v>3029</v>
      </c>
      <c r="L560" s="30">
        <v>812539188</v>
      </c>
      <c r="M560" s="26" t="s">
        <v>80</v>
      </c>
      <c r="N560" s="26" t="s">
        <v>299</v>
      </c>
      <c r="O560" s="26" t="s">
        <v>1492</v>
      </c>
      <c r="P560" s="26" t="s">
        <v>3030</v>
      </c>
      <c r="Q560" s="20">
        <v>3968</v>
      </c>
      <c r="R560" s="26" t="s">
        <v>36</v>
      </c>
      <c r="S560" s="31">
        <v>3968</v>
      </c>
      <c r="T560" s="32">
        <v>45190</v>
      </c>
      <c r="U560" s="31"/>
      <c r="V560" s="26"/>
      <c r="W560" s="33" t="s">
        <v>3031</v>
      </c>
      <c r="X560" s="26"/>
      <c r="Y560" s="22">
        <v>0</v>
      </c>
      <c r="Z560" s="26" t="s">
        <v>50</v>
      </c>
      <c r="AA560" s="19" t="s">
        <v>2449</v>
      </c>
      <c r="AB560" s="26" t="s">
        <v>104</v>
      </c>
      <c r="AC560" s="26" t="s">
        <v>53</v>
      </c>
      <c r="AD560" s="19" t="s">
        <v>54</v>
      </c>
      <c r="AE560" s="26">
        <v>660</v>
      </c>
      <c r="AF560" s="17">
        <v>45191</v>
      </c>
      <c r="AG560" s="26"/>
      <c r="AH560" s="26"/>
      <c r="AI560" s="40"/>
      <c r="AJ560" s="26"/>
      <c r="AK560" s="26"/>
      <c r="AL560" s="35"/>
      <c r="AM560" s="35"/>
      <c r="AN560" s="35"/>
      <c r="AO560" s="35"/>
      <c r="AP560" s="35"/>
    </row>
    <row r="561" spans="1:42" x14ac:dyDescent="0.2">
      <c r="A561" s="27">
        <v>45190.749964872681</v>
      </c>
      <c r="B561" s="28" t="s">
        <v>37</v>
      </c>
      <c r="C561" s="41" t="s">
        <v>118</v>
      </c>
      <c r="D561" s="26" t="s">
        <v>36</v>
      </c>
      <c r="E561" s="26" t="s">
        <v>148</v>
      </c>
      <c r="F561" s="26" t="s">
        <v>91</v>
      </c>
      <c r="G561" s="26" t="s">
        <v>108</v>
      </c>
      <c r="H561" s="26" t="s">
        <v>2421</v>
      </c>
      <c r="I561" s="17">
        <f ca="1">IFERROR(__xludf.DUMMYFUNCTION("""COMPUTED_VALUE"""),45201)</f>
        <v>45201</v>
      </c>
      <c r="J561" s="29" t="s">
        <v>3032</v>
      </c>
      <c r="K561" s="26" t="s">
        <v>3033</v>
      </c>
      <c r="L561" s="30">
        <v>362382546</v>
      </c>
      <c r="M561" s="26" t="s">
        <v>348</v>
      </c>
      <c r="N561" s="26" t="s">
        <v>200</v>
      </c>
      <c r="O561" s="26" t="s">
        <v>3034</v>
      </c>
      <c r="P561" s="26" t="s">
        <v>3035</v>
      </c>
      <c r="Q561" s="20">
        <v>7349</v>
      </c>
      <c r="R561" s="26" t="s">
        <v>36</v>
      </c>
      <c r="S561" s="31">
        <v>7349</v>
      </c>
      <c r="T561" s="32">
        <v>45190</v>
      </c>
      <c r="U561" s="31"/>
      <c r="V561" s="26"/>
      <c r="W561" s="33" t="s">
        <v>3036</v>
      </c>
      <c r="X561" s="26"/>
      <c r="Y561" s="22">
        <v>0</v>
      </c>
      <c r="Z561" s="26" t="s">
        <v>50</v>
      </c>
      <c r="AA561" s="19" t="s">
        <v>2449</v>
      </c>
      <c r="AB561" s="26" t="s">
        <v>154</v>
      </c>
      <c r="AC561" s="26" t="s">
        <v>53</v>
      </c>
      <c r="AD561" s="19" t="s">
        <v>54</v>
      </c>
      <c r="AE561" s="26">
        <v>540</v>
      </c>
      <c r="AF561" s="17">
        <v>45196</v>
      </c>
      <c r="AG561" s="26"/>
      <c r="AH561" s="26"/>
      <c r="AI561" s="40"/>
      <c r="AJ561" s="26"/>
      <c r="AK561" s="26"/>
      <c r="AL561" s="35"/>
      <c r="AM561" s="35"/>
      <c r="AN561" s="35"/>
      <c r="AO561" s="35"/>
      <c r="AP561" s="35"/>
    </row>
    <row r="562" spans="1:42" x14ac:dyDescent="0.2">
      <c r="A562" s="27">
        <v>45190.864107164351</v>
      </c>
      <c r="B562" s="28" t="s">
        <v>37</v>
      </c>
      <c r="C562" s="41" t="s">
        <v>118</v>
      </c>
      <c r="D562" s="26" t="s">
        <v>36</v>
      </c>
      <c r="E562" s="26" t="s">
        <v>56</v>
      </c>
      <c r="F562" s="26" t="s">
        <v>40</v>
      </c>
      <c r="G562" s="26" t="s">
        <v>41</v>
      </c>
      <c r="H562" s="26" t="s">
        <v>2973</v>
      </c>
      <c r="I562" s="17">
        <f ca="1">IFERROR(__xludf.DUMMYFUNCTION("""COMPUTED_VALUE"""),45195)</f>
        <v>45195</v>
      </c>
      <c r="J562" s="29" t="s">
        <v>3037</v>
      </c>
      <c r="K562" s="26" t="s">
        <v>3038</v>
      </c>
      <c r="L562" s="30">
        <v>865297994</v>
      </c>
      <c r="M562" s="26" t="s">
        <v>59</v>
      </c>
      <c r="N562" s="26" t="s">
        <v>60</v>
      </c>
      <c r="O562" s="26" t="s">
        <v>3039</v>
      </c>
      <c r="P562" s="26" t="s">
        <v>3040</v>
      </c>
      <c r="Q562" s="20">
        <v>9317</v>
      </c>
      <c r="R562" s="26" t="s">
        <v>36</v>
      </c>
      <c r="S562" s="31">
        <v>9317</v>
      </c>
      <c r="T562" s="32">
        <v>45190</v>
      </c>
      <c r="U562" s="31"/>
      <c r="V562" s="26"/>
      <c r="W562" s="33" t="s">
        <v>3041</v>
      </c>
      <c r="X562" s="26"/>
      <c r="Y562" s="22">
        <v>0</v>
      </c>
      <c r="Z562" s="26" t="s">
        <v>50</v>
      </c>
      <c r="AA562" s="19" t="s">
        <v>2449</v>
      </c>
      <c r="AB562" s="26" t="s">
        <v>154</v>
      </c>
      <c r="AC562" s="26" t="s">
        <v>53</v>
      </c>
      <c r="AD562" s="19" t="s">
        <v>54</v>
      </c>
      <c r="AE562" s="26" t="s">
        <v>72</v>
      </c>
      <c r="AF562" s="17">
        <v>45191</v>
      </c>
      <c r="AG562" s="26"/>
      <c r="AH562" s="26"/>
      <c r="AI562" s="40"/>
      <c r="AJ562" s="26"/>
      <c r="AK562" s="26"/>
      <c r="AL562" s="35"/>
      <c r="AM562" s="35"/>
      <c r="AN562" s="35"/>
      <c r="AO562" s="35"/>
      <c r="AP562" s="35"/>
    </row>
    <row r="563" spans="1:42" x14ac:dyDescent="0.2">
      <c r="A563" s="27">
        <v>45191.660763125001</v>
      </c>
      <c r="B563" s="28" t="s">
        <v>37</v>
      </c>
      <c r="C563" s="41" t="s">
        <v>118</v>
      </c>
      <c r="D563" s="26" t="s">
        <v>36</v>
      </c>
      <c r="E563" s="26" t="s">
        <v>148</v>
      </c>
      <c r="F563" s="26" t="s">
        <v>91</v>
      </c>
      <c r="G563" s="26" t="s">
        <v>108</v>
      </c>
      <c r="H563" s="26" t="s">
        <v>2191</v>
      </c>
      <c r="I563" s="17">
        <f ca="1">IFERROR(__xludf.DUMMYFUNCTION("""COMPUTED_VALUE"""),45263)</f>
        <v>45263</v>
      </c>
      <c r="J563" s="29" t="s">
        <v>3042</v>
      </c>
      <c r="K563" s="26" t="s">
        <v>3043</v>
      </c>
      <c r="L563" s="30">
        <v>394290102</v>
      </c>
      <c r="M563" s="26" t="s">
        <v>548</v>
      </c>
      <c r="N563" s="26" t="s">
        <v>3044</v>
      </c>
      <c r="O563" s="26" t="s">
        <v>3045</v>
      </c>
      <c r="P563" s="26" t="s">
        <v>3046</v>
      </c>
      <c r="Q563" s="20">
        <v>7349</v>
      </c>
      <c r="R563" s="26" t="s">
        <v>36</v>
      </c>
      <c r="S563" s="31">
        <v>7349</v>
      </c>
      <c r="T563" s="32">
        <v>45191</v>
      </c>
      <c r="U563" s="31"/>
      <c r="V563" s="26"/>
      <c r="W563" s="33" t="s">
        <v>3047</v>
      </c>
      <c r="X563" s="26"/>
      <c r="Y563" s="22">
        <v>0</v>
      </c>
      <c r="Z563" s="26" t="s">
        <v>50</v>
      </c>
      <c r="AA563" s="19" t="s">
        <v>2449</v>
      </c>
      <c r="AB563" s="26" t="s">
        <v>128</v>
      </c>
      <c r="AC563" s="26" t="s">
        <v>53</v>
      </c>
      <c r="AD563" s="19" t="s">
        <v>54</v>
      </c>
      <c r="AE563" s="26">
        <v>600</v>
      </c>
      <c r="AF563" s="17">
        <v>45199</v>
      </c>
      <c r="AG563" s="26" t="s">
        <v>3048</v>
      </c>
      <c r="AH563" s="26"/>
      <c r="AI563" s="40"/>
      <c r="AJ563" s="26"/>
      <c r="AK563" s="26"/>
      <c r="AL563" s="35"/>
      <c r="AM563" s="35"/>
      <c r="AN563" s="35"/>
      <c r="AO563" s="35"/>
      <c r="AP563" s="35"/>
    </row>
    <row r="564" spans="1:42" x14ac:dyDescent="0.2">
      <c r="A564" s="27">
        <v>45191.884155925931</v>
      </c>
      <c r="B564" s="28" t="s">
        <v>37</v>
      </c>
      <c r="C564" s="41" t="s">
        <v>118</v>
      </c>
      <c r="D564" s="26" t="s">
        <v>36</v>
      </c>
      <c r="E564" s="26" t="s">
        <v>77</v>
      </c>
      <c r="F564" s="26" t="s">
        <v>36</v>
      </c>
      <c r="G564" s="26" t="s">
        <v>41</v>
      </c>
      <c r="H564" s="26" t="s">
        <v>2989</v>
      </c>
      <c r="I564" s="17">
        <f ca="1">IFERROR(__xludf.DUMMYFUNCTION("""COMPUTED_VALUE"""),45202)</f>
        <v>45202</v>
      </c>
      <c r="J564" s="29" t="s">
        <v>3049</v>
      </c>
      <c r="K564" s="19" t="s">
        <v>3050</v>
      </c>
      <c r="L564" s="47">
        <v>376025482</v>
      </c>
      <c r="M564" s="19" t="s">
        <v>80</v>
      </c>
      <c r="N564" s="26" t="s">
        <v>299</v>
      </c>
      <c r="O564" s="26" t="s">
        <v>3051</v>
      </c>
      <c r="P564" s="26" t="s">
        <v>3052</v>
      </c>
      <c r="Q564" s="20">
        <v>1968</v>
      </c>
      <c r="R564" s="26" t="s">
        <v>36</v>
      </c>
      <c r="S564" s="31">
        <v>1968</v>
      </c>
      <c r="T564" s="32">
        <v>45191</v>
      </c>
      <c r="U564" s="31"/>
      <c r="V564" s="26"/>
      <c r="W564" s="33" t="s">
        <v>3053</v>
      </c>
      <c r="X564" s="26"/>
      <c r="Y564" s="22">
        <v>0</v>
      </c>
      <c r="Z564" s="26" t="s">
        <v>50</v>
      </c>
      <c r="AA564" s="19" t="s">
        <v>2449</v>
      </c>
      <c r="AB564" s="26" t="s">
        <v>104</v>
      </c>
      <c r="AC564" s="26" t="s">
        <v>53</v>
      </c>
      <c r="AD564" s="19" t="s">
        <v>54</v>
      </c>
      <c r="AE564" s="26">
        <v>0</v>
      </c>
      <c r="AF564" s="17">
        <v>45196</v>
      </c>
      <c r="AG564" s="26" t="s">
        <v>3054</v>
      </c>
      <c r="AH564" s="26"/>
      <c r="AI564" s="40"/>
      <c r="AJ564" s="26"/>
      <c r="AK564" s="26"/>
      <c r="AL564" s="35"/>
      <c r="AM564" s="35"/>
      <c r="AN564" s="35"/>
      <c r="AO564" s="35"/>
      <c r="AP564" s="35"/>
    </row>
    <row r="565" spans="1:42" x14ac:dyDescent="0.2">
      <c r="A565" s="27">
        <v>45191.930507824072</v>
      </c>
      <c r="B565" s="28" t="s">
        <v>37</v>
      </c>
      <c r="C565" s="41" t="s">
        <v>118</v>
      </c>
      <c r="D565" s="26" t="s">
        <v>36</v>
      </c>
      <c r="E565" s="26" t="s">
        <v>119</v>
      </c>
      <c r="F565" s="26" t="s">
        <v>36</v>
      </c>
      <c r="G565" s="26" t="s">
        <v>108</v>
      </c>
      <c r="H565" s="26" t="s">
        <v>3013</v>
      </c>
      <c r="I565" s="17">
        <f ca="1">IFERROR(__xludf.DUMMYFUNCTION("""COMPUTED_VALUE"""),45207)</f>
        <v>45207</v>
      </c>
      <c r="J565" s="29" t="s">
        <v>3055</v>
      </c>
      <c r="K565" s="26" t="s">
        <v>1717</v>
      </c>
      <c r="L565" s="30">
        <v>354273166</v>
      </c>
      <c r="M565" s="26" t="s">
        <v>123</v>
      </c>
      <c r="N565" s="26" t="s">
        <v>850</v>
      </c>
      <c r="O565" s="26" t="s">
        <v>2737</v>
      </c>
      <c r="P565" s="26" t="s">
        <v>3056</v>
      </c>
      <c r="Q565" s="20">
        <v>13968</v>
      </c>
      <c r="R565" s="26" t="s">
        <v>36</v>
      </c>
      <c r="S565" s="31">
        <v>13968</v>
      </c>
      <c r="T565" s="32">
        <v>45191</v>
      </c>
      <c r="U565" s="31"/>
      <c r="V565" s="26"/>
      <c r="W565" s="33" t="s">
        <v>3057</v>
      </c>
      <c r="X565" s="26"/>
      <c r="Y565" s="22">
        <v>0</v>
      </c>
      <c r="Z565" s="26" t="s">
        <v>50</v>
      </c>
      <c r="AA565" s="19" t="s">
        <v>2449</v>
      </c>
      <c r="AB565" s="26" t="s">
        <v>104</v>
      </c>
      <c r="AC565" s="26" t="s">
        <v>53</v>
      </c>
      <c r="AD565" s="19" t="s">
        <v>138</v>
      </c>
      <c r="AE565" s="26"/>
      <c r="AF565" s="17">
        <v>45207</v>
      </c>
      <c r="AG565" s="26" t="s">
        <v>1631</v>
      </c>
      <c r="AH565" s="26"/>
      <c r="AI565" s="40"/>
      <c r="AJ565" s="26"/>
      <c r="AK565" s="26"/>
      <c r="AL565" s="35"/>
      <c r="AM565" s="35"/>
      <c r="AN565" s="35"/>
      <c r="AO565" s="35"/>
      <c r="AP565" s="35"/>
    </row>
    <row r="566" spans="1:42" x14ac:dyDescent="0.2">
      <c r="A566" s="27">
        <v>45193.712088321758</v>
      </c>
      <c r="B566" s="28" t="s">
        <v>37</v>
      </c>
      <c r="C566" s="41" t="s">
        <v>118</v>
      </c>
      <c r="D566" s="26" t="s">
        <v>36</v>
      </c>
      <c r="E566" s="26" t="s">
        <v>77</v>
      </c>
      <c r="F566" s="26">
        <v>1968</v>
      </c>
      <c r="G566" s="26" t="s">
        <v>41</v>
      </c>
      <c r="H566" s="26" t="s">
        <v>3058</v>
      </c>
      <c r="I566" s="17">
        <f ca="1">IFERROR(__xludf.DUMMYFUNCTION("""COMPUTED_VALUE"""),45202)</f>
        <v>45202</v>
      </c>
      <c r="J566" s="29" t="s">
        <v>3059</v>
      </c>
      <c r="K566" s="26" t="s">
        <v>3060</v>
      </c>
      <c r="L566" s="30">
        <v>327034833</v>
      </c>
      <c r="M566" s="26" t="s">
        <v>123</v>
      </c>
      <c r="N566" s="26" t="s">
        <v>850</v>
      </c>
      <c r="O566" s="26" t="s">
        <v>1226</v>
      </c>
      <c r="P566" s="26" t="s">
        <v>3061</v>
      </c>
      <c r="Q566" s="20">
        <v>1968</v>
      </c>
      <c r="R566" s="26" t="s">
        <v>36</v>
      </c>
      <c r="S566" s="31">
        <v>1968</v>
      </c>
      <c r="T566" s="32">
        <v>45192</v>
      </c>
      <c r="U566" s="31"/>
      <c r="V566" s="26"/>
      <c r="W566" s="33" t="s">
        <v>3062</v>
      </c>
      <c r="X566" s="26"/>
      <c r="Y566" s="22">
        <v>0</v>
      </c>
      <c r="Z566" s="26" t="s">
        <v>50</v>
      </c>
      <c r="AA566" s="19" t="s">
        <v>2449</v>
      </c>
      <c r="AB566" s="26" t="s">
        <v>104</v>
      </c>
      <c r="AC566" s="26" t="s">
        <v>53</v>
      </c>
      <c r="AD566" s="19" t="s">
        <v>54</v>
      </c>
      <c r="AE566" s="26"/>
      <c r="AF566" s="17">
        <v>45196</v>
      </c>
      <c r="AG566" s="26"/>
      <c r="AH566" s="26"/>
      <c r="AI566" s="40"/>
      <c r="AJ566" s="26"/>
      <c r="AK566" s="26"/>
      <c r="AL566" s="35"/>
      <c r="AM566" s="35"/>
      <c r="AN566" s="35"/>
      <c r="AO566" s="35"/>
      <c r="AP566" s="35"/>
    </row>
    <row r="567" spans="1:42" x14ac:dyDescent="0.2">
      <c r="A567" s="27">
        <v>45193.714686956024</v>
      </c>
      <c r="B567" s="28" t="s">
        <v>37</v>
      </c>
      <c r="C567" s="41" t="s">
        <v>118</v>
      </c>
      <c r="D567" s="26" t="s">
        <v>36</v>
      </c>
      <c r="E567" s="26" t="s">
        <v>77</v>
      </c>
      <c r="F567" s="26" t="s">
        <v>91</v>
      </c>
      <c r="G567" s="26" t="s">
        <v>41</v>
      </c>
      <c r="H567" s="26" t="s">
        <v>2760</v>
      </c>
      <c r="I567" s="17">
        <f ca="1">IFERROR(__xludf.DUMMYFUNCTION("""COMPUTED_VALUE"""),45202)</f>
        <v>45202</v>
      </c>
      <c r="J567" s="29" t="s">
        <v>3063</v>
      </c>
      <c r="K567" s="26" t="s">
        <v>3064</v>
      </c>
      <c r="L567" s="30">
        <v>332649596</v>
      </c>
      <c r="M567" s="26" t="s">
        <v>123</v>
      </c>
      <c r="N567" s="26" t="s">
        <v>3065</v>
      </c>
      <c r="O567" s="26" t="s">
        <v>3066</v>
      </c>
      <c r="P567" s="26" t="s">
        <v>3067</v>
      </c>
      <c r="Q567" s="20">
        <v>1968</v>
      </c>
      <c r="R567" s="26" t="s">
        <v>36</v>
      </c>
      <c r="S567" s="31">
        <v>1968</v>
      </c>
      <c r="T567" s="32">
        <v>45191</v>
      </c>
      <c r="U567" s="31"/>
      <c r="V567" s="26"/>
      <c r="W567" s="33" t="s">
        <v>3068</v>
      </c>
      <c r="X567" s="26"/>
      <c r="Y567" s="22">
        <v>0</v>
      </c>
      <c r="Z567" s="26" t="s">
        <v>50</v>
      </c>
      <c r="AA567" s="19" t="s">
        <v>2449</v>
      </c>
      <c r="AB567" s="26" t="s">
        <v>104</v>
      </c>
      <c r="AC567" s="26" t="s">
        <v>53</v>
      </c>
      <c r="AD567" s="19" t="s">
        <v>54</v>
      </c>
      <c r="AE567" s="26"/>
      <c r="AF567" s="17">
        <v>45196</v>
      </c>
      <c r="AG567" s="26"/>
      <c r="AH567" s="26"/>
      <c r="AI567" s="40"/>
      <c r="AJ567" s="26"/>
      <c r="AK567" s="26"/>
      <c r="AL567" s="35"/>
      <c r="AM567" s="35"/>
      <c r="AN567" s="35"/>
      <c r="AO567" s="35"/>
      <c r="AP567" s="35"/>
    </row>
    <row r="568" spans="1:42" x14ac:dyDescent="0.2">
      <c r="A568" s="27">
        <v>45193.822661851853</v>
      </c>
      <c r="B568" s="28" t="s">
        <v>37</v>
      </c>
      <c r="C568" s="41" t="s">
        <v>118</v>
      </c>
      <c r="D568" s="26" t="s">
        <v>36</v>
      </c>
      <c r="E568" s="26" t="s">
        <v>77</v>
      </c>
      <c r="F568" s="26" t="s">
        <v>36</v>
      </c>
      <c r="G568" s="26" t="s">
        <v>41</v>
      </c>
      <c r="H568" s="26" t="s">
        <v>2989</v>
      </c>
      <c r="I568" s="17">
        <f ca="1">IFERROR(__xludf.DUMMYFUNCTION("""COMPUTED_VALUE"""),45202)</f>
        <v>45202</v>
      </c>
      <c r="J568" s="29" t="s">
        <v>3069</v>
      </c>
      <c r="K568" s="26" t="s">
        <v>3070</v>
      </c>
      <c r="L568" s="30">
        <v>382001714</v>
      </c>
      <c r="M568" s="26" t="s">
        <v>80</v>
      </c>
      <c r="N568" s="26" t="s">
        <v>186</v>
      </c>
      <c r="O568" s="26" t="s">
        <v>3071</v>
      </c>
      <c r="P568" s="26" t="s">
        <v>3072</v>
      </c>
      <c r="Q568" s="20">
        <v>1968</v>
      </c>
      <c r="R568" s="26" t="s">
        <v>36</v>
      </c>
      <c r="S568" s="31">
        <v>1968</v>
      </c>
      <c r="T568" s="32">
        <v>45193</v>
      </c>
      <c r="U568" s="31"/>
      <c r="V568" s="26"/>
      <c r="W568" s="33" t="s">
        <v>3073</v>
      </c>
      <c r="X568" s="26"/>
      <c r="Y568" s="22">
        <v>0</v>
      </c>
      <c r="Z568" s="26" t="s">
        <v>50</v>
      </c>
      <c r="AA568" s="19" t="s">
        <v>2449</v>
      </c>
      <c r="AB568" s="26" t="s">
        <v>104</v>
      </c>
      <c r="AC568" s="26" t="s">
        <v>53</v>
      </c>
      <c r="AD568" s="19" t="s">
        <v>54</v>
      </c>
      <c r="AE568" s="26">
        <v>0</v>
      </c>
      <c r="AF568" s="17">
        <v>45196</v>
      </c>
      <c r="AG568" s="26"/>
      <c r="AH568" s="26"/>
      <c r="AI568" s="40"/>
      <c r="AJ568" s="26"/>
      <c r="AK568" s="26"/>
      <c r="AL568" s="35"/>
      <c r="AM568" s="35"/>
      <c r="AN568" s="35"/>
      <c r="AO568" s="35"/>
      <c r="AP568" s="35"/>
    </row>
    <row r="569" spans="1:42" x14ac:dyDescent="0.2">
      <c r="A569" s="27">
        <v>45193.825467604169</v>
      </c>
      <c r="B569" s="28" t="s">
        <v>37</v>
      </c>
      <c r="C569" s="41" t="s">
        <v>118</v>
      </c>
      <c r="D569" s="26" t="s">
        <v>36</v>
      </c>
      <c r="E569" s="26" t="s">
        <v>77</v>
      </c>
      <c r="F569" s="26" t="s">
        <v>36</v>
      </c>
      <c r="G569" s="26" t="s">
        <v>41</v>
      </c>
      <c r="H569" s="26" t="s">
        <v>2989</v>
      </c>
      <c r="I569" s="17">
        <f ca="1">IFERROR(__xludf.DUMMYFUNCTION("""COMPUTED_VALUE"""),45202)</f>
        <v>45202</v>
      </c>
      <c r="J569" s="29" t="s">
        <v>3074</v>
      </c>
      <c r="K569" s="26" t="s">
        <v>3075</v>
      </c>
      <c r="L569" s="30">
        <v>936748212</v>
      </c>
      <c r="M569" s="26" t="s">
        <v>80</v>
      </c>
      <c r="N569" s="26" t="s">
        <v>299</v>
      </c>
      <c r="O569" s="26" t="s">
        <v>3076</v>
      </c>
      <c r="P569" s="26" t="s">
        <v>3077</v>
      </c>
      <c r="Q569" s="20">
        <v>1968</v>
      </c>
      <c r="R569" s="26" t="s">
        <v>36</v>
      </c>
      <c r="S569" s="31">
        <v>1968</v>
      </c>
      <c r="T569" s="32">
        <v>45193</v>
      </c>
      <c r="U569" s="31"/>
      <c r="V569" s="26"/>
      <c r="W569" s="33" t="s">
        <v>3078</v>
      </c>
      <c r="X569" s="26"/>
      <c r="Y569" s="22">
        <v>0</v>
      </c>
      <c r="Z569" s="26" t="s">
        <v>50</v>
      </c>
      <c r="AA569" s="19" t="s">
        <v>2449</v>
      </c>
      <c r="AB569" s="26" t="s">
        <v>104</v>
      </c>
      <c r="AC569" s="26" t="s">
        <v>53</v>
      </c>
      <c r="AD569" s="19" t="s">
        <v>54</v>
      </c>
      <c r="AE569" s="26">
        <v>0</v>
      </c>
      <c r="AF569" s="17">
        <v>45196</v>
      </c>
      <c r="AG569" s="26"/>
      <c r="AH569" s="26"/>
      <c r="AI569" s="40"/>
      <c r="AJ569" s="26"/>
      <c r="AK569" s="26"/>
      <c r="AL569" s="35"/>
      <c r="AM569" s="35"/>
      <c r="AN569" s="35"/>
      <c r="AO569" s="35"/>
      <c r="AP569" s="35"/>
    </row>
    <row r="570" spans="1:42" x14ac:dyDescent="0.2">
      <c r="A570" s="27">
        <v>45193.95895641204</v>
      </c>
      <c r="B570" s="28" t="s">
        <v>37</v>
      </c>
      <c r="C570" s="41" t="s">
        <v>118</v>
      </c>
      <c r="D570" s="26" t="s">
        <v>36</v>
      </c>
      <c r="E570" s="26" t="s">
        <v>56</v>
      </c>
      <c r="F570" s="26" t="s">
        <v>40</v>
      </c>
      <c r="G570" s="26" t="s">
        <v>41</v>
      </c>
      <c r="H570" s="26" t="s">
        <v>2889</v>
      </c>
      <c r="I570" s="17">
        <f ca="1">IFERROR(__xludf.DUMMYFUNCTION("""COMPUTED_VALUE"""),45200)</f>
        <v>45200</v>
      </c>
      <c r="J570" s="29" t="s">
        <v>3079</v>
      </c>
      <c r="K570" s="26" t="s">
        <v>3080</v>
      </c>
      <c r="L570" s="30">
        <v>357189857</v>
      </c>
      <c r="M570" s="19" t="s">
        <v>59</v>
      </c>
      <c r="N570" s="19" t="s">
        <v>68</v>
      </c>
      <c r="O570" s="26" t="s">
        <v>3081</v>
      </c>
      <c r="P570" s="26" t="s">
        <v>3082</v>
      </c>
      <c r="Q570" s="20">
        <v>9317</v>
      </c>
      <c r="R570" s="26" t="s">
        <v>1106</v>
      </c>
      <c r="S570" s="31">
        <v>9217</v>
      </c>
      <c r="T570" s="32">
        <v>45191</v>
      </c>
      <c r="U570" s="31"/>
      <c r="V570" s="26"/>
      <c r="W570" s="33" t="s">
        <v>3083</v>
      </c>
      <c r="X570" s="26"/>
      <c r="Y570" s="22">
        <v>100</v>
      </c>
      <c r="Z570" s="26" t="s">
        <v>50</v>
      </c>
      <c r="AA570" s="19" t="s">
        <v>2449</v>
      </c>
      <c r="AB570" s="26" t="s">
        <v>137</v>
      </c>
      <c r="AC570" s="26" t="s">
        <v>53</v>
      </c>
      <c r="AD570" s="19" t="s">
        <v>138</v>
      </c>
      <c r="AE570" s="26" t="s">
        <v>76</v>
      </c>
      <c r="AF570" s="17">
        <v>45200</v>
      </c>
      <c r="AG570" s="26" t="s">
        <v>1631</v>
      </c>
      <c r="AH570" s="26"/>
      <c r="AI570" s="40"/>
      <c r="AJ570" s="26"/>
      <c r="AK570" s="26"/>
      <c r="AL570" s="35"/>
      <c r="AM570" s="35"/>
      <c r="AN570" s="35"/>
      <c r="AO570" s="35"/>
      <c r="AP570" s="35"/>
    </row>
    <row r="571" spans="1:42" x14ac:dyDescent="0.2">
      <c r="A571" s="27">
        <v>45193.962836597224</v>
      </c>
      <c r="B571" s="28" t="s">
        <v>37</v>
      </c>
      <c r="C571" s="41" t="s">
        <v>118</v>
      </c>
      <c r="D571" s="26" t="s">
        <v>36</v>
      </c>
      <c r="E571" s="26" t="s">
        <v>56</v>
      </c>
      <c r="F571" s="26" t="s">
        <v>36</v>
      </c>
      <c r="G571" s="26" t="s">
        <v>41</v>
      </c>
      <c r="H571" s="26" t="s">
        <v>3058</v>
      </c>
      <c r="I571" s="17">
        <f ca="1">IFERROR(__xludf.DUMMYFUNCTION("""COMPUTED_VALUE"""),45202)</f>
        <v>45202</v>
      </c>
      <c r="J571" s="29" t="s">
        <v>3084</v>
      </c>
      <c r="K571" s="26" t="s">
        <v>3085</v>
      </c>
      <c r="L571" s="30">
        <v>865874096</v>
      </c>
      <c r="M571" s="26" t="s">
        <v>59</v>
      </c>
      <c r="N571" s="26" t="s">
        <v>438</v>
      </c>
      <c r="O571" s="26" t="s">
        <v>3086</v>
      </c>
      <c r="P571" s="26" t="s">
        <v>3087</v>
      </c>
      <c r="Q571" s="20">
        <v>9317</v>
      </c>
      <c r="R571" s="26" t="s">
        <v>1989</v>
      </c>
      <c r="S571" s="31">
        <v>9317</v>
      </c>
      <c r="T571" s="32">
        <v>45190</v>
      </c>
      <c r="U571" s="31"/>
      <c r="V571" s="26"/>
      <c r="W571" s="33" t="s">
        <v>3088</v>
      </c>
      <c r="X571" s="26"/>
      <c r="Y571" s="22">
        <v>0</v>
      </c>
      <c r="Z571" s="26" t="s">
        <v>50</v>
      </c>
      <c r="AA571" s="19" t="s">
        <v>2449</v>
      </c>
      <c r="AB571" s="26" t="s">
        <v>137</v>
      </c>
      <c r="AC571" s="26" t="s">
        <v>53</v>
      </c>
      <c r="AD571" s="19" t="s">
        <v>54</v>
      </c>
      <c r="AE571" s="26" t="s">
        <v>3089</v>
      </c>
      <c r="AF571" s="17">
        <v>45196</v>
      </c>
      <c r="AG571" s="26"/>
      <c r="AH571" s="26"/>
      <c r="AI571" s="40"/>
      <c r="AJ571" s="26"/>
      <c r="AK571" s="26"/>
      <c r="AL571" s="35"/>
      <c r="AM571" s="35"/>
      <c r="AN571" s="35"/>
      <c r="AO571" s="35"/>
      <c r="AP571" s="35"/>
    </row>
    <row r="572" spans="1:42" x14ac:dyDescent="0.2">
      <c r="A572" s="27">
        <v>45193.965200509258</v>
      </c>
      <c r="B572" s="28" t="s">
        <v>37</v>
      </c>
      <c r="C572" s="41" t="s">
        <v>118</v>
      </c>
      <c r="D572" s="26" t="s">
        <v>36</v>
      </c>
      <c r="E572" s="26" t="s">
        <v>56</v>
      </c>
      <c r="F572" s="26" t="s">
        <v>40</v>
      </c>
      <c r="G572" s="26" t="s">
        <v>41</v>
      </c>
      <c r="H572" s="26" t="s">
        <v>3090</v>
      </c>
      <c r="I572" s="17">
        <f ca="1">IFERROR(__xludf.DUMMYFUNCTION("""COMPUTED_VALUE"""),45215)</f>
        <v>45215</v>
      </c>
      <c r="J572" s="29" t="s">
        <v>3091</v>
      </c>
      <c r="K572" s="26" t="s">
        <v>3092</v>
      </c>
      <c r="L572" s="30">
        <v>964541848</v>
      </c>
      <c r="M572" s="26" t="s">
        <v>59</v>
      </c>
      <c r="N572" s="26" t="s">
        <v>403</v>
      </c>
      <c r="O572" s="26" t="s">
        <v>403</v>
      </c>
      <c r="P572" s="42" t="s">
        <v>3093</v>
      </c>
      <c r="Q572" s="20">
        <v>9317</v>
      </c>
      <c r="R572" s="26" t="s">
        <v>36</v>
      </c>
      <c r="S572" s="31">
        <v>9317</v>
      </c>
      <c r="T572" s="32">
        <v>45190</v>
      </c>
      <c r="U572" s="31"/>
      <c r="V572" s="26"/>
      <c r="W572" s="33" t="s">
        <v>3094</v>
      </c>
      <c r="X572" s="26"/>
      <c r="Y572" s="22">
        <v>0</v>
      </c>
      <c r="Z572" s="26" t="s">
        <v>50</v>
      </c>
      <c r="AA572" s="19" t="s">
        <v>2449</v>
      </c>
      <c r="AB572" s="26" t="s">
        <v>154</v>
      </c>
      <c r="AC572" s="26" t="s">
        <v>53</v>
      </c>
      <c r="AD572" s="19" t="s">
        <v>54</v>
      </c>
      <c r="AE572" s="26" t="s">
        <v>3089</v>
      </c>
      <c r="AF572" s="17">
        <v>45208</v>
      </c>
      <c r="AG572" s="26" t="s">
        <v>3095</v>
      </c>
      <c r="AH572" s="26"/>
      <c r="AI572" s="40"/>
      <c r="AJ572" s="26"/>
      <c r="AK572" s="26"/>
      <c r="AL572" s="35"/>
      <c r="AM572" s="35"/>
      <c r="AN572" s="35"/>
      <c r="AO572" s="35"/>
      <c r="AP572" s="35"/>
    </row>
    <row r="573" spans="1:42" x14ac:dyDescent="0.2">
      <c r="A573" s="27">
        <v>45194.419808530089</v>
      </c>
      <c r="B573" s="28" t="s">
        <v>37</v>
      </c>
      <c r="C573" s="41" t="s">
        <v>118</v>
      </c>
      <c r="D573" s="26" t="s">
        <v>36</v>
      </c>
      <c r="E573" s="26" t="s">
        <v>77</v>
      </c>
      <c r="F573" s="26" t="s">
        <v>36</v>
      </c>
      <c r="G573" s="26" t="s">
        <v>41</v>
      </c>
      <c r="H573" s="26" t="s">
        <v>2717</v>
      </c>
      <c r="I573" s="17">
        <f ca="1">IFERROR(__xludf.DUMMYFUNCTION("""COMPUTED_VALUE"""),45196)</f>
        <v>45196</v>
      </c>
      <c r="J573" s="29" t="s">
        <v>3096</v>
      </c>
      <c r="K573" s="26" t="s">
        <v>3097</v>
      </c>
      <c r="L573" s="30">
        <v>326714824</v>
      </c>
      <c r="M573" s="26" t="s">
        <v>123</v>
      </c>
      <c r="N573" s="26" t="s">
        <v>850</v>
      </c>
      <c r="O573" s="26" t="s">
        <v>3098</v>
      </c>
      <c r="P573" s="26" t="s">
        <v>3099</v>
      </c>
      <c r="Q573" s="20">
        <v>1968</v>
      </c>
      <c r="R573" s="26" t="s">
        <v>36</v>
      </c>
      <c r="S573" s="31">
        <v>1968</v>
      </c>
      <c r="T573" s="32">
        <v>45193</v>
      </c>
      <c r="U573" s="31"/>
      <c r="V573" s="26"/>
      <c r="W573" s="33" t="s">
        <v>3100</v>
      </c>
      <c r="X573" s="26"/>
      <c r="Y573" s="22">
        <v>0</v>
      </c>
      <c r="Z573" s="26" t="s">
        <v>50</v>
      </c>
      <c r="AA573" s="19" t="s">
        <v>2449</v>
      </c>
      <c r="AB573" s="26" t="s">
        <v>104</v>
      </c>
      <c r="AC573" s="26" t="s">
        <v>53</v>
      </c>
      <c r="AD573" s="19" t="s">
        <v>54</v>
      </c>
      <c r="AE573" s="26">
        <v>0</v>
      </c>
      <c r="AF573" s="17">
        <v>45196</v>
      </c>
      <c r="AG573" s="26"/>
      <c r="AH573" s="26"/>
      <c r="AI573" s="40"/>
      <c r="AJ573" s="26"/>
      <c r="AK573" s="26"/>
      <c r="AL573" s="35"/>
      <c r="AM573" s="35"/>
      <c r="AN573" s="35"/>
      <c r="AO573" s="35"/>
      <c r="AP573" s="35"/>
    </row>
    <row r="574" spans="1:42" x14ac:dyDescent="0.2">
      <c r="A574" s="27">
        <v>45194.93297765046</v>
      </c>
      <c r="B574" s="28" t="s">
        <v>37</v>
      </c>
      <c r="C574" s="41" t="s">
        <v>118</v>
      </c>
      <c r="D574" s="26" t="s">
        <v>36</v>
      </c>
      <c r="E574" s="26" t="s">
        <v>56</v>
      </c>
      <c r="F574" s="26" t="s">
        <v>36</v>
      </c>
      <c r="G574" s="26" t="s">
        <v>41</v>
      </c>
      <c r="H574" s="26" t="s">
        <v>3058</v>
      </c>
      <c r="I574" s="17">
        <f ca="1">IFERROR(__xludf.DUMMYFUNCTION("""COMPUTED_VALUE"""),45202)</f>
        <v>45202</v>
      </c>
      <c r="J574" s="29" t="s">
        <v>3101</v>
      </c>
      <c r="K574" s="26" t="s">
        <v>3102</v>
      </c>
      <c r="L574" s="30">
        <v>868331408</v>
      </c>
      <c r="M574" s="26" t="s">
        <v>59</v>
      </c>
      <c r="N574" s="26" t="s">
        <v>438</v>
      </c>
      <c r="O574" s="26" t="s">
        <v>3103</v>
      </c>
      <c r="P574" s="26" t="s">
        <v>3104</v>
      </c>
      <c r="Q574" s="20">
        <v>9317</v>
      </c>
      <c r="R574" s="26" t="s">
        <v>36</v>
      </c>
      <c r="S574" s="31">
        <v>9317</v>
      </c>
      <c r="T574" s="32">
        <v>45194</v>
      </c>
      <c r="U574" s="31"/>
      <c r="V574" s="26"/>
      <c r="W574" s="33" t="s">
        <v>3105</v>
      </c>
      <c r="X574" s="26"/>
      <c r="Y574" s="22">
        <v>0</v>
      </c>
      <c r="Z574" s="26" t="s">
        <v>50</v>
      </c>
      <c r="AA574" s="19" t="s">
        <v>2449</v>
      </c>
      <c r="AB574" s="26" t="s">
        <v>128</v>
      </c>
      <c r="AC574" s="26" t="s">
        <v>53</v>
      </c>
      <c r="AD574" s="19" t="s">
        <v>54</v>
      </c>
      <c r="AE574" s="26" t="s">
        <v>72</v>
      </c>
      <c r="AF574" s="17">
        <v>45196</v>
      </c>
      <c r="AG574" s="26"/>
      <c r="AH574" s="26"/>
      <c r="AI574" s="40"/>
      <c r="AJ574" s="26"/>
      <c r="AK574" s="26"/>
      <c r="AL574" s="35"/>
      <c r="AM574" s="35"/>
      <c r="AN574" s="35"/>
      <c r="AO574" s="35"/>
      <c r="AP574" s="35"/>
    </row>
    <row r="575" spans="1:42" x14ac:dyDescent="0.2">
      <c r="A575" s="27">
        <v>45195.395496851852</v>
      </c>
      <c r="B575" s="28" t="s">
        <v>37</v>
      </c>
      <c r="C575" s="41" t="s">
        <v>118</v>
      </c>
      <c r="D575" s="26" t="s">
        <v>36</v>
      </c>
      <c r="E575" s="26" t="s">
        <v>56</v>
      </c>
      <c r="F575" s="26" t="s">
        <v>91</v>
      </c>
      <c r="G575" s="26" t="s">
        <v>41</v>
      </c>
      <c r="H575" s="26" t="s">
        <v>2889</v>
      </c>
      <c r="I575" s="17">
        <f ca="1">IFERROR(__xludf.DUMMYFUNCTION("""COMPUTED_VALUE"""),45200)</f>
        <v>45200</v>
      </c>
      <c r="J575" s="29" t="s">
        <v>3106</v>
      </c>
      <c r="K575" s="26" t="s">
        <v>3107</v>
      </c>
      <c r="L575" s="30">
        <v>399577330</v>
      </c>
      <c r="M575" s="26" t="s">
        <v>548</v>
      </c>
      <c r="N575" s="26" t="s">
        <v>549</v>
      </c>
      <c r="O575" s="26" t="s">
        <v>3108</v>
      </c>
      <c r="P575" s="26" t="s">
        <v>3109</v>
      </c>
      <c r="Q575" s="20">
        <v>9317</v>
      </c>
      <c r="R575" s="26" t="s">
        <v>36</v>
      </c>
      <c r="S575" s="31">
        <v>9317</v>
      </c>
      <c r="T575" s="32">
        <v>45195</v>
      </c>
      <c r="U575" s="31"/>
      <c r="V575" s="26"/>
      <c r="W575" s="33" t="s">
        <v>3110</v>
      </c>
      <c r="X575" s="26"/>
      <c r="Y575" s="22">
        <v>0</v>
      </c>
      <c r="Z575" s="26" t="s">
        <v>50</v>
      </c>
      <c r="AA575" s="19" t="s">
        <v>2449</v>
      </c>
      <c r="AB575" s="26" t="s">
        <v>104</v>
      </c>
      <c r="AC575" s="26" t="s">
        <v>2218</v>
      </c>
      <c r="AD575" s="19" t="s">
        <v>138</v>
      </c>
      <c r="AE575" s="26" t="s">
        <v>76</v>
      </c>
      <c r="AF575" s="17">
        <v>45195</v>
      </c>
      <c r="AG575" s="26" t="s">
        <v>3111</v>
      </c>
      <c r="AH575" s="26"/>
      <c r="AI575" s="40"/>
      <c r="AJ575" s="26"/>
      <c r="AK575" s="26"/>
      <c r="AL575" s="35"/>
      <c r="AM575" s="35"/>
      <c r="AN575" s="35"/>
      <c r="AO575" s="35"/>
      <c r="AP575" s="35"/>
    </row>
    <row r="576" spans="1:42" x14ac:dyDescent="0.2">
      <c r="A576" s="27">
        <v>45195.437701296294</v>
      </c>
      <c r="B576" s="28" t="s">
        <v>37</v>
      </c>
      <c r="C576" s="41" t="s">
        <v>118</v>
      </c>
      <c r="D576" s="26" t="s">
        <v>36</v>
      </c>
      <c r="E576" s="26" t="s">
        <v>139</v>
      </c>
      <c r="F576" s="26" t="s">
        <v>91</v>
      </c>
      <c r="G576" s="26" t="s">
        <v>41</v>
      </c>
      <c r="H576" s="26" t="s">
        <v>3112</v>
      </c>
      <c r="I576" s="17">
        <f ca="1">IFERROR(__xludf.DUMMYFUNCTION("""COMPUTED_VALUE"""),45204)</f>
        <v>45204</v>
      </c>
      <c r="J576" s="29" t="s">
        <v>3113</v>
      </c>
      <c r="K576" s="26" t="s">
        <v>3114</v>
      </c>
      <c r="L576" s="30">
        <v>988898521</v>
      </c>
      <c r="M576" s="26" t="s">
        <v>1770</v>
      </c>
      <c r="N576" s="26" t="s">
        <v>3115</v>
      </c>
      <c r="O576" s="26" t="s">
        <v>3116</v>
      </c>
      <c r="P576" s="26" t="s">
        <v>3117</v>
      </c>
      <c r="Q576" s="20">
        <v>15936</v>
      </c>
      <c r="R576" s="26" t="s">
        <v>70</v>
      </c>
      <c r="S576" s="31">
        <v>15836</v>
      </c>
      <c r="T576" s="32">
        <v>45195</v>
      </c>
      <c r="U576" s="31"/>
      <c r="V576" s="26"/>
      <c r="W576" s="33" t="s">
        <v>3118</v>
      </c>
      <c r="X576" s="26"/>
      <c r="Y576" s="22">
        <v>100</v>
      </c>
      <c r="Z576" s="26" t="s">
        <v>50</v>
      </c>
      <c r="AA576" s="19" t="s">
        <v>2449</v>
      </c>
      <c r="AB576" s="26" t="s">
        <v>137</v>
      </c>
      <c r="AC576" s="26" t="s">
        <v>53</v>
      </c>
      <c r="AD576" s="19" t="s">
        <v>138</v>
      </c>
      <c r="AE576" s="26" t="s">
        <v>76</v>
      </c>
      <c r="AF576" s="17">
        <v>45204</v>
      </c>
      <c r="AG576" s="26" t="s">
        <v>1631</v>
      </c>
      <c r="AH576" s="26"/>
      <c r="AI576" s="40"/>
      <c r="AJ576" s="26"/>
      <c r="AK576" s="26"/>
      <c r="AL576" s="35"/>
      <c r="AM576" s="35"/>
      <c r="AN576" s="35"/>
      <c r="AO576" s="35"/>
      <c r="AP576" s="35"/>
    </row>
    <row r="577" spans="1:42" x14ac:dyDescent="0.2">
      <c r="A577" s="27">
        <v>45195.455508761574</v>
      </c>
      <c r="B577" s="28" t="s">
        <v>37</v>
      </c>
      <c r="C577" s="41" t="s">
        <v>118</v>
      </c>
      <c r="D577" s="26" t="s">
        <v>36</v>
      </c>
      <c r="E577" s="26" t="s">
        <v>219</v>
      </c>
      <c r="F577" s="26" t="s">
        <v>3119</v>
      </c>
      <c r="G577" s="26" t="s">
        <v>221</v>
      </c>
      <c r="H577" s="26" t="s">
        <v>2616</v>
      </c>
      <c r="I577" s="17">
        <f ca="1">IFERROR(__xludf.DUMMYFUNCTION("""COMPUTED_VALUE"""),45202)</f>
        <v>45202</v>
      </c>
      <c r="J577" s="29" t="s">
        <v>3120</v>
      </c>
      <c r="K577" s="26" t="s">
        <v>3121</v>
      </c>
      <c r="L577" s="30">
        <v>396397019</v>
      </c>
      <c r="M577" s="26" t="s">
        <v>112</v>
      </c>
      <c r="N577" s="26" t="s">
        <v>1673</v>
      </c>
      <c r="O577" s="26" t="s">
        <v>91</v>
      </c>
      <c r="P577" s="26" t="s">
        <v>3122</v>
      </c>
      <c r="Q577" s="20">
        <v>3968</v>
      </c>
      <c r="R577" s="26" t="s">
        <v>36</v>
      </c>
      <c r="S577" s="31">
        <v>3968</v>
      </c>
      <c r="T577" s="32">
        <v>45194</v>
      </c>
      <c r="U577" s="31"/>
      <c r="V577" s="26"/>
      <c r="W577" s="33" t="s">
        <v>3123</v>
      </c>
      <c r="X577" s="26"/>
      <c r="Y577" s="22">
        <v>0</v>
      </c>
      <c r="Z577" s="26" t="s">
        <v>50</v>
      </c>
      <c r="AA577" s="19" t="s">
        <v>2449</v>
      </c>
      <c r="AB577" s="26" t="s">
        <v>104</v>
      </c>
      <c r="AC577" s="26" t="s">
        <v>53</v>
      </c>
      <c r="AD577" s="19" t="s">
        <v>54</v>
      </c>
      <c r="AE577" s="26">
        <v>535</v>
      </c>
      <c r="AF577" s="17">
        <v>45196</v>
      </c>
      <c r="AG577" s="26"/>
      <c r="AH577" s="26"/>
      <c r="AI577" s="40"/>
      <c r="AJ577" s="26"/>
      <c r="AK577" s="26"/>
      <c r="AL577" s="35"/>
      <c r="AM577" s="35"/>
      <c r="AN577" s="35"/>
      <c r="AO577" s="35"/>
      <c r="AP577" s="35"/>
    </row>
    <row r="578" spans="1:42" x14ac:dyDescent="0.2">
      <c r="A578" s="27">
        <v>45195.679243703707</v>
      </c>
      <c r="B578" s="28" t="s">
        <v>37</v>
      </c>
      <c r="C578" s="41" t="s">
        <v>118</v>
      </c>
      <c r="D578" s="26" t="s">
        <v>36</v>
      </c>
      <c r="E578" s="26" t="s">
        <v>77</v>
      </c>
      <c r="F578" s="26" t="s">
        <v>36</v>
      </c>
      <c r="G578" s="26" t="s">
        <v>41</v>
      </c>
      <c r="H578" s="26" t="s">
        <v>2989</v>
      </c>
      <c r="I578" s="17">
        <f ca="1">IFERROR(__xludf.DUMMYFUNCTION("""COMPUTED_VALUE"""),45202)</f>
        <v>45202</v>
      </c>
      <c r="J578" s="29" t="s">
        <v>3124</v>
      </c>
      <c r="K578" s="26" t="s">
        <v>3125</v>
      </c>
      <c r="L578" s="30">
        <v>982694348</v>
      </c>
      <c r="M578" s="26" t="s">
        <v>348</v>
      </c>
      <c r="N578" s="26" t="s">
        <v>3126</v>
      </c>
      <c r="O578" s="26" t="s">
        <v>3127</v>
      </c>
      <c r="P578" s="26" t="s">
        <v>3128</v>
      </c>
      <c r="Q578" s="20">
        <v>1968</v>
      </c>
      <c r="R578" s="26" t="s">
        <v>36</v>
      </c>
      <c r="S578" s="31">
        <v>1968</v>
      </c>
      <c r="T578" s="32">
        <v>45189</v>
      </c>
      <c r="U578" s="31"/>
      <c r="V578" s="26"/>
      <c r="W578" s="33" t="s">
        <v>3129</v>
      </c>
      <c r="X578" s="26"/>
      <c r="Y578" s="22">
        <v>0</v>
      </c>
      <c r="Z578" s="26" t="s">
        <v>50</v>
      </c>
      <c r="AA578" s="19" t="s">
        <v>2449</v>
      </c>
      <c r="AB578" s="26" t="s">
        <v>104</v>
      </c>
      <c r="AC578" s="26" t="s">
        <v>53</v>
      </c>
      <c r="AD578" s="19" t="s">
        <v>54</v>
      </c>
      <c r="AE578" s="26" t="s">
        <v>3130</v>
      </c>
      <c r="AF578" s="17">
        <v>45196</v>
      </c>
      <c r="AG578" s="26"/>
      <c r="AH578" s="26"/>
      <c r="AI578" s="40"/>
      <c r="AJ578" s="26"/>
      <c r="AK578" s="26"/>
      <c r="AL578" s="35"/>
      <c r="AM578" s="35"/>
      <c r="AN578" s="35"/>
      <c r="AO578" s="35"/>
      <c r="AP578" s="35"/>
    </row>
    <row r="579" spans="1:42" x14ac:dyDescent="0.2">
      <c r="A579" s="27">
        <v>45195.683559537036</v>
      </c>
      <c r="B579" s="28" t="s">
        <v>37</v>
      </c>
      <c r="C579" s="41" t="s">
        <v>118</v>
      </c>
      <c r="D579" s="26" t="s">
        <v>36</v>
      </c>
      <c r="E579" s="26" t="s">
        <v>39</v>
      </c>
      <c r="F579" s="26" t="s">
        <v>40</v>
      </c>
      <c r="G579" s="26" t="s">
        <v>41</v>
      </c>
      <c r="H579" s="26" t="s">
        <v>2989</v>
      </c>
      <c r="I579" s="17">
        <f ca="1">IFERROR(__xludf.DUMMYFUNCTION("""COMPUTED_VALUE"""),45202)</f>
        <v>45202</v>
      </c>
      <c r="J579" s="29" t="s">
        <v>3131</v>
      </c>
      <c r="K579" s="26" t="s">
        <v>3132</v>
      </c>
      <c r="L579" s="30">
        <v>338831493</v>
      </c>
      <c r="M579" s="26" t="s">
        <v>59</v>
      </c>
      <c r="N579" s="26" t="s">
        <v>438</v>
      </c>
      <c r="O579" s="26" t="s">
        <v>3133</v>
      </c>
      <c r="P579" s="26" t="s">
        <v>3134</v>
      </c>
      <c r="Q579" s="20">
        <v>5736</v>
      </c>
      <c r="R579" s="26" t="s">
        <v>36</v>
      </c>
      <c r="S579" s="31">
        <v>5736</v>
      </c>
      <c r="T579" s="32">
        <v>45181</v>
      </c>
      <c r="U579" s="31"/>
      <c r="V579" s="26"/>
      <c r="W579" s="33" t="s">
        <v>3135</v>
      </c>
      <c r="X579" s="26"/>
      <c r="Y579" s="22">
        <v>0</v>
      </c>
      <c r="Z579" s="26" t="s">
        <v>50</v>
      </c>
      <c r="AA579" s="19" t="s">
        <v>2449</v>
      </c>
      <c r="AB579" s="26" t="s">
        <v>2324</v>
      </c>
      <c r="AC579" s="26" t="s">
        <v>53</v>
      </c>
      <c r="AD579" s="19" t="s">
        <v>54</v>
      </c>
      <c r="AE579" s="26" t="s">
        <v>76</v>
      </c>
      <c r="AF579" s="17">
        <v>45196</v>
      </c>
      <c r="AG579" s="26"/>
      <c r="AH579" s="26"/>
      <c r="AI579" s="40"/>
      <c r="AJ579" s="26"/>
      <c r="AK579" s="26"/>
      <c r="AL579" s="35"/>
      <c r="AM579" s="35"/>
      <c r="AN579" s="35"/>
      <c r="AO579" s="35"/>
      <c r="AP579" s="35"/>
    </row>
    <row r="580" spans="1:42" x14ac:dyDescent="0.2">
      <c r="A580" s="27">
        <v>45195.686413020834</v>
      </c>
      <c r="B580" s="28" t="s">
        <v>37</v>
      </c>
      <c r="C580" s="41" t="s">
        <v>118</v>
      </c>
      <c r="D580" s="26" t="s">
        <v>36</v>
      </c>
      <c r="E580" s="26" t="s">
        <v>56</v>
      </c>
      <c r="F580" s="26" t="s">
        <v>36</v>
      </c>
      <c r="G580" s="26" t="s">
        <v>41</v>
      </c>
      <c r="H580" s="26" t="s">
        <v>2989</v>
      </c>
      <c r="I580" s="17">
        <f ca="1">IFERROR(__xludf.DUMMYFUNCTION("""COMPUTED_VALUE"""),45202)</f>
        <v>45202</v>
      </c>
      <c r="J580" s="44" t="s">
        <v>3136</v>
      </c>
      <c r="K580" s="26" t="s">
        <v>3137</v>
      </c>
      <c r="L580" s="30">
        <v>896575146</v>
      </c>
      <c r="M580" s="26" t="s">
        <v>59</v>
      </c>
      <c r="N580" s="26" t="s">
        <v>260</v>
      </c>
      <c r="O580" s="26" t="s">
        <v>3138</v>
      </c>
      <c r="P580" s="26" t="s">
        <v>3139</v>
      </c>
      <c r="Q580" s="20">
        <v>9317</v>
      </c>
      <c r="R580" s="26" t="s">
        <v>36</v>
      </c>
      <c r="S580" s="31">
        <v>9317</v>
      </c>
      <c r="T580" s="32">
        <v>45187</v>
      </c>
      <c r="U580" s="31"/>
      <c r="V580" s="26"/>
      <c r="W580" s="33" t="s">
        <v>3140</v>
      </c>
      <c r="X580" s="26"/>
      <c r="Y580" s="22">
        <v>0</v>
      </c>
      <c r="Z580" s="26" t="s">
        <v>50</v>
      </c>
      <c r="AA580" s="19" t="s">
        <v>2449</v>
      </c>
      <c r="AB580" s="26" t="s">
        <v>154</v>
      </c>
      <c r="AC580" s="26" t="s">
        <v>53</v>
      </c>
      <c r="AD580" s="19" t="s">
        <v>54</v>
      </c>
      <c r="AE580" s="26" t="s">
        <v>3089</v>
      </c>
      <c r="AF580" s="17">
        <v>45196</v>
      </c>
      <c r="AG580" s="26" t="s">
        <v>3141</v>
      </c>
      <c r="AH580" s="26"/>
      <c r="AI580" s="40"/>
      <c r="AJ580" s="26"/>
      <c r="AK580" s="26"/>
      <c r="AL580" s="35"/>
      <c r="AM580" s="35"/>
      <c r="AN580" s="35"/>
      <c r="AO580" s="35"/>
      <c r="AP580" s="35"/>
    </row>
    <row r="581" spans="1:42" x14ac:dyDescent="0.2">
      <c r="A581" s="27">
        <v>45195.839007881943</v>
      </c>
      <c r="B581" s="28" t="s">
        <v>37</v>
      </c>
      <c r="C581" s="41" t="s">
        <v>118</v>
      </c>
      <c r="D581" s="26" t="s">
        <v>36</v>
      </c>
      <c r="E581" s="26" t="s">
        <v>77</v>
      </c>
      <c r="F581" s="26" t="s">
        <v>36</v>
      </c>
      <c r="G581" s="26" t="s">
        <v>41</v>
      </c>
      <c r="H581" s="26" t="s">
        <v>3058</v>
      </c>
      <c r="I581" s="17">
        <f ca="1">IFERROR(__xludf.DUMMYFUNCTION("""COMPUTED_VALUE"""),45202)</f>
        <v>45202</v>
      </c>
      <c r="J581" s="29" t="s">
        <v>3142</v>
      </c>
      <c r="K581" s="26" t="s">
        <v>3143</v>
      </c>
      <c r="L581" s="30">
        <v>978274169</v>
      </c>
      <c r="M581" s="26" t="s">
        <v>123</v>
      </c>
      <c r="N581" s="26" t="s">
        <v>850</v>
      </c>
      <c r="O581" s="26" t="s">
        <v>1226</v>
      </c>
      <c r="P581" s="26" t="s">
        <v>3144</v>
      </c>
      <c r="Q581" s="20">
        <v>1968</v>
      </c>
      <c r="R581" s="26" t="s">
        <v>36</v>
      </c>
      <c r="S581" s="31">
        <v>200</v>
      </c>
      <c r="T581" s="32">
        <v>45188</v>
      </c>
      <c r="U581" s="31">
        <v>1768</v>
      </c>
      <c r="V581" s="32">
        <v>45192</v>
      </c>
      <c r="W581" s="26" t="s">
        <v>3145</v>
      </c>
      <c r="X581" s="26"/>
      <c r="Y581" s="22">
        <v>0</v>
      </c>
      <c r="Z581" s="26" t="s">
        <v>50</v>
      </c>
      <c r="AA581" s="19" t="s">
        <v>2449</v>
      </c>
      <c r="AB581" s="26" t="s">
        <v>104</v>
      </c>
      <c r="AC581" s="26" t="s">
        <v>53</v>
      </c>
      <c r="AD581" s="19" t="s">
        <v>54</v>
      </c>
      <c r="AE581" s="26"/>
      <c r="AF581" s="17">
        <v>45196</v>
      </c>
      <c r="AG581" s="26"/>
      <c r="AH581" s="26"/>
      <c r="AI581" s="40"/>
      <c r="AJ581" s="26"/>
      <c r="AK581" s="26"/>
      <c r="AL581" s="35"/>
      <c r="AM581" s="35"/>
      <c r="AN581" s="35"/>
      <c r="AO581" s="35"/>
      <c r="AP581" s="35"/>
    </row>
    <row r="582" spans="1:42" x14ac:dyDescent="0.2">
      <c r="A582" s="27">
        <v>45195.840311249995</v>
      </c>
      <c r="B582" s="28" t="s">
        <v>37</v>
      </c>
      <c r="C582" s="41" t="s">
        <v>118</v>
      </c>
      <c r="D582" s="26" t="s">
        <v>36</v>
      </c>
      <c r="E582" s="26" t="s">
        <v>219</v>
      </c>
      <c r="F582" s="26" t="s">
        <v>91</v>
      </c>
      <c r="G582" s="26" t="s">
        <v>221</v>
      </c>
      <c r="H582" s="26" t="s">
        <v>2616</v>
      </c>
      <c r="I582" s="17">
        <f ca="1">IFERROR(__xludf.DUMMYFUNCTION("""COMPUTED_VALUE"""),45202)</f>
        <v>45202</v>
      </c>
      <c r="J582" s="29" t="s">
        <v>3146</v>
      </c>
      <c r="K582" s="26" t="s">
        <v>3147</v>
      </c>
      <c r="L582" s="30">
        <v>913959620</v>
      </c>
      <c r="M582" s="26" t="s">
        <v>123</v>
      </c>
      <c r="N582" s="26" t="s">
        <v>2459</v>
      </c>
      <c r="O582" s="26" t="s">
        <v>3148</v>
      </c>
      <c r="P582" s="26" t="s">
        <v>3149</v>
      </c>
      <c r="Q582" s="20">
        <v>3968</v>
      </c>
      <c r="R582" s="26" t="s">
        <v>36</v>
      </c>
      <c r="S582" s="31">
        <v>3968</v>
      </c>
      <c r="T582" s="32">
        <v>45194</v>
      </c>
      <c r="U582" s="31"/>
      <c r="V582" s="26"/>
      <c r="W582" s="33" t="s">
        <v>3150</v>
      </c>
      <c r="X582" s="26"/>
      <c r="Y582" s="22">
        <v>0</v>
      </c>
      <c r="Z582" s="26" t="s">
        <v>50</v>
      </c>
      <c r="AA582" s="19" t="s">
        <v>2449</v>
      </c>
      <c r="AB582" s="26" t="s">
        <v>104</v>
      </c>
      <c r="AC582" s="26" t="s">
        <v>53</v>
      </c>
      <c r="AD582" s="19" t="s">
        <v>54</v>
      </c>
      <c r="AE582" s="26"/>
      <c r="AF582" s="17">
        <v>45196</v>
      </c>
      <c r="AG582" s="26"/>
      <c r="AH582" s="26"/>
      <c r="AI582" s="40"/>
      <c r="AJ582" s="26"/>
      <c r="AK582" s="26"/>
      <c r="AL582" s="35"/>
      <c r="AM582" s="35"/>
      <c r="AN582" s="35"/>
      <c r="AO582" s="35"/>
      <c r="AP582" s="35"/>
    </row>
    <row r="583" spans="1:42" x14ac:dyDescent="0.2">
      <c r="A583" s="27">
        <v>45195.843088113426</v>
      </c>
      <c r="B583" s="28" t="s">
        <v>37</v>
      </c>
      <c r="C583" s="41" t="s">
        <v>118</v>
      </c>
      <c r="D583" s="26" t="s">
        <v>36</v>
      </c>
      <c r="E583" s="26" t="s">
        <v>139</v>
      </c>
      <c r="F583" s="26" t="s">
        <v>91</v>
      </c>
      <c r="G583" s="26" t="s">
        <v>41</v>
      </c>
      <c r="H583" s="26" t="s">
        <v>2967</v>
      </c>
      <c r="I583" s="17">
        <f ca="1">IFERROR(__xludf.DUMMYFUNCTION("""COMPUTED_VALUE"""),45209)</f>
        <v>45209</v>
      </c>
      <c r="J583" s="29" t="s">
        <v>3151</v>
      </c>
      <c r="K583" s="26" t="s">
        <v>3152</v>
      </c>
      <c r="L583" s="30">
        <v>973927321</v>
      </c>
      <c r="M583" s="26" t="s">
        <v>123</v>
      </c>
      <c r="N583" s="26" t="s">
        <v>850</v>
      </c>
      <c r="O583" s="26" t="s">
        <v>1226</v>
      </c>
      <c r="P583" s="26" t="s">
        <v>3153</v>
      </c>
      <c r="Q583" s="20">
        <v>15936</v>
      </c>
      <c r="R583" s="26" t="s">
        <v>36</v>
      </c>
      <c r="S583" s="31">
        <v>200</v>
      </c>
      <c r="T583" s="32">
        <v>45191</v>
      </c>
      <c r="U583" s="31">
        <v>15736</v>
      </c>
      <c r="V583" s="32">
        <v>45195</v>
      </c>
      <c r="W583" s="26" t="s">
        <v>3154</v>
      </c>
      <c r="X583" s="26"/>
      <c r="Y583" s="22">
        <v>0</v>
      </c>
      <c r="Z583" s="26" t="s">
        <v>50</v>
      </c>
      <c r="AA583" s="19" t="s">
        <v>2449</v>
      </c>
      <c r="AB583" s="26" t="s">
        <v>104</v>
      </c>
      <c r="AC583" s="26" t="s">
        <v>53</v>
      </c>
      <c r="AD583" s="19" t="s">
        <v>138</v>
      </c>
      <c r="AE583" s="26"/>
      <c r="AF583" s="17">
        <v>44114</v>
      </c>
      <c r="AG583" s="26" t="s">
        <v>1631</v>
      </c>
      <c r="AH583" s="26"/>
      <c r="AI583" s="40"/>
      <c r="AJ583" s="26"/>
      <c r="AK583" s="26"/>
      <c r="AL583" s="35"/>
      <c r="AM583" s="35"/>
      <c r="AN583" s="35"/>
      <c r="AO583" s="35"/>
      <c r="AP583" s="35"/>
    </row>
    <row r="584" spans="1:42" x14ac:dyDescent="0.2">
      <c r="A584" s="27">
        <v>45196.466449201384</v>
      </c>
      <c r="B584" s="28" t="s">
        <v>37</v>
      </c>
      <c r="C584" s="41" t="s">
        <v>118</v>
      </c>
      <c r="D584" s="26" t="s">
        <v>36</v>
      </c>
      <c r="E584" s="26" t="s">
        <v>148</v>
      </c>
      <c r="F584" s="26" t="s">
        <v>91</v>
      </c>
      <c r="G584" s="26" t="s">
        <v>108</v>
      </c>
      <c r="H584" s="26" t="s">
        <v>3013</v>
      </c>
      <c r="I584" s="17">
        <f ca="1">IFERROR(__xludf.DUMMYFUNCTION("""COMPUTED_VALUE"""),45207)</f>
        <v>45207</v>
      </c>
      <c r="J584" s="29" t="s">
        <v>3155</v>
      </c>
      <c r="K584" s="26" t="s">
        <v>3156</v>
      </c>
      <c r="L584" s="30">
        <v>922222583</v>
      </c>
      <c r="M584" s="26" t="s">
        <v>292</v>
      </c>
      <c r="N584" s="26" t="s">
        <v>1232</v>
      </c>
      <c r="O584" s="26" t="s">
        <v>3157</v>
      </c>
      <c r="P584" s="26" t="s">
        <v>3158</v>
      </c>
      <c r="Q584" s="20">
        <v>7349</v>
      </c>
      <c r="R584" s="26" t="s">
        <v>36</v>
      </c>
      <c r="S584" s="31">
        <v>7349</v>
      </c>
      <c r="T584" s="32">
        <v>45196</v>
      </c>
      <c r="U584" s="31"/>
      <c r="V584" s="26"/>
      <c r="W584" s="33" t="s">
        <v>3159</v>
      </c>
      <c r="X584" s="26"/>
      <c r="Y584" s="22">
        <v>0</v>
      </c>
      <c r="Z584" s="26" t="s">
        <v>50</v>
      </c>
      <c r="AA584" s="19" t="s">
        <v>2449</v>
      </c>
      <c r="AB584" s="26" t="s">
        <v>154</v>
      </c>
      <c r="AC584" s="26" t="s">
        <v>53</v>
      </c>
      <c r="AD584" s="19" t="s">
        <v>138</v>
      </c>
      <c r="AE584" s="26">
        <v>380</v>
      </c>
      <c r="AF584" s="17">
        <v>45207</v>
      </c>
      <c r="AG584" s="26" t="s">
        <v>1631</v>
      </c>
      <c r="AH584" s="26"/>
      <c r="AI584" s="40"/>
      <c r="AJ584" s="26"/>
      <c r="AK584" s="26"/>
      <c r="AL584" s="35"/>
      <c r="AM584" s="35"/>
      <c r="AN584" s="35"/>
      <c r="AO584" s="35"/>
      <c r="AP584" s="35"/>
    </row>
    <row r="585" spans="1:42" x14ac:dyDescent="0.2">
      <c r="A585" s="27">
        <v>45196.562529641204</v>
      </c>
      <c r="B585" s="28" t="s">
        <v>37</v>
      </c>
      <c r="C585" s="41" t="s">
        <v>118</v>
      </c>
      <c r="D585" s="26" t="s">
        <v>36</v>
      </c>
      <c r="E585" s="26" t="s">
        <v>39</v>
      </c>
      <c r="F585" s="26" t="s">
        <v>40</v>
      </c>
      <c r="G585" s="26" t="s">
        <v>41</v>
      </c>
      <c r="H585" s="26" t="s">
        <v>3058</v>
      </c>
      <c r="I585" s="17">
        <f ca="1">IFERROR(__xludf.DUMMYFUNCTION("""COMPUTED_VALUE"""),45202)</f>
        <v>45202</v>
      </c>
      <c r="J585" s="29" t="s">
        <v>3160</v>
      </c>
      <c r="K585" s="26" t="s">
        <v>3161</v>
      </c>
      <c r="L585" s="30">
        <v>373631121</v>
      </c>
      <c r="M585" s="26" t="s">
        <v>59</v>
      </c>
      <c r="N585" s="26" t="s">
        <v>68</v>
      </c>
      <c r="O585" s="26" t="s">
        <v>3162</v>
      </c>
      <c r="P585" s="26" t="s">
        <v>3163</v>
      </c>
      <c r="Q585" s="20">
        <v>5736</v>
      </c>
      <c r="R585" s="26" t="s">
        <v>70</v>
      </c>
      <c r="S585" s="31">
        <v>5636</v>
      </c>
      <c r="T585" s="32">
        <v>45195</v>
      </c>
      <c r="U585" s="31"/>
      <c r="V585" s="26"/>
      <c r="W585" s="33" t="s">
        <v>3164</v>
      </c>
      <c r="X585" s="26"/>
      <c r="Y585" s="22">
        <v>100</v>
      </c>
      <c r="Z585" s="26" t="s">
        <v>50</v>
      </c>
      <c r="AA585" s="19" t="s">
        <v>2449</v>
      </c>
      <c r="AB585" s="26" t="s">
        <v>128</v>
      </c>
      <c r="AC585" s="26" t="s">
        <v>53</v>
      </c>
      <c r="AD585" s="19" t="s">
        <v>54</v>
      </c>
      <c r="AE585" s="26" t="s">
        <v>3089</v>
      </c>
      <c r="AF585" s="17">
        <v>45199</v>
      </c>
      <c r="AG585" s="26"/>
      <c r="AH585" s="26"/>
      <c r="AI585" s="40"/>
      <c r="AJ585" s="26"/>
      <c r="AK585" s="26"/>
      <c r="AL585" s="35"/>
      <c r="AM585" s="35"/>
      <c r="AN585" s="35"/>
      <c r="AO585" s="35"/>
      <c r="AP585" s="35"/>
    </row>
    <row r="586" spans="1:42" x14ac:dyDescent="0.2">
      <c r="A586" s="27">
        <v>45196.565217152776</v>
      </c>
      <c r="B586" s="28" t="s">
        <v>37</v>
      </c>
      <c r="C586" s="41" t="s">
        <v>118</v>
      </c>
      <c r="D586" s="26" t="s">
        <v>36</v>
      </c>
      <c r="E586" s="26" t="s">
        <v>39</v>
      </c>
      <c r="F586" s="26" t="s">
        <v>36</v>
      </c>
      <c r="G586" s="26" t="s">
        <v>41</v>
      </c>
      <c r="H586" s="26" t="s">
        <v>3058</v>
      </c>
      <c r="I586" s="17">
        <f ca="1">IFERROR(__xludf.DUMMYFUNCTION("""COMPUTED_VALUE"""),45202)</f>
        <v>45202</v>
      </c>
      <c r="J586" s="29" t="s">
        <v>3165</v>
      </c>
      <c r="K586" s="26" t="s">
        <v>3166</v>
      </c>
      <c r="L586" s="30">
        <v>964129650</v>
      </c>
      <c r="M586" s="26" t="s">
        <v>59</v>
      </c>
      <c r="N586" s="26" t="s">
        <v>68</v>
      </c>
      <c r="O586" s="26" t="s">
        <v>3167</v>
      </c>
      <c r="P586" s="26" t="s">
        <v>3168</v>
      </c>
      <c r="Q586" s="20">
        <v>5736</v>
      </c>
      <c r="R586" s="26" t="s">
        <v>70</v>
      </c>
      <c r="S586" s="31">
        <v>5636</v>
      </c>
      <c r="T586" s="32">
        <v>45195</v>
      </c>
      <c r="U586" s="31"/>
      <c r="V586" s="26"/>
      <c r="W586" s="33" t="s">
        <v>3169</v>
      </c>
      <c r="X586" s="26"/>
      <c r="Y586" s="22">
        <v>100</v>
      </c>
      <c r="Z586" s="26" t="s">
        <v>50</v>
      </c>
      <c r="AA586" s="19" t="s">
        <v>2449</v>
      </c>
      <c r="AB586" s="26" t="s">
        <v>137</v>
      </c>
      <c r="AC586" s="26" t="s">
        <v>53</v>
      </c>
      <c r="AD586" s="19" t="s">
        <v>54</v>
      </c>
      <c r="AE586" s="26" t="s">
        <v>3170</v>
      </c>
      <c r="AF586" s="17">
        <v>45199</v>
      </c>
      <c r="AG586" s="26"/>
      <c r="AH586" s="26"/>
      <c r="AI586" s="40"/>
      <c r="AJ586" s="26"/>
      <c r="AK586" s="26"/>
      <c r="AL586" s="35"/>
      <c r="AM586" s="35"/>
      <c r="AN586" s="35"/>
      <c r="AO586" s="35"/>
      <c r="AP586" s="35"/>
    </row>
    <row r="587" spans="1:42" x14ac:dyDescent="0.2">
      <c r="A587" s="27">
        <v>45196.597771805551</v>
      </c>
      <c r="B587" s="28" t="s">
        <v>37</v>
      </c>
      <c r="C587" s="41" t="s">
        <v>118</v>
      </c>
      <c r="D587" s="26" t="s">
        <v>36</v>
      </c>
      <c r="E587" s="26" t="s">
        <v>219</v>
      </c>
      <c r="F587" s="26" t="s">
        <v>40</v>
      </c>
      <c r="G587" s="26" t="s">
        <v>221</v>
      </c>
      <c r="H587" s="26" t="s">
        <v>2279</v>
      </c>
      <c r="I587" s="17">
        <f ca="1">IFERROR(__xludf.DUMMYFUNCTION("""COMPUTED_VALUE"""),45222)</f>
        <v>45222</v>
      </c>
      <c r="J587" s="29" t="s">
        <v>3171</v>
      </c>
      <c r="K587" s="26" t="s">
        <v>3172</v>
      </c>
      <c r="L587" s="30">
        <v>332767026</v>
      </c>
      <c r="M587" s="26" t="s">
        <v>45</v>
      </c>
      <c r="N587" s="26" t="s">
        <v>565</v>
      </c>
      <c r="O587" s="26" t="s">
        <v>3173</v>
      </c>
      <c r="P587" s="26" t="s">
        <v>3174</v>
      </c>
      <c r="Q587" s="20">
        <v>3968</v>
      </c>
      <c r="R587" s="26" t="s">
        <v>36</v>
      </c>
      <c r="S587" s="31">
        <v>3968</v>
      </c>
      <c r="T587" s="32">
        <v>45196</v>
      </c>
      <c r="U587" s="31"/>
      <c r="V587" s="26"/>
      <c r="W587" s="33" t="s">
        <v>3175</v>
      </c>
      <c r="X587" s="26"/>
      <c r="Y587" s="22">
        <v>0</v>
      </c>
      <c r="Z587" s="26" t="s">
        <v>50</v>
      </c>
      <c r="AA587" s="19" t="s">
        <v>2449</v>
      </c>
      <c r="AB587" s="26" t="s">
        <v>137</v>
      </c>
      <c r="AC587" s="26" t="s">
        <v>53</v>
      </c>
      <c r="AD587" s="19" t="s">
        <v>54</v>
      </c>
      <c r="AE587" s="26">
        <v>515</v>
      </c>
      <c r="AF587" s="43">
        <v>45211</v>
      </c>
      <c r="AG587" s="26"/>
      <c r="AH587" s="26"/>
      <c r="AI587" s="40"/>
      <c r="AJ587" s="26"/>
      <c r="AK587" s="26"/>
      <c r="AL587" s="35"/>
      <c r="AM587" s="35"/>
      <c r="AN587" s="35"/>
      <c r="AO587" s="35"/>
      <c r="AP587" s="35"/>
    </row>
    <row r="588" spans="1:42" x14ac:dyDescent="0.2">
      <c r="A588" s="27">
        <v>45196.621308472226</v>
      </c>
      <c r="B588" s="28" t="s">
        <v>37</v>
      </c>
      <c r="C588" s="41" t="s">
        <v>118</v>
      </c>
      <c r="D588" s="26" t="s">
        <v>36</v>
      </c>
      <c r="E588" s="26" t="s">
        <v>77</v>
      </c>
      <c r="F588" s="26" t="s">
        <v>36</v>
      </c>
      <c r="G588" s="26" t="s">
        <v>41</v>
      </c>
      <c r="H588" s="26" t="s">
        <v>3112</v>
      </c>
      <c r="I588" s="17">
        <f ca="1">IFERROR(__xludf.DUMMYFUNCTION("""COMPUTED_VALUE"""),45204)</f>
        <v>45204</v>
      </c>
      <c r="J588" s="29" t="s">
        <v>3176</v>
      </c>
      <c r="K588" s="26" t="s">
        <v>3177</v>
      </c>
      <c r="L588" s="30">
        <v>367221127</v>
      </c>
      <c r="M588" s="26" t="s">
        <v>80</v>
      </c>
      <c r="N588" s="26" t="s">
        <v>186</v>
      </c>
      <c r="O588" s="26" t="s">
        <v>1492</v>
      </c>
      <c r="P588" s="26" t="s">
        <v>3178</v>
      </c>
      <c r="Q588" s="20">
        <v>1968</v>
      </c>
      <c r="R588" s="26" t="s">
        <v>36</v>
      </c>
      <c r="S588" s="31">
        <v>1968</v>
      </c>
      <c r="T588" s="32">
        <v>45196</v>
      </c>
      <c r="U588" s="31"/>
      <c r="V588" s="26"/>
      <c r="W588" s="33" t="s">
        <v>3179</v>
      </c>
      <c r="X588" s="26"/>
      <c r="Y588" s="22">
        <v>0</v>
      </c>
      <c r="Z588" s="26" t="s">
        <v>50</v>
      </c>
      <c r="AA588" s="19" t="s">
        <v>2449</v>
      </c>
      <c r="AB588" s="26" t="s">
        <v>104</v>
      </c>
      <c r="AC588" s="26" t="s">
        <v>53</v>
      </c>
      <c r="AD588" s="19" t="s">
        <v>138</v>
      </c>
      <c r="AE588" s="26">
        <v>0</v>
      </c>
      <c r="AF588" s="17">
        <v>45204</v>
      </c>
      <c r="AG588" s="26" t="s">
        <v>1631</v>
      </c>
      <c r="AH588" s="26"/>
      <c r="AI588" s="40"/>
      <c r="AJ588" s="26"/>
      <c r="AK588" s="26"/>
      <c r="AL588" s="35"/>
      <c r="AM588" s="35"/>
      <c r="AN588" s="35"/>
      <c r="AO588" s="35"/>
      <c r="AP588" s="35"/>
    </row>
    <row r="589" spans="1:42" x14ac:dyDescent="0.2">
      <c r="A589" s="27">
        <v>45196.923121874999</v>
      </c>
      <c r="B589" s="28" t="s">
        <v>37</v>
      </c>
      <c r="C589" s="41" t="s">
        <v>118</v>
      </c>
      <c r="D589" s="26" t="s">
        <v>77</v>
      </c>
      <c r="E589" s="26" t="s">
        <v>3180</v>
      </c>
      <c r="F589" s="26" t="s">
        <v>36</v>
      </c>
      <c r="G589" s="26" t="s">
        <v>108</v>
      </c>
      <c r="H589" s="26" t="s">
        <v>3181</v>
      </c>
      <c r="I589" s="17">
        <f ca="1">IFERROR(__xludf.DUMMYFUNCTION("""COMPUTED_VALUE"""),45257)</f>
        <v>45257</v>
      </c>
      <c r="J589" s="29" t="s">
        <v>3182</v>
      </c>
      <c r="K589" s="26" t="s">
        <v>3183</v>
      </c>
      <c r="L589" s="30">
        <v>337182729</v>
      </c>
      <c r="M589" s="26" t="s">
        <v>80</v>
      </c>
      <c r="N589" s="26" t="s">
        <v>186</v>
      </c>
      <c r="O589" s="26" t="s">
        <v>1492</v>
      </c>
      <c r="P589" s="26" t="s">
        <v>3184</v>
      </c>
      <c r="Q589" s="20">
        <v>13968</v>
      </c>
      <c r="R589" s="26" t="s">
        <v>36</v>
      </c>
      <c r="S589" s="31">
        <v>13968</v>
      </c>
      <c r="T589" s="32">
        <v>45196</v>
      </c>
      <c r="U589" s="31"/>
      <c r="V589" s="26"/>
      <c r="W589" s="33" t="s">
        <v>3185</v>
      </c>
      <c r="X589" s="26"/>
      <c r="Y589" s="22">
        <v>0</v>
      </c>
      <c r="Z589" s="26" t="s">
        <v>50</v>
      </c>
      <c r="AA589" s="19" t="s">
        <v>2449</v>
      </c>
      <c r="AB589" s="26" t="s">
        <v>128</v>
      </c>
      <c r="AC589" s="26" t="s">
        <v>53</v>
      </c>
      <c r="AD589" s="19" t="s">
        <v>54</v>
      </c>
      <c r="AE589" s="26" t="s">
        <v>3186</v>
      </c>
      <c r="AF589" s="43">
        <v>45250</v>
      </c>
      <c r="AG589" s="26"/>
      <c r="AH589" s="26"/>
      <c r="AI589" s="40"/>
      <c r="AJ589" s="26"/>
      <c r="AK589" s="26"/>
      <c r="AL589" s="35"/>
      <c r="AM589" s="35"/>
      <c r="AN589" s="35"/>
      <c r="AO589" s="35"/>
      <c r="AP589" s="35"/>
    </row>
    <row r="590" spans="1:42" x14ac:dyDescent="0.2">
      <c r="A590" s="27">
        <v>45196.95571141204</v>
      </c>
      <c r="B590" s="28" t="s">
        <v>1703</v>
      </c>
      <c r="C590" s="41" t="s">
        <v>118</v>
      </c>
      <c r="D590" s="26" t="s">
        <v>36</v>
      </c>
      <c r="E590" s="26" t="s">
        <v>77</v>
      </c>
      <c r="F590" s="26" t="s">
        <v>36</v>
      </c>
      <c r="G590" s="26" t="s">
        <v>41</v>
      </c>
      <c r="H590" s="26" t="s">
        <v>3187</v>
      </c>
      <c r="I590" s="17" t="str">
        <f ca="1">IFERROR(__xludf.DUMMYFUNCTION("""COMPUTED_VALUE""")," ")</f>
        <v xml:space="preserve"> </v>
      </c>
      <c r="J590" s="29" t="s">
        <v>3188</v>
      </c>
      <c r="K590" s="19" t="s">
        <v>3189</v>
      </c>
      <c r="L590" s="30">
        <v>356769806</v>
      </c>
      <c r="M590" s="26" t="s">
        <v>80</v>
      </c>
      <c r="N590" s="26" t="s">
        <v>81</v>
      </c>
      <c r="O590" s="26" t="s">
        <v>3190</v>
      </c>
      <c r="P590" s="26" t="s">
        <v>2641</v>
      </c>
      <c r="Q590" s="20">
        <v>1968</v>
      </c>
      <c r="R590" s="26" t="s">
        <v>36</v>
      </c>
      <c r="S590" s="31">
        <v>1968</v>
      </c>
      <c r="T590" s="32">
        <v>45196</v>
      </c>
      <c r="U590" s="31"/>
      <c r="V590" s="26"/>
      <c r="W590" s="33" t="s">
        <v>3191</v>
      </c>
      <c r="X590" s="26"/>
      <c r="Y590" s="22">
        <v>0</v>
      </c>
      <c r="Z590" s="26" t="s">
        <v>50</v>
      </c>
      <c r="AA590" s="19" t="s">
        <v>2449</v>
      </c>
      <c r="AB590" s="26"/>
      <c r="AC590" s="26" t="s">
        <v>53</v>
      </c>
      <c r="AD590" s="19" t="s">
        <v>138</v>
      </c>
      <c r="AE590" s="26">
        <v>0</v>
      </c>
      <c r="AF590" s="17"/>
      <c r="AG590" s="26" t="s">
        <v>3192</v>
      </c>
      <c r="AH590" s="26"/>
      <c r="AI590" s="40"/>
      <c r="AJ590" s="26"/>
      <c r="AK590" s="26"/>
      <c r="AL590" s="35"/>
      <c r="AM590" s="35"/>
      <c r="AN590" s="35"/>
      <c r="AO590" s="35"/>
      <c r="AP590" s="35"/>
    </row>
    <row r="591" spans="1:42" x14ac:dyDescent="0.2">
      <c r="A591" s="27">
        <v>45196.964773831016</v>
      </c>
      <c r="B591" s="28" t="s">
        <v>37</v>
      </c>
      <c r="C591" s="41" t="s">
        <v>118</v>
      </c>
      <c r="D591" s="26" t="s">
        <v>36</v>
      </c>
      <c r="E591" s="26" t="s">
        <v>106</v>
      </c>
      <c r="F591" s="26" t="s">
        <v>36</v>
      </c>
      <c r="G591" s="26" t="s">
        <v>108</v>
      </c>
      <c r="H591" s="26" t="s">
        <v>3013</v>
      </c>
      <c r="I591" s="17">
        <f ca="1">IFERROR(__xludf.DUMMYFUNCTION("""COMPUTED_VALUE"""),45207)</f>
        <v>45207</v>
      </c>
      <c r="J591" s="29" t="s">
        <v>3193</v>
      </c>
      <c r="K591" s="26" t="s">
        <v>3194</v>
      </c>
      <c r="L591" s="30">
        <v>823436698</v>
      </c>
      <c r="M591" s="26" t="s">
        <v>59</v>
      </c>
      <c r="N591" s="26" t="s">
        <v>260</v>
      </c>
      <c r="O591" s="26" t="s">
        <v>3195</v>
      </c>
      <c r="P591" s="26" t="s">
        <v>3196</v>
      </c>
      <c r="Q591" s="20">
        <v>3768</v>
      </c>
      <c r="R591" s="26" t="s">
        <v>36</v>
      </c>
      <c r="S591" s="31">
        <v>3768</v>
      </c>
      <c r="T591" s="32">
        <v>45196</v>
      </c>
      <c r="U591" s="31"/>
      <c r="V591" s="26"/>
      <c r="W591" s="26" t="s">
        <v>3197</v>
      </c>
      <c r="X591" s="26"/>
      <c r="Y591" s="22">
        <v>0</v>
      </c>
      <c r="Z591" s="26" t="s">
        <v>50</v>
      </c>
      <c r="AA591" s="19" t="s">
        <v>2449</v>
      </c>
      <c r="AB591" s="26" t="s">
        <v>154</v>
      </c>
      <c r="AC591" s="26" t="s">
        <v>53</v>
      </c>
      <c r="AD591" s="19" t="s">
        <v>138</v>
      </c>
      <c r="AE591" s="26">
        <v>450</v>
      </c>
      <c r="AF591" s="17">
        <v>45207</v>
      </c>
      <c r="AG591" s="26" t="s">
        <v>1631</v>
      </c>
      <c r="AH591" s="26"/>
      <c r="AI591" s="40"/>
      <c r="AJ591" s="26"/>
      <c r="AK591" s="26"/>
      <c r="AL591" s="35"/>
      <c r="AM591" s="35"/>
      <c r="AN591" s="35"/>
      <c r="AO591" s="35"/>
      <c r="AP591" s="35"/>
    </row>
    <row r="592" spans="1:42" x14ac:dyDescent="0.2">
      <c r="A592" s="27">
        <v>45196.966851712961</v>
      </c>
      <c r="B592" s="28" t="s">
        <v>37</v>
      </c>
      <c r="C592" s="41" t="s">
        <v>118</v>
      </c>
      <c r="D592" s="26" t="s">
        <v>36</v>
      </c>
      <c r="E592" s="26" t="s">
        <v>56</v>
      </c>
      <c r="F592" s="26" t="s">
        <v>36</v>
      </c>
      <c r="G592" s="26" t="s">
        <v>41</v>
      </c>
      <c r="H592" s="26" t="s">
        <v>3198</v>
      </c>
      <c r="I592" s="17">
        <f ca="1">IFERROR(__xludf.DUMMYFUNCTION("""COMPUTED_VALUE"""),45215)</f>
        <v>45215</v>
      </c>
      <c r="J592" s="29" t="s">
        <v>3199</v>
      </c>
      <c r="K592" s="26" t="s">
        <v>3200</v>
      </c>
      <c r="L592" s="30">
        <v>975329707</v>
      </c>
      <c r="M592" s="26" t="s">
        <v>59</v>
      </c>
      <c r="N592" s="26" t="s">
        <v>68</v>
      </c>
      <c r="O592" s="26" t="s">
        <v>3201</v>
      </c>
      <c r="P592" s="26" t="s">
        <v>3202</v>
      </c>
      <c r="Q592" s="20">
        <v>9317</v>
      </c>
      <c r="R592" s="26" t="s">
        <v>36</v>
      </c>
      <c r="S592" s="31">
        <v>9317</v>
      </c>
      <c r="T592" s="32">
        <v>45196</v>
      </c>
      <c r="U592" s="31"/>
      <c r="V592" s="26"/>
      <c r="W592" s="33" t="s">
        <v>3203</v>
      </c>
      <c r="X592" s="26"/>
      <c r="Y592" s="22">
        <v>0</v>
      </c>
      <c r="Z592" s="26" t="s">
        <v>50</v>
      </c>
      <c r="AA592" s="19" t="s">
        <v>2449</v>
      </c>
      <c r="AB592" s="26" t="s">
        <v>154</v>
      </c>
      <c r="AC592" s="26" t="s">
        <v>53</v>
      </c>
      <c r="AD592" s="19" t="s">
        <v>54</v>
      </c>
      <c r="AE592" s="26" t="s">
        <v>72</v>
      </c>
      <c r="AF592" s="43">
        <v>45211</v>
      </c>
      <c r="AG592" s="26"/>
      <c r="AH592" s="26"/>
      <c r="AI592" s="40"/>
      <c r="AJ592" s="26"/>
      <c r="AK592" s="26"/>
      <c r="AL592" s="35"/>
      <c r="AM592" s="35"/>
      <c r="AN592" s="35"/>
      <c r="AO592" s="35"/>
      <c r="AP592" s="35"/>
    </row>
    <row r="593" spans="1:42" x14ac:dyDescent="0.2">
      <c r="A593" s="27">
        <v>45197.349140393519</v>
      </c>
      <c r="B593" s="28" t="s">
        <v>37</v>
      </c>
      <c r="C593" s="41" t="s">
        <v>118</v>
      </c>
      <c r="D593" s="26" t="s">
        <v>36</v>
      </c>
      <c r="E593" s="26" t="s">
        <v>77</v>
      </c>
      <c r="F593" s="26" t="s">
        <v>3204</v>
      </c>
      <c r="G593" s="26" t="s">
        <v>41</v>
      </c>
      <c r="H593" s="26" t="s">
        <v>2760</v>
      </c>
      <c r="I593" s="17">
        <f ca="1">IFERROR(__xludf.DUMMYFUNCTION("""COMPUTED_VALUE"""),45202)</f>
        <v>45202</v>
      </c>
      <c r="J593" s="29" t="s">
        <v>3205</v>
      </c>
      <c r="K593" s="26" t="s">
        <v>3206</v>
      </c>
      <c r="L593" s="30">
        <v>866862110</v>
      </c>
      <c r="M593" s="26" t="s">
        <v>94</v>
      </c>
      <c r="N593" s="26" t="s">
        <v>3207</v>
      </c>
      <c r="O593" s="26" t="s">
        <v>36</v>
      </c>
      <c r="P593" s="26" t="s">
        <v>3208</v>
      </c>
      <c r="Q593" s="20">
        <v>1968</v>
      </c>
      <c r="R593" s="26" t="s">
        <v>36</v>
      </c>
      <c r="S593" s="31">
        <v>968</v>
      </c>
      <c r="T593" s="32">
        <v>45185</v>
      </c>
      <c r="U593" s="31">
        <v>1000</v>
      </c>
      <c r="V593" s="38">
        <v>45161</v>
      </c>
      <c r="W593" s="26" t="s">
        <v>3209</v>
      </c>
      <c r="X593" s="26"/>
      <c r="Y593" s="22">
        <v>0</v>
      </c>
      <c r="Z593" s="26" t="s">
        <v>50</v>
      </c>
      <c r="AA593" s="19" t="s">
        <v>2449</v>
      </c>
      <c r="AB593" s="26" t="s">
        <v>104</v>
      </c>
      <c r="AC593" s="26" t="s">
        <v>53</v>
      </c>
      <c r="AD593" s="19" t="s">
        <v>54</v>
      </c>
      <c r="AE593" s="26"/>
      <c r="AF593" s="17">
        <v>45199</v>
      </c>
      <c r="AG593" s="26"/>
      <c r="AH593" s="26"/>
      <c r="AI593" s="40"/>
      <c r="AJ593" s="26"/>
      <c r="AK593" s="26"/>
      <c r="AL593" s="35"/>
      <c r="AM593" s="35"/>
      <c r="AN593" s="35"/>
      <c r="AO593" s="35"/>
      <c r="AP593" s="35"/>
    </row>
    <row r="594" spans="1:42" x14ac:dyDescent="0.2">
      <c r="A594" s="27">
        <v>45197.355868599538</v>
      </c>
      <c r="B594" s="28" t="s">
        <v>37</v>
      </c>
      <c r="C594" s="41" t="s">
        <v>118</v>
      </c>
      <c r="D594" s="26" t="s">
        <v>36</v>
      </c>
      <c r="E594" s="26" t="s">
        <v>77</v>
      </c>
      <c r="F594" s="26" t="s">
        <v>36</v>
      </c>
      <c r="G594" s="26" t="s">
        <v>41</v>
      </c>
      <c r="H594" s="26" t="s">
        <v>3198</v>
      </c>
      <c r="I594" s="17">
        <f ca="1">IFERROR(__xludf.DUMMYFUNCTION("""COMPUTED_VALUE"""),45215)</f>
        <v>45215</v>
      </c>
      <c r="J594" s="29" t="s">
        <v>3210</v>
      </c>
      <c r="K594" s="26" t="s">
        <v>3211</v>
      </c>
      <c r="L594" s="30">
        <v>868429010</v>
      </c>
      <c r="M594" s="26" t="s">
        <v>94</v>
      </c>
      <c r="N594" s="26" t="s">
        <v>3212</v>
      </c>
      <c r="O594" s="26" t="s">
        <v>40</v>
      </c>
      <c r="P594" s="26" t="s">
        <v>3213</v>
      </c>
      <c r="Q594" s="20">
        <v>1968</v>
      </c>
      <c r="R594" s="26" t="s">
        <v>36</v>
      </c>
      <c r="S594" s="31">
        <v>1968</v>
      </c>
      <c r="T594" s="32">
        <v>45196</v>
      </c>
      <c r="U594" s="31"/>
      <c r="V594" s="26"/>
      <c r="W594" s="33" t="s">
        <v>3214</v>
      </c>
      <c r="X594" s="26"/>
      <c r="Y594" s="22">
        <v>0</v>
      </c>
      <c r="Z594" s="26" t="s">
        <v>50</v>
      </c>
      <c r="AA594" s="19" t="s">
        <v>2449</v>
      </c>
      <c r="AB594" s="26" t="s">
        <v>104</v>
      </c>
      <c r="AC594" s="26" t="s">
        <v>53</v>
      </c>
      <c r="AD594" s="19" t="s">
        <v>54</v>
      </c>
      <c r="AE594" s="26"/>
      <c r="AF594" s="43">
        <v>45211</v>
      </c>
      <c r="AG594" s="26"/>
      <c r="AH594" s="26"/>
      <c r="AI594" s="40"/>
      <c r="AJ594" s="26"/>
      <c r="AK594" s="26"/>
      <c r="AL594" s="35"/>
      <c r="AM594" s="35"/>
      <c r="AN594" s="35"/>
      <c r="AO594" s="35"/>
      <c r="AP594" s="35"/>
    </row>
    <row r="595" spans="1:42" x14ac:dyDescent="0.2">
      <c r="A595" s="27">
        <v>45197.413827685188</v>
      </c>
      <c r="B595" s="28" t="s">
        <v>37</v>
      </c>
      <c r="C595" s="41" t="s">
        <v>118</v>
      </c>
      <c r="D595" s="26" t="s">
        <v>36</v>
      </c>
      <c r="E595" s="26" t="s">
        <v>119</v>
      </c>
      <c r="F595" s="26" t="s">
        <v>36</v>
      </c>
      <c r="G595" s="26" t="s">
        <v>108</v>
      </c>
      <c r="H595" s="26" t="s">
        <v>3013</v>
      </c>
      <c r="I595" s="17">
        <f ca="1">IFERROR(__xludf.DUMMYFUNCTION("""COMPUTED_VALUE"""),45207)</f>
        <v>45207</v>
      </c>
      <c r="J595" s="29" t="s">
        <v>3215</v>
      </c>
      <c r="K595" s="26" t="s">
        <v>3216</v>
      </c>
      <c r="L595" s="30">
        <v>327372263</v>
      </c>
      <c r="M595" s="26" t="s">
        <v>80</v>
      </c>
      <c r="N595" s="26" t="s">
        <v>186</v>
      </c>
      <c r="O595" s="26" t="s">
        <v>3217</v>
      </c>
      <c r="P595" s="26" t="s">
        <v>3178</v>
      </c>
      <c r="Q595" s="20">
        <v>13968</v>
      </c>
      <c r="R595" s="26" t="s">
        <v>70</v>
      </c>
      <c r="S595" s="31">
        <v>500</v>
      </c>
      <c r="T595" s="32">
        <v>45197</v>
      </c>
      <c r="U595" s="31">
        <v>13368</v>
      </c>
      <c r="V595" s="32">
        <v>45198</v>
      </c>
      <c r="W595" s="33" t="s">
        <v>3218</v>
      </c>
      <c r="X595" s="26"/>
      <c r="Y595" s="22">
        <v>100</v>
      </c>
      <c r="Z595" s="26" t="s">
        <v>50</v>
      </c>
      <c r="AA595" s="19" t="s">
        <v>2449</v>
      </c>
      <c r="AB595" s="26" t="s">
        <v>104</v>
      </c>
      <c r="AC595" s="26" t="s">
        <v>53</v>
      </c>
      <c r="AD595" s="19" t="s">
        <v>138</v>
      </c>
      <c r="AE595" s="26">
        <v>500</v>
      </c>
      <c r="AF595" s="17">
        <v>45207</v>
      </c>
      <c r="AG595" s="26" t="s">
        <v>1631</v>
      </c>
      <c r="AH595" s="26"/>
      <c r="AI595" s="40"/>
      <c r="AJ595" s="26"/>
      <c r="AK595" s="26"/>
      <c r="AL595" s="35"/>
      <c r="AM595" s="35"/>
      <c r="AN595" s="35"/>
      <c r="AO595" s="35"/>
      <c r="AP595" s="35"/>
    </row>
    <row r="596" spans="1:42" x14ac:dyDescent="0.2">
      <c r="A596" s="27">
        <v>45197.724543020835</v>
      </c>
      <c r="B596" s="28" t="s">
        <v>37</v>
      </c>
      <c r="C596" s="41" t="s">
        <v>118</v>
      </c>
      <c r="D596" s="26" t="s">
        <v>36</v>
      </c>
      <c r="E596" s="26" t="s">
        <v>219</v>
      </c>
      <c r="F596" s="26" t="s">
        <v>91</v>
      </c>
      <c r="G596" s="26" t="s">
        <v>221</v>
      </c>
      <c r="H596" s="26" t="s">
        <v>2616</v>
      </c>
      <c r="I596" s="17">
        <f ca="1">IFERROR(__xludf.DUMMYFUNCTION("""COMPUTED_VALUE"""),45202)</f>
        <v>45202</v>
      </c>
      <c r="J596" s="29" t="s">
        <v>3219</v>
      </c>
      <c r="K596" s="26" t="s">
        <v>3220</v>
      </c>
      <c r="L596" s="95">
        <v>348039333</v>
      </c>
      <c r="M596" s="26" t="s">
        <v>910</v>
      </c>
      <c r="N596" s="26" t="s">
        <v>3221</v>
      </c>
      <c r="O596" s="26" t="s">
        <v>3222</v>
      </c>
      <c r="P596" s="26" t="s">
        <v>3223</v>
      </c>
      <c r="Q596" s="20">
        <v>3968</v>
      </c>
      <c r="R596" s="26" t="s">
        <v>36</v>
      </c>
      <c r="S596" s="31">
        <v>3968</v>
      </c>
      <c r="T596" s="32">
        <v>45166</v>
      </c>
      <c r="U596" s="31"/>
      <c r="V596" s="26"/>
      <c r="W596" s="33" t="s">
        <v>3224</v>
      </c>
      <c r="X596" s="26"/>
      <c r="Y596" s="22">
        <v>0</v>
      </c>
      <c r="Z596" s="26" t="s">
        <v>50</v>
      </c>
      <c r="AA596" s="19" t="s">
        <v>2449</v>
      </c>
      <c r="AB596" s="26" t="s">
        <v>104</v>
      </c>
      <c r="AC596" s="26" t="s">
        <v>53</v>
      </c>
      <c r="AD596" s="19" t="s">
        <v>54</v>
      </c>
      <c r="AE596" s="26">
        <v>660</v>
      </c>
      <c r="AF596" s="17">
        <v>45199</v>
      </c>
      <c r="AG596" s="26"/>
      <c r="AH596" s="26"/>
      <c r="AI596" s="40"/>
      <c r="AJ596" s="26"/>
      <c r="AK596" s="26"/>
      <c r="AL596" s="35"/>
      <c r="AM596" s="35"/>
      <c r="AN596" s="35"/>
      <c r="AO596" s="35"/>
      <c r="AP596" s="35"/>
    </row>
    <row r="597" spans="1:42" x14ac:dyDescent="0.2">
      <c r="A597" s="27">
        <v>45197.933471689816</v>
      </c>
      <c r="B597" s="28" t="s">
        <v>37</v>
      </c>
      <c r="C597" s="41" t="s">
        <v>118</v>
      </c>
      <c r="D597" s="26" t="s">
        <v>77</v>
      </c>
      <c r="E597" s="26" t="s">
        <v>148</v>
      </c>
      <c r="F597" s="26" t="s">
        <v>36</v>
      </c>
      <c r="G597" s="26" t="s">
        <v>108</v>
      </c>
      <c r="H597" s="26" t="s">
        <v>130</v>
      </c>
      <c r="I597" s="17">
        <f ca="1">IFERROR(__xludf.DUMMYFUNCTION("""COMPUTED_VALUE"""),45223)</f>
        <v>45223</v>
      </c>
      <c r="J597" s="29" t="s">
        <v>1578</v>
      </c>
      <c r="K597" s="26" t="s">
        <v>2364</v>
      </c>
      <c r="L597" s="30">
        <v>966721308</v>
      </c>
      <c r="M597" s="26" t="s">
        <v>80</v>
      </c>
      <c r="N597" s="26" t="s">
        <v>186</v>
      </c>
      <c r="O597" s="26" t="s">
        <v>1492</v>
      </c>
      <c r="P597" s="42" t="s">
        <v>3225</v>
      </c>
      <c r="Q597" s="20">
        <v>7349</v>
      </c>
      <c r="R597" s="26" t="s">
        <v>36</v>
      </c>
      <c r="S597" s="31">
        <v>7349</v>
      </c>
      <c r="T597" s="32">
        <v>45197</v>
      </c>
      <c r="U597" s="31"/>
      <c r="V597" s="26"/>
      <c r="W597" s="33" t="s">
        <v>3226</v>
      </c>
      <c r="X597" s="26"/>
      <c r="Y597" s="22">
        <v>0</v>
      </c>
      <c r="Z597" s="26" t="s">
        <v>50</v>
      </c>
      <c r="AA597" s="19" t="s">
        <v>2449</v>
      </c>
      <c r="AB597" s="26" t="s">
        <v>137</v>
      </c>
      <c r="AC597" s="26" t="s">
        <v>53</v>
      </c>
      <c r="AD597" s="19" t="s">
        <v>54</v>
      </c>
      <c r="AE597" s="26" t="s">
        <v>1630</v>
      </c>
      <c r="AF597" s="43">
        <v>45215</v>
      </c>
      <c r="AG597" s="26"/>
      <c r="AH597" s="26"/>
      <c r="AI597" s="40"/>
      <c r="AJ597" s="26"/>
      <c r="AK597" s="26"/>
      <c r="AL597" s="35"/>
      <c r="AM597" s="35"/>
      <c r="AN597" s="35"/>
      <c r="AO597" s="35"/>
      <c r="AP597" s="35"/>
    </row>
    <row r="598" spans="1:42" x14ac:dyDescent="0.2">
      <c r="A598" s="27">
        <v>45198.023403495376</v>
      </c>
      <c r="B598" s="28" t="s">
        <v>37</v>
      </c>
      <c r="C598" s="41" t="s">
        <v>118</v>
      </c>
      <c r="D598" s="26" t="s">
        <v>36</v>
      </c>
      <c r="E598" s="26" t="s">
        <v>77</v>
      </c>
      <c r="F598" s="26" t="s">
        <v>40</v>
      </c>
      <c r="G598" s="26" t="s">
        <v>41</v>
      </c>
      <c r="H598" s="26" t="s">
        <v>2967</v>
      </c>
      <c r="I598" s="17">
        <f ca="1">IFERROR(__xludf.DUMMYFUNCTION("""COMPUTED_VALUE"""),45209)</f>
        <v>45209</v>
      </c>
      <c r="J598" s="29" t="s">
        <v>3227</v>
      </c>
      <c r="K598" s="26" t="s">
        <v>3228</v>
      </c>
      <c r="L598" s="30">
        <v>866099610</v>
      </c>
      <c r="M598" s="26" t="s">
        <v>45</v>
      </c>
      <c r="N598" s="26" t="s">
        <v>3229</v>
      </c>
      <c r="O598" s="26" t="s">
        <v>3230</v>
      </c>
      <c r="P598" s="26" t="s">
        <v>3231</v>
      </c>
      <c r="Q598" s="20">
        <v>1968</v>
      </c>
      <c r="R598" s="26" t="s">
        <v>36</v>
      </c>
      <c r="S598" s="31">
        <v>1968</v>
      </c>
      <c r="T598" s="32">
        <v>45197</v>
      </c>
      <c r="U598" s="31"/>
      <c r="V598" s="26"/>
      <c r="W598" s="33" t="s">
        <v>3232</v>
      </c>
      <c r="X598" s="26"/>
      <c r="Y598" s="22">
        <v>0</v>
      </c>
      <c r="Z598" s="26" t="s">
        <v>50</v>
      </c>
      <c r="AA598" s="19" t="s">
        <v>2449</v>
      </c>
      <c r="AB598" s="26" t="s">
        <v>104</v>
      </c>
      <c r="AC598" s="26" t="s">
        <v>53</v>
      </c>
      <c r="AD598" s="19" t="s">
        <v>138</v>
      </c>
      <c r="AE598" s="26">
        <v>0</v>
      </c>
      <c r="AF598" s="17">
        <v>44114</v>
      </c>
      <c r="AG598" s="26" t="s">
        <v>1631</v>
      </c>
      <c r="AH598" s="26"/>
      <c r="AI598" s="40"/>
      <c r="AJ598" s="26"/>
      <c r="AK598" s="26"/>
      <c r="AL598" s="35"/>
      <c r="AM598" s="35"/>
      <c r="AN598" s="35"/>
      <c r="AO598" s="35"/>
      <c r="AP598" s="35"/>
    </row>
    <row r="599" spans="1:42" x14ac:dyDescent="0.2">
      <c r="A599" s="27">
        <v>45198.359246388893</v>
      </c>
      <c r="B599" s="28" t="s">
        <v>37</v>
      </c>
      <c r="C599" s="41" t="s">
        <v>118</v>
      </c>
      <c r="D599" s="26" t="s">
        <v>36</v>
      </c>
      <c r="E599" s="26" t="s">
        <v>139</v>
      </c>
      <c r="F599" s="26" t="s">
        <v>36</v>
      </c>
      <c r="G599" s="26" t="s">
        <v>41</v>
      </c>
      <c r="H599" s="26" t="s">
        <v>3112</v>
      </c>
      <c r="I599" s="17">
        <f ca="1">IFERROR(__xludf.DUMMYFUNCTION("""COMPUTED_VALUE"""),45204)</f>
        <v>45204</v>
      </c>
      <c r="J599" s="29" t="s">
        <v>3233</v>
      </c>
      <c r="K599" s="26" t="s">
        <v>3234</v>
      </c>
      <c r="L599" s="30">
        <v>857005487</v>
      </c>
      <c r="M599" s="26" t="s">
        <v>1770</v>
      </c>
      <c r="N599" s="26" t="s">
        <v>3115</v>
      </c>
      <c r="O599" s="26" t="s">
        <v>3235</v>
      </c>
      <c r="P599" s="26" t="s">
        <v>3236</v>
      </c>
      <c r="Q599" s="20">
        <v>15936</v>
      </c>
      <c r="R599" s="26" t="s">
        <v>70</v>
      </c>
      <c r="S599" s="31">
        <v>15836</v>
      </c>
      <c r="T599" s="32">
        <v>45198</v>
      </c>
      <c r="U599" s="31"/>
      <c r="V599" s="26"/>
      <c r="W599" s="33" t="s">
        <v>3237</v>
      </c>
      <c r="X599" s="26"/>
      <c r="Y599" s="22">
        <v>100</v>
      </c>
      <c r="Z599" s="26" t="s">
        <v>50</v>
      </c>
      <c r="AA599" s="19" t="s">
        <v>2449</v>
      </c>
      <c r="AB599" s="26" t="s">
        <v>137</v>
      </c>
      <c r="AC599" s="26" t="s">
        <v>53</v>
      </c>
      <c r="AD599" s="19" t="s">
        <v>138</v>
      </c>
      <c r="AE599" s="26" t="s">
        <v>76</v>
      </c>
      <c r="AF599" s="17">
        <v>45204</v>
      </c>
      <c r="AG599" s="26" t="s">
        <v>1631</v>
      </c>
      <c r="AH599" s="26"/>
      <c r="AI599" s="40"/>
      <c r="AJ599" s="26"/>
      <c r="AK599" s="26"/>
      <c r="AL599" s="35"/>
      <c r="AM599" s="35"/>
      <c r="AN599" s="35"/>
      <c r="AO599" s="35"/>
      <c r="AP599" s="35"/>
    </row>
    <row r="600" spans="1:42" x14ac:dyDescent="0.2">
      <c r="A600" s="27">
        <v>45198.48498587963</v>
      </c>
      <c r="B600" s="28" t="s">
        <v>37</v>
      </c>
      <c r="C600" s="41" t="s">
        <v>118</v>
      </c>
      <c r="D600" s="26" t="s">
        <v>36</v>
      </c>
      <c r="E600" s="26" t="s">
        <v>106</v>
      </c>
      <c r="F600" s="26" t="s">
        <v>36</v>
      </c>
      <c r="G600" s="26" t="s">
        <v>108</v>
      </c>
      <c r="H600" s="26" t="s">
        <v>3238</v>
      </c>
      <c r="I600" s="17">
        <f ca="1">IFERROR(__xludf.DUMMYFUNCTION("""COMPUTED_VALUE"""),45216)</f>
        <v>45216</v>
      </c>
      <c r="J600" s="29" t="s">
        <v>3239</v>
      </c>
      <c r="K600" s="26" t="s">
        <v>3240</v>
      </c>
      <c r="L600" s="30">
        <v>378403486</v>
      </c>
      <c r="M600" s="26" t="s">
        <v>94</v>
      </c>
      <c r="N600" s="26" t="s">
        <v>3241</v>
      </c>
      <c r="O600" s="26" t="s">
        <v>40</v>
      </c>
      <c r="P600" s="26" t="s">
        <v>3242</v>
      </c>
      <c r="Q600" s="20">
        <v>3768</v>
      </c>
      <c r="R600" s="26" t="s">
        <v>36</v>
      </c>
      <c r="S600" s="31">
        <v>3768</v>
      </c>
      <c r="T600" s="32">
        <v>45197</v>
      </c>
      <c r="U600" s="31"/>
      <c r="V600" s="26"/>
      <c r="W600" s="33" t="s">
        <v>3243</v>
      </c>
      <c r="X600" s="26"/>
      <c r="Y600" s="22">
        <v>0</v>
      </c>
      <c r="Z600" s="26" t="s">
        <v>50</v>
      </c>
      <c r="AA600" s="19" t="s">
        <v>2449</v>
      </c>
      <c r="AB600" s="26" t="s">
        <v>128</v>
      </c>
      <c r="AC600" s="26" t="s">
        <v>53</v>
      </c>
      <c r="AD600" s="19" t="s">
        <v>138</v>
      </c>
      <c r="AE600" s="26">
        <v>400</v>
      </c>
      <c r="AF600" s="43">
        <v>45216</v>
      </c>
      <c r="AG600" s="26" t="s">
        <v>1631</v>
      </c>
      <c r="AH600" s="26"/>
      <c r="AI600" s="40"/>
      <c r="AJ600" s="26"/>
      <c r="AK600" s="26"/>
      <c r="AL600" s="35"/>
      <c r="AM600" s="35"/>
      <c r="AN600" s="35"/>
      <c r="AO600" s="35"/>
      <c r="AP600" s="35"/>
    </row>
    <row r="601" spans="1:42" x14ac:dyDescent="0.2">
      <c r="A601" s="27">
        <v>45198.995356307874</v>
      </c>
      <c r="B601" s="28" t="s">
        <v>37</v>
      </c>
      <c r="C601" s="41" t="s">
        <v>118</v>
      </c>
      <c r="D601" s="26" t="s">
        <v>36</v>
      </c>
      <c r="E601" s="26" t="s">
        <v>139</v>
      </c>
      <c r="F601" s="26" t="s">
        <v>36</v>
      </c>
      <c r="G601" s="26" t="s">
        <v>41</v>
      </c>
      <c r="H601" s="26" t="s">
        <v>2967</v>
      </c>
      <c r="I601" s="17">
        <f ca="1">IFERROR(__xludf.DUMMYFUNCTION("""COMPUTED_VALUE"""),45209)</f>
        <v>45209</v>
      </c>
      <c r="J601" s="29" t="s">
        <v>3244</v>
      </c>
      <c r="K601" s="26" t="s">
        <v>3245</v>
      </c>
      <c r="L601" s="30">
        <v>989396608</v>
      </c>
      <c r="M601" s="26" t="s">
        <v>59</v>
      </c>
      <c r="N601" s="26" t="s">
        <v>68</v>
      </c>
      <c r="O601" s="26" t="s">
        <v>3246</v>
      </c>
      <c r="P601" s="26" t="s">
        <v>3247</v>
      </c>
      <c r="Q601" s="20">
        <v>15936</v>
      </c>
      <c r="R601" s="26" t="s">
        <v>36</v>
      </c>
      <c r="S601" s="31">
        <v>200</v>
      </c>
      <c r="T601" s="32">
        <v>45195</v>
      </c>
      <c r="U601" s="31">
        <v>15763</v>
      </c>
      <c r="V601" s="32">
        <v>45198</v>
      </c>
      <c r="W601" s="26" t="s">
        <v>3248</v>
      </c>
      <c r="X601" s="26"/>
      <c r="Y601" s="22">
        <v>-27</v>
      </c>
      <c r="Z601" s="26" t="s">
        <v>50</v>
      </c>
      <c r="AA601" s="19" t="s">
        <v>2449</v>
      </c>
      <c r="AB601" s="26" t="s">
        <v>154</v>
      </c>
      <c r="AC601" s="26" t="s">
        <v>53</v>
      </c>
      <c r="AD601" s="19" t="s">
        <v>138</v>
      </c>
      <c r="AE601" s="26" t="s">
        <v>3170</v>
      </c>
      <c r="AF601" s="17">
        <v>44114</v>
      </c>
      <c r="AG601" s="26" t="s">
        <v>1631</v>
      </c>
      <c r="AH601" s="26"/>
      <c r="AI601" s="40"/>
      <c r="AJ601" s="26"/>
      <c r="AK601" s="26"/>
      <c r="AL601" s="35"/>
      <c r="AM601" s="35"/>
      <c r="AN601" s="35"/>
      <c r="AO601" s="35"/>
      <c r="AP601" s="35"/>
    </row>
    <row r="602" spans="1:42" x14ac:dyDescent="0.2">
      <c r="A602" s="27">
        <v>45199.65325372685</v>
      </c>
      <c r="B602" s="28" t="s">
        <v>37</v>
      </c>
      <c r="C602" s="41" t="s">
        <v>118</v>
      </c>
      <c r="D602" s="26" t="s">
        <v>36</v>
      </c>
      <c r="E602" s="26" t="s">
        <v>39</v>
      </c>
      <c r="F602" s="26" t="s">
        <v>36</v>
      </c>
      <c r="G602" s="26" t="s">
        <v>41</v>
      </c>
      <c r="H602" s="26" t="s">
        <v>2921</v>
      </c>
      <c r="I602" s="17">
        <f ca="1">IFERROR(__xludf.DUMMYFUNCTION("""COMPUTED_VALUE"""),45209)</f>
        <v>45209</v>
      </c>
      <c r="J602" s="29" t="s">
        <v>3249</v>
      </c>
      <c r="K602" s="26" t="s">
        <v>3250</v>
      </c>
      <c r="L602" s="30">
        <v>356636111</v>
      </c>
      <c r="M602" s="26" t="s">
        <v>80</v>
      </c>
      <c r="N602" s="26" t="s">
        <v>81</v>
      </c>
      <c r="O602" s="26" t="s">
        <v>3251</v>
      </c>
      <c r="P602" s="26" t="s">
        <v>3252</v>
      </c>
      <c r="Q602" s="20">
        <v>5736</v>
      </c>
      <c r="R602" s="26" t="s">
        <v>36</v>
      </c>
      <c r="S602" s="31">
        <v>5736</v>
      </c>
      <c r="T602" s="32">
        <v>45198</v>
      </c>
      <c r="U602" s="31"/>
      <c r="V602" s="26"/>
      <c r="W602" s="33" t="s">
        <v>3253</v>
      </c>
      <c r="X602" s="26"/>
      <c r="Y602" s="22">
        <v>0</v>
      </c>
      <c r="Z602" s="26" t="s">
        <v>50</v>
      </c>
      <c r="AA602" s="19" t="s">
        <v>2449</v>
      </c>
      <c r="AB602" s="26" t="s">
        <v>104</v>
      </c>
      <c r="AC602" s="26" t="s">
        <v>53</v>
      </c>
      <c r="AD602" s="19" t="s">
        <v>54</v>
      </c>
      <c r="AE602" s="26">
        <v>0</v>
      </c>
      <c r="AF602" s="17">
        <v>45202</v>
      </c>
      <c r="AG602" s="26"/>
      <c r="AH602" s="26"/>
      <c r="AI602" s="40"/>
      <c r="AJ602" s="26"/>
      <c r="AK602" s="26"/>
      <c r="AL602" s="35"/>
      <c r="AM602" s="35"/>
      <c r="AN602" s="35"/>
      <c r="AO602" s="35"/>
      <c r="AP602" s="35"/>
    </row>
    <row r="603" spans="1:42" x14ac:dyDescent="0.2">
      <c r="A603" s="27">
        <v>45199.769809976853</v>
      </c>
      <c r="B603" s="28" t="s">
        <v>37</v>
      </c>
      <c r="C603" s="41" t="s">
        <v>118</v>
      </c>
      <c r="D603" s="26" t="s">
        <v>36</v>
      </c>
      <c r="E603" s="26" t="s">
        <v>39</v>
      </c>
      <c r="F603" s="26" t="s">
        <v>40</v>
      </c>
      <c r="G603" s="26" t="s">
        <v>41</v>
      </c>
      <c r="H603" s="26" t="s">
        <v>3058</v>
      </c>
      <c r="I603" s="17">
        <f ca="1">IFERROR(__xludf.DUMMYFUNCTION("""COMPUTED_VALUE"""),45202)</f>
        <v>45202</v>
      </c>
      <c r="J603" s="29" t="s">
        <v>3254</v>
      </c>
      <c r="K603" s="26" t="s">
        <v>3255</v>
      </c>
      <c r="L603" s="30">
        <v>889966203</v>
      </c>
      <c r="M603" s="26" t="s">
        <v>59</v>
      </c>
      <c r="N603" s="26" t="s">
        <v>68</v>
      </c>
      <c r="O603" s="26" t="s">
        <v>3256</v>
      </c>
      <c r="P603" s="26" t="s">
        <v>3257</v>
      </c>
      <c r="Q603" s="20">
        <v>5736</v>
      </c>
      <c r="R603" s="26" t="s">
        <v>36</v>
      </c>
      <c r="S603" s="31">
        <v>5636</v>
      </c>
      <c r="T603" s="32">
        <v>45198</v>
      </c>
      <c r="U603" s="31"/>
      <c r="V603" s="32">
        <v>45199</v>
      </c>
      <c r="W603" s="26" t="s">
        <v>3258</v>
      </c>
      <c r="X603" s="26"/>
      <c r="Y603" s="22">
        <v>100</v>
      </c>
      <c r="Z603" s="26" t="s">
        <v>50</v>
      </c>
      <c r="AA603" s="19" t="s">
        <v>2449</v>
      </c>
      <c r="AB603" s="26" t="s">
        <v>137</v>
      </c>
      <c r="AC603" s="26" t="s">
        <v>53</v>
      </c>
      <c r="AD603" s="19" t="s">
        <v>54</v>
      </c>
      <c r="AE603" s="26" t="s">
        <v>72</v>
      </c>
      <c r="AF603" s="17">
        <v>45201</v>
      </c>
      <c r="AG603" s="26"/>
      <c r="AH603" s="26"/>
      <c r="AI603" s="40"/>
      <c r="AJ603" s="26"/>
      <c r="AK603" s="26"/>
      <c r="AL603" s="35"/>
      <c r="AM603" s="35"/>
      <c r="AN603" s="35"/>
      <c r="AO603" s="35"/>
      <c r="AP603" s="35"/>
    </row>
    <row r="604" spans="1:42" x14ac:dyDescent="0.2">
      <c r="A604" s="27">
        <v>45199.771983784725</v>
      </c>
      <c r="B604" s="28" t="s">
        <v>37</v>
      </c>
      <c r="C604" s="41" t="s">
        <v>118</v>
      </c>
      <c r="D604" s="26" t="s">
        <v>36</v>
      </c>
      <c r="E604" s="26" t="s">
        <v>39</v>
      </c>
      <c r="F604" s="26" t="s">
        <v>40</v>
      </c>
      <c r="G604" s="26" t="s">
        <v>41</v>
      </c>
      <c r="H604" s="26" t="s">
        <v>3058</v>
      </c>
      <c r="I604" s="17">
        <f ca="1">IFERROR(__xludf.DUMMYFUNCTION("""COMPUTED_VALUE"""),45202)</f>
        <v>45202</v>
      </c>
      <c r="J604" s="29" t="s">
        <v>3259</v>
      </c>
      <c r="K604" s="26" t="s">
        <v>3260</v>
      </c>
      <c r="L604" s="30">
        <v>389927560</v>
      </c>
      <c r="M604" s="26" t="s">
        <v>59</v>
      </c>
      <c r="N604" s="26" t="s">
        <v>68</v>
      </c>
      <c r="O604" s="26" t="s">
        <v>3261</v>
      </c>
      <c r="P604" s="26" t="s">
        <v>3262</v>
      </c>
      <c r="Q604" s="20">
        <v>5736</v>
      </c>
      <c r="R604" s="26" t="s">
        <v>36</v>
      </c>
      <c r="S604" s="31">
        <v>5636</v>
      </c>
      <c r="T604" s="32">
        <v>45198</v>
      </c>
      <c r="U604" s="31"/>
      <c r="V604" s="32">
        <v>45199</v>
      </c>
      <c r="W604" s="26" t="s">
        <v>3263</v>
      </c>
      <c r="X604" s="26"/>
      <c r="Y604" s="22">
        <v>100</v>
      </c>
      <c r="Z604" s="26" t="s">
        <v>50</v>
      </c>
      <c r="AA604" s="19" t="s">
        <v>2449</v>
      </c>
      <c r="AB604" s="26" t="s">
        <v>137</v>
      </c>
      <c r="AC604" s="26" t="s">
        <v>53</v>
      </c>
      <c r="AD604" s="19" t="s">
        <v>54</v>
      </c>
      <c r="AE604" s="26" t="s">
        <v>72</v>
      </c>
      <c r="AF604" s="17">
        <v>45201</v>
      </c>
      <c r="AG604" s="26"/>
      <c r="AH604" s="26"/>
      <c r="AI604" s="40"/>
      <c r="AJ604" s="26"/>
      <c r="AK604" s="26"/>
      <c r="AL604" s="35"/>
      <c r="AM604" s="35"/>
      <c r="AN604" s="35"/>
      <c r="AO604" s="35"/>
      <c r="AP604" s="35"/>
    </row>
    <row r="605" spans="1:42" x14ac:dyDescent="0.2">
      <c r="A605" s="27">
        <v>45199.83106916667</v>
      </c>
      <c r="B605" s="28" t="s">
        <v>37</v>
      </c>
      <c r="C605" s="41" t="s">
        <v>118</v>
      </c>
      <c r="D605" s="26" t="s">
        <v>36</v>
      </c>
      <c r="E605" s="26" t="s">
        <v>106</v>
      </c>
      <c r="F605" s="26" t="s">
        <v>36</v>
      </c>
      <c r="G605" s="26" t="s">
        <v>108</v>
      </c>
      <c r="H605" s="26" t="s">
        <v>3264</v>
      </c>
      <c r="I605" s="17">
        <f ca="1">IFERROR(__xludf.DUMMYFUNCTION("""COMPUTED_VALUE"""),45204)</f>
        <v>45204</v>
      </c>
      <c r="J605" s="29" t="s">
        <v>3265</v>
      </c>
      <c r="K605" s="26" t="s">
        <v>3266</v>
      </c>
      <c r="L605" s="30">
        <v>334415649</v>
      </c>
      <c r="M605" s="26" t="s">
        <v>80</v>
      </c>
      <c r="N605" s="26" t="s">
        <v>81</v>
      </c>
      <c r="O605" s="26" t="s">
        <v>3267</v>
      </c>
      <c r="P605" s="26" t="s">
        <v>3268</v>
      </c>
      <c r="Q605" s="20">
        <v>3768</v>
      </c>
      <c r="R605" s="26" t="s">
        <v>36</v>
      </c>
      <c r="S605" s="31">
        <v>3768</v>
      </c>
      <c r="T605" s="32">
        <v>45199</v>
      </c>
      <c r="U605" s="31"/>
      <c r="V605" s="26"/>
      <c r="W605" s="33" t="s">
        <v>3269</v>
      </c>
      <c r="X605" s="26"/>
      <c r="Y605" s="22">
        <v>0</v>
      </c>
      <c r="Z605" s="26" t="s">
        <v>50</v>
      </c>
      <c r="AA605" s="19" t="s">
        <v>2449</v>
      </c>
      <c r="AB605" s="26" t="s">
        <v>128</v>
      </c>
      <c r="AC605" s="26" t="s">
        <v>53</v>
      </c>
      <c r="AD605" s="19" t="s">
        <v>54</v>
      </c>
      <c r="AE605" s="26">
        <v>400</v>
      </c>
      <c r="AF605" s="17">
        <v>45202</v>
      </c>
      <c r="AG605" s="26"/>
      <c r="AH605" s="26"/>
      <c r="AI605" s="40"/>
      <c r="AJ605" s="26"/>
      <c r="AK605" s="26"/>
      <c r="AL605" s="35"/>
      <c r="AM605" s="35"/>
      <c r="AN605" s="35"/>
      <c r="AO605" s="35"/>
      <c r="AP605" s="35"/>
    </row>
    <row r="606" spans="1:42" x14ac:dyDescent="0.2">
      <c r="A606" s="27">
        <v>45200.463437962964</v>
      </c>
      <c r="B606" s="28" t="s">
        <v>37</v>
      </c>
      <c r="C606" s="41" t="s">
        <v>118</v>
      </c>
      <c r="D606" s="26" t="s">
        <v>36</v>
      </c>
      <c r="E606" s="26" t="s">
        <v>106</v>
      </c>
      <c r="F606" s="26" t="s">
        <v>91</v>
      </c>
      <c r="G606" s="26" t="s">
        <v>108</v>
      </c>
      <c r="H606" s="26" t="s">
        <v>3238</v>
      </c>
      <c r="I606" s="17">
        <f ca="1">IFERROR(__xludf.DUMMYFUNCTION("""COMPUTED_VALUE"""),45216)</f>
        <v>45216</v>
      </c>
      <c r="J606" s="29" t="s">
        <v>3270</v>
      </c>
      <c r="K606" s="19" t="s">
        <v>3271</v>
      </c>
      <c r="L606" s="30">
        <v>969314693</v>
      </c>
      <c r="M606" s="26" t="s">
        <v>1770</v>
      </c>
      <c r="N606" s="26" t="s">
        <v>2290</v>
      </c>
      <c r="O606" s="26" t="s">
        <v>3272</v>
      </c>
      <c r="P606" s="26" t="s">
        <v>3273</v>
      </c>
      <c r="Q606" s="20">
        <v>3768</v>
      </c>
      <c r="R606" s="26" t="s">
        <v>36</v>
      </c>
      <c r="S606" s="58">
        <v>1000</v>
      </c>
      <c r="T606" s="59">
        <v>44716</v>
      </c>
      <c r="U606" s="31">
        <v>6349</v>
      </c>
      <c r="V606" s="32">
        <v>45199</v>
      </c>
      <c r="W606" s="26" t="s">
        <v>3274</v>
      </c>
      <c r="X606" s="26"/>
      <c r="Y606" s="22">
        <v>-3581</v>
      </c>
      <c r="Z606" s="26" t="s">
        <v>50</v>
      </c>
      <c r="AA606" s="19" t="s">
        <v>2449</v>
      </c>
      <c r="AB606" s="26" t="s">
        <v>128</v>
      </c>
      <c r="AC606" s="26" t="s">
        <v>53</v>
      </c>
      <c r="AD606" s="19" t="s">
        <v>138</v>
      </c>
      <c r="AE606" s="26" t="s">
        <v>3275</v>
      </c>
      <c r="AF606" s="43">
        <v>45216</v>
      </c>
      <c r="AG606" s="26" t="s">
        <v>1631</v>
      </c>
      <c r="AH606" s="26" t="s">
        <v>3276</v>
      </c>
      <c r="AI606" s="40"/>
      <c r="AJ606" s="26"/>
      <c r="AK606" s="26"/>
      <c r="AL606" s="35"/>
      <c r="AM606" s="35"/>
      <c r="AN606" s="35"/>
      <c r="AO606" s="35"/>
      <c r="AP606" s="35"/>
    </row>
    <row r="607" spans="1:42" x14ac:dyDescent="0.2">
      <c r="A607" s="27">
        <v>45150.660046655088</v>
      </c>
      <c r="B607" s="28" t="s">
        <v>37</v>
      </c>
      <c r="C607" s="41" t="s">
        <v>118</v>
      </c>
      <c r="D607" s="26" t="s">
        <v>36</v>
      </c>
      <c r="E607" s="26" t="s">
        <v>139</v>
      </c>
      <c r="F607" s="26" t="s">
        <v>1397</v>
      </c>
      <c r="G607" s="26" t="s">
        <v>108</v>
      </c>
      <c r="H607" s="26" t="s">
        <v>2381</v>
      </c>
      <c r="I607" s="17">
        <f ca="1">IFERROR(__xludf.DUMMYFUNCTION("""COMPUTED_VALUE"""),45224)</f>
        <v>45224</v>
      </c>
      <c r="J607" s="29" t="s">
        <v>2470</v>
      </c>
      <c r="K607" s="26" t="s">
        <v>3277</v>
      </c>
      <c r="L607" s="30">
        <v>846864818</v>
      </c>
      <c r="M607" s="26" t="s">
        <v>123</v>
      </c>
      <c r="N607" s="26" t="s">
        <v>2472</v>
      </c>
      <c r="O607" s="26" t="s">
        <v>1226</v>
      </c>
      <c r="P607" s="42" t="s">
        <v>3278</v>
      </c>
      <c r="Q607" s="20">
        <v>15936</v>
      </c>
      <c r="R607" s="26" t="s">
        <v>36</v>
      </c>
      <c r="S607" s="31">
        <v>2000</v>
      </c>
      <c r="T607" s="32">
        <v>45149</v>
      </c>
      <c r="U607" s="31">
        <v>13936</v>
      </c>
      <c r="V607" s="32">
        <v>45174</v>
      </c>
      <c r="W607" s="33" t="s">
        <v>2474</v>
      </c>
      <c r="X607" s="26"/>
      <c r="Y607" s="22">
        <v>0</v>
      </c>
      <c r="Z607" s="26" t="s">
        <v>50</v>
      </c>
      <c r="AA607" s="19" t="s">
        <v>2449</v>
      </c>
      <c r="AB607" s="26" t="s">
        <v>128</v>
      </c>
      <c r="AC607" s="26" t="s">
        <v>53</v>
      </c>
      <c r="AD607" s="19" t="s">
        <v>54</v>
      </c>
      <c r="AE607" s="26"/>
      <c r="AF607" s="17">
        <v>45225</v>
      </c>
      <c r="AG607" s="26"/>
      <c r="AH607" s="26"/>
      <c r="AI607" s="40"/>
      <c r="AJ607" s="26"/>
      <c r="AK607" s="26"/>
      <c r="AL607" s="35"/>
      <c r="AM607" s="35"/>
      <c r="AN607" s="35"/>
      <c r="AO607" s="35"/>
      <c r="AP607" s="35"/>
    </row>
    <row r="608" spans="1:42" x14ac:dyDescent="0.2">
      <c r="A608" s="27">
        <v>45209.588030185187</v>
      </c>
      <c r="B608" s="28" t="s">
        <v>37</v>
      </c>
      <c r="C608" s="41" t="s">
        <v>118</v>
      </c>
      <c r="D608" s="26" t="s">
        <v>36</v>
      </c>
      <c r="E608" s="26" t="s">
        <v>39</v>
      </c>
      <c r="F608" s="26" t="s">
        <v>2301</v>
      </c>
      <c r="G608" s="26" t="s">
        <v>41</v>
      </c>
      <c r="H608" s="26" t="s">
        <v>3279</v>
      </c>
      <c r="I608" s="17">
        <f ca="1">IFERROR(__xludf.DUMMYFUNCTION("""COMPUTED_VALUE"""),45308)</f>
        <v>45308</v>
      </c>
      <c r="J608" s="29" t="s">
        <v>3280</v>
      </c>
      <c r="K608" s="26" t="s">
        <v>3281</v>
      </c>
      <c r="L608" s="30">
        <v>325495610</v>
      </c>
      <c r="M608" s="26" t="s">
        <v>94</v>
      </c>
      <c r="N608" s="26" t="s">
        <v>3282</v>
      </c>
      <c r="O608" s="26" t="s">
        <v>36</v>
      </c>
      <c r="P608" s="42" t="s">
        <v>3283</v>
      </c>
      <c r="Q608" s="20">
        <v>5736</v>
      </c>
      <c r="R608" s="26" t="s">
        <v>36</v>
      </c>
      <c r="S608" s="21">
        <v>1000</v>
      </c>
      <c r="T608" s="32">
        <v>45152</v>
      </c>
      <c r="U608" s="31">
        <v>4736</v>
      </c>
      <c r="V608" s="45">
        <v>45198</v>
      </c>
      <c r="W608" s="33" t="s">
        <v>3284</v>
      </c>
      <c r="X608" s="26"/>
      <c r="Y608" s="22">
        <v>0</v>
      </c>
      <c r="Z608" s="26" t="s">
        <v>50</v>
      </c>
      <c r="AA608" s="19" t="s">
        <v>2449</v>
      </c>
      <c r="AB608" s="26" t="s">
        <v>104</v>
      </c>
      <c r="AC608" s="26" t="s">
        <v>53</v>
      </c>
      <c r="AD608" s="19" t="s">
        <v>54</v>
      </c>
      <c r="AE608" s="26"/>
      <c r="AF608" s="43">
        <v>45211</v>
      </c>
      <c r="AG608" s="26"/>
      <c r="AH608" s="26"/>
      <c r="AI608" s="40"/>
      <c r="AJ608" s="26"/>
      <c r="AK608" s="26"/>
      <c r="AL608" s="35"/>
      <c r="AM608" s="35"/>
      <c r="AN608" s="35"/>
      <c r="AO608" s="35"/>
      <c r="AP608" s="35"/>
    </row>
    <row r="609" spans="1:42" x14ac:dyDescent="0.2">
      <c r="A609" s="27">
        <v>45209.59883787037</v>
      </c>
      <c r="B609" s="28" t="s">
        <v>37</v>
      </c>
      <c r="C609" s="41" t="s">
        <v>105</v>
      </c>
      <c r="D609" s="26" t="s">
        <v>36</v>
      </c>
      <c r="E609" s="80" t="s">
        <v>106</v>
      </c>
      <c r="F609" s="26" t="s">
        <v>512</v>
      </c>
      <c r="G609" s="26" t="s">
        <v>108</v>
      </c>
      <c r="H609" s="26" t="s">
        <v>3285</v>
      </c>
      <c r="I609" s="17">
        <f ca="1">IFERROR(__xludf.DUMMYFUNCTION("""COMPUTED_VALUE"""),45229)</f>
        <v>45229</v>
      </c>
      <c r="J609" s="29" t="s">
        <v>3286</v>
      </c>
      <c r="K609" s="26" t="s">
        <v>3287</v>
      </c>
      <c r="L609" s="30">
        <v>965010104</v>
      </c>
      <c r="M609" s="80" t="s">
        <v>3288</v>
      </c>
      <c r="N609" s="80" t="s">
        <v>200</v>
      </c>
      <c r="O609" s="26" t="s">
        <v>36</v>
      </c>
      <c r="P609" s="26" t="s">
        <v>3289</v>
      </c>
      <c r="Q609" s="20">
        <v>3768</v>
      </c>
      <c r="R609" s="26" t="s">
        <v>36</v>
      </c>
      <c r="S609" s="77">
        <v>3768</v>
      </c>
      <c r="T609" s="78">
        <v>45194</v>
      </c>
      <c r="U609" s="77"/>
      <c r="V609" s="78"/>
      <c r="W609" s="79" t="s">
        <v>3290</v>
      </c>
      <c r="X609" s="80">
        <v>0</v>
      </c>
      <c r="Y609" s="22">
        <v>0</v>
      </c>
      <c r="Z609" s="80" t="s">
        <v>50</v>
      </c>
      <c r="AA609" s="96" t="s">
        <v>3291</v>
      </c>
      <c r="AB609" s="26" t="s">
        <v>137</v>
      </c>
      <c r="AC609" s="26" t="s">
        <v>53</v>
      </c>
      <c r="AD609" s="19" t="s">
        <v>138</v>
      </c>
      <c r="AE609" s="26" t="s">
        <v>3292</v>
      </c>
      <c r="AF609" s="43">
        <v>45229</v>
      </c>
      <c r="AG609" s="26" t="s">
        <v>1631</v>
      </c>
      <c r="AH609" s="26"/>
      <c r="AI609" s="40"/>
      <c r="AJ609" s="26"/>
      <c r="AK609" s="26"/>
      <c r="AL609" s="35"/>
      <c r="AM609" s="35"/>
      <c r="AN609" s="35"/>
      <c r="AO609" s="35"/>
      <c r="AP609" s="35"/>
    </row>
    <row r="610" spans="1:42" x14ac:dyDescent="0.2">
      <c r="A610" s="27">
        <v>45119.147364004632</v>
      </c>
      <c r="B610" s="28" t="s">
        <v>37</v>
      </c>
      <c r="C610" s="41" t="s">
        <v>118</v>
      </c>
      <c r="D610" s="26" t="s">
        <v>36</v>
      </c>
      <c r="E610" s="26" t="s">
        <v>119</v>
      </c>
      <c r="F610" s="26" t="s">
        <v>324</v>
      </c>
      <c r="G610" s="26" t="s">
        <v>221</v>
      </c>
      <c r="H610" s="26" t="s">
        <v>2121</v>
      </c>
      <c r="I610" s="17">
        <f ca="1">IFERROR(__xludf.DUMMYFUNCTION("""COMPUTED_VALUE"""),45230)</f>
        <v>45230</v>
      </c>
      <c r="J610" s="29" t="s">
        <v>979</v>
      </c>
      <c r="K610" s="26" t="s">
        <v>980</v>
      </c>
      <c r="L610" s="30">
        <v>918498353</v>
      </c>
      <c r="M610" s="26" t="s">
        <v>123</v>
      </c>
      <c r="N610" s="26" t="s">
        <v>151</v>
      </c>
      <c r="O610" s="26" t="s">
        <v>981</v>
      </c>
      <c r="P610" s="42" t="s">
        <v>3293</v>
      </c>
      <c r="Q610" s="20">
        <v>13968</v>
      </c>
      <c r="R610" s="26" t="s">
        <v>36</v>
      </c>
      <c r="S610" s="31">
        <v>2000</v>
      </c>
      <c r="T610" s="32">
        <v>45119</v>
      </c>
      <c r="U610" s="31">
        <f>2000+9968</f>
        <v>11968</v>
      </c>
      <c r="V610" s="26" t="s">
        <v>983</v>
      </c>
      <c r="W610" s="33" t="s">
        <v>984</v>
      </c>
      <c r="X610" s="26">
        <v>0</v>
      </c>
      <c r="Y610" s="22">
        <v>0</v>
      </c>
      <c r="Z610" s="34" t="s">
        <v>50</v>
      </c>
      <c r="AA610" s="19" t="s">
        <v>901</v>
      </c>
      <c r="AB610" s="26" t="s">
        <v>116</v>
      </c>
      <c r="AC610" s="26" t="s">
        <v>53</v>
      </c>
      <c r="AD610" s="19" t="s">
        <v>54</v>
      </c>
      <c r="AE610" s="26"/>
      <c r="AF610" s="43">
        <v>45219</v>
      </c>
      <c r="AG610" s="42"/>
      <c r="AH610" s="26">
        <v>1</v>
      </c>
      <c r="AI610" s="40">
        <v>4</v>
      </c>
      <c r="AJ610" s="26"/>
      <c r="AK610" s="26"/>
      <c r="AL610" s="35"/>
      <c r="AM610" s="35"/>
      <c r="AN610" s="35"/>
      <c r="AO610" s="35"/>
      <c r="AP610" s="35"/>
    </row>
    <row r="611" spans="1:42" x14ac:dyDescent="0.2">
      <c r="A611" s="27">
        <v>45149.064839861108</v>
      </c>
      <c r="B611" s="28" t="s">
        <v>37</v>
      </c>
      <c r="C611" s="41" t="s">
        <v>118</v>
      </c>
      <c r="D611" s="26" t="s">
        <v>36</v>
      </c>
      <c r="E611" s="26" t="s">
        <v>139</v>
      </c>
      <c r="F611" s="26" t="s">
        <v>678</v>
      </c>
      <c r="G611" s="26" t="s">
        <v>108</v>
      </c>
      <c r="H611" s="26" t="s">
        <v>3285</v>
      </c>
      <c r="I611" s="17">
        <f ca="1">IFERROR(__xludf.DUMMYFUNCTION("""COMPUTED_VALUE"""),45229)</f>
        <v>45229</v>
      </c>
      <c r="J611" s="29" t="s">
        <v>1422</v>
      </c>
      <c r="K611" s="26" t="s">
        <v>3294</v>
      </c>
      <c r="L611" s="30">
        <v>988523219</v>
      </c>
      <c r="M611" s="26" t="s">
        <v>391</v>
      </c>
      <c r="N611" s="26" t="s">
        <v>1424</v>
      </c>
      <c r="O611" s="26" t="s">
        <v>1425</v>
      </c>
      <c r="P611" s="42" t="s">
        <v>1426</v>
      </c>
      <c r="Q611" s="20">
        <v>15936</v>
      </c>
      <c r="R611" s="26" t="s">
        <v>36</v>
      </c>
      <c r="S611" s="31">
        <v>1000</v>
      </c>
      <c r="T611" s="32">
        <v>45138</v>
      </c>
      <c r="U611" s="31">
        <v>14936</v>
      </c>
      <c r="V611" s="32">
        <v>45148</v>
      </c>
      <c r="W611" s="26" t="s">
        <v>1427</v>
      </c>
      <c r="X611" s="26">
        <v>0</v>
      </c>
      <c r="Y611" s="22">
        <v>0</v>
      </c>
      <c r="Z611" s="34" t="s">
        <v>50</v>
      </c>
      <c r="AA611" s="19" t="s">
        <v>901</v>
      </c>
      <c r="AB611" s="26" t="s">
        <v>104</v>
      </c>
      <c r="AC611" s="26" t="s">
        <v>53</v>
      </c>
      <c r="AD611" s="19" t="s">
        <v>54</v>
      </c>
      <c r="AE611" s="26"/>
      <c r="AF611" s="43">
        <v>45229</v>
      </c>
      <c r="AG611" s="26" t="s">
        <v>1631</v>
      </c>
      <c r="AH611" s="26">
        <v>1</v>
      </c>
      <c r="AI611" s="40" t="s">
        <v>147</v>
      </c>
      <c r="AJ611" s="26"/>
      <c r="AK611" s="26"/>
      <c r="AL611" s="35"/>
      <c r="AM611" s="35"/>
      <c r="AN611" s="35"/>
      <c r="AO611" s="35"/>
      <c r="AP611" s="35"/>
    </row>
    <row r="612" spans="1:42" x14ac:dyDescent="0.2">
      <c r="A612" s="27">
        <v>45155.544584571762</v>
      </c>
      <c r="B612" s="28" t="s">
        <v>37</v>
      </c>
      <c r="C612" s="41" t="s">
        <v>118</v>
      </c>
      <c r="D612" s="26" t="s">
        <v>36</v>
      </c>
      <c r="E612" s="26" t="s">
        <v>39</v>
      </c>
      <c r="F612" s="26" t="s">
        <v>129</v>
      </c>
      <c r="G612" s="26" t="s">
        <v>108</v>
      </c>
      <c r="H612" s="26" t="s">
        <v>3295</v>
      </c>
      <c r="I612" s="17">
        <f ca="1">IFERROR(__xludf.DUMMYFUNCTION("""COMPUTED_VALUE"""),45247)</f>
        <v>45247</v>
      </c>
      <c r="J612" s="29" t="s">
        <v>1573</v>
      </c>
      <c r="K612" s="26" t="s">
        <v>3296</v>
      </c>
      <c r="L612" s="30">
        <v>979927513</v>
      </c>
      <c r="M612" s="26" t="s">
        <v>123</v>
      </c>
      <c r="N612" s="26" t="s">
        <v>310</v>
      </c>
      <c r="O612" s="26" t="s">
        <v>1575</v>
      </c>
      <c r="P612" s="42" t="s">
        <v>3297</v>
      </c>
      <c r="Q612" s="20">
        <v>5736</v>
      </c>
      <c r="R612" s="26" t="s">
        <v>36</v>
      </c>
      <c r="S612" s="31">
        <v>5736</v>
      </c>
      <c r="T612" s="32">
        <v>45155</v>
      </c>
      <c r="U612" s="31"/>
      <c r="V612" s="26"/>
      <c r="W612" s="33" t="s">
        <v>1577</v>
      </c>
      <c r="X612" s="26">
        <v>0</v>
      </c>
      <c r="Y612" s="22">
        <v>0</v>
      </c>
      <c r="Z612" s="34" t="s">
        <v>50</v>
      </c>
      <c r="AA612" s="19" t="s">
        <v>901</v>
      </c>
      <c r="AB612" s="26" t="s">
        <v>128</v>
      </c>
      <c r="AC612" s="26" t="s">
        <v>53</v>
      </c>
      <c r="AD612" s="19" t="s">
        <v>54</v>
      </c>
      <c r="AE612" s="26" t="s">
        <v>3298</v>
      </c>
      <c r="AF612" s="43">
        <v>45259</v>
      </c>
      <c r="AG612" s="26" t="s">
        <v>3299</v>
      </c>
      <c r="AH612" s="26">
        <v>1</v>
      </c>
      <c r="AI612" s="40" t="s">
        <v>55</v>
      </c>
      <c r="AJ612" s="26"/>
      <c r="AK612" s="26"/>
      <c r="AL612" s="35"/>
      <c r="AM612" s="35"/>
      <c r="AN612" s="35"/>
      <c r="AO612" s="35"/>
      <c r="AP612" s="35"/>
    </row>
    <row r="613" spans="1:42" x14ac:dyDescent="0.2">
      <c r="A613" s="27">
        <v>45120.644970717593</v>
      </c>
      <c r="B613" s="28" t="s">
        <v>37</v>
      </c>
      <c r="C613" s="41" t="s">
        <v>118</v>
      </c>
      <c r="D613" s="26" t="s">
        <v>36</v>
      </c>
      <c r="E613" s="26" t="s">
        <v>39</v>
      </c>
      <c r="F613" s="26" t="s">
        <v>443</v>
      </c>
      <c r="G613" s="26" t="s">
        <v>108</v>
      </c>
      <c r="H613" s="26" t="s">
        <v>2016</v>
      </c>
      <c r="I613" s="17">
        <f ca="1">IFERROR(__xludf.DUMMYFUNCTION("""COMPUTED_VALUE"""),45365)</f>
        <v>45365</v>
      </c>
      <c r="J613" s="29" t="s">
        <v>444</v>
      </c>
      <c r="K613" s="26" t="s">
        <v>3300</v>
      </c>
      <c r="L613" s="30">
        <v>369989557</v>
      </c>
      <c r="M613" s="26" t="s">
        <v>391</v>
      </c>
      <c r="N613" s="26" t="s">
        <v>446</v>
      </c>
      <c r="O613" s="26" t="s">
        <v>427</v>
      </c>
      <c r="P613" s="26" t="s">
        <v>447</v>
      </c>
      <c r="Q613" s="20">
        <v>5736</v>
      </c>
      <c r="R613" s="26" t="s">
        <v>36</v>
      </c>
      <c r="S613" s="31">
        <v>5736</v>
      </c>
      <c r="T613" s="32">
        <v>45109</v>
      </c>
      <c r="U613" s="31"/>
      <c r="V613" s="26"/>
      <c r="W613" s="33" t="s">
        <v>448</v>
      </c>
      <c r="X613" s="26">
        <v>0</v>
      </c>
      <c r="Y613" s="22">
        <v>0</v>
      </c>
      <c r="Z613" s="34" t="s">
        <v>50</v>
      </c>
      <c r="AA613" s="19" t="s">
        <v>51</v>
      </c>
      <c r="AB613" s="26" t="s">
        <v>104</v>
      </c>
      <c r="AC613" s="26" t="s">
        <v>53</v>
      </c>
      <c r="AD613" s="19" t="s">
        <v>54</v>
      </c>
      <c r="AE613" s="26"/>
      <c r="AF613" s="43">
        <v>45216</v>
      </c>
      <c r="AG613" s="91"/>
      <c r="AH613" s="92"/>
      <c r="AI613" s="92"/>
      <c r="AJ613" s="35"/>
      <c r="AK613" s="35"/>
      <c r="AL613" s="35"/>
      <c r="AM613" s="35"/>
      <c r="AN613" s="35"/>
      <c r="AO613" s="35"/>
      <c r="AP613" s="35"/>
    </row>
    <row r="614" spans="1:42" x14ac:dyDescent="0.2">
      <c r="A614" s="97">
        <v>45215</v>
      </c>
      <c r="B614" s="68" t="s">
        <v>37</v>
      </c>
      <c r="C614" s="41" t="s">
        <v>118</v>
      </c>
      <c r="D614" s="26" t="s">
        <v>36</v>
      </c>
      <c r="E614" s="26" t="s">
        <v>56</v>
      </c>
      <c r="F614" s="26" t="s">
        <v>3301</v>
      </c>
      <c r="G614" s="26" t="s">
        <v>41</v>
      </c>
      <c r="H614" s="35" t="s">
        <v>3302</v>
      </c>
      <c r="I614" s="17">
        <f ca="1">IFERROR(__xludf.DUMMYFUNCTION("""COMPUTED_VALUE"""),45224)</f>
        <v>45224</v>
      </c>
      <c r="J614" s="29" t="s">
        <v>3303</v>
      </c>
      <c r="K614" s="26" t="s">
        <v>3304</v>
      </c>
      <c r="L614" s="30">
        <v>373237882</v>
      </c>
      <c r="M614" s="26" t="s">
        <v>1245</v>
      </c>
      <c r="N614" s="26" t="s">
        <v>1750</v>
      </c>
      <c r="O614" s="26" t="s">
        <v>91</v>
      </c>
      <c r="P614" s="72" t="s">
        <v>3305</v>
      </c>
      <c r="Q614" s="20">
        <v>16779</v>
      </c>
      <c r="R614" s="26" t="s">
        <v>36</v>
      </c>
      <c r="S614" s="31">
        <v>12000</v>
      </c>
      <c r="T614" s="32">
        <v>44844</v>
      </c>
      <c r="U614" s="31">
        <v>4779</v>
      </c>
      <c r="V614" s="32">
        <v>44845</v>
      </c>
      <c r="W614" s="33" t="s">
        <v>3306</v>
      </c>
      <c r="X614" s="35"/>
      <c r="Y614" s="20">
        <v>0</v>
      </c>
      <c r="Z614" s="98" t="s">
        <v>118</v>
      </c>
      <c r="AA614" s="19" t="s">
        <v>3307</v>
      </c>
      <c r="AB614" s="26" t="s">
        <v>104</v>
      </c>
      <c r="AC614" s="26" t="s">
        <v>53</v>
      </c>
      <c r="AD614" s="19" t="s">
        <v>54</v>
      </c>
      <c r="AE614" s="99"/>
      <c r="AF614" s="43">
        <v>45216</v>
      </c>
      <c r="AG614" s="91"/>
      <c r="AH614" s="92"/>
      <c r="AI614" s="35"/>
      <c r="AJ614" s="35"/>
      <c r="AK614" s="35"/>
      <c r="AL614" s="35"/>
      <c r="AM614" s="35"/>
      <c r="AN614" s="35"/>
      <c r="AO614" s="35"/>
      <c r="AP614" s="35"/>
    </row>
    <row r="615" spans="1:42" x14ac:dyDescent="0.2">
      <c r="A615" s="27">
        <v>45113.285887881946</v>
      </c>
      <c r="B615" s="28" t="s">
        <v>37</v>
      </c>
      <c r="C615" s="41" t="s">
        <v>118</v>
      </c>
      <c r="D615" s="26" t="s">
        <v>36</v>
      </c>
      <c r="E615" s="26" t="s">
        <v>148</v>
      </c>
      <c r="F615" s="26" t="s">
        <v>172</v>
      </c>
      <c r="G615" s="26" t="s">
        <v>221</v>
      </c>
      <c r="H615" s="26" t="s">
        <v>3308</v>
      </c>
      <c r="I615" s="17">
        <f ca="1">IFERROR(__xludf.DUMMYFUNCTION("""COMPUTED_VALUE"""),45233)</f>
        <v>45233</v>
      </c>
      <c r="J615" s="29" t="s">
        <v>184</v>
      </c>
      <c r="K615" s="26" t="s">
        <v>185</v>
      </c>
      <c r="L615" s="30">
        <v>363267347</v>
      </c>
      <c r="M615" s="26" t="s">
        <v>80</v>
      </c>
      <c r="N615" s="26" t="s">
        <v>186</v>
      </c>
      <c r="O615" s="26" t="s">
        <v>187</v>
      </c>
      <c r="P615" s="42" t="s">
        <v>3309</v>
      </c>
      <c r="Q615" s="20">
        <v>7349</v>
      </c>
      <c r="R615" s="26" t="s">
        <v>36</v>
      </c>
      <c r="S615" s="31">
        <v>2000</v>
      </c>
      <c r="T615" s="32">
        <v>45113</v>
      </c>
      <c r="U615" s="31">
        <f>2000+3349</f>
        <v>5349</v>
      </c>
      <c r="V615" s="26" t="s">
        <v>189</v>
      </c>
      <c r="W615" s="33" t="s">
        <v>190</v>
      </c>
      <c r="X615" s="26">
        <v>0</v>
      </c>
      <c r="Y615" s="22">
        <v>0</v>
      </c>
      <c r="Z615" s="34" t="s">
        <v>50</v>
      </c>
      <c r="AA615" s="19" t="s">
        <v>51</v>
      </c>
      <c r="AB615" s="26" t="s">
        <v>128</v>
      </c>
      <c r="AC615" s="26" t="s">
        <v>53</v>
      </c>
      <c r="AD615" s="19" t="s">
        <v>54</v>
      </c>
      <c r="AE615" s="26">
        <v>400</v>
      </c>
      <c r="AF615" s="17">
        <v>45223</v>
      </c>
      <c r="AG615" s="26"/>
      <c r="AH615" s="26">
        <v>1</v>
      </c>
      <c r="AI615" s="40">
        <v>2</v>
      </c>
      <c r="AJ615" s="26"/>
      <c r="AK615" s="26"/>
      <c r="AL615" s="35"/>
      <c r="AM615" s="35"/>
      <c r="AN615" s="35"/>
      <c r="AO615" s="35"/>
      <c r="AP615" s="35"/>
    </row>
    <row r="616" spans="1:42" x14ac:dyDescent="0.2">
      <c r="A616" s="27">
        <v>45113.486363483797</v>
      </c>
      <c r="B616" s="28" t="s">
        <v>37</v>
      </c>
      <c r="C616" s="41" t="s">
        <v>118</v>
      </c>
      <c r="D616" s="26" t="s">
        <v>36</v>
      </c>
      <c r="E616" s="26" t="s">
        <v>119</v>
      </c>
      <c r="F616" s="26" t="s">
        <v>172</v>
      </c>
      <c r="G616" s="26" t="s">
        <v>221</v>
      </c>
      <c r="H616" s="26" t="s">
        <v>3308</v>
      </c>
      <c r="I616" s="17">
        <f ca="1">IFERROR(__xludf.DUMMYFUNCTION("""COMPUTED_VALUE"""),45233)</f>
        <v>45233</v>
      </c>
      <c r="J616" s="29" t="s">
        <v>205</v>
      </c>
      <c r="K616" s="26" t="s">
        <v>206</v>
      </c>
      <c r="L616" s="30">
        <v>945064515</v>
      </c>
      <c r="M616" s="26" t="s">
        <v>123</v>
      </c>
      <c r="N616" s="26" t="s">
        <v>207</v>
      </c>
      <c r="O616" s="26" t="s">
        <v>134</v>
      </c>
      <c r="P616" s="42" t="s">
        <v>3310</v>
      </c>
      <c r="Q616" s="20">
        <v>13968</v>
      </c>
      <c r="R616" s="26" t="s">
        <v>36</v>
      </c>
      <c r="S616" s="31">
        <v>13968</v>
      </c>
      <c r="T616" s="32">
        <v>45113</v>
      </c>
      <c r="U616" s="31"/>
      <c r="V616" s="26"/>
      <c r="W616" s="33" t="s">
        <v>209</v>
      </c>
      <c r="X616" s="26">
        <v>0</v>
      </c>
      <c r="Y616" s="22">
        <v>0</v>
      </c>
      <c r="Z616" s="34" t="s">
        <v>50</v>
      </c>
      <c r="AA616" s="19" t="s">
        <v>51</v>
      </c>
      <c r="AB616" s="26" t="s">
        <v>137</v>
      </c>
      <c r="AC616" s="26" t="s">
        <v>53</v>
      </c>
      <c r="AD616" s="19" t="s">
        <v>54</v>
      </c>
      <c r="AE616" s="26">
        <v>410</v>
      </c>
      <c r="AF616" s="17">
        <v>45223</v>
      </c>
      <c r="AG616" s="26"/>
      <c r="AH616" s="26">
        <v>1</v>
      </c>
      <c r="AI616" s="40">
        <v>4</v>
      </c>
      <c r="AJ616" s="26"/>
      <c r="AK616" s="26"/>
      <c r="AL616" s="35"/>
      <c r="AM616" s="35"/>
      <c r="AN616" s="35"/>
      <c r="AO616" s="35"/>
      <c r="AP616" s="35"/>
    </row>
    <row r="617" spans="1:42" x14ac:dyDescent="0.2">
      <c r="A617" s="27">
        <v>45156.588579502313</v>
      </c>
      <c r="B617" s="28" t="s">
        <v>37</v>
      </c>
      <c r="C617" s="41" t="s">
        <v>118</v>
      </c>
      <c r="D617" s="26" t="s">
        <v>36</v>
      </c>
      <c r="E617" s="26" t="s">
        <v>139</v>
      </c>
      <c r="F617" s="26" t="s">
        <v>129</v>
      </c>
      <c r="G617" s="26" t="s">
        <v>108</v>
      </c>
      <c r="H617" s="26" t="s">
        <v>3311</v>
      </c>
      <c r="I617" s="17" t="str">
        <f ca="1">IFERROR(__xludf.DUMMYFUNCTION("""COMPUTED_VALUE""")," ")</f>
        <v xml:space="preserve"> </v>
      </c>
      <c r="J617" s="29" t="s">
        <v>2499</v>
      </c>
      <c r="K617" s="26" t="s">
        <v>3312</v>
      </c>
      <c r="L617" s="30">
        <v>334264836</v>
      </c>
      <c r="M617" s="26" t="s">
        <v>80</v>
      </c>
      <c r="N617" s="26" t="s">
        <v>299</v>
      </c>
      <c r="O617" s="26" t="s">
        <v>2501</v>
      </c>
      <c r="P617" s="42" t="s">
        <v>2502</v>
      </c>
      <c r="Q617" s="20">
        <v>15936</v>
      </c>
      <c r="R617" s="26" t="s">
        <v>36</v>
      </c>
      <c r="S617" s="31">
        <v>2000</v>
      </c>
      <c r="T617" s="32">
        <v>45156</v>
      </c>
      <c r="U617" s="31">
        <v>13968</v>
      </c>
      <c r="V617" s="32">
        <v>45184</v>
      </c>
      <c r="W617" s="33" t="s">
        <v>2503</v>
      </c>
      <c r="X617" s="26"/>
      <c r="Y617" s="22">
        <v>-32</v>
      </c>
      <c r="Z617" s="26" t="s">
        <v>50</v>
      </c>
      <c r="AA617" s="19" t="s">
        <v>2449</v>
      </c>
      <c r="AB617" s="26" t="s">
        <v>104</v>
      </c>
      <c r="AC617" s="26" t="s">
        <v>53</v>
      </c>
      <c r="AD617" s="19" t="s">
        <v>54</v>
      </c>
      <c r="AE617" s="26">
        <v>0</v>
      </c>
      <c r="AF617" s="43">
        <v>45218</v>
      </c>
      <c r="AG617" s="26"/>
      <c r="AH617" s="26"/>
      <c r="AI617" s="40"/>
      <c r="AJ617" s="26"/>
      <c r="AK617" s="26"/>
      <c r="AL617" s="35"/>
      <c r="AM617" s="35"/>
      <c r="AN617" s="35"/>
      <c r="AO617" s="35"/>
      <c r="AP617" s="35"/>
    </row>
    <row r="618" spans="1:42" x14ac:dyDescent="0.2">
      <c r="A618" s="14">
        <v>44930.692571006948</v>
      </c>
      <c r="B618" s="28" t="s">
        <v>37</v>
      </c>
      <c r="C618" s="41" t="s">
        <v>118</v>
      </c>
      <c r="D618" s="26" t="s">
        <v>36</v>
      </c>
      <c r="E618" s="26" t="s">
        <v>148</v>
      </c>
      <c r="F618" s="28" t="s">
        <v>3313</v>
      </c>
      <c r="G618" s="35" t="s">
        <v>108</v>
      </c>
      <c r="H618" s="35" t="s">
        <v>3314</v>
      </c>
      <c r="I618" s="17">
        <f ca="1">IFERROR(__xludf.DUMMYFUNCTION("""COMPUTED_VALUE"""),45236)</f>
        <v>45236</v>
      </c>
      <c r="J618" s="29" t="s">
        <v>3315</v>
      </c>
      <c r="K618" s="26" t="s">
        <v>3316</v>
      </c>
      <c r="L618" s="30">
        <v>352223005</v>
      </c>
      <c r="M618" s="26" t="s">
        <v>80</v>
      </c>
      <c r="N618" s="26" t="s">
        <v>87</v>
      </c>
      <c r="O618" s="26" t="s">
        <v>2359</v>
      </c>
      <c r="P618" s="35"/>
      <c r="Q618" s="20">
        <v>7349</v>
      </c>
      <c r="R618" s="26" t="s">
        <v>36</v>
      </c>
      <c r="S618" s="31">
        <v>14055</v>
      </c>
      <c r="T618" s="32">
        <v>44927</v>
      </c>
      <c r="U618" s="26"/>
      <c r="V618" s="32"/>
      <c r="W618" s="33" t="s">
        <v>3317</v>
      </c>
      <c r="X618" s="26">
        <v>0</v>
      </c>
      <c r="Y618" s="22">
        <v>0</v>
      </c>
      <c r="Z618" s="26" t="s">
        <v>50</v>
      </c>
      <c r="AA618" s="19" t="s">
        <v>3318</v>
      </c>
      <c r="AB618" s="26" t="s">
        <v>137</v>
      </c>
      <c r="AC618" s="26" t="s">
        <v>53</v>
      </c>
      <c r="AD618" s="19" t="s">
        <v>54</v>
      </c>
      <c r="AE618" s="99"/>
      <c r="AF618" s="43">
        <v>45230</v>
      </c>
      <c r="AG618" s="100" t="s">
        <v>3319</v>
      </c>
      <c r="AH618" s="92"/>
      <c r="AI618" s="92"/>
      <c r="AJ618" s="35"/>
      <c r="AK618" s="35"/>
      <c r="AL618" s="35"/>
      <c r="AM618" s="35"/>
      <c r="AN618" s="35"/>
      <c r="AO618" s="35"/>
      <c r="AP618" s="35"/>
    </row>
    <row r="619" spans="1:42" x14ac:dyDescent="0.2">
      <c r="A619" s="27">
        <v>44839.628763356479</v>
      </c>
      <c r="B619" s="68" t="s">
        <v>37</v>
      </c>
      <c r="C619" s="41" t="s">
        <v>118</v>
      </c>
      <c r="D619" s="26" t="s">
        <v>36</v>
      </c>
      <c r="E619" s="26" t="s">
        <v>106</v>
      </c>
      <c r="F619" s="28" t="s">
        <v>3313</v>
      </c>
      <c r="G619" s="35" t="s">
        <v>108</v>
      </c>
      <c r="H619" s="35" t="s">
        <v>3314</v>
      </c>
      <c r="I619" s="17">
        <f ca="1">IFERROR(__xludf.DUMMYFUNCTION("""COMPUTED_VALUE"""),45236)</f>
        <v>45236</v>
      </c>
      <c r="J619" s="44" t="s">
        <v>3320</v>
      </c>
      <c r="K619" s="26" t="s">
        <v>3321</v>
      </c>
      <c r="L619" s="30">
        <v>378143076</v>
      </c>
      <c r="M619" s="26" t="s">
        <v>80</v>
      </c>
      <c r="N619" s="26" t="s">
        <v>3322</v>
      </c>
      <c r="O619" s="67" t="s">
        <v>3323</v>
      </c>
      <c r="P619" s="35" t="s">
        <v>3324</v>
      </c>
      <c r="Q619" s="20">
        <v>3768</v>
      </c>
      <c r="R619" s="26" t="s">
        <v>36</v>
      </c>
      <c r="S619" s="31">
        <v>10804</v>
      </c>
      <c r="T619" s="32">
        <v>44839</v>
      </c>
      <c r="U619" s="26"/>
      <c r="V619" s="32" t="s">
        <v>3325</v>
      </c>
      <c r="W619" s="33" t="s">
        <v>3326</v>
      </c>
      <c r="X619" s="26">
        <v>0</v>
      </c>
      <c r="Y619" s="22">
        <v>0</v>
      </c>
      <c r="Z619" s="26" t="s">
        <v>118</v>
      </c>
      <c r="AA619" s="19" t="s">
        <v>3327</v>
      </c>
      <c r="AB619" s="26" t="s">
        <v>137</v>
      </c>
      <c r="AC619" s="26" t="s">
        <v>53</v>
      </c>
      <c r="AD619" s="19" t="s">
        <v>54</v>
      </c>
      <c r="AE619" s="99"/>
      <c r="AF619" s="43">
        <v>45230</v>
      </c>
      <c r="AG619" s="100" t="s">
        <v>3319</v>
      </c>
      <c r="AH619" s="92"/>
      <c r="AI619" s="92"/>
      <c r="AJ619" s="35"/>
      <c r="AK619" s="35"/>
      <c r="AL619" s="35"/>
      <c r="AM619" s="35"/>
      <c r="AN619" s="35"/>
      <c r="AO619" s="35"/>
      <c r="AP619" s="35"/>
    </row>
    <row r="620" spans="1:42" x14ac:dyDescent="0.2">
      <c r="A620" s="27">
        <v>45158.635843217591</v>
      </c>
      <c r="B620" s="28" t="s">
        <v>37</v>
      </c>
      <c r="C620" s="41" t="s">
        <v>118</v>
      </c>
      <c r="D620" s="26" t="s">
        <v>36</v>
      </c>
      <c r="E620" s="26" t="s">
        <v>56</v>
      </c>
      <c r="F620" s="26" t="s">
        <v>129</v>
      </c>
      <c r="G620" s="35" t="s">
        <v>108</v>
      </c>
      <c r="H620" s="26" t="s">
        <v>3328</v>
      </c>
      <c r="I620" s="17" t="str">
        <f ca="1">IFERROR(__xludf.DUMMYFUNCTION("""COMPUTED_VALUE""")," ")</f>
        <v xml:space="preserve"> </v>
      </c>
      <c r="J620" s="29" t="s">
        <v>1620</v>
      </c>
      <c r="K620" s="26" t="s">
        <v>3329</v>
      </c>
      <c r="L620" s="30">
        <v>382718982</v>
      </c>
      <c r="M620" s="26" t="s">
        <v>112</v>
      </c>
      <c r="N620" s="26" t="s">
        <v>3330</v>
      </c>
      <c r="O620" s="26" t="s">
        <v>1623</v>
      </c>
      <c r="P620" s="42" t="s">
        <v>3331</v>
      </c>
      <c r="Q620" s="20">
        <v>9317</v>
      </c>
      <c r="R620" s="26" t="s">
        <v>36</v>
      </c>
      <c r="S620" s="31">
        <v>9317</v>
      </c>
      <c r="T620" s="32">
        <v>45158</v>
      </c>
      <c r="U620" s="31"/>
      <c r="V620" s="26"/>
      <c r="W620" s="33" t="s">
        <v>1625</v>
      </c>
      <c r="X620" s="26">
        <v>0</v>
      </c>
      <c r="Y620" s="22">
        <v>0</v>
      </c>
      <c r="Z620" s="34" t="s">
        <v>50</v>
      </c>
      <c r="AA620" s="19" t="s">
        <v>901</v>
      </c>
      <c r="AB620" s="26" t="s">
        <v>154</v>
      </c>
      <c r="AC620" s="26" t="s">
        <v>53</v>
      </c>
      <c r="AD620" s="19" t="s">
        <v>54</v>
      </c>
      <c r="AE620" s="26" t="s">
        <v>3332</v>
      </c>
      <c r="AF620" s="43">
        <v>45218</v>
      </c>
      <c r="AG620" s="26"/>
      <c r="AH620" s="26">
        <v>1</v>
      </c>
      <c r="AI620" s="40" t="s">
        <v>64</v>
      </c>
      <c r="AJ620" s="26"/>
      <c r="AK620" s="26"/>
      <c r="AL620" s="35"/>
      <c r="AM620" s="35"/>
      <c r="AN620" s="35"/>
      <c r="AO620" s="35"/>
      <c r="AP620" s="35"/>
    </row>
    <row r="621" spans="1:42" x14ac:dyDescent="0.2">
      <c r="A621" s="27">
        <v>45144.543056481481</v>
      </c>
      <c r="B621" s="28" t="s">
        <v>37</v>
      </c>
      <c r="C621" s="41" t="s">
        <v>118</v>
      </c>
      <c r="D621" s="26" t="s">
        <v>36</v>
      </c>
      <c r="E621" s="26" t="s">
        <v>39</v>
      </c>
      <c r="F621" s="26" t="s">
        <v>678</v>
      </c>
      <c r="G621" s="35" t="s">
        <v>108</v>
      </c>
      <c r="H621" s="26" t="s">
        <v>1710</v>
      </c>
      <c r="I621" s="17">
        <f ca="1">IFERROR(__xludf.DUMMYFUNCTION("""COMPUTED_VALUE"""),45293)</f>
        <v>45293</v>
      </c>
      <c r="J621" s="29" t="s">
        <v>1316</v>
      </c>
      <c r="K621" s="19" t="s">
        <v>3333</v>
      </c>
      <c r="L621" s="30">
        <v>337193808</v>
      </c>
      <c r="M621" s="26" t="s">
        <v>910</v>
      </c>
      <c r="N621" s="26" t="s">
        <v>355</v>
      </c>
      <c r="O621" s="26" t="s">
        <v>1318</v>
      </c>
      <c r="P621" s="42" t="s">
        <v>3334</v>
      </c>
      <c r="Q621" s="20">
        <v>5736</v>
      </c>
      <c r="R621" s="26" t="s">
        <v>36</v>
      </c>
      <c r="S621" s="31">
        <v>2000</v>
      </c>
      <c r="T621" s="32">
        <v>45144</v>
      </c>
      <c r="U621" s="31">
        <v>3736</v>
      </c>
      <c r="V621" s="38">
        <v>45158</v>
      </c>
      <c r="W621" s="33" t="s">
        <v>1320</v>
      </c>
      <c r="X621" s="26">
        <v>0</v>
      </c>
      <c r="Y621" s="22">
        <v>0</v>
      </c>
      <c r="Z621" s="34" t="s">
        <v>50</v>
      </c>
      <c r="AA621" s="19" t="s">
        <v>901</v>
      </c>
      <c r="AB621" s="26" t="s">
        <v>104</v>
      </c>
      <c r="AC621" s="26" t="s">
        <v>53</v>
      </c>
      <c r="AD621" s="19" t="s">
        <v>54</v>
      </c>
      <c r="AE621" s="26"/>
      <c r="AF621" s="43">
        <v>45218</v>
      </c>
      <c r="AG621" s="26"/>
      <c r="AH621" s="26">
        <v>1</v>
      </c>
      <c r="AI621" s="40" t="s">
        <v>55</v>
      </c>
      <c r="AJ621" s="26"/>
      <c r="AK621" s="26"/>
      <c r="AL621" s="35"/>
      <c r="AM621" s="35"/>
      <c r="AN621" s="35"/>
      <c r="AO621" s="35"/>
      <c r="AP621" s="35"/>
    </row>
    <row r="622" spans="1:42" x14ac:dyDescent="0.2">
      <c r="A622" s="14">
        <v>45218</v>
      </c>
      <c r="B622" s="68" t="s">
        <v>37</v>
      </c>
      <c r="C622" s="41" t="s">
        <v>118</v>
      </c>
      <c r="D622" s="26" t="s">
        <v>36</v>
      </c>
      <c r="E622" s="26" t="s">
        <v>106</v>
      </c>
      <c r="F622" s="35" t="s">
        <v>3335</v>
      </c>
      <c r="G622" s="35" t="s">
        <v>108</v>
      </c>
      <c r="H622" s="35" t="s">
        <v>3336</v>
      </c>
      <c r="I622" s="17">
        <f ca="1">IFERROR(__xludf.DUMMYFUNCTION("""COMPUTED_VALUE"""),45229)</f>
        <v>45229</v>
      </c>
      <c r="J622" s="29" t="s">
        <v>3337</v>
      </c>
      <c r="K622" s="26" t="s">
        <v>3338</v>
      </c>
      <c r="L622" s="30">
        <v>813599150</v>
      </c>
      <c r="M622" s="35" t="s">
        <v>112</v>
      </c>
      <c r="N622" s="35" t="s">
        <v>3339</v>
      </c>
      <c r="O622" s="35"/>
      <c r="P622" s="72" t="s">
        <v>3340</v>
      </c>
      <c r="Q622" s="20">
        <v>3768</v>
      </c>
      <c r="R622" s="26" t="s">
        <v>36</v>
      </c>
      <c r="S622" s="31">
        <v>3768</v>
      </c>
      <c r="T622" s="32">
        <v>44891</v>
      </c>
      <c r="U622" s="58"/>
      <c r="V622" s="59"/>
      <c r="W622" s="33" t="s">
        <v>3341</v>
      </c>
      <c r="X622" s="26">
        <v>0</v>
      </c>
      <c r="Y622" s="22">
        <v>0</v>
      </c>
      <c r="Z622" s="34" t="s">
        <v>118</v>
      </c>
      <c r="AA622" s="19" t="s">
        <v>3342</v>
      </c>
      <c r="AB622" s="35" t="s">
        <v>1829</v>
      </c>
      <c r="AC622" s="26" t="s">
        <v>53</v>
      </c>
      <c r="AD622" s="19" t="s">
        <v>54</v>
      </c>
      <c r="AE622" s="35" t="s">
        <v>3343</v>
      </c>
      <c r="AF622" s="43">
        <v>45219</v>
      </c>
      <c r="AG622" s="91" t="s">
        <v>3344</v>
      </c>
      <c r="AH622" s="92"/>
      <c r="AI622" s="92"/>
      <c r="AJ622" s="35"/>
      <c r="AK622" s="35"/>
      <c r="AL622" s="35"/>
      <c r="AM622" s="35"/>
      <c r="AN622" s="35"/>
      <c r="AO622" s="35"/>
      <c r="AP622" s="35"/>
    </row>
    <row r="623" spans="1:42" x14ac:dyDescent="0.2">
      <c r="A623" s="27">
        <v>45134.349719363425</v>
      </c>
      <c r="B623" s="28" t="s">
        <v>37</v>
      </c>
      <c r="C623" s="41" t="s">
        <v>118</v>
      </c>
      <c r="D623" s="26" t="s">
        <v>36</v>
      </c>
      <c r="E623" s="26" t="s">
        <v>39</v>
      </c>
      <c r="F623" s="26" t="s">
        <v>707</v>
      </c>
      <c r="G623" s="26" t="s">
        <v>41</v>
      </c>
      <c r="H623" s="26" t="s">
        <v>888</v>
      </c>
      <c r="I623" s="17">
        <f ca="1">IFERROR(__xludf.DUMMYFUNCTION("""COMPUTED_VALUE"""),45191)</f>
        <v>45191</v>
      </c>
      <c r="J623" s="29" t="s">
        <v>718</v>
      </c>
      <c r="K623" s="26" t="s">
        <v>3345</v>
      </c>
      <c r="L623" s="30">
        <v>352598172</v>
      </c>
      <c r="M623" s="26" t="s">
        <v>112</v>
      </c>
      <c r="N623" s="26" t="s">
        <v>310</v>
      </c>
      <c r="O623" s="26" t="s">
        <v>720</v>
      </c>
      <c r="P623" s="26" t="s">
        <v>721</v>
      </c>
      <c r="Q623" s="20">
        <v>5736</v>
      </c>
      <c r="R623" s="26" t="s">
        <v>36</v>
      </c>
      <c r="S623" s="31">
        <v>5736</v>
      </c>
      <c r="T623" s="32">
        <v>45134</v>
      </c>
      <c r="U623" s="31"/>
      <c r="V623" s="26"/>
      <c r="W623" s="33" t="s">
        <v>722</v>
      </c>
      <c r="X623" s="26">
        <v>0</v>
      </c>
      <c r="Y623" s="22">
        <v>0</v>
      </c>
      <c r="Z623" s="34" t="s">
        <v>50</v>
      </c>
      <c r="AA623" s="19" t="s">
        <v>51</v>
      </c>
      <c r="AB623" s="26" t="s">
        <v>104</v>
      </c>
      <c r="AC623" s="26" t="s">
        <v>53</v>
      </c>
      <c r="AD623" s="19" t="s">
        <v>54</v>
      </c>
      <c r="AE623" s="26">
        <v>0</v>
      </c>
      <c r="AF623" s="17">
        <v>45135</v>
      </c>
      <c r="AG623" s="26" t="s">
        <v>3346</v>
      </c>
      <c r="AH623" s="26">
        <v>1</v>
      </c>
      <c r="AI623" s="40" t="s">
        <v>55</v>
      </c>
      <c r="AJ623" s="26"/>
      <c r="AK623" s="26"/>
      <c r="AL623" s="35"/>
      <c r="AM623" s="35"/>
      <c r="AN623" s="35"/>
      <c r="AO623" s="35"/>
      <c r="AP623" s="35"/>
    </row>
    <row r="624" spans="1:42" x14ac:dyDescent="0.2">
      <c r="A624" s="14">
        <v>45363</v>
      </c>
      <c r="B624" s="28" t="s">
        <v>37</v>
      </c>
      <c r="C624" s="41" t="s">
        <v>118</v>
      </c>
      <c r="D624" s="26" t="s">
        <v>36</v>
      </c>
      <c r="E624" s="26" t="s">
        <v>56</v>
      </c>
      <c r="F624" s="35" t="s">
        <v>3347</v>
      </c>
      <c r="G624" s="35" t="s">
        <v>3348</v>
      </c>
      <c r="H624" s="35" t="s">
        <v>3349</v>
      </c>
      <c r="I624" s="17" t="str">
        <f ca="1">IFERROR(__xludf.DUMMYFUNCTION("""COMPUTED_VALUE""")," ")</f>
        <v xml:space="preserve"> </v>
      </c>
      <c r="J624" s="29" t="s">
        <v>3350</v>
      </c>
      <c r="K624" s="26" t="s">
        <v>3351</v>
      </c>
      <c r="L624" s="83">
        <v>985247463</v>
      </c>
      <c r="M624" s="26" t="s">
        <v>80</v>
      </c>
      <c r="N624" s="26" t="s">
        <v>299</v>
      </c>
      <c r="O624" s="26" t="s">
        <v>36</v>
      </c>
      <c r="P624" s="35"/>
      <c r="Q624" s="20">
        <v>16779</v>
      </c>
      <c r="R624" s="26" t="s">
        <v>36</v>
      </c>
      <c r="S624" s="31">
        <v>4000</v>
      </c>
      <c r="T624" s="32">
        <v>44991</v>
      </c>
      <c r="U624" s="26">
        <v>12779</v>
      </c>
      <c r="V624" s="32">
        <v>45008</v>
      </c>
      <c r="W624" s="33" t="s">
        <v>3352</v>
      </c>
      <c r="X624" s="26">
        <v>0</v>
      </c>
      <c r="Y624" s="22">
        <v>0</v>
      </c>
      <c r="Z624" s="34" t="s">
        <v>118</v>
      </c>
      <c r="AA624" s="19"/>
      <c r="AB624" s="35"/>
      <c r="AC624" s="26" t="s">
        <v>53</v>
      </c>
      <c r="AD624" s="19" t="s">
        <v>54</v>
      </c>
      <c r="AE624" s="99"/>
      <c r="AF624" s="60" t="s">
        <v>2218</v>
      </c>
      <c r="AG624" s="91"/>
      <c r="AH624" s="92"/>
      <c r="AI624" s="92"/>
      <c r="AJ624" s="35"/>
      <c r="AK624" s="35"/>
      <c r="AL624" s="35"/>
      <c r="AM624" s="35"/>
      <c r="AN624" s="35"/>
      <c r="AO624" s="35"/>
      <c r="AP624" s="35"/>
    </row>
    <row r="625" spans="1:42" x14ac:dyDescent="0.2">
      <c r="A625" s="27">
        <v>45128.062125405093</v>
      </c>
      <c r="B625" s="28" t="s">
        <v>37</v>
      </c>
      <c r="C625" s="41" t="s">
        <v>118</v>
      </c>
      <c r="D625" s="26" t="s">
        <v>36</v>
      </c>
      <c r="E625" s="26" t="s">
        <v>148</v>
      </c>
      <c r="F625" s="26" t="s">
        <v>554</v>
      </c>
      <c r="G625" s="26" t="s">
        <v>221</v>
      </c>
      <c r="H625" s="26" t="s">
        <v>3308</v>
      </c>
      <c r="I625" s="17">
        <f ca="1">IFERROR(__xludf.DUMMYFUNCTION("""COMPUTED_VALUE"""),45233)</f>
        <v>45233</v>
      </c>
      <c r="J625" s="29" t="s">
        <v>2026</v>
      </c>
      <c r="K625" s="26" t="s">
        <v>2027</v>
      </c>
      <c r="L625" s="30">
        <v>389738277</v>
      </c>
      <c r="M625" s="26" t="s">
        <v>1245</v>
      </c>
      <c r="N625" s="26" t="s">
        <v>2429</v>
      </c>
      <c r="O625" s="26" t="s">
        <v>2028</v>
      </c>
      <c r="P625" s="42" t="s">
        <v>2029</v>
      </c>
      <c r="Q625" s="20">
        <v>7349</v>
      </c>
      <c r="R625" s="26" t="s">
        <v>36</v>
      </c>
      <c r="S625" s="31">
        <v>16779</v>
      </c>
      <c r="T625" s="32">
        <v>44785</v>
      </c>
      <c r="U625" s="31"/>
      <c r="V625" s="26"/>
      <c r="W625" s="55" t="s">
        <v>2030</v>
      </c>
      <c r="X625" s="26">
        <v>0</v>
      </c>
      <c r="Y625" s="22">
        <v>-9430</v>
      </c>
      <c r="Z625" s="26" t="s">
        <v>118</v>
      </c>
      <c r="AA625" s="19" t="s">
        <v>1871</v>
      </c>
      <c r="AB625" s="26" t="s">
        <v>137</v>
      </c>
      <c r="AC625" s="26" t="s">
        <v>53</v>
      </c>
      <c r="AD625" s="19" t="s">
        <v>54</v>
      </c>
      <c r="AE625" s="26">
        <v>570</v>
      </c>
      <c r="AF625" s="43">
        <v>45230</v>
      </c>
      <c r="AG625" s="26" t="s">
        <v>863</v>
      </c>
      <c r="AH625" s="26">
        <v>1</v>
      </c>
      <c r="AI625" s="40">
        <v>2</v>
      </c>
      <c r="AJ625" s="26"/>
      <c r="AK625" s="26"/>
      <c r="AL625" s="35"/>
      <c r="AM625" s="35"/>
      <c r="AN625" s="35"/>
      <c r="AO625" s="35"/>
      <c r="AP625" s="35"/>
    </row>
    <row r="626" spans="1:42" x14ac:dyDescent="0.2">
      <c r="A626" s="14">
        <v>45224</v>
      </c>
      <c r="B626" s="68" t="s">
        <v>37</v>
      </c>
      <c r="C626" s="41" t="s">
        <v>118</v>
      </c>
      <c r="D626" s="26" t="s">
        <v>36</v>
      </c>
      <c r="E626" s="26" t="s">
        <v>3353</v>
      </c>
      <c r="F626" s="26" t="s">
        <v>3354</v>
      </c>
      <c r="G626" s="35" t="s">
        <v>108</v>
      </c>
      <c r="H626" s="35" t="s">
        <v>3314</v>
      </c>
      <c r="I626" s="17">
        <f ca="1">IFERROR(__xludf.DUMMYFUNCTION("""COMPUTED_VALUE"""),45236)</f>
        <v>45236</v>
      </c>
      <c r="J626" s="29" t="s">
        <v>3355</v>
      </c>
      <c r="K626" s="26" t="s">
        <v>1729</v>
      </c>
      <c r="L626" s="30">
        <v>587006178</v>
      </c>
      <c r="M626" s="26" t="s">
        <v>123</v>
      </c>
      <c r="N626" s="26" t="s">
        <v>3356</v>
      </c>
      <c r="O626" s="26">
        <v>19304006459</v>
      </c>
      <c r="P626" s="26" t="s">
        <v>3357</v>
      </c>
      <c r="Q626" s="20">
        <v>13615</v>
      </c>
      <c r="R626" s="26" t="s">
        <v>36</v>
      </c>
      <c r="S626" s="31">
        <v>8390</v>
      </c>
      <c r="T626" s="32">
        <v>44813</v>
      </c>
      <c r="U626" s="31">
        <v>5225</v>
      </c>
      <c r="V626" s="32">
        <v>44826</v>
      </c>
      <c r="W626" s="33" t="s">
        <v>3358</v>
      </c>
      <c r="X626" s="26">
        <v>0</v>
      </c>
      <c r="Y626" s="22">
        <v>0</v>
      </c>
      <c r="Z626" s="26" t="s">
        <v>118</v>
      </c>
      <c r="AA626" s="19" t="s">
        <v>3359</v>
      </c>
      <c r="AB626" s="35"/>
      <c r="AC626" s="26" t="s">
        <v>53</v>
      </c>
      <c r="AD626" s="19" t="s">
        <v>54</v>
      </c>
      <c r="AE626" s="35"/>
      <c r="AF626" s="17">
        <v>45225</v>
      </c>
      <c r="AG626" s="91"/>
      <c r="AH626" s="35"/>
      <c r="AI626" s="92"/>
      <c r="AJ626" s="35"/>
      <c r="AK626" s="35"/>
      <c r="AL626" s="35"/>
      <c r="AM626" s="35"/>
      <c r="AN626" s="35"/>
      <c r="AO626" s="35"/>
      <c r="AP626" s="35"/>
    </row>
    <row r="627" spans="1:42" x14ac:dyDescent="0.2">
      <c r="A627" s="14">
        <v>45224</v>
      </c>
      <c r="B627" s="68" t="s">
        <v>37</v>
      </c>
      <c r="C627" s="41" t="s">
        <v>118</v>
      </c>
      <c r="D627" s="26" t="s">
        <v>36</v>
      </c>
      <c r="E627" s="26" t="s">
        <v>106</v>
      </c>
      <c r="F627" s="26" t="s">
        <v>3360</v>
      </c>
      <c r="G627" s="35" t="s">
        <v>108</v>
      </c>
      <c r="H627" s="35" t="s">
        <v>3336</v>
      </c>
      <c r="I627" s="17">
        <f ca="1">IFERROR(__xludf.DUMMYFUNCTION("""COMPUTED_VALUE"""),45229)</f>
        <v>45229</v>
      </c>
      <c r="J627" s="29" t="s">
        <v>3361</v>
      </c>
      <c r="K627" s="19" t="s">
        <v>3362</v>
      </c>
      <c r="L627" s="30">
        <v>373997914</v>
      </c>
      <c r="M627" s="26" t="s">
        <v>1245</v>
      </c>
      <c r="N627" s="26" t="s">
        <v>2429</v>
      </c>
      <c r="O627" s="35"/>
      <c r="P627" s="72" t="s">
        <v>3363</v>
      </c>
      <c r="Q627" s="20">
        <v>3768</v>
      </c>
      <c r="R627" s="26" t="s">
        <v>36</v>
      </c>
      <c r="S627" s="31">
        <v>10804</v>
      </c>
      <c r="T627" s="32">
        <v>44880</v>
      </c>
      <c r="U627" s="31"/>
      <c r="V627" s="26"/>
      <c r="W627" s="33" t="s">
        <v>3364</v>
      </c>
      <c r="X627" s="26">
        <v>0</v>
      </c>
      <c r="Y627" s="22">
        <v>0</v>
      </c>
      <c r="Z627" s="26" t="s">
        <v>118</v>
      </c>
      <c r="AA627" s="19"/>
      <c r="AB627" s="26" t="s">
        <v>137</v>
      </c>
      <c r="AC627" s="26" t="s">
        <v>53</v>
      </c>
      <c r="AD627" s="19" t="s">
        <v>54</v>
      </c>
      <c r="AE627" s="35">
        <v>430</v>
      </c>
      <c r="AF627" s="101">
        <v>45224</v>
      </c>
      <c r="AG627" s="37"/>
      <c r="AH627" s="35"/>
      <c r="AI627" s="35"/>
      <c r="AJ627" s="35"/>
      <c r="AK627" s="35"/>
      <c r="AL627" s="35"/>
      <c r="AM627" s="35"/>
      <c r="AN627" s="35"/>
      <c r="AO627" s="35"/>
      <c r="AP627" s="35"/>
    </row>
    <row r="628" spans="1:42" x14ac:dyDescent="0.2">
      <c r="A628" s="14">
        <v>45224</v>
      </c>
      <c r="B628" s="68" t="s">
        <v>37</v>
      </c>
      <c r="C628" s="41" t="s">
        <v>118</v>
      </c>
      <c r="D628" s="26" t="s">
        <v>36</v>
      </c>
      <c r="E628" s="26" t="s">
        <v>148</v>
      </c>
      <c r="F628" s="35" t="s">
        <v>3365</v>
      </c>
      <c r="G628" s="35" t="s">
        <v>108</v>
      </c>
      <c r="H628" s="35" t="s">
        <v>3366</v>
      </c>
      <c r="I628" s="17">
        <f ca="1">IFERROR(__xludf.DUMMYFUNCTION("""COMPUTED_VALUE"""),45313)</f>
        <v>45313</v>
      </c>
      <c r="J628" s="29" t="s">
        <v>3367</v>
      </c>
      <c r="K628" s="26" t="s">
        <v>3368</v>
      </c>
      <c r="L628" s="30">
        <v>359263531</v>
      </c>
      <c r="M628" s="26" t="s">
        <v>123</v>
      </c>
      <c r="N628" s="35" t="s">
        <v>3369</v>
      </c>
      <c r="O628" s="26"/>
      <c r="P628" s="26" t="s">
        <v>3370</v>
      </c>
      <c r="Q628" s="20">
        <v>10804</v>
      </c>
      <c r="R628" s="26" t="s">
        <v>36</v>
      </c>
      <c r="S628" s="31">
        <v>4000</v>
      </c>
      <c r="T628" s="32">
        <v>45058</v>
      </c>
      <c r="U628" s="31">
        <v>6804</v>
      </c>
      <c r="V628" s="32">
        <v>45096</v>
      </c>
      <c r="W628" s="33" t="s">
        <v>3371</v>
      </c>
      <c r="X628" s="26"/>
      <c r="Y628" s="22">
        <v>0</v>
      </c>
      <c r="Z628" s="26" t="s">
        <v>118</v>
      </c>
      <c r="AA628" s="19" t="s">
        <v>3372</v>
      </c>
      <c r="AB628" s="26"/>
      <c r="AC628" s="26" t="s">
        <v>53</v>
      </c>
      <c r="AD628" s="19" t="s">
        <v>54</v>
      </c>
      <c r="AE628" s="35" t="s">
        <v>3365</v>
      </c>
      <c r="AF628" s="102">
        <v>45306</v>
      </c>
      <c r="AG628" s="37"/>
      <c r="AH628" s="35"/>
      <c r="AI628" s="35"/>
      <c r="AJ628" s="35"/>
      <c r="AK628" s="35"/>
      <c r="AL628" s="35"/>
      <c r="AM628" s="35"/>
      <c r="AN628" s="35"/>
      <c r="AO628" s="35"/>
      <c r="AP628" s="35"/>
    </row>
    <row r="629" spans="1:42" x14ac:dyDescent="0.2">
      <c r="A629" s="14">
        <v>45224</v>
      </c>
      <c r="B629" s="28" t="s">
        <v>37</v>
      </c>
      <c r="C629" s="41" t="s">
        <v>118</v>
      </c>
      <c r="D629" s="26" t="s">
        <v>36</v>
      </c>
      <c r="E629" s="26" t="s">
        <v>3373</v>
      </c>
      <c r="F629" s="26" t="s">
        <v>3374</v>
      </c>
      <c r="G629" s="35" t="s">
        <v>108</v>
      </c>
      <c r="H629" s="35" t="s">
        <v>3314</v>
      </c>
      <c r="I629" s="17">
        <f ca="1">IFERROR(__xludf.DUMMYFUNCTION("""COMPUTED_VALUE"""),45236)</f>
        <v>45236</v>
      </c>
      <c r="J629" s="29" t="s">
        <v>3375</v>
      </c>
      <c r="K629" s="26" t="s">
        <v>3376</v>
      </c>
      <c r="L629" s="30">
        <v>366283908</v>
      </c>
      <c r="M629" s="26" t="s">
        <v>123</v>
      </c>
      <c r="N629" s="35" t="s">
        <v>3369</v>
      </c>
      <c r="O629" s="35"/>
      <c r="P629" s="26" t="s">
        <v>3377</v>
      </c>
      <c r="Q629" s="20">
        <v>16779</v>
      </c>
      <c r="R629" s="26" t="s">
        <v>36</v>
      </c>
      <c r="S629" s="31">
        <v>1500</v>
      </c>
      <c r="T629" s="32">
        <v>44910</v>
      </c>
      <c r="U629" s="31">
        <v>15279</v>
      </c>
      <c r="V629" s="32" t="s">
        <v>3378</v>
      </c>
      <c r="W629" s="33" t="s">
        <v>3379</v>
      </c>
      <c r="X629" s="26">
        <v>0</v>
      </c>
      <c r="Y629" s="22">
        <v>0</v>
      </c>
      <c r="Z629" s="26" t="s">
        <v>118</v>
      </c>
      <c r="AA629" s="19" t="s">
        <v>2051</v>
      </c>
      <c r="AB629" s="35"/>
      <c r="AC629" s="26" t="s">
        <v>53</v>
      </c>
      <c r="AD629" s="19" t="s">
        <v>54</v>
      </c>
      <c r="AE629" s="35">
        <v>370</v>
      </c>
      <c r="AF629" s="17">
        <v>45225</v>
      </c>
      <c r="AG629" s="91" t="s">
        <v>3380</v>
      </c>
      <c r="AH629" s="92"/>
      <c r="AI629" s="92"/>
      <c r="AJ629" s="35"/>
      <c r="AK629" s="35"/>
      <c r="AL629" s="35"/>
      <c r="AM629" s="35"/>
      <c r="AN629" s="35"/>
      <c r="AO629" s="35"/>
      <c r="AP629" s="35"/>
    </row>
    <row r="630" spans="1:42" x14ac:dyDescent="0.2">
      <c r="A630" s="14">
        <v>45224</v>
      </c>
      <c r="B630" s="28" t="s">
        <v>37</v>
      </c>
      <c r="C630" s="41" t="s">
        <v>118</v>
      </c>
      <c r="D630" s="26" t="s">
        <v>36</v>
      </c>
      <c r="E630" s="26" t="s">
        <v>106</v>
      </c>
      <c r="F630" s="35" t="s">
        <v>36</v>
      </c>
      <c r="G630" s="35" t="s">
        <v>108</v>
      </c>
      <c r="H630" s="35" t="s">
        <v>2191</v>
      </c>
      <c r="I630" s="17">
        <f ca="1">IFERROR(__xludf.DUMMYFUNCTION("""COMPUTED_VALUE"""),45263)</f>
        <v>45263</v>
      </c>
      <c r="J630" s="103" t="s">
        <v>3381</v>
      </c>
      <c r="K630" s="35" t="s">
        <v>3382</v>
      </c>
      <c r="L630" s="57">
        <v>334174495</v>
      </c>
      <c r="M630" s="26" t="s">
        <v>123</v>
      </c>
      <c r="N630" s="35" t="s">
        <v>3383</v>
      </c>
      <c r="O630" s="35"/>
      <c r="P630" s="72" t="s">
        <v>3384</v>
      </c>
      <c r="Q630" s="20">
        <v>3768</v>
      </c>
      <c r="R630" s="19" t="s">
        <v>36</v>
      </c>
      <c r="S630" s="50">
        <v>4000</v>
      </c>
      <c r="T630" s="14">
        <v>44619</v>
      </c>
      <c r="U630" s="19">
        <v>2868</v>
      </c>
      <c r="V630" s="51">
        <v>44773</v>
      </c>
      <c r="W630" s="52" t="s">
        <v>3385</v>
      </c>
      <c r="X630" s="19">
        <v>0</v>
      </c>
      <c r="Y630" s="22">
        <v>0</v>
      </c>
      <c r="Z630" s="26" t="s">
        <v>118</v>
      </c>
      <c r="AA630" s="19" t="s">
        <v>3386</v>
      </c>
      <c r="AB630" s="26" t="s">
        <v>128</v>
      </c>
      <c r="AC630" s="26" t="s">
        <v>53</v>
      </c>
      <c r="AD630" s="19" t="s">
        <v>54</v>
      </c>
      <c r="AE630" s="35" t="s">
        <v>3387</v>
      </c>
      <c r="AF630" s="43">
        <v>45257</v>
      </c>
      <c r="AG630" s="91"/>
      <c r="AH630" s="92"/>
      <c r="AI630" s="92"/>
      <c r="AJ630" s="35"/>
      <c r="AK630" s="35"/>
      <c r="AL630" s="35"/>
      <c r="AM630" s="35"/>
      <c r="AN630" s="35"/>
      <c r="AO630" s="35"/>
      <c r="AP630" s="35"/>
    </row>
    <row r="631" spans="1:42" x14ac:dyDescent="0.2">
      <c r="A631" s="27">
        <v>45164.572498900467</v>
      </c>
      <c r="B631" s="28" t="s">
        <v>37</v>
      </c>
      <c r="C631" s="41" t="s">
        <v>118</v>
      </c>
      <c r="D631" s="26" t="s">
        <v>36</v>
      </c>
      <c r="E631" s="26" t="s">
        <v>139</v>
      </c>
      <c r="F631" s="26" t="s">
        <v>723</v>
      </c>
      <c r="G631" s="35" t="s">
        <v>108</v>
      </c>
      <c r="H631" s="35" t="s">
        <v>3314</v>
      </c>
      <c r="I631" s="17">
        <f ca="1">IFERROR(__xludf.DUMMYFUNCTION("""COMPUTED_VALUE"""),45236)</f>
        <v>45236</v>
      </c>
      <c r="J631" s="29" t="s">
        <v>1775</v>
      </c>
      <c r="K631" s="26" t="s">
        <v>1776</v>
      </c>
      <c r="L631" s="30">
        <v>362000460</v>
      </c>
      <c r="M631" s="26" t="s">
        <v>80</v>
      </c>
      <c r="N631" s="26" t="s">
        <v>299</v>
      </c>
      <c r="O631" s="26" t="s">
        <v>1777</v>
      </c>
      <c r="P631" s="26" t="s">
        <v>1778</v>
      </c>
      <c r="Q631" s="20">
        <v>15936</v>
      </c>
      <c r="R631" s="26" t="s">
        <v>36</v>
      </c>
      <c r="S631" s="31">
        <v>15936</v>
      </c>
      <c r="T631" s="32">
        <v>45164</v>
      </c>
      <c r="U631" s="31"/>
      <c r="V631" s="26"/>
      <c r="W631" s="33" t="s">
        <v>1779</v>
      </c>
      <c r="X631" s="26">
        <v>0</v>
      </c>
      <c r="Y631" s="22">
        <v>0</v>
      </c>
      <c r="Z631" s="26" t="s">
        <v>118</v>
      </c>
      <c r="AA631" s="19" t="s">
        <v>901</v>
      </c>
      <c r="AB631" s="26" t="s">
        <v>104</v>
      </c>
      <c r="AC631" s="26" t="s">
        <v>53</v>
      </c>
      <c r="AD631" s="19" t="s">
        <v>138</v>
      </c>
      <c r="AE631" s="26">
        <v>0</v>
      </c>
      <c r="AF631" s="17">
        <v>45225</v>
      </c>
      <c r="AG631" s="26"/>
      <c r="AH631" s="26">
        <v>1</v>
      </c>
      <c r="AI631" s="40" t="s">
        <v>147</v>
      </c>
      <c r="AJ631" s="26"/>
      <c r="AK631" s="26"/>
      <c r="AL631" s="35"/>
      <c r="AM631" s="35"/>
      <c r="AN631" s="35"/>
      <c r="AO631" s="35"/>
      <c r="AP631" s="35"/>
    </row>
    <row r="632" spans="1:42" x14ac:dyDescent="0.2">
      <c r="A632" s="27">
        <v>45127.625438391202</v>
      </c>
      <c r="B632" s="28" t="s">
        <v>37</v>
      </c>
      <c r="C632" s="41" t="s">
        <v>118</v>
      </c>
      <c r="D632" s="26" t="s">
        <v>36</v>
      </c>
      <c r="E632" s="26" t="s">
        <v>119</v>
      </c>
      <c r="F632" s="26" t="s">
        <v>562</v>
      </c>
      <c r="G632" s="26" t="s">
        <v>221</v>
      </c>
      <c r="H632" s="26" t="s">
        <v>3388</v>
      </c>
      <c r="I632" s="17">
        <f ca="1">IFERROR(__xludf.DUMMYFUNCTION("""COMPUTED_VALUE"""),45242)</f>
        <v>45242</v>
      </c>
      <c r="J632" s="29" t="s">
        <v>563</v>
      </c>
      <c r="K632" s="26" t="s">
        <v>3389</v>
      </c>
      <c r="L632" s="30">
        <v>982295843</v>
      </c>
      <c r="M632" s="26" t="s">
        <v>45</v>
      </c>
      <c r="N632" s="26" t="s">
        <v>565</v>
      </c>
      <c r="O632" s="26" t="s">
        <v>566</v>
      </c>
      <c r="P632" s="26" t="s">
        <v>567</v>
      </c>
      <c r="Q632" s="20">
        <v>13968</v>
      </c>
      <c r="R632" s="26" t="s">
        <v>36</v>
      </c>
      <c r="S632" s="31">
        <v>13968</v>
      </c>
      <c r="T632" s="32">
        <v>45127</v>
      </c>
      <c r="U632" s="31"/>
      <c r="V632" s="26"/>
      <c r="W632" s="33" t="s">
        <v>568</v>
      </c>
      <c r="X632" s="26">
        <v>0</v>
      </c>
      <c r="Y632" s="22">
        <v>0</v>
      </c>
      <c r="Z632" s="26" t="s">
        <v>118</v>
      </c>
      <c r="AA632" s="19" t="s">
        <v>51</v>
      </c>
      <c r="AB632" s="26" t="s">
        <v>154</v>
      </c>
      <c r="AC632" s="26" t="s">
        <v>53</v>
      </c>
      <c r="AD632" s="19" t="s">
        <v>54</v>
      </c>
      <c r="AE632" s="26"/>
      <c r="AF632" s="17">
        <v>45236</v>
      </c>
      <c r="AG632" s="26"/>
      <c r="AH632" s="26">
        <v>1</v>
      </c>
      <c r="AI632" s="40">
        <v>4</v>
      </c>
      <c r="AJ632" s="26"/>
      <c r="AK632" s="26"/>
      <c r="AL632" s="35"/>
      <c r="AM632" s="35"/>
      <c r="AN632" s="35"/>
      <c r="AO632" s="35"/>
      <c r="AP632" s="35"/>
    </row>
    <row r="633" spans="1:42" x14ac:dyDescent="0.2">
      <c r="A633" s="14">
        <v>45229</v>
      </c>
      <c r="B633" s="28" t="s">
        <v>37</v>
      </c>
      <c r="C633" s="41" t="s">
        <v>118</v>
      </c>
      <c r="D633" s="26" t="s">
        <v>36</v>
      </c>
      <c r="E633" s="26" t="s">
        <v>219</v>
      </c>
      <c r="F633" s="35" t="s">
        <v>3390</v>
      </c>
      <c r="G633" s="26" t="s">
        <v>221</v>
      </c>
      <c r="H633" s="26" t="s">
        <v>3388</v>
      </c>
      <c r="I633" s="17">
        <f ca="1">IFERROR(__xludf.DUMMYFUNCTION("""COMPUTED_VALUE"""),45242)</f>
        <v>45242</v>
      </c>
      <c r="J633" s="29" t="s">
        <v>3391</v>
      </c>
      <c r="K633" s="26" t="s">
        <v>3392</v>
      </c>
      <c r="L633" s="30">
        <v>926252501</v>
      </c>
      <c r="M633" s="35" t="s">
        <v>391</v>
      </c>
      <c r="N633" s="35" t="s">
        <v>3393</v>
      </c>
      <c r="O633" s="35"/>
      <c r="P633" s="72" t="s">
        <v>3394</v>
      </c>
      <c r="Q633" s="20">
        <v>4268</v>
      </c>
      <c r="R633" s="26" t="s">
        <v>36</v>
      </c>
      <c r="S633" s="31">
        <v>10804</v>
      </c>
      <c r="T633" s="32">
        <v>44827</v>
      </c>
      <c r="U633" s="35"/>
      <c r="V633" s="59"/>
      <c r="W633" s="55" t="s">
        <v>3395</v>
      </c>
      <c r="X633" s="26">
        <v>0</v>
      </c>
      <c r="Y633" s="22">
        <v>0</v>
      </c>
      <c r="Z633" s="26" t="s">
        <v>118</v>
      </c>
      <c r="AA633" s="19"/>
      <c r="AB633" s="35"/>
      <c r="AC633" s="26" t="s">
        <v>53</v>
      </c>
      <c r="AD633" s="19" t="s">
        <v>54</v>
      </c>
      <c r="AE633" s="35" t="s">
        <v>3390</v>
      </c>
      <c r="AF633" s="17">
        <v>45236</v>
      </c>
      <c r="AG633" s="91"/>
      <c r="AH633" s="92"/>
      <c r="AI633" s="92"/>
      <c r="AJ633" s="35"/>
      <c r="AK633" s="35"/>
      <c r="AL633" s="35"/>
      <c r="AM633" s="35"/>
      <c r="AN633" s="35"/>
      <c r="AO633" s="35"/>
      <c r="AP633" s="35"/>
    </row>
    <row r="634" spans="1:42" x14ac:dyDescent="0.2">
      <c r="A634" s="27">
        <v>45121.628325601851</v>
      </c>
      <c r="B634" s="28" t="s">
        <v>37</v>
      </c>
      <c r="C634" s="41" t="s">
        <v>118</v>
      </c>
      <c r="D634" s="26" t="s">
        <v>36</v>
      </c>
      <c r="E634" s="26" t="s">
        <v>119</v>
      </c>
      <c r="F634" s="26" t="s">
        <v>324</v>
      </c>
      <c r="G634" s="26" t="s">
        <v>221</v>
      </c>
      <c r="H634" s="26" t="s">
        <v>3388</v>
      </c>
      <c r="I634" s="17">
        <f ca="1">IFERROR(__xludf.DUMMYFUNCTION("""COMPUTED_VALUE"""),45242)</f>
        <v>45242</v>
      </c>
      <c r="J634" s="29" t="s">
        <v>1029</v>
      </c>
      <c r="K634" s="26" t="s">
        <v>1350</v>
      </c>
      <c r="L634" s="30">
        <v>984718447</v>
      </c>
      <c r="M634" s="26" t="s">
        <v>80</v>
      </c>
      <c r="N634" s="26" t="s">
        <v>253</v>
      </c>
      <c r="O634" s="26" t="s">
        <v>1031</v>
      </c>
      <c r="P634" s="26" t="s">
        <v>1032</v>
      </c>
      <c r="Q634" s="20">
        <v>13968</v>
      </c>
      <c r="R634" s="26" t="s">
        <v>36</v>
      </c>
      <c r="S634" s="31">
        <v>4000</v>
      </c>
      <c r="T634" s="32">
        <v>45121</v>
      </c>
      <c r="U634" s="31">
        <v>9968</v>
      </c>
      <c r="V634" s="32">
        <v>45140</v>
      </c>
      <c r="W634" s="33" t="s">
        <v>1033</v>
      </c>
      <c r="X634" s="26">
        <v>0</v>
      </c>
      <c r="Y634" s="22">
        <v>0</v>
      </c>
      <c r="Z634" s="26" t="s">
        <v>118</v>
      </c>
      <c r="AA634" s="19" t="s">
        <v>901</v>
      </c>
      <c r="AB634" s="26" t="s">
        <v>116</v>
      </c>
      <c r="AC634" s="26" t="s">
        <v>53</v>
      </c>
      <c r="AD634" s="19" t="s">
        <v>54</v>
      </c>
      <c r="AE634" s="26"/>
      <c r="AF634" s="17">
        <v>45236</v>
      </c>
      <c r="AG634" s="26"/>
      <c r="AH634" s="26">
        <v>1</v>
      </c>
      <c r="AI634" s="40">
        <v>4</v>
      </c>
      <c r="AJ634" s="26"/>
      <c r="AK634" s="26"/>
      <c r="AL634" s="35"/>
      <c r="AM634" s="35"/>
      <c r="AN634" s="35"/>
      <c r="AO634" s="35"/>
      <c r="AP634" s="35"/>
    </row>
    <row r="635" spans="1:42" x14ac:dyDescent="0.2">
      <c r="A635" s="27">
        <v>45173.527454895833</v>
      </c>
      <c r="B635" s="28" t="s">
        <v>37</v>
      </c>
      <c r="C635" s="41" t="s">
        <v>118</v>
      </c>
      <c r="D635" s="26" t="s">
        <v>36</v>
      </c>
      <c r="E635" s="26" t="s">
        <v>139</v>
      </c>
      <c r="F635" s="26" t="s">
        <v>1513</v>
      </c>
      <c r="G635" s="35" t="s">
        <v>108</v>
      </c>
      <c r="H635" s="35" t="s">
        <v>1176</v>
      </c>
      <c r="I635" s="17">
        <f ca="1">IFERROR(__xludf.DUMMYFUNCTION("""COMPUTED_VALUE"""),45258)</f>
        <v>45258</v>
      </c>
      <c r="J635" s="29" t="s">
        <v>2610</v>
      </c>
      <c r="K635" s="26" t="s">
        <v>2611</v>
      </c>
      <c r="L635" s="30">
        <v>384217399</v>
      </c>
      <c r="M635" s="26" t="s">
        <v>910</v>
      </c>
      <c r="N635" s="26" t="s">
        <v>355</v>
      </c>
      <c r="O635" s="26" t="s">
        <v>2612</v>
      </c>
      <c r="P635" s="42" t="s">
        <v>3396</v>
      </c>
      <c r="Q635" s="20">
        <v>15936</v>
      </c>
      <c r="R635" s="26" t="s">
        <v>36</v>
      </c>
      <c r="S635" s="31">
        <v>8000</v>
      </c>
      <c r="T635" s="32">
        <v>45173</v>
      </c>
      <c r="U635" s="31">
        <v>7936</v>
      </c>
      <c r="V635" s="32">
        <v>45190</v>
      </c>
      <c r="W635" s="33" t="s">
        <v>2614</v>
      </c>
      <c r="X635" s="26">
        <v>0</v>
      </c>
      <c r="Y635" s="22">
        <v>0</v>
      </c>
      <c r="Z635" s="26" t="s">
        <v>118</v>
      </c>
      <c r="AA635" s="19" t="s">
        <v>2449</v>
      </c>
      <c r="AB635" s="26" t="s">
        <v>104</v>
      </c>
      <c r="AC635" s="26" t="s">
        <v>53</v>
      </c>
      <c r="AD635" s="19" t="s">
        <v>54</v>
      </c>
      <c r="AE635" s="26" t="s">
        <v>1513</v>
      </c>
      <c r="AF635" s="17">
        <v>45250</v>
      </c>
      <c r="AG635" s="26"/>
      <c r="AH635" s="26"/>
      <c r="AI635" s="40"/>
      <c r="AJ635" s="26"/>
      <c r="AK635" s="26"/>
      <c r="AL635" s="35"/>
      <c r="AM635" s="35"/>
      <c r="AN635" s="35"/>
      <c r="AO635" s="35"/>
      <c r="AP635" s="35"/>
    </row>
    <row r="636" spans="1:42" x14ac:dyDescent="0.2">
      <c r="A636" s="27">
        <v>45135.269649178241</v>
      </c>
      <c r="B636" s="28" t="s">
        <v>37</v>
      </c>
      <c r="C636" s="41" t="s">
        <v>118</v>
      </c>
      <c r="D636" s="26" t="s">
        <v>36</v>
      </c>
      <c r="E636" s="26" t="s">
        <v>139</v>
      </c>
      <c r="F636" s="26" t="s">
        <v>694</v>
      </c>
      <c r="G636" s="26" t="s">
        <v>108</v>
      </c>
      <c r="H636" s="26" t="s">
        <v>1853</v>
      </c>
      <c r="I636" s="17">
        <f ca="1">IFERROR(__xludf.DUMMYFUNCTION("""COMPUTED_VALUE"""),45229)</f>
        <v>45229</v>
      </c>
      <c r="J636" s="29" t="s">
        <v>1151</v>
      </c>
      <c r="K636" s="26" t="s">
        <v>1152</v>
      </c>
      <c r="L636" s="30">
        <v>372180187</v>
      </c>
      <c r="M636" s="26" t="s">
        <v>123</v>
      </c>
      <c r="N636" s="26" t="s">
        <v>310</v>
      </c>
      <c r="O636" s="26" t="s">
        <v>134</v>
      </c>
      <c r="P636" s="26" t="s">
        <v>1153</v>
      </c>
      <c r="Q636" s="20">
        <v>15936</v>
      </c>
      <c r="R636" s="26" t="s">
        <v>36</v>
      </c>
      <c r="S636" s="31">
        <v>1968</v>
      </c>
      <c r="T636" s="32">
        <v>45135</v>
      </c>
      <c r="U636" s="31">
        <v>13968</v>
      </c>
      <c r="V636" s="32">
        <v>45163</v>
      </c>
      <c r="W636" s="33" t="s">
        <v>1154</v>
      </c>
      <c r="X636" s="26">
        <v>0</v>
      </c>
      <c r="Y636" s="22">
        <v>0</v>
      </c>
      <c r="Z636" s="26" t="s">
        <v>118</v>
      </c>
      <c r="AA636" s="19" t="s">
        <v>901</v>
      </c>
      <c r="AB636" s="26" t="s">
        <v>104</v>
      </c>
      <c r="AC636" s="26" t="s">
        <v>53</v>
      </c>
      <c r="AD636" s="19" t="s">
        <v>54</v>
      </c>
      <c r="AE636" s="26"/>
      <c r="AF636" s="17">
        <v>45229</v>
      </c>
      <c r="AG636" s="26" t="s">
        <v>1631</v>
      </c>
      <c r="AH636" s="26">
        <v>1</v>
      </c>
      <c r="AI636" s="40" t="s">
        <v>147</v>
      </c>
      <c r="AJ636" s="26"/>
      <c r="AK636" s="26"/>
      <c r="AL636" s="35"/>
      <c r="AM636" s="35"/>
      <c r="AN636" s="35"/>
      <c r="AO636" s="35"/>
      <c r="AP636" s="35"/>
    </row>
    <row r="637" spans="1:42" x14ac:dyDescent="0.2">
      <c r="A637" s="27">
        <v>45187.856081018515</v>
      </c>
      <c r="B637" s="28" t="s">
        <v>37</v>
      </c>
      <c r="C637" s="41" t="s">
        <v>118</v>
      </c>
      <c r="D637" s="26" t="s">
        <v>36</v>
      </c>
      <c r="E637" s="26" t="s">
        <v>39</v>
      </c>
      <c r="F637" s="26" t="s">
        <v>1861</v>
      </c>
      <c r="G637" s="26" t="s">
        <v>108</v>
      </c>
      <c r="H637" s="26" t="s">
        <v>3397</v>
      </c>
      <c r="I637" s="17">
        <f ca="1">IFERROR(__xludf.DUMMYFUNCTION("""COMPUTED_VALUE"""),45256)</f>
        <v>45256</v>
      </c>
      <c r="J637" s="29" t="s">
        <v>2933</v>
      </c>
      <c r="K637" s="26" t="s">
        <v>3398</v>
      </c>
      <c r="L637" s="30">
        <v>971439183</v>
      </c>
      <c r="M637" s="26" t="s">
        <v>80</v>
      </c>
      <c r="N637" s="26" t="s">
        <v>299</v>
      </c>
      <c r="O637" s="26" t="s">
        <v>2935</v>
      </c>
      <c r="P637" s="26" t="s">
        <v>2936</v>
      </c>
      <c r="Q637" s="20">
        <v>5736</v>
      </c>
      <c r="R637" s="26" t="s">
        <v>36</v>
      </c>
      <c r="S637" s="31">
        <v>5736</v>
      </c>
      <c r="T637" s="32">
        <v>45187</v>
      </c>
      <c r="U637" s="31"/>
      <c r="V637" s="26"/>
      <c r="W637" s="33" t="s">
        <v>2937</v>
      </c>
      <c r="X637" s="26">
        <v>0</v>
      </c>
      <c r="Y637" s="22">
        <v>0</v>
      </c>
      <c r="Z637" s="26" t="s">
        <v>118</v>
      </c>
      <c r="AA637" s="19" t="s">
        <v>2449</v>
      </c>
      <c r="AB637" s="26" t="s">
        <v>104</v>
      </c>
      <c r="AC637" s="26" t="s">
        <v>53</v>
      </c>
      <c r="AD637" s="19" t="s">
        <v>138</v>
      </c>
      <c r="AE637" s="26" t="s">
        <v>1861</v>
      </c>
      <c r="AF637" s="17">
        <v>45256</v>
      </c>
      <c r="AG637" s="26" t="s">
        <v>3399</v>
      </c>
      <c r="AH637" s="26"/>
      <c r="AI637" s="40"/>
      <c r="AJ637" s="26"/>
      <c r="AK637" s="26"/>
      <c r="AL637" s="35"/>
      <c r="AM637" s="35"/>
      <c r="AN637" s="35"/>
      <c r="AO637" s="35"/>
      <c r="AP637" s="35"/>
    </row>
    <row r="638" spans="1:42" x14ac:dyDescent="0.2">
      <c r="A638" s="14">
        <v>45232</v>
      </c>
      <c r="B638" s="28" t="s">
        <v>37</v>
      </c>
      <c r="C638" s="41" t="s">
        <v>118</v>
      </c>
      <c r="D638" s="26" t="s">
        <v>36</v>
      </c>
      <c r="E638" s="26" t="s">
        <v>148</v>
      </c>
      <c r="F638" s="26" t="s">
        <v>3400</v>
      </c>
      <c r="G638" s="26" t="s">
        <v>221</v>
      </c>
      <c r="H638" s="26" t="s">
        <v>3388</v>
      </c>
      <c r="I638" s="17">
        <f ca="1">IFERROR(__xludf.DUMMYFUNCTION("""COMPUTED_VALUE"""),45242)</f>
        <v>45242</v>
      </c>
      <c r="J638" s="29" t="s">
        <v>3401</v>
      </c>
      <c r="K638" s="26" t="s">
        <v>3402</v>
      </c>
      <c r="L638" s="104">
        <v>962645035</v>
      </c>
      <c r="M638" s="35" t="s">
        <v>1245</v>
      </c>
      <c r="N638" s="35" t="s">
        <v>3403</v>
      </c>
      <c r="O638" s="35"/>
      <c r="P638" s="72" t="s">
        <v>3404</v>
      </c>
      <c r="Q638" s="20">
        <v>7349</v>
      </c>
      <c r="R638" s="26" t="s">
        <v>36</v>
      </c>
      <c r="S638" s="31">
        <v>7349</v>
      </c>
      <c r="T638" s="32">
        <v>45092</v>
      </c>
      <c r="U638" s="58"/>
      <c r="V638" s="59"/>
      <c r="W638" s="33" t="s">
        <v>3405</v>
      </c>
      <c r="X638" s="26">
        <v>0</v>
      </c>
      <c r="Y638" s="22">
        <v>0</v>
      </c>
      <c r="Z638" s="26" t="s">
        <v>118</v>
      </c>
      <c r="AA638" s="19" t="s">
        <v>3372</v>
      </c>
      <c r="AB638" s="26" t="s">
        <v>104</v>
      </c>
      <c r="AC638" s="26" t="s">
        <v>53</v>
      </c>
      <c r="AD638" s="19" t="s">
        <v>54</v>
      </c>
      <c r="AE638" s="35" t="s">
        <v>3400</v>
      </c>
      <c r="AF638" s="17">
        <v>45236</v>
      </c>
      <c r="AG638" s="36"/>
      <c r="AH638" s="92"/>
      <c r="AI638" s="35"/>
      <c r="AJ638" s="35"/>
      <c r="AK638" s="35"/>
      <c r="AL638" s="35"/>
      <c r="AM638" s="35"/>
      <c r="AN638" s="35"/>
      <c r="AO638" s="35"/>
      <c r="AP638" s="35"/>
    </row>
    <row r="639" spans="1:42" x14ac:dyDescent="0.2">
      <c r="A639" s="14">
        <v>45237</v>
      </c>
      <c r="B639" s="68" t="s">
        <v>37</v>
      </c>
      <c r="C639" s="41" t="s">
        <v>118</v>
      </c>
      <c r="D639" s="26" t="s">
        <v>36</v>
      </c>
      <c r="E639" s="26" t="s">
        <v>106</v>
      </c>
      <c r="F639" s="35" t="s">
        <v>3406</v>
      </c>
      <c r="G639" s="26" t="s">
        <v>108</v>
      </c>
      <c r="H639" s="35" t="s">
        <v>3407</v>
      </c>
      <c r="I639" s="17">
        <f ca="1">IFERROR(__xludf.DUMMYFUNCTION("""COMPUTED_VALUE"""),45293)</f>
        <v>45293</v>
      </c>
      <c r="J639" s="29" t="s">
        <v>3408</v>
      </c>
      <c r="K639" s="26" t="s">
        <v>3409</v>
      </c>
      <c r="L639" s="30">
        <v>334891918</v>
      </c>
      <c r="M639" s="35" t="s">
        <v>123</v>
      </c>
      <c r="N639" s="35" t="s">
        <v>3410</v>
      </c>
      <c r="O639" s="35"/>
      <c r="P639" s="72" t="s">
        <v>3411</v>
      </c>
      <c r="Q639" s="20"/>
      <c r="R639" s="26" t="s">
        <v>3412</v>
      </c>
      <c r="S639" s="31">
        <v>7330</v>
      </c>
      <c r="T639" s="32">
        <v>44903</v>
      </c>
      <c r="U639" s="26">
        <v>3500</v>
      </c>
      <c r="V639" s="74">
        <v>44871</v>
      </c>
      <c r="W639" s="33" t="s">
        <v>3413</v>
      </c>
      <c r="X639" s="26">
        <v>0</v>
      </c>
      <c r="Y639" s="22">
        <v>0</v>
      </c>
      <c r="Z639" s="26" t="s">
        <v>118</v>
      </c>
      <c r="AA639" s="19"/>
      <c r="AB639" s="35"/>
      <c r="AC639" s="26" t="s">
        <v>53</v>
      </c>
      <c r="AD639" s="19" t="s">
        <v>54</v>
      </c>
      <c r="AE639" s="35" t="s">
        <v>3414</v>
      </c>
      <c r="AF639" s="17">
        <v>45293</v>
      </c>
      <c r="AG639" s="35" t="s">
        <v>3415</v>
      </c>
      <c r="AH639" s="35"/>
      <c r="AI639" s="92"/>
      <c r="AJ639" s="35"/>
      <c r="AK639" s="35"/>
      <c r="AL639" s="35"/>
      <c r="AM639" s="35"/>
      <c r="AN639" s="35"/>
      <c r="AO639" s="35"/>
      <c r="AP639" s="35"/>
    </row>
    <row r="640" spans="1:42" x14ac:dyDescent="0.2">
      <c r="A640" s="27">
        <v>45175.057716863426</v>
      </c>
      <c r="B640" s="28" t="s">
        <v>37</v>
      </c>
      <c r="C640" s="41" t="s">
        <v>118</v>
      </c>
      <c r="D640" s="26" t="s">
        <v>36</v>
      </c>
      <c r="E640" s="26" t="s">
        <v>39</v>
      </c>
      <c r="F640" s="26" t="s">
        <v>1513</v>
      </c>
      <c r="G640" s="26" t="s">
        <v>108</v>
      </c>
      <c r="H640" s="26" t="s">
        <v>3416</v>
      </c>
      <c r="I640" s="17">
        <f ca="1">IFERROR(__xludf.DUMMYFUNCTION("""COMPUTED_VALUE"""),45247)</f>
        <v>45247</v>
      </c>
      <c r="J640" s="29" t="s">
        <v>2643</v>
      </c>
      <c r="K640" s="26" t="s">
        <v>2644</v>
      </c>
      <c r="L640" s="30">
        <v>856182135</v>
      </c>
      <c r="M640" s="26" t="s">
        <v>391</v>
      </c>
      <c r="N640" s="26" t="s">
        <v>2143</v>
      </c>
      <c r="O640" s="26" t="s">
        <v>91</v>
      </c>
      <c r="P640" s="26" t="s">
        <v>3417</v>
      </c>
      <c r="Q640" s="20">
        <v>5736</v>
      </c>
      <c r="R640" s="26" t="s">
        <v>36</v>
      </c>
      <c r="S640" s="31">
        <v>5736</v>
      </c>
      <c r="T640" s="32">
        <v>45174</v>
      </c>
      <c r="U640" s="31"/>
      <c r="V640" s="26"/>
      <c r="W640" s="33" t="s">
        <v>2646</v>
      </c>
      <c r="X640" s="26"/>
      <c r="Y640" s="22">
        <v>0</v>
      </c>
      <c r="Z640" s="26" t="s">
        <v>118</v>
      </c>
      <c r="AA640" s="19" t="s">
        <v>2449</v>
      </c>
      <c r="AB640" s="26" t="s">
        <v>154</v>
      </c>
      <c r="AC640" s="26" t="s">
        <v>53</v>
      </c>
      <c r="AD640" s="19" t="s">
        <v>54</v>
      </c>
      <c r="AE640" s="26"/>
      <c r="AF640" s="17">
        <v>45247</v>
      </c>
      <c r="AG640" s="26"/>
      <c r="AH640" s="26"/>
      <c r="AI640" s="40"/>
      <c r="AJ640" s="26"/>
      <c r="AK640" s="26"/>
      <c r="AL640" s="35"/>
      <c r="AM640" s="35"/>
      <c r="AN640" s="35"/>
      <c r="AO640" s="35"/>
      <c r="AP640" s="35"/>
    </row>
    <row r="641" spans="1:42" x14ac:dyDescent="0.2">
      <c r="A641" s="27">
        <v>45153.007123599542</v>
      </c>
      <c r="B641" s="28" t="s">
        <v>37</v>
      </c>
      <c r="C641" s="41" t="s">
        <v>118</v>
      </c>
      <c r="D641" s="26" t="s">
        <v>36</v>
      </c>
      <c r="E641" s="26" t="s">
        <v>39</v>
      </c>
      <c r="F641" s="26" t="s">
        <v>1513</v>
      </c>
      <c r="G641" s="26" t="s">
        <v>108</v>
      </c>
      <c r="H641" s="26" t="s">
        <v>3416</v>
      </c>
      <c r="I641" s="17">
        <f ca="1">IFERROR(__xludf.DUMMYFUNCTION("""COMPUTED_VALUE"""),45247)</f>
        <v>45247</v>
      </c>
      <c r="J641" s="29" t="s">
        <v>1514</v>
      </c>
      <c r="K641" s="26" t="s">
        <v>1515</v>
      </c>
      <c r="L641" s="30">
        <v>967980897</v>
      </c>
      <c r="M641" s="26" t="s">
        <v>391</v>
      </c>
      <c r="N641" s="26" t="s">
        <v>1516</v>
      </c>
      <c r="O641" s="26" t="s">
        <v>1517</v>
      </c>
      <c r="P641" s="42" t="s">
        <v>1518</v>
      </c>
      <c r="Q641" s="20">
        <v>5736</v>
      </c>
      <c r="R641" s="26" t="s">
        <v>36</v>
      </c>
      <c r="S641" s="31">
        <v>5736</v>
      </c>
      <c r="T641" s="32">
        <v>45152</v>
      </c>
      <c r="U641" s="31"/>
      <c r="V641" s="26"/>
      <c r="W641" s="33" t="s">
        <v>1519</v>
      </c>
      <c r="X641" s="26">
        <v>100</v>
      </c>
      <c r="Y641" s="22">
        <v>-100</v>
      </c>
      <c r="Z641" s="26" t="s">
        <v>118</v>
      </c>
      <c r="AA641" s="19" t="s">
        <v>901</v>
      </c>
      <c r="AB641" s="26" t="s">
        <v>137</v>
      </c>
      <c r="AC641" s="26" t="s">
        <v>53</v>
      </c>
      <c r="AD641" s="19" t="s">
        <v>54</v>
      </c>
      <c r="AE641" s="26"/>
      <c r="AF641" s="17">
        <v>45247</v>
      </c>
      <c r="AG641" s="26"/>
      <c r="AH641" s="26">
        <v>1</v>
      </c>
      <c r="AI641" s="40" t="s">
        <v>55</v>
      </c>
      <c r="AJ641" s="26"/>
      <c r="AK641" s="26"/>
      <c r="AL641" s="35"/>
      <c r="AM641" s="35"/>
      <c r="AN641" s="35"/>
      <c r="AO641" s="35"/>
      <c r="AP641" s="35"/>
    </row>
    <row r="642" spans="1:42" x14ac:dyDescent="0.2">
      <c r="A642" s="27">
        <v>45175.195438576389</v>
      </c>
      <c r="B642" s="28" t="s">
        <v>37</v>
      </c>
      <c r="C642" s="41" t="s">
        <v>118</v>
      </c>
      <c r="D642" s="26" t="s">
        <v>36</v>
      </c>
      <c r="E642" s="26" t="s">
        <v>139</v>
      </c>
      <c r="F642" s="26" t="s">
        <v>2647</v>
      </c>
      <c r="G642" s="26" t="s">
        <v>108</v>
      </c>
      <c r="H642" s="26" t="s">
        <v>3418</v>
      </c>
      <c r="I642" s="17">
        <f ca="1">IFERROR(__xludf.DUMMYFUNCTION("""COMPUTED_VALUE"""),45240)</f>
        <v>45240</v>
      </c>
      <c r="J642" s="29" t="s">
        <v>2657</v>
      </c>
      <c r="K642" s="26" t="s">
        <v>2658</v>
      </c>
      <c r="L642" s="30">
        <v>399319960</v>
      </c>
      <c r="M642" s="26" t="s">
        <v>123</v>
      </c>
      <c r="N642" s="26" t="s">
        <v>850</v>
      </c>
      <c r="O642" s="26" t="s">
        <v>1226</v>
      </c>
      <c r="P642" s="26" t="s">
        <v>2659</v>
      </c>
      <c r="Q642" s="20">
        <v>15936</v>
      </c>
      <c r="R642" s="26" t="s">
        <v>36</v>
      </c>
      <c r="S642" s="31">
        <v>200</v>
      </c>
      <c r="T642" s="32">
        <v>45170</v>
      </c>
      <c r="U642" s="31">
        <v>15736</v>
      </c>
      <c r="V642" s="32">
        <v>45185</v>
      </c>
      <c r="W642" s="33" t="s">
        <v>2660</v>
      </c>
      <c r="X642" s="26"/>
      <c r="Y642" s="22">
        <v>0</v>
      </c>
      <c r="Z642" s="26" t="s">
        <v>118</v>
      </c>
      <c r="AA642" s="19" t="s">
        <v>2449</v>
      </c>
      <c r="AB642" s="26" t="s">
        <v>104</v>
      </c>
      <c r="AC642" s="26" t="s">
        <v>53</v>
      </c>
      <c r="AD642" s="19" t="s">
        <v>138</v>
      </c>
      <c r="AE642" s="26"/>
      <c r="AF642" s="17">
        <v>45240</v>
      </c>
      <c r="AG642" s="26"/>
      <c r="AH642" s="26"/>
      <c r="AI642" s="40"/>
      <c r="AJ642" s="26"/>
      <c r="AK642" s="26"/>
      <c r="AL642" s="35"/>
      <c r="AM642" s="35"/>
      <c r="AN642" s="35"/>
      <c r="AO642" s="35"/>
      <c r="AP642" s="35"/>
    </row>
    <row r="643" spans="1:42" x14ac:dyDescent="0.2">
      <c r="A643" s="27">
        <v>45146.602801701389</v>
      </c>
      <c r="B643" s="28" t="s">
        <v>37</v>
      </c>
      <c r="C643" s="41" t="s">
        <v>118</v>
      </c>
      <c r="D643" s="26" t="s">
        <v>36</v>
      </c>
      <c r="E643" s="26" t="s">
        <v>56</v>
      </c>
      <c r="F643" s="26" t="s">
        <v>678</v>
      </c>
      <c r="G643" s="26" t="s">
        <v>108</v>
      </c>
      <c r="H643" s="26" t="s">
        <v>3295</v>
      </c>
      <c r="I643" s="17">
        <f ca="1">IFERROR(__xludf.DUMMYFUNCTION("""COMPUTED_VALUE"""),45247)</f>
        <v>45247</v>
      </c>
      <c r="J643" s="29" t="s">
        <v>1368</v>
      </c>
      <c r="K643" s="26" t="s">
        <v>3419</v>
      </c>
      <c r="L643" s="66">
        <v>333601190</v>
      </c>
      <c r="M643" s="26" t="s">
        <v>80</v>
      </c>
      <c r="N643" s="26" t="s">
        <v>299</v>
      </c>
      <c r="O643" s="26" t="s">
        <v>1370</v>
      </c>
      <c r="P643" s="42" t="s">
        <v>3420</v>
      </c>
      <c r="Q643" s="20">
        <v>9317</v>
      </c>
      <c r="R643" s="26" t="s">
        <v>36</v>
      </c>
      <c r="S643" s="31">
        <v>2000</v>
      </c>
      <c r="T643" s="32">
        <v>45146</v>
      </c>
      <c r="U643" s="31">
        <v>7317</v>
      </c>
      <c r="V643" s="32">
        <v>45169</v>
      </c>
      <c r="W643" s="33" t="s">
        <v>1372</v>
      </c>
      <c r="X643" s="26">
        <v>0</v>
      </c>
      <c r="Y643" s="22">
        <v>0</v>
      </c>
      <c r="Z643" s="26" t="s">
        <v>118</v>
      </c>
      <c r="AA643" s="19" t="s">
        <v>901</v>
      </c>
      <c r="AB643" s="26" t="s">
        <v>3421</v>
      </c>
      <c r="AC643" s="26" t="s">
        <v>53</v>
      </c>
      <c r="AD643" s="19" t="s">
        <v>54</v>
      </c>
      <c r="AE643" s="26">
        <v>0</v>
      </c>
      <c r="AF643" s="17">
        <v>45244</v>
      </c>
      <c r="AG643" s="26"/>
      <c r="AH643" s="26">
        <v>1</v>
      </c>
      <c r="AI643" s="40" t="s">
        <v>64</v>
      </c>
      <c r="AJ643" s="26"/>
      <c r="AK643" s="26"/>
      <c r="AL643" s="35"/>
      <c r="AM643" s="35"/>
      <c r="AN643" s="35"/>
      <c r="AO643" s="35"/>
      <c r="AP643" s="35"/>
    </row>
    <row r="644" spans="1:42" x14ac:dyDescent="0.2">
      <c r="A644" s="14">
        <v>45239</v>
      </c>
      <c r="B644" s="68" t="s">
        <v>37</v>
      </c>
      <c r="C644" s="41" t="s">
        <v>118</v>
      </c>
      <c r="D644" s="26" t="s">
        <v>36</v>
      </c>
      <c r="E644" s="26" t="s">
        <v>77</v>
      </c>
      <c r="F644" s="35" t="s">
        <v>3422</v>
      </c>
      <c r="G644" s="35" t="s">
        <v>41</v>
      </c>
      <c r="H644" s="35" t="s">
        <v>413</v>
      </c>
      <c r="I644" s="17">
        <f ca="1">IFERROR(__xludf.DUMMYFUNCTION("""COMPUTED_VALUE"""),45246)</f>
        <v>45246</v>
      </c>
      <c r="J644" s="29" t="s">
        <v>3423</v>
      </c>
      <c r="K644" s="26" t="s">
        <v>3424</v>
      </c>
      <c r="L644" s="30">
        <v>877840326</v>
      </c>
      <c r="M644" s="26" t="s">
        <v>94</v>
      </c>
      <c r="N644" s="26" t="s">
        <v>3425</v>
      </c>
      <c r="O644" s="35"/>
      <c r="P644" s="26" t="s">
        <v>3426</v>
      </c>
      <c r="Q644" s="20"/>
      <c r="R644" s="26" t="s">
        <v>36</v>
      </c>
      <c r="S644" s="31">
        <v>16779</v>
      </c>
      <c r="T644" s="32">
        <v>44851</v>
      </c>
      <c r="U644" s="31"/>
      <c r="V644" s="38"/>
      <c r="W644" s="33" t="s">
        <v>3427</v>
      </c>
      <c r="X644" s="26">
        <v>0</v>
      </c>
      <c r="Y644" s="22">
        <v>0</v>
      </c>
      <c r="Z644" s="26" t="s">
        <v>118</v>
      </c>
      <c r="AA644" s="19" t="s">
        <v>3327</v>
      </c>
      <c r="AB644" s="26" t="s">
        <v>104</v>
      </c>
      <c r="AC644" s="26" t="s">
        <v>53</v>
      </c>
      <c r="AD644" s="19" t="s">
        <v>54</v>
      </c>
      <c r="AE644" s="35"/>
      <c r="AF644" s="17">
        <v>45244</v>
      </c>
      <c r="AG644" s="91"/>
      <c r="AH644" s="35"/>
      <c r="AI644" s="92"/>
      <c r="AJ644" s="35"/>
      <c r="AK644" s="35"/>
      <c r="AL644" s="35"/>
      <c r="AM644" s="35"/>
      <c r="AN644" s="35"/>
      <c r="AO644" s="35"/>
      <c r="AP644" s="35"/>
    </row>
    <row r="645" spans="1:42" x14ac:dyDescent="0.2">
      <c r="A645" s="27">
        <v>45181.120232511574</v>
      </c>
      <c r="B645" s="28" t="s">
        <v>90</v>
      </c>
      <c r="C645" s="41" t="s">
        <v>118</v>
      </c>
      <c r="D645" s="26" t="s">
        <v>36</v>
      </c>
      <c r="E645" s="26" t="s">
        <v>39</v>
      </c>
      <c r="F645" s="26" t="s">
        <v>2647</v>
      </c>
      <c r="G645" s="26" t="s">
        <v>108</v>
      </c>
      <c r="H645" s="26" t="s">
        <v>3418</v>
      </c>
      <c r="I645" s="17">
        <f ca="1">IFERROR(__xludf.DUMMYFUNCTION("""COMPUTED_VALUE"""),45240)</f>
        <v>45240</v>
      </c>
      <c r="J645" s="29" t="s">
        <v>2779</v>
      </c>
      <c r="K645" s="26" t="s">
        <v>2780</v>
      </c>
      <c r="L645" s="30">
        <v>989095842</v>
      </c>
      <c r="M645" s="26" t="s">
        <v>45</v>
      </c>
      <c r="N645" s="26" t="s">
        <v>1232</v>
      </c>
      <c r="O645" s="26" t="s">
        <v>2781</v>
      </c>
      <c r="P645" s="26" t="s">
        <v>2782</v>
      </c>
      <c r="Q645" s="20">
        <v>5736</v>
      </c>
      <c r="R645" s="26" t="s">
        <v>70</v>
      </c>
      <c r="S645" s="31">
        <v>5636</v>
      </c>
      <c r="T645" s="32">
        <v>45180</v>
      </c>
      <c r="U645" s="31"/>
      <c r="V645" s="26"/>
      <c r="W645" s="33" t="s">
        <v>2783</v>
      </c>
      <c r="X645" s="26"/>
      <c r="Y645" s="22">
        <v>100</v>
      </c>
      <c r="Z645" s="26" t="s">
        <v>118</v>
      </c>
      <c r="AA645" s="19" t="s">
        <v>2449</v>
      </c>
      <c r="AB645" s="26" t="s">
        <v>104</v>
      </c>
      <c r="AC645" s="26" t="s">
        <v>53</v>
      </c>
      <c r="AD645" s="19" t="s">
        <v>138</v>
      </c>
      <c r="AE645" s="26">
        <v>460</v>
      </c>
      <c r="AF645" s="17">
        <v>45240</v>
      </c>
      <c r="AG645" s="26"/>
      <c r="AH645" s="26"/>
      <c r="AI645" s="40"/>
      <c r="AJ645" s="26"/>
      <c r="AK645" s="26"/>
      <c r="AL645" s="35"/>
      <c r="AM645" s="35"/>
      <c r="AN645" s="35"/>
      <c r="AO645" s="35"/>
      <c r="AP645" s="35"/>
    </row>
    <row r="646" spans="1:42" x14ac:dyDescent="0.2">
      <c r="A646" s="27">
        <v>45181.118768877313</v>
      </c>
      <c r="B646" s="68" t="s">
        <v>37</v>
      </c>
      <c r="C646" s="41" t="s">
        <v>118</v>
      </c>
      <c r="D646" s="26" t="s">
        <v>36</v>
      </c>
      <c r="E646" s="26" t="s">
        <v>39</v>
      </c>
      <c r="F646" s="26" t="s">
        <v>2647</v>
      </c>
      <c r="G646" s="26" t="s">
        <v>108</v>
      </c>
      <c r="H646" s="26" t="s">
        <v>3418</v>
      </c>
      <c r="I646" s="17">
        <f ca="1">IFERROR(__xludf.DUMMYFUNCTION("""COMPUTED_VALUE"""),45240)</f>
        <v>45240</v>
      </c>
      <c r="J646" s="29" t="s">
        <v>2774</v>
      </c>
      <c r="K646" s="26" t="s">
        <v>2775</v>
      </c>
      <c r="L646" s="30">
        <v>382127031</v>
      </c>
      <c r="M646" s="26" t="s">
        <v>45</v>
      </c>
      <c r="N646" s="26" t="s">
        <v>1232</v>
      </c>
      <c r="O646" s="26" t="s">
        <v>2776</v>
      </c>
      <c r="P646" s="26" t="s">
        <v>2777</v>
      </c>
      <c r="Q646" s="20">
        <v>5736</v>
      </c>
      <c r="R646" s="26" t="s">
        <v>70</v>
      </c>
      <c r="S646" s="31">
        <v>5636</v>
      </c>
      <c r="T646" s="32">
        <v>45180</v>
      </c>
      <c r="U646" s="31"/>
      <c r="V646" s="26"/>
      <c r="W646" s="33" t="s">
        <v>2778</v>
      </c>
      <c r="X646" s="26"/>
      <c r="Y646" s="22">
        <v>100</v>
      </c>
      <c r="Z646" s="26" t="s">
        <v>118</v>
      </c>
      <c r="AA646" s="19" t="s">
        <v>2449</v>
      </c>
      <c r="AB646" s="26" t="s">
        <v>104</v>
      </c>
      <c r="AC646" s="26" t="s">
        <v>53</v>
      </c>
      <c r="AD646" s="19" t="s">
        <v>138</v>
      </c>
      <c r="AE646" s="26">
        <v>300</v>
      </c>
      <c r="AF646" s="17">
        <v>45240</v>
      </c>
      <c r="AG646" s="26"/>
      <c r="AH646" s="26"/>
      <c r="AI646" s="40"/>
      <c r="AJ646" s="26"/>
      <c r="AK646" s="26"/>
      <c r="AL646" s="35"/>
      <c r="AM646" s="35"/>
      <c r="AN646" s="35"/>
      <c r="AO646" s="35"/>
      <c r="AP646" s="35"/>
    </row>
    <row r="647" spans="1:42" x14ac:dyDescent="0.2">
      <c r="A647" s="27">
        <v>45175.191717546295</v>
      </c>
      <c r="B647" s="68" t="s">
        <v>37</v>
      </c>
      <c r="C647" s="41" t="s">
        <v>118</v>
      </c>
      <c r="D647" s="26" t="s">
        <v>36</v>
      </c>
      <c r="E647" s="26" t="s">
        <v>139</v>
      </c>
      <c r="F647" s="26" t="s">
        <v>2647</v>
      </c>
      <c r="G647" s="26" t="s">
        <v>108</v>
      </c>
      <c r="H647" s="26" t="s">
        <v>3418</v>
      </c>
      <c r="I647" s="17">
        <f ca="1">IFERROR(__xludf.DUMMYFUNCTION("""COMPUTED_VALUE"""),45240)</f>
        <v>45240</v>
      </c>
      <c r="J647" s="29" t="s">
        <v>2648</v>
      </c>
      <c r="K647" s="26" t="s">
        <v>2649</v>
      </c>
      <c r="L647" s="30">
        <v>936932818</v>
      </c>
      <c r="M647" s="26" t="s">
        <v>123</v>
      </c>
      <c r="N647" s="26" t="s">
        <v>850</v>
      </c>
      <c r="O647" s="26" t="s">
        <v>1226</v>
      </c>
      <c r="P647" s="26" t="s">
        <v>2650</v>
      </c>
      <c r="Q647" s="20">
        <v>15936</v>
      </c>
      <c r="R647" s="26" t="s">
        <v>36</v>
      </c>
      <c r="S647" s="31">
        <v>200</v>
      </c>
      <c r="T647" s="32">
        <v>45174</v>
      </c>
      <c r="U647" s="31">
        <v>15736</v>
      </c>
      <c r="V647" s="32">
        <v>45185</v>
      </c>
      <c r="W647" s="33" t="s">
        <v>2651</v>
      </c>
      <c r="X647" s="26"/>
      <c r="Y647" s="22">
        <v>0</v>
      </c>
      <c r="Z647" s="26" t="s">
        <v>118</v>
      </c>
      <c r="AA647" s="19" t="s">
        <v>2449</v>
      </c>
      <c r="AB647" s="26" t="s">
        <v>128</v>
      </c>
      <c r="AC647" s="26" t="s">
        <v>53</v>
      </c>
      <c r="AD647" s="19" t="s">
        <v>138</v>
      </c>
      <c r="AE647" s="26"/>
      <c r="AF647" s="17">
        <v>45240</v>
      </c>
      <c r="AG647" s="26"/>
      <c r="AH647" s="26"/>
      <c r="AI647" s="40"/>
      <c r="AJ647" s="26"/>
      <c r="AK647" s="26"/>
      <c r="AL647" s="35"/>
      <c r="AM647" s="35"/>
      <c r="AN647" s="35"/>
      <c r="AO647" s="35"/>
      <c r="AP647" s="35"/>
    </row>
    <row r="648" spans="1:42" x14ac:dyDescent="0.2">
      <c r="A648" s="97">
        <v>45243</v>
      </c>
      <c r="B648" s="28" t="s">
        <v>37</v>
      </c>
      <c r="C648" s="41" t="s">
        <v>118</v>
      </c>
      <c r="D648" s="26" t="s">
        <v>36</v>
      </c>
      <c r="E648" s="26" t="s">
        <v>139</v>
      </c>
      <c r="F648" s="26" t="s">
        <v>2973</v>
      </c>
      <c r="G648" s="26" t="s">
        <v>108</v>
      </c>
      <c r="H648" s="26" t="s">
        <v>3428</v>
      </c>
      <c r="I648" s="17" t="str">
        <f ca="1">IFERROR(__xludf.DUMMYFUNCTION("""COMPUTED_VALUE""")," ")</f>
        <v xml:space="preserve"> </v>
      </c>
      <c r="J648" s="29" t="s">
        <v>3003</v>
      </c>
      <c r="K648" s="26" t="s">
        <v>3429</v>
      </c>
      <c r="L648" s="30">
        <v>985944818</v>
      </c>
      <c r="M648" s="26" t="s">
        <v>59</v>
      </c>
      <c r="N648" s="26" t="s">
        <v>3005</v>
      </c>
      <c r="O648" s="26" t="s">
        <v>3006</v>
      </c>
      <c r="P648" s="42" t="s">
        <v>3430</v>
      </c>
      <c r="Q648" s="20">
        <v>15936</v>
      </c>
      <c r="R648" s="26" t="s">
        <v>36</v>
      </c>
      <c r="S648" s="31">
        <v>15963</v>
      </c>
      <c r="T648" s="32">
        <v>45189</v>
      </c>
      <c r="U648" s="31"/>
      <c r="V648" s="26"/>
      <c r="W648" s="26"/>
      <c r="X648" s="26"/>
      <c r="Y648" s="22">
        <v>-27</v>
      </c>
      <c r="Z648" s="26" t="s">
        <v>118</v>
      </c>
      <c r="AA648" s="19" t="s">
        <v>2449</v>
      </c>
      <c r="AB648" s="26"/>
      <c r="AC648" s="26" t="s">
        <v>53</v>
      </c>
      <c r="AD648" s="19" t="s">
        <v>54</v>
      </c>
      <c r="AE648" s="26"/>
      <c r="AF648" s="17">
        <v>45250</v>
      </c>
      <c r="AG648" s="26"/>
      <c r="AH648" s="26"/>
      <c r="AI648" s="40"/>
      <c r="AJ648" s="26"/>
      <c r="AK648" s="26"/>
      <c r="AL648" s="35"/>
      <c r="AM648" s="35"/>
      <c r="AN648" s="35"/>
      <c r="AO648" s="35"/>
      <c r="AP648" s="35"/>
    </row>
    <row r="649" spans="1:42" x14ac:dyDescent="0.2">
      <c r="A649" s="97">
        <v>45243</v>
      </c>
      <c r="B649" s="28" t="s">
        <v>37</v>
      </c>
      <c r="C649" s="41" t="s">
        <v>118</v>
      </c>
      <c r="D649" s="26" t="s">
        <v>36</v>
      </c>
      <c r="E649" s="26" t="s">
        <v>139</v>
      </c>
      <c r="F649" s="26" t="s">
        <v>2989</v>
      </c>
      <c r="G649" s="26" t="s">
        <v>108</v>
      </c>
      <c r="H649" s="26" t="s">
        <v>1176</v>
      </c>
      <c r="I649" s="17">
        <f ca="1">IFERROR(__xludf.DUMMYFUNCTION("""COMPUTED_VALUE"""),45258)</f>
        <v>45258</v>
      </c>
      <c r="J649" s="29" t="s">
        <v>2990</v>
      </c>
      <c r="K649" s="26" t="s">
        <v>2991</v>
      </c>
      <c r="L649" s="30">
        <v>353115382</v>
      </c>
      <c r="M649" s="26" t="s">
        <v>123</v>
      </c>
      <c r="N649" s="26" t="s">
        <v>850</v>
      </c>
      <c r="O649" s="26" t="s">
        <v>1226</v>
      </c>
      <c r="P649" s="42" t="s">
        <v>3431</v>
      </c>
      <c r="Q649" s="20">
        <v>15936</v>
      </c>
      <c r="R649" s="26" t="s">
        <v>36</v>
      </c>
      <c r="S649" s="31">
        <v>15936</v>
      </c>
      <c r="T649" s="32">
        <v>45189</v>
      </c>
      <c r="U649" s="31"/>
      <c r="V649" s="26"/>
      <c r="W649" s="33" t="s">
        <v>2992</v>
      </c>
      <c r="X649" s="26"/>
      <c r="Y649" s="22">
        <v>0</v>
      </c>
      <c r="Z649" s="26" t="s">
        <v>118</v>
      </c>
      <c r="AA649" s="19" t="s">
        <v>2449</v>
      </c>
      <c r="AB649" s="26" t="s">
        <v>154</v>
      </c>
      <c r="AC649" s="26" t="s">
        <v>53</v>
      </c>
      <c r="AD649" s="19" t="s">
        <v>138</v>
      </c>
      <c r="AE649" s="26"/>
      <c r="AF649" s="17">
        <v>45250</v>
      </c>
      <c r="AG649" s="26" t="s">
        <v>3432</v>
      </c>
      <c r="AH649" s="26"/>
      <c r="AI649" s="40"/>
      <c r="AJ649" s="26"/>
      <c r="AK649" s="26"/>
      <c r="AL649" s="35"/>
      <c r="AM649" s="35"/>
      <c r="AN649" s="35"/>
      <c r="AO649" s="35"/>
      <c r="AP649" s="35"/>
    </row>
    <row r="650" spans="1:42" x14ac:dyDescent="0.2">
      <c r="A650" s="97">
        <v>45243</v>
      </c>
      <c r="B650" s="28" t="s">
        <v>37</v>
      </c>
      <c r="C650" s="41" t="s">
        <v>118</v>
      </c>
      <c r="D650" s="26" t="s">
        <v>36</v>
      </c>
      <c r="E650" s="26" t="s">
        <v>56</v>
      </c>
      <c r="F650" s="26" t="s">
        <v>2989</v>
      </c>
      <c r="G650" s="26" t="s">
        <v>108</v>
      </c>
      <c r="H650" s="26" t="s">
        <v>3181</v>
      </c>
      <c r="I650" s="17">
        <f ca="1">IFERROR(__xludf.DUMMYFUNCTION("""COMPUTED_VALUE"""),45257)</f>
        <v>45257</v>
      </c>
      <c r="J650" s="44" t="s">
        <v>3136</v>
      </c>
      <c r="K650" s="26" t="s">
        <v>3137</v>
      </c>
      <c r="L650" s="30">
        <v>896575146</v>
      </c>
      <c r="M650" s="26" t="s">
        <v>59</v>
      </c>
      <c r="N650" s="26" t="s">
        <v>260</v>
      </c>
      <c r="O650" s="26" t="s">
        <v>3138</v>
      </c>
      <c r="P650" s="42" t="s">
        <v>3139</v>
      </c>
      <c r="Q650" s="20">
        <v>9317</v>
      </c>
      <c r="R650" s="26" t="s">
        <v>36</v>
      </c>
      <c r="S650" s="31">
        <v>9317</v>
      </c>
      <c r="T650" s="32">
        <v>45187</v>
      </c>
      <c r="U650" s="31"/>
      <c r="V650" s="26"/>
      <c r="W650" s="33" t="s">
        <v>3140</v>
      </c>
      <c r="X650" s="26"/>
      <c r="Y650" s="22">
        <v>0</v>
      </c>
      <c r="Z650" s="26" t="s">
        <v>118</v>
      </c>
      <c r="AA650" s="19" t="s">
        <v>2449</v>
      </c>
      <c r="AB650" s="26" t="s">
        <v>154</v>
      </c>
      <c r="AC650" s="26" t="s">
        <v>53</v>
      </c>
      <c r="AD650" s="19" t="s">
        <v>54</v>
      </c>
      <c r="AE650" s="26"/>
      <c r="AF650" s="17">
        <v>45196</v>
      </c>
      <c r="AG650" s="26" t="s">
        <v>3141</v>
      </c>
      <c r="AH650" s="26"/>
      <c r="AI650" s="40"/>
      <c r="AJ650" s="26"/>
      <c r="AK650" s="26"/>
      <c r="AL650" s="35"/>
      <c r="AM650" s="35"/>
      <c r="AN650" s="35"/>
      <c r="AO650" s="35"/>
      <c r="AP650" s="35"/>
    </row>
    <row r="651" spans="1:42" x14ac:dyDescent="0.2">
      <c r="A651" s="97">
        <v>45244</v>
      </c>
      <c r="B651" s="28" t="s">
        <v>37</v>
      </c>
      <c r="C651" s="41" t="s">
        <v>118</v>
      </c>
      <c r="D651" s="26" t="s">
        <v>36</v>
      </c>
      <c r="E651" s="26" t="s">
        <v>56</v>
      </c>
      <c r="F651" s="26" t="s">
        <v>2889</v>
      </c>
      <c r="G651" s="26" t="s">
        <v>108</v>
      </c>
      <c r="H651" s="26" t="s">
        <v>2016</v>
      </c>
      <c r="I651" s="17">
        <f ca="1">IFERROR(__xludf.DUMMYFUNCTION("""COMPUTED_VALUE"""),45365)</f>
        <v>45365</v>
      </c>
      <c r="J651" s="29" t="s">
        <v>3079</v>
      </c>
      <c r="K651" s="26" t="s">
        <v>3433</v>
      </c>
      <c r="L651" s="30">
        <v>357189857</v>
      </c>
      <c r="M651" s="19" t="s">
        <v>59</v>
      </c>
      <c r="N651" s="19" t="s">
        <v>68</v>
      </c>
      <c r="O651" s="26" t="s">
        <v>3081</v>
      </c>
      <c r="P651" s="42" t="s">
        <v>3434</v>
      </c>
      <c r="Q651" s="20">
        <v>9317</v>
      </c>
      <c r="R651" s="26" t="s">
        <v>1106</v>
      </c>
      <c r="S651" s="31">
        <v>9217</v>
      </c>
      <c r="T651" s="32">
        <v>45191</v>
      </c>
      <c r="U651" s="31"/>
      <c r="V651" s="26"/>
      <c r="W651" s="33" t="s">
        <v>3083</v>
      </c>
      <c r="X651" s="26"/>
      <c r="Y651" s="22">
        <v>100</v>
      </c>
      <c r="Z651" s="26" t="s">
        <v>118</v>
      </c>
      <c r="AA651" s="19" t="s">
        <v>2449</v>
      </c>
      <c r="AB651" s="26" t="s">
        <v>137</v>
      </c>
      <c r="AC651" s="26" t="s">
        <v>53</v>
      </c>
      <c r="AD651" s="19" t="s">
        <v>138</v>
      </c>
      <c r="AE651" s="26"/>
      <c r="AF651" s="17">
        <v>45256</v>
      </c>
      <c r="AG651" s="26" t="s">
        <v>3399</v>
      </c>
      <c r="AH651" s="26"/>
      <c r="AI651" s="40"/>
      <c r="AJ651" s="26"/>
      <c r="AK651" s="26"/>
      <c r="AL651" s="35"/>
      <c r="AM651" s="35"/>
      <c r="AN651" s="35"/>
      <c r="AO651" s="35"/>
      <c r="AP651" s="35"/>
    </row>
    <row r="652" spans="1:42" x14ac:dyDescent="0.2">
      <c r="A652" s="97">
        <v>45244</v>
      </c>
      <c r="B652" s="28" t="s">
        <v>37</v>
      </c>
      <c r="C652" s="41" t="s">
        <v>118</v>
      </c>
      <c r="D652" s="26" t="s">
        <v>36</v>
      </c>
      <c r="E652" s="26" t="s">
        <v>56</v>
      </c>
      <c r="F652" s="26" t="s">
        <v>2889</v>
      </c>
      <c r="G652" s="26" t="s">
        <v>108</v>
      </c>
      <c r="H652" s="26" t="s">
        <v>2016</v>
      </c>
      <c r="I652" s="17">
        <f ca="1">IFERROR(__xludf.DUMMYFUNCTION("""COMPUTED_VALUE"""),45365)</f>
        <v>45365</v>
      </c>
      <c r="J652" s="29" t="s">
        <v>2890</v>
      </c>
      <c r="K652" s="26" t="s">
        <v>3435</v>
      </c>
      <c r="L652" s="30">
        <v>374735732</v>
      </c>
      <c r="M652" s="26" t="s">
        <v>59</v>
      </c>
      <c r="N652" s="26" t="s">
        <v>68</v>
      </c>
      <c r="O652" s="26" t="s">
        <v>2892</v>
      </c>
      <c r="P652" s="42" t="s">
        <v>2893</v>
      </c>
      <c r="Q652" s="20">
        <v>9317</v>
      </c>
      <c r="R652" s="26" t="s">
        <v>70</v>
      </c>
      <c r="S652" s="31">
        <v>9217</v>
      </c>
      <c r="T652" s="32">
        <v>45186</v>
      </c>
      <c r="U652" s="31"/>
      <c r="V652" s="26"/>
      <c r="W652" s="33" t="s">
        <v>2894</v>
      </c>
      <c r="X652" s="26"/>
      <c r="Y652" s="22">
        <v>100</v>
      </c>
      <c r="Z652" s="26" t="s">
        <v>118</v>
      </c>
      <c r="AA652" s="19" t="s">
        <v>2449</v>
      </c>
      <c r="AB652" s="26" t="s">
        <v>137</v>
      </c>
      <c r="AC652" s="26" t="s">
        <v>53</v>
      </c>
      <c r="AD652" s="19" t="s">
        <v>138</v>
      </c>
      <c r="AE652" s="26"/>
      <c r="AF652" s="17">
        <v>45256</v>
      </c>
      <c r="AG652" s="26" t="s">
        <v>3399</v>
      </c>
      <c r="AH652" s="26"/>
      <c r="AI652" s="40"/>
      <c r="AJ652" s="26"/>
      <c r="AK652" s="26"/>
      <c r="AL652" s="35"/>
      <c r="AM652" s="35"/>
      <c r="AN652" s="35"/>
      <c r="AO652" s="35"/>
      <c r="AP652" s="35"/>
    </row>
    <row r="653" spans="1:42" x14ac:dyDescent="0.2">
      <c r="A653" s="97">
        <v>45244</v>
      </c>
      <c r="B653" s="28" t="s">
        <v>37</v>
      </c>
      <c r="C653" s="41" t="s">
        <v>118</v>
      </c>
      <c r="D653" s="26" t="s">
        <v>36</v>
      </c>
      <c r="E653" s="26" t="s">
        <v>56</v>
      </c>
      <c r="F653" s="26" t="s">
        <v>2889</v>
      </c>
      <c r="G653" s="26" t="s">
        <v>108</v>
      </c>
      <c r="H653" s="26" t="s">
        <v>3436</v>
      </c>
      <c r="I653" s="17" t="str">
        <f ca="1">IFERROR(__xludf.DUMMYFUNCTION("""COMPUTED_VALUE""")," ")</f>
        <v xml:space="preserve"> </v>
      </c>
      <c r="J653" s="29" t="s">
        <v>2895</v>
      </c>
      <c r="K653" s="26" t="s">
        <v>3437</v>
      </c>
      <c r="L653" s="30">
        <v>353373576</v>
      </c>
      <c r="M653" s="26" t="s">
        <v>59</v>
      </c>
      <c r="N653" s="26" t="s">
        <v>68</v>
      </c>
      <c r="O653" s="26" t="s">
        <v>2897</v>
      </c>
      <c r="P653" s="42" t="s">
        <v>2898</v>
      </c>
      <c r="Q653" s="20">
        <v>9317</v>
      </c>
      <c r="R653" s="26" t="s">
        <v>70</v>
      </c>
      <c r="S653" s="31">
        <v>9217</v>
      </c>
      <c r="T653" s="32">
        <v>45185</v>
      </c>
      <c r="U653" s="31"/>
      <c r="V653" s="26"/>
      <c r="W653" s="33" t="s">
        <v>2899</v>
      </c>
      <c r="X653" s="26"/>
      <c r="Y653" s="22">
        <v>100</v>
      </c>
      <c r="Z653" s="26" t="s">
        <v>118</v>
      </c>
      <c r="AA653" s="19" t="s">
        <v>2449</v>
      </c>
      <c r="AB653" s="26" t="s">
        <v>137</v>
      </c>
      <c r="AC653" s="26" t="s">
        <v>53</v>
      </c>
      <c r="AD653" s="19" t="s">
        <v>138</v>
      </c>
      <c r="AE653" s="26" t="s">
        <v>3438</v>
      </c>
      <c r="AF653" s="17">
        <v>45256</v>
      </c>
      <c r="AG653" s="26" t="s">
        <v>3399</v>
      </c>
      <c r="AH653" s="26"/>
      <c r="AI653" s="40"/>
      <c r="AJ653" s="26"/>
      <c r="AK653" s="26"/>
      <c r="AL653" s="35"/>
      <c r="AM653" s="35"/>
      <c r="AN653" s="35"/>
      <c r="AO653" s="35"/>
      <c r="AP653" s="35"/>
    </row>
    <row r="654" spans="1:42" x14ac:dyDescent="0.2">
      <c r="A654" s="97">
        <v>45244</v>
      </c>
      <c r="B654" s="28" t="s">
        <v>37</v>
      </c>
      <c r="C654" s="41" t="s">
        <v>118</v>
      </c>
      <c r="D654" s="26" t="s">
        <v>36</v>
      </c>
      <c r="E654" s="26" t="s">
        <v>56</v>
      </c>
      <c r="F654" s="26" t="s">
        <v>2889</v>
      </c>
      <c r="G654" s="26" t="s">
        <v>108</v>
      </c>
      <c r="H654" s="26" t="s">
        <v>3439</v>
      </c>
      <c r="I654" s="17">
        <f ca="1">IFERROR(__xludf.DUMMYFUNCTION("""COMPUTED_VALUE"""),45432)</f>
        <v>45432</v>
      </c>
      <c r="J654" s="29" t="s">
        <v>3106</v>
      </c>
      <c r="K654" s="26" t="s">
        <v>3440</v>
      </c>
      <c r="L654" s="30">
        <v>399577330</v>
      </c>
      <c r="M654" s="26" t="s">
        <v>548</v>
      </c>
      <c r="N654" s="26" t="s">
        <v>549</v>
      </c>
      <c r="O654" s="26" t="s">
        <v>3108</v>
      </c>
      <c r="P654" s="42" t="s">
        <v>3441</v>
      </c>
      <c r="Q654" s="20">
        <v>9317</v>
      </c>
      <c r="R654" s="26" t="s">
        <v>36</v>
      </c>
      <c r="S654" s="31">
        <v>9317</v>
      </c>
      <c r="T654" s="32">
        <v>45195</v>
      </c>
      <c r="U654" s="31"/>
      <c r="V654" s="26"/>
      <c r="W654" s="33" t="s">
        <v>3110</v>
      </c>
      <c r="X654" s="26"/>
      <c r="Y654" s="22">
        <v>0</v>
      </c>
      <c r="Z654" s="26" t="s">
        <v>118</v>
      </c>
      <c r="AA654" s="19" t="s">
        <v>2449</v>
      </c>
      <c r="AB654" s="26"/>
      <c r="AC654" s="26" t="s">
        <v>53</v>
      </c>
      <c r="AD654" s="19" t="s">
        <v>138</v>
      </c>
      <c r="AE654" s="26"/>
      <c r="AF654" s="17">
        <v>45256</v>
      </c>
      <c r="AG654" s="26" t="s">
        <v>3399</v>
      </c>
      <c r="AH654" s="26"/>
      <c r="AI654" s="40"/>
      <c r="AJ654" s="26"/>
      <c r="AK654" s="26"/>
      <c r="AL654" s="35"/>
      <c r="AM654" s="35"/>
      <c r="AN654" s="35"/>
      <c r="AO654" s="35"/>
      <c r="AP654" s="35"/>
    </row>
    <row r="655" spans="1:42" x14ac:dyDescent="0.2">
      <c r="A655" s="97">
        <v>45244</v>
      </c>
      <c r="B655" s="28" t="s">
        <v>37</v>
      </c>
      <c r="C655" s="41" t="s">
        <v>118</v>
      </c>
      <c r="D655" s="26" t="s">
        <v>36</v>
      </c>
      <c r="E655" s="26" t="s">
        <v>106</v>
      </c>
      <c r="F655" s="26" t="s">
        <v>3442</v>
      </c>
      <c r="G655" s="26" t="s">
        <v>108</v>
      </c>
      <c r="H655" s="26" t="s">
        <v>3181</v>
      </c>
      <c r="I655" s="17">
        <f ca="1">IFERROR(__xludf.DUMMYFUNCTION("""COMPUTED_VALUE"""),45257)</f>
        <v>45257</v>
      </c>
      <c r="J655" s="29" t="s">
        <v>3443</v>
      </c>
      <c r="K655" s="26" t="s">
        <v>3444</v>
      </c>
      <c r="L655" s="30">
        <v>913837332</v>
      </c>
      <c r="M655" s="35" t="s">
        <v>1245</v>
      </c>
      <c r="N655" s="35" t="s">
        <v>3403</v>
      </c>
      <c r="O655" s="35"/>
      <c r="P655" s="72" t="s">
        <v>3445</v>
      </c>
      <c r="Q655" s="20">
        <v>3768</v>
      </c>
      <c r="R655" s="26" t="s">
        <v>36</v>
      </c>
      <c r="S655" s="31">
        <v>10804</v>
      </c>
      <c r="T655" s="32">
        <v>37620</v>
      </c>
      <c r="U655" s="31"/>
      <c r="V655" s="32"/>
      <c r="W655" s="33" t="s">
        <v>3446</v>
      </c>
      <c r="X655" s="35"/>
      <c r="Y655" s="22">
        <v>0</v>
      </c>
      <c r="Z655" s="26" t="s">
        <v>118</v>
      </c>
      <c r="AA655" s="19" t="s">
        <v>3447</v>
      </c>
      <c r="AB655" s="35"/>
      <c r="AC655" s="26" t="s">
        <v>53</v>
      </c>
      <c r="AD655" s="19" t="s">
        <v>138</v>
      </c>
      <c r="AE655" s="35">
        <v>420</v>
      </c>
      <c r="AF655" s="43">
        <v>45247</v>
      </c>
      <c r="AG655" s="91"/>
      <c r="AH655" s="35"/>
      <c r="AI655" s="92"/>
      <c r="AJ655" s="35"/>
      <c r="AK655" s="35"/>
      <c r="AL655" s="35"/>
      <c r="AM655" s="35"/>
      <c r="AN655" s="35"/>
      <c r="AO655" s="35"/>
      <c r="AP655" s="35"/>
    </row>
    <row r="656" spans="1:42" x14ac:dyDescent="0.2">
      <c r="A656" s="27">
        <v>45169.134439444446</v>
      </c>
      <c r="B656" s="28" t="s">
        <v>37</v>
      </c>
      <c r="C656" s="41" t="s">
        <v>118</v>
      </c>
      <c r="D656" s="26" t="s">
        <v>36</v>
      </c>
      <c r="E656" s="26" t="s">
        <v>139</v>
      </c>
      <c r="F656" s="26" t="s">
        <v>36</v>
      </c>
      <c r="G656" s="26" t="s">
        <v>41</v>
      </c>
      <c r="H656" s="26" t="s">
        <v>2573</v>
      </c>
      <c r="I656" s="17">
        <f ca="1">IFERROR(__xludf.DUMMYFUNCTION("""COMPUTED_VALUE"""),45195)</f>
        <v>45195</v>
      </c>
      <c r="J656" s="44" t="s">
        <v>3448</v>
      </c>
      <c r="K656" s="26" t="s">
        <v>3449</v>
      </c>
      <c r="L656" s="30">
        <v>762240349</v>
      </c>
      <c r="M656" s="26" t="s">
        <v>80</v>
      </c>
      <c r="N656" s="26" t="s">
        <v>299</v>
      </c>
      <c r="O656" s="26" t="s">
        <v>3450</v>
      </c>
      <c r="P656" s="26" t="s">
        <v>3451</v>
      </c>
      <c r="Q656" s="20">
        <v>15936</v>
      </c>
      <c r="R656" s="26" t="s">
        <v>36</v>
      </c>
      <c r="S656" s="31">
        <v>1000</v>
      </c>
      <c r="T656" s="32">
        <v>45169</v>
      </c>
      <c r="U656" s="31">
        <f>1000+13936</f>
        <v>14936</v>
      </c>
      <c r="V656" s="26" t="s">
        <v>3452</v>
      </c>
      <c r="W656" s="33" t="s">
        <v>3453</v>
      </c>
      <c r="X656" s="26"/>
      <c r="Y656" s="22">
        <v>0</v>
      </c>
      <c r="Z656" s="26" t="s">
        <v>50</v>
      </c>
      <c r="AA656" s="19" t="s">
        <v>3454</v>
      </c>
      <c r="AB656" s="26" t="s">
        <v>104</v>
      </c>
      <c r="AC656" s="26" t="s">
        <v>53</v>
      </c>
      <c r="AD656" s="19" t="s">
        <v>138</v>
      </c>
      <c r="AE656" s="26" t="s">
        <v>3455</v>
      </c>
      <c r="AF656" s="17">
        <v>45195</v>
      </c>
      <c r="AG656" s="26" t="s">
        <v>1631</v>
      </c>
      <c r="AH656" s="26"/>
      <c r="AI656" s="40"/>
      <c r="AJ656" s="26"/>
      <c r="AK656" s="26"/>
      <c r="AL656" s="35"/>
      <c r="AM656" s="35"/>
      <c r="AN656" s="35"/>
      <c r="AO656" s="35"/>
      <c r="AP656" s="35"/>
    </row>
    <row r="657" spans="1:42" x14ac:dyDescent="0.2">
      <c r="A657" s="27">
        <v>45169.581211365745</v>
      </c>
      <c r="B657" s="28" t="s">
        <v>37</v>
      </c>
      <c r="C657" s="41" t="s">
        <v>118</v>
      </c>
      <c r="D657" s="26" t="s">
        <v>36</v>
      </c>
      <c r="E657" s="26" t="s">
        <v>119</v>
      </c>
      <c r="F657" s="26" t="s">
        <v>36</v>
      </c>
      <c r="G657" s="26" t="s">
        <v>108</v>
      </c>
      <c r="H657" s="26" t="s">
        <v>2595</v>
      </c>
      <c r="I657" s="17">
        <f ca="1">IFERROR(__xludf.DUMMYFUNCTION("""COMPUTED_VALUE"""),45191)</f>
        <v>45191</v>
      </c>
      <c r="J657" s="29" t="s">
        <v>3456</v>
      </c>
      <c r="K657" s="26" t="s">
        <v>3457</v>
      </c>
      <c r="L657" s="30">
        <v>867556958</v>
      </c>
      <c r="M657" s="26" t="s">
        <v>80</v>
      </c>
      <c r="N657" s="26" t="s">
        <v>186</v>
      </c>
      <c r="O657" s="26" t="s">
        <v>3458</v>
      </c>
      <c r="P657" s="26" t="s">
        <v>3459</v>
      </c>
      <c r="Q657" s="20">
        <v>13968</v>
      </c>
      <c r="R657" s="26" t="s">
        <v>36</v>
      </c>
      <c r="S657" s="31">
        <v>5000</v>
      </c>
      <c r="T657" s="32">
        <v>45169</v>
      </c>
      <c r="U657" s="31">
        <v>8968</v>
      </c>
      <c r="V657" s="32">
        <v>45209</v>
      </c>
      <c r="W657" s="33" t="s">
        <v>3460</v>
      </c>
      <c r="X657" s="26"/>
      <c r="Y657" s="22">
        <v>0</v>
      </c>
      <c r="Z657" s="26" t="s">
        <v>50</v>
      </c>
      <c r="AA657" s="19" t="s">
        <v>3454</v>
      </c>
      <c r="AB657" s="26" t="s">
        <v>154</v>
      </c>
      <c r="AC657" s="26" t="s">
        <v>53</v>
      </c>
      <c r="AD657" s="19" t="s">
        <v>138</v>
      </c>
      <c r="AE657" s="26" t="s">
        <v>2705</v>
      </c>
      <c r="AF657" s="17">
        <v>45191</v>
      </c>
      <c r="AG657" s="26" t="s">
        <v>1631</v>
      </c>
      <c r="AH657" s="26"/>
      <c r="AI657" s="40"/>
      <c r="AJ657" s="26"/>
      <c r="AK657" s="26"/>
      <c r="AL657" s="35"/>
      <c r="AM657" s="35"/>
      <c r="AN657" s="35"/>
      <c r="AO657" s="35"/>
      <c r="AP657" s="35"/>
    </row>
    <row r="658" spans="1:42" x14ac:dyDescent="0.2">
      <c r="A658" s="27">
        <v>45174.179552951391</v>
      </c>
      <c r="B658" s="28" t="s">
        <v>37</v>
      </c>
      <c r="C658" s="41" t="s">
        <v>118</v>
      </c>
      <c r="D658" s="26" t="s">
        <v>36</v>
      </c>
      <c r="E658" s="26" t="s">
        <v>106</v>
      </c>
      <c r="F658" s="26" t="s">
        <v>65</v>
      </c>
      <c r="G658" s="26" t="s">
        <v>108</v>
      </c>
      <c r="H658" s="26" t="s">
        <v>1721</v>
      </c>
      <c r="I658" s="17">
        <f ca="1">IFERROR(__xludf.DUMMYFUNCTION("""COMPUTED_VALUE"""),45189)</f>
        <v>45189</v>
      </c>
      <c r="J658" s="29" t="s">
        <v>3461</v>
      </c>
      <c r="K658" s="26" t="s">
        <v>3462</v>
      </c>
      <c r="L658" s="30">
        <v>97338019</v>
      </c>
      <c r="M658" s="26" t="s">
        <v>112</v>
      </c>
      <c r="N658" s="26" t="s">
        <v>1673</v>
      </c>
      <c r="O658" s="26" t="s">
        <v>91</v>
      </c>
      <c r="P658" s="26" t="s">
        <v>3463</v>
      </c>
      <c r="Q658" s="20">
        <v>3768</v>
      </c>
      <c r="R658" s="26" t="s">
        <v>36</v>
      </c>
      <c r="S658" s="21">
        <v>3668</v>
      </c>
      <c r="T658" s="46">
        <v>45160</v>
      </c>
      <c r="U658" s="31"/>
      <c r="V658" s="26" t="s">
        <v>3464</v>
      </c>
      <c r="W658" s="33" t="s">
        <v>3465</v>
      </c>
      <c r="X658" s="26"/>
      <c r="Y658" s="22">
        <v>100</v>
      </c>
      <c r="Z658" s="26" t="s">
        <v>50</v>
      </c>
      <c r="AA658" s="19" t="s">
        <v>3454</v>
      </c>
      <c r="AB658" s="26" t="s">
        <v>154</v>
      </c>
      <c r="AC658" s="26" t="s">
        <v>53</v>
      </c>
      <c r="AD658" s="19" t="s">
        <v>54</v>
      </c>
      <c r="AE658" s="26" t="s">
        <v>3466</v>
      </c>
      <c r="AF658" s="17">
        <v>45175</v>
      </c>
      <c r="AG658" s="26"/>
      <c r="AH658" s="26"/>
      <c r="AI658" s="40"/>
      <c r="AJ658" s="26"/>
      <c r="AK658" s="26"/>
      <c r="AL658" s="35"/>
      <c r="AM658" s="35"/>
      <c r="AN658" s="35"/>
      <c r="AO658" s="35"/>
      <c r="AP658" s="35"/>
    </row>
    <row r="659" spans="1:42" x14ac:dyDescent="0.2">
      <c r="A659" s="27">
        <v>45174.299956979172</v>
      </c>
      <c r="B659" s="28" t="s">
        <v>37</v>
      </c>
      <c r="C659" s="41" t="s">
        <v>118</v>
      </c>
      <c r="D659" s="26" t="s">
        <v>36</v>
      </c>
      <c r="E659" s="26" t="s">
        <v>119</v>
      </c>
      <c r="F659" s="26" t="s">
        <v>36</v>
      </c>
      <c r="G659" s="26" t="s">
        <v>108</v>
      </c>
      <c r="H659" s="26" t="s">
        <v>2388</v>
      </c>
      <c r="I659" s="17">
        <f ca="1">IFERROR(__xludf.DUMMYFUNCTION("""COMPUTED_VALUE"""),45190)</f>
        <v>45190</v>
      </c>
      <c r="J659" s="29" t="s">
        <v>3467</v>
      </c>
      <c r="K659" s="26" t="s">
        <v>3468</v>
      </c>
      <c r="L659" s="30">
        <v>796424066</v>
      </c>
      <c r="M659" s="26" t="s">
        <v>80</v>
      </c>
      <c r="N659" s="26" t="s">
        <v>299</v>
      </c>
      <c r="O659" s="26" t="s">
        <v>3469</v>
      </c>
      <c r="P659" s="42" t="s">
        <v>3470</v>
      </c>
      <c r="Q659" s="20">
        <v>13968</v>
      </c>
      <c r="R659" s="26" t="s">
        <v>36</v>
      </c>
      <c r="S659" s="31">
        <v>4000</v>
      </c>
      <c r="T659" s="32">
        <v>45173</v>
      </c>
      <c r="U659" s="31">
        <v>9968</v>
      </c>
      <c r="V659" s="32">
        <v>45220</v>
      </c>
      <c r="W659" s="33" t="s">
        <v>3471</v>
      </c>
      <c r="X659" s="35"/>
      <c r="Y659" s="22">
        <v>0</v>
      </c>
      <c r="Z659" s="35" t="s">
        <v>50</v>
      </c>
      <c r="AA659" s="19" t="s">
        <v>3454</v>
      </c>
      <c r="AB659" s="26" t="s">
        <v>3472</v>
      </c>
      <c r="AC659" s="26" t="s">
        <v>53</v>
      </c>
      <c r="AD659" s="19" t="s">
        <v>138</v>
      </c>
      <c r="AE659" s="26" t="s">
        <v>3473</v>
      </c>
      <c r="AF659" s="17">
        <v>45181</v>
      </c>
      <c r="AG659" s="35"/>
      <c r="AH659" s="36"/>
      <c r="AI659" s="37"/>
      <c r="AJ659" s="35"/>
      <c r="AK659" s="35"/>
      <c r="AL659" s="35"/>
      <c r="AM659" s="35"/>
      <c r="AN659" s="35"/>
      <c r="AO659" s="35"/>
      <c r="AP659" s="35"/>
    </row>
    <row r="660" spans="1:42" x14ac:dyDescent="0.2">
      <c r="A660" s="27">
        <v>45174.660115092593</v>
      </c>
      <c r="B660" s="28" t="s">
        <v>37</v>
      </c>
      <c r="C660" s="41" t="s">
        <v>118</v>
      </c>
      <c r="D660" s="26" t="s">
        <v>36</v>
      </c>
      <c r="E660" s="26" t="s">
        <v>139</v>
      </c>
      <c r="F660" s="26" t="s">
        <v>36</v>
      </c>
      <c r="G660" s="26" t="s">
        <v>41</v>
      </c>
      <c r="H660" s="26" t="s">
        <v>1513</v>
      </c>
      <c r="I660" s="17">
        <f ca="1">IFERROR(__xludf.DUMMYFUNCTION("""COMPUTED_VALUE"""),45181)</f>
        <v>45181</v>
      </c>
      <c r="J660" s="29" t="s">
        <v>3474</v>
      </c>
      <c r="K660" s="26" t="s">
        <v>3475</v>
      </c>
      <c r="L660" s="30">
        <v>869485869</v>
      </c>
      <c r="M660" s="26" t="s">
        <v>123</v>
      </c>
      <c r="N660" s="26" t="s">
        <v>850</v>
      </c>
      <c r="O660" s="26" t="s">
        <v>3476</v>
      </c>
      <c r="P660" s="26" t="s">
        <v>3477</v>
      </c>
      <c r="Q660" s="20">
        <v>15936</v>
      </c>
      <c r="R660" s="26" t="s">
        <v>36</v>
      </c>
      <c r="S660" s="31">
        <v>250</v>
      </c>
      <c r="T660" s="32">
        <v>45162</v>
      </c>
      <c r="U660" s="31">
        <f>1750+13936</f>
        <v>15686</v>
      </c>
      <c r="V660" s="26" t="s">
        <v>3478</v>
      </c>
      <c r="W660" s="33" t="s">
        <v>3479</v>
      </c>
      <c r="X660" s="26"/>
      <c r="Y660" s="22">
        <v>0</v>
      </c>
      <c r="Z660" s="26" t="s">
        <v>50</v>
      </c>
      <c r="AA660" s="19" t="s">
        <v>3454</v>
      </c>
      <c r="AB660" s="26" t="s">
        <v>104</v>
      </c>
      <c r="AC660" s="26" t="s">
        <v>53</v>
      </c>
      <c r="AD660" s="19" t="s">
        <v>54</v>
      </c>
      <c r="AE660" s="26"/>
      <c r="AF660" s="17">
        <v>45175</v>
      </c>
      <c r="AG660" s="26"/>
      <c r="AH660" s="26"/>
      <c r="AI660" s="40"/>
      <c r="AJ660" s="26"/>
      <c r="AK660" s="26"/>
      <c r="AL660" s="35"/>
      <c r="AM660" s="35"/>
      <c r="AN660" s="35"/>
      <c r="AO660" s="35"/>
      <c r="AP660" s="35"/>
    </row>
    <row r="661" spans="1:42" x14ac:dyDescent="0.2">
      <c r="A661" s="27">
        <v>45175.19789570602</v>
      </c>
      <c r="B661" s="28" t="s">
        <v>37</v>
      </c>
      <c r="C661" s="41" t="s">
        <v>118</v>
      </c>
      <c r="D661" s="26" t="s">
        <v>106</v>
      </c>
      <c r="E661" s="26" t="s">
        <v>139</v>
      </c>
      <c r="F661" s="26" t="s">
        <v>36</v>
      </c>
      <c r="G661" s="26" t="s">
        <v>41</v>
      </c>
      <c r="H661" s="26" t="s">
        <v>2647</v>
      </c>
      <c r="I661" s="17">
        <f ca="1">IFERROR(__xludf.DUMMYFUNCTION("""COMPUTED_VALUE"""),45191)</f>
        <v>45191</v>
      </c>
      <c r="J661" s="29" t="s">
        <v>3480</v>
      </c>
      <c r="K661" s="26" t="s">
        <v>3481</v>
      </c>
      <c r="L661" s="30">
        <v>966983800</v>
      </c>
      <c r="M661" s="26" t="s">
        <v>123</v>
      </c>
      <c r="N661" s="26" t="s">
        <v>207</v>
      </c>
      <c r="O661" s="26" t="s">
        <v>1226</v>
      </c>
      <c r="P661" s="26" t="s">
        <v>3482</v>
      </c>
      <c r="Q661" s="20">
        <v>15936</v>
      </c>
      <c r="R661" s="26" t="s">
        <v>36</v>
      </c>
      <c r="S661" s="31">
        <v>200</v>
      </c>
      <c r="T661" s="32">
        <v>45167</v>
      </c>
      <c r="U661" s="31">
        <f>2000+13936</f>
        <v>15936</v>
      </c>
      <c r="V661" s="26" t="s">
        <v>3483</v>
      </c>
      <c r="W661" s="33" t="s">
        <v>3484</v>
      </c>
      <c r="X661" s="26"/>
      <c r="Y661" s="22">
        <v>-200</v>
      </c>
      <c r="Z661" s="26" t="s">
        <v>50</v>
      </c>
      <c r="AA661" s="19" t="s">
        <v>3454</v>
      </c>
      <c r="AB661" s="26" t="s">
        <v>104</v>
      </c>
      <c r="AC661" s="26" t="s">
        <v>53</v>
      </c>
      <c r="AD661" s="19" t="s">
        <v>138</v>
      </c>
      <c r="AE661" s="26"/>
      <c r="AF661" s="17">
        <v>45190</v>
      </c>
      <c r="AG661" s="26" t="s">
        <v>1631</v>
      </c>
      <c r="AH661" s="26" t="s">
        <v>2652</v>
      </c>
      <c r="AI661" s="40"/>
      <c r="AJ661" s="26"/>
      <c r="AK661" s="26"/>
      <c r="AL661" s="35"/>
      <c r="AM661" s="35"/>
      <c r="AN661" s="35"/>
      <c r="AO661" s="35"/>
      <c r="AP661" s="35"/>
    </row>
    <row r="662" spans="1:42" x14ac:dyDescent="0.2">
      <c r="A662" s="27">
        <v>45175.199061319443</v>
      </c>
      <c r="B662" s="28" t="s">
        <v>37</v>
      </c>
      <c r="C662" s="41" t="s">
        <v>118</v>
      </c>
      <c r="D662" s="26" t="s">
        <v>36</v>
      </c>
      <c r="E662" s="26" t="s">
        <v>139</v>
      </c>
      <c r="F662" s="26" t="s">
        <v>36</v>
      </c>
      <c r="G662" s="26" t="s">
        <v>41</v>
      </c>
      <c r="H662" s="26" t="s">
        <v>2647</v>
      </c>
      <c r="I662" s="17">
        <f ca="1">IFERROR(__xludf.DUMMYFUNCTION("""COMPUTED_VALUE"""),45191)</f>
        <v>45191</v>
      </c>
      <c r="J662" s="29" t="s">
        <v>3485</v>
      </c>
      <c r="K662" s="26" t="s">
        <v>3486</v>
      </c>
      <c r="L662" s="30">
        <v>949862005</v>
      </c>
      <c r="M662" s="26" t="s">
        <v>123</v>
      </c>
      <c r="N662" s="26" t="s">
        <v>850</v>
      </c>
      <c r="O662" s="26" t="s">
        <v>1226</v>
      </c>
      <c r="P662" s="26" t="s">
        <v>3487</v>
      </c>
      <c r="Q662" s="20">
        <v>15936</v>
      </c>
      <c r="R662" s="26" t="s">
        <v>36</v>
      </c>
      <c r="S662" s="31">
        <v>200</v>
      </c>
      <c r="T662" s="32">
        <v>45169</v>
      </c>
      <c r="U662" s="31">
        <f>8000+7736</f>
        <v>15736</v>
      </c>
      <c r="V662" s="26" t="s">
        <v>3488</v>
      </c>
      <c r="W662" s="33" t="s">
        <v>3489</v>
      </c>
      <c r="X662" s="26"/>
      <c r="Y662" s="22">
        <v>0</v>
      </c>
      <c r="Z662" s="26" t="s">
        <v>50</v>
      </c>
      <c r="AA662" s="19" t="s">
        <v>3454</v>
      </c>
      <c r="AB662" s="26" t="s">
        <v>104</v>
      </c>
      <c r="AC662" s="26" t="s">
        <v>53</v>
      </c>
      <c r="AD662" s="19" t="s">
        <v>138</v>
      </c>
      <c r="AE662" s="26"/>
      <c r="AF662" s="17">
        <v>45190</v>
      </c>
      <c r="AG662" s="26" t="s">
        <v>1631</v>
      </c>
      <c r="AH662" s="26" t="s">
        <v>2652</v>
      </c>
      <c r="AI662" s="40"/>
      <c r="AJ662" s="26"/>
      <c r="AK662" s="26"/>
      <c r="AL662" s="35"/>
      <c r="AM662" s="35"/>
      <c r="AN662" s="35"/>
      <c r="AO662" s="35"/>
      <c r="AP662" s="35"/>
    </row>
    <row r="663" spans="1:42" x14ac:dyDescent="0.2">
      <c r="A663" s="27">
        <v>45176.612731828704</v>
      </c>
      <c r="B663" s="28" t="s">
        <v>37</v>
      </c>
      <c r="C663" s="41" t="s">
        <v>118</v>
      </c>
      <c r="D663" s="26" t="s">
        <v>3490</v>
      </c>
      <c r="E663" s="26" t="s">
        <v>119</v>
      </c>
      <c r="F663" s="26" t="s">
        <v>36</v>
      </c>
      <c r="G663" s="26" t="s">
        <v>108</v>
      </c>
      <c r="H663" s="26" t="s">
        <v>1495</v>
      </c>
      <c r="I663" s="17">
        <f ca="1">IFERROR(__xludf.DUMMYFUNCTION("""COMPUTED_VALUE"""),45188)</f>
        <v>45188</v>
      </c>
      <c r="J663" s="29" t="s">
        <v>3491</v>
      </c>
      <c r="K663" s="26" t="s">
        <v>3492</v>
      </c>
      <c r="L663" s="30">
        <v>393012214</v>
      </c>
      <c r="M663" s="26" t="s">
        <v>80</v>
      </c>
      <c r="N663" s="26" t="s">
        <v>299</v>
      </c>
      <c r="O663" s="26" t="s">
        <v>3493</v>
      </c>
      <c r="P663" s="26" t="s">
        <v>3494</v>
      </c>
      <c r="Q663" s="20">
        <v>13968</v>
      </c>
      <c r="R663" s="26" t="s">
        <v>36</v>
      </c>
      <c r="S663" s="31">
        <v>4000</v>
      </c>
      <c r="T663" s="32">
        <v>45176</v>
      </c>
      <c r="U663" s="31">
        <v>9968</v>
      </c>
      <c r="V663" s="32">
        <v>45204</v>
      </c>
      <c r="W663" s="33" t="s">
        <v>3495</v>
      </c>
      <c r="X663" s="26"/>
      <c r="Y663" s="22">
        <v>0</v>
      </c>
      <c r="Z663" s="26" t="s">
        <v>50</v>
      </c>
      <c r="AA663" s="19" t="s">
        <v>3454</v>
      </c>
      <c r="AB663" s="26" t="s">
        <v>137</v>
      </c>
      <c r="AC663" s="26" t="s">
        <v>53</v>
      </c>
      <c r="AD663" s="19" t="s">
        <v>54</v>
      </c>
      <c r="AE663" s="26" t="s">
        <v>2705</v>
      </c>
      <c r="AF663" s="17">
        <v>45181</v>
      </c>
      <c r="AG663" s="26"/>
      <c r="AH663" s="26"/>
      <c r="AI663" s="40"/>
      <c r="AJ663" s="26"/>
      <c r="AK663" s="26"/>
      <c r="AL663" s="35"/>
      <c r="AM663" s="35"/>
      <c r="AN663" s="35"/>
      <c r="AO663" s="35"/>
      <c r="AP663" s="35"/>
    </row>
    <row r="664" spans="1:42" x14ac:dyDescent="0.2">
      <c r="A664" s="27">
        <v>45178.658175925928</v>
      </c>
      <c r="B664" s="28" t="s">
        <v>37</v>
      </c>
      <c r="C664" s="41" t="s">
        <v>118</v>
      </c>
      <c r="D664" s="26" t="s">
        <v>36</v>
      </c>
      <c r="E664" s="26" t="s">
        <v>139</v>
      </c>
      <c r="F664" s="26" t="s">
        <v>36</v>
      </c>
      <c r="G664" s="26" t="s">
        <v>41</v>
      </c>
      <c r="H664" s="26" t="s">
        <v>888</v>
      </c>
      <c r="I664" s="17">
        <f ca="1">IFERROR(__xludf.DUMMYFUNCTION("""COMPUTED_VALUE"""),45191)</f>
        <v>45191</v>
      </c>
      <c r="J664" s="29" t="s">
        <v>3496</v>
      </c>
      <c r="K664" s="26" t="s">
        <v>3497</v>
      </c>
      <c r="L664" s="30">
        <v>973088950</v>
      </c>
      <c r="M664" s="26" t="s">
        <v>3498</v>
      </c>
      <c r="N664" s="26" t="s">
        <v>2756</v>
      </c>
      <c r="O664" s="26" t="s">
        <v>2737</v>
      </c>
      <c r="P664" s="26" t="s">
        <v>3499</v>
      </c>
      <c r="Q664" s="20">
        <v>15936</v>
      </c>
      <c r="R664" s="26" t="s">
        <v>36</v>
      </c>
      <c r="S664" s="31">
        <v>2000</v>
      </c>
      <c r="T664" s="32">
        <v>45178</v>
      </c>
      <c r="U664" s="58">
        <v>13936</v>
      </c>
      <c r="V664" s="59">
        <v>45209</v>
      </c>
      <c r="W664" s="33" t="s">
        <v>3500</v>
      </c>
      <c r="X664" s="26"/>
      <c r="Y664" s="22">
        <v>0</v>
      </c>
      <c r="Z664" s="26" t="s">
        <v>50</v>
      </c>
      <c r="AA664" s="19" t="s">
        <v>3454</v>
      </c>
      <c r="AB664" s="26" t="s">
        <v>104</v>
      </c>
      <c r="AC664" s="26" t="s">
        <v>53</v>
      </c>
      <c r="AD664" s="19" t="s">
        <v>54</v>
      </c>
      <c r="AE664" s="26"/>
      <c r="AF664" s="17">
        <v>45181</v>
      </c>
      <c r="AG664" s="26"/>
      <c r="AH664" s="26"/>
      <c r="AI664" s="40"/>
      <c r="AJ664" s="26"/>
      <c r="AK664" s="26"/>
      <c r="AL664" s="35"/>
      <c r="AM664" s="35"/>
      <c r="AN664" s="35"/>
      <c r="AO664" s="35"/>
      <c r="AP664" s="35"/>
    </row>
    <row r="665" spans="1:42" x14ac:dyDescent="0.2">
      <c r="A665" s="27">
        <v>45179.421482349542</v>
      </c>
      <c r="B665" s="28" t="s">
        <v>37</v>
      </c>
      <c r="C665" s="41" t="s">
        <v>118</v>
      </c>
      <c r="D665" s="26" t="s">
        <v>36</v>
      </c>
      <c r="E665" s="26" t="s">
        <v>139</v>
      </c>
      <c r="F665" s="26" t="s">
        <v>36</v>
      </c>
      <c r="G665" s="26" t="s">
        <v>41</v>
      </c>
      <c r="H665" s="26" t="s">
        <v>1861</v>
      </c>
      <c r="I665" s="17">
        <f ca="1">IFERROR(__xludf.DUMMYFUNCTION("""COMPUTED_VALUE"""),45187)</f>
        <v>45187</v>
      </c>
      <c r="J665" s="29" t="s">
        <v>3501</v>
      </c>
      <c r="K665" s="26" t="s">
        <v>3502</v>
      </c>
      <c r="L665" s="30">
        <v>789047895</v>
      </c>
      <c r="M665" s="26" t="s">
        <v>80</v>
      </c>
      <c r="N665" s="26" t="s">
        <v>81</v>
      </c>
      <c r="O665" s="26" t="s">
        <v>3503</v>
      </c>
      <c r="P665" s="26" t="s">
        <v>2641</v>
      </c>
      <c r="Q665" s="20">
        <v>15936</v>
      </c>
      <c r="R665" s="26" t="s">
        <v>36</v>
      </c>
      <c r="S665" s="31">
        <v>2000</v>
      </c>
      <c r="T665" s="32">
        <v>45178</v>
      </c>
      <c r="U665" s="31">
        <v>13836</v>
      </c>
      <c r="V665" s="32">
        <v>45201</v>
      </c>
      <c r="W665" s="33" t="s">
        <v>3504</v>
      </c>
      <c r="X665" s="26"/>
      <c r="Y665" s="22">
        <v>100</v>
      </c>
      <c r="Z665" s="26" t="s">
        <v>50</v>
      </c>
      <c r="AA665" s="19" t="s">
        <v>3454</v>
      </c>
      <c r="AB665" s="26" t="s">
        <v>104</v>
      </c>
      <c r="AC665" s="26" t="s">
        <v>53</v>
      </c>
      <c r="AD665" s="19" t="s">
        <v>138</v>
      </c>
      <c r="AE665" s="26">
        <v>0</v>
      </c>
      <c r="AF665" s="17">
        <v>45187</v>
      </c>
      <c r="AG665" s="26" t="s">
        <v>1631</v>
      </c>
      <c r="AH665" s="26"/>
      <c r="AI665" s="40"/>
      <c r="AJ665" s="26"/>
      <c r="AK665" s="26"/>
      <c r="AL665" s="35"/>
      <c r="AM665" s="35"/>
      <c r="AN665" s="35"/>
      <c r="AO665" s="35"/>
      <c r="AP665" s="35"/>
    </row>
    <row r="666" spans="1:42" x14ac:dyDescent="0.2">
      <c r="A666" s="27">
        <v>45179.422687962964</v>
      </c>
      <c r="B666" s="28" t="s">
        <v>37</v>
      </c>
      <c r="C666" s="41" t="s">
        <v>118</v>
      </c>
      <c r="D666" s="26" t="s">
        <v>36</v>
      </c>
      <c r="E666" s="26" t="s">
        <v>139</v>
      </c>
      <c r="F666" s="26" t="s">
        <v>36</v>
      </c>
      <c r="G666" s="26" t="s">
        <v>41</v>
      </c>
      <c r="H666" s="26" t="s">
        <v>1861</v>
      </c>
      <c r="I666" s="17">
        <f ca="1">IFERROR(__xludf.DUMMYFUNCTION("""COMPUTED_VALUE"""),45187)</f>
        <v>45187</v>
      </c>
      <c r="J666" s="29" t="s">
        <v>3505</v>
      </c>
      <c r="K666" s="26" t="s">
        <v>3506</v>
      </c>
      <c r="L666" s="30">
        <v>919764866</v>
      </c>
      <c r="M666" s="26" t="s">
        <v>80</v>
      </c>
      <c r="N666" s="26" t="s">
        <v>81</v>
      </c>
      <c r="O666" s="26" t="s">
        <v>3507</v>
      </c>
      <c r="P666" s="26" t="s">
        <v>2641</v>
      </c>
      <c r="Q666" s="20">
        <v>15936</v>
      </c>
      <c r="R666" s="26" t="s">
        <v>36</v>
      </c>
      <c r="S666" s="31">
        <v>2000</v>
      </c>
      <c r="T666" s="32">
        <v>45178</v>
      </c>
      <c r="U666" s="31">
        <v>13836</v>
      </c>
      <c r="V666" s="32">
        <v>45200</v>
      </c>
      <c r="W666" s="33" t="s">
        <v>3508</v>
      </c>
      <c r="X666" s="26"/>
      <c r="Y666" s="22">
        <v>100</v>
      </c>
      <c r="Z666" s="26" t="s">
        <v>50</v>
      </c>
      <c r="AA666" s="19" t="s">
        <v>3454</v>
      </c>
      <c r="AB666" s="26" t="s">
        <v>104</v>
      </c>
      <c r="AC666" s="26" t="s">
        <v>53</v>
      </c>
      <c r="AD666" s="19" t="s">
        <v>138</v>
      </c>
      <c r="AE666" s="26">
        <v>0</v>
      </c>
      <c r="AF666" s="17">
        <v>45187</v>
      </c>
      <c r="AG666" s="26" t="s">
        <v>1631</v>
      </c>
      <c r="AH666" s="26"/>
      <c r="AI666" s="40"/>
      <c r="AJ666" s="26"/>
      <c r="AK666" s="26"/>
      <c r="AL666" s="35"/>
      <c r="AM666" s="35"/>
      <c r="AN666" s="35"/>
      <c r="AO666" s="35"/>
      <c r="AP666" s="35"/>
    </row>
    <row r="667" spans="1:42" x14ac:dyDescent="0.2">
      <c r="A667" s="27">
        <v>45180.34437835648</v>
      </c>
      <c r="B667" s="28" t="s">
        <v>37</v>
      </c>
      <c r="C667" s="41" t="s">
        <v>118</v>
      </c>
      <c r="D667" s="26" t="s">
        <v>36</v>
      </c>
      <c r="E667" s="26" t="s">
        <v>77</v>
      </c>
      <c r="F667" s="26" t="s">
        <v>91</v>
      </c>
      <c r="G667" s="26" t="s">
        <v>41</v>
      </c>
      <c r="H667" s="26" t="s">
        <v>3509</v>
      </c>
      <c r="I667" s="17" t="str">
        <f ca="1">IFERROR(__xludf.DUMMYFUNCTION("""COMPUTED_VALUE""")," ")</f>
        <v xml:space="preserve"> </v>
      </c>
      <c r="J667" s="29" t="s">
        <v>3510</v>
      </c>
      <c r="K667" s="26" t="s">
        <v>3511</v>
      </c>
      <c r="L667" s="30">
        <v>819132789</v>
      </c>
      <c r="M667" s="26" t="s">
        <v>2755</v>
      </c>
      <c r="N667" s="26" t="s">
        <v>3512</v>
      </c>
      <c r="O667" s="26" t="s">
        <v>3513</v>
      </c>
      <c r="P667" s="26" t="s">
        <v>3487</v>
      </c>
      <c r="Q667" s="20">
        <v>1968</v>
      </c>
      <c r="R667" s="26" t="s">
        <v>36</v>
      </c>
      <c r="S667" s="31">
        <v>2700</v>
      </c>
      <c r="T667" s="32">
        <v>45180</v>
      </c>
      <c r="U667" s="31"/>
      <c r="V667" s="26"/>
      <c r="W667" s="33" t="s">
        <v>3514</v>
      </c>
      <c r="X667" s="26"/>
      <c r="Y667" s="22">
        <v>-732</v>
      </c>
      <c r="Z667" s="26" t="s">
        <v>50</v>
      </c>
      <c r="AA667" s="19" t="s">
        <v>3454</v>
      </c>
      <c r="AB667" s="26" t="s">
        <v>104</v>
      </c>
      <c r="AC667" s="26" t="s">
        <v>53</v>
      </c>
      <c r="AD667" s="19" t="s">
        <v>138</v>
      </c>
      <c r="AE667" s="26" t="s">
        <v>72</v>
      </c>
      <c r="AF667" s="17">
        <v>45195</v>
      </c>
      <c r="AG667" s="26" t="s">
        <v>1631</v>
      </c>
      <c r="AH667" s="26"/>
      <c r="AI667" s="40"/>
      <c r="AJ667" s="26"/>
      <c r="AK667" s="26"/>
      <c r="AL667" s="35"/>
      <c r="AM667" s="35"/>
      <c r="AN667" s="35"/>
      <c r="AO667" s="35"/>
      <c r="AP667" s="35"/>
    </row>
    <row r="668" spans="1:42" x14ac:dyDescent="0.2">
      <c r="A668" s="27">
        <v>45180.583338240744</v>
      </c>
      <c r="B668" s="28" t="s">
        <v>37</v>
      </c>
      <c r="C668" s="41" t="s">
        <v>118</v>
      </c>
      <c r="D668" s="26" t="s">
        <v>36</v>
      </c>
      <c r="E668" s="26" t="s">
        <v>139</v>
      </c>
      <c r="F668" s="26" t="s">
        <v>36</v>
      </c>
      <c r="G668" s="26" t="s">
        <v>41</v>
      </c>
      <c r="H668" s="26" t="s">
        <v>1861</v>
      </c>
      <c r="I668" s="17">
        <f ca="1">IFERROR(__xludf.DUMMYFUNCTION("""COMPUTED_VALUE"""),45187)</f>
        <v>45187</v>
      </c>
      <c r="J668" s="29" t="s">
        <v>3515</v>
      </c>
      <c r="K668" s="26" t="s">
        <v>3516</v>
      </c>
      <c r="L668" s="30">
        <v>865794177</v>
      </c>
      <c r="M668" s="26" t="s">
        <v>80</v>
      </c>
      <c r="N668" s="26" t="s">
        <v>186</v>
      </c>
      <c r="O668" s="26" t="s">
        <v>3517</v>
      </c>
      <c r="P668" s="26" t="s">
        <v>2641</v>
      </c>
      <c r="Q668" s="20">
        <v>15936</v>
      </c>
      <c r="R668" s="26" t="s">
        <v>36</v>
      </c>
      <c r="S668" s="31">
        <v>8000</v>
      </c>
      <c r="T668" s="32">
        <v>45180</v>
      </c>
      <c r="U668" s="31">
        <v>7936</v>
      </c>
      <c r="V668" s="32">
        <v>45200</v>
      </c>
      <c r="W668" s="33" t="s">
        <v>3518</v>
      </c>
      <c r="X668" s="26"/>
      <c r="Y668" s="22">
        <v>0</v>
      </c>
      <c r="Z668" s="26" t="s">
        <v>50</v>
      </c>
      <c r="AA668" s="19" t="s">
        <v>3454</v>
      </c>
      <c r="AB668" s="26" t="s">
        <v>104</v>
      </c>
      <c r="AC668" s="26" t="s">
        <v>53</v>
      </c>
      <c r="AD668" s="19" t="s">
        <v>138</v>
      </c>
      <c r="AE668" s="26">
        <v>0</v>
      </c>
      <c r="AF668" s="17">
        <v>45187</v>
      </c>
      <c r="AG668" s="26" t="s">
        <v>1631</v>
      </c>
      <c r="AH668" s="26"/>
      <c r="AI668" s="40"/>
      <c r="AJ668" s="26"/>
      <c r="AK668" s="26"/>
      <c r="AL668" s="35"/>
      <c r="AM668" s="35"/>
      <c r="AN668" s="35"/>
      <c r="AO668" s="35"/>
      <c r="AP668" s="35"/>
    </row>
    <row r="669" spans="1:42" x14ac:dyDescent="0.2">
      <c r="A669" s="27">
        <v>45180.58566759259</v>
      </c>
      <c r="B669" s="28" t="s">
        <v>37</v>
      </c>
      <c r="C669" s="41" t="s">
        <v>118</v>
      </c>
      <c r="D669" s="26" t="s">
        <v>36</v>
      </c>
      <c r="E669" s="26" t="s">
        <v>139</v>
      </c>
      <c r="F669" s="26" t="s">
        <v>36</v>
      </c>
      <c r="G669" s="26" t="s">
        <v>41</v>
      </c>
      <c r="H669" s="26" t="s">
        <v>3198</v>
      </c>
      <c r="I669" s="17">
        <f ca="1">IFERROR(__xludf.DUMMYFUNCTION("""COMPUTED_VALUE"""),45215)</f>
        <v>45215</v>
      </c>
      <c r="J669" s="44" t="s">
        <v>3519</v>
      </c>
      <c r="K669" s="26" t="s">
        <v>3520</v>
      </c>
      <c r="L669" s="30">
        <v>866819319</v>
      </c>
      <c r="M669" s="26" t="s">
        <v>80</v>
      </c>
      <c r="N669" s="26" t="s">
        <v>186</v>
      </c>
      <c r="O669" s="26" t="s">
        <v>1492</v>
      </c>
      <c r="P669" s="26" t="s">
        <v>2641</v>
      </c>
      <c r="Q669" s="20">
        <v>15936</v>
      </c>
      <c r="R669" s="26" t="s">
        <v>36</v>
      </c>
      <c r="S669" s="31">
        <v>2000</v>
      </c>
      <c r="T669" s="32">
        <v>45180</v>
      </c>
      <c r="U669" s="31">
        <v>14232</v>
      </c>
      <c r="V669" s="32">
        <v>45219</v>
      </c>
      <c r="W669" s="33" t="s">
        <v>3521</v>
      </c>
      <c r="X669" s="26"/>
      <c r="Y669" s="22">
        <v>-296</v>
      </c>
      <c r="Z669" s="26" t="s">
        <v>50</v>
      </c>
      <c r="AA669" s="19" t="s">
        <v>3454</v>
      </c>
      <c r="AB669" s="26" t="s">
        <v>104</v>
      </c>
      <c r="AC669" s="26" t="s">
        <v>53</v>
      </c>
      <c r="AD669" s="19" t="s">
        <v>138</v>
      </c>
      <c r="AE669" s="26" t="s">
        <v>3522</v>
      </c>
      <c r="AF669" s="17">
        <v>45200</v>
      </c>
      <c r="AG669" s="26" t="s">
        <v>3522</v>
      </c>
      <c r="AH669" s="26"/>
      <c r="AI669" s="40"/>
      <c r="AJ669" s="26"/>
      <c r="AK669" s="26"/>
      <c r="AL669" s="35"/>
      <c r="AM669" s="35"/>
      <c r="AN669" s="35"/>
      <c r="AO669" s="35"/>
      <c r="AP669" s="35"/>
    </row>
    <row r="670" spans="1:42" x14ac:dyDescent="0.2">
      <c r="A670" s="27">
        <v>45180.588234490744</v>
      </c>
      <c r="B670" s="28" t="s">
        <v>37</v>
      </c>
      <c r="C670" s="41" t="s">
        <v>118</v>
      </c>
      <c r="D670" s="26" t="s">
        <v>36</v>
      </c>
      <c r="E670" s="26" t="s">
        <v>139</v>
      </c>
      <c r="F670" s="26" t="s">
        <v>91</v>
      </c>
      <c r="G670" s="26" t="s">
        <v>41</v>
      </c>
      <c r="H670" s="26" t="s">
        <v>1861</v>
      </c>
      <c r="I670" s="17">
        <f ca="1">IFERROR(__xludf.DUMMYFUNCTION("""COMPUTED_VALUE"""),45187)</f>
        <v>45187</v>
      </c>
      <c r="J670" s="29" t="s">
        <v>3523</v>
      </c>
      <c r="K670" s="26" t="s">
        <v>3524</v>
      </c>
      <c r="L670" s="30">
        <v>392009475</v>
      </c>
      <c r="M670" s="26" t="s">
        <v>910</v>
      </c>
      <c r="N670" s="26" t="s">
        <v>3525</v>
      </c>
      <c r="O670" s="26" t="s">
        <v>3526</v>
      </c>
      <c r="P670" s="26" t="s">
        <v>3527</v>
      </c>
      <c r="Q670" s="20">
        <v>15936</v>
      </c>
      <c r="R670" s="26" t="s">
        <v>36</v>
      </c>
      <c r="S670" s="31">
        <v>4000</v>
      </c>
      <c r="T670" s="32">
        <v>45180</v>
      </c>
      <c r="U670" s="31">
        <v>11936</v>
      </c>
      <c r="V670" s="32">
        <v>45205</v>
      </c>
      <c r="W670" s="33" t="s">
        <v>3528</v>
      </c>
      <c r="X670" s="26"/>
      <c r="Y670" s="22">
        <v>0</v>
      </c>
      <c r="Z670" s="26" t="s">
        <v>50</v>
      </c>
      <c r="AA670" s="19" t="s">
        <v>3454</v>
      </c>
      <c r="AB670" s="26" t="s">
        <v>104</v>
      </c>
      <c r="AC670" s="26" t="s">
        <v>53</v>
      </c>
      <c r="AD670" s="19" t="s">
        <v>138</v>
      </c>
      <c r="AE670" s="26"/>
      <c r="AF670" s="17">
        <v>45187</v>
      </c>
      <c r="AG670" s="26" t="s">
        <v>1631</v>
      </c>
      <c r="AH670" s="26"/>
      <c r="AI670" s="40"/>
      <c r="AJ670" s="26"/>
      <c r="AK670" s="26"/>
      <c r="AL670" s="35"/>
      <c r="AM670" s="35"/>
      <c r="AN670" s="35"/>
      <c r="AO670" s="35"/>
      <c r="AP670" s="35"/>
    </row>
    <row r="671" spans="1:42" x14ac:dyDescent="0.2">
      <c r="A671" s="27">
        <v>45181.569578032402</v>
      </c>
      <c r="B671" s="28" t="s">
        <v>37</v>
      </c>
      <c r="C671" s="41" t="s">
        <v>118</v>
      </c>
      <c r="D671" s="26" t="s">
        <v>36</v>
      </c>
      <c r="E671" s="26" t="s">
        <v>77</v>
      </c>
      <c r="F671" s="26" t="s">
        <v>36</v>
      </c>
      <c r="G671" s="26" t="s">
        <v>41</v>
      </c>
      <c r="H671" s="26" t="s">
        <v>2717</v>
      </c>
      <c r="I671" s="17">
        <f ca="1">IFERROR(__xludf.DUMMYFUNCTION("""COMPUTED_VALUE"""),45196)</f>
        <v>45196</v>
      </c>
      <c r="J671" s="29" t="s">
        <v>3529</v>
      </c>
      <c r="K671" s="26" t="s">
        <v>3530</v>
      </c>
      <c r="L671" s="30">
        <v>8066186868</v>
      </c>
      <c r="M671" s="26" t="s">
        <v>112</v>
      </c>
      <c r="N671" s="26" t="s">
        <v>193</v>
      </c>
      <c r="O671" s="26" t="s">
        <v>3531</v>
      </c>
      <c r="P671" s="26" t="s">
        <v>1830</v>
      </c>
      <c r="Q671" s="20">
        <v>1968</v>
      </c>
      <c r="R671" s="26" t="s">
        <v>36</v>
      </c>
      <c r="S671" s="31">
        <v>1568</v>
      </c>
      <c r="T671" s="32">
        <v>45181</v>
      </c>
      <c r="U671" s="31">
        <v>368</v>
      </c>
      <c r="V671" s="32">
        <v>45183</v>
      </c>
      <c r="W671" s="33" t="s">
        <v>3532</v>
      </c>
      <c r="X671" s="26"/>
      <c r="Y671" s="22">
        <v>32</v>
      </c>
      <c r="Z671" s="26" t="s">
        <v>50</v>
      </c>
      <c r="AA671" s="19" t="s">
        <v>3454</v>
      </c>
      <c r="AB671" s="26" t="s">
        <v>104</v>
      </c>
      <c r="AC671" s="26" t="s">
        <v>1828</v>
      </c>
      <c r="AD671" s="19" t="s">
        <v>54</v>
      </c>
      <c r="AE671" s="26" t="s">
        <v>72</v>
      </c>
      <c r="AF671" s="60" t="s">
        <v>1829</v>
      </c>
      <c r="AG671" s="26" t="s">
        <v>3533</v>
      </c>
      <c r="AH671" s="26"/>
      <c r="AI671" s="40"/>
      <c r="AJ671" s="26"/>
      <c r="AK671" s="26"/>
      <c r="AL671" s="35"/>
      <c r="AM671" s="35"/>
      <c r="AN671" s="35"/>
      <c r="AO671" s="35"/>
      <c r="AP671" s="35"/>
    </row>
    <row r="672" spans="1:42" x14ac:dyDescent="0.2">
      <c r="A672" s="27">
        <v>45182.062639502314</v>
      </c>
      <c r="B672" s="28" t="s">
        <v>37</v>
      </c>
      <c r="C672" s="41" t="s">
        <v>118</v>
      </c>
      <c r="D672" s="26" t="s">
        <v>36</v>
      </c>
      <c r="E672" s="26" t="s">
        <v>77</v>
      </c>
      <c r="F672" s="26" t="s">
        <v>36</v>
      </c>
      <c r="G672" s="26" t="s">
        <v>41</v>
      </c>
      <c r="H672" s="26" t="s">
        <v>3534</v>
      </c>
      <c r="I672" s="17" t="str">
        <f ca="1">IFERROR(__xludf.DUMMYFUNCTION("""COMPUTED_VALUE""")," ")</f>
        <v xml:space="preserve"> </v>
      </c>
      <c r="J672" s="29" t="s">
        <v>3535</v>
      </c>
      <c r="K672" s="26" t="s">
        <v>3536</v>
      </c>
      <c r="L672" s="30">
        <v>981864658</v>
      </c>
      <c r="M672" s="26" t="s">
        <v>80</v>
      </c>
      <c r="N672" s="26" t="s">
        <v>299</v>
      </c>
      <c r="O672" s="26" t="s">
        <v>1492</v>
      </c>
      <c r="P672" s="26" t="s">
        <v>3537</v>
      </c>
      <c r="Q672" s="20">
        <v>1968</v>
      </c>
      <c r="R672" s="26" t="s">
        <v>36</v>
      </c>
      <c r="S672" s="31">
        <v>2000</v>
      </c>
      <c r="T672" s="32">
        <v>45181</v>
      </c>
      <c r="U672" s="31"/>
      <c r="V672" s="26"/>
      <c r="W672" s="33" t="s">
        <v>3538</v>
      </c>
      <c r="X672" s="26"/>
      <c r="Y672" s="22">
        <v>-32</v>
      </c>
      <c r="Z672" s="26" t="s">
        <v>50</v>
      </c>
      <c r="AA672" s="19" t="s">
        <v>3454</v>
      </c>
      <c r="AB672" s="26" t="s">
        <v>104</v>
      </c>
      <c r="AC672" s="26" t="s">
        <v>53</v>
      </c>
      <c r="AD672" s="19" t="s">
        <v>138</v>
      </c>
      <c r="AE672" s="26">
        <v>0</v>
      </c>
      <c r="AF672" s="17">
        <v>45195</v>
      </c>
      <c r="AG672" s="26" t="s">
        <v>1631</v>
      </c>
      <c r="AH672" s="26"/>
      <c r="AI672" s="40"/>
      <c r="AJ672" s="26"/>
      <c r="AK672" s="26"/>
      <c r="AL672" s="35"/>
      <c r="AM672" s="35"/>
      <c r="AN672" s="35"/>
      <c r="AO672" s="35"/>
      <c r="AP672" s="35"/>
    </row>
    <row r="673" spans="1:42" x14ac:dyDescent="0.2">
      <c r="A673" s="27">
        <v>45182.065354189814</v>
      </c>
      <c r="B673" s="28" t="s">
        <v>37</v>
      </c>
      <c r="C673" s="41" t="s">
        <v>118</v>
      </c>
      <c r="D673" s="26" t="s">
        <v>36</v>
      </c>
      <c r="E673" s="26" t="s">
        <v>77</v>
      </c>
      <c r="F673" s="26" t="s">
        <v>36</v>
      </c>
      <c r="G673" s="26" t="s">
        <v>41</v>
      </c>
      <c r="H673" s="26" t="s">
        <v>857</v>
      </c>
      <c r="I673" s="17">
        <f ca="1">IFERROR(__xludf.DUMMYFUNCTION("""COMPUTED_VALUE"""),45187)</f>
        <v>45187</v>
      </c>
      <c r="J673" s="29" t="s">
        <v>3539</v>
      </c>
      <c r="K673" s="26" t="s">
        <v>3540</v>
      </c>
      <c r="L673" s="30">
        <v>333359015</v>
      </c>
      <c r="M673" s="26" t="s">
        <v>80</v>
      </c>
      <c r="N673" s="26" t="s">
        <v>81</v>
      </c>
      <c r="O673" s="26" t="s">
        <v>3541</v>
      </c>
      <c r="P673" s="26" t="s">
        <v>3542</v>
      </c>
      <c r="Q673" s="20">
        <v>1968</v>
      </c>
      <c r="R673" s="26" t="s">
        <v>36</v>
      </c>
      <c r="S673" s="31">
        <v>2000</v>
      </c>
      <c r="T673" s="32">
        <v>45181</v>
      </c>
      <c r="U673" s="31"/>
      <c r="V673" s="26"/>
      <c r="W673" s="33" t="s">
        <v>3543</v>
      </c>
      <c r="X673" s="26"/>
      <c r="Y673" s="22">
        <v>-32</v>
      </c>
      <c r="Z673" s="26" t="s">
        <v>50</v>
      </c>
      <c r="AA673" s="19" t="s">
        <v>3454</v>
      </c>
      <c r="AB673" s="26" t="s">
        <v>104</v>
      </c>
      <c r="AC673" s="26" t="s">
        <v>53</v>
      </c>
      <c r="AD673" s="19" t="s">
        <v>138</v>
      </c>
      <c r="AE673" s="26">
        <v>0</v>
      </c>
      <c r="AF673" s="17">
        <v>45187</v>
      </c>
      <c r="AG673" s="26" t="s">
        <v>1631</v>
      </c>
      <c r="AH673" s="26" t="s">
        <v>3544</v>
      </c>
      <c r="AI673" s="40"/>
      <c r="AJ673" s="26"/>
      <c r="AK673" s="26"/>
      <c r="AL673" s="35"/>
      <c r="AM673" s="35"/>
      <c r="AN673" s="35"/>
      <c r="AO673" s="35"/>
      <c r="AP673" s="35"/>
    </row>
    <row r="674" spans="1:42" x14ac:dyDescent="0.2">
      <c r="A674" s="27">
        <v>45182.254572222228</v>
      </c>
      <c r="B674" s="28" t="s">
        <v>37</v>
      </c>
      <c r="C674" s="41" t="s">
        <v>118</v>
      </c>
      <c r="D674" s="26" t="s">
        <v>36</v>
      </c>
      <c r="E674" s="26" t="s">
        <v>915</v>
      </c>
      <c r="F674" s="26" t="s">
        <v>36</v>
      </c>
      <c r="G674" s="26" t="s">
        <v>221</v>
      </c>
      <c r="H674" s="26" t="s">
        <v>2590</v>
      </c>
      <c r="I674" s="17">
        <f ca="1">IFERROR(__xludf.DUMMYFUNCTION("""COMPUTED_VALUE"""),45186)</f>
        <v>45186</v>
      </c>
      <c r="J674" s="29" t="s">
        <v>3545</v>
      </c>
      <c r="K674" s="26" t="s">
        <v>3546</v>
      </c>
      <c r="L674" s="30">
        <v>862100825</v>
      </c>
      <c r="M674" s="26" t="s">
        <v>80</v>
      </c>
      <c r="N674" s="26" t="s">
        <v>186</v>
      </c>
      <c r="O674" s="26" t="s">
        <v>1492</v>
      </c>
      <c r="P674" s="26" t="s">
        <v>3547</v>
      </c>
      <c r="Q674" s="20">
        <v>10894</v>
      </c>
      <c r="R674" s="26" t="s">
        <v>36</v>
      </c>
      <c r="S674" s="31">
        <v>4000</v>
      </c>
      <c r="T674" s="32">
        <v>45182</v>
      </c>
      <c r="U674" s="31">
        <v>6894</v>
      </c>
      <c r="V674" s="32">
        <v>45201</v>
      </c>
      <c r="W674" s="33" t="s">
        <v>3548</v>
      </c>
      <c r="X674" s="26"/>
      <c r="Y674" s="22">
        <v>0</v>
      </c>
      <c r="Z674" s="26" t="s">
        <v>50</v>
      </c>
      <c r="AA674" s="19" t="s">
        <v>3454</v>
      </c>
      <c r="AB674" s="26" t="s">
        <v>104</v>
      </c>
      <c r="AC674" s="26" t="s">
        <v>53</v>
      </c>
      <c r="AD674" s="19" t="s">
        <v>54</v>
      </c>
      <c r="AE674" s="26">
        <v>570</v>
      </c>
      <c r="AF674" s="17">
        <v>45182</v>
      </c>
      <c r="AG674" s="26"/>
      <c r="AH674" s="26"/>
      <c r="AI674" s="40"/>
      <c r="AJ674" s="26"/>
      <c r="AK674" s="26"/>
      <c r="AL674" s="35"/>
      <c r="AM674" s="35"/>
      <c r="AN674" s="35"/>
      <c r="AO674" s="35"/>
      <c r="AP674" s="35"/>
    </row>
    <row r="675" spans="1:42" x14ac:dyDescent="0.2">
      <c r="A675" s="27">
        <v>45182.255960393522</v>
      </c>
      <c r="B675" s="28" t="s">
        <v>37</v>
      </c>
      <c r="C675" s="41" t="s">
        <v>118</v>
      </c>
      <c r="D675" s="26" t="s">
        <v>36</v>
      </c>
      <c r="E675" s="26" t="s">
        <v>219</v>
      </c>
      <c r="F675" s="26" t="s">
        <v>36</v>
      </c>
      <c r="G675" s="26" t="s">
        <v>221</v>
      </c>
      <c r="H675" s="26" t="s">
        <v>3549</v>
      </c>
      <c r="I675" s="17" t="str">
        <f ca="1">IFERROR(__xludf.DUMMYFUNCTION("""COMPUTED_VALUE""")," ")</f>
        <v xml:space="preserve"> </v>
      </c>
      <c r="J675" s="29" t="s">
        <v>3550</v>
      </c>
      <c r="K675" s="26" t="s">
        <v>3551</v>
      </c>
      <c r="L675" s="30">
        <v>983367356</v>
      </c>
      <c r="M675" s="26" t="s">
        <v>80</v>
      </c>
      <c r="N675" s="26" t="s">
        <v>186</v>
      </c>
      <c r="O675" s="26" t="s">
        <v>1492</v>
      </c>
      <c r="P675" s="26" t="s">
        <v>3552</v>
      </c>
      <c r="Q675" s="20">
        <v>3968</v>
      </c>
      <c r="R675" s="26" t="s">
        <v>36</v>
      </c>
      <c r="S675" s="31">
        <v>4000</v>
      </c>
      <c r="T675" s="32">
        <v>45182</v>
      </c>
      <c r="U675" s="31"/>
      <c r="V675" s="26"/>
      <c r="W675" s="33" t="s">
        <v>3553</v>
      </c>
      <c r="X675" s="26"/>
      <c r="Y675" s="22">
        <v>-32</v>
      </c>
      <c r="Z675" s="26" t="s">
        <v>50</v>
      </c>
      <c r="AA675" s="19" t="s">
        <v>3454</v>
      </c>
      <c r="AB675" s="26" t="s">
        <v>2408</v>
      </c>
      <c r="AC675" s="26" t="s">
        <v>53</v>
      </c>
      <c r="AD675" s="19" t="s">
        <v>54</v>
      </c>
      <c r="AE675" s="26" t="s">
        <v>3554</v>
      </c>
      <c r="AF675" s="17">
        <v>45189</v>
      </c>
      <c r="AG675" s="26"/>
      <c r="AH675" s="26"/>
      <c r="AI675" s="40"/>
      <c r="AJ675" s="26"/>
      <c r="AK675" s="26"/>
      <c r="AL675" s="35"/>
      <c r="AM675" s="35"/>
      <c r="AN675" s="35"/>
      <c r="AO675" s="35"/>
      <c r="AP675" s="35"/>
    </row>
    <row r="676" spans="1:42" x14ac:dyDescent="0.2">
      <c r="A676" s="27">
        <v>45182.258535543981</v>
      </c>
      <c r="B676" s="28" t="s">
        <v>37</v>
      </c>
      <c r="C676" s="41" t="s">
        <v>118</v>
      </c>
      <c r="D676" s="26" t="s">
        <v>36</v>
      </c>
      <c r="E676" s="26" t="s">
        <v>139</v>
      </c>
      <c r="F676" s="26" t="s">
        <v>36</v>
      </c>
      <c r="G676" s="26" t="s">
        <v>41</v>
      </c>
      <c r="H676" s="26" t="s">
        <v>888</v>
      </c>
      <c r="I676" s="17">
        <f ca="1">IFERROR(__xludf.DUMMYFUNCTION("""COMPUTED_VALUE"""),45191)</f>
        <v>45191</v>
      </c>
      <c r="J676" s="29" t="s">
        <v>3555</v>
      </c>
      <c r="K676" s="26" t="s">
        <v>3556</v>
      </c>
      <c r="L676" s="30">
        <v>378860205</v>
      </c>
      <c r="M676" s="26" t="s">
        <v>80</v>
      </c>
      <c r="N676" s="26" t="s">
        <v>81</v>
      </c>
      <c r="O676" s="26" t="s">
        <v>3557</v>
      </c>
      <c r="P676" s="26" t="s">
        <v>3558</v>
      </c>
      <c r="Q676" s="20">
        <v>15936</v>
      </c>
      <c r="R676" s="26" t="s">
        <v>36</v>
      </c>
      <c r="S676" s="31">
        <v>2000</v>
      </c>
      <c r="T676" s="32">
        <v>45182</v>
      </c>
      <c r="U676" s="31">
        <v>13936</v>
      </c>
      <c r="V676" s="32">
        <v>45211</v>
      </c>
      <c r="W676" s="33" t="s">
        <v>3559</v>
      </c>
      <c r="X676" s="26"/>
      <c r="Y676" s="22">
        <v>0</v>
      </c>
      <c r="Z676" s="26" t="s">
        <v>50</v>
      </c>
      <c r="AA676" s="19" t="s">
        <v>3454</v>
      </c>
      <c r="AB676" s="26" t="s">
        <v>104</v>
      </c>
      <c r="AC676" s="26" t="s">
        <v>53</v>
      </c>
      <c r="AD676" s="19" t="s">
        <v>54</v>
      </c>
      <c r="AE676" s="26">
        <v>0</v>
      </c>
      <c r="AF676" s="17">
        <v>45182</v>
      </c>
      <c r="AG676" s="26" t="s">
        <v>3560</v>
      </c>
      <c r="AH676" s="26"/>
      <c r="AI676" s="40"/>
      <c r="AJ676" s="26"/>
      <c r="AK676" s="26"/>
      <c r="AL676" s="35"/>
      <c r="AM676" s="35"/>
      <c r="AN676" s="35"/>
      <c r="AO676" s="35"/>
      <c r="AP676" s="35"/>
    </row>
    <row r="677" spans="1:42" x14ac:dyDescent="0.2">
      <c r="A677" s="27">
        <v>45182.386968923616</v>
      </c>
      <c r="B677" s="28" t="s">
        <v>37</v>
      </c>
      <c r="C677" s="41" t="s">
        <v>118</v>
      </c>
      <c r="D677" s="26" t="s">
        <v>36</v>
      </c>
      <c r="E677" s="26" t="s">
        <v>39</v>
      </c>
      <c r="F677" s="26" t="s">
        <v>36</v>
      </c>
      <c r="G677" s="26" t="s">
        <v>41</v>
      </c>
      <c r="H677" s="26" t="s">
        <v>2734</v>
      </c>
      <c r="I677" s="17">
        <f ca="1">IFERROR(__xludf.DUMMYFUNCTION("""COMPUTED_VALUE"""),45193)</f>
        <v>45193</v>
      </c>
      <c r="J677" s="29" t="s">
        <v>3561</v>
      </c>
      <c r="K677" s="26" t="s">
        <v>3562</v>
      </c>
      <c r="L677" s="30">
        <v>824130871</v>
      </c>
      <c r="M677" s="26" t="s">
        <v>910</v>
      </c>
      <c r="N677" s="26" t="s">
        <v>355</v>
      </c>
      <c r="O677" s="26" t="s">
        <v>3563</v>
      </c>
      <c r="P677" s="26" t="s">
        <v>3564</v>
      </c>
      <c r="Q677" s="20">
        <v>5736</v>
      </c>
      <c r="R677" s="26" t="s">
        <v>36</v>
      </c>
      <c r="S677" s="31">
        <v>2000</v>
      </c>
      <c r="T677" s="32">
        <v>45182</v>
      </c>
      <c r="U677" s="31">
        <v>3736</v>
      </c>
      <c r="V677" s="32">
        <v>45212</v>
      </c>
      <c r="W677" s="33" t="s">
        <v>3565</v>
      </c>
      <c r="X677" s="26"/>
      <c r="Y677" s="22">
        <v>0</v>
      </c>
      <c r="Z677" s="26" t="s">
        <v>50</v>
      </c>
      <c r="AA677" s="19" t="s">
        <v>3454</v>
      </c>
      <c r="AB677" s="26" t="s">
        <v>104</v>
      </c>
      <c r="AC677" s="26" t="s">
        <v>53</v>
      </c>
      <c r="AD677" s="19" t="s">
        <v>54</v>
      </c>
      <c r="AE677" s="26"/>
      <c r="AF677" s="17">
        <v>45184</v>
      </c>
      <c r="AG677" s="26"/>
      <c r="AH677" s="26"/>
      <c r="AI677" s="40"/>
      <c r="AJ677" s="26"/>
      <c r="AK677" s="26"/>
      <c r="AL677" s="35"/>
      <c r="AM677" s="35"/>
      <c r="AN677" s="35"/>
      <c r="AO677" s="35"/>
      <c r="AP677" s="35"/>
    </row>
    <row r="678" spans="1:42" x14ac:dyDescent="0.2">
      <c r="A678" s="27">
        <v>45182.411921678242</v>
      </c>
      <c r="B678" s="28" t="s">
        <v>37</v>
      </c>
      <c r="C678" s="41" t="s">
        <v>118</v>
      </c>
      <c r="D678" s="26" t="s">
        <v>36</v>
      </c>
      <c r="E678" s="26" t="s">
        <v>56</v>
      </c>
      <c r="F678" s="26" t="s">
        <v>36</v>
      </c>
      <c r="G678" s="26" t="s">
        <v>41</v>
      </c>
      <c r="H678" s="26" t="s">
        <v>2573</v>
      </c>
      <c r="I678" s="17">
        <f ca="1">IFERROR(__xludf.DUMMYFUNCTION("""COMPUTED_VALUE"""),45195)</f>
        <v>45195</v>
      </c>
      <c r="J678" s="29" t="s">
        <v>3566</v>
      </c>
      <c r="K678" s="26" t="s">
        <v>3567</v>
      </c>
      <c r="L678" s="30">
        <v>392612303</v>
      </c>
      <c r="M678" s="26" t="s">
        <v>80</v>
      </c>
      <c r="N678" s="26" t="s">
        <v>81</v>
      </c>
      <c r="O678" s="26" t="s">
        <v>3568</v>
      </c>
      <c r="P678" s="26" t="s">
        <v>3569</v>
      </c>
      <c r="Q678" s="20">
        <v>9317</v>
      </c>
      <c r="R678" s="26" t="s">
        <v>36</v>
      </c>
      <c r="S678" s="31">
        <v>2000</v>
      </c>
      <c r="T678" s="32">
        <v>45182</v>
      </c>
      <c r="U678" s="31">
        <v>7317</v>
      </c>
      <c r="V678" s="32">
        <v>45215</v>
      </c>
      <c r="W678" s="33" t="s">
        <v>3570</v>
      </c>
      <c r="X678" s="26"/>
      <c r="Y678" s="22">
        <v>0</v>
      </c>
      <c r="Z678" s="26" t="s">
        <v>50</v>
      </c>
      <c r="AA678" s="19" t="s">
        <v>3454</v>
      </c>
      <c r="AB678" s="26" t="s">
        <v>104</v>
      </c>
      <c r="AC678" s="26" t="s">
        <v>53</v>
      </c>
      <c r="AD678" s="19" t="s">
        <v>138</v>
      </c>
      <c r="AE678" s="26">
        <v>0</v>
      </c>
      <c r="AF678" s="17">
        <v>45195</v>
      </c>
      <c r="AG678" s="26" t="s">
        <v>1631</v>
      </c>
      <c r="AH678" s="26"/>
      <c r="AI678" s="40"/>
      <c r="AJ678" s="26"/>
      <c r="AK678" s="26"/>
      <c r="AL678" s="35"/>
      <c r="AM678" s="35"/>
      <c r="AN678" s="35"/>
      <c r="AO678" s="35"/>
      <c r="AP678" s="35"/>
    </row>
    <row r="679" spans="1:42" x14ac:dyDescent="0.2">
      <c r="A679" s="27">
        <v>45183.113749351847</v>
      </c>
      <c r="B679" s="28" t="s">
        <v>37</v>
      </c>
      <c r="C679" s="41" t="s">
        <v>118</v>
      </c>
      <c r="D679" s="26" t="s">
        <v>36</v>
      </c>
      <c r="E679" s="26" t="s">
        <v>56</v>
      </c>
      <c r="F679" s="26" t="s">
        <v>36</v>
      </c>
      <c r="G679" s="26" t="s">
        <v>41</v>
      </c>
      <c r="H679" s="26" t="s">
        <v>2760</v>
      </c>
      <c r="I679" s="17">
        <f ca="1">IFERROR(__xludf.DUMMYFUNCTION("""COMPUTED_VALUE"""),45202)</f>
        <v>45202</v>
      </c>
      <c r="J679" s="29" t="s">
        <v>3571</v>
      </c>
      <c r="K679" s="26" t="s">
        <v>3572</v>
      </c>
      <c r="L679" s="30">
        <v>852598596</v>
      </c>
      <c r="M679" s="26" t="s">
        <v>80</v>
      </c>
      <c r="N679" s="26" t="s">
        <v>81</v>
      </c>
      <c r="O679" s="26" t="s">
        <v>3573</v>
      </c>
      <c r="P679" s="26" t="s">
        <v>3178</v>
      </c>
      <c r="Q679" s="20">
        <v>9317</v>
      </c>
      <c r="R679" s="26" t="s">
        <v>36</v>
      </c>
      <c r="S679" s="31">
        <v>2000</v>
      </c>
      <c r="T679" s="32">
        <v>45183</v>
      </c>
      <c r="U679" s="31">
        <v>7704</v>
      </c>
      <c r="V679" s="32">
        <v>45226</v>
      </c>
      <c r="W679" s="33" t="s">
        <v>3574</v>
      </c>
      <c r="X679" s="26"/>
      <c r="Y679" s="22">
        <v>-387</v>
      </c>
      <c r="Z679" s="26" t="s">
        <v>50</v>
      </c>
      <c r="AA679" s="19" t="s">
        <v>3454</v>
      </c>
      <c r="AB679" s="26" t="s">
        <v>104</v>
      </c>
      <c r="AC679" s="26" t="s">
        <v>53</v>
      </c>
      <c r="AD679" s="19" t="s">
        <v>138</v>
      </c>
      <c r="AE679" s="26">
        <v>0</v>
      </c>
      <c r="AF679" s="17">
        <v>45190</v>
      </c>
      <c r="AG679" s="26" t="s">
        <v>3575</v>
      </c>
      <c r="AH679" s="26" t="s">
        <v>2652</v>
      </c>
      <c r="AI679" s="40"/>
      <c r="AJ679" s="26"/>
      <c r="AK679" s="26"/>
      <c r="AL679" s="35"/>
      <c r="AM679" s="35"/>
      <c r="AN679" s="35"/>
      <c r="AO679" s="35"/>
      <c r="AP679" s="35"/>
    </row>
    <row r="680" spans="1:42" x14ac:dyDescent="0.2">
      <c r="A680" s="27">
        <v>45183.154985393514</v>
      </c>
      <c r="B680" s="28" t="s">
        <v>37</v>
      </c>
      <c r="C680" s="41" t="s">
        <v>118</v>
      </c>
      <c r="D680" s="26" t="s">
        <v>36</v>
      </c>
      <c r="E680" s="26" t="s">
        <v>119</v>
      </c>
      <c r="F680" s="26" t="s">
        <v>36</v>
      </c>
      <c r="G680" s="26" t="s">
        <v>108</v>
      </c>
      <c r="H680" s="26" t="s">
        <v>2377</v>
      </c>
      <c r="I680" s="17">
        <f ca="1">IFERROR(__xludf.DUMMYFUNCTION("""COMPUTED_VALUE"""),45197)</f>
        <v>45197</v>
      </c>
      <c r="J680" s="29" t="s">
        <v>3576</v>
      </c>
      <c r="K680" s="26" t="s">
        <v>3577</v>
      </c>
      <c r="L680" s="30">
        <v>978331320</v>
      </c>
      <c r="M680" s="26" t="s">
        <v>80</v>
      </c>
      <c r="N680" s="26" t="s">
        <v>81</v>
      </c>
      <c r="O680" s="26" t="s">
        <v>3578</v>
      </c>
      <c r="P680" s="26" t="s">
        <v>3579</v>
      </c>
      <c r="Q680" s="20">
        <v>13968</v>
      </c>
      <c r="R680" s="26" t="s">
        <v>36</v>
      </c>
      <c r="S680" s="31">
        <v>4000</v>
      </c>
      <c r="T680" s="32">
        <v>45183</v>
      </c>
      <c r="U680" s="31">
        <v>9968</v>
      </c>
      <c r="V680" s="32">
        <v>45213</v>
      </c>
      <c r="W680" s="33" t="s">
        <v>3580</v>
      </c>
      <c r="X680" s="26"/>
      <c r="Y680" s="22">
        <v>0</v>
      </c>
      <c r="Z680" s="26" t="s">
        <v>50</v>
      </c>
      <c r="AA680" s="19" t="s">
        <v>3454</v>
      </c>
      <c r="AB680" s="26" t="s">
        <v>137</v>
      </c>
      <c r="AC680" s="26" t="s">
        <v>53</v>
      </c>
      <c r="AD680" s="19" t="s">
        <v>54</v>
      </c>
      <c r="AE680" s="26" t="s">
        <v>2705</v>
      </c>
      <c r="AF680" s="17">
        <v>45187</v>
      </c>
      <c r="AG680" s="26" t="s">
        <v>2804</v>
      </c>
      <c r="AH680" s="26"/>
      <c r="AI680" s="40"/>
      <c r="AJ680" s="26"/>
      <c r="AK680" s="26"/>
      <c r="AL680" s="35"/>
      <c r="AM680" s="35"/>
      <c r="AN680" s="35"/>
      <c r="AO680" s="35"/>
      <c r="AP680" s="35"/>
    </row>
    <row r="681" spans="1:42" x14ac:dyDescent="0.2">
      <c r="A681" s="27">
        <v>45183.490864560183</v>
      </c>
      <c r="B681" s="28" t="s">
        <v>37</v>
      </c>
      <c r="C681" s="41" t="s">
        <v>118</v>
      </c>
      <c r="D681" s="26" t="s">
        <v>36</v>
      </c>
      <c r="E681" s="26" t="s">
        <v>56</v>
      </c>
      <c r="F681" s="26" t="s">
        <v>36</v>
      </c>
      <c r="G681" s="26" t="s">
        <v>41</v>
      </c>
      <c r="H681" s="26" t="s">
        <v>2573</v>
      </c>
      <c r="I681" s="17">
        <f ca="1">IFERROR(__xludf.DUMMYFUNCTION("""COMPUTED_VALUE"""),45195)</f>
        <v>45195</v>
      </c>
      <c r="J681" s="29" t="s">
        <v>3581</v>
      </c>
      <c r="K681" s="26" t="s">
        <v>3582</v>
      </c>
      <c r="L681" s="105" t="s">
        <v>3583</v>
      </c>
      <c r="M681" s="26" t="s">
        <v>80</v>
      </c>
      <c r="N681" s="26" t="s">
        <v>81</v>
      </c>
      <c r="O681" s="26" t="s">
        <v>3584</v>
      </c>
      <c r="P681" s="26" t="s">
        <v>3178</v>
      </c>
      <c r="Q681" s="20">
        <v>9317</v>
      </c>
      <c r="R681" s="26" t="s">
        <v>36</v>
      </c>
      <c r="S681" s="31">
        <v>4000</v>
      </c>
      <c r="T681" s="32">
        <v>45183</v>
      </c>
      <c r="U681" s="31">
        <v>5317</v>
      </c>
      <c r="V681" s="32">
        <v>45214</v>
      </c>
      <c r="W681" s="33" t="s">
        <v>3585</v>
      </c>
      <c r="X681" s="26"/>
      <c r="Y681" s="22">
        <v>0</v>
      </c>
      <c r="Z681" s="26" t="s">
        <v>50</v>
      </c>
      <c r="AA681" s="19" t="s">
        <v>3454</v>
      </c>
      <c r="AB681" s="26" t="s">
        <v>104</v>
      </c>
      <c r="AC681" s="26" t="s">
        <v>53</v>
      </c>
      <c r="AD681" s="19" t="s">
        <v>138</v>
      </c>
      <c r="AE681" s="26" t="s">
        <v>3586</v>
      </c>
      <c r="AF681" s="17">
        <v>45195</v>
      </c>
      <c r="AG681" s="26" t="s">
        <v>1631</v>
      </c>
      <c r="AH681" s="26"/>
      <c r="AI681" s="40"/>
      <c r="AJ681" s="26"/>
      <c r="AK681" s="26"/>
      <c r="AL681" s="35"/>
      <c r="AM681" s="35"/>
      <c r="AN681" s="35"/>
      <c r="AO681" s="35"/>
      <c r="AP681" s="35"/>
    </row>
    <row r="682" spans="1:42" x14ac:dyDescent="0.2">
      <c r="A682" s="27">
        <v>45184.494063356484</v>
      </c>
      <c r="B682" s="28" t="s">
        <v>37</v>
      </c>
      <c r="C682" s="41" t="s">
        <v>118</v>
      </c>
      <c r="D682" s="26" t="s">
        <v>36</v>
      </c>
      <c r="E682" s="26" t="s">
        <v>77</v>
      </c>
      <c r="F682" s="26" t="s">
        <v>36</v>
      </c>
      <c r="G682" s="26" t="s">
        <v>41</v>
      </c>
      <c r="H682" s="26" t="s">
        <v>3587</v>
      </c>
      <c r="I682" s="17" t="str">
        <f ca="1">IFERROR(__xludf.DUMMYFUNCTION("""COMPUTED_VALUE""")," ")</f>
        <v xml:space="preserve"> </v>
      </c>
      <c r="J682" s="29" t="s">
        <v>3588</v>
      </c>
      <c r="K682" s="26" t="s">
        <v>3589</v>
      </c>
      <c r="L682" s="30">
        <v>343998310</v>
      </c>
      <c r="M682" s="26" t="s">
        <v>80</v>
      </c>
      <c r="N682" s="26" t="s">
        <v>81</v>
      </c>
      <c r="O682" s="26" t="s">
        <v>1492</v>
      </c>
      <c r="P682" s="26" t="s">
        <v>2641</v>
      </c>
      <c r="Q682" s="20">
        <v>1968</v>
      </c>
      <c r="R682" s="26" t="s">
        <v>36</v>
      </c>
      <c r="S682" s="31">
        <v>2000</v>
      </c>
      <c r="T682" s="32">
        <v>45184</v>
      </c>
      <c r="U682" s="31"/>
      <c r="V682" s="26"/>
      <c r="W682" s="33" t="s">
        <v>3590</v>
      </c>
      <c r="X682" s="26"/>
      <c r="Y682" s="22">
        <v>-32</v>
      </c>
      <c r="Z682" s="26" t="s">
        <v>50</v>
      </c>
      <c r="AA682" s="19" t="s">
        <v>3454</v>
      </c>
      <c r="AB682" s="26" t="s">
        <v>104</v>
      </c>
      <c r="AC682" s="26" t="s">
        <v>53</v>
      </c>
      <c r="AD682" s="19" t="s">
        <v>138</v>
      </c>
      <c r="AE682" s="26">
        <v>0</v>
      </c>
      <c r="AF682" s="17">
        <v>45195</v>
      </c>
      <c r="AG682" s="26" t="s">
        <v>1631</v>
      </c>
      <c r="AH682" s="26"/>
      <c r="AI682" s="40"/>
      <c r="AJ682" s="26"/>
      <c r="AK682" s="26"/>
      <c r="AL682" s="35"/>
      <c r="AM682" s="35"/>
      <c r="AN682" s="35"/>
      <c r="AO682" s="35"/>
      <c r="AP682" s="35"/>
    </row>
    <row r="683" spans="1:42" x14ac:dyDescent="0.2">
      <c r="A683" s="27">
        <v>45184.712088275468</v>
      </c>
      <c r="B683" s="28" t="s">
        <v>37</v>
      </c>
      <c r="C683" s="41" t="s">
        <v>118</v>
      </c>
      <c r="D683" s="26" t="s">
        <v>36</v>
      </c>
      <c r="E683" s="26" t="s">
        <v>139</v>
      </c>
      <c r="F683" s="26" t="s">
        <v>91</v>
      </c>
      <c r="G683" s="26" t="s">
        <v>41</v>
      </c>
      <c r="H683" s="26" t="s">
        <v>2889</v>
      </c>
      <c r="I683" s="17">
        <f ca="1">IFERROR(__xludf.DUMMYFUNCTION("""COMPUTED_VALUE"""),45200)</f>
        <v>45200</v>
      </c>
      <c r="J683" s="29" t="s">
        <v>3591</v>
      </c>
      <c r="K683" s="26" t="s">
        <v>3592</v>
      </c>
      <c r="L683" s="30">
        <v>858104695</v>
      </c>
      <c r="M683" s="26" t="s">
        <v>910</v>
      </c>
      <c r="N683" s="26" t="s">
        <v>2841</v>
      </c>
      <c r="O683" s="26" t="s">
        <v>125</v>
      </c>
      <c r="P683" s="26" t="s">
        <v>3593</v>
      </c>
      <c r="Q683" s="20">
        <v>15936</v>
      </c>
      <c r="R683" s="26" t="s">
        <v>36</v>
      </c>
      <c r="S683" s="31">
        <v>2000</v>
      </c>
      <c r="T683" s="32">
        <v>45184</v>
      </c>
      <c r="U683" s="31">
        <v>13936</v>
      </c>
      <c r="V683" s="32">
        <v>45213</v>
      </c>
      <c r="W683" s="33" t="s">
        <v>3594</v>
      </c>
      <c r="X683" s="26"/>
      <c r="Y683" s="22">
        <v>0</v>
      </c>
      <c r="Z683" s="26" t="s">
        <v>50</v>
      </c>
      <c r="AA683" s="19" t="s">
        <v>3454</v>
      </c>
      <c r="AB683" s="26" t="s">
        <v>104</v>
      </c>
      <c r="AC683" s="26" t="s">
        <v>53</v>
      </c>
      <c r="AD683" s="19" t="s">
        <v>138</v>
      </c>
      <c r="AE683" s="26"/>
      <c r="AF683" s="17">
        <v>45200</v>
      </c>
      <c r="AG683" s="26" t="s">
        <v>1631</v>
      </c>
      <c r="AH683" s="26"/>
      <c r="AI683" s="40"/>
      <c r="AJ683" s="26"/>
      <c r="AK683" s="26"/>
      <c r="AL683" s="35"/>
      <c r="AM683" s="35"/>
      <c r="AN683" s="35"/>
      <c r="AO683" s="35"/>
      <c r="AP683" s="35"/>
    </row>
    <row r="684" spans="1:42" x14ac:dyDescent="0.2">
      <c r="A684" s="27">
        <v>45185.527187245374</v>
      </c>
      <c r="B684" s="28" t="s">
        <v>37</v>
      </c>
      <c r="C684" s="41" t="s">
        <v>118</v>
      </c>
      <c r="D684" s="26" t="s">
        <v>36</v>
      </c>
      <c r="E684" s="26" t="s">
        <v>139</v>
      </c>
      <c r="F684" s="26" t="s">
        <v>36</v>
      </c>
      <c r="G684" s="26" t="s">
        <v>41</v>
      </c>
      <c r="H684" s="26" t="s">
        <v>2734</v>
      </c>
      <c r="I684" s="17">
        <f ca="1">IFERROR(__xludf.DUMMYFUNCTION("""COMPUTED_VALUE"""),45193)</f>
        <v>45193</v>
      </c>
      <c r="J684" s="29" t="s">
        <v>3595</v>
      </c>
      <c r="K684" s="26" t="s">
        <v>3596</v>
      </c>
      <c r="L684" s="30">
        <v>367487978</v>
      </c>
      <c r="M684" s="26" t="s">
        <v>2755</v>
      </c>
      <c r="N684" s="26" t="s">
        <v>2756</v>
      </c>
      <c r="O684" s="26" t="s">
        <v>2819</v>
      </c>
      <c r="P684" s="26" t="s">
        <v>3597</v>
      </c>
      <c r="Q684" s="20">
        <v>15936</v>
      </c>
      <c r="R684" s="26" t="s">
        <v>70</v>
      </c>
      <c r="S684" s="31">
        <v>200</v>
      </c>
      <c r="T684" s="32">
        <v>45269</v>
      </c>
      <c r="U684" s="31">
        <f>1800+13936</f>
        <v>15736</v>
      </c>
      <c r="V684" s="26" t="s">
        <v>3598</v>
      </c>
      <c r="W684" s="33" t="s">
        <v>3599</v>
      </c>
      <c r="X684" s="26"/>
      <c r="Y684" s="22">
        <v>0</v>
      </c>
      <c r="Z684" s="26" t="s">
        <v>50</v>
      </c>
      <c r="AA684" s="19" t="s">
        <v>3454</v>
      </c>
      <c r="AB684" s="26" t="s">
        <v>104</v>
      </c>
      <c r="AC684" s="26" t="s">
        <v>53</v>
      </c>
      <c r="AD684" s="19" t="s">
        <v>54</v>
      </c>
      <c r="AE684" s="26" t="s">
        <v>76</v>
      </c>
      <c r="AF684" s="17">
        <v>45187</v>
      </c>
      <c r="AG684" s="26"/>
      <c r="AH684" s="26"/>
      <c r="AI684" s="40"/>
      <c r="AJ684" s="26"/>
      <c r="AK684" s="26"/>
      <c r="AL684" s="35"/>
      <c r="AM684" s="35"/>
      <c r="AN684" s="35"/>
      <c r="AO684" s="35"/>
      <c r="AP684" s="35"/>
    </row>
    <row r="685" spans="1:42" x14ac:dyDescent="0.2">
      <c r="A685" s="27">
        <v>45185.527739722223</v>
      </c>
      <c r="B685" s="28" t="s">
        <v>37</v>
      </c>
      <c r="C685" s="41" t="s">
        <v>118</v>
      </c>
      <c r="D685" s="26" t="s">
        <v>36</v>
      </c>
      <c r="E685" s="26" t="s">
        <v>139</v>
      </c>
      <c r="F685" s="26" t="s">
        <v>36</v>
      </c>
      <c r="G685" s="26" t="s">
        <v>41</v>
      </c>
      <c r="H685" s="26" t="s">
        <v>2734</v>
      </c>
      <c r="I685" s="17">
        <f ca="1">IFERROR(__xludf.DUMMYFUNCTION("""COMPUTED_VALUE"""),45193)</f>
        <v>45193</v>
      </c>
      <c r="J685" s="29" t="s">
        <v>3600</v>
      </c>
      <c r="K685" s="26" t="s">
        <v>3601</v>
      </c>
      <c r="L685" s="30">
        <v>981920551</v>
      </c>
      <c r="M685" s="26" t="s">
        <v>123</v>
      </c>
      <c r="N685" s="26" t="s">
        <v>186</v>
      </c>
      <c r="O685" s="26" t="s">
        <v>1226</v>
      </c>
      <c r="P685" s="26" t="s">
        <v>3602</v>
      </c>
      <c r="Q685" s="20">
        <v>15936</v>
      </c>
      <c r="R685" s="26" t="s">
        <v>36</v>
      </c>
      <c r="S685" s="31">
        <v>1968</v>
      </c>
      <c r="T685" s="32">
        <v>45185</v>
      </c>
      <c r="U685" s="31">
        <v>13968</v>
      </c>
      <c r="V685" s="32">
        <v>45209</v>
      </c>
      <c r="W685" s="33" t="s">
        <v>3603</v>
      </c>
      <c r="X685" s="26"/>
      <c r="Y685" s="22">
        <v>0</v>
      </c>
      <c r="Z685" s="26" t="s">
        <v>50</v>
      </c>
      <c r="AA685" s="19" t="s">
        <v>3454</v>
      </c>
      <c r="AB685" s="26" t="s">
        <v>104</v>
      </c>
      <c r="AC685" s="26" t="s">
        <v>53</v>
      </c>
      <c r="AD685" s="19" t="s">
        <v>54</v>
      </c>
      <c r="AE685" s="26"/>
      <c r="AF685" s="17">
        <v>45187</v>
      </c>
      <c r="AG685" s="26"/>
      <c r="AH685" s="26"/>
      <c r="AI685" s="40"/>
      <c r="AJ685" s="26"/>
      <c r="AK685" s="26"/>
      <c r="AL685" s="35"/>
      <c r="AM685" s="35"/>
      <c r="AN685" s="35"/>
      <c r="AO685" s="35"/>
      <c r="AP685" s="35"/>
    </row>
    <row r="686" spans="1:42" x14ac:dyDescent="0.2">
      <c r="A686" s="27">
        <v>45185.531586736106</v>
      </c>
      <c r="B686" s="28" t="s">
        <v>37</v>
      </c>
      <c r="C686" s="41" t="s">
        <v>118</v>
      </c>
      <c r="D686" s="26" t="s">
        <v>36</v>
      </c>
      <c r="E686" s="26" t="s">
        <v>77</v>
      </c>
      <c r="F686" s="26" t="s">
        <v>36</v>
      </c>
      <c r="G686" s="26" t="s">
        <v>41</v>
      </c>
      <c r="H686" s="26" t="s">
        <v>2734</v>
      </c>
      <c r="I686" s="17">
        <f ca="1">IFERROR(__xludf.DUMMYFUNCTION("""COMPUTED_VALUE"""),45193)</f>
        <v>45193</v>
      </c>
      <c r="J686" s="29" t="s">
        <v>3604</v>
      </c>
      <c r="K686" s="26" t="s">
        <v>3605</v>
      </c>
      <c r="L686" s="30">
        <v>865489236</v>
      </c>
      <c r="M686" s="26" t="s">
        <v>2755</v>
      </c>
      <c r="N686" s="26" t="s">
        <v>2756</v>
      </c>
      <c r="O686" s="26" t="s">
        <v>3606</v>
      </c>
      <c r="P686" s="26" t="s">
        <v>3607</v>
      </c>
      <c r="Q686" s="20">
        <v>1968</v>
      </c>
      <c r="R686" s="26" t="s">
        <v>70</v>
      </c>
      <c r="S686" s="31">
        <v>200</v>
      </c>
      <c r="T686" s="32">
        <v>45184</v>
      </c>
      <c r="U686" s="31">
        <v>1800</v>
      </c>
      <c r="V686" s="32">
        <v>45187</v>
      </c>
      <c r="W686" s="33" t="s">
        <v>3608</v>
      </c>
      <c r="X686" s="26"/>
      <c r="Y686" s="22">
        <v>-32</v>
      </c>
      <c r="Z686" s="26" t="s">
        <v>50</v>
      </c>
      <c r="AA686" s="19" t="s">
        <v>3454</v>
      </c>
      <c r="AB686" s="26" t="s">
        <v>104</v>
      </c>
      <c r="AC686" s="26" t="s">
        <v>53</v>
      </c>
      <c r="AD686" s="19" t="s">
        <v>54</v>
      </c>
      <c r="AE686" s="26" t="s">
        <v>76</v>
      </c>
      <c r="AF686" s="17">
        <v>45187</v>
      </c>
      <c r="AG686" s="26" t="s">
        <v>3586</v>
      </c>
      <c r="AH686" s="26"/>
      <c r="AI686" s="40"/>
      <c r="AJ686" s="26"/>
      <c r="AK686" s="26"/>
      <c r="AL686" s="35"/>
      <c r="AM686" s="35"/>
      <c r="AN686" s="35"/>
      <c r="AO686" s="35"/>
      <c r="AP686" s="35"/>
    </row>
    <row r="687" spans="1:42" x14ac:dyDescent="0.2">
      <c r="A687" s="27">
        <v>45185.70679142361</v>
      </c>
      <c r="B687" s="28" t="s">
        <v>37</v>
      </c>
      <c r="C687" s="41" t="s">
        <v>118</v>
      </c>
      <c r="D687" s="26" t="s">
        <v>36</v>
      </c>
      <c r="E687" s="26" t="s">
        <v>139</v>
      </c>
      <c r="F687" s="26" t="s">
        <v>36</v>
      </c>
      <c r="G687" s="26" t="s">
        <v>41</v>
      </c>
      <c r="H687" s="26" t="s">
        <v>2573</v>
      </c>
      <c r="I687" s="17">
        <f ca="1">IFERROR(__xludf.DUMMYFUNCTION("""COMPUTED_VALUE"""),45195)</f>
        <v>45195</v>
      </c>
      <c r="J687" s="29" t="s">
        <v>3609</v>
      </c>
      <c r="K687" s="26" t="s">
        <v>3610</v>
      </c>
      <c r="L687" s="30">
        <v>343294525</v>
      </c>
      <c r="M687" s="26" t="s">
        <v>80</v>
      </c>
      <c r="N687" s="26" t="s">
        <v>81</v>
      </c>
      <c r="O687" s="26" t="s">
        <v>3611</v>
      </c>
      <c r="P687" s="26" t="s">
        <v>3612</v>
      </c>
      <c r="Q687" s="20">
        <v>15936</v>
      </c>
      <c r="R687" s="26" t="s">
        <v>36</v>
      </c>
      <c r="S687" s="31">
        <v>2000</v>
      </c>
      <c r="T687" s="32">
        <v>45185</v>
      </c>
      <c r="U687" s="31">
        <v>13936</v>
      </c>
      <c r="V687" s="32">
        <v>45207</v>
      </c>
      <c r="W687" s="33" t="s">
        <v>3613</v>
      </c>
      <c r="X687" s="26"/>
      <c r="Y687" s="22">
        <v>0</v>
      </c>
      <c r="Z687" s="26" t="s">
        <v>50</v>
      </c>
      <c r="AA687" s="19" t="s">
        <v>3454</v>
      </c>
      <c r="AB687" s="26" t="s">
        <v>104</v>
      </c>
      <c r="AC687" s="26" t="s">
        <v>53</v>
      </c>
      <c r="AD687" s="19" t="s">
        <v>138</v>
      </c>
      <c r="AE687" s="26">
        <v>0</v>
      </c>
      <c r="AF687" s="17">
        <v>45195</v>
      </c>
      <c r="AG687" s="26" t="s">
        <v>1631</v>
      </c>
      <c r="AH687" s="26"/>
      <c r="AI687" s="40"/>
      <c r="AJ687" s="26"/>
      <c r="AK687" s="26"/>
      <c r="AL687" s="35"/>
      <c r="AM687" s="35"/>
      <c r="AN687" s="35"/>
      <c r="AO687" s="35"/>
      <c r="AP687" s="35"/>
    </row>
    <row r="688" spans="1:42" x14ac:dyDescent="0.2">
      <c r="A688" s="27">
        <v>45185.710919837962</v>
      </c>
      <c r="B688" s="28" t="s">
        <v>37</v>
      </c>
      <c r="C688" s="41" t="s">
        <v>118</v>
      </c>
      <c r="D688" s="26" t="s">
        <v>36</v>
      </c>
      <c r="E688" s="26" t="s">
        <v>139</v>
      </c>
      <c r="F688" s="26" t="s">
        <v>36</v>
      </c>
      <c r="G688" s="26" t="s">
        <v>41</v>
      </c>
      <c r="H688" s="26" t="s">
        <v>2573</v>
      </c>
      <c r="I688" s="17">
        <f ca="1">IFERROR(__xludf.DUMMYFUNCTION("""COMPUTED_VALUE"""),45195)</f>
        <v>45195</v>
      </c>
      <c r="J688" s="29" t="s">
        <v>3614</v>
      </c>
      <c r="K688" s="26" t="s">
        <v>124</v>
      </c>
      <c r="L688" s="30">
        <v>345486753</v>
      </c>
      <c r="M688" s="26" t="s">
        <v>80</v>
      </c>
      <c r="N688" s="26" t="s">
        <v>81</v>
      </c>
      <c r="O688" s="26" t="s">
        <v>3615</v>
      </c>
      <c r="P688" s="26" t="s">
        <v>3616</v>
      </c>
      <c r="Q688" s="20">
        <v>15936</v>
      </c>
      <c r="R688" s="26" t="s">
        <v>36</v>
      </c>
      <c r="S688" s="31">
        <v>2000</v>
      </c>
      <c r="T688" s="32">
        <v>45185</v>
      </c>
      <c r="U688" s="31">
        <v>13936</v>
      </c>
      <c r="V688" s="32">
        <v>45209</v>
      </c>
      <c r="W688" s="33" t="s">
        <v>3617</v>
      </c>
      <c r="X688" s="26"/>
      <c r="Y688" s="22">
        <v>0</v>
      </c>
      <c r="Z688" s="26" t="s">
        <v>50</v>
      </c>
      <c r="AA688" s="19" t="s">
        <v>3454</v>
      </c>
      <c r="AB688" s="26" t="s">
        <v>104</v>
      </c>
      <c r="AC688" s="26" t="s">
        <v>53</v>
      </c>
      <c r="AD688" s="19" t="s">
        <v>138</v>
      </c>
      <c r="AE688" s="26">
        <v>0</v>
      </c>
      <c r="AF688" s="17">
        <v>45195</v>
      </c>
      <c r="AG688" s="26" t="s">
        <v>1631</v>
      </c>
      <c r="AH688" s="26"/>
      <c r="AI688" s="40"/>
      <c r="AJ688" s="26"/>
      <c r="AK688" s="26"/>
      <c r="AL688" s="35"/>
      <c r="AM688" s="35"/>
      <c r="AN688" s="35"/>
      <c r="AO688" s="35"/>
      <c r="AP688" s="35"/>
    </row>
    <row r="689" spans="1:42" x14ac:dyDescent="0.2">
      <c r="A689" s="27">
        <v>45185.712362025464</v>
      </c>
      <c r="B689" s="28" t="s">
        <v>37</v>
      </c>
      <c r="C689" s="41" t="s">
        <v>118</v>
      </c>
      <c r="D689" s="26" t="s">
        <v>36</v>
      </c>
      <c r="E689" s="26" t="s">
        <v>139</v>
      </c>
      <c r="F689" s="26" t="s">
        <v>36</v>
      </c>
      <c r="G689" s="26" t="s">
        <v>41</v>
      </c>
      <c r="H689" s="26" t="s">
        <v>2573</v>
      </c>
      <c r="I689" s="17">
        <f ca="1">IFERROR(__xludf.DUMMYFUNCTION("""COMPUTED_VALUE"""),45195)</f>
        <v>45195</v>
      </c>
      <c r="J689" s="29" t="s">
        <v>3618</v>
      </c>
      <c r="K689" s="26" t="s">
        <v>3619</v>
      </c>
      <c r="L689" s="30">
        <v>917441898</v>
      </c>
      <c r="M689" s="26" t="s">
        <v>80</v>
      </c>
      <c r="N689" s="26" t="s">
        <v>81</v>
      </c>
      <c r="O689" s="26" t="s">
        <v>1492</v>
      </c>
      <c r="P689" s="26" t="s">
        <v>3620</v>
      </c>
      <c r="Q689" s="20">
        <v>15936</v>
      </c>
      <c r="R689" s="26" t="s">
        <v>36</v>
      </c>
      <c r="S689" s="31">
        <v>4000</v>
      </c>
      <c r="T689" s="32" t="s">
        <v>3621</v>
      </c>
      <c r="U689" s="31">
        <v>11936</v>
      </c>
      <c r="V689" s="32">
        <v>45213</v>
      </c>
      <c r="W689" s="33" t="s">
        <v>3622</v>
      </c>
      <c r="X689" s="26"/>
      <c r="Y689" s="22">
        <v>0</v>
      </c>
      <c r="Z689" s="26" t="s">
        <v>50</v>
      </c>
      <c r="AA689" s="19" t="s">
        <v>3454</v>
      </c>
      <c r="AB689" s="26" t="s">
        <v>104</v>
      </c>
      <c r="AC689" s="26" t="s">
        <v>53</v>
      </c>
      <c r="AD689" s="19" t="s">
        <v>138</v>
      </c>
      <c r="AE689" s="26">
        <v>0</v>
      </c>
      <c r="AF689" s="17">
        <v>45195</v>
      </c>
      <c r="AG689" s="26" t="s">
        <v>1631</v>
      </c>
      <c r="AH689" s="26"/>
      <c r="AI689" s="40"/>
      <c r="AJ689" s="26"/>
      <c r="AK689" s="26"/>
      <c r="AL689" s="35"/>
      <c r="AM689" s="35"/>
      <c r="AN689" s="35"/>
      <c r="AO689" s="35"/>
      <c r="AP689" s="35"/>
    </row>
    <row r="690" spans="1:42" x14ac:dyDescent="0.2">
      <c r="A690" s="27">
        <v>45185.782543657406</v>
      </c>
      <c r="B690" s="28" t="s">
        <v>37</v>
      </c>
      <c r="C690" s="41" t="s">
        <v>118</v>
      </c>
      <c r="D690" s="26" t="s">
        <v>36</v>
      </c>
      <c r="E690" s="26" t="s">
        <v>139</v>
      </c>
      <c r="F690" s="26" t="s">
        <v>36</v>
      </c>
      <c r="G690" s="26" t="s">
        <v>41</v>
      </c>
      <c r="H690" s="26" t="s">
        <v>2573</v>
      </c>
      <c r="I690" s="17">
        <f ca="1">IFERROR(__xludf.DUMMYFUNCTION("""COMPUTED_VALUE"""),45195)</f>
        <v>45195</v>
      </c>
      <c r="J690" s="29" t="s">
        <v>3623</v>
      </c>
      <c r="K690" s="26" t="s">
        <v>3624</v>
      </c>
      <c r="L690" s="30">
        <v>775270270</v>
      </c>
      <c r="M690" s="26" t="s">
        <v>80</v>
      </c>
      <c r="N690" s="26" t="s">
        <v>81</v>
      </c>
      <c r="O690" s="26" t="s">
        <v>3625</v>
      </c>
      <c r="P690" s="26" t="s">
        <v>2641</v>
      </c>
      <c r="Q690" s="20">
        <v>15936</v>
      </c>
      <c r="R690" s="26" t="s">
        <v>36</v>
      </c>
      <c r="S690" s="31">
        <v>4000</v>
      </c>
      <c r="T690" s="32">
        <v>45185</v>
      </c>
      <c r="U690" s="31">
        <v>11936</v>
      </c>
      <c r="V690" s="32">
        <v>45212</v>
      </c>
      <c r="W690" s="33" t="s">
        <v>3626</v>
      </c>
      <c r="X690" s="26"/>
      <c r="Y690" s="22">
        <v>0</v>
      </c>
      <c r="Z690" s="26" t="s">
        <v>50</v>
      </c>
      <c r="AA690" s="19" t="s">
        <v>3454</v>
      </c>
      <c r="AB690" s="26" t="s">
        <v>104</v>
      </c>
      <c r="AC690" s="26" t="s">
        <v>53</v>
      </c>
      <c r="AD690" s="19" t="s">
        <v>138</v>
      </c>
      <c r="AE690" s="26">
        <v>0</v>
      </c>
      <c r="AF690" s="17">
        <v>45195</v>
      </c>
      <c r="AG690" s="26" t="s">
        <v>1631</v>
      </c>
      <c r="AH690" s="26"/>
      <c r="AI690" s="40"/>
      <c r="AJ690" s="26"/>
      <c r="AK690" s="26"/>
      <c r="AL690" s="35"/>
      <c r="AM690" s="35"/>
      <c r="AN690" s="35"/>
      <c r="AO690" s="35"/>
      <c r="AP690" s="35"/>
    </row>
    <row r="691" spans="1:42" x14ac:dyDescent="0.2">
      <c r="A691" s="27">
        <v>45185.88512280093</v>
      </c>
      <c r="B691" s="28" t="s">
        <v>37</v>
      </c>
      <c r="C691" s="41" t="s">
        <v>118</v>
      </c>
      <c r="D691" s="26" t="s">
        <v>36</v>
      </c>
      <c r="E691" s="26" t="s">
        <v>77</v>
      </c>
      <c r="F691" s="26" t="s">
        <v>2734</v>
      </c>
      <c r="G691" s="26" t="s">
        <v>41</v>
      </c>
      <c r="H691" s="26" t="s">
        <v>2734</v>
      </c>
      <c r="I691" s="17">
        <f ca="1">IFERROR(__xludf.DUMMYFUNCTION("""COMPUTED_VALUE"""),45193)</f>
        <v>45193</v>
      </c>
      <c r="J691" s="29" t="s">
        <v>3627</v>
      </c>
      <c r="K691" s="26" t="s">
        <v>3628</v>
      </c>
      <c r="L691" s="30">
        <v>913472537</v>
      </c>
      <c r="M691" s="26" t="s">
        <v>2755</v>
      </c>
      <c r="N691" s="26" t="s">
        <v>2756</v>
      </c>
      <c r="O691" s="26" t="s">
        <v>3629</v>
      </c>
      <c r="P691" s="26" t="s">
        <v>3630</v>
      </c>
      <c r="Q691" s="20">
        <v>1968</v>
      </c>
      <c r="R691" s="26" t="s">
        <v>36</v>
      </c>
      <c r="S691" s="50">
        <v>1800</v>
      </c>
      <c r="T691" s="51">
        <v>45185</v>
      </c>
      <c r="U691" s="31">
        <v>200</v>
      </c>
      <c r="V691" s="38">
        <v>45195</v>
      </c>
      <c r="W691" s="26" t="s">
        <v>3631</v>
      </c>
      <c r="X691" s="26"/>
      <c r="Y691" s="22">
        <v>-32</v>
      </c>
      <c r="Z691" s="26" t="s">
        <v>50</v>
      </c>
      <c r="AA691" s="19" t="s">
        <v>3454</v>
      </c>
      <c r="AB691" s="26" t="s">
        <v>104</v>
      </c>
      <c r="AC691" s="26" t="s">
        <v>53</v>
      </c>
      <c r="AD691" s="19" t="s">
        <v>54</v>
      </c>
      <c r="AE691" s="26" t="s">
        <v>76</v>
      </c>
      <c r="AF691" s="17">
        <v>45187</v>
      </c>
      <c r="AG691" s="26"/>
      <c r="AH691" s="26"/>
      <c r="AI691" s="40"/>
      <c r="AJ691" s="26"/>
      <c r="AK691" s="26"/>
      <c r="AL691" s="35"/>
      <c r="AM691" s="35"/>
      <c r="AN691" s="35"/>
      <c r="AO691" s="35"/>
      <c r="AP691" s="35"/>
    </row>
    <row r="692" spans="1:42" x14ac:dyDescent="0.2">
      <c r="A692" s="27">
        <v>45186.333039652774</v>
      </c>
      <c r="B692" s="28" t="s">
        <v>37</v>
      </c>
      <c r="C692" s="41" t="s">
        <v>118</v>
      </c>
      <c r="D692" s="26" t="s">
        <v>36</v>
      </c>
      <c r="E692" s="26" t="s">
        <v>139</v>
      </c>
      <c r="F692" s="26" t="s">
        <v>36</v>
      </c>
      <c r="G692" s="26" t="s">
        <v>41</v>
      </c>
      <c r="H692" s="26" t="s">
        <v>2647</v>
      </c>
      <c r="I692" s="17">
        <f ca="1">IFERROR(__xludf.DUMMYFUNCTION("""COMPUTED_VALUE"""),45191)</f>
        <v>45191</v>
      </c>
      <c r="J692" s="29" t="s">
        <v>3632</v>
      </c>
      <c r="K692" s="26" t="s">
        <v>3633</v>
      </c>
      <c r="L692" s="30">
        <v>14305008530</v>
      </c>
      <c r="M692" s="26" t="s">
        <v>123</v>
      </c>
      <c r="N692" s="26" t="s">
        <v>186</v>
      </c>
      <c r="O692" s="26" t="s">
        <v>1226</v>
      </c>
      <c r="P692" s="26" t="s">
        <v>3153</v>
      </c>
      <c r="Q692" s="20">
        <v>15936</v>
      </c>
      <c r="R692" s="26" t="s">
        <v>36</v>
      </c>
      <c r="S692" s="31">
        <v>200</v>
      </c>
      <c r="T692" s="32">
        <v>45167</v>
      </c>
      <c r="U692" s="31">
        <f>1800+13936</f>
        <v>15736</v>
      </c>
      <c r="V692" s="16" t="s">
        <v>3634</v>
      </c>
      <c r="W692" s="33" t="s">
        <v>3635</v>
      </c>
      <c r="X692" s="26"/>
      <c r="Y692" s="22">
        <v>0</v>
      </c>
      <c r="Z692" s="26" t="s">
        <v>50</v>
      </c>
      <c r="AA692" s="19" t="s">
        <v>3454</v>
      </c>
      <c r="AB692" s="26" t="s">
        <v>104</v>
      </c>
      <c r="AC692" s="26" t="s">
        <v>53</v>
      </c>
      <c r="AD692" s="19" t="s">
        <v>138</v>
      </c>
      <c r="AE692" s="26"/>
      <c r="AF692" s="17">
        <v>45190</v>
      </c>
      <c r="AG692" s="26" t="s">
        <v>1631</v>
      </c>
      <c r="AH692" s="26" t="s">
        <v>2652</v>
      </c>
      <c r="AI692" s="40"/>
      <c r="AJ692" s="26"/>
      <c r="AK692" s="26"/>
      <c r="AL692" s="35"/>
      <c r="AM692" s="35"/>
      <c r="AN692" s="35"/>
      <c r="AO692" s="35"/>
      <c r="AP692" s="35"/>
    </row>
    <row r="693" spans="1:42" x14ac:dyDescent="0.2">
      <c r="A693" s="27">
        <v>45186.334844583333</v>
      </c>
      <c r="B693" s="28" t="s">
        <v>37</v>
      </c>
      <c r="C693" s="41" t="s">
        <v>118</v>
      </c>
      <c r="D693" s="26" t="s">
        <v>36</v>
      </c>
      <c r="E693" s="26" t="s">
        <v>139</v>
      </c>
      <c r="F693" s="26" t="s">
        <v>36</v>
      </c>
      <c r="G693" s="26" t="s">
        <v>41</v>
      </c>
      <c r="H693" s="26" t="s">
        <v>2647</v>
      </c>
      <c r="I693" s="17">
        <f ca="1">IFERROR(__xludf.DUMMYFUNCTION("""COMPUTED_VALUE"""),45191)</f>
        <v>45191</v>
      </c>
      <c r="J693" s="29" t="s">
        <v>3636</v>
      </c>
      <c r="K693" s="26" t="s">
        <v>3637</v>
      </c>
      <c r="L693" s="30">
        <v>825802607</v>
      </c>
      <c r="M693" s="26" t="s">
        <v>123</v>
      </c>
      <c r="N693" s="26" t="s">
        <v>186</v>
      </c>
      <c r="O693" s="26" t="s">
        <v>1226</v>
      </c>
      <c r="P693" s="26" t="s">
        <v>3638</v>
      </c>
      <c r="Q693" s="20">
        <v>15936</v>
      </c>
      <c r="R693" s="26" t="s">
        <v>36</v>
      </c>
      <c r="S693" s="31">
        <v>500</v>
      </c>
      <c r="T693" s="32">
        <v>45166</v>
      </c>
      <c r="U693" s="31">
        <f>1500+13936</f>
        <v>15436</v>
      </c>
      <c r="V693" s="16" t="s">
        <v>3639</v>
      </c>
      <c r="W693" s="33" t="s">
        <v>3640</v>
      </c>
      <c r="X693" s="26"/>
      <c r="Y693" s="22">
        <v>0</v>
      </c>
      <c r="Z693" s="26" t="s">
        <v>50</v>
      </c>
      <c r="AA693" s="19" t="s">
        <v>3454</v>
      </c>
      <c r="AB693" s="26" t="s">
        <v>104</v>
      </c>
      <c r="AC693" s="26" t="s">
        <v>53</v>
      </c>
      <c r="AD693" s="19" t="s">
        <v>138</v>
      </c>
      <c r="AE693" s="26"/>
      <c r="AF693" s="17">
        <v>45190</v>
      </c>
      <c r="AG693" s="26" t="s">
        <v>1631</v>
      </c>
      <c r="AH693" s="26" t="s">
        <v>2652</v>
      </c>
      <c r="AI693" s="40"/>
      <c r="AJ693" s="26"/>
      <c r="AK693" s="26"/>
      <c r="AL693" s="35"/>
      <c r="AM693" s="35"/>
      <c r="AN693" s="35"/>
      <c r="AO693" s="35"/>
      <c r="AP693" s="35"/>
    </row>
    <row r="694" spans="1:42" x14ac:dyDescent="0.2">
      <c r="A694" s="27">
        <v>45186.337327986112</v>
      </c>
      <c r="B694" s="28" t="s">
        <v>37</v>
      </c>
      <c r="C694" s="41" t="s">
        <v>118</v>
      </c>
      <c r="D694" s="26" t="s">
        <v>36</v>
      </c>
      <c r="E694" s="26" t="s">
        <v>148</v>
      </c>
      <c r="F694" s="26" t="s">
        <v>36</v>
      </c>
      <c r="G694" s="26" t="s">
        <v>108</v>
      </c>
      <c r="H694" s="26" t="s">
        <v>2595</v>
      </c>
      <c r="I694" s="17">
        <f ca="1">IFERROR(__xludf.DUMMYFUNCTION("""COMPUTED_VALUE"""),45191)</f>
        <v>45191</v>
      </c>
      <c r="J694" s="29" t="s">
        <v>3641</v>
      </c>
      <c r="K694" s="26" t="s">
        <v>3642</v>
      </c>
      <c r="L694" s="30">
        <v>965977939</v>
      </c>
      <c r="M694" s="26" t="s">
        <v>123</v>
      </c>
      <c r="N694" s="26" t="s">
        <v>3065</v>
      </c>
      <c r="O694" s="26" t="s">
        <v>1226</v>
      </c>
      <c r="P694" s="26" t="s">
        <v>3487</v>
      </c>
      <c r="Q694" s="20">
        <v>7349</v>
      </c>
      <c r="R694" s="26" t="s">
        <v>36</v>
      </c>
      <c r="S694" s="31">
        <v>300</v>
      </c>
      <c r="T694" s="32">
        <v>45180</v>
      </c>
      <c r="U694" s="31">
        <f>3500+3550</f>
        <v>7050</v>
      </c>
      <c r="V694" s="16" t="s">
        <v>3643</v>
      </c>
      <c r="W694" s="33" t="s">
        <v>3644</v>
      </c>
      <c r="X694" s="26"/>
      <c r="Y694" s="22">
        <v>-1</v>
      </c>
      <c r="Z694" s="26" t="s">
        <v>50</v>
      </c>
      <c r="AA694" s="19" t="s">
        <v>3454</v>
      </c>
      <c r="AB694" s="26" t="s">
        <v>104</v>
      </c>
      <c r="AC694" s="26" t="s">
        <v>53</v>
      </c>
      <c r="AD694" s="19" t="s">
        <v>138</v>
      </c>
      <c r="AE694" s="26">
        <v>380</v>
      </c>
      <c r="AF694" s="17">
        <v>45191</v>
      </c>
      <c r="AG694" s="26" t="s">
        <v>1631</v>
      </c>
      <c r="AH694" s="26"/>
      <c r="AI694" s="40"/>
      <c r="AJ694" s="26"/>
      <c r="AK694" s="26"/>
      <c r="AL694" s="35"/>
      <c r="AM694" s="35"/>
      <c r="AN694" s="35"/>
      <c r="AO694" s="35"/>
      <c r="AP694" s="35"/>
    </row>
    <row r="695" spans="1:42" x14ac:dyDescent="0.2">
      <c r="A695" s="27">
        <v>45187.358715416667</v>
      </c>
      <c r="B695" s="28" t="s">
        <v>37</v>
      </c>
      <c r="C695" s="41" t="s">
        <v>118</v>
      </c>
      <c r="D695" s="26" t="s">
        <v>36</v>
      </c>
      <c r="E695" s="26" t="s">
        <v>139</v>
      </c>
      <c r="F695" s="26" t="s">
        <v>36</v>
      </c>
      <c r="G695" s="26" t="s">
        <v>41</v>
      </c>
      <c r="H695" s="26" t="s">
        <v>2647</v>
      </c>
      <c r="I695" s="17">
        <f ca="1">IFERROR(__xludf.DUMMYFUNCTION("""COMPUTED_VALUE"""),45191)</f>
        <v>45191</v>
      </c>
      <c r="J695" s="29" t="s">
        <v>3645</v>
      </c>
      <c r="K695" s="26" t="s">
        <v>3646</v>
      </c>
      <c r="L695" s="30">
        <v>325898466</v>
      </c>
      <c r="M695" s="26" t="s">
        <v>123</v>
      </c>
      <c r="N695" s="26" t="s">
        <v>2847</v>
      </c>
      <c r="O695" s="26" t="s">
        <v>1226</v>
      </c>
      <c r="P695" s="26" t="s">
        <v>3487</v>
      </c>
      <c r="Q695" s="20">
        <v>15936</v>
      </c>
      <c r="R695" s="26" t="s">
        <v>36</v>
      </c>
      <c r="S695" s="31">
        <v>200</v>
      </c>
      <c r="T695" s="32">
        <v>45176</v>
      </c>
      <c r="U695" s="31">
        <f>1800+13936</f>
        <v>15736</v>
      </c>
      <c r="V695" s="16" t="s">
        <v>3647</v>
      </c>
      <c r="W695" s="33" t="s">
        <v>3648</v>
      </c>
      <c r="X695" s="26"/>
      <c r="Y695" s="22">
        <v>0</v>
      </c>
      <c r="Z695" s="26" t="s">
        <v>50</v>
      </c>
      <c r="AA695" s="19" t="s">
        <v>3454</v>
      </c>
      <c r="AB695" s="26" t="s">
        <v>104</v>
      </c>
      <c r="AC695" s="26" t="s">
        <v>53</v>
      </c>
      <c r="AD695" s="19" t="s">
        <v>138</v>
      </c>
      <c r="AE695" s="26"/>
      <c r="AF695" s="17">
        <v>45190</v>
      </c>
      <c r="AG695" s="26" t="s">
        <v>1631</v>
      </c>
      <c r="AH695" s="26" t="s">
        <v>2652</v>
      </c>
      <c r="AI695" s="40"/>
      <c r="AJ695" s="26"/>
      <c r="AK695" s="26"/>
      <c r="AL695" s="35"/>
      <c r="AM695" s="35"/>
      <c r="AN695" s="35"/>
      <c r="AO695" s="35"/>
      <c r="AP695" s="35"/>
    </row>
    <row r="696" spans="1:42" x14ac:dyDescent="0.2">
      <c r="A696" s="27">
        <v>45187.364230613428</v>
      </c>
      <c r="B696" s="28" t="s">
        <v>37</v>
      </c>
      <c r="C696" s="41" t="s">
        <v>118</v>
      </c>
      <c r="D696" s="26" t="s">
        <v>36</v>
      </c>
      <c r="E696" s="26" t="s">
        <v>139</v>
      </c>
      <c r="F696" s="26" t="s">
        <v>36</v>
      </c>
      <c r="G696" s="26" t="s">
        <v>41</v>
      </c>
      <c r="H696" s="26" t="s">
        <v>2647</v>
      </c>
      <c r="I696" s="17">
        <f ca="1">IFERROR(__xludf.DUMMYFUNCTION("""COMPUTED_VALUE"""),45191)</f>
        <v>45191</v>
      </c>
      <c r="J696" s="29" t="s">
        <v>3649</v>
      </c>
      <c r="K696" s="26" t="s">
        <v>3650</v>
      </c>
      <c r="L696" s="30">
        <v>368025125</v>
      </c>
      <c r="M696" s="26" t="s">
        <v>123</v>
      </c>
      <c r="N696" s="26" t="s">
        <v>186</v>
      </c>
      <c r="O696" s="26" t="s">
        <v>1226</v>
      </c>
      <c r="P696" s="26" t="s">
        <v>3638</v>
      </c>
      <c r="Q696" s="20">
        <v>15936</v>
      </c>
      <c r="R696" s="26" t="s">
        <v>36</v>
      </c>
      <c r="S696" s="31">
        <v>200</v>
      </c>
      <c r="T696" s="32">
        <v>45187</v>
      </c>
      <c r="U696" s="31">
        <f>4000+11736</f>
        <v>15736</v>
      </c>
      <c r="V696" s="16" t="s">
        <v>3651</v>
      </c>
      <c r="W696" s="33" t="s">
        <v>3652</v>
      </c>
      <c r="X696" s="26"/>
      <c r="Y696" s="22">
        <v>0</v>
      </c>
      <c r="Z696" s="26" t="s">
        <v>50</v>
      </c>
      <c r="AA696" s="19" t="s">
        <v>3454</v>
      </c>
      <c r="AB696" s="26" t="s">
        <v>104</v>
      </c>
      <c r="AC696" s="26" t="s">
        <v>53</v>
      </c>
      <c r="AD696" s="19" t="s">
        <v>138</v>
      </c>
      <c r="AE696" s="26"/>
      <c r="AF696" s="17">
        <v>45190</v>
      </c>
      <c r="AG696" s="26" t="s">
        <v>1631</v>
      </c>
      <c r="AH696" s="26" t="s">
        <v>2652</v>
      </c>
      <c r="AI696" s="40"/>
      <c r="AJ696" s="26"/>
      <c r="AK696" s="26"/>
      <c r="AL696" s="35"/>
      <c r="AM696" s="35"/>
      <c r="AN696" s="35"/>
      <c r="AO696" s="35"/>
      <c r="AP696" s="35"/>
    </row>
    <row r="697" spans="1:42" x14ac:dyDescent="0.2">
      <c r="A697" s="27">
        <v>45187.367730682869</v>
      </c>
      <c r="B697" s="28" t="s">
        <v>37</v>
      </c>
      <c r="C697" s="41" t="s">
        <v>118</v>
      </c>
      <c r="D697" s="26" t="s">
        <v>36</v>
      </c>
      <c r="E697" s="26" t="s">
        <v>139</v>
      </c>
      <c r="F697" s="26" t="s">
        <v>36</v>
      </c>
      <c r="G697" s="26" t="s">
        <v>41</v>
      </c>
      <c r="H697" s="26" t="s">
        <v>2647</v>
      </c>
      <c r="I697" s="17">
        <f ca="1">IFERROR(__xludf.DUMMYFUNCTION("""COMPUTED_VALUE"""),45191)</f>
        <v>45191</v>
      </c>
      <c r="J697" s="29" t="s">
        <v>3653</v>
      </c>
      <c r="K697" s="26" t="s">
        <v>3654</v>
      </c>
      <c r="L697" s="30">
        <v>857099036</v>
      </c>
      <c r="M697" s="26" t="s">
        <v>123</v>
      </c>
      <c r="N697" s="26" t="s">
        <v>2847</v>
      </c>
      <c r="O697" s="26" t="s">
        <v>2737</v>
      </c>
      <c r="P697" s="26" t="s">
        <v>3487</v>
      </c>
      <c r="Q697" s="20">
        <v>15936</v>
      </c>
      <c r="R697" s="26" t="s">
        <v>36</v>
      </c>
      <c r="S697" s="31">
        <v>100</v>
      </c>
      <c r="T697" s="32">
        <v>45179</v>
      </c>
      <c r="U697" s="31">
        <f>1900+13936</f>
        <v>15836</v>
      </c>
      <c r="V697" s="26" t="s">
        <v>3655</v>
      </c>
      <c r="W697" s="33" t="s">
        <v>3656</v>
      </c>
      <c r="X697" s="26"/>
      <c r="Y697" s="22">
        <v>0</v>
      </c>
      <c r="Z697" s="26" t="s">
        <v>50</v>
      </c>
      <c r="AA697" s="19" t="s">
        <v>3454</v>
      </c>
      <c r="AB697" s="26" t="s">
        <v>104</v>
      </c>
      <c r="AC697" s="26" t="s">
        <v>53</v>
      </c>
      <c r="AD697" s="19" t="s">
        <v>138</v>
      </c>
      <c r="AE697" s="26"/>
      <c r="AF697" s="17">
        <v>45190</v>
      </c>
      <c r="AG697" s="26" t="s">
        <v>1631</v>
      </c>
      <c r="AH697" s="26" t="s">
        <v>2652</v>
      </c>
      <c r="AI697" s="40"/>
      <c r="AJ697" s="26"/>
      <c r="AK697" s="26"/>
      <c r="AL697" s="35"/>
      <c r="AM697" s="35"/>
      <c r="AN697" s="35"/>
      <c r="AO697" s="35"/>
      <c r="AP697" s="35"/>
    </row>
    <row r="698" spans="1:42" x14ac:dyDescent="0.2">
      <c r="A698" s="27">
        <v>45187.378657719906</v>
      </c>
      <c r="B698" s="28" t="s">
        <v>37</v>
      </c>
      <c r="C698" s="41" t="s">
        <v>118</v>
      </c>
      <c r="D698" s="26" t="s">
        <v>36</v>
      </c>
      <c r="E698" s="26" t="s">
        <v>139</v>
      </c>
      <c r="F698" s="26" t="s">
        <v>91</v>
      </c>
      <c r="G698" s="26" t="s">
        <v>41</v>
      </c>
      <c r="H698" s="26" t="s">
        <v>2647</v>
      </c>
      <c r="I698" s="17">
        <f ca="1">IFERROR(__xludf.DUMMYFUNCTION("""COMPUTED_VALUE"""),45191)</f>
        <v>45191</v>
      </c>
      <c r="J698" s="29" t="s">
        <v>3657</v>
      </c>
      <c r="K698" s="26" t="s">
        <v>3658</v>
      </c>
      <c r="L698" s="30">
        <v>376549099</v>
      </c>
      <c r="M698" s="26" t="s">
        <v>123</v>
      </c>
      <c r="N698" s="26" t="s">
        <v>850</v>
      </c>
      <c r="O698" s="26" t="s">
        <v>1226</v>
      </c>
      <c r="P698" s="26" t="s">
        <v>3487</v>
      </c>
      <c r="Q698" s="20">
        <v>15936</v>
      </c>
      <c r="R698" s="26" t="s">
        <v>36</v>
      </c>
      <c r="S698" s="31">
        <v>100</v>
      </c>
      <c r="T698" s="32">
        <v>45178</v>
      </c>
      <c r="U698" s="31">
        <f>2000+13836</f>
        <v>15836</v>
      </c>
      <c r="V698" s="26" t="s">
        <v>3659</v>
      </c>
      <c r="W698" s="33" t="s">
        <v>3660</v>
      </c>
      <c r="X698" s="26"/>
      <c r="Y698" s="22">
        <v>0</v>
      </c>
      <c r="Z698" s="26" t="s">
        <v>50</v>
      </c>
      <c r="AA698" s="19" t="s">
        <v>3454</v>
      </c>
      <c r="AB698" s="26" t="s">
        <v>104</v>
      </c>
      <c r="AC698" s="26" t="s">
        <v>53</v>
      </c>
      <c r="AD698" s="19" t="s">
        <v>138</v>
      </c>
      <c r="AE698" s="26"/>
      <c r="AF698" s="17">
        <v>45190</v>
      </c>
      <c r="AG698" s="26" t="s">
        <v>1631</v>
      </c>
      <c r="AH698" s="26" t="s">
        <v>2652</v>
      </c>
      <c r="AI698" s="40"/>
      <c r="AJ698" s="26"/>
      <c r="AK698" s="26"/>
      <c r="AL698" s="35"/>
      <c r="AM698" s="35"/>
      <c r="AN698" s="35"/>
      <c r="AO698" s="35"/>
      <c r="AP698" s="35"/>
    </row>
    <row r="699" spans="1:42" x14ac:dyDescent="0.2">
      <c r="A699" s="27">
        <v>45187.636148530088</v>
      </c>
      <c r="B699" s="28" t="s">
        <v>37</v>
      </c>
      <c r="C699" s="41" t="s">
        <v>118</v>
      </c>
      <c r="D699" s="26" t="s">
        <v>36</v>
      </c>
      <c r="E699" s="26" t="s">
        <v>139</v>
      </c>
      <c r="F699" s="26" t="s">
        <v>36</v>
      </c>
      <c r="G699" s="26" t="s">
        <v>41</v>
      </c>
      <c r="H699" s="26" t="s">
        <v>2573</v>
      </c>
      <c r="I699" s="17">
        <f ca="1">IFERROR(__xludf.DUMMYFUNCTION("""COMPUTED_VALUE"""),45195)</f>
        <v>45195</v>
      </c>
      <c r="J699" s="29" t="s">
        <v>3661</v>
      </c>
      <c r="K699" s="26" t="s">
        <v>3662</v>
      </c>
      <c r="L699" s="83">
        <v>327047878</v>
      </c>
      <c r="M699" s="26" t="s">
        <v>123</v>
      </c>
      <c r="N699" s="26" t="s">
        <v>3663</v>
      </c>
      <c r="O699" s="26" t="s">
        <v>2737</v>
      </c>
      <c r="P699" s="26" t="s">
        <v>3638</v>
      </c>
      <c r="Q699" s="20">
        <v>15936</v>
      </c>
      <c r="R699" s="26" t="s">
        <v>36</v>
      </c>
      <c r="S699" s="31">
        <v>200</v>
      </c>
      <c r="T699" s="32">
        <v>45185</v>
      </c>
      <c r="U699" s="31">
        <v>15736</v>
      </c>
      <c r="V699" s="26" t="s">
        <v>3664</v>
      </c>
      <c r="W699" s="26" t="s">
        <v>3665</v>
      </c>
      <c r="X699" s="26"/>
      <c r="Y699" s="22">
        <v>0</v>
      </c>
      <c r="Z699" s="26" t="s">
        <v>50</v>
      </c>
      <c r="AA699" s="19" t="s">
        <v>3454</v>
      </c>
      <c r="AB699" s="26" t="s">
        <v>104</v>
      </c>
      <c r="AC699" s="26" t="s">
        <v>53</v>
      </c>
      <c r="AD699" s="19" t="s">
        <v>138</v>
      </c>
      <c r="AE699" s="26"/>
      <c r="AF699" s="17">
        <v>45195</v>
      </c>
      <c r="AG699" s="26" t="s">
        <v>1631</v>
      </c>
      <c r="AH699" s="26"/>
      <c r="AI699" s="40"/>
      <c r="AJ699" s="26"/>
      <c r="AK699" s="26"/>
      <c r="AL699" s="35"/>
      <c r="AM699" s="35"/>
      <c r="AN699" s="35"/>
      <c r="AO699" s="35"/>
      <c r="AP699" s="35"/>
    </row>
    <row r="700" spans="1:42" x14ac:dyDescent="0.2">
      <c r="A700" s="27">
        <v>45187.637150960647</v>
      </c>
      <c r="B700" s="28" t="s">
        <v>37</v>
      </c>
      <c r="C700" s="41" t="s">
        <v>118</v>
      </c>
      <c r="D700" s="26" t="s">
        <v>36</v>
      </c>
      <c r="E700" s="26" t="s">
        <v>139</v>
      </c>
      <c r="F700" s="26" t="s">
        <v>91</v>
      </c>
      <c r="G700" s="26" t="s">
        <v>41</v>
      </c>
      <c r="H700" s="26" t="s">
        <v>2573</v>
      </c>
      <c r="I700" s="17">
        <f ca="1">IFERROR(__xludf.DUMMYFUNCTION("""COMPUTED_VALUE"""),45195)</f>
        <v>45195</v>
      </c>
      <c r="J700" s="29" t="s">
        <v>3666</v>
      </c>
      <c r="K700" s="26" t="s">
        <v>3667</v>
      </c>
      <c r="L700" s="30">
        <v>332925273</v>
      </c>
      <c r="M700" s="26" t="s">
        <v>2755</v>
      </c>
      <c r="N700" s="26" t="s">
        <v>3668</v>
      </c>
      <c r="O700" s="26" t="s">
        <v>2144</v>
      </c>
      <c r="P700" s="26" t="s">
        <v>3669</v>
      </c>
      <c r="Q700" s="20">
        <v>15936</v>
      </c>
      <c r="R700" s="26" t="s">
        <v>36</v>
      </c>
      <c r="S700" s="31">
        <v>2000</v>
      </c>
      <c r="T700" s="32">
        <v>45187</v>
      </c>
      <c r="U700" s="58">
        <v>13936</v>
      </c>
      <c r="V700" s="59">
        <v>45205</v>
      </c>
      <c r="W700" s="33" t="s">
        <v>3670</v>
      </c>
      <c r="X700" s="26"/>
      <c r="Y700" s="22">
        <v>0</v>
      </c>
      <c r="Z700" s="26" t="s">
        <v>50</v>
      </c>
      <c r="AA700" s="19" t="s">
        <v>3454</v>
      </c>
      <c r="AB700" s="26" t="s">
        <v>104</v>
      </c>
      <c r="AC700" s="26" t="s">
        <v>53</v>
      </c>
      <c r="AD700" s="19" t="s">
        <v>138</v>
      </c>
      <c r="AE700" s="26" t="s">
        <v>3671</v>
      </c>
      <c r="AF700" s="17">
        <v>45195</v>
      </c>
      <c r="AG700" s="26" t="s">
        <v>1631</v>
      </c>
      <c r="AH700" s="26"/>
      <c r="AI700" s="40"/>
      <c r="AJ700" s="26"/>
      <c r="AK700" s="26"/>
      <c r="AL700" s="35"/>
      <c r="AM700" s="35"/>
      <c r="AN700" s="35"/>
      <c r="AO700" s="35"/>
      <c r="AP700" s="35"/>
    </row>
    <row r="701" spans="1:42" x14ac:dyDescent="0.2">
      <c r="A701" s="27">
        <v>45187.641057870365</v>
      </c>
      <c r="B701" s="28" t="s">
        <v>37</v>
      </c>
      <c r="C701" s="41" t="s">
        <v>118</v>
      </c>
      <c r="D701" s="26" t="s">
        <v>36</v>
      </c>
      <c r="E701" s="26" t="s">
        <v>77</v>
      </c>
      <c r="F701" s="26" t="s">
        <v>36</v>
      </c>
      <c r="G701" s="26" t="s">
        <v>41</v>
      </c>
      <c r="H701" s="26" t="s">
        <v>2717</v>
      </c>
      <c r="I701" s="17">
        <f ca="1">IFERROR(__xludf.DUMMYFUNCTION("""COMPUTED_VALUE"""),45196)</f>
        <v>45196</v>
      </c>
      <c r="J701" s="29" t="s">
        <v>3672</v>
      </c>
      <c r="K701" s="26" t="s">
        <v>3673</v>
      </c>
      <c r="L701" s="30">
        <v>981251836</v>
      </c>
      <c r="M701" s="26" t="s">
        <v>123</v>
      </c>
      <c r="N701" s="26" t="s">
        <v>186</v>
      </c>
      <c r="O701" s="26" t="s">
        <v>1226</v>
      </c>
      <c r="P701" s="26" t="s">
        <v>3674</v>
      </c>
      <c r="Q701" s="20">
        <v>1968</v>
      </c>
      <c r="R701" s="26" t="s">
        <v>36</v>
      </c>
      <c r="S701" s="31">
        <v>200</v>
      </c>
      <c r="T701" s="32">
        <v>45167</v>
      </c>
      <c r="U701" s="31">
        <v>1800</v>
      </c>
      <c r="V701" s="32">
        <v>45187</v>
      </c>
      <c r="W701" s="26" t="s">
        <v>3675</v>
      </c>
      <c r="X701" s="26"/>
      <c r="Y701" s="22">
        <v>-32</v>
      </c>
      <c r="Z701" s="26" t="s">
        <v>50</v>
      </c>
      <c r="AA701" s="19" t="s">
        <v>3454</v>
      </c>
      <c r="AB701" s="26" t="s">
        <v>104</v>
      </c>
      <c r="AC701" s="26" t="s">
        <v>53</v>
      </c>
      <c r="AD701" s="19" t="s">
        <v>54</v>
      </c>
      <c r="AE701" s="26"/>
      <c r="AF701" s="17">
        <v>45189</v>
      </c>
      <c r="AG701" s="26" t="s">
        <v>3676</v>
      </c>
      <c r="AH701" s="26"/>
      <c r="AI701" s="40"/>
      <c r="AJ701" s="26"/>
      <c r="AK701" s="26"/>
      <c r="AL701" s="35"/>
      <c r="AM701" s="35"/>
      <c r="AN701" s="35"/>
      <c r="AO701" s="35"/>
      <c r="AP701" s="35"/>
    </row>
    <row r="702" spans="1:42" x14ac:dyDescent="0.2">
      <c r="A702" s="27">
        <v>45187.853584826385</v>
      </c>
      <c r="B702" s="28" t="s">
        <v>37</v>
      </c>
      <c r="C702" s="41" t="s">
        <v>118</v>
      </c>
      <c r="D702" s="26" t="s">
        <v>36</v>
      </c>
      <c r="E702" s="26" t="s">
        <v>139</v>
      </c>
      <c r="F702" s="26" t="s">
        <v>36</v>
      </c>
      <c r="G702" s="26" t="s">
        <v>41</v>
      </c>
      <c r="H702" s="26" t="s">
        <v>2573</v>
      </c>
      <c r="I702" s="17">
        <f ca="1">IFERROR(__xludf.DUMMYFUNCTION("""COMPUTED_VALUE"""),45195)</f>
        <v>45195</v>
      </c>
      <c r="J702" s="29" t="s">
        <v>3677</v>
      </c>
      <c r="K702" s="26" t="s">
        <v>3678</v>
      </c>
      <c r="L702" s="30">
        <v>988341325</v>
      </c>
      <c r="M702" s="26" t="s">
        <v>80</v>
      </c>
      <c r="N702" s="26" t="s">
        <v>186</v>
      </c>
      <c r="O702" s="26" t="s">
        <v>1492</v>
      </c>
      <c r="P702" s="26" t="s">
        <v>3679</v>
      </c>
      <c r="Q702" s="20">
        <v>15936</v>
      </c>
      <c r="R702" s="26" t="s">
        <v>36</v>
      </c>
      <c r="S702" s="31">
        <v>2000</v>
      </c>
      <c r="T702" s="32">
        <v>45187</v>
      </c>
      <c r="U702" s="31">
        <v>13968</v>
      </c>
      <c r="V702" s="32">
        <v>45212</v>
      </c>
      <c r="W702" s="33" t="s">
        <v>3680</v>
      </c>
      <c r="X702" s="26"/>
      <c r="Y702" s="22">
        <v>-32</v>
      </c>
      <c r="Z702" s="26" t="s">
        <v>50</v>
      </c>
      <c r="AA702" s="19" t="s">
        <v>3454</v>
      </c>
      <c r="AB702" s="26" t="s">
        <v>104</v>
      </c>
      <c r="AC702" s="26" t="s">
        <v>53</v>
      </c>
      <c r="AD702" s="19" t="s">
        <v>138</v>
      </c>
      <c r="AE702" s="26">
        <v>0</v>
      </c>
      <c r="AF702" s="17">
        <v>45195</v>
      </c>
      <c r="AG702" s="26" t="s">
        <v>1631</v>
      </c>
      <c r="AH702" s="26"/>
      <c r="AI702" s="40"/>
      <c r="AJ702" s="26"/>
      <c r="AK702" s="26"/>
      <c r="AL702" s="35"/>
      <c r="AM702" s="35"/>
      <c r="AN702" s="35"/>
      <c r="AO702" s="35"/>
      <c r="AP702" s="35"/>
    </row>
    <row r="703" spans="1:42" x14ac:dyDescent="0.2">
      <c r="A703" s="27">
        <v>45187.858368321758</v>
      </c>
      <c r="B703" s="28" t="s">
        <v>37</v>
      </c>
      <c r="C703" s="41" t="s">
        <v>118</v>
      </c>
      <c r="D703" s="26" t="s">
        <v>36</v>
      </c>
      <c r="E703" s="26" t="s">
        <v>139</v>
      </c>
      <c r="F703" s="26" t="s">
        <v>36</v>
      </c>
      <c r="G703" s="26" t="s">
        <v>41</v>
      </c>
      <c r="H703" s="26" t="s">
        <v>2573</v>
      </c>
      <c r="I703" s="17">
        <f ca="1">IFERROR(__xludf.DUMMYFUNCTION("""COMPUTED_VALUE"""),45195)</f>
        <v>45195</v>
      </c>
      <c r="J703" s="29" t="s">
        <v>3681</v>
      </c>
      <c r="K703" s="26" t="s">
        <v>3682</v>
      </c>
      <c r="L703" s="30">
        <v>369747482</v>
      </c>
      <c r="M703" s="26" t="s">
        <v>80</v>
      </c>
      <c r="N703" s="26" t="s">
        <v>299</v>
      </c>
      <c r="O703" s="26" t="s">
        <v>3683</v>
      </c>
      <c r="P703" s="26" t="s">
        <v>3684</v>
      </c>
      <c r="Q703" s="20">
        <v>15936</v>
      </c>
      <c r="R703" s="26" t="s">
        <v>36</v>
      </c>
      <c r="S703" s="31">
        <v>2000</v>
      </c>
      <c r="T703" s="32">
        <v>45187</v>
      </c>
      <c r="U703" s="31">
        <v>13936</v>
      </c>
      <c r="V703" s="32">
        <v>45211</v>
      </c>
      <c r="W703" s="33" t="s">
        <v>3685</v>
      </c>
      <c r="X703" s="26"/>
      <c r="Y703" s="22">
        <v>0</v>
      </c>
      <c r="Z703" s="26" t="s">
        <v>50</v>
      </c>
      <c r="AA703" s="19" t="s">
        <v>3454</v>
      </c>
      <c r="AB703" s="26" t="s">
        <v>104</v>
      </c>
      <c r="AC703" s="26" t="s">
        <v>53</v>
      </c>
      <c r="AD703" s="19" t="s">
        <v>138</v>
      </c>
      <c r="AE703" s="26">
        <v>0</v>
      </c>
      <c r="AF703" s="17">
        <v>45195</v>
      </c>
      <c r="AG703" s="26" t="s">
        <v>1631</v>
      </c>
      <c r="AH703" s="26"/>
      <c r="AI703" s="40"/>
      <c r="AJ703" s="26"/>
      <c r="AK703" s="26"/>
      <c r="AL703" s="35"/>
      <c r="AM703" s="35"/>
      <c r="AN703" s="35"/>
      <c r="AO703" s="35"/>
      <c r="AP703" s="35"/>
    </row>
    <row r="704" spans="1:42" x14ac:dyDescent="0.2">
      <c r="A704" s="27">
        <v>45187.955366377311</v>
      </c>
      <c r="B704" s="28" t="s">
        <v>37</v>
      </c>
      <c r="C704" s="41" t="s">
        <v>118</v>
      </c>
      <c r="D704" s="26" t="s">
        <v>36</v>
      </c>
      <c r="E704" s="26" t="s">
        <v>56</v>
      </c>
      <c r="F704" s="26" t="s">
        <v>91</v>
      </c>
      <c r="G704" s="26" t="s">
        <v>41</v>
      </c>
      <c r="H704" s="26" t="s">
        <v>2717</v>
      </c>
      <c r="I704" s="17">
        <f ca="1">IFERROR(__xludf.DUMMYFUNCTION("""COMPUTED_VALUE"""),45196)</f>
        <v>45196</v>
      </c>
      <c r="J704" s="29" t="s">
        <v>3686</v>
      </c>
      <c r="K704" s="26" t="s">
        <v>3687</v>
      </c>
      <c r="L704" s="30">
        <v>963055426</v>
      </c>
      <c r="M704" s="26" t="s">
        <v>910</v>
      </c>
      <c r="N704" s="26" t="s">
        <v>3525</v>
      </c>
      <c r="O704" s="26" t="s">
        <v>3688</v>
      </c>
      <c r="P704" s="26" t="s">
        <v>3689</v>
      </c>
      <c r="Q704" s="20">
        <v>9317</v>
      </c>
      <c r="R704" s="26" t="s">
        <v>70</v>
      </c>
      <c r="S704" s="31">
        <v>2000</v>
      </c>
      <c r="T704" s="32">
        <v>45187</v>
      </c>
      <c r="U704" s="31">
        <v>7217</v>
      </c>
      <c r="V704" s="32">
        <v>45214</v>
      </c>
      <c r="W704" s="33" t="s">
        <v>3690</v>
      </c>
      <c r="X704" s="26"/>
      <c r="Y704" s="22">
        <v>100</v>
      </c>
      <c r="Z704" s="26" t="s">
        <v>50</v>
      </c>
      <c r="AA704" s="19" t="s">
        <v>3454</v>
      </c>
      <c r="AB704" s="26" t="s">
        <v>104</v>
      </c>
      <c r="AC704" s="26" t="s">
        <v>53</v>
      </c>
      <c r="AD704" s="19" t="s">
        <v>54</v>
      </c>
      <c r="AE704" s="26"/>
      <c r="AF704" s="17">
        <v>45189</v>
      </c>
      <c r="AG704" s="26"/>
      <c r="AH704" s="26"/>
      <c r="AI704" s="40"/>
      <c r="AJ704" s="26"/>
      <c r="AK704" s="26"/>
      <c r="AL704" s="35"/>
      <c r="AM704" s="35"/>
      <c r="AN704" s="35"/>
      <c r="AO704" s="35"/>
      <c r="AP704" s="35"/>
    </row>
    <row r="705" spans="1:42" x14ac:dyDescent="0.2">
      <c r="A705" s="27">
        <v>45187.990730787038</v>
      </c>
      <c r="B705" s="28" t="s">
        <v>37</v>
      </c>
      <c r="C705" s="41" t="s">
        <v>118</v>
      </c>
      <c r="D705" s="26" t="s">
        <v>36</v>
      </c>
      <c r="E705" s="26" t="s">
        <v>119</v>
      </c>
      <c r="F705" s="26" t="s">
        <v>36</v>
      </c>
      <c r="G705" s="26" t="s">
        <v>108</v>
      </c>
      <c r="H705" s="26" t="s">
        <v>2595</v>
      </c>
      <c r="I705" s="17">
        <f ca="1">IFERROR(__xludf.DUMMYFUNCTION("""COMPUTED_VALUE"""),45191)</f>
        <v>45191</v>
      </c>
      <c r="J705" s="29" t="s">
        <v>3691</v>
      </c>
      <c r="K705" s="26" t="s">
        <v>3692</v>
      </c>
      <c r="L705" s="30">
        <v>363987945</v>
      </c>
      <c r="M705" s="26" t="s">
        <v>80</v>
      </c>
      <c r="N705" s="26" t="s">
        <v>81</v>
      </c>
      <c r="O705" s="26" t="s">
        <v>3693</v>
      </c>
      <c r="P705" s="26" t="s">
        <v>3694</v>
      </c>
      <c r="Q705" s="20">
        <v>13968</v>
      </c>
      <c r="R705" s="26" t="s">
        <v>1106</v>
      </c>
      <c r="S705" s="31">
        <v>4000</v>
      </c>
      <c r="T705" s="32">
        <v>45187</v>
      </c>
      <c r="U705" s="31">
        <v>9818</v>
      </c>
      <c r="V705" s="32">
        <v>45209</v>
      </c>
      <c r="W705" s="33" t="s">
        <v>3695</v>
      </c>
      <c r="X705" s="26"/>
      <c r="Y705" s="22">
        <v>150</v>
      </c>
      <c r="Z705" s="26" t="s">
        <v>50</v>
      </c>
      <c r="AA705" s="19" t="s">
        <v>3454</v>
      </c>
      <c r="AB705" s="26" t="s">
        <v>128</v>
      </c>
      <c r="AC705" s="26" t="s">
        <v>53</v>
      </c>
      <c r="AD705" s="19" t="s">
        <v>138</v>
      </c>
      <c r="AE705" s="26" t="s">
        <v>2705</v>
      </c>
      <c r="AF705" s="17">
        <v>45191</v>
      </c>
      <c r="AG705" s="26" t="s">
        <v>1631</v>
      </c>
      <c r="AH705" s="26"/>
      <c r="AI705" s="40"/>
      <c r="AJ705" s="26"/>
      <c r="AK705" s="26"/>
      <c r="AL705" s="35"/>
      <c r="AM705" s="35"/>
      <c r="AN705" s="35"/>
      <c r="AO705" s="35"/>
      <c r="AP705" s="35"/>
    </row>
    <row r="706" spans="1:42" x14ac:dyDescent="0.2">
      <c r="A706" s="27">
        <v>45187.99197239583</v>
      </c>
      <c r="B706" s="28" t="s">
        <v>37</v>
      </c>
      <c r="C706" s="41" t="s">
        <v>118</v>
      </c>
      <c r="D706" s="26" t="s">
        <v>36</v>
      </c>
      <c r="E706" s="26" t="s">
        <v>119</v>
      </c>
      <c r="F706" s="26" t="s">
        <v>36</v>
      </c>
      <c r="G706" s="26" t="s">
        <v>108</v>
      </c>
      <c r="H706" s="26" t="s">
        <v>2595</v>
      </c>
      <c r="I706" s="17">
        <f ca="1">IFERROR(__xludf.DUMMYFUNCTION("""COMPUTED_VALUE"""),45191)</f>
        <v>45191</v>
      </c>
      <c r="J706" s="29" t="s">
        <v>3696</v>
      </c>
      <c r="K706" s="26" t="s">
        <v>3697</v>
      </c>
      <c r="L706" s="30">
        <v>394717626</v>
      </c>
      <c r="M706" s="26" t="s">
        <v>80</v>
      </c>
      <c r="N706" s="26" t="s">
        <v>81</v>
      </c>
      <c r="O706" s="26" t="s">
        <v>3698</v>
      </c>
      <c r="P706" s="26" t="s">
        <v>2641</v>
      </c>
      <c r="Q706" s="20">
        <v>13968</v>
      </c>
      <c r="R706" s="26" t="s">
        <v>1106</v>
      </c>
      <c r="S706" s="31">
        <v>4000</v>
      </c>
      <c r="T706" s="32">
        <v>45187</v>
      </c>
      <c r="U706" s="31">
        <v>9968</v>
      </c>
      <c r="V706" s="32">
        <v>45209</v>
      </c>
      <c r="W706" s="33" t="s">
        <v>3699</v>
      </c>
      <c r="X706" s="26"/>
      <c r="Y706" s="22">
        <v>0</v>
      </c>
      <c r="Z706" s="26" t="s">
        <v>50</v>
      </c>
      <c r="AA706" s="19" t="s">
        <v>3454</v>
      </c>
      <c r="AB706" s="26" t="s">
        <v>128</v>
      </c>
      <c r="AC706" s="26" t="s">
        <v>53</v>
      </c>
      <c r="AD706" s="19" t="s">
        <v>138</v>
      </c>
      <c r="AE706" s="26" t="s">
        <v>2705</v>
      </c>
      <c r="AF706" s="17">
        <v>45191</v>
      </c>
      <c r="AG706" s="26" t="s">
        <v>1631</v>
      </c>
      <c r="AH706" s="26"/>
      <c r="AI706" s="40"/>
      <c r="AJ706" s="26"/>
      <c r="AK706" s="26"/>
      <c r="AL706" s="35"/>
      <c r="AM706" s="35"/>
      <c r="AN706" s="35"/>
      <c r="AO706" s="35"/>
      <c r="AP706" s="35"/>
    </row>
    <row r="707" spans="1:42" x14ac:dyDescent="0.2">
      <c r="A707" s="27">
        <v>45187.993394548612</v>
      </c>
      <c r="B707" s="28" t="s">
        <v>37</v>
      </c>
      <c r="C707" s="41" t="s">
        <v>118</v>
      </c>
      <c r="D707" s="26" t="s">
        <v>36</v>
      </c>
      <c r="E707" s="26" t="s">
        <v>119</v>
      </c>
      <c r="F707" s="26" t="s">
        <v>36</v>
      </c>
      <c r="G707" s="26" t="s">
        <v>108</v>
      </c>
      <c r="H707" s="26" t="s">
        <v>2595</v>
      </c>
      <c r="I707" s="17">
        <f ca="1">IFERROR(__xludf.DUMMYFUNCTION("""COMPUTED_VALUE"""),45191)</f>
        <v>45191</v>
      </c>
      <c r="J707" s="44" t="s">
        <v>3700</v>
      </c>
      <c r="K707" s="26" t="s">
        <v>660</v>
      </c>
      <c r="L707" s="30">
        <v>842459558</v>
      </c>
      <c r="M707" s="26" t="s">
        <v>80</v>
      </c>
      <c r="N707" s="26" t="s">
        <v>81</v>
      </c>
      <c r="O707" s="26" t="s">
        <v>3701</v>
      </c>
      <c r="P707" s="26" t="s">
        <v>2641</v>
      </c>
      <c r="Q707" s="20">
        <v>13968</v>
      </c>
      <c r="R707" s="26" t="s">
        <v>1106</v>
      </c>
      <c r="S707" s="31">
        <v>4000</v>
      </c>
      <c r="T707" s="32">
        <v>45187</v>
      </c>
      <c r="U707" s="31">
        <v>9818</v>
      </c>
      <c r="V707" s="32">
        <v>45210</v>
      </c>
      <c r="W707" s="33" t="s">
        <v>3702</v>
      </c>
      <c r="X707" s="26"/>
      <c r="Y707" s="22">
        <v>150</v>
      </c>
      <c r="Z707" s="26" t="s">
        <v>50</v>
      </c>
      <c r="AA707" s="19" t="s">
        <v>3454</v>
      </c>
      <c r="AB707" s="26" t="s">
        <v>154</v>
      </c>
      <c r="AC707" s="26" t="s">
        <v>53</v>
      </c>
      <c r="AD707" s="19" t="s">
        <v>138</v>
      </c>
      <c r="AE707" s="26" t="s">
        <v>2705</v>
      </c>
      <c r="AF707" s="17">
        <v>45191</v>
      </c>
      <c r="AG707" s="26" t="s">
        <v>1631</v>
      </c>
      <c r="AH707" s="26"/>
      <c r="AI707" s="40"/>
      <c r="AJ707" s="26"/>
      <c r="AK707" s="26"/>
      <c r="AL707" s="35"/>
      <c r="AM707" s="35"/>
      <c r="AN707" s="35"/>
      <c r="AO707" s="35"/>
      <c r="AP707" s="35"/>
    </row>
    <row r="708" spans="1:42" x14ac:dyDescent="0.2">
      <c r="A708" s="27">
        <v>45188.430235347223</v>
      </c>
      <c r="B708" s="28" t="s">
        <v>37</v>
      </c>
      <c r="C708" s="41" t="s">
        <v>118</v>
      </c>
      <c r="D708" s="26" t="s">
        <v>36</v>
      </c>
      <c r="E708" s="26" t="s">
        <v>148</v>
      </c>
      <c r="F708" s="26" t="s">
        <v>36</v>
      </c>
      <c r="G708" s="26" t="s">
        <v>108</v>
      </c>
      <c r="H708" s="26" t="s">
        <v>3013</v>
      </c>
      <c r="I708" s="17">
        <f ca="1">IFERROR(__xludf.DUMMYFUNCTION("""COMPUTED_VALUE"""),45207)</f>
        <v>45207</v>
      </c>
      <c r="J708" s="29" t="s">
        <v>3703</v>
      </c>
      <c r="K708" s="26" t="s">
        <v>3704</v>
      </c>
      <c r="L708" s="30">
        <v>355403410</v>
      </c>
      <c r="M708" s="26" t="s">
        <v>80</v>
      </c>
      <c r="N708" s="26" t="s">
        <v>299</v>
      </c>
      <c r="O708" s="26" t="s">
        <v>3705</v>
      </c>
      <c r="P708" s="26" t="s">
        <v>3178</v>
      </c>
      <c r="Q708" s="20">
        <v>7349</v>
      </c>
      <c r="R708" s="26" t="s">
        <v>36</v>
      </c>
      <c r="S708" s="31">
        <v>200</v>
      </c>
      <c r="T708" s="32">
        <v>45188</v>
      </c>
      <c r="U708" s="31">
        <f>3800+3317</f>
        <v>7117</v>
      </c>
      <c r="V708" s="26" t="s">
        <v>3706</v>
      </c>
      <c r="W708" s="33" t="s">
        <v>3707</v>
      </c>
      <c r="X708" s="26"/>
      <c r="Y708" s="22">
        <v>32</v>
      </c>
      <c r="Z708" s="26" t="s">
        <v>50</v>
      </c>
      <c r="AA708" s="19" t="s">
        <v>3454</v>
      </c>
      <c r="AB708" s="26" t="s">
        <v>104</v>
      </c>
      <c r="AC708" s="26" t="s">
        <v>53</v>
      </c>
      <c r="AD708" s="19" t="s">
        <v>138</v>
      </c>
      <c r="AE708" s="26">
        <v>700</v>
      </c>
      <c r="AF708" s="17">
        <v>45191</v>
      </c>
      <c r="AG708" s="26" t="s">
        <v>3708</v>
      </c>
      <c r="AH708" s="26"/>
      <c r="AI708" s="40"/>
      <c r="AJ708" s="26"/>
      <c r="AK708" s="26"/>
      <c r="AL708" s="35"/>
      <c r="AM708" s="35"/>
      <c r="AN708" s="35"/>
      <c r="AO708" s="35"/>
      <c r="AP708" s="35"/>
    </row>
    <row r="709" spans="1:42" x14ac:dyDescent="0.2">
      <c r="A709" s="27">
        <v>45188.460004074077</v>
      </c>
      <c r="B709" s="28" t="s">
        <v>37</v>
      </c>
      <c r="C709" s="41" t="s">
        <v>118</v>
      </c>
      <c r="D709" s="26" t="s">
        <v>36</v>
      </c>
      <c r="E709" s="26" t="s">
        <v>139</v>
      </c>
      <c r="F709" s="26" t="s">
        <v>36</v>
      </c>
      <c r="G709" s="26" t="s">
        <v>41</v>
      </c>
      <c r="H709" s="26" t="s">
        <v>2760</v>
      </c>
      <c r="I709" s="17">
        <f ca="1">IFERROR(__xludf.DUMMYFUNCTION("""COMPUTED_VALUE"""),45202)</f>
        <v>45202</v>
      </c>
      <c r="J709" s="55" t="s">
        <v>3709</v>
      </c>
      <c r="K709" s="26" t="s">
        <v>3710</v>
      </c>
      <c r="L709" s="30">
        <v>971434958</v>
      </c>
      <c r="M709" s="26" t="s">
        <v>910</v>
      </c>
      <c r="N709" s="26" t="s">
        <v>1472</v>
      </c>
      <c r="O709" s="26" t="s">
        <v>3711</v>
      </c>
      <c r="P709" s="26" t="s">
        <v>3712</v>
      </c>
      <c r="Q709" s="20">
        <v>15936</v>
      </c>
      <c r="R709" s="26" t="s">
        <v>36</v>
      </c>
      <c r="S709" s="31">
        <v>2000</v>
      </c>
      <c r="T709" s="32">
        <v>45188</v>
      </c>
      <c r="U709" s="31">
        <v>13968</v>
      </c>
      <c r="V709" s="32">
        <v>45216</v>
      </c>
      <c r="W709" s="33" t="s">
        <v>3713</v>
      </c>
      <c r="X709" s="26"/>
      <c r="Y709" s="22">
        <v>-32</v>
      </c>
      <c r="Z709" s="26" t="s">
        <v>50</v>
      </c>
      <c r="AA709" s="19" t="s">
        <v>3454</v>
      </c>
      <c r="AB709" s="26" t="s">
        <v>104</v>
      </c>
      <c r="AC709" s="26" t="s">
        <v>53</v>
      </c>
      <c r="AD709" s="19" t="s">
        <v>54</v>
      </c>
      <c r="AE709" s="26"/>
      <c r="AF709" s="17">
        <v>45189</v>
      </c>
      <c r="AG709" s="26" t="s">
        <v>3714</v>
      </c>
      <c r="AH709" s="29" t="s">
        <v>3715</v>
      </c>
      <c r="AI709" s="40" t="s">
        <v>3716</v>
      </c>
      <c r="AJ709" s="26"/>
      <c r="AK709" s="26"/>
      <c r="AL709" s="35"/>
      <c r="AM709" s="35"/>
      <c r="AN709" s="35"/>
      <c r="AO709" s="35"/>
      <c r="AP709" s="35"/>
    </row>
    <row r="710" spans="1:42" x14ac:dyDescent="0.2">
      <c r="A710" s="27">
        <v>45188.472563530093</v>
      </c>
      <c r="B710" s="28" t="s">
        <v>37</v>
      </c>
      <c r="C710" s="41" t="s">
        <v>118</v>
      </c>
      <c r="D710" s="26" t="s">
        <v>36</v>
      </c>
      <c r="E710" s="26" t="s">
        <v>139</v>
      </c>
      <c r="F710" s="26" t="s">
        <v>36</v>
      </c>
      <c r="G710" s="26" t="s">
        <v>41</v>
      </c>
      <c r="H710" s="26" t="s">
        <v>2647</v>
      </c>
      <c r="I710" s="17">
        <f ca="1">IFERROR(__xludf.DUMMYFUNCTION("""COMPUTED_VALUE"""),45191)</f>
        <v>45191</v>
      </c>
      <c r="J710" s="29" t="s">
        <v>3717</v>
      </c>
      <c r="K710" s="26" t="s">
        <v>3718</v>
      </c>
      <c r="L710" s="30">
        <v>334077376</v>
      </c>
      <c r="M710" s="26" t="s">
        <v>123</v>
      </c>
      <c r="N710" s="26" t="s">
        <v>327</v>
      </c>
      <c r="O710" s="26" t="s">
        <v>1226</v>
      </c>
      <c r="P710" s="26" t="s">
        <v>3153</v>
      </c>
      <c r="Q710" s="20">
        <v>15936</v>
      </c>
      <c r="R710" s="26" t="s">
        <v>36</v>
      </c>
      <c r="S710" s="31">
        <v>200</v>
      </c>
      <c r="T710" s="32">
        <v>45188</v>
      </c>
      <c r="U710" s="31">
        <f>1768+13968</f>
        <v>15736</v>
      </c>
      <c r="V710" s="16" t="s">
        <v>3719</v>
      </c>
      <c r="W710" s="33" t="s">
        <v>3720</v>
      </c>
      <c r="X710" s="26"/>
      <c r="Y710" s="22">
        <v>0</v>
      </c>
      <c r="Z710" s="26" t="s">
        <v>50</v>
      </c>
      <c r="AA710" s="19" t="s">
        <v>3454</v>
      </c>
      <c r="AB710" s="26" t="s">
        <v>104</v>
      </c>
      <c r="AC710" s="26" t="s">
        <v>53</v>
      </c>
      <c r="AD710" s="19" t="s">
        <v>138</v>
      </c>
      <c r="AE710" s="26"/>
      <c r="AF710" s="17">
        <v>45190</v>
      </c>
      <c r="AG710" s="26" t="s">
        <v>1631</v>
      </c>
      <c r="AH710" s="26" t="s">
        <v>2652</v>
      </c>
      <c r="AI710" s="40"/>
      <c r="AJ710" s="26"/>
      <c r="AK710" s="26"/>
      <c r="AL710" s="35"/>
      <c r="AM710" s="35"/>
      <c r="AN710" s="35"/>
      <c r="AO710" s="35"/>
      <c r="AP710" s="35"/>
    </row>
    <row r="711" spans="1:42" x14ac:dyDescent="0.2">
      <c r="A711" s="27">
        <v>45188.73570016204</v>
      </c>
      <c r="B711" s="28" t="s">
        <v>37</v>
      </c>
      <c r="C711" s="41" t="s">
        <v>118</v>
      </c>
      <c r="D711" s="26" t="s">
        <v>36</v>
      </c>
      <c r="E711" s="26" t="s">
        <v>139</v>
      </c>
      <c r="F711" s="26" t="s">
        <v>36</v>
      </c>
      <c r="G711" s="26" t="s">
        <v>41</v>
      </c>
      <c r="H711" s="26" t="s">
        <v>2889</v>
      </c>
      <c r="I711" s="17">
        <f ca="1">IFERROR(__xludf.DUMMYFUNCTION("""COMPUTED_VALUE"""),45200)</f>
        <v>45200</v>
      </c>
      <c r="J711" s="29" t="s">
        <v>3721</v>
      </c>
      <c r="K711" s="26" t="s">
        <v>3722</v>
      </c>
      <c r="L711" s="30">
        <v>336358727</v>
      </c>
      <c r="M711" s="26" t="s">
        <v>80</v>
      </c>
      <c r="N711" s="26" t="s">
        <v>81</v>
      </c>
      <c r="O711" s="26" t="s">
        <v>3723</v>
      </c>
      <c r="P711" s="26" t="s">
        <v>3724</v>
      </c>
      <c r="Q711" s="20">
        <v>15936</v>
      </c>
      <c r="R711" s="26" t="s">
        <v>36</v>
      </c>
      <c r="S711" s="31">
        <v>2000</v>
      </c>
      <c r="T711" s="32">
        <v>45188</v>
      </c>
      <c r="U711" s="31">
        <v>13936</v>
      </c>
      <c r="V711" s="32">
        <v>45214</v>
      </c>
      <c r="W711" s="33" t="s">
        <v>3725</v>
      </c>
      <c r="X711" s="26"/>
      <c r="Y711" s="22">
        <v>0</v>
      </c>
      <c r="Z711" s="26" t="s">
        <v>50</v>
      </c>
      <c r="AA711" s="19" t="s">
        <v>3454</v>
      </c>
      <c r="AB711" s="26" t="s">
        <v>104</v>
      </c>
      <c r="AC711" s="26" t="s">
        <v>53</v>
      </c>
      <c r="AD711" s="19" t="s">
        <v>138</v>
      </c>
      <c r="AE711" s="26">
        <v>0</v>
      </c>
      <c r="AF711" s="17">
        <v>45200</v>
      </c>
      <c r="AG711" s="26" t="s">
        <v>1631</v>
      </c>
      <c r="AH711" s="26"/>
      <c r="AI711" s="40"/>
      <c r="AJ711" s="26"/>
      <c r="AK711" s="26"/>
      <c r="AL711" s="35"/>
      <c r="AM711" s="35"/>
      <c r="AN711" s="35"/>
      <c r="AO711" s="35"/>
      <c r="AP711" s="35"/>
    </row>
    <row r="712" spans="1:42" x14ac:dyDescent="0.2">
      <c r="A712" s="27">
        <v>45188.73718358796</v>
      </c>
      <c r="B712" s="28" t="s">
        <v>37</v>
      </c>
      <c r="C712" s="41" t="s">
        <v>118</v>
      </c>
      <c r="D712" s="26" t="s">
        <v>36</v>
      </c>
      <c r="E712" s="26" t="s">
        <v>139</v>
      </c>
      <c r="F712" s="26" t="s">
        <v>36</v>
      </c>
      <c r="G712" s="26" t="s">
        <v>41</v>
      </c>
      <c r="H712" s="26" t="s">
        <v>2889</v>
      </c>
      <c r="I712" s="17">
        <f ca="1">IFERROR(__xludf.DUMMYFUNCTION("""COMPUTED_VALUE"""),45200)</f>
        <v>45200</v>
      </c>
      <c r="J712" s="29" t="s">
        <v>3726</v>
      </c>
      <c r="K712" s="26" t="s">
        <v>3727</v>
      </c>
      <c r="L712" s="30">
        <v>984104416</v>
      </c>
      <c r="M712" s="26" t="s">
        <v>3728</v>
      </c>
      <c r="N712" s="26" t="s">
        <v>299</v>
      </c>
      <c r="O712" s="26" t="s">
        <v>3729</v>
      </c>
      <c r="P712" s="26" t="s">
        <v>3730</v>
      </c>
      <c r="Q712" s="20">
        <v>15936</v>
      </c>
      <c r="R712" s="26" t="s">
        <v>36</v>
      </c>
      <c r="S712" s="31">
        <v>2000</v>
      </c>
      <c r="T712" s="32">
        <v>45188</v>
      </c>
      <c r="U712" s="31">
        <v>13936</v>
      </c>
      <c r="V712" s="32">
        <v>45218</v>
      </c>
      <c r="W712" s="33" t="s">
        <v>3731</v>
      </c>
      <c r="X712" s="26"/>
      <c r="Y712" s="22">
        <v>0</v>
      </c>
      <c r="Z712" s="26" t="s">
        <v>50</v>
      </c>
      <c r="AA712" s="19" t="s">
        <v>3454</v>
      </c>
      <c r="AB712" s="26" t="s">
        <v>104</v>
      </c>
      <c r="AC712" s="26" t="s">
        <v>53</v>
      </c>
      <c r="AD712" s="19" t="s">
        <v>138</v>
      </c>
      <c r="AE712" s="26">
        <v>0</v>
      </c>
      <c r="AF712" s="17">
        <v>45200</v>
      </c>
      <c r="AG712" s="26" t="s">
        <v>1631</v>
      </c>
      <c r="AH712" s="26"/>
      <c r="AI712" s="40"/>
      <c r="AJ712" s="26"/>
      <c r="AK712" s="26"/>
      <c r="AL712" s="35"/>
      <c r="AM712" s="35"/>
      <c r="AN712" s="35"/>
      <c r="AO712" s="35"/>
      <c r="AP712" s="35"/>
    </row>
    <row r="713" spans="1:42" x14ac:dyDescent="0.2">
      <c r="A713" s="27">
        <v>45188.739348958334</v>
      </c>
      <c r="B713" s="28" t="s">
        <v>37</v>
      </c>
      <c r="C713" s="41" t="s">
        <v>118</v>
      </c>
      <c r="D713" s="26" t="s">
        <v>36</v>
      </c>
      <c r="E713" s="26" t="s">
        <v>139</v>
      </c>
      <c r="F713" s="26" t="s">
        <v>36</v>
      </c>
      <c r="G713" s="26" t="s">
        <v>41</v>
      </c>
      <c r="H713" s="26" t="s">
        <v>2889</v>
      </c>
      <c r="I713" s="17">
        <f ca="1">IFERROR(__xludf.DUMMYFUNCTION("""COMPUTED_VALUE"""),45200)</f>
        <v>45200</v>
      </c>
      <c r="J713" s="29" t="s">
        <v>3732</v>
      </c>
      <c r="K713" s="26" t="s">
        <v>3733</v>
      </c>
      <c r="L713" s="30">
        <v>385729320</v>
      </c>
      <c r="M713" s="26" t="s">
        <v>80</v>
      </c>
      <c r="N713" s="26" t="s">
        <v>299</v>
      </c>
      <c r="O713" s="26" t="s">
        <v>3734</v>
      </c>
      <c r="P713" s="26" t="s">
        <v>3735</v>
      </c>
      <c r="Q713" s="20">
        <v>15936</v>
      </c>
      <c r="R713" s="26" t="s">
        <v>36</v>
      </c>
      <c r="S713" s="31">
        <v>2000</v>
      </c>
      <c r="T713" s="32">
        <v>45188</v>
      </c>
      <c r="U713" s="31">
        <v>13936</v>
      </c>
      <c r="V713" s="32">
        <v>45221</v>
      </c>
      <c r="W713" s="33" t="s">
        <v>3736</v>
      </c>
      <c r="X713" s="26"/>
      <c r="Y713" s="22">
        <v>0</v>
      </c>
      <c r="Z713" s="26" t="s">
        <v>50</v>
      </c>
      <c r="AA713" s="19" t="s">
        <v>3454</v>
      </c>
      <c r="AB713" s="26" t="s">
        <v>104</v>
      </c>
      <c r="AC713" s="26" t="s">
        <v>53</v>
      </c>
      <c r="AD713" s="19" t="s">
        <v>138</v>
      </c>
      <c r="AE713" s="26">
        <v>0</v>
      </c>
      <c r="AF713" s="17">
        <v>45200</v>
      </c>
      <c r="AG713" s="26" t="s">
        <v>1631</v>
      </c>
      <c r="AH713" s="26"/>
      <c r="AI713" s="40"/>
      <c r="AJ713" s="26"/>
      <c r="AK713" s="26"/>
      <c r="AL713" s="35"/>
      <c r="AM713" s="35"/>
      <c r="AN713" s="35"/>
      <c r="AO713" s="35"/>
      <c r="AP713" s="35"/>
    </row>
    <row r="714" spans="1:42" x14ac:dyDescent="0.2">
      <c r="A714" s="27">
        <v>45188.922367476851</v>
      </c>
      <c r="B714" s="28" t="s">
        <v>37</v>
      </c>
      <c r="C714" s="41" t="s">
        <v>118</v>
      </c>
      <c r="D714" s="26" t="s">
        <v>36</v>
      </c>
      <c r="E714" s="26" t="s">
        <v>139</v>
      </c>
      <c r="F714" s="26" t="s">
        <v>36</v>
      </c>
      <c r="G714" s="26" t="s">
        <v>41</v>
      </c>
      <c r="H714" s="26" t="s">
        <v>2647</v>
      </c>
      <c r="I714" s="17">
        <f ca="1">IFERROR(__xludf.DUMMYFUNCTION("""COMPUTED_VALUE"""),45191)</f>
        <v>45191</v>
      </c>
      <c r="J714" s="29" t="s">
        <v>3737</v>
      </c>
      <c r="K714" s="26" t="s">
        <v>3738</v>
      </c>
      <c r="L714" s="30">
        <v>823523934</v>
      </c>
      <c r="M714" s="26" t="s">
        <v>123</v>
      </c>
      <c r="N714" s="26" t="s">
        <v>850</v>
      </c>
      <c r="O714" s="26" t="s">
        <v>2737</v>
      </c>
      <c r="P714" s="26" t="s">
        <v>3056</v>
      </c>
      <c r="Q714" s="20">
        <v>15936</v>
      </c>
      <c r="R714" s="26" t="s">
        <v>36</v>
      </c>
      <c r="S714" s="31">
        <v>2000</v>
      </c>
      <c r="T714" s="32">
        <v>45188</v>
      </c>
      <c r="U714" s="31">
        <v>13968</v>
      </c>
      <c r="V714" s="32">
        <v>45207</v>
      </c>
      <c r="W714" s="26" t="s">
        <v>3739</v>
      </c>
      <c r="X714" s="26"/>
      <c r="Y714" s="22">
        <v>-32</v>
      </c>
      <c r="Z714" s="26" t="s">
        <v>50</v>
      </c>
      <c r="AA714" s="19" t="s">
        <v>3454</v>
      </c>
      <c r="AB714" s="26" t="s">
        <v>104</v>
      </c>
      <c r="AC714" s="26" t="s">
        <v>53</v>
      </c>
      <c r="AD714" s="19" t="s">
        <v>138</v>
      </c>
      <c r="AE714" s="26"/>
      <c r="AF714" s="17">
        <v>45190</v>
      </c>
      <c r="AG714" s="26" t="s">
        <v>1631</v>
      </c>
      <c r="AH714" s="26" t="s">
        <v>2652</v>
      </c>
      <c r="AI714" s="40"/>
      <c r="AJ714" s="26"/>
      <c r="AK714" s="26"/>
      <c r="AL714" s="35"/>
      <c r="AM714" s="35"/>
      <c r="AN714" s="35"/>
      <c r="AO714" s="35"/>
      <c r="AP714" s="35"/>
    </row>
    <row r="715" spans="1:42" x14ac:dyDescent="0.2">
      <c r="A715" s="27">
        <v>45188.923951817131</v>
      </c>
      <c r="B715" s="28" t="s">
        <v>37</v>
      </c>
      <c r="C715" s="41" t="s">
        <v>118</v>
      </c>
      <c r="D715" s="26" t="s">
        <v>36</v>
      </c>
      <c r="E715" s="26" t="s">
        <v>77</v>
      </c>
      <c r="F715" s="26" t="s">
        <v>91</v>
      </c>
      <c r="G715" s="26" t="s">
        <v>41</v>
      </c>
      <c r="H715" s="26" t="s">
        <v>2973</v>
      </c>
      <c r="I715" s="17">
        <f ca="1">IFERROR(__xludf.DUMMYFUNCTION("""COMPUTED_VALUE"""),45195)</f>
        <v>45195</v>
      </c>
      <c r="J715" s="29" t="s">
        <v>3740</v>
      </c>
      <c r="K715" s="26" t="s">
        <v>3741</v>
      </c>
      <c r="L715" s="30">
        <v>338497007</v>
      </c>
      <c r="M715" s="26" t="s">
        <v>123</v>
      </c>
      <c r="N715" s="26" t="s">
        <v>850</v>
      </c>
      <c r="O715" s="26" t="s">
        <v>2737</v>
      </c>
      <c r="P715" s="26" t="s">
        <v>3742</v>
      </c>
      <c r="Q715" s="20">
        <v>1968</v>
      </c>
      <c r="R715" s="26" t="s">
        <v>36</v>
      </c>
      <c r="S715" s="21">
        <v>300</v>
      </c>
      <c r="T715" s="46">
        <v>45162</v>
      </c>
      <c r="U715" s="31">
        <v>1668</v>
      </c>
      <c r="V715" s="32">
        <v>45188</v>
      </c>
      <c r="W715" s="26" t="s">
        <v>3743</v>
      </c>
      <c r="X715" s="26"/>
      <c r="Y715" s="22">
        <v>0</v>
      </c>
      <c r="Z715" s="26" t="s">
        <v>50</v>
      </c>
      <c r="AA715" s="19" t="s">
        <v>3454</v>
      </c>
      <c r="AB715" s="26" t="s">
        <v>104</v>
      </c>
      <c r="AC715" s="26" t="s">
        <v>53</v>
      </c>
      <c r="AD715" s="19" t="s">
        <v>54</v>
      </c>
      <c r="AE715" s="26"/>
      <c r="AF715" s="17">
        <v>45189</v>
      </c>
      <c r="AG715" s="26"/>
      <c r="AH715" s="26"/>
      <c r="AI715" s="40"/>
      <c r="AJ715" s="26"/>
      <c r="AK715" s="26"/>
      <c r="AL715" s="35"/>
      <c r="AM715" s="35"/>
      <c r="AN715" s="35"/>
      <c r="AO715" s="35"/>
      <c r="AP715" s="35"/>
    </row>
    <row r="716" spans="1:42" x14ac:dyDescent="0.2">
      <c r="A716" s="27">
        <v>45188.925267395833</v>
      </c>
      <c r="B716" s="28" t="s">
        <v>37</v>
      </c>
      <c r="C716" s="41" t="s">
        <v>118</v>
      </c>
      <c r="D716" s="26" t="s">
        <v>36</v>
      </c>
      <c r="E716" s="26" t="s">
        <v>139</v>
      </c>
      <c r="F716" s="26" t="s">
        <v>91</v>
      </c>
      <c r="G716" s="26" t="s">
        <v>41</v>
      </c>
      <c r="H716" s="26" t="s">
        <v>2889</v>
      </c>
      <c r="I716" s="17">
        <f ca="1">IFERROR(__xludf.DUMMYFUNCTION("""COMPUTED_VALUE"""),45200)</f>
        <v>45200</v>
      </c>
      <c r="J716" s="29" t="s">
        <v>3744</v>
      </c>
      <c r="K716" s="26" t="s">
        <v>3745</v>
      </c>
      <c r="L716" s="30">
        <v>395688205</v>
      </c>
      <c r="M716" s="26" t="s">
        <v>123</v>
      </c>
      <c r="N716" s="26" t="s">
        <v>850</v>
      </c>
      <c r="O716" s="26" t="s">
        <v>2737</v>
      </c>
      <c r="P716" s="26" t="s">
        <v>3056</v>
      </c>
      <c r="Q716" s="20">
        <v>15936</v>
      </c>
      <c r="R716" s="26" t="s">
        <v>36</v>
      </c>
      <c r="S716" s="31">
        <v>2000</v>
      </c>
      <c r="T716" s="32">
        <v>45188</v>
      </c>
      <c r="U716" s="31">
        <v>13936</v>
      </c>
      <c r="V716" s="32">
        <v>45217</v>
      </c>
      <c r="W716" s="33" t="s">
        <v>3746</v>
      </c>
      <c r="X716" s="26"/>
      <c r="Y716" s="22">
        <v>0</v>
      </c>
      <c r="Z716" s="26" t="s">
        <v>50</v>
      </c>
      <c r="AA716" s="19" t="s">
        <v>3454</v>
      </c>
      <c r="AB716" s="26" t="s">
        <v>104</v>
      </c>
      <c r="AC716" s="26" t="s">
        <v>2218</v>
      </c>
      <c r="AD716" s="19" t="s">
        <v>138</v>
      </c>
      <c r="AE716" s="26"/>
      <c r="AF716" s="17">
        <v>45200</v>
      </c>
      <c r="AG716" s="26" t="s">
        <v>1631</v>
      </c>
      <c r="AH716" s="26"/>
      <c r="AI716" s="40"/>
      <c r="AJ716" s="26"/>
      <c r="AK716" s="26"/>
      <c r="AL716" s="35"/>
      <c r="AM716" s="35"/>
      <c r="AN716" s="35"/>
      <c r="AO716" s="35"/>
      <c r="AP716" s="35"/>
    </row>
    <row r="717" spans="1:42" x14ac:dyDescent="0.2">
      <c r="A717" s="27">
        <v>45189.501108368058</v>
      </c>
      <c r="B717" s="28" t="s">
        <v>37</v>
      </c>
      <c r="C717" s="41" t="s">
        <v>118</v>
      </c>
      <c r="D717" s="26" t="s">
        <v>36</v>
      </c>
      <c r="E717" s="26" t="s">
        <v>56</v>
      </c>
      <c r="F717" s="26" t="s">
        <v>36</v>
      </c>
      <c r="G717" s="26" t="s">
        <v>41</v>
      </c>
      <c r="H717" s="26" t="s">
        <v>2889</v>
      </c>
      <c r="I717" s="17">
        <f ca="1">IFERROR(__xludf.DUMMYFUNCTION("""COMPUTED_VALUE"""),45200)</f>
        <v>45200</v>
      </c>
      <c r="J717" s="29" t="s">
        <v>3747</v>
      </c>
      <c r="K717" s="26" t="s">
        <v>3748</v>
      </c>
      <c r="L717" s="30">
        <v>981556401</v>
      </c>
      <c r="M717" s="26" t="s">
        <v>123</v>
      </c>
      <c r="N717" s="26" t="s">
        <v>3749</v>
      </c>
      <c r="O717" s="26" t="s">
        <v>2737</v>
      </c>
      <c r="P717" s="26" t="s">
        <v>3487</v>
      </c>
      <c r="Q717" s="20">
        <v>9317</v>
      </c>
      <c r="R717" s="26" t="s">
        <v>36</v>
      </c>
      <c r="S717" s="31">
        <v>200</v>
      </c>
      <c r="T717" s="32">
        <v>45167</v>
      </c>
      <c r="U717" s="31">
        <f>1800+7317</f>
        <v>9117</v>
      </c>
      <c r="V717" s="26" t="s">
        <v>3750</v>
      </c>
      <c r="W717" s="33" t="s">
        <v>3751</v>
      </c>
      <c r="X717" s="26"/>
      <c r="Y717" s="22">
        <v>0</v>
      </c>
      <c r="Z717" s="26" t="s">
        <v>50</v>
      </c>
      <c r="AA717" s="19" t="s">
        <v>3454</v>
      </c>
      <c r="AB717" s="26" t="s">
        <v>104</v>
      </c>
      <c r="AC717" s="26"/>
      <c r="AD717" s="19" t="s">
        <v>138</v>
      </c>
      <c r="AE717" s="26"/>
      <c r="AF717" s="17">
        <v>45200</v>
      </c>
      <c r="AG717" s="26" t="s">
        <v>1631</v>
      </c>
      <c r="AH717" s="26"/>
      <c r="AI717" s="40"/>
      <c r="AJ717" s="26"/>
      <c r="AK717" s="26"/>
      <c r="AL717" s="35"/>
      <c r="AM717" s="35"/>
      <c r="AN717" s="35"/>
      <c r="AO717" s="35"/>
      <c r="AP717" s="35"/>
    </row>
    <row r="718" spans="1:42" x14ac:dyDescent="0.2">
      <c r="A718" s="27">
        <v>45189.855899282411</v>
      </c>
      <c r="B718" s="28" t="s">
        <v>37</v>
      </c>
      <c r="C718" s="41" t="s">
        <v>118</v>
      </c>
      <c r="D718" s="26" t="s">
        <v>36</v>
      </c>
      <c r="E718" s="26" t="s">
        <v>56</v>
      </c>
      <c r="F718" s="26" t="s">
        <v>91</v>
      </c>
      <c r="G718" s="26" t="s">
        <v>41</v>
      </c>
      <c r="H718" s="26" t="s">
        <v>2647</v>
      </c>
      <c r="I718" s="17">
        <f ca="1">IFERROR(__xludf.DUMMYFUNCTION("""COMPUTED_VALUE"""),45191)</f>
        <v>45191</v>
      </c>
      <c r="J718" s="29" t="s">
        <v>3752</v>
      </c>
      <c r="K718" s="26" t="s">
        <v>3753</v>
      </c>
      <c r="L718" s="30">
        <v>942646597</v>
      </c>
      <c r="M718" s="26" t="s">
        <v>910</v>
      </c>
      <c r="N718" s="26" t="s">
        <v>3221</v>
      </c>
      <c r="O718" s="26" t="s">
        <v>3754</v>
      </c>
      <c r="P718" s="26" t="s">
        <v>3755</v>
      </c>
      <c r="Q718" s="20">
        <v>9317</v>
      </c>
      <c r="R718" s="26" t="s">
        <v>36</v>
      </c>
      <c r="S718" s="31">
        <v>2000</v>
      </c>
      <c r="T718" s="32">
        <v>45189</v>
      </c>
      <c r="U718" s="31">
        <v>7317</v>
      </c>
      <c r="V718" s="32">
        <v>45207</v>
      </c>
      <c r="W718" s="33" t="s">
        <v>3756</v>
      </c>
      <c r="X718" s="26"/>
      <c r="Y718" s="22">
        <v>0</v>
      </c>
      <c r="Z718" s="26" t="s">
        <v>50</v>
      </c>
      <c r="AA718" s="19" t="s">
        <v>3454</v>
      </c>
      <c r="AB718" s="26" t="s">
        <v>104</v>
      </c>
      <c r="AC718" s="26" t="s">
        <v>53</v>
      </c>
      <c r="AD718" s="19" t="s">
        <v>138</v>
      </c>
      <c r="AE718" s="26"/>
      <c r="AF718" s="17">
        <v>45191</v>
      </c>
      <c r="AG718" s="26" t="s">
        <v>1631</v>
      </c>
      <c r="AH718" s="26" t="s">
        <v>3757</v>
      </c>
      <c r="AI718" s="40"/>
      <c r="AJ718" s="26"/>
      <c r="AK718" s="26"/>
      <c r="AL718" s="35"/>
      <c r="AM718" s="35"/>
      <c r="AN718" s="35"/>
      <c r="AO718" s="35"/>
      <c r="AP718" s="35"/>
    </row>
    <row r="719" spans="1:42" x14ac:dyDescent="0.2">
      <c r="A719" s="27">
        <v>45189.867702951393</v>
      </c>
      <c r="B719" s="28" t="s">
        <v>37</v>
      </c>
      <c r="C719" s="41" t="s">
        <v>118</v>
      </c>
      <c r="D719" s="26" t="s">
        <v>36</v>
      </c>
      <c r="E719" s="26" t="s">
        <v>77</v>
      </c>
      <c r="F719" s="26" t="s">
        <v>91</v>
      </c>
      <c r="G719" s="26" t="s">
        <v>41</v>
      </c>
      <c r="H719" s="26" t="s">
        <v>2973</v>
      </c>
      <c r="I719" s="17">
        <f ca="1">IFERROR(__xludf.DUMMYFUNCTION("""COMPUTED_VALUE"""),45195)</f>
        <v>45195</v>
      </c>
      <c r="J719" s="29" t="s">
        <v>3758</v>
      </c>
      <c r="K719" s="26" t="s">
        <v>3759</v>
      </c>
      <c r="L719" s="30">
        <v>359415833</v>
      </c>
      <c r="M719" s="26" t="s">
        <v>2755</v>
      </c>
      <c r="N719" s="26" t="s">
        <v>3760</v>
      </c>
      <c r="O719" s="26" t="s">
        <v>2144</v>
      </c>
      <c r="P719" s="26" t="s">
        <v>3761</v>
      </c>
      <c r="Q719" s="20">
        <v>1968</v>
      </c>
      <c r="R719" s="26" t="s">
        <v>36</v>
      </c>
      <c r="S719" s="31">
        <v>1968</v>
      </c>
      <c r="T719" s="32">
        <v>45189</v>
      </c>
      <c r="U719" s="31"/>
      <c r="V719" s="26"/>
      <c r="W719" s="33" t="s">
        <v>3762</v>
      </c>
      <c r="X719" s="26"/>
      <c r="Y719" s="22">
        <v>0</v>
      </c>
      <c r="Z719" s="26" t="s">
        <v>50</v>
      </c>
      <c r="AA719" s="19" t="s">
        <v>3454</v>
      </c>
      <c r="AB719" s="26" t="s">
        <v>104</v>
      </c>
      <c r="AC719" s="26" t="s">
        <v>53</v>
      </c>
      <c r="AD719" s="19" t="s">
        <v>54</v>
      </c>
      <c r="AE719" s="26" t="s">
        <v>76</v>
      </c>
      <c r="AF719" s="17">
        <v>45191</v>
      </c>
      <c r="AG719" s="26" t="s">
        <v>3763</v>
      </c>
      <c r="AH719" s="26"/>
      <c r="AI719" s="40"/>
      <c r="AJ719" s="26"/>
      <c r="AK719" s="26"/>
      <c r="AL719" s="35"/>
      <c r="AM719" s="35"/>
      <c r="AN719" s="35"/>
      <c r="AO719" s="35"/>
      <c r="AP719" s="35"/>
    </row>
    <row r="720" spans="1:42" x14ac:dyDescent="0.2">
      <c r="A720" s="27">
        <v>45189.872810300927</v>
      </c>
      <c r="B720" s="28" t="s">
        <v>37</v>
      </c>
      <c r="C720" s="41" t="s">
        <v>118</v>
      </c>
      <c r="D720" s="26" t="s">
        <v>36</v>
      </c>
      <c r="E720" s="26" t="s">
        <v>139</v>
      </c>
      <c r="F720" s="26" t="s">
        <v>91</v>
      </c>
      <c r="G720" s="26" t="s">
        <v>41</v>
      </c>
      <c r="H720" s="26" t="s">
        <v>2889</v>
      </c>
      <c r="I720" s="17">
        <f ca="1">IFERROR(__xludf.DUMMYFUNCTION("""COMPUTED_VALUE"""),45200)</f>
        <v>45200</v>
      </c>
      <c r="J720" s="29" t="s">
        <v>3764</v>
      </c>
      <c r="K720" s="26" t="s">
        <v>3765</v>
      </c>
      <c r="L720" s="30">
        <v>913402962</v>
      </c>
      <c r="M720" s="26" t="s">
        <v>2755</v>
      </c>
      <c r="N720" s="26" t="s">
        <v>3512</v>
      </c>
      <c r="O720" s="26" t="s">
        <v>91</v>
      </c>
      <c r="P720" s="26" t="s">
        <v>3766</v>
      </c>
      <c r="Q720" s="20">
        <v>15936</v>
      </c>
      <c r="R720" s="26" t="s">
        <v>36</v>
      </c>
      <c r="S720" s="31">
        <v>2000</v>
      </c>
      <c r="T720" s="32">
        <v>45189</v>
      </c>
      <c r="U720" s="58">
        <v>13936</v>
      </c>
      <c r="V720" s="59">
        <v>45221</v>
      </c>
      <c r="W720" s="33" t="s">
        <v>3767</v>
      </c>
      <c r="X720" s="26"/>
      <c r="Y720" s="22">
        <v>0</v>
      </c>
      <c r="Z720" s="26" t="s">
        <v>50</v>
      </c>
      <c r="AA720" s="19" t="s">
        <v>3454</v>
      </c>
      <c r="AB720" s="26" t="s">
        <v>104</v>
      </c>
      <c r="AC720" s="26" t="s">
        <v>53</v>
      </c>
      <c r="AD720" s="19" t="s">
        <v>138</v>
      </c>
      <c r="AE720" s="26" t="s">
        <v>76</v>
      </c>
      <c r="AF720" s="17">
        <v>45200</v>
      </c>
      <c r="AG720" s="26" t="s">
        <v>1631</v>
      </c>
      <c r="AH720" s="26"/>
      <c r="AI720" s="40"/>
      <c r="AJ720" s="26"/>
      <c r="AK720" s="26"/>
      <c r="AL720" s="35"/>
      <c r="AM720" s="35"/>
      <c r="AN720" s="35"/>
      <c r="AO720" s="35"/>
      <c r="AP720" s="35"/>
    </row>
    <row r="721" spans="1:42" x14ac:dyDescent="0.2">
      <c r="A721" s="27">
        <v>45189.875722152778</v>
      </c>
      <c r="B721" s="28" t="s">
        <v>37</v>
      </c>
      <c r="C721" s="41" t="s">
        <v>118</v>
      </c>
      <c r="D721" s="26" t="s">
        <v>36</v>
      </c>
      <c r="E721" s="26" t="s">
        <v>119</v>
      </c>
      <c r="F721" s="26" t="s">
        <v>91</v>
      </c>
      <c r="G721" s="26" t="s">
        <v>108</v>
      </c>
      <c r="H721" s="26" t="s">
        <v>1853</v>
      </c>
      <c r="I721" s="17">
        <f ca="1">IFERROR(__xludf.DUMMYFUNCTION("""COMPUTED_VALUE"""),45229)</f>
        <v>45229</v>
      </c>
      <c r="J721" s="29" t="s">
        <v>3768</v>
      </c>
      <c r="K721" s="19" t="s">
        <v>3769</v>
      </c>
      <c r="L721" s="30">
        <v>373665946</v>
      </c>
      <c r="M721" s="26" t="s">
        <v>2755</v>
      </c>
      <c r="N721" s="26" t="s">
        <v>3760</v>
      </c>
      <c r="O721" s="26" t="s">
        <v>2819</v>
      </c>
      <c r="P721" s="26" t="s">
        <v>3770</v>
      </c>
      <c r="Q721" s="20">
        <v>13968</v>
      </c>
      <c r="R721" s="26" t="s">
        <v>36</v>
      </c>
      <c r="S721" s="31">
        <v>500</v>
      </c>
      <c r="T721" s="32">
        <v>45189</v>
      </c>
      <c r="U721" s="31">
        <v>13468</v>
      </c>
      <c r="V721" s="32">
        <v>45202</v>
      </c>
      <c r="W721" s="33" t="s">
        <v>3771</v>
      </c>
      <c r="X721" s="26"/>
      <c r="Y721" s="22">
        <v>0</v>
      </c>
      <c r="Z721" s="26" t="s">
        <v>50</v>
      </c>
      <c r="AA721" s="19" t="s">
        <v>3454</v>
      </c>
      <c r="AB721" s="26" t="s">
        <v>154</v>
      </c>
      <c r="AC721" s="26" t="s">
        <v>53</v>
      </c>
      <c r="AD721" s="19" t="s">
        <v>138</v>
      </c>
      <c r="AE721" s="26">
        <v>560</v>
      </c>
      <c r="AF721" s="17">
        <v>45229</v>
      </c>
      <c r="AG721" s="26" t="s">
        <v>1631</v>
      </c>
      <c r="AH721" s="26"/>
      <c r="AI721" s="40"/>
      <c r="AJ721" s="26"/>
      <c r="AK721" s="26"/>
      <c r="AL721" s="35"/>
      <c r="AM721" s="35"/>
      <c r="AN721" s="35"/>
      <c r="AO721" s="35"/>
      <c r="AP721" s="35"/>
    </row>
    <row r="722" spans="1:42" x14ac:dyDescent="0.2">
      <c r="A722" s="27">
        <v>45190.310278634264</v>
      </c>
      <c r="B722" s="28" t="s">
        <v>37</v>
      </c>
      <c r="C722" s="41" t="s">
        <v>118</v>
      </c>
      <c r="D722" s="26" t="s">
        <v>36</v>
      </c>
      <c r="E722" s="26" t="s">
        <v>39</v>
      </c>
      <c r="F722" s="26" t="s">
        <v>36</v>
      </c>
      <c r="G722" s="26" t="s">
        <v>41</v>
      </c>
      <c r="H722" s="26" t="s">
        <v>2973</v>
      </c>
      <c r="I722" s="17">
        <f ca="1">IFERROR(__xludf.DUMMYFUNCTION("""COMPUTED_VALUE"""),45195)</f>
        <v>45195</v>
      </c>
      <c r="J722" s="29" t="s">
        <v>3772</v>
      </c>
      <c r="K722" s="26" t="s">
        <v>3773</v>
      </c>
      <c r="L722" s="30">
        <v>349875301</v>
      </c>
      <c r="M722" s="26" t="s">
        <v>80</v>
      </c>
      <c r="N722" s="26" t="s">
        <v>466</v>
      </c>
      <c r="O722" s="26" t="s">
        <v>3774</v>
      </c>
      <c r="P722" s="26" t="s">
        <v>3775</v>
      </c>
      <c r="Q722" s="20">
        <v>5736</v>
      </c>
      <c r="R722" s="26" t="s">
        <v>36</v>
      </c>
      <c r="S722" s="31">
        <v>2000</v>
      </c>
      <c r="T722" s="32">
        <v>45189</v>
      </c>
      <c r="U722" s="31">
        <v>3736</v>
      </c>
      <c r="V722" s="32">
        <v>45212</v>
      </c>
      <c r="W722" s="33" t="s">
        <v>3776</v>
      </c>
      <c r="X722" s="26"/>
      <c r="Y722" s="22">
        <v>0</v>
      </c>
      <c r="Z722" s="26" t="s">
        <v>50</v>
      </c>
      <c r="AA722" s="19" t="s">
        <v>3454</v>
      </c>
      <c r="AB722" s="26" t="s">
        <v>104</v>
      </c>
      <c r="AC722" s="26" t="s">
        <v>53</v>
      </c>
      <c r="AD722" s="19" t="s">
        <v>54</v>
      </c>
      <c r="AE722" s="26">
        <v>0</v>
      </c>
      <c r="AF722" s="17">
        <v>45191</v>
      </c>
      <c r="AG722" s="26"/>
      <c r="AH722" s="26"/>
      <c r="AI722" s="40"/>
      <c r="AJ722" s="26"/>
      <c r="AK722" s="26"/>
      <c r="AL722" s="35"/>
      <c r="AM722" s="35"/>
      <c r="AN722" s="35"/>
      <c r="AO722" s="35"/>
      <c r="AP722" s="35"/>
    </row>
    <row r="723" spans="1:42" x14ac:dyDescent="0.2">
      <c r="A723" s="27">
        <v>45191.650979953702</v>
      </c>
      <c r="B723" s="28" t="s">
        <v>37</v>
      </c>
      <c r="C723" s="41" t="s">
        <v>118</v>
      </c>
      <c r="D723" s="26" t="s">
        <v>36</v>
      </c>
      <c r="E723" s="26" t="s">
        <v>119</v>
      </c>
      <c r="F723" s="26" t="s">
        <v>36</v>
      </c>
      <c r="G723" s="26" t="s">
        <v>108</v>
      </c>
      <c r="H723" s="26" t="s">
        <v>3013</v>
      </c>
      <c r="I723" s="17">
        <f ca="1">IFERROR(__xludf.DUMMYFUNCTION("""COMPUTED_VALUE"""),45207)</f>
        <v>45207</v>
      </c>
      <c r="J723" s="29" t="s">
        <v>3777</v>
      </c>
      <c r="K723" s="19" t="s">
        <v>3778</v>
      </c>
      <c r="L723" s="30">
        <v>877938553</v>
      </c>
      <c r="M723" s="26" t="s">
        <v>80</v>
      </c>
      <c r="N723" s="26" t="s">
        <v>81</v>
      </c>
      <c r="O723" s="26" t="s">
        <v>3779</v>
      </c>
      <c r="P723" s="26" t="s">
        <v>3780</v>
      </c>
      <c r="Q723" s="20">
        <v>13968</v>
      </c>
      <c r="R723" s="26" t="s">
        <v>36</v>
      </c>
      <c r="S723" s="31">
        <v>4000</v>
      </c>
      <c r="T723" s="32">
        <v>45190</v>
      </c>
      <c r="U723" s="31">
        <v>9968</v>
      </c>
      <c r="V723" s="32">
        <v>45223</v>
      </c>
      <c r="W723" s="26" t="s">
        <v>3781</v>
      </c>
      <c r="X723" s="26"/>
      <c r="Y723" s="22">
        <v>0</v>
      </c>
      <c r="Z723" s="26" t="s">
        <v>50</v>
      </c>
      <c r="AA723" s="19" t="s">
        <v>3454</v>
      </c>
      <c r="AB723" s="26" t="s">
        <v>137</v>
      </c>
      <c r="AC723" s="26" t="s">
        <v>53</v>
      </c>
      <c r="AD723" s="19" t="s">
        <v>138</v>
      </c>
      <c r="AE723" s="26">
        <v>530</v>
      </c>
      <c r="AF723" s="17">
        <v>45207</v>
      </c>
      <c r="AG723" s="26" t="s">
        <v>1631</v>
      </c>
      <c r="AH723" s="26"/>
      <c r="AI723" s="40"/>
      <c r="AJ723" s="26"/>
      <c r="AK723" s="26"/>
      <c r="AL723" s="35"/>
      <c r="AM723" s="35"/>
      <c r="AN723" s="35"/>
      <c r="AO723" s="35"/>
      <c r="AP723" s="35"/>
    </row>
    <row r="724" spans="1:42" x14ac:dyDescent="0.2">
      <c r="A724" s="27">
        <v>45191.881207337967</v>
      </c>
      <c r="B724" s="28" t="s">
        <v>37</v>
      </c>
      <c r="C724" s="41" t="s">
        <v>118</v>
      </c>
      <c r="D724" s="26" t="s">
        <v>36</v>
      </c>
      <c r="E724" s="26" t="s">
        <v>139</v>
      </c>
      <c r="F724" s="26" t="s">
        <v>36</v>
      </c>
      <c r="G724" s="26" t="s">
        <v>41</v>
      </c>
      <c r="H724" s="26" t="s">
        <v>2760</v>
      </c>
      <c r="I724" s="17">
        <f ca="1">IFERROR(__xludf.DUMMYFUNCTION("""COMPUTED_VALUE"""),45202)</f>
        <v>45202</v>
      </c>
      <c r="J724" s="29" t="s">
        <v>3782</v>
      </c>
      <c r="K724" s="26" t="s">
        <v>3783</v>
      </c>
      <c r="L724" s="30">
        <v>349136310</v>
      </c>
      <c r="M724" s="26" t="s">
        <v>80</v>
      </c>
      <c r="N724" s="26" t="s">
        <v>186</v>
      </c>
      <c r="O724" s="26" t="s">
        <v>3784</v>
      </c>
      <c r="P724" s="26" t="s">
        <v>3785</v>
      </c>
      <c r="Q724" s="20">
        <v>15936</v>
      </c>
      <c r="R724" s="26" t="s">
        <v>36</v>
      </c>
      <c r="S724" s="31">
        <v>2000</v>
      </c>
      <c r="T724" s="32">
        <v>45191</v>
      </c>
      <c r="U724" s="31">
        <v>13936</v>
      </c>
      <c r="V724" s="32">
        <v>45218</v>
      </c>
      <c r="W724" s="33" t="s">
        <v>3786</v>
      </c>
      <c r="X724" s="26"/>
      <c r="Y724" s="22">
        <v>0</v>
      </c>
      <c r="Z724" s="26" t="s">
        <v>50</v>
      </c>
      <c r="AA724" s="19" t="s">
        <v>3454</v>
      </c>
      <c r="AB724" s="26" t="s">
        <v>104</v>
      </c>
      <c r="AC724" s="26" t="s">
        <v>53</v>
      </c>
      <c r="AD724" s="19" t="s">
        <v>54</v>
      </c>
      <c r="AE724" s="26">
        <v>0</v>
      </c>
      <c r="AF724" s="17">
        <v>45196</v>
      </c>
      <c r="AG724" s="26"/>
      <c r="AH724" s="26"/>
      <c r="AI724" s="40"/>
      <c r="AJ724" s="26"/>
      <c r="AK724" s="26"/>
      <c r="AL724" s="35"/>
      <c r="AM724" s="35"/>
      <c r="AN724" s="35"/>
      <c r="AO724" s="35"/>
      <c r="AP724" s="35"/>
    </row>
    <row r="725" spans="1:42" x14ac:dyDescent="0.2">
      <c r="A725" s="27">
        <v>45191.882373749999</v>
      </c>
      <c r="B725" s="28" t="s">
        <v>37</v>
      </c>
      <c r="C725" s="41" t="s">
        <v>118</v>
      </c>
      <c r="D725" s="26" t="s">
        <v>36</v>
      </c>
      <c r="E725" s="26" t="s">
        <v>56</v>
      </c>
      <c r="F725" s="26" t="s">
        <v>36</v>
      </c>
      <c r="G725" s="26" t="s">
        <v>41</v>
      </c>
      <c r="H725" s="26" t="s">
        <v>2760</v>
      </c>
      <c r="I725" s="17">
        <f ca="1">IFERROR(__xludf.DUMMYFUNCTION("""COMPUTED_VALUE"""),45202)</f>
        <v>45202</v>
      </c>
      <c r="J725" s="29" t="s">
        <v>3787</v>
      </c>
      <c r="K725" s="26" t="s">
        <v>3788</v>
      </c>
      <c r="L725" s="30">
        <v>986033476</v>
      </c>
      <c r="M725" s="26" t="s">
        <v>80</v>
      </c>
      <c r="N725" s="26" t="s">
        <v>186</v>
      </c>
      <c r="O725" s="26" t="s">
        <v>3789</v>
      </c>
      <c r="P725" s="26" t="s">
        <v>3790</v>
      </c>
      <c r="Q725" s="20">
        <v>9317</v>
      </c>
      <c r="R725" s="26" t="s">
        <v>36</v>
      </c>
      <c r="S725" s="21">
        <v>2000</v>
      </c>
      <c r="T725" s="16" t="s">
        <v>3791</v>
      </c>
      <c r="U725" s="31">
        <v>7317</v>
      </c>
      <c r="V725" s="32">
        <v>45228</v>
      </c>
      <c r="W725" s="26" t="s">
        <v>3792</v>
      </c>
      <c r="X725" s="26"/>
      <c r="Y725" s="22">
        <v>0</v>
      </c>
      <c r="Z725" s="26" t="s">
        <v>50</v>
      </c>
      <c r="AA725" s="19" t="s">
        <v>3454</v>
      </c>
      <c r="AB725" s="26" t="s">
        <v>104</v>
      </c>
      <c r="AC725" s="26" t="s">
        <v>53</v>
      </c>
      <c r="AD725" s="19" t="s">
        <v>54</v>
      </c>
      <c r="AE725" s="26">
        <v>0</v>
      </c>
      <c r="AF725" s="17">
        <v>45196</v>
      </c>
      <c r="AG725" s="26"/>
      <c r="AH725" s="26"/>
      <c r="AI725" s="40"/>
      <c r="AJ725" s="26"/>
      <c r="AK725" s="26"/>
      <c r="AL725" s="35"/>
      <c r="AM725" s="35"/>
      <c r="AN725" s="35"/>
      <c r="AO725" s="35"/>
      <c r="AP725" s="35"/>
    </row>
    <row r="726" spans="1:42" x14ac:dyDescent="0.2">
      <c r="A726" s="27">
        <v>45191.907067337961</v>
      </c>
      <c r="B726" s="28" t="s">
        <v>37</v>
      </c>
      <c r="C726" s="41" t="s">
        <v>118</v>
      </c>
      <c r="D726" s="26" t="s">
        <v>36</v>
      </c>
      <c r="E726" s="26" t="s">
        <v>119</v>
      </c>
      <c r="F726" s="26" t="s">
        <v>36</v>
      </c>
      <c r="G726" s="26" t="s">
        <v>108</v>
      </c>
      <c r="H726" s="26" t="s">
        <v>3013</v>
      </c>
      <c r="I726" s="17">
        <f ca="1">IFERROR(__xludf.DUMMYFUNCTION("""COMPUTED_VALUE"""),45207)</f>
        <v>45207</v>
      </c>
      <c r="J726" s="29" t="s">
        <v>3793</v>
      </c>
      <c r="K726" s="26" t="s">
        <v>3794</v>
      </c>
      <c r="L726" s="30">
        <v>359294508</v>
      </c>
      <c r="M726" s="26" t="s">
        <v>80</v>
      </c>
      <c r="N726" s="26" t="s">
        <v>186</v>
      </c>
      <c r="O726" s="26" t="s">
        <v>3795</v>
      </c>
      <c r="P726" s="26" t="s">
        <v>3796</v>
      </c>
      <c r="Q726" s="20">
        <v>13968</v>
      </c>
      <c r="R726" s="26" t="s">
        <v>36</v>
      </c>
      <c r="S726" s="31">
        <v>200</v>
      </c>
      <c r="T726" s="32">
        <v>45190</v>
      </c>
      <c r="U726" s="31">
        <f>3800+10000</f>
        <v>13800</v>
      </c>
      <c r="V726" s="26" t="s">
        <v>3797</v>
      </c>
      <c r="W726" s="26" t="s">
        <v>3798</v>
      </c>
      <c r="X726" s="26"/>
      <c r="Y726" s="22">
        <v>-32</v>
      </c>
      <c r="Z726" s="26" t="s">
        <v>50</v>
      </c>
      <c r="AA726" s="19" t="s">
        <v>3454</v>
      </c>
      <c r="AB726" s="26" t="s">
        <v>137</v>
      </c>
      <c r="AC726" s="26" t="s">
        <v>53</v>
      </c>
      <c r="AD726" s="19" t="s">
        <v>138</v>
      </c>
      <c r="AE726" s="26">
        <v>590</v>
      </c>
      <c r="AF726" s="17">
        <v>45207</v>
      </c>
      <c r="AG726" s="26" t="s">
        <v>1631</v>
      </c>
      <c r="AH726" s="26"/>
      <c r="AI726" s="40"/>
      <c r="AJ726" s="26"/>
      <c r="AK726" s="26"/>
      <c r="AL726" s="35"/>
      <c r="AM726" s="35"/>
      <c r="AN726" s="35"/>
      <c r="AO726" s="35"/>
      <c r="AP726" s="35"/>
    </row>
    <row r="727" spans="1:42" x14ac:dyDescent="0.2">
      <c r="A727" s="27">
        <v>45191.926814386577</v>
      </c>
      <c r="B727" s="28" t="s">
        <v>37</v>
      </c>
      <c r="C727" s="41" t="s">
        <v>118</v>
      </c>
      <c r="D727" s="26" t="s">
        <v>36</v>
      </c>
      <c r="E727" s="26" t="s">
        <v>139</v>
      </c>
      <c r="F727" s="26" t="s">
        <v>36</v>
      </c>
      <c r="G727" s="26" t="s">
        <v>41</v>
      </c>
      <c r="H727" s="26" t="s">
        <v>2760</v>
      </c>
      <c r="I727" s="17">
        <f ca="1">IFERROR(__xludf.DUMMYFUNCTION("""COMPUTED_VALUE"""),45202)</f>
        <v>45202</v>
      </c>
      <c r="J727" s="29" t="s">
        <v>3799</v>
      </c>
      <c r="K727" s="26" t="s">
        <v>3800</v>
      </c>
      <c r="L727" s="30">
        <v>398985762</v>
      </c>
      <c r="M727" s="26" t="s">
        <v>123</v>
      </c>
      <c r="N727" s="26" t="s">
        <v>850</v>
      </c>
      <c r="O727" s="26" t="s">
        <v>2737</v>
      </c>
      <c r="P727" s="26" t="s">
        <v>3801</v>
      </c>
      <c r="Q727" s="20">
        <v>15936</v>
      </c>
      <c r="R727" s="26" t="s">
        <v>36</v>
      </c>
      <c r="S727" s="31">
        <v>200</v>
      </c>
      <c r="T727" s="32">
        <v>45185</v>
      </c>
      <c r="U727" s="31">
        <f>2000+13736</f>
        <v>15736</v>
      </c>
      <c r="V727" s="26" t="s">
        <v>3802</v>
      </c>
      <c r="W727" s="26" t="s">
        <v>3803</v>
      </c>
      <c r="X727" s="26"/>
      <c r="Y727" s="22">
        <v>0</v>
      </c>
      <c r="Z727" s="26" t="s">
        <v>50</v>
      </c>
      <c r="AA727" s="19" t="s">
        <v>3454</v>
      </c>
      <c r="AB727" s="26" t="s">
        <v>104</v>
      </c>
      <c r="AC727" s="26" t="s">
        <v>53</v>
      </c>
      <c r="AD727" s="19" t="s">
        <v>54</v>
      </c>
      <c r="AE727" s="26"/>
      <c r="AF727" s="17">
        <v>45196</v>
      </c>
      <c r="AG727" s="26"/>
      <c r="AH727" s="26"/>
      <c r="AI727" s="40"/>
      <c r="AJ727" s="26"/>
      <c r="AK727" s="26"/>
      <c r="AL727" s="35"/>
      <c r="AM727" s="35"/>
      <c r="AN727" s="35"/>
      <c r="AO727" s="35"/>
      <c r="AP727" s="35"/>
    </row>
    <row r="728" spans="1:42" x14ac:dyDescent="0.2">
      <c r="A728" s="27">
        <v>45191.929160092594</v>
      </c>
      <c r="B728" s="28" t="s">
        <v>37</v>
      </c>
      <c r="C728" s="41" t="s">
        <v>118</v>
      </c>
      <c r="D728" s="26" t="s">
        <v>36</v>
      </c>
      <c r="E728" s="26" t="s">
        <v>77</v>
      </c>
      <c r="F728" s="26" t="s">
        <v>36</v>
      </c>
      <c r="G728" s="26" t="s">
        <v>41</v>
      </c>
      <c r="H728" s="26" t="s">
        <v>2973</v>
      </c>
      <c r="I728" s="17">
        <f ca="1">IFERROR(__xludf.DUMMYFUNCTION("""COMPUTED_VALUE"""),45195)</f>
        <v>45195</v>
      </c>
      <c r="J728" s="29" t="s">
        <v>3804</v>
      </c>
      <c r="K728" s="26" t="s">
        <v>3805</v>
      </c>
      <c r="L728" s="30">
        <v>835558408</v>
      </c>
      <c r="M728" s="26" t="s">
        <v>1245</v>
      </c>
      <c r="N728" s="26" t="s">
        <v>1246</v>
      </c>
      <c r="O728" s="26" t="s">
        <v>3806</v>
      </c>
      <c r="P728" s="26" t="s">
        <v>3807</v>
      </c>
      <c r="Q728" s="20">
        <v>1968</v>
      </c>
      <c r="R728" s="26" t="s">
        <v>36</v>
      </c>
      <c r="S728" s="31">
        <v>1968</v>
      </c>
      <c r="T728" s="32">
        <v>45191</v>
      </c>
      <c r="U728" s="31"/>
      <c r="V728" s="26"/>
      <c r="W728" s="33" t="s">
        <v>3808</v>
      </c>
      <c r="X728" s="26"/>
      <c r="Y728" s="22">
        <v>0</v>
      </c>
      <c r="Z728" s="26" t="s">
        <v>50</v>
      </c>
      <c r="AA728" s="19" t="s">
        <v>3454</v>
      </c>
      <c r="AB728" s="26" t="s">
        <v>104</v>
      </c>
      <c r="AC728" s="26" t="s">
        <v>53</v>
      </c>
      <c r="AD728" s="19" t="s">
        <v>54</v>
      </c>
      <c r="AE728" s="26"/>
      <c r="AF728" s="17">
        <v>45196</v>
      </c>
      <c r="AG728" s="26" t="s">
        <v>3676</v>
      </c>
      <c r="AH728" s="26"/>
      <c r="AI728" s="40"/>
      <c r="AJ728" s="26"/>
      <c r="AK728" s="26"/>
      <c r="AL728" s="35"/>
      <c r="AM728" s="35"/>
      <c r="AN728" s="35"/>
      <c r="AO728" s="35"/>
      <c r="AP728" s="35"/>
    </row>
    <row r="729" spans="1:42" x14ac:dyDescent="0.2">
      <c r="A729" s="27">
        <v>45191.93186167824</v>
      </c>
      <c r="B729" s="28" t="s">
        <v>37</v>
      </c>
      <c r="C729" s="41" t="s">
        <v>118</v>
      </c>
      <c r="D729" s="26" t="s">
        <v>36</v>
      </c>
      <c r="E729" s="26" t="s">
        <v>139</v>
      </c>
      <c r="F729" s="26" t="s">
        <v>36</v>
      </c>
      <c r="G729" s="26" t="s">
        <v>41</v>
      </c>
      <c r="H729" s="26" t="s">
        <v>2889</v>
      </c>
      <c r="I729" s="17">
        <f ca="1">IFERROR(__xludf.DUMMYFUNCTION("""COMPUTED_VALUE"""),45200)</f>
        <v>45200</v>
      </c>
      <c r="J729" s="29" t="s">
        <v>3809</v>
      </c>
      <c r="K729" s="26" t="s">
        <v>3810</v>
      </c>
      <c r="L729" s="30">
        <v>899512628</v>
      </c>
      <c r="M729" s="26" t="s">
        <v>123</v>
      </c>
      <c r="N729" s="26" t="s">
        <v>850</v>
      </c>
      <c r="O729" s="26" t="s">
        <v>2737</v>
      </c>
      <c r="P729" s="26" t="s">
        <v>3056</v>
      </c>
      <c r="Q729" s="20">
        <v>15936</v>
      </c>
      <c r="R729" s="26" t="s">
        <v>36</v>
      </c>
      <c r="S729" s="31">
        <v>2000</v>
      </c>
      <c r="T729" s="32">
        <v>45189</v>
      </c>
      <c r="U729" s="31">
        <v>13968</v>
      </c>
      <c r="V729" s="32">
        <v>45205</v>
      </c>
      <c r="W729" s="33" t="s">
        <v>3811</v>
      </c>
      <c r="X729" s="26"/>
      <c r="Y729" s="22">
        <v>-32</v>
      </c>
      <c r="Z729" s="26" t="s">
        <v>50</v>
      </c>
      <c r="AA729" s="19" t="s">
        <v>3454</v>
      </c>
      <c r="AB729" s="26" t="s">
        <v>104</v>
      </c>
      <c r="AC729" s="26" t="s">
        <v>53</v>
      </c>
      <c r="AD729" s="19" t="s">
        <v>138</v>
      </c>
      <c r="AE729" s="26"/>
      <c r="AF729" s="17">
        <v>45200</v>
      </c>
      <c r="AG729" s="26" t="s">
        <v>1631</v>
      </c>
      <c r="AH729" s="26"/>
      <c r="AI729" s="40"/>
      <c r="AJ729" s="26"/>
      <c r="AK729" s="26"/>
      <c r="AL729" s="35"/>
      <c r="AM729" s="35"/>
      <c r="AN729" s="35"/>
      <c r="AO729" s="35"/>
      <c r="AP729" s="35"/>
    </row>
    <row r="730" spans="1:42" x14ac:dyDescent="0.2">
      <c r="A730" s="27">
        <v>45193.82115398148</v>
      </c>
      <c r="B730" s="28" t="s">
        <v>37</v>
      </c>
      <c r="C730" s="41" t="s">
        <v>118</v>
      </c>
      <c r="D730" s="26" t="s">
        <v>36</v>
      </c>
      <c r="E730" s="26" t="s">
        <v>139</v>
      </c>
      <c r="F730" s="26" t="s">
        <v>36</v>
      </c>
      <c r="G730" s="26" t="s">
        <v>41</v>
      </c>
      <c r="H730" s="26" t="s">
        <v>3112</v>
      </c>
      <c r="I730" s="17">
        <f ca="1">IFERROR(__xludf.DUMMYFUNCTION("""COMPUTED_VALUE"""),45204)</f>
        <v>45204</v>
      </c>
      <c r="J730" s="29" t="s">
        <v>3812</v>
      </c>
      <c r="K730" s="26" t="s">
        <v>3813</v>
      </c>
      <c r="L730" s="30">
        <v>869261465</v>
      </c>
      <c r="M730" s="26" t="s">
        <v>80</v>
      </c>
      <c r="N730" s="26" t="s">
        <v>186</v>
      </c>
      <c r="O730" s="26" t="s">
        <v>3814</v>
      </c>
      <c r="P730" s="26" t="s">
        <v>3815</v>
      </c>
      <c r="Q730" s="20">
        <v>15936</v>
      </c>
      <c r="R730" s="26" t="s">
        <v>36</v>
      </c>
      <c r="S730" s="31">
        <v>4000</v>
      </c>
      <c r="T730" s="32">
        <v>45192</v>
      </c>
      <c r="U730" s="31">
        <v>11936</v>
      </c>
      <c r="V730" s="32">
        <v>45220</v>
      </c>
      <c r="W730" s="33" t="s">
        <v>3816</v>
      </c>
      <c r="X730" s="26"/>
      <c r="Y730" s="22">
        <v>0</v>
      </c>
      <c r="Z730" s="26" t="s">
        <v>50</v>
      </c>
      <c r="AA730" s="19" t="s">
        <v>3454</v>
      </c>
      <c r="AB730" s="26" t="s">
        <v>104</v>
      </c>
      <c r="AC730" s="26" t="s">
        <v>53</v>
      </c>
      <c r="AD730" s="19" t="s">
        <v>138</v>
      </c>
      <c r="AE730" s="26">
        <v>0</v>
      </c>
      <c r="AF730" s="17">
        <v>45204</v>
      </c>
      <c r="AG730" s="26" t="s">
        <v>1631</v>
      </c>
      <c r="AH730" s="26"/>
      <c r="AI730" s="40"/>
      <c r="AJ730" s="26"/>
      <c r="AK730" s="26"/>
      <c r="AL730" s="35"/>
      <c r="AM730" s="35"/>
      <c r="AN730" s="35"/>
      <c r="AO730" s="35"/>
      <c r="AP730" s="35"/>
    </row>
    <row r="731" spans="1:42" x14ac:dyDescent="0.2">
      <c r="A731" s="27">
        <v>45193.827327245366</v>
      </c>
      <c r="B731" s="28" t="s">
        <v>37</v>
      </c>
      <c r="C731" s="41" t="s">
        <v>118</v>
      </c>
      <c r="D731" s="26" t="s">
        <v>36</v>
      </c>
      <c r="E731" s="26" t="s">
        <v>139</v>
      </c>
      <c r="F731" s="26" t="s">
        <v>36</v>
      </c>
      <c r="G731" s="26" t="s">
        <v>41</v>
      </c>
      <c r="H731" s="26" t="s">
        <v>2760</v>
      </c>
      <c r="I731" s="17">
        <f ca="1">IFERROR(__xludf.DUMMYFUNCTION("""COMPUTED_VALUE"""),45202)</f>
        <v>45202</v>
      </c>
      <c r="J731" s="29" t="s">
        <v>3817</v>
      </c>
      <c r="K731" s="26" t="s">
        <v>3818</v>
      </c>
      <c r="L731" s="30">
        <v>869888905</v>
      </c>
      <c r="M731" s="26" t="s">
        <v>80</v>
      </c>
      <c r="N731" s="26" t="s">
        <v>186</v>
      </c>
      <c r="O731" s="26" t="s">
        <v>3819</v>
      </c>
      <c r="P731" s="26" t="s">
        <v>3820</v>
      </c>
      <c r="Q731" s="20">
        <v>15936</v>
      </c>
      <c r="R731" s="26" t="s">
        <v>36</v>
      </c>
      <c r="S731" s="31">
        <v>2000</v>
      </c>
      <c r="T731" s="32">
        <v>45193</v>
      </c>
      <c r="U731" s="31">
        <v>13936</v>
      </c>
      <c r="V731" s="32">
        <v>45223</v>
      </c>
      <c r="W731" s="33" t="s">
        <v>3821</v>
      </c>
      <c r="X731" s="26"/>
      <c r="Y731" s="22">
        <v>0</v>
      </c>
      <c r="Z731" s="26" t="s">
        <v>50</v>
      </c>
      <c r="AA731" s="19" t="s">
        <v>3454</v>
      </c>
      <c r="AB731" s="26" t="s">
        <v>104</v>
      </c>
      <c r="AC731" s="26" t="s">
        <v>53</v>
      </c>
      <c r="AD731" s="19" t="s">
        <v>54</v>
      </c>
      <c r="AE731" s="26">
        <v>0</v>
      </c>
      <c r="AF731" s="17">
        <v>45196</v>
      </c>
      <c r="AG731" s="26"/>
      <c r="AH731" s="26"/>
      <c r="AI731" s="40"/>
      <c r="AJ731" s="26"/>
      <c r="AK731" s="26"/>
      <c r="AL731" s="35"/>
      <c r="AM731" s="35"/>
      <c r="AN731" s="35"/>
      <c r="AO731" s="35"/>
      <c r="AP731" s="35"/>
    </row>
    <row r="732" spans="1:42" x14ac:dyDescent="0.2">
      <c r="A732" s="27">
        <v>45193.831584594911</v>
      </c>
      <c r="B732" s="28" t="s">
        <v>37</v>
      </c>
      <c r="C732" s="41" t="s">
        <v>118</v>
      </c>
      <c r="D732" s="26" t="s">
        <v>36</v>
      </c>
      <c r="E732" s="26" t="s">
        <v>139</v>
      </c>
      <c r="F732" s="26" t="s">
        <v>36</v>
      </c>
      <c r="G732" s="26" t="s">
        <v>41</v>
      </c>
      <c r="H732" s="26" t="s">
        <v>3112</v>
      </c>
      <c r="I732" s="17">
        <f ca="1">IFERROR(__xludf.DUMMYFUNCTION("""COMPUTED_VALUE"""),45204)</f>
        <v>45204</v>
      </c>
      <c r="J732" s="29" t="s">
        <v>3822</v>
      </c>
      <c r="K732" s="26" t="s">
        <v>3823</v>
      </c>
      <c r="L732" s="30">
        <v>325407382</v>
      </c>
      <c r="M732" s="26" t="s">
        <v>80</v>
      </c>
      <c r="N732" s="26" t="s">
        <v>186</v>
      </c>
      <c r="O732" s="26" t="s">
        <v>3824</v>
      </c>
      <c r="P732" s="26" t="s">
        <v>2641</v>
      </c>
      <c r="Q732" s="20">
        <v>15936</v>
      </c>
      <c r="R732" s="26" t="s">
        <v>3825</v>
      </c>
      <c r="S732" s="31">
        <v>2000</v>
      </c>
      <c r="T732" s="32">
        <v>45193</v>
      </c>
      <c r="U732" s="31">
        <v>13736</v>
      </c>
      <c r="V732" s="32">
        <v>45219</v>
      </c>
      <c r="W732" s="33" t="s">
        <v>3826</v>
      </c>
      <c r="X732" s="26"/>
      <c r="Y732" s="22">
        <v>200</v>
      </c>
      <c r="Z732" s="26" t="s">
        <v>50</v>
      </c>
      <c r="AA732" s="19" t="s">
        <v>3454</v>
      </c>
      <c r="AB732" s="26" t="s">
        <v>104</v>
      </c>
      <c r="AC732" s="26" t="s">
        <v>53</v>
      </c>
      <c r="AD732" s="19" t="s">
        <v>138</v>
      </c>
      <c r="AE732" s="26">
        <v>0</v>
      </c>
      <c r="AF732" s="17">
        <v>45204</v>
      </c>
      <c r="AG732" s="26" t="s">
        <v>1631</v>
      </c>
      <c r="AH732" s="26"/>
      <c r="AI732" s="40"/>
      <c r="AJ732" s="26"/>
      <c r="AK732" s="26"/>
      <c r="AL732" s="35"/>
      <c r="AM732" s="35"/>
      <c r="AN732" s="35"/>
      <c r="AO732" s="35"/>
      <c r="AP732" s="35"/>
    </row>
    <row r="733" spans="1:42" x14ac:dyDescent="0.2">
      <c r="A733" s="27">
        <v>45193.834370578705</v>
      </c>
      <c r="B733" s="28" t="s">
        <v>37</v>
      </c>
      <c r="C733" s="41" t="s">
        <v>118</v>
      </c>
      <c r="D733" s="26" t="s">
        <v>36</v>
      </c>
      <c r="E733" s="26" t="s">
        <v>139</v>
      </c>
      <c r="F733" s="26" t="s">
        <v>36</v>
      </c>
      <c r="G733" s="26" t="s">
        <v>41</v>
      </c>
      <c r="H733" s="26" t="s">
        <v>3112</v>
      </c>
      <c r="I733" s="17">
        <f ca="1">IFERROR(__xludf.DUMMYFUNCTION("""COMPUTED_VALUE"""),45204)</f>
        <v>45204</v>
      </c>
      <c r="J733" s="29" t="s">
        <v>3827</v>
      </c>
      <c r="K733" s="26" t="s">
        <v>3828</v>
      </c>
      <c r="L733" s="30">
        <v>865113566</v>
      </c>
      <c r="M733" s="26" t="s">
        <v>80</v>
      </c>
      <c r="N733" s="26" t="s">
        <v>186</v>
      </c>
      <c r="O733" s="26" t="s">
        <v>1492</v>
      </c>
      <c r="P733" s="26" t="s">
        <v>2641</v>
      </c>
      <c r="Q733" s="20">
        <v>15936</v>
      </c>
      <c r="R733" s="26" t="s">
        <v>3825</v>
      </c>
      <c r="S733" s="31">
        <v>2000</v>
      </c>
      <c r="T733" s="32">
        <v>45193</v>
      </c>
      <c r="U733" s="31">
        <v>13736</v>
      </c>
      <c r="V733" s="32">
        <v>45221</v>
      </c>
      <c r="W733" s="33" t="s">
        <v>3829</v>
      </c>
      <c r="X733" s="26"/>
      <c r="Y733" s="22">
        <v>200</v>
      </c>
      <c r="Z733" s="26" t="s">
        <v>50</v>
      </c>
      <c r="AA733" s="19" t="s">
        <v>3454</v>
      </c>
      <c r="AB733" s="26" t="s">
        <v>104</v>
      </c>
      <c r="AC733" s="26" t="s">
        <v>53</v>
      </c>
      <c r="AD733" s="19" t="s">
        <v>138</v>
      </c>
      <c r="AE733" s="26">
        <v>0</v>
      </c>
      <c r="AF733" s="17">
        <v>45204</v>
      </c>
      <c r="AG733" s="26" t="s">
        <v>1631</v>
      </c>
      <c r="AH733" s="26"/>
      <c r="AI733" s="40"/>
      <c r="AJ733" s="26"/>
      <c r="AK733" s="26"/>
      <c r="AL733" s="35"/>
      <c r="AM733" s="35"/>
      <c r="AN733" s="35"/>
      <c r="AO733" s="35"/>
      <c r="AP733" s="35"/>
    </row>
    <row r="734" spans="1:42" x14ac:dyDescent="0.2">
      <c r="A734" s="27">
        <v>45193.836090381941</v>
      </c>
      <c r="B734" s="28" t="s">
        <v>37</v>
      </c>
      <c r="C734" s="41" t="s">
        <v>118</v>
      </c>
      <c r="D734" s="26" t="s">
        <v>36</v>
      </c>
      <c r="E734" s="26" t="s">
        <v>139</v>
      </c>
      <c r="F734" s="26" t="s">
        <v>36</v>
      </c>
      <c r="G734" s="26" t="s">
        <v>41</v>
      </c>
      <c r="H734" s="26" t="s">
        <v>3112</v>
      </c>
      <c r="I734" s="17">
        <f ca="1">IFERROR(__xludf.DUMMYFUNCTION("""COMPUTED_VALUE"""),45204)</f>
        <v>45204</v>
      </c>
      <c r="J734" s="29" t="s">
        <v>3830</v>
      </c>
      <c r="K734" s="26" t="s">
        <v>3831</v>
      </c>
      <c r="L734" s="30">
        <v>936643943</v>
      </c>
      <c r="M734" s="26" t="s">
        <v>80</v>
      </c>
      <c r="N734" s="26" t="s">
        <v>186</v>
      </c>
      <c r="O734" s="26" t="s">
        <v>3832</v>
      </c>
      <c r="P734" s="26" t="s">
        <v>2641</v>
      </c>
      <c r="Q734" s="20">
        <v>15936</v>
      </c>
      <c r="R734" s="26" t="s">
        <v>3825</v>
      </c>
      <c r="S734" s="31">
        <v>2000</v>
      </c>
      <c r="T734" s="32">
        <v>45193</v>
      </c>
      <c r="U734" s="31">
        <v>13736</v>
      </c>
      <c r="V734" s="32">
        <v>45222</v>
      </c>
      <c r="W734" s="33" t="s">
        <v>3833</v>
      </c>
      <c r="X734" s="26"/>
      <c r="Y734" s="22">
        <v>200</v>
      </c>
      <c r="Z734" s="26" t="s">
        <v>50</v>
      </c>
      <c r="AA734" s="19" t="s">
        <v>3454</v>
      </c>
      <c r="AB734" s="26" t="s">
        <v>104</v>
      </c>
      <c r="AC734" s="26" t="s">
        <v>53</v>
      </c>
      <c r="AD734" s="19" t="s">
        <v>138</v>
      </c>
      <c r="AE734" s="26">
        <v>0</v>
      </c>
      <c r="AF734" s="17">
        <v>45204</v>
      </c>
      <c r="AG734" s="26" t="s">
        <v>1631</v>
      </c>
      <c r="AH734" s="26"/>
      <c r="AI734" s="40"/>
      <c r="AJ734" s="26"/>
      <c r="AK734" s="26"/>
      <c r="AL734" s="35"/>
      <c r="AM734" s="35"/>
      <c r="AN734" s="35"/>
      <c r="AO734" s="35"/>
      <c r="AP734" s="35"/>
    </row>
    <row r="735" spans="1:42" x14ac:dyDescent="0.2">
      <c r="A735" s="27">
        <v>45193.837412615743</v>
      </c>
      <c r="B735" s="28" t="s">
        <v>37</v>
      </c>
      <c r="C735" s="41" t="s">
        <v>118</v>
      </c>
      <c r="D735" s="26" t="s">
        <v>36</v>
      </c>
      <c r="E735" s="26" t="s">
        <v>139</v>
      </c>
      <c r="F735" s="26" t="s">
        <v>36</v>
      </c>
      <c r="G735" s="26" t="s">
        <v>41</v>
      </c>
      <c r="H735" s="26" t="s">
        <v>3112</v>
      </c>
      <c r="I735" s="17">
        <f ca="1">IFERROR(__xludf.DUMMYFUNCTION("""COMPUTED_VALUE"""),45204)</f>
        <v>45204</v>
      </c>
      <c r="J735" s="29" t="s">
        <v>3834</v>
      </c>
      <c r="K735" s="26" t="s">
        <v>3835</v>
      </c>
      <c r="L735" s="30">
        <v>777930784</v>
      </c>
      <c r="M735" s="26" t="s">
        <v>80</v>
      </c>
      <c r="N735" s="26" t="s">
        <v>186</v>
      </c>
      <c r="O735" s="26" t="s">
        <v>3836</v>
      </c>
      <c r="P735" s="26" t="s">
        <v>2641</v>
      </c>
      <c r="Q735" s="20">
        <v>15936</v>
      </c>
      <c r="R735" s="26" t="s">
        <v>3825</v>
      </c>
      <c r="S735" s="31">
        <v>2000</v>
      </c>
      <c r="T735" s="32">
        <v>45193</v>
      </c>
      <c r="U735" s="31">
        <v>13736</v>
      </c>
      <c r="V735" s="32">
        <v>45218</v>
      </c>
      <c r="W735" s="33" t="s">
        <v>3837</v>
      </c>
      <c r="X735" s="26"/>
      <c r="Y735" s="22">
        <v>200</v>
      </c>
      <c r="Z735" s="26" t="s">
        <v>50</v>
      </c>
      <c r="AA735" s="19" t="s">
        <v>3454</v>
      </c>
      <c r="AB735" s="26" t="s">
        <v>104</v>
      </c>
      <c r="AC735" s="26" t="s">
        <v>53</v>
      </c>
      <c r="AD735" s="19" t="s">
        <v>138</v>
      </c>
      <c r="AE735" s="26" t="s">
        <v>3112</v>
      </c>
      <c r="AF735" s="17">
        <v>45204</v>
      </c>
      <c r="AG735" s="26" t="s">
        <v>1631</v>
      </c>
      <c r="AH735" s="26"/>
      <c r="AI735" s="40"/>
      <c r="AJ735" s="26"/>
      <c r="AK735" s="26"/>
      <c r="AL735" s="35"/>
      <c r="AM735" s="35"/>
      <c r="AN735" s="35"/>
      <c r="AO735" s="35"/>
      <c r="AP735" s="35"/>
    </row>
    <row r="736" spans="1:42" x14ac:dyDescent="0.2">
      <c r="A736" s="27">
        <v>45194.829537696758</v>
      </c>
      <c r="B736" s="28" t="s">
        <v>37</v>
      </c>
      <c r="C736" s="41" t="s">
        <v>118</v>
      </c>
      <c r="D736" s="26" t="s">
        <v>36</v>
      </c>
      <c r="E736" s="26" t="s">
        <v>39</v>
      </c>
      <c r="F736" s="26" t="s">
        <v>40</v>
      </c>
      <c r="G736" s="26" t="s">
        <v>41</v>
      </c>
      <c r="H736" s="26" t="s">
        <v>2989</v>
      </c>
      <c r="I736" s="17">
        <f ca="1">IFERROR(__xludf.DUMMYFUNCTION("""COMPUTED_VALUE"""),45202)</f>
        <v>45202</v>
      </c>
      <c r="J736" s="29" t="s">
        <v>3838</v>
      </c>
      <c r="K736" s="26" t="s">
        <v>1442</v>
      </c>
      <c r="L736" s="30">
        <v>703601804</v>
      </c>
      <c r="M736" s="26" t="s">
        <v>45</v>
      </c>
      <c r="N736" s="26" t="s">
        <v>3839</v>
      </c>
      <c r="O736" s="26" t="s">
        <v>3840</v>
      </c>
      <c r="P736" s="26" t="s">
        <v>3841</v>
      </c>
      <c r="Q736" s="20">
        <v>5736</v>
      </c>
      <c r="R736" s="26" t="s">
        <v>36</v>
      </c>
      <c r="S736" s="31">
        <v>2000</v>
      </c>
      <c r="T736" s="32">
        <v>45194</v>
      </c>
      <c r="U736" s="31">
        <v>3736</v>
      </c>
      <c r="V736" s="32">
        <v>45208</v>
      </c>
      <c r="W736" s="33" t="s">
        <v>3842</v>
      </c>
      <c r="X736" s="26"/>
      <c r="Y736" s="22">
        <v>0</v>
      </c>
      <c r="Z736" s="26" t="s">
        <v>50</v>
      </c>
      <c r="AA736" s="19" t="s">
        <v>3454</v>
      </c>
      <c r="AB736" s="26" t="s">
        <v>104</v>
      </c>
      <c r="AC736" s="26" t="s">
        <v>53</v>
      </c>
      <c r="AD736" s="19" t="s">
        <v>54</v>
      </c>
      <c r="AE736" s="26">
        <v>270</v>
      </c>
      <c r="AF736" s="17">
        <v>45196</v>
      </c>
      <c r="AG736" s="26"/>
      <c r="AH736" s="26"/>
      <c r="AI736" s="40"/>
      <c r="AJ736" s="26"/>
      <c r="AK736" s="26"/>
      <c r="AL736" s="35"/>
      <c r="AM736" s="35"/>
      <c r="AN736" s="35"/>
      <c r="AO736" s="35"/>
      <c r="AP736" s="35"/>
    </row>
    <row r="737" spans="1:42" x14ac:dyDescent="0.2">
      <c r="A737" s="27">
        <v>45194.899120740738</v>
      </c>
      <c r="B737" s="28" t="s">
        <v>37</v>
      </c>
      <c r="C737" s="41" t="s">
        <v>118</v>
      </c>
      <c r="D737" s="26" t="s">
        <v>36</v>
      </c>
      <c r="E737" s="26" t="s">
        <v>119</v>
      </c>
      <c r="F737" s="26" t="s">
        <v>36</v>
      </c>
      <c r="G737" s="26" t="s">
        <v>108</v>
      </c>
      <c r="H737" s="26" t="s">
        <v>3013</v>
      </c>
      <c r="I737" s="17">
        <f ca="1">IFERROR(__xludf.DUMMYFUNCTION("""COMPUTED_VALUE"""),45207)</f>
        <v>45207</v>
      </c>
      <c r="J737" s="29" t="s">
        <v>3843</v>
      </c>
      <c r="K737" s="26" t="s">
        <v>3844</v>
      </c>
      <c r="L737" s="30">
        <v>327718648</v>
      </c>
      <c r="M737" s="26" t="s">
        <v>80</v>
      </c>
      <c r="N737" s="26" t="s">
        <v>81</v>
      </c>
      <c r="O737" s="26" t="s">
        <v>3845</v>
      </c>
      <c r="P737" s="26" t="s">
        <v>3846</v>
      </c>
      <c r="Q737" s="20">
        <v>13968</v>
      </c>
      <c r="R737" s="26" t="s">
        <v>36</v>
      </c>
      <c r="S737" s="31">
        <v>4000</v>
      </c>
      <c r="T737" s="32">
        <v>45194</v>
      </c>
      <c r="U737" s="31">
        <v>9968</v>
      </c>
      <c r="V737" s="32">
        <v>45222</v>
      </c>
      <c r="W737" s="33" t="s">
        <v>3847</v>
      </c>
      <c r="X737" s="26"/>
      <c r="Y737" s="22">
        <v>0</v>
      </c>
      <c r="Z737" s="26" t="s">
        <v>50</v>
      </c>
      <c r="AA737" s="19" t="s">
        <v>3454</v>
      </c>
      <c r="AB737" s="26" t="s">
        <v>154</v>
      </c>
      <c r="AC737" s="26" t="s">
        <v>53</v>
      </c>
      <c r="AD737" s="19" t="s">
        <v>138</v>
      </c>
      <c r="AE737" s="26">
        <v>450</v>
      </c>
      <c r="AF737" s="17">
        <v>45207</v>
      </c>
      <c r="AG737" s="26" t="s">
        <v>1631</v>
      </c>
      <c r="AH737" s="26"/>
      <c r="AI737" s="40"/>
      <c r="AJ737" s="26"/>
      <c r="AK737" s="26"/>
      <c r="AL737" s="35"/>
      <c r="AM737" s="35"/>
      <c r="AN737" s="35"/>
      <c r="AO737" s="35"/>
      <c r="AP737" s="35"/>
    </row>
    <row r="738" spans="1:42" x14ac:dyDescent="0.2">
      <c r="A738" s="27">
        <v>45195.01137393518</v>
      </c>
      <c r="B738" s="28" t="s">
        <v>37</v>
      </c>
      <c r="C738" s="41" t="s">
        <v>118</v>
      </c>
      <c r="D738" s="26" t="s">
        <v>36</v>
      </c>
      <c r="E738" s="26" t="s">
        <v>119</v>
      </c>
      <c r="F738" s="26" t="s">
        <v>36</v>
      </c>
      <c r="G738" s="26" t="s">
        <v>108</v>
      </c>
      <c r="H738" s="26" t="s">
        <v>3013</v>
      </c>
      <c r="I738" s="17">
        <f ca="1">IFERROR(__xludf.DUMMYFUNCTION("""COMPUTED_VALUE"""),45207)</f>
        <v>45207</v>
      </c>
      <c r="J738" s="29" t="s">
        <v>3848</v>
      </c>
      <c r="K738" s="26" t="s">
        <v>3849</v>
      </c>
      <c r="L738" s="30">
        <v>962021127</v>
      </c>
      <c r="M738" s="26" t="s">
        <v>80</v>
      </c>
      <c r="N738" s="26" t="s">
        <v>1073</v>
      </c>
      <c r="O738" s="26" t="s">
        <v>3850</v>
      </c>
      <c r="P738" s="26" t="s">
        <v>2641</v>
      </c>
      <c r="Q738" s="20">
        <v>13968</v>
      </c>
      <c r="R738" s="26" t="s">
        <v>36</v>
      </c>
      <c r="S738" s="31">
        <v>300</v>
      </c>
      <c r="T738" s="32">
        <v>45163</v>
      </c>
      <c r="U738" s="31">
        <f>3700+9968</f>
        <v>13668</v>
      </c>
      <c r="V738" s="26" t="s">
        <v>3851</v>
      </c>
      <c r="W738" s="33" t="s">
        <v>3852</v>
      </c>
      <c r="X738" s="26"/>
      <c r="Y738" s="22">
        <v>0</v>
      </c>
      <c r="Z738" s="26" t="s">
        <v>50</v>
      </c>
      <c r="AA738" s="19" t="s">
        <v>3454</v>
      </c>
      <c r="AB738" s="26" t="s">
        <v>104</v>
      </c>
      <c r="AC738" s="26" t="s">
        <v>53</v>
      </c>
      <c r="AD738" s="19" t="s">
        <v>138</v>
      </c>
      <c r="AE738" s="26" t="s">
        <v>2705</v>
      </c>
      <c r="AF738" s="17">
        <v>45207</v>
      </c>
      <c r="AG738" s="26" t="s">
        <v>3853</v>
      </c>
      <c r="AH738" s="26"/>
      <c r="AI738" s="40"/>
      <c r="AJ738" s="26"/>
      <c r="AK738" s="26"/>
      <c r="AL738" s="35"/>
      <c r="AM738" s="35"/>
      <c r="AN738" s="35"/>
      <c r="AO738" s="35"/>
      <c r="AP738" s="35"/>
    </row>
    <row r="739" spans="1:42" x14ac:dyDescent="0.2">
      <c r="A739" s="27">
        <v>45195.844231458337</v>
      </c>
      <c r="B739" s="28" t="s">
        <v>37</v>
      </c>
      <c r="C739" s="41" t="s">
        <v>118</v>
      </c>
      <c r="D739" s="26" t="s">
        <v>36</v>
      </c>
      <c r="E739" s="26" t="s">
        <v>139</v>
      </c>
      <c r="F739" s="26" t="s">
        <v>91</v>
      </c>
      <c r="G739" s="26" t="s">
        <v>41</v>
      </c>
      <c r="H739" s="26" t="s">
        <v>2967</v>
      </c>
      <c r="I739" s="17">
        <f ca="1">IFERROR(__xludf.DUMMYFUNCTION("""COMPUTED_VALUE"""),45209)</f>
        <v>45209</v>
      </c>
      <c r="J739" s="29" t="s">
        <v>3854</v>
      </c>
      <c r="K739" s="26" t="s">
        <v>3855</v>
      </c>
      <c r="L739" s="30">
        <v>362802427</v>
      </c>
      <c r="M739" s="26" t="s">
        <v>123</v>
      </c>
      <c r="N739" s="26" t="s">
        <v>2847</v>
      </c>
      <c r="O739" s="26" t="s">
        <v>1226</v>
      </c>
      <c r="P739" s="26" t="s">
        <v>3056</v>
      </c>
      <c r="Q739" s="20">
        <v>15936</v>
      </c>
      <c r="R739" s="26" t="s">
        <v>36</v>
      </c>
      <c r="S739" s="31">
        <v>5000</v>
      </c>
      <c r="T739" s="32">
        <v>45195</v>
      </c>
      <c r="U739" s="31">
        <v>10936</v>
      </c>
      <c r="V739" s="32">
        <v>45224</v>
      </c>
      <c r="W739" s="33" t="s">
        <v>3856</v>
      </c>
      <c r="X739" s="26"/>
      <c r="Y739" s="22">
        <v>0</v>
      </c>
      <c r="Z739" s="26" t="s">
        <v>50</v>
      </c>
      <c r="AA739" s="19" t="s">
        <v>3454</v>
      </c>
      <c r="AB739" s="26" t="s">
        <v>104</v>
      </c>
      <c r="AC739" s="26" t="s">
        <v>53</v>
      </c>
      <c r="AD739" s="19" t="s">
        <v>138</v>
      </c>
      <c r="AE739" s="26"/>
      <c r="AF739" s="17">
        <v>44114</v>
      </c>
      <c r="AG739" s="26" t="s">
        <v>1631</v>
      </c>
      <c r="AH739" s="26"/>
      <c r="AI739" s="40"/>
      <c r="AJ739" s="26"/>
      <c r="AK739" s="26"/>
      <c r="AL739" s="35"/>
      <c r="AM739" s="35"/>
      <c r="AN739" s="35"/>
      <c r="AO739" s="35"/>
      <c r="AP739" s="35"/>
    </row>
    <row r="740" spans="1:42" x14ac:dyDescent="0.2">
      <c r="A740" s="27">
        <v>45195.845775972222</v>
      </c>
      <c r="B740" s="28" t="s">
        <v>37</v>
      </c>
      <c r="C740" s="41" t="s">
        <v>118</v>
      </c>
      <c r="D740" s="26" t="s">
        <v>36</v>
      </c>
      <c r="E740" s="26" t="s">
        <v>139</v>
      </c>
      <c r="F740" s="26" t="s">
        <v>36</v>
      </c>
      <c r="G740" s="26" t="s">
        <v>41</v>
      </c>
      <c r="H740" s="26" t="s">
        <v>2967</v>
      </c>
      <c r="I740" s="17">
        <f ca="1">IFERROR(__xludf.DUMMYFUNCTION("""COMPUTED_VALUE"""),45209)</f>
        <v>45209</v>
      </c>
      <c r="J740" s="29" t="s">
        <v>3857</v>
      </c>
      <c r="K740" s="26" t="s">
        <v>3858</v>
      </c>
      <c r="L740" s="30">
        <v>914059828</v>
      </c>
      <c r="M740" s="26" t="s">
        <v>123</v>
      </c>
      <c r="N740" s="26" t="s">
        <v>850</v>
      </c>
      <c r="O740" s="26" t="s">
        <v>1226</v>
      </c>
      <c r="P740" s="26" t="s">
        <v>3056</v>
      </c>
      <c r="Q740" s="20">
        <v>15936</v>
      </c>
      <c r="R740" s="26" t="s">
        <v>36</v>
      </c>
      <c r="S740" s="31">
        <v>2000</v>
      </c>
      <c r="T740" s="32">
        <v>45192</v>
      </c>
      <c r="U740" s="31">
        <v>13936</v>
      </c>
      <c r="V740" s="32">
        <v>45227</v>
      </c>
      <c r="W740" s="33" t="s">
        <v>3859</v>
      </c>
      <c r="X740" s="26"/>
      <c r="Y740" s="22">
        <v>0</v>
      </c>
      <c r="Z740" s="26" t="s">
        <v>50</v>
      </c>
      <c r="AA740" s="19" t="s">
        <v>3454</v>
      </c>
      <c r="AB740" s="26" t="s">
        <v>104</v>
      </c>
      <c r="AC740" s="26" t="s">
        <v>53</v>
      </c>
      <c r="AD740" s="19" t="s">
        <v>138</v>
      </c>
      <c r="AE740" s="26"/>
      <c r="AF740" s="17">
        <v>44114</v>
      </c>
      <c r="AG740" s="26" t="s">
        <v>1631</v>
      </c>
      <c r="AH740" s="26"/>
      <c r="AI740" s="40"/>
      <c r="AJ740" s="26"/>
      <c r="AK740" s="26"/>
      <c r="AL740" s="35"/>
      <c r="AM740" s="35"/>
      <c r="AN740" s="35"/>
      <c r="AO740" s="35"/>
      <c r="AP740" s="35"/>
    </row>
    <row r="741" spans="1:42" x14ac:dyDescent="0.2">
      <c r="A741" s="27">
        <v>45195.847323692127</v>
      </c>
      <c r="B741" s="28" t="s">
        <v>37</v>
      </c>
      <c r="C741" s="41" t="s">
        <v>118</v>
      </c>
      <c r="D741" s="26" t="s">
        <v>36</v>
      </c>
      <c r="E741" s="26" t="s">
        <v>139</v>
      </c>
      <c r="F741" s="26" t="s">
        <v>91</v>
      </c>
      <c r="G741" s="26" t="s">
        <v>41</v>
      </c>
      <c r="H741" s="26" t="s">
        <v>2967</v>
      </c>
      <c r="I741" s="17">
        <f ca="1">IFERROR(__xludf.DUMMYFUNCTION("""COMPUTED_VALUE"""),45209)</f>
        <v>45209</v>
      </c>
      <c r="J741" s="29" t="s">
        <v>3860</v>
      </c>
      <c r="K741" s="26" t="s">
        <v>3861</v>
      </c>
      <c r="L741" s="30">
        <v>363143009</v>
      </c>
      <c r="M741" s="26" t="s">
        <v>123</v>
      </c>
      <c r="N741" s="26" t="s">
        <v>186</v>
      </c>
      <c r="O741" s="26" t="s">
        <v>1226</v>
      </c>
      <c r="P741" s="26" t="s">
        <v>3056</v>
      </c>
      <c r="Q741" s="20">
        <v>15936</v>
      </c>
      <c r="R741" s="26" t="s">
        <v>36</v>
      </c>
      <c r="S741" s="31">
        <v>2000</v>
      </c>
      <c r="T741" s="32">
        <v>45191</v>
      </c>
      <c r="U741" s="31">
        <v>13936</v>
      </c>
      <c r="V741" s="32">
        <v>45224</v>
      </c>
      <c r="W741" s="33" t="s">
        <v>3862</v>
      </c>
      <c r="X741" s="26"/>
      <c r="Y741" s="22">
        <v>0</v>
      </c>
      <c r="Z741" s="26" t="s">
        <v>50</v>
      </c>
      <c r="AA741" s="19" t="s">
        <v>3454</v>
      </c>
      <c r="AB741" s="26" t="s">
        <v>104</v>
      </c>
      <c r="AC741" s="26" t="s">
        <v>53</v>
      </c>
      <c r="AD741" s="19" t="s">
        <v>138</v>
      </c>
      <c r="AE741" s="26"/>
      <c r="AF741" s="17">
        <v>44114</v>
      </c>
      <c r="AG741" s="26" t="s">
        <v>1631</v>
      </c>
      <c r="AH741" s="26"/>
      <c r="AI741" s="40"/>
      <c r="AJ741" s="26"/>
      <c r="AK741" s="26"/>
      <c r="AL741" s="35"/>
      <c r="AM741" s="35"/>
      <c r="AN741" s="35"/>
      <c r="AO741" s="35"/>
      <c r="AP741" s="35"/>
    </row>
    <row r="742" spans="1:42" x14ac:dyDescent="0.2">
      <c r="A742" s="27">
        <v>45195.886421516203</v>
      </c>
      <c r="B742" s="28" t="s">
        <v>37</v>
      </c>
      <c r="C742" s="41" t="s">
        <v>118</v>
      </c>
      <c r="D742" s="26" t="s">
        <v>36</v>
      </c>
      <c r="E742" s="26" t="s">
        <v>56</v>
      </c>
      <c r="F742" s="26" t="s">
        <v>91</v>
      </c>
      <c r="G742" s="26" t="s">
        <v>41</v>
      </c>
      <c r="H742" s="26" t="s">
        <v>2989</v>
      </c>
      <c r="I742" s="17">
        <f ca="1">IFERROR(__xludf.DUMMYFUNCTION("""COMPUTED_VALUE"""),45202)</f>
        <v>45202</v>
      </c>
      <c r="J742" s="29" t="s">
        <v>3863</v>
      </c>
      <c r="K742" s="26" t="s">
        <v>3864</v>
      </c>
      <c r="L742" s="30">
        <v>377626418</v>
      </c>
      <c r="M742" s="26" t="s">
        <v>2755</v>
      </c>
      <c r="N742" s="26" t="s">
        <v>2756</v>
      </c>
      <c r="O742" s="26" t="s">
        <v>3865</v>
      </c>
      <c r="P742" s="26" t="s">
        <v>3866</v>
      </c>
      <c r="Q742" s="20">
        <v>9317</v>
      </c>
      <c r="R742" s="26" t="s">
        <v>36</v>
      </c>
      <c r="S742" s="31">
        <v>2000</v>
      </c>
      <c r="T742" s="32">
        <v>45193</v>
      </c>
      <c r="U742" s="31">
        <v>7317</v>
      </c>
      <c r="V742" s="32">
        <v>45215</v>
      </c>
      <c r="W742" s="33" t="s">
        <v>3867</v>
      </c>
      <c r="X742" s="26"/>
      <c r="Y742" s="22">
        <v>0</v>
      </c>
      <c r="Z742" s="26" t="s">
        <v>50</v>
      </c>
      <c r="AA742" s="19" t="s">
        <v>3454</v>
      </c>
      <c r="AB742" s="26" t="s">
        <v>104</v>
      </c>
      <c r="AC742" s="26" t="s">
        <v>53</v>
      </c>
      <c r="AD742" s="19" t="s">
        <v>54</v>
      </c>
      <c r="AE742" s="26" t="s">
        <v>76</v>
      </c>
      <c r="AF742" s="17">
        <v>45196</v>
      </c>
      <c r="AG742" s="26"/>
      <c r="AH742" s="26"/>
      <c r="AI742" s="40"/>
      <c r="AJ742" s="26"/>
      <c r="AK742" s="26"/>
      <c r="AL742" s="35"/>
      <c r="AM742" s="35"/>
      <c r="AN742" s="35"/>
      <c r="AO742" s="35"/>
      <c r="AP742" s="35"/>
    </row>
    <row r="743" spans="1:42" x14ac:dyDescent="0.2">
      <c r="A743" s="27">
        <v>45195.923627881944</v>
      </c>
      <c r="B743" s="28" t="s">
        <v>37</v>
      </c>
      <c r="C743" s="41" t="s">
        <v>118</v>
      </c>
      <c r="D743" s="26" t="s">
        <v>36</v>
      </c>
      <c r="E743" s="26" t="s">
        <v>56</v>
      </c>
      <c r="F743" s="26" t="s">
        <v>91</v>
      </c>
      <c r="G743" s="26" t="s">
        <v>41</v>
      </c>
      <c r="H743" s="26" t="s">
        <v>2967</v>
      </c>
      <c r="I743" s="17">
        <f ca="1">IFERROR(__xludf.DUMMYFUNCTION("""COMPUTED_VALUE"""),45209)</f>
        <v>45209</v>
      </c>
      <c r="J743" s="29" t="s">
        <v>3868</v>
      </c>
      <c r="K743" s="26" t="s">
        <v>3869</v>
      </c>
      <c r="L743" s="30">
        <v>329403727</v>
      </c>
      <c r="M743" s="26" t="s">
        <v>910</v>
      </c>
      <c r="N743" s="26" t="s">
        <v>3525</v>
      </c>
      <c r="O743" s="26" t="s">
        <v>3754</v>
      </c>
      <c r="P743" s="26" t="s">
        <v>3870</v>
      </c>
      <c r="Q743" s="20">
        <v>9317</v>
      </c>
      <c r="R743" s="26" t="s">
        <v>70</v>
      </c>
      <c r="S743" s="21">
        <v>2000</v>
      </c>
      <c r="T743" s="46">
        <v>45195</v>
      </c>
      <c r="U743" s="31">
        <v>7217</v>
      </c>
      <c r="V743" s="32">
        <v>45222</v>
      </c>
      <c r="W743" s="26" t="s">
        <v>3871</v>
      </c>
      <c r="X743" s="26"/>
      <c r="Y743" s="22">
        <v>100</v>
      </c>
      <c r="Z743" s="26" t="s">
        <v>50</v>
      </c>
      <c r="AA743" s="19" t="s">
        <v>3454</v>
      </c>
      <c r="AB743" s="26" t="s">
        <v>104</v>
      </c>
      <c r="AC743" s="26" t="s">
        <v>53</v>
      </c>
      <c r="AD743" s="19" t="s">
        <v>138</v>
      </c>
      <c r="AE743" s="26"/>
      <c r="AF743" s="17">
        <v>44114</v>
      </c>
      <c r="AG743" s="26" t="s">
        <v>1631</v>
      </c>
      <c r="AH743" s="26"/>
      <c r="AI743" s="40"/>
      <c r="AJ743" s="26"/>
      <c r="AK743" s="26"/>
      <c r="AL743" s="35"/>
      <c r="AM743" s="35"/>
      <c r="AN743" s="35"/>
      <c r="AO743" s="35"/>
      <c r="AP743" s="35"/>
    </row>
    <row r="744" spans="1:42" x14ac:dyDescent="0.2">
      <c r="A744" s="27">
        <v>45195.979301689818</v>
      </c>
      <c r="B744" s="28" t="s">
        <v>37</v>
      </c>
      <c r="C744" s="41" t="s">
        <v>118</v>
      </c>
      <c r="D744" s="26" t="s">
        <v>36</v>
      </c>
      <c r="E744" s="26" t="s">
        <v>139</v>
      </c>
      <c r="F744" s="26" t="s">
        <v>91</v>
      </c>
      <c r="G744" s="26" t="s">
        <v>41</v>
      </c>
      <c r="H744" s="26" t="s">
        <v>3112</v>
      </c>
      <c r="I744" s="17">
        <f ca="1">IFERROR(__xludf.DUMMYFUNCTION("""COMPUTED_VALUE"""),45204)</f>
        <v>45204</v>
      </c>
      <c r="J744" s="29" t="s">
        <v>3872</v>
      </c>
      <c r="K744" s="26" t="s">
        <v>3873</v>
      </c>
      <c r="L744" s="30">
        <v>971764067</v>
      </c>
      <c r="M744" s="26" t="s">
        <v>3498</v>
      </c>
      <c r="N744" s="26" t="s">
        <v>3874</v>
      </c>
      <c r="O744" s="26" t="s">
        <v>2819</v>
      </c>
      <c r="P744" s="26" t="s">
        <v>3875</v>
      </c>
      <c r="Q744" s="20">
        <v>15936</v>
      </c>
      <c r="R744" s="26" t="s">
        <v>36</v>
      </c>
      <c r="S744" s="31">
        <v>2000</v>
      </c>
      <c r="T744" s="32">
        <v>45195</v>
      </c>
      <c r="U744" s="31">
        <v>13968</v>
      </c>
      <c r="V744" s="32">
        <v>45222</v>
      </c>
      <c r="W744" s="33" t="s">
        <v>3876</v>
      </c>
      <c r="X744" s="26"/>
      <c r="Y744" s="22">
        <v>-32</v>
      </c>
      <c r="Z744" s="26" t="s">
        <v>50</v>
      </c>
      <c r="AA744" s="19" t="s">
        <v>3454</v>
      </c>
      <c r="AB744" s="26" t="s">
        <v>104</v>
      </c>
      <c r="AC744" s="26" t="s">
        <v>53</v>
      </c>
      <c r="AD744" s="19" t="s">
        <v>138</v>
      </c>
      <c r="AE744" s="26" t="s">
        <v>76</v>
      </c>
      <c r="AF744" s="17">
        <v>45204</v>
      </c>
      <c r="AG744" s="26" t="s">
        <v>1631</v>
      </c>
      <c r="AH744" s="26"/>
      <c r="AI744" s="40"/>
      <c r="AJ744" s="26"/>
      <c r="AK744" s="26"/>
      <c r="AL744" s="35"/>
      <c r="AM744" s="35"/>
      <c r="AN744" s="35"/>
      <c r="AO744" s="35"/>
      <c r="AP744" s="35"/>
    </row>
    <row r="745" spans="1:42" x14ac:dyDescent="0.2">
      <c r="A745" s="27">
        <v>45196.619730486113</v>
      </c>
      <c r="B745" s="28" t="s">
        <v>37</v>
      </c>
      <c r="C745" s="41" t="s">
        <v>118</v>
      </c>
      <c r="D745" s="26" t="s">
        <v>36</v>
      </c>
      <c r="E745" s="26" t="s">
        <v>119</v>
      </c>
      <c r="F745" s="26" t="s">
        <v>36</v>
      </c>
      <c r="G745" s="26" t="s">
        <v>108</v>
      </c>
      <c r="H745" s="26" t="s">
        <v>3013</v>
      </c>
      <c r="I745" s="17">
        <f ca="1">IFERROR(__xludf.DUMMYFUNCTION("""COMPUTED_VALUE"""),45207)</f>
        <v>45207</v>
      </c>
      <c r="J745" s="29" t="s">
        <v>3877</v>
      </c>
      <c r="K745" s="26" t="s">
        <v>3878</v>
      </c>
      <c r="L745" s="30">
        <v>397739565</v>
      </c>
      <c r="M745" s="26" t="s">
        <v>80</v>
      </c>
      <c r="N745" s="26" t="s">
        <v>186</v>
      </c>
      <c r="O745" s="26" t="s">
        <v>1492</v>
      </c>
      <c r="P745" s="26" t="s">
        <v>3178</v>
      </c>
      <c r="Q745" s="20">
        <v>13968</v>
      </c>
      <c r="R745" s="26" t="s">
        <v>36</v>
      </c>
      <c r="S745" s="31">
        <v>4000</v>
      </c>
      <c r="T745" s="32">
        <v>45196</v>
      </c>
      <c r="U745" s="31">
        <v>9968</v>
      </c>
      <c r="V745" s="32">
        <v>45221</v>
      </c>
      <c r="W745" s="33" t="s">
        <v>3879</v>
      </c>
      <c r="X745" s="26"/>
      <c r="Y745" s="22">
        <v>0</v>
      </c>
      <c r="Z745" s="26" t="s">
        <v>50</v>
      </c>
      <c r="AA745" s="19" t="s">
        <v>3454</v>
      </c>
      <c r="AB745" s="26" t="s">
        <v>137</v>
      </c>
      <c r="AC745" s="26" t="s">
        <v>53</v>
      </c>
      <c r="AD745" s="19" t="s">
        <v>138</v>
      </c>
      <c r="AE745" s="26" t="s">
        <v>2705</v>
      </c>
      <c r="AF745" s="17">
        <v>45207</v>
      </c>
      <c r="AG745" s="26" t="s">
        <v>1631</v>
      </c>
      <c r="AH745" s="26"/>
      <c r="AI745" s="40"/>
      <c r="AJ745" s="26"/>
      <c r="AK745" s="26"/>
      <c r="AL745" s="35"/>
      <c r="AM745" s="35"/>
      <c r="AN745" s="35"/>
      <c r="AO745" s="35"/>
      <c r="AP745" s="35"/>
    </row>
    <row r="746" spans="1:42" x14ac:dyDescent="0.2">
      <c r="A746" s="27">
        <v>45196.919713032403</v>
      </c>
      <c r="B746" s="28" t="s">
        <v>37</v>
      </c>
      <c r="C746" s="41" t="s">
        <v>118</v>
      </c>
      <c r="D746" s="26" t="s">
        <v>36</v>
      </c>
      <c r="E746" s="26" t="s">
        <v>119</v>
      </c>
      <c r="F746" s="26" t="s">
        <v>36</v>
      </c>
      <c r="G746" s="26" t="s">
        <v>108</v>
      </c>
      <c r="H746" s="26" t="s">
        <v>3013</v>
      </c>
      <c r="I746" s="17">
        <f ca="1">IFERROR(__xludf.DUMMYFUNCTION("""COMPUTED_VALUE"""),45207)</f>
        <v>45207</v>
      </c>
      <c r="J746" s="29" t="s">
        <v>3880</v>
      </c>
      <c r="K746" s="26" t="s">
        <v>3881</v>
      </c>
      <c r="L746" s="30">
        <v>358340212</v>
      </c>
      <c r="M746" s="26" t="s">
        <v>80</v>
      </c>
      <c r="N746" s="26" t="s">
        <v>186</v>
      </c>
      <c r="O746" s="26" t="s">
        <v>1492</v>
      </c>
      <c r="P746" s="26" t="s">
        <v>2641</v>
      </c>
      <c r="Q746" s="20">
        <v>13968</v>
      </c>
      <c r="R746" s="26" t="s">
        <v>36</v>
      </c>
      <c r="S746" s="31">
        <v>4000</v>
      </c>
      <c r="T746" s="32">
        <v>45196</v>
      </c>
      <c r="U746" s="31">
        <v>9968</v>
      </c>
      <c r="V746" s="32">
        <v>45217</v>
      </c>
      <c r="W746" s="33" t="s">
        <v>3882</v>
      </c>
      <c r="X746" s="26"/>
      <c r="Y746" s="22">
        <v>0</v>
      </c>
      <c r="Z746" s="26" t="s">
        <v>50</v>
      </c>
      <c r="AA746" s="19" t="s">
        <v>3454</v>
      </c>
      <c r="AB746" s="26" t="s">
        <v>128</v>
      </c>
      <c r="AC746" s="26" t="s">
        <v>53</v>
      </c>
      <c r="AD746" s="19" t="s">
        <v>138</v>
      </c>
      <c r="AE746" s="26">
        <v>390</v>
      </c>
      <c r="AF746" s="17">
        <v>45207</v>
      </c>
      <c r="AG746" s="26" t="s">
        <v>1631</v>
      </c>
      <c r="AH746" s="26"/>
      <c r="AI746" s="40"/>
      <c r="AJ746" s="26"/>
      <c r="AK746" s="26"/>
      <c r="AL746" s="35"/>
      <c r="AM746" s="35"/>
      <c r="AN746" s="35"/>
      <c r="AO746" s="35"/>
      <c r="AP746" s="35"/>
    </row>
    <row r="747" spans="1:42" x14ac:dyDescent="0.2">
      <c r="A747" s="27">
        <v>45196.928383541672</v>
      </c>
      <c r="B747" s="28" t="s">
        <v>37</v>
      </c>
      <c r="C747" s="41" t="s">
        <v>118</v>
      </c>
      <c r="D747" s="26" t="s">
        <v>36</v>
      </c>
      <c r="E747" s="26" t="s">
        <v>139</v>
      </c>
      <c r="F747" s="26" t="s">
        <v>36</v>
      </c>
      <c r="G747" s="26" t="s">
        <v>41</v>
      </c>
      <c r="H747" s="26" t="s">
        <v>3112</v>
      </c>
      <c r="I747" s="17">
        <f ca="1">IFERROR(__xludf.DUMMYFUNCTION("""COMPUTED_VALUE"""),45204)</f>
        <v>45204</v>
      </c>
      <c r="J747" s="29" t="s">
        <v>3883</v>
      </c>
      <c r="K747" s="26" t="s">
        <v>3884</v>
      </c>
      <c r="L747" s="30">
        <v>866796610</v>
      </c>
      <c r="M747" s="26" t="s">
        <v>80</v>
      </c>
      <c r="N747" s="26" t="s">
        <v>186</v>
      </c>
      <c r="O747" s="26" t="s">
        <v>3885</v>
      </c>
      <c r="P747" s="26" t="s">
        <v>2641</v>
      </c>
      <c r="Q747" s="20">
        <v>15936</v>
      </c>
      <c r="R747" s="26" t="s">
        <v>70</v>
      </c>
      <c r="S747" s="31">
        <v>2000</v>
      </c>
      <c r="T747" s="32">
        <v>45196</v>
      </c>
      <c r="U747" s="31">
        <v>13836</v>
      </c>
      <c r="V747" s="32">
        <v>45225</v>
      </c>
      <c r="W747" s="33" t="s">
        <v>3886</v>
      </c>
      <c r="X747" s="26"/>
      <c r="Y747" s="22">
        <v>100</v>
      </c>
      <c r="Z747" s="26" t="s">
        <v>50</v>
      </c>
      <c r="AA747" s="19" t="s">
        <v>3454</v>
      </c>
      <c r="AB747" s="26" t="s">
        <v>104</v>
      </c>
      <c r="AC747" s="26" t="s">
        <v>53</v>
      </c>
      <c r="AD747" s="19" t="s">
        <v>138</v>
      </c>
      <c r="AE747" s="26">
        <v>0</v>
      </c>
      <c r="AF747" s="17">
        <v>45204</v>
      </c>
      <c r="AG747" s="26" t="s">
        <v>1631</v>
      </c>
      <c r="AH747" s="26"/>
      <c r="AI747" s="40"/>
      <c r="AJ747" s="26"/>
      <c r="AK747" s="26"/>
      <c r="AL747" s="35"/>
      <c r="AM747" s="35"/>
      <c r="AN747" s="35"/>
      <c r="AO747" s="35"/>
      <c r="AP747" s="35"/>
    </row>
    <row r="748" spans="1:42" x14ac:dyDescent="0.2">
      <c r="A748" s="27">
        <v>45196.929616527777</v>
      </c>
      <c r="B748" s="28" t="s">
        <v>37</v>
      </c>
      <c r="C748" s="41" t="s">
        <v>118</v>
      </c>
      <c r="D748" s="26" t="s">
        <v>36</v>
      </c>
      <c r="E748" s="26" t="s">
        <v>139</v>
      </c>
      <c r="F748" s="26" t="s">
        <v>36</v>
      </c>
      <c r="G748" s="26" t="s">
        <v>41</v>
      </c>
      <c r="H748" s="26" t="s">
        <v>3112</v>
      </c>
      <c r="I748" s="17">
        <f ca="1">IFERROR(__xludf.DUMMYFUNCTION("""COMPUTED_VALUE"""),45204)</f>
        <v>45204</v>
      </c>
      <c r="J748" s="29" t="s">
        <v>3887</v>
      </c>
      <c r="K748" s="26" t="s">
        <v>3888</v>
      </c>
      <c r="L748" s="30">
        <v>783564613</v>
      </c>
      <c r="M748" s="26" t="s">
        <v>80</v>
      </c>
      <c r="N748" s="26" t="s">
        <v>186</v>
      </c>
      <c r="O748" s="26" t="s">
        <v>3889</v>
      </c>
      <c r="P748" s="26" t="s">
        <v>2641</v>
      </c>
      <c r="Q748" s="20">
        <v>15936</v>
      </c>
      <c r="R748" s="26" t="s">
        <v>70</v>
      </c>
      <c r="S748" s="31">
        <v>2000</v>
      </c>
      <c r="T748" s="32">
        <v>45196</v>
      </c>
      <c r="U748" s="31">
        <v>13836</v>
      </c>
      <c r="V748" s="32">
        <v>45225</v>
      </c>
      <c r="W748" s="33" t="s">
        <v>3890</v>
      </c>
      <c r="X748" s="26"/>
      <c r="Y748" s="22">
        <v>100</v>
      </c>
      <c r="Z748" s="26" t="s">
        <v>50</v>
      </c>
      <c r="AA748" s="19" t="s">
        <v>3454</v>
      </c>
      <c r="AB748" s="26" t="s">
        <v>104</v>
      </c>
      <c r="AC748" s="26" t="s">
        <v>53</v>
      </c>
      <c r="AD748" s="19" t="s">
        <v>138</v>
      </c>
      <c r="AE748" s="26">
        <v>0</v>
      </c>
      <c r="AF748" s="17">
        <v>45204</v>
      </c>
      <c r="AG748" s="26" t="s">
        <v>1631</v>
      </c>
      <c r="AH748" s="26"/>
      <c r="AI748" s="40"/>
      <c r="AJ748" s="26"/>
      <c r="AK748" s="26"/>
      <c r="AL748" s="35"/>
      <c r="AM748" s="35"/>
      <c r="AN748" s="35"/>
      <c r="AO748" s="35"/>
      <c r="AP748" s="35"/>
    </row>
    <row r="749" spans="1:42" x14ac:dyDescent="0.2">
      <c r="A749" s="27">
        <v>45197.351781053236</v>
      </c>
      <c r="B749" s="28" t="s">
        <v>37</v>
      </c>
      <c r="C749" s="41" t="s">
        <v>118</v>
      </c>
      <c r="D749" s="26" t="s">
        <v>36</v>
      </c>
      <c r="E749" s="26" t="s">
        <v>77</v>
      </c>
      <c r="F749" s="26" t="s">
        <v>36</v>
      </c>
      <c r="G749" s="26" t="s">
        <v>41</v>
      </c>
      <c r="H749" s="26" t="s">
        <v>2889</v>
      </c>
      <c r="I749" s="17">
        <f ca="1">IFERROR(__xludf.DUMMYFUNCTION("""COMPUTED_VALUE"""),45200)</f>
        <v>45200</v>
      </c>
      <c r="J749" s="29" t="s">
        <v>3891</v>
      </c>
      <c r="K749" s="26" t="s">
        <v>3892</v>
      </c>
      <c r="L749" s="30">
        <v>942221423</v>
      </c>
      <c r="M749" s="26" t="s">
        <v>123</v>
      </c>
      <c r="N749" s="26" t="s">
        <v>1384</v>
      </c>
      <c r="O749" s="26" t="s">
        <v>1226</v>
      </c>
      <c r="P749" s="26" t="s">
        <v>3153</v>
      </c>
      <c r="Q749" s="20">
        <v>1968</v>
      </c>
      <c r="R749" s="26" t="s">
        <v>36</v>
      </c>
      <c r="S749" s="31">
        <v>2000</v>
      </c>
      <c r="T749" s="32">
        <v>45196</v>
      </c>
      <c r="U749" s="31"/>
      <c r="V749" s="26"/>
      <c r="W749" s="33" t="s">
        <v>3893</v>
      </c>
      <c r="X749" s="26"/>
      <c r="Y749" s="22">
        <v>-32</v>
      </c>
      <c r="Z749" s="26" t="s">
        <v>50</v>
      </c>
      <c r="AA749" s="19" t="s">
        <v>3454</v>
      </c>
      <c r="AB749" s="26" t="s">
        <v>104</v>
      </c>
      <c r="AC749" s="26" t="s">
        <v>53</v>
      </c>
      <c r="AD749" s="19" t="s">
        <v>138</v>
      </c>
      <c r="AE749" s="26"/>
      <c r="AF749" s="17">
        <v>45200</v>
      </c>
      <c r="AG749" s="26" t="s">
        <v>3676</v>
      </c>
      <c r="AH749" s="26"/>
      <c r="AI749" s="40"/>
      <c r="AJ749" s="26"/>
      <c r="AK749" s="26"/>
      <c r="AL749" s="35"/>
      <c r="AM749" s="35"/>
      <c r="AN749" s="35"/>
      <c r="AO749" s="35"/>
      <c r="AP749" s="35"/>
    </row>
    <row r="750" spans="1:42" x14ac:dyDescent="0.2">
      <c r="A750" s="27">
        <v>45197.353773888884</v>
      </c>
      <c r="B750" s="28" t="s">
        <v>37</v>
      </c>
      <c r="C750" s="41" t="s">
        <v>118</v>
      </c>
      <c r="D750" s="26" t="s">
        <v>36</v>
      </c>
      <c r="E750" s="26" t="s">
        <v>139</v>
      </c>
      <c r="F750" s="26" t="s">
        <v>91</v>
      </c>
      <c r="G750" s="26" t="s">
        <v>41</v>
      </c>
      <c r="H750" s="26" t="s">
        <v>3112</v>
      </c>
      <c r="I750" s="17">
        <f ca="1">IFERROR(__xludf.DUMMYFUNCTION("""COMPUTED_VALUE"""),45204)</f>
        <v>45204</v>
      </c>
      <c r="J750" s="29" t="s">
        <v>3894</v>
      </c>
      <c r="K750" s="26" t="s">
        <v>3895</v>
      </c>
      <c r="L750" s="30">
        <v>332054621</v>
      </c>
      <c r="M750" s="26" t="s">
        <v>2755</v>
      </c>
      <c r="N750" s="26" t="s">
        <v>2756</v>
      </c>
      <c r="O750" s="26" t="s">
        <v>1226</v>
      </c>
      <c r="P750" s="26" t="s">
        <v>3153</v>
      </c>
      <c r="Q750" s="20">
        <v>15936</v>
      </c>
      <c r="R750" s="26" t="s">
        <v>36</v>
      </c>
      <c r="S750" s="31">
        <v>200</v>
      </c>
      <c r="T750" s="32">
        <v>45191</v>
      </c>
      <c r="U750" s="31">
        <v>15736</v>
      </c>
      <c r="V750" s="26" t="s">
        <v>3896</v>
      </c>
      <c r="W750" s="55" t="s">
        <v>3897</v>
      </c>
      <c r="X750" s="55" t="s">
        <v>3898</v>
      </c>
      <c r="Y750" s="22" t="s">
        <v>2340</v>
      </c>
      <c r="Z750" s="26" t="s">
        <v>50</v>
      </c>
      <c r="AA750" s="19" t="s">
        <v>3454</v>
      </c>
      <c r="AB750" s="26" t="s">
        <v>104</v>
      </c>
      <c r="AC750" s="26" t="s">
        <v>53</v>
      </c>
      <c r="AD750" s="19" t="s">
        <v>138</v>
      </c>
      <c r="AE750" s="26"/>
      <c r="AF750" s="17">
        <v>45204</v>
      </c>
      <c r="AG750" s="26" t="s">
        <v>1631</v>
      </c>
      <c r="AH750" s="26"/>
      <c r="AI750" s="40"/>
      <c r="AJ750" s="26"/>
      <c r="AK750" s="26"/>
      <c r="AL750" s="35"/>
      <c r="AM750" s="35"/>
      <c r="AN750" s="35"/>
      <c r="AO750" s="35"/>
      <c r="AP750" s="35"/>
    </row>
    <row r="751" spans="1:42" x14ac:dyDescent="0.2">
      <c r="A751" s="27">
        <v>45197.931197731479</v>
      </c>
      <c r="B751" s="28" t="s">
        <v>37</v>
      </c>
      <c r="C751" s="41" t="s">
        <v>118</v>
      </c>
      <c r="D751" s="26" t="s">
        <v>36</v>
      </c>
      <c r="E751" s="26" t="s">
        <v>139</v>
      </c>
      <c r="F751" s="26" t="s">
        <v>36</v>
      </c>
      <c r="G751" s="26" t="s">
        <v>41</v>
      </c>
      <c r="H751" s="26" t="s">
        <v>3899</v>
      </c>
      <c r="I751" s="17">
        <f ca="1">IFERROR(__xludf.DUMMYFUNCTION("""COMPUTED_VALUE"""),45215)</f>
        <v>45215</v>
      </c>
      <c r="J751" s="29" t="s">
        <v>3900</v>
      </c>
      <c r="K751" s="26" t="s">
        <v>3901</v>
      </c>
      <c r="L751" s="30">
        <v>981151829</v>
      </c>
      <c r="M751" s="26" t="s">
        <v>80</v>
      </c>
      <c r="N751" s="26" t="s">
        <v>81</v>
      </c>
      <c r="O751" s="26" t="s">
        <v>3902</v>
      </c>
      <c r="P751" s="26" t="s">
        <v>2641</v>
      </c>
      <c r="Q751" s="20">
        <v>15936</v>
      </c>
      <c r="R751" s="26" t="s">
        <v>36</v>
      </c>
      <c r="S751" s="31">
        <v>4000</v>
      </c>
      <c r="T751" s="32">
        <v>45197</v>
      </c>
      <c r="U751" s="31">
        <v>11936</v>
      </c>
      <c r="V751" s="32">
        <v>45227</v>
      </c>
      <c r="W751" s="33" t="s">
        <v>3903</v>
      </c>
      <c r="X751" s="26"/>
      <c r="Y751" s="22">
        <v>0</v>
      </c>
      <c r="Z751" s="26" t="s">
        <v>50</v>
      </c>
      <c r="AA751" s="19" t="s">
        <v>3454</v>
      </c>
      <c r="AB751" s="26" t="s">
        <v>104</v>
      </c>
      <c r="AC751" s="26" t="s">
        <v>53</v>
      </c>
      <c r="AD751" s="19" t="s">
        <v>138</v>
      </c>
      <c r="AE751" s="26">
        <v>0</v>
      </c>
      <c r="AF751" s="17">
        <v>45215</v>
      </c>
      <c r="AG751" s="26" t="s">
        <v>1631</v>
      </c>
      <c r="AH751" s="26"/>
      <c r="AI751" s="40"/>
      <c r="AJ751" s="26"/>
      <c r="AK751" s="26"/>
      <c r="AL751" s="35"/>
      <c r="AM751" s="35"/>
      <c r="AN751" s="35"/>
      <c r="AO751" s="35"/>
      <c r="AP751" s="35"/>
    </row>
    <row r="752" spans="1:42" x14ac:dyDescent="0.2">
      <c r="A752" s="27">
        <v>45197.932297615742</v>
      </c>
      <c r="B752" s="28" t="s">
        <v>37</v>
      </c>
      <c r="C752" s="41" t="s">
        <v>118</v>
      </c>
      <c r="D752" s="26" t="s">
        <v>36</v>
      </c>
      <c r="E752" s="26" t="s">
        <v>139</v>
      </c>
      <c r="F752" s="26" t="s">
        <v>36</v>
      </c>
      <c r="G752" s="26" t="s">
        <v>41</v>
      </c>
      <c r="H752" s="26" t="s">
        <v>3112</v>
      </c>
      <c r="I752" s="17">
        <f ca="1">IFERROR(__xludf.DUMMYFUNCTION("""COMPUTED_VALUE"""),45204)</f>
        <v>45204</v>
      </c>
      <c r="J752" s="44" t="s">
        <v>3904</v>
      </c>
      <c r="K752" s="26" t="s">
        <v>3905</v>
      </c>
      <c r="L752" s="30">
        <v>398502015</v>
      </c>
      <c r="M752" s="26" t="s">
        <v>80</v>
      </c>
      <c r="N752" s="26" t="s">
        <v>186</v>
      </c>
      <c r="O752" s="26" t="s">
        <v>3906</v>
      </c>
      <c r="P752" s="26" t="s">
        <v>3907</v>
      </c>
      <c r="Q752" s="20">
        <v>15936</v>
      </c>
      <c r="R752" s="26" t="s">
        <v>36</v>
      </c>
      <c r="S752" s="31">
        <v>500</v>
      </c>
      <c r="T752" s="32">
        <v>45197</v>
      </c>
      <c r="U752" s="31">
        <f>1500+13936</f>
        <v>15436</v>
      </c>
      <c r="V752" s="26" t="s">
        <v>3908</v>
      </c>
      <c r="W752" s="33" t="s">
        <v>3909</v>
      </c>
      <c r="X752" s="26"/>
      <c r="Y752" s="22">
        <v>0</v>
      </c>
      <c r="Z752" s="26" t="s">
        <v>50</v>
      </c>
      <c r="AA752" s="19" t="s">
        <v>3454</v>
      </c>
      <c r="AB752" s="26" t="s">
        <v>104</v>
      </c>
      <c r="AC752" s="26" t="s">
        <v>53</v>
      </c>
      <c r="AD752" s="19" t="s">
        <v>138</v>
      </c>
      <c r="AE752" s="26">
        <v>0</v>
      </c>
      <c r="AF752" s="17">
        <v>45204</v>
      </c>
      <c r="AG752" s="26" t="s">
        <v>1631</v>
      </c>
      <c r="AH752" s="29" t="s">
        <v>3910</v>
      </c>
      <c r="AI752" s="40" t="s">
        <v>3716</v>
      </c>
      <c r="AJ752" s="26"/>
      <c r="AK752" s="26"/>
      <c r="AL752" s="35"/>
      <c r="AM752" s="35"/>
      <c r="AN752" s="35"/>
      <c r="AO752" s="35"/>
      <c r="AP752" s="35"/>
    </row>
    <row r="753" spans="1:42" x14ac:dyDescent="0.2">
      <c r="A753" s="27">
        <v>45197.954471550926</v>
      </c>
      <c r="B753" s="28" t="s">
        <v>37</v>
      </c>
      <c r="C753" s="41" t="s">
        <v>118</v>
      </c>
      <c r="D753" s="26" t="s">
        <v>36</v>
      </c>
      <c r="E753" s="26" t="s">
        <v>139</v>
      </c>
      <c r="F753" s="26" t="s">
        <v>91</v>
      </c>
      <c r="G753" s="26" t="s">
        <v>41</v>
      </c>
      <c r="H753" s="26" t="s">
        <v>3112</v>
      </c>
      <c r="I753" s="17">
        <f ca="1">IFERROR(__xludf.DUMMYFUNCTION("""COMPUTED_VALUE"""),45204)</f>
        <v>45204</v>
      </c>
      <c r="J753" s="29" t="s">
        <v>3911</v>
      </c>
      <c r="K753" s="26" t="s">
        <v>3912</v>
      </c>
      <c r="L753" s="30">
        <v>378138205</v>
      </c>
      <c r="M753" s="26" t="s">
        <v>910</v>
      </c>
      <c r="N753" s="26" t="s">
        <v>3525</v>
      </c>
      <c r="O753" s="26" t="s">
        <v>3754</v>
      </c>
      <c r="P753" s="26" t="s">
        <v>3913</v>
      </c>
      <c r="Q753" s="20">
        <v>15936</v>
      </c>
      <c r="R753" s="26" t="s">
        <v>36</v>
      </c>
      <c r="S753" s="31">
        <v>2000</v>
      </c>
      <c r="T753" s="32">
        <v>45197</v>
      </c>
      <c r="U753" s="31">
        <v>13936</v>
      </c>
      <c r="V753" s="32">
        <v>45226</v>
      </c>
      <c r="W753" s="33" t="s">
        <v>3914</v>
      </c>
      <c r="X753" s="26"/>
      <c r="Y753" s="22">
        <v>0</v>
      </c>
      <c r="Z753" s="26" t="s">
        <v>50</v>
      </c>
      <c r="AA753" s="19" t="s">
        <v>3454</v>
      </c>
      <c r="AB753" s="26" t="s">
        <v>104</v>
      </c>
      <c r="AC753" s="26" t="s">
        <v>53</v>
      </c>
      <c r="AD753" s="19" t="s">
        <v>138</v>
      </c>
      <c r="AE753" s="26"/>
      <c r="AF753" s="17">
        <v>45204</v>
      </c>
      <c r="AG753" s="26" t="s">
        <v>1631</v>
      </c>
      <c r="AH753" s="26"/>
      <c r="AI753" s="40"/>
      <c r="AJ753" s="26"/>
      <c r="AK753" s="26"/>
      <c r="AL753" s="35"/>
      <c r="AM753" s="35"/>
      <c r="AN753" s="35"/>
      <c r="AO753" s="35"/>
      <c r="AP753" s="35"/>
    </row>
    <row r="754" spans="1:42" x14ac:dyDescent="0.2">
      <c r="A754" s="27">
        <v>45198.598825624998</v>
      </c>
      <c r="B754" s="28" t="s">
        <v>37</v>
      </c>
      <c r="C754" s="41" t="s">
        <v>118</v>
      </c>
      <c r="D754" s="26" t="s">
        <v>36</v>
      </c>
      <c r="E754" s="26" t="s">
        <v>139</v>
      </c>
      <c r="F754" s="26" t="s">
        <v>36</v>
      </c>
      <c r="G754" s="26" t="s">
        <v>41</v>
      </c>
      <c r="H754" s="26" t="s">
        <v>3112</v>
      </c>
      <c r="I754" s="17">
        <f ca="1">IFERROR(__xludf.DUMMYFUNCTION("""COMPUTED_VALUE"""),45204)</f>
        <v>45204</v>
      </c>
      <c r="J754" s="29" t="s">
        <v>3915</v>
      </c>
      <c r="K754" s="26" t="s">
        <v>3916</v>
      </c>
      <c r="L754" s="30">
        <v>384481624</v>
      </c>
      <c r="M754" s="26" t="s">
        <v>80</v>
      </c>
      <c r="N754" s="26" t="s">
        <v>186</v>
      </c>
      <c r="O754" s="26" t="s">
        <v>1492</v>
      </c>
      <c r="P754" s="26" t="s">
        <v>2641</v>
      </c>
      <c r="Q754" s="20">
        <v>15936</v>
      </c>
      <c r="R754" s="26" t="s">
        <v>36</v>
      </c>
      <c r="S754" s="31">
        <v>2000</v>
      </c>
      <c r="T754" s="32">
        <v>45198</v>
      </c>
      <c r="U754" s="31">
        <v>13936</v>
      </c>
      <c r="V754" s="32">
        <v>45218</v>
      </c>
      <c r="W754" s="33" t="s">
        <v>3917</v>
      </c>
      <c r="X754" s="26"/>
      <c r="Y754" s="22">
        <v>0</v>
      </c>
      <c r="Z754" s="26" t="s">
        <v>50</v>
      </c>
      <c r="AA754" s="19" t="s">
        <v>3454</v>
      </c>
      <c r="AB754" s="26" t="s">
        <v>104</v>
      </c>
      <c r="AC754" s="26" t="s">
        <v>53</v>
      </c>
      <c r="AD754" s="19" t="s">
        <v>138</v>
      </c>
      <c r="AE754" s="26">
        <v>0</v>
      </c>
      <c r="AF754" s="17">
        <v>45204</v>
      </c>
      <c r="AG754" s="26" t="s">
        <v>1631</v>
      </c>
      <c r="AH754" s="26"/>
      <c r="AI754" s="40"/>
      <c r="AJ754" s="26"/>
      <c r="AK754" s="26"/>
      <c r="AL754" s="35"/>
      <c r="AM754" s="35"/>
      <c r="AN754" s="35"/>
      <c r="AO754" s="35"/>
      <c r="AP754" s="35"/>
    </row>
    <row r="755" spans="1:42" x14ac:dyDescent="0.2">
      <c r="A755" s="27">
        <v>45198.689153761574</v>
      </c>
      <c r="B755" s="28" t="s">
        <v>37</v>
      </c>
      <c r="C755" s="41" t="s">
        <v>118</v>
      </c>
      <c r="D755" s="26" t="s">
        <v>36</v>
      </c>
      <c r="E755" s="26" t="s">
        <v>139</v>
      </c>
      <c r="F755" s="26" t="s">
        <v>36</v>
      </c>
      <c r="G755" s="26" t="s">
        <v>41</v>
      </c>
      <c r="H755" s="26" t="s">
        <v>2967</v>
      </c>
      <c r="I755" s="17">
        <f ca="1">IFERROR(__xludf.DUMMYFUNCTION("""COMPUTED_VALUE"""),45209)</f>
        <v>45209</v>
      </c>
      <c r="J755" s="29" t="s">
        <v>3918</v>
      </c>
      <c r="K755" s="26" t="s">
        <v>3919</v>
      </c>
      <c r="L755" s="30">
        <v>942247485</v>
      </c>
      <c r="M755" s="26" t="s">
        <v>123</v>
      </c>
      <c r="N755" s="26" t="s">
        <v>186</v>
      </c>
      <c r="O755" s="26" t="s">
        <v>1226</v>
      </c>
      <c r="P755" s="26" t="s">
        <v>3487</v>
      </c>
      <c r="Q755" s="20">
        <v>15936</v>
      </c>
      <c r="R755" s="26" t="s">
        <v>36</v>
      </c>
      <c r="S755" s="31">
        <v>2000</v>
      </c>
      <c r="T755" s="32">
        <v>45197</v>
      </c>
      <c r="U755" s="31">
        <v>13936</v>
      </c>
      <c r="V755" s="32">
        <v>45226</v>
      </c>
      <c r="W755" s="33" t="s">
        <v>3920</v>
      </c>
      <c r="X755" s="26"/>
      <c r="Y755" s="22">
        <v>0</v>
      </c>
      <c r="Z755" s="26" t="s">
        <v>50</v>
      </c>
      <c r="AA755" s="19" t="s">
        <v>3454</v>
      </c>
      <c r="AB755" s="26" t="s">
        <v>104</v>
      </c>
      <c r="AC755" s="26" t="s">
        <v>53</v>
      </c>
      <c r="AD755" s="19" t="s">
        <v>138</v>
      </c>
      <c r="AE755" s="26"/>
      <c r="AF755" s="17">
        <v>44114</v>
      </c>
      <c r="AG755" s="26" t="s">
        <v>1631</v>
      </c>
      <c r="AH755" s="26"/>
      <c r="AI755" s="40"/>
      <c r="AJ755" s="26"/>
      <c r="AK755" s="26"/>
      <c r="AL755" s="35"/>
      <c r="AM755" s="35"/>
      <c r="AN755" s="35"/>
      <c r="AO755" s="35"/>
      <c r="AP755" s="35"/>
    </row>
    <row r="756" spans="1:42" x14ac:dyDescent="0.2">
      <c r="A756" s="27">
        <v>45198.690759710647</v>
      </c>
      <c r="B756" s="28" t="s">
        <v>37</v>
      </c>
      <c r="C756" s="41" t="s">
        <v>118</v>
      </c>
      <c r="D756" s="26" t="s">
        <v>36</v>
      </c>
      <c r="E756" s="26" t="s">
        <v>139</v>
      </c>
      <c r="F756" s="26" t="s">
        <v>91</v>
      </c>
      <c r="G756" s="26" t="s">
        <v>41</v>
      </c>
      <c r="H756" s="26" t="s">
        <v>2967</v>
      </c>
      <c r="I756" s="17">
        <f ca="1">IFERROR(__xludf.DUMMYFUNCTION("""COMPUTED_VALUE"""),45209)</f>
        <v>45209</v>
      </c>
      <c r="J756" s="29" t="s">
        <v>3921</v>
      </c>
      <c r="K756" s="26" t="s">
        <v>3922</v>
      </c>
      <c r="L756" s="30">
        <v>865630283</v>
      </c>
      <c r="M756" s="26" t="s">
        <v>123</v>
      </c>
      <c r="N756" s="26" t="s">
        <v>850</v>
      </c>
      <c r="O756" s="26" t="s">
        <v>1226</v>
      </c>
      <c r="P756" s="26" t="s">
        <v>3153</v>
      </c>
      <c r="Q756" s="20">
        <v>15936</v>
      </c>
      <c r="R756" s="26" t="s">
        <v>36</v>
      </c>
      <c r="S756" s="31">
        <v>7000</v>
      </c>
      <c r="T756" s="32">
        <v>45197</v>
      </c>
      <c r="U756" s="31">
        <v>8936</v>
      </c>
      <c r="V756" s="32">
        <v>45223</v>
      </c>
      <c r="W756" s="33" t="s">
        <v>3923</v>
      </c>
      <c r="X756" s="26"/>
      <c r="Y756" s="22">
        <v>0</v>
      </c>
      <c r="Z756" s="26" t="s">
        <v>50</v>
      </c>
      <c r="AA756" s="19" t="s">
        <v>3454</v>
      </c>
      <c r="AB756" s="26" t="s">
        <v>104</v>
      </c>
      <c r="AC756" s="26" t="s">
        <v>53</v>
      </c>
      <c r="AD756" s="19" t="s">
        <v>138</v>
      </c>
      <c r="AE756" s="26"/>
      <c r="AF756" s="17">
        <v>44114</v>
      </c>
      <c r="AG756" s="26" t="s">
        <v>1631</v>
      </c>
      <c r="AH756" s="26"/>
      <c r="AI756" s="40"/>
      <c r="AJ756" s="26"/>
      <c r="AK756" s="26"/>
      <c r="AL756" s="35"/>
      <c r="AM756" s="35"/>
      <c r="AN756" s="35"/>
      <c r="AO756" s="35"/>
      <c r="AP756" s="35"/>
    </row>
    <row r="757" spans="1:42" x14ac:dyDescent="0.2">
      <c r="A757" s="27">
        <v>45199.651787372684</v>
      </c>
      <c r="B757" s="28" t="s">
        <v>37</v>
      </c>
      <c r="C757" s="41" t="s">
        <v>118</v>
      </c>
      <c r="D757" s="26" t="s">
        <v>36</v>
      </c>
      <c r="E757" s="26" t="s">
        <v>119</v>
      </c>
      <c r="F757" s="26" t="s">
        <v>36</v>
      </c>
      <c r="G757" s="26" t="s">
        <v>108</v>
      </c>
      <c r="H757" s="26" t="s">
        <v>3264</v>
      </c>
      <c r="I757" s="17">
        <f ca="1">IFERROR(__xludf.DUMMYFUNCTION("""COMPUTED_VALUE"""),45204)</f>
        <v>45204</v>
      </c>
      <c r="J757" s="29" t="s">
        <v>3924</v>
      </c>
      <c r="K757" s="26" t="s">
        <v>3925</v>
      </c>
      <c r="L757" s="30">
        <v>398766692</v>
      </c>
      <c r="M757" s="26" t="s">
        <v>80</v>
      </c>
      <c r="N757" s="26" t="s">
        <v>81</v>
      </c>
      <c r="O757" s="26" t="s">
        <v>1492</v>
      </c>
      <c r="P757" s="26" t="s">
        <v>3926</v>
      </c>
      <c r="Q757" s="20">
        <v>13968</v>
      </c>
      <c r="R757" s="26" t="s">
        <v>36</v>
      </c>
      <c r="S757" s="31">
        <v>200</v>
      </c>
      <c r="T757" s="32">
        <v>45196</v>
      </c>
      <c r="U757" s="31">
        <f>3800 +9968</f>
        <v>13768</v>
      </c>
      <c r="V757" s="26" t="s">
        <v>3927</v>
      </c>
      <c r="W757" s="33" t="s">
        <v>3928</v>
      </c>
      <c r="X757" s="26"/>
      <c r="Y757" s="22">
        <v>0</v>
      </c>
      <c r="Z757" s="26" t="s">
        <v>50</v>
      </c>
      <c r="AA757" s="19" t="s">
        <v>3454</v>
      </c>
      <c r="AB757" s="26" t="s">
        <v>137</v>
      </c>
      <c r="AC757" s="26" t="s">
        <v>53</v>
      </c>
      <c r="AD757" s="19" t="s">
        <v>54</v>
      </c>
      <c r="AE757" s="26">
        <v>400</v>
      </c>
      <c r="AF757" s="17">
        <v>45202</v>
      </c>
      <c r="AG757" s="26" t="s">
        <v>3929</v>
      </c>
      <c r="AH757" s="26"/>
      <c r="AI757" s="40"/>
      <c r="AJ757" s="26"/>
      <c r="AK757" s="26"/>
      <c r="AL757" s="35"/>
      <c r="AM757" s="35"/>
      <c r="AN757" s="35"/>
      <c r="AO757" s="35"/>
      <c r="AP757" s="35"/>
    </row>
    <row r="758" spans="1:42" x14ac:dyDescent="0.2">
      <c r="A758" s="27">
        <v>45199.931884131947</v>
      </c>
      <c r="B758" s="28" t="s">
        <v>37</v>
      </c>
      <c r="C758" s="41" t="s">
        <v>118</v>
      </c>
      <c r="D758" s="26" t="s">
        <v>36</v>
      </c>
      <c r="E758" s="26" t="s">
        <v>139</v>
      </c>
      <c r="F758" s="26" t="s">
        <v>36</v>
      </c>
      <c r="G758" s="26" t="s">
        <v>41</v>
      </c>
      <c r="H758" s="26" t="s">
        <v>3930</v>
      </c>
      <c r="I758" s="17">
        <f ca="1">IFERROR(__xludf.DUMMYFUNCTION("""COMPUTED_VALUE"""),45223)</f>
        <v>45223</v>
      </c>
      <c r="J758" s="29" t="s">
        <v>3931</v>
      </c>
      <c r="K758" s="26" t="s">
        <v>3932</v>
      </c>
      <c r="L758" s="30">
        <v>912526137</v>
      </c>
      <c r="M758" s="26" t="s">
        <v>80</v>
      </c>
      <c r="N758" s="26" t="s">
        <v>186</v>
      </c>
      <c r="O758" s="26" t="s">
        <v>3933</v>
      </c>
      <c r="P758" s="26" t="s">
        <v>3934</v>
      </c>
      <c r="Q758" s="20">
        <v>15936</v>
      </c>
      <c r="R758" s="26" t="s">
        <v>36</v>
      </c>
      <c r="S758" s="31">
        <v>4000</v>
      </c>
      <c r="T758" s="32">
        <v>45198</v>
      </c>
      <c r="U758" s="31">
        <v>11836</v>
      </c>
      <c r="V758" s="32">
        <v>45227</v>
      </c>
      <c r="W758" s="33" t="s">
        <v>3935</v>
      </c>
      <c r="X758" s="26"/>
      <c r="Y758" s="22">
        <v>100</v>
      </c>
      <c r="Z758" s="26" t="s">
        <v>50</v>
      </c>
      <c r="AA758" s="19" t="s">
        <v>3454</v>
      </c>
      <c r="AB758" s="26" t="s">
        <v>104</v>
      </c>
      <c r="AC758" s="26" t="s">
        <v>53</v>
      </c>
      <c r="AD758" s="19" t="s">
        <v>138</v>
      </c>
      <c r="AE758" s="26">
        <v>0</v>
      </c>
      <c r="AF758" s="43">
        <v>45223</v>
      </c>
      <c r="AG758" s="26" t="s">
        <v>1631</v>
      </c>
      <c r="AH758" s="26"/>
      <c r="AI758" s="40"/>
      <c r="AJ758" s="26"/>
      <c r="AK758" s="26"/>
      <c r="AL758" s="35"/>
      <c r="AM758" s="35"/>
      <c r="AN758" s="35"/>
      <c r="AO758" s="35"/>
      <c r="AP758" s="35"/>
    </row>
    <row r="759" spans="1:42" x14ac:dyDescent="0.2">
      <c r="A759" s="27">
        <v>45200.408652199076</v>
      </c>
      <c r="B759" s="28" t="s">
        <v>37</v>
      </c>
      <c r="C759" s="41" t="s">
        <v>118</v>
      </c>
      <c r="D759" s="26" t="s">
        <v>36</v>
      </c>
      <c r="E759" s="26" t="s">
        <v>119</v>
      </c>
      <c r="F759" s="26" t="s">
        <v>91</v>
      </c>
      <c r="G759" s="26" t="s">
        <v>108</v>
      </c>
      <c r="H759" s="26" t="s">
        <v>3013</v>
      </c>
      <c r="I759" s="17">
        <f ca="1">IFERROR(__xludf.DUMMYFUNCTION("""COMPUTED_VALUE"""),45207)</f>
        <v>45207</v>
      </c>
      <c r="J759" s="29" t="s">
        <v>3936</v>
      </c>
      <c r="K759" s="26" t="s">
        <v>3937</v>
      </c>
      <c r="L759" s="30">
        <v>793427625</v>
      </c>
      <c r="M759" s="26" t="s">
        <v>3498</v>
      </c>
      <c r="N759" s="26" t="s">
        <v>3874</v>
      </c>
      <c r="O759" s="26" t="s">
        <v>2144</v>
      </c>
      <c r="P759" s="26" t="s">
        <v>3938</v>
      </c>
      <c r="Q759" s="20">
        <v>13968</v>
      </c>
      <c r="R759" s="26" t="s">
        <v>70</v>
      </c>
      <c r="S759" s="31">
        <v>200</v>
      </c>
      <c r="T759" s="32">
        <v>45197</v>
      </c>
      <c r="U759" s="31">
        <f>9868+3800</f>
        <v>13668</v>
      </c>
      <c r="V759" s="26" t="s">
        <v>3939</v>
      </c>
      <c r="W759" s="33" t="s">
        <v>3940</v>
      </c>
      <c r="X759" s="26"/>
      <c r="Y759" s="22">
        <v>100</v>
      </c>
      <c r="Z759" s="26" t="s">
        <v>50</v>
      </c>
      <c r="AA759" s="19" t="s">
        <v>3454</v>
      </c>
      <c r="AB759" s="26" t="s">
        <v>137</v>
      </c>
      <c r="AC759" s="26" t="s">
        <v>53</v>
      </c>
      <c r="AD759" s="19" t="s">
        <v>138</v>
      </c>
      <c r="AE759" s="26">
        <v>470</v>
      </c>
      <c r="AF759" s="17">
        <v>45207</v>
      </c>
      <c r="AG759" s="26" t="s">
        <v>1631</v>
      </c>
      <c r="AH759" s="26"/>
      <c r="AI759" s="40"/>
      <c r="AJ759" s="26"/>
      <c r="AK759" s="26"/>
      <c r="AL759" s="35"/>
      <c r="AM759" s="35"/>
      <c r="AN759" s="35"/>
      <c r="AO759" s="35"/>
      <c r="AP759" s="35"/>
    </row>
    <row r="760" spans="1:42" x14ac:dyDescent="0.2">
      <c r="A760" s="27">
        <v>45200.418180567125</v>
      </c>
      <c r="B760" s="28" t="s">
        <v>37</v>
      </c>
      <c r="C760" s="41" t="s">
        <v>118</v>
      </c>
      <c r="D760" s="26" t="s">
        <v>36</v>
      </c>
      <c r="E760" s="26" t="s">
        <v>119</v>
      </c>
      <c r="F760" s="26" t="s">
        <v>91</v>
      </c>
      <c r="G760" s="26" t="s">
        <v>108</v>
      </c>
      <c r="H760" s="26" t="s">
        <v>3264</v>
      </c>
      <c r="I760" s="17">
        <f ca="1">IFERROR(__xludf.DUMMYFUNCTION("""COMPUTED_VALUE"""),45204)</f>
        <v>45204</v>
      </c>
      <c r="J760" s="29" t="s">
        <v>3941</v>
      </c>
      <c r="K760" s="26" t="s">
        <v>3942</v>
      </c>
      <c r="L760" s="30">
        <v>327557518</v>
      </c>
      <c r="M760" s="26" t="s">
        <v>2755</v>
      </c>
      <c r="N760" s="26" t="s">
        <v>3874</v>
      </c>
      <c r="O760" s="26" t="s">
        <v>3943</v>
      </c>
      <c r="P760" s="26" t="s">
        <v>3944</v>
      </c>
      <c r="Q760" s="20">
        <v>13968</v>
      </c>
      <c r="R760" s="26" t="s">
        <v>70</v>
      </c>
      <c r="S760" s="31">
        <v>200</v>
      </c>
      <c r="T760" s="32">
        <v>45198</v>
      </c>
      <c r="U760" s="31">
        <f>4000+9668</f>
        <v>13668</v>
      </c>
      <c r="V760" s="26" t="s">
        <v>3945</v>
      </c>
      <c r="W760" s="33" t="s">
        <v>3946</v>
      </c>
      <c r="X760" s="26"/>
      <c r="Y760" s="22">
        <v>100</v>
      </c>
      <c r="Z760" s="26" t="s">
        <v>50</v>
      </c>
      <c r="AA760" s="19" t="s">
        <v>3454</v>
      </c>
      <c r="AB760" s="26" t="s">
        <v>154</v>
      </c>
      <c r="AC760" s="26" t="s">
        <v>53</v>
      </c>
      <c r="AD760" s="19" t="s">
        <v>54</v>
      </c>
      <c r="AE760" s="26">
        <v>400</v>
      </c>
      <c r="AF760" s="17">
        <v>45202</v>
      </c>
      <c r="AG760" s="26"/>
      <c r="AH760" s="26"/>
      <c r="AI760" s="40"/>
      <c r="AJ760" s="26"/>
      <c r="AK760" s="26"/>
      <c r="AL760" s="35"/>
      <c r="AM760" s="35"/>
      <c r="AN760" s="35"/>
      <c r="AO760" s="35"/>
      <c r="AP760" s="35"/>
    </row>
    <row r="761" spans="1:42" x14ac:dyDescent="0.2">
      <c r="A761" s="27">
        <v>45200.682676435186</v>
      </c>
      <c r="B761" s="28" t="s">
        <v>37</v>
      </c>
      <c r="C761" s="41" t="s">
        <v>118</v>
      </c>
      <c r="D761" s="26" t="s">
        <v>36</v>
      </c>
      <c r="E761" s="26" t="s">
        <v>148</v>
      </c>
      <c r="F761" s="26" t="s">
        <v>746</v>
      </c>
      <c r="G761" s="26" t="s">
        <v>108</v>
      </c>
      <c r="H761" s="26" t="s">
        <v>3264</v>
      </c>
      <c r="I761" s="17">
        <f ca="1">IFERROR(__xludf.DUMMYFUNCTION("""COMPUTED_VALUE"""),45204)</f>
        <v>45204</v>
      </c>
      <c r="J761" s="29" t="s">
        <v>1254</v>
      </c>
      <c r="K761" s="26" t="s">
        <v>3794</v>
      </c>
      <c r="L761" s="30">
        <v>347327205</v>
      </c>
      <c r="M761" s="26" t="s">
        <v>112</v>
      </c>
      <c r="N761" s="26" t="s">
        <v>1742</v>
      </c>
      <c r="O761" s="26" t="s">
        <v>1256</v>
      </c>
      <c r="P761" s="26" t="s">
        <v>3947</v>
      </c>
      <c r="Q761" s="20">
        <v>7349</v>
      </c>
      <c r="R761" s="26" t="s">
        <v>36</v>
      </c>
      <c r="S761" s="31">
        <v>5000</v>
      </c>
      <c r="T761" s="32">
        <v>45199</v>
      </c>
      <c r="U761" s="31">
        <v>2349</v>
      </c>
      <c r="V761" s="32">
        <v>45219</v>
      </c>
      <c r="W761" s="33" t="s">
        <v>3948</v>
      </c>
      <c r="X761" s="26"/>
      <c r="Y761" s="22">
        <v>0</v>
      </c>
      <c r="Z761" s="26" t="s">
        <v>50</v>
      </c>
      <c r="AA761" s="19" t="s">
        <v>3454</v>
      </c>
      <c r="AB761" s="26" t="s">
        <v>128</v>
      </c>
      <c r="AC761" s="26" t="s">
        <v>53</v>
      </c>
      <c r="AD761" s="19" t="s">
        <v>54</v>
      </c>
      <c r="AE761" s="26">
        <v>61</v>
      </c>
      <c r="AF761" s="17">
        <v>45202</v>
      </c>
      <c r="AG761" s="26"/>
      <c r="AH761" s="26"/>
      <c r="AI761" s="40"/>
      <c r="AJ761" s="26"/>
      <c r="AK761" s="26"/>
      <c r="AL761" s="35"/>
      <c r="AM761" s="35"/>
      <c r="AN761" s="35"/>
      <c r="AO761" s="35"/>
      <c r="AP761" s="35"/>
    </row>
    <row r="762" spans="1:42" x14ac:dyDescent="0.2">
      <c r="A762" s="27">
        <v>45201.285935995373</v>
      </c>
      <c r="B762" s="28" t="s">
        <v>37</v>
      </c>
      <c r="C762" s="41" t="s">
        <v>118</v>
      </c>
      <c r="D762" s="26" t="s">
        <v>36</v>
      </c>
      <c r="E762" s="26" t="s">
        <v>119</v>
      </c>
      <c r="F762" s="26" t="s">
        <v>36</v>
      </c>
      <c r="G762" s="26" t="s">
        <v>108</v>
      </c>
      <c r="H762" s="26" t="s">
        <v>3264</v>
      </c>
      <c r="I762" s="17">
        <f ca="1">IFERROR(__xludf.DUMMYFUNCTION("""COMPUTED_VALUE"""),45204)</f>
        <v>45204</v>
      </c>
      <c r="J762" s="29" t="s">
        <v>3949</v>
      </c>
      <c r="K762" s="26" t="s">
        <v>3950</v>
      </c>
      <c r="L762" s="30">
        <v>365853705</v>
      </c>
      <c r="M762" s="26" t="s">
        <v>3728</v>
      </c>
      <c r="N762" s="26" t="s">
        <v>299</v>
      </c>
      <c r="O762" s="26" t="s">
        <v>3951</v>
      </c>
      <c r="P762" s="26" t="s">
        <v>3952</v>
      </c>
      <c r="Q762" s="20">
        <v>13968</v>
      </c>
      <c r="R762" s="26" t="s">
        <v>36</v>
      </c>
      <c r="S762" s="31">
        <v>4000</v>
      </c>
      <c r="T762" s="32">
        <v>45200</v>
      </c>
      <c r="U762" s="31">
        <v>9968</v>
      </c>
      <c r="V762" s="32">
        <v>45220</v>
      </c>
      <c r="W762" s="33" t="s">
        <v>3953</v>
      </c>
      <c r="X762" s="26"/>
      <c r="Y762" s="22">
        <v>0</v>
      </c>
      <c r="Z762" s="26" t="s">
        <v>50</v>
      </c>
      <c r="AA762" s="19" t="s">
        <v>3454</v>
      </c>
      <c r="AB762" s="26" t="s">
        <v>128</v>
      </c>
      <c r="AC762" s="26" t="s">
        <v>53</v>
      </c>
      <c r="AD762" s="19" t="s">
        <v>138</v>
      </c>
      <c r="AE762" s="26">
        <v>520</v>
      </c>
      <c r="AF762" s="17">
        <v>45202</v>
      </c>
      <c r="AG762" s="26"/>
      <c r="AH762" s="26"/>
      <c r="AI762" s="40"/>
      <c r="AJ762" s="26"/>
      <c r="AK762" s="26"/>
      <c r="AL762" s="35"/>
      <c r="AM762" s="35"/>
      <c r="AN762" s="35"/>
      <c r="AO762" s="35"/>
      <c r="AP762" s="35"/>
    </row>
    <row r="763" spans="1:42" x14ac:dyDescent="0.2">
      <c r="A763" s="27">
        <v>45201.29366826389</v>
      </c>
      <c r="B763" s="28" t="s">
        <v>37</v>
      </c>
      <c r="C763" s="41" t="s">
        <v>118</v>
      </c>
      <c r="D763" s="26" t="s">
        <v>36</v>
      </c>
      <c r="E763" s="26" t="s">
        <v>106</v>
      </c>
      <c r="F763" s="26" t="s">
        <v>36</v>
      </c>
      <c r="G763" s="26" t="s">
        <v>108</v>
      </c>
      <c r="H763" s="26" t="s">
        <v>3264</v>
      </c>
      <c r="I763" s="17">
        <f ca="1">IFERROR(__xludf.DUMMYFUNCTION("""COMPUTED_VALUE"""),45204)</f>
        <v>45204</v>
      </c>
      <c r="J763" s="29" t="s">
        <v>3954</v>
      </c>
      <c r="K763" s="26" t="s">
        <v>3955</v>
      </c>
      <c r="L763" s="30">
        <v>912392704</v>
      </c>
      <c r="M763" s="26" t="s">
        <v>80</v>
      </c>
      <c r="N763" s="26" t="s">
        <v>299</v>
      </c>
      <c r="O763" s="26" t="s">
        <v>3956</v>
      </c>
      <c r="P763" s="26" t="s">
        <v>3957</v>
      </c>
      <c r="Q763" s="20">
        <v>3768</v>
      </c>
      <c r="R763" s="26" t="s">
        <v>36</v>
      </c>
      <c r="S763" s="31">
        <v>1000</v>
      </c>
      <c r="T763" s="32">
        <v>45201</v>
      </c>
      <c r="U763" s="31">
        <v>2768</v>
      </c>
      <c r="V763" s="32">
        <v>45200</v>
      </c>
      <c r="W763" s="33" t="s">
        <v>3958</v>
      </c>
      <c r="X763" s="26"/>
      <c r="Y763" s="22">
        <v>0</v>
      </c>
      <c r="Z763" s="26" t="s">
        <v>50</v>
      </c>
      <c r="AA763" s="19" t="s">
        <v>3454</v>
      </c>
      <c r="AB763" s="26" t="s">
        <v>128</v>
      </c>
      <c r="AC763" s="26" t="s">
        <v>53</v>
      </c>
      <c r="AD763" s="19" t="s">
        <v>54</v>
      </c>
      <c r="AE763" s="26">
        <v>370</v>
      </c>
      <c r="AF763" s="17">
        <v>45202</v>
      </c>
      <c r="AG763" s="26" t="s">
        <v>3959</v>
      </c>
      <c r="AH763" s="26"/>
      <c r="AI763" s="40"/>
      <c r="AJ763" s="26"/>
      <c r="AK763" s="26"/>
      <c r="AL763" s="35"/>
      <c r="AM763" s="35"/>
      <c r="AN763" s="35"/>
      <c r="AO763" s="35"/>
      <c r="AP763" s="35"/>
    </row>
    <row r="764" spans="1:42" x14ac:dyDescent="0.2">
      <c r="A764" s="27">
        <v>45201.297832974538</v>
      </c>
      <c r="B764" s="28" t="s">
        <v>37</v>
      </c>
      <c r="C764" s="41" t="s">
        <v>118</v>
      </c>
      <c r="D764" s="26" t="s">
        <v>36</v>
      </c>
      <c r="E764" s="26" t="s">
        <v>219</v>
      </c>
      <c r="F764" s="26" t="s">
        <v>36</v>
      </c>
      <c r="G764" s="26" t="s">
        <v>221</v>
      </c>
      <c r="H764" s="26" t="s">
        <v>2279</v>
      </c>
      <c r="I764" s="17">
        <f ca="1">IFERROR(__xludf.DUMMYFUNCTION("""COMPUTED_VALUE"""),45222)</f>
        <v>45222</v>
      </c>
      <c r="J764" s="29" t="s">
        <v>3960</v>
      </c>
      <c r="K764" s="26" t="s">
        <v>3961</v>
      </c>
      <c r="L764" s="30">
        <v>326161668</v>
      </c>
      <c r="M764" s="26" t="s">
        <v>80</v>
      </c>
      <c r="N764" s="26" t="s">
        <v>81</v>
      </c>
      <c r="O764" s="26" t="s">
        <v>3962</v>
      </c>
      <c r="P764" s="26" t="s">
        <v>3963</v>
      </c>
      <c r="Q764" s="20">
        <v>3968</v>
      </c>
      <c r="R764" s="26" t="s">
        <v>36</v>
      </c>
      <c r="S764" s="31">
        <v>3968</v>
      </c>
      <c r="T764" s="32">
        <v>45201</v>
      </c>
      <c r="U764" s="31"/>
      <c r="V764" s="26"/>
      <c r="W764" s="33" t="s">
        <v>3964</v>
      </c>
      <c r="X764" s="26"/>
      <c r="Y764" s="22">
        <v>0</v>
      </c>
      <c r="Z764" s="26" t="s">
        <v>50</v>
      </c>
      <c r="AA764" s="19" t="s">
        <v>3454</v>
      </c>
      <c r="AB764" s="26" t="s">
        <v>104</v>
      </c>
      <c r="AC764" s="26" t="s">
        <v>53</v>
      </c>
      <c r="AD764" s="19" t="s">
        <v>54</v>
      </c>
      <c r="AE764" s="26">
        <v>630</v>
      </c>
      <c r="AF764" s="17">
        <v>45215</v>
      </c>
      <c r="AG764" s="26"/>
      <c r="AH764" s="26"/>
      <c r="AI764" s="40"/>
      <c r="AJ764" s="26"/>
      <c r="AK764" s="26"/>
      <c r="AL764" s="35"/>
      <c r="AM764" s="35"/>
      <c r="AN764" s="35"/>
      <c r="AO764" s="35"/>
      <c r="AP764" s="35"/>
    </row>
    <row r="765" spans="1:42" x14ac:dyDescent="0.2">
      <c r="A765" s="27">
        <v>45186.940229629632</v>
      </c>
      <c r="B765" s="28" t="s">
        <v>37</v>
      </c>
      <c r="C765" s="41" t="s">
        <v>118</v>
      </c>
      <c r="D765" s="26" t="s">
        <v>36</v>
      </c>
      <c r="E765" s="26" t="s">
        <v>39</v>
      </c>
      <c r="F765" s="26" t="s">
        <v>36</v>
      </c>
      <c r="G765" s="26" t="s">
        <v>41</v>
      </c>
      <c r="H765" s="26" t="s">
        <v>3112</v>
      </c>
      <c r="I765" s="17">
        <f ca="1">IFERROR(__xludf.DUMMYFUNCTION("""COMPUTED_VALUE"""),45204)</f>
        <v>45204</v>
      </c>
      <c r="J765" s="29" t="s">
        <v>3965</v>
      </c>
      <c r="K765" s="26" t="s">
        <v>3966</v>
      </c>
      <c r="L765" s="30">
        <v>342687657</v>
      </c>
      <c r="M765" s="26" t="s">
        <v>292</v>
      </c>
      <c r="N765" s="26" t="s">
        <v>3967</v>
      </c>
      <c r="O765" s="26" t="s">
        <v>3968</v>
      </c>
      <c r="P765" s="35"/>
      <c r="Q765" s="20">
        <v>5736</v>
      </c>
      <c r="R765" s="26" t="s">
        <v>36</v>
      </c>
      <c r="S765" s="50">
        <v>3768</v>
      </c>
      <c r="T765" s="51">
        <v>45186</v>
      </c>
      <c r="U765" s="31">
        <v>1968</v>
      </c>
      <c r="V765" s="32">
        <v>45208</v>
      </c>
      <c r="W765" s="33" t="s">
        <v>3969</v>
      </c>
      <c r="X765" s="35"/>
      <c r="Y765" s="22">
        <v>0</v>
      </c>
      <c r="Z765" s="26" t="s">
        <v>50</v>
      </c>
      <c r="AA765" s="19" t="s">
        <v>3454</v>
      </c>
      <c r="AB765" s="26" t="s">
        <v>104</v>
      </c>
      <c r="AC765" s="26" t="s">
        <v>53</v>
      </c>
      <c r="AD765" s="19" t="s">
        <v>138</v>
      </c>
      <c r="AE765" s="19"/>
      <c r="AF765" s="17">
        <v>45204</v>
      </c>
      <c r="AG765" s="26" t="s">
        <v>1631</v>
      </c>
      <c r="AH765" s="26" t="s">
        <v>3970</v>
      </c>
      <c r="AI765" s="37"/>
      <c r="AJ765" s="35"/>
      <c r="AK765" s="35"/>
      <c r="AL765" s="35"/>
      <c r="AM765" s="35"/>
      <c r="AN765" s="35"/>
      <c r="AO765" s="35"/>
      <c r="AP765" s="35"/>
    </row>
    <row r="766" spans="1:42" x14ac:dyDescent="0.2">
      <c r="A766" s="27">
        <v>45201.484136180559</v>
      </c>
      <c r="B766" s="28" t="s">
        <v>37</v>
      </c>
      <c r="C766" s="41" t="s">
        <v>118</v>
      </c>
      <c r="D766" s="26" t="s">
        <v>36</v>
      </c>
      <c r="E766" s="26" t="s">
        <v>106</v>
      </c>
      <c r="F766" s="26" t="s">
        <v>1397</v>
      </c>
      <c r="G766" s="26" t="s">
        <v>108</v>
      </c>
      <c r="H766" s="26" t="s">
        <v>3971</v>
      </c>
      <c r="I766" s="17" t="str">
        <f ca="1">IFERROR(__xludf.DUMMYFUNCTION("""COMPUTED_VALUE""")," ")</f>
        <v xml:space="preserve"> </v>
      </c>
      <c r="J766" s="29" t="s">
        <v>3972</v>
      </c>
      <c r="K766" s="26" t="s">
        <v>1433</v>
      </c>
      <c r="L766" s="30">
        <v>867012736</v>
      </c>
      <c r="M766" s="26" t="s">
        <v>112</v>
      </c>
      <c r="N766" s="26" t="s">
        <v>3973</v>
      </c>
      <c r="O766" s="26" t="s">
        <v>3974</v>
      </c>
      <c r="P766" s="26" t="s">
        <v>3975</v>
      </c>
      <c r="Q766" s="20">
        <v>3768</v>
      </c>
      <c r="R766" s="26" t="s">
        <v>36</v>
      </c>
      <c r="S766" s="31">
        <v>3668</v>
      </c>
      <c r="T766" s="32">
        <v>45198</v>
      </c>
      <c r="U766" s="31"/>
      <c r="V766" s="26"/>
      <c r="W766" s="33" t="s">
        <v>3976</v>
      </c>
      <c r="X766" s="26"/>
      <c r="Y766" s="22">
        <v>100</v>
      </c>
      <c r="Z766" s="26" t="s">
        <v>50</v>
      </c>
      <c r="AA766" s="19" t="s">
        <v>3454</v>
      </c>
      <c r="AB766" s="26" t="s">
        <v>128</v>
      </c>
      <c r="AC766" s="26" t="s">
        <v>53</v>
      </c>
      <c r="AD766" s="19" t="s">
        <v>54</v>
      </c>
      <c r="AE766" s="26" t="s">
        <v>1397</v>
      </c>
      <c r="AF766" s="17">
        <v>45208</v>
      </c>
      <c r="AG766" s="26"/>
      <c r="AH766" s="26"/>
      <c r="AI766" s="40"/>
      <c r="AJ766" s="26"/>
      <c r="AK766" s="26"/>
      <c r="AL766" s="35"/>
      <c r="AM766" s="35"/>
      <c r="AN766" s="35"/>
      <c r="AO766" s="35"/>
      <c r="AP766" s="35"/>
    </row>
    <row r="767" spans="1:42" x14ac:dyDescent="0.2">
      <c r="A767" s="27">
        <v>45201.486145358795</v>
      </c>
      <c r="B767" s="28" t="s">
        <v>37</v>
      </c>
      <c r="C767" s="41" t="s">
        <v>118</v>
      </c>
      <c r="D767" s="26" t="s">
        <v>36</v>
      </c>
      <c r="E767" s="26" t="s">
        <v>106</v>
      </c>
      <c r="F767" s="26" t="s">
        <v>1397</v>
      </c>
      <c r="G767" s="26" t="s">
        <v>108</v>
      </c>
      <c r="H767" s="26" t="s">
        <v>3971</v>
      </c>
      <c r="I767" s="17" t="str">
        <f ca="1">IFERROR(__xludf.DUMMYFUNCTION("""COMPUTED_VALUE""")," ")</f>
        <v xml:space="preserve"> </v>
      </c>
      <c r="J767" s="29" t="s">
        <v>3977</v>
      </c>
      <c r="K767" s="26" t="s">
        <v>3978</v>
      </c>
      <c r="L767" s="30">
        <v>355280356</v>
      </c>
      <c r="M767" s="26" t="s">
        <v>112</v>
      </c>
      <c r="N767" s="26" t="s">
        <v>3979</v>
      </c>
      <c r="O767" s="26" t="s">
        <v>3980</v>
      </c>
      <c r="P767" s="26" t="s">
        <v>3981</v>
      </c>
      <c r="Q767" s="20">
        <v>3768</v>
      </c>
      <c r="R767" s="26" t="s">
        <v>36</v>
      </c>
      <c r="S767" s="31">
        <v>3668</v>
      </c>
      <c r="T767" s="32">
        <v>45198</v>
      </c>
      <c r="U767" s="31"/>
      <c r="V767" s="26"/>
      <c r="W767" s="33" t="s">
        <v>3982</v>
      </c>
      <c r="X767" s="26"/>
      <c r="Y767" s="22">
        <v>100</v>
      </c>
      <c r="Z767" s="26" t="s">
        <v>50</v>
      </c>
      <c r="AA767" s="19" t="s">
        <v>3454</v>
      </c>
      <c r="AB767" s="26" t="s">
        <v>146</v>
      </c>
      <c r="AC767" s="26" t="s">
        <v>53</v>
      </c>
      <c r="AD767" s="19" t="s">
        <v>54</v>
      </c>
      <c r="AE767" s="26" t="s">
        <v>1397</v>
      </c>
      <c r="AF767" s="17">
        <v>45208</v>
      </c>
      <c r="AG767" s="26"/>
      <c r="AH767" s="26"/>
      <c r="AI767" s="40"/>
      <c r="AJ767" s="26"/>
      <c r="AK767" s="26"/>
      <c r="AL767" s="35"/>
      <c r="AM767" s="35"/>
      <c r="AN767" s="35"/>
      <c r="AO767" s="35"/>
      <c r="AP767" s="35"/>
    </row>
    <row r="768" spans="1:42" x14ac:dyDescent="0.2">
      <c r="A768" s="27">
        <v>45201.488667523146</v>
      </c>
      <c r="B768" s="28" t="s">
        <v>37</v>
      </c>
      <c r="C768" s="41" t="s">
        <v>118</v>
      </c>
      <c r="D768" s="26" t="s">
        <v>36</v>
      </c>
      <c r="E768" s="26" t="s">
        <v>106</v>
      </c>
      <c r="F768" s="26" t="s">
        <v>1397</v>
      </c>
      <c r="G768" s="26" t="s">
        <v>108</v>
      </c>
      <c r="H768" s="26" t="s">
        <v>2426</v>
      </c>
      <c r="I768" s="17">
        <f ca="1">IFERROR(__xludf.DUMMYFUNCTION("""COMPUTED_VALUE"""),45215)</f>
        <v>45215</v>
      </c>
      <c r="J768" s="29" t="s">
        <v>3983</v>
      </c>
      <c r="K768" s="26" t="s">
        <v>1399</v>
      </c>
      <c r="L768" s="30">
        <v>917925971</v>
      </c>
      <c r="M768" s="26" t="s">
        <v>112</v>
      </c>
      <c r="N768" s="26" t="s">
        <v>3979</v>
      </c>
      <c r="O768" s="26" t="s">
        <v>3984</v>
      </c>
      <c r="P768" s="26" t="s">
        <v>3985</v>
      </c>
      <c r="Q768" s="20">
        <v>3768</v>
      </c>
      <c r="R768" s="26" t="s">
        <v>36</v>
      </c>
      <c r="S768" s="31">
        <v>3668</v>
      </c>
      <c r="T768" s="32">
        <v>45198</v>
      </c>
      <c r="U768" s="31"/>
      <c r="V768" s="26"/>
      <c r="W768" s="33" t="s">
        <v>3986</v>
      </c>
      <c r="X768" s="26"/>
      <c r="Y768" s="22">
        <v>100</v>
      </c>
      <c r="Z768" s="26" t="s">
        <v>50</v>
      </c>
      <c r="AA768" s="19" t="s">
        <v>3454</v>
      </c>
      <c r="AB768" s="26" t="s">
        <v>146</v>
      </c>
      <c r="AC768" s="26" t="s">
        <v>53</v>
      </c>
      <c r="AD768" s="19" t="s">
        <v>54</v>
      </c>
      <c r="AE768" s="26" t="s">
        <v>3987</v>
      </c>
      <c r="AF768" s="17">
        <v>45208</v>
      </c>
      <c r="AG768" s="26"/>
      <c r="AH768" s="26"/>
      <c r="AI768" s="40"/>
      <c r="AJ768" s="26"/>
      <c r="AK768" s="26"/>
      <c r="AL768" s="35"/>
      <c r="AM768" s="35"/>
      <c r="AN768" s="35"/>
      <c r="AO768" s="35"/>
      <c r="AP768" s="35"/>
    </row>
    <row r="769" spans="1:42" x14ac:dyDescent="0.2">
      <c r="A769" s="27">
        <v>45201.658857662042</v>
      </c>
      <c r="B769" s="28" t="s">
        <v>37</v>
      </c>
      <c r="C769" s="41" t="s">
        <v>118</v>
      </c>
      <c r="D769" s="26" t="s">
        <v>36</v>
      </c>
      <c r="E769" s="26" t="s">
        <v>77</v>
      </c>
      <c r="F769" s="26" t="s">
        <v>91</v>
      </c>
      <c r="G769" s="26" t="s">
        <v>41</v>
      </c>
      <c r="H769" s="26" t="s">
        <v>2921</v>
      </c>
      <c r="I769" s="17">
        <f ca="1">IFERROR(__xludf.DUMMYFUNCTION("""COMPUTED_VALUE"""),45209)</f>
        <v>45209</v>
      </c>
      <c r="J769" s="29" t="s">
        <v>3988</v>
      </c>
      <c r="K769" s="26" t="s">
        <v>3989</v>
      </c>
      <c r="L769" s="30">
        <v>947815615</v>
      </c>
      <c r="M769" s="26" t="s">
        <v>2755</v>
      </c>
      <c r="N769" s="26" t="s">
        <v>2756</v>
      </c>
      <c r="O769" s="26" t="s">
        <v>3990</v>
      </c>
      <c r="P769" s="26" t="s">
        <v>3991</v>
      </c>
      <c r="Q769" s="20">
        <v>1968</v>
      </c>
      <c r="R769" s="26" t="s">
        <v>36</v>
      </c>
      <c r="S769" s="31">
        <v>1968</v>
      </c>
      <c r="T769" s="32">
        <v>45201</v>
      </c>
      <c r="U769" s="31"/>
      <c r="V769" s="26"/>
      <c r="W769" s="33" t="s">
        <v>3992</v>
      </c>
      <c r="X769" s="26"/>
      <c r="Y769" s="22">
        <v>0</v>
      </c>
      <c r="Z769" s="26" t="s">
        <v>50</v>
      </c>
      <c r="AA769" s="19" t="s">
        <v>3454</v>
      </c>
      <c r="AB769" s="26" t="s">
        <v>104</v>
      </c>
      <c r="AC769" s="26" t="s">
        <v>53</v>
      </c>
      <c r="AD769" s="19" t="s">
        <v>54</v>
      </c>
      <c r="AE769" s="26" t="s">
        <v>76</v>
      </c>
      <c r="AF769" s="17">
        <v>45202</v>
      </c>
      <c r="AG769" s="26"/>
      <c r="AH769" s="26"/>
      <c r="AI769" s="40"/>
      <c r="AJ769" s="26"/>
      <c r="AK769" s="26"/>
      <c r="AL769" s="35"/>
      <c r="AM769" s="35"/>
      <c r="AN769" s="35"/>
      <c r="AO769" s="35"/>
      <c r="AP769" s="35"/>
    </row>
    <row r="770" spans="1:42" x14ac:dyDescent="0.2">
      <c r="A770" s="27">
        <v>45201.66909541667</v>
      </c>
      <c r="B770" s="28" t="s">
        <v>37</v>
      </c>
      <c r="C770" s="41" t="s">
        <v>118</v>
      </c>
      <c r="D770" s="26" t="s">
        <v>36</v>
      </c>
      <c r="E770" s="26" t="s">
        <v>39</v>
      </c>
      <c r="F770" s="26" t="s">
        <v>91</v>
      </c>
      <c r="G770" s="26" t="s">
        <v>41</v>
      </c>
      <c r="H770" s="26" t="s">
        <v>2921</v>
      </c>
      <c r="I770" s="17">
        <f ca="1">IFERROR(__xludf.DUMMYFUNCTION("""COMPUTED_VALUE"""),45209)</f>
        <v>45209</v>
      </c>
      <c r="J770" s="29" t="s">
        <v>3993</v>
      </c>
      <c r="K770" s="26" t="s">
        <v>3994</v>
      </c>
      <c r="L770" s="30">
        <v>345939554</v>
      </c>
      <c r="M770" s="26" t="s">
        <v>112</v>
      </c>
      <c r="N770" s="26" t="s">
        <v>3995</v>
      </c>
      <c r="O770" s="26" t="s">
        <v>91</v>
      </c>
      <c r="P770" s="26" t="s">
        <v>3996</v>
      </c>
      <c r="Q770" s="20">
        <v>5736</v>
      </c>
      <c r="R770" s="26" t="s">
        <v>36</v>
      </c>
      <c r="S770" s="31">
        <v>5736</v>
      </c>
      <c r="T770" s="32">
        <v>45201</v>
      </c>
      <c r="U770" s="31"/>
      <c r="V770" s="26"/>
      <c r="W770" s="33" t="s">
        <v>3997</v>
      </c>
      <c r="X770" s="26"/>
      <c r="Y770" s="22">
        <v>0</v>
      </c>
      <c r="Z770" s="26" t="s">
        <v>50</v>
      </c>
      <c r="AA770" s="19" t="s">
        <v>3454</v>
      </c>
      <c r="AB770" s="26" t="s">
        <v>104</v>
      </c>
      <c r="AC770" s="26" t="s">
        <v>53</v>
      </c>
      <c r="AD770" s="19" t="s">
        <v>54</v>
      </c>
      <c r="AE770" s="26" t="s">
        <v>420</v>
      </c>
      <c r="AF770" s="17">
        <v>45202</v>
      </c>
      <c r="AG770" s="26"/>
      <c r="AH770" s="26"/>
      <c r="AI770" s="40"/>
      <c r="AJ770" s="26"/>
      <c r="AK770" s="26"/>
      <c r="AL770" s="35"/>
      <c r="AM770" s="35"/>
      <c r="AN770" s="35"/>
      <c r="AO770" s="35"/>
      <c r="AP770" s="35"/>
    </row>
    <row r="771" spans="1:42" x14ac:dyDescent="0.2">
      <c r="A771" s="27">
        <v>45201.884324340281</v>
      </c>
      <c r="B771" s="28" t="s">
        <v>37</v>
      </c>
      <c r="C771" s="41" t="s">
        <v>118</v>
      </c>
      <c r="D771" s="26" t="s">
        <v>36</v>
      </c>
      <c r="E771" s="26" t="s">
        <v>3998</v>
      </c>
      <c r="F771" s="26" t="s">
        <v>36</v>
      </c>
      <c r="G771" s="26" t="s">
        <v>41</v>
      </c>
      <c r="H771" s="26" t="s">
        <v>2967</v>
      </c>
      <c r="I771" s="17">
        <f ca="1">IFERROR(__xludf.DUMMYFUNCTION("""COMPUTED_VALUE"""),45209)</f>
        <v>45209</v>
      </c>
      <c r="J771" s="29" t="s">
        <v>3999</v>
      </c>
      <c r="K771" s="26" t="s">
        <v>4000</v>
      </c>
      <c r="L771" s="30">
        <v>386274462</v>
      </c>
      <c r="M771" s="26" t="s">
        <v>80</v>
      </c>
      <c r="N771" s="26" t="s">
        <v>81</v>
      </c>
      <c r="O771" s="26" t="s">
        <v>4001</v>
      </c>
      <c r="P771" s="26" t="s">
        <v>2641</v>
      </c>
      <c r="Q771" s="20">
        <v>9317</v>
      </c>
      <c r="R771" s="26" t="s">
        <v>36</v>
      </c>
      <c r="S771" s="31">
        <v>200</v>
      </c>
      <c r="T771" s="32">
        <v>45201</v>
      </c>
      <c r="U771" s="31">
        <f>2000+7117</f>
        <v>9117</v>
      </c>
      <c r="V771" s="26" t="s">
        <v>4002</v>
      </c>
      <c r="W771" s="33" t="s">
        <v>4003</v>
      </c>
      <c r="X771" s="26"/>
      <c r="Y771" s="22">
        <v>0</v>
      </c>
      <c r="Z771" s="26" t="s">
        <v>50</v>
      </c>
      <c r="AA771" s="19" t="s">
        <v>3454</v>
      </c>
      <c r="AB771" s="26" t="s">
        <v>104</v>
      </c>
      <c r="AC771" s="26" t="s">
        <v>53</v>
      </c>
      <c r="AD771" s="19" t="s">
        <v>138</v>
      </c>
      <c r="AE771" s="26">
        <v>0</v>
      </c>
      <c r="AF771" s="17">
        <v>44114</v>
      </c>
      <c r="AG771" s="26" t="s">
        <v>1631</v>
      </c>
      <c r="AH771" s="26"/>
      <c r="AI771" s="40"/>
      <c r="AJ771" s="26"/>
      <c r="AK771" s="26"/>
      <c r="AL771" s="35"/>
      <c r="AM771" s="35"/>
      <c r="AN771" s="35"/>
      <c r="AO771" s="35"/>
      <c r="AP771" s="35"/>
    </row>
    <row r="772" spans="1:42" x14ac:dyDescent="0.2">
      <c r="A772" s="27">
        <v>45201.943822581015</v>
      </c>
      <c r="B772" s="28" t="s">
        <v>37</v>
      </c>
      <c r="C772" s="41" t="s">
        <v>118</v>
      </c>
      <c r="D772" s="26" t="s">
        <v>36</v>
      </c>
      <c r="E772" s="26" t="s">
        <v>77</v>
      </c>
      <c r="F772" s="26" t="s">
        <v>91</v>
      </c>
      <c r="G772" s="26" t="s">
        <v>41</v>
      </c>
      <c r="H772" s="26" t="s">
        <v>2921</v>
      </c>
      <c r="I772" s="17">
        <f ca="1">IFERROR(__xludf.DUMMYFUNCTION("""COMPUTED_VALUE"""),45209)</f>
        <v>45209</v>
      </c>
      <c r="J772" s="29" t="s">
        <v>4004</v>
      </c>
      <c r="K772" s="26" t="s">
        <v>4005</v>
      </c>
      <c r="L772" s="30">
        <v>814635642</v>
      </c>
      <c r="M772" s="26" t="s">
        <v>123</v>
      </c>
      <c r="N772" s="26" t="s">
        <v>850</v>
      </c>
      <c r="O772" s="26" t="s">
        <v>1226</v>
      </c>
      <c r="P772" s="26" t="s">
        <v>4006</v>
      </c>
      <c r="Q772" s="20">
        <v>1968</v>
      </c>
      <c r="R772" s="26" t="s">
        <v>70</v>
      </c>
      <c r="S772" s="31">
        <v>200</v>
      </c>
      <c r="T772" s="32">
        <v>44962</v>
      </c>
      <c r="U772" s="31">
        <v>1768</v>
      </c>
      <c r="V772" s="32">
        <v>45200</v>
      </c>
      <c r="W772" s="33" t="s">
        <v>4007</v>
      </c>
      <c r="X772" s="26"/>
      <c r="Y772" s="22">
        <v>0</v>
      </c>
      <c r="Z772" s="26" t="s">
        <v>50</v>
      </c>
      <c r="AA772" s="19" t="s">
        <v>3454</v>
      </c>
      <c r="AB772" s="26" t="s">
        <v>104</v>
      </c>
      <c r="AC772" s="26" t="s">
        <v>53</v>
      </c>
      <c r="AD772" s="19" t="s">
        <v>54</v>
      </c>
      <c r="AE772" s="26"/>
      <c r="AF772" s="17">
        <v>45202</v>
      </c>
      <c r="AG772" s="26"/>
      <c r="AH772" s="26"/>
      <c r="AI772" s="40"/>
      <c r="AJ772" s="26"/>
      <c r="AK772" s="26"/>
      <c r="AL772" s="35"/>
      <c r="AM772" s="35"/>
      <c r="AN772" s="35"/>
      <c r="AO772" s="35"/>
      <c r="AP772" s="35"/>
    </row>
    <row r="773" spans="1:42" x14ac:dyDescent="0.2">
      <c r="A773" s="27">
        <v>45201.945617881946</v>
      </c>
      <c r="B773" s="28" t="s">
        <v>37</v>
      </c>
      <c r="C773" s="41" t="s">
        <v>118</v>
      </c>
      <c r="D773" s="26" t="s">
        <v>36</v>
      </c>
      <c r="E773" s="26" t="s">
        <v>77</v>
      </c>
      <c r="F773" s="26" t="s">
        <v>36</v>
      </c>
      <c r="G773" s="26" t="s">
        <v>41</v>
      </c>
      <c r="H773" s="26" t="s">
        <v>2921</v>
      </c>
      <c r="I773" s="17">
        <f ca="1">IFERROR(__xludf.DUMMYFUNCTION("""COMPUTED_VALUE"""),45209)</f>
        <v>45209</v>
      </c>
      <c r="J773" s="29" t="s">
        <v>4008</v>
      </c>
      <c r="K773" s="26" t="s">
        <v>4009</v>
      </c>
      <c r="L773" s="30">
        <v>979673121</v>
      </c>
      <c r="M773" s="26" t="s">
        <v>123</v>
      </c>
      <c r="N773" s="26" t="s">
        <v>850</v>
      </c>
      <c r="O773" s="26" t="s">
        <v>4010</v>
      </c>
      <c r="P773" s="26" t="s">
        <v>4011</v>
      </c>
      <c r="Q773" s="20">
        <v>1968</v>
      </c>
      <c r="R773" s="26" t="s">
        <v>70</v>
      </c>
      <c r="S773" s="31">
        <v>100</v>
      </c>
      <c r="T773" s="32">
        <v>45054</v>
      </c>
      <c r="U773" s="31">
        <v>1868</v>
      </c>
      <c r="V773" s="32">
        <v>45200</v>
      </c>
      <c r="W773" s="33" t="s">
        <v>4012</v>
      </c>
      <c r="X773" s="26"/>
      <c r="Y773" s="22">
        <v>0</v>
      </c>
      <c r="Z773" s="26" t="s">
        <v>50</v>
      </c>
      <c r="AA773" s="19" t="s">
        <v>3454</v>
      </c>
      <c r="AB773" s="26" t="s">
        <v>104</v>
      </c>
      <c r="AC773" s="26" t="s">
        <v>53</v>
      </c>
      <c r="AD773" s="19" t="s">
        <v>54</v>
      </c>
      <c r="AE773" s="26"/>
      <c r="AF773" s="17">
        <v>45202</v>
      </c>
      <c r="AG773" s="26"/>
      <c r="AH773" s="26"/>
      <c r="AI773" s="40"/>
      <c r="AJ773" s="26"/>
      <c r="AK773" s="26"/>
      <c r="AL773" s="35"/>
      <c r="AM773" s="35"/>
      <c r="AN773" s="35"/>
      <c r="AO773" s="35"/>
      <c r="AP773" s="35"/>
    </row>
    <row r="774" spans="1:42" x14ac:dyDescent="0.2">
      <c r="A774" s="27">
        <v>45201.967771631942</v>
      </c>
      <c r="B774" s="28" t="s">
        <v>37</v>
      </c>
      <c r="C774" s="41" t="s">
        <v>118</v>
      </c>
      <c r="D774" s="26" t="s">
        <v>36</v>
      </c>
      <c r="E774" s="26" t="s">
        <v>139</v>
      </c>
      <c r="F774" s="26" t="s">
        <v>36</v>
      </c>
      <c r="G774" s="26" t="s">
        <v>41</v>
      </c>
      <c r="H774" s="26" t="s">
        <v>3899</v>
      </c>
      <c r="I774" s="17">
        <f ca="1">IFERROR(__xludf.DUMMYFUNCTION("""COMPUTED_VALUE"""),45215)</f>
        <v>45215</v>
      </c>
      <c r="J774" s="29" t="s">
        <v>4013</v>
      </c>
      <c r="K774" s="26" t="s">
        <v>4014</v>
      </c>
      <c r="L774" s="30">
        <v>332965205</v>
      </c>
      <c r="M774" s="26" t="s">
        <v>80</v>
      </c>
      <c r="N774" s="26" t="s">
        <v>81</v>
      </c>
      <c r="O774" s="26" t="s">
        <v>4015</v>
      </c>
      <c r="P774" s="26" t="s">
        <v>2641</v>
      </c>
      <c r="Q774" s="20">
        <v>15936</v>
      </c>
      <c r="R774" s="26" t="s">
        <v>36</v>
      </c>
      <c r="S774" s="31">
        <v>200</v>
      </c>
      <c r="T774" s="32">
        <v>45199</v>
      </c>
      <c r="U774" s="31">
        <f>3800+11936</f>
        <v>15736</v>
      </c>
      <c r="V774" s="26" t="s">
        <v>4016</v>
      </c>
      <c r="W774" s="33" t="s">
        <v>4017</v>
      </c>
      <c r="X774" s="26"/>
      <c r="Y774" s="22">
        <v>0</v>
      </c>
      <c r="Z774" s="26" t="s">
        <v>50</v>
      </c>
      <c r="AA774" s="19" t="s">
        <v>3454</v>
      </c>
      <c r="AB774" s="26" t="s">
        <v>104</v>
      </c>
      <c r="AC774" s="26" t="s">
        <v>53</v>
      </c>
      <c r="AD774" s="19" t="s">
        <v>138</v>
      </c>
      <c r="AE774" s="26">
        <v>0</v>
      </c>
      <c r="AF774" s="17">
        <v>45215</v>
      </c>
      <c r="AG774" s="26" t="s">
        <v>1631</v>
      </c>
      <c r="AH774" s="26"/>
      <c r="AI774" s="40"/>
      <c r="AJ774" s="26"/>
      <c r="AK774" s="26"/>
      <c r="AL774" s="35"/>
      <c r="AM774" s="35"/>
      <c r="AN774" s="35"/>
      <c r="AO774" s="35"/>
      <c r="AP774" s="35"/>
    </row>
    <row r="775" spans="1:42" x14ac:dyDescent="0.2">
      <c r="A775" s="27">
        <v>45201.987589930555</v>
      </c>
      <c r="B775" s="28" t="s">
        <v>37</v>
      </c>
      <c r="C775" s="41" t="s">
        <v>118</v>
      </c>
      <c r="D775" s="26" t="s">
        <v>36</v>
      </c>
      <c r="E775" s="26" t="s">
        <v>148</v>
      </c>
      <c r="F775" s="26" t="s">
        <v>36</v>
      </c>
      <c r="G775" s="26" t="s">
        <v>108</v>
      </c>
      <c r="H775" s="26" t="s">
        <v>3238</v>
      </c>
      <c r="I775" s="17">
        <f ca="1">IFERROR(__xludf.DUMMYFUNCTION("""COMPUTED_VALUE"""),45216)</f>
        <v>45216</v>
      </c>
      <c r="J775" s="29" t="s">
        <v>4018</v>
      </c>
      <c r="K775" s="26" t="s">
        <v>4019</v>
      </c>
      <c r="L775" s="30">
        <v>372498244</v>
      </c>
      <c r="M775" s="26" t="s">
        <v>80</v>
      </c>
      <c r="N775" s="26" t="s">
        <v>1073</v>
      </c>
      <c r="O775" s="26" t="s">
        <v>4020</v>
      </c>
      <c r="P775" s="26" t="s">
        <v>2641</v>
      </c>
      <c r="Q775" s="20">
        <v>7349</v>
      </c>
      <c r="R775" s="26" t="s">
        <v>36</v>
      </c>
      <c r="S775" s="31">
        <v>200</v>
      </c>
      <c r="T775" s="32">
        <v>45201</v>
      </c>
      <c r="U775" s="31">
        <v>7149</v>
      </c>
      <c r="V775" s="32">
        <v>45205</v>
      </c>
      <c r="W775" s="33" t="s">
        <v>4021</v>
      </c>
      <c r="X775" s="26"/>
      <c r="Y775" s="22">
        <v>0</v>
      </c>
      <c r="Z775" s="26" t="s">
        <v>50</v>
      </c>
      <c r="AA775" s="19" t="s">
        <v>3454</v>
      </c>
      <c r="AB775" s="26" t="s">
        <v>104</v>
      </c>
      <c r="AC775" s="26" t="s">
        <v>53</v>
      </c>
      <c r="AD775" s="19" t="s">
        <v>138</v>
      </c>
      <c r="AE775" s="26" t="s">
        <v>2705</v>
      </c>
      <c r="AF775" s="43">
        <v>45216</v>
      </c>
      <c r="AG775" s="26" t="s">
        <v>1631</v>
      </c>
      <c r="AH775" s="26"/>
      <c r="AI775" s="40"/>
      <c r="AJ775" s="26"/>
      <c r="AK775" s="26"/>
      <c r="AL775" s="35"/>
      <c r="AM775" s="35"/>
      <c r="AN775" s="35"/>
      <c r="AO775" s="35"/>
      <c r="AP775" s="35"/>
    </row>
    <row r="776" spans="1:42" x14ac:dyDescent="0.2">
      <c r="A776" s="27">
        <v>45201.988952847227</v>
      </c>
      <c r="B776" s="28" t="s">
        <v>37</v>
      </c>
      <c r="C776" s="41" t="s">
        <v>118</v>
      </c>
      <c r="D776" s="26" t="s">
        <v>36</v>
      </c>
      <c r="E776" s="26" t="s">
        <v>119</v>
      </c>
      <c r="F776" s="26" t="s">
        <v>36</v>
      </c>
      <c r="G776" s="26" t="s">
        <v>108</v>
      </c>
      <c r="H776" s="26" t="s">
        <v>3238</v>
      </c>
      <c r="I776" s="17">
        <f ca="1">IFERROR(__xludf.DUMMYFUNCTION("""COMPUTED_VALUE"""),45216)</f>
        <v>45216</v>
      </c>
      <c r="J776" s="29" t="s">
        <v>4022</v>
      </c>
      <c r="K776" s="26" t="s">
        <v>4023</v>
      </c>
      <c r="L776" s="30">
        <v>354489288</v>
      </c>
      <c r="M776" s="26" t="s">
        <v>80</v>
      </c>
      <c r="N776" s="26" t="s">
        <v>1073</v>
      </c>
      <c r="O776" s="26" t="s">
        <v>4024</v>
      </c>
      <c r="P776" s="26" t="s">
        <v>2641</v>
      </c>
      <c r="Q776" s="20">
        <v>13968</v>
      </c>
      <c r="R776" s="26" t="s">
        <v>36</v>
      </c>
      <c r="S776" s="31">
        <v>200</v>
      </c>
      <c r="T776" s="32">
        <v>45201</v>
      </c>
      <c r="U776" s="31">
        <f>3800 +9968</f>
        <v>13768</v>
      </c>
      <c r="V776" s="26" t="s">
        <v>4025</v>
      </c>
      <c r="W776" s="33" t="s">
        <v>4026</v>
      </c>
      <c r="X776" s="26"/>
      <c r="Y776" s="22">
        <v>0</v>
      </c>
      <c r="Z776" s="26" t="s">
        <v>50</v>
      </c>
      <c r="AA776" s="19" t="s">
        <v>3454</v>
      </c>
      <c r="AB776" s="26" t="s">
        <v>137</v>
      </c>
      <c r="AC776" s="26" t="s">
        <v>53</v>
      </c>
      <c r="AD776" s="19" t="s">
        <v>138</v>
      </c>
      <c r="AE776" s="26" t="s">
        <v>2705</v>
      </c>
      <c r="AF776" s="43">
        <v>45216</v>
      </c>
      <c r="AG776" s="26" t="s">
        <v>1631</v>
      </c>
      <c r="AH776" s="26"/>
      <c r="AI776" s="40"/>
      <c r="AJ776" s="26"/>
      <c r="AK776" s="26"/>
      <c r="AL776" s="35"/>
      <c r="AM776" s="35"/>
      <c r="AN776" s="35"/>
      <c r="AO776" s="35"/>
      <c r="AP776" s="35"/>
    </row>
    <row r="777" spans="1:42" x14ac:dyDescent="0.2">
      <c r="A777" s="27">
        <v>45202.60221646991</v>
      </c>
      <c r="B777" s="28" t="s">
        <v>37</v>
      </c>
      <c r="C777" s="41" t="s">
        <v>118</v>
      </c>
      <c r="D777" s="26" t="s">
        <v>36</v>
      </c>
      <c r="E777" s="26" t="s">
        <v>56</v>
      </c>
      <c r="F777" s="26" t="s">
        <v>36</v>
      </c>
      <c r="G777" s="26" t="s">
        <v>41</v>
      </c>
      <c r="H777" s="19" t="s">
        <v>2921</v>
      </c>
      <c r="I777" s="17">
        <f ca="1">IFERROR(__xludf.DUMMYFUNCTION("""COMPUTED_VALUE"""),45209)</f>
        <v>45209</v>
      </c>
      <c r="J777" s="49" t="s">
        <v>4027</v>
      </c>
      <c r="K777" s="19" t="s">
        <v>4028</v>
      </c>
      <c r="L777" s="47">
        <v>378313441</v>
      </c>
      <c r="M777" s="19" t="s">
        <v>2755</v>
      </c>
      <c r="N777" s="19" t="s">
        <v>2756</v>
      </c>
      <c r="O777" s="19" t="s">
        <v>4029</v>
      </c>
      <c r="P777" s="19" t="s">
        <v>4030</v>
      </c>
      <c r="Q777" s="20">
        <v>9317</v>
      </c>
      <c r="R777" s="26" t="s">
        <v>36</v>
      </c>
      <c r="S777" s="31">
        <v>200</v>
      </c>
      <c r="T777" s="32">
        <v>45202</v>
      </c>
      <c r="U777" s="21">
        <f>7317+1800</f>
        <v>9117</v>
      </c>
      <c r="V777" s="26" t="s">
        <v>4031</v>
      </c>
      <c r="W777" s="33" t="s">
        <v>4032</v>
      </c>
      <c r="X777" s="26"/>
      <c r="Y777" s="22">
        <v>0</v>
      </c>
      <c r="Z777" s="26" t="s">
        <v>50</v>
      </c>
      <c r="AA777" s="19" t="s">
        <v>3454</v>
      </c>
      <c r="AB777" s="26" t="s">
        <v>104</v>
      </c>
      <c r="AC777" s="26" t="s">
        <v>53</v>
      </c>
      <c r="AD777" s="19" t="s">
        <v>54</v>
      </c>
      <c r="AE777" s="26"/>
      <c r="AF777" s="17">
        <v>45205</v>
      </c>
      <c r="AG777" s="26"/>
      <c r="AH777" s="26"/>
      <c r="AI777" s="40"/>
      <c r="AJ777" s="26"/>
      <c r="AK777" s="26"/>
      <c r="AL777" s="35"/>
      <c r="AM777" s="35"/>
      <c r="AN777" s="35"/>
      <c r="AO777" s="35"/>
      <c r="AP777" s="35"/>
    </row>
    <row r="778" spans="1:42" x14ac:dyDescent="0.2">
      <c r="A778" s="27">
        <v>45202.614618981483</v>
      </c>
      <c r="B778" s="28" t="s">
        <v>37</v>
      </c>
      <c r="C778" s="41" t="s">
        <v>118</v>
      </c>
      <c r="D778" s="26" t="s">
        <v>36</v>
      </c>
      <c r="E778" s="26" t="s">
        <v>139</v>
      </c>
      <c r="F778" s="26" t="s">
        <v>36</v>
      </c>
      <c r="G778" s="26" t="s">
        <v>41</v>
      </c>
      <c r="H778" s="26" t="s">
        <v>2967</v>
      </c>
      <c r="I778" s="17">
        <f ca="1">IFERROR(__xludf.DUMMYFUNCTION("""COMPUTED_VALUE"""),45209)</f>
        <v>45209</v>
      </c>
      <c r="J778" s="29" t="s">
        <v>4033</v>
      </c>
      <c r="K778" s="26" t="s">
        <v>4034</v>
      </c>
      <c r="L778" s="30">
        <v>396530205</v>
      </c>
      <c r="M778" s="26" t="s">
        <v>3288</v>
      </c>
      <c r="N778" s="26" t="s">
        <v>200</v>
      </c>
      <c r="O778" s="26" t="s">
        <v>91</v>
      </c>
      <c r="P778" s="26" t="s">
        <v>4035</v>
      </c>
      <c r="Q778" s="20">
        <v>15936</v>
      </c>
      <c r="R778" s="26" t="s">
        <v>36</v>
      </c>
      <c r="S778" s="31">
        <v>2000</v>
      </c>
      <c r="T778" s="32">
        <v>45202</v>
      </c>
      <c r="U778" s="31">
        <v>13836</v>
      </c>
      <c r="V778" s="32">
        <v>45223</v>
      </c>
      <c r="W778" s="33" t="s">
        <v>4036</v>
      </c>
      <c r="X778" s="26"/>
      <c r="Y778" s="22">
        <v>100</v>
      </c>
      <c r="Z778" s="26" t="s">
        <v>50</v>
      </c>
      <c r="AA778" s="19" t="s">
        <v>3454</v>
      </c>
      <c r="AB778" s="26" t="s">
        <v>104</v>
      </c>
      <c r="AC778" s="26" t="s">
        <v>53</v>
      </c>
      <c r="AD778" s="19" t="s">
        <v>138</v>
      </c>
      <c r="AE778" s="26" t="s">
        <v>1327</v>
      </c>
      <c r="AF778" s="17">
        <v>44114</v>
      </c>
      <c r="AG778" s="26" t="s">
        <v>1631</v>
      </c>
      <c r="AH778" s="26"/>
      <c r="AI778" s="40"/>
      <c r="AJ778" s="26"/>
      <c r="AK778" s="26"/>
      <c r="AL778" s="35"/>
      <c r="AM778" s="35"/>
      <c r="AN778" s="35"/>
      <c r="AO778" s="35"/>
      <c r="AP778" s="35"/>
    </row>
    <row r="779" spans="1:42" x14ac:dyDescent="0.2">
      <c r="A779" s="27">
        <v>45202.714726782404</v>
      </c>
      <c r="B779" s="28" t="s">
        <v>90</v>
      </c>
      <c r="C779" s="41" t="s">
        <v>118</v>
      </c>
      <c r="D779" s="26" t="s">
        <v>36</v>
      </c>
      <c r="E779" s="26" t="s">
        <v>139</v>
      </c>
      <c r="F779" s="26" t="s">
        <v>36</v>
      </c>
      <c r="G779" s="26" t="s">
        <v>41</v>
      </c>
      <c r="H779" s="26" t="s">
        <v>3112</v>
      </c>
      <c r="I779" s="17">
        <f ca="1">IFERROR(__xludf.DUMMYFUNCTION("""COMPUTED_VALUE"""),45204)</f>
        <v>45204</v>
      </c>
      <c r="J779" s="29" t="s">
        <v>4037</v>
      </c>
      <c r="K779" s="26" t="s">
        <v>4038</v>
      </c>
      <c r="L779" s="30">
        <v>878886183</v>
      </c>
      <c r="M779" s="26" t="s">
        <v>910</v>
      </c>
      <c r="N779" s="26" t="s">
        <v>3525</v>
      </c>
      <c r="O779" s="26" t="s">
        <v>3754</v>
      </c>
      <c r="P779" s="26" t="s">
        <v>4039</v>
      </c>
      <c r="Q779" s="20">
        <v>15936</v>
      </c>
      <c r="R779" s="26" t="s">
        <v>70</v>
      </c>
      <c r="S779" s="31">
        <v>2000</v>
      </c>
      <c r="T779" s="32">
        <v>45202</v>
      </c>
      <c r="U779" s="31">
        <v>13936</v>
      </c>
      <c r="V779" s="32">
        <v>45223</v>
      </c>
      <c r="W779" s="33" t="s">
        <v>4040</v>
      </c>
      <c r="X779" s="26"/>
      <c r="Y779" s="22">
        <v>0</v>
      </c>
      <c r="Z779" s="26" t="s">
        <v>50</v>
      </c>
      <c r="AA779" s="19" t="s">
        <v>3454</v>
      </c>
      <c r="AB779" s="26" t="s">
        <v>104</v>
      </c>
      <c r="AC779" s="26" t="s">
        <v>53</v>
      </c>
      <c r="AD779" s="19" t="s">
        <v>54</v>
      </c>
      <c r="AE779" s="26"/>
      <c r="AF779" s="17">
        <v>45204</v>
      </c>
      <c r="AG779" s="26" t="s">
        <v>1631</v>
      </c>
      <c r="AH779" s="26"/>
      <c r="AI779" s="40"/>
      <c r="AJ779" s="26"/>
      <c r="AK779" s="26"/>
      <c r="AL779" s="35"/>
      <c r="AM779" s="35"/>
      <c r="AN779" s="35"/>
      <c r="AO779" s="35"/>
      <c r="AP779" s="35"/>
    </row>
    <row r="780" spans="1:42" x14ac:dyDescent="0.2">
      <c r="A780" s="27">
        <v>45202.913673344912</v>
      </c>
      <c r="B780" s="28" t="s">
        <v>37</v>
      </c>
      <c r="C780" s="41" t="s">
        <v>118</v>
      </c>
      <c r="D780" s="26" t="s">
        <v>36</v>
      </c>
      <c r="E780" s="26" t="s">
        <v>139</v>
      </c>
      <c r="F780" s="26" t="s">
        <v>36</v>
      </c>
      <c r="G780" s="26" t="s">
        <v>41</v>
      </c>
      <c r="H780" s="26" t="s">
        <v>2921</v>
      </c>
      <c r="I780" s="17">
        <f ca="1">IFERROR(__xludf.DUMMYFUNCTION("""COMPUTED_VALUE"""),45209)</f>
        <v>45209</v>
      </c>
      <c r="J780" s="29" t="s">
        <v>4041</v>
      </c>
      <c r="K780" s="26" t="s">
        <v>4042</v>
      </c>
      <c r="L780" s="30">
        <v>337281886</v>
      </c>
      <c r="M780" s="26" t="s">
        <v>910</v>
      </c>
      <c r="N780" s="26" t="s">
        <v>3221</v>
      </c>
      <c r="O780" s="26" t="s">
        <v>4043</v>
      </c>
      <c r="P780" s="26" t="s">
        <v>4044</v>
      </c>
      <c r="Q780" s="20">
        <v>15936</v>
      </c>
      <c r="R780" s="26" t="s">
        <v>36</v>
      </c>
      <c r="S780" s="31">
        <v>2000</v>
      </c>
      <c r="T780" s="32">
        <v>45202</v>
      </c>
      <c r="U780" s="31">
        <v>13936</v>
      </c>
      <c r="V780" s="32">
        <v>45226</v>
      </c>
      <c r="W780" s="26" t="s">
        <v>4045</v>
      </c>
      <c r="X780" s="26"/>
      <c r="Y780" s="22">
        <v>0</v>
      </c>
      <c r="Z780" s="26" t="s">
        <v>50</v>
      </c>
      <c r="AA780" s="19" t="s">
        <v>3454</v>
      </c>
      <c r="AB780" s="26" t="s">
        <v>104</v>
      </c>
      <c r="AC780" s="26" t="s">
        <v>53</v>
      </c>
      <c r="AD780" s="19" t="s">
        <v>54</v>
      </c>
      <c r="AE780" s="26"/>
      <c r="AF780" s="17">
        <v>45205</v>
      </c>
      <c r="AG780" s="26"/>
      <c r="AH780" s="26"/>
      <c r="AI780" s="40"/>
      <c r="AJ780" s="26"/>
      <c r="AK780" s="26"/>
      <c r="AL780" s="35"/>
      <c r="AM780" s="35"/>
      <c r="AN780" s="35"/>
      <c r="AO780" s="35"/>
      <c r="AP780" s="35"/>
    </row>
    <row r="781" spans="1:42" x14ac:dyDescent="0.2">
      <c r="A781" s="27">
        <v>45203.46851017361</v>
      </c>
      <c r="B781" s="28" t="s">
        <v>37</v>
      </c>
      <c r="C781" s="41" t="s">
        <v>118</v>
      </c>
      <c r="D781" s="26" t="s">
        <v>36</v>
      </c>
      <c r="E781" s="26" t="s">
        <v>139</v>
      </c>
      <c r="F781" s="26" t="s">
        <v>36</v>
      </c>
      <c r="G781" s="26" t="s">
        <v>41</v>
      </c>
      <c r="H781" s="26" t="s">
        <v>2889</v>
      </c>
      <c r="I781" s="17">
        <f ca="1">IFERROR(__xludf.DUMMYFUNCTION("""COMPUTED_VALUE"""),45200)</f>
        <v>45200</v>
      </c>
      <c r="J781" s="29" t="s">
        <v>4046</v>
      </c>
      <c r="K781" s="26" t="s">
        <v>4047</v>
      </c>
      <c r="L781" s="30">
        <v>945493468</v>
      </c>
      <c r="M781" s="26" t="s">
        <v>123</v>
      </c>
      <c r="N781" s="26" t="s">
        <v>850</v>
      </c>
      <c r="O781" s="26" t="s">
        <v>1226</v>
      </c>
      <c r="P781" s="26" t="s">
        <v>3153</v>
      </c>
      <c r="Q781" s="20">
        <v>15936</v>
      </c>
      <c r="R781" s="26" t="s">
        <v>70</v>
      </c>
      <c r="S781" s="31">
        <v>2000</v>
      </c>
      <c r="T781" s="32">
        <v>45202</v>
      </c>
      <c r="U781" s="31">
        <v>13836</v>
      </c>
      <c r="V781" s="32">
        <v>45205</v>
      </c>
      <c r="W781" s="33" t="s">
        <v>4048</v>
      </c>
      <c r="X781" s="26"/>
      <c r="Y781" s="22">
        <v>100</v>
      </c>
      <c r="Z781" s="26" t="s">
        <v>50</v>
      </c>
      <c r="AA781" s="19" t="s">
        <v>3454</v>
      </c>
      <c r="AB781" s="26" t="s">
        <v>104</v>
      </c>
      <c r="AC781" s="26" t="s">
        <v>53</v>
      </c>
      <c r="AD781" s="19" t="s">
        <v>138</v>
      </c>
      <c r="AE781" s="26"/>
      <c r="AF781" s="17">
        <v>45203</v>
      </c>
      <c r="AG781" s="26" t="s">
        <v>1631</v>
      </c>
      <c r="AH781" s="26"/>
      <c r="AI781" s="40"/>
      <c r="AJ781" s="26"/>
      <c r="AK781" s="26"/>
      <c r="AL781" s="35"/>
      <c r="AM781" s="35"/>
      <c r="AN781" s="35"/>
      <c r="AO781" s="35"/>
      <c r="AP781" s="35"/>
    </row>
    <row r="782" spans="1:42" x14ac:dyDescent="0.2">
      <c r="A782" s="27">
        <v>45203.470983958337</v>
      </c>
      <c r="B782" s="28" t="s">
        <v>37</v>
      </c>
      <c r="C782" s="41" t="s">
        <v>118</v>
      </c>
      <c r="D782" s="26" t="s">
        <v>36</v>
      </c>
      <c r="E782" s="26" t="s">
        <v>139</v>
      </c>
      <c r="F782" s="26" t="s">
        <v>36</v>
      </c>
      <c r="G782" s="26" t="s">
        <v>41</v>
      </c>
      <c r="H782" s="26" t="s">
        <v>2967</v>
      </c>
      <c r="I782" s="17">
        <f ca="1">IFERROR(__xludf.DUMMYFUNCTION("""COMPUTED_VALUE"""),45209)</f>
        <v>45209</v>
      </c>
      <c r="J782" s="29" t="s">
        <v>4049</v>
      </c>
      <c r="K782" s="26" t="s">
        <v>4050</v>
      </c>
      <c r="L782" s="30">
        <v>967514532</v>
      </c>
      <c r="M782" s="26" t="s">
        <v>123</v>
      </c>
      <c r="N782" s="26" t="s">
        <v>186</v>
      </c>
      <c r="O782" s="26" t="s">
        <v>1226</v>
      </c>
      <c r="P782" s="26" t="s">
        <v>3056</v>
      </c>
      <c r="Q782" s="20">
        <v>15936</v>
      </c>
      <c r="R782" s="26" t="s">
        <v>36</v>
      </c>
      <c r="S782" s="31">
        <v>4000</v>
      </c>
      <c r="T782" s="32">
        <v>45202</v>
      </c>
      <c r="U782" s="31">
        <v>11936</v>
      </c>
      <c r="V782" s="32">
        <v>45226</v>
      </c>
      <c r="W782" s="55" t="s">
        <v>4051</v>
      </c>
      <c r="X782" s="26"/>
      <c r="Y782" s="22">
        <v>0</v>
      </c>
      <c r="Z782" s="26" t="s">
        <v>50</v>
      </c>
      <c r="AA782" s="19" t="s">
        <v>3454</v>
      </c>
      <c r="AB782" s="26" t="s">
        <v>104</v>
      </c>
      <c r="AC782" s="26" t="s">
        <v>53</v>
      </c>
      <c r="AD782" s="19" t="s">
        <v>138</v>
      </c>
      <c r="AE782" s="26"/>
      <c r="AF782" s="17">
        <v>44114</v>
      </c>
      <c r="AG782" s="26" t="s">
        <v>1631</v>
      </c>
      <c r="AH782" s="26"/>
      <c r="AI782" s="40"/>
      <c r="AJ782" s="26"/>
      <c r="AK782" s="26"/>
      <c r="AL782" s="35"/>
      <c r="AM782" s="35"/>
      <c r="AN782" s="35"/>
      <c r="AO782" s="35"/>
      <c r="AP782" s="35"/>
    </row>
    <row r="783" spans="1:42" x14ac:dyDescent="0.2">
      <c r="A783" s="27">
        <v>45203.475700543982</v>
      </c>
      <c r="B783" s="28" t="s">
        <v>37</v>
      </c>
      <c r="C783" s="41" t="s">
        <v>118</v>
      </c>
      <c r="D783" s="26" t="s">
        <v>36</v>
      </c>
      <c r="E783" s="26" t="s">
        <v>139</v>
      </c>
      <c r="F783" s="26" t="s">
        <v>36</v>
      </c>
      <c r="G783" s="26" t="s">
        <v>41</v>
      </c>
      <c r="H783" s="26" t="s">
        <v>2967</v>
      </c>
      <c r="I783" s="17">
        <f ca="1">IFERROR(__xludf.DUMMYFUNCTION("""COMPUTED_VALUE"""),45209)</f>
        <v>45209</v>
      </c>
      <c r="J783" s="29" t="s">
        <v>4052</v>
      </c>
      <c r="K783" s="26" t="s">
        <v>4053</v>
      </c>
      <c r="L783" s="30">
        <v>335997728</v>
      </c>
      <c r="M783" s="26" t="s">
        <v>123</v>
      </c>
      <c r="N783" s="26" t="s">
        <v>186</v>
      </c>
      <c r="O783" s="26" t="s">
        <v>1226</v>
      </c>
      <c r="P783" s="26" t="s">
        <v>3487</v>
      </c>
      <c r="Q783" s="20">
        <v>15936</v>
      </c>
      <c r="R783" s="26" t="s">
        <v>70</v>
      </c>
      <c r="S783" s="31">
        <f>200+2000</f>
        <v>2200</v>
      </c>
      <c r="T783" s="26" t="s">
        <v>4054</v>
      </c>
      <c r="U783" s="31">
        <v>13636</v>
      </c>
      <c r="V783" s="32">
        <v>45226</v>
      </c>
      <c r="W783" s="33" t="s">
        <v>4055</v>
      </c>
      <c r="X783" s="26"/>
      <c r="Y783" s="22">
        <v>100</v>
      </c>
      <c r="Z783" s="26" t="s">
        <v>50</v>
      </c>
      <c r="AA783" s="19" t="s">
        <v>3454</v>
      </c>
      <c r="AB783" s="26" t="s">
        <v>104</v>
      </c>
      <c r="AC783" s="26" t="s">
        <v>53</v>
      </c>
      <c r="AD783" s="19" t="s">
        <v>138</v>
      </c>
      <c r="AE783" s="42" t="s">
        <v>4056</v>
      </c>
      <c r="AF783" s="17">
        <v>44114</v>
      </c>
      <c r="AG783" s="26" t="s">
        <v>1631</v>
      </c>
      <c r="AH783" s="26"/>
      <c r="AI783" s="40"/>
      <c r="AJ783" s="26"/>
      <c r="AK783" s="26"/>
      <c r="AL783" s="35"/>
      <c r="AM783" s="35"/>
      <c r="AN783" s="35"/>
      <c r="AO783" s="35"/>
      <c r="AP783" s="35"/>
    </row>
    <row r="784" spans="1:42" x14ac:dyDescent="0.2">
      <c r="A784" s="27">
        <v>45203.507487175928</v>
      </c>
      <c r="B784" s="28" t="s">
        <v>37</v>
      </c>
      <c r="C784" s="41" t="s">
        <v>118</v>
      </c>
      <c r="D784" s="26" t="s">
        <v>36</v>
      </c>
      <c r="E784" s="26" t="s">
        <v>139</v>
      </c>
      <c r="F784" s="26" t="s">
        <v>36</v>
      </c>
      <c r="G784" s="26" t="s">
        <v>41</v>
      </c>
      <c r="H784" s="26" t="s">
        <v>3899</v>
      </c>
      <c r="I784" s="17">
        <f ca="1">IFERROR(__xludf.DUMMYFUNCTION("""COMPUTED_VALUE"""),45215)</f>
        <v>45215</v>
      </c>
      <c r="J784" s="29" t="s">
        <v>4057</v>
      </c>
      <c r="K784" s="26" t="s">
        <v>4058</v>
      </c>
      <c r="L784" s="30">
        <v>848075289</v>
      </c>
      <c r="M784" s="26" t="s">
        <v>123</v>
      </c>
      <c r="N784" s="26" t="s">
        <v>850</v>
      </c>
      <c r="O784" s="26" t="s">
        <v>1226</v>
      </c>
      <c r="P784" s="26" t="s">
        <v>3056</v>
      </c>
      <c r="Q784" s="20">
        <v>15936</v>
      </c>
      <c r="R784" s="26" t="s">
        <v>36</v>
      </c>
      <c r="S784" s="31">
        <f>2000+4000</f>
        <v>6000</v>
      </c>
      <c r="T784" s="26" t="s">
        <v>4059</v>
      </c>
      <c r="U784" s="31">
        <v>9936</v>
      </c>
      <c r="V784" s="32" t="s">
        <v>4060</v>
      </c>
      <c r="W784" s="26" t="s">
        <v>4061</v>
      </c>
      <c r="X784" s="26"/>
      <c r="Y784" s="22">
        <v>0</v>
      </c>
      <c r="Z784" s="26" t="s">
        <v>50</v>
      </c>
      <c r="AA784" s="19" t="s">
        <v>3454</v>
      </c>
      <c r="AB784" s="26" t="s">
        <v>104</v>
      </c>
      <c r="AC784" s="26" t="s">
        <v>53</v>
      </c>
      <c r="AD784" s="19" t="s">
        <v>138</v>
      </c>
      <c r="AE784" s="26"/>
      <c r="AF784" s="17">
        <v>45215</v>
      </c>
      <c r="AG784" s="26" t="s">
        <v>1631</v>
      </c>
      <c r="AH784" s="26"/>
      <c r="AI784" s="40"/>
      <c r="AJ784" s="26"/>
      <c r="AK784" s="26"/>
      <c r="AL784" s="35"/>
      <c r="AM784" s="35"/>
      <c r="AN784" s="35"/>
      <c r="AO784" s="35"/>
      <c r="AP784" s="35"/>
    </row>
    <row r="785" spans="1:42" x14ac:dyDescent="0.2">
      <c r="A785" s="27">
        <v>45203.50944130787</v>
      </c>
      <c r="B785" s="28" t="s">
        <v>37</v>
      </c>
      <c r="C785" s="41" t="s">
        <v>118</v>
      </c>
      <c r="D785" s="26" t="s">
        <v>36</v>
      </c>
      <c r="E785" s="26" t="s">
        <v>139</v>
      </c>
      <c r="F785" s="26" t="s">
        <v>36</v>
      </c>
      <c r="G785" s="26" t="s">
        <v>41</v>
      </c>
      <c r="H785" s="26" t="s">
        <v>2967</v>
      </c>
      <c r="I785" s="17">
        <f ca="1">IFERROR(__xludf.DUMMYFUNCTION("""COMPUTED_VALUE"""),45209)</f>
        <v>45209</v>
      </c>
      <c r="J785" s="29" t="s">
        <v>4062</v>
      </c>
      <c r="K785" s="26" t="s">
        <v>4063</v>
      </c>
      <c r="L785" s="30">
        <v>978185540</v>
      </c>
      <c r="M785" s="26" t="s">
        <v>123</v>
      </c>
      <c r="N785" s="26" t="s">
        <v>327</v>
      </c>
      <c r="O785" s="26" t="s">
        <v>1226</v>
      </c>
      <c r="P785" s="26" t="s">
        <v>3056</v>
      </c>
      <c r="Q785" s="20">
        <v>15936</v>
      </c>
      <c r="R785" s="26" t="s">
        <v>36</v>
      </c>
      <c r="S785" s="31">
        <v>2000</v>
      </c>
      <c r="T785" s="32">
        <v>45203</v>
      </c>
      <c r="U785" s="31">
        <v>13936</v>
      </c>
      <c r="V785" s="32">
        <v>45224</v>
      </c>
      <c r="W785" s="33" t="s">
        <v>4064</v>
      </c>
      <c r="X785" s="26"/>
      <c r="Y785" s="22">
        <v>0</v>
      </c>
      <c r="Z785" s="26" t="s">
        <v>50</v>
      </c>
      <c r="AA785" s="19" t="s">
        <v>3454</v>
      </c>
      <c r="AB785" s="26" t="s">
        <v>104</v>
      </c>
      <c r="AC785" s="26" t="s">
        <v>53</v>
      </c>
      <c r="AD785" s="19" t="s">
        <v>138</v>
      </c>
      <c r="AE785" s="26"/>
      <c r="AF785" s="17">
        <v>44114</v>
      </c>
      <c r="AG785" s="26" t="s">
        <v>1631</v>
      </c>
      <c r="AH785" s="26"/>
      <c r="AI785" s="40"/>
      <c r="AJ785" s="26"/>
      <c r="AK785" s="26"/>
      <c r="AL785" s="35"/>
      <c r="AM785" s="35"/>
      <c r="AN785" s="35"/>
      <c r="AO785" s="35"/>
      <c r="AP785" s="35"/>
    </row>
    <row r="786" spans="1:42" x14ac:dyDescent="0.2">
      <c r="A786" s="27">
        <v>45203.511338969911</v>
      </c>
      <c r="B786" s="28" t="s">
        <v>37</v>
      </c>
      <c r="C786" s="41" t="s">
        <v>118</v>
      </c>
      <c r="D786" s="26" t="s">
        <v>36</v>
      </c>
      <c r="E786" s="26" t="s">
        <v>139</v>
      </c>
      <c r="F786" s="26" t="s">
        <v>36</v>
      </c>
      <c r="G786" s="26" t="s">
        <v>41</v>
      </c>
      <c r="H786" s="26" t="s">
        <v>2967</v>
      </c>
      <c r="I786" s="17">
        <f ca="1">IFERROR(__xludf.DUMMYFUNCTION("""COMPUTED_VALUE"""),45209)</f>
        <v>45209</v>
      </c>
      <c r="J786" s="29" t="s">
        <v>4065</v>
      </c>
      <c r="K786" s="26" t="s">
        <v>4066</v>
      </c>
      <c r="L786" s="30">
        <v>335529925</v>
      </c>
      <c r="M786" s="26" t="s">
        <v>123</v>
      </c>
      <c r="N786" s="26" t="s">
        <v>327</v>
      </c>
      <c r="O786" s="26" t="s">
        <v>1226</v>
      </c>
      <c r="P786" s="26" t="s">
        <v>3056</v>
      </c>
      <c r="Q786" s="20">
        <v>15936</v>
      </c>
      <c r="R786" s="26" t="s">
        <v>36</v>
      </c>
      <c r="S786" s="31">
        <v>2000</v>
      </c>
      <c r="T786" s="32">
        <v>45202</v>
      </c>
      <c r="U786" s="31">
        <v>13936</v>
      </c>
      <c r="V786" s="32">
        <v>45225</v>
      </c>
      <c r="W786" s="33" t="s">
        <v>4067</v>
      </c>
      <c r="X786" s="26"/>
      <c r="Y786" s="22">
        <v>0</v>
      </c>
      <c r="Z786" s="26" t="s">
        <v>50</v>
      </c>
      <c r="AA786" s="19" t="s">
        <v>3454</v>
      </c>
      <c r="AB786" s="26" t="s">
        <v>104</v>
      </c>
      <c r="AC786" s="26" t="s">
        <v>53</v>
      </c>
      <c r="AD786" s="19" t="s">
        <v>138</v>
      </c>
      <c r="AE786" s="26"/>
      <c r="AF786" s="17">
        <v>44114</v>
      </c>
      <c r="AG786" s="26" t="s">
        <v>1631</v>
      </c>
      <c r="AH786" s="26"/>
      <c r="AI786" s="40"/>
      <c r="AJ786" s="26"/>
      <c r="AK786" s="26"/>
      <c r="AL786" s="35"/>
      <c r="AM786" s="35"/>
      <c r="AN786" s="35"/>
      <c r="AO786" s="35"/>
      <c r="AP786" s="35"/>
    </row>
    <row r="787" spans="1:42" x14ac:dyDescent="0.2">
      <c r="A787" s="27">
        <v>45203.513639594908</v>
      </c>
      <c r="B787" s="28" t="s">
        <v>37</v>
      </c>
      <c r="C787" s="41" t="s">
        <v>118</v>
      </c>
      <c r="D787" s="26" t="s">
        <v>36</v>
      </c>
      <c r="E787" s="26" t="s">
        <v>139</v>
      </c>
      <c r="F787" s="26" t="s">
        <v>36</v>
      </c>
      <c r="G787" s="26" t="s">
        <v>41</v>
      </c>
      <c r="H787" s="26" t="s">
        <v>2967</v>
      </c>
      <c r="I787" s="17">
        <f ca="1">IFERROR(__xludf.DUMMYFUNCTION("""COMPUTED_VALUE"""),45209)</f>
        <v>45209</v>
      </c>
      <c r="J787" s="29" t="s">
        <v>4068</v>
      </c>
      <c r="K787" s="26" t="s">
        <v>4069</v>
      </c>
      <c r="L787" s="30">
        <v>862159750</v>
      </c>
      <c r="M787" s="26" t="s">
        <v>123</v>
      </c>
      <c r="N787" s="26" t="s">
        <v>81</v>
      </c>
      <c r="O787" s="26" t="s">
        <v>1226</v>
      </c>
      <c r="P787" s="26" t="s">
        <v>3487</v>
      </c>
      <c r="Q787" s="20">
        <v>15936</v>
      </c>
      <c r="R787" s="26" t="s">
        <v>36</v>
      </c>
      <c r="S787" s="31">
        <v>200</v>
      </c>
      <c r="T787" s="32">
        <v>45203</v>
      </c>
      <c r="U787" s="31">
        <v>15736</v>
      </c>
      <c r="V787" s="26" t="s">
        <v>4070</v>
      </c>
      <c r="W787" s="33" t="s">
        <v>4071</v>
      </c>
      <c r="X787" s="26"/>
      <c r="Y787" s="22">
        <v>0</v>
      </c>
      <c r="Z787" s="26" t="s">
        <v>50</v>
      </c>
      <c r="AA787" s="19" t="s">
        <v>3454</v>
      </c>
      <c r="AB787" s="26" t="s">
        <v>104</v>
      </c>
      <c r="AC787" s="26" t="s">
        <v>53</v>
      </c>
      <c r="AD787" s="19" t="s">
        <v>138</v>
      </c>
      <c r="AE787" s="26"/>
      <c r="AF787" s="17">
        <v>44114</v>
      </c>
      <c r="AG787" s="26" t="s">
        <v>1631</v>
      </c>
      <c r="AH787" s="26"/>
      <c r="AI787" s="40"/>
      <c r="AJ787" s="26"/>
      <c r="AK787" s="26"/>
      <c r="AL787" s="35"/>
      <c r="AM787" s="35"/>
      <c r="AN787" s="35"/>
      <c r="AO787" s="35"/>
      <c r="AP787" s="35"/>
    </row>
    <row r="788" spans="1:42" x14ac:dyDescent="0.2">
      <c r="A788" s="27">
        <v>45203.84091668982</v>
      </c>
      <c r="B788" s="28" t="s">
        <v>37</v>
      </c>
      <c r="C788" s="41" t="s">
        <v>118</v>
      </c>
      <c r="D788" s="26" t="s">
        <v>36</v>
      </c>
      <c r="E788" s="26" t="s">
        <v>106</v>
      </c>
      <c r="F788" s="26" t="s">
        <v>36</v>
      </c>
      <c r="G788" s="26" t="s">
        <v>108</v>
      </c>
      <c r="H788" s="26" t="s">
        <v>3238</v>
      </c>
      <c r="I788" s="17">
        <f ca="1">IFERROR(__xludf.DUMMYFUNCTION("""COMPUTED_VALUE"""),45216)</f>
        <v>45216</v>
      </c>
      <c r="J788" s="29" t="s">
        <v>4072</v>
      </c>
      <c r="K788" s="26" t="s">
        <v>4073</v>
      </c>
      <c r="L788" s="30">
        <v>386353687</v>
      </c>
      <c r="M788" s="26" t="s">
        <v>80</v>
      </c>
      <c r="N788" s="26" t="s">
        <v>81</v>
      </c>
      <c r="O788" s="26" t="s">
        <v>4074</v>
      </c>
      <c r="P788" s="26" t="s">
        <v>4075</v>
      </c>
      <c r="Q788" s="20">
        <v>3768</v>
      </c>
      <c r="R788" s="26" t="s">
        <v>36</v>
      </c>
      <c r="S788" s="31">
        <v>3768</v>
      </c>
      <c r="T788" s="32">
        <v>45203</v>
      </c>
      <c r="U788" s="31"/>
      <c r="V788" s="26"/>
      <c r="W788" s="33" t="s">
        <v>4076</v>
      </c>
      <c r="X788" s="26"/>
      <c r="Y788" s="22">
        <v>0</v>
      </c>
      <c r="Z788" s="26" t="s">
        <v>50</v>
      </c>
      <c r="AA788" s="19" t="s">
        <v>3454</v>
      </c>
      <c r="AB788" s="26" t="s">
        <v>137</v>
      </c>
      <c r="AC788" s="26" t="s">
        <v>53</v>
      </c>
      <c r="AD788" s="19" t="s">
        <v>138</v>
      </c>
      <c r="AE788" s="26">
        <v>400</v>
      </c>
      <c r="AF788" s="43">
        <v>45216</v>
      </c>
      <c r="AG788" s="26" t="s">
        <v>1631</v>
      </c>
      <c r="AH788" s="26"/>
      <c r="AI788" s="40"/>
      <c r="AJ788" s="26"/>
      <c r="AK788" s="26"/>
      <c r="AL788" s="35"/>
      <c r="AM788" s="35"/>
      <c r="AN788" s="35"/>
      <c r="AO788" s="35"/>
      <c r="AP788" s="35"/>
    </row>
    <row r="789" spans="1:42" x14ac:dyDescent="0.2">
      <c r="A789" s="27">
        <v>45204.456291747687</v>
      </c>
      <c r="B789" s="28" t="s">
        <v>37</v>
      </c>
      <c r="C789" s="41" t="s">
        <v>118</v>
      </c>
      <c r="D789" s="26" t="s">
        <v>36</v>
      </c>
      <c r="E789" s="26" t="s">
        <v>119</v>
      </c>
      <c r="F789" s="26" t="s">
        <v>36</v>
      </c>
      <c r="G789" s="26" t="s">
        <v>108</v>
      </c>
      <c r="H789" s="26" t="s">
        <v>3238</v>
      </c>
      <c r="I789" s="17">
        <f ca="1">IFERROR(__xludf.DUMMYFUNCTION("""COMPUTED_VALUE"""),45216)</f>
        <v>45216</v>
      </c>
      <c r="J789" s="29" t="s">
        <v>4077</v>
      </c>
      <c r="K789" s="26" t="s">
        <v>4078</v>
      </c>
      <c r="L789" s="30">
        <v>986274616</v>
      </c>
      <c r="M789" s="26" t="s">
        <v>80</v>
      </c>
      <c r="N789" s="26" t="s">
        <v>81</v>
      </c>
      <c r="O789" s="26" t="s">
        <v>4079</v>
      </c>
      <c r="P789" s="26" t="s">
        <v>4080</v>
      </c>
      <c r="Q789" s="20">
        <v>13968</v>
      </c>
      <c r="R789" s="26" t="s">
        <v>36</v>
      </c>
      <c r="S789" s="31">
        <v>2000</v>
      </c>
      <c r="T789" s="32">
        <v>45204</v>
      </c>
      <c r="U789" s="31">
        <f>2000+9968</f>
        <v>11968</v>
      </c>
      <c r="V789" s="26" t="s">
        <v>4081</v>
      </c>
      <c r="W789" s="33" t="s">
        <v>4082</v>
      </c>
      <c r="X789" s="26"/>
      <c r="Y789" s="22">
        <v>0</v>
      </c>
      <c r="Z789" s="26" t="s">
        <v>50</v>
      </c>
      <c r="AA789" s="19" t="s">
        <v>3454</v>
      </c>
      <c r="AB789" s="26" t="s">
        <v>146</v>
      </c>
      <c r="AC789" s="26" t="s">
        <v>53</v>
      </c>
      <c r="AD789" s="19" t="s">
        <v>138</v>
      </c>
      <c r="AE789" s="26">
        <v>480</v>
      </c>
      <c r="AF789" s="43">
        <v>45216</v>
      </c>
      <c r="AG789" s="26" t="s">
        <v>1631</v>
      </c>
      <c r="AH789" s="26"/>
      <c r="AI789" s="40"/>
      <c r="AJ789" s="26"/>
      <c r="AK789" s="26"/>
      <c r="AL789" s="35"/>
      <c r="AM789" s="35"/>
      <c r="AN789" s="35"/>
      <c r="AO789" s="35"/>
      <c r="AP789" s="35"/>
    </row>
    <row r="790" spans="1:42" x14ac:dyDescent="0.2">
      <c r="A790" s="27">
        <v>45204.479960081022</v>
      </c>
      <c r="B790" s="68" t="s">
        <v>37</v>
      </c>
      <c r="C790" s="41" t="s">
        <v>118</v>
      </c>
      <c r="D790" s="26" t="s">
        <v>36</v>
      </c>
      <c r="E790" s="26" t="s">
        <v>139</v>
      </c>
      <c r="F790" s="26" t="s">
        <v>36</v>
      </c>
      <c r="G790" s="26" t="s">
        <v>41</v>
      </c>
      <c r="H790" s="26" t="s">
        <v>3899</v>
      </c>
      <c r="I790" s="17">
        <f ca="1">IFERROR(__xludf.DUMMYFUNCTION("""COMPUTED_VALUE"""),45215)</f>
        <v>45215</v>
      </c>
      <c r="J790" s="29" t="s">
        <v>4083</v>
      </c>
      <c r="K790" s="26" t="s">
        <v>4084</v>
      </c>
      <c r="L790" s="30">
        <v>899808946</v>
      </c>
      <c r="M790" s="26" t="s">
        <v>80</v>
      </c>
      <c r="N790" s="26" t="s">
        <v>81</v>
      </c>
      <c r="O790" s="26" t="s">
        <v>4085</v>
      </c>
      <c r="P790" s="26" t="s">
        <v>3178</v>
      </c>
      <c r="Q790" s="20">
        <v>15936</v>
      </c>
      <c r="R790" s="26" t="s">
        <v>36</v>
      </c>
      <c r="S790" s="31">
        <v>2000</v>
      </c>
      <c r="T790" s="32">
        <v>45204</v>
      </c>
      <c r="U790" s="31">
        <v>13936</v>
      </c>
      <c r="V790" s="32">
        <v>45230</v>
      </c>
      <c r="W790" s="33" t="s">
        <v>4086</v>
      </c>
      <c r="X790" s="26"/>
      <c r="Y790" s="22">
        <v>0</v>
      </c>
      <c r="Z790" s="26" t="s">
        <v>50</v>
      </c>
      <c r="AA790" s="19" t="s">
        <v>3454</v>
      </c>
      <c r="AB790" s="26" t="s">
        <v>104</v>
      </c>
      <c r="AC790" s="26" t="s">
        <v>53</v>
      </c>
      <c r="AD790" s="19" t="s">
        <v>138</v>
      </c>
      <c r="AE790" s="26">
        <v>0</v>
      </c>
      <c r="AF790" s="17">
        <v>45215</v>
      </c>
      <c r="AG790" s="26" t="s">
        <v>1631</v>
      </c>
      <c r="AH790" s="26"/>
      <c r="AI790" s="40"/>
      <c r="AJ790" s="26"/>
      <c r="AK790" s="26"/>
      <c r="AL790" s="35"/>
      <c r="AM790" s="35"/>
      <c r="AN790" s="35"/>
      <c r="AO790" s="35"/>
      <c r="AP790" s="35"/>
    </row>
    <row r="791" spans="1:42" x14ac:dyDescent="0.2">
      <c r="A791" s="27">
        <v>45204.721205694441</v>
      </c>
      <c r="B791" s="28" t="s">
        <v>37</v>
      </c>
      <c r="C791" s="41" t="s">
        <v>118</v>
      </c>
      <c r="D791" s="26" t="s">
        <v>36</v>
      </c>
      <c r="E791" s="26" t="s">
        <v>56</v>
      </c>
      <c r="F791" s="26" t="s">
        <v>91</v>
      </c>
      <c r="G791" s="26" t="s">
        <v>41</v>
      </c>
      <c r="H791" s="26" t="s">
        <v>4087</v>
      </c>
      <c r="I791" s="17">
        <f ca="1">IFERROR(__xludf.DUMMYFUNCTION("""COMPUTED_VALUE"""),45358)</f>
        <v>45358</v>
      </c>
      <c r="J791" s="29" t="s">
        <v>4088</v>
      </c>
      <c r="K791" s="26" t="s">
        <v>4089</v>
      </c>
      <c r="L791" s="30">
        <v>862613804</v>
      </c>
      <c r="M791" s="26" t="s">
        <v>3288</v>
      </c>
      <c r="N791" s="26" t="s">
        <v>200</v>
      </c>
      <c r="O791" s="26" t="s">
        <v>91</v>
      </c>
      <c r="P791" s="26" t="s">
        <v>4090</v>
      </c>
      <c r="Q791" s="20">
        <v>9317</v>
      </c>
      <c r="R791" s="26" t="s">
        <v>36</v>
      </c>
      <c r="S791" s="31">
        <v>9317</v>
      </c>
      <c r="T791" s="32">
        <v>45203</v>
      </c>
      <c r="U791" s="31"/>
      <c r="V791" s="26"/>
      <c r="W791" s="33" t="s">
        <v>4091</v>
      </c>
      <c r="X791" s="26"/>
      <c r="Y791" s="22">
        <v>0</v>
      </c>
      <c r="Z791" s="26" t="s">
        <v>50</v>
      </c>
      <c r="AA791" s="19" t="s">
        <v>3454</v>
      </c>
      <c r="AB791" s="26" t="s">
        <v>104</v>
      </c>
      <c r="AC791" s="26" t="s">
        <v>53</v>
      </c>
      <c r="AD791" s="19" t="s">
        <v>54</v>
      </c>
      <c r="AE791" s="26">
        <v>320</v>
      </c>
      <c r="AF791" s="17">
        <v>45358</v>
      </c>
      <c r="AG791" s="26" t="s">
        <v>4092</v>
      </c>
      <c r="AH791" s="26"/>
      <c r="AI791" s="40"/>
      <c r="AJ791" s="26"/>
      <c r="AK791" s="26"/>
      <c r="AL791" s="35"/>
      <c r="AM791" s="35"/>
      <c r="AN791" s="35"/>
      <c r="AO791" s="35"/>
      <c r="AP791" s="35"/>
    </row>
    <row r="792" spans="1:42" x14ac:dyDescent="0.2">
      <c r="A792" s="27">
        <v>45205.59461990741</v>
      </c>
      <c r="B792" s="28" t="s">
        <v>37</v>
      </c>
      <c r="C792" s="41" t="s">
        <v>118</v>
      </c>
      <c r="D792" s="26" t="s">
        <v>36</v>
      </c>
      <c r="E792" s="26" t="s">
        <v>148</v>
      </c>
      <c r="F792" s="26" t="s">
        <v>91</v>
      </c>
      <c r="G792" s="26" t="s">
        <v>108</v>
      </c>
      <c r="H792" s="26" t="s">
        <v>3013</v>
      </c>
      <c r="I792" s="17">
        <f ca="1">IFERROR(__xludf.DUMMYFUNCTION("""COMPUTED_VALUE"""),45207)</f>
        <v>45207</v>
      </c>
      <c r="J792" s="29" t="s">
        <v>4093</v>
      </c>
      <c r="K792" s="26" t="s">
        <v>4094</v>
      </c>
      <c r="L792" s="30">
        <v>397369810</v>
      </c>
      <c r="M792" s="26" t="s">
        <v>391</v>
      </c>
      <c r="N792" s="26" t="s">
        <v>1424</v>
      </c>
      <c r="O792" s="26"/>
      <c r="P792" s="26" t="s">
        <v>4095</v>
      </c>
      <c r="Q792" s="20">
        <v>7349</v>
      </c>
      <c r="R792" s="26" t="s">
        <v>36</v>
      </c>
      <c r="S792" s="31">
        <f>1000+3000</f>
        <v>4000</v>
      </c>
      <c r="T792" s="26" t="s">
        <v>4096</v>
      </c>
      <c r="U792" s="31">
        <v>3349</v>
      </c>
      <c r="V792" s="32">
        <v>45224</v>
      </c>
      <c r="W792" s="33" t="s">
        <v>4097</v>
      </c>
      <c r="X792" s="26"/>
      <c r="Y792" s="22">
        <v>0</v>
      </c>
      <c r="Z792" s="26" t="s">
        <v>50</v>
      </c>
      <c r="AA792" s="19" t="s">
        <v>3454</v>
      </c>
      <c r="AB792" s="26" t="s">
        <v>128</v>
      </c>
      <c r="AC792" s="26" t="s">
        <v>53</v>
      </c>
      <c r="AD792" s="19" t="s">
        <v>138</v>
      </c>
      <c r="AE792" s="26">
        <v>380</v>
      </c>
      <c r="AF792" s="17">
        <v>45207</v>
      </c>
      <c r="AG792" s="26" t="s">
        <v>1631</v>
      </c>
      <c r="AH792" s="26"/>
      <c r="AI792" s="40"/>
      <c r="AJ792" s="26"/>
      <c r="AK792" s="26"/>
      <c r="AL792" s="35"/>
      <c r="AM792" s="35"/>
      <c r="AN792" s="35"/>
      <c r="AO792" s="35"/>
      <c r="AP792" s="35"/>
    </row>
    <row r="793" spans="1:42" x14ac:dyDescent="0.2">
      <c r="A793" s="27">
        <v>45205.682242407405</v>
      </c>
      <c r="B793" s="28" t="s">
        <v>37</v>
      </c>
      <c r="C793" s="41" t="s">
        <v>118</v>
      </c>
      <c r="D793" s="26" t="s">
        <v>36</v>
      </c>
      <c r="E793" s="26" t="s">
        <v>106</v>
      </c>
      <c r="F793" s="26" t="s">
        <v>91</v>
      </c>
      <c r="G793" s="26" t="s">
        <v>108</v>
      </c>
      <c r="H793" s="26" t="s">
        <v>1788</v>
      </c>
      <c r="I793" s="17">
        <f ca="1">IFERROR(__xludf.DUMMYFUNCTION("""COMPUTED_VALUE"""),45228)</f>
        <v>45228</v>
      </c>
      <c r="J793" s="29" t="s">
        <v>658</v>
      </c>
      <c r="K793" s="26" t="s">
        <v>4098</v>
      </c>
      <c r="L793" s="30">
        <v>964000969</v>
      </c>
      <c r="M793" s="26" t="s">
        <v>123</v>
      </c>
      <c r="N793" s="26" t="s">
        <v>327</v>
      </c>
      <c r="O793" s="26" t="s">
        <v>1226</v>
      </c>
      <c r="P793" s="26" t="s">
        <v>4099</v>
      </c>
      <c r="Q793" s="20">
        <v>3768</v>
      </c>
      <c r="R793" s="26" t="s">
        <v>36</v>
      </c>
      <c r="S793" s="31">
        <v>3768</v>
      </c>
      <c r="T793" s="32">
        <v>45204</v>
      </c>
      <c r="U793" s="31"/>
      <c r="V793" s="26"/>
      <c r="W793" s="33" t="s">
        <v>4100</v>
      </c>
      <c r="X793" s="26"/>
      <c r="Y793" s="22">
        <v>0</v>
      </c>
      <c r="Z793" s="26" t="s">
        <v>50</v>
      </c>
      <c r="AA793" s="19" t="s">
        <v>3454</v>
      </c>
      <c r="AB793" s="26" t="s">
        <v>154</v>
      </c>
      <c r="AC793" s="26" t="s">
        <v>53</v>
      </c>
      <c r="AD793" s="19" t="s">
        <v>54</v>
      </c>
      <c r="AE793" s="26"/>
      <c r="AF793" s="17">
        <v>45218</v>
      </c>
      <c r="AG793" s="26"/>
      <c r="AH793" s="26"/>
      <c r="AI793" s="40"/>
      <c r="AJ793" s="26"/>
      <c r="AK793" s="26"/>
      <c r="AL793" s="35"/>
      <c r="AM793" s="35"/>
      <c r="AN793" s="35"/>
      <c r="AO793" s="35"/>
      <c r="AP793" s="35"/>
    </row>
    <row r="794" spans="1:42" x14ac:dyDescent="0.2">
      <c r="A794" s="27">
        <v>45205.685368032406</v>
      </c>
      <c r="B794" s="28" t="s">
        <v>37</v>
      </c>
      <c r="C794" s="41" t="s">
        <v>118</v>
      </c>
      <c r="D794" s="26" t="s">
        <v>36</v>
      </c>
      <c r="E794" s="26" t="s">
        <v>139</v>
      </c>
      <c r="F794" s="26" t="s">
        <v>36</v>
      </c>
      <c r="G794" s="26" t="s">
        <v>41</v>
      </c>
      <c r="H794" s="26" t="s">
        <v>2921</v>
      </c>
      <c r="I794" s="17">
        <f ca="1">IFERROR(__xludf.DUMMYFUNCTION("""COMPUTED_VALUE"""),45209)</f>
        <v>45209</v>
      </c>
      <c r="J794" s="29" t="s">
        <v>4101</v>
      </c>
      <c r="K794" s="26" t="s">
        <v>4102</v>
      </c>
      <c r="L794" s="30">
        <v>974883029</v>
      </c>
      <c r="M794" s="26" t="s">
        <v>123</v>
      </c>
      <c r="N794" s="26" t="s">
        <v>186</v>
      </c>
      <c r="O794" s="26" t="s">
        <v>1226</v>
      </c>
      <c r="P794" s="26" t="s">
        <v>4103</v>
      </c>
      <c r="Q794" s="20">
        <v>15936</v>
      </c>
      <c r="R794" s="26" t="s">
        <v>70</v>
      </c>
      <c r="S794" s="31">
        <v>200</v>
      </c>
      <c r="T794" s="32">
        <v>45200</v>
      </c>
      <c r="U794" s="31">
        <v>15636</v>
      </c>
      <c r="V794" s="32">
        <v>45205</v>
      </c>
      <c r="W794" s="26" t="s">
        <v>4104</v>
      </c>
      <c r="X794" s="26"/>
      <c r="Y794" s="22">
        <v>100</v>
      </c>
      <c r="Z794" s="26" t="s">
        <v>50</v>
      </c>
      <c r="AA794" s="19" t="s">
        <v>3454</v>
      </c>
      <c r="AB794" s="26" t="s">
        <v>104</v>
      </c>
      <c r="AC794" s="26" t="s">
        <v>53</v>
      </c>
      <c r="AD794" s="19" t="s">
        <v>54</v>
      </c>
      <c r="AE794" s="26"/>
      <c r="AF794" s="17">
        <v>45208</v>
      </c>
      <c r="AG794" s="26"/>
      <c r="AH794" s="26"/>
      <c r="AI794" s="40"/>
      <c r="AJ794" s="26"/>
      <c r="AK794" s="26"/>
      <c r="AL794" s="35"/>
      <c r="AM794" s="35"/>
      <c r="AN794" s="35"/>
      <c r="AO794" s="35"/>
      <c r="AP794" s="35"/>
    </row>
    <row r="795" spans="1:42" x14ac:dyDescent="0.2">
      <c r="A795" s="27">
        <v>45206.914697789354</v>
      </c>
      <c r="B795" s="28" t="s">
        <v>37</v>
      </c>
      <c r="C795" s="41" t="s">
        <v>118</v>
      </c>
      <c r="D795" s="26" t="s">
        <v>36</v>
      </c>
      <c r="E795" s="26" t="s">
        <v>139</v>
      </c>
      <c r="F795" s="26" t="s">
        <v>91</v>
      </c>
      <c r="G795" s="26" t="s">
        <v>41</v>
      </c>
      <c r="H795" s="26" t="s">
        <v>3090</v>
      </c>
      <c r="I795" s="17">
        <f ca="1">IFERROR(__xludf.DUMMYFUNCTION("""COMPUTED_VALUE"""),45215)</f>
        <v>45215</v>
      </c>
      <c r="J795" s="29" t="s">
        <v>4105</v>
      </c>
      <c r="K795" s="26" t="s">
        <v>4106</v>
      </c>
      <c r="L795" s="30">
        <v>394589165</v>
      </c>
      <c r="M795" s="26" t="s">
        <v>123</v>
      </c>
      <c r="N795" s="26" t="s">
        <v>186</v>
      </c>
      <c r="O795" s="26" t="s">
        <v>1226</v>
      </c>
      <c r="P795" s="26" t="s">
        <v>4107</v>
      </c>
      <c r="Q795" s="20">
        <v>15936</v>
      </c>
      <c r="R795" s="26" t="s">
        <v>36</v>
      </c>
      <c r="S795" s="31">
        <v>7500</v>
      </c>
      <c r="T795" s="32">
        <v>45206</v>
      </c>
      <c r="U795" s="31">
        <v>8436</v>
      </c>
      <c r="V795" s="32">
        <v>45230</v>
      </c>
      <c r="W795" s="33" t="s">
        <v>4108</v>
      </c>
      <c r="X795" s="26"/>
      <c r="Y795" s="22">
        <v>0</v>
      </c>
      <c r="Z795" s="26" t="s">
        <v>50</v>
      </c>
      <c r="AA795" s="19" t="s">
        <v>3454</v>
      </c>
      <c r="AB795" s="26" t="s">
        <v>104</v>
      </c>
      <c r="AC795" s="26" t="s">
        <v>53</v>
      </c>
      <c r="AD795" s="19" t="s">
        <v>54</v>
      </c>
      <c r="AE795" s="26"/>
      <c r="AF795" s="17">
        <v>45208</v>
      </c>
      <c r="AG795" s="26"/>
      <c r="AH795" s="26"/>
      <c r="AI795" s="40"/>
      <c r="AJ795" s="26"/>
      <c r="AK795" s="26"/>
      <c r="AL795" s="35"/>
      <c r="AM795" s="35"/>
      <c r="AN795" s="35"/>
      <c r="AO795" s="35"/>
      <c r="AP795" s="35"/>
    </row>
    <row r="796" spans="1:42" x14ac:dyDescent="0.2">
      <c r="A796" s="27">
        <v>45206.916611354165</v>
      </c>
      <c r="B796" s="28" t="s">
        <v>37</v>
      </c>
      <c r="C796" s="41" t="s">
        <v>118</v>
      </c>
      <c r="D796" s="26" t="s">
        <v>36</v>
      </c>
      <c r="E796" s="26" t="s">
        <v>77</v>
      </c>
      <c r="F796" s="26" t="s">
        <v>91</v>
      </c>
      <c r="G796" s="26" t="s">
        <v>41</v>
      </c>
      <c r="H796" s="26" t="s">
        <v>4109</v>
      </c>
      <c r="I796" s="17" t="str">
        <f ca="1">IFERROR(__xludf.DUMMYFUNCTION("""COMPUTED_VALUE""")," ")</f>
        <v xml:space="preserve"> </v>
      </c>
      <c r="J796" s="29" t="s">
        <v>4110</v>
      </c>
      <c r="K796" s="26" t="s">
        <v>4111</v>
      </c>
      <c r="L796" s="30">
        <v>366142986</v>
      </c>
      <c r="M796" s="26" t="s">
        <v>123</v>
      </c>
      <c r="N796" s="26" t="s">
        <v>81</v>
      </c>
      <c r="O796" s="26" t="s">
        <v>1226</v>
      </c>
      <c r="P796" s="26" t="s">
        <v>4112</v>
      </c>
      <c r="Q796" s="20">
        <v>1968</v>
      </c>
      <c r="R796" s="26" t="s">
        <v>70</v>
      </c>
      <c r="S796" s="31">
        <v>1968</v>
      </c>
      <c r="T796" s="32">
        <v>45206</v>
      </c>
      <c r="U796" s="31"/>
      <c r="V796" s="26"/>
      <c r="W796" s="33" t="s">
        <v>4113</v>
      </c>
      <c r="X796" s="26"/>
      <c r="Y796" s="22">
        <v>0</v>
      </c>
      <c r="Z796" s="26" t="s">
        <v>50</v>
      </c>
      <c r="AA796" s="19" t="s">
        <v>3454</v>
      </c>
      <c r="AB796" s="26" t="s">
        <v>104</v>
      </c>
      <c r="AC796" s="26" t="s">
        <v>53</v>
      </c>
      <c r="AD796" s="19" t="s">
        <v>54</v>
      </c>
      <c r="AE796" s="26"/>
      <c r="AF796" s="17">
        <v>45208</v>
      </c>
      <c r="AG796" s="26"/>
      <c r="AH796" s="26"/>
      <c r="AI796" s="40"/>
      <c r="AJ796" s="26"/>
      <c r="AK796" s="26"/>
      <c r="AL796" s="35"/>
      <c r="AM796" s="35"/>
      <c r="AN796" s="35"/>
      <c r="AO796" s="35"/>
      <c r="AP796" s="35"/>
    </row>
    <row r="797" spans="1:42" x14ac:dyDescent="0.2">
      <c r="A797" s="27">
        <v>45206.917660787032</v>
      </c>
      <c r="B797" s="28" t="s">
        <v>37</v>
      </c>
      <c r="C797" s="41" t="s">
        <v>118</v>
      </c>
      <c r="D797" s="26" t="s">
        <v>36</v>
      </c>
      <c r="E797" s="26" t="s">
        <v>77</v>
      </c>
      <c r="F797" s="26" t="s">
        <v>91</v>
      </c>
      <c r="G797" s="26" t="s">
        <v>41</v>
      </c>
      <c r="H797" s="26" t="s">
        <v>3090</v>
      </c>
      <c r="I797" s="17">
        <f ca="1">IFERROR(__xludf.DUMMYFUNCTION("""COMPUTED_VALUE"""),45215)</f>
        <v>45215</v>
      </c>
      <c r="J797" s="29" t="s">
        <v>4114</v>
      </c>
      <c r="K797" s="26" t="s">
        <v>4115</v>
      </c>
      <c r="L797" s="30">
        <v>975082895</v>
      </c>
      <c r="M797" s="26" t="s">
        <v>123</v>
      </c>
      <c r="N797" s="26" t="s">
        <v>81</v>
      </c>
      <c r="O797" s="26" t="s">
        <v>1226</v>
      </c>
      <c r="P797" s="26" t="s">
        <v>4116</v>
      </c>
      <c r="Q797" s="20">
        <v>1968</v>
      </c>
      <c r="R797" s="26" t="s">
        <v>36</v>
      </c>
      <c r="S797" s="31">
        <v>1968</v>
      </c>
      <c r="T797" s="32">
        <v>45206</v>
      </c>
      <c r="U797" s="31"/>
      <c r="V797" s="26"/>
      <c r="W797" s="33" t="s">
        <v>4117</v>
      </c>
      <c r="X797" s="26"/>
      <c r="Y797" s="22">
        <v>0</v>
      </c>
      <c r="Z797" s="26" t="s">
        <v>50</v>
      </c>
      <c r="AA797" s="19" t="s">
        <v>3454</v>
      </c>
      <c r="AB797" s="26" t="s">
        <v>104</v>
      </c>
      <c r="AC797" s="26" t="s">
        <v>53</v>
      </c>
      <c r="AD797" s="19" t="s">
        <v>54</v>
      </c>
      <c r="AE797" s="26"/>
      <c r="AF797" s="17">
        <v>45208</v>
      </c>
      <c r="AG797" s="26"/>
      <c r="AH797" s="26"/>
      <c r="AI797" s="40"/>
      <c r="AJ797" s="26"/>
      <c r="AK797" s="26"/>
      <c r="AL797" s="35"/>
      <c r="AM797" s="35"/>
      <c r="AN797" s="35"/>
      <c r="AO797" s="35"/>
      <c r="AP797" s="35"/>
    </row>
    <row r="798" spans="1:42" x14ac:dyDescent="0.2">
      <c r="A798" s="27">
        <v>45206.981559884254</v>
      </c>
      <c r="B798" s="28" t="s">
        <v>37</v>
      </c>
      <c r="C798" s="41" t="s">
        <v>118</v>
      </c>
      <c r="D798" s="26" t="s">
        <v>36</v>
      </c>
      <c r="E798" s="26" t="s">
        <v>139</v>
      </c>
      <c r="F798" s="26" t="s">
        <v>91</v>
      </c>
      <c r="G798" s="26" t="s">
        <v>41</v>
      </c>
      <c r="H798" s="26" t="s">
        <v>3302</v>
      </c>
      <c r="I798" s="17">
        <f ca="1">IFERROR(__xludf.DUMMYFUNCTION("""COMPUTED_VALUE"""),45224)</f>
        <v>45224</v>
      </c>
      <c r="J798" s="29" t="s">
        <v>4118</v>
      </c>
      <c r="K798" s="26" t="s">
        <v>4119</v>
      </c>
      <c r="L798" s="30">
        <v>367450851</v>
      </c>
      <c r="M798" s="26" t="s">
        <v>123</v>
      </c>
      <c r="N798" s="26" t="s">
        <v>850</v>
      </c>
      <c r="O798" s="26" t="s">
        <v>1313</v>
      </c>
      <c r="P798" s="26" t="s">
        <v>4120</v>
      </c>
      <c r="Q798" s="20">
        <v>15936</v>
      </c>
      <c r="R798" s="26" t="s">
        <v>36</v>
      </c>
      <c r="S798" s="31">
        <v>2000</v>
      </c>
      <c r="T798" s="32">
        <v>45206</v>
      </c>
      <c r="U798" s="31">
        <v>13936</v>
      </c>
      <c r="V798" s="32">
        <v>45207</v>
      </c>
      <c r="W798" s="33" t="s">
        <v>4121</v>
      </c>
      <c r="X798" s="26"/>
      <c r="Y798" s="22">
        <v>0</v>
      </c>
      <c r="Z798" s="26" t="s">
        <v>50</v>
      </c>
      <c r="AA798" s="19" t="s">
        <v>3454</v>
      </c>
      <c r="AB798" s="26" t="s">
        <v>104</v>
      </c>
      <c r="AC798" s="26" t="s">
        <v>53</v>
      </c>
      <c r="AD798" s="19" t="s">
        <v>54</v>
      </c>
      <c r="AE798" s="26"/>
      <c r="AF798" s="17">
        <v>45215</v>
      </c>
      <c r="AG798" s="26"/>
      <c r="AH798" s="26"/>
      <c r="AI798" s="40"/>
      <c r="AJ798" s="26"/>
      <c r="AK798" s="26"/>
      <c r="AL798" s="35"/>
      <c r="AM798" s="35"/>
      <c r="AN798" s="35"/>
      <c r="AO798" s="35"/>
      <c r="AP798" s="35"/>
    </row>
    <row r="799" spans="1:42" x14ac:dyDescent="0.2">
      <c r="A799" s="27">
        <v>45207.850995995366</v>
      </c>
      <c r="B799" s="28" t="s">
        <v>37</v>
      </c>
      <c r="C799" s="41" t="s">
        <v>118</v>
      </c>
      <c r="D799" s="26" t="s">
        <v>36</v>
      </c>
      <c r="E799" s="26" t="s">
        <v>139</v>
      </c>
      <c r="F799" s="26" t="s">
        <v>40</v>
      </c>
      <c r="G799" s="26" t="s">
        <v>41</v>
      </c>
      <c r="H799" s="26" t="s">
        <v>3899</v>
      </c>
      <c r="I799" s="17">
        <f ca="1">IFERROR(__xludf.DUMMYFUNCTION("""COMPUTED_VALUE"""),45215)</f>
        <v>45215</v>
      </c>
      <c r="J799" s="29" t="s">
        <v>4122</v>
      </c>
      <c r="K799" s="26" t="s">
        <v>4123</v>
      </c>
      <c r="L799" s="30">
        <v>338703995</v>
      </c>
      <c r="M799" s="26" t="s">
        <v>3728</v>
      </c>
      <c r="N799" s="26" t="s">
        <v>4124</v>
      </c>
      <c r="O799" s="26" t="s">
        <v>4125</v>
      </c>
      <c r="P799" s="26" t="s">
        <v>4126</v>
      </c>
      <c r="Q799" s="20">
        <v>15936</v>
      </c>
      <c r="R799" s="26" t="s">
        <v>36</v>
      </c>
      <c r="S799" s="31">
        <v>15936</v>
      </c>
      <c r="T799" s="32">
        <v>45207</v>
      </c>
      <c r="U799" s="31"/>
      <c r="V799" s="26"/>
      <c r="W799" s="33" t="s">
        <v>4127</v>
      </c>
      <c r="X799" s="26"/>
      <c r="Y799" s="22">
        <v>0</v>
      </c>
      <c r="Z799" s="26" t="s">
        <v>50</v>
      </c>
      <c r="AA799" s="19" t="s">
        <v>3454</v>
      </c>
      <c r="AB799" s="26" t="s">
        <v>104</v>
      </c>
      <c r="AC799" s="26" t="s">
        <v>53</v>
      </c>
      <c r="AD799" s="19" t="s">
        <v>138</v>
      </c>
      <c r="AE799" s="26">
        <v>0</v>
      </c>
      <c r="AF799" s="17">
        <v>45215</v>
      </c>
      <c r="AG799" s="26" t="s">
        <v>1631</v>
      </c>
      <c r="AH799" s="26"/>
      <c r="AI799" s="40"/>
      <c r="AJ799" s="26"/>
      <c r="AK799" s="26"/>
      <c r="AL799" s="35"/>
      <c r="AM799" s="35"/>
      <c r="AN799" s="35"/>
      <c r="AO799" s="35"/>
      <c r="AP799" s="35"/>
    </row>
    <row r="800" spans="1:42" x14ac:dyDescent="0.2">
      <c r="A800" s="27">
        <v>45207.895700046298</v>
      </c>
      <c r="B800" s="28" t="s">
        <v>37</v>
      </c>
      <c r="C800" s="41" t="s">
        <v>118</v>
      </c>
      <c r="D800" s="26" t="s">
        <v>4128</v>
      </c>
      <c r="E800" s="26" t="s">
        <v>139</v>
      </c>
      <c r="F800" s="26" t="s">
        <v>91</v>
      </c>
      <c r="G800" s="26" t="s">
        <v>41</v>
      </c>
      <c r="H800" s="26" t="s">
        <v>4129</v>
      </c>
      <c r="I800" s="17">
        <f ca="1">IFERROR(__xludf.DUMMYFUNCTION("""COMPUTED_VALUE"""),45232)</f>
        <v>45232</v>
      </c>
      <c r="J800" s="29" t="s">
        <v>4130</v>
      </c>
      <c r="K800" s="26" t="s">
        <v>4131</v>
      </c>
      <c r="L800" s="30">
        <v>337981335</v>
      </c>
      <c r="M800" s="26" t="s">
        <v>123</v>
      </c>
      <c r="N800" s="26" t="s">
        <v>186</v>
      </c>
      <c r="O800" s="26" t="s">
        <v>1226</v>
      </c>
      <c r="P800" s="26" t="s">
        <v>3487</v>
      </c>
      <c r="Q800" s="20">
        <v>15936</v>
      </c>
      <c r="R800" s="26" t="s">
        <v>36</v>
      </c>
      <c r="S800" s="31">
        <v>15936</v>
      </c>
      <c r="T800" s="32">
        <v>45207</v>
      </c>
      <c r="U800" s="31"/>
      <c r="V800" s="26"/>
      <c r="W800" s="33" t="s">
        <v>4132</v>
      </c>
      <c r="X800" s="26"/>
      <c r="Y800" s="22">
        <v>0</v>
      </c>
      <c r="Z800" s="26" t="s">
        <v>50</v>
      </c>
      <c r="AA800" s="19" t="s">
        <v>3454</v>
      </c>
      <c r="AB800" s="26" t="s">
        <v>104</v>
      </c>
      <c r="AC800" s="26" t="s">
        <v>53</v>
      </c>
      <c r="AD800" s="19" t="s">
        <v>138</v>
      </c>
      <c r="AE800" s="26"/>
      <c r="AF800" s="17">
        <v>45232</v>
      </c>
      <c r="AG800" s="26" t="s">
        <v>1362</v>
      </c>
      <c r="AH800" s="26"/>
      <c r="AI800" s="40"/>
      <c r="AJ800" s="26"/>
      <c r="AK800" s="26"/>
      <c r="AL800" s="35"/>
      <c r="AM800" s="35"/>
      <c r="AN800" s="35"/>
      <c r="AO800" s="35"/>
      <c r="AP800" s="35"/>
    </row>
    <row r="801" spans="1:42" x14ac:dyDescent="0.2">
      <c r="A801" s="27">
        <v>45208.587737766204</v>
      </c>
      <c r="B801" s="28" t="s">
        <v>37</v>
      </c>
      <c r="C801" s="41" t="s">
        <v>118</v>
      </c>
      <c r="D801" s="26" t="s">
        <v>36</v>
      </c>
      <c r="E801" s="26" t="s">
        <v>56</v>
      </c>
      <c r="F801" s="26" t="s">
        <v>40</v>
      </c>
      <c r="G801" s="26" t="s">
        <v>41</v>
      </c>
      <c r="H801" s="26" t="s">
        <v>4133</v>
      </c>
      <c r="I801" s="17">
        <f ca="1">IFERROR(__xludf.DUMMYFUNCTION("""COMPUTED_VALUE"""),45231)</f>
        <v>45231</v>
      </c>
      <c r="J801" s="29" t="s">
        <v>4134</v>
      </c>
      <c r="K801" s="26" t="s">
        <v>4135</v>
      </c>
      <c r="L801" s="30">
        <v>584505732</v>
      </c>
      <c r="M801" s="26" t="s">
        <v>45</v>
      </c>
      <c r="N801" s="26" t="s">
        <v>4136</v>
      </c>
      <c r="O801" s="26" t="s">
        <v>4137</v>
      </c>
      <c r="P801" s="26" t="s">
        <v>4138</v>
      </c>
      <c r="Q801" s="20">
        <v>9317</v>
      </c>
      <c r="R801" s="26" t="s">
        <v>36</v>
      </c>
      <c r="S801" s="31">
        <v>9317</v>
      </c>
      <c r="T801" s="32">
        <v>45208</v>
      </c>
      <c r="U801" s="31"/>
      <c r="V801" s="26"/>
      <c r="W801" s="33" t="s">
        <v>4139</v>
      </c>
      <c r="X801" s="26"/>
      <c r="Y801" s="22">
        <v>0</v>
      </c>
      <c r="Z801" s="26" t="s">
        <v>50</v>
      </c>
      <c r="AA801" s="19" t="s">
        <v>3454</v>
      </c>
      <c r="AB801" s="26" t="s">
        <v>104</v>
      </c>
      <c r="AC801" s="26" t="s">
        <v>53</v>
      </c>
      <c r="AD801" s="19" t="s">
        <v>138</v>
      </c>
      <c r="AE801" s="26">
        <v>310</v>
      </c>
      <c r="AF801" s="17">
        <v>45208</v>
      </c>
      <c r="AG801" s="26" t="s">
        <v>4140</v>
      </c>
      <c r="AH801" s="26"/>
      <c r="AI801" s="40"/>
      <c r="AJ801" s="26"/>
      <c r="AK801" s="26"/>
      <c r="AL801" s="35"/>
      <c r="AM801" s="35"/>
      <c r="AN801" s="35"/>
      <c r="AO801" s="35"/>
      <c r="AP801" s="35"/>
    </row>
    <row r="802" spans="1:42" x14ac:dyDescent="0.2">
      <c r="A802" s="27">
        <v>45208.635357870371</v>
      </c>
      <c r="B802" s="28" t="s">
        <v>37</v>
      </c>
      <c r="C802" s="41" t="s">
        <v>118</v>
      </c>
      <c r="D802" s="26" t="s">
        <v>36</v>
      </c>
      <c r="E802" s="26" t="s">
        <v>139</v>
      </c>
      <c r="F802" s="26" t="s">
        <v>36</v>
      </c>
      <c r="G802" s="26" t="s">
        <v>41</v>
      </c>
      <c r="H802" s="26" t="s">
        <v>3198</v>
      </c>
      <c r="I802" s="17">
        <f ca="1">IFERROR(__xludf.DUMMYFUNCTION("""COMPUTED_VALUE"""),45215)</f>
        <v>45215</v>
      </c>
      <c r="J802" s="44" t="s">
        <v>4141</v>
      </c>
      <c r="K802" s="26" t="s">
        <v>4142</v>
      </c>
      <c r="L802" s="30">
        <v>946286958</v>
      </c>
      <c r="M802" s="26" t="s">
        <v>80</v>
      </c>
      <c r="N802" s="26" t="s">
        <v>186</v>
      </c>
      <c r="O802" s="26" t="s">
        <v>1492</v>
      </c>
      <c r="P802" s="26" t="s">
        <v>4143</v>
      </c>
      <c r="Q802" s="20">
        <v>15936</v>
      </c>
      <c r="R802" s="26" t="s">
        <v>36</v>
      </c>
      <c r="S802" s="31">
        <v>2000</v>
      </c>
      <c r="T802" s="32">
        <v>45208</v>
      </c>
      <c r="U802" s="31">
        <v>13936</v>
      </c>
      <c r="V802" s="32">
        <v>45230</v>
      </c>
      <c r="W802" s="33" t="s">
        <v>4144</v>
      </c>
      <c r="X802" s="26"/>
      <c r="Y802" s="22">
        <v>0</v>
      </c>
      <c r="Z802" s="26" t="s">
        <v>50</v>
      </c>
      <c r="AA802" s="19" t="s">
        <v>3454</v>
      </c>
      <c r="AB802" s="26" t="s">
        <v>104</v>
      </c>
      <c r="AC802" s="26" t="s">
        <v>53</v>
      </c>
      <c r="AD802" s="19" t="s">
        <v>54</v>
      </c>
      <c r="AE802" s="26">
        <v>0</v>
      </c>
      <c r="AF802" s="43">
        <v>45209</v>
      </c>
      <c r="AG802" s="26" t="s">
        <v>4145</v>
      </c>
      <c r="AH802" s="26"/>
      <c r="AI802" s="40"/>
      <c r="AJ802" s="26"/>
      <c r="AK802" s="26"/>
      <c r="AL802" s="35"/>
      <c r="AM802" s="35"/>
      <c r="AN802" s="35"/>
      <c r="AO802" s="35"/>
      <c r="AP802" s="35"/>
    </row>
    <row r="803" spans="1:42" x14ac:dyDescent="0.2">
      <c r="A803" s="27">
        <v>45208.845896412036</v>
      </c>
      <c r="B803" s="28" t="s">
        <v>37</v>
      </c>
      <c r="C803" s="41" t="s">
        <v>118</v>
      </c>
      <c r="D803" s="26" t="s">
        <v>36</v>
      </c>
      <c r="E803" s="26" t="s">
        <v>139</v>
      </c>
      <c r="F803" s="26" t="s">
        <v>36</v>
      </c>
      <c r="G803" s="26" t="s">
        <v>41</v>
      </c>
      <c r="H803" s="26" t="s">
        <v>3899</v>
      </c>
      <c r="I803" s="17">
        <f ca="1">IFERROR(__xludf.DUMMYFUNCTION("""COMPUTED_VALUE"""),45215)</f>
        <v>45215</v>
      </c>
      <c r="J803" s="29" t="s">
        <v>4146</v>
      </c>
      <c r="K803" s="26" t="s">
        <v>4147</v>
      </c>
      <c r="L803" s="30">
        <v>865510229</v>
      </c>
      <c r="M803" s="26" t="s">
        <v>59</v>
      </c>
      <c r="N803" s="26" t="s">
        <v>260</v>
      </c>
      <c r="O803" s="26" t="s">
        <v>4148</v>
      </c>
      <c r="P803" s="26" t="s">
        <v>4149</v>
      </c>
      <c r="Q803" s="20">
        <v>15936</v>
      </c>
      <c r="R803" s="26" t="s">
        <v>36</v>
      </c>
      <c r="S803" s="31">
        <v>15963</v>
      </c>
      <c r="T803" s="32">
        <v>45200</v>
      </c>
      <c r="U803" s="31"/>
      <c r="V803" s="26"/>
      <c r="W803" s="33" t="s">
        <v>4150</v>
      </c>
      <c r="X803" s="26"/>
      <c r="Y803" s="22">
        <v>-27</v>
      </c>
      <c r="Z803" s="26" t="s">
        <v>50</v>
      </c>
      <c r="AA803" s="19" t="s">
        <v>3454</v>
      </c>
      <c r="AB803" s="26" t="s">
        <v>154</v>
      </c>
      <c r="AC803" s="26" t="s">
        <v>53</v>
      </c>
      <c r="AD803" s="19" t="s">
        <v>138</v>
      </c>
      <c r="AE803" s="26" t="s">
        <v>72</v>
      </c>
      <c r="AF803" s="17">
        <v>45215</v>
      </c>
      <c r="AG803" s="26" t="s">
        <v>1631</v>
      </c>
      <c r="AH803" s="26"/>
      <c r="AI803" s="40"/>
      <c r="AJ803" s="26"/>
      <c r="AK803" s="26"/>
      <c r="AL803" s="35"/>
      <c r="AM803" s="35"/>
      <c r="AN803" s="35"/>
      <c r="AO803" s="35"/>
      <c r="AP803" s="35"/>
    </row>
    <row r="804" spans="1:42" x14ac:dyDescent="0.2">
      <c r="A804" s="27">
        <v>45209.371358136574</v>
      </c>
      <c r="B804" s="28" t="s">
        <v>37</v>
      </c>
      <c r="C804" s="41" t="s">
        <v>118</v>
      </c>
      <c r="D804" s="26" t="s">
        <v>36</v>
      </c>
      <c r="E804" s="26" t="s">
        <v>219</v>
      </c>
      <c r="F804" s="26" t="s">
        <v>4151</v>
      </c>
      <c r="G804" s="26" t="s">
        <v>221</v>
      </c>
      <c r="H804" s="26" t="s">
        <v>3388</v>
      </c>
      <c r="I804" s="17">
        <f ca="1">IFERROR(__xludf.DUMMYFUNCTION("""COMPUTED_VALUE"""),45242)</f>
        <v>45242</v>
      </c>
      <c r="J804" s="29" t="s">
        <v>4152</v>
      </c>
      <c r="K804" s="26" t="s">
        <v>4153</v>
      </c>
      <c r="L804" s="30">
        <v>856734830</v>
      </c>
      <c r="M804" s="26" t="s">
        <v>3288</v>
      </c>
      <c r="N804" s="26" t="s">
        <v>200</v>
      </c>
      <c r="O804" s="26" t="s">
        <v>40</v>
      </c>
      <c r="P804" s="26" t="s">
        <v>4154</v>
      </c>
      <c r="Q804" s="20">
        <v>3968</v>
      </c>
      <c r="R804" s="26" t="s">
        <v>36</v>
      </c>
      <c r="S804" s="31">
        <v>3868</v>
      </c>
      <c r="T804" s="32">
        <v>45203</v>
      </c>
      <c r="U804" s="31"/>
      <c r="V804" s="26"/>
      <c r="W804" s="33" t="s">
        <v>4155</v>
      </c>
      <c r="X804" s="26"/>
      <c r="Y804" s="22">
        <v>100</v>
      </c>
      <c r="Z804" s="26" t="s">
        <v>50</v>
      </c>
      <c r="AA804" s="19" t="s">
        <v>3454</v>
      </c>
      <c r="AB804" s="26" t="s">
        <v>128</v>
      </c>
      <c r="AC804" s="26" t="s">
        <v>53</v>
      </c>
      <c r="AD804" s="19" t="s">
        <v>54</v>
      </c>
      <c r="AE804" s="26"/>
      <c r="AF804" s="17">
        <v>45236</v>
      </c>
      <c r="AG804" s="26"/>
      <c r="AH804" s="26"/>
      <c r="AI804" s="40"/>
      <c r="AJ804" s="26"/>
      <c r="AK804" s="26"/>
      <c r="AL804" s="35"/>
      <c r="AM804" s="35"/>
      <c r="AN804" s="35"/>
      <c r="AO804" s="35"/>
      <c r="AP804" s="35"/>
    </row>
    <row r="805" spans="1:42" x14ac:dyDescent="0.2">
      <c r="A805" s="27">
        <v>45209.414753414356</v>
      </c>
      <c r="B805" s="28" t="s">
        <v>37</v>
      </c>
      <c r="C805" s="41" t="s">
        <v>118</v>
      </c>
      <c r="D805" s="26" t="s">
        <v>36</v>
      </c>
      <c r="E805" s="26" t="s">
        <v>77</v>
      </c>
      <c r="F805" s="26" t="s">
        <v>36</v>
      </c>
      <c r="G805" s="26" t="s">
        <v>41</v>
      </c>
      <c r="H805" s="26" t="s">
        <v>3899</v>
      </c>
      <c r="I805" s="17">
        <f ca="1">IFERROR(__xludf.DUMMYFUNCTION("""COMPUTED_VALUE"""),45215)</f>
        <v>45215</v>
      </c>
      <c r="J805" s="29" t="s">
        <v>4156</v>
      </c>
      <c r="K805" s="26" t="s">
        <v>4157</v>
      </c>
      <c r="L805" s="30">
        <v>865676526</v>
      </c>
      <c r="M805" s="26" t="s">
        <v>80</v>
      </c>
      <c r="N805" s="26" t="s">
        <v>1073</v>
      </c>
      <c r="O805" s="26" t="s">
        <v>4158</v>
      </c>
      <c r="P805" s="26" t="s">
        <v>4159</v>
      </c>
      <c r="Q805" s="20">
        <v>1968</v>
      </c>
      <c r="R805" s="26" t="s">
        <v>36</v>
      </c>
      <c r="S805" s="31">
        <v>200</v>
      </c>
      <c r="T805" s="32">
        <v>45208</v>
      </c>
      <c r="U805" s="31">
        <v>1768</v>
      </c>
      <c r="V805" s="32">
        <v>45209</v>
      </c>
      <c r="W805" s="33" t="s">
        <v>4160</v>
      </c>
      <c r="X805" s="26"/>
      <c r="Y805" s="22">
        <v>0</v>
      </c>
      <c r="Z805" s="26" t="s">
        <v>50</v>
      </c>
      <c r="AA805" s="19" t="s">
        <v>3454</v>
      </c>
      <c r="AB805" s="26" t="s">
        <v>104</v>
      </c>
      <c r="AC805" s="26" t="s">
        <v>53</v>
      </c>
      <c r="AD805" s="19" t="s">
        <v>138</v>
      </c>
      <c r="AE805" s="26">
        <v>0</v>
      </c>
      <c r="AF805" s="17">
        <v>45215</v>
      </c>
      <c r="AG805" s="26" t="s">
        <v>1631</v>
      </c>
      <c r="AH805" s="26"/>
      <c r="AI805" s="40"/>
      <c r="AJ805" s="26"/>
      <c r="AK805" s="26"/>
      <c r="AL805" s="35"/>
      <c r="AM805" s="35"/>
      <c r="AN805" s="35"/>
      <c r="AO805" s="35"/>
      <c r="AP805" s="35"/>
    </row>
    <row r="806" spans="1:42" x14ac:dyDescent="0.2">
      <c r="A806" s="27">
        <v>45209.432933553238</v>
      </c>
      <c r="B806" s="28" t="s">
        <v>37</v>
      </c>
      <c r="C806" s="41" t="s">
        <v>118</v>
      </c>
      <c r="D806" s="26" t="s">
        <v>36</v>
      </c>
      <c r="E806" s="26" t="s">
        <v>148</v>
      </c>
      <c r="F806" s="26" t="s">
        <v>36</v>
      </c>
      <c r="G806" s="26" t="s">
        <v>108</v>
      </c>
      <c r="H806" s="26" t="s">
        <v>3238</v>
      </c>
      <c r="I806" s="17">
        <f ca="1">IFERROR(__xludf.DUMMYFUNCTION("""COMPUTED_VALUE"""),45216)</f>
        <v>45216</v>
      </c>
      <c r="J806" s="29" t="s">
        <v>4161</v>
      </c>
      <c r="K806" s="26" t="s">
        <v>4162</v>
      </c>
      <c r="L806" s="30">
        <v>986532769</v>
      </c>
      <c r="M806" s="26" t="s">
        <v>3728</v>
      </c>
      <c r="N806" s="26" t="s">
        <v>4163</v>
      </c>
      <c r="O806" s="26" t="s">
        <v>4164</v>
      </c>
      <c r="P806" s="26" t="s">
        <v>138</v>
      </c>
      <c r="Q806" s="20">
        <v>7349</v>
      </c>
      <c r="R806" s="26" t="s">
        <v>36</v>
      </c>
      <c r="S806" s="31">
        <v>7349</v>
      </c>
      <c r="T806" s="32">
        <v>45209</v>
      </c>
      <c r="U806" s="31"/>
      <c r="V806" s="26"/>
      <c r="W806" s="33" t="s">
        <v>4165</v>
      </c>
      <c r="X806" s="26"/>
      <c r="Y806" s="22">
        <v>0</v>
      </c>
      <c r="Z806" s="26" t="s">
        <v>50</v>
      </c>
      <c r="AA806" s="19" t="s">
        <v>3454</v>
      </c>
      <c r="AB806" s="26" t="s">
        <v>128</v>
      </c>
      <c r="AC806" s="26" t="s">
        <v>53</v>
      </c>
      <c r="AD806" s="19" t="s">
        <v>138</v>
      </c>
      <c r="AE806" s="26">
        <v>450</v>
      </c>
      <c r="AF806" s="43">
        <v>45216</v>
      </c>
      <c r="AG806" s="26" t="s">
        <v>1631</v>
      </c>
      <c r="AH806" s="26"/>
      <c r="AI806" s="40"/>
      <c r="AJ806" s="26"/>
      <c r="AK806" s="26"/>
      <c r="AL806" s="35"/>
      <c r="AM806" s="35"/>
      <c r="AN806" s="35"/>
      <c r="AO806" s="35"/>
      <c r="AP806" s="35"/>
    </row>
    <row r="807" spans="1:42" x14ac:dyDescent="0.2">
      <c r="A807" s="27">
        <v>45209.444363263887</v>
      </c>
      <c r="B807" s="28" t="s">
        <v>37</v>
      </c>
      <c r="C807" s="41" t="s">
        <v>118</v>
      </c>
      <c r="D807" s="26" t="s">
        <v>36</v>
      </c>
      <c r="E807" s="26" t="s">
        <v>139</v>
      </c>
      <c r="F807" s="26" t="s">
        <v>36</v>
      </c>
      <c r="G807" s="26" t="s">
        <v>41</v>
      </c>
      <c r="H807" s="26" t="s">
        <v>3930</v>
      </c>
      <c r="I807" s="17">
        <f ca="1">IFERROR(__xludf.DUMMYFUNCTION("""COMPUTED_VALUE"""),45223)</f>
        <v>45223</v>
      </c>
      <c r="J807" s="29" t="s">
        <v>4166</v>
      </c>
      <c r="K807" s="26" t="s">
        <v>4167</v>
      </c>
      <c r="L807" s="30">
        <v>964541017</v>
      </c>
      <c r="M807" s="26" t="s">
        <v>80</v>
      </c>
      <c r="N807" s="26" t="s">
        <v>466</v>
      </c>
      <c r="O807" s="26" t="s">
        <v>1492</v>
      </c>
      <c r="P807" s="26" t="s">
        <v>4126</v>
      </c>
      <c r="Q807" s="20">
        <v>15936</v>
      </c>
      <c r="R807" s="26" t="s">
        <v>36</v>
      </c>
      <c r="S807" s="31">
        <v>15936</v>
      </c>
      <c r="T807" s="32">
        <v>45209</v>
      </c>
      <c r="U807" s="31"/>
      <c r="V807" s="26"/>
      <c r="W807" s="33" t="s">
        <v>4168</v>
      </c>
      <c r="X807" s="26"/>
      <c r="Y807" s="22">
        <v>0</v>
      </c>
      <c r="Z807" s="26" t="s">
        <v>50</v>
      </c>
      <c r="AA807" s="19" t="s">
        <v>3454</v>
      </c>
      <c r="AB807" s="26" t="s">
        <v>104</v>
      </c>
      <c r="AC807" s="26" t="s">
        <v>53</v>
      </c>
      <c r="AD807" s="19" t="s">
        <v>138</v>
      </c>
      <c r="AE807" s="26">
        <v>0</v>
      </c>
      <c r="AF807" s="43">
        <v>45223</v>
      </c>
      <c r="AG807" s="26" t="s">
        <v>4169</v>
      </c>
      <c r="AH807" s="26"/>
      <c r="AI807" s="40"/>
      <c r="AJ807" s="26"/>
      <c r="AK807" s="26"/>
      <c r="AL807" s="35"/>
      <c r="AM807" s="35"/>
      <c r="AN807" s="35"/>
      <c r="AO807" s="35"/>
      <c r="AP807" s="35"/>
    </row>
    <row r="808" spans="1:42" x14ac:dyDescent="0.2">
      <c r="A808" s="27">
        <v>45209.452185949078</v>
      </c>
      <c r="B808" s="28" t="s">
        <v>37</v>
      </c>
      <c r="C808" s="41" t="s">
        <v>118</v>
      </c>
      <c r="D808" s="26" t="s">
        <v>36</v>
      </c>
      <c r="E808" s="26" t="s">
        <v>56</v>
      </c>
      <c r="F808" s="26" t="s">
        <v>91</v>
      </c>
      <c r="G808" s="26" t="s">
        <v>41</v>
      </c>
      <c r="H808" s="26" t="s">
        <v>3899</v>
      </c>
      <c r="I808" s="17">
        <f ca="1">IFERROR(__xludf.DUMMYFUNCTION("""COMPUTED_VALUE"""),45215)</f>
        <v>45215</v>
      </c>
      <c r="J808" s="29" t="s">
        <v>4170</v>
      </c>
      <c r="K808" s="26" t="s">
        <v>4171</v>
      </c>
      <c r="L808" s="30">
        <v>961082248</v>
      </c>
      <c r="M808" s="26" t="s">
        <v>123</v>
      </c>
      <c r="N808" s="26" t="s">
        <v>850</v>
      </c>
      <c r="O808" s="26" t="s">
        <v>1226</v>
      </c>
      <c r="P808" s="26" t="s">
        <v>3487</v>
      </c>
      <c r="Q808" s="20">
        <v>9317</v>
      </c>
      <c r="R808" s="26" t="s">
        <v>36</v>
      </c>
      <c r="S808" s="31">
        <v>2000</v>
      </c>
      <c r="T808" s="32">
        <v>45209</v>
      </c>
      <c r="U808" s="31">
        <v>7317</v>
      </c>
      <c r="V808" s="32">
        <v>45230</v>
      </c>
      <c r="W808" s="33" t="s">
        <v>4172</v>
      </c>
      <c r="X808" s="26"/>
      <c r="Y808" s="22">
        <v>0</v>
      </c>
      <c r="Z808" s="26" t="s">
        <v>50</v>
      </c>
      <c r="AA808" s="19" t="s">
        <v>3454</v>
      </c>
      <c r="AB808" s="26" t="s">
        <v>104</v>
      </c>
      <c r="AC808" s="26" t="s">
        <v>53</v>
      </c>
      <c r="AD808" s="19" t="s">
        <v>138</v>
      </c>
      <c r="AE808" s="26"/>
      <c r="AF808" s="17">
        <v>45215</v>
      </c>
      <c r="AG808" s="26" t="s">
        <v>1631</v>
      </c>
      <c r="AH808" s="26"/>
      <c r="AI808" s="40"/>
      <c r="AJ808" s="26"/>
      <c r="AK808" s="26"/>
      <c r="AL808" s="35"/>
      <c r="AM808" s="35"/>
      <c r="AN808" s="35"/>
      <c r="AO808" s="35"/>
      <c r="AP808" s="35"/>
    </row>
    <row r="809" spans="1:42" x14ac:dyDescent="0.2">
      <c r="A809" s="27">
        <v>45209.655896631943</v>
      </c>
      <c r="B809" s="28" t="s">
        <v>37</v>
      </c>
      <c r="C809" s="41" t="s">
        <v>118</v>
      </c>
      <c r="D809" s="26" t="s">
        <v>36</v>
      </c>
      <c r="E809" s="26" t="s">
        <v>219</v>
      </c>
      <c r="F809" s="26" t="s">
        <v>4173</v>
      </c>
      <c r="G809" s="26" t="s">
        <v>221</v>
      </c>
      <c r="H809" s="26" t="s">
        <v>2279</v>
      </c>
      <c r="I809" s="17">
        <f ca="1">IFERROR(__xludf.DUMMYFUNCTION("""COMPUTED_VALUE"""),45222)</f>
        <v>45222</v>
      </c>
      <c r="J809" s="29" t="s">
        <v>4174</v>
      </c>
      <c r="K809" s="26" t="s">
        <v>4175</v>
      </c>
      <c r="L809" s="30" t="s">
        <v>4176</v>
      </c>
      <c r="M809" s="26" t="s">
        <v>3288</v>
      </c>
      <c r="N809" s="26" t="s">
        <v>200</v>
      </c>
      <c r="O809" s="26" t="s">
        <v>36</v>
      </c>
      <c r="P809" s="26" t="s">
        <v>4176</v>
      </c>
      <c r="Q809" s="20">
        <v>3968</v>
      </c>
      <c r="R809" s="26" t="s">
        <v>36</v>
      </c>
      <c r="S809" s="31">
        <v>3768</v>
      </c>
      <c r="T809" s="32">
        <v>45209</v>
      </c>
      <c r="U809" s="31"/>
      <c r="V809" s="26"/>
      <c r="W809" s="33" t="s">
        <v>4177</v>
      </c>
      <c r="X809" s="26"/>
      <c r="Y809" s="22">
        <v>200</v>
      </c>
      <c r="Z809" s="26" t="s">
        <v>50</v>
      </c>
      <c r="AA809" s="19" t="s">
        <v>3454</v>
      </c>
      <c r="AB809" s="26" t="s">
        <v>104</v>
      </c>
      <c r="AC809" s="26" t="s">
        <v>1828</v>
      </c>
      <c r="AD809" s="19" t="s">
        <v>54</v>
      </c>
      <c r="AE809" s="26">
        <v>540</v>
      </c>
      <c r="AF809" s="60" t="s">
        <v>1829</v>
      </c>
      <c r="AG809" s="26" t="s">
        <v>4178</v>
      </c>
      <c r="AH809" s="26"/>
      <c r="AI809" s="40"/>
      <c r="AJ809" s="26"/>
      <c r="AK809" s="26"/>
      <c r="AL809" s="35"/>
      <c r="AM809" s="35"/>
      <c r="AN809" s="35"/>
      <c r="AO809" s="35"/>
      <c r="AP809" s="35"/>
    </row>
    <row r="810" spans="1:42" x14ac:dyDescent="0.2">
      <c r="A810" s="27">
        <v>45209.718117673612</v>
      </c>
      <c r="B810" s="28" t="s">
        <v>37</v>
      </c>
      <c r="C810" s="41" t="s">
        <v>118</v>
      </c>
      <c r="D810" s="26" t="s">
        <v>36</v>
      </c>
      <c r="E810" s="26" t="s">
        <v>139</v>
      </c>
      <c r="F810" s="26" t="s">
        <v>91</v>
      </c>
      <c r="G810" s="26" t="s">
        <v>41</v>
      </c>
      <c r="H810" s="26" t="s">
        <v>2967</v>
      </c>
      <c r="I810" s="17">
        <f ca="1">IFERROR(__xludf.DUMMYFUNCTION("""COMPUTED_VALUE"""),45209)</f>
        <v>45209</v>
      </c>
      <c r="J810" s="29" t="s">
        <v>4179</v>
      </c>
      <c r="K810" s="26" t="s">
        <v>4180</v>
      </c>
      <c r="L810" s="30">
        <v>372979323</v>
      </c>
      <c r="M810" s="26" t="s">
        <v>123</v>
      </c>
      <c r="N810" s="26" t="s">
        <v>850</v>
      </c>
      <c r="O810" s="26" t="s">
        <v>1226</v>
      </c>
      <c r="P810" s="42" t="s">
        <v>4181</v>
      </c>
      <c r="Q810" s="20">
        <v>15936</v>
      </c>
      <c r="R810" s="26" t="s">
        <v>70</v>
      </c>
      <c r="S810" s="31">
        <v>2000</v>
      </c>
      <c r="T810" s="32">
        <v>45209</v>
      </c>
      <c r="U810" s="31">
        <v>13836</v>
      </c>
      <c r="V810" s="32">
        <v>45227</v>
      </c>
      <c r="W810" s="33" t="s">
        <v>4182</v>
      </c>
      <c r="X810" s="26"/>
      <c r="Y810" s="22">
        <v>100</v>
      </c>
      <c r="Z810" s="26" t="s">
        <v>50</v>
      </c>
      <c r="AA810" s="19" t="s">
        <v>3454</v>
      </c>
      <c r="AB810" s="26" t="s">
        <v>104</v>
      </c>
      <c r="AC810" s="26" t="s">
        <v>53</v>
      </c>
      <c r="AD810" s="19" t="s">
        <v>138</v>
      </c>
      <c r="AE810" s="26"/>
      <c r="AF810" s="43">
        <v>45209</v>
      </c>
      <c r="AG810" s="26" t="s">
        <v>1631</v>
      </c>
      <c r="AH810" s="26"/>
      <c r="AI810" s="40"/>
      <c r="AJ810" s="26"/>
      <c r="AK810" s="26"/>
      <c r="AL810" s="35"/>
      <c r="AM810" s="35"/>
      <c r="AN810" s="35"/>
      <c r="AO810" s="35"/>
      <c r="AP810" s="35"/>
    </row>
    <row r="811" spans="1:42" x14ac:dyDescent="0.2">
      <c r="A811" s="27">
        <v>45210.365177939813</v>
      </c>
      <c r="B811" s="28" t="s">
        <v>37</v>
      </c>
      <c r="C811" s="41" t="s">
        <v>118</v>
      </c>
      <c r="D811" s="26" t="s">
        <v>36</v>
      </c>
      <c r="E811" s="26" t="s">
        <v>139</v>
      </c>
      <c r="F811" s="26" t="s">
        <v>91</v>
      </c>
      <c r="G811" s="26" t="s">
        <v>41</v>
      </c>
      <c r="H811" s="26" t="s">
        <v>3198</v>
      </c>
      <c r="I811" s="17">
        <f ca="1">IFERROR(__xludf.DUMMYFUNCTION("""COMPUTED_VALUE"""),45215)</f>
        <v>45215</v>
      </c>
      <c r="J811" s="29" t="s">
        <v>4183</v>
      </c>
      <c r="K811" s="26" t="s">
        <v>4184</v>
      </c>
      <c r="L811" s="30">
        <v>789248956</v>
      </c>
      <c r="M811" s="26" t="s">
        <v>2755</v>
      </c>
      <c r="N811" s="26" t="s">
        <v>310</v>
      </c>
      <c r="O811" s="26" t="s">
        <v>4185</v>
      </c>
      <c r="P811" s="26" t="s">
        <v>4186</v>
      </c>
      <c r="Q811" s="20">
        <v>15936</v>
      </c>
      <c r="R811" s="26" t="s">
        <v>70</v>
      </c>
      <c r="S811" s="31">
        <v>2000</v>
      </c>
      <c r="T811" s="32">
        <v>45209</v>
      </c>
      <c r="U811" s="31">
        <v>13936</v>
      </c>
      <c r="V811" s="32">
        <v>45230</v>
      </c>
      <c r="W811" s="33" t="s">
        <v>4187</v>
      </c>
      <c r="X811" s="26"/>
      <c r="Y811" s="22">
        <v>0</v>
      </c>
      <c r="Z811" s="26" t="s">
        <v>50</v>
      </c>
      <c r="AA811" s="19" t="s">
        <v>3454</v>
      </c>
      <c r="AB811" s="26" t="s">
        <v>104</v>
      </c>
      <c r="AC811" s="26" t="s">
        <v>53</v>
      </c>
      <c r="AD811" s="19" t="s">
        <v>54</v>
      </c>
      <c r="AE811" s="26"/>
      <c r="AF811" s="17">
        <v>45211</v>
      </c>
      <c r="AG811" s="26"/>
      <c r="AH811" s="26"/>
      <c r="AI811" s="40"/>
      <c r="AJ811" s="26"/>
      <c r="AK811" s="26"/>
      <c r="AL811" s="35"/>
      <c r="AM811" s="35"/>
      <c r="AN811" s="35"/>
      <c r="AO811" s="35"/>
      <c r="AP811" s="35"/>
    </row>
    <row r="812" spans="1:42" x14ac:dyDescent="0.2">
      <c r="A812" s="27">
        <v>45210.515545439819</v>
      </c>
      <c r="B812" s="28" t="s">
        <v>37</v>
      </c>
      <c r="C812" s="41" t="s">
        <v>118</v>
      </c>
      <c r="D812" s="26" t="s">
        <v>77</v>
      </c>
      <c r="E812" s="26" t="s">
        <v>106</v>
      </c>
      <c r="F812" s="26" t="s">
        <v>694</v>
      </c>
      <c r="G812" s="26" t="s">
        <v>108</v>
      </c>
      <c r="H812" s="26" t="s">
        <v>130</v>
      </c>
      <c r="I812" s="17">
        <f ca="1">IFERROR(__xludf.DUMMYFUNCTION("""COMPUTED_VALUE"""),45223)</f>
        <v>45223</v>
      </c>
      <c r="J812" s="29" t="s">
        <v>695</v>
      </c>
      <c r="K812" s="26" t="s">
        <v>4188</v>
      </c>
      <c r="L812" s="30">
        <v>978289205</v>
      </c>
      <c r="M812" s="26" t="s">
        <v>112</v>
      </c>
      <c r="N812" s="26" t="s">
        <v>3330</v>
      </c>
      <c r="O812" s="26" t="s">
        <v>3754</v>
      </c>
      <c r="P812" s="26" t="s">
        <v>4189</v>
      </c>
      <c r="Q812" s="20">
        <v>3768</v>
      </c>
      <c r="R812" s="26" t="s">
        <v>36</v>
      </c>
      <c r="S812" s="31">
        <v>3768</v>
      </c>
      <c r="T812" s="32">
        <v>45210</v>
      </c>
      <c r="U812" s="31"/>
      <c r="V812" s="26"/>
      <c r="W812" s="33" t="s">
        <v>4190</v>
      </c>
      <c r="X812" s="26"/>
      <c r="Y812" s="22">
        <v>0</v>
      </c>
      <c r="Z812" s="26" t="s">
        <v>50</v>
      </c>
      <c r="AA812" s="19" t="s">
        <v>3454</v>
      </c>
      <c r="AB812" s="26" t="s">
        <v>154</v>
      </c>
      <c r="AC812" s="26" t="s">
        <v>53</v>
      </c>
      <c r="AD812" s="19" t="s">
        <v>54</v>
      </c>
      <c r="AE812" s="26" t="s">
        <v>4191</v>
      </c>
      <c r="AF812" s="17">
        <v>45215</v>
      </c>
      <c r="AG812" s="26"/>
      <c r="AH812" s="26"/>
      <c r="AI812" s="40"/>
      <c r="AJ812" s="26"/>
      <c r="AK812" s="26"/>
      <c r="AL812" s="35"/>
      <c r="AM812" s="35"/>
      <c r="AN812" s="35"/>
      <c r="AO812" s="35"/>
      <c r="AP812" s="35"/>
    </row>
    <row r="813" spans="1:42" x14ac:dyDescent="0.2">
      <c r="A813" s="27">
        <v>45210.64871793981</v>
      </c>
      <c r="B813" s="28" t="s">
        <v>37</v>
      </c>
      <c r="C813" s="41" t="s">
        <v>118</v>
      </c>
      <c r="D813" s="26" t="s">
        <v>36</v>
      </c>
      <c r="E813" s="26" t="s">
        <v>106</v>
      </c>
      <c r="F813" s="26" t="s">
        <v>36</v>
      </c>
      <c r="G813" s="26" t="s">
        <v>108</v>
      </c>
      <c r="H813" s="26" t="s">
        <v>3238</v>
      </c>
      <c r="I813" s="17">
        <f ca="1">IFERROR(__xludf.DUMMYFUNCTION("""COMPUTED_VALUE"""),45216)</f>
        <v>45216</v>
      </c>
      <c r="J813" s="29" t="s">
        <v>1953</v>
      </c>
      <c r="K813" s="26" t="s">
        <v>1954</v>
      </c>
      <c r="L813" s="30">
        <v>336142756</v>
      </c>
      <c r="M813" s="26" t="s">
        <v>1245</v>
      </c>
      <c r="N813" s="26" t="s">
        <v>1246</v>
      </c>
      <c r="O813" s="26" t="s">
        <v>4192</v>
      </c>
      <c r="P813" s="26" t="s">
        <v>4193</v>
      </c>
      <c r="Q813" s="20">
        <v>3768</v>
      </c>
      <c r="R813" s="26" t="s">
        <v>36</v>
      </c>
      <c r="S813" s="31">
        <v>1894</v>
      </c>
      <c r="T813" s="32">
        <v>45208</v>
      </c>
      <c r="U813" s="106" t="s">
        <v>4194</v>
      </c>
      <c r="V813" s="26"/>
      <c r="W813" s="33" t="s">
        <v>4195</v>
      </c>
      <c r="X813" s="26"/>
      <c r="Y813" s="22" t="s">
        <v>2340</v>
      </c>
      <c r="Z813" s="26" t="s">
        <v>50</v>
      </c>
      <c r="AA813" s="19" t="s">
        <v>3454</v>
      </c>
      <c r="AB813" s="26" t="s">
        <v>128</v>
      </c>
      <c r="AC813" s="26" t="s">
        <v>53</v>
      </c>
      <c r="AD813" s="19" t="s">
        <v>138</v>
      </c>
      <c r="AE813" s="26" t="s">
        <v>4196</v>
      </c>
      <c r="AF813" s="43">
        <v>45216</v>
      </c>
      <c r="AG813" s="42" t="s">
        <v>4197</v>
      </c>
      <c r="AH813" s="106" t="s">
        <v>4194</v>
      </c>
      <c r="AI813" s="42" t="s">
        <v>4198</v>
      </c>
      <c r="AJ813" s="26"/>
      <c r="AK813" s="26"/>
      <c r="AL813" s="35"/>
      <c r="AM813" s="35"/>
      <c r="AN813" s="35"/>
      <c r="AO813" s="35"/>
      <c r="AP813" s="35"/>
    </row>
    <row r="814" spans="1:42" x14ac:dyDescent="0.2">
      <c r="A814" s="27">
        <v>45210.762425034722</v>
      </c>
      <c r="B814" s="28" t="s">
        <v>37</v>
      </c>
      <c r="C814" s="41" t="s">
        <v>118</v>
      </c>
      <c r="D814" s="26" t="s">
        <v>36</v>
      </c>
      <c r="E814" s="26" t="s">
        <v>139</v>
      </c>
      <c r="F814" s="26" t="s">
        <v>36</v>
      </c>
      <c r="G814" s="26" t="s">
        <v>41</v>
      </c>
      <c r="H814" s="26" t="s">
        <v>3198</v>
      </c>
      <c r="I814" s="17">
        <f ca="1">IFERROR(__xludf.DUMMYFUNCTION("""COMPUTED_VALUE"""),45215)</f>
        <v>45215</v>
      </c>
      <c r="J814" s="29" t="s">
        <v>4199</v>
      </c>
      <c r="K814" s="26" t="s">
        <v>4200</v>
      </c>
      <c r="L814" s="30">
        <v>896516273</v>
      </c>
      <c r="M814" s="26" t="s">
        <v>633</v>
      </c>
      <c r="N814" s="26" t="s">
        <v>2847</v>
      </c>
      <c r="O814" s="26" t="s">
        <v>2847</v>
      </c>
      <c r="P814" s="26" t="s">
        <v>4201</v>
      </c>
      <c r="Q814" s="20">
        <v>15936</v>
      </c>
      <c r="R814" s="26" t="s">
        <v>36</v>
      </c>
      <c r="S814" s="31">
        <v>15936</v>
      </c>
      <c r="T814" s="32">
        <v>45210</v>
      </c>
      <c r="U814" s="31"/>
      <c r="V814" s="26"/>
      <c r="W814" s="33" t="s">
        <v>4202</v>
      </c>
      <c r="X814" s="26"/>
      <c r="Y814" s="22">
        <v>0</v>
      </c>
      <c r="Z814" s="26" t="s">
        <v>50</v>
      </c>
      <c r="AA814" s="19" t="s">
        <v>3454</v>
      </c>
      <c r="AB814" s="26" t="s">
        <v>104</v>
      </c>
      <c r="AC814" s="26" t="s">
        <v>53</v>
      </c>
      <c r="AD814" s="19" t="s">
        <v>54</v>
      </c>
      <c r="AE814" s="26" t="s">
        <v>76</v>
      </c>
      <c r="AF814" s="17">
        <v>45211</v>
      </c>
      <c r="AG814" s="26" t="s">
        <v>4203</v>
      </c>
      <c r="AH814" s="26"/>
      <c r="AI814" s="40"/>
      <c r="AJ814" s="26"/>
      <c r="AK814" s="26"/>
      <c r="AL814" s="35"/>
      <c r="AM814" s="35"/>
      <c r="AN814" s="35"/>
      <c r="AO814" s="35"/>
      <c r="AP814" s="35"/>
    </row>
    <row r="815" spans="1:42" x14ac:dyDescent="0.2">
      <c r="A815" s="27">
        <v>45210.955283252319</v>
      </c>
      <c r="B815" s="28" t="s">
        <v>37</v>
      </c>
      <c r="C815" s="41" t="s">
        <v>118</v>
      </c>
      <c r="D815" s="26" t="s">
        <v>36</v>
      </c>
      <c r="E815" s="26" t="s">
        <v>39</v>
      </c>
      <c r="F815" s="26" t="s">
        <v>40</v>
      </c>
      <c r="G815" s="26" t="s">
        <v>41</v>
      </c>
      <c r="H815" s="26" t="s">
        <v>3198</v>
      </c>
      <c r="I815" s="17">
        <f ca="1">IFERROR(__xludf.DUMMYFUNCTION("""COMPUTED_VALUE"""),45215)</f>
        <v>45215</v>
      </c>
      <c r="J815" s="29" t="s">
        <v>4204</v>
      </c>
      <c r="K815" s="26" t="s">
        <v>4205</v>
      </c>
      <c r="L815" s="30">
        <v>847759989</v>
      </c>
      <c r="M815" s="26" t="s">
        <v>45</v>
      </c>
      <c r="N815" s="26" t="s">
        <v>3663</v>
      </c>
      <c r="O815" s="26" t="s">
        <v>4206</v>
      </c>
      <c r="P815" s="26" t="s">
        <v>4207</v>
      </c>
      <c r="Q815" s="20">
        <v>5736</v>
      </c>
      <c r="R815" s="26" t="s">
        <v>36</v>
      </c>
      <c r="S815" s="31">
        <v>3726</v>
      </c>
      <c r="T815" s="32">
        <v>45210</v>
      </c>
      <c r="U815" s="31">
        <v>2010</v>
      </c>
      <c r="V815" s="32">
        <v>45214</v>
      </c>
      <c r="W815" s="33" t="s">
        <v>4208</v>
      </c>
      <c r="X815" s="26"/>
      <c r="Y815" s="22">
        <v>0</v>
      </c>
      <c r="Z815" s="26" t="s">
        <v>50</v>
      </c>
      <c r="AA815" s="19" t="s">
        <v>3454</v>
      </c>
      <c r="AB815" s="26" t="s">
        <v>104</v>
      </c>
      <c r="AC815" s="26" t="s">
        <v>53</v>
      </c>
      <c r="AD815" s="19" t="s">
        <v>54</v>
      </c>
      <c r="AE815" s="26">
        <v>0</v>
      </c>
      <c r="AF815" s="17">
        <v>45211</v>
      </c>
      <c r="AG815" s="26"/>
      <c r="AH815" s="26"/>
      <c r="AI815" s="40"/>
      <c r="AJ815" s="26"/>
      <c r="AK815" s="26"/>
      <c r="AL815" s="35"/>
      <c r="AM815" s="35"/>
      <c r="AN815" s="35"/>
      <c r="AO815" s="35"/>
      <c r="AP815" s="35"/>
    </row>
    <row r="816" spans="1:42" x14ac:dyDescent="0.2">
      <c r="A816" s="27">
        <v>45211.471947812504</v>
      </c>
      <c r="B816" s="28" t="s">
        <v>37</v>
      </c>
      <c r="C816" s="41" t="s">
        <v>118</v>
      </c>
      <c r="D816" s="26" t="s">
        <v>36</v>
      </c>
      <c r="E816" s="26" t="s">
        <v>56</v>
      </c>
      <c r="F816" s="26" t="s">
        <v>36</v>
      </c>
      <c r="G816" s="26" t="s">
        <v>41</v>
      </c>
      <c r="H816" s="26" t="s">
        <v>3279</v>
      </c>
      <c r="I816" s="17">
        <f ca="1">IFERROR(__xludf.DUMMYFUNCTION("""COMPUTED_VALUE"""),45308)</f>
        <v>45308</v>
      </c>
      <c r="J816" s="29" t="s">
        <v>4209</v>
      </c>
      <c r="K816" s="26" t="s">
        <v>4210</v>
      </c>
      <c r="L816" s="30">
        <v>964196492</v>
      </c>
      <c r="M816" s="26" t="s">
        <v>633</v>
      </c>
      <c r="N816" s="26" t="s">
        <v>2847</v>
      </c>
      <c r="O816" s="26" t="s">
        <v>4211</v>
      </c>
      <c r="P816" s="26" t="s">
        <v>4212</v>
      </c>
      <c r="Q816" s="20">
        <v>9317</v>
      </c>
      <c r="R816" s="26" t="s">
        <v>36</v>
      </c>
      <c r="S816" s="31">
        <v>2000</v>
      </c>
      <c r="T816" s="32">
        <v>45211</v>
      </c>
      <c r="U816" s="31">
        <v>7317</v>
      </c>
      <c r="V816" s="32">
        <v>45215</v>
      </c>
      <c r="W816" s="33" t="s">
        <v>4213</v>
      </c>
      <c r="X816" s="26">
        <v>0</v>
      </c>
      <c r="Y816" s="22">
        <v>0</v>
      </c>
      <c r="Z816" s="26" t="s">
        <v>50</v>
      </c>
      <c r="AA816" s="19" t="s">
        <v>3454</v>
      </c>
      <c r="AB816" s="26" t="s">
        <v>104</v>
      </c>
      <c r="AC816" s="26" t="s">
        <v>53</v>
      </c>
      <c r="AD816" s="19" t="s">
        <v>54</v>
      </c>
      <c r="AE816" s="26" t="s">
        <v>72</v>
      </c>
      <c r="AF816" s="17">
        <v>45211</v>
      </c>
      <c r="AG816" s="26"/>
      <c r="AH816" s="26"/>
      <c r="AI816" s="40"/>
      <c r="AJ816" s="26"/>
      <c r="AK816" s="26"/>
      <c r="AL816" s="35"/>
      <c r="AM816" s="35"/>
      <c r="AN816" s="35"/>
      <c r="AO816" s="35"/>
      <c r="AP816" s="35"/>
    </row>
    <row r="817" spans="1:42" x14ac:dyDescent="0.2">
      <c r="A817" s="27">
        <v>45211.476233263893</v>
      </c>
      <c r="B817" s="28" t="s">
        <v>37</v>
      </c>
      <c r="C817" s="41" t="s">
        <v>118</v>
      </c>
      <c r="D817" s="26" t="s">
        <v>36</v>
      </c>
      <c r="E817" s="26" t="s">
        <v>77</v>
      </c>
      <c r="F817" s="26" t="s">
        <v>36</v>
      </c>
      <c r="G817" s="26" t="s">
        <v>41</v>
      </c>
      <c r="H817" s="26" t="s">
        <v>3090</v>
      </c>
      <c r="I817" s="17">
        <f ca="1">IFERROR(__xludf.DUMMYFUNCTION("""COMPUTED_VALUE"""),45215)</f>
        <v>45215</v>
      </c>
      <c r="J817" s="29" t="s">
        <v>4214</v>
      </c>
      <c r="K817" s="26" t="s">
        <v>4215</v>
      </c>
      <c r="L817" s="30">
        <v>325347141</v>
      </c>
      <c r="M817" s="26" t="s">
        <v>123</v>
      </c>
      <c r="N817" s="26" t="s">
        <v>2459</v>
      </c>
      <c r="O817" s="26" t="s">
        <v>4216</v>
      </c>
      <c r="P817" s="42" t="s">
        <v>4217</v>
      </c>
      <c r="Q817" s="20">
        <v>1968</v>
      </c>
      <c r="R817" s="26" t="s">
        <v>36</v>
      </c>
      <c r="S817" s="31">
        <v>1968</v>
      </c>
      <c r="T817" s="32">
        <v>45210</v>
      </c>
      <c r="U817" s="31"/>
      <c r="V817" s="26"/>
      <c r="W817" s="33" t="s">
        <v>4218</v>
      </c>
      <c r="X817" s="26"/>
      <c r="Y817" s="22">
        <v>0</v>
      </c>
      <c r="Z817" s="26" t="s">
        <v>50</v>
      </c>
      <c r="AA817" s="19" t="s">
        <v>3454</v>
      </c>
      <c r="AB817" s="26" t="s">
        <v>104</v>
      </c>
      <c r="AC817" s="26" t="s">
        <v>53</v>
      </c>
      <c r="AD817" s="19" t="s">
        <v>54</v>
      </c>
      <c r="AE817" s="26" t="s">
        <v>4219</v>
      </c>
      <c r="AF817" s="17">
        <v>45211</v>
      </c>
      <c r="AG817" s="26"/>
      <c r="AH817" s="26"/>
      <c r="AI817" s="40"/>
      <c r="AJ817" s="26"/>
      <c r="AK817" s="26"/>
      <c r="AL817" s="35"/>
      <c r="AM817" s="35"/>
      <c r="AN817" s="35"/>
      <c r="AO817" s="35"/>
      <c r="AP817" s="35"/>
    </row>
    <row r="818" spans="1:42" x14ac:dyDescent="0.2">
      <c r="A818" s="27">
        <v>45211.650018611108</v>
      </c>
      <c r="B818" s="28" t="s">
        <v>37</v>
      </c>
      <c r="C818" s="41" t="s">
        <v>118</v>
      </c>
      <c r="D818" s="26" t="s">
        <v>36</v>
      </c>
      <c r="E818" s="26" t="s">
        <v>56</v>
      </c>
      <c r="F818" s="26" t="s">
        <v>91</v>
      </c>
      <c r="G818" s="26" t="s">
        <v>41</v>
      </c>
      <c r="H818" s="26" t="s">
        <v>4129</v>
      </c>
      <c r="I818" s="17">
        <f ca="1">IFERROR(__xludf.DUMMYFUNCTION("""COMPUTED_VALUE"""),45232)</f>
        <v>45232</v>
      </c>
      <c r="J818" s="29" t="s">
        <v>4220</v>
      </c>
      <c r="K818" s="26" t="s">
        <v>4221</v>
      </c>
      <c r="L818" s="30">
        <v>397638696</v>
      </c>
      <c r="M818" s="26" t="s">
        <v>910</v>
      </c>
      <c r="N818" s="26" t="s">
        <v>3221</v>
      </c>
      <c r="O818" s="26" t="s">
        <v>4222</v>
      </c>
      <c r="P818" s="26" t="s">
        <v>4223</v>
      </c>
      <c r="Q818" s="20">
        <v>9317</v>
      </c>
      <c r="R818" s="26" t="s">
        <v>36</v>
      </c>
      <c r="S818" s="31">
        <v>9317</v>
      </c>
      <c r="T818" s="32">
        <v>45211</v>
      </c>
      <c r="U818" s="31"/>
      <c r="V818" s="26"/>
      <c r="W818" s="33" t="s">
        <v>4224</v>
      </c>
      <c r="X818" s="26"/>
      <c r="Y818" s="22">
        <v>0</v>
      </c>
      <c r="Z818" s="26" t="s">
        <v>50</v>
      </c>
      <c r="AA818" s="19" t="s">
        <v>3454</v>
      </c>
      <c r="AB818" s="26" t="s">
        <v>104</v>
      </c>
      <c r="AC818" s="26" t="s">
        <v>53</v>
      </c>
      <c r="AD818" s="19" t="s">
        <v>138</v>
      </c>
      <c r="AE818" s="26"/>
      <c r="AF818" s="17">
        <v>45232</v>
      </c>
      <c r="AG818" s="26" t="s">
        <v>1631</v>
      </c>
      <c r="AH818" s="26"/>
      <c r="AI818" s="40"/>
      <c r="AJ818" s="26"/>
      <c r="AK818" s="26"/>
      <c r="AL818" s="35"/>
      <c r="AM818" s="35"/>
      <c r="AN818" s="35"/>
      <c r="AO818" s="35"/>
      <c r="AP818" s="35"/>
    </row>
    <row r="819" spans="1:42" x14ac:dyDescent="0.2">
      <c r="A819" s="27">
        <v>45211.658047141202</v>
      </c>
      <c r="B819" s="28" t="s">
        <v>37</v>
      </c>
      <c r="C819" s="41" t="s">
        <v>118</v>
      </c>
      <c r="D819" s="26" t="s">
        <v>36</v>
      </c>
      <c r="E819" s="26" t="s">
        <v>106</v>
      </c>
      <c r="F819" s="26" t="s">
        <v>91</v>
      </c>
      <c r="G819" s="26" t="s">
        <v>108</v>
      </c>
      <c r="H819" s="26" t="s">
        <v>3238</v>
      </c>
      <c r="I819" s="17">
        <f ca="1">IFERROR(__xludf.DUMMYFUNCTION("""COMPUTED_VALUE"""),45216)</f>
        <v>45216</v>
      </c>
      <c r="J819" s="29" t="s">
        <v>4225</v>
      </c>
      <c r="K819" s="26" t="s">
        <v>4226</v>
      </c>
      <c r="L819" s="30">
        <v>566515888</v>
      </c>
      <c r="M819" s="26" t="s">
        <v>910</v>
      </c>
      <c r="N819" s="26" t="s">
        <v>355</v>
      </c>
      <c r="O819" s="26" t="s">
        <v>3754</v>
      </c>
      <c r="P819" s="26" t="s">
        <v>4227</v>
      </c>
      <c r="Q819" s="20">
        <v>3768</v>
      </c>
      <c r="R819" s="26" t="s">
        <v>36</v>
      </c>
      <c r="S819" s="31">
        <v>3768</v>
      </c>
      <c r="T819" s="32">
        <v>45211</v>
      </c>
      <c r="U819" s="31"/>
      <c r="V819" s="26"/>
      <c r="W819" s="33" t="s">
        <v>4228</v>
      </c>
      <c r="X819" s="26"/>
      <c r="Y819" s="22">
        <v>0</v>
      </c>
      <c r="Z819" s="26" t="s">
        <v>50</v>
      </c>
      <c r="AA819" s="19" t="s">
        <v>3454</v>
      </c>
      <c r="AB819" s="26" t="s">
        <v>128</v>
      </c>
      <c r="AC819" s="26" t="s">
        <v>53</v>
      </c>
      <c r="AD819" s="19" t="s">
        <v>138</v>
      </c>
      <c r="AE819" s="26">
        <v>400</v>
      </c>
      <c r="AF819" s="43">
        <v>45216</v>
      </c>
      <c r="AG819" s="26" t="s">
        <v>1631</v>
      </c>
      <c r="AH819" s="26"/>
      <c r="AI819" s="40"/>
      <c r="AJ819" s="26"/>
      <c r="AK819" s="26"/>
      <c r="AL819" s="35"/>
      <c r="AM819" s="35"/>
      <c r="AN819" s="35"/>
      <c r="AO819" s="35"/>
      <c r="AP819" s="35"/>
    </row>
    <row r="820" spans="1:42" x14ac:dyDescent="0.2">
      <c r="A820" s="27">
        <v>45212.492949583335</v>
      </c>
      <c r="B820" s="28" t="s">
        <v>37</v>
      </c>
      <c r="C820" s="41" t="s">
        <v>118</v>
      </c>
      <c r="D820" s="26" t="s">
        <v>36</v>
      </c>
      <c r="E820" s="26" t="s">
        <v>106</v>
      </c>
      <c r="F820" s="26" t="s">
        <v>746</v>
      </c>
      <c r="G820" s="26" t="s">
        <v>108</v>
      </c>
      <c r="H820" s="26" t="s">
        <v>2381</v>
      </c>
      <c r="I820" s="17">
        <f ca="1">IFERROR(__xludf.DUMMYFUNCTION("""COMPUTED_VALUE"""),45224)</f>
        <v>45224</v>
      </c>
      <c r="J820" s="29" t="s">
        <v>4229</v>
      </c>
      <c r="K820" s="26" t="s">
        <v>4230</v>
      </c>
      <c r="L820" s="30">
        <v>325286428</v>
      </c>
      <c r="M820" s="26" t="s">
        <v>123</v>
      </c>
      <c r="N820" s="26" t="s">
        <v>850</v>
      </c>
      <c r="O820" s="26" t="s">
        <v>2737</v>
      </c>
      <c r="P820" s="26" t="s">
        <v>4231</v>
      </c>
      <c r="Q820" s="20">
        <v>3768</v>
      </c>
      <c r="R820" s="26" t="s">
        <v>70</v>
      </c>
      <c r="S820" s="31">
        <v>3768</v>
      </c>
      <c r="T820" s="32">
        <v>45211</v>
      </c>
      <c r="U820" s="31"/>
      <c r="V820" s="26"/>
      <c r="W820" s="33" t="s">
        <v>4232</v>
      </c>
      <c r="X820" s="26">
        <v>0</v>
      </c>
      <c r="Y820" s="22">
        <v>0</v>
      </c>
      <c r="Z820" s="26" t="s">
        <v>50</v>
      </c>
      <c r="AA820" s="19" t="s">
        <v>3454</v>
      </c>
      <c r="AB820" s="26" t="s">
        <v>154</v>
      </c>
      <c r="AC820" s="26" t="s">
        <v>53</v>
      </c>
      <c r="AD820" s="19" t="s">
        <v>54</v>
      </c>
      <c r="AE820" s="26"/>
      <c r="AF820" s="17">
        <v>45215</v>
      </c>
      <c r="AG820" s="26"/>
      <c r="AH820" s="26"/>
      <c r="AI820" s="40"/>
      <c r="AJ820" s="26"/>
      <c r="AK820" s="26"/>
      <c r="AL820" s="35"/>
      <c r="AM820" s="35"/>
      <c r="AN820" s="35"/>
      <c r="AO820" s="35"/>
      <c r="AP820" s="35"/>
    </row>
    <row r="821" spans="1:42" x14ac:dyDescent="0.2">
      <c r="A821" s="27">
        <v>45212.494790856479</v>
      </c>
      <c r="B821" s="28" t="s">
        <v>37</v>
      </c>
      <c r="C821" s="41" t="s">
        <v>118</v>
      </c>
      <c r="D821" s="26" t="s">
        <v>36</v>
      </c>
      <c r="E821" s="26" t="s">
        <v>106</v>
      </c>
      <c r="F821" s="26" t="s">
        <v>91</v>
      </c>
      <c r="G821" s="26" t="s">
        <v>108</v>
      </c>
      <c r="H821" s="26" t="s">
        <v>2381</v>
      </c>
      <c r="I821" s="17">
        <f ca="1">IFERROR(__xludf.DUMMYFUNCTION("""COMPUTED_VALUE"""),45224)</f>
        <v>45224</v>
      </c>
      <c r="J821" s="29" t="s">
        <v>4233</v>
      </c>
      <c r="K821" s="26" t="s">
        <v>4234</v>
      </c>
      <c r="L821" s="30">
        <v>963827081</v>
      </c>
      <c r="M821" s="26" t="s">
        <v>123</v>
      </c>
      <c r="N821" s="26" t="s">
        <v>850</v>
      </c>
      <c r="O821" s="26" t="s">
        <v>1226</v>
      </c>
      <c r="P821" s="26" t="s">
        <v>4235</v>
      </c>
      <c r="Q821" s="20">
        <v>3768</v>
      </c>
      <c r="R821" s="26" t="s">
        <v>70</v>
      </c>
      <c r="S821" s="31">
        <v>200</v>
      </c>
      <c r="T821" s="32">
        <v>45211</v>
      </c>
      <c r="U821" s="31">
        <v>3568</v>
      </c>
      <c r="V821" s="32">
        <v>45216</v>
      </c>
      <c r="W821" s="33" t="s">
        <v>4236</v>
      </c>
      <c r="X821" s="26"/>
      <c r="Y821" s="22">
        <v>0</v>
      </c>
      <c r="Z821" s="26" t="s">
        <v>50</v>
      </c>
      <c r="AA821" s="19" t="s">
        <v>3454</v>
      </c>
      <c r="AB821" s="26" t="s">
        <v>154</v>
      </c>
      <c r="AC821" s="26" t="s">
        <v>53</v>
      </c>
      <c r="AD821" s="19" t="s">
        <v>138</v>
      </c>
      <c r="AE821" s="26"/>
      <c r="AF821" s="17">
        <v>45218</v>
      </c>
      <c r="AG821" s="26"/>
      <c r="AH821" s="26"/>
      <c r="AI821" s="40"/>
      <c r="AJ821" s="26"/>
      <c r="AK821" s="26"/>
      <c r="AL821" s="35"/>
      <c r="AM821" s="35"/>
      <c r="AN821" s="35"/>
      <c r="AO821" s="35"/>
      <c r="AP821" s="35"/>
    </row>
    <row r="822" spans="1:42" x14ac:dyDescent="0.2">
      <c r="A822" s="27">
        <v>45212.890099756944</v>
      </c>
      <c r="B822" s="28" t="s">
        <v>37</v>
      </c>
      <c r="C822" s="41" t="s">
        <v>118</v>
      </c>
      <c r="D822" s="26" t="s">
        <v>36</v>
      </c>
      <c r="E822" s="26" t="s">
        <v>139</v>
      </c>
      <c r="F822" s="26" t="s">
        <v>36</v>
      </c>
      <c r="G822" s="26" t="s">
        <v>41</v>
      </c>
      <c r="H822" s="26" t="s">
        <v>3302</v>
      </c>
      <c r="I822" s="17">
        <f ca="1">IFERROR(__xludf.DUMMYFUNCTION("""COMPUTED_VALUE"""),45224)</f>
        <v>45224</v>
      </c>
      <c r="J822" s="29" t="s">
        <v>4237</v>
      </c>
      <c r="K822" s="26" t="s">
        <v>4238</v>
      </c>
      <c r="L822" s="30">
        <v>385246721</v>
      </c>
      <c r="M822" s="26" t="s">
        <v>59</v>
      </c>
      <c r="N822" s="26" t="s">
        <v>260</v>
      </c>
      <c r="O822" s="26" t="s">
        <v>4239</v>
      </c>
      <c r="P822" s="26" t="s">
        <v>4239</v>
      </c>
      <c r="Q822" s="20">
        <v>15936</v>
      </c>
      <c r="R822" s="26" t="s">
        <v>1989</v>
      </c>
      <c r="S822" s="31">
        <v>15968</v>
      </c>
      <c r="T822" s="32">
        <v>45211</v>
      </c>
      <c r="U822" s="31"/>
      <c r="V822" s="32">
        <v>45211</v>
      </c>
      <c r="W822" s="33" t="s">
        <v>4240</v>
      </c>
      <c r="X822" s="26"/>
      <c r="Y822" s="22">
        <v>-32</v>
      </c>
      <c r="Z822" s="26" t="s">
        <v>50</v>
      </c>
      <c r="AA822" s="19" t="s">
        <v>3454</v>
      </c>
      <c r="AB822" s="26" t="s">
        <v>154</v>
      </c>
      <c r="AC822" s="26" t="s">
        <v>53</v>
      </c>
      <c r="AD822" s="19" t="s">
        <v>54</v>
      </c>
      <c r="AE822" s="26" t="s">
        <v>76</v>
      </c>
      <c r="AF822" s="17">
        <v>45215</v>
      </c>
      <c r="AG822" s="26"/>
      <c r="AH822" s="26"/>
      <c r="AI822" s="40"/>
      <c r="AJ822" s="26"/>
      <c r="AK822" s="26"/>
      <c r="AL822" s="35"/>
      <c r="AM822" s="35"/>
      <c r="AN822" s="35"/>
      <c r="AO822" s="35"/>
      <c r="AP822" s="35"/>
    </row>
    <row r="823" spans="1:42" x14ac:dyDescent="0.2">
      <c r="A823" s="27">
        <v>45214.476885185184</v>
      </c>
      <c r="B823" s="28" t="s">
        <v>37</v>
      </c>
      <c r="C823" s="41" t="s">
        <v>118</v>
      </c>
      <c r="D823" s="26" t="s">
        <v>36</v>
      </c>
      <c r="E823" s="26" t="s">
        <v>77</v>
      </c>
      <c r="F823" s="26" t="s">
        <v>36</v>
      </c>
      <c r="G823" s="26" t="s">
        <v>41</v>
      </c>
      <c r="H823" s="26" t="s">
        <v>3899</v>
      </c>
      <c r="I823" s="17">
        <f ca="1">IFERROR(__xludf.DUMMYFUNCTION("""COMPUTED_VALUE"""),45215)</f>
        <v>45215</v>
      </c>
      <c r="J823" s="29" t="s">
        <v>4241</v>
      </c>
      <c r="K823" s="26" t="s">
        <v>4242</v>
      </c>
      <c r="L823" s="30">
        <v>349287614</v>
      </c>
      <c r="M823" s="26" t="s">
        <v>1245</v>
      </c>
      <c r="N823" s="26" t="s">
        <v>1246</v>
      </c>
      <c r="O823" s="26" t="s">
        <v>4243</v>
      </c>
      <c r="P823" s="26" t="s">
        <v>4244</v>
      </c>
      <c r="Q823" s="20">
        <v>1968</v>
      </c>
      <c r="R823" s="26" t="s">
        <v>36</v>
      </c>
      <c r="S823" s="31">
        <v>1968</v>
      </c>
      <c r="T823" s="32">
        <v>45212</v>
      </c>
      <c r="U823" s="31"/>
      <c r="V823" s="26"/>
      <c r="W823" s="33" t="s">
        <v>4245</v>
      </c>
      <c r="X823" s="26"/>
      <c r="Y823" s="22">
        <v>0</v>
      </c>
      <c r="Z823" s="26" t="s">
        <v>50</v>
      </c>
      <c r="AA823" s="19" t="s">
        <v>3454</v>
      </c>
      <c r="AB823" s="26" t="s">
        <v>154</v>
      </c>
      <c r="AC823" s="26" t="s">
        <v>53</v>
      </c>
      <c r="AD823" s="19" t="s">
        <v>138</v>
      </c>
      <c r="AE823" s="26" t="s">
        <v>72</v>
      </c>
      <c r="AF823" s="17">
        <v>45215</v>
      </c>
      <c r="AG823" s="26" t="s">
        <v>1631</v>
      </c>
      <c r="AH823" s="26"/>
      <c r="AI823" s="40"/>
      <c r="AJ823" s="26"/>
      <c r="AK823" s="26"/>
      <c r="AL823" s="35"/>
      <c r="AM823" s="35"/>
      <c r="AN823" s="35"/>
      <c r="AO823" s="35"/>
      <c r="AP823" s="35"/>
    </row>
    <row r="824" spans="1:42" x14ac:dyDescent="0.2">
      <c r="A824" s="27">
        <v>45214.714804814816</v>
      </c>
      <c r="B824" s="28" t="s">
        <v>37</v>
      </c>
      <c r="C824" s="41" t="s">
        <v>118</v>
      </c>
      <c r="D824" s="26" t="s">
        <v>36</v>
      </c>
      <c r="E824" s="26" t="s">
        <v>39</v>
      </c>
      <c r="F824" s="26" t="s">
        <v>40</v>
      </c>
      <c r="G824" s="26" t="s">
        <v>41</v>
      </c>
      <c r="H824" s="26" t="s">
        <v>3930</v>
      </c>
      <c r="I824" s="17">
        <f ca="1">IFERROR(__xludf.DUMMYFUNCTION("""COMPUTED_VALUE"""),45223)</f>
        <v>45223</v>
      </c>
      <c r="J824" s="29" t="s">
        <v>4246</v>
      </c>
      <c r="K824" s="26" t="s">
        <v>4247</v>
      </c>
      <c r="L824" s="30">
        <v>865943121</v>
      </c>
      <c r="M824" s="26" t="s">
        <v>45</v>
      </c>
      <c r="N824" s="26" t="s">
        <v>1606</v>
      </c>
      <c r="O824" s="26" t="s">
        <v>4248</v>
      </c>
      <c r="P824" s="26" t="s">
        <v>4249</v>
      </c>
      <c r="Q824" s="20">
        <v>5736</v>
      </c>
      <c r="R824" s="26" t="s">
        <v>36</v>
      </c>
      <c r="S824" s="31">
        <v>5736</v>
      </c>
      <c r="T824" s="32">
        <v>45214</v>
      </c>
      <c r="U824" s="31"/>
      <c r="V824" s="26"/>
      <c r="W824" s="33" t="s">
        <v>4250</v>
      </c>
      <c r="X824" s="26"/>
      <c r="Y824" s="22">
        <v>0</v>
      </c>
      <c r="Z824" s="26" t="s">
        <v>50</v>
      </c>
      <c r="AA824" s="19" t="s">
        <v>3454</v>
      </c>
      <c r="AB824" s="26" t="s">
        <v>104</v>
      </c>
      <c r="AC824" s="26" t="s">
        <v>53</v>
      </c>
      <c r="AD824" s="19" t="s">
        <v>138</v>
      </c>
      <c r="AE824" s="26">
        <v>0</v>
      </c>
      <c r="AF824" s="43">
        <v>45223</v>
      </c>
      <c r="AG824" s="26" t="s">
        <v>1631</v>
      </c>
      <c r="AH824" s="26"/>
      <c r="AI824" s="40"/>
      <c r="AJ824" s="26"/>
      <c r="AK824" s="26"/>
      <c r="AL824" s="35"/>
      <c r="AM824" s="35"/>
      <c r="AN824" s="35"/>
      <c r="AO824" s="35"/>
      <c r="AP824" s="35"/>
    </row>
    <row r="825" spans="1:42" x14ac:dyDescent="0.2">
      <c r="A825" s="27">
        <v>45214.716108055552</v>
      </c>
      <c r="B825" s="28" t="s">
        <v>37</v>
      </c>
      <c r="C825" s="41" t="s">
        <v>118</v>
      </c>
      <c r="D825" s="26" t="s">
        <v>36</v>
      </c>
      <c r="E825" s="26" t="s">
        <v>39</v>
      </c>
      <c r="F825" s="26" t="s">
        <v>40</v>
      </c>
      <c r="G825" s="26" t="s">
        <v>41</v>
      </c>
      <c r="H825" s="26" t="s">
        <v>3930</v>
      </c>
      <c r="I825" s="17">
        <f ca="1">IFERROR(__xludf.DUMMYFUNCTION("""COMPUTED_VALUE"""),45223)</f>
        <v>45223</v>
      </c>
      <c r="J825" s="29" t="s">
        <v>4251</v>
      </c>
      <c r="K825" s="26" t="s">
        <v>4252</v>
      </c>
      <c r="L825" s="30">
        <v>942138350</v>
      </c>
      <c r="M825" s="26" t="s">
        <v>45</v>
      </c>
      <c r="N825" s="26" t="s">
        <v>3839</v>
      </c>
      <c r="O825" s="26" t="s">
        <v>4253</v>
      </c>
      <c r="P825" s="26" t="s">
        <v>4254</v>
      </c>
      <c r="Q825" s="20">
        <v>5736</v>
      </c>
      <c r="R825" s="26" t="s">
        <v>36</v>
      </c>
      <c r="S825" s="31">
        <v>5736</v>
      </c>
      <c r="T825" s="32">
        <v>45214</v>
      </c>
      <c r="U825" s="31"/>
      <c r="V825" s="26"/>
      <c r="W825" s="33" t="s">
        <v>4255</v>
      </c>
      <c r="X825" s="26"/>
      <c r="Y825" s="22">
        <v>0</v>
      </c>
      <c r="Z825" s="26" t="s">
        <v>50</v>
      </c>
      <c r="AA825" s="19" t="s">
        <v>3454</v>
      </c>
      <c r="AB825" s="26" t="s">
        <v>104</v>
      </c>
      <c r="AC825" s="26" t="s">
        <v>53</v>
      </c>
      <c r="AD825" s="19" t="s">
        <v>138</v>
      </c>
      <c r="AE825" s="26">
        <v>0</v>
      </c>
      <c r="AF825" s="43">
        <v>45223</v>
      </c>
      <c r="AG825" s="26" t="s">
        <v>1631</v>
      </c>
      <c r="AH825" s="26"/>
      <c r="AI825" s="40"/>
      <c r="AJ825" s="26"/>
      <c r="AK825" s="26"/>
      <c r="AL825" s="35"/>
      <c r="AM825" s="35"/>
      <c r="AN825" s="35"/>
      <c r="AO825" s="35"/>
      <c r="AP825" s="35"/>
    </row>
    <row r="826" spans="1:42" x14ac:dyDescent="0.2">
      <c r="A826" s="27">
        <v>45214.874406874995</v>
      </c>
      <c r="B826" s="28" t="s">
        <v>37</v>
      </c>
      <c r="C826" s="41" t="s">
        <v>118</v>
      </c>
      <c r="D826" s="26" t="s">
        <v>77</v>
      </c>
      <c r="E826" s="26" t="s">
        <v>106</v>
      </c>
      <c r="F826" s="26" t="s">
        <v>129</v>
      </c>
      <c r="G826" s="26" t="s">
        <v>108</v>
      </c>
      <c r="H826" s="26" t="s">
        <v>130</v>
      </c>
      <c r="I826" s="17">
        <f ca="1">IFERROR(__xludf.DUMMYFUNCTION("""COMPUTED_VALUE"""),45223)</f>
        <v>45223</v>
      </c>
      <c r="J826" s="29" t="s">
        <v>4256</v>
      </c>
      <c r="K826" s="26" t="s">
        <v>1640</v>
      </c>
      <c r="L826" s="30">
        <v>343605641</v>
      </c>
      <c r="M826" s="26" t="s">
        <v>112</v>
      </c>
      <c r="N826" s="26" t="s">
        <v>3330</v>
      </c>
      <c r="O826" s="26" t="s">
        <v>4257</v>
      </c>
      <c r="P826" s="42" t="s">
        <v>4258</v>
      </c>
      <c r="Q826" s="20">
        <v>3768</v>
      </c>
      <c r="R826" s="26" t="s">
        <v>36</v>
      </c>
      <c r="S826" s="31">
        <v>3668</v>
      </c>
      <c r="T826" s="32">
        <v>45214</v>
      </c>
      <c r="U826" s="31"/>
      <c r="V826" s="26"/>
      <c r="W826" s="33" t="s">
        <v>4259</v>
      </c>
      <c r="X826" s="26"/>
      <c r="Y826" s="22">
        <v>100</v>
      </c>
      <c r="Z826" s="26" t="s">
        <v>50</v>
      </c>
      <c r="AA826" s="19" t="s">
        <v>3454</v>
      </c>
      <c r="AB826" s="26" t="s">
        <v>137</v>
      </c>
      <c r="AC826" s="26" t="s">
        <v>53</v>
      </c>
      <c r="AD826" s="19" t="s">
        <v>54</v>
      </c>
      <c r="AE826" s="26" t="s">
        <v>117</v>
      </c>
      <c r="AF826" s="17">
        <v>45216</v>
      </c>
      <c r="AG826" s="26"/>
      <c r="AH826" s="26"/>
      <c r="AI826" s="40"/>
      <c r="AJ826" s="26"/>
      <c r="AK826" s="26"/>
      <c r="AL826" s="35"/>
      <c r="AM826" s="35"/>
      <c r="AN826" s="35"/>
      <c r="AO826" s="35"/>
      <c r="AP826" s="35"/>
    </row>
    <row r="827" spans="1:42" x14ac:dyDescent="0.2">
      <c r="A827" s="27">
        <v>45215.427739652776</v>
      </c>
      <c r="B827" s="28" t="s">
        <v>37</v>
      </c>
      <c r="C827" s="41" t="s">
        <v>118</v>
      </c>
      <c r="D827" s="26" t="s">
        <v>36</v>
      </c>
      <c r="E827" s="26" t="s">
        <v>77</v>
      </c>
      <c r="F827" s="26" t="s">
        <v>4260</v>
      </c>
      <c r="G827" s="26" t="s">
        <v>41</v>
      </c>
      <c r="H827" s="26" t="s">
        <v>4261</v>
      </c>
      <c r="I827" s="17">
        <f ca="1">IFERROR(__xludf.DUMMYFUNCTION("""COMPUTED_VALUE"""),45257)</f>
        <v>45257</v>
      </c>
      <c r="J827" s="29" t="s">
        <v>4262</v>
      </c>
      <c r="K827" s="26" t="s">
        <v>4263</v>
      </c>
      <c r="L827" s="30">
        <v>343068391</v>
      </c>
      <c r="M827" s="26" t="s">
        <v>3288</v>
      </c>
      <c r="N827" s="26" t="s">
        <v>200</v>
      </c>
      <c r="O827" s="26" t="s">
        <v>4264</v>
      </c>
      <c r="P827" s="26" t="s">
        <v>4265</v>
      </c>
      <c r="Q827" s="20">
        <v>1968</v>
      </c>
      <c r="R827" s="26" t="s">
        <v>36</v>
      </c>
      <c r="S827" s="31">
        <v>1968</v>
      </c>
      <c r="T827" s="32">
        <v>45215</v>
      </c>
      <c r="U827" s="31"/>
      <c r="V827" s="26"/>
      <c r="W827" s="33" t="s">
        <v>4266</v>
      </c>
      <c r="X827" s="26"/>
      <c r="Y827" s="22">
        <v>0</v>
      </c>
      <c r="Z827" s="26" t="s">
        <v>50</v>
      </c>
      <c r="AA827" s="19" t="s">
        <v>3454</v>
      </c>
      <c r="AB827" s="26" t="s">
        <v>104</v>
      </c>
      <c r="AC827" s="26" t="s">
        <v>53</v>
      </c>
      <c r="AD827" s="19" t="s">
        <v>54</v>
      </c>
      <c r="AE827" s="26">
        <v>160</v>
      </c>
      <c r="AF827" s="17">
        <v>45250</v>
      </c>
      <c r="AG827" s="26"/>
      <c r="AH827" s="26"/>
      <c r="AI827" s="40"/>
      <c r="AJ827" s="26"/>
      <c r="AK827" s="26"/>
      <c r="AL827" s="35"/>
      <c r="AM827" s="35"/>
      <c r="AN827" s="35"/>
      <c r="AO827" s="35"/>
      <c r="AP827" s="35"/>
    </row>
    <row r="828" spans="1:42" x14ac:dyDescent="0.2">
      <c r="A828" s="27">
        <v>45215.524539976846</v>
      </c>
      <c r="B828" s="28" t="s">
        <v>37</v>
      </c>
      <c r="C828" s="41" t="s">
        <v>118</v>
      </c>
      <c r="D828" s="26" t="s">
        <v>36</v>
      </c>
      <c r="E828" s="26" t="s">
        <v>106</v>
      </c>
      <c r="F828" s="26" t="s">
        <v>91</v>
      </c>
      <c r="G828" s="26" t="s">
        <v>108</v>
      </c>
      <c r="H828" s="26" t="s">
        <v>130</v>
      </c>
      <c r="I828" s="17">
        <f ca="1">IFERROR(__xludf.DUMMYFUNCTION("""COMPUTED_VALUE"""),45223)</f>
        <v>45223</v>
      </c>
      <c r="J828" s="29" t="s">
        <v>4267</v>
      </c>
      <c r="K828" s="26" t="s">
        <v>4268</v>
      </c>
      <c r="L828" s="30">
        <v>942213106</v>
      </c>
      <c r="M828" s="26" t="s">
        <v>123</v>
      </c>
      <c r="N828" s="26" t="s">
        <v>850</v>
      </c>
      <c r="O828" s="26" t="s">
        <v>1226</v>
      </c>
      <c r="P828" s="26" t="s">
        <v>4269</v>
      </c>
      <c r="Q828" s="20">
        <v>3768</v>
      </c>
      <c r="R828" s="26" t="s">
        <v>36</v>
      </c>
      <c r="S828" s="31">
        <v>3768</v>
      </c>
      <c r="T828" s="32">
        <v>45214</v>
      </c>
      <c r="U828" s="31"/>
      <c r="V828" s="26"/>
      <c r="W828" s="33" t="s">
        <v>4270</v>
      </c>
      <c r="X828" s="26"/>
      <c r="Y828" s="22">
        <v>0</v>
      </c>
      <c r="Z828" s="26" t="s">
        <v>50</v>
      </c>
      <c r="AA828" s="19" t="s">
        <v>3454</v>
      </c>
      <c r="AB828" s="26" t="s">
        <v>128</v>
      </c>
      <c r="AC828" s="26" t="s">
        <v>53</v>
      </c>
      <c r="AD828" s="19" t="s">
        <v>54</v>
      </c>
      <c r="AE828" s="26"/>
      <c r="AF828" s="17">
        <v>45215</v>
      </c>
      <c r="AG828" s="26"/>
      <c r="AH828" s="26"/>
      <c r="AI828" s="40"/>
      <c r="AJ828" s="26"/>
      <c r="AK828" s="26"/>
      <c r="AL828" s="35"/>
      <c r="AM828" s="35"/>
      <c r="AN828" s="35"/>
      <c r="AO828" s="35"/>
      <c r="AP828" s="35"/>
    </row>
    <row r="829" spans="1:42" x14ac:dyDescent="0.2">
      <c r="A829" s="27">
        <v>45215.776841493054</v>
      </c>
      <c r="B829" s="28" t="s">
        <v>37</v>
      </c>
      <c r="C829" s="41" t="s">
        <v>118</v>
      </c>
      <c r="D829" s="26" t="s">
        <v>36</v>
      </c>
      <c r="E829" s="26" t="s">
        <v>39</v>
      </c>
      <c r="F829" s="26" t="s">
        <v>91</v>
      </c>
      <c r="G829" s="26" t="s">
        <v>41</v>
      </c>
      <c r="H829" s="26" t="s">
        <v>3302</v>
      </c>
      <c r="I829" s="17">
        <f ca="1">IFERROR(__xludf.DUMMYFUNCTION("""COMPUTED_VALUE"""),45224)</f>
        <v>45224</v>
      </c>
      <c r="J829" s="29" t="s">
        <v>4271</v>
      </c>
      <c r="K829" s="26" t="s">
        <v>4272</v>
      </c>
      <c r="L829" s="30">
        <v>367202418</v>
      </c>
      <c r="M829" s="26" t="s">
        <v>123</v>
      </c>
      <c r="N829" s="26" t="s">
        <v>3065</v>
      </c>
      <c r="O829" s="26" t="s">
        <v>1226</v>
      </c>
      <c r="P829" s="26" t="s">
        <v>4273</v>
      </c>
      <c r="Q829" s="20">
        <v>5736</v>
      </c>
      <c r="R829" s="26" t="s">
        <v>36</v>
      </c>
      <c r="S829" s="31">
        <v>5736</v>
      </c>
      <c r="T829" s="32">
        <v>45214</v>
      </c>
      <c r="U829" s="31"/>
      <c r="V829" s="26"/>
      <c r="W829" s="33" t="s">
        <v>4274</v>
      </c>
      <c r="X829" s="26"/>
      <c r="Y829" s="22">
        <v>0</v>
      </c>
      <c r="Z829" s="26" t="s">
        <v>50</v>
      </c>
      <c r="AA829" s="19" t="s">
        <v>3454</v>
      </c>
      <c r="AB829" s="26" t="s">
        <v>104</v>
      </c>
      <c r="AC829" s="26" t="s">
        <v>53</v>
      </c>
      <c r="AD829" s="19" t="s">
        <v>54</v>
      </c>
      <c r="AE829" s="26"/>
      <c r="AF829" s="17">
        <v>45216</v>
      </c>
      <c r="AG829" s="26"/>
      <c r="AH829" s="26"/>
      <c r="AI829" s="40"/>
      <c r="AJ829" s="26"/>
      <c r="AK829" s="26"/>
      <c r="AL829" s="35"/>
      <c r="AM829" s="35"/>
      <c r="AN829" s="35"/>
      <c r="AO829" s="35"/>
      <c r="AP829" s="35"/>
    </row>
    <row r="830" spans="1:42" x14ac:dyDescent="0.2">
      <c r="A830" s="27">
        <v>45215.943774131942</v>
      </c>
      <c r="B830" s="28" t="s">
        <v>37</v>
      </c>
      <c r="C830" s="41" t="s">
        <v>118</v>
      </c>
      <c r="D830" s="26" t="s">
        <v>219</v>
      </c>
      <c r="E830" s="26" t="s">
        <v>148</v>
      </c>
      <c r="F830" s="26" t="s">
        <v>3013</v>
      </c>
      <c r="G830" s="26" t="s">
        <v>221</v>
      </c>
      <c r="H830" s="26" t="s">
        <v>4275</v>
      </c>
      <c r="I830" s="17">
        <f ca="1">IFERROR(__xludf.DUMMYFUNCTION("""COMPUTED_VALUE"""),45300)</f>
        <v>45300</v>
      </c>
      <c r="J830" s="29" t="s">
        <v>3193</v>
      </c>
      <c r="K830" s="19" t="s">
        <v>4276</v>
      </c>
      <c r="L830" s="47">
        <v>823436698</v>
      </c>
      <c r="M830" s="26" t="s">
        <v>59</v>
      </c>
      <c r="N830" s="26" t="s">
        <v>60</v>
      </c>
      <c r="O830" s="26" t="s">
        <v>3195</v>
      </c>
      <c r="P830" s="26" t="s">
        <v>3196</v>
      </c>
      <c r="Q830" s="20">
        <v>6962.4000000000005</v>
      </c>
      <c r="R830" s="26" t="s">
        <v>36</v>
      </c>
      <c r="S830" s="21">
        <v>3768</v>
      </c>
      <c r="T830" s="46">
        <v>45196</v>
      </c>
      <c r="U830" s="31">
        <v>3581</v>
      </c>
      <c r="V830" s="32">
        <v>45212</v>
      </c>
      <c r="W830" s="33" t="s">
        <v>4277</v>
      </c>
      <c r="X830" s="26"/>
      <c r="Y830" s="22">
        <v>-386.59999999999945</v>
      </c>
      <c r="Z830" s="26" t="s">
        <v>50</v>
      </c>
      <c r="AA830" s="19" t="s">
        <v>3454</v>
      </c>
      <c r="AB830" s="26" t="s">
        <v>154</v>
      </c>
      <c r="AC830" s="26" t="s">
        <v>53</v>
      </c>
      <c r="AD830" s="19" t="s">
        <v>138</v>
      </c>
      <c r="AE830" s="26" t="s">
        <v>4278</v>
      </c>
      <c r="AF830" s="17">
        <v>45300</v>
      </c>
      <c r="AG830" s="26" t="s">
        <v>4279</v>
      </c>
      <c r="AH830" s="26"/>
      <c r="AI830" s="40"/>
      <c r="AJ830" s="26"/>
      <c r="AK830" s="26"/>
      <c r="AL830" s="35"/>
      <c r="AM830" s="35"/>
      <c r="AN830" s="35"/>
      <c r="AO830" s="35"/>
      <c r="AP830" s="35"/>
    </row>
    <row r="831" spans="1:42" x14ac:dyDescent="0.2">
      <c r="A831" s="27">
        <v>45216.349816122689</v>
      </c>
      <c r="B831" s="28" t="s">
        <v>37</v>
      </c>
      <c r="C831" s="41" t="s">
        <v>118</v>
      </c>
      <c r="D831" s="26" t="s">
        <v>36</v>
      </c>
      <c r="E831" s="26" t="s">
        <v>39</v>
      </c>
      <c r="F831" s="26" t="s">
        <v>91</v>
      </c>
      <c r="G831" s="26" t="s">
        <v>41</v>
      </c>
      <c r="H831" s="26" t="s">
        <v>3930</v>
      </c>
      <c r="I831" s="17">
        <f ca="1">IFERROR(__xludf.DUMMYFUNCTION("""COMPUTED_VALUE"""),45223)</f>
        <v>45223</v>
      </c>
      <c r="J831" s="29" t="s">
        <v>4280</v>
      </c>
      <c r="K831" s="26" t="s">
        <v>4281</v>
      </c>
      <c r="L831" s="30">
        <v>559663023</v>
      </c>
      <c r="M831" s="26" t="s">
        <v>391</v>
      </c>
      <c r="N831" s="26" t="s">
        <v>4282</v>
      </c>
      <c r="O831" s="26" t="s">
        <v>4283</v>
      </c>
      <c r="P831" s="26" t="s">
        <v>4284</v>
      </c>
      <c r="Q831" s="20">
        <v>5736</v>
      </c>
      <c r="R831" s="26" t="s">
        <v>36</v>
      </c>
      <c r="S831" s="31">
        <v>5736</v>
      </c>
      <c r="T831" s="32">
        <v>45208</v>
      </c>
      <c r="U831" s="31"/>
      <c r="V831" s="26"/>
      <c r="W831" s="33" t="s">
        <v>4285</v>
      </c>
      <c r="X831" s="26"/>
      <c r="Y831" s="22">
        <v>0</v>
      </c>
      <c r="Z831" s="26" t="s">
        <v>50</v>
      </c>
      <c r="AA831" s="19" t="s">
        <v>3454</v>
      </c>
      <c r="AB831" s="26" t="s">
        <v>104</v>
      </c>
      <c r="AC831" s="26" t="s">
        <v>53</v>
      </c>
      <c r="AD831" s="19" t="s">
        <v>138</v>
      </c>
      <c r="AE831" s="26"/>
      <c r="AF831" s="43">
        <v>45223</v>
      </c>
      <c r="AG831" s="26" t="s">
        <v>1631</v>
      </c>
      <c r="AH831" s="26"/>
      <c r="AI831" s="40"/>
      <c r="AJ831" s="26"/>
      <c r="AK831" s="26"/>
      <c r="AL831" s="35"/>
      <c r="AM831" s="35"/>
      <c r="AN831" s="35"/>
      <c r="AO831" s="35"/>
      <c r="AP831" s="35"/>
    </row>
    <row r="832" spans="1:42" x14ac:dyDescent="0.2">
      <c r="A832" s="27">
        <v>45216.622450393523</v>
      </c>
      <c r="B832" s="28" t="s">
        <v>37</v>
      </c>
      <c r="C832" s="41" t="s">
        <v>118</v>
      </c>
      <c r="D832" s="26" t="s">
        <v>36</v>
      </c>
      <c r="E832" s="26" t="s">
        <v>106</v>
      </c>
      <c r="F832" s="26" t="s">
        <v>746</v>
      </c>
      <c r="G832" s="26" t="s">
        <v>108</v>
      </c>
      <c r="H832" s="26" t="s">
        <v>3336</v>
      </c>
      <c r="I832" s="17">
        <f ca="1">IFERROR(__xludf.DUMMYFUNCTION("""COMPUTED_VALUE"""),45229)</f>
        <v>45229</v>
      </c>
      <c r="J832" s="29" t="s">
        <v>4286</v>
      </c>
      <c r="K832" s="26" t="s">
        <v>748</v>
      </c>
      <c r="L832" s="30">
        <v>345085002</v>
      </c>
      <c r="M832" s="26" t="s">
        <v>391</v>
      </c>
      <c r="N832" s="26" t="s">
        <v>4287</v>
      </c>
      <c r="O832" s="26" t="s">
        <v>125</v>
      </c>
      <c r="P832" s="26" t="s">
        <v>4288</v>
      </c>
      <c r="Q832" s="20">
        <v>3768</v>
      </c>
      <c r="R832" s="26" t="s">
        <v>36</v>
      </c>
      <c r="S832" s="31">
        <v>3768</v>
      </c>
      <c r="T832" s="32">
        <v>45207</v>
      </c>
      <c r="U832" s="31"/>
      <c r="V832" s="26"/>
      <c r="W832" s="33" t="s">
        <v>4289</v>
      </c>
      <c r="X832" s="26"/>
      <c r="Y832" s="22">
        <v>0</v>
      </c>
      <c r="Z832" s="26" t="s">
        <v>50</v>
      </c>
      <c r="AA832" s="19" t="s">
        <v>3454</v>
      </c>
      <c r="AB832" s="26" t="s">
        <v>128</v>
      </c>
      <c r="AC832" s="26" t="s">
        <v>53</v>
      </c>
      <c r="AD832" s="19" t="s">
        <v>54</v>
      </c>
      <c r="AE832" s="26" t="s">
        <v>4290</v>
      </c>
      <c r="AF832" s="17">
        <v>45219</v>
      </c>
      <c r="AG832" s="26"/>
      <c r="AH832" s="26"/>
      <c r="AI832" s="40"/>
      <c r="AJ832" s="26"/>
      <c r="AK832" s="26"/>
      <c r="AL832" s="35"/>
      <c r="AM832" s="35"/>
      <c r="AN832" s="35"/>
      <c r="AO832" s="35"/>
      <c r="AP832" s="35"/>
    </row>
    <row r="833" spans="1:42" x14ac:dyDescent="0.2">
      <c r="A833" s="27">
        <v>45216.624192800926</v>
      </c>
      <c r="B833" s="28" t="s">
        <v>37</v>
      </c>
      <c r="C833" s="41" t="s">
        <v>118</v>
      </c>
      <c r="D833" s="26" t="s">
        <v>36</v>
      </c>
      <c r="E833" s="26" t="s">
        <v>106</v>
      </c>
      <c r="F833" s="26" t="s">
        <v>746</v>
      </c>
      <c r="G833" s="26" t="s">
        <v>108</v>
      </c>
      <c r="H833" s="26" t="s">
        <v>3336</v>
      </c>
      <c r="I833" s="17">
        <f ca="1">IFERROR(__xludf.DUMMYFUNCTION("""COMPUTED_VALUE"""),45229)</f>
        <v>45229</v>
      </c>
      <c r="J833" s="29" t="s">
        <v>4291</v>
      </c>
      <c r="K833" s="26" t="s">
        <v>4292</v>
      </c>
      <c r="L833" s="30">
        <v>389656601</v>
      </c>
      <c r="M833" s="26" t="s">
        <v>391</v>
      </c>
      <c r="N833" s="26" t="s">
        <v>4287</v>
      </c>
      <c r="O833" s="26" t="s">
        <v>4293</v>
      </c>
      <c r="P833" s="26" t="s">
        <v>4294</v>
      </c>
      <c r="Q833" s="20">
        <v>3768</v>
      </c>
      <c r="R833" s="26" t="s">
        <v>36</v>
      </c>
      <c r="S833" s="31">
        <v>3768</v>
      </c>
      <c r="T833" s="32">
        <v>45207</v>
      </c>
      <c r="U833" s="31"/>
      <c r="V833" s="26"/>
      <c r="W833" s="33" t="s">
        <v>4295</v>
      </c>
      <c r="X833" s="26"/>
      <c r="Y833" s="22">
        <v>0</v>
      </c>
      <c r="Z833" s="26" t="s">
        <v>50</v>
      </c>
      <c r="AA833" s="19" t="s">
        <v>3454</v>
      </c>
      <c r="AB833" s="26" t="s">
        <v>128</v>
      </c>
      <c r="AC833" s="26" t="s">
        <v>53</v>
      </c>
      <c r="AD833" s="19" t="s">
        <v>54</v>
      </c>
      <c r="AE833" s="26" t="s">
        <v>4296</v>
      </c>
      <c r="AF833" s="17">
        <v>45219</v>
      </c>
      <c r="AG833" s="26"/>
      <c r="AH833" s="26"/>
      <c r="AI833" s="40"/>
      <c r="AJ833" s="26"/>
      <c r="AK833" s="26"/>
      <c r="AL833" s="35"/>
      <c r="AM833" s="35"/>
      <c r="AN833" s="35"/>
      <c r="AO833" s="35"/>
      <c r="AP833" s="35"/>
    </row>
    <row r="834" spans="1:42" x14ac:dyDescent="0.2">
      <c r="A834" s="27">
        <v>45217.483310555559</v>
      </c>
      <c r="B834" s="28" t="s">
        <v>37</v>
      </c>
      <c r="C834" s="41" t="s">
        <v>118</v>
      </c>
      <c r="D834" s="26" t="s">
        <v>36</v>
      </c>
      <c r="E834" s="26" t="s">
        <v>77</v>
      </c>
      <c r="F834" s="26" t="s">
        <v>40</v>
      </c>
      <c r="G834" s="26" t="s">
        <v>41</v>
      </c>
      <c r="H834" s="26" t="s">
        <v>3930</v>
      </c>
      <c r="I834" s="17">
        <f ca="1">IFERROR(__xludf.DUMMYFUNCTION("""COMPUTED_VALUE"""),45223)</f>
        <v>45223</v>
      </c>
      <c r="J834" s="29" t="s">
        <v>4297</v>
      </c>
      <c r="K834" s="26" t="s">
        <v>4298</v>
      </c>
      <c r="L834" s="30">
        <v>369676203</v>
      </c>
      <c r="M834" s="26" t="s">
        <v>348</v>
      </c>
      <c r="N834" s="26" t="s">
        <v>4299</v>
      </c>
      <c r="O834" s="26" t="s">
        <v>4300</v>
      </c>
      <c r="P834" s="26" t="s">
        <v>4301</v>
      </c>
      <c r="Q834" s="20">
        <v>1968</v>
      </c>
      <c r="R834" s="26" t="s">
        <v>36</v>
      </c>
      <c r="S834" s="31">
        <v>1968</v>
      </c>
      <c r="T834" s="32">
        <v>45216</v>
      </c>
      <c r="U834" s="31"/>
      <c r="V834" s="26"/>
      <c r="W834" s="33" t="s">
        <v>4302</v>
      </c>
      <c r="X834" s="26"/>
      <c r="Y834" s="22">
        <v>0</v>
      </c>
      <c r="Z834" s="26" t="s">
        <v>50</v>
      </c>
      <c r="AA834" s="19" t="s">
        <v>3454</v>
      </c>
      <c r="AB834" s="26" t="s">
        <v>137</v>
      </c>
      <c r="AC834" s="26" t="s">
        <v>53</v>
      </c>
      <c r="AD834" s="19" t="s">
        <v>138</v>
      </c>
      <c r="AE834" s="26" t="s">
        <v>72</v>
      </c>
      <c r="AF834" s="43">
        <v>45223</v>
      </c>
      <c r="AG834" s="26" t="s">
        <v>1631</v>
      </c>
      <c r="AH834" s="26"/>
      <c r="AI834" s="40"/>
      <c r="AJ834" s="26"/>
      <c r="AK834" s="26"/>
      <c r="AL834" s="35"/>
      <c r="AM834" s="35"/>
      <c r="AN834" s="35"/>
      <c r="AO834" s="35"/>
      <c r="AP834" s="35"/>
    </row>
    <row r="835" spans="1:42" x14ac:dyDescent="0.2">
      <c r="A835" s="27">
        <v>45217.487870266203</v>
      </c>
      <c r="B835" s="28" t="s">
        <v>37</v>
      </c>
      <c r="C835" s="41" t="s">
        <v>118</v>
      </c>
      <c r="D835" s="26" t="s">
        <v>36</v>
      </c>
      <c r="E835" s="26" t="s">
        <v>56</v>
      </c>
      <c r="F835" s="26" t="s">
        <v>40</v>
      </c>
      <c r="G835" s="26" t="s">
        <v>41</v>
      </c>
      <c r="H835" s="26" t="s">
        <v>3930</v>
      </c>
      <c r="I835" s="17">
        <f ca="1">IFERROR(__xludf.DUMMYFUNCTION("""COMPUTED_VALUE"""),45223)</f>
        <v>45223</v>
      </c>
      <c r="J835" s="29" t="s">
        <v>4303</v>
      </c>
      <c r="K835" s="26" t="s">
        <v>4304</v>
      </c>
      <c r="L835" s="30">
        <v>395476207</v>
      </c>
      <c r="M835" s="26" t="s">
        <v>59</v>
      </c>
      <c r="N835" s="26" t="s">
        <v>60</v>
      </c>
      <c r="O835" s="26" t="s">
        <v>4305</v>
      </c>
      <c r="P835" s="26" t="s">
        <v>4306</v>
      </c>
      <c r="Q835" s="20">
        <v>9317</v>
      </c>
      <c r="R835" s="26" t="s">
        <v>70</v>
      </c>
      <c r="S835" s="31">
        <v>9217</v>
      </c>
      <c r="T835" s="32">
        <v>45216</v>
      </c>
      <c r="U835" s="31"/>
      <c r="V835" s="26"/>
      <c r="W835" s="33" t="s">
        <v>4307</v>
      </c>
      <c r="X835" s="26"/>
      <c r="Y835" s="22">
        <v>100</v>
      </c>
      <c r="Z835" s="26" t="s">
        <v>50</v>
      </c>
      <c r="AA835" s="19" t="s">
        <v>3454</v>
      </c>
      <c r="AB835" s="26" t="s">
        <v>128</v>
      </c>
      <c r="AC835" s="26" t="s">
        <v>53</v>
      </c>
      <c r="AD835" s="19" t="s">
        <v>138</v>
      </c>
      <c r="AE835" s="26" t="s">
        <v>72</v>
      </c>
      <c r="AF835" s="43">
        <v>45223</v>
      </c>
      <c r="AG835" s="26" t="s">
        <v>1631</v>
      </c>
      <c r="AH835" s="26"/>
      <c r="AI835" s="40"/>
      <c r="AJ835" s="26"/>
      <c r="AK835" s="26"/>
      <c r="AL835" s="35"/>
      <c r="AM835" s="35"/>
      <c r="AN835" s="35"/>
      <c r="AO835" s="35"/>
      <c r="AP835" s="35"/>
    </row>
    <row r="836" spans="1:42" x14ac:dyDescent="0.2">
      <c r="A836" s="27">
        <v>45217.490597060183</v>
      </c>
      <c r="B836" s="28" t="s">
        <v>37</v>
      </c>
      <c r="C836" s="41" t="s">
        <v>118</v>
      </c>
      <c r="D836" s="26" t="s">
        <v>36</v>
      </c>
      <c r="E836" s="26" t="s">
        <v>56</v>
      </c>
      <c r="F836" s="26" t="s">
        <v>40</v>
      </c>
      <c r="G836" s="26" t="s">
        <v>41</v>
      </c>
      <c r="H836" s="26" t="s">
        <v>3930</v>
      </c>
      <c r="I836" s="17">
        <f ca="1">IFERROR(__xludf.DUMMYFUNCTION("""COMPUTED_VALUE"""),45223)</f>
        <v>45223</v>
      </c>
      <c r="J836" s="29" t="s">
        <v>4308</v>
      </c>
      <c r="K836" s="26" t="s">
        <v>2662</v>
      </c>
      <c r="L836" s="30">
        <v>964193208</v>
      </c>
      <c r="M836" s="26" t="s">
        <v>59</v>
      </c>
      <c r="N836" s="26" t="s">
        <v>260</v>
      </c>
      <c r="O836" s="26" t="s">
        <v>4309</v>
      </c>
      <c r="P836" s="26" t="s">
        <v>4310</v>
      </c>
      <c r="Q836" s="20">
        <v>9317</v>
      </c>
      <c r="R836" s="26" t="s">
        <v>70</v>
      </c>
      <c r="S836" s="31">
        <v>9217</v>
      </c>
      <c r="T836" s="32">
        <v>45216</v>
      </c>
      <c r="U836" s="31"/>
      <c r="V836" s="26"/>
      <c r="W836" s="33" t="s">
        <v>4311</v>
      </c>
      <c r="X836" s="26"/>
      <c r="Y836" s="22">
        <v>100</v>
      </c>
      <c r="Z836" s="26" t="s">
        <v>50</v>
      </c>
      <c r="AA836" s="19" t="s">
        <v>3454</v>
      </c>
      <c r="AB836" s="26" t="s">
        <v>137</v>
      </c>
      <c r="AC836" s="26" t="s">
        <v>53</v>
      </c>
      <c r="AD836" s="19" t="s">
        <v>138</v>
      </c>
      <c r="AE836" s="26" t="s">
        <v>76</v>
      </c>
      <c r="AF836" s="43">
        <v>45223</v>
      </c>
      <c r="AG836" s="26" t="s">
        <v>1631</v>
      </c>
      <c r="AH836" s="26"/>
      <c r="AI836" s="40"/>
      <c r="AJ836" s="26"/>
      <c r="AK836" s="26"/>
      <c r="AL836" s="35"/>
      <c r="AM836" s="35"/>
      <c r="AN836" s="35"/>
      <c r="AO836" s="35"/>
      <c r="AP836" s="35"/>
    </row>
    <row r="837" spans="1:42" x14ac:dyDescent="0.2">
      <c r="A837" s="27">
        <v>45217.515694490736</v>
      </c>
      <c r="B837" s="28" t="s">
        <v>37</v>
      </c>
      <c r="C837" s="41" t="s">
        <v>118</v>
      </c>
      <c r="D837" s="26" t="s">
        <v>36</v>
      </c>
      <c r="E837" s="26" t="s">
        <v>39</v>
      </c>
      <c r="F837" s="26" t="s">
        <v>40</v>
      </c>
      <c r="G837" s="26" t="s">
        <v>41</v>
      </c>
      <c r="H837" s="26" t="s">
        <v>3930</v>
      </c>
      <c r="I837" s="17">
        <f ca="1">IFERROR(__xludf.DUMMYFUNCTION("""COMPUTED_VALUE"""),45223)</f>
        <v>45223</v>
      </c>
      <c r="J837" s="29" t="s">
        <v>4312</v>
      </c>
      <c r="K837" s="26" t="s">
        <v>4313</v>
      </c>
      <c r="L837" s="30">
        <v>843022969</v>
      </c>
      <c r="M837" s="26" t="s">
        <v>123</v>
      </c>
      <c r="N837" s="26" t="s">
        <v>3749</v>
      </c>
      <c r="O837" s="26" t="s">
        <v>1226</v>
      </c>
      <c r="P837" s="26" t="s">
        <v>3056</v>
      </c>
      <c r="Q837" s="20">
        <v>5736</v>
      </c>
      <c r="R837" s="26" t="s">
        <v>70</v>
      </c>
      <c r="S837" s="31">
        <v>200</v>
      </c>
      <c r="T837" s="32">
        <v>45211</v>
      </c>
      <c r="U837" s="31">
        <v>5536</v>
      </c>
      <c r="V837" s="32">
        <v>45223</v>
      </c>
      <c r="W837" s="33" t="s">
        <v>4314</v>
      </c>
      <c r="X837" s="26"/>
      <c r="Y837" s="22">
        <v>0</v>
      </c>
      <c r="Z837" s="26" t="s">
        <v>50</v>
      </c>
      <c r="AA837" s="19" t="s">
        <v>3454</v>
      </c>
      <c r="AB837" s="26" t="s">
        <v>104</v>
      </c>
      <c r="AC837" s="26" t="s">
        <v>53</v>
      </c>
      <c r="AD837" s="19" t="s">
        <v>138</v>
      </c>
      <c r="AE837" s="26"/>
      <c r="AF837" s="43">
        <v>45223</v>
      </c>
      <c r="AG837" s="26" t="s">
        <v>1631</v>
      </c>
      <c r="AH837" s="26"/>
      <c r="AI837" s="40"/>
      <c r="AJ837" s="26"/>
      <c r="AK837" s="26"/>
      <c r="AL837" s="35"/>
      <c r="AM837" s="35"/>
      <c r="AN837" s="35"/>
      <c r="AO837" s="35"/>
      <c r="AP837" s="35"/>
    </row>
    <row r="838" spans="1:42" x14ac:dyDescent="0.2">
      <c r="A838" s="27">
        <v>45217.516488263893</v>
      </c>
      <c r="B838" s="28" t="s">
        <v>37</v>
      </c>
      <c r="C838" s="41" t="s">
        <v>118</v>
      </c>
      <c r="D838" s="26" t="s">
        <v>36</v>
      </c>
      <c r="E838" s="26" t="s">
        <v>39</v>
      </c>
      <c r="F838" s="26" t="s">
        <v>40</v>
      </c>
      <c r="G838" s="26" t="s">
        <v>41</v>
      </c>
      <c r="H838" s="26" t="s">
        <v>3930</v>
      </c>
      <c r="I838" s="17">
        <f ca="1">IFERROR(__xludf.DUMMYFUNCTION("""COMPUTED_VALUE"""),45223)</f>
        <v>45223</v>
      </c>
      <c r="J838" s="29" t="s">
        <v>4315</v>
      </c>
      <c r="K838" s="26" t="s">
        <v>4316</v>
      </c>
      <c r="L838" s="30">
        <v>397885018</v>
      </c>
      <c r="M838" s="26" t="s">
        <v>123</v>
      </c>
      <c r="N838" s="26" t="s">
        <v>3749</v>
      </c>
      <c r="O838" s="26" t="s">
        <v>1226</v>
      </c>
      <c r="P838" s="26" t="s">
        <v>3487</v>
      </c>
      <c r="Q838" s="20">
        <v>5736</v>
      </c>
      <c r="R838" s="26" t="s">
        <v>70</v>
      </c>
      <c r="S838" s="31">
        <v>200</v>
      </c>
      <c r="T838" s="32">
        <v>45211</v>
      </c>
      <c r="U838" s="31">
        <v>5436</v>
      </c>
      <c r="V838" s="32">
        <v>45223</v>
      </c>
      <c r="W838" s="33" t="s">
        <v>4317</v>
      </c>
      <c r="X838" s="26"/>
      <c r="Y838" s="22">
        <v>100</v>
      </c>
      <c r="Z838" s="26" t="s">
        <v>50</v>
      </c>
      <c r="AA838" s="19" t="s">
        <v>3454</v>
      </c>
      <c r="AB838" s="26" t="s">
        <v>104</v>
      </c>
      <c r="AC838" s="26" t="s">
        <v>53</v>
      </c>
      <c r="AD838" s="19" t="s">
        <v>138</v>
      </c>
      <c r="AE838" s="26"/>
      <c r="AF838" s="43">
        <v>45223</v>
      </c>
      <c r="AG838" s="26" t="s">
        <v>1631</v>
      </c>
      <c r="AH838" s="26"/>
      <c r="AI838" s="40"/>
      <c r="AJ838" s="26"/>
      <c r="AK838" s="26"/>
      <c r="AL838" s="35"/>
      <c r="AM838" s="35"/>
      <c r="AN838" s="35"/>
      <c r="AO838" s="35"/>
      <c r="AP838" s="35"/>
    </row>
    <row r="839" spans="1:42" x14ac:dyDescent="0.2">
      <c r="A839" s="27">
        <v>45217.518155219906</v>
      </c>
      <c r="B839" s="28" t="s">
        <v>37</v>
      </c>
      <c r="C839" s="41" t="s">
        <v>118</v>
      </c>
      <c r="D839" s="26" t="s">
        <v>36</v>
      </c>
      <c r="E839" s="26" t="s">
        <v>77</v>
      </c>
      <c r="F839" s="26" t="s">
        <v>40</v>
      </c>
      <c r="G839" s="26" t="s">
        <v>41</v>
      </c>
      <c r="H839" s="26" t="s">
        <v>4133</v>
      </c>
      <c r="I839" s="17">
        <f ca="1">IFERROR(__xludf.DUMMYFUNCTION("""COMPUTED_VALUE"""),45231)</f>
        <v>45231</v>
      </c>
      <c r="J839" s="29" t="s">
        <v>4318</v>
      </c>
      <c r="K839" s="26" t="s">
        <v>4319</v>
      </c>
      <c r="L839" s="30">
        <v>865902247</v>
      </c>
      <c r="M839" s="26" t="s">
        <v>123</v>
      </c>
      <c r="N839" s="26" t="s">
        <v>850</v>
      </c>
      <c r="O839" s="26" t="s">
        <v>1226</v>
      </c>
      <c r="P839" s="26" t="s">
        <v>3056</v>
      </c>
      <c r="Q839" s="20">
        <v>1968</v>
      </c>
      <c r="R839" s="26" t="s">
        <v>36</v>
      </c>
      <c r="S839" s="31">
        <v>1968</v>
      </c>
      <c r="T839" s="32">
        <v>45217</v>
      </c>
      <c r="U839" s="31"/>
      <c r="V839" s="26"/>
      <c r="W839" s="33" t="s">
        <v>4320</v>
      </c>
      <c r="X839" s="26"/>
      <c r="Y839" s="22">
        <v>0</v>
      </c>
      <c r="Z839" s="26" t="s">
        <v>50</v>
      </c>
      <c r="AA839" s="19" t="s">
        <v>3454</v>
      </c>
      <c r="AB839" s="26" t="s">
        <v>104</v>
      </c>
      <c r="AC839" s="26" t="s">
        <v>53</v>
      </c>
      <c r="AD839" s="19" t="s">
        <v>138</v>
      </c>
      <c r="AE839" s="26"/>
      <c r="AF839" s="17">
        <v>45231</v>
      </c>
      <c r="AG839" s="26" t="s">
        <v>4321</v>
      </c>
      <c r="AH839" s="26"/>
      <c r="AI839" s="40"/>
      <c r="AJ839" s="26"/>
      <c r="AK839" s="26"/>
      <c r="AL839" s="35"/>
      <c r="AM839" s="35"/>
      <c r="AN839" s="35"/>
      <c r="AO839" s="35"/>
      <c r="AP839" s="35"/>
    </row>
    <row r="840" spans="1:42" x14ac:dyDescent="0.2">
      <c r="A840" s="27">
        <v>45217.519538148146</v>
      </c>
      <c r="B840" s="28" t="s">
        <v>37</v>
      </c>
      <c r="C840" s="41" t="s">
        <v>118</v>
      </c>
      <c r="D840" s="26" t="s">
        <v>36</v>
      </c>
      <c r="E840" s="26" t="s">
        <v>139</v>
      </c>
      <c r="F840" s="26" t="s">
        <v>91</v>
      </c>
      <c r="G840" s="26" t="s">
        <v>41</v>
      </c>
      <c r="H840" s="26" t="s">
        <v>4129</v>
      </c>
      <c r="I840" s="17">
        <f ca="1">IFERROR(__xludf.DUMMYFUNCTION("""COMPUTED_VALUE"""),45232)</f>
        <v>45232</v>
      </c>
      <c r="J840" s="29" t="s">
        <v>4322</v>
      </c>
      <c r="K840" s="26" t="s">
        <v>274</v>
      </c>
      <c r="L840" s="30">
        <v>899805200</v>
      </c>
      <c r="M840" s="26" t="s">
        <v>123</v>
      </c>
      <c r="N840" s="26" t="s">
        <v>2847</v>
      </c>
      <c r="O840" s="26" t="s">
        <v>1226</v>
      </c>
      <c r="P840" s="26" t="s">
        <v>3056</v>
      </c>
      <c r="Q840" s="20">
        <v>15936</v>
      </c>
      <c r="R840" s="26" t="s">
        <v>70</v>
      </c>
      <c r="S840" s="31">
        <v>15836</v>
      </c>
      <c r="T840" s="32">
        <v>45216</v>
      </c>
      <c r="U840" s="31"/>
      <c r="V840" s="26"/>
      <c r="W840" s="33" t="s">
        <v>4323</v>
      </c>
      <c r="X840" s="26"/>
      <c r="Y840" s="22">
        <v>100</v>
      </c>
      <c r="Z840" s="26" t="s">
        <v>50</v>
      </c>
      <c r="AA840" s="19" t="s">
        <v>3454</v>
      </c>
      <c r="AB840" s="26" t="s">
        <v>104</v>
      </c>
      <c r="AC840" s="26" t="s">
        <v>53</v>
      </c>
      <c r="AD840" s="19" t="s">
        <v>138</v>
      </c>
      <c r="AE840" s="26"/>
      <c r="AF840" s="17">
        <v>45232</v>
      </c>
      <c r="AG840" s="26" t="s">
        <v>1362</v>
      </c>
      <c r="AH840" s="26"/>
      <c r="AI840" s="40"/>
      <c r="AJ840" s="26"/>
      <c r="AK840" s="26"/>
      <c r="AL840" s="35"/>
      <c r="AM840" s="35"/>
      <c r="AN840" s="35"/>
      <c r="AO840" s="35"/>
      <c r="AP840" s="35"/>
    </row>
    <row r="841" spans="1:42" x14ac:dyDescent="0.2">
      <c r="A841" s="27">
        <v>45217.520532106486</v>
      </c>
      <c r="B841" s="28" t="s">
        <v>37</v>
      </c>
      <c r="C841" s="41" t="s">
        <v>118</v>
      </c>
      <c r="D841" s="26" t="s">
        <v>36</v>
      </c>
      <c r="E841" s="26" t="s">
        <v>139</v>
      </c>
      <c r="F841" s="26" t="s">
        <v>91</v>
      </c>
      <c r="G841" s="26" t="s">
        <v>41</v>
      </c>
      <c r="H841" s="26" t="s">
        <v>4129</v>
      </c>
      <c r="I841" s="17">
        <f ca="1">IFERROR(__xludf.DUMMYFUNCTION("""COMPUTED_VALUE"""),45232)</f>
        <v>45232</v>
      </c>
      <c r="J841" s="29" t="s">
        <v>4324</v>
      </c>
      <c r="K841" s="26" t="s">
        <v>4325</v>
      </c>
      <c r="L841" s="30">
        <v>337463783</v>
      </c>
      <c r="M841" s="26" t="s">
        <v>123</v>
      </c>
      <c r="N841" s="26" t="s">
        <v>186</v>
      </c>
      <c r="O841" s="26" t="s">
        <v>1226</v>
      </c>
      <c r="P841" s="26" t="s">
        <v>3056</v>
      </c>
      <c r="Q841" s="20">
        <v>15936</v>
      </c>
      <c r="R841" s="26" t="s">
        <v>70</v>
      </c>
      <c r="S841" s="31">
        <v>15836</v>
      </c>
      <c r="T841" s="32">
        <v>45216</v>
      </c>
      <c r="U841" s="31"/>
      <c r="V841" s="26"/>
      <c r="W841" s="33" t="s">
        <v>4326</v>
      </c>
      <c r="X841" s="26"/>
      <c r="Y841" s="22">
        <v>100</v>
      </c>
      <c r="Z841" s="26" t="s">
        <v>50</v>
      </c>
      <c r="AA841" s="19" t="s">
        <v>3454</v>
      </c>
      <c r="AB841" s="26" t="s">
        <v>104</v>
      </c>
      <c r="AC841" s="26" t="s">
        <v>53</v>
      </c>
      <c r="AD841" s="19" t="s">
        <v>138</v>
      </c>
      <c r="AE841" s="26"/>
      <c r="AF841" s="17">
        <v>45232</v>
      </c>
      <c r="AG841" s="26" t="s">
        <v>1362</v>
      </c>
      <c r="AH841" s="26"/>
      <c r="AI841" s="40"/>
      <c r="AJ841" s="26"/>
      <c r="AK841" s="26"/>
      <c r="AL841" s="35"/>
      <c r="AM841" s="35"/>
      <c r="AN841" s="35"/>
      <c r="AO841" s="35"/>
      <c r="AP841" s="35"/>
    </row>
    <row r="842" spans="1:42" x14ac:dyDescent="0.2">
      <c r="A842" s="27">
        <v>45217.648670196759</v>
      </c>
      <c r="B842" s="28" t="s">
        <v>37</v>
      </c>
      <c r="C842" s="41" t="s">
        <v>118</v>
      </c>
      <c r="D842" s="26" t="s">
        <v>36</v>
      </c>
      <c r="E842" s="26" t="s">
        <v>148</v>
      </c>
      <c r="F842" s="26" t="s">
        <v>4327</v>
      </c>
      <c r="G842" s="26" t="s">
        <v>108</v>
      </c>
      <c r="H842" s="26" t="s">
        <v>4328</v>
      </c>
      <c r="I842" s="17">
        <f ca="1">IFERROR(__xludf.DUMMYFUNCTION("""COMPUTED_VALUE"""),45236)</f>
        <v>45236</v>
      </c>
      <c r="J842" s="29" t="s">
        <v>4329</v>
      </c>
      <c r="K842" s="26" t="s">
        <v>4330</v>
      </c>
      <c r="L842" s="30">
        <v>972086204</v>
      </c>
      <c r="M842" s="26" t="s">
        <v>3288</v>
      </c>
      <c r="N842" s="26" t="s">
        <v>200</v>
      </c>
      <c r="O842" s="26" t="s">
        <v>4331</v>
      </c>
      <c r="P842" s="26" t="s">
        <v>4332</v>
      </c>
      <c r="Q842" s="20">
        <v>7349</v>
      </c>
      <c r="R842" s="26" t="s">
        <v>36</v>
      </c>
      <c r="S842" s="31">
        <v>7349</v>
      </c>
      <c r="T842" s="32">
        <v>45217</v>
      </c>
      <c r="U842" s="31"/>
      <c r="V842" s="26"/>
      <c r="W842" s="33" t="s">
        <v>4333</v>
      </c>
      <c r="X842" s="26"/>
      <c r="Y842" s="22">
        <v>0</v>
      </c>
      <c r="Z842" s="26" t="s">
        <v>50</v>
      </c>
      <c r="AA842" s="19" t="s">
        <v>3454</v>
      </c>
      <c r="AB842" s="26" t="s">
        <v>154</v>
      </c>
      <c r="AC842" s="26" t="s">
        <v>53</v>
      </c>
      <c r="AD842" s="19" t="s">
        <v>138</v>
      </c>
      <c r="AE842" s="26" t="s">
        <v>203</v>
      </c>
      <c r="AF842" s="17">
        <v>45236</v>
      </c>
      <c r="AG842" s="26" t="s">
        <v>1631</v>
      </c>
      <c r="AH842" s="26"/>
      <c r="AI842" s="40"/>
      <c r="AJ842" s="26"/>
      <c r="AK842" s="26"/>
      <c r="AL842" s="35"/>
      <c r="AM842" s="35"/>
      <c r="AN842" s="35"/>
      <c r="AO842" s="35"/>
      <c r="AP842" s="35"/>
    </row>
    <row r="843" spans="1:42" x14ac:dyDescent="0.2">
      <c r="A843" s="27">
        <v>45217.881119212965</v>
      </c>
      <c r="B843" s="28" t="s">
        <v>37</v>
      </c>
      <c r="C843" s="41" t="s">
        <v>118</v>
      </c>
      <c r="D843" s="26" t="s">
        <v>36</v>
      </c>
      <c r="E843" s="26" t="s">
        <v>77</v>
      </c>
      <c r="F843" s="26" t="s">
        <v>91</v>
      </c>
      <c r="G843" s="26" t="s">
        <v>41</v>
      </c>
      <c r="H843" s="26" t="s">
        <v>4133</v>
      </c>
      <c r="I843" s="17">
        <f ca="1">IFERROR(__xludf.DUMMYFUNCTION("""COMPUTED_VALUE"""),45231)</f>
        <v>45231</v>
      </c>
      <c r="J843" s="29" t="s">
        <v>4334</v>
      </c>
      <c r="K843" s="26" t="s">
        <v>4335</v>
      </c>
      <c r="L843" s="30">
        <v>971779351</v>
      </c>
      <c r="M843" s="26" t="s">
        <v>123</v>
      </c>
      <c r="N843" s="26" t="s">
        <v>850</v>
      </c>
      <c r="O843" s="26" t="s">
        <v>1226</v>
      </c>
      <c r="P843" s="26" t="s">
        <v>4336</v>
      </c>
      <c r="Q843" s="20">
        <v>1968</v>
      </c>
      <c r="R843" s="26" t="s">
        <v>36</v>
      </c>
      <c r="S843" s="31">
        <v>2000</v>
      </c>
      <c r="T843" s="32">
        <v>45209</v>
      </c>
      <c r="U843" s="31"/>
      <c r="V843" s="26"/>
      <c r="W843" s="33" t="s">
        <v>4337</v>
      </c>
      <c r="X843" s="26"/>
      <c r="Y843" s="22">
        <v>-32</v>
      </c>
      <c r="Z843" s="26" t="s">
        <v>50</v>
      </c>
      <c r="AA843" s="19" t="s">
        <v>3454</v>
      </c>
      <c r="AB843" s="26" t="s">
        <v>104</v>
      </c>
      <c r="AC843" s="26" t="s">
        <v>53</v>
      </c>
      <c r="AD843" s="19" t="s">
        <v>138</v>
      </c>
      <c r="AE843" s="26"/>
      <c r="AF843" s="17">
        <v>45231</v>
      </c>
      <c r="AG843" s="26" t="s">
        <v>1631</v>
      </c>
      <c r="AH843" s="26"/>
      <c r="AI843" s="40"/>
      <c r="AJ843" s="26"/>
      <c r="AK843" s="26"/>
      <c r="AL843" s="35"/>
      <c r="AM843" s="35"/>
      <c r="AN843" s="35"/>
      <c r="AO843" s="35"/>
      <c r="AP843" s="35"/>
    </row>
    <row r="844" spans="1:42" x14ac:dyDescent="0.2">
      <c r="A844" s="27">
        <v>45218.471494189813</v>
      </c>
      <c r="B844" s="28" t="s">
        <v>37</v>
      </c>
      <c r="C844" s="41" t="s">
        <v>118</v>
      </c>
      <c r="D844" s="26" t="s">
        <v>36</v>
      </c>
      <c r="E844" s="26" t="s">
        <v>77</v>
      </c>
      <c r="F844" s="26" t="s">
        <v>91</v>
      </c>
      <c r="G844" s="26" t="s">
        <v>41</v>
      </c>
      <c r="H844" s="26" t="s">
        <v>423</v>
      </c>
      <c r="I844" s="17">
        <f ca="1">IFERROR(__xludf.DUMMYFUNCTION("""COMPUTED_VALUE"""),45225)</f>
        <v>45225</v>
      </c>
      <c r="J844" s="29" t="s">
        <v>4338</v>
      </c>
      <c r="K844" s="26" t="s">
        <v>4339</v>
      </c>
      <c r="L844" s="30">
        <v>968310093</v>
      </c>
      <c r="M844" s="26" t="s">
        <v>548</v>
      </c>
      <c r="N844" s="26" t="s">
        <v>621</v>
      </c>
      <c r="O844" s="26" t="s">
        <v>4340</v>
      </c>
      <c r="P844" s="26" t="s">
        <v>4341</v>
      </c>
      <c r="Q844" s="20">
        <v>1968</v>
      </c>
      <c r="R844" s="26" t="s">
        <v>36</v>
      </c>
      <c r="S844" s="31">
        <v>1968</v>
      </c>
      <c r="T844" s="32">
        <v>45218</v>
      </c>
      <c r="U844" s="31"/>
      <c r="V844" s="26"/>
      <c r="W844" s="33" t="s">
        <v>4342</v>
      </c>
      <c r="X844" s="26"/>
      <c r="Y844" s="22">
        <v>0</v>
      </c>
      <c r="Z844" s="26" t="s">
        <v>50</v>
      </c>
      <c r="AA844" s="19" t="s">
        <v>3454</v>
      </c>
      <c r="AB844" s="26" t="s">
        <v>104</v>
      </c>
      <c r="AC844" s="26" t="s">
        <v>53</v>
      </c>
      <c r="AD844" s="19" t="s">
        <v>54</v>
      </c>
      <c r="AE844" s="26" t="s">
        <v>76</v>
      </c>
      <c r="AF844" s="17">
        <v>45218</v>
      </c>
      <c r="AG844" s="26" t="s">
        <v>4343</v>
      </c>
      <c r="AH844" s="26"/>
      <c r="AI844" s="40"/>
      <c r="AJ844" s="26"/>
      <c r="AK844" s="26"/>
      <c r="AL844" s="35"/>
      <c r="AM844" s="35"/>
      <c r="AN844" s="35"/>
      <c r="AO844" s="35"/>
      <c r="AP844" s="35"/>
    </row>
    <row r="845" spans="1:42" x14ac:dyDescent="0.2">
      <c r="A845" s="27">
        <v>45219.40268511574</v>
      </c>
      <c r="B845" s="28" t="s">
        <v>37</v>
      </c>
      <c r="C845" s="41" t="s">
        <v>118</v>
      </c>
      <c r="D845" s="26" t="s">
        <v>36</v>
      </c>
      <c r="E845" s="26" t="s">
        <v>77</v>
      </c>
      <c r="F845" s="26" t="s">
        <v>91</v>
      </c>
      <c r="G845" s="26" t="s">
        <v>41</v>
      </c>
      <c r="H845" s="26" t="s">
        <v>423</v>
      </c>
      <c r="I845" s="17">
        <f ca="1">IFERROR(__xludf.DUMMYFUNCTION("""COMPUTED_VALUE"""),45225)</f>
        <v>45225</v>
      </c>
      <c r="J845" s="29" t="s">
        <v>4344</v>
      </c>
      <c r="K845" s="26" t="s">
        <v>4345</v>
      </c>
      <c r="L845" s="30">
        <v>367447567</v>
      </c>
      <c r="M845" s="26" t="s">
        <v>2755</v>
      </c>
      <c r="N845" s="26" t="s">
        <v>3512</v>
      </c>
      <c r="O845" s="26" t="s">
        <v>4346</v>
      </c>
      <c r="P845" s="26" t="s">
        <v>4347</v>
      </c>
      <c r="Q845" s="20">
        <v>1968</v>
      </c>
      <c r="R845" s="26" t="s">
        <v>36</v>
      </c>
      <c r="S845" s="31">
        <v>100</v>
      </c>
      <c r="T845" s="32">
        <v>45183</v>
      </c>
      <c r="U845" s="31">
        <v>1868</v>
      </c>
      <c r="V845" s="32">
        <v>45218</v>
      </c>
      <c r="W845" s="33" t="s">
        <v>4348</v>
      </c>
      <c r="X845" s="26"/>
      <c r="Y845" s="22">
        <v>0</v>
      </c>
      <c r="Z845" s="26" t="s">
        <v>50</v>
      </c>
      <c r="AA845" s="19" t="s">
        <v>3454</v>
      </c>
      <c r="AB845" s="26" t="s">
        <v>104</v>
      </c>
      <c r="AC845" s="26" t="s">
        <v>53</v>
      </c>
      <c r="AD845" s="19" t="s">
        <v>54</v>
      </c>
      <c r="AE845" s="26" t="s">
        <v>76</v>
      </c>
      <c r="AF845" s="17">
        <v>45219</v>
      </c>
      <c r="AG845" s="26"/>
      <c r="AH845" s="26"/>
      <c r="AI845" s="40"/>
      <c r="AJ845" s="26"/>
      <c r="AK845" s="26"/>
      <c r="AL845" s="35"/>
      <c r="AM845" s="35"/>
      <c r="AN845" s="35"/>
      <c r="AO845" s="35"/>
      <c r="AP845" s="35"/>
    </row>
    <row r="846" spans="1:42" x14ac:dyDescent="0.2">
      <c r="A846" s="27">
        <v>45219.486823217594</v>
      </c>
      <c r="B846" s="28" t="s">
        <v>37</v>
      </c>
      <c r="C846" s="41" t="s">
        <v>118</v>
      </c>
      <c r="D846" s="26" t="s">
        <v>36</v>
      </c>
      <c r="E846" s="26" t="s">
        <v>77</v>
      </c>
      <c r="F846" s="26" t="s">
        <v>36</v>
      </c>
      <c r="G846" s="26" t="s">
        <v>41</v>
      </c>
      <c r="H846" s="26" t="s">
        <v>3414</v>
      </c>
      <c r="I846" s="17">
        <f ca="1">IFERROR(__xludf.DUMMYFUNCTION("""COMPUTED_VALUE"""),45240)</f>
        <v>45240</v>
      </c>
      <c r="J846" s="29" t="s">
        <v>4349</v>
      </c>
      <c r="K846" s="26" t="s">
        <v>4350</v>
      </c>
      <c r="L846" s="30">
        <v>961765444</v>
      </c>
      <c r="M846" s="26" t="s">
        <v>633</v>
      </c>
      <c r="N846" s="26" t="s">
        <v>3115</v>
      </c>
      <c r="O846" s="26" t="s">
        <v>4351</v>
      </c>
      <c r="P846" s="26" t="s">
        <v>4352</v>
      </c>
      <c r="Q846" s="20">
        <v>1968</v>
      </c>
      <c r="R846" s="26" t="s">
        <v>36</v>
      </c>
      <c r="S846" s="31">
        <v>2000</v>
      </c>
      <c r="T846" s="32">
        <v>45219</v>
      </c>
      <c r="U846" s="31"/>
      <c r="V846" s="32"/>
      <c r="W846" s="33" t="s">
        <v>4353</v>
      </c>
      <c r="X846" s="26"/>
      <c r="Y846" s="22">
        <v>-32</v>
      </c>
      <c r="Z846" s="26" t="s">
        <v>50</v>
      </c>
      <c r="AA846" s="19" t="s">
        <v>3454</v>
      </c>
      <c r="AB846" s="26" t="s">
        <v>104</v>
      </c>
      <c r="AC846" s="26" t="s">
        <v>53</v>
      </c>
      <c r="AD846" s="19" t="s">
        <v>138</v>
      </c>
      <c r="AE846" s="26">
        <v>290</v>
      </c>
      <c r="AF846" s="17">
        <v>45240</v>
      </c>
      <c r="AG846" s="26" t="s">
        <v>1631</v>
      </c>
      <c r="AH846" s="26"/>
      <c r="AI846" s="40"/>
      <c r="AJ846" s="26"/>
      <c r="AK846" s="26"/>
      <c r="AL846" s="35"/>
      <c r="AM846" s="35"/>
      <c r="AN846" s="35"/>
      <c r="AO846" s="35"/>
      <c r="AP846" s="35"/>
    </row>
    <row r="847" spans="1:42" x14ac:dyDescent="0.2">
      <c r="A847" s="27">
        <v>45219.630559594909</v>
      </c>
      <c r="B847" s="28" t="s">
        <v>37</v>
      </c>
      <c r="C847" s="41" t="s">
        <v>118</v>
      </c>
      <c r="D847" s="26" t="s">
        <v>36</v>
      </c>
      <c r="E847" s="26" t="s">
        <v>148</v>
      </c>
      <c r="F847" s="26" t="s">
        <v>4354</v>
      </c>
      <c r="G847" s="26" t="s">
        <v>108</v>
      </c>
      <c r="H847" s="26" t="s">
        <v>3181</v>
      </c>
      <c r="I847" s="17">
        <f ca="1">IFERROR(__xludf.DUMMYFUNCTION("""COMPUTED_VALUE"""),45257)</f>
        <v>45257</v>
      </c>
      <c r="J847" s="29" t="s">
        <v>4355</v>
      </c>
      <c r="K847" s="19" t="s">
        <v>4356</v>
      </c>
      <c r="L847" s="30">
        <v>966871634</v>
      </c>
      <c r="M847" s="26" t="s">
        <v>391</v>
      </c>
      <c r="N847" s="26" t="s">
        <v>4357</v>
      </c>
      <c r="O847" s="26" t="s">
        <v>4358</v>
      </c>
      <c r="P847" s="26" t="s">
        <v>4359</v>
      </c>
      <c r="Q847" s="20">
        <v>7349</v>
      </c>
      <c r="R847" s="26" t="s">
        <v>36</v>
      </c>
      <c r="S847" s="31">
        <v>7349</v>
      </c>
      <c r="T847" s="32">
        <v>44900</v>
      </c>
      <c r="U847" s="31"/>
      <c r="V847" s="26"/>
      <c r="W847" s="33" t="s">
        <v>4360</v>
      </c>
      <c r="X847" s="26"/>
      <c r="Y847" s="22">
        <v>0</v>
      </c>
      <c r="Z847" s="26" t="s">
        <v>50</v>
      </c>
      <c r="AA847" s="19" t="s">
        <v>3454</v>
      </c>
      <c r="AB847" s="26" t="s">
        <v>128</v>
      </c>
      <c r="AC847" s="26" t="s">
        <v>53</v>
      </c>
      <c r="AD847" s="19" t="s">
        <v>54</v>
      </c>
      <c r="AE847" s="26"/>
      <c r="AF847" s="43">
        <v>45247</v>
      </c>
      <c r="AG847" s="26" t="s">
        <v>4361</v>
      </c>
      <c r="AH847" s="26"/>
      <c r="AI847" s="40"/>
      <c r="AJ847" s="26"/>
      <c r="AK847" s="26"/>
      <c r="AL847" s="35"/>
      <c r="AM847" s="35"/>
      <c r="AN847" s="35"/>
      <c r="AO847" s="35"/>
      <c r="AP847" s="35"/>
    </row>
    <row r="848" spans="1:42" x14ac:dyDescent="0.2">
      <c r="A848" s="27">
        <v>45220.596022534723</v>
      </c>
      <c r="B848" s="28" t="s">
        <v>37</v>
      </c>
      <c r="C848" s="41" t="s">
        <v>118</v>
      </c>
      <c r="D848" s="26" t="s">
        <v>36</v>
      </c>
      <c r="E848" s="26" t="s">
        <v>119</v>
      </c>
      <c r="F848" s="26" t="s">
        <v>3112</v>
      </c>
      <c r="G848" s="26" t="s">
        <v>108</v>
      </c>
      <c r="H848" s="26" t="s">
        <v>4362</v>
      </c>
      <c r="I848" s="17">
        <f ca="1">IFERROR(__xludf.DUMMYFUNCTION("""COMPUTED_VALUE"""),45257)</f>
        <v>45257</v>
      </c>
      <c r="J848" s="29" t="s">
        <v>3176</v>
      </c>
      <c r="K848" s="26" t="s">
        <v>4363</v>
      </c>
      <c r="L848" s="30">
        <v>367221127</v>
      </c>
      <c r="M848" s="26" t="s">
        <v>80</v>
      </c>
      <c r="N848" s="26" t="s">
        <v>186</v>
      </c>
      <c r="O848" s="26" t="s">
        <v>4364</v>
      </c>
      <c r="P848" s="26" t="s">
        <v>4365</v>
      </c>
      <c r="Q848" s="20">
        <v>13968</v>
      </c>
      <c r="R848" s="26" t="s">
        <v>36</v>
      </c>
      <c r="S848" s="31">
        <v>13968</v>
      </c>
      <c r="T848" s="32">
        <v>45217</v>
      </c>
      <c r="U848" s="31"/>
      <c r="V848" s="26"/>
      <c r="W848" s="26" t="s">
        <v>4366</v>
      </c>
      <c r="X848" s="26"/>
      <c r="Y848" s="22">
        <v>0</v>
      </c>
      <c r="Z848" s="26" t="s">
        <v>50</v>
      </c>
      <c r="AA848" s="19" t="s">
        <v>3454</v>
      </c>
      <c r="AB848" s="26" t="s">
        <v>154</v>
      </c>
      <c r="AC848" s="26" t="s">
        <v>53</v>
      </c>
      <c r="AD848" s="19" t="s">
        <v>138</v>
      </c>
      <c r="AE848" s="26" t="s">
        <v>2752</v>
      </c>
      <c r="AF848" s="43">
        <v>45257</v>
      </c>
      <c r="AG848" s="26" t="s">
        <v>3399</v>
      </c>
      <c r="AH848" s="26"/>
      <c r="AI848" s="40"/>
      <c r="AJ848" s="26"/>
      <c r="AK848" s="26"/>
      <c r="AL848" s="35"/>
      <c r="AM848" s="35"/>
      <c r="AN848" s="35"/>
      <c r="AO848" s="35"/>
      <c r="AP848" s="35"/>
    </row>
    <row r="849" spans="1:42" x14ac:dyDescent="0.2">
      <c r="A849" s="27">
        <v>45220.937973518521</v>
      </c>
      <c r="B849" s="28" t="s">
        <v>37</v>
      </c>
      <c r="C849" s="41" t="s">
        <v>118</v>
      </c>
      <c r="D849" s="26" t="s">
        <v>36</v>
      </c>
      <c r="E849" s="26" t="s">
        <v>77</v>
      </c>
      <c r="F849" s="26" t="s">
        <v>91</v>
      </c>
      <c r="G849" s="26" t="s">
        <v>41</v>
      </c>
      <c r="H849" s="26" t="s">
        <v>423</v>
      </c>
      <c r="I849" s="17">
        <f ca="1">IFERROR(__xludf.DUMMYFUNCTION("""COMPUTED_VALUE"""),45225)</f>
        <v>45225</v>
      </c>
      <c r="J849" s="29" t="s">
        <v>4367</v>
      </c>
      <c r="K849" s="26" t="s">
        <v>4368</v>
      </c>
      <c r="L849" s="30">
        <v>865135605</v>
      </c>
      <c r="M849" s="26" t="s">
        <v>123</v>
      </c>
      <c r="N849" s="26" t="s">
        <v>186</v>
      </c>
      <c r="O849" s="26" t="s">
        <v>1226</v>
      </c>
      <c r="P849" s="26" t="s">
        <v>4369</v>
      </c>
      <c r="Q849" s="20">
        <v>1968</v>
      </c>
      <c r="R849" s="26" t="s">
        <v>36</v>
      </c>
      <c r="S849" s="31">
        <v>2000</v>
      </c>
      <c r="T849" s="32">
        <v>45219</v>
      </c>
      <c r="U849" s="31"/>
      <c r="V849" s="26"/>
      <c r="W849" s="33" t="s">
        <v>4370</v>
      </c>
      <c r="X849" s="26"/>
      <c r="Y849" s="22">
        <v>-32</v>
      </c>
      <c r="Z849" s="26" t="s">
        <v>50</v>
      </c>
      <c r="AA849" s="19" t="s">
        <v>3454</v>
      </c>
      <c r="AB849" s="26" t="s">
        <v>104</v>
      </c>
      <c r="AC849" s="26" t="s">
        <v>2218</v>
      </c>
      <c r="AD849" s="19" t="s">
        <v>54</v>
      </c>
      <c r="AE849" s="26"/>
      <c r="AF849" s="17">
        <v>45222</v>
      </c>
      <c r="AG849" s="26"/>
      <c r="AH849" s="26"/>
      <c r="AI849" s="40"/>
      <c r="AJ849" s="26"/>
      <c r="AK849" s="26"/>
      <c r="AL849" s="35"/>
      <c r="AM849" s="35"/>
      <c r="AN849" s="35"/>
      <c r="AO849" s="35"/>
      <c r="AP849" s="35"/>
    </row>
    <row r="850" spans="1:42" x14ac:dyDescent="0.2">
      <c r="A850" s="27">
        <v>45220.956034780094</v>
      </c>
      <c r="B850" s="28" t="s">
        <v>37</v>
      </c>
      <c r="C850" s="41" t="s">
        <v>118</v>
      </c>
      <c r="D850" s="26" t="s">
        <v>36</v>
      </c>
      <c r="E850" s="26" t="s">
        <v>56</v>
      </c>
      <c r="F850" s="26" t="s">
        <v>40</v>
      </c>
      <c r="G850" s="26" t="s">
        <v>41</v>
      </c>
      <c r="H850" s="26" t="s">
        <v>4371</v>
      </c>
      <c r="I850" s="17">
        <f ca="1">IFERROR(__xludf.DUMMYFUNCTION("""COMPUTED_VALUE"""),45231)</f>
        <v>45231</v>
      </c>
      <c r="J850" s="29" t="s">
        <v>4372</v>
      </c>
      <c r="K850" s="26" t="s">
        <v>4373</v>
      </c>
      <c r="L850" s="30">
        <v>365731492</v>
      </c>
      <c r="M850" s="26" t="s">
        <v>59</v>
      </c>
      <c r="N850" s="26" t="s">
        <v>68</v>
      </c>
      <c r="O850" s="26" t="s">
        <v>4374</v>
      </c>
      <c r="P850" s="26" t="s">
        <v>4375</v>
      </c>
      <c r="Q850" s="20">
        <v>9317</v>
      </c>
      <c r="R850" s="26" t="s">
        <v>36</v>
      </c>
      <c r="S850" s="31">
        <v>9317</v>
      </c>
      <c r="T850" s="32">
        <v>45219</v>
      </c>
      <c r="U850" s="31"/>
      <c r="V850" s="26"/>
      <c r="W850" s="33" t="s">
        <v>4376</v>
      </c>
      <c r="X850" s="26"/>
      <c r="Y850" s="22">
        <v>0</v>
      </c>
      <c r="Z850" s="26" t="s">
        <v>50</v>
      </c>
      <c r="AA850" s="19" t="s">
        <v>3454</v>
      </c>
      <c r="AB850" s="26"/>
      <c r="AC850" s="26" t="s">
        <v>53</v>
      </c>
      <c r="AD850" s="19" t="s">
        <v>54</v>
      </c>
      <c r="AE850" s="26" t="s">
        <v>72</v>
      </c>
      <c r="AF850" s="17">
        <v>45222</v>
      </c>
      <c r="AG850" s="26"/>
      <c r="AH850" s="26"/>
      <c r="AI850" s="40"/>
      <c r="AJ850" s="26"/>
      <c r="AK850" s="26"/>
      <c r="AL850" s="35"/>
      <c r="AM850" s="35"/>
      <c r="AN850" s="35"/>
      <c r="AO850" s="35"/>
      <c r="AP850" s="35"/>
    </row>
    <row r="851" spans="1:42" x14ac:dyDescent="0.2">
      <c r="A851" s="27">
        <v>45221.432230798615</v>
      </c>
      <c r="B851" s="28" t="s">
        <v>37</v>
      </c>
      <c r="C851" s="41" t="s">
        <v>118</v>
      </c>
      <c r="D851" s="26" t="s">
        <v>36</v>
      </c>
      <c r="E851" s="26" t="s">
        <v>139</v>
      </c>
      <c r="F851" s="26" t="s">
        <v>91</v>
      </c>
      <c r="G851" s="26" t="s">
        <v>41</v>
      </c>
      <c r="H851" s="26" t="s">
        <v>423</v>
      </c>
      <c r="I851" s="17">
        <f ca="1">IFERROR(__xludf.DUMMYFUNCTION("""COMPUTED_VALUE"""),45225)</f>
        <v>45225</v>
      </c>
      <c r="J851" s="29" t="s">
        <v>4377</v>
      </c>
      <c r="K851" s="26" t="s">
        <v>4378</v>
      </c>
      <c r="L851" s="30">
        <v>966213792</v>
      </c>
      <c r="M851" s="26" t="s">
        <v>910</v>
      </c>
      <c r="N851" s="26" t="s">
        <v>3221</v>
      </c>
      <c r="O851" s="26" t="s">
        <v>4379</v>
      </c>
      <c r="P851" s="26" t="s">
        <v>4380</v>
      </c>
      <c r="Q851" s="20">
        <v>15936</v>
      </c>
      <c r="R851" s="26" t="s">
        <v>36</v>
      </c>
      <c r="S851" s="31">
        <v>15936</v>
      </c>
      <c r="T851" s="32">
        <v>45221</v>
      </c>
      <c r="U851" s="31"/>
      <c r="V851" s="26"/>
      <c r="W851" s="33" t="s">
        <v>4381</v>
      </c>
      <c r="X851" s="26"/>
      <c r="Y851" s="22">
        <v>0</v>
      </c>
      <c r="Z851" s="26" t="s">
        <v>50</v>
      </c>
      <c r="AA851" s="19" t="s">
        <v>3454</v>
      </c>
      <c r="AB851" s="26" t="s">
        <v>104</v>
      </c>
      <c r="AC851" s="26" t="s">
        <v>53</v>
      </c>
      <c r="AD851" s="19" t="s">
        <v>54</v>
      </c>
      <c r="AE851" s="26"/>
      <c r="AF851" s="17">
        <v>45222</v>
      </c>
      <c r="AG851" s="26"/>
      <c r="AH851" s="26"/>
      <c r="AI851" s="40"/>
      <c r="AJ851" s="26"/>
      <c r="AK851" s="26"/>
      <c r="AL851" s="35"/>
      <c r="AM851" s="35"/>
      <c r="AN851" s="35"/>
      <c r="AO851" s="35"/>
      <c r="AP851" s="35"/>
    </row>
    <row r="852" spans="1:42" x14ac:dyDescent="0.2">
      <c r="A852" s="27">
        <v>45221.868258379633</v>
      </c>
      <c r="B852" s="28" t="s">
        <v>37</v>
      </c>
      <c r="C852" s="41" t="s">
        <v>118</v>
      </c>
      <c r="D852" s="26" t="s">
        <v>36</v>
      </c>
      <c r="E852" s="26" t="s">
        <v>106</v>
      </c>
      <c r="F852" s="26" t="s">
        <v>707</v>
      </c>
      <c r="G852" s="26" t="s">
        <v>108</v>
      </c>
      <c r="H852" s="26" t="s">
        <v>2381</v>
      </c>
      <c r="I852" s="17">
        <f ca="1">IFERROR(__xludf.DUMMYFUNCTION("""COMPUTED_VALUE"""),45224)</f>
        <v>45224</v>
      </c>
      <c r="J852" s="29" t="s">
        <v>4382</v>
      </c>
      <c r="K852" s="26" t="s">
        <v>4383</v>
      </c>
      <c r="L852" s="30">
        <v>973580876</v>
      </c>
      <c r="M852" s="26" t="s">
        <v>112</v>
      </c>
      <c r="N852" s="26" t="s">
        <v>3330</v>
      </c>
      <c r="O852" s="26" t="s">
        <v>3754</v>
      </c>
      <c r="P852" s="26" t="s">
        <v>4384</v>
      </c>
      <c r="Q852" s="20">
        <v>3768</v>
      </c>
      <c r="R852" s="26" t="s">
        <v>36</v>
      </c>
      <c r="S852" s="31">
        <v>3768</v>
      </c>
      <c r="T852" s="32">
        <v>45202</v>
      </c>
      <c r="U852" s="31"/>
      <c r="V852" s="26"/>
      <c r="W852" s="33" t="s">
        <v>4385</v>
      </c>
      <c r="X852" s="26"/>
      <c r="Y852" s="22">
        <v>0</v>
      </c>
      <c r="Z852" s="26" t="s">
        <v>50</v>
      </c>
      <c r="AA852" s="19" t="s">
        <v>3454</v>
      </c>
      <c r="AB852" s="26" t="s">
        <v>128</v>
      </c>
      <c r="AC852" s="26" t="s">
        <v>53</v>
      </c>
      <c r="AD852" s="19" t="s">
        <v>54</v>
      </c>
      <c r="AE852" s="26" t="s">
        <v>4386</v>
      </c>
      <c r="AF852" s="17">
        <v>45222</v>
      </c>
      <c r="AG852" s="26"/>
      <c r="AH852" s="26"/>
      <c r="AI852" s="40"/>
      <c r="AJ852" s="26"/>
      <c r="AK852" s="26"/>
      <c r="AL852" s="35"/>
      <c r="AM852" s="35"/>
      <c r="AN852" s="35"/>
      <c r="AO852" s="35"/>
      <c r="AP852" s="35"/>
    </row>
    <row r="853" spans="1:42" x14ac:dyDescent="0.2">
      <c r="A853" s="27">
        <v>45222.762851921296</v>
      </c>
      <c r="B853" s="28" t="s">
        <v>37</v>
      </c>
      <c r="C853" s="41" t="s">
        <v>118</v>
      </c>
      <c r="D853" s="26" t="s">
        <v>36</v>
      </c>
      <c r="E853" s="26" t="s">
        <v>56</v>
      </c>
      <c r="F853" s="26" t="s">
        <v>91</v>
      </c>
      <c r="G853" s="26" t="s">
        <v>41</v>
      </c>
      <c r="H853" s="26" t="s">
        <v>4387</v>
      </c>
      <c r="I853" s="17" t="str">
        <f ca="1">IFERROR(__xludf.DUMMYFUNCTION("""COMPUTED_VALUE""")," ")</f>
        <v xml:space="preserve"> </v>
      </c>
      <c r="J853" s="29" t="s">
        <v>4388</v>
      </c>
      <c r="K853" s="26" t="s">
        <v>4389</v>
      </c>
      <c r="L853" s="30">
        <v>968142728</v>
      </c>
      <c r="M853" s="26" t="s">
        <v>123</v>
      </c>
      <c r="N853" s="26" t="s">
        <v>186</v>
      </c>
      <c r="O853" s="26" t="s">
        <v>1226</v>
      </c>
      <c r="P853" s="26" t="s">
        <v>3487</v>
      </c>
      <c r="Q853" s="20">
        <v>9317</v>
      </c>
      <c r="R853" s="26" t="s">
        <v>36</v>
      </c>
      <c r="S853" s="31">
        <v>9317</v>
      </c>
      <c r="T853" s="32">
        <v>45222</v>
      </c>
      <c r="U853" s="31"/>
      <c r="V853" s="26"/>
      <c r="W853" s="33" t="s">
        <v>4390</v>
      </c>
      <c r="X853" s="26"/>
      <c r="Y853" s="22">
        <v>0</v>
      </c>
      <c r="Z853" s="26" t="s">
        <v>50</v>
      </c>
      <c r="AA853" s="19" t="s">
        <v>3454</v>
      </c>
      <c r="AB853" s="26" t="s">
        <v>104</v>
      </c>
      <c r="AC853" s="26" t="s">
        <v>53</v>
      </c>
      <c r="AD853" s="19" t="s">
        <v>138</v>
      </c>
      <c r="AE853" s="26"/>
      <c r="AF853" s="17">
        <v>45231</v>
      </c>
      <c r="AG853" s="26" t="s">
        <v>1631</v>
      </c>
      <c r="AH853" s="26"/>
      <c r="AI853" s="40"/>
      <c r="AJ853" s="26"/>
      <c r="AK853" s="26"/>
      <c r="AL853" s="35"/>
      <c r="AM853" s="35"/>
      <c r="AN853" s="35"/>
      <c r="AO853" s="35"/>
      <c r="AP853" s="35"/>
    </row>
    <row r="854" spans="1:42" x14ac:dyDescent="0.2">
      <c r="A854" s="27">
        <v>45222.763631747686</v>
      </c>
      <c r="B854" s="28" t="s">
        <v>37</v>
      </c>
      <c r="C854" s="41" t="s">
        <v>118</v>
      </c>
      <c r="D854" s="26" t="s">
        <v>36</v>
      </c>
      <c r="E854" s="26" t="s">
        <v>77</v>
      </c>
      <c r="F854" s="26" t="s">
        <v>36</v>
      </c>
      <c r="G854" s="26" t="s">
        <v>41</v>
      </c>
      <c r="H854" s="26" t="s">
        <v>4371</v>
      </c>
      <c r="I854" s="17">
        <f ca="1">IFERROR(__xludf.DUMMYFUNCTION("""COMPUTED_VALUE"""),45231)</f>
        <v>45231</v>
      </c>
      <c r="J854" s="29" t="s">
        <v>4391</v>
      </c>
      <c r="K854" s="26" t="s">
        <v>4392</v>
      </c>
      <c r="L854" s="30">
        <v>774307819</v>
      </c>
      <c r="M854" s="26" t="s">
        <v>80</v>
      </c>
      <c r="N854" s="26" t="s">
        <v>186</v>
      </c>
      <c r="O854" s="26" t="s">
        <v>3098</v>
      </c>
      <c r="P854" s="26" t="s">
        <v>4393</v>
      </c>
      <c r="Q854" s="20">
        <v>1968</v>
      </c>
      <c r="R854" s="26" t="s">
        <v>36</v>
      </c>
      <c r="S854" s="31">
        <v>1968</v>
      </c>
      <c r="T854" s="32">
        <v>45222</v>
      </c>
      <c r="U854" s="31"/>
      <c r="V854" s="26"/>
      <c r="W854" s="33" t="s">
        <v>4394</v>
      </c>
      <c r="X854" s="26"/>
      <c r="Y854" s="22">
        <v>0</v>
      </c>
      <c r="Z854" s="26" t="s">
        <v>50</v>
      </c>
      <c r="AA854" s="19" t="s">
        <v>3454</v>
      </c>
      <c r="AB854" s="26" t="s">
        <v>104</v>
      </c>
      <c r="AC854" s="26" t="s">
        <v>53</v>
      </c>
      <c r="AD854" s="19" t="s">
        <v>54</v>
      </c>
      <c r="AE854" s="26">
        <v>0</v>
      </c>
      <c r="AF854" s="43">
        <v>45223</v>
      </c>
      <c r="AG854" s="26"/>
      <c r="AH854" s="26"/>
      <c r="AI854" s="40"/>
      <c r="AJ854" s="26"/>
      <c r="AK854" s="26"/>
      <c r="AL854" s="35"/>
      <c r="AM854" s="35"/>
      <c r="AN854" s="35"/>
      <c r="AO854" s="35"/>
      <c r="AP854" s="35"/>
    </row>
    <row r="855" spans="1:42" x14ac:dyDescent="0.2">
      <c r="A855" s="27">
        <v>45223.391320972223</v>
      </c>
      <c r="B855" s="28" t="s">
        <v>37</v>
      </c>
      <c r="C855" s="41" t="s">
        <v>118</v>
      </c>
      <c r="D855" s="26" t="s">
        <v>36</v>
      </c>
      <c r="E855" s="26" t="s">
        <v>106</v>
      </c>
      <c r="F855" s="26" t="s">
        <v>40</v>
      </c>
      <c r="G855" s="26" t="s">
        <v>108</v>
      </c>
      <c r="H855" s="26" t="s">
        <v>3336</v>
      </c>
      <c r="I855" s="17">
        <f ca="1">IFERROR(__xludf.DUMMYFUNCTION("""COMPUTED_VALUE"""),45229)</f>
        <v>45229</v>
      </c>
      <c r="J855" s="29" t="s">
        <v>4395</v>
      </c>
      <c r="K855" s="26" t="s">
        <v>4396</v>
      </c>
      <c r="L855" s="30">
        <v>333462805</v>
      </c>
      <c r="M855" s="26" t="s">
        <v>45</v>
      </c>
      <c r="N855" s="26" t="s">
        <v>4397</v>
      </c>
      <c r="O855" s="26" t="s">
        <v>4398</v>
      </c>
      <c r="P855" s="26" t="s">
        <v>4399</v>
      </c>
      <c r="Q855" s="20">
        <v>3768</v>
      </c>
      <c r="R855" s="26" t="s">
        <v>36</v>
      </c>
      <c r="S855" s="31">
        <v>3768</v>
      </c>
      <c r="T855" s="32">
        <v>45223</v>
      </c>
      <c r="U855" s="31"/>
      <c r="V855" s="26"/>
      <c r="W855" s="33" t="s">
        <v>4400</v>
      </c>
      <c r="X855" s="26"/>
      <c r="Y855" s="22">
        <v>0</v>
      </c>
      <c r="Z855" s="26" t="s">
        <v>50</v>
      </c>
      <c r="AA855" s="19" t="s">
        <v>3454</v>
      </c>
      <c r="AB855" s="26" t="s">
        <v>128</v>
      </c>
      <c r="AC855" s="26" t="s">
        <v>53</v>
      </c>
      <c r="AD855" s="19" t="s">
        <v>54</v>
      </c>
      <c r="AE855" s="26">
        <v>350</v>
      </c>
      <c r="AF855" s="17">
        <v>45224</v>
      </c>
      <c r="AG855" s="26"/>
      <c r="AH855" s="26"/>
      <c r="AI855" s="40"/>
      <c r="AJ855" s="26"/>
      <c r="AK855" s="26"/>
      <c r="AL855" s="35"/>
      <c r="AM855" s="35"/>
      <c r="AN855" s="35"/>
      <c r="AO855" s="35"/>
      <c r="AP855" s="35"/>
    </row>
    <row r="856" spans="1:42" x14ac:dyDescent="0.2">
      <c r="A856" s="27">
        <v>45223.800898483794</v>
      </c>
      <c r="B856" s="28" t="s">
        <v>37</v>
      </c>
      <c r="C856" s="41" t="s">
        <v>118</v>
      </c>
      <c r="D856" s="26" t="s">
        <v>77</v>
      </c>
      <c r="E856" s="26" t="s">
        <v>106</v>
      </c>
      <c r="F856" s="26" t="s">
        <v>678</v>
      </c>
      <c r="G856" s="26" t="s">
        <v>108</v>
      </c>
      <c r="H856" s="26" t="s">
        <v>2393</v>
      </c>
      <c r="I856" s="17">
        <f ca="1">IFERROR(__xludf.DUMMYFUNCTION("""COMPUTED_VALUE"""),45257)</f>
        <v>45257</v>
      </c>
      <c r="J856" s="29" t="s">
        <v>1409</v>
      </c>
      <c r="K856" s="26" t="s">
        <v>4401</v>
      </c>
      <c r="L856" s="30">
        <v>363298700</v>
      </c>
      <c r="M856" s="26" t="s">
        <v>633</v>
      </c>
      <c r="N856" s="26" t="s">
        <v>4402</v>
      </c>
      <c r="O856" s="26" t="s">
        <v>1411</v>
      </c>
      <c r="P856" s="26" t="s">
        <v>4403</v>
      </c>
      <c r="Q856" s="20">
        <v>3768</v>
      </c>
      <c r="R856" s="26" t="s">
        <v>36</v>
      </c>
      <c r="S856" s="31">
        <v>3768</v>
      </c>
      <c r="T856" s="32">
        <v>45223</v>
      </c>
      <c r="U856" s="31"/>
      <c r="V856" s="26"/>
      <c r="W856" s="33" t="s">
        <v>4404</v>
      </c>
      <c r="X856" s="26"/>
      <c r="Y856" s="22">
        <v>0</v>
      </c>
      <c r="Z856" s="26" t="s">
        <v>50</v>
      </c>
      <c r="AA856" s="19" t="s">
        <v>3454</v>
      </c>
      <c r="AB856" s="26" t="s">
        <v>137</v>
      </c>
      <c r="AC856" s="26" t="s">
        <v>53</v>
      </c>
      <c r="AD856" s="19" t="s">
        <v>54</v>
      </c>
      <c r="AE856" s="26"/>
      <c r="AF856" s="17">
        <v>45225</v>
      </c>
      <c r="AG856" s="26" t="s">
        <v>4405</v>
      </c>
      <c r="AH856" s="26"/>
      <c r="AI856" s="40"/>
      <c r="AJ856" s="26"/>
      <c r="AK856" s="26"/>
      <c r="AL856" s="35"/>
      <c r="AM856" s="35"/>
      <c r="AN856" s="35"/>
      <c r="AO856" s="35"/>
      <c r="AP856" s="35"/>
    </row>
    <row r="857" spans="1:42" x14ac:dyDescent="0.2">
      <c r="A857" s="27">
        <v>45223.92790362268</v>
      </c>
      <c r="B857" s="28" t="s">
        <v>37</v>
      </c>
      <c r="C857" s="41" t="s">
        <v>118</v>
      </c>
      <c r="D857" s="26" t="s">
        <v>36</v>
      </c>
      <c r="E857" s="26" t="s">
        <v>77</v>
      </c>
      <c r="F857" s="26" t="s">
        <v>91</v>
      </c>
      <c r="G857" s="26" t="s">
        <v>41</v>
      </c>
      <c r="H857" s="26" t="s">
        <v>4133</v>
      </c>
      <c r="I857" s="17">
        <f ca="1">IFERROR(__xludf.DUMMYFUNCTION("""COMPUTED_VALUE"""),45231)</f>
        <v>45231</v>
      </c>
      <c r="J857" s="29" t="s">
        <v>4406</v>
      </c>
      <c r="K857" s="26" t="s">
        <v>4407</v>
      </c>
      <c r="L857" s="30">
        <v>345111205</v>
      </c>
      <c r="M857" s="26" t="s">
        <v>123</v>
      </c>
      <c r="N857" s="26" t="s">
        <v>2847</v>
      </c>
      <c r="O857" s="26" t="s">
        <v>1226</v>
      </c>
      <c r="P857" s="26" t="s">
        <v>3056</v>
      </c>
      <c r="Q857" s="20">
        <v>1968</v>
      </c>
      <c r="R857" s="26" t="s">
        <v>36</v>
      </c>
      <c r="S857" s="31">
        <v>200</v>
      </c>
      <c r="T857" s="32">
        <v>45156</v>
      </c>
      <c r="U857" s="31">
        <v>1768</v>
      </c>
      <c r="V857" s="32">
        <v>45223</v>
      </c>
      <c r="W857" s="33" t="s">
        <v>4408</v>
      </c>
      <c r="X857" s="26"/>
      <c r="Y857" s="22">
        <v>0</v>
      </c>
      <c r="Z857" s="26" t="s">
        <v>50</v>
      </c>
      <c r="AA857" s="19" t="s">
        <v>3454</v>
      </c>
      <c r="AB857" s="26" t="s">
        <v>104</v>
      </c>
      <c r="AC857" s="26" t="s">
        <v>53</v>
      </c>
      <c r="AD857" s="19" t="s">
        <v>54</v>
      </c>
      <c r="AE857" s="26"/>
      <c r="AF857" s="17">
        <v>45231</v>
      </c>
      <c r="AG857" s="26" t="s">
        <v>1631</v>
      </c>
      <c r="AH857" s="26"/>
      <c r="AI857" s="40"/>
      <c r="AJ857" s="26"/>
      <c r="AK857" s="26"/>
      <c r="AL857" s="35"/>
      <c r="AM857" s="35"/>
      <c r="AN857" s="35"/>
      <c r="AO857" s="35"/>
      <c r="AP857" s="35"/>
    </row>
    <row r="858" spans="1:42" x14ac:dyDescent="0.2">
      <c r="A858" s="27">
        <v>45223.978588738421</v>
      </c>
      <c r="B858" s="28" t="s">
        <v>37</v>
      </c>
      <c r="C858" s="41" t="s">
        <v>118</v>
      </c>
      <c r="D858" s="26" t="s">
        <v>36</v>
      </c>
      <c r="E858" s="26" t="s">
        <v>77</v>
      </c>
      <c r="F858" s="26" t="s">
        <v>40</v>
      </c>
      <c r="G858" s="26" t="s">
        <v>41</v>
      </c>
      <c r="H858" s="26" t="s">
        <v>4409</v>
      </c>
      <c r="I858" s="17">
        <f ca="1">IFERROR(__xludf.DUMMYFUNCTION("""COMPUTED_VALUE"""),45236)</f>
        <v>45236</v>
      </c>
      <c r="J858" s="29" t="s">
        <v>4410</v>
      </c>
      <c r="K858" s="26" t="s">
        <v>2413</v>
      </c>
      <c r="L858" s="30">
        <v>976043201</v>
      </c>
      <c r="M858" s="26" t="s">
        <v>348</v>
      </c>
      <c r="N858" s="26" t="s">
        <v>68</v>
      </c>
      <c r="O858" s="26" t="s">
        <v>4411</v>
      </c>
      <c r="P858" s="26" t="s">
        <v>4412</v>
      </c>
      <c r="Q858" s="20">
        <v>1968</v>
      </c>
      <c r="R858" s="26" t="s">
        <v>36</v>
      </c>
      <c r="S858" s="31">
        <v>1968</v>
      </c>
      <c r="T858" s="32">
        <v>45223</v>
      </c>
      <c r="U858" s="31"/>
      <c r="V858" s="26"/>
      <c r="W858" s="33" t="s">
        <v>4413</v>
      </c>
      <c r="X858" s="26"/>
      <c r="Y858" s="22">
        <v>0</v>
      </c>
      <c r="Z858" s="26" t="s">
        <v>50</v>
      </c>
      <c r="AA858" s="19" t="s">
        <v>3454</v>
      </c>
      <c r="AB858" s="26" t="s">
        <v>128</v>
      </c>
      <c r="AC858" s="26" t="s">
        <v>53</v>
      </c>
      <c r="AD858" s="19" t="s">
        <v>54</v>
      </c>
      <c r="AE858" s="26" t="s">
        <v>430</v>
      </c>
      <c r="AF858" s="43">
        <v>45225</v>
      </c>
      <c r="AG858" s="26"/>
      <c r="AH858" s="26"/>
      <c r="AI858" s="40"/>
      <c r="AJ858" s="26"/>
      <c r="AK858" s="26"/>
      <c r="AL858" s="35"/>
      <c r="AM858" s="35"/>
      <c r="AN858" s="35"/>
      <c r="AO858" s="35"/>
      <c r="AP858" s="35"/>
    </row>
    <row r="859" spans="1:42" x14ac:dyDescent="0.2">
      <c r="A859" s="27">
        <v>45224.664964988428</v>
      </c>
      <c r="B859" s="28" t="s">
        <v>37</v>
      </c>
      <c r="C859" s="41" t="s">
        <v>118</v>
      </c>
      <c r="D859" s="26" t="s">
        <v>36</v>
      </c>
      <c r="E859" s="26" t="s">
        <v>106</v>
      </c>
      <c r="F859" s="26" t="s">
        <v>723</v>
      </c>
      <c r="G859" s="26" t="s">
        <v>108</v>
      </c>
      <c r="H859" s="26" t="s">
        <v>3285</v>
      </c>
      <c r="I859" s="17">
        <f ca="1">IFERROR(__xludf.DUMMYFUNCTION("""COMPUTED_VALUE"""),45229)</f>
        <v>45229</v>
      </c>
      <c r="J859" s="29" t="s">
        <v>1690</v>
      </c>
      <c r="K859" s="26" t="s">
        <v>4414</v>
      </c>
      <c r="L859" s="30">
        <v>372759439</v>
      </c>
      <c r="M859" s="26" t="s">
        <v>112</v>
      </c>
      <c r="N859" s="26" t="s">
        <v>193</v>
      </c>
      <c r="O859" s="26" t="s">
        <v>36</v>
      </c>
      <c r="P859" s="26" t="s">
        <v>4415</v>
      </c>
      <c r="Q859" s="20">
        <v>3768</v>
      </c>
      <c r="R859" s="26" t="s">
        <v>36</v>
      </c>
      <c r="S859" s="31">
        <v>1834</v>
      </c>
      <c r="T859" s="32">
        <v>45223</v>
      </c>
      <c r="U859" s="31">
        <v>1834</v>
      </c>
      <c r="V859" s="32">
        <v>45229</v>
      </c>
      <c r="W859" s="33" t="s">
        <v>4416</v>
      </c>
      <c r="X859" s="26"/>
      <c r="Y859" s="22">
        <v>100</v>
      </c>
      <c r="Z859" s="26" t="s">
        <v>50</v>
      </c>
      <c r="AA859" s="19" t="s">
        <v>3454</v>
      </c>
      <c r="AB859" s="26" t="s">
        <v>128</v>
      </c>
      <c r="AC859" s="26" t="s">
        <v>53</v>
      </c>
      <c r="AD859" s="19" t="s">
        <v>138</v>
      </c>
      <c r="AE859" s="26" t="s">
        <v>4417</v>
      </c>
      <c r="AF859" s="17">
        <v>45229</v>
      </c>
      <c r="AG859" s="26"/>
      <c r="AH859" s="26"/>
      <c r="AI859" s="40"/>
      <c r="AJ859" s="26"/>
      <c r="AK859" s="26"/>
      <c r="AL859" s="35"/>
      <c r="AM859" s="35"/>
      <c r="AN859" s="35"/>
      <c r="AO859" s="35"/>
      <c r="AP859" s="35"/>
    </row>
    <row r="860" spans="1:42" x14ac:dyDescent="0.2">
      <c r="A860" s="27">
        <v>45224.667345578702</v>
      </c>
      <c r="B860" s="28" t="s">
        <v>37</v>
      </c>
      <c r="C860" s="41" t="s">
        <v>118</v>
      </c>
      <c r="D860" s="26" t="s">
        <v>36</v>
      </c>
      <c r="E860" s="26" t="s">
        <v>106</v>
      </c>
      <c r="F860" s="26" t="s">
        <v>723</v>
      </c>
      <c r="G860" s="26" t="s">
        <v>108</v>
      </c>
      <c r="H860" s="26" t="s">
        <v>3285</v>
      </c>
      <c r="I860" s="17">
        <f ca="1">IFERROR(__xludf.DUMMYFUNCTION("""COMPUTED_VALUE"""),45229)</f>
        <v>45229</v>
      </c>
      <c r="J860" s="29" t="s">
        <v>1686</v>
      </c>
      <c r="K860" s="26" t="s">
        <v>4418</v>
      </c>
      <c r="L860" s="30">
        <v>921370085</v>
      </c>
      <c r="M860" s="26" t="s">
        <v>112</v>
      </c>
      <c r="N860" s="26" t="s">
        <v>193</v>
      </c>
      <c r="O860" s="26" t="s">
        <v>36</v>
      </c>
      <c r="P860" s="26" t="s">
        <v>4419</v>
      </c>
      <c r="Q860" s="20">
        <v>3768</v>
      </c>
      <c r="R860" s="26" t="s">
        <v>36</v>
      </c>
      <c r="S860" s="21">
        <v>1834</v>
      </c>
      <c r="T860" s="46">
        <v>45223</v>
      </c>
      <c r="U860" s="31">
        <v>1834</v>
      </c>
      <c r="V860" s="32">
        <v>45229</v>
      </c>
      <c r="W860" s="33" t="s">
        <v>4420</v>
      </c>
      <c r="X860" s="26"/>
      <c r="Y860" s="22">
        <v>100</v>
      </c>
      <c r="Z860" s="26" t="s">
        <v>50</v>
      </c>
      <c r="AA860" s="19" t="s">
        <v>3454</v>
      </c>
      <c r="AB860" s="26" t="s">
        <v>146</v>
      </c>
      <c r="AC860" s="26" t="s">
        <v>53</v>
      </c>
      <c r="AD860" s="19" t="s">
        <v>138</v>
      </c>
      <c r="AE860" s="26" t="s">
        <v>2733</v>
      </c>
      <c r="AF860" s="17">
        <v>45229</v>
      </c>
      <c r="AG860" s="26"/>
      <c r="AH860" s="26"/>
      <c r="AI860" s="40"/>
      <c r="AJ860" s="26"/>
      <c r="AK860" s="26"/>
      <c r="AL860" s="35"/>
      <c r="AM860" s="35"/>
      <c r="AN860" s="35"/>
      <c r="AO860" s="35"/>
      <c r="AP860" s="35"/>
    </row>
    <row r="861" spans="1:42" x14ac:dyDescent="0.2">
      <c r="A861" s="27">
        <v>45224.669606979165</v>
      </c>
      <c r="B861" s="28" t="s">
        <v>37</v>
      </c>
      <c r="C861" s="41" t="s">
        <v>118</v>
      </c>
      <c r="D861" s="26" t="s">
        <v>36</v>
      </c>
      <c r="E861" s="26" t="s">
        <v>106</v>
      </c>
      <c r="F861" s="26" t="s">
        <v>723</v>
      </c>
      <c r="G861" s="26" t="s">
        <v>108</v>
      </c>
      <c r="H861" s="26" t="s">
        <v>3285</v>
      </c>
      <c r="I861" s="17">
        <f ca="1">IFERROR(__xludf.DUMMYFUNCTION("""COMPUTED_VALUE"""),45229)</f>
        <v>45229</v>
      </c>
      <c r="J861" s="29" t="s">
        <v>1503</v>
      </c>
      <c r="K861" s="26" t="s">
        <v>1504</v>
      </c>
      <c r="L861" s="30">
        <v>364617396</v>
      </c>
      <c r="M861" s="26" t="s">
        <v>112</v>
      </c>
      <c r="N861" s="26" t="s">
        <v>193</v>
      </c>
      <c r="O861" s="26" t="s">
        <v>36</v>
      </c>
      <c r="P861" s="26" t="s">
        <v>4421</v>
      </c>
      <c r="Q861" s="20">
        <v>3768</v>
      </c>
      <c r="R861" s="26" t="s">
        <v>36</v>
      </c>
      <c r="S861" s="31">
        <v>3768</v>
      </c>
      <c r="T861" s="32">
        <v>45223</v>
      </c>
      <c r="U861" s="31"/>
      <c r="V861" s="26"/>
      <c r="W861" s="33" t="s">
        <v>4422</v>
      </c>
      <c r="X861" s="26"/>
      <c r="Y861" s="22">
        <v>0</v>
      </c>
      <c r="Z861" s="26" t="s">
        <v>50</v>
      </c>
      <c r="AA861" s="19" t="s">
        <v>3454</v>
      </c>
      <c r="AB861" s="26" t="s">
        <v>128</v>
      </c>
      <c r="AC861" s="26" t="s">
        <v>53</v>
      </c>
      <c r="AD861" s="19" t="s">
        <v>138</v>
      </c>
      <c r="AE861" s="26" t="s">
        <v>4423</v>
      </c>
      <c r="AF861" s="17">
        <v>45229</v>
      </c>
      <c r="AG861" s="26"/>
      <c r="AH861" s="26"/>
      <c r="AI861" s="40"/>
      <c r="AJ861" s="26"/>
      <c r="AK861" s="26"/>
      <c r="AL861" s="35"/>
      <c r="AM861" s="35"/>
      <c r="AN861" s="35"/>
      <c r="AO861" s="35"/>
      <c r="AP861" s="35"/>
    </row>
    <row r="862" spans="1:42" x14ac:dyDescent="0.2">
      <c r="A862" s="27">
        <v>45225.393782696759</v>
      </c>
      <c r="B862" s="28" t="s">
        <v>37</v>
      </c>
      <c r="C862" s="41" t="s">
        <v>118</v>
      </c>
      <c r="D862" s="26" t="s">
        <v>36</v>
      </c>
      <c r="E862" s="26" t="s">
        <v>106</v>
      </c>
      <c r="F862" s="26" t="s">
        <v>1229</v>
      </c>
      <c r="G862" s="26" t="s">
        <v>108</v>
      </c>
      <c r="H862" s="26" t="s">
        <v>4424</v>
      </c>
      <c r="I862" s="17" t="str">
        <f ca="1">IFERROR(__xludf.DUMMYFUNCTION("""COMPUTED_VALUE""")," ")</f>
        <v xml:space="preserve"> </v>
      </c>
      <c r="J862" s="29" t="s">
        <v>1728</v>
      </c>
      <c r="K862" s="26" t="s">
        <v>4425</v>
      </c>
      <c r="L862" s="30">
        <v>969465735</v>
      </c>
      <c r="M862" s="26" t="s">
        <v>112</v>
      </c>
      <c r="N862" s="26" t="s">
        <v>4426</v>
      </c>
      <c r="O862" s="26" t="s">
        <v>1730</v>
      </c>
      <c r="P862" s="26" t="s">
        <v>4427</v>
      </c>
      <c r="Q862" s="20">
        <v>3768</v>
      </c>
      <c r="R862" s="26" t="s">
        <v>36</v>
      </c>
      <c r="S862" s="31">
        <v>3768</v>
      </c>
      <c r="T862" s="32">
        <v>45224</v>
      </c>
      <c r="U862" s="31"/>
      <c r="V862" s="26"/>
      <c r="W862" s="33" t="s">
        <v>4428</v>
      </c>
      <c r="X862" s="26"/>
      <c r="Y862" s="22">
        <v>0</v>
      </c>
      <c r="Z862" s="26" t="s">
        <v>50</v>
      </c>
      <c r="AA862" s="19" t="s">
        <v>3454</v>
      </c>
      <c r="AB862" s="26" t="s">
        <v>128</v>
      </c>
      <c r="AC862" s="26" t="s">
        <v>53</v>
      </c>
      <c r="AD862" s="19" t="s">
        <v>54</v>
      </c>
      <c r="AE862" s="26"/>
      <c r="AF862" s="43">
        <v>45225</v>
      </c>
      <c r="AG862" s="26"/>
      <c r="AH862" s="26"/>
      <c r="AI862" s="40"/>
      <c r="AJ862" s="26"/>
      <c r="AK862" s="26"/>
      <c r="AL862" s="35"/>
      <c r="AM862" s="35"/>
      <c r="AN862" s="35"/>
      <c r="AO862" s="35"/>
      <c r="AP862" s="35"/>
    </row>
    <row r="863" spans="1:42" x14ac:dyDescent="0.2">
      <c r="A863" s="27">
        <v>45225.407690381944</v>
      </c>
      <c r="B863" s="28" t="s">
        <v>37</v>
      </c>
      <c r="C863" s="41" t="s">
        <v>118</v>
      </c>
      <c r="D863" s="26" t="s">
        <v>36</v>
      </c>
      <c r="E863" s="26" t="s">
        <v>106</v>
      </c>
      <c r="F863" s="26" t="s">
        <v>36</v>
      </c>
      <c r="G863" s="26" t="s">
        <v>108</v>
      </c>
      <c r="H863" s="26" t="s">
        <v>3416</v>
      </c>
      <c r="I863" s="17">
        <f ca="1">IFERROR(__xludf.DUMMYFUNCTION("""COMPUTED_VALUE"""),45247)</f>
        <v>45247</v>
      </c>
      <c r="J863" s="29" t="s">
        <v>4429</v>
      </c>
      <c r="K863" s="26" t="s">
        <v>4430</v>
      </c>
      <c r="L863" s="30">
        <v>961481636</v>
      </c>
      <c r="M863" s="26" t="s">
        <v>80</v>
      </c>
      <c r="N863" s="26" t="s">
        <v>81</v>
      </c>
      <c r="O863" s="26" t="s">
        <v>4431</v>
      </c>
      <c r="P863" s="26" t="s">
        <v>2641</v>
      </c>
      <c r="Q863" s="20">
        <v>3768</v>
      </c>
      <c r="R863" s="26" t="s">
        <v>36</v>
      </c>
      <c r="S863" s="31">
        <v>3768</v>
      </c>
      <c r="T863" s="32">
        <v>45224</v>
      </c>
      <c r="U863" s="31"/>
      <c r="V863" s="26"/>
      <c r="W863" s="33" t="s">
        <v>4432</v>
      </c>
      <c r="X863" s="26"/>
      <c r="Y863" s="22">
        <v>0</v>
      </c>
      <c r="Z863" s="26" t="s">
        <v>50</v>
      </c>
      <c r="AA863" s="19" t="s">
        <v>3454</v>
      </c>
      <c r="AB863" s="26" t="s">
        <v>128</v>
      </c>
      <c r="AC863" s="26" t="s">
        <v>53</v>
      </c>
      <c r="AD863" s="19" t="s">
        <v>138</v>
      </c>
      <c r="AE863" s="26">
        <v>400</v>
      </c>
      <c r="AF863" s="17">
        <v>45247</v>
      </c>
      <c r="AG863" s="26" t="s">
        <v>4433</v>
      </c>
      <c r="AH863" s="26"/>
      <c r="AI863" s="40"/>
      <c r="AJ863" s="26"/>
      <c r="AK863" s="26"/>
      <c r="AL863" s="35"/>
      <c r="AM863" s="35"/>
      <c r="AN863" s="35"/>
      <c r="AO863" s="35"/>
      <c r="AP863" s="35"/>
    </row>
    <row r="864" spans="1:42" x14ac:dyDescent="0.2">
      <c r="A864" s="27">
        <v>45225.502344351851</v>
      </c>
      <c r="B864" s="28" t="s">
        <v>37</v>
      </c>
      <c r="C864" s="41" t="s">
        <v>118</v>
      </c>
      <c r="D864" s="26" t="s">
        <v>36</v>
      </c>
      <c r="E864" s="26" t="s">
        <v>77</v>
      </c>
      <c r="F864" s="26" t="s">
        <v>36</v>
      </c>
      <c r="G864" s="26" t="s">
        <v>41</v>
      </c>
      <c r="H864" s="26" t="s">
        <v>4409</v>
      </c>
      <c r="I864" s="17">
        <f ca="1">IFERROR(__xludf.DUMMYFUNCTION("""COMPUTED_VALUE"""),45236)</f>
        <v>45236</v>
      </c>
      <c r="J864" s="29" t="s">
        <v>4434</v>
      </c>
      <c r="K864" s="26" t="s">
        <v>4435</v>
      </c>
      <c r="L864" s="30">
        <v>356253495</v>
      </c>
      <c r="M864" s="26" t="s">
        <v>910</v>
      </c>
      <c r="N864" s="26" t="s">
        <v>355</v>
      </c>
      <c r="O864" s="26" t="s">
        <v>3754</v>
      </c>
      <c r="P864" s="26" t="s">
        <v>4436</v>
      </c>
      <c r="Q864" s="20">
        <v>1968</v>
      </c>
      <c r="R864" s="26" t="s">
        <v>36</v>
      </c>
      <c r="S864" s="31">
        <v>1968</v>
      </c>
      <c r="T864" s="32">
        <v>45225</v>
      </c>
      <c r="U864" s="31"/>
      <c r="V864" s="26"/>
      <c r="W864" s="33" t="s">
        <v>4437</v>
      </c>
      <c r="X864" s="26"/>
      <c r="Y864" s="22">
        <v>0</v>
      </c>
      <c r="Z864" s="26" t="s">
        <v>50</v>
      </c>
      <c r="AA864" s="19" t="s">
        <v>3454</v>
      </c>
      <c r="AB864" s="26" t="s">
        <v>104</v>
      </c>
      <c r="AC864" s="26" t="s">
        <v>53</v>
      </c>
      <c r="AD864" s="19" t="s">
        <v>54</v>
      </c>
      <c r="AE864" s="26"/>
      <c r="AF864" s="43">
        <v>45225</v>
      </c>
      <c r="AG864" s="26"/>
      <c r="AH864" s="26"/>
      <c r="AI864" s="40"/>
      <c r="AJ864" s="26"/>
      <c r="AK864" s="26"/>
      <c r="AL864" s="35"/>
      <c r="AM864" s="35"/>
      <c r="AN864" s="35"/>
      <c r="AO864" s="35"/>
      <c r="AP864" s="35"/>
    </row>
    <row r="865" spans="1:42" x14ac:dyDescent="0.2">
      <c r="A865" s="27">
        <v>45225.504214375003</v>
      </c>
      <c r="B865" s="28" t="s">
        <v>37</v>
      </c>
      <c r="C865" s="41" t="s">
        <v>118</v>
      </c>
      <c r="D865" s="26" t="s">
        <v>36</v>
      </c>
      <c r="E865" s="26" t="s">
        <v>77</v>
      </c>
      <c r="F865" s="26" t="s">
        <v>36</v>
      </c>
      <c r="G865" s="26" t="s">
        <v>41</v>
      </c>
      <c r="H865" s="26" t="s">
        <v>4409</v>
      </c>
      <c r="I865" s="17">
        <f ca="1">IFERROR(__xludf.DUMMYFUNCTION("""COMPUTED_VALUE"""),45236)</f>
        <v>45236</v>
      </c>
      <c r="J865" s="29" t="s">
        <v>4438</v>
      </c>
      <c r="K865" s="26" t="s">
        <v>4439</v>
      </c>
      <c r="L865" s="30">
        <v>326940276</v>
      </c>
      <c r="M865" s="26" t="s">
        <v>910</v>
      </c>
      <c r="N865" s="26" t="s">
        <v>355</v>
      </c>
      <c r="O865" s="26" t="s">
        <v>3754</v>
      </c>
      <c r="P865" s="26" t="s">
        <v>4440</v>
      </c>
      <c r="Q865" s="20">
        <v>1968</v>
      </c>
      <c r="R865" s="26" t="s">
        <v>36</v>
      </c>
      <c r="S865" s="31">
        <v>1968</v>
      </c>
      <c r="T865" s="32">
        <v>45225</v>
      </c>
      <c r="U865" s="31"/>
      <c r="V865" s="26"/>
      <c r="W865" s="33" t="s">
        <v>4441</v>
      </c>
      <c r="X865" s="26"/>
      <c r="Y865" s="22">
        <v>0</v>
      </c>
      <c r="Z865" s="26" t="s">
        <v>50</v>
      </c>
      <c r="AA865" s="19" t="s">
        <v>3454</v>
      </c>
      <c r="AB865" s="26" t="s">
        <v>104</v>
      </c>
      <c r="AC865" s="26" t="s">
        <v>53</v>
      </c>
      <c r="AD865" s="19" t="s">
        <v>54</v>
      </c>
      <c r="AE865" s="26"/>
      <c r="AF865" s="43">
        <v>45225</v>
      </c>
      <c r="AG865" s="26"/>
      <c r="AH865" s="26"/>
      <c r="AI865" s="40"/>
      <c r="AJ865" s="26"/>
      <c r="AK865" s="26"/>
      <c r="AL865" s="35"/>
      <c r="AM865" s="35"/>
      <c r="AN865" s="35"/>
      <c r="AO865" s="35"/>
      <c r="AP865" s="35"/>
    </row>
    <row r="866" spans="1:42" x14ac:dyDescent="0.2">
      <c r="A866" s="27">
        <v>45221.939636701391</v>
      </c>
      <c r="B866" s="28" t="s">
        <v>37</v>
      </c>
      <c r="C866" s="41" t="s">
        <v>118</v>
      </c>
      <c r="D866" s="26" t="s">
        <v>36</v>
      </c>
      <c r="E866" s="26" t="s">
        <v>56</v>
      </c>
      <c r="F866" s="26" t="s">
        <v>36</v>
      </c>
      <c r="G866" s="39" t="s">
        <v>108</v>
      </c>
      <c r="H866" s="26" t="s">
        <v>4442</v>
      </c>
      <c r="I866" s="17">
        <f ca="1">IFERROR(__xludf.DUMMYFUNCTION("""COMPUTED_VALUE"""),45837)</f>
        <v>45837</v>
      </c>
      <c r="J866" s="44" t="s">
        <v>4443</v>
      </c>
      <c r="K866" s="19" t="s">
        <v>4444</v>
      </c>
      <c r="L866" s="30">
        <v>398716880</v>
      </c>
      <c r="M866" s="26" t="s">
        <v>633</v>
      </c>
      <c r="N866" s="26" t="s">
        <v>2847</v>
      </c>
      <c r="O866" s="26" t="s">
        <v>4445</v>
      </c>
      <c r="P866" s="26" t="s">
        <v>4446</v>
      </c>
      <c r="Q866" s="20">
        <v>7349</v>
      </c>
      <c r="R866" s="26" t="s">
        <v>36</v>
      </c>
      <c r="S866" s="31"/>
      <c r="T866" s="16" t="s">
        <v>4447</v>
      </c>
      <c r="U866" s="31">
        <v>6575</v>
      </c>
      <c r="V866" s="74">
        <v>45221</v>
      </c>
      <c r="W866" s="26" t="s">
        <v>4448</v>
      </c>
      <c r="X866" s="26">
        <v>0</v>
      </c>
      <c r="Y866" s="22">
        <v>774</v>
      </c>
      <c r="Z866" s="26" t="s">
        <v>50</v>
      </c>
      <c r="AA866" s="19" t="s">
        <v>3454</v>
      </c>
      <c r="AB866" s="26"/>
      <c r="AC866" s="26" t="s">
        <v>53</v>
      </c>
      <c r="AD866" s="19" t="s">
        <v>138</v>
      </c>
      <c r="AE866" s="26"/>
      <c r="AF866" s="17">
        <v>45750</v>
      </c>
      <c r="AG866" s="107">
        <v>45223</v>
      </c>
      <c r="AH866" s="26" t="s">
        <v>4449</v>
      </c>
      <c r="AI866" s="40"/>
      <c r="AJ866" s="26"/>
      <c r="AK866" s="26"/>
      <c r="AL866" s="26"/>
      <c r="AM866" s="35"/>
      <c r="AN866" s="35"/>
      <c r="AO866" s="35"/>
      <c r="AP866" s="35"/>
    </row>
    <row r="867" spans="1:42" x14ac:dyDescent="0.2">
      <c r="A867" s="27">
        <v>45226.421316851847</v>
      </c>
      <c r="B867" s="28" t="s">
        <v>37</v>
      </c>
      <c r="C867" s="41" t="s">
        <v>118</v>
      </c>
      <c r="D867" s="26" t="s">
        <v>36</v>
      </c>
      <c r="E867" s="26" t="s">
        <v>77</v>
      </c>
      <c r="F867" s="26" t="s">
        <v>36</v>
      </c>
      <c r="G867" s="26" t="s">
        <v>41</v>
      </c>
      <c r="H867" s="26" t="s">
        <v>3414</v>
      </c>
      <c r="I867" s="17">
        <f ca="1">IFERROR(__xludf.DUMMYFUNCTION("""COMPUTED_VALUE"""),45240)</f>
        <v>45240</v>
      </c>
      <c r="J867" s="29" t="s">
        <v>4450</v>
      </c>
      <c r="K867" s="26" t="s">
        <v>4451</v>
      </c>
      <c r="L867" s="30">
        <v>865962119</v>
      </c>
      <c r="M867" s="26" t="s">
        <v>633</v>
      </c>
      <c r="N867" s="26" t="s">
        <v>1384</v>
      </c>
      <c r="O867" s="26" t="s">
        <v>4452</v>
      </c>
      <c r="P867" s="26" t="s">
        <v>4453</v>
      </c>
      <c r="Q867" s="20">
        <v>1968</v>
      </c>
      <c r="R867" s="26" t="s">
        <v>36</v>
      </c>
      <c r="S867" s="31">
        <v>1968</v>
      </c>
      <c r="T867" s="32">
        <v>45225</v>
      </c>
      <c r="U867" s="31"/>
      <c r="V867" s="26"/>
      <c r="W867" s="33" t="s">
        <v>4454</v>
      </c>
      <c r="X867" s="26"/>
      <c r="Y867" s="22">
        <v>0</v>
      </c>
      <c r="Z867" s="26" t="s">
        <v>50</v>
      </c>
      <c r="AA867" s="19" t="s">
        <v>3454</v>
      </c>
      <c r="AB867" s="26" t="s">
        <v>104</v>
      </c>
      <c r="AC867" s="26" t="s">
        <v>53</v>
      </c>
      <c r="AD867" s="19" t="s">
        <v>138</v>
      </c>
      <c r="AE867" s="26">
        <v>160</v>
      </c>
      <c r="AF867" s="17">
        <v>45240</v>
      </c>
      <c r="AG867" s="26" t="s">
        <v>1362</v>
      </c>
      <c r="AH867" s="26"/>
      <c r="AI867" s="40"/>
      <c r="AJ867" s="26"/>
      <c r="AK867" s="26"/>
      <c r="AL867" s="35"/>
      <c r="AM867" s="35"/>
      <c r="AN867" s="35"/>
      <c r="AO867" s="35"/>
      <c r="AP867" s="35"/>
    </row>
    <row r="868" spans="1:42" x14ac:dyDescent="0.2">
      <c r="A868" s="27">
        <v>45226.430525497686</v>
      </c>
      <c r="B868" s="28" t="s">
        <v>37</v>
      </c>
      <c r="C868" s="41" t="s">
        <v>118</v>
      </c>
      <c r="D868" s="26" t="s">
        <v>36</v>
      </c>
      <c r="E868" s="26" t="s">
        <v>39</v>
      </c>
      <c r="F868" s="26" t="s">
        <v>36</v>
      </c>
      <c r="G868" s="26" t="s">
        <v>41</v>
      </c>
      <c r="H868" s="26" t="s">
        <v>3414</v>
      </c>
      <c r="I868" s="17">
        <f ca="1">IFERROR(__xludf.DUMMYFUNCTION("""COMPUTED_VALUE"""),45240)</f>
        <v>45240</v>
      </c>
      <c r="J868" s="29" t="s">
        <v>4455</v>
      </c>
      <c r="K868" s="26" t="s">
        <v>4456</v>
      </c>
      <c r="L868" s="30">
        <v>362519222</v>
      </c>
      <c r="M868" s="26" t="s">
        <v>633</v>
      </c>
      <c r="N868" s="26" t="s">
        <v>1384</v>
      </c>
      <c r="O868" s="26" t="s">
        <v>4457</v>
      </c>
      <c r="P868" s="26" t="s">
        <v>4458</v>
      </c>
      <c r="Q868" s="20">
        <v>5736</v>
      </c>
      <c r="R868" s="26" t="s">
        <v>70</v>
      </c>
      <c r="S868" s="31">
        <v>5636</v>
      </c>
      <c r="T868" s="32">
        <v>45225</v>
      </c>
      <c r="U868" s="31"/>
      <c r="V868" s="26"/>
      <c r="W868" s="33" t="s">
        <v>4459</v>
      </c>
      <c r="X868" s="26"/>
      <c r="Y868" s="22">
        <v>100</v>
      </c>
      <c r="Z868" s="26" t="s">
        <v>50</v>
      </c>
      <c r="AA868" s="19" t="s">
        <v>3454</v>
      </c>
      <c r="AB868" s="26" t="s">
        <v>104</v>
      </c>
      <c r="AC868" s="26" t="s">
        <v>53</v>
      </c>
      <c r="AD868" s="19" t="s">
        <v>138</v>
      </c>
      <c r="AE868" s="26" t="s">
        <v>72</v>
      </c>
      <c r="AF868" s="17">
        <v>45240</v>
      </c>
      <c r="AG868" s="26" t="s">
        <v>1362</v>
      </c>
      <c r="AH868" s="26"/>
      <c r="AI868" s="40"/>
      <c r="AJ868" s="26"/>
      <c r="AK868" s="26"/>
      <c r="AL868" s="35"/>
      <c r="AM868" s="35"/>
      <c r="AN868" s="35"/>
      <c r="AO868" s="35"/>
      <c r="AP868" s="35"/>
    </row>
    <row r="869" spans="1:42" x14ac:dyDescent="0.2">
      <c r="A869" s="27">
        <v>45228.823939571761</v>
      </c>
      <c r="B869" s="28" t="s">
        <v>37</v>
      </c>
      <c r="C869" s="41" t="s">
        <v>118</v>
      </c>
      <c r="D869" s="26" t="s">
        <v>36</v>
      </c>
      <c r="E869" s="26" t="s">
        <v>56</v>
      </c>
      <c r="F869" s="26" t="s">
        <v>91</v>
      </c>
      <c r="G869" s="26" t="s">
        <v>41</v>
      </c>
      <c r="H869" s="26" t="s">
        <v>3414</v>
      </c>
      <c r="I869" s="17">
        <f ca="1">IFERROR(__xludf.DUMMYFUNCTION("""COMPUTED_VALUE"""),45240)</f>
        <v>45240</v>
      </c>
      <c r="J869" s="29" t="s">
        <v>4460</v>
      </c>
      <c r="K869" s="26" t="s">
        <v>4461</v>
      </c>
      <c r="L869" s="30">
        <v>823916905</v>
      </c>
      <c r="M869" s="26" t="s">
        <v>910</v>
      </c>
      <c r="N869" s="26" t="s">
        <v>3221</v>
      </c>
      <c r="O869" s="26" t="s">
        <v>3754</v>
      </c>
      <c r="P869" s="26" t="s">
        <v>4462</v>
      </c>
      <c r="Q869" s="20">
        <v>9317</v>
      </c>
      <c r="R869" s="26" t="s">
        <v>36</v>
      </c>
      <c r="S869" s="31">
        <v>9317</v>
      </c>
      <c r="T869" s="32">
        <v>45228</v>
      </c>
      <c r="U869" s="31"/>
      <c r="V869" s="26"/>
      <c r="W869" s="33" t="s">
        <v>4463</v>
      </c>
      <c r="X869" s="26"/>
      <c r="Y869" s="22">
        <v>0</v>
      </c>
      <c r="Z869" s="26" t="s">
        <v>50</v>
      </c>
      <c r="AA869" s="19" t="s">
        <v>3454</v>
      </c>
      <c r="AB869" s="26" t="s">
        <v>104</v>
      </c>
      <c r="AC869" s="26" t="s">
        <v>53</v>
      </c>
      <c r="AD869" s="19" t="s">
        <v>138</v>
      </c>
      <c r="AE869" s="26"/>
      <c r="AF869" s="17">
        <v>45240</v>
      </c>
      <c r="AG869" s="26" t="s">
        <v>1362</v>
      </c>
      <c r="AH869" s="26"/>
      <c r="AI869" s="40"/>
      <c r="AJ869" s="26"/>
      <c r="AK869" s="26"/>
      <c r="AL869" s="35"/>
      <c r="AM869" s="35"/>
      <c r="AN869" s="35"/>
      <c r="AO869" s="35"/>
      <c r="AP869" s="35"/>
    </row>
    <row r="870" spans="1:42" x14ac:dyDescent="0.2">
      <c r="A870" s="27">
        <v>45228.950691678241</v>
      </c>
      <c r="B870" s="28" t="s">
        <v>37</v>
      </c>
      <c r="C870" s="41" t="s">
        <v>118</v>
      </c>
      <c r="D870" s="26" t="s">
        <v>36</v>
      </c>
      <c r="E870" s="26" t="s">
        <v>106</v>
      </c>
      <c r="F870" s="26" t="s">
        <v>36</v>
      </c>
      <c r="G870" s="26" t="s">
        <v>108</v>
      </c>
      <c r="H870" s="26" t="s">
        <v>2128</v>
      </c>
      <c r="I870" s="17">
        <f ca="1">IFERROR(__xludf.DUMMYFUNCTION("""COMPUTED_VALUE"""),45237)</f>
        <v>45237</v>
      </c>
      <c r="J870" s="29" t="s">
        <v>4464</v>
      </c>
      <c r="K870" s="26" t="s">
        <v>4465</v>
      </c>
      <c r="L870" s="30">
        <v>985459891</v>
      </c>
      <c r="M870" s="26" t="s">
        <v>112</v>
      </c>
      <c r="N870" s="26" t="s">
        <v>113</v>
      </c>
      <c r="O870" s="26" t="s">
        <v>4466</v>
      </c>
      <c r="P870" s="26" t="s">
        <v>4467</v>
      </c>
      <c r="Q870" s="20">
        <v>3768</v>
      </c>
      <c r="R870" s="26" t="s">
        <v>36</v>
      </c>
      <c r="S870" s="31">
        <v>3768</v>
      </c>
      <c r="T870" s="32">
        <v>45228</v>
      </c>
      <c r="U870" s="31"/>
      <c r="V870" s="26"/>
      <c r="W870" s="33" t="s">
        <v>4468</v>
      </c>
      <c r="X870" s="26"/>
      <c r="Y870" s="22">
        <v>0</v>
      </c>
      <c r="Z870" s="26" t="s">
        <v>50</v>
      </c>
      <c r="AA870" s="19" t="s">
        <v>3454</v>
      </c>
      <c r="AB870" s="26" t="s">
        <v>128</v>
      </c>
      <c r="AC870" s="26" t="s">
        <v>53</v>
      </c>
      <c r="AD870" s="19" t="s">
        <v>54</v>
      </c>
      <c r="AE870" s="26">
        <v>480</v>
      </c>
      <c r="AF870" s="43">
        <v>45230</v>
      </c>
      <c r="AG870" s="26"/>
      <c r="AH870" s="26"/>
      <c r="AI870" s="40"/>
      <c r="AJ870" s="26"/>
      <c r="AK870" s="26"/>
      <c r="AL870" s="35"/>
      <c r="AM870" s="35"/>
      <c r="AN870" s="35"/>
      <c r="AO870" s="35"/>
      <c r="AP870" s="35"/>
    </row>
    <row r="871" spans="1:42" x14ac:dyDescent="0.2">
      <c r="A871" s="27">
        <v>45229.334008055557</v>
      </c>
      <c r="B871" s="28" t="s">
        <v>37</v>
      </c>
      <c r="C871" s="41" t="s">
        <v>118</v>
      </c>
      <c r="D871" s="26" t="s">
        <v>36</v>
      </c>
      <c r="E871" s="26" t="s">
        <v>219</v>
      </c>
      <c r="F871" s="26" t="s">
        <v>4362</v>
      </c>
      <c r="G871" s="26" t="s">
        <v>221</v>
      </c>
      <c r="H871" s="26" t="s">
        <v>4469</v>
      </c>
      <c r="I871" s="17">
        <f ca="1">IFERROR(__xludf.DUMMYFUNCTION("""COMPUTED_VALUE"""),45358)</f>
        <v>45358</v>
      </c>
      <c r="J871" s="29" t="s">
        <v>3965</v>
      </c>
      <c r="K871" s="26" t="s">
        <v>4470</v>
      </c>
      <c r="L871" s="30">
        <v>342687657</v>
      </c>
      <c r="M871" s="26" t="s">
        <v>292</v>
      </c>
      <c r="N871" s="26" t="s">
        <v>3967</v>
      </c>
      <c r="O871" s="26" t="s">
        <v>3968</v>
      </c>
      <c r="P871" s="42" t="s">
        <v>4471</v>
      </c>
      <c r="Q871" s="20">
        <v>3968</v>
      </c>
      <c r="R871" s="26" t="s">
        <v>36</v>
      </c>
      <c r="S871" s="31">
        <v>3581</v>
      </c>
      <c r="T871" s="32">
        <v>45228</v>
      </c>
      <c r="U871" s="31"/>
      <c r="V871" s="16" t="s">
        <v>4472</v>
      </c>
      <c r="W871" s="33" t="s">
        <v>4473</v>
      </c>
      <c r="X871" s="26"/>
      <c r="Y871" s="22">
        <v>387</v>
      </c>
      <c r="Z871" s="26" t="s">
        <v>50</v>
      </c>
      <c r="AA871" s="19" t="s">
        <v>3454</v>
      </c>
      <c r="AB871" s="26" t="s">
        <v>104</v>
      </c>
      <c r="AC871" s="26" t="s">
        <v>53</v>
      </c>
      <c r="AD871" s="19" t="s">
        <v>138</v>
      </c>
      <c r="AE871" s="26">
        <v>0</v>
      </c>
      <c r="AF871" s="17">
        <v>45358</v>
      </c>
      <c r="AG871" s="26"/>
      <c r="AH871" s="26"/>
      <c r="AI871" s="40"/>
      <c r="AJ871" s="26"/>
      <c r="AK871" s="26"/>
      <c r="AL871" s="35"/>
      <c r="AM871" s="35"/>
      <c r="AN871" s="35"/>
      <c r="AO871" s="35"/>
      <c r="AP871" s="35"/>
    </row>
    <row r="872" spans="1:42" x14ac:dyDescent="0.2">
      <c r="A872" s="27">
        <v>45229.545118553244</v>
      </c>
      <c r="B872" s="28" t="s">
        <v>37</v>
      </c>
      <c r="C872" s="41" t="s">
        <v>118</v>
      </c>
      <c r="D872" s="26" t="s">
        <v>36</v>
      </c>
      <c r="E872" s="26" t="s">
        <v>77</v>
      </c>
      <c r="F872" s="26" t="s">
        <v>36</v>
      </c>
      <c r="G872" s="26" t="s">
        <v>41</v>
      </c>
      <c r="H872" s="26" t="s">
        <v>4409</v>
      </c>
      <c r="I872" s="17">
        <f ca="1">IFERROR(__xludf.DUMMYFUNCTION("""COMPUTED_VALUE"""),45236)</f>
        <v>45236</v>
      </c>
      <c r="J872" s="29" t="s">
        <v>4474</v>
      </c>
      <c r="K872" s="26" t="s">
        <v>4475</v>
      </c>
      <c r="L872" s="30">
        <v>346633240</v>
      </c>
      <c r="M872" s="26" t="s">
        <v>910</v>
      </c>
      <c r="N872" s="26" t="s">
        <v>3525</v>
      </c>
      <c r="O872" s="26" t="s">
        <v>4476</v>
      </c>
      <c r="P872" s="26" t="s">
        <v>4477</v>
      </c>
      <c r="Q872" s="20">
        <v>1968</v>
      </c>
      <c r="R872" s="26" t="s">
        <v>36</v>
      </c>
      <c r="S872" s="31">
        <v>1968</v>
      </c>
      <c r="T872" s="32">
        <v>45229</v>
      </c>
      <c r="U872" s="31"/>
      <c r="V872" s="26"/>
      <c r="W872" s="33" t="s">
        <v>4478</v>
      </c>
      <c r="X872" s="26"/>
      <c r="Y872" s="22">
        <v>0</v>
      </c>
      <c r="Z872" s="26" t="s">
        <v>50</v>
      </c>
      <c r="AA872" s="19" t="s">
        <v>3454</v>
      </c>
      <c r="AB872" s="26" t="s">
        <v>104</v>
      </c>
      <c r="AC872" s="26" t="s">
        <v>53</v>
      </c>
      <c r="AD872" s="19" t="s">
        <v>54</v>
      </c>
      <c r="AE872" s="26"/>
      <c r="AF872" s="43">
        <v>45230</v>
      </c>
      <c r="AG872" s="26"/>
      <c r="AH872" s="26"/>
      <c r="AI872" s="40"/>
      <c r="AJ872" s="26"/>
      <c r="AK872" s="26"/>
      <c r="AL872" s="35"/>
      <c r="AM872" s="35"/>
      <c r="AN872" s="35"/>
      <c r="AO872" s="35"/>
      <c r="AP872" s="35"/>
    </row>
    <row r="873" spans="1:42" x14ac:dyDescent="0.2">
      <c r="A873" s="27">
        <v>45229.939128912039</v>
      </c>
      <c r="B873" s="28" t="s">
        <v>37</v>
      </c>
      <c r="C873" s="41" t="s">
        <v>118</v>
      </c>
      <c r="D873" s="26" t="s">
        <v>36</v>
      </c>
      <c r="E873" s="26" t="s">
        <v>39</v>
      </c>
      <c r="F873" s="26" t="s">
        <v>40</v>
      </c>
      <c r="G873" s="26" t="s">
        <v>41</v>
      </c>
      <c r="H873" s="26" t="s">
        <v>3414</v>
      </c>
      <c r="I873" s="17">
        <f ca="1">IFERROR(__xludf.DUMMYFUNCTION("""COMPUTED_VALUE"""),45240)</f>
        <v>45240</v>
      </c>
      <c r="J873" s="29" t="s">
        <v>4479</v>
      </c>
      <c r="K873" s="26" t="s">
        <v>4480</v>
      </c>
      <c r="L873" s="30">
        <v>337110105</v>
      </c>
      <c r="M873" s="26" t="s">
        <v>59</v>
      </c>
      <c r="N873" s="26" t="s">
        <v>403</v>
      </c>
      <c r="O873" s="26" t="s">
        <v>4481</v>
      </c>
      <c r="P873" s="26" t="s">
        <v>4482</v>
      </c>
      <c r="Q873" s="20">
        <v>5736</v>
      </c>
      <c r="R873" s="26" t="s">
        <v>70</v>
      </c>
      <c r="S873" s="31">
        <v>5636</v>
      </c>
      <c r="T873" s="32">
        <v>45229</v>
      </c>
      <c r="U873" s="31"/>
      <c r="V873" s="26"/>
      <c r="W873" s="33" t="s">
        <v>4483</v>
      </c>
      <c r="X873" s="26"/>
      <c r="Y873" s="22">
        <v>100</v>
      </c>
      <c r="Z873" s="26" t="s">
        <v>50</v>
      </c>
      <c r="AA873" s="19" t="s">
        <v>3454</v>
      </c>
      <c r="AB873" s="26" t="s">
        <v>154</v>
      </c>
      <c r="AC873" s="26" t="s">
        <v>53</v>
      </c>
      <c r="AD873" s="19" t="s">
        <v>138</v>
      </c>
      <c r="AE873" s="26" t="s">
        <v>72</v>
      </c>
      <c r="AF873" s="17">
        <v>45240</v>
      </c>
      <c r="AG873" s="26" t="s">
        <v>1362</v>
      </c>
      <c r="AH873" s="26"/>
      <c r="AI873" s="40"/>
      <c r="AJ873" s="26"/>
      <c r="AK873" s="26"/>
      <c r="AL873" s="35"/>
      <c r="AM873" s="35"/>
      <c r="AN873" s="35"/>
      <c r="AO873" s="35"/>
      <c r="AP873" s="35"/>
    </row>
    <row r="874" spans="1:42" x14ac:dyDescent="0.2">
      <c r="A874" s="27">
        <v>45229.943609421302</v>
      </c>
      <c r="B874" s="28" t="s">
        <v>37</v>
      </c>
      <c r="C874" s="41" t="s">
        <v>118</v>
      </c>
      <c r="D874" s="26" t="s">
        <v>36</v>
      </c>
      <c r="E874" s="26" t="s">
        <v>39</v>
      </c>
      <c r="F874" s="26" t="s">
        <v>40</v>
      </c>
      <c r="G874" s="26" t="s">
        <v>41</v>
      </c>
      <c r="H874" s="26" t="s">
        <v>3414</v>
      </c>
      <c r="I874" s="17">
        <f ca="1">IFERROR(__xludf.DUMMYFUNCTION("""COMPUTED_VALUE"""),45240)</f>
        <v>45240</v>
      </c>
      <c r="J874" s="29" t="s">
        <v>4484</v>
      </c>
      <c r="K874" s="26" t="s">
        <v>4485</v>
      </c>
      <c r="L874" s="30">
        <v>373701208</v>
      </c>
      <c r="M874" s="26" t="s">
        <v>59</v>
      </c>
      <c r="N874" s="26" t="s">
        <v>403</v>
      </c>
      <c r="O874" s="26" t="s">
        <v>4486</v>
      </c>
      <c r="P874" s="26" t="s">
        <v>4482</v>
      </c>
      <c r="Q874" s="20">
        <v>5736</v>
      </c>
      <c r="R874" s="26" t="s">
        <v>70</v>
      </c>
      <c r="S874" s="31">
        <v>5636</v>
      </c>
      <c r="T874" s="32">
        <v>45229</v>
      </c>
      <c r="U874" s="31"/>
      <c r="V874" s="26"/>
      <c r="W874" s="33" t="s">
        <v>4487</v>
      </c>
      <c r="X874" s="26"/>
      <c r="Y874" s="22">
        <v>100</v>
      </c>
      <c r="Z874" s="26" t="s">
        <v>50</v>
      </c>
      <c r="AA874" s="19" t="s">
        <v>3454</v>
      </c>
      <c r="AB874" s="26" t="s">
        <v>154</v>
      </c>
      <c r="AC874" s="26" t="s">
        <v>53</v>
      </c>
      <c r="AD874" s="19" t="s">
        <v>138</v>
      </c>
      <c r="AE874" s="26" t="s">
        <v>4488</v>
      </c>
      <c r="AF874" s="17">
        <v>45240</v>
      </c>
      <c r="AG874" s="26" t="s">
        <v>1362</v>
      </c>
      <c r="AH874" s="26"/>
      <c r="AI874" s="40"/>
      <c r="AJ874" s="26"/>
      <c r="AK874" s="26"/>
      <c r="AL874" s="35"/>
      <c r="AM874" s="35"/>
      <c r="AN874" s="35"/>
      <c r="AO874" s="35"/>
      <c r="AP874" s="35"/>
    </row>
    <row r="875" spans="1:42" x14ac:dyDescent="0.2">
      <c r="A875" s="27">
        <v>45229.946724756941</v>
      </c>
      <c r="B875" s="28" t="s">
        <v>37</v>
      </c>
      <c r="C875" s="41" t="s">
        <v>118</v>
      </c>
      <c r="D875" s="26" t="s">
        <v>36</v>
      </c>
      <c r="E875" s="26" t="s">
        <v>56</v>
      </c>
      <c r="F875" s="26" t="s">
        <v>40</v>
      </c>
      <c r="G875" s="26" t="s">
        <v>41</v>
      </c>
      <c r="H875" s="26" t="s">
        <v>4489</v>
      </c>
      <c r="I875" s="17">
        <f ca="1">IFERROR(__xludf.DUMMYFUNCTION("""COMPUTED_VALUE"""),45309)</f>
        <v>45309</v>
      </c>
      <c r="J875" s="29" t="s">
        <v>4490</v>
      </c>
      <c r="K875" s="26" t="s">
        <v>4491</v>
      </c>
      <c r="L875" s="30">
        <v>588688885</v>
      </c>
      <c r="M875" s="26" t="s">
        <v>59</v>
      </c>
      <c r="N875" s="26" t="s">
        <v>4299</v>
      </c>
      <c r="O875" s="26" t="s">
        <v>4492</v>
      </c>
      <c r="P875" s="26" t="s">
        <v>4493</v>
      </c>
      <c r="Q875" s="20">
        <v>9317</v>
      </c>
      <c r="R875" s="26" t="s">
        <v>36</v>
      </c>
      <c r="S875" s="31">
        <v>9317</v>
      </c>
      <c r="T875" s="32">
        <v>45225</v>
      </c>
      <c r="U875" s="31"/>
      <c r="V875" s="26"/>
      <c r="W875" s="33" t="s">
        <v>4494</v>
      </c>
      <c r="X875" s="26"/>
      <c r="Y875" s="22">
        <v>0</v>
      </c>
      <c r="Z875" s="26" t="s">
        <v>50</v>
      </c>
      <c r="AA875" s="19" t="s">
        <v>3454</v>
      </c>
      <c r="AB875" s="26" t="s">
        <v>154</v>
      </c>
      <c r="AC875" s="26" t="s">
        <v>53</v>
      </c>
      <c r="AD875" s="19" t="s">
        <v>138</v>
      </c>
      <c r="AE875" s="26" t="s">
        <v>72</v>
      </c>
      <c r="AF875" s="17">
        <v>45309</v>
      </c>
      <c r="AG875" s="26" t="s">
        <v>1362</v>
      </c>
      <c r="AH875" s="26"/>
      <c r="AI875" s="40"/>
      <c r="AJ875" s="26"/>
      <c r="AK875" s="26"/>
      <c r="AL875" s="35"/>
      <c r="AM875" s="35"/>
      <c r="AN875" s="35"/>
      <c r="AO875" s="35"/>
      <c r="AP875" s="35"/>
    </row>
    <row r="876" spans="1:42" x14ac:dyDescent="0.2">
      <c r="A876" s="27">
        <v>45230.625541898145</v>
      </c>
      <c r="B876" s="28" t="s">
        <v>37</v>
      </c>
      <c r="C876" s="41" t="s">
        <v>118</v>
      </c>
      <c r="D876" s="26" t="s">
        <v>36</v>
      </c>
      <c r="E876" s="26" t="s">
        <v>106</v>
      </c>
      <c r="F876" s="26" t="s">
        <v>1861</v>
      </c>
      <c r="G876" s="26" t="s">
        <v>108</v>
      </c>
      <c r="H876" s="26" t="s">
        <v>4328</v>
      </c>
      <c r="I876" s="17">
        <f ca="1">IFERROR(__xludf.DUMMYFUNCTION("""COMPUTED_VALUE"""),45236)</f>
        <v>45236</v>
      </c>
      <c r="J876" s="29" t="s">
        <v>2686</v>
      </c>
      <c r="K876" s="26" t="s">
        <v>2687</v>
      </c>
      <c r="L876" s="30">
        <v>384105194</v>
      </c>
      <c r="M876" s="26" t="s">
        <v>112</v>
      </c>
      <c r="N876" s="26" t="s">
        <v>193</v>
      </c>
      <c r="O876" s="26" t="s">
        <v>36</v>
      </c>
      <c r="P876" s="26" t="s">
        <v>2941</v>
      </c>
      <c r="Q876" s="20">
        <v>3768</v>
      </c>
      <c r="R876" s="26" t="s">
        <v>36</v>
      </c>
      <c r="S876" s="31">
        <v>3668</v>
      </c>
      <c r="T876" s="32">
        <v>45230</v>
      </c>
      <c r="U876" s="31"/>
      <c r="V876" s="26"/>
      <c r="W876" s="33" t="s">
        <v>4495</v>
      </c>
      <c r="X876" s="26"/>
      <c r="Y876" s="22">
        <v>100</v>
      </c>
      <c r="Z876" s="26" t="s">
        <v>50</v>
      </c>
      <c r="AA876" s="19" t="s">
        <v>3454</v>
      </c>
      <c r="AB876" s="26" t="s">
        <v>146</v>
      </c>
      <c r="AC876" s="26" t="s">
        <v>53</v>
      </c>
      <c r="AD876" s="19" t="s">
        <v>138</v>
      </c>
      <c r="AE876" s="26" t="s">
        <v>1861</v>
      </c>
      <c r="AF876" s="17">
        <v>45236</v>
      </c>
      <c r="AG876" s="26" t="s">
        <v>1362</v>
      </c>
      <c r="AH876" s="26"/>
      <c r="AI876" s="40"/>
      <c r="AJ876" s="26"/>
      <c r="AK876" s="26"/>
      <c r="AL876" s="35"/>
      <c r="AM876" s="35"/>
      <c r="AN876" s="35"/>
      <c r="AO876" s="35"/>
      <c r="AP876" s="35"/>
    </row>
    <row r="877" spans="1:42" x14ac:dyDescent="0.2">
      <c r="A877" s="27">
        <v>45230.947004120375</v>
      </c>
      <c r="B877" s="28" t="s">
        <v>37</v>
      </c>
      <c r="C877" s="41" t="s">
        <v>118</v>
      </c>
      <c r="D877" s="26" t="s">
        <v>36</v>
      </c>
      <c r="E877" s="26" t="s">
        <v>39</v>
      </c>
      <c r="F877" s="26" t="s">
        <v>40</v>
      </c>
      <c r="G877" s="26" t="s">
        <v>41</v>
      </c>
      <c r="H877" s="26" t="s">
        <v>4133</v>
      </c>
      <c r="I877" s="17">
        <f ca="1">IFERROR(__xludf.DUMMYFUNCTION("""COMPUTED_VALUE"""),45231)</f>
        <v>45231</v>
      </c>
      <c r="J877" s="29" t="s">
        <v>4496</v>
      </c>
      <c r="K877" s="26" t="s">
        <v>4497</v>
      </c>
      <c r="L877" s="30">
        <v>912565839</v>
      </c>
      <c r="M877" s="26" t="s">
        <v>59</v>
      </c>
      <c r="N877" s="26" t="s">
        <v>68</v>
      </c>
      <c r="O877" s="26" t="s">
        <v>4498</v>
      </c>
      <c r="P877" s="26" t="s">
        <v>4482</v>
      </c>
      <c r="Q877" s="20">
        <v>5736</v>
      </c>
      <c r="R877" s="26" t="s">
        <v>36</v>
      </c>
      <c r="S877" s="31">
        <v>5736</v>
      </c>
      <c r="T877" s="32">
        <v>45230</v>
      </c>
      <c r="U877" s="31"/>
      <c r="V877" s="26"/>
      <c r="W877" s="26" t="s">
        <v>4499</v>
      </c>
      <c r="X877" s="26"/>
      <c r="Y877" s="22">
        <v>0</v>
      </c>
      <c r="Z877" s="26" t="s">
        <v>50</v>
      </c>
      <c r="AA877" s="19" t="s">
        <v>3454</v>
      </c>
      <c r="AB877" s="26" t="s">
        <v>154</v>
      </c>
      <c r="AC877" s="26" t="s">
        <v>53</v>
      </c>
      <c r="AD877" s="19" t="s">
        <v>138</v>
      </c>
      <c r="AE877" s="26" t="s">
        <v>4500</v>
      </c>
      <c r="AF877" s="17">
        <v>45231</v>
      </c>
      <c r="AG877" s="26" t="s">
        <v>1362</v>
      </c>
      <c r="AH877" s="26"/>
      <c r="AI877" s="40"/>
      <c r="AJ877" s="26"/>
      <c r="AK877" s="26"/>
      <c r="AL877" s="35"/>
      <c r="AM877" s="35"/>
      <c r="AN877" s="35"/>
      <c r="AO877" s="35"/>
      <c r="AP877" s="35"/>
    </row>
    <row r="878" spans="1:42" x14ac:dyDescent="0.2">
      <c r="A878" s="27">
        <v>45230.983697303236</v>
      </c>
      <c r="B878" s="28" t="s">
        <v>37</v>
      </c>
      <c r="C878" s="41" t="s">
        <v>118</v>
      </c>
      <c r="D878" s="26" t="s">
        <v>36</v>
      </c>
      <c r="E878" s="26" t="s">
        <v>139</v>
      </c>
      <c r="F878" s="26" t="s">
        <v>36</v>
      </c>
      <c r="G878" s="26" t="s">
        <v>41</v>
      </c>
      <c r="H878" s="26" t="s">
        <v>4129</v>
      </c>
      <c r="I878" s="17">
        <f ca="1">IFERROR(__xludf.DUMMYFUNCTION("""COMPUTED_VALUE"""),45232)</f>
        <v>45232</v>
      </c>
      <c r="J878" s="29" t="s">
        <v>4501</v>
      </c>
      <c r="K878" s="26" t="s">
        <v>4502</v>
      </c>
      <c r="L878" s="30">
        <v>911928302</v>
      </c>
      <c r="M878" s="26" t="s">
        <v>3498</v>
      </c>
      <c r="N878" s="26" t="s">
        <v>310</v>
      </c>
      <c r="O878" s="26" t="s">
        <v>4503</v>
      </c>
      <c r="P878" s="26" t="s">
        <v>4504</v>
      </c>
      <c r="Q878" s="20">
        <v>15936</v>
      </c>
      <c r="R878" s="26" t="s">
        <v>36</v>
      </c>
      <c r="S878" s="31">
        <v>15936</v>
      </c>
      <c r="T878" s="32">
        <v>45228</v>
      </c>
      <c r="U878" s="31"/>
      <c r="V878" s="26"/>
      <c r="W878" s="33" t="s">
        <v>4505</v>
      </c>
      <c r="X878" s="26"/>
      <c r="Y878" s="22">
        <v>0</v>
      </c>
      <c r="Z878" s="26" t="s">
        <v>50</v>
      </c>
      <c r="AA878" s="19" t="s">
        <v>3454</v>
      </c>
      <c r="AB878" s="26" t="s">
        <v>104</v>
      </c>
      <c r="AC878" s="26" t="s">
        <v>53</v>
      </c>
      <c r="AD878" s="19" t="s">
        <v>138</v>
      </c>
      <c r="AE878" s="26">
        <v>0</v>
      </c>
      <c r="AF878" s="17">
        <v>45232</v>
      </c>
      <c r="AG878" s="26" t="s">
        <v>1362</v>
      </c>
      <c r="AH878" s="26"/>
      <c r="AI878" s="40"/>
      <c r="AJ878" s="26"/>
      <c r="AK878" s="26"/>
      <c r="AL878" s="35"/>
      <c r="AM878" s="35"/>
      <c r="AN878" s="35"/>
      <c r="AO878" s="35"/>
      <c r="AP878" s="35"/>
    </row>
    <row r="879" spans="1:42" x14ac:dyDescent="0.2">
      <c r="A879" s="27">
        <v>45230.984245069441</v>
      </c>
      <c r="B879" s="28" t="s">
        <v>37</v>
      </c>
      <c r="C879" s="41" t="s">
        <v>118</v>
      </c>
      <c r="D879" s="26" t="s">
        <v>36</v>
      </c>
      <c r="E879" s="26" t="s">
        <v>139</v>
      </c>
      <c r="F879" s="26" t="s">
        <v>91</v>
      </c>
      <c r="G879" s="26" t="s">
        <v>41</v>
      </c>
      <c r="H879" s="26" t="s">
        <v>4129</v>
      </c>
      <c r="I879" s="17">
        <f ca="1">IFERROR(__xludf.DUMMYFUNCTION("""COMPUTED_VALUE"""),45232)</f>
        <v>45232</v>
      </c>
      <c r="J879" s="29" t="s">
        <v>4506</v>
      </c>
      <c r="K879" s="26" t="s">
        <v>4507</v>
      </c>
      <c r="L879" s="30">
        <v>964298654</v>
      </c>
      <c r="M879" s="26" t="s">
        <v>123</v>
      </c>
      <c r="N879" s="26" t="s">
        <v>186</v>
      </c>
      <c r="O879" s="26" t="s">
        <v>4503</v>
      </c>
      <c r="P879" s="26" t="s">
        <v>4508</v>
      </c>
      <c r="Q879" s="20">
        <v>15936</v>
      </c>
      <c r="R879" s="26" t="s">
        <v>36</v>
      </c>
      <c r="S879" s="31">
        <v>15936</v>
      </c>
      <c r="T879" s="32">
        <v>45228</v>
      </c>
      <c r="U879" s="31"/>
      <c r="V879" s="26"/>
      <c r="W879" s="33" t="s">
        <v>4509</v>
      </c>
      <c r="X879" s="26"/>
      <c r="Y879" s="22">
        <v>0</v>
      </c>
      <c r="Z879" s="26" t="s">
        <v>50</v>
      </c>
      <c r="AA879" s="19" t="s">
        <v>3454</v>
      </c>
      <c r="AB879" s="26" t="s">
        <v>104</v>
      </c>
      <c r="AC879" s="26" t="s">
        <v>53</v>
      </c>
      <c r="AD879" s="19" t="s">
        <v>138</v>
      </c>
      <c r="AE879" s="26"/>
      <c r="AF879" s="17">
        <v>45232</v>
      </c>
      <c r="AG879" s="26" t="s">
        <v>1362</v>
      </c>
      <c r="AH879" s="26"/>
      <c r="AI879" s="40"/>
      <c r="AJ879" s="26"/>
      <c r="AK879" s="26"/>
      <c r="AL879" s="35"/>
      <c r="AM879" s="35"/>
      <c r="AN879" s="35"/>
      <c r="AO879" s="35"/>
      <c r="AP879" s="35"/>
    </row>
    <row r="880" spans="1:42" x14ac:dyDescent="0.2">
      <c r="A880" s="27">
        <v>45230.986586273153</v>
      </c>
      <c r="B880" s="28" t="s">
        <v>37</v>
      </c>
      <c r="C880" s="41" t="s">
        <v>118</v>
      </c>
      <c r="D880" s="26" t="s">
        <v>36</v>
      </c>
      <c r="E880" s="26" t="s">
        <v>139</v>
      </c>
      <c r="F880" s="26" t="s">
        <v>36</v>
      </c>
      <c r="G880" s="26" t="s">
        <v>41</v>
      </c>
      <c r="H880" s="26" t="s">
        <v>4409</v>
      </c>
      <c r="I880" s="17">
        <f ca="1">IFERROR(__xludf.DUMMYFUNCTION("""COMPUTED_VALUE"""),45236)</f>
        <v>45236</v>
      </c>
      <c r="J880" s="29" t="s">
        <v>4510</v>
      </c>
      <c r="K880" s="26" t="s">
        <v>4511</v>
      </c>
      <c r="L880" s="30">
        <v>988467310</v>
      </c>
      <c r="M880" s="26" t="s">
        <v>123</v>
      </c>
      <c r="N880" s="26" t="s">
        <v>186</v>
      </c>
      <c r="O880" s="26" t="s">
        <v>4503</v>
      </c>
      <c r="P880" s="26" t="s">
        <v>4512</v>
      </c>
      <c r="Q880" s="20">
        <v>15936</v>
      </c>
      <c r="R880" s="26" t="s">
        <v>36</v>
      </c>
      <c r="S880" s="31">
        <v>15936</v>
      </c>
      <c r="T880" s="32">
        <v>45226</v>
      </c>
      <c r="U880" s="31"/>
      <c r="V880" s="26"/>
      <c r="W880" s="33" t="s">
        <v>4513</v>
      </c>
      <c r="X880" s="26"/>
      <c r="Y880" s="22">
        <v>0</v>
      </c>
      <c r="Z880" s="26" t="s">
        <v>50</v>
      </c>
      <c r="AA880" s="19" t="s">
        <v>3454</v>
      </c>
      <c r="AB880" s="26" t="s">
        <v>104</v>
      </c>
      <c r="AC880" s="26" t="s">
        <v>53</v>
      </c>
      <c r="AD880" s="19" t="s">
        <v>138</v>
      </c>
      <c r="AE880" s="26"/>
      <c r="AF880" s="17">
        <v>45231</v>
      </c>
      <c r="AG880" s="26"/>
      <c r="AH880" s="26"/>
      <c r="AI880" s="40"/>
      <c r="AJ880" s="26"/>
      <c r="AK880" s="26"/>
      <c r="AL880" s="35"/>
      <c r="AM880" s="35"/>
      <c r="AN880" s="35"/>
      <c r="AO880" s="35"/>
      <c r="AP880" s="35"/>
    </row>
    <row r="881" spans="1:42" x14ac:dyDescent="0.2">
      <c r="A881" s="27">
        <v>45230.988881145837</v>
      </c>
      <c r="B881" s="28" t="s">
        <v>37</v>
      </c>
      <c r="C881" s="41" t="s">
        <v>118</v>
      </c>
      <c r="D881" s="26" t="s">
        <v>36</v>
      </c>
      <c r="E881" s="26" t="s">
        <v>77</v>
      </c>
      <c r="F881" s="26" t="s">
        <v>36</v>
      </c>
      <c r="G881" s="26" t="s">
        <v>41</v>
      </c>
      <c r="H881" s="26" t="s">
        <v>4409</v>
      </c>
      <c r="I881" s="17">
        <f ca="1">IFERROR(__xludf.DUMMYFUNCTION("""COMPUTED_VALUE"""),45236)</f>
        <v>45236</v>
      </c>
      <c r="J881" s="29" t="s">
        <v>4514</v>
      </c>
      <c r="K881" s="26" t="s">
        <v>4515</v>
      </c>
      <c r="L881" s="30">
        <v>399613705</v>
      </c>
      <c r="M881" s="26" t="s">
        <v>123</v>
      </c>
      <c r="N881" s="26" t="s">
        <v>850</v>
      </c>
      <c r="O881" s="26" t="s">
        <v>2737</v>
      </c>
      <c r="P881" s="26" t="s">
        <v>4516</v>
      </c>
      <c r="Q881" s="20">
        <v>1968</v>
      </c>
      <c r="R881" s="26" t="s">
        <v>36</v>
      </c>
      <c r="S881" s="31">
        <v>100</v>
      </c>
      <c r="T881" s="32">
        <v>45214</v>
      </c>
      <c r="U881" s="31">
        <v>1868</v>
      </c>
      <c r="V881" s="32">
        <v>45228</v>
      </c>
      <c r="W881" s="26" t="s">
        <v>4517</v>
      </c>
      <c r="X881" s="26"/>
      <c r="Y881" s="22">
        <v>0</v>
      </c>
      <c r="Z881" s="26" t="s">
        <v>50</v>
      </c>
      <c r="AA881" s="19" t="s">
        <v>3454</v>
      </c>
      <c r="AB881" s="26" t="s">
        <v>104</v>
      </c>
      <c r="AC881" s="26" t="s">
        <v>53</v>
      </c>
      <c r="AD881" s="19" t="s">
        <v>138</v>
      </c>
      <c r="AE881" s="26"/>
      <c r="AF881" s="17">
        <v>45231</v>
      </c>
      <c r="AG881" s="26"/>
      <c r="AH881" s="26"/>
      <c r="AI881" s="40"/>
      <c r="AJ881" s="26"/>
      <c r="AK881" s="26"/>
      <c r="AL881" s="35"/>
      <c r="AM881" s="35"/>
      <c r="AN881" s="35"/>
      <c r="AO881" s="35"/>
      <c r="AP881" s="35"/>
    </row>
    <row r="882" spans="1:42" x14ac:dyDescent="0.2">
      <c r="A882" s="27">
        <v>45230.990422314819</v>
      </c>
      <c r="B882" s="28" t="s">
        <v>37</v>
      </c>
      <c r="C882" s="41" t="s">
        <v>118</v>
      </c>
      <c r="D882" s="26" t="s">
        <v>36</v>
      </c>
      <c r="E882" s="26" t="s">
        <v>77</v>
      </c>
      <c r="F882" s="26" t="s">
        <v>36</v>
      </c>
      <c r="G882" s="26" t="s">
        <v>41</v>
      </c>
      <c r="H882" s="26" t="s">
        <v>4518</v>
      </c>
      <c r="I882" s="17" t="str">
        <f ca="1">IFERROR(__xludf.DUMMYFUNCTION("""COMPUTED_VALUE""")," ")</f>
        <v xml:space="preserve"> </v>
      </c>
      <c r="J882" s="29" t="s">
        <v>4519</v>
      </c>
      <c r="K882" s="26" t="s">
        <v>4520</v>
      </c>
      <c r="L882" s="30">
        <v>914582917</v>
      </c>
      <c r="M882" s="26" t="s">
        <v>123</v>
      </c>
      <c r="N882" s="26" t="s">
        <v>4521</v>
      </c>
      <c r="O882" s="26" t="s">
        <v>4503</v>
      </c>
      <c r="P882" s="26" t="s">
        <v>4522</v>
      </c>
      <c r="Q882" s="20">
        <v>1968</v>
      </c>
      <c r="R882" s="26" t="s">
        <v>36</v>
      </c>
      <c r="S882" s="31">
        <v>1968</v>
      </c>
      <c r="T882" s="32">
        <v>45230</v>
      </c>
      <c r="U882" s="31"/>
      <c r="V882" s="26"/>
      <c r="W882" s="33" t="s">
        <v>4523</v>
      </c>
      <c r="X882" s="26"/>
      <c r="Y882" s="22">
        <v>0</v>
      </c>
      <c r="Z882" s="26" t="s">
        <v>50</v>
      </c>
      <c r="AA882" s="19" t="s">
        <v>3454</v>
      </c>
      <c r="AB882" s="26" t="s">
        <v>104</v>
      </c>
      <c r="AC882" s="26" t="s">
        <v>53</v>
      </c>
      <c r="AD882" s="19" t="s">
        <v>138</v>
      </c>
      <c r="AE882" s="26"/>
      <c r="AF882" s="17">
        <v>45231</v>
      </c>
      <c r="AG882" s="26" t="s">
        <v>4524</v>
      </c>
      <c r="AH882" s="26"/>
      <c r="AI882" s="40"/>
      <c r="AJ882" s="26"/>
      <c r="AK882" s="26"/>
      <c r="AL882" s="35"/>
      <c r="AM882" s="35"/>
      <c r="AN882" s="35"/>
      <c r="AO882" s="35"/>
      <c r="AP882" s="35"/>
    </row>
    <row r="883" spans="1:42" x14ac:dyDescent="0.2">
      <c r="A883" s="27">
        <v>45230.990772233796</v>
      </c>
      <c r="B883" s="28" t="s">
        <v>37</v>
      </c>
      <c r="C883" s="41" t="s">
        <v>118</v>
      </c>
      <c r="D883" s="26" t="s">
        <v>36</v>
      </c>
      <c r="E883" s="26" t="s">
        <v>106</v>
      </c>
      <c r="F883" s="26" t="s">
        <v>36</v>
      </c>
      <c r="G883" s="26" t="s">
        <v>108</v>
      </c>
      <c r="H883" s="26" t="s">
        <v>4525</v>
      </c>
      <c r="I883" s="17">
        <f ca="1">IFERROR(__xludf.DUMMYFUNCTION("""COMPUTED_VALUE"""),45272)</f>
        <v>45272</v>
      </c>
      <c r="J883" s="29" t="s">
        <v>4526</v>
      </c>
      <c r="K883" s="26" t="s">
        <v>4527</v>
      </c>
      <c r="L883" s="30">
        <v>377393029</v>
      </c>
      <c r="M883" s="26" t="s">
        <v>2755</v>
      </c>
      <c r="N883" s="26" t="s">
        <v>2756</v>
      </c>
      <c r="O883" s="26" t="s">
        <v>4503</v>
      </c>
      <c r="P883" s="26" t="s">
        <v>4528</v>
      </c>
      <c r="Q883" s="20">
        <v>3768</v>
      </c>
      <c r="R883" s="26" t="s">
        <v>36</v>
      </c>
      <c r="S883" s="31">
        <v>3768</v>
      </c>
      <c r="T883" s="32">
        <v>45230</v>
      </c>
      <c r="U883" s="31"/>
      <c r="V883" s="26"/>
      <c r="W883" s="33" t="s">
        <v>4529</v>
      </c>
      <c r="X883" s="26"/>
      <c r="Y883" s="22">
        <v>0</v>
      </c>
      <c r="Z883" s="26" t="s">
        <v>50</v>
      </c>
      <c r="AA883" s="19" t="s">
        <v>3454</v>
      </c>
      <c r="AB883" s="26" t="s">
        <v>137</v>
      </c>
      <c r="AC883" s="26" t="s">
        <v>53</v>
      </c>
      <c r="AD883" s="19" t="s">
        <v>138</v>
      </c>
      <c r="AE883" s="26" t="s">
        <v>4503</v>
      </c>
      <c r="AF883" s="17">
        <v>45236</v>
      </c>
      <c r="AG883" s="42" t="s">
        <v>4530</v>
      </c>
      <c r="AH883" s="26"/>
      <c r="AI883" s="40"/>
      <c r="AJ883" s="26"/>
      <c r="AK883" s="26"/>
      <c r="AL883" s="35"/>
      <c r="AM883" s="35"/>
      <c r="AN883" s="35"/>
      <c r="AO883" s="35"/>
      <c r="AP883" s="35"/>
    </row>
    <row r="884" spans="1:42" x14ac:dyDescent="0.2">
      <c r="A884" s="27">
        <v>45231.420824490742</v>
      </c>
      <c r="B884" s="28" t="s">
        <v>37</v>
      </c>
      <c r="C884" s="41" t="s">
        <v>118</v>
      </c>
      <c r="D884" s="26" t="s">
        <v>36</v>
      </c>
      <c r="E884" s="26" t="s">
        <v>106</v>
      </c>
      <c r="F884" s="26" t="s">
        <v>91</v>
      </c>
      <c r="G884" s="26" t="s">
        <v>108</v>
      </c>
      <c r="H884" s="26" t="s">
        <v>4525</v>
      </c>
      <c r="I884" s="17">
        <f ca="1">IFERROR(__xludf.DUMMYFUNCTION("""COMPUTED_VALUE"""),45272)</f>
        <v>45272</v>
      </c>
      <c r="J884" s="29" t="s">
        <v>1539</v>
      </c>
      <c r="K884" s="26" t="s">
        <v>4531</v>
      </c>
      <c r="L884" s="30">
        <v>377631587</v>
      </c>
      <c r="M884" s="26" t="s">
        <v>910</v>
      </c>
      <c r="N884" s="26" t="s">
        <v>355</v>
      </c>
      <c r="O884" s="26" t="s">
        <v>1541</v>
      </c>
      <c r="P884" s="26" t="s">
        <v>4532</v>
      </c>
      <c r="Q884" s="20">
        <v>3768</v>
      </c>
      <c r="R884" s="26" t="s">
        <v>36</v>
      </c>
      <c r="S884" s="31">
        <v>3768</v>
      </c>
      <c r="T884" s="32">
        <v>45230</v>
      </c>
      <c r="U884" s="31"/>
      <c r="V884" s="26"/>
      <c r="W884" s="33" t="s">
        <v>4533</v>
      </c>
      <c r="X884" s="26"/>
      <c r="Y884" s="22">
        <v>0</v>
      </c>
      <c r="Z884" s="26" t="s">
        <v>50</v>
      </c>
      <c r="AA884" s="19" t="s">
        <v>3454</v>
      </c>
      <c r="AB884" s="26" t="s">
        <v>128</v>
      </c>
      <c r="AC884" s="26" t="s">
        <v>53</v>
      </c>
      <c r="AD884" s="19" t="s">
        <v>54</v>
      </c>
      <c r="AE884" s="26"/>
      <c r="AF884" s="43">
        <v>45253</v>
      </c>
      <c r="AG884" s="26" t="s">
        <v>4534</v>
      </c>
      <c r="AH884" s="26"/>
      <c r="AI884" s="40"/>
      <c r="AJ884" s="26"/>
      <c r="AK884" s="26"/>
      <c r="AL884" s="35"/>
      <c r="AM884" s="35"/>
      <c r="AN884" s="35"/>
      <c r="AO884" s="35"/>
      <c r="AP884" s="35"/>
    </row>
    <row r="885" spans="1:42" x14ac:dyDescent="0.2">
      <c r="A885" s="27">
        <v>45111.309501203708</v>
      </c>
      <c r="B885" s="28" t="s">
        <v>37</v>
      </c>
      <c r="C885" s="41" t="s">
        <v>118</v>
      </c>
      <c r="D885" s="26" t="s">
        <v>36</v>
      </c>
      <c r="E885" s="26" t="s">
        <v>219</v>
      </c>
      <c r="F885" s="26" t="s">
        <v>4535</v>
      </c>
      <c r="G885" s="26" t="s">
        <v>221</v>
      </c>
      <c r="H885" s="26" t="s">
        <v>1886</v>
      </c>
      <c r="I885" s="17">
        <f ca="1">IFERROR(__xludf.DUMMYFUNCTION("""COMPUTED_VALUE"""),45117)</f>
        <v>45117</v>
      </c>
      <c r="J885" s="29" t="s">
        <v>4536</v>
      </c>
      <c r="K885" s="26" t="s">
        <v>4537</v>
      </c>
      <c r="L885" s="30">
        <v>35304007988</v>
      </c>
      <c r="M885" s="26" t="s">
        <v>391</v>
      </c>
      <c r="N885" s="26" t="s">
        <v>4538</v>
      </c>
      <c r="O885" s="26" t="s">
        <v>4539</v>
      </c>
      <c r="P885" s="26" t="s">
        <v>4540</v>
      </c>
      <c r="Q885" s="20">
        <v>3968</v>
      </c>
      <c r="R885" s="26" t="s">
        <v>36</v>
      </c>
      <c r="S885" s="31">
        <v>4500</v>
      </c>
      <c r="T885" s="32">
        <v>44882</v>
      </c>
      <c r="U885" s="31">
        <v>3324</v>
      </c>
      <c r="V885" s="32">
        <v>44926</v>
      </c>
      <c r="W885" s="26"/>
      <c r="X885" s="26"/>
      <c r="Y885" s="22">
        <v>-3856</v>
      </c>
      <c r="Z885" s="26" t="s">
        <v>118</v>
      </c>
      <c r="AA885" s="19" t="s">
        <v>4541</v>
      </c>
      <c r="AB885" s="26" t="s">
        <v>104</v>
      </c>
      <c r="AC885" s="26" t="s">
        <v>53</v>
      </c>
      <c r="AD885" s="19" t="s">
        <v>54</v>
      </c>
      <c r="AE885" s="26">
        <v>770</v>
      </c>
      <c r="AF885" s="17">
        <v>45112</v>
      </c>
      <c r="AG885" s="26"/>
      <c r="AH885" s="26"/>
      <c r="AI885" s="40"/>
      <c r="AJ885" s="26"/>
      <c r="AK885" s="26"/>
      <c r="AL885" s="35"/>
      <c r="AM885" s="35"/>
      <c r="AN885" s="35"/>
      <c r="AO885" s="35"/>
      <c r="AP885" s="35"/>
    </row>
    <row r="886" spans="1:42" x14ac:dyDescent="0.2">
      <c r="A886" s="27">
        <v>45170.553895532408</v>
      </c>
      <c r="B886" s="28" t="s">
        <v>37</v>
      </c>
      <c r="C886" s="41" t="s">
        <v>118</v>
      </c>
      <c r="D886" s="26" t="s">
        <v>36</v>
      </c>
      <c r="E886" s="26" t="s">
        <v>148</v>
      </c>
      <c r="F886" s="26" t="s">
        <v>2252</v>
      </c>
      <c r="G886" s="26" t="s">
        <v>221</v>
      </c>
      <c r="H886" s="26" t="s">
        <v>2590</v>
      </c>
      <c r="I886" s="17">
        <f ca="1">IFERROR(__xludf.DUMMYFUNCTION("""COMPUTED_VALUE"""),45186)</f>
        <v>45186</v>
      </c>
      <c r="J886" s="29" t="s">
        <v>4542</v>
      </c>
      <c r="K886" s="26" t="s">
        <v>4543</v>
      </c>
      <c r="L886" s="30">
        <v>338214241</v>
      </c>
      <c r="M886" s="26" t="s">
        <v>112</v>
      </c>
      <c r="N886" s="26" t="s">
        <v>578</v>
      </c>
      <c r="O886" s="26" t="s">
        <v>91</v>
      </c>
      <c r="P886" s="26" t="s">
        <v>4544</v>
      </c>
      <c r="Q886" s="20">
        <v>7349</v>
      </c>
      <c r="R886" s="26" t="s">
        <v>36</v>
      </c>
      <c r="S886" s="31">
        <v>7349</v>
      </c>
      <c r="T886" s="32">
        <v>45011</v>
      </c>
      <c r="U886" s="31"/>
      <c r="V886" s="26"/>
      <c r="W886" s="33" t="s">
        <v>4545</v>
      </c>
      <c r="X886" s="26"/>
      <c r="Y886" s="22">
        <v>0</v>
      </c>
      <c r="Z886" s="26" t="s">
        <v>118</v>
      </c>
      <c r="AA886" s="19" t="s">
        <v>4541</v>
      </c>
      <c r="AB886" s="26" t="s">
        <v>104</v>
      </c>
      <c r="AC886" s="26" t="s">
        <v>53</v>
      </c>
      <c r="AD886" s="19" t="s">
        <v>54</v>
      </c>
      <c r="AE886" s="26">
        <v>630</v>
      </c>
      <c r="AF886" s="17">
        <v>45177</v>
      </c>
      <c r="AG886" s="26"/>
      <c r="AH886" s="26"/>
      <c r="AI886" s="40"/>
      <c r="AJ886" s="26"/>
      <c r="AK886" s="26"/>
      <c r="AL886" s="35"/>
      <c r="AM886" s="35"/>
      <c r="AN886" s="35"/>
      <c r="AO886" s="35"/>
      <c r="AP886" s="35"/>
    </row>
    <row r="887" spans="1:42" x14ac:dyDescent="0.2">
      <c r="A887" s="27">
        <v>45170.556866932871</v>
      </c>
      <c r="B887" s="28" t="s">
        <v>37</v>
      </c>
      <c r="C887" s="41" t="s">
        <v>118</v>
      </c>
      <c r="D887" s="26" t="s">
        <v>36</v>
      </c>
      <c r="E887" s="26" t="s">
        <v>148</v>
      </c>
      <c r="F887" s="26" t="s">
        <v>2252</v>
      </c>
      <c r="G887" s="26" t="s">
        <v>221</v>
      </c>
      <c r="H887" s="26" t="s">
        <v>2590</v>
      </c>
      <c r="I887" s="17">
        <f ca="1">IFERROR(__xludf.DUMMYFUNCTION("""COMPUTED_VALUE"""),45186)</f>
        <v>45186</v>
      </c>
      <c r="J887" s="29" t="s">
        <v>4546</v>
      </c>
      <c r="K887" s="26" t="s">
        <v>4547</v>
      </c>
      <c r="L887" s="30">
        <v>384355919</v>
      </c>
      <c r="M887" s="26" t="s">
        <v>112</v>
      </c>
      <c r="N887" s="26" t="s">
        <v>578</v>
      </c>
      <c r="O887" s="26" t="s">
        <v>91</v>
      </c>
      <c r="P887" s="26" t="s">
        <v>4548</v>
      </c>
      <c r="Q887" s="20">
        <v>7349</v>
      </c>
      <c r="R887" s="26" t="s">
        <v>36</v>
      </c>
      <c r="S887" s="31">
        <v>16968</v>
      </c>
      <c r="T887" s="32">
        <v>44727</v>
      </c>
      <c r="U887" s="31"/>
      <c r="V887" s="26"/>
      <c r="W887" s="26"/>
      <c r="X887" s="26"/>
      <c r="Y887" s="22">
        <v>-9619</v>
      </c>
      <c r="Z887" s="26" t="s">
        <v>118</v>
      </c>
      <c r="AA887" s="19" t="s">
        <v>4541</v>
      </c>
      <c r="AB887" s="26" t="s">
        <v>104</v>
      </c>
      <c r="AC887" s="26" t="s">
        <v>53</v>
      </c>
      <c r="AD887" s="19" t="s">
        <v>54</v>
      </c>
      <c r="AE887" s="26">
        <v>455</v>
      </c>
      <c r="AF887" s="17">
        <v>45181</v>
      </c>
      <c r="AG887" s="26" t="s">
        <v>863</v>
      </c>
      <c r="AH887" s="26"/>
      <c r="AI887" s="40"/>
      <c r="AJ887" s="26"/>
      <c r="AK887" s="26"/>
      <c r="AL887" s="35"/>
      <c r="AM887" s="35"/>
      <c r="AN887" s="35"/>
      <c r="AO887" s="35"/>
      <c r="AP887" s="35"/>
    </row>
    <row r="888" spans="1:42" x14ac:dyDescent="0.2">
      <c r="A888" s="27">
        <v>45173.388257002312</v>
      </c>
      <c r="B888" s="28" t="s">
        <v>37</v>
      </c>
      <c r="C888" s="41" t="s">
        <v>118</v>
      </c>
      <c r="D888" s="26" t="s">
        <v>36</v>
      </c>
      <c r="E888" s="26" t="s">
        <v>148</v>
      </c>
      <c r="F888" s="26" t="s">
        <v>2252</v>
      </c>
      <c r="G888" s="26" t="s">
        <v>221</v>
      </c>
      <c r="H888" s="26" t="s">
        <v>2590</v>
      </c>
      <c r="I888" s="17">
        <f ca="1">IFERROR(__xludf.DUMMYFUNCTION("""COMPUTED_VALUE"""),45186)</f>
        <v>45186</v>
      </c>
      <c r="J888" s="29" t="s">
        <v>4549</v>
      </c>
      <c r="K888" s="26" t="s">
        <v>4550</v>
      </c>
      <c r="L888" s="30">
        <v>867527828</v>
      </c>
      <c r="M888" s="26" t="s">
        <v>112</v>
      </c>
      <c r="N888" s="26" t="s">
        <v>578</v>
      </c>
      <c r="O888" s="26" t="s">
        <v>91</v>
      </c>
      <c r="P888" s="26" t="s">
        <v>4551</v>
      </c>
      <c r="Q888" s="20">
        <v>7349</v>
      </c>
      <c r="R888" s="26" t="s">
        <v>36</v>
      </c>
      <c r="S888" s="31">
        <v>10534</v>
      </c>
      <c r="T888" s="32">
        <v>44876</v>
      </c>
      <c r="U888" s="31"/>
      <c r="V888" s="26"/>
      <c r="W888" s="26"/>
      <c r="X888" s="26"/>
      <c r="Y888" s="22">
        <v>-3185</v>
      </c>
      <c r="Z888" s="26" t="s">
        <v>118</v>
      </c>
      <c r="AA888" s="19" t="s">
        <v>4541</v>
      </c>
      <c r="AB888" s="26" t="s">
        <v>104</v>
      </c>
      <c r="AC888" s="26" t="s">
        <v>53</v>
      </c>
      <c r="AD888" s="19" t="s">
        <v>54</v>
      </c>
      <c r="AE888" s="26">
        <v>600</v>
      </c>
      <c r="AF888" s="17">
        <v>45181</v>
      </c>
      <c r="AG888" s="26" t="s">
        <v>863</v>
      </c>
      <c r="AH888" s="26"/>
      <c r="AI888" s="40"/>
      <c r="AJ888" s="26"/>
      <c r="AK888" s="26"/>
      <c r="AL888" s="35"/>
      <c r="AM888" s="35"/>
      <c r="AN888" s="35"/>
      <c r="AO888" s="35"/>
      <c r="AP888" s="35"/>
    </row>
    <row r="889" spans="1:42" x14ac:dyDescent="0.2">
      <c r="A889" s="27">
        <v>45173.605608472222</v>
      </c>
      <c r="B889" s="28" t="s">
        <v>37</v>
      </c>
      <c r="C889" s="41" t="s">
        <v>118</v>
      </c>
      <c r="D889" s="26" t="s">
        <v>36</v>
      </c>
      <c r="E889" s="26" t="s">
        <v>39</v>
      </c>
      <c r="F889" s="26" t="s">
        <v>42</v>
      </c>
      <c r="G889" s="26" t="s">
        <v>108</v>
      </c>
      <c r="H889" s="26" t="s">
        <v>1495</v>
      </c>
      <c r="I889" s="17">
        <f ca="1">IFERROR(__xludf.DUMMYFUNCTION("""COMPUTED_VALUE"""),45188)</f>
        <v>45188</v>
      </c>
      <c r="J889" s="29" t="s">
        <v>4552</v>
      </c>
      <c r="K889" s="26" t="s">
        <v>4553</v>
      </c>
      <c r="L889" s="30">
        <v>865969219</v>
      </c>
      <c r="M889" s="26" t="s">
        <v>112</v>
      </c>
      <c r="N889" s="26" t="s">
        <v>578</v>
      </c>
      <c r="O889" s="26" t="s">
        <v>91</v>
      </c>
      <c r="P889" s="26" t="s">
        <v>4554</v>
      </c>
      <c r="Q889" s="20">
        <v>5736</v>
      </c>
      <c r="R889" s="26" t="s">
        <v>36</v>
      </c>
      <c r="S889" s="31">
        <v>6868</v>
      </c>
      <c r="T889" s="32">
        <v>44660</v>
      </c>
      <c r="U889" s="31"/>
      <c r="V889" s="26"/>
      <c r="W889" s="55" t="s">
        <v>4555</v>
      </c>
      <c r="X889" s="26"/>
      <c r="Y889" s="22">
        <v>-1132</v>
      </c>
      <c r="Z889" s="26" t="s">
        <v>118</v>
      </c>
      <c r="AA889" s="19" t="s">
        <v>4541</v>
      </c>
      <c r="AB889" s="26" t="s">
        <v>146</v>
      </c>
      <c r="AC889" s="26" t="s">
        <v>53</v>
      </c>
      <c r="AD889" s="19" t="s">
        <v>54</v>
      </c>
      <c r="AE889" s="26">
        <v>51</v>
      </c>
      <c r="AF889" s="17">
        <v>45197</v>
      </c>
      <c r="AG889" s="62" t="s">
        <v>4556</v>
      </c>
      <c r="AH889" s="26"/>
      <c r="AI889" s="40"/>
      <c r="AJ889" s="26"/>
      <c r="AK889" s="26"/>
      <c r="AL889" s="35"/>
      <c r="AM889" s="35"/>
      <c r="AN889" s="35"/>
      <c r="AO889" s="35"/>
      <c r="AP889" s="35"/>
    </row>
    <row r="890" spans="1:42" x14ac:dyDescent="0.2">
      <c r="A890" s="27">
        <v>45175.200412743055</v>
      </c>
      <c r="B890" s="28" t="s">
        <v>37</v>
      </c>
      <c r="C890" s="41" t="s">
        <v>118</v>
      </c>
      <c r="D890" s="26" t="s">
        <v>36</v>
      </c>
      <c r="E890" s="26" t="s">
        <v>139</v>
      </c>
      <c r="F890" s="26" t="s">
        <v>36</v>
      </c>
      <c r="G890" s="26" t="s">
        <v>41</v>
      </c>
      <c r="H890" s="26" t="s">
        <v>4557</v>
      </c>
      <c r="I890" s="17" t="str">
        <f ca="1">IFERROR(__xludf.DUMMYFUNCTION("""COMPUTED_VALUE""")," ")</f>
        <v xml:space="preserve"> </v>
      </c>
      <c r="J890" s="29" t="s">
        <v>4558</v>
      </c>
      <c r="K890" s="26" t="s">
        <v>4559</v>
      </c>
      <c r="L890" s="30">
        <v>972304830</v>
      </c>
      <c r="M890" s="26" t="s">
        <v>123</v>
      </c>
      <c r="N890" s="26" t="s">
        <v>186</v>
      </c>
      <c r="O890" s="26" t="s">
        <v>1226</v>
      </c>
      <c r="P890" s="26" t="s">
        <v>3056</v>
      </c>
      <c r="Q890" s="20">
        <v>15936</v>
      </c>
      <c r="R890" s="26" t="s">
        <v>36</v>
      </c>
      <c r="S890" s="31">
        <v>200</v>
      </c>
      <c r="T890" s="32">
        <v>45168</v>
      </c>
      <c r="U890" s="31"/>
      <c r="V890" s="16" t="s">
        <v>4560</v>
      </c>
      <c r="W890" s="33" t="s">
        <v>4561</v>
      </c>
      <c r="X890" s="26"/>
      <c r="Y890" s="22">
        <v>0</v>
      </c>
      <c r="Z890" s="26" t="s">
        <v>118</v>
      </c>
      <c r="AA890" s="19" t="s">
        <v>4541</v>
      </c>
      <c r="AB890" s="26" t="s">
        <v>104</v>
      </c>
      <c r="AC890" s="26" t="s">
        <v>53</v>
      </c>
      <c r="AD890" s="19" t="s">
        <v>138</v>
      </c>
      <c r="AE890" s="26" t="s">
        <v>4562</v>
      </c>
      <c r="AF890" s="17"/>
      <c r="AG890" s="26" t="s">
        <v>1631</v>
      </c>
      <c r="AH890" s="26" t="s">
        <v>2652</v>
      </c>
      <c r="AI890" s="40"/>
      <c r="AJ890" s="26"/>
      <c r="AK890" s="26"/>
      <c r="AL890" s="35"/>
      <c r="AM890" s="35"/>
      <c r="AN890" s="35"/>
      <c r="AO890" s="35"/>
      <c r="AP890" s="35"/>
    </row>
    <row r="891" spans="1:42" x14ac:dyDescent="0.2">
      <c r="A891" s="27">
        <v>45175.217742499997</v>
      </c>
      <c r="B891" s="28" t="s">
        <v>37</v>
      </c>
      <c r="C891" s="41" t="s">
        <v>118</v>
      </c>
      <c r="D891" s="26" t="s">
        <v>36</v>
      </c>
      <c r="E891" s="26" t="s">
        <v>39</v>
      </c>
      <c r="F891" s="26" t="s">
        <v>36</v>
      </c>
      <c r="G891" s="26" t="s">
        <v>41</v>
      </c>
      <c r="H891" s="26" t="s">
        <v>4563</v>
      </c>
      <c r="I891" s="17" t="str">
        <f ca="1">IFERROR(__xludf.DUMMYFUNCTION("""COMPUTED_VALUE""")," ")</f>
        <v xml:space="preserve"> </v>
      </c>
      <c r="J891" s="29" t="s">
        <v>4564</v>
      </c>
      <c r="K891" s="26" t="s">
        <v>4565</v>
      </c>
      <c r="L891" s="30">
        <v>365205618</v>
      </c>
      <c r="M891" s="26" t="s">
        <v>59</v>
      </c>
      <c r="N891" s="26" t="s">
        <v>60</v>
      </c>
      <c r="O891" s="26" t="s">
        <v>4566</v>
      </c>
      <c r="P891" s="26" t="s">
        <v>4567</v>
      </c>
      <c r="Q891" s="20">
        <v>5736</v>
      </c>
      <c r="R891" s="26" t="s">
        <v>36</v>
      </c>
      <c r="S891" s="31">
        <v>5736</v>
      </c>
      <c r="T891" s="32">
        <v>45174</v>
      </c>
      <c r="U891" s="31">
        <v>1613</v>
      </c>
      <c r="V891" s="16" t="s">
        <v>4568</v>
      </c>
      <c r="W891" s="33" t="s">
        <v>4569</v>
      </c>
      <c r="X891" s="26"/>
      <c r="Y891" s="22">
        <v>-1613</v>
      </c>
      <c r="Z891" s="26" t="s">
        <v>118</v>
      </c>
      <c r="AA891" s="19" t="s">
        <v>4541</v>
      </c>
      <c r="AB891" s="26" t="s">
        <v>137</v>
      </c>
      <c r="AC891" s="26" t="s">
        <v>53</v>
      </c>
      <c r="AD891" s="19" t="s">
        <v>54</v>
      </c>
      <c r="AE891" s="26" t="s">
        <v>72</v>
      </c>
      <c r="AF891" s="17">
        <v>45175</v>
      </c>
      <c r="AG891" s="42" t="s">
        <v>4570</v>
      </c>
      <c r="AH891" s="26"/>
      <c r="AI891" s="40"/>
      <c r="AJ891" s="26"/>
      <c r="AK891" s="26"/>
      <c r="AL891" s="35"/>
      <c r="AM891" s="35"/>
      <c r="AN891" s="35"/>
      <c r="AO891" s="35"/>
      <c r="AP891" s="35"/>
    </row>
    <row r="892" spans="1:42" x14ac:dyDescent="0.2">
      <c r="A892" s="27">
        <v>45175.420985347228</v>
      </c>
      <c r="B892" s="28" t="s">
        <v>37</v>
      </c>
      <c r="C892" s="41" t="s">
        <v>118</v>
      </c>
      <c r="D892" s="26" t="s">
        <v>36</v>
      </c>
      <c r="E892" s="26" t="s">
        <v>39</v>
      </c>
      <c r="F892" s="26" t="s">
        <v>40</v>
      </c>
      <c r="G892" s="26" t="s">
        <v>41</v>
      </c>
      <c r="H892" s="26" t="s">
        <v>1861</v>
      </c>
      <c r="I892" s="17">
        <f ca="1">IFERROR(__xludf.DUMMYFUNCTION("""COMPUTED_VALUE"""),45187)</f>
        <v>45187</v>
      </c>
      <c r="J892" s="29" t="s">
        <v>4571</v>
      </c>
      <c r="K892" s="26" t="s">
        <v>4572</v>
      </c>
      <c r="L892" s="30">
        <v>337501861</v>
      </c>
      <c r="M892" s="26" t="s">
        <v>59</v>
      </c>
      <c r="N892" s="26" t="s">
        <v>68</v>
      </c>
      <c r="O892" s="26" t="s">
        <v>4573</v>
      </c>
      <c r="P892" s="26" t="s">
        <v>4574</v>
      </c>
      <c r="Q892" s="20">
        <v>5736</v>
      </c>
      <c r="R892" s="26" t="s">
        <v>36</v>
      </c>
      <c r="S892" s="31">
        <v>5736</v>
      </c>
      <c r="T892" s="32">
        <v>45138</v>
      </c>
      <c r="U892" s="31"/>
      <c r="V892" s="26"/>
      <c r="W892" s="55" t="s">
        <v>4575</v>
      </c>
      <c r="X892" s="26"/>
      <c r="Y892" s="22">
        <v>0</v>
      </c>
      <c r="Z892" s="26" t="s">
        <v>118</v>
      </c>
      <c r="AA892" s="19" t="s">
        <v>4541</v>
      </c>
      <c r="AB892" s="26" t="s">
        <v>137</v>
      </c>
      <c r="AC892" s="26" t="s">
        <v>53</v>
      </c>
      <c r="AD892" s="19" t="s">
        <v>138</v>
      </c>
      <c r="AE892" s="26" t="s">
        <v>72</v>
      </c>
      <c r="AF892" s="17">
        <v>45187</v>
      </c>
      <c r="AG892" s="26" t="s">
        <v>1631</v>
      </c>
      <c r="AH892" s="26"/>
      <c r="AI892" s="40"/>
      <c r="AJ892" s="26"/>
      <c r="AK892" s="26"/>
      <c r="AL892" s="35"/>
      <c r="AM892" s="35"/>
      <c r="AN892" s="35"/>
      <c r="AO892" s="35"/>
      <c r="AP892" s="35"/>
    </row>
    <row r="893" spans="1:42" x14ac:dyDescent="0.2">
      <c r="A893" s="27">
        <v>45176.338622604162</v>
      </c>
      <c r="B893" s="28" t="s">
        <v>37</v>
      </c>
      <c r="C893" s="41" t="s">
        <v>118</v>
      </c>
      <c r="D893" s="26" t="s">
        <v>36</v>
      </c>
      <c r="E893" s="26" t="s">
        <v>39</v>
      </c>
      <c r="F893" s="26" t="s">
        <v>65</v>
      </c>
      <c r="G893" s="26" t="s">
        <v>108</v>
      </c>
      <c r="H893" s="26" t="s">
        <v>4576</v>
      </c>
      <c r="I893" s="17">
        <f ca="1">IFERROR(__xludf.DUMMYFUNCTION("""COMPUTED_VALUE"""),45294)</f>
        <v>45294</v>
      </c>
      <c r="J893" s="29" t="s">
        <v>92</v>
      </c>
      <c r="K893" s="26" t="s">
        <v>4577</v>
      </c>
      <c r="L893" s="30">
        <v>388843202</v>
      </c>
      <c r="M893" s="26" t="s">
        <v>112</v>
      </c>
      <c r="N893" s="26" t="s">
        <v>578</v>
      </c>
      <c r="O893" s="26" t="s">
        <v>91</v>
      </c>
      <c r="P893" s="26" t="s">
        <v>4578</v>
      </c>
      <c r="Q893" s="20">
        <v>5736</v>
      </c>
      <c r="R893" s="26" t="s">
        <v>36</v>
      </c>
      <c r="S893" s="31">
        <v>5736</v>
      </c>
      <c r="T893" s="32">
        <v>45110</v>
      </c>
      <c r="U893" s="31"/>
      <c r="V893" s="26"/>
      <c r="W893" s="33" t="s">
        <v>4579</v>
      </c>
      <c r="X893" s="26"/>
      <c r="Y893" s="22">
        <v>0</v>
      </c>
      <c r="Z893" s="26" t="s">
        <v>118</v>
      </c>
      <c r="AA893" s="19" t="s">
        <v>4541</v>
      </c>
      <c r="AB893" s="26" t="s">
        <v>154</v>
      </c>
      <c r="AC893" s="26" t="s">
        <v>53</v>
      </c>
      <c r="AD893" s="19" t="s">
        <v>54</v>
      </c>
      <c r="AE893" s="26">
        <v>76</v>
      </c>
      <c r="AF893" s="17">
        <v>45177</v>
      </c>
      <c r="AG893" s="26" t="s">
        <v>4580</v>
      </c>
      <c r="AH893" s="26"/>
      <c r="AI893" s="40"/>
      <c r="AJ893" s="26"/>
      <c r="AK893" s="26"/>
      <c r="AL893" s="35"/>
      <c r="AM893" s="35"/>
      <c r="AN893" s="35"/>
      <c r="AO893" s="35"/>
      <c r="AP893" s="35"/>
    </row>
    <row r="894" spans="1:42" x14ac:dyDescent="0.2">
      <c r="A894" s="27">
        <v>45176.443963078702</v>
      </c>
      <c r="B894" s="28" t="s">
        <v>37</v>
      </c>
      <c r="C894" s="41" t="s">
        <v>118</v>
      </c>
      <c r="D894" s="26" t="s">
        <v>36</v>
      </c>
      <c r="E894" s="26" t="s">
        <v>56</v>
      </c>
      <c r="F894" s="26" t="s">
        <v>42</v>
      </c>
      <c r="G894" s="26" t="s">
        <v>108</v>
      </c>
      <c r="H894" s="26" t="s">
        <v>1495</v>
      </c>
      <c r="I894" s="17">
        <f ca="1">IFERROR(__xludf.DUMMYFUNCTION("""COMPUTED_VALUE"""),45188)</f>
        <v>45188</v>
      </c>
      <c r="J894" s="29" t="s">
        <v>57</v>
      </c>
      <c r="K894" s="26" t="s">
        <v>1305</v>
      </c>
      <c r="L894" s="30">
        <v>981430602</v>
      </c>
      <c r="M894" s="26" t="s">
        <v>112</v>
      </c>
      <c r="N894" s="26" t="s">
        <v>578</v>
      </c>
      <c r="O894" s="26" t="s">
        <v>91</v>
      </c>
      <c r="P894" s="26" t="s">
        <v>62</v>
      </c>
      <c r="Q894" s="20">
        <v>9317</v>
      </c>
      <c r="R894" s="26" t="s">
        <v>36</v>
      </c>
      <c r="S894" s="31">
        <v>7349</v>
      </c>
      <c r="T894" s="32">
        <v>45108</v>
      </c>
      <c r="U894" s="31">
        <v>1968</v>
      </c>
      <c r="V894" s="32">
        <v>45125</v>
      </c>
      <c r="W894" s="26"/>
      <c r="X894" s="26"/>
      <c r="Y894" s="22">
        <v>0</v>
      </c>
      <c r="Z894" s="26" t="s">
        <v>118</v>
      </c>
      <c r="AA894" s="19" t="s">
        <v>4541</v>
      </c>
      <c r="AB894" s="26" t="s">
        <v>137</v>
      </c>
      <c r="AC894" s="26" t="s">
        <v>53</v>
      </c>
      <c r="AD894" s="19" t="s">
        <v>54</v>
      </c>
      <c r="AE894" s="26">
        <v>80</v>
      </c>
      <c r="AF894" s="17">
        <v>45181</v>
      </c>
      <c r="AG894" s="26"/>
      <c r="AH894" s="26"/>
      <c r="AI894" s="40"/>
      <c r="AJ894" s="26"/>
      <c r="AK894" s="26"/>
      <c r="AL894" s="35"/>
      <c r="AM894" s="35"/>
      <c r="AN894" s="35"/>
      <c r="AO894" s="35"/>
      <c r="AP894" s="35"/>
    </row>
    <row r="895" spans="1:42" x14ac:dyDescent="0.2">
      <c r="A895" s="27">
        <v>45176.4460271875</v>
      </c>
      <c r="B895" s="28" t="s">
        <v>37</v>
      </c>
      <c r="C895" s="41" t="s">
        <v>118</v>
      </c>
      <c r="D895" s="26" t="s">
        <v>36</v>
      </c>
      <c r="E895" s="26" t="s">
        <v>39</v>
      </c>
      <c r="F895" s="26" t="s">
        <v>4581</v>
      </c>
      <c r="G895" s="26" t="s">
        <v>108</v>
      </c>
      <c r="H895" s="26" t="s">
        <v>1495</v>
      </c>
      <c r="I895" s="17">
        <f ca="1">IFERROR(__xludf.DUMMYFUNCTION("""COMPUTED_VALUE"""),45188)</f>
        <v>45188</v>
      </c>
      <c r="J895" s="29" t="s">
        <v>163</v>
      </c>
      <c r="K895" s="26" t="s">
        <v>4582</v>
      </c>
      <c r="L895" s="30">
        <v>374350103</v>
      </c>
      <c r="M895" s="26" t="s">
        <v>112</v>
      </c>
      <c r="N895" s="26" t="s">
        <v>578</v>
      </c>
      <c r="O895" s="26" t="s">
        <v>91</v>
      </c>
      <c r="P895" s="26" t="s">
        <v>4583</v>
      </c>
      <c r="Q895" s="20">
        <v>5736</v>
      </c>
      <c r="R895" s="26" t="s">
        <v>36</v>
      </c>
      <c r="S895" s="31">
        <v>5736</v>
      </c>
      <c r="T895" s="32">
        <v>45111</v>
      </c>
      <c r="U895" s="31"/>
      <c r="V895" s="26"/>
      <c r="W895" s="33" t="s">
        <v>4584</v>
      </c>
      <c r="X895" s="26"/>
      <c r="Y895" s="22">
        <v>0</v>
      </c>
      <c r="Z895" s="26" t="s">
        <v>118</v>
      </c>
      <c r="AA895" s="19" t="s">
        <v>4541</v>
      </c>
      <c r="AB895" s="26" t="s">
        <v>137</v>
      </c>
      <c r="AC895" s="26" t="s">
        <v>53</v>
      </c>
      <c r="AD895" s="19" t="s">
        <v>54</v>
      </c>
      <c r="AE895" s="26">
        <v>79</v>
      </c>
      <c r="AF895" s="17">
        <v>45181</v>
      </c>
      <c r="AG895" s="26"/>
      <c r="AH895" s="26"/>
      <c r="AI895" s="40"/>
      <c r="AJ895" s="26"/>
      <c r="AK895" s="26"/>
      <c r="AL895" s="35"/>
      <c r="AM895" s="35"/>
      <c r="AN895" s="35"/>
      <c r="AO895" s="35"/>
      <c r="AP895" s="35"/>
    </row>
    <row r="896" spans="1:42" x14ac:dyDescent="0.2">
      <c r="A896" s="27">
        <v>45176.450711342593</v>
      </c>
      <c r="B896" s="28" t="s">
        <v>37</v>
      </c>
      <c r="C896" s="41" t="s">
        <v>118</v>
      </c>
      <c r="D896" s="26" t="s">
        <v>36</v>
      </c>
      <c r="E896" s="26" t="s">
        <v>139</v>
      </c>
      <c r="F896" s="26" t="s">
        <v>42</v>
      </c>
      <c r="G896" s="26" t="s">
        <v>108</v>
      </c>
      <c r="H896" s="26" t="s">
        <v>1495</v>
      </c>
      <c r="I896" s="17">
        <f ca="1">IFERROR(__xludf.DUMMYFUNCTION("""COMPUTED_VALUE"""),45188)</f>
        <v>45188</v>
      </c>
      <c r="J896" s="29" t="s">
        <v>140</v>
      </c>
      <c r="K896" s="26" t="s">
        <v>4585</v>
      </c>
      <c r="L896" s="30">
        <v>936968111</v>
      </c>
      <c r="M896" s="26" t="s">
        <v>112</v>
      </c>
      <c r="N896" s="26" t="s">
        <v>578</v>
      </c>
      <c r="O896" s="26" t="s">
        <v>91</v>
      </c>
      <c r="P896" s="26" t="s">
        <v>4586</v>
      </c>
      <c r="Q896" s="20">
        <v>15936</v>
      </c>
      <c r="R896" s="26" t="s">
        <v>36</v>
      </c>
      <c r="S896" s="31">
        <v>2000</v>
      </c>
      <c r="T896" s="32">
        <v>45110</v>
      </c>
      <c r="U896" s="31">
        <v>13936</v>
      </c>
      <c r="V896" s="32">
        <v>45135</v>
      </c>
      <c r="W896" s="33" t="s">
        <v>4587</v>
      </c>
      <c r="X896" s="26"/>
      <c r="Y896" s="22">
        <v>0</v>
      </c>
      <c r="Z896" s="26" t="s">
        <v>118</v>
      </c>
      <c r="AA896" s="19" t="s">
        <v>4541</v>
      </c>
      <c r="AB896" s="26" t="s">
        <v>137</v>
      </c>
      <c r="AC896" s="26" t="s">
        <v>53</v>
      </c>
      <c r="AD896" s="19" t="s">
        <v>54</v>
      </c>
      <c r="AE896" s="26">
        <v>78</v>
      </c>
      <c r="AF896" s="17">
        <v>45181</v>
      </c>
      <c r="AG896" s="26"/>
      <c r="AH896" s="26"/>
      <c r="AI896" s="40"/>
      <c r="AJ896" s="26"/>
      <c r="AK896" s="26"/>
      <c r="AL896" s="35"/>
      <c r="AM896" s="35"/>
      <c r="AN896" s="35"/>
      <c r="AO896" s="35"/>
      <c r="AP896" s="35"/>
    </row>
    <row r="897" spans="1:42" x14ac:dyDescent="0.2">
      <c r="A897" s="27">
        <v>45176.457434548611</v>
      </c>
      <c r="B897" s="28" t="s">
        <v>37</v>
      </c>
      <c r="C897" s="41" t="s">
        <v>118</v>
      </c>
      <c r="D897" s="26" t="s">
        <v>36</v>
      </c>
      <c r="E897" s="26" t="s">
        <v>56</v>
      </c>
      <c r="F897" s="26" t="s">
        <v>42</v>
      </c>
      <c r="G897" s="26" t="s">
        <v>108</v>
      </c>
      <c r="H897" s="26" t="s">
        <v>1495</v>
      </c>
      <c r="I897" s="17">
        <f ca="1">IFERROR(__xludf.DUMMYFUNCTION("""COMPUTED_VALUE"""),45188)</f>
        <v>45188</v>
      </c>
      <c r="J897" s="29" t="s">
        <v>1879</v>
      </c>
      <c r="K897" s="26" t="s">
        <v>4588</v>
      </c>
      <c r="L897" s="30">
        <v>917615773</v>
      </c>
      <c r="M897" s="26" t="s">
        <v>112</v>
      </c>
      <c r="N897" s="26" t="s">
        <v>578</v>
      </c>
      <c r="O897" s="26" t="s">
        <v>91</v>
      </c>
      <c r="P897" s="26" t="s">
        <v>4589</v>
      </c>
      <c r="Q897" s="20">
        <v>9317</v>
      </c>
      <c r="R897" s="26" t="s">
        <v>36</v>
      </c>
      <c r="S897" s="31">
        <v>8000</v>
      </c>
      <c r="T897" s="32">
        <v>44867</v>
      </c>
      <c r="U897" s="31">
        <v>8799</v>
      </c>
      <c r="V897" s="32">
        <v>44891</v>
      </c>
      <c r="W897" s="26"/>
      <c r="X897" s="26"/>
      <c r="Y897" s="22">
        <v>-7482</v>
      </c>
      <c r="Z897" s="26" t="s">
        <v>118</v>
      </c>
      <c r="AA897" s="19" t="s">
        <v>4541</v>
      </c>
      <c r="AB897" s="26" t="s">
        <v>137</v>
      </c>
      <c r="AC897" s="26" t="s">
        <v>53</v>
      </c>
      <c r="AD897" s="19" t="s">
        <v>54</v>
      </c>
      <c r="AE897" s="26">
        <v>75</v>
      </c>
      <c r="AF897" s="17">
        <v>45181</v>
      </c>
      <c r="AG897" s="26"/>
      <c r="AH897" s="26"/>
      <c r="AI897" s="40"/>
      <c r="AJ897" s="26"/>
      <c r="AK897" s="26"/>
      <c r="AL897" s="35"/>
      <c r="AM897" s="35"/>
      <c r="AN897" s="35"/>
      <c r="AO897" s="35"/>
      <c r="AP897" s="35"/>
    </row>
    <row r="898" spans="1:42" x14ac:dyDescent="0.2">
      <c r="A898" s="27">
        <v>45177.393219178237</v>
      </c>
      <c r="B898" s="28" t="s">
        <v>37</v>
      </c>
      <c r="C898" s="41" t="s">
        <v>118</v>
      </c>
      <c r="D898" s="26" t="s">
        <v>36</v>
      </c>
      <c r="E898" s="26" t="s">
        <v>148</v>
      </c>
      <c r="F898" s="26" t="s">
        <v>4590</v>
      </c>
      <c r="G898" s="26" t="s">
        <v>108</v>
      </c>
      <c r="H898" s="26" t="s">
        <v>4576</v>
      </c>
      <c r="I898" s="17">
        <f ca="1">IFERROR(__xludf.DUMMYFUNCTION("""COMPUTED_VALUE"""),45294)</f>
        <v>45294</v>
      </c>
      <c r="J898" s="29" t="s">
        <v>4591</v>
      </c>
      <c r="K898" s="26" t="s">
        <v>4592</v>
      </c>
      <c r="L898" s="30">
        <v>878915855</v>
      </c>
      <c r="M898" s="26" t="s">
        <v>391</v>
      </c>
      <c r="N898" s="26" t="s">
        <v>584</v>
      </c>
      <c r="O898" s="26" t="s">
        <v>91</v>
      </c>
      <c r="P898" s="26" t="s">
        <v>4593</v>
      </c>
      <c r="Q898" s="20">
        <v>7349</v>
      </c>
      <c r="R898" s="26" t="s">
        <v>36</v>
      </c>
      <c r="S898" s="31">
        <v>16968</v>
      </c>
      <c r="T898" s="32">
        <v>45132</v>
      </c>
      <c r="U898" s="31"/>
      <c r="V898" s="26"/>
      <c r="W898" s="33" t="s">
        <v>4594</v>
      </c>
      <c r="X898" s="26"/>
      <c r="Y898" s="22">
        <v>-9619</v>
      </c>
      <c r="Z898" s="26" t="s">
        <v>118</v>
      </c>
      <c r="AA898" s="19" t="s">
        <v>4541</v>
      </c>
      <c r="AB898" s="26" t="s">
        <v>137</v>
      </c>
      <c r="AC898" s="26" t="s">
        <v>53</v>
      </c>
      <c r="AD898" s="19" t="s">
        <v>54</v>
      </c>
      <c r="AE898" s="72" t="s">
        <v>4595</v>
      </c>
      <c r="AF898" s="43">
        <v>45257</v>
      </c>
      <c r="AG898" s="72" t="s">
        <v>4596</v>
      </c>
      <c r="AH898" s="26"/>
      <c r="AI898" s="40"/>
      <c r="AJ898" s="26"/>
      <c r="AK898" s="26"/>
      <c r="AL898" s="35"/>
      <c r="AM898" s="35"/>
      <c r="AN898" s="35"/>
      <c r="AO898" s="35"/>
      <c r="AP898" s="35"/>
    </row>
    <row r="899" spans="1:42" x14ac:dyDescent="0.2">
      <c r="A899" s="27">
        <v>45178.091720821758</v>
      </c>
      <c r="B899" s="28" t="s">
        <v>37</v>
      </c>
      <c r="C899" s="41" t="s">
        <v>118</v>
      </c>
      <c r="D899" s="26" t="s">
        <v>36</v>
      </c>
      <c r="E899" s="26" t="s">
        <v>56</v>
      </c>
      <c r="F899" s="26" t="s">
        <v>4597</v>
      </c>
      <c r="G899" s="26" t="s">
        <v>221</v>
      </c>
      <c r="H899" s="26" t="s">
        <v>2590</v>
      </c>
      <c r="I899" s="17">
        <f ca="1">IFERROR(__xludf.DUMMYFUNCTION("""COMPUTED_VALUE"""),45186)</f>
        <v>45186</v>
      </c>
      <c r="J899" s="29" t="s">
        <v>4598</v>
      </c>
      <c r="K899" s="26" t="s">
        <v>4599</v>
      </c>
      <c r="L899" s="30">
        <v>364093820</v>
      </c>
      <c r="M899" s="26" t="s">
        <v>112</v>
      </c>
      <c r="N899" s="26" t="s">
        <v>578</v>
      </c>
      <c r="O899" s="26" t="s">
        <v>91</v>
      </c>
      <c r="P899" s="26" t="s">
        <v>4600</v>
      </c>
      <c r="Q899" s="20">
        <v>9317</v>
      </c>
      <c r="R899" s="26" t="s">
        <v>36</v>
      </c>
      <c r="S899" s="31">
        <v>9217</v>
      </c>
      <c r="T899" s="32">
        <v>44973</v>
      </c>
      <c r="U899" s="31"/>
      <c r="V899" s="26"/>
      <c r="W899" s="26"/>
      <c r="X899" s="26"/>
      <c r="Y899" s="22">
        <v>100</v>
      </c>
      <c r="Z899" s="26" t="s">
        <v>118</v>
      </c>
      <c r="AA899" s="19" t="s">
        <v>4541</v>
      </c>
      <c r="AB899" s="26" t="s">
        <v>104</v>
      </c>
      <c r="AC899" s="26" t="s">
        <v>53</v>
      </c>
      <c r="AD899" s="19" t="s">
        <v>54</v>
      </c>
      <c r="AE899" s="26">
        <v>815</v>
      </c>
      <c r="AF899" s="17">
        <v>45181</v>
      </c>
      <c r="AG899" s="26"/>
      <c r="AH899" s="26"/>
      <c r="AI899" s="40"/>
      <c r="AJ899" s="26"/>
      <c r="AK899" s="26"/>
      <c r="AL899" s="35"/>
      <c r="AM899" s="35"/>
      <c r="AN899" s="35"/>
      <c r="AO899" s="35"/>
      <c r="AP899" s="35"/>
    </row>
    <row r="900" spans="1:42" x14ac:dyDescent="0.2">
      <c r="A900" s="27">
        <v>45179.144021967593</v>
      </c>
      <c r="B900" s="28" t="s">
        <v>37</v>
      </c>
      <c r="C900" s="41" t="s">
        <v>118</v>
      </c>
      <c r="D900" s="26" t="s">
        <v>36</v>
      </c>
      <c r="E900" s="26" t="s">
        <v>39</v>
      </c>
      <c r="F900" s="26" t="s">
        <v>289</v>
      </c>
      <c r="G900" s="26" t="s">
        <v>108</v>
      </c>
      <c r="H900" s="26" t="s">
        <v>2388</v>
      </c>
      <c r="I900" s="17">
        <f ca="1">IFERROR(__xludf.DUMMYFUNCTION("""COMPUTED_VALUE"""),45190)</f>
        <v>45190</v>
      </c>
      <c r="J900" s="29" t="s">
        <v>313</v>
      </c>
      <c r="K900" s="26" t="s">
        <v>314</v>
      </c>
      <c r="L900" s="30">
        <v>326934705</v>
      </c>
      <c r="M900" s="26" t="s">
        <v>112</v>
      </c>
      <c r="N900" s="26" t="s">
        <v>578</v>
      </c>
      <c r="O900" s="26" t="s">
        <v>91</v>
      </c>
      <c r="P900" s="26" t="s">
        <v>4601</v>
      </c>
      <c r="Q900" s="20">
        <v>5736</v>
      </c>
      <c r="R900" s="26" t="s">
        <v>70</v>
      </c>
      <c r="S900" s="31">
        <v>5536</v>
      </c>
      <c r="T900" s="32">
        <v>45117</v>
      </c>
      <c r="U900" s="31">
        <v>100</v>
      </c>
      <c r="V900" s="32">
        <v>45124</v>
      </c>
      <c r="W900" s="26"/>
      <c r="X900" s="26"/>
      <c r="Y900" s="22">
        <v>100</v>
      </c>
      <c r="Z900" s="26" t="s">
        <v>118</v>
      </c>
      <c r="AA900" s="19" t="s">
        <v>4541</v>
      </c>
      <c r="AB900" s="26" t="s">
        <v>137</v>
      </c>
      <c r="AC900" s="26" t="s">
        <v>53</v>
      </c>
      <c r="AD900" s="19" t="s">
        <v>54</v>
      </c>
      <c r="AE900" s="26">
        <v>72</v>
      </c>
      <c r="AF900" s="17">
        <v>45181</v>
      </c>
      <c r="AG900" s="26"/>
      <c r="AH900" s="26"/>
      <c r="AI900" s="40"/>
      <c r="AJ900" s="26"/>
      <c r="AK900" s="26"/>
      <c r="AL900" s="35"/>
      <c r="AM900" s="35"/>
      <c r="AN900" s="35"/>
      <c r="AO900" s="35"/>
      <c r="AP900" s="35"/>
    </row>
    <row r="901" spans="1:42" x14ac:dyDescent="0.2">
      <c r="A901" s="27">
        <v>45179.213855821756</v>
      </c>
      <c r="B901" s="28" t="s">
        <v>37</v>
      </c>
      <c r="C901" s="41" t="s">
        <v>118</v>
      </c>
      <c r="D901" s="26" t="s">
        <v>36</v>
      </c>
      <c r="E901" s="26" t="s">
        <v>39</v>
      </c>
      <c r="F901" s="26" t="s">
        <v>289</v>
      </c>
      <c r="G901" s="26" t="s">
        <v>108</v>
      </c>
      <c r="H901" s="26" t="s">
        <v>2388</v>
      </c>
      <c r="I901" s="17">
        <f ca="1">IFERROR(__xludf.DUMMYFUNCTION("""COMPUTED_VALUE"""),45190)</f>
        <v>45190</v>
      </c>
      <c r="J901" s="29" t="s">
        <v>4602</v>
      </c>
      <c r="K901" s="26" t="s">
        <v>320</v>
      </c>
      <c r="L901" s="105" t="s">
        <v>4603</v>
      </c>
      <c r="M901" s="26" t="s">
        <v>112</v>
      </c>
      <c r="N901" s="26" t="s">
        <v>578</v>
      </c>
      <c r="O901" s="26" t="s">
        <v>91</v>
      </c>
      <c r="P901" s="26" t="s">
        <v>4604</v>
      </c>
      <c r="Q901" s="20">
        <v>5736</v>
      </c>
      <c r="R901" s="26" t="s">
        <v>70</v>
      </c>
      <c r="S901" s="31">
        <v>5536</v>
      </c>
      <c r="T901" s="32">
        <v>45117</v>
      </c>
      <c r="U901" s="31">
        <v>100</v>
      </c>
      <c r="V901" s="32">
        <v>45124</v>
      </c>
      <c r="W901" s="26"/>
      <c r="X901" s="26"/>
      <c r="Y901" s="22">
        <v>100</v>
      </c>
      <c r="Z901" s="26" t="s">
        <v>118</v>
      </c>
      <c r="AA901" s="19" t="s">
        <v>4541</v>
      </c>
      <c r="AB901" s="26" t="s">
        <v>154</v>
      </c>
      <c r="AC901" s="26" t="s">
        <v>53</v>
      </c>
      <c r="AD901" s="19" t="s">
        <v>54</v>
      </c>
      <c r="AE901" s="26">
        <v>68</v>
      </c>
      <c r="AF901" s="17">
        <v>45181</v>
      </c>
      <c r="AG901" s="26"/>
      <c r="AH901" s="26"/>
      <c r="AI901" s="40"/>
      <c r="AJ901" s="26"/>
      <c r="AK901" s="26"/>
      <c r="AL901" s="35"/>
      <c r="AM901" s="35"/>
      <c r="AN901" s="35"/>
      <c r="AO901" s="35"/>
      <c r="AP901" s="35"/>
    </row>
    <row r="902" spans="1:42" x14ac:dyDescent="0.2">
      <c r="A902" s="27">
        <v>44964.336935312502</v>
      </c>
      <c r="B902" s="68" t="s">
        <v>37</v>
      </c>
      <c r="C902" s="41" t="s">
        <v>118</v>
      </c>
      <c r="D902" s="26" t="s">
        <v>36</v>
      </c>
      <c r="E902" s="26" t="s">
        <v>148</v>
      </c>
      <c r="F902" s="35" t="s">
        <v>2147</v>
      </c>
      <c r="G902" s="35" t="s">
        <v>108</v>
      </c>
      <c r="H902" s="35" t="s">
        <v>2388</v>
      </c>
      <c r="I902" s="17">
        <f ca="1">IFERROR(__xludf.DUMMYFUNCTION("""COMPUTED_VALUE"""),45190)</f>
        <v>45190</v>
      </c>
      <c r="J902" s="103" t="s">
        <v>4605</v>
      </c>
      <c r="K902" s="26" t="s">
        <v>4606</v>
      </c>
      <c r="L902" s="83">
        <v>377603846</v>
      </c>
      <c r="M902" s="26" t="s">
        <v>80</v>
      </c>
      <c r="N902" s="35" t="s">
        <v>4607</v>
      </c>
      <c r="O902" s="35"/>
      <c r="P902" s="72" t="s">
        <v>4608</v>
      </c>
      <c r="Q902" s="20">
        <v>7349</v>
      </c>
      <c r="R902" s="26" t="s">
        <v>36</v>
      </c>
      <c r="S902" s="31">
        <v>6804</v>
      </c>
      <c r="T902" s="32">
        <v>44979</v>
      </c>
      <c r="U902" s="19">
        <v>400</v>
      </c>
      <c r="V902" s="51">
        <v>154535</v>
      </c>
      <c r="W902" s="108" t="s">
        <v>4609</v>
      </c>
      <c r="X902" s="35"/>
      <c r="Y902" s="22">
        <v>145</v>
      </c>
      <c r="Z902" s="35" t="s">
        <v>118</v>
      </c>
      <c r="AA902" s="19" t="s">
        <v>4541</v>
      </c>
      <c r="AB902" s="35" t="s">
        <v>2408</v>
      </c>
      <c r="AC902" s="26" t="s">
        <v>53</v>
      </c>
      <c r="AD902" s="19" t="s">
        <v>54</v>
      </c>
      <c r="AE902" s="19">
        <v>410</v>
      </c>
      <c r="AF902" s="17">
        <v>45184</v>
      </c>
      <c r="AG902" s="26">
        <v>377605846</v>
      </c>
      <c r="AH902" s="36"/>
      <c r="AI902" s="37"/>
      <c r="AJ902" s="35"/>
      <c r="AK902" s="35"/>
      <c r="AL902" s="35"/>
      <c r="AM902" s="35"/>
      <c r="AN902" s="35"/>
      <c r="AO902" s="35"/>
      <c r="AP902" s="35"/>
    </row>
    <row r="903" spans="1:42" x14ac:dyDescent="0.2">
      <c r="A903" s="27">
        <v>45183.073521481478</v>
      </c>
      <c r="B903" s="28" t="s">
        <v>37</v>
      </c>
      <c r="C903" s="41" t="s">
        <v>118</v>
      </c>
      <c r="D903" s="26" t="s">
        <v>36</v>
      </c>
      <c r="E903" s="26" t="s">
        <v>106</v>
      </c>
      <c r="F903" s="26" t="s">
        <v>91</v>
      </c>
      <c r="G903" s="26" t="s">
        <v>108</v>
      </c>
      <c r="H903" s="26" t="s">
        <v>1748</v>
      </c>
      <c r="I903" s="17">
        <f ca="1">IFERROR(__xludf.DUMMYFUNCTION("""COMPUTED_VALUE"""),45190)</f>
        <v>45190</v>
      </c>
      <c r="J903" s="29" t="s">
        <v>4610</v>
      </c>
      <c r="K903" s="26" t="s">
        <v>4611</v>
      </c>
      <c r="L903" s="30">
        <v>346012371</v>
      </c>
      <c r="M903" s="26" t="s">
        <v>94</v>
      </c>
      <c r="N903" s="26" t="s">
        <v>200</v>
      </c>
      <c r="O903" s="26" t="s">
        <v>4612</v>
      </c>
      <c r="P903" s="26" t="s">
        <v>4613</v>
      </c>
      <c r="Q903" s="20">
        <v>3768</v>
      </c>
      <c r="R903" s="26" t="s">
        <v>36</v>
      </c>
      <c r="S903" s="31">
        <v>1000</v>
      </c>
      <c r="T903" s="32">
        <v>45221</v>
      </c>
      <c r="U903" s="31">
        <v>6824</v>
      </c>
      <c r="V903" s="32">
        <v>44858</v>
      </c>
      <c r="W903" s="33" t="s">
        <v>4614</v>
      </c>
      <c r="X903" s="26"/>
      <c r="Y903" s="22">
        <v>-4056</v>
      </c>
      <c r="Z903" s="26" t="s">
        <v>118</v>
      </c>
      <c r="AA903" s="19" t="s">
        <v>4541</v>
      </c>
      <c r="AB903" s="26" t="s">
        <v>137</v>
      </c>
      <c r="AC903" s="26" t="s">
        <v>53</v>
      </c>
      <c r="AD903" s="19" t="s">
        <v>54</v>
      </c>
      <c r="AE903" s="26">
        <v>570</v>
      </c>
      <c r="AF903" s="17">
        <v>45184</v>
      </c>
      <c r="AG903" s="72" t="s">
        <v>4615</v>
      </c>
      <c r="AH903" s="26"/>
      <c r="AI903" s="40"/>
      <c r="AJ903" s="26"/>
      <c r="AK903" s="26"/>
      <c r="AL903" s="35"/>
      <c r="AM903" s="35"/>
      <c r="AN903" s="35"/>
      <c r="AO903" s="35"/>
      <c r="AP903" s="35"/>
    </row>
    <row r="904" spans="1:42" x14ac:dyDescent="0.2">
      <c r="A904" s="27">
        <v>45171.427104525465</v>
      </c>
      <c r="B904" s="28" t="s">
        <v>37</v>
      </c>
      <c r="C904" s="41" t="s">
        <v>118</v>
      </c>
      <c r="D904" s="26" t="s">
        <v>36</v>
      </c>
      <c r="E904" s="26" t="s">
        <v>106</v>
      </c>
      <c r="F904" s="26" t="s">
        <v>4616</v>
      </c>
      <c r="G904" s="26" t="s">
        <v>108</v>
      </c>
      <c r="H904" s="26" t="s">
        <v>1721</v>
      </c>
      <c r="I904" s="17">
        <f ca="1">IFERROR(__xludf.DUMMYFUNCTION("""COMPUTED_VALUE"""),45189)</f>
        <v>45189</v>
      </c>
      <c r="J904" s="29" t="s">
        <v>4617</v>
      </c>
      <c r="K904" s="26" t="s">
        <v>4618</v>
      </c>
      <c r="L904" s="30">
        <v>374348168</v>
      </c>
      <c r="M904" s="26" t="s">
        <v>94</v>
      </c>
      <c r="N904" s="26" t="s">
        <v>341</v>
      </c>
      <c r="O904" s="26" t="s">
        <v>4619</v>
      </c>
      <c r="P904" s="26" t="s">
        <v>4620</v>
      </c>
      <c r="Q904" s="20">
        <v>3768</v>
      </c>
      <c r="R904" s="26" t="s">
        <v>36</v>
      </c>
      <c r="S904" s="31">
        <v>1000</v>
      </c>
      <c r="T904" s="32">
        <v>45133</v>
      </c>
      <c r="U904" s="31">
        <v>2508</v>
      </c>
      <c r="V904" s="32">
        <v>45169</v>
      </c>
      <c r="W904" s="33" t="s">
        <v>4621</v>
      </c>
      <c r="X904" s="26">
        <v>100</v>
      </c>
      <c r="Y904" s="22">
        <v>160</v>
      </c>
      <c r="Z904" s="109" t="s">
        <v>118</v>
      </c>
      <c r="AA904" s="19" t="s">
        <v>4541</v>
      </c>
      <c r="AB904" s="26" t="s">
        <v>137</v>
      </c>
      <c r="AC904" s="26" t="s">
        <v>53</v>
      </c>
      <c r="AD904" s="19" t="s">
        <v>54</v>
      </c>
      <c r="AE904" s="26">
        <v>430</v>
      </c>
      <c r="AF904" s="17">
        <v>45184</v>
      </c>
      <c r="AG904" s="72" t="s">
        <v>4622</v>
      </c>
      <c r="AH904" s="26">
        <v>1</v>
      </c>
      <c r="AI904" s="40">
        <v>1</v>
      </c>
      <c r="AJ904" s="26"/>
      <c r="AK904" s="26"/>
      <c r="AL904" s="35"/>
      <c r="AM904" s="35"/>
      <c r="AN904" s="35"/>
      <c r="AO904" s="35"/>
      <c r="AP904" s="35"/>
    </row>
    <row r="905" spans="1:42" x14ac:dyDescent="0.2">
      <c r="A905" s="27">
        <v>45183.100386273145</v>
      </c>
      <c r="B905" s="28" t="s">
        <v>37</v>
      </c>
      <c r="C905" s="41" t="s">
        <v>118</v>
      </c>
      <c r="D905" s="26" t="s">
        <v>36</v>
      </c>
      <c r="E905" s="26" t="s">
        <v>106</v>
      </c>
      <c r="F905" s="26" t="s">
        <v>4623</v>
      </c>
      <c r="G905" s="26" t="s">
        <v>108</v>
      </c>
      <c r="H905" s="26" t="s">
        <v>1748</v>
      </c>
      <c r="I905" s="17">
        <f ca="1">IFERROR(__xludf.DUMMYFUNCTION("""COMPUTED_VALUE"""),45190)</f>
        <v>45190</v>
      </c>
      <c r="J905" s="29" t="s">
        <v>4624</v>
      </c>
      <c r="K905" s="26" t="s">
        <v>4625</v>
      </c>
      <c r="L905" s="30">
        <v>867761906</v>
      </c>
      <c r="M905" s="26" t="s">
        <v>94</v>
      </c>
      <c r="N905" s="26" t="s">
        <v>1358</v>
      </c>
      <c r="O905" s="26" t="s">
        <v>4626</v>
      </c>
      <c r="P905" s="26" t="s">
        <v>4627</v>
      </c>
      <c r="Q905" s="20">
        <v>3768</v>
      </c>
      <c r="R905" s="26" t="s">
        <v>36</v>
      </c>
      <c r="S905" s="31">
        <v>3768</v>
      </c>
      <c r="T905" s="32">
        <v>45042</v>
      </c>
      <c r="U905" s="31"/>
      <c r="V905" s="26"/>
      <c r="W905" s="26"/>
      <c r="X905" s="26"/>
      <c r="Y905" s="22">
        <v>0</v>
      </c>
      <c r="Z905" s="26" t="s">
        <v>118</v>
      </c>
      <c r="AA905" s="19" t="s">
        <v>4541</v>
      </c>
      <c r="AB905" s="26" t="s">
        <v>137</v>
      </c>
      <c r="AC905" s="26" t="s">
        <v>53</v>
      </c>
      <c r="AD905" s="19" t="s">
        <v>54</v>
      </c>
      <c r="AE905" s="26">
        <v>360</v>
      </c>
      <c r="AF905" s="17">
        <v>45184</v>
      </c>
      <c r="AG905" s="26"/>
      <c r="AH905" s="26"/>
      <c r="AI905" s="40"/>
      <c r="AJ905" s="26"/>
      <c r="AK905" s="26"/>
      <c r="AL905" s="35"/>
      <c r="AM905" s="35"/>
      <c r="AN905" s="35"/>
      <c r="AO905" s="35"/>
      <c r="AP905" s="35"/>
    </row>
    <row r="906" spans="1:42" x14ac:dyDescent="0.2">
      <c r="A906" s="27">
        <v>45183.103007546291</v>
      </c>
      <c r="B906" s="28" t="s">
        <v>37</v>
      </c>
      <c r="C906" s="41" t="s">
        <v>118</v>
      </c>
      <c r="D906" s="26" t="s">
        <v>36</v>
      </c>
      <c r="E906" s="26" t="s">
        <v>106</v>
      </c>
      <c r="F906" s="26" t="s">
        <v>4623</v>
      </c>
      <c r="G906" s="26" t="s">
        <v>108</v>
      </c>
      <c r="H906" s="26" t="s">
        <v>1748</v>
      </c>
      <c r="I906" s="17">
        <f ca="1">IFERROR(__xludf.DUMMYFUNCTION("""COMPUTED_VALUE"""),45190)</f>
        <v>45190</v>
      </c>
      <c r="J906" s="29" t="s">
        <v>4628</v>
      </c>
      <c r="K906" s="26" t="s">
        <v>4629</v>
      </c>
      <c r="L906" s="30">
        <v>395323575</v>
      </c>
      <c r="M906" s="26" t="s">
        <v>94</v>
      </c>
      <c r="N906" s="26" t="s">
        <v>1358</v>
      </c>
      <c r="O906" s="26" t="s">
        <v>40</v>
      </c>
      <c r="P906" s="26" t="s">
        <v>4630</v>
      </c>
      <c r="Q906" s="20">
        <v>3768</v>
      </c>
      <c r="R906" s="26" t="s">
        <v>36</v>
      </c>
      <c r="S906" s="31">
        <v>7824</v>
      </c>
      <c r="T906" s="32">
        <v>45042</v>
      </c>
      <c r="U906" s="31"/>
      <c r="V906" s="26"/>
      <c r="W906" s="26"/>
      <c r="X906" s="26"/>
      <c r="Y906" s="22">
        <v>-4056</v>
      </c>
      <c r="Z906" s="26" t="s">
        <v>118</v>
      </c>
      <c r="AA906" s="19" t="s">
        <v>4541</v>
      </c>
      <c r="AB906" s="26" t="s">
        <v>128</v>
      </c>
      <c r="AC906" s="26" t="s">
        <v>53</v>
      </c>
      <c r="AD906" s="19" t="s">
        <v>54</v>
      </c>
      <c r="AE906" s="26">
        <v>360</v>
      </c>
      <c r="AF906" s="17">
        <v>45184</v>
      </c>
      <c r="AG906" s="26"/>
      <c r="AH906" s="26"/>
      <c r="AI906" s="40"/>
      <c r="AJ906" s="26"/>
      <c r="AK906" s="26"/>
      <c r="AL906" s="35"/>
      <c r="AM906" s="35"/>
      <c r="AN906" s="35"/>
      <c r="AO906" s="35"/>
      <c r="AP906" s="35"/>
    </row>
    <row r="907" spans="1:42" x14ac:dyDescent="0.2">
      <c r="A907" s="27">
        <v>45117.678283958332</v>
      </c>
      <c r="B907" s="28" t="s">
        <v>37</v>
      </c>
      <c r="C907" s="41" t="s">
        <v>118</v>
      </c>
      <c r="D907" s="26" t="s">
        <v>36</v>
      </c>
      <c r="E907" s="26" t="s">
        <v>56</v>
      </c>
      <c r="F907" s="26" t="s">
        <v>257</v>
      </c>
      <c r="G907" s="26" t="s">
        <v>108</v>
      </c>
      <c r="H907" s="26" t="s">
        <v>2595</v>
      </c>
      <c r="I907" s="17">
        <f ca="1">IFERROR(__xludf.DUMMYFUNCTION("""COMPUTED_VALUE"""),45191)</f>
        <v>45191</v>
      </c>
      <c r="J907" s="29" t="s">
        <v>968</v>
      </c>
      <c r="K907" s="26" t="s">
        <v>4631</v>
      </c>
      <c r="L907" s="30">
        <v>964458478</v>
      </c>
      <c r="M907" s="26" t="s">
        <v>123</v>
      </c>
      <c r="N907" s="26" t="s">
        <v>4632</v>
      </c>
      <c r="O907" s="26" t="s">
        <v>970</v>
      </c>
      <c r="P907" s="26" t="s">
        <v>971</v>
      </c>
      <c r="Q907" s="20">
        <v>9317</v>
      </c>
      <c r="R907" s="26" t="s">
        <v>36</v>
      </c>
      <c r="S907" s="31">
        <v>2000</v>
      </c>
      <c r="T907" s="32">
        <v>45117</v>
      </c>
      <c r="U907" s="31">
        <v>7350</v>
      </c>
      <c r="V907" s="32">
        <v>45148</v>
      </c>
      <c r="W907" s="33" t="s">
        <v>972</v>
      </c>
      <c r="X907" s="26">
        <v>0</v>
      </c>
      <c r="Y907" s="22">
        <v>-33</v>
      </c>
      <c r="Z907" s="34" t="s">
        <v>118</v>
      </c>
      <c r="AA907" s="19" t="s">
        <v>4541</v>
      </c>
      <c r="AB907" s="26"/>
      <c r="AC907" s="26" t="s">
        <v>53</v>
      </c>
      <c r="AD907" s="19" t="s">
        <v>54</v>
      </c>
      <c r="AE907" s="26">
        <v>0</v>
      </c>
      <c r="AF907" s="17">
        <v>45191</v>
      </c>
      <c r="AG907" s="26" t="s">
        <v>1631</v>
      </c>
      <c r="AH907" s="26" t="s">
        <v>936</v>
      </c>
      <c r="AI907" s="40" t="s">
        <v>64</v>
      </c>
      <c r="AJ907" s="26"/>
      <c r="AK907" s="26"/>
      <c r="AL907" s="35"/>
      <c r="AM907" s="35"/>
      <c r="AN907" s="35"/>
      <c r="AO907" s="35"/>
      <c r="AP907" s="35"/>
    </row>
    <row r="908" spans="1:42" x14ac:dyDescent="0.2">
      <c r="A908" s="27">
        <v>45183.989851851853</v>
      </c>
      <c r="B908" s="28" t="s">
        <v>37</v>
      </c>
      <c r="C908" s="41" t="s">
        <v>118</v>
      </c>
      <c r="D908" s="26" t="s">
        <v>36</v>
      </c>
      <c r="E908" s="26" t="s">
        <v>139</v>
      </c>
      <c r="F908" s="26" t="s">
        <v>512</v>
      </c>
      <c r="G908" s="26" t="s">
        <v>108</v>
      </c>
      <c r="H908" s="26" t="s">
        <v>4633</v>
      </c>
      <c r="I908" s="17">
        <f ca="1">IFERROR(__xludf.DUMMYFUNCTION("""COMPUTED_VALUE"""),45365)</f>
        <v>45365</v>
      </c>
      <c r="J908" s="29" t="s">
        <v>1066</v>
      </c>
      <c r="K908" s="26" t="s">
        <v>4634</v>
      </c>
      <c r="L908" s="30">
        <v>377425236</v>
      </c>
      <c r="M908" s="26" t="s">
        <v>112</v>
      </c>
      <c r="N908" s="26" t="s">
        <v>578</v>
      </c>
      <c r="O908" s="26" t="s">
        <v>91</v>
      </c>
      <c r="P908" s="26" t="s">
        <v>1069</v>
      </c>
      <c r="Q908" s="20">
        <v>15936</v>
      </c>
      <c r="R908" s="26" t="s">
        <v>36</v>
      </c>
      <c r="S908" s="31">
        <v>4000</v>
      </c>
      <c r="T908" s="32">
        <v>45125</v>
      </c>
      <c r="U908" s="31">
        <v>11936</v>
      </c>
      <c r="V908" s="32">
        <v>45152</v>
      </c>
      <c r="W908" s="26"/>
      <c r="X908" s="26"/>
      <c r="Y908" s="22">
        <v>0</v>
      </c>
      <c r="Z908" s="26" t="s">
        <v>118</v>
      </c>
      <c r="AA908" s="19" t="s">
        <v>4541</v>
      </c>
      <c r="AB908" s="26" t="s">
        <v>128</v>
      </c>
      <c r="AC908" s="26" t="s">
        <v>53</v>
      </c>
      <c r="AD908" s="19" t="s">
        <v>54</v>
      </c>
      <c r="AE908" s="26">
        <v>56</v>
      </c>
      <c r="AF908" s="17">
        <v>45187</v>
      </c>
      <c r="AG908" s="26"/>
      <c r="AH908" s="26"/>
      <c r="AI908" s="40"/>
      <c r="AJ908" s="26"/>
      <c r="AK908" s="26"/>
      <c r="AL908" s="35"/>
      <c r="AM908" s="35"/>
      <c r="AN908" s="35"/>
      <c r="AO908" s="35"/>
      <c r="AP908" s="35"/>
    </row>
    <row r="909" spans="1:42" x14ac:dyDescent="0.2">
      <c r="A909" s="27">
        <v>45183.99388011574</v>
      </c>
      <c r="B909" s="28" t="s">
        <v>37</v>
      </c>
      <c r="C909" s="41" t="s">
        <v>118</v>
      </c>
      <c r="D909" s="26" t="s">
        <v>36</v>
      </c>
      <c r="E909" s="26" t="s">
        <v>39</v>
      </c>
      <c r="F909" s="26" t="s">
        <v>512</v>
      </c>
      <c r="G909" s="26" t="s">
        <v>108</v>
      </c>
      <c r="H909" s="26" t="s">
        <v>1748</v>
      </c>
      <c r="I909" s="17">
        <f ca="1">IFERROR(__xludf.DUMMYFUNCTION("""COMPUTED_VALUE"""),45190)</f>
        <v>45190</v>
      </c>
      <c r="J909" s="29" t="s">
        <v>540</v>
      </c>
      <c r="K909" s="26" t="s">
        <v>4635</v>
      </c>
      <c r="L909" s="30">
        <v>384268008</v>
      </c>
      <c r="M909" s="26" t="s">
        <v>112</v>
      </c>
      <c r="N909" s="26" t="s">
        <v>578</v>
      </c>
      <c r="O909" s="26" t="s">
        <v>91</v>
      </c>
      <c r="P909" s="26" t="s">
        <v>4636</v>
      </c>
      <c r="Q909" s="20">
        <v>5736</v>
      </c>
      <c r="R909" s="26" t="s">
        <v>36</v>
      </c>
      <c r="S909" s="31">
        <v>2000</v>
      </c>
      <c r="T909" s="32">
        <v>45127</v>
      </c>
      <c r="U909" s="31">
        <v>3736</v>
      </c>
      <c r="V909" s="32">
        <v>45137</v>
      </c>
      <c r="W909" s="33" t="s">
        <v>544</v>
      </c>
      <c r="X909" s="26">
        <v>0</v>
      </c>
      <c r="Y909" s="22">
        <v>0</v>
      </c>
      <c r="Z909" s="26" t="s">
        <v>118</v>
      </c>
      <c r="AA909" s="19" t="s">
        <v>4541</v>
      </c>
      <c r="AB909" s="26" t="s">
        <v>137</v>
      </c>
      <c r="AC909" s="26" t="s">
        <v>53</v>
      </c>
      <c r="AD909" s="19" t="s">
        <v>54</v>
      </c>
      <c r="AE909" s="26">
        <v>82</v>
      </c>
      <c r="AF909" s="17">
        <v>45184</v>
      </c>
      <c r="AG909" s="26"/>
      <c r="AH909" s="26"/>
      <c r="AI909" s="40"/>
      <c r="AJ909" s="26"/>
      <c r="AK909" s="26"/>
      <c r="AL909" s="35"/>
      <c r="AM909" s="35"/>
      <c r="AN909" s="35"/>
      <c r="AO909" s="35"/>
      <c r="AP909" s="35"/>
    </row>
    <row r="910" spans="1:42" x14ac:dyDescent="0.2">
      <c r="A910" s="27">
        <v>45184.951067465277</v>
      </c>
      <c r="B910" s="28" t="s">
        <v>37</v>
      </c>
      <c r="C910" s="41" t="s">
        <v>118</v>
      </c>
      <c r="D910" s="26" t="s">
        <v>36</v>
      </c>
      <c r="E910" s="26" t="s">
        <v>39</v>
      </c>
      <c r="F910" s="26" t="s">
        <v>345</v>
      </c>
      <c r="G910" s="26" t="s">
        <v>108</v>
      </c>
      <c r="H910" s="26" t="s">
        <v>2377</v>
      </c>
      <c r="I910" s="17">
        <f ca="1">IFERROR(__xludf.DUMMYFUNCTION("""COMPUTED_VALUE"""),45197)</f>
        <v>45197</v>
      </c>
      <c r="J910" s="29" t="s">
        <v>401</v>
      </c>
      <c r="K910" s="26" t="s">
        <v>402</v>
      </c>
      <c r="L910" s="30">
        <v>944409803</v>
      </c>
      <c r="M910" s="26" t="s">
        <v>112</v>
      </c>
      <c r="N910" s="26" t="s">
        <v>578</v>
      </c>
      <c r="O910" s="26" t="s">
        <v>91</v>
      </c>
      <c r="P910" s="26" t="s">
        <v>4637</v>
      </c>
      <c r="Q910" s="20">
        <v>5736</v>
      </c>
      <c r="R910" s="26" t="s">
        <v>36</v>
      </c>
      <c r="S910" s="31">
        <v>2000</v>
      </c>
      <c r="T910" s="32">
        <v>45120</v>
      </c>
      <c r="U910" s="31">
        <v>3636</v>
      </c>
      <c r="V910" s="32">
        <v>45137</v>
      </c>
      <c r="W910" s="26"/>
      <c r="X910" s="26"/>
      <c r="Y910" s="22">
        <v>100</v>
      </c>
      <c r="Z910" s="26" t="s">
        <v>118</v>
      </c>
      <c r="AA910" s="19" t="s">
        <v>4541</v>
      </c>
      <c r="AB910" s="26" t="s">
        <v>137</v>
      </c>
      <c r="AC910" s="26" t="s">
        <v>53</v>
      </c>
      <c r="AD910" s="19" t="s">
        <v>54</v>
      </c>
      <c r="AE910" s="26">
        <v>87</v>
      </c>
      <c r="AF910" s="17">
        <v>45187</v>
      </c>
      <c r="AG910" s="26"/>
      <c r="AH910" s="26"/>
      <c r="AI910" s="40"/>
      <c r="AJ910" s="26"/>
      <c r="AK910" s="26"/>
      <c r="AL910" s="35"/>
      <c r="AM910" s="35"/>
      <c r="AN910" s="35"/>
      <c r="AO910" s="35"/>
      <c r="AP910" s="35"/>
    </row>
    <row r="911" spans="1:42" x14ac:dyDescent="0.2">
      <c r="A911" s="27">
        <v>45184.953010613426</v>
      </c>
      <c r="B911" s="28" t="s">
        <v>37</v>
      </c>
      <c r="C911" s="41" t="s">
        <v>118</v>
      </c>
      <c r="D911" s="26" t="s">
        <v>36</v>
      </c>
      <c r="E911" s="26" t="s">
        <v>39</v>
      </c>
      <c r="F911" s="26" t="s">
        <v>345</v>
      </c>
      <c r="G911" s="26" t="s">
        <v>108</v>
      </c>
      <c r="H911" s="26" t="s">
        <v>2377</v>
      </c>
      <c r="I911" s="17">
        <f ca="1">IFERROR(__xludf.DUMMYFUNCTION("""COMPUTED_VALUE"""),45197)</f>
        <v>45197</v>
      </c>
      <c r="J911" s="29" t="s">
        <v>407</v>
      </c>
      <c r="K911" s="26" t="s">
        <v>4638</v>
      </c>
      <c r="L911" s="30">
        <v>336823067</v>
      </c>
      <c r="M911" s="26" t="s">
        <v>112</v>
      </c>
      <c r="N911" s="26" t="s">
        <v>578</v>
      </c>
      <c r="O911" s="26" t="s">
        <v>91</v>
      </c>
      <c r="P911" s="26" t="s">
        <v>4639</v>
      </c>
      <c r="Q911" s="20">
        <v>5736</v>
      </c>
      <c r="R911" s="26" t="s">
        <v>70</v>
      </c>
      <c r="S911" s="31">
        <v>5636</v>
      </c>
      <c r="T911" s="32">
        <v>45118</v>
      </c>
      <c r="U911" s="31"/>
      <c r="V911" s="26"/>
      <c r="W911" s="26"/>
      <c r="X911" s="26"/>
      <c r="Y911" s="22">
        <v>100</v>
      </c>
      <c r="Z911" s="26" t="s">
        <v>118</v>
      </c>
      <c r="AA911" s="19" t="s">
        <v>4541</v>
      </c>
      <c r="AB911" s="26" t="s">
        <v>137</v>
      </c>
      <c r="AC911" s="26" t="s">
        <v>53</v>
      </c>
      <c r="AD911" s="19" t="s">
        <v>54</v>
      </c>
      <c r="AE911" s="26">
        <v>66</v>
      </c>
      <c r="AF911" s="17">
        <v>45187</v>
      </c>
      <c r="AG911" s="26"/>
      <c r="AH911" s="26"/>
      <c r="AI911" s="40"/>
      <c r="AJ911" s="26"/>
      <c r="AK911" s="26"/>
      <c r="AL911" s="35"/>
      <c r="AM911" s="35"/>
      <c r="AN911" s="35"/>
      <c r="AO911" s="35"/>
      <c r="AP911" s="35"/>
    </row>
    <row r="912" spans="1:42" x14ac:dyDescent="0.2">
      <c r="A912" s="27">
        <v>45184.955031423611</v>
      </c>
      <c r="B912" s="28" t="s">
        <v>37</v>
      </c>
      <c r="C912" s="41" t="s">
        <v>118</v>
      </c>
      <c r="D912" s="26" t="s">
        <v>36</v>
      </c>
      <c r="E912" s="26" t="s">
        <v>139</v>
      </c>
      <c r="F912" s="26" t="s">
        <v>345</v>
      </c>
      <c r="G912" s="26" t="s">
        <v>108</v>
      </c>
      <c r="H912" s="26" t="s">
        <v>2595</v>
      </c>
      <c r="I912" s="17">
        <f ca="1">IFERROR(__xludf.DUMMYFUNCTION("""COMPUTED_VALUE"""),45191)</f>
        <v>45191</v>
      </c>
      <c r="J912" s="29" t="s">
        <v>996</v>
      </c>
      <c r="K912" s="26" t="s">
        <v>4640</v>
      </c>
      <c r="L912" s="30">
        <v>372627914</v>
      </c>
      <c r="M912" s="26" t="s">
        <v>59</v>
      </c>
      <c r="N912" s="26" t="s">
        <v>60</v>
      </c>
      <c r="O912" s="26" t="s">
        <v>91</v>
      </c>
      <c r="P912" s="26" t="s">
        <v>4641</v>
      </c>
      <c r="Q912" s="20">
        <v>15936</v>
      </c>
      <c r="R912" s="26" t="s">
        <v>36</v>
      </c>
      <c r="S912" s="31">
        <v>7000</v>
      </c>
      <c r="T912" s="32">
        <v>45118</v>
      </c>
      <c r="U912" s="31">
        <v>8936</v>
      </c>
      <c r="V912" s="32">
        <v>45152</v>
      </c>
      <c r="W912" s="33" t="s">
        <v>1000</v>
      </c>
      <c r="X912" s="26">
        <v>0</v>
      </c>
      <c r="Y912" s="22">
        <v>0</v>
      </c>
      <c r="Z912" s="26" t="s">
        <v>118</v>
      </c>
      <c r="AA912" s="19" t="s">
        <v>4541</v>
      </c>
      <c r="AB912" s="26" t="s">
        <v>137</v>
      </c>
      <c r="AC912" s="26" t="s">
        <v>53</v>
      </c>
      <c r="AD912" s="19" t="s">
        <v>138</v>
      </c>
      <c r="AE912" s="26">
        <v>81</v>
      </c>
      <c r="AF912" s="17">
        <v>45191</v>
      </c>
      <c r="AG912" s="26" t="s">
        <v>1631</v>
      </c>
      <c r="AH912" s="26"/>
      <c r="AI912" s="40"/>
      <c r="AJ912" s="26"/>
      <c r="AK912" s="26"/>
      <c r="AL912" s="35"/>
      <c r="AM912" s="35"/>
      <c r="AN912" s="35"/>
      <c r="AO912" s="35"/>
      <c r="AP912" s="35"/>
    </row>
    <row r="913" spans="1:42" x14ac:dyDescent="0.2">
      <c r="A913" s="27">
        <v>45184.957415335652</v>
      </c>
      <c r="B913" s="28" t="s">
        <v>37</v>
      </c>
      <c r="C913" s="41" t="s">
        <v>118</v>
      </c>
      <c r="D913" s="26" t="s">
        <v>36</v>
      </c>
      <c r="E913" s="26" t="s">
        <v>56</v>
      </c>
      <c r="F913" s="26" t="s">
        <v>345</v>
      </c>
      <c r="G913" s="26" t="s">
        <v>108</v>
      </c>
      <c r="H913" s="26" t="s">
        <v>2377</v>
      </c>
      <c r="I913" s="17">
        <f ca="1">IFERROR(__xludf.DUMMYFUNCTION("""COMPUTED_VALUE"""),45197)</f>
        <v>45197</v>
      </c>
      <c r="J913" s="29" t="s">
        <v>986</v>
      </c>
      <c r="K913" s="26" t="s">
        <v>4642</v>
      </c>
      <c r="L913" s="30">
        <v>326120501</v>
      </c>
      <c r="M913" s="26" t="s">
        <v>112</v>
      </c>
      <c r="N913" s="26" t="s">
        <v>578</v>
      </c>
      <c r="O913" s="26" t="s">
        <v>91</v>
      </c>
      <c r="P913" s="26" t="s">
        <v>4643</v>
      </c>
      <c r="Q913" s="20">
        <v>9317</v>
      </c>
      <c r="R913" s="26" t="s">
        <v>36</v>
      </c>
      <c r="S913" s="31">
        <v>2000</v>
      </c>
      <c r="T913" s="32">
        <v>45119</v>
      </c>
      <c r="U913" s="31">
        <v>7317</v>
      </c>
      <c r="V913" s="32">
        <v>45147</v>
      </c>
      <c r="W913" s="33" t="s">
        <v>990</v>
      </c>
      <c r="X913" s="26">
        <v>0</v>
      </c>
      <c r="Y913" s="22">
        <v>0</v>
      </c>
      <c r="Z913" s="26" t="s">
        <v>118</v>
      </c>
      <c r="AA913" s="19" t="s">
        <v>4541</v>
      </c>
      <c r="AB913" s="26" t="s">
        <v>137</v>
      </c>
      <c r="AC913" s="26" t="s">
        <v>53</v>
      </c>
      <c r="AD913" s="19" t="s">
        <v>54</v>
      </c>
      <c r="AE913" s="26">
        <v>53</v>
      </c>
      <c r="AF913" s="17">
        <v>45187</v>
      </c>
      <c r="AG913" s="26"/>
      <c r="AH913" s="26"/>
      <c r="AI913" s="40"/>
      <c r="AJ913" s="26"/>
      <c r="AK913" s="26"/>
      <c r="AL913" s="35"/>
      <c r="AM913" s="35"/>
      <c r="AN913" s="35"/>
      <c r="AO913" s="35"/>
      <c r="AP913" s="35"/>
    </row>
    <row r="914" spans="1:42" x14ac:dyDescent="0.2">
      <c r="A914" s="27">
        <v>45185.943364456019</v>
      </c>
      <c r="B914" s="28" t="s">
        <v>37</v>
      </c>
      <c r="C914" s="41" t="s">
        <v>118</v>
      </c>
      <c r="D914" s="26" t="s">
        <v>36</v>
      </c>
      <c r="E914" s="26" t="s">
        <v>56</v>
      </c>
      <c r="F914" s="26" t="s">
        <v>512</v>
      </c>
      <c r="G914" s="26" t="s">
        <v>108</v>
      </c>
      <c r="H914" s="26" t="s">
        <v>2401</v>
      </c>
      <c r="I914" s="17">
        <f ca="1">IFERROR(__xludf.DUMMYFUNCTION("""COMPUTED_VALUE"""),45197)</f>
        <v>45197</v>
      </c>
      <c r="J914" s="29" t="s">
        <v>1082</v>
      </c>
      <c r="K914" s="26" t="s">
        <v>1083</v>
      </c>
      <c r="L914" s="30">
        <v>967317306</v>
      </c>
      <c r="M914" s="26" t="s">
        <v>80</v>
      </c>
      <c r="N914" s="26" t="s">
        <v>299</v>
      </c>
      <c r="O914" s="26" t="s">
        <v>91</v>
      </c>
      <c r="P914" s="26" t="s">
        <v>4644</v>
      </c>
      <c r="Q914" s="20">
        <v>9317</v>
      </c>
      <c r="R914" s="26" t="s">
        <v>36</v>
      </c>
      <c r="S914" s="31">
        <v>2000</v>
      </c>
      <c r="T914" s="32">
        <v>45126</v>
      </c>
      <c r="U914" s="31">
        <v>7317</v>
      </c>
      <c r="V914" s="32">
        <v>45152</v>
      </c>
      <c r="W914" s="33" t="s">
        <v>1086</v>
      </c>
      <c r="X914" s="26">
        <v>0</v>
      </c>
      <c r="Y914" s="22">
        <v>0</v>
      </c>
      <c r="Z914" s="26" t="s">
        <v>118</v>
      </c>
      <c r="AA914" s="19" t="s">
        <v>4541</v>
      </c>
      <c r="AB914" s="26" t="s">
        <v>137</v>
      </c>
      <c r="AC914" s="26" t="s">
        <v>53</v>
      </c>
      <c r="AD914" s="19" t="s">
        <v>54</v>
      </c>
      <c r="AE914" s="26" t="s">
        <v>512</v>
      </c>
      <c r="AF914" s="17">
        <v>45187</v>
      </c>
      <c r="AG914" s="26"/>
      <c r="AH914" s="26"/>
      <c r="AI914" s="40"/>
      <c r="AJ914" s="26"/>
      <c r="AK914" s="26"/>
      <c r="AL914" s="35"/>
      <c r="AM914" s="35"/>
      <c r="AN914" s="35"/>
      <c r="AO914" s="35"/>
      <c r="AP914" s="35"/>
    </row>
    <row r="915" spans="1:42" x14ac:dyDescent="0.2">
      <c r="A915" s="27">
        <v>45186.717114131941</v>
      </c>
      <c r="B915" s="28" t="s">
        <v>37</v>
      </c>
      <c r="C915" s="41" t="s">
        <v>118</v>
      </c>
      <c r="D915" s="26" t="s">
        <v>36</v>
      </c>
      <c r="E915" s="26" t="s">
        <v>148</v>
      </c>
      <c r="F915" s="26" t="s">
        <v>4645</v>
      </c>
      <c r="G915" s="26" t="s">
        <v>221</v>
      </c>
      <c r="H915" s="26" t="s">
        <v>4646</v>
      </c>
      <c r="I915" s="17">
        <f ca="1">IFERROR(__xludf.DUMMYFUNCTION("""COMPUTED_VALUE"""),45370)</f>
        <v>45370</v>
      </c>
      <c r="J915" s="29" t="s">
        <v>4647</v>
      </c>
      <c r="K915" s="26" t="s">
        <v>4648</v>
      </c>
      <c r="L915" s="30">
        <v>986150215</v>
      </c>
      <c r="M915" s="26" t="s">
        <v>112</v>
      </c>
      <c r="N915" s="26" t="s">
        <v>578</v>
      </c>
      <c r="O915" s="26" t="s">
        <v>91</v>
      </c>
      <c r="P915" s="26" t="s">
        <v>4649</v>
      </c>
      <c r="Q915" s="20">
        <v>7349</v>
      </c>
      <c r="R915" s="26" t="s">
        <v>36</v>
      </c>
      <c r="S915" s="31">
        <v>6868</v>
      </c>
      <c r="T915" s="32">
        <v>44769</v>
      </c>
      <c r="U915" s="31"/>
      <c r="V915" s="26"/>
      <c r="W915" s="52" t="s">
        <v>4650</v>
      </c>
      <c r="X915" s="19">
        <v>0</v>
      </c>
      <c r="Y915" s="22">
        <v>481</v>
      </c>
      <c r="Z915" s="26" t="s">
        <v>118</v>
      </c>
      <c r="AA915" s="19" t="s">
        <v>4541</v>
      </c>
      <c r="AB915" s="26" t="s">
        <v>104</v>
      </c>
      <c r="AC915" s="26" t="s">
        <v>53</v>
      </c>
      <c r="AD915" s="19" t="s">
        <v>54</v>
      </c>
      <c r="AE915" s="26"/>
      <c r="AF915" s="17">
        <v>45189</v>
      </c>
      <c r="AG915" s="26"/>
      <c r="AH915" s="26"/>
      <c r="AI915" s="40"/>
      <c r="AJ915" s="26"/>
      <c r="AK915" s="26"/>
      <c r="AL915" s="35"/>
      <c r="AM915" s="35"/>
      <c r="AN915" s="35"/>
      <c r="AO915" s="35"/>
      <c r="AP915" s="35"/>
    </row>
    <row r="916" spans="1:42" x14ac:dyDescent="0.2">
      <c r="A916" s="27">
        <v>45186.961363194445</v>
      </c>
      <c r="B916" s="28" t="s">
        <v>37</v>
      </c>
      <c r="C916" s="41" t="s">
        <v>118</v>
      </c>
      <c r="D916" s="26" t="s">
        <v>36</v>
      </c>
      <c r="E916" s="26" t="s">
        <v>56</v>
      </c>
      <c r="F916" s="26" t="s">
        <v>443</v>
      </c>
      <c r="G916" s="26" t="s">
        <v>108</v>
      </c>
      <c r="H916" s="26" t="s">
        <v>2401</v>
      </c>
      <c r="I916" s="17">
        <f ca="1">IFERROR(__xludf.DUMMYFUNCTION("""COMPUTED_VALUE"""),45197)</f>
        <v>45197</v>
      </c>
      <c r="J916" s="29" t="s">
        <v>1043</v>
      </c>
      <c r="K916" s="26" t="s">
        <v>4651</v>
      </c>
      <c r="L916" s="30">
        <v>357707294</v>
      </c>
      <c r="M916" s="26" t="s">
        <v>112</v>
      </c>
      <c r="N916" s="26" t="s">
        <v>578</v>
      </c>
      <c r="O916" s="26" t="s">
        <v>91</v>
      </c>
      <c r="P916" s="26" t="s">
        <v>4652</v>
      </c>
      <c r="Q916" s="20">
        <v>9317</v>
      </c>
      <c r="R916" s="26" t="s">
        <v>36</v>
      </c>
      <c r="S916" s="31">
        <v>1968</v>
      </c>
      <c r="T916" s="32">
        <v>45123</v>
      </c>
      <c r="U916" s="31">
        <v>7349</v>
      </c>
      <c r="V916" s="32">
        <v>45149</v>
      </c>
      <c r="W916" s="33" t="s">
        <v>1046</v>
      </c>
      <c r="X916" s="26">
        <v>0</v>
      </c>
      <c r="Y916" s="22">
        <v>0</v>
      </c>
      <c r="Z916" s="26" t="s">
        <v>118</v>
      </c>
      <c r="AA916" s="19" t="s">
        <v>4541</v>
      </c>
      <c r="AB916" s="26" t="s">
        <v>137</v>
      </c>
      <c r="AC916" s="26" t="s">
        <v>53</v>
      </c>
      <c r="AD916" s="19" t="s">
        <v>54</v>
      </c>
      <c r="AE916" s="26"/>
      <c r="AF916" s="17">
        <v>45187</v>
      </c>
      <c r="AG916" s="26"/>
      <c r="AH916" s="26"/>
      <c r="AI916" s="40"/>
      <c r="AJ916" s="26"/>
      <c r="AK916" s="26"/>
      <c r="AL916" s="35"/>
      <c r="AM916" s="35"/>
      <c r="AN916" s="35"/>
      <c r="AO916" s="35"/>
      <c r="AP916" s="35"/>
    </row>
    <row r="917" spans="1:42" x14ac:dyDescent="0.2">
      <c r="A917" s="27">
        <v>45186.963930659724</v>
      </c>
      <c r="B917" s="28" t="s">
        <v>37</v>
      </c>
      <c r="C917" s="41" t="s">
        <v>118</v>
      </c>
      <c r="D917" s="26" t="s">
        <v>36</v>
      </c>
      <c r="E917" s="26" t="s">
        <v>56</v>
      </c>
      <c r="F917" s="26" t="s">
        <v>443</v>
      </c>
      <c r="G917" s="26" t="s">
        <v>108</v>
      </c>
      <c r="H917" s="26" t="s">
        <v>2401</v>
      </c>
      <c r="I917" s="17">
        <f ca="1">IFERROR(__xludf.DUMMYFUNCTION("""COMPUTED_VALUE"""),45197)</f>
        <v>45197</v>
      </c>
      <c r="J917" s="29" t="s">
        <v>1039</v>
      </c>
      <c r="K917" s="26" t="s">
        <v>4653</v>
      </c>
      <c r="L917" s="30">
        <v>393908251</v>
      </c>
      <c r="M917" s="26" t="s">
        <v>123</v>
      </c>
      <c r="N917" s="26" t="s">
        <v>151</v>
      </c>
      <c r="O917" s="26" t="s">
        <v>91</v>
      </c>
      <c r="P917" s="26" t="s">
        <v>4654</v>
      </c>
      <c r="Q917" s="20">
        <v>9317</v>
      </c>
      <c r="R917" s="26" t="s">
        <v>36</v>
      </c>
      <c r="S917" s="31">
        <v>1968</v>
      </c>
      <c r="T917" s="32">
        <v>45122</v>
      </c>
      <c r="U917" s="50">
        <v>7349</v>
      </c>
      <c r="V917" s="51">
        <v>45147</v>
      </c>
      <c r="W917" s="19" t="s">
        <v>1042</v>
      </c>
      <c r="X917" s="26">
        <v>0</v>
      </c>
      <c r="Y917" s="22">
        <v>0</v>
      </c>
      <c r="Z917" s="26" t="s">
        <v>118</v>
      </c>
      <c r="AA917" s="19" t="s">
        <v>4541</v>
      </c>
      <c r="AB917" s="26" t="s">
        <v>137</v>
      </c>
      <c r="AC917" s="26" t="s">
        <v>53</v>
      </c>
      <c r="AD917" s="19" t="s">
        <v>54</v>
      </c>
      <c r="AE917" s="26" t="s">
        <v>443</v>
      </c>
      <c r="AF917" s="17">
        <v>45187</v>
      </c>
      <c r="AG917" s="26"/>
      <c r="AH917" s="26"/>
      <c r="AI917" s="40"/>
      <c r="AJ917" s="26"/>
      <c r="AK917" s="26"/>
      <c r="AL917" s="35"/>
      <c r="AM917" s="35"/>
      <c r="AN917" s="35"/>
      <c r="AO917" s="35"/>
      <c r="AP917" s="35"/>
    </row>
    <row r="918" spans="1:42" x14ac:dyDescent="0.2">
      <c r="A918" s="27">
        <v>45187.47757451389</v>
      </c>
      <c r="B918" s="28" t="s">
        <v>37</v>
      </c>
      <c r="C918" s="41" t="s">
        <v>118</v>
      </c>
      <c r="D918" s="26" t="s">
        <v>36</v>
      </c>
      <c r="E918" s="26" t="s">
        <v>148</v>
      </c>
      <c r="F918" s="26" t="s">
        <v>36</v>
      </c>
      <c r="G918" s="26" t="s">
        <v>108</v>
      </c>
      <c r="H918" s="26" t="s">
        <v>2595</v>
      </c>
      <c r="I918" s="17">
        <f ca="1">IFERROR(__xludf.DUMMYFUNCTION("""COMPUTED_VALUE"""),45191)</f>
        <v>45191</v>
      </c>
      <c r="J918" s="29" t="s">
        <v>4655</v>
      </c>
      <c r="K918" s="26" t="s">
        <v>4656</v>
      </c>
      <c r="L918" s="30">
        <v>941356180</v>
      </c>
      <c r="M918" s="26" t="s">
        <v>80</v>
      </c>
      <c r="N918" s="26" t="s">
        <v>299</v>
      </c>
      <c r="O918" s="26" t="s">
        <v>1492</v>
      </c>
      <c r="P918" s="26" t="s">
        <v>4657</v>
      </c>
      <c r="Q918" s="20">
        <v>7349</v>
      </c>
      <c r="R918" s="26" t="s">
        <v>36</v>
      </c>
      <c r="S918" s="31">
        <v>2000</v>
      </c>
      <c r="T918" s="32">
        <v>44908</v>
      </c>
      <c r="U918" s="31">
        <v>14779</v>
      </c>
      <c r="V918" s="32">
        <v>44990</v>
      </c>
      <c r="W918" s="26" t="s">
        <v>3665</v>
      </c>
      <c r="X918" s="26"/>
      <c r="Y918" s="22">
        <v>-9430</v>
      </c>
      <c r="Z918" s="26" t="s">
        <v>118</v>
      </c>
      <c r="AA918" s="19" t="s">
        <v>4541</v>
      </c>
      <c r="AB918" s="26" t="s">
        <v>128</v>
      </c>
      <c r="AC918" s="26" t="s">
        <v>53</v>
      </c>
      <c r="AD918" s="19" t="s">
        <v>138</v>
      </c>
      <c r="AE918" s="26" t="s">
        <v>2705</v>
      </c>
      <c r="AF918" s="17">
        <v>45191</v>
      </c>
      <c r="AG918" s="26" t="s">
        <v>1631</v>
      </c>
      <c r="AH918" s="93" t="s">
        <v>4658</v>
      </c>
      <c r="AI918" s="40"/>
      <c r="AJ918" s="26"/>
      <c r="AK918" s="26"/>
      <c r="AL918" s="35"/>
      <c r="AM918" s="35"/>
      <c r="AN918" s="35"/>
      <c r="AO918" s="35"/>
      <c r="AP918" s="35"/>
    </row>
    <row r="919" spans="1:42" x14ac:dyDescent="0.2">
      <c r="A919" s="27">
        <v>45189.359125428236</v>
      </c>
      <c r="B919" s="28" t="s">
        <v>37</v>
      </c>
      <c r="C919" s="41" t="s">
        <v>118</v>
      </c>
      <c r="D919" s="26" t="s">
        <v>36</v>
      </c>
      <c r="E919" s="26" t="s">
        <v>106</v>
      </c>
      <c r="F919" s="26" t="s">
        <v>2173</v>
      </c>
      <c r="G919" s="26" t="s">
        <v>108</v>
      </c>
      <c r="H919" s="26" t="s">
        <v>130</v>
      </c>
      <c r="I919" s="17">
        <f ca="1">IFERROR(__xludf.DUMMYFUNCTION("""COMPUTED_VALUE"""),45223)</f>
        <v>45223</v>
      </c>
      <c r="J919" s="29" t="s">
        <v>4659</v>
      </c>
      <c r="K919" s="26" t="s">
        <v>4660</v>
      </c>
      <c r="L919" s="30">
        <v>377691894</v>
      </c>
      <c r="M919" s="26" t="s">
        <v>391</v>
      </c>
      <c r="N919" s="26" t="s">
        <v>2237</v>
      </c>
      <c r="O919" s="26" t="s">
        <v>4661</v>
      </c>
      <c r="P919" s="42" t="s">
        <v>4662</v>
      </c>
      <c r="Q919" s="20">
        <v>3768</v>
      </c>
      <c r="R919" s="26" t="s">
        <v>36</v>
      </c>
      <c r="S919" s="31">
        <v>10804</v>
      </c>
      <c r="T919" s="32">
        <v>44857</v>
      </c>
      <c r="U919" s="31"/>
      <c r="V919" s="26"/>
      <c r="W919" s="26"/>
      <c r="X919" s="26"/>
      <c r="Y919" s="22">
        <v>-7036</v>
      </c>
      <c r="Z919" s="26" t="s">
        <v>118</v>
      </c>
      <c r="AA919" s="19" t="s">
        <v>4541</v>
      </c>
      <c r="AB919" s="26" t="s">
        <v>128</v>
      </c>
      <c r="AC919" s="26" t="s">
        <v>53</v>
      </c>
      <c r="AD919" s="19" t="s">
        <v>54</v>
      </c>
      <c r="AE919" s="26">
        <v>360</v>
      </c>
      <c r="AF919" s="17">
        <v>45215</v>
      </c>
      <c r="AG919" s="26"/>
      <c r="AH919" s="26"/>
      <c r="AI919" s="40"/>
      <c r="AJ919" s="26"/>
      <c r="AK919" s="26"/>
      <c r="AL919" s="35"/>
      <c r="AM919" s="35"/>
      <c r="AN919" s="35"/>
      <c r="AO919" s="35"/>
      <c r="AP919" s="35"/>
    </row>
    <row r="920" spans="1:42" x14ac:dyDescent="0.2">
      <c r="A920" s="14">
        <v>44942.636667766201</v>
      </c>
      <c r="B920" s="68" t="s">
        <v>37</v>
      </c>
      <c r="C920" s="41" t="s">
        <v>118</v>
      </c>
      <c r="D920" s="26" t="s">
        <v>36</v>
      </c>
      <c r="E920" s="26" t="s">
        <v>148</v>
      </c>
      <c r="F920" s="35" t="s">
        <v>2147</v>
      </c>
      <c r="G920" s="26" t="s">
        <v>108</v>
      </c>
      <c r="H920" s="35" t="s">
        <v>2401</v>
      </c>
      <c r="I920" s="17">
        <f ca="1">IFERROR(__xludf.DUMMYFUNCTION("""COMPUTED_VALUE"""),45197)</f>
        <v>45197</v>
      </c>
      <c r="J920" s="29" t="s">
        <v>4663</v>
      </c>
      <c r="K920" s="26" t="s">
        <v>4664</v>
      </c>
      <c r="L920" s="57">
        <v>985054016</v>
      </c>
      <c r="M920" s="35" t="s">
        <v>1245</v>
      </c>
      <c r="N920" s="35" t="s">
        <v>4665</v>
      </c>
      <c r="O920" s="26"/>
      <c r="P920" s="72" t="s">
        <v>4666</v>
      </c>
      <c r="Q920" s="20">
        <v>7349</v>
      </c>
      <c r="R920" s="26" t="s">
        <v>36</v>
      </c>
      <c r="S920" s="31">
        <v>10804</v>
      </c>
      <c r="T920" s="32">
        <v>44938</v>
      </c>
      <c r="U920" s="58"/>
      <c r="V920" s="35"/>
      <c r="W920" s="55" t="s">
        <v>4667</v>
      </c>
      <c r="X920" s="35"/>
      <c r="Y920" s="22">
        <v>-3455</v>
      </c>
      <c r="Z920" s="35" t="s">
        <v>118</v>
      </c>
      <c r="AA920" s="19" t="s">
        <v>4541</v>
      </c>
      <c r="AB920" s="26" t="s">
        <v>128</v>
      </c>
      <c r="AC920" s="26" t="s">
        <v>53</v>
      </c>
      <c r="AD920" s="19" t="s">
        <v>54</v>
      </c>
      <c r="AE920" s="19"/>
      <c r="AF920" s="17">
        <v>45189</v>
      </c>
      <c r="AG920" s="35" t="s">
        <v>4668</v>
      </c>
      <c r="AH920" s="36"/>
      <c r="AI920" s="37"/>
      <c r="AJ920" s="35"/>
      <c r="AK920" s="35"/>
      <c r="AL920" s="35"/>
      <c r="AM920" s="35"/>
      <c r="AN920" s="35"/>
      <c r="AO920" s="35"/>
      <c r="AP920" s="35"/>
    </row>
    <row r="921" spans="1:42" x14ac:dyDescent="0.2">
      <c r="A921" s="27">
        <v>45190.415877789354</v>
      </c>
      <c r="B921" s="28" t="s">
        <v>37</v>
      </c>
      <c r="C921" s="41" t="s">
        <v>118</v>
      </c>
      <c r="D921" s="26" t="s">
        <v>36</v>
      </c>
      <c r="E921" s="26" t="s">
        <v>148</v>
      </c>
      <c r="F921" s="26" t="s">
        <v>4669</v>
      </c>
      <c r="G921" s="26" t="s">
        <v>108</v>
      </c>
      <c r="H921" s="26" t="s">
        <v>1809</v>
      </c>
      <c r="I921" s="17">
        <f ca="1">IFERROR(__xludf.DUMMYFUNCTION("""COMPUTED_VALUE"""),45200)</f>
        <v>45200</v>
      </c>
      <c r="J921" s="29" t="s">
        <v>4670</v>
      </c>
      <c r="K921" s="26" t="s">
        <v>4671</v>
      </c>
      <c r="L921" s="30">
        <v>396012025</v>
      </c>
      <c r="M921" s="26" t="s">
        <v>94</v>
      </c>
      <c r="N921" s="26" t="s">
        <v>4672</v>
      </c>
      <c r="O921" s="26" t="s">
        <v>40</v>
      </c>
      <c r="P921" s="26" t="s">
        <v>4673</v>
      </c>
      <c r="Q921" s="20">
        <v>7349</v>
      </c>
      <c r="R921" s="26" t="s">
        <v>36</v>
      </c>
      <c r="S921" s="58">
        <v>1000</v>
      </c>
      <c r="T921" s="32">
        <v>44859</v>
      </c>
      <c r="U921" s="31">
        <v>15779</v>
      </c>
      <c r="V921" s="32">
        <v>44862</v>
      </c>
      <c r="W921" s="26" t="s">
        <v>4674</v>
      </c>
      <c r="X921" s="26"/>
      <c r="Y921" s="22">
        <v>0</v>
      </c>
      <c r="Z921" s="26" t="s">
        <v>118</v>
      </c>
      <c r="AA921" s="19" t="s">
        <v>4541</v>
      </c>
      <c r="AB921" s="26" t="s">
        <v>137</v>
      </c>
      <c r="AC921" s="26" t="s">
        <v>53</v>
      </c>
      <c r="AD921" s="19" t="s">
        <v>54</v>
      </c>
      <c r="AE921" s="26">
        <v>350</v>
      </c>
      <c r="AF921" s="17">
        <v>45191</v>
      </c>
      <c r="AG921" s="26"/>
      <c r="AH921" s="26"/>
      <c r="AI921" s="40"/>
      <c r="AJ921" s="26"/>
      <c r="AK921" s="26"/>
      <c r="AL921" s="35"/>
      <c r="AM921" s="35"/>
      <c r="AN921" s="35"/>
      <c r="AO921" s="35"/>
      <c r="AP921" s="35"/>
    </row>
    <row r="922" spans="1:42" x14ac:dyDescent="0.2">
      <c r="A922" s="27">
        <v>45190.418217997685</v>
      </c>
      <c r="B922" s="28" t="s">
        <v>37</v>
      </c>
      <c r="C922" s="41" t="s">
        <v>118</v>
      </c>
      <c r="D922" s="26" t="s">
        <v>36</v>
      </c>
      <c r="E922" s="26" t="s">
        <v>148</v>
      </c>
      <c r="F922" s="26" t="s">
        <v>36</v>
      </c>
      <c r="G922" s="26" t="s">
        <v>108</v>
      </c>
      <c r="H922" s="26" t="s">
        <v>1809</v>
      </c>
      <c r="I922" s="17">
        <f ca="1">IFERROR(__xludf.DUMMYFUNCTION("""COMPUTED_VALUE"""),45200)</f>
        <v>45200</v>
      </c>
      <c r="J922" s="29" t="s">
        <v>4675</v>
      </c>
      <c r="K922" s="26" t="s">
        <v>4676</v>
      </c>
      <c r="L922" s="30">
        <v>962059351</v>
      </c>
      <c r="M922" s="26" t="s">
        <v>94</v>
      </c>
      <c r="N922" s="26" t="s">
        <v>4672</v>
      </c>
      <c r="O922" s="26" t="s">
        <v>40</v>
      </c>
      <c r="P922" s="26" t="s">
        <v>4677</v>
      </c>
      <c r="Q922" s="20">
        <v>7349</v>
      </c>
      <c r="R922" s="26" t="s">
        <v>36</v>
      </c>
      <c r="S922" s="31">
        <v>1000</v>
      </c>
      <c r="T922" s="32">
        <v>44925</v>
      </c>
      <c r="U922" s="31">
        <v>9804</v>
      </c>
      <c r="V922" s="32">
        <v>44940</v>
      </c>
      <c r="W922" s="26" t="s">
        <v>4678</v>
      </c>
      <c r="X922" s="26">
        <v>100</v>
      </c>
      <c r="Y922" s="22">
        <v>0</v>
      </c>
      <c r="Z922" s="26" t="s">
        <v>118</v>
      </c>
      <c r="AA922" s="19" t="s">
        <v>4541</v>
      </c>
      <c r="AB922" s="26" t="s">
        <v>116</v>
      </c>
      <c r="AC922" s="26" t="s">
        <v>53</v>
      </c>
      <c r="AD922" s="19" t="s">
        <v>54</v>
      </c>
      <c r="AE922" s="26">
        <v>350</v>
      </c>
      <c r="AF922" s="17">
        <v>45191</v>
      </c>
      <c r="AG922" s="26"/>
      <c r="AH922" s="26"/>
      <c r="AI922" s="40"/>
      <c r="AJ922" s="26"/>
      <c r="AK922" s="26"/>
      <c r="AL922" s="35"/>
      <c r="AM922" s="35"/>
      <c r="AN922" s="35"/>
      <c r="AO922" s="35"/>
      <c r="AP922" s="35"/>
    </row>
    <row r="923" spans="1:42" x14ac:dyDescent="0.2">
      <c r="A923" s="27">
        <v>45190.421286099532</v>
      </c>
      <c r="B923" s="28" t="s">
        <v>37</v>
      </c>
      <c r="C923" s="41" t="s">
        <v>118</v>
      </c>
      <c r="D923" s="26" t="s">
        <v>36</v>
      </c>
      <c r="E923" s="26" t="s">
        <v>148</v>
      </c>
      <c r="F923" s="26" t="s">
        <v>4669</v>
      </c>
      <c r="G923" s="26" t="s">
        <v>108</v>
      </c>
      <c r="H923" s="26" t="s">
        <v>1809</v>
      </c>
      <c r="I923" s="17">
        <f ca="1">IFERROR(__xludf.DUMMYFUNCTION("""COMPUTED_VALUE"""),45200)</f>
        <v>45200</v>
      </c>
      <c r="J923" s="29" t="s">
        <v>4679</v>
      </c>
      <c r="K923" s="26" t="s">
        <v>4680</v>
      </c>
      <c r="L923" s="30">
        <v>867652570</v>
      </c>
      <c r="M923" s="26" t="s">
        <v>94</v>
      </c>
      <c r="N923" s="26" t="s">
        <v>4681</v>
      </c>
      <c r="O923" s="26" t="s">
        <v>40</v>
      </c>
      <c r="P923" s="26" t="s">
        <v>4682</v>
      </c>
      <c r="Q923" s="20">
        <v>7349</v>
      </c>
      <c r="R923" s="26" t="s">
        <v>36</v>
      </c>
      <c r="S923" s="31">
        <v>1000</v>
      </c>
      <c r="T923" s="32">
        <v>44924</v>
      </c>
      <c r="U923" s="31">
        <v>9804</v>
      </c>
      <c r="V923" s="32">
        <v>44940</v>
      </c>
      <c r="W923" s="26" t="s">
        <v>4683</v>
      </c>
      <c r="X923" s="26"/>
      <c r="Y923" s="22">
        <v>0</v>
      </c>
      <c r="Z923" s="26" t="s">
        <v>118</v>
      </c>
      <c r="AA923" s="19" t="s">
        <v>4541</v>
      </c>
      <c r="AB923" s="26" t="s">
        <v>116</v>
      </c>
      <c r="AC923" s="26" t="s">
        <v>53</v>
      </c>
      <c r="AD923" s="19" t="s">
        <v>54</v>
      </c>
      <c r="AE923" s="26">
        <v>350</v>
      </c>
      <c r="AF923" s="17">
        <v>45191</v>
      </c>
      <c r="AG923" s="26"/>
      <c r="AH923" s="26"/>
      <c r="AI923" s="40"/>
      <c r="AJ923" s="26"/>
      <c r="AK923" s="26"/>
      <c r="AL923" s="35"/>
      <c r="AM923" s="35"/>
      <c r="AN923" s="35"/>
      <c r="AO923" s="35"/>
      <c r="AP923" s="35"/>
    </row>
    <row r="924" spans="1:42" x14ac:dyDescent="0.2">
      <c r="A924" s="27">
        <v>45190.424884004635</v>
      </c>
      <c r="B924" s="28" t="s">
        <v>37</v>
      </c>
      <c r="C924" s="41" t="s">
        <v>118</v>
      </c>
      <c r="D924" s="26" t="s">
        <v>36</v>
      </c>
      <c r="E924" s="26" t="s">
        <v>148</v>
      </c>
      <c r="F924" s="26" t="s">
        <v>2759</v>
      </c>
      <c r="G924" s="26" t="s">
        <v>108</v>
      </c>
      <c r="H924" s="26" t="s">
        <v>1809</v>
      </c>
      <c r="I924" s="17">
        <f ca="1">IFERROR(__xludf.DUMMYFUNCTION("""COMPUTED_VALUE"""),45200)</f>
        <v>45200</v>
      </c>
      <c r="J924" s="29" t="s">
        <v>4684</v>
      </c>
      <c r="K924" s="26" t="s">
        <v>4685</v>
      </c>
      <c r="L924" s="30">
        <v>877321599</v>
      </c>
      <c r="M924" s="26" t="s">
        <v>94</v>
      </c>
      <c r="N924" s="26" t="s">
        <v>4686</v>
      </c>
      <c r="O924" s="26" t="s">
        <v>36</v>
      </c>
      <c r="P924" s="26" t="s">
        <v>4687</v>
      </c>
      <c r="Q924" s="20">
        <v>7349</v>
      </c>
      <c r="R924" s="26" t="s">
        <v>36</v>
      </c>
      <c r="S924" s="31">
        <v>6576</v>
      </c>
      <c r="T924" s="32">
        <v>44926</v>
      </c>
      <c r="U924" s="31"/>
      <c r="V924" s="26"/>
      <c r="W924" s="26"/>
      <c r="X924" s="26"/>
      <c r="Y924" s="22">
        <v>773</v>
      </c>
      <c r="Z924" s="26" t="s">
        <v>118</v>
      </c>
      <c r="AA924" s="19" t="s">
        <v>4541</v>
      </c>
      <c r="AB924" s="26" t="s">
        <v>104</v>
      </c>
      <c r="AC924" s="26" t="s">
        <v>53</v>
      </c>
      <c r="AD924" s="19" t="s">
        <v>54</v>
      </c>
      <c r="AE924" s="26">
        <v>350</v>
      </c>
      <c r="AF924" s="17">
        <v>45191</v>
      </c>
      <c r="AG924" s="26"/>
      <c r="AH924" s="26"/>
      <c r="AI924" s="40"/>
      <c r="AJ924" s="26"/>
      <c r="AK924" s="26"/>
      <c r="AL924" s="35"/>
      <c r="AM924" s="35"/>
      <c r="AN924" s="35"/>
      <c r="AO924" s="35"/>
      <c r="AP924" s="35"/>
    </row>
    <row r="925" spans="1:42" x14ac:dyDescent="0.2">
      <c r="A925" s="27">
        <v>45190.509057013885</v>
      </c>
      <c r="B925" s="28" t="s">
        <v>37</v>
      </c>
      <c r="C925" s="41" t="s">
        <v>118</v>
      </c>
      <c r="D925" s="26" t="s">
        <v>36</v>
      </c>
      <c r="E925" s="26" t="s">
        <v>56</v>
      </c>
      <c r="F925" s="26" t="s">
        <v>707</v>
      </c>
      <c r="G925" s="26" t="s">
        <v>108</v>
      </c>
      <c r="H925" s="26" t="s">
        <v>1809</v>
      </c>
      <c r="I925" s="17">
        <f ca="1">IFERROR(__xludf.DUMMYFUNCTION("""COMPUTED_VALUE"""),45200)</f>
        <v>45200</v>
      </c>
      <c r="J925" s="29" t="s">
        <v>1156</v>
      </c>
      <c r="K925" s="26" t="s">
        <v>4688</v>
      </c>
      <c r="L925" s="30">
        <v>363565334</v>
      </c>
      <c r="M925" s="26" t="s">
        <v>80</v>
      </c>
      <c r="N925" s="26" t="s">
        <v>466</v>
      </c>
      <c r="O925" s="26" t="s">
        <v>91</v>
      </c>
      <c r="P925" s="26" t="s">
        <v>4689</v>
      </c>
      <c r="Q925" s="20">
        <v>9317</v>
      </c>
      <c r="R925" s="26" t="s">
        <v>36</v>
      </c>
      <c r="S925" s="31">
        <v>4000</v>
      </c>
      <c r="T925" s="32">
        <v>45135</v>
      </c>
      <c r="U925" s="31">
        <v>5317</v>
      </c>
      <c r="V925" s="32">
        <v>45166</v>
      </c>
      <c r="W925" s="33" t="s">
        <v>1160</v>
      </c>
      <c r="X925" s="26">
        <v>0</v>
      </c>
      <c r="Y925" s="22">
        <v>0</v>
      </c>
      <c r="Z925" s="26" t="s">
        <v>118</v>
      </c>
      <c r="AA925" s="19" t="s">
        <v>4541</v>
      </c>
      <c r="AB925" s="26" t="s">
        <v>137</v>
      </c>
      <c r="AC925" s="26" t="s">
        <v>53</v>
      </c>
      <c r="AD925" s="19" t="s">
        <v>54</v>
      </c>
      <c r="AE925" s="26"/>
      <c r="AF925" s="17">
        <v>45191</v>
      </c>
      <c r="AG925" s="26"/>
      <c r="AH925" s="26"/>
      <c r="AI925" s="40"/>
      <c r="AJ925" s="26"/>
      <c r="AK925" s="26"/>
      <c r="AL925" s="35"/>
      <c r="AM925" s="35"/>
      <c r="AN925" s="35"/>
      <c r="AO925" s="35"/>
      <c r="AP925" s="35"/>
    </row>
    <row r="926" spans="1:42" x14ac:dyDescent="0.2">
      <c r="A926" s="27">
        <v>45191.44693377315</v>
      </c>
      <c r="B926" s="28" t="s">
        <v>37</v>
      </c>
      <c r="C926" s="41" t="s">
        <v>118</v>
      </c>
      <c r="D926" s="26" t="s">
        <v>36</v>
      </c>
      <c r="E926" s="26" t="s">
        <v>39</v>
      </c>
      <c r="F926" s="26" t="s">
        <v>388</v>
      </c>
      <c r="G926" s="26" t="s">
        <v>108</v>
      </c>
      <c r="H926" s="26" t="s">
        <v>1781</v>
      </c>
      <c r="I926" s="17">
        <f ca="1">IFERROR(__xludf.DUMMYFUNCTION("""COMPUTED_VALUE"""),45203)</f>
        <v>45203</v>
      </c>
      <c r="J926" s="29" t="s">
        <v>499</v>
      </c>
      <c r="K926" s="26" t="s">
        <v>4690</v>
      </c>
      <c r="L926" s="30">
        <v>842011700</v>
      </c>
      <c r="M926" s="26" t="s">
        <v>112</v>
      </c>
      <c r="N926" s="26" t="s">
        <v>578</v>
      </c>
      <c r="O926" s="26" t="s">
        <v>91</v>
      </c>
      <c r="P926" s="26" t="s">
        <v>4691</v>
      </c>
      <c r="Q926" s="20">
        <v>5736</v>
      </c>
      <c r="R926" s="26" t="s">
        <v>36</v>
      </c>
      <c r="S926" s="31">
        <v>5636</v>
      </c>
      <c r="T926" s="32">
        <v>45121</v>
      </c>
      <c r="U926" s="31"/>
      <c r="V926" s="26"/>
      <c r="W926" s="26"/>
      <c r="X926" s="26"/>
      <c r="Y926" s="22">
        <v>100</v>
      </c>
      <c r="Z926" s="26" t="s">
        <v>118</v>
      </c>
      <c r="AA926" s="19" t="s">
        <v>4541</v>
      </c>
      <c r="AB926" s="26" t="s">
        <v>137</v>
      </c>
      <c r="AC926" s="26" t="s">
        <v>53</v>
      </c>
      <c r="AD926" s="19" t="s">
        <v>54</v>
      </c>
      <c r="AE926" s="26">
        <v>78</v>
      </c>
      <c r="AF926" s="17">
        <v>45199</v>
      </c>
      <c r="AG926" s="26"/>
      <c r="AH926" s="26"/>
      <c r="AI926" s="40"/>
      <c r="AJ926" s="26"/>
      <c r="AK926" s="26"/>
      <c r="AL926" s="35"/>
      <c r="AM926" s="35"/>
      <c r="AN926" s="35"/>
      <c r="AO926" s="35"/>
      <c r="AP926" s="35"/>
    </row>
    <row r="927" spans="1:42" x14ac:dyDescent="0.2">
      <c r="A927" s="27">
        <v>45191.577717858796</v>
      </c>
      <c r="B927" s="28" t="s">
        <v>37</v>
      </c>
      <c r="C927" s="41" t="s">
        <v>118</v>
      </c>
      <c r="D927" s="26" t="s">
        <v>36</v>
      </c>
      <c r="E927" s="26" t="s">
        <v>56</v>
      </c>
      <c r="F927" s="26" t="s">
        <v>788</v>
      </c>
      <c r="G927" s="26" t="s">
        <v>108</v>
      </c>
      <c r="H927" s="26" t="s">
        <v>1781</v>
      </c>
      <c r="I927" s="17">
        <f ca="1">IFERROR(__xludf.DUMMYFUNCTION("""COMPUTED_VALUE"""),45203)</f>
        <v>45203</v>
      </c>
      <c r="J927" s="29" t="s">
        <v>876</v>
      </c>
      <c r="K927" s="26" t="s">
        <v>4692</v>
      </c>
      <c r="L927" s="30">
        <v>523885476</v>
      </c>
      <c r="M927" s="26" t="s">
        <v>112</v>
      </c>
      <c r="N927" s="26" t="s">
        <v>578</v>
      </c>
      <c r="O927" s="26" t="s">
        <v>91</v>
      </c>
      <c r="P927" s="26" t="s">
        <v>4693</v>
      </c>
      <c r="Q927" s="20">
        <v>9317</v>
      </c>
      <c r="R927" s="26" t="s">
        <v>36</v>
      </c>
      <c r="S927" s="31">
        <v>9217</v>
      </c>
      <c r="T927" s="32">
        <v>45167</v>
      </c>
      <c r="U927" s="31"/>
      <c r="V927" s="26"/>
      <c r="W927" s="26" t="s">
        <v>880</v>
      </c>
      <c r="X927" s="26"/>
      <c r="Y927" s="22">
        <v>100</v>
      </c>
      <c r="Z927" s="26" t="s">
        <v>118</v>
      </c>
      <c r="AA927" s="19" t="s">
        <v>4541</v>
      </c>
      <c r="AB927" s="26" t="s">
        <v>137</v>
      </c>
      <c r="AC927" s="26" t="s">
        <v>53</v>
      </c>
      <c r="AD927" s="19" t="s">
        <v>54</v>
      </c>
      <c r="AE927" s="26"/>
      <c r="AF927" s="17">
        <v>45199</v>
      </c>
      <c r="AG927" s="26"/>
      <c r="AH927" s="26"/>
      <c r="AI927" s="40"/>
      <c r="AJ927" s="26"/>
      <c r="AK927" s="26"/>
      <c r="AL927" s="35"/>
      <c r="AM927" s="35"/>
      <c r="AN927" s="35"/>
      <c r="AO927" s="35"/>
      <c r="AP927" s="35"/>
    </row>
    <row r="928" spans="1:42" x14ac:dyDescent="0.2">
      <c r="A928" s="27">
        <v>45191.676904664353</v>
      </c>
      <c r="B928" s="28" t="s">
        <v>37</v>
      </c>
      <c r="C928" s="41" t="s">
        <v>118</v>
      </c>
      <c r="D928" s="26" t="s">
        <v>36</v>
      </c>
      <c r="E928" s="26" t="s">
        <v>56</v>
      </c>
      <c r="F928" s="26" t="s">
        <v>788</v>
      </c>
      <c r="G928" s="26" t="s">
        <v>108</v>
      </c>
      <c r="H928" s="26" t="s">
        <v>1781</v>
      </c>
      <c r="I928" s="17">
        <f ca="1">IFERROR(__xludf.DUMMYFUNCTION("""COMPUTED_VALUE"""),45203)</f>
        <v>45203</v>
      </c>
      <c r="J928" s="29" t="s">
        <v>871</v>
      </c>
      <c r="K928" s="26" t="s">
        <v>872</v>
      </c>
      <c r="L928" s="30">
        <v>929275364</v>
      </c>
      <c r="M928" s="26" t="s">
        <v>112</v>
      </c>
      <c r="N928" s="26" t="s">
        <v>578</v>
      </c>
      <c r="O928" s="26" t="s">
        <v>91</v>
      </c>
      <c r="P928" s="26" t="s">
        <v>4694</v>
      </c>
      <c r="Q928" s="20">
        <v>9317</v>
      </c>
      <c r="R928" s="26" t="s">
        <v>36</v>
      </c>
      <c r="S928" s="31">
        <v>9317</v>
      </c>
      <c r="T928" s="32">
        <v>45136</v>
      </c>
      <c r="U928" s="31"/>
      <c r="V928" s="26"/>
      <c r="W928" s="33" t="s">
        <v>875</v>
      </c>
      <c r="X928" s="26"/>
      <c r="Y928" s="22">
        <v>0</v>
      </c>
      <c r="Z928" s="26" t="s">
        <v>118</v>
      </c>
      <c r="AA928" s="19" t="s">
        <v>4541</v>
      </c>
      <c r="AB928" s="26" t="s">
        <v>137</v>
      </c>
      <c r="AC928" s="26" t="s">
        <v>53</v>
      </c>
      <c r="AD928" s="19" t="s">
        <v>54</v>
      </c>
      <c r="AE928" s="26"/>
      <c r="AF928" s="17">
        <v>45199</v>
      </c>
      <c r="AG928" s="26"/>
      <c r="AH928" s="26"/>
      <c r="AI928" s="40"/>
      <c r="AJ928" s="26"/>
      <c r="AK928" s="26"/>
      <c r="AL928" s="35"/>
      <c r="AM928" s="35"/>
      <c r="AN928" s="35"/>
      <c r="AO928" s="35"/>
      <c r="AP928" s="35"/>
    </row>
    <row r="929" spans="1:42" x14ac:dyDescent="0.2">
      <c r="A929" s="27">
        <v>45194.839059918981</v>
      </c>
      <c r="B929" s="28" t="s">
        <v>37</v>
      </c>
      <c r="C929" s="41" t="s">
        <v>118</v>
      </c>
      <c r="D929" s="26" t="s">
        <v>36</v>
      </c>
      <c r="E929" s="26" t="s">
        <v>56</v>
      </c>
      <c r="F929" s="26" t="s">
        <v>707</v>
      </c>
      <c r="G929" s="26" t="s">
        <v>108</v>
      </c>
      <c r="H929" s="26" t="s">
        <v>2381</v>
      </c>
      <c r="I929" s="17">
        <f ca="1">IFERROR(__xludf.DUMMYFUNCTION("""COMPUTED_VALUE"""),45224)</f>
        <v>45224</v>
      </c>
      <c r="J929" s="29" t="s">
        <v>754</v>
      </c>
      <c r="K929" s="26" t="s">
        <v>4695</v>
      </c>
      <c r="L929" s="30">
        <v>869050236</v>
      </c>
      <c r="M929" s="26" t="s">
        <v>112</v>
      </c>
      <c r="N929" s="26" t="s">
        <v>578</v>
      </c>
      <c r="O929" s="26" t="s">
        <v>91</v>
      </c>
      <c r="P929" s="42" t="s">
        <v>4696</v>
      </c>
      <c r="Q929" s="20">
        <v>9317</v>
      </c>
      <c r="R929" s="26" t="s">
        <v>36</v>
      </c>
      <c r="S929" s="31">
        <v>9317</v>
      </c>
      <c r="T929" s="32">
        <v>45135</v>
      </c>
      <c r="U929" s="31"/>
      <c r="V929" s="26"/>
      <c r="W929" s="33" t="s">
        <v>4697</v>
      </c>
      <c r="X929" s="26"/>
      <c r="Y929" s="22">
        <v>0</v>
      </c>
      <c r="Z929" s="26" t="s">
        <v>118</v>
      </c>
      <c r="AA929" s="19" t="s">
        <v>4541</v>
      </c>
      <c r="AB929" s="26" t="s">
        <v>137</v>
      </c>
      <c r="AC929" s="26" t="s">
        <v>53</v>
      </c>
      <c r="AD929" s="19" t="s">
        <v>54</v>
      </c>
      <c r="AE929" s="26" t="s">
        <v>4698</v>
      </c>
      <c r="AF929" s="17">
        <v>45215</v>
      </c>
      <c r="AG929" s="26" t="s">
        <v>4699</v>
      </c>
      <c r="AH929" s="26"/>
      <c r="AI929" s="40"/>
      <c r="AJ929" s="26"/>
      <c r="AK929" s="26"/>
      <c r="AL929" s="35"/>
      <c r="AM929" s="35"/>
      <c r="AN929" s="35"/>
      <c r="AO929" s="35"/>
      <c r="AP929" s="35"/>
    </row>
    <row r="930" spans="1:42" x14ac:dyDescent="0.2">
      <c r="A930" s="27">
        <v>45194.878891388886</v>
      </c>
      <c r="B930" s="28" t="s">
        <v>37</v>
      </c>
      <c r="C930" s="41" t="s">
        <v>118</v>
      </c>
      <c r="D930" s="26" t="s">
        <v>36</v>
      </c>
      <c r="E930" s="26" t="s">
        <v>56</v>
      </c>
      <c r="F930" s="26" t="s">
        <v>505</v>
      </c>
      <c r="G930" s="26" t="s">
        <v>108</v>
      </c>
      <c r="H930" s="26" t="s">
        <v>2421</v>
      </c>
      <c r="I930" s="17">
        <f ca="1">IFERROR(__xludf.DUMMYFUNCTION("""COMPUTED_VALUE"""),45201)</f>
        <v>45201</v>
      </c>
      <c r="J930" s="44" t="s">
        <v>4700</v>
      </c>
      <c r="K930" s="26" t="s">
        <v>4701</v>
      </c>
      <c r="L930" s="30">
        <v>349810085</v>
      </c>
      <c r="M930" s="26" t="s">
        <v>123</v>
      </c>
      <c r="N930" s="26" t="s">
        <v>81</v>
      </c>
      <c r="O930" s="26" t="s">
        <v>91</v>
      </c>
      <c r="P930" s="26" t="s">
        <v>4702</v>
      </c>
      <c r="Q930" s="20">
        <v>9317</v>
      </c>
      <c r="R930" s="26" t="s">
        <v>36</v>
      </c>
      <c r="S930" s="31">
        <v>9317</v>
      </c>
      <c r="T930" s="32">
        <v>45131</v>
      </c>
      <c r="U930" s="31"/>
      <c r="V930" s="26"/>
      <c r="W930" s="33" t="s">
        <v>641</v>
      </c>
      <c r="X930" s="26">
        <v>0</v>
      </c>
      <c r="Y930" s="22">
        <v>0</v>
      </c>
      <c r="Z930" s="26" t="s">
        <v>118</v>
      </c>
      <c r="AA930" s="19" t="s">
        <v>4541</v>
      </c>
      <c r="AB930" s="26" t="s">
        <v>137</v>
      </c>
      <c r="AC930" s="26" t="s">
        <v>53</v>
      </c>
      <c r="AD930" s="19" t="s">
        <v>54</v>
      </c>
      <c r="AE930" s="26">
        <v>72</v>
      </c>
      <c r="AF930" s="17">
        <v>45196</v>
      </c>
      <c r="AG930" s="26"/>
      <c r="AH930" s="26"/>
      <c r="AI930" s="40"/>
      <c r="AJ930" s="26"/>
      <c r="AK930" s="26"/>
      <c r="AL930" s="35"/>
      <c r="AM930" s="35"/>
      <c r="AN930" s="35"/>
      <c r="AO930" s="35"/>
      <c r="AP930" s="35"/>
    </row>
    <row r="931" spans="1:42" x14ac:dyDescent="0.2">
      <c r="A931" s="27">
        <v>45194.880314374997</v>
      </c>
      <c r="B931" s="28" t="s">
        <v>37</v>
      </c>
      <c r="C931" s="41" t="s">
        <v>118</v>
      </c>
      <c r="D931" s="26" t="s">
        <v>36</v>
      </c>
      <c r="E931" s="26" t="s">
        <v>56</v>
      </c>
      <c r="F931" s="26" t="s">
        <v>505</v>
      </c>
      <c r="G931" s="26" t="s">
        <v>108</v>
      </c>
      <c r="H931" s="26" t="s">
        <v>2421</v>
      </c>
      <c r="I931" s="17">
        <f ca="1">IFERROR(__xludf.DUMMYFUNCTION("""COMPUTED_VALUE"""),45201)</f>
        <v>45201</v>
      </c>
      <c r="J931" s="29" t="s">
        <v>506</v>
      </c>
      <c r="K931" s="26" t="s">
        <v>4180</v>
      </c>
      <c r="L931" s="30">
        <v>868166453</v>
      </c>
      <c r="M931" s="26" t="s">
        <v>112</v>
      </c>
      <c r="N931" s="26" t="s">
        <v>578</v>
      </c>
      <c r="O931" s="26" t="s">
        <v>91</v>
      </c>
      <c r="P931" s="26" t="s">
        <v>4703</v>
      </c>
      <c r="Q931" s="20">
        <v>9317</v>
      </c>
      <c r="R931" s="26" t="s">
        <v>36</v>
      </c>
      <c r="S931" s="31">
        <v>9317</v>
      </c>
      <c r="T931" s="32">
        <v>45125</v>
      </c>
      <c r="U931" s="31"/>
      <c r="V931" s="26"/>
      <c r="W931" s="26"/>
      <c r="X931" s="26"/>
      <c r="Y931" s="22">
        <v>0</v>
      </c>
      <c r="Z931" s="26" t="s">
        <v>118</v>
      </c>
      <c r="AA931" s="19" t="s">
        <v>4541</v>
      </c>
      <c r="AB931" s="26" t="s">
        <v>137</v>
      </c>
      <c r="AC931" s="26" t="s">
        <v>53</v>
      </c>
      <c r="AD931" s="19" t="s">
        <v>54</v>
      </c>
      <c r="AE931" s="26">
        <v>78</v>
      </c>
      <c r="AF931" s="17">
        <v>45196</v>
      </c>
      <c r="AG931" s="26"/>
      <c r="AH931" s="26"/>
      <c r="AI931" s="40"/>
      <c r="AJ931" s="26"/>
      <c r="AK931" s="26"/>
      <c r="AL931" s="35"/>
      <c r="AM931" s="35"/>
      <c r="AN931" s="35"/>
      <c r="AO931" s="35"/>
      <c r="AP931" s="35"/>
    </row>
    <row r="932" spans="1:42" x14ac:dyDescent="0.2">
      <c r="A932" s="27">
        <v>45194.904848344908</v>
      </c>
      <c r="B932" s="28" t="s">
        <v>37</v>
      </c>
      <c r="C932" s="41" t="s">
        <v>118</v>
      </c>
      <c r="D932" s="26" t="s">
        <v>36</v>
      </c>
      <c r="E932" s="26" t="s">
        <v>56</v>
      </c>
      <c r="F932" s="26" t="s">
        <v>746</v>
      </c>
      <c r="G932" s="26" t="s">
        <v>108</v>
      </c>
      <c r="H932" s="26" t="s">
        <v>1853</v>
      </c>
      <c r="I932" s="17">
        <f ca="1">IFERROR(__xludf.DUMMYFUNCTION("""COMPUTED_VALUE"""),45229)</f>
        <v>45229</v>
      </c>
      <c r="J932" s="44" t="s">
        <v>4704</v>
      </c>
      <c r="K932" s="19" t="s">
        <v>1323</v>
      </c>
      <c r="L932" s="30">
        <v>878775240</v>
      </c>
      <c r="M932" s="26" t="s">
        <v>94</v>
      </c>
      <c r="N932" s="26" t="s">
        <v>200</v>
      </c>
      <c r="O932" s="26" t="s">
        <v>91</v>
      </c>
      <c r="P932" s="26" t="s">
        <v>4705</v>
      </c>
      <c r="Q932" s="20">
        <v>9317</v>
      </c>
      <c r="R932" s="26" t="s">
        <v>36</v>
      </c>
      <c r="S932" s="31">
        <v>9317</v>
      </c>
      <c r="T932" s="32">
        <v>45144</v>
      </c>
      <c r="U932" s="31"/>
      <c r="V932" s="26"/>
      <c r="W932" s="33" t="s">
        <v>1326</v>
      </c>
      <c r="X932" s="26">
        <v>0</v>
      </c>
      <c r="Y932" s="22">
        <v>0</v>
      </c>
      <c r="Z932" s="26" t="s">
        <v>118</v>
      </c>
      <c r="AA932" s="19" t="s">
        <v>4541</v>
      </c>
      <c r="AB932" s="26" t="s">
        <v>154</v>
      </c>
      <c r="AC932" s="26" t="s">
        <v>53</v>
      </c>
      <c r="AD932" s="19" t="s">
        <v>54</v>
      </c>
      <c r="AE932" s="26" t="s">
        <v>746</v>
      </c>
      <c r="AF932" s="17">
        <v>45229</v>
      </c>
      <c r="AG932" s="26" t="s">
        <v>4706</v>
      </c>
      <c r="AH932" s="26"/>
      <c r="AI932" s="40"/>
      <c r="AJ932" s="26"/>
      <c r="AK932" s="26"/>
      <c r="AL932" s="35"/>
      <c r="AM932" s="35"/>
      <c r="AN932" s="35"/>
      <c r="AO932" s="35"/>
      <c r="AP932" s="35"/>
    </row>
    <row r="933" spans="1:42" x14ac:dyDescent="0.2">
      <c r="A933" s="27">
        <v>45194.937408784725</v>
      </c>
      <c r="B933" s="28" t="s">
        <v>37</v>
      </c>
      <c r="C933" s="41" t="s">
        <v>118</v>
      </c>
      <c r="D933" s="26" t="s">
        <v>36</v>
      </c>
      <c r="E933" s="26" t="s">
        <v>56</v>
      </c>
      <c r="F933" s="26" t="s">
        <v>746</v>
      </c>
      <c r="G933" s="26" t="s">
        <v>108</v>
      </c>
      <c r="H933" s="26" t="s">
        <v>2421</v>
      </c>
      <c r="I933" s="17">
        <f ca="1">IFERROR(__xludf.DUMMYFUNCTION("""COMPUTED_VALUE"""),45201)</f>
        <v>45201</v>
      </c>
      <c r="J933" s="29" t="s">
        <v>1339</v>
      </c>
      <c r="K933" s="26" t="s">
        <v>1340</v>
      </c>
      <c r="L933" s="30">
        <v>984908099</v>
      </c>
      <c r="M933" s="26" t="s">
        <v>112</v>
      </c>
      <c r="N933" s="26" t="s">
        <v>578</v>
      </c>
      <c r="O933" s="26" t="s">
        <v>91</v>
      </c>
      <c r="P933" s="42" t="s">
        <v>4707</v>
      </c>
      <c r="Q933" s="20">
        <v>9317</v>
      </c>
      <c r="R933" s="26" t="s">
        <v>36</v>
      </c>
      <c r="S933" s="31">
        <v>9317</v>
      </c>
      <c r="T933" s="32">
        <v>45145</v>
      </c>
      <c r="U933" s="31"/>
      <c r="V933" s="26"/>
      <c r="W933" s="26"/>
      <c r="X933" s="26"/>
      <c r="Y933" s="22">
        <v>0</v>
      </c>
      <c r="Z933" s="26" t="s">
        <v>118</v>
      </c>
      <c r="AA933" s="19" t="s">
        <v>4541</v>
      </c>
      <c r="AB933" s="26" t="s">
        <v>137</v>
      </c>
      <c r="AC933" s="26" t="s">
        <v>53</v>
      </c>
      <c r="AD933" s="19" t="s">
        <v>54</v>
      </c>
      <c r="AE933" s="26"/>
      <c r="AF933" s="17">
        <v>45199</v>
      </c>
      <c r="AG933" s="26"/>
      <c r="AH933" s="26"/>
      <c r="AI933" s="40"/>
      <c r="AJ933" s="26"/>
      <c r="AK933" s="26"/>
      <c r="AL933" s="35"/>
      <c r="AM933" s="35"/>
      <c r="AN933" s="35"/>
      <c r="AO933" s="35"/>
      <c r="AP933" s="35"/>
    </row>
    <row r="934" spans="1:42" x14ac:dyDescent="0.2">
      <c r="A934" s="27">
        <v>45195.246858043982</v>
      </c>
      <c r="B934" s="28" t="s">
        <v>37</v>
      </c>
      <c r="C934" s="41" t="s">
        <v>118</v>
      </c>
      <c r="D934" s="26" t="s">
        <v>36</v>
      </c>
      <c r="E934" s="26" t="s">
        <v>148</v>
      </c>
      <c r="F934" s="26" t="s">
        <v>3442</v>
      </c>
      <c r="G934" s="26" t="s">
        <v>108</v>
      </c>
      <c r="H934" s="26" t="s">
        <v>2421</v>
      </c>
      <c r="I934" s="17">
        <f ca="1">IFERROR(__xludf.DUMMYFUNCTION("""COMPUTED_VALUE"""),45201)</f>
        <v>45201</v>
      </c>
      <c r="J934" s="29" t="s">
        <v>4708</v>
      </c>
      <c r="K934" s="26" t="s">
        <v>4709</v>
      </c>
      <c r="L934" s="30">
        <v>373417724</v>
      </c>
      <c r="M934" s="26" t="s">
        <v>94</v>
      </c>
      <c r="N934" s="26" t="s">
        <v>2348</v>
      </c>
      <c r="O934" s="26" t="s">
        <v>36</v>
      </c>
      <c r="P934" s="26" t="s">
        <v>4710</v>
      </c>
      <c r="Q934" s="20">
        <v>7349</v>
      </c>
      <c r="R934" s="26" t="s">
        <v>36</v>
      </c>
      <c r="S934" s="31">
        <v>7349</v>
      </c>
      <c r="T934" s="32">
        <v>44973</v>
      </c>
      <c r="U934" s="31"/>
      <c r="V934" s="26"/>
      <c r="W934" s="33" t="s">
        <v>4711</v>
      </c>
      <c r="X934" s="26"/>
      <c r="Y934" s="22">
        <v>0</v>
      </c>
      <c r="Z934" s="26" t="s">
        <v>118</v>
      </c>
      <c r="AA934" s="19" t="s">
        <v>4541</v>
      </c>
      <c r="AB934" s="26" t="s">
        <v>128</v>
      </c>
      <c r="AC934" s="26" t="s">
        <v>53</v>
      </c>
      <c r="AD934" s="19" t="s">
        <v>54</v>
      </c>
      <c r="AE934" s="26">
        <v>400</v>
      </c>
      <c r="AF934" s="17">
        <v>45196</v>
      </c>
      <c r="AG934" s="26"/>
      <c r="AH934" s="26"/>
      <c r="AI934" s="40"/>
      <c r="AJ934" s="26"/>
      <c r="AK934" s="26"/>
      <c r="AL934" s="35"/>
      <c r="AM934" s="35"/>
      <c r="AN934" s="35"/>
      <c r="AO934" s="35"/>
      <c r="AP934" s="35"/>
    </row>
    <row r="935" spans="1:42" x14ac:dyDescent="0.2">
      <c r="A935" s="27">
        <v>45195.469975706015</v>
      </c>
      <c r="B935" s="28" t="s">
        <v>37</v>
      </c>
      <c r="C935" s="41" t="s">
        <v>118</v>
      </c>
      <c r="D935" s="26" t="s">
        <v>36</v>
      </c>
      <c r="E935" s="26" t="s">
        <v>148</v>
      </c>
      <c r="F935" s="26" t="s">
        <v>3349</v>
      </c>
      <c r="G935" s="26" t="s">
        <v>108</v>
      </c>
      <c r="H935" s="26" t="s">
        <v>2421</v>
      </c>
      <c r="I935" s="17">
        <f ca="1">IFERROR(__xludf.DUMMYFUNCTION("""COMPUTED_VALUE"""),45201)</f>
        <v>45201</v>
      </c>
      <c r="J935" s="29" t="s">
        <v>4712</v>
      </c>
      <c r="K935" s="26" t="s">
        <v>4713</v>
      </c>
      <c r="L935" s="30">
        <v>973376988</v>
      </c>
      <c r="M935" s="26" t="s">
        <v>391</v>
      </c>
      <c r="N935" s="26" t="s">
        <v>2143</v>
      </c>
      <c r="O935" s="26" t="s">
        <v>2144</v>
      </c>
      <c r="P935" s="26" t="s">
        <v>4714</v>
      </c>
      <c r="Q935" s="20">
        <v>7349</v>
      </c>
      <c r="R935" s="26" t="s">
        <v>36</v>
      </c>
      <c r="S935" s="31">
        <v>2000</v>
      </c>
      <c r="T935" s="32">
        <v>44955</v>
      </c>
      <c r="U935" s="31">
        <v>14779</v>
      </c>
      <c r="V935" s="26"/>
      <c r="W935" s="26"/>
      <c r="X935" s="26"/>
      <c r="Y935" s="22">
        <v>-9430</v>
      </c>
      <c r="Z935" s="26" t="s">
        <v>118</v>
      </c>
      <c r="AA935" s="19" t="s">
        <v>4541</v>
      </c>
      <c r="AB935" s="26" t="s">
        <v>128</v>
      </c>
      <c r="AC935" s="26" t="s">
        <v>53</v>
      </c>
      <c r="AD935" s="19" t="s">
        <v>54</v>
      </c>
      <c r="AE935" s="26">
        <v>470</v>
      </c>
      <c r="AF935" s="17">
        <v>45199</v>
      </c>
      <c r="AG935" s="26"/>
      <c r="AH935" s="26"/>
      <c r="AI935" s="40"/>
      <c r="AJ935" s="26"/>
      <c r="AK935" s="26"/>
      <c r="AL935" s="35"/>
      <c r="AM935" s="35"/>
      <c r="AN935" s="35"/>
      <c r="AO935" s="35"/>
      <c r="AP935" s="35"/>
    </row>
    <row r="936" spans="1:42" x14ac:dyDescent="0.2">
      <c r="A936" s="27">
        <v>45196.37429018518</v>
      </c>
      <c r="B936" s="28" t="s">
        <v>37</v>
      </c>
      <c r="C936" s="41" t="s">
        <v>118</v>
      </c>
      <c r="D936" s="26" t="s">
        <v>36</v>
      </c>
      <c r="E936" s="26" t="s">
        <v>148</v>
      </c>
      <c r="F936" s="26" t="s">
        <v>4715</v>
      </c>
      <c r="G936" s="26" t="s">
        <v>108</v>
      </c>
      <c r="H936" s="26" t="s">
        <v>1781</v>
      </c>
      <c r="I936" s="17">
        <f ca="1">IFERROR(__xludf.DUMMYFUNCTION("""COMPUTED_VALUE"""),45203)</f>
        <v>45203</v>
      </c>
      <c r="J936" s="29" t="s">
        <v>4716</v>
      </c>
      <c r="K936" s="26" t="s">
        <v>4717</v>
      </c>
      <c r="L936" s="30">
        <v>865265463</v>
      </c>
      <c r="M936" s="26" t="s">
        <v>112</v>
      </c>
      <c r="N936" s="26" t="s">
        <v>4718</v>
      </c>
      <c r="O936" s="26" t="s">
        <v>91</v>
      </c>
      <c r="P936" s="26" t="s">
        <v>4719</v>
      </c>
      <c r="Q936" s="20">
        <v>7349</v>
      </c>
      <c r="R936" s="26" t="s">
        <v>70</v>
      </c>
      <c r="S936" s="31">
        <v>5000</v>
      </c>
      <c r="T936" s="32">
        <v>44860</v>
      </c>
      <c r="U936" s="31">
        <v>11679</v>
      </c>
      <c r="V936" s="32">
        <v>44883</v>
      </c>
      <c r="W936" s="33" t="s">
        <v>4720</v>
      </c>
      <c r="X936" s="26"/>
      <c r="Y936" s="22">
        <v>-9330</v>
      </c>
      <c r="Z936" s="26" t="s">
        <v>118</v>
      </c>
      <c r="AA936" s="19" t="s">
        <v>4541</v>
      </c>
      <c r="AB936" s="26" t="s">
        <v>154</v>
      </c>
      <c r="AC936" s="26" t="s">
        <v>53</v>
      </c>
      <c r="AD936" s="19" t="s">
        <v>54</v>
      </c>
      <c r="AE936" s="26"/>
      <c r="AF936" s="17">
        <v>45199</v>
      </c>
      <c r="AG936" s="26"/>
      <c r="AH936" s="26"/>
      <c r="AI936" s="40"/>
      <c r="AJ936" s="26"/>
      <c r="AK936" s="26"/>
      <c r="AL936" s="35"/>
      <c r="AM936" s="35"/>
      <c r="AN936" s="35"/>
      <c r="AO936" s="35"/>
      <c r="AP936" s="35"/>
    </row>
    <row r="937" spans="1:42" x14ac:dyDescent="0.2">
      <c r="A937" s="27">
        <v>45197.403577708334</v>
      </c>
      <c r="B937" s="28" t="s">
        <v>37</v>
      </c>
      <c r="C937" s="41" t="s">
        <v>118</v>
      </c>
      <c r="D937" s="26" t="s">
        <v>36</v>
      </c>
      <c r="E937" s="26" t="s">
        <v>39</v>
      </c>
      <c r="F937" s="26" t="s">
        <v>688</v>
      </c>
      <c r="G937" s="26" t="s">
        <v>108</v>
      </c>
      <c r="H937" s="26" t="s">
        <v>2424</v>
      </c>
      <c r="I937" s="17">
        <f ca="1">IFERROR(__xludf.DUMMYFUNCTION("""COMPUTED_VALUE"""),45205)</f>
        <v>45205</v>
      </c>
      <c r="J937" s="29" t="s">
        <v>1295</v>
      </c>
      <c r="K937" s="26" t="s">
        <v>4721</v>
      </c>
      <c r="L937" s="30">
        <v>328658106</v>
      </c>
      <c r="M937" s="26" t="s">
        <v>112</v>
      </c>
      <c r="N937" s="26" t="s">
        <v>578</v>
      </c>
      <c r="O937" s="26" t="s">
        <v>91</v>
      </c>
      <c r="P937" s="26" t="s">
        <v>4722</v>
      </c>
      <c r="Q937" s="20">
        <v>5736</v>
      </c>
      <c r="R937" s="26" t="s">
        <v>36</v>
      </c>
      <c r="S937" s="31">
        <v>200</v>
      </c>
      <c r="T937" s="32">
        <v>45142</v>
      </c>
      <c r="U937" s="31">
        <v>5568</v>
      </c>
      <c r="V937" s="32">
        <v>45143</v>
      </c>
      <c r="W937" s="26"/>
      <c r="X937" s="26"/>
      <c r="Y937" s="22">
        <v>-32</v>
      </c>
      <c r="Z937" s="26" t="s">
        <v>118</v>
      </c>
      <c r="AA937" s="19" t="s">
        <v>4541</v>
      </c>
      <c r="AB937" s="26" t="s">
        <v>137</v>
      </c>
      <c r="AC937" s="26" t="s">
        <v>53</v>
      </c>
      <c r="AD937" s="19" t="s">
        <v>54</v>
      </c>
      <c r="AE937" s="26">
        <v>59</v>
      </c>
      <c r="AF937" s="17">
        <v>45199</v>
      </c>
      <c r="AG937" s="26"/>
      <c r="AH937" s="26"/>
      <c r="AI937" s="40"/>
      <c r="AJ937" s="26"/>
      <c r="AK937" s="26"/>
      <c r="AL937" s="35"/>
      <c r="AM937" s="35"/>
      <c r="AN937" s="35"/>
      <c r="AO937" s="35"/>
      <c r="AP937" s="35"/>
    </row>
    <row r="938" spans="1:42" x14ac:dyDescent="0.2">
      <c r="A938" s="27">
        <v>45197.408356423606</v>
      </c>
      <c r="B938" s="28" t="s">
        <v>37</v>
      </c>
      <c r="C938" s="41" t="s">
        <v>118</v>
      </c>
      <c r="D938" s="26" t="s">
        <v>36</v>
      </c>
      <c r="E938" s="26" t="s">
        <v>56</v>
      </c>
      <c r="F938" s="26" t="s">
        <v>688</v>
      </c>
      <c r="G938" s="26" t="s">
        <v>108</v>
      </c>
      <c r="H938" s="26" t="s">
        <v>2424</v>
      </c>
      <c r="I938" s="17">
        <f ca="1">IFERROR(__xludf.DUMMYFUNCTION("""COMPUTED_VALUE"""),45205)</f>
        <v>45205</v>
      </c>
      <c r="J938" s="29" t="s">
        <v>1259</v>
      </c>
      <c r="K938" s="26" t="s">
        <v>4723</v>
      </c>
      <c r="L938" s="30">
        <v>363128226</v>
      </c>
      <c r="M938" s="26" t="s">
        <v>80</v>
      </c>
      <c r="N938" s="26" t="s">
        <v>299</v>
      </c>
      <c r="O938" s="26" t="s">
        <v>1261</v>
      </c>
      <c r="P938" s="42" t="s">
        <v>4724</v>
      </c>
      <c r="Q938" s="20">
        <v>9317</v>
      </c>
      <c r="R938" s="26" t="s">
        <v>36</v>
      </c>
      <c r="S938" s="31">
        <v>2000</v>
      </c>
      <c r="T938" s="32">
        <v>45141</v>
      </c>
      <c r="U938" s="31">
        <v>7317</v>
      </c>
      <c r="V938" s="32">
        <v>45160</v>
      </c>
      <c r="W938" s="33" t="s">
        <v>1263</v>
      </c>
      <c r="X938" s="26">
        <v>0</v>
      </c>
      <c r="Y938" s="22">
        <v>0</v>
      </c>
      <c r="Z938" s="26" t="s">
        <v>118</v>
      </c>
      <c r="AA938" s="19" t="s">
        <v>4541</v>
      </c>
      <c r="AB938" s="26" t="s">
        <v>137</v>
      </c>
      <c r="AC938" s="26" t="s">
        <v>53</v>
      </c>
      <c r="AD938" s="19" t="s">
        <v>54</v>
      </c>
      <c r="AE938" s="26">
        <v>75</v>
      </c>
      <c r="AF938" s="17">
        <v>45199</v>
      </c>
      <c r="AG938" s="26"/>
      <c r="AH938" s="26"/>
      <c r="AI938" s="40"/>
      <c r="AJ938" s="26"/>
      <c r="AK938" s="26"/>
      <c r="AL938" s="35"/>
      <c r="AM938" s="35"/>
      <c r="AN938" s="35"/>
      <c r="AO938" s="35"/>
      <c r="AP938" s="35"/>
    </row>
    <row r="939" spans="1:42" x14ac:dyDescent="0.2">
      <c r="A939" s="27">
        <v>45197.412896365742</v>
      </c>
      <c r="B939" s="28" t="s">
        <v>37</v>
      </c>
      <c r="C939" s="41" t="s">
        <v>118</v>
      </c>
      <c r="D939" s="26" t="s">
        <v>36</v>
      </c>
      <c r="E939" s="26" t="s">
        <v>39</v>
      </c>
      <c r="F939" s="26" t="s">
        <v>688</v>
      </c>
      <c r="G939" s="26" t="s">
        <v>108</v>
      </c>
      <c r="H939" s="26" t="s">
        <v>2424</v>
      </c>
      <c r="I939" s="17">
        <f ca="1">IFERROR(__xludf.DUMMYFUNCTION("""COMPUTED_VALUE"""),45205)</f>
        <v>45205</v>
      </c>
      <c r="J939" s="29" t="s">
        <v>4725</v>
      </c>
      <c r="K939" s="26" t="s">
        <v>4726</v>
      </c>
      <c r="L939" s="30">
        <v>904320829</v>
      </c>
      <c r="M939" s="26" t="s">
        <v>112</v>
      </c>
      <c r="N939" s="26" t="s">
        <v>578</v>
      </c>
      <c r="O939" s="26" t="s">
        <v>91</v>
      </c>
      <c r="P939" s="26" t="s">
        <v>4727</v>
      </c>
      <c r="Q939" s="20">
        <v>5736</v>
      </c>
      <c r="R939" s="26" t="s">
        <v>36</v>
      </c>
      <c r="S939" s="31">
        <v>1968</v>
      </c>
      <c r="T939" s="32">
        <v>45139</v>
      </c>
      <c r="U939" s="31">
        <v>3768</v>
      </c>
      <c r="V939" s="32">
        <v>45166</v>
      </c>
      <c r="W939" s="26"/>
      <c r="X939" s="26"/>
      <c r="Y939" s="22">
        <v>0</v>
      </c>
      <c r="Z939" s="26" t="s">
        <v>118</v>
      </c>
      <c r="AA939" s="19" t="s">
        <v>4541</v>
      </c>
      <c r="AB939" s="26" t="s">
        <v>137</v>
      </c>
      <c r="AC939" s="26" t="s">
        <v>53</v>
      </c>
      <c r="AD939" s="19" t="s">
        <v>54</v>
      </c>
      <c r="AE939" s="26">
        <v>75</v>
      </c>
      <c r="AF939" s="17">
        <v>45199</v>
      </c>
      <c r="AG939" s="29" t="s">
        <v>1191</v>
      </c>
      <c r="AH939" s="26" t="s">
        <v>3716</v>
      </c>
      <c r="AI939" s="40"/>
      <c r="AJ939" s="26"/>
      <c r="AK939" s="26"/>
      <c r="AL939" s="35"/>
      <c r="AM939" s="35"/>
      <c r="AN939" s="35"/>
      <c r="AO939" s="35"/>
      <c r="AP939" s="35"/>
    </row>
    <row r="940" spans="1:42" x14ac:dyDescent="0.2">
      <c r="A940" s="27">
        <v>45197.414685231481</v>
      </c>
      <c r="B940" s="28" t="s">
        <v>37</v>
      </c>
      <c r="C940" s="41" t="s">
        <v>118</v>
      </c>
      <c r="D940" s="26" t="s">
        <v>36</v>
      </c>
      <c r="E940" s="26" t="s">
        <v>139</v>
      </c>
      <c r="F940" s="26" t="s">
        <v>688</v>
      </c>
      <c r="G940" s="26" t="s">
        <v>108</v>
      </c>
      <c r="H940" s="26" t="s">
        <v>2424</v>
      </c>
      <c r="I940" s="17">
        <f ca="1">IFERROR(__xludf.DUMMYFUNCTION("""COMPUTED_VALUE"""),45205)</f>
        <v>45205</v>
      </c>
      <c r="J940" s="29" t="s">
        <v>1277</v>
      </c>
      <c r="K940" s="26" t="s">
        <v>4728</v>
      </c>
      <c r="L940" s="30">
        <v>916927480</v>
      </c>
      <c r="M940" s="26" t="s">
        <v>123</v>
      </c>
      <c r="N940" s="26" t="s">
        <v>310</v>
      </c>
      <c r="O940" s="26" t="s">
        <v>91</v>
      </c>
      <c r="P940" s="26" t="s">
        <v>4729</v>
      </c>
      <c r="Q940" s="20">
        <v>15936</v>
      </c>
      <c r="R940" s="26" t="s">
        <v>36</v>
      </c>
      <c r="S940" s="31">
        <v>1968</v>
      </c>
      <c r="T940" s="32">
        <v>45142</v>
      </c>
      <c r="U940" s="31">
        <v>13968</v>
      </c>
      <c r="V940" s="32">
        <v>45165</v>
      </c>
      <c r="W940" s="33" t="s">
        <v>1280</v>
      </c>
      <c r="X940" s="26">
        <v>0</v>
      </c>
      <c r="Y940" s="22">
        <v>0</v>
      </c>
      <c r="Z940" s="26" t="s">
        <v>118</v>
      </c>
      <c r="AA940" s="19" t="s">
        <v>4541</v>
      </c>
      <c r="AB940" s="26" t="s">
        <v>128</v>
      </c>
      <c r="AC940" s="26" t="s">
        <v>53</v>
      </c>
      <c r="AD940" s="19" t="s">
        <v>54</v>
      </c>
      <c r="AE940" s="26">
        <v>87</v>
      </c>
      <c r="AF940" s="17">
        <v>45199</v>
      </c>
      <c r="AG940" s="26"/>
      <c r="AH940" s="26"/>
      <c r="AI940" s="40"/>
      <c r="AJ940" s="26"/>
      <c r="AK940" s="26"/>
      <c r="AL940" s="35"/>
      <c r="AM940" s="35"/>
      <c r="AN940" s="35"/>
      <c r="AO940" s="35"/>
      <c r="AP940" s="35"/>
    </row>
    <row r="941" spans="1:42" x14ac:dyDescent="0.2">
      <c r="A941" s="27">
        <v>45197.416910925924</v>
      </c>
      <c r="B941" s="28" t="s">
        <v>37</v>
      </c>
      <c r="C941" s="41" t="s">
        <v>118</v>
      </c>
      <c r="D941" s="26" t="s">
        <v>36</v>
      </c>
      <c r="E941" s="26" t="s">
        <v>56</v>
      </c>
      <c r="F941" s="26" t="s">
        <v>545</v>
      </c>
      <c r="G941" s="26" t="s">
        <v>108</v>
      </c>
      <c r="H941" s="26" t="s">
        <v>2424</v>
      </c>
      <c r="I941" s="17">
        <f ca="1">IFERROR(__xludf.DUMMYFUNCTION("""COMPUTED_VALUE"""),45205)</f>
        <v>45205</v>
      </c>
      <c r="J941" s="29" t="s">
        <v>1092</v>
      </c>
      <c r="K941" s="26" t="s">
        <v>4730</v>
      </c>
      <c r="L941" s="30">
        <v>865501583</v>
      </c>
      <c r="M941" s="26" t="s">
        <v>112</v>
      </c>
      <c r="N941" s="26" t="s">
        <v>578</v>
      </c>
      <c r="O941" s="26" t="s">
        <v>91</v>
      </c>
      <c r="P941" s="42" t="s">
        <v>4731</v>
      </c>
      <c r="Q941" s="20">
        <v>9317</v>
      </c>
      <c r="R941" s="26" t="s">
        <v>36</v>
      </c>
      <c r="S941" s="31">
        <v>2000</v>
      </c>
      <c r="T941" s="32">
        <v>45128</v>
      </c>
      <c r="U941" s="31">
        <v>7317</v>
      </c>
      <c r="V941" s="32">
        <v>45160</v>
      </c>
      <c r="W941" s="33" t="s">
        <v>1096</v>
      </c>
      <c r="X941" s="26">
        <v>0</v>
      </c>
      <c r="Y941" s="22">
        <v>0</v>
      </c>
      <c r="Z941" s="26" t="s">
        <v>118</v>
      </c>
      <c r="AA941" s="19" t="s">
        <v>901</v>
      </c>
      <c r="AB941" s="26" t="s">
        <v>128</v>
      </c>
      <c r="AC941" s="26" t="s">
        <v>53</v>
      </c>
      <c r="AD941" s="19" t="s">
        <v>54</v>
      </c>
      <c r="AE941" s="26">
        <v>79</v>
      </c>
      <c r="AF941" s="17">
        <v>45199</v>
      </c>
      <c r="AG941" s="26"/>
      <c r="AH941" s="26"/>
      <c r="AI941" s="40"/>
      <c r="AJ941" s="26"/>
      <c r="AK941" s="26"/>
      <c r="AL941" s="35"/>
      <c r="AM941" s="35"/>
      <c r="AN941" s="35"/>
      <c r="AO941" s="35"/>
      <c r="AP941" s="35"/>
    </row>
    <row r="942" spans="1:42" x14ac:dyDescent="0.2">
      <c r="A942" s="27">
        <v>45197.465158935185</v>
      </c>
      <c r="B942" s="28" t="s">
        <v>37</v>
      </c>
      <c r="C942" s="41" t="s">
        <v>118</v>
      </c>
      <c r="D942" s="26" t="s">
        <v>36</v>
      </c>
      <c r="E942" s="26" t="s">
        <v>139</v>
      </c>
      <c r="F942" s="26" t="s">
        <v>688</v>
      </c>
      <c r="G942" s="26" t="s">
        <v>108</v>
      </c>
      <c r="H942" s="26" t="s">
        <v>2424</v>
      </c>
      <c r="I942" s="17">
        <f ca="1">IFERROR(__xludf.DUMMYFUNCTION("""COMPUTED_VALUE"""),45205)</f>
        <v>45205</v>
      </c>
      <c r="J942" s="29" t="s">
        <v>1264</v>
      </c>
      <c r="K942" s="26" t="s">
        <v>4732</v>
      </c>
      <c r="L942" s="30">
        <v>965227970</v>
      </c>
      <c r="M942" s="26" t="s">
        <v>123</v>
      </c>
      <c r="N942" s="26" t="s">
        <v>310</v>
      </c>
      <c r="O942" s="26" t="s">
        <v>91</v>
      </c>
      <c r="P942" s="26" t="s">
        <v>4733</v>
      </c>
      <c r="Q942" s="20">
        <v>15936</v>
      </c>
      <c r="R942" s="26" t="s">
        <v>36</v>
      </c>
      <c r="S942" s="31">
        <v>2000</v>
      </c>
      <c r="T942" s="32">
        <v>45141</v>
      </c>
      <c r="U942" s="31">
        <v>13936</v>
      </c>
      <c r="V942" s="32">
        <v>45164</v>
      </c>
      <c r="W942" s="55" t="s">
        <v>1267</v>
      </c>
      <c r="X942" s="26">
        <v>0</v>
      </c>
      <c r="Y942" s="22">
        <v>0</v>
      </c>
      <c r="Z942" s="26" t="s">
        <v>118</v>
      </c>
      <c r="AA942" s="19" t="s">
        <v>4541</v>
      </c>
      <c r="AB942" s="26" t="s">
        <v>137</v>
      </c>
      <c r="AC942" s="26" t="s">
        <v>53</v>
      </c>
      <c r="AD942" s="19" t="s">
        <v>54</v>
      </c>
      <c r="AE942" s="26">
        <v>87</v>
      </c>
      <c r="AF942" s="17">
        <v>45199</v>
      </c>
      <c r="AG942" s="26"/>
      <c r="AH942" s="26"/>
      <c r="AI942" s="40"/>
      <c r="AJ942" s="26"/>
      <c r="AK942" s="26"/>
      <c r="AL942" s="35"/>
      <c r="AM942" s="35"/>
      <c r="AN942" s="35"/>
      <c r="AO942" s="35"/>
      <c r="AP942" s="35"/>
    </row>
    <row r="943" spans="1:42" x14ac:dyDescent="0.2">
      <c r="A943" s="27">
        <v>45197.554025682868</v>
      </c>
      <c r="B943" s="28" t="s">
        <v>37</v>
      </c>
      <c r="C943" s="41" t="s">
        <v>118</v>
      </c>
      <c r="D943" s="26" t="s">
        <v>36</v>
      </c>
      <c r="E943" s="26" t="s">
        <v>139</v>
      </c>
      <c r="F943" s="26" t="s">
        <v>512</v>
      </c>
      <c r="G943" s="26" t="s">
        <v>108</v>
      </c>
      <c r="H943" s="26" t="s">
        <v>2424</v>
      </c>
      <c r="I943" s="17">
        <f ca="1">IFERROR(__xludf.DUMMYFUNCTION("""COMPUTED_VALUE"""),45205)</f>
        <v>45205</v>
      </c>
      <c r="J943" s="29" t="s">
        <v>1071</v>
      </c>
      <c r="K943" s="26" t="s">
        <v>4734</v>
      </c>
      <c r="L943" s="30">
        <v>395183401</v>
      </c>
      <c r="M943" s="26" t="s">
        <v>80</v>
      </c>
      <c r="N943" s="26" t="s">
        <v>1073</v>
      </c>
      <c r="O943" s="26" t="s">
        <v>91</v>
      </c>
      <c r="P943" s="26" t="s">
        <v>4735</v>
      </c>
      <c r="Q943" s="20">
        <v>15936</v>
      </c>
      <c r="R943" s="26" t="s">
        <v>36</v>
      </c>
      <c r="S943" s="31">
        <v>4000</v>
      </c>
      <c r="T943" s="32">
        <v>45126</v>
      </c>
      <c r="U943" s="31">
        <v>11936</v>
      </c>
      <c r="V943" s="32">
        <v>45151</v>
      </c>
      <c r="W943" s="33" t="s">
        <v>1076</v>
      </c>
      <c r="X943" s="26">
        <v>0</v>
      </c>
      <c r="Y943" s="22">
        <v>0</v>
      </c>
      <c r="Z943" s="26" t="s">
        <v>118</v>
      </c>
      <c r="AA943" s="19" t="s">
        <v>4541</v>
      </c>
      <c r="AB943" s="26" t="s">
        <v>137</v>
      </c>
      <c r="AC943" s="26" t="s">
        <v>53</v>
      </c>
      <c r="AD943" s="19" t="s">
        <v>54</v>
      </c>
      <c r="AE943" s="26">
        <v>73</v>
      </c>
      <c r="AF943" s="17">
        <v>45199</v>
      </c>
      <c r="AG943" s="26"/>
      <c r="AH943" s="26"/>
      <c r="AI943" s="40"/>
      <c r="AJ943" s="26"/>
      <c r="AK943" s="26"/>
      <c r="AL943" s="35"/>
      <c r="AM943" s="35"/>
      <c r="AN943" s="35"/>
      <c r="AO943" s="35"/>
      <c r="AP943" s="35"/>
    </row>
    <row r="944" spans="1:42" x14ac:dyDescent="0.2">
      <c r="A944" s="27">
        <v>45197.888329918977</v>
      </c>
      <c r="B944" s="28" t="s">
        <v>37</v>
      </c>
      <c r="C944" s="41" t="s">
        <v>118</v>
      </c>
      <c r="D944" s="26" t="s">
        <v>36</v>
      </c>
      <c r="E944" s="26" t="s">
        <v>148</v>
      </c>
      <c r="F944" s="26" t="s">
        <v>3400</v>
      </c>
      <c r="G944" s="26" t="s">
        <v>221</v>
      </c>
      <c r="H944" s="26" t="s">
        <v>3308</v>
      </c>
      <c r="I944" s="17">
        <f ca="1">IFERROR(__xludf.DUMMYFUNCTION("""COMPUTED_VALUE"""),45233)</f>
        <v>45233</v>
      </c>
      <c r="J944" s="29" t="s">
        <v>4736</v>
      </c>
      <c r="K944" s="26" t="s">
        <v>4737</v>
      </c>
      <c r="L944" s="30">
        <v>855943788</v>
      </c>
      <c r="M944" s="26" t="s">
        <v>112</v>
      </c>
      <c r="N944" s="26" t="s">
        <v>578</v>
      </c>
      <c r="O944" s="26" t="s">
        <v>91</v>
      </c>
      <c r="P944" s="42" t="s">
        <v>4738</v>
      </c>
      <c r="Q944" s="20">
        <v>7349</v>
      </c>
      <c r="R944" s="26" t="s">
        <v>36</v>
      </c>
      <c r="S944" s="31">
        <v>7349</v>
      </c>
      <c r="T944" s="32">
        <v>45090</v>
      </c>
      <c r="U944" s="31"/>
      <c r="V944" s="26"/>
      <c r="W944" s="33" t="s">
        <v>4739</v>
      </c>
      <c r="X944" s="26"/>
      <c r="Y944" s="22">
        <v>0</v>
      </c>
      <c r="Z944" s="26" t="s">
        <v>118</v>
      </c>
      <c r="AA944" s="19" t="s">
        <v>4541</v>
      </c>
      <c r="AB944" s="26" t="s">
        <v>104</v>
      </c>
      <c r="AC944" s="26" t="s">
        <v>53</v>
      </c>
      <c r="AD944" s="19" t="s">
        <v>54</v>
      </c>
      <c r="AE944" s="26">
        <v>585</v>
      </c>
      <c r="AF944" s="43">
        <v>45230</v>
      </c>
      <c r="AG944" s="26"/>
      <c r="AH944" s="26"/>
      <c r="AI944" s="40"/>
      <c r="AJ944" s="26"/>
      <c r="AK944" s="26"/>
      <c r="AL944" s="35"/>
      <c r="AM944" s="35"/>
      <c r="AN944" s="35"/>
      <c r="AO944" s="35"/>
      <c r="AP944" s="35"/>
    </row>
    <row r="945" spans="1:42" x14ac:dyDescent="0.2">
      <c r="A945" s="27">
        <v>45197.890857696759</v>
      </c>
      <c r="B945" s="28" t="s">
        <v>37</v>
      </c>
      <c r="C945" s="41" t="s">
        <v>118</v>
      </c>
      <c r="D945" s="26" t="s">
        <v>36</v>
      </c>
      <c r="E945" s="26" t="s">
        <v>148</v>
      </c>
      <c r="F945" s="26" t="s">
        <v>4740</v>
      </c>
      <c r="G945" s="26" t="s">
        <v>221</v>
      </c>
      <c r="H945" s="26" t="s">
        <v>2121</v>
      </c>
      <c r="I945" s="17">
        <f ca="1">IFERROR(__xludf.DUMMYFUNCTION("""COMPUTED_VALUE"""),45230)</f>
        <v>45230</v>
      </c>
      <c r="J945" s="29" t="s">
        <v>4741</v>
      </c>
      <c r="K945" s="26" t="s">
        <v>4742</v>
      </c>
      <c r="L945" s="30">
        <v>365393207</v>
      </c>
      <c r="M945" s="26" t="s">
        <v>112</v>
      </c>
      <c r="N945" s="26" t="s">
        <v>578</v>
      </c>
      <c r="O945" s="26" t="s">
        <v>91</v>
      </c>
      <c r="P945" s="26" t="s">
        <v>4743</v>
      </c>
      <c r="Q945" s="20">
        <v>7349</v>
      </c>
      <c r="R945" s="26" t="s">
        <v>36</v>
      </c>
      <c r="S945" s="31">
        <v>1000</v>
      </c>
      <c r="T945" s="32">
        <v>44816</v>
      </c>
      <c r="U945" s="31">
        <v>6250</v>
      </c>
      <c r="V945" s="32">
        <v>44833</v>
      </c>
      <c r="W945" s="33" t="s">
        <v>4744</v>
      </c>
      <c r="X945" s="26"/>
      <c r="Y945" s="22">
        <v>99</v>
      </c>
      <c r="Z945" s="26" t="s">
        <v>118</v>
      </c>
      <c r="AA945" s="19" t="s">
        <v>4541</v>
      </c>
      <c r="AB945" s="26" t="s">
        <v>104</v>
      </c>
      <c r="AC945" s="26" t="s">
        <v>53</v>
      </c>
      <c r="AD945" s="19" t="s">
        <v>54</v>
      </c>
      <c r="AE945" s="26">
        <v>540</v>
      </c>
      <c r="AF945" s="17">
        <v>45219</v>
      </c>
      <c r="AG945" s="26"/>
      <c r="AH945" s="26"/>
      <c r="AI945" s="40"/>
      <c r="AJ945" s="26"/>
      <c r="AK945" s="26"/>
      <c r="AL945" s="35"/>
      <c r="AM945" s="35"/>
      <c r="AN945" s="35"/>
      <c r="AO945" s="35"/>
      <c r="AP945" s="35"/>
    </row>
    <row r="946" spans="1:42" x14ac:dyDescent="0.2">
      <c r="A946" s="27">
        <v>45197.902165925931</v>
      </c>
      <c r="B946" s="28" t="s">
        <v>37</v>
      </c>
      <c r="C946" s="41" t="s">
        <v>118</v>
      </c>
      <c r="D946" s="26" t="s">
        <v>36</v>
      </c>
      <c r="E946" s="26" t="s">
        <v>148</v>
      </c>
      <c r="F946" s="26" t="s">
        <v>4745</v>
      </c>
      <c r="G946" s="26" t="s">
        <v>221</v>
      </c>
      <c r="H946" s="26" t="s">
        <v>2279</v>
      </c>
      <c r="I946" s="17">
        <f ca="1">IFERROR(__xludf.DUMMYFUNCTION("""COMPUTED_VALUE"""),45222)</f>
        <v>45222</v>
      </c>
      <c r="J946" s="44" t="s">
        <v>4746</v>
      </c>
      <c r="K946" s="26" t="s">
        <v>4747</v>
      </c>
      <c r="L946" s="30" t="s">
        <v>4748</v>
      </c>
      <c r="M946" s="26" t="s">
        <v>112</v>
      </c>
      <c r="N946" s="26" t="s">
        <v>578</v>
      </c>
      <c r="O946" s="26" t="s">
        <v>307</v>
      </c>
      <c r="P946" s="26" t="s">
        <v>4749</v>
      </c>
      <c r="Q946" s="20">
        <v>7349</v>
      </c>
      <c r="R946" s="26" t="s">
        <v>36</v>
      </c>
      <c r="S946" s="31">
        <v>13657</v>
      </c>
      <c r="T946" s="32">
        <v>44786</v>
      </c>
      <c r="U946" s="31"/>
      <c r="V946" s="26"/>
      <c r="W946" s="26"/>
      <c r="X946" s="26"/>
      <c r="Y946" s="22">
        <v>-6308</v>
      </c>
      <c r="Z946" s="26" t="s">
        <v>118</v>
      </c>
      <c r="AA946" s="19" t="s">
        <v>4541</v>
      </c>
      <c r="AB946" s="26" t="s">
        <v>104</v>
      </c>
      <c r="AC946" s="26" t="s">
        <v>53</v>
      </c>
      <c r="AD946" s="19" t="s">
        <v>54</v>
      </c>
      <c r="AE946" s="26"/>
      <c r="AF946" s="17">
        <v>45211</v>
      </c>
      <c r="AG946" s="26"/>
      <c r="AH946" s="26"/>
      <c r="AI946" s="40"/>
      <c r="AJ946" s="26"/>
      <c r="AK946" s="26"/>
      <c r="AL946" s="35"/>
      <c r="AM946" s="35"/>
      <c r="AN946" s="35"/>
      <c r="AO946" s="35"/>
      <c r="AP946" s="35"/>
    </row>
    <row r="947" spans="1:42" x14ac:dyDescent="0.2">
      <c r="A947" s="27">
        <v>45197.961322256946</v>
      </c>
      <c r="B947" s="28" t="s">
        <v>37</v>
      </c>
      <c r="C947" s="41" t="s">
        <v>118</v>
      </c>
      <c r="D947" s="26" t="s">
        <v>36</v>
      </c>
      <c r="E947" s="26" t="s">
        <v>219</v>
      </c>
      <c r="F947" s="26" t="s">
        <v>4740</v>
      </c>
      <c r="G947" s="26" t="s">
        <v>221</v>
      </c>
      <c r="H947" s="26" t="s">
        <v>2279</v>
      </c>
      <c r="I947" s="17">
        <f ca="1">IFERROR(__xludf.DUMMYFUNCTION("""COMPUTED_VALUE"""),45222)</f>
        <v>45222</v>
      </c>
      <c r="J947" s="29" t="s">
        <v>4750</v>
      </c>
      <c r="K947" s="26" t="s">
        <v>4751</v>
      </c>
      <c r="L947" s="30" t="s">
        <v>4752</v>
      </c>
      <c r="M947" s="26" t="s">
        <v>112</v>
      </c>
      <c r="N947" s="26" t="s">
        <v>578</v>
      </c>
      <c r="O947" s="26" t="s">
        <v>91</v>
      </c>
      <c r="P947" s="26" t="s">
        <v>4753</v>
      </c>
      <c r="Q947" s="20">
        <v>3968</v>
      </c>
      <c r="R947" s="26" t="s">
        <v>36</v>
      </c>
      <c r="S947" s="31">
        <v>3968</v>
      </c>
      <c r="T947" s="32">
        <v>45036</v>
      </c>
      <c r="U947" s="31"/>
      <c r="V947" s="26"/>
      <c r="W947" s="26"/>
      <c r="X947" s="26"/>
      <c r="Y947" s="22">
        <v>0</v>
      </c>
      <c r="Z947" s="26" t="s">
        <v>118</v>
      </c>
      <c r="AA947" s="19" t="s">
        <v>4541</v>
      </c>
      <c r="AB947" s="26" t="s">
        <v>104</v>
      </c>
      <c r="AC947" s="26" t="s">
        <v>53</v>
      </c>
      <c r="AD947" s="19" t="s">
        <v>54</v>
      </c>
      <c r="AE947" s="26"/>
      <c r="AF947" s="17">
        <v>45222</v>
      </c>
      <c r="AG947" s="26" t="s">
        <v>4754</v>
      </c>
      <c r="AH947" s="26"/>
      <c r="AI947" s="40"/>
      <c r="AJ947" s="26"/>
      <c r="AK947" s="26"/>
      <c r="AL947" s="35"/>
      <c r="AM947" s="35"/>
      <c r="AN947" s="35"/>
      <c r="AO947" s="35"/>
      <c r="AP947" s="35"/>
    </row>
    <row r="948" spans="1:42" x14ac:dyDescent="0.2">
      <c r="A948" s="27">
        <v>45199.438846041667</v>
      </c>
      <c r="B948" s="28" t="s">
        <v>37</v>
      </c>
      <c r="C948" s="41" t="s">
        <v>118</v>
      </c>
      <c r="D948" s="26" t="s">
        <v>36</v>
      </c>
      <c r="E948" s="26" t="s">
        <v>148</v>
      </c>
      <c r="F948" s="26" t="s">
        <v>4597</v>
      </c>
      <c r="G948" s="26" t="s">
        <v>221</v>
      </c>
      <c r="H948" s="26" t="s">
        <v>2279</v>
      </c>
      <c r="I948" s="17">
        <f ca="1">IFERROR(__xludf.DUMMYFUNCTION("""COMPUTED_VALUE"""),45222)</f>
        <v>45222</v>
      </c>
      <c r="J948" s="29" t="s">
        <v>4755</v>
      </c>
      <c r="K948" s="26" t="s">
        <v>4756</v>
      </c>
      <c r="L948" s="30">
        <v>973631756</v>
      </c>
      <c r="M948" s="26" t="s">
        <v>112</v>
      </c>
      <c r="N948" s="26" t="s">
        <v>578</v>
      </c>
      <c r="O948" s="26" t="s">
        <v>91</v>
      </c>
      <c r="P948" s="26" t="s">
        <v>4757</v>
      </c>
      <c r="Q948" s="20">
        <v>7349</v>
      </c>
      <c r="R948" s="26" t="s">
        <v>36</v>
      </c>
      <c r="S948" s="31">
        <v>7349</v>
      </c>
      <c r="T948" s="32">
        <v>45071</v>
      </c>
      <c r="U948" s="31"/>
      <c r="V948" s="26"/>
      <c r="W948" s="26"/>
      <c r="X948" s="26"/>
      <c r="Y948" s="22">
        <v>0</v>
      </c>
      <c r="Z948" s="26" t="s">
        <v>118</v>
      </c>
      <c r="AA948" s="19" t="s">
        <v>4541</v>
      </c>
      <c r="AB948" s="26" t="s">
        <v>104</v>
      </c>
      <c r="AC948" s="26" t="s">
        <v>53</v>
      </c>
      <c r="AD948" s="19" t="s">
        <v>54</v>
      </c>
      <c r="AE948" s="26">
        <v>855</v>
      </c>
      <c r="AF948" s="17">
        <v>45211</v>
      </c>
      <c r="AG948" s="26"/>
      <c r="AH948" s="26"/>
      <c r="AI948" s="40"/>
      <c r="AJ948" s="26"/>
      <c r="AK948" s="26"/>
      <c r="AL948" s="35"/>
      <c r="AM948" s="35"/>
      <c r="AN948" s="35"/>
      <c r="AO948" s="35"/>
      <c r="AP948" s="35"/>
    </row>
    <row r="949" spans="1:42" x14ac:dyDescent="0.2">
      <c r="A949" s="27">
        <v>45199.560983518517</v>
      </c>
      <c r="B949" s="28" t="s">
        <v>37</v>
      </c>
      <c r="C949" s="41" t="s">
        <v>118</v>
      </c>
      <c r="D949" s="26" t="s">
        <v>36</v>
      </c>
      <c r="E949" s="26" t="s">
        <v>148</v>
      </c>
      <c r="F949" s="26" t="s">
        <v>2615</v>
      </c>
      <c r="G949" s="26" t="s">
        <v>221</v>
      </c>
      <c r="H949" s="26" t="s">
        <v>2279</v>
      </c>
      <c r="I949" s="17">
        <f ca="1">IFERROR(__xludf.DUMMYFUNCTION("""COMPUTED_VALUE"""),45222)</f>
        <v>45222</v>
      </c>
      <c r="J949" s="29" t="s">
        <v>4758</v>
      </c>
      <c r="K949" s="26" t="s">
        <v>1334</v>
      </c>
      <c r="L949" s="30">
        <v>988426792</v>
      </c>
      <c r="M949" s="26" t="s">
        <v>112</v>
      </c>
      <c r="N949" s="26" t="s">
        <v>4759</v>
      </c>
      <c r="O949" s="26" t="s">
        <v>91</v>
      </c>
      <c r="P949" s="26" t="s">
        <v>4760</v>
      </c>
      <c r="Q949" s="20">
        <v>7349</v>
      </c>
      <c r="R949" s="26" t="s">
        <v>36</v>
      </c>
      <c r="S949" s="31">
        <v>13468</v>
      </c>
      <c r="T949" s="32">
        <v>44761</v>
      </c>
      <c r="U949" s="31"/>
      <c r="V949" s="26"/>
      <c r="W949" s="26"/>
      <c r="X949" s="26"/>
      <c r="Y949" s="22">
        <v>-6119</v>
      </c>
      <c r="Z949" s="26" t="s">
        <v>118</v>
      </c>
      <c r="AA949" s="19" t="s">
        <v>4541</v>
      </c>
      <c r="AB949" s="26" t="s">
        <v>104</v>
      </c>
      <c r="AC949" s="26" t="s">
        <v>53</v>
      </c>
      <c r="AD949" s="19" t="s">
        <v>54</v>
      </c>
      <c r="AE949" s="26">
        <v>505</v>
      </c>
      <c r="AF949" s="17">
        <v>45211</v>
      </c>
      <c r="AG949" s="26"/>
      <c r="AH949" s="26"/>
      <c r="AI949" s="40"/>
      <c r="AJ949" s="26"/>
      <c r="AK949" s="26"/>
      <c r="AL949" s="35"/>
      <c r="AM949" s="35"/>
      <c r="AN949" s="35"/>
      <c r="AO949" s="35"/>
      <c r="AP949" s="35"/>
    </row>
    <row r="950" spans="1:42" x14ac:dyDescent="0.2">
      <c r="A950" s="27">
        <v>45199.563242615739</v>
      </c>
      <c r="B950" s="28" t="s">
        <v>37</v>
      </c>
      <c r="C950" s="41" t="s">
        <v>118</v>
      </c>
      <c r="D950" s="26" t="s">
        <v>36</v>
      </c>
      <c r="E950" s="26" t="s">
        <v>56</v>
      </c>
      <c r="F950" s="26" t="s">
        <v>505</v>
      </c>
      <c r="G950" s="26" t="s">
        <v>108</v>
      </c>
      <c r="H950" s="26" t="s">
        <v>3264</v>
      </c>
      <c r="I950" s="17">
        <f ca="1">IFERROR(__xludf.DUMMYFUNCTION("""COMPUTED_VALUE"""),45204)</f>
        <v>45204</v>
      </c>
      <c r="J950" s="29" t="s">
        <v>631</v>
      </c>
      <c r="K950" s="26" t="s">
        <v>632</v>
      </c>
      <c r="L950" s="30">
        <v>352890423</v>
      </c>
      <c r="M950" s="26" t="s">
        <v>112</v>
      </c>
      <c r="N950" s="26" t="s">
        <v>578</v>
      </c>
      <c r="O950" s="26" t="s">
        <v>91</v>
      </c>
      <c r="P950" s="54" t="s">
        <v>636</v>
      </c>
      <c r="Q950" s="20">
        <v>9317</v>
      </c>
      <c r="R950" s="26" t="s">
        <v>36</v>
      </c>
      <c r="S950" s="31">
        <v>9317</v>
      </c>
      <c r="T950" s="32">
        <v>45131</v>
      </c>
      <c r="U950" s="31"/>
      <c r="V950" s="26"/>
      <c r="W950" s="33" t="s">
        <v>637</v>
      </c>
      <c r="X950" s="26">
        <v>0</v>
      </c>
      <c r="Y950" s="22">
        <v>0</v>
      </c>
      <c r="Z950" s="26" t="s">
        <v>118</v>
      </c>
      <c r="AA950" s="19" t="s">
        <v>4541</v>
      </c>
      <c r="AB950" s="26" t="s">
        <v>128</v>
      </c>
      <c r="AC950" s="26" t="s">
        <v>53</v>
      </c>
      <c r="AD950" s="19" t="s">
        <v>54</v>
      </c>
      <c r="AE950" s="26">
        <v>61</v>
      </c>
      <c r="AF950" s="17">
        <v>45202</v>
      </c>
      <c r="AG950" s="26"/>
      <c r="AH950" s="26"/>
      <c r="AI950" s="40"/>
      <c r="AJ950" s="26"/>
      <c r="AK950" s="26"/>
      <c r="AL950" s="35"/>
      <c r="AM950" s="35"/>
      <c r="AN950" s="35"/>
      <c r="AO950" s="35"/>
      <c r="AP950" s="35"/>
    </row>
    <row r="951" spans="1:42" x14ac:dyDescent="0.2">
      <c r="A951" s="27">
        <v>45201.314828564813</v>
      </c>
      <c r="B951" s="28" t="s">
        <v>37</v>
      </c>
      <c r="C951" s="41" t="s">
        <v>118</v>
      </c>
      <c r="D951" s="26" t="s">
        <v>36</v>
      </c>
      <c r="E951" s="26" t="s">
        <v>148</v>
      </c>
      <c r="F951" s="26" t="s">
        <v>3349</v>
      </c>
      <c r="G951" s="26" t="s">
        <v>108</v>
      </c>
      <c r="H951" s="26" t="s">
        <v>3264</v>
      </c>
      <c r="I951" s="17">
        <f ca="1">IFERROR(__xludf.DUMMYFUNCTION("""COMPUTED_VALUE"""),45204)</f>
        <v>45204</v>
      </c>
      <c r="J951" s="29" t="s">
        <v>4761</v>
      </c>
      <c r="K951" s="26" t="s">
        <v>4762</v>
      </c>
      <c r="L951" s="30">
        <v>355730216</v>
      </c>
      <c r="M951" s="26" t="s">
        <v>391</v>
      </c>
      <c r="N951" s="26" t="s">
        <v>2143</v>
      </c>
      <c r="O951" s="26" t="s">
        <v>2144</v>
      </c>
      <c r="P951" s="42" t="s">
        <v>4763</v>
      </c>
      <c r="Q951" s="20">
        <v>7349</v>
      </c>
      <c r="R951" s="26" t="s">
        <v>36</v>
      </c>
      <c r="S951" s="31">
        <v>16799</v>
      </c>
      <c r="T951" s="32">
        <v>44985</v>
      </c>
      <c r="U951" s="31"/>
      <c r="V951" s="26"/>
      <c r="W951" s="26"/>
      <c r="X951" s="26"/>
      <c r="Y951" s="22">
        <v>-9450</v>
      </c>
      <c r="Z951" s="26" t="s">
        <v>118</v>
      </c>
      <c r="AA951" s="19" t="s">
        <v>4541</v>
      </c>
      <c r="AB951" s="26" t="s">
        <v>137</v>
      </c>
      <c r="AC951" s="26" t="s">
        <v>53</v>
      </c>
      <c r="AD951" s="19" t="s">
        <v>54</v>
      </c>
      <c r="AE951" s="26">
        <v>470</v>
      </c>
      <c r="AF951" s="17">
        <v>45202</v>
      </c>
      <c r="AG951" s="26"/>
      <c r="AH951" s="26"/>
      <c r="AI951" s="40"/>
      <c r="AJ951" s="26"/>
      <c r="AK951" s="26"/>
      <c r="AL951" s="35"/>
      <c r="AM951" s="35"/>
      <c r="AN951" s="35"/>
      <c r="AO951" s="35"/>
      <c r="AP951" s="35"/>
    </row>
    <row r="952" spans="1:42" x14ac:dyDescent="0.2">
      <c r="A952" s="27">
        <v>45201.332322777773</v>
      </c>
      <c r="B952" s="28" t="s">
        <v>37</v>
      </c>
      <c r="C952" s="41" t="s">
        <v>118</v>
      </c>
      <c r="D952" s="26" t="s">
        <v>36</v>
      </c>
      <c r="E952" s="26" t="s">
        <v>148</v>
      </c>
      <c r="F952" s="26" t="s">
        <v>823</v>
      </c>
      <c r="G952" s="26" t="s">
        <v>108</v>
      </c>
      <c r="H952" s="26" t="s">
        <v>824</v>
      </c>
      <c r="I952" s="17">
        <f ca="1">IFERROR(__xludf.DUMMYFUNCTION("""COMPUTED_VALUE"""),45275)</f>
        <v>45275</v>
      </c>
      <c r="J952" s="29" t="s">
        <v>4764</v>
      </c>
      <c r="K952" s="26" t="s">
        <v>4765</v>
      </c>
      <c r="L952" s="30">
        <v>984340562</v>
      </c>
      <c r="M952" s="26" t="s">
        <v>94</v>
      </c>
      <c r="N952" s="26" t="s">
        <v>827</v>
      </c>
      <c r="O952" s="26" t="s">
        <v>40</v>
      </c>
      <c r="P952" s="26" t="s">
        <v>4766</v>
      </c>
      <c r="Q952" s="20">
        <v>7349</v>
      </c>
      <c r="R952" s="26" t="s">
        <v>36</v>
      </c>
      <c r="S952" s="31">
        <v>14055</v>
      </c>
      <c r="T952" s="32">
        <v>44891</v>
      </c>
      <c r="U952" s="31"/>
      <c r="V952" s="26"/>
      <c r="W952" s="33" t="s">
        <v>4767</v>
      </c>
      <c r="X952" s="26"/>
      <c r="Y952" s="22">
        <v>-19</v>
      </c>
      <c r="Z952" s="26" t="s">
        <v>118</v>
      </c>
      <c r="AA952" s="19" t="s">
        <v>4541</v>
      </c>
      <c r="AB952" s="26" t="s">
        <v>128</v>
      </c>
      <c r="AC952" s="26" t="s">
        <v>53</v>
      </c>
      <c r="AD952" s="19" t="s">
        <v>54</v>
      </c>
      <c r="AE952" s="26">
        <v>350</v>
      </c>
      <c r="AF952" s="17">
        <v>45268</v>
      </c>
      <c r="AG952" s="26"/>
      <c r="AH952" s="26"/>
      <c r="AI952" s="40"/>
      <c r="AJ952" s="26"/>
      <c r="AK952" s="26"/>
      <c r="AL952" s="35"/>
      <c r="AM952" s="35"/>
      <c r="AN952" s="35"/>
      <c r="AO952" s="35"/>
      <c r="AP952" s="35"/>
    </row>
    <row r="953" spans="1:42" x14ac:dyDescent="0.2">
      <c r="A953" s="27">
        <v>45201.639150717594</v>
      </c>
      <c r="B953" s="28" t="s">
        <v>37</v>
      </c>
      <c r="C953" s="41" t="s">
        <v>118</v>
      </c>
      <c r="D953" s="26" t="s">
        <v>36</v>
      </c>
      <c r="E953" s="26" t="s">
        <v>139</v>
      </c>
      <c r="F953" s="26" t="s">
        <v>688</v>
      </c>
      <c r="G953" s="26" t="s">
        <v>108</v>
      </c>
      <c r="H953" s="26" t="s">
        <v>3238</v>
      </c>
      <c r="I953" s="17">
        <f ca="1">IFERROR(__xludf.DUMMYFUNCTION("""COMPUTED_VALUE"""),45216)</f>
        <v>45216</v>
      </c>
      <c r="J953" s="29" t="s">
        <v>782</v>
      </c>
      <c r="K953" s="26" t="s">
        <v>4106</v>
      </c>
      <c r="L953" s="30">
        <v>372995798</v>
      </c>
      <c r="M953" s="26" t="s">
        <v>112</v>
      </c>
      <c r="N953" s="26" t="s">
        <v>3330</v>
      </c>
      <c r="O953" s="26" t="s">
        <v>785</v>
      </c>
      <c r="P953" s="26" t="s">
        <v>4768</v>
      </c>
      <c r="Q953" s="20">
        <v>15936</v>
      </c>
      <c r="R953" s="26" t="s">
        <v>36</v>
      </c>
      <c r="S953" s="31">
        <v>15936</v>
      </c>
      <c r="T953" s="32">
        <v>45135</v>
      </c>
      <c r="U953" s="31"/>
      <c r="V953" s="26"/>
      <c r="W953" s="33" t="s">
        <v>4769</v>
      </c>
      <c r="X953" s="26"/>
      <c r="Y953" s="22">
        <v>0</v>
      </c>
      <c r="Z953" s="26" t="s">
        <v>118</v>
      </c>
      <c r="AA953" s="19" t="s">
        <v>4541</v>
      </c>
      <c r="AB953" s="26" t="s">
        <v>128</v>
      </c>
      <c r="AC953" s="26" t="s">
        <v>53</v>
      </c>
      <c r="AD953" s="19" t="s">
        <v>138</v>
      </c>
      <c r="AE953" s="26" t="s">
        <v>4770</v>
      </c>
      <c r="AF953" s="43">
        <v>45216</v>
      </c>
      <c r="AG953" s="26" t="s">
        <v>1631</v>
      </c>
      <c r="AH953" s="26"/>
      <c r="AI953" s="40"/>
      <c r="AJ953" s="26"/>
      <c r="AK953" s="26"/>
      <c r="AL953" s="35"/>
      <c r="AM953" s="35"/>
      <c r="AN953" s="35"/>
      <c r="AO953" s="35"/>
      <c r="AP953" s="35"/>
    </row>
    <row r="954" spans="1:42" x14ac:dyDescent="0.2">
      <c r="A954" s="27">
        <v>45203.559271585647</v>
      </c>
      <c r="B954" s="28" t="s">
        <v>37</v>
      </c>
      <c r="C954" s="41" t="s">
        <v>118</v>
      </c>
      <c r="D954" s="26" t="s">
        <v>36</v>
      </c>
      <c r="E954" s="26" t="s">
        <v>39</v>
      </c>
      <c r="F954" s="26" t="s">
        <v>1145</v>
      </c>
      <c r="G954" s="26" t="s">
        <v>108</v>
      </c>
      <c r="H954" s="26" t="s">
        <v>2426</v>
      </c>
      <c r="I954" s="17">
        <f ca="1">IFERROR(__xludf.DUMMYFUNCTION("""COMPUTED_VALUE"""),45215)</f>
        <v>45215</v>
      </c>
      <c r="J954" s="29" t="s">
        <v>1404</v>
      </c>
      <c r="K954" s="26" t="s">
        <v>1405</v>
      </c>
      <c r="L954" s="30">
        <v>911147050</v>
      </c>
      <c r="M954" s="26" t="s">
        <v>112</v>
      </c>
      <c r="N954" s="26" t="s">
        <v>3330</v>
      </c>
      <c r="O954" s="26" t="s">
        <v>1406</v>
      </c>
      <c r="P954" s="42" t="s">
        <v>4771</v>
      </c>
      <c r="Q954" s="20">
        <v>5736</v>
      </c>
      <c r="R954" s="26" t="s">
        <v>36</v>
      </c>
      <c r="S954" s="31">
        <v>2000</v>
      </c>
      <c r="T954" s="32">
        <v>45147</v>
      </c>
      <c r="U954" s="31">
        <v>3736</v>
      </c>
      <c r="V954" s="32">
        <v>45167</v>
      </c>
      <c r="W954" s="110" t="s">
        <v>1408</v>
      </c>
      <c r="X954" s="26"/>
      <c r="Y954" s="22">
        <v>0</v>
      </c>
      <c r="Z954" s="26" t="s">
        <v>118</v>
      </c>
      <c r="AA954" s="19" t="s">
        <v>4541</v>
      </c>
      <c r="AB954" s="26" t="s">
        <v>128</v>
      </c>
      <c r="AC954" s="26" t="s">
        <v>53</v>
      </c>
      <c r="AD954" s="19" t="s">
        <v>54</v>
      </c>
      <c r="AE954" s="26" t="s">
        <v>1145</v>
      </c>
      <c r="AF954" s="17">
        <v>45205</v>
      </c>
      <c r="AG954" s="26"/>
      <c r="AH954" s="26"/>
      <c r="AI954" s="40"/>
      <c r="AJ954" s="26"/>
      <c r="AK954" s="26"/>
      <c r="AL954" s="35"/>
      <c r="AM954" s="35"/>
      <c r="AN954" s="35"/>
      <c r="AO954" s="35"/>
      <c r="AP954" s="35"/>
    </row>
    <row r="955" spans="1:42" x14ac:dyDescent="0.2">
      <c r="A955" s="27">
        <v>45204.477072997688</v>
      </c>
      <c r="B955" s="28" t="s">
        <v>37</v>
      </c>
      <c r="C955" s="41" t="s">
        <v>118</v>
      </c>
      <c r="D955" s="26" t="s">
        <v>36</v>
      </c>
      <c r="E955" s="26" t="s">
        <v>148</v>
      </c>
      <c r="F955" s="26" t="s">
        <v>3349</v>
      </c>
      <c r="G955" s="26" t="s">
        <v>108</v>
      </c>
      <c r="H955" s="26" t="s">
        <v>1853</v>
      </c>
      <c r="I955" s="17">
        <f ca="1">IFERROR(__xludf.DUMMYFUNCTION("""COMPUTED_VALUE"""),45229)</f>
        <v>45229</v>
      </c>
      <c r="J955" s="29" t="s">
        <v>4772</v>
      </c>
      <c r="K955" s="19" t="s">
        <v>4773</v>
      </c>
      <c r="L955" s="30">
        <v>342751746</v>
      </c>
      <c r="M955" s="26" t="s">
        <v>391</v>
      </c>
      <c r="N955" s="26" t="s">
        <v>2143</v>
      </c>
      <c r="O955" s="26" t="s">
        <v>2144</v>
      </c>
      <c r="P955" s="26" t="s">
        <v>4774</v>
      </c>
      <c r="Q955" s="20">
        <v>7349</v>
      </c>
      <c r="R955" s="26" t="s">
        <v>36</v>
      </c>
      <c r="S955" s="31">
        <v>1000</v>
      </c>
      <c r="T955" s="32">
        <v>44907</v>
      </c>
      <c r="U955" s="31">
        <v>15779</v>
      </c>
      <c r="V955" s="32">
        <v>44989</v>
      </c>
      <c r="W955" s="26"/>
      <c r="X955" s="26"/>
      <c r="Y955" s="22">
        <v>-9430</v>
      </c>
      <c r="Z955" s="26" t="s">
        <v>118</v>
      </c>
      <c r="AA955" s="19" t="s">
        <v>4541</v>
      </c>
      <c r="AB955" s="26" t="s">
        <v>128</v>
      </c>
      <c r="AC955" s="26" t="s">
        <v>53</v>
      </c>
      <c r="AD955" s="19" t="s">
        <v>138</v>
      </c>
      <c r="AE955" s="26">
        <v>390</v>
      </c>
      <c r="AF955" s="17">
        <v>45229</v>
      </c>
      <c r="AG955" s="26" t="s">
        <v>1631</v>
      </c>
      <c r="AH955" s="26"/>
      <c r="AI955" s="40"/>
      <c r="AJ955" s="26"/>
      <c r="AK955" s="26"/>
      <c r="AL955" s="35"/>
      <c r="AM955" s="35"/>
      <c r="AN955" s="35"/>
      <c r="AO955" s="35"/>
      <c r="AP955" s="35"/>
    </row>
    <row r="956" spans="1:42" x14ac:dyDescent="0.2">
      <c r="A956" s="27">
        <v>45204.571631041668</v>
      </c>
      <c r="B956" s="28" t="s">
        <v>37</v>
      </c>
      <c r="C956" s="41" t="s">
        <v>118</v>
      </c>
      <c r="D956" s="26" t="s">
        <v>36</v>
      </c>
      <c r="E956" s="26" t="s">
        <v>139</v>
      </c>
      <c r="F956" s="26" t="s">
        <v>694</v>
      </c>
      <c r="G956" s="26" t="s">
        <v>108</v>
      </c>
      <c r="H956" s="26" t="s">
        <v>1788</v>
      </c>
      <c r="I956" s="17">
        <f ca="1">IFERROR(__xludf.DUMMYFUNCTION("""COMPUTED_VALUE"""),45228)</f>
        <v>45228</v>
      </c>
      <c r="J956" s="29" t="s">
        <v>4775</v>
      </c>
      <c r="K956" s="26" t="s">
        <v>4776</v>
      </c>
      <c r="L956" s="30">
        <v>386960308</v>
      </c>
      <c r="M956" s="26" t="s">
        <v>123</v>
      </c>
      <c r="N956" s="26" t="s">
        <v>151</v>
      </c>
      <c r="O956" s="26" t="s">
        <v>3754</v>
      </c>
      <c r="P956" s="42" t="s">
        <v>4777</v>
      </c>
      <c r="Q956" s="20">
        <v>15936</v>
      </c>
      <c r="R956" s="26" t="s">
        <v>36</v>
      </c>
      <c r="S956" s="31">
        <v>2000</v>
      </c>
      <c r="T956" s="32">
        <v>45136</v>
      </c>
      <c r="U956" s="31">
        <v>13936</v>
      </c>
      <c r="V956" s="32">
        <v>45159</v>
      </c>
      <c r="W956" s="33" t="s">
        <v>1174</v>
      </c>
      <c r="X956" s="26">
        <v>0</v>
      </c>
      <c r="Y956" s="22">
        <v>0</v>
      </c>
      <c r="Z956" s="26" t="s">
        <v>118</v>
      </c>
      <c r="AA956" s="19" t="s">
        <v>4541</v>
      </c>
      <c r="AB956" s="26" t="s">
        <v>137</v>
      </c>
      <c r="AC956" s="26" t="s">
        <v>53</v>
      </c>
      <c r="AD956" s="19" t="s">
        <v>54</v>
      </c>
      <c r="AE956" s="26" t="s">
        <v>3466</v>
      </c>
      <c r="AF956" s="17">
        <v>45218</v>
      </c>
      <c r="AG956" s="26"/>
      <c r="AH956" s="26"/>
      <c r="AI956" s="40"/>
      <c r="AJ956" s="26"/>
      <c r="AK956" s="26"/>
      <c r="AL956" s="35"/>
      <c r="AM956" s="35"/>
      <c r="AN956" s="35"/>
      <c r="AO956" s="35"/>
      <c r="AP956" s="35"/>
    </row>
    <row r="957" spans="1:42" x14ac:dyDescent="0.2">
      <c r="A957" s="27">
        <v>45204.700231215276</v>
      </c>
      <c r="B957" s="28" t="s">
        <v>37</v>
      </c>
      <c r="C957" s="41" t="s">
        <v>118</v>
      </c>
      <c r="D957" s="26" t="s">
        <v>36</v>
      </c>
      <c r="E957" s="26" t="s">
        <v>56</v>
      </c>
      <c r="F957" s="26" t="s">
        <v>694</v>
      </c>
      <c r="G957" s="26" t="s">
        <v>108</v>
      </c>
      <c r="H957" s="26" t="s">
        <v>1788</v>
      </c>
      <c r="I957" s="17">
        <f ca="1">IFERROR(__xludf.DUMMYFUNCTION("""COMPUTED_VALUE"""),45228)</f>
        <v>45228</v>
      </c>
      <c r="J957" s="33" t="s">
        <v>4778</v>
      </c>
      <c r="K957" s="26" t="s">
        <v>4779</v>
      </c>
      <c r="L957" s="83">
        <v>963627336</v>
      </c>
      <c r="M957" s="26" t="s">
        <v>80</v>
      </c>
      <c r="N957" s="26" t="s">
        <v>253</v>
      </c>
      <c r="O957" s="26" t="s">
        <v>2446</v>
      </c>
      <c r="P957" s="42" t="s">
        <v>4780</v>
      </c>
      <c r="Q957" s="20">
        <v>9317</v>
      </c>
      <c r="R957" s="26" t="s">
        <v>36</v>
      </c>
      <c r="S957" s="31">
        <v>2000</v>
      </c>
      <c r="T957" s="32">
        <v>45133</v>
      </c>
      <c r="U957" s="31">
        <v>7317</v>
      </c>
      <c r="V957" s="32">
        <v>45174</v>
      </c>
      <c r="W957" s="33" t="s">
        <v>2448</v>
      </c>
      <c r="X957" s="26"/>
      <c r="Y957" s="22">
        <v>0</v>
      </c>
      <c r="Z957" s="26" t="s">
        <v>118</v>
      </c>
      <c r="AA957" s="19" t="s">
        <v>4541</v>
      </c>
      <c r="AB957" s="26" t="s">
        <v>128</v>
      </c>
      <c r="AC957" s="26" t="s">
        <v>53</v>
      </c>
      <c r="AD957" s="19" t="s">
        <v>54</v>
      </c>
      <c r="AE957" s="26" t="s">
        <v>3332</v>
      </c>
      <c r="AF957" s="17">
        <v>45218</v>
      </c>
      <c r="AG957" s="26"/>
      <c r="AH957" s="26"/>
      <c r="AI957" s="26"/>
      <c r="AJ957" s="26"/>
      <c r="AK957" s="26"/>
      <c r="AL957" s="35"/>
      <c r="AM957" s="35"/>
      <c r="AN957" s="35"/>
      <c r="AO957" s="35"/>
      <c r="AP957" s="35"/>
    </row>
    <row r="958" spans="1:42" x14ac:dyDescent="0.2">
      <c r="A958" s="27">
        <v>45204.718857650463</v>
      </c>
      <c r="B958" s="28" t="s">
        <v>37</v>
      </c>
      <c r="C958" s="41" t="s">
        <v>118</v>
      </c>
      <c r="D958" s="26" t="s">
        <v>36</v>
      </c>
      <c r="E958" s="26" t="s">
        <v>39</v>
      </c>
      <c r="F958" s="26" t="s">
        <v>91</v>
      </c>
      <c r="G958" s="26" t="s">
        <v>41</v>
      </c>
      <c r="H958" s="26" t="s">
        <v>4781</v>
      </c>
      <c r="I958" s="17" t="str">
        <f ca="1">IFERROR(__xludf.DUMMYFUNCTION("""COMPUTED_VALUE""")," ")</f>
        <v xml:space="preserve"> </v>
      </c>
      <c r="J958" s="29" t="s">
        <v>4782</v>
      </c>
      <c r="K958" s="26" t="s">
        <v>4783</v>
      </c>
      <c r="L958" s="30">
        <v>866987130</v>
      </c>
      <c r="M958" s="26" t="s">
        <v>3288</v>
      </c>
      <c r="N958" s="26" t="s">
        <v>200</v>
      </c>
      <c r="O958" s="26" t="s">
        <v>4784</v>
      </c>
      <c r="P958" s="26" t="s">
        <v>4785</v>
      </c>
      <c r="Q958" s="20">
        <v>5736</v>
      </c>
      <c r="R958" s="26" t="s">
        <v>36</v>
      </c>
      <c r="S958" s="31">
        <v>5736</v>
      </c>
      <c r="T958" s="32">
        <v>45204</v>
      </c>
      <c r="U958" s="31"/>
      <c r="V958" s="26"/>
      <c r="W958" s="33" t="s">
        <v>4786</v>
      </c>
      <c r="X958" s="26"/>
      <c r="Y958" s="22">
        <v>0</v>
      </c>
      <c r="Z958" s="26" t="s">
        <v>118</v>
      </c>
      <c r="AA958" s="19" t="s">
        <v>4541</v>
      </c>
      <c r="AB958" s="26" t="s">
        <v>104</v>
      </c>
      <c r="AC958" s="26" t="s">
        <v>53</v>
      </c>
      <c r="AD958" s="19" t="s">
        <v>54</v>
      </c>
      <c r="AE958" s="26" t="s">
        <v>1327</v>
      </c>
      <c r="AF958" s="17">
        <v>45205</v>
      </c>
      <c r="AG958" s="26"/>
      <c r="AH958" s="26"/>
      <c r="AI958" s="40"/>
      <c r="AJ958" s="26"/>
      <c r="AK958" s="26"/>
      <c r="AL958" s="35"/>
      <c r="AM958" s="35"/>
      <c r="AN958" s="35"/>
      <c r="AO958" s="35"/>
      <c r="AP958" s="35"/>
    </row>
    <row r="959" spans="1:42" x14ac:dyDescent="0.2">
      <c r="A959" s="27">
        <v>45204.936145428241</v>
      </c>
      <c r="B959" s="28" t="s">
        <v>37</v>
      </c>
      <c r="C959" s="41" t="s">
        <v>118</v>
      </c>
      <c r="D959" s="26" t="s">
        <v>36</v>
      </c>
      <c r="E959" s="26" t="s">
        <v>56</v>
      </c>
      <c r="F959" s="26" t="s">
        <v>642</v>
      </c>
      <c r="G959" s="26" t="s">
        <v>108</v>
      </c>
      <c r="H959" s="26" t="s">
        <v>1788</v>
      </c>
      <c r="I959" s="17">
        <f ca="1">IFERROR(__xludf.DUMMYFUNCTION("""COMPUTED_VALUE"""),45228)</f>
        <v>45228</v>
      </c>
      <c r="J959" s="29" t="s">
        <v>1134</v>
      </c>
      <c r="K959" s="26" t="s">
        <v>4787</v>
      </c>
      <c r="L959" s="30">
        <v>867843947</v>
      </c>
      <c r="M959" s="26" t="s">
        <v>910</v>
      </c>
      <c r="N959" s="26" t="s">
        <v>355</v>
      </c>
      <c r="O959" s="26" t="s">
        <v>1136</v>
      </c>
      <c r="P959" s="26" t="s">
        <v>4788</v>
      </c>
      <c r="Q959" s="20">
        <v>9317</v>
      </c>
      <c r="R959" s="26" t="s">
        <v>36</v>
      </c>
      <c r="S959" s="31">
        <v>2000</v>
      </c>
      <c r="T959" s="32" t="s">
        <v>4789</v>
      </c>
      <c r="U959" s="31">
        <v>7317</v>
      </c>
      <c r="V959" s="32">
        <v>45155</v>
      </c>
      <c r="W959" s="26" t="s">
        <v>1138</v>
      </c>
      <c r="X959" s="26">
        <v>0</v>
      </c>
      <c r="Y959" s="22">
        <v>0</v>
      </c>
      <c r="Z959" s="26" t="s">
        <v>118</v>
      </c>
      <c r="AA959" s="19" t="s">
        <v>4541</v>
      </c>
      <c r="AB959" s="26" t="s">
        <v>154</v>
      </c>
      <c r="AC959" s="26" t="s">
        <v>53</v>
      </c>
      <c r="AD959" s="19" t="s">
        <v>54</v>
      </c>
      <c r="AE959" s="26" t="s">
        <v>4790</v>
      </c>
      <c r="AF959" s="17">
        <v>45218</v>
      </c>
      <c r="AG959" s="26"/>
      <c r="AH959" s="26"/>
      <c r="AI959" s="40"/>
      <c r="AJ959" s="26"/>
      <c r="AK959" s="26"/>
      <c r="AL959" s="35"/>
      <c r="AM959" s="35"/>
      <c r="AN959" s="35"/>
      <c r="AO959" s="35"/>
      <c r="AP959" s="35"/>
    </row>
    <row r="960" spans="1:42" x14ac:dyDescent="0.2">
      <c r="A960" s="27">
        <v>45205.41579082176</v>
      </c>
      <c r="B960" s="28" t="s">
        <v>37</v>
      </c>
      <c r="C960" s="41" t="s">
        <v>118</v>
      </c>
      <c r="D960" s="26" t="s">
        <v>36</v>
      </c>
      <c r="E960" s="26" t="s">
        <v>148</v>
      </c>
      <c r="F960" s="26" t="s">
        <v>3349</v>
      </c>
      <c r="G960" s="26" t="s">
        <v>108</v>
      </c>
      <c r="H960" s="26" t="s">
        <v>2426</v>
      </c>
      <c r="I960" s="17">
        <f ca="1">IFERROR(__xludf.DUMMYFUNCTION("""COMPUTED_VALUE"""),45215)</f>
        <v>45215</v>
      </c>
      <c r="J960" s="29" t="s">
        <v>4791</v>
      </c>
      <c r="K960" s="26" t="s">
        <v>4792</v>
      </c>
      <c r="L960" s="30">
        <v>335418295</v>
      </c>
      <c r="M960" s="26" t="s">
        <v>391</v>
      </c>
      <c r="N960" s="26" t="s">
        <v>2143</v>
      </c>
      <c r="O960" s="26" t="s">
        <v>2144</v>
      </c>
      <c r="P960" s="26" t="s">
        <v>4793</v>
      </c>
      <c r="Q960" s="20">
        <v>7349</v>
      </c>
      <c r="R960" s="26" t="s">
        <v>36</v>
      </c>
      <c r="S960" s="31">
        <v>16779</v>
      </c>
      <c r="T960" s="32">
        <v>44906</v>
      </c>
      <c r="U960" s="31"/>
      <c r="V960" s="26"/>
      <c r="W960" s="55" t="s">
        <v>4794</v>
      </c>
      <c r="X960" s="26"/>
      <c r="Y960" s="22">
        <v>-9430</v>
      </c>
      <c r="Z960" s="26" t="s">
        <v>118</v>
      </c>
      <c r="AA960" s="19" t="s">
        <v>4541</v>
      </c>
      <c r="AB960" s="26" t="s">
        <v>137</v>
      </c>
      <c r="AC960" s="26" t="s">
        <v>53</v>
      </c>
      <c r="AD960" s="19" t="s">
        <v>54</v>
      </c>
      <c r="AE960" s="26" t="s">
        <v>4795</v>
      </c>
      <c r="AF960" s="17">
        <v>45208</v>
      </c>
      <c r="AG960" s="26"/>
      <c r="AH960" s="26"/>
      <c r="AI960" s="40"/>
      <c r="AJ960" s="26"/>
      <c r="AK960" s="26"/>
      <c r="AL960" s="35"/>
      <c r="AM960" s="35"/>
      <c r="AN960" s="35"/>
      <c r="AO960" s="35"/>
      <c r="AP960" s="35"/>
    </row>
    <row r="961" spans="1:42" x14ac:dyDescent="0.2">
      <c r="A961" s="27">
        <v>45205.551581782405</v>
      </c>
      <c r="B961" s="28" t="s">
        <v>37</v>
      </c>
      <c r="C961" s="41" t="s">
        <v>118</v>
      </c>
      <c r="D961" s="26" t="s">
        <v>36</v>
      </c>
      <c r="E961" s="26" t="s">
        <v>2204</v>
      </c>
      <c r="F961" s="26" t="s">
        <v>1397</v>
      </c>
      <c r="G961" s="26" t="s">
        <v>108</v>
      </c>
      <c r="H961" s="26" t="s">
        <v>2426</v>
      </c>
      <c r="I961" s="17">
        <f ca="1">IFERROR(__xludf.DUMMYFUNCTION("""COMPUTED_VALUE"""),45215)</f>
        <v>45215</v>
      </c>
      <c r="J961" s="29" t="s">
        <v>4796</v>
      </c>
      <c r="K961" s="26" t="s">
        <v>2206</v>
      </c>
      <c r="L961" s="30">
        <v>377878055</v>
      </c>
      <c r="M961" s="26" t="s">
        <v>112</v>
      </c>
      <c r="N961" s="26" t="s">
        <v>3330</v>
      </c>
      <c r="O961" s="26" t="s">
        <v>2144</v>
      </c>
      <c r="P961" s="26" t="s">
        <v>4797</v>
      </c>
      <c r="Q961" s="20">
        <v>15936</v>
      </c>
      <c r="R961" s="26" t="s">
        <v>36</v>
      </c>
      <c r="S961" s="77">
        <v>5000</v>
      </c>
      <c r="T961" s="78">
        <v>44943</v>
      </c>
      <c r="U961" s="77">
        <v>11779</v>
      </c>
      <c r="V961" s="78">
        <v>44973</v>
      </c>
      <c r="W961" s="85" t="s">
        <v>2210</v>
      </c>
      <c r="X961" s="86"/>
      <c r="Y961" s="22">
        <v>0</v>
      </c>
      <c r="Z961" s="26" t="s">
        <v>118</v>
      </c>
      <c r="AA961" s="19" t="s">
        <v>4541</v>
      </c>
      <c r="AB961" s="26" t="s">
        <v>137</v>
      </c>
      <c r="AC961" s="26" t="s">
        <v>53</v>
      </c>
      <c r="AD961" s="19" t="s">
        <v>54</v>
      </c>
      <c r="AE961" s="26" t="s">
        <v>4798</v>
      </c>
      <c r="AF961" s="17">
        <v>45208</v>
      </c>
      <c r="AG961" s="29" t="s">
        <v>4799</v>
      </c>
      <c r="AH961" s="26" t="s">
        <v>4800</v>
      </c>
      <c r="AI961" s="40"/>
      <c r="AJ961" s="26"/>
      <c r="AK961" s="26"/>
      <c r="AL961" s="35"/>
      <c r="AM961" s="35"/>
      <c r="AN961" s="35"/>
      <c r="AO961" s="35"/>
      <c r="AP961" s="35"/>
    </row>
    <row r="962" spans="1:42" x14ac:dyDescent="0.2">
      <c r="A962" s="27">
        <v>45205.815720092593</v>
      </c>
      <c r="B962" s="28" t="s">
        <v>37</v>
      </c>
      <c r="C962" s="41" t="s">
        <v>118</v>
      </c>
      <c r="D962" s="26" t="s">
        <v>36</v>
      </c>
      <c r="E962" s="26" t="s">
        <v>39</v>
      </c>
      <c r="F962" s="26" t="s">
        <v>1145</v>
      </c>
      <c r="G962" s="26" t="s">
        <v>108</v>
      </c>
      <c r="H962" s="26" t="s">
        <v>130</v>
      </c>
      <c r="I962" s="17">
        <f ca="1">IFERROR(__xludf.DUMMYFUNCTION("""COMPUTED_VALUE"""),45223)</f>
        <v>45223</v>
      </c>
      <c r="J962" s="29" t="s">
        <v>1418</v>
      </c>
      <c r="K962" s="26" t="s">
        <v>4801</v>
      </c>
      <c r="L962" s="30">
        <v>972988509</v>
      </c>
      <c r="M962" s="26" t="s">
        <v>112</v>
      </c>
      <c r="N962" s="26" t="s">
        <v>3330</v>
      </c>
      <c r="O962" s="26" t="s">
        <v>125</v>
      </c>
      <c r="P962" s="26" t="s">
        <v>4802</v>
      </c>
      <c r="Q962" s="20">
        <v>5736</v>
      </c>
      <c r="R962" s="26" t="s">
        <v>36</v>
      </c>
      <c r="S962" s="31">
        <v>2000</v>
      </c>
      <c r="T962" s="32">
        <v>45147</v>
      </c>
      <c r="U962" s="31">
        <v>3736</v>
      </c>
      <c r="V962" s="32">
        <v>45169</v>
      </c>
      <c r="W962" s="26"/>
      <c r="X962" s="26"/>
      <c r="Y962" s="22">
        <v>0</v>
      </c>
      <c r="Z962" s="26" t="s">
        <v>118</v>
      </c>
      <c r="AA962" s="19" t="s">
        <v>4541</v>
      </c>
      <c r="AB962" s="26" t="s">
        <v>137</v>
      </c>
      <c r="AC962" s="26" t="s">
        <v>53</v>
      </c>
      <c r="AD962" s="19" t="s">
        <v>54</v>
      </c>
      <c r="AE962" s="26" t="s">
        <v>3466</v>
      </c>
      <c r="AF962" s="17">
        <v>45215</v>
      </c>
      <c r="AG962" s="26"/>
      <c r="AH962" s="26"/>
      <c r="AI962" s="40"/>
      <c r="AJ962" s="26"/>
      <c r="AK962" s="26"/>
      <c r="AL962" s="35"/>
      <c r="AM962" s="35"/>
      <c r="AN962" s="35"/>
      <c r="AO962" s="35"/>
      <c r="AP962" s="35"/>
    </row>
    <row r="963" spans="1:42" x14ac:dyDescent="0.2">
      <c r="A963" s="27">
        <v>45152.176410972221</v>
      </c>
      <c r="B963" s="28" t="s">
        <v>37</v>
      </c>
      <c r="C963" s="41" t="s">
        <v>118</v>
      </c>
      <c r="D963" s="26" t="s">
        <v>36</v>
      </c>
      <c r="E963" s="26" t="s">
        <v>139</v>
      </c>
      <c r="F963" s="26" t="s">
        <v>1397</v>
      </c>
      <c r="G963" s="26" t="s">
        <v>108</v>
      </c>
      <c r="H963" s="26" t="s">
        <v>2426</v>
      </c>
      <c r="I963" s="17">
        <f ca="1">IFERROR(__xludf.DUMMYFUNCTION("""COMPUTED_VALUE"""),45215)</f>
        <v>45215</v>
      </c>
      <c r="J963" s="29" t="s">
        <v>2480</v>
      </c>
      <c r="K963" s="26" t="s">
        <v>4803</v>
      </c>
      <c r="L963" s="30">
        <v>889111445</v>
      </c>
      <c r="M963" s="26" t="s">
        <v>123</v>
      </c>
      <c r="N963" s="26" t="s">
        <v>310</v>
      </c>
      <c r="O963" s="26" t="s">
        <v>1226</v>
      </c>
      <c r="P963" s="42" t="s">
        <v>4804</v>
      </c>
      <c r="Q963" s="20">
        <v>15936</v>
      </c>
      <c r="R963" s="26" t="s">
        <v>36</v>
      </c>
      <c r="S963" s="31">
        <v>2000</v>
      </c>
      <c r="T963" s="32">
        <v>45152</v>
      </c>
      <c r="U963" s="31">
        <v>13936</v>
      </c>
      <c r="V963" s="32">
        <v>45176</v>
      </c>
      <c r="W963" s="33" t="s">
        <v>2483</v>
      </c>
      <c r="X963" s="26"/>
      <c r="Y963" s="22">
        <v>0</v>
      </c>
      <c r="Z963" s="26" t="s">
        <v>118</v>
      </c>
      <c r="AA963" s="19" t="s">
        <v>4541</v>
      </c>
      <c r="AB963" s="26" t="s">
        <v>104</v>
      </c>
      <c r="AC963" s="26" t="s">
        <v>53</v>
      </c>
      <c r="AD963" s="19" t="s">
        <v>54</v>
      </c>
      <c r="AE963" s="26"/>
      <c r="AF963" s="17">
        <v>45208</v>
      </c>
      <c r="AG963" s="26"/>
      <c r="AH963" s="26"/>
      <c r="AI963" s="40"/>
      <c r="AJ963" s="26"/>
      <c r="AK963" s="26"/>
      <c r="AL963" s="35"/>
      <c r="AM963" s="35"/>
      <c r="AN963" s="35"/>
      <c r="AO963" s="35"/>
      <c r="AP963" s="35"/>
    </row>
    <row r="964" spans="1:42" x14ac:dyDescent="0.2">
      <c r="A964" s="27">
        <v>45206.706212881945</v>
      </c>
      <c r="B964" s="28" t="s">
        <v>37</v>
      </c>
      <c r="C964" s="41" t="s">
        <v>118</v>
      </c>
      <c r="D964" s="26" t="s">
        <v>36</v>
      </c>
      <c r="E964" s="26" t="s">
        <v>56</v>
      </c>
      <c r="F964" s="26" t="s">
        <v>788</v>
      </c>
      <c r="G964" s="26" t="s">
        <v>108</v>
      </c>
      <c r="H964" s="26" t="s">
        <v>130</v>
      </c>
      <c r="I964" s="17">
        <f ca="1">IFERROR(__xludf.DUMMYFUNCTION("""COMPUTED_VALUE"""),45223)</f>
        <v>45223</v>
      </c>
      <c r="J964" s="29" t="s">
        <v>842</v>
      </c>
      <c r="K964" s="26" t="s">
        <v>4805</v>
      </c>
      <c r="L964" s="30">
        <v>983183436</v>
      </c>
      <c r="M964" s="26" t="s">
        <v>112</v>
      </c>
      <c r="N964" s="26" t="s">
        <v>3330</v>
      </c>
      <c r="O964" s="26" t="s">
        <v>845</v>
      </c>
      <c r="P964" s="26" t="s">
        <v>4806</v>
      </c>
      <c r="Q964" s="20">
        <v>9317</v>
      </c>
      <c r="R964" s="26" t="s">
        <v>36</v>
      </c>
      <c r="S964" s="31">
        <v>9317</v>
      </c>
      <c r="T964" s="32">
        <v>45138</v>
      </c>
      <c r="U964" s="31"/>
      <c r="V964" s="26"/>
      <c r="W964" s="26" t="s">
        <v>847</v>
      </c>
      <c r="X964" s="26">
        <v>0</v>
      </c>
      <c r="Y964" s="22">
        <v>0</v>
      </c>
      <c r="Z964" s="26" t="s">
        <v>118</v>
      </c>
      <c r="AA964" s="19" t="s">
        <v>51</v>
      </c>
      <c r="AB964" s="26" t="s">
        <v>128</v>
      </c>
      <c r="AC964" s="26" t="s">
        <v>53</v>
      </c>
      <c r="AD964" s="19" t="s">
        <v>54</v>
      </c>
      <c r="AE964" s="26" t="s">
        <v>3466</v>
      </c>
      <c r="AF964" s="17">
        <v>45215</v>
      </c>
      <c r="AG964" s="26"/>
      <c r="AH964" s="26"/>
      <c r="AI964" s="40"/>
      <c r="AJ964" s="26"/>
      <c r="AK964" s="26"/>
      <c r="AL964" s="35"/>
      <c r="AM964" s="35"/>
      <c r="AN964" s="35"/>
      <c r="AO964" s="35"/>
      <c r="AP964" s="35"/>
    </row>
    <row r="965" spans="1:42" x14ac:dyDescent="0.2">
      <c r="A965" s="27">
        <v>45207.426863993052</v>
      </c>
      <c r="B965" s="28" t="s">
        <v>37</v>
      </c>
      <c r="C965" s="41" t="s">
        <v>118</v>
      </c>
      <c r="D965" s="26" t="s">
        <v>36</v>
      </c>
      <c r="E965" s="26" t="s">
        <v>219</v>
      </c>
      <c r="F965" s="26" t="s">
        <v>1397</v>
      </c>
      <c r="G965" s="26" t="s">
        <v>108</v>
      </c>
      <c r="H965" s="26" t="s">
        <v>2381</v>
      </c>
      <c r="I965" s="17">
        <f ca="1">IFERROR(__xludf.DUMMYFUNCTION("""COMPUTED_VALUE"""),45224)</f>
        <v>45224</v>
      </c>
      <c r="J965" s="29" t="s">
        <v>2221</v>
      </c>
      <c r="K965" s="26" t="s">
        <v>2222</v>
      </c>
      <c r="L965" s="30">
        <v>388082959</v>
      </c>
      <c r="M965" s="26" t="s">
        <v>112</v>
      </c>
      <c r="N965" s="26" t="s">
        <v>1742</v>
      </c>
      <c r="O965" s="26" t="s">
        <v>4807</v>
      </c>
      <c r="P965" s="26" t="s">
        <v>4808</v>
      </c>
      <c r="Q965" s="20">
        <v>3968</v>
      </c>
      <c r="R965" s="26" t="s">
        <v>36</v>
      </c>
      <c r="S965" s="21">
        <v>6868</v>
      </c>
      <c r="T965" s="16" t="s">
        <v>4809</v>
      </c>
      <c r="U965" s="31">
        <v>2449</v>
      </c>
      <c r="V965" s="32">
        <v>45207</v>
      </c>
      <c r="W965" s="33" t="s">
        <v>4810</v>
      </c>
      <c r="X965" s="26"/>
      <c r="Y965" s="22">
        <v>-5349</v>
      </c>
      <c r="Z965" s="26" t="s">
        <v>118</v>
      </c>
      <c r="AA965" s="19" t="s">
        <v>4541</v>
      </c>
      <c r="AB965" s="26" t="s">
        <v>128</v>
      </c>
      <c r="AC965" s="26" t="s">
        <v>53</v>
      </c>
      <c r="AD965" s="19" t="s">
        <v>54</v>
      </c>
      <c r="AE965" s="26" t="s">
        <v>1397</v>
      </c>
      <c r="AF965" s="17">
        <v>45215</v>
      </c>
      <c r="AG965" s="26"/>
      <c r="AH965" s="26"/>
      <c r="AI965" s="40"/>
      <c r="AJ965" s="26"/>
      <c r="AK965" s="26"/>
      <c r="AL965" s="35"/>
      <c r="AM965" s="35"/>
      <c r="AN965" s="35"/>
      <c r="AO965" s="35"/>
      <c r="AP965" s="35"/>
    </row>
    <row r="966" spans="1:42" x14ac:dyDescent="0.2">
      <c r="A966" s="27">
        <v>45207.429236111115</v>
      </c>
      <c r="B966" s="28" t="s">
        <v>37</v>
      </c>
      <c r="C966" s="41" t="s">
        <v>118</v>
      </c>
      <c r="D966" s="26" t="s">
        <v>36</v>
      </c>
      <c r="E966" s="26" t="s">
        <v>56</v>
      </c>
      <c r="F966" s="26" t="s">
        <v>1397</v>
      </c>
      <c r="G966" s="26" t="s">
        <v>108</v>
      </c>
      <c r="H966" s="26" t="s">
        <v>2381</v>
      </c>
      <c r="I966" s="17">
        <f ca="1">IFERROR(__xludf.DUMMYFUNCTION("""COMPUTED_VALUE"""),45224)</f>
        <v>45224</v>
      </c>
      <c r="J966" s="29" t="s">
        <v>1485</v>
      </c>
      <c r="K966" s="26" t="s">
        <v>1486</v>
      </c>
      <c r="L966" s="30">
        <v>813375896</v>
      </c>
      <c r="M966" s="26" t="s">
        <v>80</v>
      </c>
      <c r="N966" s="26" t="s">
        <v>299</v>
      </c>
      <c r="O966" s="26" t="s">
        <v>4811</v>
      </c>
      <c r="P966" s="26" t="s">
        <v>4812</v>
      </c>
      <c r="Q966" s="20">
        <v>9317</v>
      </c>
      <c r="R966" s="26" t="s">
        <v>36</v>
      </c>
      <c r="S966" s="31">
        <v>2000</v>
      </c>
      <c r="T966" s="32">
        <v>45150</v>
      </c>
      <c r="U966" s="31">
        <v>7317</v>
      </c>
      <c r="V966" s="32">
        <v>45169</v>
      </c>
      <c r="W966" s="33" t="s">
        <v>1489</v>
      </c>
      <c r="X966" s="26">
        <v>0</v>
      </c>
      <c r="Y966" s="22">
        <v>0</v>
      </c>
      <c r="Z966" s="26" t="s">
        <v>118</v>
      </c>
      <c r="AA966" s="19" t="s">
        <v>4541</v>
      </c>
      <c r="AB966" s="26" t="s">
        <v>128</v>
      </c>
      <c r="AC966" s="26" t="s">
        <v>53</v>
      </c>
      <c r="AD966" s="19" t="s">
        <v>54</v>
      </c>
      <c r="AE966" s="26" t="s">
        <v>1397</v>
      </c>
      <c r="AF966" s="17">
        <v>45215</v>
      </c>
      <c r="AG966" s="26"/>
      <c r="AH966" s="26"/>
      <c r="AI966" s="40"/>
      <c r="AJ966" s="26"/>
      <c r="AK966" s="26"/>
      <c r="AL966" s="35"/>
      <c r="AM966" s="35"/>
      <c r="AN966" s="35"/>
      <c r="AO966" s="35"/>
      <c r="AP966" s="35"/>
    </row>
    <row r="967" spans="1:42" x14ac:dyDescent="0.2">
      <c r="A967" s="27">
        <v>45207.657948356486</v>
      </c>
      <c r="B967" s="28" t="s">
        <v>37</v>
      </c>
      <c r="C967" s="41" t="s">
        <v>118</v>
      </c>
      <c r="D967" s="26" t="s">
        <v>36</v>
      </c>
      <c r="E967" s="26" t="s">
        <v>39</v>
      </c>
      <c r="F967" s="26" t="s">
        <v>388</v>
      </c>
      <c r="G967" s="26" t="s">
        <v>108</v>
      </c>
      <c r="H967" s="26" t="s">
        <v>4813</v>
      </c>
      <c r="I967" s="17" t="str">
        <f ca="1">IFERROR(__xludf.DUMMYFUNCTION("""COMPUTED_VALUE""")," ")</f>
        <v xml:space="preserve"> </v>
      </c>
      <c r="J967" s="29" t="s">
        <v>4814</v>
      </c>
      <c r="K967" s="26" t="s">
        <v>486</v>
      </c>
      <c r="L967" s="30">
        <v>968557069</v>
      </c>
      <c r="M967" s="26" t="s">
        <v>112</v>
      </c>
      <c r="N967" s="26" t="s">
        <v>3330</v>
      </c>
      <c r="O967" s="26" t="s">
        <v>4815</v>
      </c>
      <c r="P967" s="26" t="s">
        <v>4816</v>
      </c>
      <c r="Q967" s="20">
        <v>5736</v>
      </c>
      <c r="R967" s="26" t="s">
        <v>36</v>
      </c>
      <c r="S967" s="31">
        <v>5736</v>
      </c>
      <c r="T967" s="32">
        <v>45124</v>
      </c>
      <c r="U967" s="31"/>
      <c r="V967" s="26"/>
      <c r="W967" s="26"/>
      <c r="X967" s="26"/>
      <c r="Y967" s="22">
        <v>0</v>
      </c>
      <c r="Z967" s="26" t="s">
        <v>118</v>
      </c>
      <c r="AA967" s="19" t="s">
        <v>4541</v>
      </c>
      <c r="AB967" s="26" t="s">
        <v>137</v>
      </c>
      <c r="AC967" s="26" t="s">
        <v>53</v>
      </c>
      <c r="AD967" s="19" t="s">
        <v>54</v>
      </c>
      <c r="AE967" s="26" t="s">
        <v>4386</v>
      </c>
      <c r="AF967" s="17">
        <v>45215</v>
      </c>
      <c r="AG967" s="26"/>
      <c r="AH967" s="26"/>
      <c r="AI967" s="40"/>
      <c r="AJ967" s="26"/>
      <c r="AK967" s="26"/>
      <c r="AL967" s="35"/>
      <c r="AM967" s="35"/>
      <c r="AN967" s="35"/>
      <c r="AO967" s="35"/>
      <c r="AP967" s="35"/>
    </row>
    <row r="968" spans="1:42" x14ac:dyDescent="0.2">
      <c r="A968" s="27">
        <v>45208.344088981481</v>
      </c>
      <c r="B968" s="28" t="s">
        <v>37</v>
      </c>
      <c r="C968" s="41" t="s">
        <v>118</v>
      </c>
      <c r="D968" s="26" t="s">
        <v>36</v>
      </c>
      <c r="E968" s="26" t="s">
        <v>148</v>
      </c>
      <c r="F968" s="26" t="s">
        <v>3349</v>
      </c>
      <c r="G968" s="26" t="s">
        <v>108</v>
      </c>
      <c r="H968" s="26" t="s">
        <v>2088</v>
      </c>
      <c r="I968" s="17">
        <f ca="1">IFERROR(__xludf.DUMMYFUNCTION("""COMPUTED_VALUE"""),45222)</f>
        <v>45222</v>
      </c>
      <c r="J968" s="29" t="s">
        <v>4817</v>
      </c>
      <c r="K968" s="26" t="s">
        <v>4818</v>
      </c>
      <c r="L968" s="30">
        <v>358591568</v>
      </c>
      <c r="M968" s="26" t="s">
        <v>391</v>
      </c>
      <c r="N968" s="26" t="s">
        <v>2143</v>
      </c>
      <c r="O968" s="26" t="s">
        <v>2144</v>
      </c>
      <c r="P968" s="26" t="s">
        <v>4819</v>
      </c>
      <c r="Q968" s="20">
        <v>7349</v>
      </c>
      <c r="R968" s="26" t="s">
        <v>36</v>
      </c>
      <c r="S968" s="31">
        <v>3000</v>
      </c>
      <c r="T968" s="32">
        <v>44962</v>
      </c>
      <c r="U968" s="31">
        <v>12679</v>
      </c>
      <c r="V968" s="32">
        <v>44985</v>
      </c>
      <c r="W968" s="26"/>
      <c r="X968" s="26"/>
      <c r="Y968" s="22">
        <v>-8330</v>
      </c>
      <c r="Z968" s="26" t="s">
        <v>118</v>
      </c>
      <c r="AA968" s="19" t="s">
        <v>4541</v>
      </c>
      <c r="AB968" s="26" t="s">
        <v>128</v>
      </c>
      <c r="AC968" s="26" t="s">
        <v>53</v>
      </c>
      <c r="AD968" s="19" t="s">
        <v>54</v>
      </c>
      <c r="AE968" s="26">
        <v>465</v>
      </c>
      <c r="AF968" s="17">
        <v>45208</v>
      </c>
      <c r="AG968" s="26"/>
      <c r="AH968" s="26"/>
      <c r="AI968" s="40"/>
      <c r="AJ968" s="26"/>
      <c r="AK968" s="26"/>
      <c r="AL968" s="35"/>
      <c r="AM968" s="35"/>
      <c r="AN968" s="35"/>
      <c r="AO968" s="35"/>
      <c r="AP968" s="35"/>
    </row>
    <row r="969" spans="1:42" x14ac:dyDescent="0.2">
      <c r="A969" s="27">
        <v>45208.351173425923</v>
      </c>
      <c r="B969" s="28" t="s">
        <v>37</v>
      </c>
      <c r="C969" s="41" t="s">
        <v>118</v>
      </c>
      <c r="D969" s="26" t="s">
        <v>36</v>
      </c>
      <c r="E969" s="26" t="s">
        <v>106</v>
      </c>
      <c r="F969" s="26" t="s">
        <v>4820</v>
      </c>
      <c r="G969" s="26" t="s">
        <v>108</v>
      </c>
      <c r="H969" s="26" t="s">
        <v>2088</v>
      </c>
      <c r="I969" s="17">
        <f ca="1">IFERROR(__xludf.DUMMYFUNCTION("""COMPUTED_VALUE"""),45222)</f>
        <v>45222</v>
      </c>
      <c r="J969" s="29" t="s">
        <v>4821</v>
      </c>
      <c r="K969" s="26" t="s">
        <v>4822</v>
      </c>
      <c r="L969" s="30">
        <v>925650097</v>
      </c>
      <c r="M969" s="26" t="s">
        <v>391</v>
      </c>
      <c r="N969" s="26" t="s">
        <v>2143</v>
      </c>
      <c r="O969" s="26" t="s">
        <v>2144</v>
      </c>
      <c r="P969" s="26" t="s">
        <v>4823</v>
      </c>
      <c r="Q969" s="20">
        <v>3768</v>
      </c>
      <c r="R969" s="26" t="s">
        <v>36</v>
      </c>
      <c r="S969" s="31">
        <v>1000</v>
      </c>
      <c r="T969" s="32">
        <v>44892</v>
      </c>
      <c r="U969" s="31">
        <v>9804</v>
      </c>
      <c r="V969" s="32">
        <v>44896</v>
      </c>
      <c r="W969" s="26"/>
      <c r="X969" s="26"/>
      <c r="Y969" s="22">
        <v>-7036</v>
      </c>
      <c r="Z969" s="26" t="s">
        <v>118</v>
      </c>
      <c r="AA969" s="19" t="s">
        <v>4541</v>
      </c>
      <c r="AB969" s="26" t="s">
        <v>128</v>
      </c>
      <c r="AC969" s="26" t="s">
        <v>53</v>
      </c>
      <c r="AD969" s="19" t="s">
        <v>54</v>
      </c>
      <c r="AE969" s="26">
        <v>340</v>
      </c>
      <c r="AF969" s="17">
        <v>45208</v>
      </c>
      <c r="AG969" s="26"/>
      <c r="AH969" s="26"/>
      <c r="AI969" s="40"/>
      <c r="AJ969" s="26"/>
      <c r="AK969" s="26"/>
      <c r="AL969" s="35"/>
      <c r="AM969" s="35"/>
      <c r="AN969" s="35"/>
      <c r="AO969" s="35"/>
      <c r="AP969" s="35"/>
    </row>
    <row r="970" spans="1:42" x14ac:dyDescent="0.2">
      <c r="A970" s="27">
        <v>45208.713212187504</v>
      </c>
      <c r="B970" s="28" t="s">
        <v>37</v>
      </c>
      <c r="C970" s="41" t="s">
        <v>118</v>
      </c>
      <c r="D970" s="26" t="s">
        <v>36</v>
      </c>
      <c r="E970" s="26" t="s">
        <v>148</v>
      </c>
      <c r="F970" s="26" t="s">
        <v>4824</v>
      </c>
      <c r="G970" s="26" t="s">
        <v>108</v>
      </c>
      <c r="H970" s="26" t="s">
        <v>2440</v>
      </c>
      <c r="I970" s="17">
        <f ca="1">IFERROR(__xludf.DUMMYFUNCTION("""COMPUTED_VALUE"""),45306)</f>
        <v>45306</v>
      </c>
      <c r="J970" s="29" t="s">
        <v>4825</v>
      </c>
      <c r="K970" s="26" t="s">
        <v>4826</v>
      </c>
      <c r="L970" s="30">
        <v>367941382</v>
      </c>
      <c r="M970" s="26" t="s">
        <v>94</v>
      </c>
      <c r="N970" s="26" t="s">
        <v>4827</v>
      </c>
      <c r="O970" s="26" t="s">
        <v>36</v>
      </c>
      <c r="P970" s="42" t="s">
        <v>4828</v>
      </c>
      <c r="Q970" s="20">
        <v>7349</v>
      </c>
      <c r="R970" s="26" t="s">
        <v>36</v>
      </c>
      <c r="S970" s="31">
        <v>10804</v>
      </c>
      <c r="T970" s="38">
        <v>44970</v>
      </c>
      <c r="U970" s="31"/>
      <c r="V970" s="31"/>
      <c r="W970" s="33" t="s">
        <v>4829</v>
      </c>
      <c r="X970" s="55">
        <v>0</v>
      </c>
      <c r="Y970" s="22">
        <v>0</v>
      </c>
      <c r="Z970" s="26" t="s">
        <v>118</v>
      </c>
      <c r="AA970" s="19" t="s">
        <v>4541</v>
      </c>
      <c r="AB970" s="26" t="s">
        <v>137</v>
      </c>
      <c r="AC970" s="26" t="s">
        <v>53</v>
      </c>
      <c r="AD970" s="19" t="s">
        <v>54</v>
      </c>
      <c r="AE970" s="26">
        <v>490</v>
      </c>
      <c r="AF970" s="17">
        <v>45299</v>
      </c>
      <c r="AG970" s="26"/>
      <c r="AH970" s="26"/>
      <c r="AI970" s="40"/>
      <c r="AJ970" s="26"/>
      <c r="AK970" s="26"/>
      <c r="AL970" s="35"/>
      <c r="AM970" s="35"/>
      <c r="AN970" s="35"/>
      <c r="AO970" s="35"/>
      <c r="AP970" s="35"/>
    </row>
    <row r="971" spans="1:42" x14ac:dyDescent="0.2">
      <c r="A971" s="27">
        <v>45214.518220219907</v>
      </c>
      <c r="B971" s="28" t="s">
        <v>37</v>
      </c>
      <c r="C971" s="41" t="s">
        <v>118</v>
      </c>
      <c r="D971" s="26" t="s">
        <v>36</v>
      </c>
      <c r="E971" s="26" t="s">
        <v>148</v>
      </c>
      <c r="F971" s="26" t="s">
        <v>91</v>
      </c>
      <c r="G971" s="26" t="s">
        <v>221</v>
      </c>
      <c r="H971" s="26" t="s">
        <v>2121</v>
      </c>
      <c r="I971" s="17">
        <f ca="1">IFERROR(__xludf.DUMMYFUNCTION("""COMPUTED_VALUE"""),45230)</f>
        <v>45230</v>
      </c>
      <c r="J971" s="29" t="s">
        <v>4830</v>
      </c>
      <c r="K971" s="26" t="s">
        <v>4831</v>
      </c>
      <c r="L971" s="30">
        <v>842661478</v>
      </c>
      <c r="M971" s="26" t="s">
        <v>112</v>
      </c>
      <c r="N971" s="26" t="s">
        <v>3330</v>
      </c>
      <c r="O971" s="67" t="s">
        <v>4832</v>
      </c>
      <c r="P971" s="26" t="s">
        <v>4833</v>
      </c>
      <c r="Q971" s="20">
        <v>7349</v>
      </c>
      <c r="R971" s="26" t="s">
        <v>36</v>
      </c>
      <c r="S971" s="31">
        <v>7349</v>
      </c>
      <c r="T971" s="32">
        <v>44959</v>
      </c>
      <c r="U971" s="31"/>
      <c r="V971" s="26"/>
      <c r="W971" s="26"/>
      <c r="X971" s="26"/>
      <c r="Y971" s="22">
        <v>0</v>
      </c>
      <c r="Z971" s="26" t="s">
        <v>118</v>
      </c>
      <c r="AA971" s="19" t="s">
        <v>4541</v>
      </c>
      <c r="AB971" s="26" t="s">
        <v>104</v>
      </c>
      <c r="AC971" s="26" t="s">
        <v>53</v>
      </c>
      <c r="AD971" s="19" t="s">
        <v>54</v>
      </c>
      <c r="AE971" s="26">
        <v>540</v>
      </c>
      <c r="AF971" s="17">
        <v>45219</v>
      </c>
      <c r="AG971" s="26"/>
      <c r="AH971" s="26"/>
      <c r="AI971" s="40"/>
      <c r="AJ971" s="26"/>
      <c r="AK971" s="26"/>
      <c r="AL971" s="35"/>
      <c r="AM971" s="35"/>
      <c r="AN971" s="35"/>
      <c r="AO971" s="35"/>
      <c r="AP971" s="35"/>
    </row>
    <row r="972" spans="1:42" x14ac:dyDescent="0.2">
      <c r="A972" s="27">
        <v>45214.530305462962</v>
      </c>
      <c r="B972" s="28" t="s">
        <v>37</v>
      </c>
      <c r="C972" s="41" t="s">
        <v>118</v>
      </c>
      <c r="D972" s="26" t="s">
        <v>36</v>
      </c>
      <c r="E972" s="26" t="s">
        <v>139</v>
      </c>
      <c r="F972" s="26" t="s">
        <v>91</v>
      </c>
      <c r="G972" s="26" t="s">
        <v>108</v>
      </c>
      <c r="H972" s="26" t="s">
        <v>2426</v>
      </c>
      <c r="I972" s="17">
        <f ca="1">IFERROR(__xludf.DUMMYFUNCTION("""COMPUTED_VALUE"""),45215)</f>
        <v>45215</v>
      </c>
      <c r="J972" s="29" t="s">
        <v>2484</v>
      </c>
      <c r="K972" s="26" t="s">
        <v>4834</v>
      </c>
      <c r="L972" s="30">
        <v>989920758</v>
      </c>
      <c r="M972" s="26" t="s">
        <v>123</v>
      </c>
      <c r="N972" s="26" t="s">
        <v>850</v>
      </c>
      <c r="O972" s="26" t="s">
        <v>125</v>
      </c>
      <c r="P972" s="26" t="s">
        <v>4835</v>
      </c>
      <c r="Q972" s="20">
        <v>15936</v>
      </c>
      <c r="R972" s="26" t="s">
        <v>36</v>
      </c>
      <c r="S972" s="31">
        <v>500</v>
      </c>
      <c r="T972" s="32">
        <v>45154</v>
      </c>
      <c r="U972" s="21">
        <f>1500+13936</f>
        <v>15436</v>
      </c>
      <c r="V972" s="26" t="s">
        <v>2487</v>
      </c>
      <c r="W972" s="33" t="s">
        <v>2488</v>
      </c>
      <c r="X972" s="26"/>
      <c r="Y972" s="22">
        <v>0</v>
      </c>
      <c r="Z972" s="26" t="s">
        <v>118</v>
      </c>
      <c r="AA972" s="19" t="s">
        <v>4541</v>
      </c>
      <c r="AB972" s="26" t="s">
        <v>128</v>
      </c>
      <c r="AC972" s="26" t="s">
        <v>53</v>
      </c>
      <c r="AD972" s="19" t="s">
        <v>54</v>
      </c>
      <c r="AE972" s="26" t="s">
        <v>4386</v>
      </c>
      <c r="AF972" s="17">
        <v>45215</v>
      </c>
      <c r="AG972" s="26"/>
      <c r="AH972" s="26"/>
      <c r="AI972" s="40"/>
      <c r="AJ972" s="26"/>
      <c r="AK972" s="26"/>
      <c r="AL972" s="35"/>
      <c r="AM972" s="35"/>
      <c r="AN972" s="35"/>
      <c r="AO972" s="35"/>
      <c r="AP972" s="35"/>
    </row>
    <row r="973" spans="1:42" x14ac:dyDescent="0.2">
      <c r="A973" s="27">
        <v>45215.96346997685</v>
      </c>
      <c r="B973" s="28" t="s">
        <v>37</v>
      </c>
      <c r="C973" s="41" t="s">
        <v>118</v>
      </c>
      <c r="D973" s="26" t="s">
        <v>36</v>
      </c>
      <c r="E973" s="26" t="s">
        <v>39</v>
      </c>
      <c r="F973" s="26" t="s">
        <v>91</v>
      </c>
      <c r="G973" s="26" t="s">
        <v>108</v>
      </c>
      <c r="H973" s="26" t="s">
        <v>2088</v>
      </c>
      <c r="I973" s="17">
        <f ca="1">IFERROR(__xludf.DUMMYFUNCTION("""COMPUTED_VALUE"""),45222)</f>
        <v>45222</v>
      </c>
      <c r="J973" s="29" t="s">
        <v>4836</v>
      </c>
      <c r="K973" s="26" t="s">
        <v>1350</v>
      </c>
      <c r="L973" s="30">
        <v>915022336</v>
      </c>
      <c r="M973" s="26" t="s">
        <v>112</v>
      </c>
      <c r="N973" s="26" t="s">
        <v>3330</v>
      </c>
      <c r="O973" s="26" t="s">
        <v>1351</v>
      </c>
      <c r="P973" s="26" t="s">
        <v>4837</v>
      </c>
      <c r="Q973" s="20">
        <v>5736</v>
      </c>
      <c r="R973" s="26" t="s">
        <v>36</v>
      </c>
      <c r="S973" s="31">
        <v>2000</v>
      </c>
      <c r="T973" s="32">
        <v>45146</v>
      </c>
      <c r="U973" s="31">
        <v>4000</v>
      </c>
      <c r="V973" s="32">
        <v>45169</v>
      </c>
      <c r="W973" s="26"/>
      <c r="X973" s="26"/>
      <c r="Y973" s="22">
        <v>-264</v>
      </c>
      <c r="Z973" s="26" t="s">
        <v>118</v>
      </c>
      <c r="AA973" s="19" t="s">
        <v>4541</v>
      </c>
      <c r="AB973" s="26" t="s">
        <v>154</v>
      </c>
      <c r="AC973" s="26" t="s">
        <v>53</v>
      </c>
      <c r="AD973" s="19" t="s">
        <v>54</v>
      </c>
      <c r="AE973" s="26" t="s">
        <v>4838</v>
      </c>
      <c r="AF973" s="17">
        <v>45216</v>
      </c>
      <c r="AG973" s="26"/>
      <c r="AH973" s="26"/>
      <c r="AI973" s="40"/>
      <c r="AJ973" s="26"/>
      <c r="AK973" s="26"/>
      <c r="AL973" s="35"/>
      <c r="AM973" s="35"/>
      <c r="AN973" s="35"/>
      <c r="AO973" s="35"/>
      <c r="AP973" s="35"/>
    </row>
    <row r="974" spans="1:42" x14ac:dyDescent="0.2">
      <c r="A974" s="27">
        <v>45216.318498981476</v>
      </c>
      <c r="B974" s="28" t="s">
        <v>37</v>
      </c>
      <c r="C974" s="41" t="s">
        <v>118</v>
      </c>
      <c r="D974" s="26" t="s">
        <v>36</v>
      </c>
      <c r="E974" s="26" t="s">
        <v>148</v>
      </c>
      <c r="F974" s="26" t="s">
        <v>4839</v>
      </c>
      <c r="G974" s="26" t="s">
        <v>108</v>
      </c>
      <c r="H974" s="26" t="s">
        <v>2088</v>
      </c>
      <c r="I974" s="17">
        <f ca="1">IFERROR(__xludf.DUMMYFUNCTION("""COMPUTED_VALUE"""),45222)</f>
        <v>45222</v>
      </c>
      <c r="J974" s="29" t="s">
        <v>4840</v>
      </c>
      <c r="K974" s="26" t="s">
        <v>4841</v>
      </c>
      <c r="L974" s="30">
        <v>965856870</v>
      </c>
      <c r="M974" s="26" t="s">
        <v>391</v>
      </c>
      <c r="N974" s="26" t="s">
        <v>2143</v>
      </c>
      <c r="O974" s="26" t="s">
        <v>2144</v>
      </c>
      <c r="P974" s="26" t="s">
        <v>4842</v>
      </c>
      <c r="Q974" s="20">
        <v>7349</v>
      </c>
      <c r="R974" s="26" t="s">
        <v>36</v>
      </c>
      <c r="S974" s="31">
        <v>7349</v>
      </c>
      <c r="T974" s="32">
        <v>44861</v>
      </c>
      <c r="U974" s="31">
        <v>9430</v>
      </c>
      <c r="V974" s="32">
        <v>44861</v>
      </c>
      <c r="W974" s="33" t="s">
        <v>4843</v>
      </c>
      <c r="X974" s="26"/>
      <c r="Y974" s="22">
        <v>-9430</v>
      </c>
      <c r="Z974" s="26" t="s">
        <v>118</v>
      </c>
      <c r="AA974" s="19" t="s">
        <v>4541</v>
      </c>
      <c r="AB974" s="26" t="s">
        <v>128</v>
      </c>
      <c r="AC974" s="26" t="s">
        <v>53</v>
      </c>
      <c r="AD974" s="19" t="s">
        <v>54</v>
      </c>
      <c r="AE974" s="26">
        <v>370</v>
      </c>
      <c r="AF974" s="17">
        <v>45216</v>
      </c>
      <c r="AG974" s="26"/>
      <c r="AH974" s="26"/>
      <c r="AI974" s="40"/>
      <c r="AJ974" s="26"/>
      <c r="AK974" s="26"/>
      <c r="AL974" s="35"/>
      <c r="AM974" s="35"/>
      <c r="AN974" s="35"/>
      <c r="AO974" s="35"/>
      <c r="AP974" s="35"/>
    </row>
    <row r="975" spans="1:42" x14ac:dyDescent="0.2">
      <c r="A975" s="27">
        <v>45216.710728020829</v>
      </c>
      <c r="B975" s="28" t="s">
        <v>37</v>
      </c>
      <c r="C975" s="41" t="s">
        <v>118</v>
      </c>
      <c r="D975" s="26" t="s">
        <v>36</v>
      </c>
      <c r="E975" s="26" t="s">
        <v>148</v>
      </c>
      <c r="F975" s="26" t="s">
        <v>91</v>
      </c>
      <c r="G975" s="26" t="s">
        <v>221</v>
      </c>
      <c r="H975" s="26" t="s">
        <v>3308</v>
      </c>
      <c r="I975" s="17">
        <f ca="1">IFERROR(__xludf.DUMMYFUNCTION("""COMPUTED_VALUE"""),45233)</f>
        <v>45233</v>
      </c>
      <c r="J975" s="29" t="s">
        <v>4844</v>
      </c>
      <c r="K975" s="26" t="s">
        <v>4845</v>
      </c>
      <c r="L975" s="30">
        <v>389341275</v>
      </c>
      <c r="M975" s="26" t="s">
        <v>112</v>
      </c>
      <c r="N975" s="26" t="s">
        <v>3330</v>
      </c>
      <c r="O975" s="67" t="s">
        <v>4846</v>
      </c>
      <c r="P975" s="42" t="s">
        <v>4847</v>
      </c>
      <c r="Q975" s="20">
        <v>7349</v>
      </c>
      <c r="R975" s="26" t="s">
        <v>36</v>
      </c>
      <c r="S975" s="31">
        <v>10300</v>
      </c>
      <c r="T975" s="32">
        <v>44871</v>
      </c>
      <c r="U975" s="31"/>
      <c r="V975" s="26"/>
      <c r="W975" s="33" t="s">
        <v>4848</v>
      </c>
      <c r="X975" s="26"/>
      <c r="Y975" s="22">
        <v>-2951</v>
      </c>
      <c r="Z975" s="26" t="s">
        <v>118</v>
      </c>
      <c r="AA975" s="19" t="s">
        <v>4541</v>
      </c>
      <c r="AB975" s="26" t="s">
        <v>104</v>
      </c>
      <c r="AC975" s="26" t="s">
        <v>53</v>
      </c>
      <c r="AD975" s="19" t="s">
        <v>54</v>
      </c>
      <c r="AE975" s="26" t="s">
        <v>172</v>
      </c>
      <c r="AF975" s="17">
        <v>45225</v>
      </c>
      <c r="AG975" s="26"/>
      <c r="AH975" s="26"/>
      <c r="AI975" s="40"/>
      <c r="AJ975" s="26"/>
      <c r="AK975" s="26"/>
      <c r="AL975" s="35"/>
      <c r="AM975" s="35"/>
      <c r="AN975" s="35"/>
      <c r="AO975" s="35"/>
      <c r="AP975" s="35"/>
    </row>
    <row r="976" spans="1:42" x14ac:dyDescent="0.2">
      <c r="A976" s="27">
        <v>45216.902266608799</v>
      </c>
      <c r="B976" s="28" t="s">
        <v>37</v>
      </c>
      <c r="C976" s="41" t="s">
        <v>118</v>
      </c>
      <c r="D976" s="26" t="s">
        <v>36</v>
      </c>
      <c r="E976" s="26" t="s">
        <v>148</v>
      </c>
      <c r="F976" s="26" t="s">
        <v>91</v>
      </c>
      <c r="G976" s="26" t="s">
        <v>221</v>
      </c>
      <c r="H976" s="26" t="s">
        <v>3308</v>
      </c>
      <c r="I976" s="17">
        <f ca="1">IFERROR(__xludf.DUMMYFUNCTION("""COMPUTED_VALUE"""),45233)</f>
        <v>45233</v>
      </c>
      <c r="J976" s="29" t="s">
        <v>4849</v>
      </c>
      <c r="K976" s="26" t="s">
        <v>1515</v>
      </c>
      <c r="L976" s="30">
        <v>963770132</v>
      </c>
      <c r="M976" s="26" t="s">
        <v>112</v>
      </c>
      <c r="N976" s="26" t="s">
        <v>3330</v>
      </c>
      <c r="O976" s="67" t="s">
        <v>4850</v>
      </c>
      <c r="P976" s="26" t="s">
        <v>4851</v>
      </c>
      <c r="Q976" s="20">
        <v>7349</v>
      </c>
      <c r="R976" s="26" t="s">
        <v>36</v>
      </c>
      <c r="S976" s="31">
        <v>5000</v>
      </c>
      <c r="T976" s="32">
        <v>44860</v>
      </c>
      <c r="U976" s="31">
        <v>11679</v>
      </c>
      <c r="V976" s="32">
        <v>44882</v>
      </c>
      <c r="W976" s="33" t="s">
        <v>4852</v>
      </c>
      <c r="X976" s="26">
        <v>0</v>
      </c>
      <c r="Y976" s="22">
        <v>0</v>
      </c>
      <c r="Z976" s="26" t="s">
        <v>118</v>
      </c>
      <c r="AA976" s="19" t="s">
        <v>4541</v>
      </c>
      <c r="AB976" s="26" t="s">
        <v>104</v>
      </c>
      <c r="AC976" s="26" t="s">
        <v>53</v>
      </c>
      <c r="AD976" s="19" t="s">
        <v>54</v>
      </c>
      <c r="AE976" s="26" t="s">
        <v>172</v>
      </c>
      <c r="AF976" s="43">
        <v>45230</v>
      </c>
      <c r="AG976" s="26"/>
      <c r="AH976" s="26"/>
      <c r="AI976" s="40"/>
      <c r="AJ976" s="26"/>
      <c r="AK976" s="26"/>
      <c r="AL976" s="35"/>
      <c r="AM976" s="35"/>
      <c r="AN976" s="35"/>
      <c r="AO976" s="35"/>
      <c r="AP976" s="35"/>
    </row>
    <row r="977" spans="1:42" x14ac:dyDescent="0.2">
      <c r="A977" s="27">
        <v>45216.906436504629</v>
      </c>
      <c r="B977" s="28" t="s">
        <v>37</v>
      </c>
      <c r="C977" s="41" t="s">
        <v>118</v>
      </c>
      <c r="D977" s="26" t="s">
        <v>36</v>
      </c>
      <c r="E977" s="26" t="s">
        <v>119</v>
      </c>
      <c r="F977" s="26" t="s">
        <v>91</v>
      </c>
      <c r="G977" s="26" t="s">
        <v>221</v>
      </c>
      <c r="H977" s="26" t="s">
        <v>3308</v>
      </c>
      <c r="I977" s="17">
        <f ca="1">IFERROR(__xludf.DUMMYFUNCTION("""COMPUTED_VALUE"""),45233)</f>
        <v>45233</v>
      </c>
      <c r="J977" s="29" t="s">
        <v>896</v>
      </c>
      <c r="K977" s="26" t="s">
        <v>897</v>
      </c>
      <c r="L977" s="30">
        <v>936526160</v>
      </c>
      <c r="M977" s="26" t="s">
        <v>123</v>
      </c>
      <c r="N977" s="26" t="s">
        <v>898</v>
      </c>
      <c r="O977" s="26" t="s">
        <v>125</v>
      </c>
      <c r="P977" s="26" t="s">
        <v>4853</v>
      </c>
      <c r="Q977" s="20">
        <v>13968</v>
      </c>
      <c r="R977" s="26" t="s">
        <v>36</v>
      </c>
      <c r="S977" s="31">
        <v>6000</v>
      </c>
      <c r="T977" s="32">
        <v>45108</v>
      </c>
      <c r="U977" s="31">
        <v>7968</v>
      </c>
      <c r="V977" s="32">
        <v>45139</v>
      </c>
      <c r="W977" s="33" t="s">
        <v>900</v>
      </c>
      <c r="X977" s="26">
        <v>0</v>
      </c>
      <c r="Y977" s="22">
        <v>0</v>
      </c>
      <c r="Z977" s="26" t="s">
        <v>118</v>
      </c>
      <c r="AA977" s="19" t="s">
        <v>4541</v>
      </c>
      <c r="AB977" s="26" t="s">
        <v>104</v>
      </c>
      <c r="AC977" s="26" t="s">
        <v>53</v>
      </c>
      <c r="AD977" s="19" t="s">
        <v>54</v>
      </c>
      <c r="AE977" s="26" t="s">
        <v>172</v>
      </c>
      <c r="AF977" s="17">
        <v>45225</v>
      </c>
      <c r="AG977" s="26"/>
      <c r="AH977" s="26"/>
      <c r="AI977" s="40"/>
      <c r="AJ977" s="26"/>
      <c r="AK977" s="26"/>
      <c r="AL977" s="35"/>
      <c r="AM977" s="35"/>
      <c r="AN977" s="35"/>
      <c r="AO977" s="35"/>
      <c r="AP977" s="35"/>
    </row>
    <row r="978" spans="1:42" x14ac:dyDescent="0.2">
      <c r="A978" s="27">
        <v>45217.464067094908</v>
      </c>
      <c r="B978" s="28" t="s">
        <v>37</v>
      </c>
      <c r="C978" s="41" t="s">
        <v>118</v>
      </c>
      <c r="D978" s="26" t="s">
        <v>36</v>
      </c>
      <c r="E978" s="26" t="s">
        <v>148</v>
      </c>
      <c r="F978" s="26" t="s">
        <v>91</v>
      </c>
      <c r="G978" s="26" t="s">
        <v>221</v>
      </c>
      <c r="H978" s="26" t="s">
        <v>3308</v>
      </c>
      <c r="I978" s="17">
        <f ca="1">IFERROR(__xludf.DUMMYFUNCTION("""COMPUTED_VALUE"""),45233)</f>
        <v>45233</v>
      </c>
      <c r="J978" s="29" t="s">
        <v>4854</v>
      </c>
      <c r="K978" s="26" t="s">
        <v>3687</v>
      </c>
      <c r="L978" s="30">
        <v>396364598</v>
      </c>
      <c r="M978" s="26" t="s">
        <v>112</v>
      </c>
      <c r="N978" s="26" t="s">
        <v>3330</v>
      </c>
      <c r="O978" s="67" t="s">
        <v>4855</v>
      </c>
      <c r="P978" s="26" t="s">
        <v>4856</v>
      </c>
      <c r="Q978" s="20">
        <v>7349</v>
      </c>
      <c r="R978" s="26" t="s">
        <v>36</v>
      </c>
      <c r="S978" s="31">
        <v>4000</v>
      </c>
      <c r="T978" s="38">
        <v>44767</v>
      </c>
      <c r="U978" s="31">
        <v>9468</v>
      </c>
      <c r="V978" s="32">
        <v>44774</v>
      </c>
      <c r="W978" s="33" t="s">
        <v>1926</v>
      </c>
      <c r="X978" s="26"/>
      <c r="Y978" s="22">
        <v>-6119</v>
      </c>
      <c r="Z978" s="26" t="s">
        <v>118</v>
      </c>
      <c r="AA978" s="19" t="s">
        <v>4541</v>
      </c>
      <c r="AB978" s="26" t="s">
        <v>104</v>
      </c>
      <c r="AC978" s="26" t="s">
        <v>53</v>
      </c>
      <c r="AD978" s="19" t="s">
        <v>54</v>
      </c>
      <c r="AE978" s="26">
        <v>690</v>
      </c>
      <c r="AF978" s="43">
        <v>45230</v>
      </c>
      <c r="AG978" s="26"/>
      <c r="AH978" s="26"/>
      <c r="AI978" s="40"/>
      <c r="AJ978" s="26"/>
      <c r="AK978" s="26"/>
      <c r="AL978" s="35"/>
      <c r="AM978" s="35"/>
      <c r="AN978" s="35"/>
      <c r="AO978" s="35"/>
      <c r="AP978" s="35"/>
    </row>
    <row r="979" spans="1:42" x14ac:dyDescent="0.2">
      <c r="A979" s="27">
        <v>45217.546785902778</v>
      </c>
      <c r="B979" s="28" t="s">
        <v>37</v>
      </c>
      <c r="C979" s="41" t="s">
        <v>118</v>
      </c>
      <c r="D979" s="26" t="s">
        <v>36</v>
      </c>
      <c r="E979" s="26" t="s">
        <v>139</v>
      </c>
      <c r="F979" s="26" t="s">
        <v>1454</v>
      </c>
      <c r="G979" s="26" t="s">
        <v>108</v>
      </c>
      <c r="H979" s="26" t="s">
        <v>2128</v>
      </c>
      <c r="I979" s="17">
        <f ca="1">IFERROR(__xludf.DUMMYFUNCTION("""COMPUTED_VALUE"""),45237)</f>
        <v>45237</v>
      </c>
      <c r="J979" s="29" t="s">
        <v>1529</v>
      </c>
      <c r="K979" s="26" t="s">
        <v>1530</v>
      </c>
      <c r="L979" s="30">
        <v>377102005</v>
      </c>
      <c r="M979" s="26" t="s">
        <v>112</v>
      </c>
      <c r="N979" s="26" t="s">
        <v>3330</v>
      </c>
      <c r="O979" s="26" t="s">
        <v>125</v>
      </c>
      <c r="P979" s="42" t="s">
        <v>4857</v>
      </c>
      <c r="Q979" s="20">
        <v>15936</v>
      </c>
      <c r="R979" s="26" t="s">
        <v>36</v>
      </c>
      <c r="S979" s="31">
        <v>2000</v>
      </c>
      <c r="T979" s="32">
        <v>45153</v>
      </c>
      <c r="U979" s="31">
        <v>13936</v>
      </c>
      <c r="V979" s="26"/>
      <c r="W979" s="26"/>
      <c r="X979" s="26"/>
      <c r="Y979" s="22">
        <v>0</v>
      </c>
      <c r="Z979" s="26" t="s">
        <v>118</v>
      </c>
      <c r="AA979" s="19" t="s">
        <v>4541</v>
      </c>
      <c r="AB979" s="26" t="s">
        <v>137</v>
      </c>
      <c r="AC979" s="26" t="s">
        <v>53</v>
      </c>
      <c r="AD979" s="19" t="s">
        <v>54</v>
      </c>
      <c r="AE979" s="26" t="s">
        <v>1454</v>
      </c>
      <c r="AF979" s="43">
        <v>45230</v>
      </c>
      <c r="AG979" s="26"/>
      <c r="AH979" s="26"/>
      <c r="AI979" s="40"/>
      <c r="AJ979" s="26"/>
      <c r="AK979" s="26"/>
      <c r="AL979" s="35"/>
      <c r="AM979" s="35"/>
      <c r="AN979" s="35"/>
      <c r="AO979" s="35"/>
      <c r="AP979" s="35"/>
    </row>
    <row r="980" spans="1:42" x14ac:dyDescent="0.2">
      <c r="A980" s="27">
        <v>45218.062341805555</v>
      </c>
      <c r="B980" s="28" t="s">
        <v>37</v>
      </c>
      <c r="C980" s="41" t="s">
        <v>118</v>
      </c>
      <c r="D980" s="26" t="s">
        <v>36</v>
      </c>
      <c r="E980" s="26" t="s">
        <v>139</v>
      </c>
      <c r="F980" s="26" t="s">
        <v>91</v>
      </c>
      <c r="G980" s="26" t="s">
        <v>108</v>
      </c>
      <c r="H980" s="26" t="s">
        <v>2088</v>
      </c>
      <c r="I980" s="17">
        <f ca="1">IFERROR(__xludf.DUMMYFUNCTION("""COMPUTED_VALUE"""),45222)</f>
        <v>45222</v>
      </c>
      <c r="J980" s="29" t="s">
        <v>1507</v>
      </c>
      <c r="K980" s="26" t="s">
        <v>4858</v>
      </c>
      <c r="L980" s="30">
        <v>833505129</v>
      </c>
      <c r="M980" s="26" t="s">
        <v>112</v>
      </c>
      <c r="N980" s="26" t="s">
        <v>3330</v>
      </c>
      <c r="O980" s="26" t="s">
        <v>1509</v>
      </c>
      <c r="P980" s="42" t="s">
        <v>4859</v>
      </c>
      <c r="Q980" s="20">
        <v>15936</v>
      </c>
      <c r="R980" s="26" t="s">
        <v>36</v>
      </c>
      <c r="S980" s="31">
        <v>15936</v>
      </c>
      <c r="T980" s="32">
        <v>45152</v>
      </c>
      <c r="U980" s="31"/>
      <c r="V980" s="26"/>
      <c r="W980" s="33" t="s">
        <v>1511</v>
      </c>
      <c r="X980" s="26"/>
      <c r="Y980" s="22">
        <v>0</v>
      </c>
      <c r="Z980" s="26" t="s">
        <v>118</v>
      </c>
      <c r="AA980" s="19" t="s">
        <v>4541</v>
      </c>
      <c r="AB980" s="26" t="s">
        <v>154</v>
      </c>
      <c r="AC980" s="26" t="s">
        <v>53</v>
      </c>
      <c r="AD980" s="19" t="s">
        <v>54</v>
      </c>
      <c r="AE980" s="26" t="s">
        <v>4860</v>
      </c>
      <c r="AF980" s="17">
        <v>45218</v>
      </c>
      <c r="AG980" s="26"/>
      <c r="AH980" s="26"/>
      <c r="AI980" s="40"/>
      <c r="AJ980" s="26"/>
      <c r="AK980" s="26"/>
      <c r="AL980" s="35"/>
      <c r="AM980" s="35"/>
      <c r="AN980" s="35"/>
      <c r="AO980" s="35"/>
      <c r="AP980" s="35"/>
    </row>
    <row r="981" spans="1:42" x14ac:dyDescent="0.2">
      <c r="A981" s="27">
        <v>45219.657556666665</v>
      </c>
      <c r="B981" s="28" t="s">
        <v>37</v>
      </c>
      <c r="C981" s="41" t="s">
        <v>118</v>
      </c>
      <c r="D981" s="26" t="s">
        <v>36</v>
      </c>
      <c r="E981" s="26" t="s">
        <v>148</v>
      </c>
      <c r="F981" s="26" t="s">
        <v>4861</v>
      </c>
      <c r="G981" s="26" t="s">
        <v>108</v>
      </c>
      <c r="H981" s="26" t="s">
        <v>3336</v>
      </c>
      <c r="I981" s="17">
        <f ca="1">IFERROR(__xludf.DUMMYFUNCTION("""COMPUTED_VALUE"""),45229)</f>
        <v>45229</v>
      </c>
      <c r="J981" s="29" t="s">
        <v>4862</v>
      </c>
      <c r="K981" s="26" t="s">
        <v>4863</v>
      </c>
      <c r="L981" s="30">
        <v>833508618</v>
      </c>
      <c r="M981" s="26" t="s">
        <v>391</v>
      </c>
      <c r="N981" s="26" t="s">
        <v>4864</v>
      </c>
      <c r="O981" s="26" t="s">
        <v>2238</v>
      </c>
      <c r="P981" s="26" t="s">
        <v>4865</v>
      </c>
      <c r="Q981" s="20">
        <v>7349</v>
      </c>
      <c r="R981" s="26" t="s">
        <v>36</v>
      </c>
      <c r="S981" s="31">
        <v>1000</v>
      </c>
      <c r="T981" s="32">
        <v>44768</v>
      </c>
      <c r="U981" s="31">
        <v>15968</v>
      </c>
      <c r="V981" s="32">
        <v>44770</v>
      </c>
      <c r="W981" s="33" t="s">
        <v>4866</v>
      </c>
      <c r="X981" s="26"/>
      <c r="Y981" s="22">
        <v>-9619</v>
      </c>
      <c r="Z981" s="26" t="s">
        <v>118</v>
      </c>
      <c r="AA981" s="19" t="s">
        <v>4541</v>
      </c>
      <c r="AB981" s="26" t="s">
        <v>128</v>
      </c>
      <c r="AC981" s="26" t="s">
        <v>53</v>
      </c>
      <c r="AD981" s="19" t="s">
        <v>54</v>
      </c>
      <c r="AE981" s="26"/>
      <c r="AF981" s="17">
        <v>45222</v>
      </c>
      <c r="AG981" s="26"/>
      <c r="AH981" s="26"/>
      <c r="AI981" s="40"/>
      <c r="AJ981" s="26"/>
      <c r="AK981" s="26"/>
      <c r="AL981" s="35"/>
      <c r="AM981" s="35"/>
      <c r="AN981" s="35"/>
      <c r="AO981" s="35"/>
      <c r="AP981" s="35"/>
    </row>
    <row r="982" spans="1:42" x14ac:dyDescent="0.2">
      <c r="A982" s="27">
        <v>45220.999134780097</v>
      </c>
      <c r="B982" s="28" t="s">
        <v>37</v>
      </c>
      <c r="C982" s="41" t="s">
        <v>118</v>
      </c>
      <c r="D982" s="26" t="s">
        <v>106</v>
      </c>
      <c r="E982" s="26" t="s">
        <v>119</v>
      </c>
      <c r="F982" s="26" t="s">
        <v>120</v>
      </c>
      <c r="G982" s="26" t="s">
        <v>221</v>
      </c>
      <c r="H982" s="26" t="s">
        <v>3308</v>
      </c>
      <c r="I982" s="17">
        <f ca="1">IFERROR(__xludf.DUMMYFUNCTION("""COMPUTED_VALUE"""),45233)</f>
        <v>45233</v>
      </c>
      <c r="J982" s="29" t="s">
        <v>121</v>
      </c>
      <c r="K982" s="26" t="s">
        <v>122</v>
      </c>
      <c r="L982" s="30">
        <v>335129217</v>
      </c>
      <c r="M982" s="26" t="s">
        <v>123</v>
      </c>
      <c r="N982" s="26" t="s">
        <v>124</v>
      </c>
      <c r="O982" s="67" t="s">
        <v>4867</v>
      </c>
      <c r="P982" s="26" t="s">
        <v>4868</v>
      </c>
      <c r="Q982" s="20">
        <v>13968</v>
      </c>
      <c r="R982" s="26" t="s">
        <v>36</v>
      </c>
      <c r="S982" s="31">
        <v>1000</v>
      </c>
      <c r="T982" s="32">
        <v>44925</v>
      </c>
      <c r="U982" s="31">
        <v>12968</v>
      </c>
      <c r="V982" s="32">
        <v>45108</v>
      </c>
      <c r="W982" s="26" t="s">
        <v>127</v>
      </c>
      <c r="X982" s="26">
        <v>0</v>
      </c>
      <c r="Y982" s="22">
        <v>0</v>
      </c>
      <c r="Z982" s="26" t="s">
        <v>118</v>
      </c>
      <c r="AA982" s="19" t="s">
        <v>4541</v>
      </c>
      <c r="AB982" s="26" t="s">
        <v>104</v>
      </c>
      <c r="AC982" s="26" t="s">
        <v>53</v>
      </c>
      <c r="AD982" s="19" t="s">
        <v>54</v>
      </c>
      <c r="AE982" s="26">
        <v>655</v>
      </c>
      <c r="AF982" s="43">
        <v>45230</v>
      </c>
      <c r="AG982" s="26"/>
      <c r="AH982" s="26"/>
      <c r="AI982" s="40"/>
      <c r="AJ982" s="26"/>
      <c r="AK982" s="26"/>
      <c r="AL982" s="35"/>
      <c r="AM982" s="35"/>
      <c r="AN982" s="35"/>
      <c r="AO982" s="35"/>
      <c r="AP982" s="35"/>
    </row>
    <row r="983" spans="1:42" x14ac:dyDescent="0.2">
      <c r="A983" s="27">
        <v>45221.005520335646</v>
      </c>
      <c r="B983" s="28" t="s">
        <v>37</v>
      </c>
      <c r="C983" s="41" t="s">
        <v>118</v>
      </c>
      <c r="D983" s="26" t="s">
        <v>36</v>
      </c>
      <c r="E983" s="26" t="s">
        <v>56</v>
      </c>
      <c r="F983" s="26" t="s">
        <v>36</v>
      </c>
      <c r="G983" s="26" t="s">
        <v>108</v>
      </c>
      <c r="H983" s="26" t="s">
        <v>4869</v>
      </c>
      <c r="I983" s="17">
        <f ca="1">IFERROR(__xludf.DUMMYFUNCTION("""COMPUTED_VALUE"""),45300)</f>
        <v>45300</v>
      </c>
      <c r="J983" s="29" t="s">
        <v>2307</v>
      </c>
      <c r="K983" s="26" t="s">
        <v>4870</v>
      </c>
      <c r="L983" s="30">
        <v>347466460</v>
      </c>
      <c r="M983" s="26" t="s">
        <v>123</v>
      </c>
      <c r="N983" s="35" t="s">
        <v>2309</v>
      </c>
      <c r="O983" s="26" t="s">
        <v>125</v>
      </c>
      <c r="P983" s="26" t="s">
        <v>2310</v>
      </c>
      <c r="Q983" s="20">
        <v>9317</v>
      </c>
      <c r="R983" s="26" t="s">
        <v>36</v>
      </c>
      <c r="S983" s="31">
        <v>500</v>
      </c>
      <c r="T983" s="32">
        <v>44888</v>
      </c>
      <c r="U983" s="31">
        <v>16279</v>
      </c>
      <c r="V983" s="74">
        <v>44906</v>
      </c>
      <c r="W983" s="33" t="s">
        <v>2311</v>
      </c>
      <c r="X983" s="35">
        <v>0</v>
      </c>
      <c r="Y983" s="22">
        <v>-7462</v>
      </c>
      <c r="Z983" s="26" t="s">
        <v>118</v>
      </c>
      <c r="AA983" s="19" t="s">
        <v>4541</v>
      </c>
      <c r="AB983" s="26" t="s">
        <v>154</v>
      </c>
      <c r="AC983" s="26" t="s">
        <v>53</v>
      </c>
      <c r="AD983" s="19" t="s">
        <v>138</v>
      </c>
      <c r="AE983" s="26" t="s">
        <v>723</v>
      </c>
      <c r="AF983" s="17">
        <v>45229</v>
      </c>
      <c r="AG983" s="19" t="s">
        <v>2312</v>
      </c>
      <c r="AH983" s="26"/>
      <c r="AI983" s="40"/>
      <c r="AJ983" s="26"/>
      <c r="AK983" s="26"/>
      <c r="AL983" s="35"/>
      <c r="AM983" s="35"/>
      <c r="AN983" s="35"/>
      <c r="AO983" s="35"/>
      <c r="AP983" s="35"/>
    </row>
    <row r="984" spans="1:42" x14ac:dyDescent="0.2">
      <c r="A984" s="27">
        <v>45221.00983362268</v>
      </c>
      <c r="B984" s="28" t="s">
        <v>37</v>
      </c>
      <c r="C984" s="41" t="s">
        <v>118</v>
      </c>
      <c r="D984" s="26" t="s">
        <v>36</v>
      </c>
      <c r="E984" s="26" t="s">
        <v>139</v>
      </c>
      <c r="F984" s="26" t="s">
        <v>723</v>
      </c>
      <c r="G984" s="26" t="s">
        <v>108</v>
      </c>
      <c r="H984" s="26" t="s">
        <v>3285</v>
      </c>
      <c r="I984" s="17">
        <f ca="1">IFERROR(__xludf.DUMMYFUNCTION("""COMPUTED_VALUE"""),45229)</f>
        <v>45229</v>
      </c>
      <c r="J984" s="29" t="s">
        <v>2554</v>
      </c>
      <c r="K984" s="26" t="s">
        <v>4871</v>
      </c>
      <c r="L984" s="30">
        <v>973852521</v>
      </c>
      <c r="M984" s="26" t="s">
        <v>123</v>
      </c>
      <c r="N984" s="26" t="s">
        <v>850</v>
      </c>
      <c r="O984" s="26" t="s">
        <v>125</v>
      </c>
      <c r="P984" s="26" t="s">
        <v>4872</v>
      </c>
      <c r="Q984" s="20">
        <v>15936</v>
      </c>
      <c r="R984" s="26" t="s">
        <v>36</v>
      </c>
      <c r="S984" s="31">
        <v>200</v>
      </c>
      <c r="T984" s="32">
        <v>45155</v>
      </c>
      <c r="U984" s="31">
        <f>4000+11736</f>
        <v>15736</v>
      </c>
      <c r="V984" s="26" t="s">
        <v>2557</v>
      </c>
      <c r="W984" s="26" t="s">
        <v>2558</v>
      </c>
      <c r="X984" s="26"/>
      <c r="Y984" s="22">
        <v>0</v>
      </c>
      <c r="Z984" s="26" t="s">
        <v>118</v>
      </c>
      <c r="AA984" s="19" t="s">
        <v>4541</v>
      </c>
      <c r="AB984" s="26" t="s">
        <v>137</v>
      </c>
      <c r="AC984" s="26" t="s">
        <v>53</v>
      </c>
      <c r="AD984" s="19" t="s">
        <v>138</v>
      </c>
      <c r="AE984" s="26" t="s">
        <v>723</v>
      </c>
      <c r="AF984" s="17">
        <v>45229</v>
      </c>
      <c r="AG984" s="26"/>
      <c r="AH984" s="26"/>
      <c r="AI984" s="40"/>
      <c r="AJ984" s="26"/>
      <c r="AK984" s="26"/>
      <c r="AL984" s="35"/>
      <c r="AM984" s="35"/>
      <c r="AN984" s="35"/>
      <c r="AO984" s="35"/>
      <c r="AP984" s="35"/>
    </row>
    <row r="985" spans="1:42" x14ac:dyDescent="0.2">
      <c r="A985" s="27">
        <v>45221.302677777778</v>
      </c>
      <c r="B985" s="28" t="s">
        <v>37</v>
      </c>
      <c r="C985" s="41" t="s">
        <v>118</v>
      </c>
      <c r="D985" s="26" t="s">
        <v>36</v>
      </c>
      <c r="E985" s="26" t="s">
        <v>56</v>
      </c>
      <c r="F985" s="26" t="s">
        <v>723</v>
      </c>
      <c r="G985" s="26" t="s">
        <v>108</v>
      </c>
      <c r="H985" s="26" t="s">
        <v>2128</v>
      </c>
      <c r="I985" s="17">
        <f ca="1">IFERROR(__xludf.DUMMYFUNCTION("""COMPUTED_VALUE"""),45237)</f>
        <v>45237</v>
      </c>
      <c r="J985" s="29" t="s">
        <v>2494</v>
      </c>
      <c r="K985" s="26" t="s">
        <v>4873</v>
      </c>
      <c r="L985" s="30">
        <v>368088294</v>
      </c>
      <c r="M985" s="26" t="s">
        <v>112</v>
      </c>
      <c r="N985" s="26" t="s">
        <v>3330</v>
      </c>
      <c r="O985" s="26" t="s">
        <v>2496</v>
      </c>
      <c r="P985" s="26" t="s">
        <v>4874</v>
      </c>
      <c r="Q985" s="20">
        <v>9317</v>
      </c>
      <c r="R985" s="26" t="s">
        <v>36</v>
      </c>
      <c r="S985" s="31">
        <v>2500</v>
      </c>
      <c r="T985" s="32">
        <v>45156</v>
      </c>
      <c r="U985" s="31">
        <v>6817</v>
      </c>
      <c r="V985" s="32">
        <v>45180</v>
      </c>
      <c r="W985" s="33" t="s">
        <v>2498</v>
      </c>
      <c r="X985" s="26"/>
      <c r="Y985" s="22">
        <v>0</v>
      </c>
      <c r="Z985" s="26" t="s">
        <v>118</v>
      </c>
      <c r="AA985" s="19" t="s">
        <v>4541</v>
      </c>
      <c r="AB985" s="26" t="s">
        <v>137</v>
      </c>
      <c r="AC985" s="26" t="s">
        <v>53</v>
      </c>
      <c r="AD985" s="19" t="s">
        <v>138</v>
      </c>
      <c r="AE985" s="26" t="s">
        <v>723</v>
      </c>
      <c r="AF985" s="17">
        <v>45229</v>
      </c>
      <c r="AG985" s="26" t="s">
        <v>4875</v>
      </c>
      <c r="AH985" s="26"/>
      <c r="AI985" s="40"/>
      <c r="AJ985" s="26"/>
      <c r="AK985" s="26"/>
      <c r="AL985" s="35"/>
      <c r="AM985" s="35"/>
      <c r="AN985" s="35"/>
      <c r="AO985" s="35"/>
      <c r="AP985" s="35"/>
    </row>
    <row r="986" spans="1:42" x14ac:dyDescent="0.2">
      <c r="A986" s="14">
        <v>45225</v>
      </c>
      <c r="B986" s="28" t="s">
        <v>37</v>
      </c>
      <c r="C986" s="41" t="s">
        <v>118</v>
      </c>
      <c r="D986" s="26" t="s">
        <v>36</v>
      </c>
      <c r="E986" s="26" t="s">
        <v>148</v>
      </c>
      <c r="F986" s="35" t="s">
        <v>2190</v>
      </c>
      <c r="G986" s="26" t="s">
        <v>108</v>
      </c>
      <c r="H986" s="26" t="s">
        <v>2088</v>
      </c>
      <c r="I986" s="17">
        <f ca="1">IFERROR(__xludf.DUMMYFUNCTION("""COMPUTED_VALUE"""),45222)</f>
        <v>45222</v>
      </c>
      <c r="J986" s="55" t="s">
        <v>4876</v>
      </c>
      <c r="K986" s="26" t="s">
        <v>4877</v>
      </c>
      <c r="L986" s="30">
        <v>963513468</v>
      </c>
      <c r="M986" s="26" t="s">
        <v>123</v>
      </c>
      <c r="N986" s="35" t="s">
        <v>4878</v>
      </c>
      <c r="O986" s="35"/>
      <c r="P986" s="35"/>
      <c r="Q986" s="20">
        <v>7349</v>
      </c>
      <c r="R986" s="26" t="s">
        <v>36</v>
      </c>
      <c r="S986" s="31">
        <v>5000</v>
      </c>
      <c r="T986" s="38">
        <v>44843</v>
      </c>
      <c r="U986" s="31">
        <v>8615</v>
      </c>
      <c r="V986" s="32">
        <v>44862</v>
      </c>
      <c r="W986" s="33" t="s">
        <v>4879</v>
      </c>
      <c r="X986" s="35"/>
      <c r="Y986" s="22">
        <v>-6266</v>
      </c>
      <c r="Z986" s="26" t="s">
        <v>118</v>
      </c>
      <c r="AA986" s="19" t="s">
        <v>4541</v>
      </c>
      <c r="AB986" s="26" t="s">
        <v>137</v>
      </c>
      <c r="AC986" s="26" t="s">
        <v>53</v>
      </c>
      <c r="AD986" s="19" t="s">
        <v>138</v>
      </c>
      <c r="AE986" s="19" t="s">
        <v>4880</v>
      </c>
      <c r="AF986" s="17">
        <v>45229</v>
      </c>
      <c r="AG986" s="35" t="s">
        <v>4881</v>
      </c>
      <c r="AH986" s="36"/>
      <c r="AI986" s="37"/>
      <c r="AJ986" s="35"/>
      <c r="AK986" s="35"/>
      <c r="AL986" s="35"/>
      <c r="AM986" s="35"/>
      <c r="AN986" s="35"/>
      <c r="AO986" s="35"/>
      <c r="AP986" s="35"/>
    </row>
    <row r="987" spans="1:42" x14ac:dyDescent="0.2">
      <c r="A987" s="27">
        <v>45221.889908090277</v>
      </c>
      <c r="B987" s="28" t="s">
        <v>37</v>
      </c>
      <c r="C987" s="41" t="s">
        <v>118</v>
      </c>
      <c r="D987" s="26" t="s">
        <v>36</v>
      </c>
      <c r="E987" s="26" t="s">
        <v>77</v>
      </c>
      <c r="F987" s="26" t="s">
        <v>36</v>
      </c>
      <c r="G987" s="26" t="s">
        <v>41</v>
      </c>
      <c r="H987" s="26" t="s">
        <v>4371</v>
      </c>
      <c r="I987" s="17">
        <f ca="1">IFERROR(__xludf.DUMMYFUNCTION("""COMPUTED_VALUE"""),45231)</f>
        <v>45231</v>
      </c>
      <c r="J987" s="29" t="s">
        <v>4882</v>
      </c>
      <c r="K987" s="26" t="s">
        <v>4883</v>
      </c>
      <c r="L987" s="30">
        <v>789370991</v>
      </c>
      <c r="M987" s="26" t="s">
        <v>112</v>
      </c>
      <c r="N987" s="26" t="s">
        <v>113</v>
      </c>
      <c r="O987" s="26" t="s">
        <v>36</v>
      </c>
      <c r="P987" s="26" t="s">
        <v>1227</v>
      </c>
      <c r="Q987" s="20">
        <v>1968</v>
      </c>
      <c r="R987" s="26" t="s">
        <v>36</v>
      </c>
      <c r="S987" s="31">
        <v>984</v>
      </c>
      <c r="T987" s="32">
        <v>45219</v>
      </c>
      <c r="U987" s="31"/>
      <c r="V987" s="26"/>
      <c r="W987" s="33" t="s">
        <v>4884</v>
      </c>
      <c r="X987" s="26"/>
      <c r="Y987" s="22">
        <v>984</v>
      </c>
      <c r="Z987" s="26" t="s">
        <v>118</v>
      </c>
      <c r="AA987" s="19" t="s">
        <v>4541</v>
      </c>
      <c r="AB987" s="26" t="s">
        <v>104</v>
      </c>
      <c r="AC987" s="26" t="s">
        <v>53</v>
      </c>
      <c r="AD987" s="19" t="s">
        <v>54</v>
      </c>
      <c r="AE987" s="26" t="s">
        <v>4885</v>
      </c>
      <c r="AF987" s="17">
        <v>45222</v>
      </c>
      <c r="AG987" s="26"/>
      <c r="AH987" s="26"/>
      <c r="AI987" s="40"/>
      <c r="AJ987" s="26"/>
      <c r="AK987" s="26"/>
      <c r="AL987" s="35"/>
      <c r="AM987" s="35"/>
      <c r="AN987" s="35"/>
      <c r="AO987" s="35"/>
      <c r="AP987" s="35"/>
    </row>
    <row r="988" spans="1:42" x14ac:dyDescent="0.2">
      <c r="A988" s="27">
        <v>45221.977285266199</v>
      </c>
      <c r="B988" s="28" t="s">
        <v>37</v>
      </c>
      <c r="C988" s="41" t="s">
        <v>118</v>
      </c>
      <c r="D988" s="26" t="s">
        <v>36</v>
      </c>
      <c r="E988" s="26" t="s">
        <v>39</v>
      </c>
      <c r="F988" s="26" t="s">
        <v>91</v>
      </c>
      <c r="G988" s="26" t="s">
        <v>108</v>
      </c>
      <c r="H988" s="26" t="s">
        <v>4886</v>
      </c>
      <c r="I988" s="17" t="str">
        <f ca="1">IFERROR(__xludf.DUMMYFUNCTION("""COMPUTED_VALUE""")," ")</f>
        <v xml:space="preserve"> </v>
      </c>
      <c r="J988" s="29" t="s">
        <v>2451</v>
      </c>
      <c r="K988" s="26" t="s">
        <v>4887</v>
      </c>
      <c r="L988" s="30">
        <v>817002676</v>
      </c>
      <c r="M988" s="26" t="s">
        <v>112</v>
      </c>
      <c r="N988" s="26" t="s">
        <v>3330</v>
      </c>
      <c r="O988" s="26" t="s">
        <v>2453</v>
      </c>
      <c r="P988" s="26" t="s">
        <v>4888</v>
      </c>
      <c r="Q988" s="20">
        <v>5736</v>
      </c>
      <c r="R988" s="26" t="s">
        <v>36</v>
      </c>
      <c r="S988" s="31">
        <v>4000</v>
      </c>
      <c r="T988" s="32">
        <v>45137</v>
      </c>
      <c r="U988" s="31">
        <v>1736</v>
      </c>
      <c r="V988" s="32">
        <v>45184</v>
      </c>
      <c r="W988" s="26"/>
      <c r="X988" s="26"/>
      <c r="Y988" s="22">
        <v>0</v>
      </c>
      <c r="Z988" s="26" t="s">
        <v>118</v>
      </c>
      <c r="AA988" s="19" t="s">
        <v>4541</v>
      </c>
      <c r="AB988" s="26" t="s">
        <v>128</v>
      </c>
      <c r="AC988" s="26" t="s">
        <v>53</v>
      </c>
      <c r="AD988" s="19" t="s">
        <v>54</v>
      </c>
      <c r="AE988" s="26" t="s">
        <v>4790</v>
      </c>
      <c r="AF988" s="17">
        <v>45222</v>
      </c>
      <c r="AG988" s="26"/>
      <c r="AH988" s="26"/>
      <c r="AI988" s="40"/>
      <c r="AJ988" s="26"/>
      <c r="AK988" s="26"/>
      <c r="AL988" s="35"/>
      <c r="AM988" s="35"/>
      <c r="AN988" s="35"/>
      <c r="AO988" s="35"/>
      <c r="AP988" s="35"/>
    </row>
    <row r="989" spans="1:42" x14ac:dyDescent="0.2">
      <c r="A989" s="27">
        <v>45222.456603657411</v>
      </c>
      <c r="B989" s="28" t="s">
        <v>37</v>
      </c>
      <c r="C989" s="41" t="s">
        <v>118</v>
      </c>
      <c r="D989" s="26" t="s">
        <v>36</v>
      </c>
      <c r="E989" s="26" t="s">
        <v>148</v>
      </c>
      <c r="F989" s="26" t="s">
        <v>3349</v>
      </c>
      <c r="G989" s="26" t="s">
        <v>41</v>
      </c>
      <c r="H989" s="26" t="s">
        <v>4133</v>
      </c>
      <c r="I989" s="17">
        <f ca="1">IFERROR(__xludf.DUMMYFUNCTION("""COMPUTED_VALUE"""),45231)</f>
        <v>45231</v>
      </c>
      <c r="J989" s="29" t="s">
        <v>4889</v>
      </c>
      <c r="K989" s="26" t="s">
        <v>4890</v>
      </c>
      <c r="L989" s="30">
        <v>397043478</v>
      </c>
      <c r="M989" s="26" t="s">
        <v>391</v>
      </c>
      <c r="N989" s="26" t="s">
        <v>2143</v>
      </c>
      <c r="O989" s="26" t="s">
        <v>2144</v>
      </c>
      <c r="P989" s="26" t="s">
        <v>4891</v>
      </c>
      <c r="Q989" s="20">
        <v>7349</v>
      </c>
      <c r="R989" s="26" t="s">
        <v>36</v>
      </c>
      <c r="S989" s="58">
        <v>8000</v>
      </c>
      <c r="T989" s="59">
        <v>44965</v>
      </c>
      <c r="U989" s="31">
        <f>5780+3000</f>
        <v>8780</v>
      </c>
      <c r="V989" s="26" t="s">
        <v>4892</v>
      </c>
      <c r="W989" s="33" t="s">
        <v>4893</v>
      </c>
      <c r="X989" s="26"/>
      <c r="Y989" s="22">
        <v>-9431</v>
      </c>
      <c r="Z989" s="26" t="s">
        <v>118</v>
      </c>
      <c r="AA989" s="19" t="s">
        <v>4541</v>
      </c>
      <c r="AB989" s="26" t="s">
        <v>104</v>
      </c>
      <c r="AC989" s="26" t="s">
        <v>53</v>
      </c>
      <c r="AD989" s="19" t="s">
        <v>138</v>
      </c>
      <c r="AE989" s="26">
        <v>280</v>
      </c>
      <c r="AF989" s="17">
        <v>45231</v>
      </c>
      <c r="AG989" s="26" t="s">
        <v>1631</v>
      </c>
      <c r="AH989" s="26"/>
      <c r="AI989" s="40"/>
      <c r="AJ989" s="26"/>
      <c r="AK989" s="26"/>
      <c r="AL989" s="35"/>
      <c r="AM989" s="35"/>
      <c r="AN989" s="35"/>
      <c r="AO989" s="35"/>
      <c r="AP989" s="35"/>
    </row>
    <row r="990" spans="1:42" x14ac:dyDescent="0.2">
      <c r="A990" s="27">
        <v>45222.878034803245</v>
      </c>
      <c r="B990" s="28" t="s">
        <v>37</v>
      </c>
      <c r="C990" s="41" t="s">
        <v>118</v>
      </c>
      <c r="D990" s="26" t="s">
        <v>36</v>
      </c>
      <c r="E990" s="26" t="s">
        <v>139</v>
      </c>
      <c r="F990" s="26" t="s">
        <v>91</v>
      </c>
      <c r="G990" s="26" t="s">
        <v>108</v>
      </c>
      <c r="H990" s="26" t="s">
        <v>3285</v>
      </c>
      <c r="I990" s="17">
        <f ca="1">IFERROR(__xludf.DUMMYFUNCTION("""COMPUTED_VALUE"""),45229)</f>
        <v>45229</v>
      </c>
      <c r="J990" s="29" t="s">
        <v>2527</v>
      </c>
      <c r="K990" s="26" t="s">
        <v>2528</v>
      </c>
      <c r="L990" s="30">
        <v>375495946</v>
      </c>
      <c r="M990" s="26" t="s">
        <v>80</v>
      </c>
      <c r="N990" s="26" t="s">
        <v>299</v>
      </c>
      <c r="O990" s="26" t="s">
        <v>2529</v>
      </c>
      <c r="P990" s="26" t="s">
        <v>4894</v>
      </c>
      <c r="Q990" s="20">
        <v>15936</v>
      </c>
      <c r="R990" s="26" t="s">
        <v>36</v>
      </c>
      <c r="S990" s="31">
        <v>2000</v>
      </c>
      <c r="T990" s="32">
        <v>45160</v>
      </c>
      <c r="U990" s="31">
        <v>13936</v>
      </c>
      <c r="V990" s="32">
        <v>45190</v>
      </c>
      <c r="W990" s="33" t="s">
        <v>2531</v>
      </c>
      <c r="X990" s="26"/>
      <c r="Y990" s="22">
        <v>0</v>
      </c>
      <c r="Z990" s="26" t="s">
        <v>118</v>
      </c>
      <c r="AA990" s="19" t="s">
        <v>4541</v>
      </c>
      <c r="AB990" s="26" t="s">
        <v>154</v>
      </c>
      <c r="AC990" s="26" t="s">
        <v>53</v>
      </c>
      <c r="AD990" s="19" t="s">
        <v>138</v>
      </c>
      <c r="AE990" s="26" t="s">
        <v>4386</v>
      </c>
      <c r="AF990" s="17">
        <v>45229</v>
      </c>
      <c r="AG990" s="26"/>
      <c r="AH990" s="26"/>
      <c r="AI990" s="40"/>
      <c r="AJ990" s="26"/>
      <c r="AK990" s="26"/>
      <c r="AL990" s="35"/>
      <c r="AM990" s="35"/>
      <c r="AN990" s="35"/>
      <c r="AO990" s="35"/>
      <c r="AP990" s="35"/>
    </row>
    <row r="991" spans="1:42" x14ac:dyDescent="0.2">
      <c r="A991" s="27">
        <v>45222.88099719907</v>
      </c>
      <c r="B991" s="28" t="s">
        <v>37</v>
      </c>
      <c r="C991" s="41" t="s">
        <v>118</v>
      </c>
      <c r="D991" s="26" t="s">
        <v>36</v>
      </c>
      <c r="E991" s="26" t="s">
        <v>139</v>
      </c>
      <c r="F991" s="26" t="s">
        <v>91</v>
      </c>
      <c r="G991" s="26" t="s">
        <v>108</v>
      </c>
      <c r="H991" s="26" t="s">
        <v>3285</v>
      </c>
      <c r="I991" s="17">
        <f ca="1">IFERROR(__xludf.DUMMYFUNCTION("""COMPUTED_VALUE"""),45229)</f>
        <v>45229</v>
      </c>
      <c r="J991" s="29" t="s">
        <v>2522</v>
      </c>
      <c r="K991" s="26" t="s">
        <v>4895</v>
      </c>
      <c r="L991" s="30">
        <v>904372750</v>
      </c>
      <c r="M991" s="26" t="s">
        <v>80</v>
      </c>
      <c r="N991" s="26" t="s">
        <v>299</v>
      </c>
      <c r="O991" s="26" t="s">
        <v>2524</v>
      </c>
      <c r="P991" s="26" t="s">
        <v>4896</v>
      </c>
      <c r="Q991" s="20">
        <v>15936</v>
      </c>
      <c r="R991" s="26" t="s">
        <v>36</v>
      </c>
      <c r="S991" s="31">
        <v>2000</v>
      </c>
      <c r="T991" s="32">
        <v>45160</v>
      </c>
      <c r="U991" s="31">
        <v>13936</v>
      </c>
      <c r="V991" s="32">
        <v>45190</v>
      </c>
      <c r="W991" s="33" t="s">
        <v>2526</v>
      </c>
      <c r="X991" s="26"/>
      <c r="Y991" s="22">
        <v>0</v>
      </c>
      <c r="Z991" s="26" t="s">
        <v>118</v>
      </c>
      <c r="AA991" s="19" t="s">
        <v>4541</v>
      </c>
      <c r="AB991" s="26" t="s">
        <v>154</v>
      </c>
      <c r="AC991" s="26" t="s">
        <v>53</v>
      </c>
      <c r="AD991" s="19" t="s">
        <v>138</v>
      </c>
      <c r="AE991" s="26" t="s">
        <v>2733</v>
      </c>
      <c r="AF991" s="17">
        <v>45229</v>
      </c>
      <c r="AG991" s="26"/>
      <c r="AH991" s="26"/>
      <c r="AI991" s="40"/>
      <c r="AJ991" s="26"/>
      <c r="AK991" s="26"/>
      <c r="AL991" s="35"/>
      <c r="AM991" s="35"/>
      <c r="AN991" s="35"/>
      <c r="AO991" s="35"/>
      <c r="AP991" s="35"/>
    </row>
    <row r="992" spans="1:42" x14ac:dyDescent="0.2">
      <c r="A992" s="27">
        <v>45222.973927465282</v>
      </c>
      <c r="B992" s="28" t="s">
        <v>37</v>
      </c>
      <c r="C992" s="41" t="s">
        <v>118</v>
      </c>
      <c r="D992" s="26" t="s">
        <v>36</v>
      </c>
      <c r="E992" s="26" t="s">
        <v>39</v>
      </c>
      <c r="F992" s="26" t="s">
        <v>91</v>
      </c>
      <c r="G992" s="26" t="s">
        <v>108</v>
      </c>
      <c r="H992" s="26" t="s">
        <v>1853</v>
      </c>
      <c r="I992" s="17">
        <f ca="1">IFERROR(__xludf.DUMMYFUNCTION("""COMPUTED_VALUE"""),45229)</f>
        <v>45229</v>
      </c>
      <c r="J992" s="29" t="s">
        <v>724</v>
      </c>
      <c r="K992" s="26" t="s">
        <v>725</v>
      </c>
      <c r="L992" s="30">
        <v>395598817</v>
      </c>
      <c r="M992" s="26" t="s">
        <v>59</v>
      </c>
      <c r="N992" s="26" t="s">
        <v>68</v>
      </c>
      <c r="O992" s="26" t="s">
        <v>726</v>
      </c>
      <c r="P992" s="26" t="s">
        <v>727</v>
      </c>
      <c r="Q992" s="20">
        <v>5736</v>
      </c>
      <c r="R992" s="26" t="s">
        <v>36</v>
      </c>
      <c r="S992" s="31">
        <v>5736</v>
      </c>
      <c r="T992" s="32">
        <v>45132</v>
      </c>
      <c r="U992" s="31"/>
      <c r="V992" s="26"/>
      <c r="W992" s="26"/>
      <c r="X992" s="26"/>
      <c r="Y992" s="22">
        <v>0</v>
      </c>
      <c r="Z992" s="26" t="s">
        <v>118</v>
      </c>
      <c r="AA992" s="19" t="s">
        <v>4541</v>
      </c>
      <c r="AB992" s="26" t="s">
        <v>154</v>
      </c>
      <c r="AC992" s="26" t="s">
        <v>53</v>
      </c>
      <c r="AD992" s="19" t="s">
        <v>138</v>
      </c>
      <c r="AE992" s="26" t="s">
        <v>2888</v>
      </c>
      <c r="AF992" s="17">
        <v>45229</v>
      </c>
      <c r="AG992" s="26" t="s">
        <v>1631</v>
      </c>
      <c r="AH992" s="26"/>
      <c r="AI992" s="40"/>
      <c r="AJ992" s="26"/>
      <c r="AK992" s="26"/>
      <c r="AL992" s="35"/>
      <c r="AM992" s="35"/>
      <c r="AN992" s="35"/>
      <c r="AO992" s="35"/>
      <c r="AP992" s="35"/>
    </row>
    <row r="993" spans="1:42" x14ac:dyDescent="0.2">
      <c r="A993" s="27">
        <v>45222.981234444444</v>
      </c>
      <c r="B993" s="28" t="s">
        <v>37</v>
      </c>
      <c r="C993" s="41" t="s">
        <v>118</v>
      </c>
      <c r="D993" s="26" t="s">
        <v>36</v>
      </c>
      <c r="E993" s="26" t="s">
        <v>39</v>
      </c>
      <c r="F993" s="26" t="s">
        <v>91</v>
      </c>
      <c r="G993" s="26" t="s">
        <v>108</v>
      </c>
      <c r="H993" s="26" t="s">
        <v>1853</v>
      </c>
      <c r="I993" s="17">
        <f ca="1">IFERROR(__xludf.DUMMYFUNCTION("""COMPUTED_VALUE"""),45229)</f>
        <v>45229</v>
      </c>
      <c r="J993" s="29" t="s">
        <v>729</v>
      </c>
      <c r="K993" s="26" t="s">
        <v>730</v>
      </c>
      <c r="L993" s="30">
        <v>387537249</v>
      </c>
      <c r="M993" s="26" t="s">
        <v>112</v>
      </c>
      <c r="N993" s="26" t="s">
        <v>3330</v>
      </c>
      <c r="O993" s="26" t="s">
        <v>731</v>
      </c>
      <c r="P993" s="26" t="s">
        <v>4897</v>
      </c>
      <c r="Q993" s="20">
        <v>5736</v>
      </c>
      <c r="R993" s="26" t="s">
        <v>36</v>
      </c>
      <c r="S993" s="31">
        <v>5636</v>
      </c>
      <c r="T993" s="32">
        <v>45132</v>
      </c>
      <c r="U993" s="31"/>
      <c r="V993" s="26"/>
      <c r="W993" s="26"/>
      <c r="X993" s="26"/>
      <c r="Y993" s="22">
        <v>100</v>
      </c>
      <c r="Z993" s="26" t="s">
        <v>118</v>
      </c>
      <c r="AA993" s="19" t="s">
        <v>4541</v>
      </c>
      <c r="AB993" s="26" t="s">
        <v>137</v>
      </c>
      <c r="AC993" s="26" t="s">
        <v>53</v>
      </c>
      <c r="AD993" s="19" t="s">
        <v>138</v>
      </c>
      <c r="AE993" s="26" t="s">
        <v>4898</v>
      </c>
      <c r="AF993" s="17">
        <v>45229</v>
      </c>
      <c r="AG993" s="26" t="s">
        <v>1631</v>
      </c>
      <c r="AH993" s="26"/>
      <c r="AI993" s="40"/>
      <c r="AJ993" s="26"/>
      <c r="AK993" s="26"/>
      <c r="AL993" s="35"/>
      <c r="AM993" s="35"/>
      <c r="AN993" s="35"/>
      <c r="AO993" s="35"/>
      <c r="AP993" s="35"/>
    </row>
    <row r="994" spans="1:42" x14ac:dyDescent="0.2">
      <c r="A994" s="27">
        <v>45224.46685863426</v>
      </c>
      <c r="B994" s="28" t="s">
        <v>37</v>
      </c>
      <c r="C994" s="41" t="s">
        <v>118</v>
      </c>
      <c r="D994" s="26" t="s">
        <v>36</v>
      </c>
      <c r="E994" s="26" t="s">
        <v>119</v>
      </c>
      <c r="F994" s="26" t="s">
        <v>723</v>
      </c>
      <c r="G994" s="26" t="s">
        <v>221</v>
      </c>
      <c r="H994" s="26" t="s">
        <v>2121</v>
      </c>
      <c r="I994" s="17">
        <f ca="1">IFERROR(__xludf.DUMMYFUNCTION("""COMPUTED_VALUE"""),45230)</f>
        <v>45230</v>
      </c>
      <c r="J994" s="29" t="s">
        <v>4899</v>
      </c>
      <c r="K994" s="26" t="s">
        <v>4900</v>
      </c>
      <c r="L994" s="30">
        <v>869510201</v>
      </c>
      <c r="M994" s="26" t="s">
        <v>112</v>
      </c>
      <c r="N994" s="26" t="s">
        <v>379</v>
      </c>
      <c r="O994" s="26" t="s">
        <v>4901</v>
      </c>
      <c r="P994" s="26" t="s">
        <v>4902</v>
      </c>
      <c r="Q994" s="20">
        <v>13968</v>
      </c>
      <c r="R994" s="26" t="s">
        <v>36</v>
      </c>
      <c r="S994" s="31">
        <v>4000</v>
      </c>
      <c r="T994" s="32">
        <v>45116</v>
      </c>
      <c r="U994" s="31">
        <v>9968</v>
      </c>
      <c r="V994" s="32" t="s">
        <v>929</v>
      </c>
      <c r="W994" s="33" t="s">
        <v>930</v>
      </c>
      <c r="X994" s="26"/>
      <c r="Y994" s="22">
        <v>0</v>
      </c>
      <c r="Z994" s="26" t="s">
        <v>118</v>
      </c>
      <c r="AA994" s="19" t="s">
        <v>4541</v>
      </c>
      <c r="AB994" s="26" t="s">
        <v>104</v>
      </c>
      <c r="AC994" s="26" t="s">
        <v>53</v>
      </c>
      <c r="AD994" s="19" t="s">
        <v>54</v>
      </c>
      <c r="AE994" s="26">
        <v>750</v>
      </c>
      <c r="AF994" s="17">
        <v>45224</v>
      </c>
      <c r="AG994" s="26"/>
      <c r="AH994" s="26"/>
      <c r="AI994" s="40"/>
      <c r="AJ994" s="26"/>
      <c r="AK994" s="26"/>
      <c r="AL994" s="35"/>
      <c r="AM994" s="35"/>
      <c r="AN994" s="35"/>
      <c r="AO994" s="35"/>
      <c r="AP994" s="35"/>
    </row>
    <row r="995" spans="1:42" x14ac:dyDescent="0.2">
      <c r="A995" s="27">
        <v>45224.468930995368</v>
      </c>
      <c r="B995" s="28" t="s">
        <v>37</v>
      </c>
      <c r="C995" s="41" t="s">
        <v>118</v>
      </c>
      <c r="D995" s="26" t="s">
        <v>36</v>
      </c>
      <c r="E995" s="26" t="s">
        <v>119</v>
      </c>
      <c r="F995" s="26" t="s">
        <v>120</v>
      </c>
      <c r="G995" s="26" t="s">
        <v>221</v>
      </c>
      <c r="H995" s="26" t="s">
        <v>2121</v>
      </c>
      <c r="I995" s="17">
        <f ca="1">IFERROR(__xludf.DUMMYFUNCTION("""COMPUTED_VALUE"""),45230)</f>
        <v>45230</v>
      </c>
      <c r="J995" s="29" t="s">
        <v>4903</v>
      </c>
      <c r="K995" s="26" t="s">
        <v>279</v>
      </c>
      <c r="L995" s="30">
        <v>868157092</v>
      </c>
      <c r="M995" s="26" t="s">
        <v>112</v>
      </c>
      <c r="N995" s="26" t="s">
        <v>379</v>
      </c>
      <c r="O995" s="26" t="s">
        <v>280</v>
      </c>
      <c r="P995" s="26" t="s">
        <v>4904</v>
      </c>
      <c r="Q995" s="20">
        <v>13968</v>
      </c>
      <c r="R995" s="26" t="s">
        <v>36</v>
      </c>
      <c r="S995" s="31">
        <v>13968</v>
      </c>
      <c r="T995" s="32">
        <v>45116</v>
      </c>
      <c r="U995" s="31"/>
      <c r="V995" s="26"/>
      <c r="W995" s="33" t="s">
        <v>282</v>
      </c>
      <c r="X995" s="26"/>
      <c r="Y995" s="22">
        <v>0</v>
      </c>
      <c r="Z995" s="26" t="s">
        <v>118</v>
      </c>
      <c r="AA995" s="19" t="s">
        <v>4541</v>
      </c>
      <c r="AB995" s="26" t="s">
        <v>104</v>
      </c>
      <c r="AC995" s="26" t="s">
        <v>53</v>
      </c>
      <c r="AD995" s="19" t="s">
        <v>54</v>
      </c>
      <c r="AE995" s="26">
        <v>615</v>
      </c>
      <c r="AF995" s="17">
        <v>45224</v>
      </c>
      <c r="AG995" s="26"/>
      <c r="AH995" s="26"/>
      <c r="AI995" s="40"/>
      <c r="AJ995" s="26"/>
      <c r="AK995" s="26"/>
      <c r="AL995" s="35"/>
      <c r="AM995" s="35"/>
      <c r="AN995" s="35"/>
      <c r="AO995" s="35"/>
      <c r="AP995" s="35"/>
    </row>
    <row r="996" spans="1:42" x14ac:dyDescent="0.2">
      <c r="A996" s="27">
        <v>45225.683786041671</v>
      </c>
      <c r="B996" s="28" t="s">
        <v>37</v>
      </c>
      <c r="C996" s="41" t="s">
        <v>118</v>
      </c>
      <c r="D996" s="26" t="s">
        <v>36</v>
      </c>
      <c r="E996" s="26" t="s">
        <v>106</v>
      </c>
      <c r="F996" s="26" t="s">
        <v>4905</v>
      </c>
      <c r="G996" s="26" t="s">
        <v>108</v>
      </c>
      <c r="H996" s="26" t="s">
        <v>3314</v>
      </c>
      <c r="I996" s="17">
        <f ca="1">IFERROR(__xludf.DUMMYFUNCTION("""COMPUTED_VALUE"""),45236)</f>
        <v>45236</v>
      </c>
      <c r="J996" s="29" t="s">
        <v>4906</v>
      </c>
      <c r="K996" s="26" t="s">
        <v>1515</v>
      </c>
      <c r="L996" s="30">
        <v>388629620</v>
      </c>
      <c r="M996" s="26" t="s">
        <v>94</v>
      </c>
      <c r="N996" s="26" t="s">
        <v>1358</v>
      </c>
      <c r="O996" s="26" t="s">
        <v>91</v>
      </c>
      <c r="P996" s="26" t="s">
        <v>4907</v>
      </c>
      <c r="Q996" s="20">
        <v>3768</v>
      </c>
      <c r="R996" s="26" t="s">
        <v>36</v>
      </c>
      <c r="S996" s="31">
        <v>10354</v>
      </c>
      <c r="T996" s="32">
        <v>44962</v>
      </c>
      <c r="U996" s="31"/>
      <c r="V996" s="26"/>
      <c r="W996" s="33" t="s">
        <v>4908</v>
      </c>
      <c r="X996" s="26"/>
      <c r="Y996" s="22">
        <v>-6586</v>
      </c>
      <c r="Z996" s="26" t="s">
        <v>118</v>
      </c>
      <c r="AA996" s="19" t="s">
        <v>4541</v>
      </c>
      <c r="AB996" s="26" t="s">
        <v>137</v>
      </c>
      <c r="AC996" s="26" t="s">
        <v>53</v>
      </c>
      <c r="AD996" s="19" t="s">
        <v>54</v>
      </c>
      <c r="AE996" s="26">
        <v>410</v>
      </c>
      <c r="AF996" s="43">
        <v>45230</v>
      </c>
      <c r="AG996" s="26"/>
      <c r="AH996" s="26"/>
      <c r="AI996" s="40"/>
      <c r="AJ996" s="26"/>
      <c r="AK996" s="26"/>
      <c r="AL996" s="35"/>
      <c r="AM996" s="35"/>
      <c r="AN996" s="35"/>
      <c r="AO996" s="35"/>
      <c r="AP996" s="35"/>
    </row>
    <row r="997" spans="1:42" x14ac:dyDescent="0.2">
      <c r="A997" s="27">
        <v>45225.836166793983</v>
      </c>
      <c r="B997" s="28" t="s">
        <v>37</v>
      </c>
      <c r="C997" s="41" t="s">
        <v>118</v>
      </c>
      <c r="D997" s="26" t="s">
        <v>36</v>
      </c>
      <c r="E997" s="26" t="s">
        <v>56</v>
      </c>
      <c r="F997" s="26" t="s">
        <v>91</v>
      </c>
      <c r="G997" s="26" t="s">
        <v>108</v>
      </c>
      <c r="H997" s="26" t="s">
        <v>3314</v>
      </c>
      <c r="I997" s="17">
        <f ca="1">IFERROR(__xludf.DUMMYFUNCTION("""COMPUTED_VALUE"""),45236)</f>
        <v>45236</v>
      </c>
      <c r="J997" s="29" t="s">
        <v>2532</v>
      </c>
      <c r="K997" s="26" t="s">
        <v>2533</v>
      </c>
      <c r="L997" s="30">
        <v>862077155</v>
      </c>
      <c r="M997" s="26" t="s">
        <v>112</v>
      </c>
      <c r="N997" s="26" t="s">
        <v>3330</v>
      </c>
      <c r="O997" s="26" t="s">
        <v>2534</v>
      </c>
      <c r="P997" s="26" t="s">
        <v>4909</v>
      </c>
      <c r="Q997" s="20">
        <v>9317</v>
      </c>
      <c r="R997" s="26" t="s">
        <v>36</v>
      </c>
      <c r="S997" s="31">
        <v>1968</v>
      </c>
      <c r="T997" s="32">
        <v>45161</v>
      </c>
      <c r="U997" s="31">
        <v>7349</v>
      </c>
      <c r="V997" s="32">
        <v>45192</v>
      </c>
      <c r="W997" s="33" t="s">
        <v>2536</v>
      </c>
      <c r="X997" s="26"/>
      <c r="Y997" s="22">
        <v>0</v>
      </c>
      <c r="Z997" s="26" t="s">
        <v>118</v>
      </c>
      <c r="AA997" s="19" t="s">
        <v>4541</v>
      </c>
      <c r="AB997" s="26" t="s">
        <v>154</v>
      </c>
      <c r="AC997" s="26" t="s">
        <v>53</v>
      </c>
      <c r="AD997" s="19" t="s">
        <v>54</v>
      </c>
      <c r="AE997" s="26" t="s">
        <v>4910</v>
      </c>
      <c r="AF997" s="43">
        <v>45230</v>
      </c>
      <c r="AG997" s="26"/>
      <c r="AH997" s="26"/>
      <c r="AI997" s="40"/>
      <c r="AJ997" s="26"/>
      <c r="AK997" s="26"/>
      <c r="AL997" s="35"/>
      <c r="AM997" s="35"/>
      <c r="AN997" s="35"/>
      <c r="AO997" s="35"/>
      <c r="AP997" s="35"/>
    </row>
    <row r="998" spans="1:42" x14ac:dyDescent="0.2">
      <c r="A998" s="27">
        <v>45227.974104224537</v>
      </c>
      <c r="B998" s="28" t="s">
        <v>37</v>
      </c>
      <c r="C998" s="41" t="s">
        <v>118</v>
      </c>
      <c r="D998" s="26" t="s">
        <v>36</v>
      </c>
      <c r="E998" s="26" t="s">
        <v>39</v>
      </c>
      <c r="F998" s="26" t="s">
        <v>4911</v>
      </c>
      <c r="G998" s="26" t="s">
        <v>108</v>
      </c>
      <c r="H998" s="26" t="s">
        <v>2128</v>
      </c>
      <c r="I998" s="17">
        <f ca="1">IFERROR(__xludf.DUMMYFUNCTION("""COMPUTED_VALUE"""),45237)</f>
        <v>45237</v>
      </c>
      <c r="J998" s="29" t="s">
        <v>569</v>
      </c>
      <c r="K998" s="26" t="s">
        <v>4912</v>
      </c>
      <c r="L998" s="30">
        <v>363237626</v>
      </c>
      <c r="M998" s="26" t="s">
        <v>112</v>
      </c>
      <c r="N998" s="26" t="s">
        <v>4913</v>
      </c>
      <c r="O998" s="26" t="s">
        <v>4914</v>
      </c>
      <c r="P998" s="42" t="s">
        <v>4915</v>
      </c>
      <c r="Q998" s="20">
        <v>5736</v>
      </c>
      <c r="R998" s="26" t="s">
        <v>36</v>
      </c>
      <c r="S998" s="31">
        <v>5736</v>
      </c>
      <c r="T998" s="32">
        <v>45128</v>
      </c>
      <c r="U998" s="31"/>
      <c r="V998" s="26"/>
      <c r="W998" s="26"/>
      <c r="X998" s="26"/>
      <c r="Y998" s="22">
        <v>0</v>
      </c>
      <c r="Z998" s="26" t="s">
        <v>118</v>
      </c>
      <c r="AA998" s="19" t="s">
        <v>4541</v>
      </c>
      <c r="AB998" s="26" t="s">
        <v>137</v>
      </c>
      <c r="AC998" s="26" t="s">
        <v>53</v>
      </c>
      <c r="AD998" s="19" t="s">
        <v>54</v>
      </c>
      <c r="AE998" s="26" t="s">
        <v>4916</v>
      </c>
      <c r="AF998" s="43">
        <v>45230</v>
      </c>
      <c r="AG998" s="26"/>
      <c r="AH998" s="26"/>
      <c r="AI998" s="40"/>
      <c r="AJ998" s="26"/>
      <c r="AK998" s="26"/>
      <c r="AL998" s="35"/>
      <c r="AM998" s="35"/>
      <c r="AN998" s="35"/>
      <c r="AO998" s="35"/>
      <c r="AP998" s="35"/>
    </row>
    <row r="999" spans="1:42" x14ac:dyDescent="0.2">
      <c r="A999" s="27">
        <v>45227.981214803236</v>
      </c>
      <c r="B999" s="28" t="s">
        <v>37</v>
      </c>
      <c r="C999" s="41" t="s">
        <v>118</v>
      </c>
      <c r="D999" s="26" t="s">
        <v>36</v>
      </c>
      <c r="E999" s="26" t="s">
        <v>119</v>
      </c>
      <c r="F999" s="26" t="s">
        <v>91</v>
      </c>
      <c r="G999" s="26" t="s">
        <v>221</v>
      </c>
      <c r="H999" s="26" t="s">
        <v>3388</v>
      </c>
      <c r="I999" s="17">
        <f ca="1">IFERROR(__xludf.DUMMYFUNCTION("""COMPUTED_VALUE"""),45242)</f>
        <v>45242</v>
      </c>
      <c r="J999" s="29" t="s">
        <v>458</v>
      </c>
      <c r="K999" s="26" t="s">
        <v>4917</v>
      </c>
      <c r="L999" s="30">
        <v>911919266</v>
      </c>
      <c r="M999" s="19" t="s">
        <v>80</v>
      </c>
      <c r="N999" s="19" t="s">
        <v>460</v>
      </c>
      <c r="O999" s="26" t="s">
        <v>91</v>
      </c>
      <c r="P999" s="42" t="s">
        <v>4918</v>
      </c>
      <c r="Q999" s="20">
        <v>13968</v>
      </c>
      <c r="R999" s="26" t="s">
        <v>36</v>
      </c>
      <c r="S999" s="31">
        <v>2000</v>
      </c>
      <c r="T999" s="32">
        <v>45122</v>
      </c>
      <c r="U999" s="31">
        <v>11968</v>
      </c>
      <c r="V999" s="32">
        <v>45135</v>
      </c>
      <c r="W999" s="33" t="s">
        <v>463</v>
      </c>
      <c r="X999" s="26">
        <v>0</v>
      </c>
      <c r="Y999" s="22">
        <v>0</v>
      </c>
      <c r="Z999" s="26" t="s">
        <v>118</v>
      </c>
      <c r="AA999" s="19" t="s">
        <v>4541</v>
      </c>
      <c r="AB999" s="26" t="s">
        <v>104</v>
      </c>
      <c r="AC999" s="26" t="s">
        <v>53</v>
      </c>
      <c r="AD999" s="19" t="s">
        <v>54</v>
      </c>
      <c r="AE999" s="26" t="s">
        <v>4919</v>
      </c>
      <c r="AF999" s="17">
        <v>45236</v>
      </c>
      <c r="AG999" s="26"/>
      <c r="AH999" s="26"/>
      <c r="AI999" s="40"/>
      <c r="AJ999" s="26"/>
      <c r="AK999" s="26"/>
      <c r="AL999" s="35"/>
      <c r="AM999" s="35"/>
      <c r="AN999" s="35"/>
      <c r="AO999" s="35"/>
      <c r="AP999" s="35"/>
    </row>
    <row r="1000" spans="1:42" x14ac:dyDescent="0.2">
      <c r="A1000" s="27">
        <v>45228.904743946754</v>
      </c>
      <c r="B1000" s="28" t="s">
        <v>37</v>
      </c>
      <c r="C1000" s="41" t="s">
        <v>118</v>
      </c>
      <c r="D1000" s="26" t="s">
        <v>36</v>
      </c>
      <c r="E1000" s="26" t="s">
        <v>139</v>
      </c>
      <c r="F1000" s="26" t="s">
        <v>91</v>
      </c>
      <c r="G1000" s="26" t="s">
        <v>108</v>
      </c>
      <c r="H1000" s="26" t="s">
        <v>2128</v>
      </c>
      <c r="I1000" s="17">
        <f ca="1">IFERROR(__xludf.DUMMYFUNCTION("""COMPUTED_VALUE"""),45237)</f>
        <v>45237</v>
      </c>
      <c r="J1000" s="29" t="s">
        <v>2475</v>
      </c>
      <c r="K1000" s="26" t="s">
        <v>4920</v>
      </c>
      <c r="L1000" s="30">
        <v>366098587</v>
      </c>
      <c r="M1000" s="26" t="s">
        <v>112</v>
      </c>
      <c r="N1000" s="26" t="s">
        <v>3330</v>
      </c>
      <c r="O1000" s="26" t="s">
        <v>2477</v>
      </c>
      <c r="P1000" s="42" t="s">
        <v>4921</v>
      </c>
      <c r="Q1000" s="20">
        <v>15936</v>
      </c>
      <c r="R1000" s="26" t="s">
        <v>36</v>
      </c>
      <c r="S1000" s="31">
        <v>2000</v>
      </c>
      <c r="T1000" s="32">
        <v>45151</v>
      </c>
      <c r="U1000" s="31">
        <v>13936</v>
      </c>
      <c r="V1000" s="32">
        <v>45176</v>
      </c>
      <c r="W1000" s="26"/>
      <c r="X1000" s="26"/>
      <c r="Y1000" s="22">
        <v>0</v>
      </c>
      <c r="Z1000" s="26" t="s">
        <v>118</v>
      </c>
      <c r="AA1000" s="19" t="s">
        <v>4541</v>
      </c>
      <c r="AB1000" s="26" t="s">
        <v>128</v>
      </c>
      <c r="AC1000" s="26" t="s">
        <v>53</v>
      </c>
      <c r="AD1000" s="19" t="s">
        <v>54</v>
      </c>
      <c r="AE1000" s="26" t="s">
        <v>4423</v>
      </c>
      <c r="AF1000" s="43">
        <v>45230</v>
      </c>
      <c r="AG1000" s="26"/>
      <c r="AH1000" s="26"/>
      <c r="AI1000" s="40"/>
      <c r="AJ1000" s="26"/>
      <c r="AK1000" s="26"/>
      <c r="AL1000" s="35"/>
      <c r="AM1000" s="35"/>
      <c r="AN1000" s="35"/>
      <c r="AO1000" s="35"/>
      <c r="AP1000" s="35"/>
    </row>
    <row r="1001" spans="1:42" x14ac:dyDescent="0.2">
      <c r="A1001" s="27">
        <v>45230.491574675922</v>
      </c>
      <c r="B1001" s="28" t="s">
        <v>37</v>
      </c>
      <c r="C1001" s="41" t="s">
        <v>118</v>
      </c>
      <c r="D1001" s="26" t="s">
        <v>36</v>
      </c>
      <c r="E1001" s="26" t="s">
        <v>139</v>
      </c>
      <c r="F1001" s="26" t="s">
        <v>91</v>
      </c>
      <c r="G1001" s="26" t="s">
        <v>108</v>
      </c>
      <c r="H1001" s="26" t="s">
        <v>4328</v>
      </c>
      <c r="I1001" s="17">
        <f ca="1">IFERROR(__xludf.DUMMYFUNCTION("""COMPUTED_VALUE"""),45236)</f>
        <v>45236</v>
      </c>
      <c r="J1001" s="29" t="s">
        <v>3501</v>
      </c>
      <c r="K1001" s="26" t="s">
        <v>3502</v>
      </c>
      <c r="L1001" s="30">
        <v>789047895</v>
      </c>
      <c r="M1001" s="26" t="s">
        <v>80</v>
      </c>
      <c r="N1001" s="26" t="s">
        <v>81</v>
      </c>
      <c r="O1001" s="26" t="s">
        <v>3503</v>
      </c>
      <c r="P1001" s="26" t="s">
        <v>4922</v>
      </c>
      <c r="Q1001" s="20">
        <v>15936</v>
      </c>
      <c r="R1001" s="26" t="s">
        <v>36</v>
      </c>
      <c r="S1001" s="31">
        <v>2000</v>
      </c>
      <c r="T1001" s="32">
        <v>45178</v>
      </c>
      <c r="U1001" s="31">
        <v>13836</v>
      </c>
      <c r="V1001" s="32">
        <v>45201</v>
      </c>
      <c r="W1001" s="33" t="s">
        <v>3504</v>
      </c>
      <c r="X1001" s="26"/>
      <c r="Y1001" s="22">
        <v>100</v>
      </c>
      <c r="Z1001" s="26" t="s">
        <v>118</v>
      </c>
      <c r="AA1001" s="19" t="s">
        <v>4541</v>
      </c>
      <c r="AB1001" s="26" t="s">
        <v>154</v>
      </c>
      <c r="AC1001" s="26" t="s">
        <v>53</v>
      </c>
      <c r="AD1001" s="19" t="s">
        <v>138</v>
      </c>
      <c r="AE1001" s="26" t="s">
        <v>1861</v>
      </c>
      <c r="AF1001" s="17">
        <v>45236</v>
      </c>
      <c r="AG1001" s="26" t="s">
        <v>1362</v>
      </c>
      <c r="AH1001" s="26"/>
      <c r="AI1001" s="40"/>
      <c r="AJ1001" s="26"/>
      <c r="AK1001" s="26"/>
      <c r="AL1001" s="35"/>
      <c r="AM1001" s="35"/>
      <c r="AN1001" s="35"/>
      <c r="AO1001" s="35"/>
      <c r="AP1001" s="35"/>
    </row>
    <row r="1002" spans="1:42" x14ac:dyDescent="0.2">
      <c r="A1002" s="27">
        <v>45230.497303530094</v>
      </c>
      <c r="B1002" s="28" t="s">
        <v>37</v>
      </c>
      <c r="C1002" s="41" t="s">
        <v>118</v>
      </c>
      <c r="D1002" s="26" t="s">
        <v>36</v>
      </c>
      <c r="E1002" s="26" t="s">
        <v>139</v>
      </c>
      <c r="F1002" s="26" t="s">
        <v>91</v>
      </c>
      <c r="G1002" s="26" t="s">
        <v>108</v>
      </c>
      <c r="H1002" s="26" t="s">
        <v>4328</v>
      </c>
      <c r="I1002" s="17">
        <f ca="1">IFERROR(__xludf.DUMMYFUNCTION("""COMPUTED_VALUE"""),45236)</f>
        <v>45236</v>
      </c>
      <c r="J1002" s="29" t="s">
        <v>3523</v>
      </c>
      <c r="K1002" s="26" t="s">
        <v>3524</v>
      </c>
      <c r="L1002" s="30">
        <v>392009475</v>
      </c>
      <c r="M1002" s="26" t="s">
        <v>910</v>
      </c>
      <c r="N1002" s="26" t="s">
        <v>3525</v>
      </c>
      <c r="O1002" s="26" t="s">
        <v>3526</v>
      </c>
      <c r="P1002" s="26" t="s">
        <v>4923</v>
      </c>
      <c r="Q1002" s="20">
        <v>15936</v>
      </c>
      <c r="R1002" s="26" t="s">
        <v>36</v>
      </c>
      <c r="S1002" s="31">
        <v>4000</v>
      </c>
      <c r="T1002" s="32">
        <v>45180</v>
      </c>
      <c r="U1002" s="31">
        <v>11936</v>
      </c>
      <c r="V1002" s="32">
        <v>45205</v>
      </c>
      <c r="W1002" s="33" t="s">
        <v>3528</v>
      </c>
      <c r="X1002" s="26"/>
      <c r="Y1002" s="22">
        <v>0</v>
      </c>
      <c r="Z1002" s="26" t="s">
        <v>118</v>
      </c>
      <c r="AA1002" s="19" t="s">
        <v>4541</v>
      </c>
      <c r="AB1002" s="26" t="s">
        <v>154</v>
      </c>
      <c r="AC1002" s="26" t="s">
        <v>53</v>
      </c>
      <c r="AD1002" s="19" t="s">
        <v>138</v>
      </c>
      <c r="AE1002" s="26" t="s">
        <v>1861</v>
      </c>
      <c r="AF1002" s="17">
        <v>45236</v>
      </c>
      <c r="AG1002" s="26" t="s">
        <v>1362</v>
      </c>
      <c r="AH1002" s="26"/>
      <c r="AI1002" s="40"/>
      <c r="AJ1002" s="26"/>
      <c r="AK1002" s="26"/>
      <c r="AL1002" s="35"/>
      <c r="AM1002" s="35"/>
      <c r="AN1002" s="35"/>
      <c r="AO1002" s="35"/>
      <c r="AP1002" s="35"/>
    </row>
    <row r="1003" spans="1:42" x14ac:dyDescent="0.2">
      <c r="A1003" s="27">
        <v>45230.500062557869</v>
      </c>
      <c r="B1003" s="28" t="s">
        <v>37</v>
      </c>
      <c r="C1003" s="41" t="s">
        <v>118</v>
      </c>
      <c r="D1003" s="26" t="s">
        <v>36</v>
      </c>
      <c r="E1003" s="26" t="s">
        <v>39</v>
      </c>
      <c r="F1003" s="26" t="s">
        <v>40</v>
      </c>
      <c r="G1003" s="26" t="s">
        <v>108</v>
      </c>
      <c r="H1003" s="26" t="s">
        <v>4328</v>
      </c>
      <c r="I1003" s="17">
        <f ca="1">IFERROR(__xludf.DUMMYFUNCTION("""COMPUTED_VALUE"""),45236)</f>
        <v>45236</v>
      </c>
      <c r="J1003" s="29" t="s">
        <v>4571</v>
      </c>
      <c r="K1003" s="26" t="s">
        <v>4924</v>
      </c>
      <c r="L1003" s="30">
        <v>337501861</v>
      </c>
      <c r="M1003" s="26" t="s">
        <v>112</v>
      </c>
      <c r="N1003" s="26" t="s">
        <v>3330</v>
      </c>
      <c r="O1003" s="26" t="s">
        <v>4573</v>
      </c>
      <c r="P1003" s="26" t="s">
        <v>4925</v>
      </c>
      <c r="Q1003" s="20">
        <v>5736</v>
      </c>
      <c r="R1003" s="26" t="s">
        <v>36</v>
      </c>
      <c r="S1003" s="31">
        <v>5736</v>
      </c>
      <c r="T1003" s="32">
        <v>45138</v>
      </c>
      <c r="U1003" s="31"/>
      <c r="V1003" s="26"/>
      <c r="W1003" s="26"/>
      <c r="X1003" s="26"/>
      <c r="Y1003" s="22">
        <v>0</v>
      </c>
      <c r="Z1003" s="26" t="s">
        <v>118</v>
      </c>
      <c r="AA1003" s="19" t="s">
        <v>4541</v>
      </c>
      <c r="AB1003" s="26" t="s">
        <v>137</v>
      </c>
      <c r="AC1003" s="26" t="s">
        <v>53</v>
      </c>
      <c r="AD1003" s="19" t="s">
        <v>138</v>
      </c>
      <c r="AE1003" s="26" t="s">
        <v>1861</v>
      </c>
      <c r="AF1003" s="17">
        <v>45236</v>
      </c>
      <c r="AG1003" s="26" t="s">
        <v>1362</v>
      </c>
      <c r="AH1003" s="26"/>
      <c r="AI1003" s="40"/>
      <c r="AJ1003" s="26"/>
      <c r="AK1003" s="26"/>
      <c r="AL1003" s="35"/>
      <c r="AM1003" s="35"/>
      <c r="AN1003" s="35"/>
      <c r="AO1003" s="35"/>
      <c r="AP1003" s="35"/>
    </row>
    <row r="1004" spans="1:42" x14ac:dyDescent="0.2">
      <c r="A1004" s="27">
        <v>45230.502773831016</v>
      </c>
      <c r="B1004" s="28" t="s">
        <v>37</v>
      </c>
      <c r="C1004" s="41" t="s">
        <v>118</v>
      </c>
      <c r="D1004" s="26" t="s">
        <v>36</v>
      </c>
      <c r="E1004" s="26" t="s">
        <v>56</v>
      </c>
      <c r="F1004" s="26" t="s">
        <v>91</v>
      </c>
      <c r="G1004" s="26" t="s">
        <v>108</v>
      </c>
      <c r="H1004" s="26" t="s">
        <v>4328</v>
      </c>
      <c r="I1004" s="17">
        <f ca="1">IFERROR(__xludf.DUMMYFUNCTION("""COMPUTED_VALUE"""),45236)</f>
        <v>45236</v>
      </c>
      <c r="J1004" s="29" t="s">
        <v>2740</v>
      </c>
      <c r="K1004" s="26" t="s">
        <v>2741</v>
      </c>
      <c r="L1004" s="30">
        <v>583291573</v>
      </c>
      <c r="M1004" s="26" t="s">
        <v>112</v>
      </c>
      <c r="N1004" s="26" t="s">
        <v>3330</v>
      </c>
      <c r="O1004" s="26" t="s">
        <v>2742</v>
      </c>
      <c r="P1004" s="26" t="s">
        <v>4926</v>
      </c>
      <c r="Q1004" s="20">
        <v>9317</v>
      </c>
      <c r="R1004" s="26" t="s">
        <v>36</v>
      </c>
      <c r="S1004" s="31">
        <v>9317</v>
      </c>
      <c r="T1004" s="32">
        <v>45177</v>
      </c>
      <c r="U1004" s="31"/>
      <c r="V1004" s="26"/>
      <c r="W1004" s="33" t="s">
        <v>2744</v>
      </c>
      <c r="X1004" s="26"/>
      <c r="Y1004" s="22">
        <v>0</v>
      </c>
      <c r="Z1004" s="26" t="s">
        <v>118</v>
      </c>
      <c r="AA1004" s="19" t="s">
        <v>4541</v>
      </c>
      <c r="AB1004" s="26" t="s">
        <v>154</v>
      </c>
      <c r="AC1004" s="26" t="s">
        <v>53</v>
      </c>
      <c r="AD1004" s="19" t="s">
        <v>138</v>
      </c>
      <c r="AE1004" s="26" t="s">
        <v>1861</v>
      </c>
      <c r="AF1004" s="17">
        <v>45236</v>
      </c>
      <c r="AG1004" s="26" t="s">
        <v>1362</v>
      </c>
      <c r="AH1004" s="26"/>
      <c r="AI1004" s="40"/>
      <c r="AJ1004" s="26"/>
      <c r="AK1004" s="26"/>
      <c r="AL1004" s="35"/>
      <c r="AM1004" s="35"/>
      <c r="AN1004" s="35"/>
      <c r="AO1004" s="35"/>
      <c r="AP1004" s="35"/>
    </row>
    <row r="1005" spans="1:42" x14ac:dyDescent="0.2">
      <c r="A1005" s="27">
        <v>45230.507958125003</v>
      </c>
      <c r="B1005" s="28" t="s">
        <v>37</v>
      </c>
      <c r="C1005" s="41" t="s">
        <v>118</v>
      </c>
      <c r="D1005" s="26" t="s">
        <v>36</v>
      </c>
      <c r="E1005" s="26" t="s">
        <v>139</v>
      </c>
      <c r="F1005" s="26" t="s">
        <v>91</v>
      </c>
      <c r="G1005" s="26" t="s">
        <v>108</v>
      </c>
      <c r="H1005" s="26" t="s">
        <v>4328</v>
      </c>
      <c r="I1005" s="17">
        <f ca="1">IFERROR(__xludf.DUMMYFUNCTION("""COMPUTED_VALUE"""),45236)</f>
        <v>45236</v>
      </c>
      <c r="J1005" s="29" t="s">
        <v>2706</v>
      </c>
      <c r="K1005" s="26" t="s">
        <v>2707</v>
      </c>
      <c r="L1005" s="30">
        <v>877590645</v>
      </c>
      <c r="M1005" s="26" t="s">
        <v>80</v>
      </c>
      <c r="N1005" s="26" t="s">
        <v>299</v>
      </c>
      <c r="O1005" s="26" t="s">
        <v>125</v>
      </c>
      <c r="P1005" s="26" t="s">
        <v>4927</v>
      </c>
      <c r="Q1005" s="20">
        <v>15936</v>
      </c>
      <c r="R1005" s="26" t="s">
        <v>36</v>
      </c>
      <c r="S1005" s="31">
        <v>4000</v>
      </c>
      <c r="T1005" s="32">
        <v>45177</v>
      </c>
      <c r="U1005" s="31">
        <v>11936</v>
      </c>
      <c r="V1005" s="32">
        <v>45193</v>
      </c>
      <c r="W1005" s="33" t="s">
        <v>2708</v>
      </c>
      <c r="X1005" s="26"/>
      <c r="Y1005" s="22">
        <v>0</v>
      </c>
      <c r="Z1005" s="26" t="s">
        <v>118</v>
      </c>
      <c r="AA1005" s="19" t="s">
        <v>4541</v>
      </c>
      <c r="AB1005" s="26" t="s">
        <v>128</v>
      </c>
      <c r="AC1005" s="26" t="s">
        <v>53</v>
      </c>
      <c r="AD1005" s="19" t="s">
        <v>138</v>
      </c>
      <c r="AE1005" s="26" t="s">
        <v>1861</v>
      </c>
      <c r="AF1005" s="17">
        <v>45236</v>
      </c>
      <c r="AG1005" s="26" t="s">
        <v>1362</v>
      </c>
      <c r="AH1005" s="26"/>
      <c r="AI1005" s="40"/>
      <c r="AJ1005" s="26"/>
      <c r="AK1005" s="26"/>
      <c r="AL1005" s="35"/>
      <c r="AM1005" s="35"/>
      <c r="AN1005" s="35"/>
      <c r="AO1005" s="35"/>
      <c r="AP1005" s="35"/>
    </row>
    <row r="1006" spans="1:42" x14ac:dyDescent="0.2">
      <c r="A1006" s="27">
        <v>45230.511643310187</v>
      </c>
      <c r="B1006" s="28" t="s">
        <v>37</v>
      </c>
      <c r="C1006" s="41" t="s">
        <v>118</v>
      </c>
      <c r="D1006" s="26" t="s">
        <v>36</v>
      </c>
      <c r="E1006" s="26" t="s">
        <v>139</v>
      </c>
      <c r="F1006" s="26" t="s">
        <v>91</v>
      </c>
      <c r="G1006" s="26" t="s">
        <v>108</v>
      </c>
      <c r="H1006" s="26" t="s">
        <v>4328</v>
      </c>
      <c r="I1006" s="17">
        <f ca="1">IFERROR(__xludf.DUMMYFUNCTION("""COMPUTED_VALUE"""),45236)</f>
        <v>45236</v>
      </c>
      <c r="J1006" s="29" t="s">
        <v>2638</v>
      </c>
      <c r="K1006" s="26" t="s">
        <v>4928</v>
      </c>
      <c r="L1006" s="30">
        <v>382622857</v>
      </c>
      <c r="M1006" s="26" t="s">
        <v>80</v>
      </c>
      <c r="N1006" s="26" t="s">
        <v>299</v>
      </c>
      <c r="O1006" s="26" t="s">
        <v>2640</v>
      </c>
      <c r="P1006" s="26" t="s">
        <v>4929</v>
      </c>
      <c r="Q1006" s="20">
        <v>15936</v>
      </c>
      <c r="R1006" s="26" t="s">
        <v>36</v>
      </c>
      <c r="S1006" s="31">
        <v>15936</v>
      </c>
      <c r="T1006" s="32">
        <v>45174</v>
      </c>
      <c r="U1006" s="31"/>
      <c r="V1006" s="26"/>
      <c r="W1006" s="33" t="s">
        <v>2642</v>
      </c>
      <c r="X1006" s="26"/>
      <c r="Y1006" s="22">
        <v>0</v>
      </c>
      <c r="Z1006" s="26" t="s">
        <v>118</v>
      </c>
      <c r="AA1006" s="19" t="s">
        <v>4541</v>
      </c>
      <c r="AB1006" s="26" t="s">
        <v>137</v>
      </c>
      <c r="AC1006" s="26" t="s">
        <v>53</v>
      </c>
      <c r="AD1006" s="19" t="s">
        <v>138</v>
      </c>
      <c r="AE1006" s="26" t="s">
        <v>1861</v>
      </c>
      <c r="AF1006" s="17">
        <v>45236</v>
      </c>
      <c r="AG1006" s="26" t="s">
        <v>1362</v>
      </c>
      <c r="AH1006" s="26"/>
      <c r="AI1006" s="40"/>
      <c r="AJ1006" s="26"/>
      <c r="AK1006" s="26"/>
      <c r="AL1006" s="35"/>
      <c r="AM1006" s="35"/>
      <c r="AN1006" s="35"/>
      <c r="AO1006" s="35"/>
      <c r="AP1006" s="35"/>
    </row>
    <row r="1007" spans="1:42" x14ac:dyDescent="0.2">
      <c r="A1007" s="27">
        <v>45230.514137789352</v>
      </c>
      <c r="B1007" s="28" t="s">
        <v>90</v>
      </c>
      <c r="C1007" s="41" t="s">
        <v>118</v>
      </c>
      <c r="D1007" s="26" t="s">
        <v>36</v>
      </c>
      <c r="E1007" s="26" t="s">
        <v>39</v>
      </c>
      <c r="F1007" s="26" t="s">
        <v>307</v>
      </c>
      <c r="G1007" s="26" t="s">
        <v>108</v>
      </c>
      <c r="H1007" s="26" t="s">
        <v>4328</v>
      </c>
      <c r="I1007" s="17">
        <f ca="1">IFERROR(__xludf.DUMMYFUNCTION("""COMPUTED_VALUE"""),45236)</f>
        <v>45236</v>
      </c>
      <c r="J1007" s="29" t="s">
        <v>2580</v>
      </c>
      <c r="K1007" s="26" t="s">
        <v>767</v>
      </c>
      <c r="L1007" s="30">
        <v>978542107</v>
      </c>
      <c r="M1007" s="26" t="s">
        <v>112</v>
      </c>
      <c r="N1007" s="26" t="s">
        <v>3330</v>
      </c>
      <c r="O1007" s="26" t="s">
        <v>2582</v>
      </c>
      <c r="P1007" s="26" t="s">
        <v>4930</v>
      </c>
      <c r="Q1007" s="20">
        <v>5736</v>
      </c>
      <c r="R1007" s="26" t="s">
        <v>36</v>
      </c>
      <c r="S1007" s="31">
        <v>5736</v>
      </c>
      <c r="T1007" s="32">
        <v>45170</v>
      </c>
      <c r="U1007" s="31"/>
      <c r="V1007" s="26"/>
      <c r="W1007" s="26"/>
      <c r="X1007" s="26"/>
      <c r="Y1007" s="22">
        <v>0</v>
      </c>
      <c r="Z1007" s="26" t="s">
        <v>118</v>
      </c>
      <c r="AA1007" s="19" t="s">
        <v>4541</v>
      </c>
      <c r="AB1007" s="26" t="s">
        <v>128</v>
      </c>
      <c r="AC1007" s="26" t="s">
        <v>53</v>
      </c>
      <c r="AD1007" s="19" t="s">
        <v>138</v>
      </c>
      <c r="AE1007" s="26" t="s">
        <v>1861</v>
      </c>
      <c r="AF1007" s="17">
        <v>45236</v>
      </c>
      <c r="AG1007" s="26" t="s">
        <v>1362</v>
      </c>
      <c r="AH1007" s="26"/>
      <c r="AI1007" s="40"/>
      <c r="AJ1007" s="26"/>
      <c r="AK1007" s="26"/>
      <c r="AL1007" s="35"/>
      <c r="AM1007" s="35"/>
      <c r="AN1007" s="35"/>
      <c r="AO1007" s="35"/>
      <c r="AP1007" s="35"/>
    </row>
    <row r="1008" spans="1:42" x14ac:dyDescent="0.2">
      <c r="A1008" s="27">
        <v>45230.518615914349</v>
      </c>
      <c r="B1008" s="28" t="s">
        <v>37</v>
      </c>
      <c r="C1008" s="41" t="s">
        <v>118</v>
      </c>
      <c r="D1008" s="26" t="s">
        <v>36</v>
      </c>
      <c r="E1008" s="26" t="s">
        <v>139</v>
      </c>
      <c r="F1008" s="26" t="s">
        <v>307</v>
      </c>
      <c r="G1008" s="26" t="s">
        <v>108</v>
      </c>
      <c r="H1008" s="26" t="s">
        <v>4931</v>
      </c>
      <c r="I1008" s="17">
        <f ca="1">IFERROR(__xludf.DUMMYFUNCTION("""COMPUTED_VALUE"""),45375)</f>
        <v>45375</v>
      </c>
      <c r="J1008" s="29" t="s">
        <v>3505</v>
      </c>
      <c r="K1008" s="26" t="s">
        <v>4932</v>
      </c>
      <c r="L1008" s="30">
        <v>919764866</v>
      </c>
      <c r="M1008" s="26" t="s">
        <v>112</v>
      </c>
      <c r="N1008" s="26" t="s">
        <v>3330</v>
      </c>
      <c r="O1008" s="26" t="s">
        <v>3507</v>
      </c>
      <c r="P1008" s="26" t="s">
        <v>4933</v>
      </c>
      <c r="Q1008" s="20">
        <v>15936</v>
      </c>
      <c r="R1008" s="26" t="s">
        <v>36</v>
      </c>
      <c r="S1008" s="31">
        <v>2000</v>
      </c>
      <c r="T1008" s="32">
        <v>45178</v>
      </c>
      <c r="U1008" s="31">
        <v>13836</v>
      </c>
      <c r="V1008" s="32">
        <v>45200</v>
      </c>
      <c r="W1008" s="33" t="s">
        <v>3508</v>
      </c>
      <c r="X1008" s="26"/>
      <c r="Y1008" s="22">
        <v>100</v>
      </c>
      <c r="Z1008" s="26" t="s">
        <v>118</v>
      </c>
      <c r="AA1008" s="19" t="s">
        <v>4541</v>
      </c>
      <c r="AB1008" s="26" t="s">
        <v>137</v>
      </c>
      <c r="AC1008" s="26" t="s">
        <v>53</v>
      </c>
      <c r="AD1008" s="19" t="s">
        <v>138</v>
      </c>
      <c r="AE1008" s="26" t="s">
        <v>1861</v>
      </c>
      <c r="AF1008" s="17">
        <v>45236</v>
      </c>
      <c r="AG1008" s="26" t="s">
        <v>1362</v>
      </c>
      <c r="AH1008" s="26"/>
      <c r="AI1008" s="40"/>
      <c r="AJ1008" s="26"/>
      <c r="AK1008" s="26"/>
      <c r="AL1008" s="35"/>
      <c r="AM1008" s="35"/>
      <c r="AN1008" s="35"/>
      <c r="AO1008" s="35"/>
      <c r="AP1008" s="35"/>
    </row>
    <row r="1009" spans="1:42" x14ac:dyDescent="0.2">
      <c r="A1009" s="27">
        <v>45230.527585416668</v>
      </c>
      <c r="B1009" s="28" t="s">
        <v>37</v>
      </c>
      <c r="C1009" s="41" t="s">
        <v>118</v>
      </c>
      <c r="D1009" s="26" t="s">
        <v>36</v>
      </c>
      <c r="E1009" s="26" t="s">
        <v>148</v>
      </c>
      <c r="F1009" s="26" t="s">
        <v>91</v>
      </c>
      <c r="G1009" s="26" t="s">
        <v>221</v>
      </c>
      <c r="H1009" s="26" t="s">
        <v>3388</v>
      </c>
      <c r="I1009" s="17">
        <f ca="1">IFERROR(__xludf.DUMMYFUNCTION("""COMPUTED_VALUE"""),45242)</f>
        <v>45242</v>
      </c>
      <c r="J1009" s="29" t="s">
        <v>4934</v>
      </c>
      <c r="K1009" s="26" t="s">
        <v>4935</v>
      </c>
      <c r="L1009" s="30">
        <v>366967308</v>
      </c>
      <c r="M1009" s="26" t="s">
        <v>112</v>
      </c>
      <c r="N1009" s="26" t="s">
        <v>3330</v>
      </c>
      <c r="O1009" s="67" t="s">
        <v>4936</v>
      </c>
      <c r="P1009" s="26" t="s">
        <v>4937</v>
      </c>
      <c r="Q1009" s="20">
        <v>7349</v>
      </c>
      <c r="R1009" s="26" t="s">
        <v>36</v>
      </c>
      <c r="S1009" s="31">
        <v>6868</v>
      </c>
      <c r="T1009" s="32">
        <v>44644</v>
      </c>
      <c r="U1009" s="31"/>
      <c r="V1009" s="26"/>
      <c r="W1009" s="26"/>
      <c r="X1009" s="26"/>
      <c r="Y1009" s="22">
        <v>481</v>
      </c>
      <c r="Z1009" s="26" t="s">
        <v>118</v>
      </c>
      <c r="AA1009" s="19" t="s">
        <v>4541</v>
      </c>
      <c r="AB1009" s="26" t="s">
        <v>104</v>
      </c>
      <c r="AC1009" s="26" t="s">
        <v>53</v>
      </c>
      <c r="AD1009" s="19" t="s">
        <v>54</v>
      </c>
      <c r="AE1009" s="26" t="s">
        <v>4938</v>
      </c>
      <c r="AF1009" s="17">
        <v>45236</v>
      </c>
      <c r="AG1009" s="26"/>
      <c r="AH1009" s="26"/>
      <c r="AI1009" s="40"/>
      <c r="AJ1009" s="26"/>
      <c r="AK1009" s="26"/>
      <c r="AL1009" s="35"/>
      <c r="AM1009" s="35"/>
      <c r="AN1009" s="35"/>
      <c r="AO1009" s="35"/>
      <c r="AP1009" s="35"/>
    </row>
    <row r="1010" spans="1:42" x14ac:dyDescent="0.2">
      <c r="A1010" s="27">
        <v>45230.845789699073</v>
      </c>
      <c r="B1010" s="28" t="s">
        <v>37</v>
      </c>
      <c r="C1010" s="41" t="s">
        <v>118</v>
      </c>
      <c r="D1010" s="26" t="s">
        <v>36</v>
      </c>
      <c r="E1010" s="26" t="s">
        <v>106</v>
      </c>
      <c r="F1010" s="26" t="s">
        <v>36</v>
      </c>
      <c r="G1010" s="26" t="s">
        <v>108</v>
      </c>
      <c r="H1010" s="26" t="s">
        <v>4328</v>
      </c>
      <c r="I1010" s="17">
        <f ca="1">IFERROR(__xludf.DUMMYFUNCTION("""COMPUTED_VALUE"""),45236)</f>
        <v>45236</v>
      </c>
      <c r="J1010" s="29" t="s">
        <v>4939</v>
      </c>
      <c r="K1010" s="26" t="s">
        <v>4940</v>
      </c>
      <c r="L1010" s="30">
        <v>382082289</v>
      </c>
      <c r="M1010" s="26" t="s">
        <v>112</v>
      </c>
      <c r="N1010" s="26" t="s">
        <v>113</v>
      </c>
      <c r="O1010" s="26" t="s">
        <v>36</v>
      </c>
      <c r="P1010" s="26" t="s">
        <v>2941</v>
      </c>
      <c r="Q1010" s="20">
        <v>3768</v>
      </c>
      <c r="R1010" s="26" t="s">
        <v>36</v>
      </c>
      <c r="S1010" s="31">
        <v>1884</v>
      </c>
      <c r="T1010" s="32">
        <v>44957</v>
      </c>
      <c r="U1010" s="31"/>
      <c r="V1010" s="26"/>
      <c r="W1010" s="33" t="s">
        <v>4941</v>
      </c>
      <c r="X1010" s="26"/>
      <c r="Y1010" s="22">
        <v>1884</v>
      </c>
      <c r="Z1010" s="26" t="s">
        <v>118</v>
      </c>
      <c r="AA1010" s="19" t="s">
        <v>4541</v>
      </c>
      <c r="AB1010" s="26" t="s">
        <v>128</v>
      </c>
      <c r="AC1010" s="26" t="s">
        <v>53</v>
      </c>
      <c r="AD1010" s="19" t="s">
        <v>138</v>
      </c>
      <c r="AE1010" s="26" t="s">
        <v>4942</v>
      </c>
      <c r="AF1010" s="17">
        <v>45236</v>
      </c>
      <c r="AG1010" s="26" t="s">
        <v>1362</v>
      </c>
      <c r="AH1010" s="26"/>
      <c r="AI1010" s="40"/>
      <c r="AJ1010" s="26"/>
      <c r="AK1010" s="26"/>
      <c r="AL1010" s="35"/>
      <c r="AM1010" s="35"/>
      <c r="AN1010" s="35"/>
      <c r="AO1010" s="35"/>
      <c r="AP1010" s="35"/>
    </row>
    <row r="1011" spans="1:42" x14ac:dyDescent="0.2">
      <c r="A1011" s="27">
        <v>45230.910049363425</v>
      </c>
      <c r="B1011" s="28" t="s">
        <v>37</v>
      </c>
      <c r="C1011" s="41" t="s">
        <v>118</v>
      </c>
      <c r="D1011" s="26" t="s">
        <v>36</v>
      </c>
      <c r="E1011" s="26" t="s">
        <v>148</v>
      </c>
      <c r="F1011" s="26" t="s">
        <v>91</v>
      </c>
      <c r="G1011" s="26" t="s">
        <v>221</v>
      </c>
      <c r="H1011" s="26" t="s">
        <v>3388</v>
      </c>
      <c r="I1011" s="17">
        <f ca="1">IFERROR(__xludf.DUMMYFUNCTION("""COMPUTED_VALUE"""),45242)</f>
        <v>45242</v>
      </c>
      <c r="J1011" s="29" t="s">
        <v>4943</v>
      </c>
      <c r="K1011" s="26" t="s">
        <v>4944</v>
      </c>
      <c r="L1011" s="30">
        <v>582108941</v>
      </c>
      <c r="M1011" s="26" t="s">
        <v>112</v>
      </c>
      <c r="N1011" s="26" t="s">
        <v>3330</v>
      </c>
      <c r="O1011" s="26" t="s">
        <v>125</v>
      </c>
      <c r="P1011" s="26" t="s">
        <v>4945</v>
      </c>
      <c r="Q1011" s="20">
        <v>7349</v>
      </c>
      <c r="R1011" s="26" t="s">
        <v>36</v>
      </c>
      <c r="S1011" s="31">
        <v>4000</v>
      </c>
      <c r="T1011" s="32">
        <v>45110</v>
      </c>
      <c r="U1011" s="31">
        <v>3349</v>
      </c>
      <c r="V1011" s="32">
        <v>45134</v>
      </c>
      <c r="W1011" s="26"/>
      <c r="X1011" s="26"/>
      <c r="Y1011" s="22">
        <v>0</v>
      </c>
      <c r="Z1011" s="26" t="s">
        <v>118</v>
      </c>
      <c r="AA1011" s="19" t="s">
        <v>4541</v>
      </c>
      <c r="AB1011" s="26" t="s">
        <v>104</v>
      </c>
      <c r="AC1011" s="26" t="s">
        <v>53</v>
      </c>
      <c r="AD1011" s="19" t="s">
        <v>54</v>
      </c>
      <c r="AE1011" s="26">
        <v>825</v>
      </c>
      <c r="AF1011" s="17">
        <v>45236</v>
      </c>
      <c r="AG1011" s="26"/>
      <c r="AH1011" s="26"/>
      <c r="AI1011" s="40"/>
      <c r="AJ1011" s="26"/>
      <c r="AK1011" s="26"/>
      <c r="AL1011" s="35"/>
      <c r="AM1011" s="35"/>
      <c r="AN1011" s="35"/>
      <c r="AO1011" s="35"/>
      <c r="AP1011" s="35"/>
    </row>
    <row r="1012" spans="1:42" x14ac:dyDescent="0.2">
      <c r="A1012" s="27">
        <v>45230.921118865735</v>
      </c>
      <c r="B1012" s="28" t="s">
        <v>37</v>
      </c>
      <c r="C1012" s="41" t="s">
        <v>118</v>
      </c>
      <c r="D1012" s="26" t="s">
        <v>36</v>
      </c>
      <c r="E1012" s="26" t="s">
        <v>139</v>
      </c>
      <c r="F1012" s="26" t="s">
        <v>91</v>
      </c>
      <c r="G1012" s="26" t="s">
        <v>108</v>
      </c>
      <c r="H1012" s="26" t="s">
        <v>4328</v>
      </c>
      <c r="I1012" s="17">
        <f ca="1">IFERROR(__xludf.DUMMYFUNCTION("""COMPUTED_VALUE"""),45236)</f>
        <v>45236</v>
      </c>
      <c r="J1012" s="29" t="s">
        <v>3515</v>
      </c>
      <c r="K1012" s="26" t="s">
        <v>3516</v>
      </c>
      <c r="L1012" s="30">
        <v>865794177</v>
      </c>
      <c r="M1012" s="26" t="s">
        <v>80</v>
      </c>
      <c r="N1012" s="26" t="s">
        <v>186</v>
      </c>
      <c r="O1012" s="26" t="s">
        <v>3517</v>
      </c>
      <c r="P1012" s="26" t="s">
        <v>4946</v>
      </c>
      <c r="Q1012" s="20">
        <v>15936</v>
      </c>
      <c r="R1012" s="26" t="s">
        <v>36</v>
      </c>
      <c r="S1012" s="31">
        <v>8000</v>
      </c>
      <c r="T1012" s="32">
        <v>45180</v>
      </c>
      <c r="U1012" s="31">
        <v>7936</v>
      </c>
      <c r="V1012" s="32">
        <v>45200</v>
      </c>
      <c r="W1012" s="33" t="s">
        <v>3518</v>
      </c>
      <c r="X1012" s="26"/>
      <c r="Y1012" s="22">
        <v>0</v>
      </c>
      <c r="Z1012" s="26" t="s">
        <v>118</v>
      </c>
      <c r="AA1012" s="19" t="s">
        <v>4541</v>
      </c>
      <c r="AB1012" s="26" t="s">
        <v>137</v>
      </c>
      <c r="AC1012" s="26" t="s">
        <v>53</v>
      </c>
      <c r="AD1012" s="19" t="s">
        <v>138</v>
      </c>
      <c r="AE1012" s="26" t="s">
        <v>1861</v>
      </c>
      <c r="AF1012" s="17">
        <v>45236</v>
      </c>
      <c r="AG1012" s="26" t="s">
        <v>1362</v>
      </c>
      <c r="AH1012" s="26"/>
      <c r="AI1012" s="40"/>
      <c r="AJ1012" s="26"/>
      <c r="AK1012" s="26"/>
      <c r="AL1012" s="35"/>
      <c r="AM1012" s="35"/>
      <c r="AN1012" s="35"/>
      <c r="AO1012" s="35"/>
      <c r="AP1012" s="35"/>
    </row>
    <row r="1013" spans="1:42" x14ac:dyDescent="0.2">
      <c r="A1013" s="27">
        <v>45230.980525069448</v>
      </c>
      <c r="B1013" s="28" t="s">
        <v>37</v>
      </c>
      <c r="C1013" s="41" t="s">
        <v>118</v>
      </c>
      <c r="D1013" s="26" t="s">
        <v>36</v>
      </c>
      <c r="E1013" s="26" t="s">
        <v>139</v>
      </c>
      <c r="F1013" s="26" t="s">
        <v>91</v>
      </c>
      <c r="G1013" s="26" t="s">
        <v>108</v>
      </c>
      <c r="H1013" s="26" t="s">
        <v>3314</v>
      </c>
      <c r="I1013" s="17">
        <f ca="1">IFERROR(__xludf.DUMMYFUNCTION("""COMPUTED_VALUE"""),45236)</f>
        <v>45236</v>
      </c>
      <c r="J1013" s="29" t="s">
        <v>1862</v>
      </c>
      <c r="K1013" s="26" t="s">
        <v>4947</v>
      </c>
      <c r="L1013" s="30">
        <v>969495520</v>
      </c>
      <c r="M1013" s="26" t="s">
        <v>112</v>
      </c>
      <c r="N1013" s="26" t="s">
        <v>3330</v>
      </c>
      <c r="O1013" s="26" t="s">
        <v>1864</v>
      </c>
      <c r="P1013" s="26" t="s">
        <v>4948</v>
      </c>
      <c r="Q1013" s="20">
        <v>15936</v>
      </c>
      <c r="R1013" s="26" t="s">
        <v>36</v>
      </c>
      <c r="S1013" s="31">
        <v>15963</v>
      </c>
      <c r="T1013" s="32">
        <v>45166</v>
      </c>
      <c r="U1013" s="31"/>
      <c r="V1013" s="26"/>
      <c r="W1013" s="33" t="s">
        <v>1866</v>
      </c>
      <c r="X1013" s="26">
        <v>0</v>
      </c>
      <c r="Y1013" s="22">
        <v>-27</v>
      </c>
      <c r="Z1013" s="26" t="s">
        <v>118</v>
      </c>
      <c r="AA1013" s="19" t="s">
        <v>4541</v>
      </c>
      <c r="AB1013" s="26" t="s">
        <v>128</v>
      </c>
      <c r="AC1013" s="26" t="s">
        <v>53</v>
      </c>
      <c r="AD1013" s="19" t="s">
        <v>138</v>
      </c>
      <c r="AE1013" s="26" t="s">
        <v>1861</v>
      </c>
      <c r="AF1013" s="17">
        <v>45236</v>
      </c>
      <c r="AG1013" s="26" t="s">
        <v>1362</v>
      </c>
      <c r="AH1013" s="26" t="s">
        <v>4949</v>
      </c>
      <c r="AI1013" s="40"/>
      <c r="AJ1013" s="26"/>
      <c r="AK1013" s="26"/>
      <c r="AL1013" s="35"/>
      <c r="AM1013" s="35"/>
      <c r="AN1013" s="35"/>
      <c r="AO1013" s="35"/>
      <c r="AP1013" s="35"/>
    </row>
    <row r="1014" spans="1:42" x14ac:dyDescent="0.2">
      <c r="A1014" s="27">
        <v>45187.358715416667</v>
      </c>
      <c r="B1014" s="28" t="s">
        <v>37</v>
      </c>
      <c r="C1014" s="41" t="s">
        <v>118</v>
      </c>
      <c r="D1014" s="26" t="s">
        <v>36</v>
      </c>
      <c r="E1014" s="26" t="s">
        <v>139</v>
      </c>
      <c r="F1014" s="26" t="s">
        <v>2647</v>
      </c>
      <c r="G1014" s="26" t="s">
        <v>108</v>
      </c>
      <c r="H1014" s="26" t="s">
        <v>3418</v>
      </c>
      <c r="I1014" s="17">
        <f ca="1">IFERROR(__xludf.DUMMYFUNCTION("""COMPUTED_VALUE"""),45240)</f>
        <v>45240</v>
      </c>
      <c r="J1014" s="29" t="s">
        <v>3645</v>
      </c>
      <c r="K1014" s="26" t="s">
        <v>3646</v>
      </c>
      <c r="L1014" s="30">
        <v>325898466</v>
      </c>
      <c r="M1014" s="26" t="s">
        <v>123</v>
      </c>
      <c r="N1014" s="26" t="s">
        <v>2847</v>
      </c>
      <c r="O1014" s="26" t="s">
        <v>1226</v>
      </c>
      <c r="P1014" s="26" t="s">
        <v>3487</v>
      </c>
      <c r="Q1014" s="20">
        <v>15936</v>
      </c>
      <c r="R1014" s="26" t="s">
        <v>36</v>
      </c>
      <c r="S1014" s="31">
        <v>200</v>
      </c>
      <c r="T1014" s="32">
        <v>45176</v>
      </c>
      <c r="U1014" s="31">
        <f>1800+13936</f>
        <v>15736</v>
      </c>
      <c r="V1014" s="16" t="s">
        <v>3647</v>
      </c>
      <c r="W1014" s="33" t="s">
        <v>3648</v>
      </c>
      <c r="X1014" s="26"/>
      <c r="Y1014" s="22">
        <v>0</v>
      </c>
      <c r="Z1014" s="26" t="s">
        <v>118</v>
      </c>
      <c r="AA1014" s="19" t="s">
        <v>4541</v>
      </c>
      <c r="AB1014" s="26" t="s">
        <v>104</v>
      </c>
      <c r="AC1014" s="26" t="s">
        <v>53</v>
      </c>
      <c r="AD1014" s="19" t="s">
        <v>138</v>
      </c>
      <c r="AE1014" s="26"/>
      <c r="AF1014" s="17">
        <v>45240</v>
      </c>
      <c r="AG1014" s="26"/>
      <c r="AH1014" s="26" t="s">
        <v>2652</v>
      </c>
      <c r="AI1014" s="40"/>
      <c r="AJ1014" s="26"/>
      <c r="AK1014" s="26"/>
      <c r="AL1014" s="35"/>
      <c r="AM1014" s="35"/>
      <c r="AN1014" s="35"/>
      <c r="AO1014" s="35"/>
      <c r="AP1014" s="35"/>
    </row>
    <row r="1015" spans="1:42" x14ac:dyDescent="0.2">
      <c r="A1015" s="14">
        <v>45239</v>
      </c>
      <c r="B1015" s="28" t="s">
        <v>37</v>
      </c>
      <c r="C1015" s="41" t="s">
        <v>118</v>
      </c>
      <c r="D1015" s="26" t="s">
        <v>36</v>
      </c>
      <c r="E1015" s="26" t="s">
        <v>106</v>
      </c>
      <c r="F1015" s="26" t="s">
        <v>2190</v>
      </c>
      <c r="G1015" s="26" t="s">
        <v>108</v>
      </c>
      <c r="H1015" s="26" t="s">
        <v>3397</v>
      </c>
      <c r="I1015" s="17">
        <f ca="1">IFERROR(__xludf.DUMMYFUNCTION("""COMPUTED_VALUE"""),45256)</f>
        <v>45256</v>
      </c>
      <c r="J1015" s="29" t="s">
        <v>4950</v>
      </c>
      <c r="K1015" s="26" t="s">
        <v>4951</v>
      </c>
      <c r="L1015" s="30">
        <v>964972106</v>
      </c>
      <c r="M1015" s="26" t="s">
        <v>80</v>
      </c>
      <c r="N1015" s="26" t="s">
        <v>4952</v>
      </c>
      <c r="O1015" s="26" t="s">
        <v>134</v>
      </c>
      <c r="P1015" s="26" t="s">
        <v>2641</v>
      </c>
      <c r="Q1015" s="20">
        <v>3768</v>
      </c>
      <c r="R1015" s="26" t="s">
        <v>36</v>
      </c>
      <c r="S1015" s="31">
        <v>3500</v>
      </c>
      <c r="T1015" s="32">
        <v>44967</v>
      </c>
      <c r="U1015" s="31">
        <v>4324</v>
      </c>
      <c r="V1015" s="32" t="s">
        <v>4953</v>
      </c>
      <c r="W1015" s="33" t="s">
        <v>4954</v>
      </c>
      <c r="X1015" s="26"/>
      <c r="Y1015" s="22">
        <v>-4056</v>
      </c>
      <c r="Z1015" s="26" t="s">
        <v>118</v>
      </c>
      <c r="AA1015" s="19" t="s">
        <v>4541</v>
      </c>
      <c r="AB1015" s="26"/>
      <c r="AC1015" s="26" t="s">
        <v>53</v>
      </c>
      <c r="AD1015" s="19" t="s">
        <v>138</v>
      </c>
      <c r="AE1015" s="26"/>
      <c r="AF1015" s="17">
        <v>45256</v>
      </c>
      <c r="AG1015" s="26" t="s">
        <v>3399</v>
      </c>
      <c r="AH1015" s="26"/>
      <c r="AI1015" s="40"/>
      <c r="AJ1015" s="26"/>
      <c r="AK1015" s="26"/>
      <c r="AL1015" s="35"/>
      <c r="AM1015" s="35"/>
      <c r="AN1015" s="35"/>
      <c r="AO1015" s="35"/>
      <c r="AP1015" s="35"/>
    </row>
    <row r="1016" spans="1:42" x14ac:dyDescent="0.2">
      <c r="A1016" s="14">
        <v>45239</v>
      </c>
      <c r="B1016" s="28" t="s">
        <v>37</v>
      </c>
      <c r="C1016" s="41" t="s">
        <v>118</v>
      </c>
      <c r="D1016" s="26" t="s">
        <v>36</v>
      </c>
      <c r="E1016" s="26" t="s">
        <v>139</v>
      </c>
      <c r="F1016" s="26" t="s">
        <v>2647</v>
      </c>
      <c r="G1016" s="26" t="s">
        <v>108</v>
      </c>
      <c r="H1016" s="26" t="s">
        <v>3418</v>
      </c>
      <c r="I1016" s="17">
        <f ca="1">IFERROR(__xludf.DUMMYFUNCTION("""COMPUTED_VALUE"""),45240)</f>
        <v>45240</v>
      </c>
      <c r="J1016" s="29" t="s">
        <v>3737</v>
      </c>
      <c r="K1016" s="26" t="s">
        <v>3738</v>
      </c>
      <c r="L1016" s="30">
        <v>823523934</v>
      </c>
      <c r="M1016" s="26" t="s">
        <v>123</v>
      </c>
      <c r="N1016" s="26" t="s">
        <v>850</v>
      </c>
      <c r="O1016" s="26" t="s">
        <v>2737</v>
      </c>
      <c r="P1016" s="26" t="s">
        <v>3056</v>
      </c>
      <c r="Q1016" s="20">
        <v>15936</v>
      </c>
      <c r="R1016" s="26" t="s">
        <v>36</v>
      </c>
      <c r="S1016" s="31">
        <v>2000</v>
      </c>
      <c r="T1016" s="32">
        <v>45188</v>
      </c>
      <c r="U1016" s="31">
        <v>13968</v>
      </c>
      <c r="V1016" s="32">
        <v>45207</v>
      </c>
      <c r="W1016" s="26" t="s">
        <v>3739</v>
      </c>
      <c r="X1016" s="26"/>
      <c r="Y1016" s="22">
        <v>-32</v>
      </c>
      <c r="Z1016" s="26" t="s">
        <v>118</v>
      </c>
      <c r="AA1016" s="19" t="s">
        <v>4541</v>
      </c>
      <c r="AB1016" s="26" t="s">
        <v>146</v>
      </c>
      <c r="AC1016" s="26" t="s">
        <v>53</v>
      </c>
      <c r="AD1016" s="19" t="s">
        <v>138</v>
      </c>
      <c r="AE1016" s="26"/>
      <c r="AF1016" s="17">
        <v>45244</v>
      </c>
      <c r="AG1016" s="26" t="s">
        <v>4955</v>
      </c>
      <c r="AH1016" s="26"/>
      <c r="AI1016" s="40"/>
      <c r="AJ1016" s="26"/>
      <c r="AK1016" s="26"/>
      <c r="AL1016" s="35"/>
      <c r="AM1016" s="35"/>
      <c r="AN1016" s="35"/>
      <c r="AO1016" s="35"/>
      <c r="AP1016" s="35"/>
    </row>
    <row r="1017" spans="1:42" x14ac:dyDescent="0.2">
      <c r="A1017" s="14">
        <v>45239</v>
      </c>
      <c r="B1017" s="28" t="s">
        <v>37</v>
      </c>
      <c r="C1017" s="41" t="s">
        <v>118</v>
      </c>
      <c r="D1017" s="26" t="s">
        <v>36</v>
      </c>
      <c r="E1017" s="26" t="s">
        <v>139</v>
      </c>
      <c r="F1017" s="26" t="s">
        <v>2647</v>
      </c>
      <c r="G1017" s="26" t="s">
        <v>108</v>
      </c>
      <c r="H1017" s="26" t="s">
        <v>3418</v>
      </c>
      <c r="I1017" s="17">
        <f ca="1">IFERROR(__xludf.DUMMYFUNCTION("""COMPUTED_VALUE"""),45240)</f>
        <v>45240</v>
      </c>
      <c r="J1017" s="29" t="s">
        <v>3636</v>
      </c>
      <c r="K1017" s="26" t="s">
        <v>3637</v>
      </c>
      <c r="L1017" s="30">
        <v>825802607</v>
      </c>
      <c r="M1017" s="26" t="s">
        <v>123</v>
      </c>
      <c r="N1017" s="26" t="s">
        <v>186</v>
      </c>
      <c r="O1017" s="26" t="s">
        <v>1226</v>
      </c>
      <c r="P1017" s="26" t="s">
        <v>3638</v>
      </c>
      <c r="Q1017" s="20">
        <v>15936</v>
      </c>
      <c r="R1017" s="26" t="s">
        <v>36</v>
      </c>
      <c r="S1017" s="31">
        <v>500</v>
      </c>
      <c r="T1017" s="32">
        <v>45166</v>
      </c>
      <c r="U1017" s="31">
        <f>1500+13936</f>
        <v>15436</v>
      </c>
      <c r="V1017" s="16" t="s">
        <v>3639</v>
      </c>
      <c r="W1017" s="33" t="s">
        <v>3640</v>
      </c>
      <c r="X1017" s="26"/>
      <c r="Y1017" s="22">
        <v>0</v>
      </c>
      <c r="Z1017" s="26" t="s">
        <v>118</v>
      </c>
      <c r="AA1017" s="19" t="s">
        <v>4541</v>
      </c>
      <c r="AB1017" s="26" t="s">
        <v>104</v>
      </c>
      <c r="AC1017" s="26" t="s">
        <v>53</v>
      </c>
      <c r="AD1017" s="19" t="s">
        <v>138</v>
      </c>
      <c r="AE1017" s="26"/>
      <c r="AF1017" s="17">
        <v>45244</v>
      </c>
      <c r="AG1017" s="26" t="s">
        <v>4955</v>
      </c>
      <c r="AH1017" s="26"/>
      <c r="AI1017" s="40"/>
      <c r="AJ1017" s="26"/>
      <c r="AK1017" s="26"/>
      <c r="AL1017" s="35"/>
      <c r="AM1017" s="35"/>
      <c r="AN1017" s="35"/>
      <c r="AO1017" s="35"/>
      <c r="AP1017" s="35"/>
    </row>
    <row r="1018" spans="1:42" x14ac:dyDescent="0.2">
      <c r="A1018" s="14">
        <v>45239</v>
      </c>
      <c r="B1018" s="28" t="s">
        <v>37</v>
      </c>
      <c r="C1018" s="41" t="s">
        <v>118</v>
      </c>
      <c r="D1018" s="26" t="s">
        <v>36</v>
      </c>
      <c r="E1018" s="26" t="s">
        <v>56</v>
      </c>
      <c r="F1018" s="26" t="s">
        <v>2647</v>
      </c>
      <c r="G1018" s="26" t="s">
        <v>108</v>
      </c>
      <c r="H1018" s="26" t="s">
        <v>4633</v>
      </c>
      <c r="I1018" s="17">
        <f ca="1">IFERROR(__xludf.DUMMYFUNCTION("""COMPUTED_VALUE"""),45365)</f>
        <v>45365</v>
      </c>
      <c r="J1018" s="29" t="s">
        <v>3752</v>
      </c>
      <c r="K1018" s="26" t="s">
        <v>4956</v>
      </c>
      <c r="L1018" s="30">
        <v>942646597</v>
      </c>
      <c r="M1018" s="26" t="s">
        <v>1245</v>
      </c>
      <c r="N1018" s="26" t="s">
        <v>4957</v>
      </c>
      <c r="O1018" s="26" t="s">
        <v>3754</v>
      </c>
      <c r="P1018" s="26" t="s">
        <v>3755</v>
      </c>
      <c r="Q1018" s="20">
        <v>9317</v>
      </c>
      <c r="R1018" s="26" t="s">
        <v>36</v>
      </c>
      <c r="S1018" s="31">
        <v>2000</v>
      </c>
      <c r="T1018" s="32">
        <v>45189</v>
      </c>
      <c r="U1018" s="31">
        <v>7317</v>
      </c>
      <c r="V1018" s="32">
        <v>45207</v>
      </c>
      <c r="W1018" s="33" t="s">
        <v>3756</v>
      </c>
      <c r="X1018" s="26"/>
      <c r="Y1018" s="22">
        <v>0</v>
      </c>
      <c r="Z1018" s="26" t="s">
        <v>118</v>
      </c>
      <c r="AA1018" s="19" t="s">
        <v>4541</v>
      </c>
      <c r="AB1018" s="26" t="s">
        <v>104</v>
      </c>
      <c r="AC1018" s="26" t="s">
        <v>53</v>
      </c>
      <c r="AD1018" s="19" t="s">
        <v>138</v>
      </c>
      <c r="AE1018" s="26"/>
      <c r="AF1018" s="17">
        <v>45244</v>
      </c>
      <c r="AG1018" s="26" t="s">
        <v>4955</v>
      </c>
      <c r="AH1018" s="26"/>
      <c r="AI1018" s="40"/>
      <c r="AJ1018" s="26"/>
      <c r="AK1018" s="26"/>
      <c r="AL1018" s="35"/>
      <c r="AM1018" s="35"/>
      <c r="AN1018" s="35"/>
      <c r="AO1018" s="35"/>
      <c r="AP1018" s="35"/>
    </row>
    <row r="1019" spans="1:42" x14ac:dyDescent="0.2">
      <c r="A1019" s="14">
        <v>45239</v>
      </c>
      <c r="B1019" s="28" t="s">
        <v>37</v>
      </c>
      <c r="C1019" s="41" t="s">
        <v>118</v>
      </c>
      <c r="D1019" s="26" t="s">
        <v>36</v>
      </c>
      <c r="E1019" s="26" t="s">
        <v>139</v>
      </c>
      <c r="F1019" s="26" t="s">
        <v>2647</v>
      </c>
      <c r="G1019" s="26" t="s">
        <v>108</v>
      </c>
      <c r="H1019" s="26" t="s">
        <v>2434</v>
      </c>
      <c r="I1019" s="17">
        <f ca="1">IFERROR(__xludf.DUMMYFUNCTION("""COMPUTED_VALUE"""),45320)</f>
        <v>45320</v>
      </c>
      <c r="J1019" s="29" t="s">
        <v>3653</v>
      </c>
      <c r="K1019" s="26" t="s">
        <v>4958</v>
      </c>
      <c r="L1019" s="30">
        <v>857099036</v>
      </c>
      <c r="M1019" s="26" t="s">
        <v>1245</v>
      </c>
      <c r="N1019" s="26" t="s">
        <v>4957</v>
      </c>
      <c r="O1019" s="26" t="s">
        <v>2737</v>
      </c>
      <c r="P1019" s="26" t="s">
        <v>3487</v>
      </c>
      <c r="Q1019" s="20">
        <v>15936</v>
      </c>
      <c r="R1019" s="26" t="s">
        <v>36</v>
      </c>
      <c r="S1019" s="31">
        <v>100</v>
      </c>
      <c r="T1019" s="32">
        <v>45179</v>
      </c>
      <c r="U1019" s="31">
        <f>1900+13936</f>
        <v>15836</v>
      </c>
      <c r="V1019" s="26" t="s">
        <v>3655</v>
      </c>
      <c r="W1019" s="33" t="s">
        <v>3656</v>
      </c>
      <c r="X1019" s="26"/>
      <c r="Y1019" s="22">
        <v>0</v>
      </c>
      <c r="Z1019" s="26" t="s">
        <v>118</v>
      </c>
      <c r="AA1019" s="19" t="s">
        <v>4541</v>
      </c>
      <c r="AB1019" s="26" t="s">
        <v>104</v>
      </c>
      <c r="AC1019" s="26" t="s">
        <v>53</v>
      </c>
      <c r="AD1019" s="19" t="s">
        <v>138</v>
      </c>
      <c r="AE1019" s="26"/>
      <c r="AF1019" s="17">
        <v>45244</v>
      </c>
      <c r="AG1019" s="26" t="s">
        <v>4955</v>
      </c>
      <c r="AH1019" s="26"/>
      <c r="AI1019" s="40"/>
      <c r="AJ1019" s="26"/>
      <c r="AK1019" s="26"/>
      <c r="AL1019" s="35"/>
      <c r="AM1019" s="35"/>
      <c r="AN1019" s="35"/>
      <c r="AO1019" s="35"/>
      <c r="AP1019" s="35"/>
    </row>
    <row r="1020" spans="1:42" x14ac:dyDescent="0.2">
      <c r="A1020" s="97">
        <v>45243</v>
      </c>
      <c r="B1020" s="28" t="s">
        <v>37</v>
      </c>
      <c r="C1020" s="41" t="s">
        <v>118</v>
      </c>
      <c r="D1020" s="26" t="s">
        <v>36</v>
      </c>
      <c r="E1020" s="26" t="s">
        <v>56</v>
      </c>
      <c r="F1020" s="26" t="s">
        <v>2989</v>
      </c>
      <c r="G1020" s="26" t="s">
        <v>41</v>
      </c>
      <c r="H1020" s="26" t="s">
        <v>4959</v>
      </c>
      <c r="I1020" s="17">
        <f ca="1">IFERROR(__xludf.DUMMYFUNCTION("""COMPUTED_VALUE"""),45352)</f>
        <v>45352</v>
      </c>
      <c r="J1020" s="29" t="s">
        <v>3863</v>
      </c>
      <c r="K1020" s="26" t="s">
        <v>4960</v>
      </c>
      <c r="L1020" s="30">
        <v>377626418</v>
      </c>
      <c r="M1020" s="26" t="s">
        <v>2755</v>
      </c>
      <c r="N1020" s="26" t="s">
        <v>2756</v>
      </c>
      <c r="O1020" s="26" t="s">
        <v>3865</v>
      </c>
      <c r="P1020" s="42" t="s">
        <v>4961</v>
      </c>
      <c r="Q1020" s="20">
        <v>9317</v>
      </c>
      <c r="R1020" s="26" t="s">
        <v>36</v>
      </c>
      <c r="S1020" s="31">
        <v>2000</v>
      </c>
      <c r="T1020" s="32">
        <v>45193</v>
      </c>
      <c r="U1020" s="31">
        <v>7317</v>
      </c>
      <c r="V1020" s="32">
        <v>45215</v>
      </c>
      <c r="W1020" s="33" t="s">
        <v>3867</v>
      </c>
      <c r="X1020" s="26"/>
      <c r="Y1020" s="22">
        <v>0</v>
      </c>
      <c r="Z1020" s="26" t="s">
        <v>118</v>
      </c>
      <c r="AA1020" s="19" t="s">
        <v>4541</v>
      </c>
      <c r="AB1020" s="26" t="s">
        <v>154</v>
      </c>
      <c r="AC1020" s="26" t="s">
        <v>53</v>
      </c>
      <c r="AD1020" s="19" t="s">
        <v>54</v>
      </c>
      <c r="AE1020" s="26"/>
      <c r="AF1020" s="17">
        <v>45250</v>
      </c>
      <c r="AG1020" s="26"/>
      <c r="AH1020" s="26"/>
      <c r="AI1020" s="40"/>
      <c r="AJ1020" s="26"/>
      <c r="AK1020" s="26"/>
      <c r="AL1020" s="35"/>
      <c r="AM1020" s="35"/>
      <c r="AN1020" s="35"/>
      <c r="AO1020" s="35"/>
      <c r="AP1020" s="35"/>
    </row>
    <row r="1021" spans="1:42" x14ac:dyDescent="0.2">
      <c r="A1021" s="97">
        <v>45244</v>
      </c>
      <c r="B1021" s="28" t="s">
        <v>37</v>
      </c>
      <c r="C1021" s="41" t="s">
        <v>118</v>
      </c>
      <c r="D1021" s="26" t="s">
        <v>36</v>
      </c>
      <c r="E1021" s="26" t="s">
        <v>139</v>
      </c>
      <c r="F1021" s="26" t="s">
        <v>2889</v>
      </c>
      <c r="G1021" s="26" t="s">
        <v>108</v>
      </c>
      <c r="H1021" s="26" t="s">
        <v>3397</v>
      </c>
      <c r="I1021" s="17">
        <f ca="1">IFERROR(__xludf.DUMMYFUNCTION("""COMPUTED_VALUE"""),45256)</f>
        <v>45256</v>
      </c>
      <c r="J1021" s="29" t="s">
        <v>3744</v>
      </c>
      <c r="K1021" s="26" t="s">
        <v>3745</v>
      </c>
      <c r="L1021" s="30">
        <v>395688205</v>
      </c>
      <c r="M1021" s="26" t="s">
        <v>123</v>
      </c>
      <c r="N1021" s="26" t="s">
        <v>850</v>
      </c>
      <c r="O1021" s="26" t="s">
        <v>2737</v>
      </c>
      <c r="P1021" s="42" t="s">
        <v>4962</v>
      </c>
      <c r="Q1021" s="20">
        <v>15936</v>
      </c>
      <c r="R1021" s="26" t="s">
        <v>36</v>
      </c>
      <c r="S1021" s="31">
        <v>2000</v>
      </c>
      <c r="T1021" s="32">
        <v>45188</v>
      </c>
      <c r="U1021" s="31">
        <v>13936</v>
      </c>
      <c r="V1021" s="32">
        <v>45217</v>
      </c>
      <c r="W1021" s="33" t="s">
        <v>3746</v>
      </c>
      <c r="X1021" s="26"/>
      <c r="Y1021" s="22">
        <v>0</v>
      </c>
      <c r="Z1021" s="26" t="s">
        <v>118</v>
      </c>
      <c r="AA1021" s="19" t="s">
        <v>4541</v>
      </c>
      <c r="AB1021" s="26" t="s">
        <v>128</v>
      </c>
      <c r="AC1021" s="26" t="s">
        <v>53</v>
      </c>
      <c r="AD1021" s="19" t="s">
        <v>138</v>
      </c>
      <c r="AE1021" s="26" t="s">
        <v>2889</v>
      </c>
      <c r="AF1021" s="17">
        <v>45256</v>
      </c>
      <c r="AG1021" s="26" t="s">
        <v>3399</v>
      </c>
      <c r="AH1021" s="26"/>
      <c r="AI1021" s="40"/>
      <c r="AJ1021" s="26"/>
      <c r="AK1021" s="26"/>
      <c r="AL1021" s="35"/>
      <c r="AM1021" s="35"/>
      <c r="AN1021" s="35"/>
      <c r="AO1021" s="35"/>
      <c r="AP1021" s="35"/>
    </row>
    <row r="1022" spans="1:42" x14ac:dyDescent="0.2">
      <c r="A1022" s="97">
        <v>45244</v>
      </c>
      <c r="B1022" s="28" t="s">
        <v>37</v>
      </c>
      <c r="C1022" s="41" t="s">
        <v>118</v>
      </c>
      <c r="D1022" s="26" t="s">
        <v>36</v>
      </c>
      <c r="E1022" s="26" t="s">
        <v>139</v>
      </c>
      <c r="F1022" s="26" t="s">
        <v>2734</v>
      </c>
      <c r="G1022" s="26" t="s">
        <v>108</v>
      </c>
      <c r="H1022" s="26" t="s">
        <v>3181</v>
      </c>
      <c r="I1022" s="17">
        <f ca="1">IFERROR(__xludf.DUMMYFUNCTION("""COMPUTED_VALUE"""),45257)</f>
        <v>45257</v>
      </c>
      <c r="J1022" s="29" t="s">
        <v>3595</v>
      </c>
      <c r="K1022" s="26" t="s">
        <v>3596</v>
      </c>
      <c r="L1022" s="30">
        <v>367487978</v>
      </c>
      <c r="M1022" s="26" t="s">
        <v>2755</v>
      </c>
      <c r="N1022" s="26" t="s">
        <v>2756</v>
      </c>
      <c r="O1022" s="26" t="s">
        <v>2819</v>
      </c>
      <c r="P1022" s="42" t="s">
        <v>4963</v>
      </c>
      <c r="Q1022" s="20">
        <v>15936</v>
      </c>
      <c r="R1022" s="26" t="s">
        <v>70</v>
      </c>
      <c r="S1022" s="31">
        <v>200</v>
      </c>
      <c r="T1022" s="32">
        <v>45269</v>
      </c>
      <c r="U1022" s="31">
        <f>1800+13936</f>
        <v>15736</v>
      </c>
      <c r="V1022" s="26" t="s">
        <v>3598</v>
      </c>
      <c r="W1022" s="33" t="s">
        <v>3599</v>
      </c>
      <c r="X1022" s="26"/>
      <c r="Y1022" s="22">
        <v>0</v>
      </c>
      <c r="Z1022" s="26" t="s">
        <v>118</v>
      </c>
      <c r="AA1022" s="19" t="s">
        <v>4541</v>
      </c>
      <c r="AB1022" s="26" t="s">
        <v>154</v>
      </c>
      <c r="AC1022" s="26" t="s">
        <v>53</v>
      </c>
      <c r="AD1022" s="19" t="s">
        <v>54</v>
      </c>
      <c r="AE1022" s="26" t="s">
        <v>2734</v>
      </c>
      <c r="AF1022" s="43">
        <v>45247</v>
      </c>
      <c r="AG1022" s="26"/>
      <c r="AH1022" s="26"/>
      <c r="AI1022" s="40"/>
      <c r="AJ1022" s="26"/>
      <c r="AK1022" s="26"/>
      <c r="AL1022" s="35"/>
      <c r="AM1022" s="35"/>
      <c r="AN1022" s="35"/>
      <c r="AO1022" s="35"/>
      <c r="AP1022" s="35"/>
    </row>
    <row r="1023" spans="1:42" x14ac:dyDescent="0.2">
      <c r="A1023" s="97">
        <v>45244</v>
      </c>
      <c r="B1023" s="28" t="s">
        <v>37</v>
      </c>
      <c r="C1023" s="41" t="s">
        <v>118</v>
      </c>
      <c r="D1023" s="26" t="s">
        <v>36</v>
      </c>
      <c r="E1023" s="26" t="s">
        <v>56</v>
      </c>
      <c r="F1023" s="26" t="s">
        <v>2889</v>
      </c>
      <c r="G1023" s="26" t="s">
        <v>108</v>
      </c>
      <c r="H1023" s="26" t="s">
        <v>3397</v>
      </c>
      <c r="I1023" s="17">
        <f ca="1">IFERROR(__xludf.DUMMYFUNCTION("""COMPUTED_VALUE"""),45256)</f>
        <v>45256</v>
      </c>
      <c r="J1023" s="29" t="s">
        <v>3747</v>
      </c>
      <c r="K1023" s="26" t="s">
        <v>3748</v>
      </c>
      <c r="L1023" s="30">
        <v>981556401</v>
      </c>
      <c r="M1023" s="26" t="s">
        <v>123</v>
      </c>
      <c r="N1023" s="26" t="s">
        <v>3749</v>
      </c>
      <c r="O1023" s="26" t="s">
        <v>2737</v>
      </c>
      <c r="P1023" s="42" t="s">
        <v>4964</v>
      </c>
      <c r="Q1023" s="20">
        <v>9317</v>
      </c>
      <c r="R1023" s="26" t="s">
        <v>36</v>
      </c>
      <c r="S1023" s="31">
        <v>200</v>
      </c>
      <c r="T1023" s="32">
        <v>45167</v>
      </c>
      <c r="U1023" s="31">
        <f>1800+7317</f>
        <v>9117</v>
      </c>
      <c r="V1023" s="26" t="s">
        <v>3750</v>
      </c>
      <c r="W1023" s="33" t="s">
        <v>3751</v>
      </c>
      <c r="X1023" s="26"/>
      <c r="Y1023" s="22">
        <v>0</v>
      </c>
      <c r="Z1023" s="26" t="s">
        <v>118</v>
      </c>
      <c r="AA1023" s="19" t="s">
        <v>4541</v>
      </c>
      <c r="AB1023" s="26" t="s">
        <v>128</v>
      </c>
      <c r="AC1023" s="26"/>
      <c r="AD1023" s="19" t="s">
        <v>138</v>
      </c>
      <c r="AE1023" s="26" t="s">
        <v>2889</v>
      </c>
      <c r="AF1023" s="17">
        <v>45256</v>
      </c>
      <c r="AG1023" s="26" t="s">
        <v>3399</v>
      </c>
      <c r="AH1023" s="26"/>
      <c r="AI1023" s="40"/>
      <c r="AJ1023" s="26"/>
      <c r="AK1023" s="26"/>
      <c r="AL1023" s="35"/>
      <c r="AM1023" s="35"/>
      <c r="AN1023" s="35"/>
      <c r="AO1023" s="35"/>
      <c r="AP1023" s="35"/>
    </row>
    <row r="1024" spans="1:42" x14ac:dyDescent="0.2">
      <c r="A1024" s="97">
        <v>45244</v>
      </c>
      <c r="B1024" s="28" t="s">
        <v>37</v>
      </c>
      <c r="C1024" s="41" t="s">
        <v>118</v>
      </c>
      <c r="D1024" s="26" t="s">
        <v>36</v>
      </c>
      <c r="E1024" s="26" t="s">
        <v>139</v>
      </c>
      <c r="F1024" s="26" t="s">
        <v>2889</v>
      </c>
      <c r="G1024" s="26" t="s">
        <v>108</v>
      </c>
      <c r="H1024" s="26" t="s">
        <v>3397</v>
      </c>
      <c r="I1024" s="17">
        <f ca="1">IFERROR(__xludf.DUMMYFUNCTION("""COMPUTED_VALUE"""),45256)</f>
        <v>45256</v>
      </c>
      <c r="J1024" s="29" t="s">
        <v>4046</v>
      </c>
      <c r="K1024" s="26" t="s">
        <v>4047</v>
      </c>
      <c r="L1024" s="30">
        <v>945493468</v>
      </c>
      <c r="M1024" s="26" t="s">
        <v>123</v>
      </c>
      <c r="N1024" s="26" t="s">
        <v>850</v>
      </c>
      <c r="O1024" s="26" t="s">
        <v>1226</v>
      </c>
      <c r="P1024" s="42" t="s">
        <v>4965</v>
      </c>
      <c r="Q1024" s="20">
        <v>15936</v>
      </c>
      <c r="R1024" s="26" t="s">
        <v>70</v>
      </c>
      <c r="S1024" s="31">
        <v>2000</v>
      </c>
      <c r="T1024" s="32">
        <v>45202</v>
      </c>
      <c r="U1024" s="31">
        <v>13836</v>
      </c>
      <c r="V1024" s="32">
        <v>45205</v>
      </c>
      <c r="W1024" s="33" t="s">
        <v>4048</v>
      </c>
      <c r="X1024" s="26"/>
      <c r="Y1024" s="22">
        <v>100</v>
      </c>
      <c r="Z1024" s="26" t="s">
        <v>118</v>
      </c>
      <c r="AA1024" s="19" t="s">
        <v>4541</v>
      </c>
      <c r="AB1024" s="26" t="s">
        <v>128</v>
      </c>
      <c r="AC1024" s="26" t="s">
        <v>53</v>
      </c>
      <c r="AD1024" s="19" t="s">
        <v>138</v>
      </c>
      <c r="AE1024" s="26"/>
      <c r="AF1024" s="17">
        <v>45256</v>
      </c>
      <c r="AG1024" s="26" t="s">
        <v>3399</v>
      </c>
      <c r="AH1024" s="26"/>
      <c r="AI1024" s="40"/>
      <c r="AJ1024" s="26"/>
      <c r="AK1024" s="26"/>
      <c r="AL1024" s="35"/>
      <c r="AM1024" s="35"/>
      <c r="AN1024" s="35"/>
      <c r="AO1024" s="35"/>
      <c r="AP1024" s="35"/>
    </row>
    <row r="1025" spans="1:42" x14ac:dyDescent="0.2">
      <c r="A1025" s="97">
        <v>45244</v>
      </c>
      <c r="B1025" s="28" t="s">
        <v>37</v>
      </c>
      <c r="C1025" s="41" t="s">
        <v>118</v>
      </c>
      <c r="D1025" s="26" t="s">
        <v>36</v>
      </c>
      <c r="E1025" s="26" t="s">
        <v>139</v>
      </c>
      <c r="F1025" s="26" t="s">
        <v>2889</v>
      </c>
      <c r="G1025" s="26" t="s">
        <v>108</v>
      </c>
      <c r="H1025" s="26" t="s">
        <v>3397</v>
      </c>
      <c r="I1025" s="17">
        <f ca="1">IFERROR(__xludf.DUMMYFUNCTION("""COMPUTED_VALUE"""),45256)</f>
        <v>45256</v>
      </c>
      <c r="J1025" s="29" t="s">
        <v>3809</v>
      </c>
      <c r="K1025" s="26" t="s">
        <v>3810</v>
      </c>
      <c r="L1025" s="30">
        <v>899512628</v>
      </c>
      <c r="M1025" s="26" t="s">
        <v>123</v>
      </c>
      <c r="N1025" s="26" t="s">
        <v>850</v>
      </c>
      <c r="O1025" s="26" t="s">
        <v>2737</v>
      </c>
      <c r="P1025" s="42" t="s">
        <v>4966</v>
      </c>
      <c r="Q1025" s="20">
        <v>15936</v>
      </c>
      <c r="R1025" s="26" t="s">
        <v>36</v>
      </c>
      <c r="S1025" s="31">
        <v>2000</v>
      </c>
      <c r="T1025" s="32">
        <v>45189</v>
      </c>
      <c r="U1025" s="31">
        <v>13968</v>
      </c>
      <c r="V1025" s="32">
        <v>45205</v>
      </c>
      <c r="W1025" s="33" t="s">
        <v>3811</v>
      </c>
      <c r="X1025" s="26"/>
      <c r="Y1025" s="22">
        <v>-32</v>
      </c>
      <c r="Z1025" s="26" t="s">
        <v>118</v>
      </c>
      <c r="AA1025" s="19" t="s">
        <v>4541</v>
      </c>
      <c r="AB1025" s="26" t="s">
        <v>137</v>
      </c>
      <c r="AC1025" s="26" t="s">
        <v>53</v>
      </c>
      <c r="AD1025" s="19" t="s">
        <v>138</v>
      </c>
      <c r="AE1025" s="26"/>
      <c r="AF1025" s="17">
        <v>45256</v>
      </c>
      <c r="AG1025" s="26" t="s">
        <v>3399</v>
      </c>
      <c r="AH1025" s="26"/>
      <c r="AI1025" s="40"/>
      <c r="AJ1025" s="26"/>
      <c r="AK1025" s="26"/>
      <c r="AL1025" s="35"/>
      <c r="AM1025" s="35"/>
      <c r="AN1025" s="35"/>
      <c r="AO1025" s="35"/>
      <c r="AP1025" s="35"/>
    </row>
    <row r="1026" spans="1:42" x14ac:dyDescent="0.2">
      <c r="A1026" s="97">
        <v>45244</v>
      </c>
      <c r="B1026" s="28" t="s">
        <v>37</v>
      </c>
      <c r="C1026" s="41" t="s">
        <v>118</v>
      </c>
      <c r="D1026" s="26" t="s">
        <v>36</v>
      </c>
      <c r="E1026" s="26" t="s">
        <v>139</v>
      </c>
      <c r="F1026" s="26" t="s">
        <v>2889</v>
      </c>
      <c r="G1026" s="26" t="s">
        <v>108</v>
      </c>
      <c r="H1026" s="26" t="s">
        <v>3397</v>
      </c>
      <c r="I1026" s="17">
        <f ca="1">IFERROR(__xludf.DUMMYFUNCTION("""COMPUTED_VALUE"""),45256)</f>
        <v>45256</v>
      </c>
      <c r="J1026" s="29" t="s">
        <v>3591</v>
      </c>
      <c r="K1026" s="26" t="s">
        <v>3592</v>
      </c>
      <c r="L1026" s="30">
        <v>858104695</v>
      </c>
      <c r="M1026" s="26" t="s">
        <v>910</v>
      </c>
      <c r="N1026" s="26" t="s">
        <v>2841</v>
      </c>
      <c r="O1026" s="26" t="s">
        <v>125</v>
      </c>
      <c r="P1026" s="42" t="s">
        <v>4967</v>
      </c>
      <c r="Q1026" s="20">
        <v>15936</v>
      </c>
      <c r="R1026" s="26" t="s">
        <v>36</v>
      </c>
      <c r="S1026" s="31">
        <v>2000</v>
      </c>
      <c r="T1026" s="32">
        <v>45184</v>
      </c>
      <c r="U1026" s="31">
        <v>13936</v>
      </c>
      <c r="V1026" s="32">
        <v>45213</v>
      </c>
      <c r="W1026" s="33" t="s">
        <v>3594</v>
      </c>
      <c r="X1026" s="26"/>
      <c r="Y1026" s="22">
        <v>0</v>
      </c>
      <c r="Z1026" s="26" t="s">
        <v>118</v>
      </c>
      <c r="AA1026" s="19" t="s">
        <v>4541</v>
      </c>
      <c r="AB1026" s="26" t="s">
        <v>154</v>
      </c>
      <c r="AC1026" s="26" t="s">
        <v>53</v>
      </c>
      <c r="AD1026" s="19" t="s">
        <v>138</v>
      </c>
      <c r="AE1026" s="26"/>
      <c r="AF1026" s="17">
        <v>45256</v>
      </c>
      <c r="AG1026" s="26" t="s">
        <v>3399</v>
      </c>
      <c r="AH1026" s="26"/>
      <c r="AI1026" s="40"/>
      <c r="AJ1026" s="26"/>
      <c r="AK1026" s="26"/>
      <c r="AL1026" s="35"/>
      <c r="AM1026" s="35"/>
      <c r="AN1026" s="35"/>
      <c r="AO1026" s="35"/>
      <c r="AP1026" s="35"/>
    </row>
    <row r="1027" spans="1:42" x14ac:dyDescent="0.2">
      <c r="A1027" s="97">
        <v>45244</v>
      </c>
      <c r="B1027" s="28" t="s">
        <v>37</v>
      </c>
      <c r="C1027" s="41" t="s">
        <v>118</v>
      </c>
      <c r="D1027" s="26" t="s">
        <v>36</v>
      </c>
      <c r="E1027" s="26" t="s">
        <v>56</v>
      </c>
      <c r="F1027" s="26" t="s">
        <v>2889</v>
      </c>
      <c r="G1027" s="26" t="s">
        <v>108</v>
      </c>
      <c r="H1027" s="26" t="s">
        <v>3181</v>
      </c>
      <c r="I1027" s="17">
        <f ca="1">IFERROR(__xludf.DUMMYFUNCTION("""COMPUTED_VALUE"""),45257)</f>
        <v>45257</v>
      </c>
      <c r="J1027" s="44" t="s">
        <v>4968</v>
      </c>
      <c r="K1027" s="26" t="s">
        <v>4969</v>
      </c>
      <c r="L1027" s="30">
        <v>963789993</v>
      </c>
      <c r="M1027" s="26" t="s">
        <v>80</v>
      </c>
      <c r="N1027" s="26" t="s">
        <v>81</v>
      </c>
      <c r="O1027" s="26" t="s">
        <v>4970</v>
      </c>
      <c r="P1027" s="42" t="s">
        <v>4971</v>
      </c>
      <c r="Q1027" s="20">
        <v>9317</v>
      </c>
      <c r="R1027" s="26" t="s">
        <v>36</v>
      </c>
      <c r="S1027" s="31">
        <v>2000</v>
      </c>
      <c r="T1027" s="32">
        <v>45188</v>
      </c>
      <c r="U1027" s="31">
        <v>7317</v>
      </c>
      <c r="V1027" s="32">
        <v>45217</v>
      </c>
      <c r="W1027" s="33" t="s">
        <v>4972</v>
      </c>
      <c r="X1027" s="26"/>
      <c r="Y1027" s="22">
        <v>0</v>
      </c>
      <c r="Z1027" s="26" t="s">
        <v>118</v>
      </c>
      <c r="AA1027" s="19" t="s">
        <v>4541</v>
      </c>
      <c r="AB1027" s="26" t="s">
        <v>128</v>
      </c>
      <c r="AC1027" s="26" t="s">
        <v>53</v>
      </c>
      <c r="AD1027" s="19" t="s">
        <v>138</v>
      </c>
      <c r="AE1027" s="26">
        <v>0</v>
      </c>
      <c r="AF1027" s="43">
        <v>45247</v>
      </c>
      <c r="AG1027" s="26"/>
      <c r="AH1027" s="26"/>
      <c r="AI1027" s="40"/>
      <c r="AJ1027" s="26"/>
      <c r="AK1027" s="26"/>
      <c r="AL1027" s="35"/>
      <c r="AM1027" s="35"/>
      <c r="AN1027" s="35"/>
      <c r="AO1027" s="35"/>
      <c r="AP1027" s="35"/>
    </row>
    <row r="1028" spans="1:42" x14ac:dyDescent="0.2">
      <c r="A1028" s="97">
        <v>45244</v>
      </c>
      <c r="B1028" s="28" t="s">
        <v>37</v>
      </c>
      <c r="C1028" s="41" t="s">
        <v>118</v>
      </c>
      <c r="D1028" s="26" t="s">
        <v>36</v>
      </c>
      <c r="E1028" s="26" t="s">
        <v>77</v>
      </c>
      <c r="F1028" s="26" t="s">
        <v>36</v>
      </c>
      <c r="G1028" s="26" t="s">
        <v>41</v>
      </c>
      <c r="H1028" s="26" t="s">
        <v>3414</v>
      </c>
      <c r="I1028" s="17">
        <f ca="1">IFERROR(__xludf.DUMMYFUNCTION("""COMPUTED_VALUE"""),45240)</f>
        <v>45240</v>
      </c>
      <c r="J1028" s="29" t="s">
        <v>4939</v>
      </c>
      <c r="K1028" s="26" t="s">
        <v>4973</v>
      </c>
      <c r="L1028" s="30">
        <v>382082289</v>
      </c>
      <c r="M1028" s="26" t="s">
        <v>112</v>
      </c>
      <c r="N1028" s="26" t="s">
        <v>113</v>
      </c>
      <c r="O1028" s="26" t="s">
        <v>36</v>
      </c>
      <c r="P1028" s="26" t="s">
        <v>2941</v>
      </c>
      <c r="Q1028" s="20">
        <v>1968</v>
      </c>
      <c r="R1028" s="26" t="s">
        <v>36</v>
      </c>
      <c r="S1028" s="31">
        <v>1884</v>
      </c>
      <c r="T1028" s="32">
        <v>44957</v>
      </c>
      <c r="U1028" s="31"/>
      <c r="V1028" s="26"/>
      <c r="W1028" s="33" t="s">
        <v>4941</v>
      </c>
      <c r="X1028" s="26"/>
      <c r="Y1028" s="22">
        <v>84</v>
      </c>
      <c r="Z1028" s="26" t="s">
        <v>118</v>
      </c>
      <c r="AA1028" s="19" t="s">
        <v>4541</v>
      </c>
      <c r="AB1028" s="26" t="s">
        <v>104</v>
      </c>
      <c r="AC1028" s="26" t="s">
        <v>53</v>
      </c>
      <c r="AD1028" s="19" t="s">
        <v>138</v>
      </c>
      <c r="AE1028" s="26" t="s">
        <v>4942</v>
      </c>
      <c r="AF1028" s="17">
        <v>45244</v>
      </c>
      <c r="AG1028" s="26" t="s">
        <v>4974</v>
      </c>
      <c r="AH1028" s="26"/>
      <c r="AI1028" s="40"/>
      <c r="AJ1028" s="26"/>
      <c r="AK1028" s="26"/>
      <c r="AL1028" s="35"/>
      <c r="AM1028" s="35"/>
      <c r="AN1028" s="35"/>
      <c r="AO1028" s="35"/>
      <c r="AP1028" s="35"/>
    </row>
    <row r="1029" spans="1:42" x14ac:dyDescent="0.2">
      <c r="A1029" s="97">
        <v>45245</v>
      </c>
      <c r="B1029" s="28"/>
      <c r="C1029" s="41" t="s">
        <v>118</v>
      </c>
      <c r="D1029" s="26" t="s">
        <v>36</v>
      </c>
      <c r="E1029" s="26" t="s">
        <v>139</v>
      </c>
      <c r="F1029" s="26" t="s">
        <v>1513</v>
      </c>
      <c r="G1029" s="26" t="s">
        <v>108</v>
      </c>
      <c r="H1029" s="26" t="s">
        <v>4975</v>
      </c>
      <c r="I1029" s="17" t="str">
        <f ca="1">IFERROR(__xludf.DUMMYFUNCTION("""COMPUTED_VALUE""")," ")</f>
        <v xml:space="preserve"> </v>
      </c>
      <c r="J1029" s="29" t="s">
        <v>3474</v>
      </c>
      <c r="K1029" s="26" t="s">
        <v>3475</v>
      </c>
      <c r="L1029" s="30">
        <v>869485869</v>
      </c>
      <c r="M1029" s="26" t="s">
        <v>123</v>
      </c>
      <c r="N1029" s="26" t="s">
        <v>850</v>
      </c>
      <c r="O1029" s="26" t="s">
        <v>3476</v>
      </c>
      <c r="P1029" s="42" t="s">
        <v>4976</v>
      </c>
      <c r="Q1029" s="20">
        <v>15936</v>
      </c>
      <c r="R1029" s="26" t="s">
        <v>36</v>
      </c>
      <c r="S1029" s="31">
        <v>250</v>
      </c>
      <c r="T1029" s="32">
        <v>45162</v>
      </c>
      <c r="U1029" s="31">
        <f>1750+13936</f>
        <v>15686</v>
      </c>
      <c r="V1029" s="26" t="s">
        <v>3478</v>
      </c>
      <c r="W1029" s="33" t="s">
        <v>3479</v>
      </c>
      <c r="X1029" s="26"/>
      <c r="Y1029" s="22">
        <v>0</v>
      </c>
      <c r="Z1029" s="26" t="s">
        <v>118</v>
      </c>
      <c r="AA1029" s="19" t="s">
        <v>3454</v>
      </c>
      <c r="AB1029" s="26" t="s">
        <v>128</v>
      </c>
      <c r="AC1029" s="26" t="s">
        <v>53</v>
      </c>
      <c r="AD1029" s="19" t="s">
        <v>54</v>
      </c>
      <c r="AE1029" s="26"/>
      <c r="AF1029" s="43">
        <v>45247</v>
      </c>
      <c r="AG1029" s="26"/>
      <c r="AH1029" s="26"/>
      <c r="AI1029" s="40"/>
      <c r="AJ1029" s="26"/>
      <c r="AK1029" s="26"/>
      <c r="AL1029" s="35"/>
      <c r="AM1029" s="35"/>
      <c r="AN1029" s="35"/>
      <c r="AO1029" s="35"/>
      <c r="AP1029" s="35"/>
    </row>
    <row r="1030" spans="1:42" x14ac:dyDescent="0.2">
      <c r="A1030" s="97">
        <v>45246</v>
      </c>
      <c r="B1030" s="28" t="s">
        <v>37</v>
      </c>
      <c r="C1030" s="41" t="s">
        <v>118</v>
      </c>
      <c r="D1030" s="26" t="s">
        <v>36</v>
      </c>
      <c r="E1030" s="26" t="s">
        <v>139</v>
      </c>
      <c r="F1030" s="26" t="s">
        <v>2734</v>
      </c>
      <c r="G1030" s="26" t="s">
        <v>108</v>
      </c>
      <c r="H1030" s="26" t="s">
        <v>2393</v>
      </c>
      <c r="I1030" s="17">
        <f ca="1">IFERROR(__xludf.DUMMYFUNCTION("""COMPUTED_VALUE"""),45257)</f>
        <v>45257</v>
      </c>
      <c r="J1030" s="29" t="s">
        <v>3600</v>
      </c>
      <c r="K1030" s="26" t="s">
        <v>3601</v>
      </c>
      <c r="L1030" s="30">
        <v>981920551</v>
      </c>
      <c r="M1030" s="26" t="s">
        <v>123</v>
      </c>
      <c r="N1030" s="26" t="s">
        <v>186</v>
      </c>
      <c r="O1030" s="26" t="s">
        <v>1226</v>
      </c>
      <c r="P1030" s="42" t="s">
        <v>4977</v>
      </c>
      <c r="Q1030" s="20">
        <v>15936</v>
      </c>
      <c r="R1030" s="26" t="s">
        <v>36</v>
      </c>
      <c r="S1030" s="31">
        <v>1968</v>
      </c>
      <c r="T1030" s="32">
        <v>45185</v>
      </c>
      <c r="U1030" s="31">
        <v>13968</v>
      </c>
      <c r="V1030" s="32">
        <v>45209</v>
      </c>
      <c r="W1030" s="33" t="s">
        <v>3603</v>
      </c>
      <c r="X1030" s="26"/>
      <c r="Y1030" s="22">
        <v>0</v>
      </c>
      <c r="Z1030" s="26" t="s">
        <v>118</v>
      </c>
      <c r="AA1030" s="19" t="s">
        <v>3454</v>
      </c>
      <c r="AB1030" s="26" t="s">
        <v>128</v>
      </c>
      <c r="AC1030" s="26" t="s">
        <v>53</v>
      </c>
      <c r="AD1030" s="19" t="s">
        <v>54</v>
      </c>
      <c r="AE1030" s="26"/>
      <c r="AF1030" s="43">
        <v>45247</v>
      </c>
      <c r="AG1030" s="26"/>
      <c r="AH1030" s="26"/>
      <c r="AI1030" s="40"/>
      <c r="AJ1030" s="26"/>
      <c r="AK1030" s="26"/>
      <c r="AL1030" s="35"/>
      <c r="AM1030" s="35"/>
      <c r="AN1030" s="35"/>
      <c r="AO1030" s="35"/>
      <c r="AP1030" s="35"/>
    </row>
    <row r="1031" spans="1:42" x14ac:dyDescent="0.2">
      <c r="A1031" s="97">
        <v>45246</v>
      </c>
      <c r="B1031" s="28" t="s">
        <v>37</v>
      </c>
      <c r="C1031" s="41" t="s">
        <v>118</v>
      </c>
      <c r="D1031" s="26" t="s">
        <v>36</v>
      </c>
      <c r="E1031" s="26" t="s">
        <v>148</v>
      </c>
      <c r="F1031" s="26" t="s">
        <v>3314</v>
      </c>
      <c r="G1031" s="26" t="s">
        <v>221</v>
      </c>
      <c r="H1031" s="26" t="s">
        <v>4646</v>
      </c>
      <c r="I1031" s="17">
        <f ca="1">IFERROR(__xludf.DUMMYFUNCTION("""COMPUTED_VALUE"""),45370)</f>
        <v>45370</v>
      </c>
      <c r="J1031" s="29" t="s">
        <v>3315</v>
      </c>
      <c r="K1031" s="26" t="s">
        <v>4978</v>
      </c>
      <c r="L1031" s="30">
        <v>352223005</v>
      </c>
      <c r="M1031" s="26" t="s">
        <v>80</v>
      </c>
      <c r="N1031" s="26" t="s">
        <v>87</v>
      </c>
      <c r="O1031" s="26"/>
      <c r="P1031" s="26">
        <v>838625455</v>
      </c>
      <c r="Q1031" s="20">
        <v>7349</v>
      </c>
      <c r="R1031" s="26" t="s">
        <v>36</v>
      </c>
      <c r="S1031" s="31">
        <v>14055</v>
      </c>
      <c r="T1031" s="32">
        <v>44927</v>
      </c>
      <c r="U1031" s="26"/>
      <c r="V1031" s="32"/>
      <c r="W1031" s="33" t="s">
        <v>3317</v>
      </c>
      <c r="X1031" s="26">
        <v>0</v>
      </c>
      <c r="Y1031" s="22">
        <v>0</v>
      </c>
      <c r="Z1031" s="26" t="s">
        <v>118</v>
      </c>
      <c r="AA1031" s="19" t="s">
        <v>3318</v>
      </c>
      <c r="AB1031" s="26"/>
      <c r="AC1031" s="26" t="s">
        <v>53</v>
      </c>
      <c r="AD1031" s="19" t="s">
        <v>54</v>
      </c>
      <c r="AE1031" s="26" t="s">
        <v>3314</v>
      </c>
      <c r="AF1031" s="17">
        <v>45362</v>
      </c>
      <c r="AG1031" s="91"/>
      <c r="AH1031" s="26"/>
      <c r="AI1031" s="92"/>
      <c r="AJ1031" s="35"/>
      <c r="AK1031" s="35"/>
      <c r="AL1031" s="35"/>
      <c r="AM1031" s="35"/>
      <c r="AN1031" s="26"/>
      <c r="AO1031" s="26"/>
      <c r="AP1031" s="35"/>
    </row>
    <row r="1032" spans="1:42" x14ac:dyDescent="0.2">
      <c r="A1032" s="97">
        <v>45246</v>
      </c>
      <c r="B1032" s="28" t="s">
        <v>1703</v>
      </c>
      <c r="C1032" s="41" t="s">
        <v>118</v>
      </c>
      <c r="D1032" s="26" t="s">
        <v>36</v>
      </c>
      <c r="E1032" s="26" t="s">
        <v>4128</v>
      </c>
      <c r="F1032" s="26" t="s">
        <v>221</v>
      </c>
      <c r="G1032" s="26" t="s">
        <v>1705</v>
      </c>
      <c r="H1032" s="26" t="s">
        <v>865</v>
      </c>
      <c r="I1032" s="17" t="str">
        <f ca="1">IFERROR(__xludf.DUMMYFUNCTION("""COMPUTED_VALUE""")," ")</f>
        <v xml:space="preserve"> </v>
      </c>
      <c r="J1032" s="111" t="s">
        <v>3315</v>
      </c>
      <c r="K1032" s="19" t="s">
        <v>4978</v>
      </c>
      <c r="L1032" s="30">
        <v>352223005</v>
      </c>
      <c r="M1032" s="26" t="s">
        <v>80</v>
      </c>
      <c r="N1032" s="26" t="s">
        <v>87</v>
      </c>
      <c r="O1032" s="26"/>
      <c r="P1032" s="26"/>
      <c r="Q1032" s="20">
        <v>4268</v>
      </c>
      <c r="R1032" s="26" t="s">
        <v>36</v>
      </c>
      <c r="S1032" s="31">
        <v>14055</v>
      </c>
      <c r="T1032" s="32">
        <v>44927</v>
      </c>
      <c r="U1032" s="26"/>
      <c r="V1032" s="32"/>
      <c r="W1032" s="33" t="s">
        <v>3317</v>
      </c>
      <c r="X1032" s="26">
        <v>0</v>
      </c>
      <c r="Y1032" s="22">
        <v>0</v>
      </c>
      <c r="Z1032" s="26" t="s">
        <v>118</v>
      </c>
      <c r="AA1032" s="19" t="s">
        <v>3318</v>
      </c>
      <c r="AB1032" s="26"/>
      <c r="AC1032" s="26" t="s">
        <v>53</v>
      </c>
      <c r="AD1032" s="19" t="s">
        <v>54</v>
      </c>
      <c r="AE1032" s="26" t="s">
        <v>4979</v>
      </c>
      <c r="AF1032" s="17"/>
      <c r="AG1032" s="91"/>
      <c r="AH1032" s="26"/>
      <c r="AI1032" s="92"/>
      <c r="AJ1032" s="35"/>
      <c r="AK1032" s="35"/>
      <c r="AL1032" s="35"/>
      <c r="AM1032" s="35"/>
      <c r="AN1032" s="26"/>
      <c r="AO1032" s="26"/>
      <c r="AP1032" s="26"/>
    </row>
    <row r="1033" spans="1:42" x14ac:dyDescent="0.2">
      <c r="A1033" s="97">
        <v>45247</v>
      </c>
      <c r="B1033" s="28" t="s">
        <v>37</v>
      </c>
      <c r="C1033" s="41" t="s">
        <v>118</v>
      </c>
      <c r="D1033" s="26" t="s">
        <v>36</v>
      </c>
      <c r="E1033" s="26" t="s">
        <v>139</v>
      </c>
      <c r="F1033" s="26" t="s">
        <v>3112</v>
      </c>
      <c r="G1033" s="26" t="s">
        <v>108</v>
      </c>
      <c r="H1033" s="26" t="s">
        <v>4869</v>
      </c>
      <c r="I1033" s="17">
        <f ca="1">IFERROR(__xludf.DUMMYFUNCTION("""COMPUTED_VALUE"""),45300)</f>
        <v>45300</v>
      </c>
      <c r="J1033" s="29" t="s">
        <v>3894</v>
      </c>
      <c r="K1033" s="26" t="s">
        <v>4980</v>
      </c>
      <c r="L1033" s="30">
        <v>332054621</v>
      </c>
      <c r="M1033" s="26" t="s">
        <v>123</v>
      </c>
      <c r="N1033" s="26" t="s">
        <v>2397</v>
      </c>
      <c r="O1033" s="26" t="s">
        <v>1226</v>
      </c>
      <c r="P1033" s="42" t="s">
        <v>4981</v>
      </c>
      <c r="Q1033" s="20">
        <v>15936</v>
      </c>
      <c r="R1033" s="26" t="s">
        <v>36</v>
      </c>
      <c r="S1033" s="31">
        <v>200</v>
      </c>
      <c r="T1033" s="32">
        <v>45191</v>
      </c>
      <c r="U1033" s="31">
        <v>15736</v>
      </c>
      <c r="V1033" s="26" t="s">
        <v>3896</v>
      </c>
      <c r="W1033" s="55" t="s">
        <v>3897</v>
      </c>
      <c r="X1033" s="55" t="s">
        <v>3898</v>
      </c>
      <c r="Y1033" s="22" t="s">
        <v>2340</v>
      </c>
      <c r="Z1033" s="26" t="s">
        <v>118</v>
      </c>
      <c r="AA1033" s="19" t="s">
        <v>3454</v>
      </c>
      <c r="AB1033" s="26"/>
      <c r="AC1033" s="26" t="s">
        <v>53</v>
      </c>
      <c r="AD1033" s="19" t="s">
        <v>138</v>
      </c>
      <c r="AE1033" s="26"/>
      <c r="AF1033" s="17">
        <v>45300</v>
      </c>
      <c r="AG1033" s="26" t="s">
        <v>3397</v>
      </c>
      <c r="AH1033" s="26"/>
      <c r="AI1033" s="40"/>
      <c r="AJ1033" s="26"/>
      <c r="AK1033" s="26"/>
      <c r="AL1033" s="35"/>
      <c r="AM1033" s="35"/>
      <c r="AN1033" s="35"/>
      <c r="AO1033" s="35"/>
      <c r="AP1033" s="35"/>
    </row>
    <row r="1034" spans="1:42" x14ac:dyDescent="0.2">
      <c r="A1034" s="97">
        <v>45250</v>
      </c>
      <c r="B1034" s="28" t="s">
        <v>37</v>
      </c>
      <c r="C1034" s="41" t="s">
        <v>118</v>
      </c>
      <c r="D1034" s="26" t="s">
        <v>36</v>
      </c>
      <c r="E1034" s="26" t="s">
        <v>119</v>
      </c>
      <c r="F1034" s="26" t="s">
        <v>338</v>
      </c>
      <c r="G1034" s="26" t="s">
        <v>221</v>
      </c>
      <c r="H1034" s="26" t="s">
        <v>4982</v>
      </c>
      <c r="I1034" s="17">
        <f ca="1">IFERROR(__xludf.DUMMYFUNCTION("""COMPUTED_VALUE"""),45257)</f>
        <v>45257</v>
      </c>
      <c r="J1034" s="29" t="s">
        <v>1034</v>
      </c>
      <c r="K1034" s="26" t="s">
        <v>4983</v>
      </c>
      <c r="L1034" s="30">
        <v>964458529</v>
      </c>
      <c r="M1034" s="26" t="s">
        <v>80</v>
      </c>
      <c r="N1034" s="26" t="s">
        <v>87</v>
      </c>
      <c r="O1034" s="26" t="s">
        <v>1036</v>
      </c>
      <c r="P1034" s="26" t="s">
        <v>1037</v>
      </c>
      <c r="Q1034" s="20">
        <v>13968</v>
      </c>
      <c r="R1034" s="26" t="s">
        <v>36</v>
      </c>
      <c r="S1034" s="31">
        <v>4000</v>
      </c>
      <c r="T1034" s="32">
        <v>45121</v>
      </c>
      <c r="U1034" s="31">
        <v>9968</v>
      </c>
      <c r="V1034" s="38">
        <v>45153</v>
      </c>
      <c r="W1034" s="33" t="s">
        <v>1038</v>
      </c>
      <c r="X1034" s="26">
        <v>0</v>
      </c>
      <c r="Y1034" s="22">
        <v>0</v>
      </c>
      <c r="Z1034" s="26" t="s">
        <v>118</v>
      </c>
      <c r="AA1034" s="19" t="s">
        <v>901</v>
      </c>
      <c r="AB1034" s="26" t="s">
        <v>104</v>
      </c>
      <c r="AC1034" s="26" t="s">
        <v>53</v>
      </c>
      <c r="AD1034" s="19" t="s">
        <v>54</v>
      </c>
      <c r="AE1034" s="26" t="s">
        <v>338</v>
      </c>
      <c r="AF1034" s="17">
        <v>45250</v>
      </c>
      <c r="AG1034" s="26"/>
      <c r="AH1034" s="26">
        <v>1</v>
      </c>
      <c r="AI1034" s="40">
        <v>4</v>
      </c>
      <c r="AJ1034" s="26"/>
      <c r="AK1034" s="26"/>
      <c r="AL1034" s="35"/>
      <c r="AM1034" s="35"/>
      <c r="AN1034" s="35"/>
      <c r="AO1034" s="35"/>
      <c r="AP1034" s="35"/>
    </row>
    <row r="1035" spans="1:42" x14ac:dyDescent="0.2">
      <c r="A1035" s="97">
        <v>45250</v>
      </c>
      <c r="B1035" s="28" t="s">
        <v>37</v>
      </c>
      <c r="C1035" s="41" t="s">
        <v>118</v>
      </c>
      <c r="D1035" s="26" t="s">
        <v>36</v>
      </c>
      <c r="E1035" s="26" t="s">
        <v>119</v>
      </c>
      <c r="F1035" s="26" t="s">
        <v>338</v>
      </c>
      <c r="G1035" s="26" t="s">
        <v>221</v>
      </c>
      <c r="H1035" s="26" t="s">
        <v>4982</v>
      </c>
      <c r="I1035" s="17">
        <f ca="1">IFERROR(__xludf.DUMMYFUNCTION("""COMPUTED_VALUE"""),45257)</f>
        <v>45257</v>
      </c>
      <c r="J1035" s="29" t="s">
        <v>949</v>
      </c>
      <c r="K1035" s="26" t="s">
        <v>950</v>
      </c>
      <c r="L1035" s="30">
        <v>979716998</v>
      </c>
      <c r="M1035" s="26" t="s">
        <v>80</v>
      </c>
      <c r="N1035" s="26" t="s">
        <v>299</v>
      </c>
      <c r="O1035" s="26" t="s">
        <v>951</v>
      </c>
      <c r="P1035" s="26" t="s">
        <v>952</v>
      </c>
      <c r="Q1035" s="20">
        <v>13968</v>
      </c>
      <c r="R1035" s="26" t="s">
        <v>36</v>
      </c>
      <c r="S1035" s="31">
        <v>4000</v>
      </c>
      <c r="T1035" s="32">
        <v>45116</v>
      </c>
      <c r="U1035" s="31">
        <v>9968</v>
      </c>
      <c r="V1035" s="32">
        <v>45145</v>
      </c>
      <c r="W1035" s="33" t="s">
        <v>953</v>
      </c>
      <c r="X1035" s="26">
        <v>0</v>
      </c>
      <c r="Y1035" s="22">
        <v>0</v>
      </c>
      <c r="Z1035" s="26" t="s">
        <v>118</v>
      </c>
      <c r="AA1035" s="19" t="s">
        <v>901</v>
      </c>
      <c r="AB1035" s="26" t="s">
        <v>104</v>
      </c>
      <c r="AC1035" s="26" t="s">
        <v>53</v>
      </c>
      <c r="AD1035" s="19" t="s">
        <v>54</v>
      </c>
      <c r="AE1035" s="26" t="s">
        <v>338</v>
      </c>
      <c r="AF1035" s="17">
        <v>45250</v>
      </c>
      <c r="AG1035" s="26"/>
      <c r="AH1035" s="26">
        <v>1</v>
      </c>
      <c r="AI1035" s="40">
        <v>4</v>
      </c>
      <c r="AJ1035" s="26"/>
      <c r="AK1035" s="26"/>
      <c r="AL1035" s="35"/>
      <c r="AM1035" s="35"/>
      <c r="AN1035" s="35"/>
      <c r="AO1035" s="35"/>
      <c r="AP1035" s="35"/>
    </row>
    <row r="1036" spans="1:42" x14ac:dyDescent="0.2">
      <c r="A1036" s="97">
        <v>45251</v>
      </c>
      <c r="B1036" s="28" t="s">
        <v>37</v>
      </c>
      <c r="C1036" s="41" t="s">
        <v>118</v>
      </c>
      <c r="D1036" s="26" t="s">
        <v>36</v>
      </c>
      <c r="E1036" s="26" t="s">
        <v>139</v>
      </c>
      <c r="F1036" s="26" t="s">
        <v>3899</v>
      </c>
      <c r="G1036" s="26" t="s">
        <v>108</v>
      </c>
      <c r="H1036" s="26" t="s">
        <v>4984</v>
      </c>
      <c r="I1036" s="17">
        <f ca="1">IFERROR(__xludf.DUMMYFUNCTION("""COMPUTED_VALUE"""),45264)</f>
        <v>45264</v>
      </c>
      <c r="J1036" s="29" t="s">
        <v>4013</v>
      </c>
      <c r="K1036" s="26" t="s">
        <v>4014</v>
      </c>
      <c r="L1036" s="30">
        <v>332965205</v>
      </c>
      <c r="M1036" s="26" t="s">
        <v>80</v>
      </c>
      <c r="N1036" s="26" t="s">
        <v>81</v>
      </c>
      <c r="O1036" s="26" t="s">
        <v>4015</v>
      </c>
      <c r="P1036" s="42" t="s">
        <v>4985</v>
      </c>
      <c r="Q1036" s="20">
        <v>15936</v>
      </c>
      <c r="R1036" s="26" t="s">
        <v>36</v>
      </c>
      <c r="S1036" s="31">
        <v>200</v>
      </c>
      <c r="T1036" s="32">
        <v>45199</v>
      </c>
      <c r="U1036" s="31">
        <f>3800+11936</f>
        <v>15736</v>
      </c>
      <c r="V1036" s="26" t="s">
        <v>4016</v>
      </c>
      <c r="W1036" s="33" t="s">
        <v>4017</v>
      </c>
      <c r="X1036" s="26"/>
      <c r="Y1036" s="22">
        <v>0</v>
      </c>
      <c r="Z1036" s="26" t="s">
        <v>118</v>
      </c>
      <c r="AA1036" s="19" t="s">
        <v>3454</v>
      </c>
      <c r="AB1036" s="26" t="s">
        <v>128</v>
      </c>
      <c r="AC1036" s="26" t="s">
        <v>53</v>
      </c>
      <c r="AD1036" s="19" t="s">
        <v>138</v>
      </c>
      <c r="AE1036" s="26" t="s">
        <v>3899</v>
      </c>
      <c r="AF1036" s="17">
        <v>45264</v>
      </c>
      <c r="AG1036" s="26" t="s">
        <v>1362</v>
      </c>
      <c r="AH1036" s="26"/>
      <c r="AI1036" s="40"/>
      <c r="AJ1036" s="26"/>
      <c r="AK1036" s="26"/>
      <c r="AL1036" s="35"/>
      <c r="AM1036" s="35"/>
      <c r="AN1036" s="35"/>
      <c r="AO1036" s="35"/>
      <c r="AP1036" s="35"/>
    </row>
    <row r="1037" spans="1:42" x14ac:dyDescent="0.2">
      <c r="A1037" s="97">
        <v>45251</v>
      </c>
      <c r="B1037" s="28" t="s">
        <v>37</v>
      </c>
      <c r="C1037" s="41" t="s">
        <v>118</v>
      </c>
      <c r="D1037" s="26" t="s">
        <v>36</v>
      </c>
      <c r="E1037" s="26" t="s">
        <v>139</v>
      </c>
      <c r="F1037" s="26" t="s">
        <v>3899</v>
      </c>
      <c r="G1037" s="26" t="s">
        <v>108</v>
      </c>
      <c r="H1037" s="26" t="s">
        <v>4984</v>
      </c>
      <c r="I1037" s="17">
        <f ca="1">IFERROR(__xludf.DUMMYFUNCTION("""COMPUTED_VALUE"""),45264)</f>
        <v>45264</v>
      </c>
      <c r="J1037" s="29" t="s">
        <v>4122</v>
      </c>
      <c r="K1037" s="26" t="s">
        <v>4123</v>
      </c>
      <c r="L1037" s="30">
        <v>338703995</v>
      </c>
      <c r="M1037" s="26" t="s">
        <v>3728</v>
      </c>
      <c r="N1037" s="26" t="s">
        <v>4124</v>
      </c>
      <c r="O1037" s="26" t="s">
        <v>4125</v>
      </c>
      <c r="P1037" s="42" t="s">
        <v>4986</v>
      </c>
      <c r="Q1037" s="20">
        <v>15936</v>
      </c>
      <c r="R1037" s="26" t="s">
        <v>36</v>
      </c>
      <c r="S1037" s="31">
        <v>15936</v>
      </c>
      <c r="T1037" s="32">
        <v>45207</v>
      </c>
      <c r="U1037" s="31"/>
      <c r="V1037" s="26"/>
      <c r="W1037" s="33" t="s">
        <v>4127</v>
      </c>
      <c r="X1037" s="26"/>
      <c r="Y1037" s="22">
        <v>0</v>
      </c>
      <c r="Z1037" s="26" t="s">
        <v>118</v>
      </c>
      <c r="AA1037" s="19" t="s">
        <v>3454</v>
      </c>
      <c r="AB1037" s="26" t="s">
        <v>128</v>
      </c>
      <c r="AC1037" s="26" t="s">
        <v>53</v>
      </c>
      <c r="AD1037" s="19" t="s">
        <v>138</v>
      </c>
      <c r="AE1037" s="26" t="s">
        <v>3899</v>
      </c>
      <c r="AF1037" s="17">
        <v>45264</v>
      </c>
      <c r="AG1037" s="26" t="s">
        <v>1362</v>
      </c>
      <c r="AH1037" s="26"/>
      <c r="AI1037" s="40"/>
      <c r="AJ1037" s="26"/>
      <c r="AK1037" s="26"/>
      <c r="AL1037" s="35"/>
      <c r="AM1037" s="35"/>
      <c r="AN1037" s="35"/>
      <c r="AO1037" s="35"/>
      <c r="AP1037" s="35"/>
    </row>
    <row r="1038" spans="1:42" x14ac:dyDescent="0.2">
      <c r="A1038" s="97">
        <v>45251</v>
      </c>
      <c r="B1038" s="28" t="s">
        <v>37</v>
      </c>
      <c r="C1038" s="41" t="s">
        <v>118</v>
      </c>
      <c r="D1038" s="26" t="s">
        <v>36</v>
      </c>
      <c r="E1038" s="26" t="s">
        <v>56</v>
      </c>
      <c r="F1038" s="26" t="s">
        <v>3899</v>
      </c>
      <c r="G1038" s="26" t="s">
        <v>108</v>
      </c>
      <c r="H1038" s="26" t="s">
        <v>4984</v>
      </c>
      <c r="I1038" s="17">
        <f ca="1">IFERROR(__xludf.DUMMYFUNCTION("""COMPUTED_VALUE"""),45264)</f>
        <v>45264</v>
      </c>
      <c r="J1038" s="29" t="s">
        <v>4170</v>
      </c>
      <c r="K1038" s="26" t="s">
        <v>4171</v>
      </c>
      <c r="L1038" s="30">
        <v>961082248</v>
      </c>
      <c r="M1038" s="26" t="s">
        <v>123</v>
      </c>
      <c r="N1038" s="26" t="s">
        <v>850</v>
      </c>
      <c r="O1038" s="26" t="s">
        <v>1226</v>
      </c>
      <c r="P1038" s="42" t="s">
        <v>4987</v>
      </c>
      <c r="Q1038" s="20">
        <v>9317</v>
      </c>
      <c r="R1038" s="26" t="s">
        <v>36</v>
      </c>
      <c r="S1038" s="31">
        <v>2000</v>
      </c>
      <c r="T1038" s="32">
        <v>45209</v>
      </c>
      <c r="U1038" s="31">
        <v>7317</v>
      </c>
      <c r="V1038" s="32">
        <v>45230</v>
      </c>
      <c r="W1038" s="33" t="s">
        <v>4172</v>
      </c>
      <c r="X1038" s="26"/>
      <c r="Y1038" s="22">
        <v>0</v>
      </c>
      <c r="Z1038" s="26" t="s">
        <v>118</v>
      </c>
      <c r="AA1038" s="19" t="s">
        <v>3454</v>
      </c>
      <c r="AB1038" s="26" t="s">
        <v>128</v>
      </c>
      <c r="AC1038" s="26" t="s">
        <v>53</v>
      </c>
      <c r="AD1038" s="19" t="s">
        <v>138</v>
      </c>
      <c r="AE1038" s="26" t="s">
        <v>3899</v>
      </c>
      <c r="AF1038" s="17">
        <v>45264</v>
      </c>
      <c r="AG1038" s="26" t="s">
        <v>1362</v>
      </c>
      <c r="AH1038" s="26"/>
      <c r="AI1038" s="40"/>
      <c r="AJ1038" s="26"/>
      <c r="AK1038" s="26"/>
      <c r="AL1038" s="35"/>
      <c r="AM1038" s="35"/>
      <c r="AN1038" s="35"/>
      <c r="AO1038" s="35"/>
      <c r="AP1038" s="35"/>
    </row>
    <row r="1039" spans="1:42" x14ac:dyDescent="0.2">
      <c r="A1039" s="97">
        <v>45251</v>
      </c>
      <c r="B1039" s="28" t="s">
        <v>37</v>
      </c>
      <c r="C1039" s="41" t="s">
        <v>118</v>
      </c>
      <c r="D1039" s="26" t="s">
        <v>36</v>
      </c>
      <c r="E1039" s="26" t="s">
        <v>139</v>
      </c>
      <c r="F1039" s="26" t="s">
        <v>3899</v>
      </c>
      <c r="G1039" s="26" t="s">
        <v>108</v>
      </c>
      <c r="H1039" s="26" t="s">
        <v>4984</v>
      </c>
      <c r="I1039" s="17">
        <f ca="1">IFERROR(__xludf.DUMMYFUNCTION("""COMPUTED_VALUE"""),45264)</f>
        <v>45264</v>
      </c>
      <c r="J1039" s="29" t="s">
        <v>4146</v>
      </c>
      <c r="K1039" s="26" t="s">
        <v>4147</v>
      </c>
      <c r="L1039" s="30">
        <v>865510229</v>
      </c>
      <c r="M1039" s="26" t="s">
        <v>59</v>
      </c>
      <c r="N1039" s="26" t="s">
        <v>260</v>
      </c>
      <c r="O1039" s="26" t="s">
        <v>4148</v>
      </c>
      <c r="P1039" s="42" t="s">
        <v>4149</v>
      </c>
      <c r="Q1039" s="20">
        <v>15936</v>
      </c>
      <c r="R1039" s="26" t="s">
        <v>36</v>
      </c>
      <c r="S1039" s="31">
        <v>15963</v>
      </c>
      <c r="T1039" s="32">
        <v>45200</v>
      </c>
      <c r="U1039" s="31"/>
      <c r="V1039" s="26"/>
      <c r="W1039" s="33" t="s">
        <v>4150</v>
      </c>
      <c r="X1039" s="26"/>
      <c r="Y1039" s="22">
        <v>-27</v>
      </c>
      <c r="Z1039" s="26" t="s">
        <v>118</v>
      </c>
      <c r="AA1039" s="19" t="s">
        <v>3454</v>
      </c>
      <c r="AB1039" s="26" t="s">
        <v>128</v>
      </c>
      <c r="AC1039" s="26" t="s">
        <v>53</v>
      </c>
      <c r="AD1039" s="19" t="s">
        <v>138</v>
      </c>
      <c r="AE1039" s="26" t="s">
        <v>3899</v>
      </c>
      <c r="AF1039" s="17">
        <v>45264</v>
      </c>
      <c r="AG1039" s="26" t="s">
        <v>1362</v>
      </c>
      <c r="AH1039" s="26"/>
      <c r="AI1039" s="40"/>
      <c r="AJ1039" s="26"/>
      <c r="AK1039" s="26"/>
      <c r="AL1039" s="35"/>
      <c r="AM1039" s="35"/>
      <c r="AN1039" s="35"/>
      <c r="AO1039" s="35"/>
      <c r="AP1039" s="35"/>
    </row>
    <row r="1040" spans="1:42" x14ac:dyDescent="0.2">
      <c r="A1040" s="97">
        <v>45251</v>
      </c>
      <c r="B1040" s="28" t="s">
        <v>37</v>
      </c>
      <c r="C1040" s="41" t="s">
        <v>118</v>
      </c>
      <c r="D1040" s="26" t="s">
        <v>36</v>
      </c>
      <c r="E1040" s="26" t="s">
        <v>56</v>
      </c>
      <c r="F1040" s="26" t="s">
        <v>3058</v>
      </c>
      <c r="G1040" s="26" t="s">
        <v>108</v>
      </c>
      <c r="H1040" s="26" t="s">
        <v>4988</v>
      </c>
      <c r="I1040" s="17">
        <f ca="1">IFERROR(__xludf.DUMMYFUNCTION("""COMPUTED_VALUE"""),45261)</f>
        <v>45261</v>
      </c>
      <c r="J1040" s="29" t="s">
        <v>3101</v>
      </c>
      <c r="K1040" s="26" t="s">
        <v>3102</v>
      </c>
      <c r="L1040" s="30">
        <v>868331408</v>
      </c>
      <c r="M1040" s="26" t="s">
        <v>59</v>
      </c>
      <c r="N1040" s="26" t="s">
        <v>438</v>
      </c>
      <c r="O1040" s="26" t="s">
        <v>3103</v>
      </c>
      <c r="P1040" s="42" t="s">
        <v>4989</v>
      </c>
      <c r="Q1040" s="20">
        <v>9317</v>
      </c>
      <c r="R1040" s="26" t="s">
        <v>36</v>
      </c>
      <c r="S1040" s="31">
        <v>9317</v>
      </c>
      <c r="T1040" s="32">
        <v>45194</v>
      </c>
      <c r="U1040" s="31"/>
      <c r="V1040" s="26"/>
      <c r="W1040" s="33" t="s">
        <v>3105</v>
      </c>
      <c r="X1040" s="26"/>
      <c r="Y1040" s="22">
        <v>0</v>
      </c>
      <c r="Z1040" s="26" t="s">
        <v>118</v>
      </c>
      <c r="AA1040" s="19" t="s">
        <v>2449</v>
      </c>
      <c r="AB1040" s="26" t="s">
        <v>2196</v>
      </c>
      <c r="AC1040" s="26" t="s">
        <v>53</v>
      </c>
      <c r="AD1040" s="19" t="s">
        <v>54</v>
      </c>
      <c r="AE1040" s="26" t="s">
        <v>72</v>
      </c>
      <c r="AF1040" s="17">
        <v>45251</v>
      </c>
      <c r="AG1040" s="26"/>
      <c r="AH1040" s="26"/>
      <c r="AI1040" s="40"/>
      <c r="AJ1040" s="26"/>
      <c r="AK1040" s="26"/>
      <c r="AL1040" s="35"/>
      <c r="AM1040" s="35"/>
      <c r="AN1040" s="35"/>
      <c r="AO1040" s="35"/>
      <c r="AP1040" s="35"/>
    </row>
    <row r="1041" spans="1:42" x14ac:dyDescent="0.2">
      <c r="A1041" s="97">
        <v>45251</v>
      </c>
      <c r="B1041" s="28" t="s">
        <v>37</v>
      </c>
      <c r="C1041" s="41" t="s">
        <v>118</v>
      </c>
      <c r="D1041" s="26" t="s">
        <v>36</v>
      </c>
      <c r="E1041" s="26" t="s">
        <v>139</v>
      </c>
      <c r="F1041" s="26" t="s">
        <v>3899</v>
      </c>
      <c r="G1041" s="26" t="s">
        <v>108</v>
      </c>
      <c r="H1041" s="26" t="s">
        <v>4984</v>
      </c>
      <c r="I1041" s="17">
        <f ca="1">IFERROR(__xludf.DUMMYFUNCTION("""COMPUTED_VALUE"""),45264)</f>
        <v>45264</v>
      </c>
      <c r="J1041" s="29" t="s">
        <v>3900</v>
      </c>
      <c r="K1041" s="26" t="s">
        <v>3901</v>
      </c>
      <c r="L1041" s="30">
        <v>981151829</v>
      </c>
      <c r="M1041" s="26" t="s">
        <v>80</v>
      </c>
      <c r="N1041" s="26" t="s">
        <v>81</v>
      </c>
      <c r="O1041" s="26" t="s">
        <v>3902</v>
      </c>
      <c r="P1041" s="42" t="s">
        <v>4990</v>
      </c>
      <c r="Q1041" s="20">
        <v>15936</v>
      </c>
      <c r="R1041" s="26" t="s">
        <v>36</v>
      </c>
      <c r="S1041" s="31">
        <v>4000</v>
      </c>
      <c r="T1041" s="32">
        <v>45197</v>
      </c>
      <c r="U1041" s="31">
        <v>11936</v>
      </c>
      <c r="V1041" s="32">
        <v>45227</v>
      </c>
      <c r="W1041" s="33" t="s">
        <v>3903</v>
      </c>
      <c r="X1041" s="26"/>
      <c r="Y1041" s="22">
        <v>0</v>
      </c>
      <c r="Z1041" s="26" t="s">
        <v>118</v>
      </c>
      <c r="AA1041" s="19" t="s">
        <v>3454</v>
      </c>
      <c r="AB1041" s="26" t="s">
        <v>128</v>
      </c>
      <c r="AC1041" s="26" t="s">
        <v>53</v>
      </c>
      <c r="AD1041" s="19" t="s">
        <v>138</v>
      </c>
      <c r="AE1041" s="26" t="s">
        <v>3899</v>
      </c>
      <c r="AF1041" s="17">
        <v>45264</v>
      </c>
      <c r="AG1041" s="26" t="s">
        <v>1362</v>
      </c>
      <c r="AH1041" s="26"/>
      <c r="AI1041" s="40"/>
      <c r="AJ1041" s="26"/>
      <c r="AK1041" s="26"/>
      <c r="AL1041" s="35"/>
      <c r="AM1041" s="35"/>
      <c r="AN1041" s="35"/>
      <c r="AO1041" s="35"/>
      <c r="AP1041" s="35"/>
    </row>
    <row r="1042" spans="1:42" x14ac:dyDescent="0.2">
      <c r="A1042" s="97">
        <v>45251</v>
      </c>
      <c r="B1042" s="28" t="s">
        <v>37</v>
      </c>
      <c r="C1042" s="41" t="s">
        <v>118</v>
      </c>
      <c r="D1042" s="26" t="s">
        <v>36</v>
      </c>
      <c r="E1042" s="26" t="s">
        <v>139</v>
      </c>
      <c r="F1042" s="26" t="s">
        <v>2760</v>
      </c>
      <c r="G1042" s="26" t="s">
        <v>108</v>
      </c>
      <c r="H1042" s="26" t="s">
        <v>4988</v>
      </c>
      <c r="I1042" s="17">
        <f ca="1">IFERROR(__xludf.DUMMYFUNCTION("""COMPUTED_VALUE"""),45261)</f>
        <v>45261</v>
      </c>
      <c r="J1042" s="29" t="s">
        <v>3782</v>
      </c>
      <c r="K1042" s="26" t="s">
        <v>3783</v>
      </c>
      <c r="L1042" s="30">
        <v>349136310</v>
      </c>
      <c r="M1042" s="26" t="s">
        <v>80</v>
      </c>
      <c r="N1042" s="26" t="s">
        <v>186</v>
      </c>
      <c r="O1042" s="26" t="s">
        <v>3784</v>
      </c>
      <c r="P1042" s="42" t="s">
        <v>4991</v>
      </c>
      <c r="Q1042" s="20">
        <v>15936</v>
      </c>
      <c r="R1042" s="26" t="s">
        <v>36</v>
      </c>
      <c r="S1042" s="31">
        <v>2000</v>
      </c>
      <c r="T1042" s="32">
        <v>45191</v>
      </c>
      <c r="U1042" s="31">
        <v>13936</v>
      </c>
      <c r="V1042" s="32">
        <v>45218</v>
      </c>
      <c r="W1042" s="33" t="s">
        <v>3786</v>
      </c>
      <c r="X1042" s="26"/>
      <c r="Y1042" s="22">
        <v>0</v>
      </c>
      <c r="Z1042" s="26" t="s">
        <v>118</v>
      </c>
      <c r="AA1042" s="19" t="s">
        <v>3454</v>
      </c>
      <c r="AB1042" s="26" t="s">
        <v>104</v>
      </c>
      <c r="AC1042" s="26" t="s">
        <v>53</v>
      </c>
      <c r="AD1042" s="19" t="s">
        <v>54</v>
      </c>
      <c r="AE1042" s="26" t="s">
        <v>2760</v>
      </c>
      <c r="AF1042" s="43">
        <v>45253</v>
      </c>
      <c r="AG1042" s="26"/>
      <c r="AH1042" s="26"/>
      <c r="AI1042" s="40"/>
      <c r="AJ1042" s="26"/>
      <c r="AK1042" s="26"/>
      <c r="AL1042" s="35"/>
      <c r="AM1042" s="35"/>
      <c r="AN1042" s="35"/>
      <c r="AO1042" s="35"/>
      <c r="AP1042" s="35"/>
    </row>
    <row r="1043" spans="1:42" x14ac:dyDescent="0.2">
      <c r="A1043" s="97">
        <v>45251</v>
      </c>
      <c r="B1043" s="28" t="s">
        <v>37</v>
      </c>
      <c r="C1043" s="41" t="s">
        <v>118</v>
      </c>
      <c r="D1043" s="26" t="s">
        <v>36</v>
      </c>
      <c r="E1043" s="26" t="s">
        <v>139</v>
      </c>
      <c r="F1043" s="26" t="s">
        <v>3899</v>
      </c>
      <c r="G1043" s="26" t="s">
        <v>108</v>
      </c>
      <c r="H1043" s="26" t="s">
        <v>4869</v>
      </c>
      <c r="I1043" s="17">
        <f ca="1">IFERROR(__xludf.DUMMYFUNCTION("""COMPUTED_VALUE"""),45300)</f>
        <v>45300</v>
      </c>
      <c r="J1043" s="29" t="s">
        <v>4083</v>
      </c>
      <c r="K1043" s="26" t="s">
        <v>4084</v>
      </c>
      <c r="L1043" s="30">
        <v>899808946</v>
      </c>
      <c r="M1043" s="26" t="s">
        <v>80</v>
      </c>
      <c r="N1043" s="26" t="s">
        <v>81</v>
      </c>
      <c r="O1043" s="26" t="s">
        <v>4085</v>
      </c>
      <c r="P1043" s="42" t="s">
        <v>4992</v>
      </c>
      <c r="Q1043" s="20">
        <v>15936</v>
      </c>
      <c r="R1043" s="26" t="s">
        <v>36</v>
      </c>
      <c r="S1043" s="31">
        <v>2000</v>
      </c>
      <c r="T1043" s="32">
        <v>45204</v>
      </c>
      <c r="U1043" s="31">
        <v>13936</v>
      </c>
      <c r="V1043" s="32">
        <v>45230</v>
      </c>
      <c r="W1043" s="33" t="s">
        <v>4086</v>
      </c>
      <c r="X1043" s="26"/>
      <c r="Y1043" s="22">
        <v>0</v>
      </c>
      <c r="Z1043" s="26" t="s">
        <v>118</v>
      </c>
      <c r="AA1043" s="19" t="s">
        <v>3454</v>
      </c>
      <c r="AB1043" s="26" t="s">
        <v>104</v>
      </c>
      <c r="AC1043" s="26" t="s">
        <v>53</v>
      </c>
      <c r="AD1043" s="19" t="s">
        <v>138</v>
      </c>
      <c r="AE1043" s="26" t="s">
        <v>3899</v>
      </c>
      <c r="AF1043" s="17">
        <v>45300</v>
      </c>
      <c r="AG1043" s="26" t="s">
        <v>1362</v>
      </c>
      <c r="AH1043" s="26"/>
      <c r="AI1043" s="40"/>
      <c r="AJ1043" s="26"/>
      <c r="AK1043" s="26"/>
      <c r="AL1043" s="35"/>
      <c r="AM1043" s="35"/>
      <c r="AN1043" s="35"/>
      <c r="AO1043" s="35"/>
      <c r="AP1043" s="35"/>
    </row>
    <row r="1044" spans="1:42" x14ac:dyDescent="0.2">
      <c r="A1044" s="97">
        <v>45251</v>
      </c>
      <c r="B1044" s="28" t="s">
        <v>37</v>
      </c>
      <c r="C1044" s="41" t="s">
        <v>118</v>
      </c>
      <c r="D1044" s="26" t="s">
        <v>36</v>
      </c>
      <c r="E1044" s="26" t="s">
        <v>139</v>
      </c>
      <c r="F1044" s="26" t="s">
        <v>3899</v>
      </c>
      <c r="G1044" s="26" t="s">
        <v>108</v>
      </c>
      <c r="H1044" s="26" t="s">
        <v>4984</v>
      </c>
      <c r="I1044" s="17">
        <f ca="1">IFERROR(__xludf.DUMMYFUNCTION("""COMPUTED_VALUE"""),45264)</f>
        <v>45264</v>
      </c>
      <c r="J1044" s="29" t="s">
        <v>4057</v>
      </c>
      <c r="K1044" s="26" t="s">
        <v>4058</v>
      </c>
      <c r="L1044" s="30">
        <v>848075289</v>
      </c>
      <c r="M1044" s="26" t="s">
        <v>123</v>
      </c>
      <c r="N1044" s="26" t="s">
        <v>850</v>
      </c>
      <c r="O1044" s="26" t="s">
        <v>1226</v>
      </c>
      <c r="P1044" s="42" t="s">
        <v>4993</v>
      </c>
      <c r="Q1044" s="20">
        <v>15936</v>
      </c>
      <c r="R1044" s="26" t="s">
        <v>36</v>
      </c>
      <c r="S1044" s="31">
        <f>2000+4000</f>
        <v>6000</v>
      </c>
      <c r="T1044" s="26" t="s">
        <v>4059</v>
      </c>
      <c r="U1044" s="31">
        <v>9936</v>
      </c>
      <c r="V1044" s="32" t="s">
        <v>4060</v>
      </c>
      <c r="W1044" s="26" t="s">
        <v>4061</v>
      </c>
      <c r="X1044" s="26"/>
      <c r="Y1044" s="22">
        <v>0</v>
      </c>
      <c r="Z1044" s="26" t="s">
        <v>118</v>
      </c>
      <c r="AA1044" s="19" t="s">
        <v>3454</v>
      </c>
      <c r="AB1044" s="26" t="s">
        <v>128</v>
      </c>
      <c r="AC1044" s="26" t="s">
        <v>53</v>
      </c>
      <c r="AD1044" s="19" t="s">
        <v>138</v>
      </c>
      <c r="AE1044" s="26" t="s">
        <v>3899</v>
      </c>
      <c r="AF1044" s="17">
        <v>45264</v>
      </c>
      <c r="AG1044" s="26" t="s">
        <v>1362</v>
      </c>
      <c r="AH1044" s="26"/>
      <c r="AI1044" s="40"/>
      <c r="AJ1044" s="26"/>
      <c r="AK1044" s="26"/>
      <c r="AL1044" s="35"/>
      <c r="AM1044" s="35"/>
      <c r="AN1044" s="35"/>
      <c r="AO1044" s="35"/>
      <c r="AP1044" s="35"/>
    </row>
    <row r="1045" spans="1:42" x14ac:dyDescent="0.2">
      <c r="A1045" s="97">
        <v>45252</v>
      </c>
      <c r="B1045" s="28" t="s">
        <v>37</v>
      </c>
      <c r="C1045" s="41" t="s">
        <v>118</v>
      </c>
      <c r="D1045" s="26" t="s">
        <v>36</v>
      </c>
      <c r="E1045" s="26" t="s">
        <v>39</v>
      </c>
      <c r="F1045" s="26" t="s">
        <v>3930</v>
      </c>
      <c r="G1045" s="26" t="s">
        <v>108</v>
      </c>
      <c r="H1045" s="26" t="s">
        <v>1626</v>
      </c>
      <c r="I1045" s="17">
        <f ca="1">IFERROR(__xludf.DUMMYFUNCTION("""COMPUTED_VALUE"""),45272)</f>
        <v>45272</v>
      </c>
      <c r="J1045" s="29" t="s">
        <v>4280</v>
      </c>
      <c r="K1045" s="26" t="s">
        <v>4281</v>
      </c>
      <c r="L1045" s="30">
        <v>559663023</v>
      </c>
      <c r="M1045" s="26" t="s">
        <v>1245</v>
      </c>
      <c r="N1045" s="26" t="s">
        <v>4994</v>
      </c>
      <c r="O1045" s="26" t="s">
        <v>4283</v>
      </c>
      <c r="P1045" s="42" t="s">
        <v>4995</v>
      </c>
      <c r="Q1045" s="20">
        <v>5736</v>
      </c>
      <c r="R1045" s="26" t="s">
        <v>36</v>
      </c>
      <c r="S1045" s="31">
        <v>5736</v>
      </c>
      <c r="T1045" s="32">
        <v>45208</v>
      </c>
      <c r="U1045" s="31"/>
      <c r="V1045" s="26"/>
      <c r="W1045" s="33" t="s">
        <v>4285</v>
      </c>
      <c r="X1045" s="26"/>
      <c r="Y1045" s="22">
        <v>0</v>
      </c>
      <c r="Z1045" s="26" t="s">
        <v>118</v>
      </c>
      <c r="AA1045" s="19" t="s">
        <v>3454</v>
      </c>
      <c r="AB1045" s="26" t="s">
        <v>104</v>
      </c>
      <c r="AC1045" s="26" t="s">
        <v>53</v>
      </c>
      <c r="AD1045" s="19" t="s">
        <v>138</v>
      </c>
      <c r="AE1045" s="26"/>
      <c r="AF1045" s="43">
        <v>45272</v>
      </c>
      <c r="AG1045" s="26" t="s">
        <v>4996</v>
      </c>
      <c r="AH1045" s="26"/>
      <c r="AI1045" s="40"/>
      <c r="AJ1045" s="26"/>
      <c r="AK1045" s="26"/>
      <c r="AL1045" s="35"/>
      <c r="AM1045" s="35"/>
      <c r="AN1045" s="35"/>
      <c r="AO1045" s="35"/>
      <c r="AP1045" s="35"/>
    </row>
    <row r="1046" spans="1:42" x14ac:dyDescent="0.2">
      <c r="A1046" s="97">
        <v>45253</v>
      </c>
      <c r="B1046" s="28" t="s">
        <v>37</v>
      </c>
      <c r="C1046" s="41" t="s">
        <v>118</v>
      </c>
      <c r="D1046" s="26" t="s">
        <v>36</v>
      </c>
      <c r="E1046" s="26" t="s">
        <v>56</v>
      </c>
      <c r="F1046" s="26" t="s">
        <v>3930</v>
      </c>
      <c r="G1046" s="26" t="s">
        <v>108</v>
      </c>
      <c r="H1046" s="26" t="s">
        <v>1626</v>
      </c>
      <c r="I1046" s="17">
        <f ca="1">IFERROR(__xludf.DUMMYFUNCTION("""COMPUTED_VALUE"""),45272)</f>
        <v>45272</v>
      </c>
      <c r="J1046" s="29" t="s">
        <v>4308</v>
      </c>
      <c r="K1046" s="26" t="s">
        <v>2662</v>
      </c>
      <c r="L1046" s="30">
        <v>964193208</v>
      </c>
      <c r="M1046" s="26" t="s">
        <v>59</v>
      </c>
      <c r="N1046" s="26" t="s">
        <v>260</v>
      </c>
      <c r="O1046" s="26" t="s">
        <v>4309</v>
      </c>
      <c r="P1046" s="42" t="s">
        <v>4997</v>
      </c>
      <c r="Q1046" s="20">
        <v>9317</v>
      </c>
      <c r="R1046" s="26" t="s">
        <v>70</v>
      </c>
      <c r="S1046" s="31">
        <v>9217</v>
      </c>
      <c r="T1046" s="32">
        <v>45216</v>
      </c>
      <c r="U1046" s="31"/>
      <c r="V1046" s="26"/>
      <c r="W1046" s="33" t="s">
        <v>4311</v>
      </c>
      <c r="X1046" s="26"/>
      <c r="Y1046" s="22">
        <v>100</v>
      </c>
      <c r="Z1046" s="26" t="s">
        <v>118</v>
      </c>
      <c r="AA1046" s="19" t="s">
        <v>3454</v>
      </c>
      <c r="AB1046" s="26" t="s">
        <v>137</v>
      </c>
      <c r="AC1046" s="26" t="s">
        <v>53</v>
      </c>
      <c r="AD1046" s="19" t="s">
        <v>138</v>
      </c>
      <c r="AE1046" s="26" t="s">
        <v>76</v>
      </c>
      <c r="AF1046" s="43">
        <v>45272</v>
      </c>
      <c r="AG1046" s="26" t="s">
        <v>4996</v>
      </c>
      <c r="AH1046" s="26"/>
      <c r="AI1046" s="40"/>
      <c r="AJ1046" s="26"/>
      <c r="AK1046" s="26"/>
      <c r="AL1046" s="35"/>
      <c r="AM1046" s="35"/>
      <c r="AN1046" s="35"/>
      <c r="AO1046" s="35"/>
      <c r="AP1046" s="35"/>
    </row>
    <row r="1047" spans="1:42" x14ac:dyDescent="0.2">
      <c r="A1047" s="97">
        <v>45253</v>
      </c>
      <c r="B1047" s="28" t="s">
        <v>37</v>
      </c>
      <c r="C1047" s="41" t="s">
        <v>118</v>
      </c>
      <c r="D1047" s="26" t="s">
        <v>36</v>
      </c>
      <c r="E1047" s="26" t="s">
        <v>39</v>
      </c>
      <c r="F1047" s="26" t="s">
        <v>3930</v>
      </c>
      <c r="G1047" s="26" t="s">
        <v>108</v>
      </c>
      <c r="H1047" s="26" t="s">
        <v>1626</v>
      </c>
      <c r="I1047" s="17">
        <f ca="1">IFERROR(__xludf.DUMMYFUNCTION("""COMPUTED_VALUE"""),45272)</f>
        <v>45272</v>
      </c>
      <c r="J1047" s="29" t="s">
        <v>4315</v>
      </c>
      <c r="K1047" s="26" t="s">
        <v>4316</v>
      </c>
      <c r="L1047" s="30">
        <v>397885018</v>
      </c>
      <c r="M1047" s="26" t="s">
        <v>123</v>
      </c>
      <c r="N1047" s="26" t="s">
        <v>3749</v>
      </c>
      <c r="O1047" s="26" t="s">
        <v>1226</v>
      </c>
      <c r="P1047" s="42" t="s">
        <v>4998</v>
      </c>
      <c r="Q1047" s="20">
        <v>5736</v>
      </c>
      <c r="R1047" s="26" t="s">
        <v>70</v>
      </c>
      <c r="S1047" s="31">
        <v>200</v>
      </c>
      <c r="T1047" s="32">
        <v>45211</v>
      </c>
      <c r="U1047" s="31">
        <v>5436</v>
      </c>
      <c r="V1047" s="32">
        <v>45223</v>
      </c>
      <c r="W1047" s="33" t="s">
        <v>4317</v>
      </c>
      <c r="X1047" s="26"/>
      <c r="Y1047" s="22">
        <v>100</v>
      </c>
      <c r="Z1047" s="26" t="s">
        <v>118</v>
      </c>
      <c r="AA1047" s="19" t="s">
        <v>3454</v>
      </c>
      <c r="AB1047" s="26" t="s">
        <v>104</v>
      </c>
      <c r="AC1047" s="26" t="s">
        <v>53</v>
      </c>
      <c r="AD1047" s="19" t="s">
        <v>138</v>
      </c>
      <c r="AE1047" s="26"/>
      <c r="AF1047" s="43">
        <v>45272</v>
      </c>
      <c r="AG1047" s="26" t="s">
        <v>4996</v>
      </c>
      <c r="AH1047" s="26"/>
      <c r="AI1047" s="40"/>
      <c r="AJ1047" s="26"/>
      <c r="AK1047" s="26"/>
      <c r="AL1047" s="35"/>
      <c r="AM1047" s="35"/>
      <c r="AN1047" s="35"/>
      <c r="AO1047" s="35"/>
      <c r="AP1047" s="35"/>
    </row>
    <row r="1048" spans="1:42" x14ac:dyDescent="0.2">
      <c r="A1048" s="97">
        <v>45254</v>
      </c>
      <c r="B1048" s="28" t="s">
        <v>37</v>
      </c>
      <c r="C1048" s="41" t="s">
        <v>118</v>
      </c>
      <c r="D1048" s="26" t="s">
        <v>36</v>
      </c>
      <c r="E1048" s="26" t="s">
        <v>148</v>
      </c>
      <c r="F1048" s="26" t="s">
        <v>4999</v>
      </c>
      <c r="G1048" s="26" t="s">
        <v>108</v>
      </c>
      <c r="H1048" s="26" t="s">
        <v>2191</v>
      </c>
      <c r="I1048" s="17">
        <f ca="1">IFERROR(__xludf.DUMMYFUNCTION("""COMPUTED_VALUE"""),45263)</f>
        <v>45263</v>
      </c>
      <c r="J1048" s="55" t="s">
        <v>5000</v>
      </c>
      <c r="K1048" s="26" t="s">
        <v>5001</v>
      </c>
      <c r="L1048" s="83">
        <v>353821109</v>
      </c>
      <c r="M1048" s="26" t="s">
        <v>910</v>
      </c>
      <c r="N1048" s="26" t="s">
        <v>355</v>
      </c>
      <c r="O1048" s="26"/>
      <c r="P1048" s="42" t="s">
        <v>5002</v>
      </c>
      <c r="Q1048" s="20"/>
      <c r="R1048" s="26" t="s">
        <v>36</v>
      </c>
      <c r="S1048" s="31">
        <v>13615</v>
      </c>
      <c r="T1048" s="32">
        <v>44848</v>
      </c>
      <c r="U1048" s="31"/>
      <c r="V1048" s="26"/>
      <c r="W1048" s="55" t="s">
        <v>5003</v>
      </c>
      <c r="X1048" s="26"/>
      <c r="Y1048" s="22">
        <v>0</v>
      </c>
      <c r="Z1048" s="26" t="s">
        <v>118</v>
      </c>
      <c r="AA1048" s="19" t="s">
        <v>3327</v>
      </c>
      <c r="AB1048" s="26" t="s">
        <v>154</v>
      </c>
      <c r="AC1048" s="26" t="s">
        <v>53</v>
      </c>
      <c r="AD1048" s="19" t="s">
        <v>54</v>
      </c>
      <c r="AE1048" s="26"/>
      <c r="AF1048" s="43">
        <v>45259</v>
      </c>
      <c r="AG1048" s="91"/>
      <c r="AH1048" s="26"/>
      <c r="AI1048" s="92"/>
      <c r="AJ1048" s="35"/>
      <c r="AK1048" s="35"/>
      <c r="AL1048" s="35"/>
      <c r="AM1048" s="35"/>
      <c r="AN1048" s="26"/>
      <c r="AO1048" s="26"/>
      <c r="AP1048" s="35"/>
    </row>
    <row r="1049" spans="1:42" x14ac:dyDescent="0.2">
      <c r="A1049" s="97">
        <v>45254</v>
      </c>
      <c r="B1049" s="28" t="s">
        <v>37</v>
      </c>
      <c r="C1049" s="41" t="s">
        <v>118</v>
      </c>
      <c r="D1049" s="26" t="s">
        <v>36</v>
      </c>
      <c r="E1049" s="26" t="s">
        <v>139</v>
      </c>
      <c r="F1049" s="26" t="s">
        <v>2889</v>
      </c>
      <c r="G1049" s="26" t="s">
        <v>108</v>
      </c>
      <c r="H1049" s="26" t="s">
        <v>1626</v>
      </c>
      <c r="I1049" s="17">
        <f ca="1">IFERROR(__xludf.DUMMYFUNCTION("""COMPUTED_VALUE"""),45272)</f>
        <v>45272</v>
      </c>
      <c r="J1049" s="29" t="s">
        <v>3721</v>
      </c>
      <c r="K1049" s="26" t="s">
        <v>3722</v>
      </c>
      <c r="L1049" s="30">
        <v>336358727</v>
      </c>
      <c r="M1049" s="26" t="s">
        <v>80</v>
      </c>
      <c r="N1049" s="26" t="s">
        <v>81</v>
      </c>
      <c r="O1049" s="26" t="s">
        <v>3723</v>
      </c>
      <c r="P1049" s="26" t="s">
        <v>3724</v>
      </c>
      <c r="Q1049" s="20">
        <v>15936</v>
      </c>
      <c r="R1049" s="26" t="s">
        <v>36</v>
      </c>
      <c r="S1049" s="31">
        <v>2000</v>
      </c>
      <c r="T1049" s="32">
        <v>45188</v>
      </c>
      <c r="U1049" s="31">
        <v>13936</v>
      </c>
      <c r="V1049" s="32">
        <v>45214</v>
      </c>
      <c r="W1049" s="33" t="s">
        <v>3725</v>
      </c>
      <c r="X1049" s="26"/>
      <c r="Y1049" s="22">
        <v>0</v>
      </c>
      <c r="Z1049" s="26" t="s">
        <v>118</v>
      </c>
      <c r="AA1049" s="19" t="s">
        <v>3454</v>
      </c>
      <c r="AB1049" s="26" t="s">
        <v>104</v>
      </c>
      <c r="AC1049" s="26" t="s">
        <v>53</v>
      </c>
      <c r="AD1049" s="19" t="s">
        <v>138</v>
      </c>
      <c r="AE1049" s="26" t="s">
        <v>2889</v>
      </c>
      <c r="AF1049" s="43">
        <v>45272</v>
      </c>
      <c r="AG1049" s="26" t="s">
        <v>4996</v>
      </c>
      <c r="AH1049" s="26"/>
      <c r="AI1049" s="40"/>
      <c r="AJ1049" s="26"/>
      <c r="AK1049" s="26"/>
      <c r="AL1049" s="35"/>
      <c r="AM1049" s="35"/>
      <c r="AN1049" s="35"/>
      <c r="AO1049" s="35"/>
      <c r="AP1049" s="35"/>
    </row>
    <row r="1050" spans="1:42" x14ac:dyDescent="0.2">
      <c r="A1050" s="97">
        <v>45254</v>
      </c>
      <c r="B1050" s="28" t="s">
        <v>37</v>
      </c>
      <c r="C1050" s="41" t="s">
        <v>118</v>
      </c>
      <c r="D1050" s="26" t="s">
        <v>36</v>
      </c>
      <c r="E1050" s="26" t="s">
        <v>412</v>
      </c>
      <c r="F1050" s="26" t="s">
        <v>3930</v>
      </c>
      <c r="G1050" s="26" t="s">
        <v>108</v>
      </c>
      <c r="H1050" s="26" t="s">
        <v>1626</v>
      </c>
      <c r="I1050" s="17">
        <f ca="1">IFERROR(__xludf.DUMMYFUNCTION("""COMPUTED_VALUE"""),45272)</f>
        <v>45272</v>
      </c>
      <c r="J1050" s="29" t="s">
        <v>4166</v>
      </c>
      <c r="K1050" s="26" t="s">
        <v>5004</v>
      </c>
      <c r="L1050" s="30">
        <v>964541017</v>
      </c>
      <c r="M1050" s="26" t="s">
        <v>80</v>
      </c>
      <c r="N1050" s="26" t="s">
        <v>466</v>
      </c>
      <c r="O1050" s="26" t="s">
        <v>1492</v>
      </c>
      <c r="P1050" s="42" t="s">
        <v>5005</v>
      </c>
      <c r="Q1050" s="20">
        <v>15936</v>
      </c>
      <c r="R1050" s="26" t="s">
        <v>36</v>
      </c>
      <c r="S1050" s="31">
        <v>15936</v>
      </c>
      <c r="T1050" s="32">
        <v>45209</v>
      </c>
      <c r="U1050" s="31"/>
      <c r="V1050" s="26"/>
      <c r="W1050" s="33" t="s">
        <v>4168</v>
      </c>
      <c r="X1050" s="26"/>
      <c r="Y1050" s="22">
        <v>0</v>
      </c>
      <c r="Z1050" s="26" t="s">
        <v>118</v>
      </c>
      <c r="AA1050" s="19" t="s">
        <v>3454</v>
      </c>
      <c r="AB1050" s="26" t="s">
        <v>104</v>
      </c>
      <c r="AC1050" s="26" t="s">
        <v>53</v>
      </c>
      <c r="AD1050" s="19" t="s">
        <v>138</v>
      </c>
      <c r="AE1050" s="26" t="s">
        <v>3930</v>
      </c>
      <c r="AF1050" s="43">
        <v>45272</v>
      </c>
      <c r="AG1050" s="26" t="s">
        <v>4996</v>
      </c>
      <c r="AH1050" s="26"/>
      <c r="AI1050" s="40"/>
      <c r="AJ1050" s="26"/>
      <c r="AK1050" s="26"/>
      <c r="AL1050" s="35"/>
      <c r="AM1050" s="35"/>
      <c r="AN1050" s="35"/>
      <c r="AO1050" s="35"/>
      <c r="AP1050" s="35"/>
    </row>
    <row r="1051" spans="1:42" x14ac:dyDescent="0.2">
      <c r="A1051" s="97">
        <v>45254</v>
      </c>
      <c r="B1051" s="28" t="s">
        <v>37</v>
      </c>
      <c r="C1051" s="41" t="s">
        <v>118</v>
      </c>
      <c r="D1051" s="26" t="s">
        <v>36</v>
      </c>
      <c r="E1051" s="26" t="s">
        <v>56</v>
      </c>
      <c r="F1051" s="26" t="s">
        <v>3930</v>
      </c>
      <c r="G1051" s="26" t="s">
        <v>108</v>
      </c>
      <c r="H1051" s="26" t="s">
        <v>1626</v>
      </c>
      <c r="I1051" s="17">
        <f ca="1">IFERROR(__xludf.DUMMYFUNCTION("""COMPUTED_VALUE"""),45272)</f>
        <v>45272</v>
      </c>
      <c r="J1051" s="29" t="s">
        <v>4303</v>
      </c>
      <c r="K1051" s="26" t="s">
        <v>4304</v>
      </c>
      <c r="L1051" s="30">
        <v>395476207</v>
      </c>
      <c r="M1051" s="26" t="s">
        <v>59</v>
      </c>
      <c r="N1051" s="26" t="s">
        <v>60</v>
      </c>
      <c r="O1051" s="26" t="s">
        <v>4305</v>
      </c>
      <c r="P1051" s="42" t="s">
        <v>4306</v>
      </c>
      <c r="Q1051" s="20">
        <v>9317</v>
      </c>
      <c r="R1051" s="26" t="s">
        <v>70</v>
      </c>
      <c r="S1051" s="31">
        <v>9217</v>
      </c>
      <c r="T1051" s="32">
        <v>45216</v>
      </c>
      <c r="U1051" s="31"/>
      <c r="V1051" s="26"/>
      <c r="W1051" s="33" t="s">
        <v>4307</v>
      </c>
      <c r="X1051" s="26"/>
      <c r="Y1051" s="22">
        <v>100</v>
      </c>
      <c r="Z1051" s="26" t="s">
        <v>118</v>
      </c>
      <c r="AA1051" s="19" t="s">
        <v>3454</v>
      </c>
      <c r="AB1051" s="26" t="s">
        <v>128</v>
      </c>
      <c r="AC1051" s="26" t="s">
        <v>53</v>
      </c>
      <c r="AD1051" s="19" t="s">
        <v>138</v>
      </c>
      <c r="AE1051" s="26" t="s">
        <v>3930</v>
      </c>
      <c r="AF1051" s="43">
        <v>45272</v>
      </c>
      <c r="AG1051" s="26" t="s">
        <v>4996</v>
      </c>
      <c r="AH1051" s="26"/>
      <c r="AI1051" s="40"/>
      <c r="AJ1051" s="26"/>
      <c r="AK1051" s="26"/>
      <c r="AL1051" s="35"/>
      <c r="AM1051" s="35"/>
      <c r="AN1051" s="35"/>
      <c r="AO1051" s="35"/>
      <c r="AP1051" s="35"/>
    </row>
    <row r="1052" spans="1:42" x14ac:dyDescent="0.2">
      <c r="A1052" s="97">
        <v>45254</v>
      </c>
      <c r="B1052" s="28" t="s">
        <v>37</v>
      </c>
      <c r="C1052" s="41" t="s">
        <v>118</v>
      </c>
      <c r="D1052" s="26" t="s">
        <v>36</v>
      </c>
      <c r="E1052" s="26" t="s">
        <v>39</v>
      </c>
      <c r="F1052" s="26" t="s">
        <v>3930</v>
      </c>
      <c r="G1052" s="26" t="s">
        <v>108</v>
      </c>
      <c r="H1052" s="26" t="s">
        <v>1626</v>
      </c>
      <c r="I1052" s="17">
        <f ca="1">IFERROR(__xludf.DUMMYFUNCTION("""COMPUTED_VALUE"""),45272)</f>
        <v>45272</v>
      </c>
      <c r="J1052" s="29" t="s">
        <v>4312</v>
      </c>
      <c r="K1052" s="26" t="s">
        <v>4313</v>
      </c>
      <c r="L1052" s="30">
        <v>843022969</v>
      </c>
      <c r="M1052" s="26" t="s">
        <v>123</v>
      </c>
      <c r="N1052" s="26" t="s">
        <v>3749</v>
      </c>
      <c r="O1052" s="26" t="s">
        <v>1226</v>
      </c>
      <c r="P1052" s="42" t="s">
        <v>5006</v>
      </c>
      <c r="Q1052" s="20">
        <v>5736</v>
      </c>
      <c r="R1052" s="26" t="s">
        <v>70</v>
      </c>
      <c r="S1052" s="31">
        <v>200</v>
      </c>
      <c r="T1052" s="32">
        <v>45211</v>
      </c>
      <c r="U1052" s="31">
        <v>5536</v>
      </c>
      <c r="V1052" s="32">
        <v>45223</v>
      </c>
      <c r="W1052" s="33" t="s">
        <v>4314</v>
      </c>
      <c r="X1052" s="26"/>
      <c r="Y1052" s="22">
        <v>0</v>
      </c>
      <c r="Z1052" s="26" t="s">
        <v>118</v>
      </c>
      <c r="AA1052" s="19" t="s">
        <v>3454</v>
      </c>
      <c r="AB1052" s="26" t="s">
        <v>104</v>
      </c>
      <c r="AC1052" s="26" t="s">
        <v>53</v>
      </c>
      <c r="AD1052" s="19" t="s">
        <v>138</v>
      </c>
      <c r="AE1052" s="26"/>
      <c r="AF1052" s="43">
        <v>45272</v>
      </c>
      <c r="AG1052" s="26" t="s">
        <v>4996</v>
      </c>
      <c r="AH1052" s="26"/>
      <c r="AI1052" s="40"/>
      <c r="AJ1052" s="26"/>
      <c r="AK1052" s="26"/>
      <c r="AL1052" s="35"/>
      <c r="AM1052" s="35"/>
      <c r="AN1052" s="35"/>
      <c r="AO1052" s="35"/>
      <c r="AP1052" s="35"/>
    </row>
    <row r="1053" spans="1:42" x14ac:dyDescent="0.2">
      <c r="A1053" s="97">
        <v>45254</v>
      </c>
      <c r="B1053" s="28" t="s">
        <v>37</v>
      </c>
      <c r="C1053" s="41" t="s">
        <v>118</v>
      </c>
      <c r="D1053" s="26" t="s">
        <v>36</v>
      </c>
      <c r="E1053" s="26" t="s">
        <v>39</v>
      </c>
      <c r="F1053" s="26" t="s">
        <v>3930</v>
      </c>
      <c r="G1053" s="26" t="s">
        <v>108</v>
      </c>
      <c r="H1053" s="26" t="s">
        <v>1626</v>
      </c>
      <c r="I1053" s="17">
        <f ca="1">IFERROR(__xludf.DUMMYFUNCTION("""COMPUTED_VALUE"""),45272)</f>
        <v>45272</v>
      </c>
      <c r="J1053" s="29" t="s">
        <v>4251</v>
      </c>
      <c r="K1053" s="26" t="s">
        <v>4252</v>
      </c>
      <c r="L1053" s="30">
        <v>942138350</v>
      </c>
      <c r="M1053" s="26" t="s">
        <v>45</v>
      </c>
      <c r="N1053" s="26" t="s">
        <v>3839</v>
      </c>
      <c r="O1053" s="26" t="s">
        <v>4253</v>
      </c>
      <c r="P1053" s="42" t="s">
        <v>5007</v>
      </c>
      <c r="Q1053" s="20">
        <v>5736</v>
      </c>
      <c r="R1053" s="26" t="s">
        <v>36</v>
      </c>
      <c r="S1053" s="31">
        <v>5736</v>
      </c>
      <c r="T1053" s="32">
        <v>45214</v>
      </c>
      <c r="U1053" s="31"/>
      <c r="V1053" s="26"/>
      <c r="W1053" s="33" t="s">
        <v>4255</v>
      </c>
      <c r="X1053" s="26"/>
      <c r="Y1053" s="22">
        <v>0</v>
      </c>
      <c r="Z1053" s="26" t="s">
        <v>118</v>
      </c>
      <c r="AA1053" s="19" t="s">
        <v>3454</v>
      </c>
      <c r="AB1053" s="26" t="s">
        <v>104</v>
      </c>
      <c r="AC1053" s="26" t="s">
        <v>53</v>
      </c>
      <c r="AD1053" s="19" t="s">
        <v>138</v>
      </c>
      <c r="AE1053" s="26">
        <v>0</v>
      </c>
      <c r="AF1053" s="43">
        <v>45272</v>
      </c>
      <c r="AG1053" s="26" t="s">
        <v>4996</v>
      </c>
      <c r="AH1053" s="26"/>
      <c r="AI1053" s="40"/>
      <c r="AJ1053" s="26"/>
      <c r="AK1053" s="26"/>
      <c r="AL1053" s="35"/>
      <c r="AM1053" s="35"/>
      <c r="AN1053" s="35"/>
      <c r="AO1053" s="35"/>
      <c r="AP1053" s="35"/>
    </row>
    <row r="1054" spans="1:42" x14ac:dyDescent="0.2">
      <c r="A1054" s="97">
        <v>45254</v>
      </c>
      <c r="B1054" s="28" t="s">
        <v>37</v>
      </c>
      <c r="C1054" s="41" t="s">
        <v>118</v>
      </c>
      <c r="D1054" s="26" t="s">
        <v>36</v>
      </c>
      <c r="E1054" s="26" t="s">
        <v>39</v>
      </c>
      <c r="F1054" s="26" t="s">
        <v>3930</v>
      </c>
      <c r="G1054" s="26" t="s">
        <v>108</v>
      </c>
      <c r="H1054" s="26" t="s">
        <v>1626</v>
      </c>
      <c r="I1054" s="17">
        <f ca="1">IFERROR(__xludf.DUMMYFUNCTION("""COMPUTED_VALUE"""),45272)</f>
        <v>45272</v>
      </c>
      <c r="J1054" s="29" t="s">
        <v>4246</v>
      </c>
      <c r="K1054" s="26" t="s">
        <v>4247</v>
      </c>
      <c r="L1054" s="30">
        <v>865943121</v>
      </c>
      <c r="M1054" s="26" t="s">
        <v>45</v>
      </c>
      <c r="N1054" s="26" t="s">
        <v>1606</v>
      </c>
      <c r="O1054" s="26" t="s">
        <v>4248</v>
      </c>
      <c r="P1054" s="42" t="s">
        <v>4249</v>
      </c>
      <c r="Q1054" s="20">
        <v>5736</v>
      </c>
      <c r="R1054" s="26" t="s">
        <v>36</v>
      </c>
      <c r="S1054" s="31">
        <v>5736</v>
      </c>
      <c r="T1054" s="32">
        <v>45214</v>
      </c>
      <c r="U1054" s="31"/>
      <c r="V1054" s="26"/>
      <c r="W1054" s="33" t="s">
        <v>4250</v>
      </c>
      <c r="X1054" s="26"/>
      <c r="Y1054" s="22">
        <v>0</v>
      </c>
      <c r="Z1054" s="26" t="s">
        <v>118</v>
      </c>
      <c r="AA1054" s="19" t="s">
        <v>3454</v>
      </c>
      <c r="AB1054" s="26" t="s">
        <v>104</v>
      </c>
      <c r="AC1054" s="26" t="s">
        <v>53</v>
      </c>
      <c r="AD1054" s="19" t="s">
        <v>138</v>
      </c>
      <c r="AE1054" s="26">
        <v>0</v>
      </c>
      <c r="AF1054" s="43">
        <v>45272</v>
      </c>
      <c r="AG1054" s="26" t="s">
        <v>4996</v>
      </c>
      <c r="AH1054" s="26"/>
      <c r="AI1054" s="40"/>
      <c r="AJ1054" s="26"/>
      <c r="AK1054" s="26"/>
      <c r="AL1054" s="35"/>
      <c r="AM1054" s="35"/>
      <c r="AN1054" s="35"/>
      <c r="AO1054" s="35"/>
      <c r="AP1054" s="35"/>
    </row>
    <row r="1055" spans="1:42" x14ac:dyDescent="0.2">
      <c r="A1055" s="97">
        <v>45258</v>
      </c>
      <c r="B1055" s="68" t="s">
        <v>37</v>
      </c>
      <c r="C1055" s="41" t="s">
        <v>118</v>
      </c>
      <c r="D1055" s="26" t="s">
        <v>36</v>
      </c>
      <c r="E1055" s="26" t="s">
        <v>39</v>
      </c>
      <c r="F1055" s="26" t="s">
        <v>1513</v>
      </c>
      <c r="G1055" s="26" t="s">
        <v>108</v>
      </c>
      <c r="H1055" s="26" t="s">
        <v>2258</v>
      </c>
      <c r="I1055" s="17">
        <f ca="1">IFERROR(__xludf.DUMMYFUNCTION("""COMPUTED_VALUE"""),45267)</f>
        <v>45267</v>
      </c>
      <c r="J1055" s="29" t="s">
        <v>2605</v>
      </c>
      <c r="K1055" s="26" t="s">
        <v>5008</v>
      </c>
      <c r="L1055" s="30">
        <v>946157832</v>
      </c>
      <c r="M1055" s="26" t="s">
        <v>1245</v>
      </c>
      <c r="N1055" s="26" t="s">
        <v>4957</v>
      </c>
      <c r="O1055" s="26" t="s">
        <v>2607</v>
      </c>
      <c r="P1055" s="42" t="s">
        <v>5009</v>
      </c>
      <c r="Q1055" s="20">
        <v>5736</v>
      </c>
      <c r="R1055" s="26" t="s">
        <v>36</v>
      </c>
      <c r="S1055" s="31">
        <v>5736</v>
      </c>
      <c r="T1055" s="32">
        <v>45173</v>
      </c>
      <c r="U1055" s="31"/>
      <c r="V1055" s="26"/>
      <c r="W1055" s="33" t="s">
        <v>2609</v>
      </c>
      <c r="X1055" s="26"/>
      <c r="Y1055" s="22">
        <v>0</v>
      </c>
      <c r="Z1055" s="26" t="s">
        <v>118</v>
      </c>
      <c r="AA1055" s="19" t="s">
        <v>2449</v>
      </c>
      <c r="AB1055" s="26" t="s">
        <v>128</v>
      </c>
      <c r="AC1055" s="26" t="s">
        <v>53</v>
      </c>
      <c r="AD1055" s="19" t="s">
        <v>54</v>
      </c>
      <c r="AE1055" s="26" t="s">
        <v>1513</v>
      </c>
      <c r="AF1055" s="43">
        <v>45259</v>
      </c>
      <c r="AG1055" s="26"/>
      <c r="AH1055" s="26"/>
      <c r="AI1055" s="40"/>
      <c r="AJ1055" s="26"/>
      <c r="AK1055" s="26"/>
      <c r="AL1055" s="35"/>
      <c r="AM1055" s="35"/>
      <c r="AN1055" s="35"/>
      <c r="AO1055" s="35"/>
      <c r="AP1055" s="35"/>
    </row>
    <row r="1056" spans="1:42" x14ac:dyDescent="0.2">
      <c r="A1056" s="97">
        <v>45258</v>
      </c>
      <c r="B1056" s="68" t="s">
        <v>37</v>
      </c>
      <c r="C1056" s="41" t="s">
        <v>118</v>
      </c>
      <c r="D1056" s="26" t="s">
        <v>36</v>
      </c>
      <c r="E1056" s="26" t="s">
        <v>139</v>
      </c>
      <c r="F1056" s="26" t="s">
        <v>3198</v>
      </c>
      <c r="G1056" s="26" t="s">
        <v>108</v>
      </c>
      <c r="H1056" s="26" t="s">
        <v>2258</v>
      </c>
      <c r="I1056" s="17">
        <f ca="1">IFERROR(__xludf.DUMMYFUNCTION("""COMPUTED_VALUE"""),45267)</f>
        <v>45267</v>
      </c>
      <c r="J1056" s="44" t="s">
        <v>4141</v>
      </c>
      <c r="K1056" s="26" t="s">
        <v>4142</v>
      </c>
      <c r="L1056" s="30">
        <v>946286958</v>
      </c>
      <c r="M1056" s="26" t="s">
        <v>80</v>
      </c>
      <c r="N1056" s="26" t="s">
        <v>186</v>
      </c>
      <c r="O1056" s="26" t="s">
        <v>1492</v>
      </c>
      <c r="P1056" s="34" t="s">
        <v>5010</v>
      </c>
      <c r="Q1056" s="20">
        <v>15936</v>
      </c>
      <c r="R1056" s="26" t="s">
        <v>36</v>
      </c>
      <c r="S1056" s="31">
        <v>2000</v>
      </c>
      <c r="T1056" s="32">
        <v>45208</v>
      </c>
      <c r="U1056" s="31">
        <v>13936</v>
      </c>
      <c r="V1056" s="32">
        <v>45230</v>
      </c>
      <c r="W1056" s="33" t="s">
        <v>4144</v>
      </c>
      <c r="X1056" s="26"/>
      <c r="Y1056" s="22">
        <v>0</v>
      </c>
      <c r="Z1056" s="26" t="s">
        <v>118</v>
      </c>
      <c r="AA1056" s="19" t="s">
        <v>3454</v>
      </c>
      <c r="AB1056" s="26" t="s">
        <v>146</v>
      </c>
      <c r="AC1056" s="26" t="s">
        <v>53</v>
      </c>
      <c r="AD1056" s="19" t="s">
        <v>54</v>
      </c>
      <c r="AE1056" s="26">
        <v>0</v>
      </c>
      <c r="AF1056" s="43">
        <v>45261</v>
      </c>
      <c r="AG1056" s="26" t="s">
        <v>5011</v>
      </c>
      <c r="AH1056" s="26"/>
      <c r="AI1056" s="40"/>
      <c r="AJ1056" s="26"/>
      <c r="AK1056" s="26"/>
      <c r="AL1056" s="35"/>
      <c r="AM1056" s="35"/>
      <c r="AN1056" s="35"/>
      <c r="AO1056" s="35"/>
      <c r="AP1056" s="35"/>
    </row>
    <row r="1057" spans="1:42" x14ac:dyDescent="0.2">
      <c r="A1057" s="97">
        <v>45258</v>
      </c>
      <c r="B1057" s="28" t="s">
        <v>37</v>
      </c>
      <c r="C1057" s="41" t="s">
        <v>118</v>
      </c>
      <c r="D1057" s="26" t="s">
        <v>36</v>
      </c>
      <c r="E1057" s="26" t="s">
        <v>39</v>
      </c>
      <c r="F1057" s="26" t="s">
        <v>2921</v>
      </c>
      <c r="G1057" s="26" t="s">
        <v>108</v>
      </c>
      <c r="H1057" s="26" t="s">
        <v>4525</v>
      </c>
      <c r="I1057" s="17">
        <f ca="1">IFERROR(__xludf.DUMMYFUNCTION("""COMPUTED_VALUE"""),45272)</f>
        <v>45272</v>
      </c>
      <c r="J1057" s="29" t="s">
        <v>3993</v>
      </c>
      <c r="K1057" s="26" t="s">
        <v>3994</v>
      </c>
      <c r="L1057" s="30">
        <v>345939554</v>
      </c>
      <c r="M1057" s="26" t="s">
        <v>1245</v>
      </c>
      <c r="N1057" s="26" t="s">
        <v>4957</v>
      </c>
      <c r="O1057" s="26" t="s">
        <v>91</v>
      </c>
      <c r="P1057" s="42" t="s">
        <v>3996</v>
      </c>
      <c r="Q1057" s="20">
        <v>5736</v>
      </c>
      <c r="R1057" s="26" t="s">
        <v>36</v>
      </c>
      <c r="S1057" s="31">
        <v>5736</v>
      </c>
      <c r="T1057" s="32">
        <v>45201</v>
      </c>
      <c r="U1057" s="31"/>
      <c r="V1057" s="26"/>
      <c r="W1057" s="33" t="s">
        <v>3997</v>
      </c>
      <c r="X1057" s="26"/>
      <c r="Y1057" s="22">
        <v>0</v>
      </c>
      <c r="Z1057" s="26" t="s">
        <v>118</v>
      </c>
      <c r="AA1057" s="19" t="s">
        <v>3454</v>
      </c>
      <c r="AB1057" s="26" t="s">
        <v>104</v>
      </c>
      <c r="AC1057" s="26" t="s">
        <v>53</v>
      </c>
      <c r="AD1057" s="19" t="s">
        <v>54</v>
      </c>
      <c r="AE1057" s="26" t="s">
        <v>2921</v>
      </c>
      <c r="AF1057" s="17">
        <v>45265</v>
      </c>
      <c r="AG1057" s="26"/>
      <c r="AH1057" s="26"/>
      <c r="AI1057" s="40"/>
      <c r="AJ1057" s="26"/>
      <c r="AK1057" s="26"/>
      <c r="AL1057" s="35"/>
      <c r="AM1057" s="35"/>
      <c r="AN1057" s="35"/>
      <c r="AO1057" s="35"/>
      <c r="AP1057" s="35"/>
    </row>
    <row r="1058" spans="1:42" x14ac:dyDescent="0.2">
      <c r="A1058" s="97">
        <v>45258</v>
      </c>
      <c r="B1058" s="68" t="s">
        <v>37</v>
      </c>
      <c r="C1058" s="41" t="s">
        <v>118</v>
      </c>
      <c r="D1058" s="26" t="s">
        <v>36</v>
      </c>
      <c r="E1058" s="26" t="s">
        <v>39</v>
      </c>
      <c r="F1058" s="26" t="s">
        <v>3198</v>
      </c>
      <c r="G1058" s="26" t="s">
        <v>108</v>
      </c>
      <c r="H1058" s="26" t="s">
        <v>2258</v>
      </c>
      <c r="I1058" s="17">
        <f ca="1">IFERROR(__xludf.DUMMYFUNCTION("""COMPUTED_VALUE"""),45267)</f>
        <v>45267</v>
      </c>
      <c r="J1058" s="29" t="s">
        <v>4204</v>
      </c>
      <c r="K1058" s="26" t="s">
        <v>4205</v>
      </c>
      <c r="L1058" s="30">
        <v>847759989</v>
      </c>
      <c r="M1058" s="26" t="s">
        <v>1245</v>
      </c>
      <c r="N1058" s="26" t="s">
        <v>4957</v>
      </c>
      <c r="O1058" s="26" t="s">
        <v>4206</v>
      </c>
      <c r="P1058" s="42" t="s">
        <v>4207</v>
      </c>
      <c r="Q1058" s="20">
        <v>5736</v>
      </c>
      <c r="R1058" s="26" t="s">
        <v>36</v>
      </c>
      <c r="S1058" s="31">
        <v>3726</v>
      </c>
      <c r="T1058" s="32">
        <v>45210</v>
      </c>
      <c r="U1058" s="31">
        <v>2010</v>
      </c>
      <c r="V1058" s="32">
        <v>45214</v>
      </c>
      <c r="W1058" s="33" t="s">
        <v>4208</v>
      </c>
      <c r="X1058" s="26"/>
      <c r="Y1058" s="22">
        <v>0</v>
      </c>
      <c r="Z1058" s="26" t="s">
        <v>118</v>
      </c>
      <c r="AA1058" s="19" t="s">
        <v>3454</v>
      </c>
      <c r="AB1058" s="26" t="s">
        <v>104</v>
      </c>
      <c r="AC1058" s="26" t="s">
        <v>53</v>
      </c>
      <c r="AD1058" s="19" t="s">
        <v>54</v>
      </c>
      <c r="AE1058" s="26">
        <v>0</v>
      </c>
      <c r="AF1058" s="43">
        <v>45259</v>
      </c>
      <c r="AG1058" s="26"/>
      <c r="AH1058" s="26"/>
      <c r="AI1058" s="40"/>
      <c r="AJ1058" s="26"/>
      <c r="AK1058" s="26"/>
      <c r="AL1058" s="35"/>
      <c r="AM1058" s="35"/>
      <c r="AN1058" s="35"/>
      <c r="AO1058" s="35"/>
      <c r="AP1058" s="35"/>
    </row>
    <row r="1059" spans="1:42" x14ac:dyDescent="0.2">
      <c r="A1059" s="97">
        <v>45260</v>
      </c>
      <c r="B1059" s="28" t="s">
        <v>37</v>
      </c>
      <c r="C1059" s="41" t="s">
        <v>118</v>
      </c>
      <c r="D1059" s="26" t="s">
        <v>36</v>
      </c>
      <c r="E1059" s="26" t="s">
        <v>219</v>
      </c>
      <c r="F1059" s="26" t="s">
        <v>5012</v>
      </c>
      <c r="G1059" s="26" t="s">
        <v>221</v>
      </c>
      <c r="H1059" s="26" t="s">
        <v>5013</v>
      </c>
      <c r="I1059" s="17" t="str">
        <f ca="1">IFERROR(__xludf.DUMMYFUNCTION("""COMPUTED_VALUE""")," ")</f>
        <v xml:space="preserve"> </v>
      </c>
      <c r="J1059" s="29" t="s">
        <v>5014</v>
      </c>
      <c r="K1059" s="26" t="s">
        <v>5015</v>
      </c>
      <c r="L1059" s="30">
        <v>869373692</v>
      </c>
      <c r="M1059" s="93" t="s">
        <v>391</v>
      </c>
      <c r="N1059" s="26" t="s">
        <v>5016</v>
      </c>
      <c r="O1059" s="26"/>
      <c r="P1059" s="42" t="s">
        <v>5017</v>
      </c>
      <c r="Q1059" s="20"/>
      <c r="R1059" s="26" t="s">
        <v>36</v>
      </c>
      <c r="S1059" s="31">
        <v>10804</v>
      </c>
      <c r="T1059" s="32">
        <v>44840</v>
      </c>
      <c r="U1059" s="31"/>
      <c r="V1059" s="26"/>
      <c r="W1059" s="33" t="s">
        <v>5018</v>
      </c>
      <c r="X1059" s="26"/>
      <c r="Y1059" s="22">
        <v>0</v>
      </c>
      <c r="Z1059" s="26" t="s">
        <v>118</v>
      </c>
      <c r="AA1059" s="19"/>
      <c r="AB1059" s="26" t="s">
        <v>104</v>
      </c>
      <c r="AC1059" s="26" t="s">
        <v>53</v>
      </c>
      <c r="AD1059" s="19" t="s">
        <v>54</v>
      </c>
      <c r="AE1059" s="26">
        <v>500</v>
      </c>
      <c r="AF1059" s="17">
        <v>45265</v>
      </c>
      <c r="AG1059" s="100" t="s">
        <v>5019</v>
      </c>
      <c r="AH1059" s="26"/>
      <c r="AI1059" s="92"/>
      <c r="AJ1059" s="35"/>
      <c r="AK1059" s="35"/>
      <c r="AL1059" s="35"/>
      <c r="AM1059" s="35"/>
      <c r="AN1059" s="26"/>
      <c r="AO1059" s="26"/>
      <c r="AP1059" s="26"/>
    </row>
    <row r="1060" spans="1:42" x14ac:dyDescent="0.2">
      <c r="A1060" s="97">
        <v>45260</v>
      </c>
      <c r="B1060" s="28" t="s">
        <v>1703</v>
      </c>
      <c r="C1060" s="41" t="s">
        <v>118</v>
      </c>
      <c r="D1060" s="26" t="s">
        <v>36</v>
      </c>
      <c r="E1060" s="26" t="s">
        <v>106</v>
      </c>
      <c r="F1060" s="26" t="s">
        <v>5012</v>
      </c>
      <c r="G1060" s="26" t="s">
        <v>108</v>
      </c>
      <c r="H1060" s="26" t="s">
        <v>4576</v>
      </c>
      <c r="I1060" s="17">
        <f ca="1">IFERROR(__xludf.DUMMYFUNCTION("""COMPUTED_VALUE"""),45294)</f>
        <v>45294</v>
      </c>
      <c r="J1060" s="29" t="s">
        <v>5020</v>
      </c>
      <c r="K1060" s="26" t="s">
        <v>5021</v>
      </c>
      <c r="L1060" s="30">
        <v>374407682</v>
      </c>
      <c r="M1060" s="26" t="s">
        <v>94</v>
      </c>
      <c r="N1060" s="26" t="s">
        <v>5022</v>
      </c>
      <c r="O1060" s="26" t="s">
        <v>36</v>
      </c>
      <c r="P1060" s="26" t="s">
        <v>5023</v>
      </c>
      <c r="Q1060" s="20"/>
      <c r="R1060" s="26" t="s">
        <v>36</v>
      </c>
      <c r="S1060" s="31">
        <v>10804</v>
      </c>
      <c r="T1060" s="32">
        <v>45024</v>
      </c>
      <c r="U1060" s="31"/>
      <c r="V1060" s="26"/>
      <c r="W1060" s="33"/>
      <c r="X1060" s="26"/>
      <c r="Y1060" s="22"/>
      <c r="Z1060" s="26" t="s">
        <v>118</v>
      </c>
      <c r="AA1060" s="19"/>
      <c r="AB1060" s="26"/>
      <c r="AC1060" s="26"/>
      <c r="AD1060" s="14"/>
      <c r="AE1060" s="26">
        <v>490</v>
      </c>
      <c r="AF1060" s="60" t="s">
        <v>1829</v>
      </c>
      <c r="AG1060" s="100" t="s">
        <v>5024</v>
      </c>
      <c r="AH1060" s="26"/>
      <c r="AI1060" s="92"/>
      <c r="AJ1060" s="35"/>
      <c r="AK1060" s="35"/>
      <c r="AL1060" s="35"/>
      <c r="AM1060" s="35"/>
      <c r="AN1060" s="26"/>
      <c r="AO1060" s="26"/>
      <c r="AP1060" s="26"/>
    </row>
    <row r="1061" spans="1:42" x14ac:dyDescent="0.2">
      <c r="A1061" s="14">
        <v>45261</v>
      </c>
      <c r="B1061" s="28" t="s">
        <v>37</v>
      </c>
      <c r="C1061" s="41" t="s">
        <v>118</v>
      </c>
      <c r="D1061" s="26" t="s">
        <v>36</v>
      </c>
      <c r="E1061" s="26" t="s">
        <v>56</v>
      </c>
      <c r="F1061" s="26" t="s">
        <v>2967</v>
      </c>
      <c r="G1061" s="26" t="s">
        <v>108</v>
      </c>
      <c r="H1061" s="26" t="s">
        <v>5025</v>
      </c>
      <c r="I1061" s="17">
        <f ca="1">IFERROR(__xludf.DUMMYFUNCTION("""COMPUTED_VALUE"""),45265)</f>
        <v>45265</v>
      </c>
      <c r="J1061" s="29" t="s">
        <v>3868</v>
      </c>
      <c r="K1061" s="26" t="s">
        <v>3869</v>
      </c>
      <c r="L1061" s="30">
        <v>329403727</v>
      </c>
      <c r="M1061" s="26" t="s">
        <v>910</v>
      </c>
      <c r="N1061" s="26" t="s">
        <v>3525</v>
      </c>
      <c r="O1061" s="26" t="s">
        <v>3754</v>
      </c>
      <c r="P1061" s="42" t="s">
        <v>5026</v>
      </c>
      <c r="Q1061" s="20">
        <v>9317</v>
      </c>
      <c r="R1061" s="26" t="s">
        <v>70</v>
      </c>
      <c r="S1061" s="21">
        <v>2000</v>
      </c>
      <c r="T1061" s="46">
        <v>45195</v>
      </c>
      <c r="U1061" s="31">
        <v>7217</v>
      </c>
      <c r="V1061" s="32">
        <v>45222</v>
      </c>
      <c r="W1061" s="26" t="s">
        <v>3871</v>
      </c>
      <c r="X1061" s="26"/>
      <c r="Y1061" s="22">
        <v>100</v>
      </c>
      <c r="Z1061" s="26" t="s">
        <v>118</v>
      </c>
      <c r="AA1061" s="19" t="s">
        <v>3454</v>
      </c>
      <c r="AB1061" s="26" t="s">
        <v>128</v>
      </c>
      <c r="AC1061" s="26" t="s">
        <v>53</v>
      </c>
      <c r="AD1061" s="19" t="s">
        <v>138</v>
      </c>
      <c r="AE1061" s="26" t="s">
        <v>2967</v>
      </c>
      <c r="AF1061" s="17">
        <v>45261</v>
      </c>
      <c r="AG1061" s="26" t="s">
        <v>5027</v>
      </c>
      <c r="AH1061" s="26"/>
      <c r="AI1061" s="40"/>
      <c r="AJ1061" s="26"/>
      <c r="AK1061" s="26"/>
      <c r="AL1061" s="35"/>
      <c r="AM1061" s="35"/>
      <c r="AN1061" s="35"/>
      <c r="AO1061" s="35"/>
      <c r="AP1061" s="35"/>
    </row>
    <row r="1062" spans="1:42" x14ac:dyDescent="0.2">
      <c r="A1062" s="14">
        <v>45261</v>
      </c>
      <c r="B1062" s="28" t="s">
        <v>37</v>
      </c>
      <c r="C1062" s="41" t="s">
        <v>118</v>
      </c>
      <c r="D1062" s="26" t="s">
        <v>36</v>
      </c>
      <c r="E1062" s="26" t="s">
        <v>139</v>
      </c>
      <c r="F1062" s="26" t="s">
        <v>2967</v>
      </c>
      <c r="G1062" s="26" t="s">
        <v>108</v>
      </c>
      <c r="H1062" s="26" t="s">
        <v>5025</v>
      </c>
      <c r="I1062" s="17">
        <f ca="1">IFERROR(__xludf.DUMMYFUNCTION("""COMPUTED_VALUE"""),45265)</f>
        <v>45265</v>
      </c>
      <c r="J1062" s="29" t="s">
        <v>4068</v>
      </c>
      <c r="K1062" s="26" t="s">
        <v>4069</v>
      </c>
      <c r="L1062" s="30">
        <v>862159750</v>
      </c>
      <c r="M1062" s="26" t="s">
        <v>123</v>
      </c>
      <c r="N1062" s="26" t="s">
        <v>81</v>
      </c>
      <c r="O1062" s="26" t="s">
        <v>1226</v>
      </c>
      <c r="P1062" s="42" t="s">
        <v>5028</v>
      </c>
      <c r="Q1062" s="20">
        <v>15936</v>
      </c>
      <c r="R1062" s="26" t="s">
        <v>36</v>
      </c>
      <c r="S1062" s="31">
        <v>200</v>
      </c>
      <c r="T1062" s="32">
        <v>45203</v>
      </c>
      <c r="U1062" s="31">
        <v>15736</v>
      </c>
      <c r="V1062" s="26" t="s">
        <v>4070</v>
      </c>
      <c r="W1062" s="33" t="s">
        <v>4071</v>
      </c>
      <c r="X1062" s="26"/>
      <c r="Y1062" s="22">
        <v>0</v>
      </c>
      <c r="Z1062" s="26" t="s">
        <v>118</v>
      </c>
      <c r="AA1062" s="19" t="s">
        <v>3454</v>
      </c>
      <c r="AB1062" s="26" t="s">
        <v>146</v>
      </c>
      <c r="AC1062" s="26" t="s">
        <v>53</v>
      </c>
      <c r="AD1062" s="19" t="s">
        <v>138</v>
      </c>
      <c r="AE1062" s="26" t="s">
        <v>2967</v>
      </c>
      <c r="AF1062" s="17">
        <v>45261</v>
      </c>
      <c r="AG1062" s="26" t="s">
        <v>5027</v>
      </c>
      <c r="AH1062" s="26"/>
      <c r="AI1062" s="40"/>
      <c r="AJ1062" s="26"/>
      <c r="AK1062" s="26"/>
      <c r="AL1062" s="35"/>
      <c r="AM1062" s="35"/>
      <c r="AN1062" s="35"/>
      <c r="AO1062" s="35"/>
      <c r="AP1062" s="35"/>
    </row>
    <row r="1063" spans="1:42" x14ac:dyDescent="0.2">
      <c r="A1063" s="14">
        <v>45261</v>
      </c>
      <c r="B1063" s="28" t="s">
        <v>37</v>
      </c>
      <c r="C1063" s="41" t="s">
        <v>118</v>
      </c>
      <c r="D1063" s="26" t="s">
        <v>36</v>
      </c>
      <c r="E1063" s="26" t="s">
        <v>139</v>
      </c>
      <c r="F1063" s="26" t="s">
        <v>2967</v>
      </c>
      <c r="G1063" s="26" t="s">
        <v>108</v>
      </c>
      <c r="H1063" s="26" t="s">
        <v>5025</v>
      </c>
      <c r="I1063" s="17">
        <f ca="1">IFERROR(__xludf.DUMMYFUNCTION("""COMPUTED_VALUE"""),45265)</f>
        <v>45265</v>
      </c>
      <c r="J1063" s="29" t="s">
        <v>3860</v>
      </c>
      <c r="K1063" s="26" t="s">
        <v>3861</v>
      </c>
      <c r="L1063" s="30">
        <v>363143009</v>
      </c>
      <c r="M1063" s="26" t="s">
        <v>1245</v>
      </c>
      <c r="N1063" s="26" t="s">
        <v>4957</v>
      </c>
      <c r="O1063" s="26" t="s">
        <v>1226</v>
      </c>
      <c r="P1063" s="42" t="s">
        <v>5029</v>
      </c>
      <c r="Q1063" s="20">
        <v>15936</v>
      </c>
      <c r="R1063" s="26" t="s">
        <v>36</v>
      </c>
      <c r="S1063" s="31">
        <v>2000</v>
      </c>
      <c r="T1063" s="32">
        <v>45191</v>
      </c>
      <c r="U1063" s="31">
        <v>13936</v>
      </c>
      <c r="V1063" s="32">
        <v>45224</v>
      </c>
      <c r="W1063" s="33" t="s">
        <v>3862</v>
      </c>
      <c r="X1063" s="26"/>
      <c r="Y1063" s="22">
        <v>0</v>
      </c>
      <c r="Z1063" s="26" t="s">
        <v>118</v>
      </c>
      <c r="AA1063" s="19" t="s">
        <v>3454</v>
      </c>
      <c r="AB1063" s="26" t="s">
        <v>154</v>
      </c>
      <c r="AC1063" s="26" t="s">
        <v>53</v>
      </c>
      <c r="AD1063" s="19" t="s">
        <v>138</v>
      </c>
      <c r="AE1063" s="26" t="s">
        <v>2967</v>
      </c>
      <c r="AF1063" s="17">
        <v>45261</v>
      </c>
      <c r="AG1063" s="26" t="s">
        <v>5027</v>
      </c>
      <c r="AH1063" s="26"/>
      <c r="AI1063" s="40"/>
      <c r="AJ1063" s="26"/>
      <c r="AK1063" s="26"/>
      <c r="AL1063" s="35"/>
      <c r="AM1063" s="35"/>
      <c r="AN1063" s="35"/>
      <c r="AO1063" s="35"/>
      <c r="AP1063" s="35"/>
    </row>
    <row r="1064" spans="1:42" x14ac:dyDescent="0.2">
      <c r="A1064" s="14">
        <v>45261</v>
      </c>
      <c r="B1064" s="28" t="s">
        <v>37</v>
      </c>
      <c r="C1064" s="41" t="s">
        <v>118</v>
      </c>
      <c r="D1064" s="26" t="s">
        <v>36</v>
      </c>
      <c r="E1064" s="26" t="s">
        <v>139</v>
      </c>
      <c r="F1064" s="26" t="s">
        <v>2967</v>
      </c>
      <c r="G1064" s="26" t="s">
        <v>108</v>
      </c>
      <c r="H1064" s="26" t="s">
        <v>5025</v>
      </c>
      <c r="I1064" s="17">
        <f ca="1">IFERROR(__xludf.DUMMYFUNCTION("""COMPUTED_VALUE"""),45265)</f>
        <v>45265</v>
      </c>
      <c r="J1064" s="29" t="s">
        <v>4033</v>
      </c>
      <c r="K1064" s="26" t="s">
        <v>4034</v>
      </c>
      <c r="L1064" s="30">
        <v>396530205</v>
      </c>
      <c r="M1064" s="26" t="s">
        <v>1245</v>
      </c>
      <c r="N1064" s="26" t="s">
        <v>4957</v>
      </c>
      <c r="O1064" s="26" t="s">
        <v>91</v>
      </c>
      <c r="P1064" s="42" t="s">
        <v>4035</v>
      </c>
      <c r="Q1064" s="20">
        <v>15936</v>
      </c>
      <c r="R1064" s="26" t="s">
        <v>36</v>
      </c>
      <c r="S1064" s="31">
        <v>2000</v>
      </c>
      <c r="T1064" s="32">
        <v>45202</v>
      </c>
      <c r="U1064" s="31">
        <v>13836</v>
      </c>
      <c r="V1064" s="32">
        <v>45223</v>
      </c>
      <c r="W1064" s="33" t="s">
        <v>4036</v>
      </c>
      <c r="X1064" s="26"/>
      <c r="Y1064" s="22">
        <v>100</v>
      </c>
      <c r="Z1064" s="26" t="s">
        <v>118</v>
      </c>
      <c r="AA1064" s="19" t="s">
        <v>3454</v>
      </c>
      <c r="AB1064" s="26" t="s">
        <v>137</v>
      </c>
      <c r="AC1064" s="26" t="s">
        <v>53</v>
      </c>
      <c r="AD1064" s="19" t="s">
        <v>138</v>
      </c>
      <c r="AE1064" s="26" t="s">
        <v>2967</v>
      </c>
      <c r="AF1064" s="17">
        <v>45261</v>
      </c>
      <c r="AG1064" s="26" t="s">
        <v>5027</v>
      </c>
      <c r="AH1064" s="26"/>
      <c r="AI1064" s="40"/>
      <c r="AJ1064" s="26"/>
      <c r="AK1064" s="26"/>
      <c r="AL1064" s="35"/>
      <c r="AM1064" s="35"/>
      <c r="AN1064" s="35"/>
      <c r="AO1064" s="35"/>
      <c r="AP1064" s="35"/>
    </row>
    <row r="1065" spans="1:42" x14ac:dyDescent="0.2">
      <c r="A1065" s="14">
        <v>45261</v>
      </c>
      <c r="B1065" s="28" t="s">
        <v>37</v>
      </c>
      <c r="C1065" s="41" t="s">
        <v>118</v>
      </c>
      <c r="D1065" s="26" t="s">
        <v>36</v>
      </c>
      <c r="E1065" s="26" t="s">
        <v>139</v>
      </c>
      <c r="F1065" s="26" t="s">
        <v>2967</v>
      </c>
      <c r="G1065" s="26" t="s">
        <v>108</v>
      </c>
      <c r="H1065" s="26" t="s">
        <v>5025</v>
      </c>
      <c r="I1065" s="17">
        <f ca="1">IFERROR(__xludf.DUMMYFUNCTION("""COMPUTED_VALUE"""),45265)</f>
        <v>45265</v>
      </c>
      <c r="J1065" s="29" t="s">
        <v>3921</v>
      </c>
      <c r="K1065" s="26" t="s">
        <v>3922</v>
      </c>
      <c r="L1065" s="30">
        <v>865630283</v>
      </c>
      <c r="M1065" s="26" t="s">
        <v>1245</v>
      </c>
      <c r="N1065" s="26" t="s">
        <v>4957</v>
      </c>
      <c r="O1065" s="26" t="s">
        <v>1226</v>
      </c>
      <c r="P1065" s="42" t="s">
        <v>5030</v>
      </c>
      <c r="Q1065" s="20">
        <v>15936</v>
      </c>
      <c r="R1065" s="26" t="s">
        <v>36</v>
      </c>
      <c r="S1065" s="31">
        <v>7000</v>
      </c>
      <c r="T1065" s="32">
        <v>45197</v>
      </c>
      <c r="U1065" s="31">
        <v>8936</v>
      </c>
      <c r="V1065" s="32">
        <v>45223</v>
      </c>
      <c r="W1065" s="33" t="s">
        <v>3923</v>
      </c>
      <c r="X1065" s="26"/>
      <c r="Y1065" s="22">
        <v>0</v>
      </c>
      <c r="Z1065" s="26" t="s">
        <v>118</v>
      </c>
      <c r="AA1065" s="19" t="s">
        <v>3454</v>
      </c>
      <c r="AB1065" s="26" t="s">
        <v>146</v>
      </c>
      <c r="AC1065" s="26" t="s">
        <v>53</v>
      </c>
      <c r="AD1065" s="19" t="s">
        <v>138</v>
      </c>
      <c r="AE1065" s="26" t="s">
        <v>2967</v>
      </c>
      <c r="AF1065" s="17">
        <v>45261</v>
      </c>
      <c r="AG1065" s="26" t="s">
        <v>5027</v>
      </c>
      <c r="AH1065" s="26"/>
      <c r="AI1065" s="40"/>
      <c r="AJ1065" s="26"/>
      <c r="AK1065" s="26"/>
      <c r="AL1065" s="35"/>
      <c r="AM1065" s="35"/>
      <c r="AN1065" s="35"/>
      <c r="AO1065" s="35"/>
      <c r="AP1065" s="35"/>
    </row>
    <row r="1066" spans="1:42" x14ac:dyDescent="0.2">
      <c r="A1066" s="14">
        <v>45261</v>
      </c>
      <c r="B1066" s="28" t="s">
        <v>37</v>
      </c>
      <c r="C1066" s="41" t="s">
        <v>118</v>
      </c>
      <c r="D1066" s="26" t="s">
        <v>36</v>
      </c>
      <c r="E1066" s="26" t="s">
        <v>139</v>
      </c>
      <c r="F1066" s="26" t="s">
        <v>2967</v>
      </c>
      <c r="G1066" s="26" t="s">
        <v>108</v>
      </c>
      <c r="H1066" s="26" t="s">
        <v>5025</v>
      </c>
      <c r="I1066" s="17">
        <f ca="1">IFERROR(__xludf.DUMMYFUNCTION("""COMPUTED_VALUE"""),45265)</f>
        <v>45265</v>
      </c>
      <c r="J1066" s="29" t="s">
        <v>3857</v>
      </c>
      <c r="K1066" s="26" t="s">
        <v>3858</v>
      </c>
      <c r="L1066" s="30">
        <v>914059828</v>
      </c>
      <c r="M1066" s="26" t="s">
        <v>1245</v>
      </c>
      <c r="N1066" s="26" t="s">
        <v>4957</v>
      </c>
      <c r="O1066" s="26" t="s">
        <v>1226</v>
      </c>
      <c r="P1066" s="42" t="s">
        <v>5031</v>
      </c>
      <c r="Q1066" s="20">
        <v>15936</v>
      </c>
      <c r="R1066" s="26" t="s">
        <v>36</v>
      </c>
      <c r="S1066" s="31">
        <v>2000</v>
      </c>
      <c r="T1066" s="32">
        <v>45192</v>
      </c>
      <c r="U1066" s="31">
        <v>13936</v>
      </c>
      <c r="V1066" s="32">
        <v>45227</v>
      </c>
      <c r="W1066" s="33" t="s">
        <v>3859</v>
      </c>
      <c r="X1066" s="26"/>
      <c r="Y1066" s="22">
        <v>0</v>
      </c>
      <c r="Z1066" s="26" t="s">
        <v>118</v>
      </c>
      <c r="AA1066" s="19" t="s">
        <v>3454</v>
      </c>
      <c r="AB1066" s="26" t="s">
        <v>128</v>
      </c>
      <c r="AC1066" s="26" t="s">
        <v>53</v>
      </c>
      <c r="AD1066" s="19" t="s">
        <v>138</v>
      </c>
      <c r="AE1066" s="26" t="s">
        <v>2967</v>
      </c>
      <c r="AF1066" s="17">
        <v>45261</v>
      </c>
      <c r="AG1066" s="26" t="s">
        <v>5027</v>
      </c>
      <c r="AH1066" s="26"/>
      <c r="AI1066" s="40"/>
      <c r="AJ1066" s="26"/>
      <c r="AK1066" s="26"/>
      <c r="AL1066" s="35"/>
      <c r="AM1066" s="35"/>
      <c r="AN1066" s="35"/>
      <c r="AO1066" s="35"/>
      <c r="AP1066" s="35"/>
    </row>
    <row r="1067" spans="1:42" x14ac:dyDescent="0.2">
      <c r="A1067" s="14">
        <v>45261</v>
      </c>
      <c r="B1067" s="28" t="s">
        <v>37</v>
      </c>
      <c r="C1067" s="41" t="s">
        <v>118</v>
      </c>
      <c r="D1067" s="26" t="s">
        <v>36</v>
      </c>
      <c r="E1067" s="26" t="s">
        <v>56</v>
      </c>
      <c r="F1067" s="26" t="s">
        <v>2967</v>
      </c>
      <c r="G1067" s="26" t="s">
        <v>108</v>
      </c>
      <c r="H1067" s="26" t="s">
        <v>5025</v>
      </c>
      <c r="I1067" s="17">
        <f ca="1">IFERROR(__xludf.DUMMYFUNCTION("""COMPUTED_VALUE"""),45265)</f>
        <v>45265</v>
      </c>
      <c r="J1067" s="29" t="s">
        <v>2968</v>
      </c>
      <c r="K1067" s="26" t="s">
        <v>2969</v>
      </c>
      <c r="L1067" s="30">
        <v>978140557</v>
      </c>
      <c r="M1067" s="26" t="s">
        <v>910</v>
      </c>
      <c r="N1067" s="26" t="s">
        <v>355</v>
      </c>
      <c r="O1067" s="26" t="s">
        <v>2970</v>
      </c>
      <c r="P1067" s="42" t="s">
        <v>5032</v>
      </c>
      <c r="Q1067" s="20">
        <v>9317</v>
      </c>
      <c r="R1067" s="26" t="s">
        <v>36</v>
      </c>
      <c r="S1067" s="31">
        <v>9317</v>
      </c>
      <c r="T1067" s="32">
        <v>45188</v>
      </c>
      <c r="U1067" s="31"/>
      <c r="V1067" s="26"/>
      <c r="W1067" s="33" t="s">
        <v>2972</v>
      </c>
      <c r="X1067" s="26"/>
      <c r="Y1067" s="22">
        <v>0</v>
      </c>
      <c r="Z1067" s="26" t="s">
        <v>118</v>
      </c>
      <c r="AA1067" s="19" t="s">
        <v>2449</v>
      </c>
      <c r="AB1067" s="26" t="s">
        <v>128</v>
      </c>
      <c r="AC1067" s="26" t="s">
        <v>53</v>
      </c>
      <c r="AD1067" s="19" t="s">
        <v>138</v>
      </c>
      <c r="AE1067" s="26" t="s">
        <v>2967</v>
      </c>
      <c r="AF1067" s="17">
        <v>45261</v>
      </c>
      <c r="AG1067" s="26" t="s">
        <v>5027</v>
      </c>
      <c r="AH1067" s="26"/>
      <c r="AI1067" s="40"/>
      <c r="AJ1067" s="26"/>
      <c r="AK1067" s="26"/>
      <c r="AL1067" s="35"/>
      <c r="AM1067" s="35"/>
      <c r="AN1067" s="35"/>
      <c r="AO1067" s="35"/>
      <c r="AP1067" s="35"/>
    </row>
    <row r="1068" spans="1:42" x14ac:dyDescent="0.2">
      <c r="A1068" s="14">
        <v>45261</v>
      </c>
      <c r="B1068" s="28" t="s">
        <v>37</v>
      </c>
      <c r="C1068" s="41" t="s">
        <v>118</v>
      </c>
      <c r="D1068" s="26" t="s">
        <v>36</v>
      </c>
      <c r="E1068" s="26" t="s">
        <v>139</v>
      </c>
      <c r="F1068" s="26" t="s">
        <v>2967</v>
      </c>
      <c r="G1068" s="26" t="s">
        <v>108</v>
      </c>
      <c r="H1068" s="26" t="s">
        <v>5025</v>
      </c>
      <c r="I1068" s="17">
        <f ca="1">IFERROR(__xludf.DUMMYFUNCTION("""COMPUTED_VALUE"""),45265)</f>
        <v>45265</v>
      </c>
      <c r="J1068" s="29" t="s">
        <v>4065</v>
      </c>
      <c r="K1068" s="26" t="s">
        <v>4066</v>
      </c>
      <c r="L1068" s="30">
        <v>335529925</v>
      </c>
      <c r="M1068" s="26" t="s">
        <v>123</v>
      </c>
      <c r="N1068" s="26" t="s">
        <v>327</v>
      </c>
      <c r="O1068" s="26" t="s">
        <v>1226</v>
      </c>
      <c r="P1068" s="42" t="s">
        <v>5033</v>
      </c>
      <c r="Q1068" s="20">
        <v>15936</v>
      </c>
      <c r="R1068" s="26" t="s">
        <v>36</v>
      </c>
      <c r="S1068" s="31">
        <v>2000</v>
      </c>
      <c r="T1068" s="32">
        <v>45202</v>
      </c>
      <c r="U1068" s="31">
        <v>13936</v>
      </c>
      <c r="V1068" s="32">
        <v>45225</v>
      </c>
      <c r="W1068" s="33" t="s">
        <v>4067</v>
      </c>
      <c r="X1068" s="26"/>
      <c r="Y1068" s="22">
        <v>0</v>
      </c>
      <c r="Z1068" s="26" t="s">
        <v>118</v>
      </c>
      <c r="AA1068" s="19" t="s">
        <v>3454</v>
      </c>
      <c r="AB1068" s="26" t="s">
        <v>128</v>
      </c>
      <c r="AC1068" s="26" t="s">
        <v>53</v>
      </c>
      <c r="AD1068" s="19" t="s">
        <v>138</v>
      </c>
      <c r="AE1068" s="26" t="s">
        <v>2967</v>
      </c>
      <c r="AF1068" s="17">
        <v>45261</v>
      </c>
      <c r="AG1068" s="26" t="s">
        <v>5027</v>
      </c>
      <c r="AH1068" s="26"/>
      <c r="AI1068" s="40"/>
      <c r="AJ1068" s="26"/>
      <c r="AK1068" s="26"/>
      <c r="AL1068" s="35"/>
      <c r="AM1068" s="35"/>
      <c r="AN1068" s="35"/>
      <c r="AO1068" s="35"/>
      <c r="AP1068" s="35"/>
    </row>
    <row r="1069" spans="1:42" x14ac:dyDescent="0.2">
      <c r="A1069" s="14">
        <v>45261</v>
      </c>
      <c r="B1069" s="28" t="s">
        <v>37</v>
      </c>
      <c r="C1069" s="41" t="s">
        <v>118</v>
      </c>
      <c r="D1069" s="26" t="s">
        <v>36</v>
      </c>
      <c r="E1069" s="26" t="s">
        <v>139</v>
      </c>
      <c r="F1069" s="26" t="s">
        <v>2967</v>
      </c>
      <c r="G1069" s="26" t="s">
        <v>108</v>
      </c>
      <c r="H1069" s="26" t="s">
        <v>5025</v>
      </c>
      <c r="I1069" s="17">
        <f ca="1">IFERROR(__xludf.DUMMYFUNCTION("""COMPUTED_VALUE"""),45265)</f>
        <v>45265</v>
      </c>
      <c r="J1069" s="29" t="s">
        <v>3854</v>
      </c>
      <c r="K1069" s="26" t="s">
        <v>3855</v>
      </c>
      <c r="L1069" s="30">
        <v>362802427</v>
      </c>
      <c r="M1069" s="26" t="s">
        <v>123</v>
      </c>
      <c r="N1069" s="26" t="s">
        <v>2847</v>
      </c>
      <c r="O1069" s="26" t="s">
        <v>1226</v>
      </c>
      <c r="P1069" s="42" t="s">
        <v>5034</v>
      </c>
      <c r="Q1069" s="20">
        <v>15936</v>
      </c>
      <c r="R1069" s="26" t="s">
        <v>36</v>
      </c>
      <c r="S1069" s="31">
        <v>5000</v>
      </c>
      <c r="T1069" s="32">
        <v>45195</v>
      </c>
      <c r="U1069" s="31">
        <v>10936</v>
      </c>
      <c r="V1069" s="32">
        <v>45224</v>
      </c>
      <c r="W1069" s="33" t="s">
        <v>3856</v>
      </c>
      <c r="X1069" s="26"/>
      <c r="Y1069" s="22">
        <v>0</v>
      </c>
      <c r="Z1069" s="26" t="s">
        <v>118</v>
      </c>
      <c r="AA1069" s="19" t="s">
        <v>3454</v>
      </c>
      <c r="AB1069" s="26" t="s">
        <v>128</v>
      </c>
      <c r="AC1069" s="26" t="s">
        <v>53</v>
      </c>
      <c r="AD1069" s="19" t="s">
        <v>138</v>
      </c>
      <c r="AE1069" s="26" t="s">
        <v>2967</v>
      </c>
      <c r="AF1069" s="17">
        <v>45261</v>
      </c>
      <c r="AG1069" s="26" t="s">
        <v>5027</v>
      </c>
      <c r="AH1069" s="26"/>
      <c r="AI1069" s="40"/>
      <c r="AJ1069" s="26"/>
      <c r="AK1069" s="26"/>
      <c r="AL1069" s="35"/>
      <c r="AM1069" s="35"/>
      <c r="AN1069" s="35"/>
      <c r="AO1069" s="35"/>
      <c r="AP1069" s="35"/>
    </row>
    <row r="1070" spans="1:42" x14ac:dyDescent="0.2">
      <c r="A1070" s="14">
        <v>45261</v>
      </c>
      <c r="B1070" s="28" t="s">
        <v>37</v>
      </c>
      <c r="C1070" s="41" t="s">
        <v>118</v>
      </c>
      <c r="D1070" s="26" t="s">
        <v>36</v>
      </c>
      <c r="E1070" s="26" t="s">
        <v>139</v>
      </c>
      <c r="F1070" s="26" t="s">
        <v>2967</v>
      </c>
      <c r="G1070" s="26" t="s">
        <v>108</v>
      </c>
      <c r="H1070" s="26" t="s">
        <v>5025</v>
      </c>
      <c r="I1070" s="17">
        <f ca="1">IFERROR(__xludf.DUMMYFUNCTION("""COMPUTED_VALUE"""),45265)</f>
        <v>45265</v>
      </c>
      <c r="J1070" s="29" t="s">
        <v>4179</v>
      </c>
      <c r="K1070" s="26" t="s">
        <v>4180</v>
      </c>
      <c r="L1070" s="30">
        <v>372979323</v>
      </c>
      <c r="M1070" s="26" t="s">
        <v>1245</v>
      </c>
      <c r="N1070" s="26" t="s">
        <v>4957</v>
      </c>
      <c r="O1070" s="26" t="s">
        <v>1226</v>
      </c>
      <c r="P1070" s="42" t="s">
        <v>5035</v>
      </c>
      <c r="Q1070" s="20">
        <v>15936</v>
      </c>
      <c r="R1070" s="26" t="s">
        <v>70</v>
      </c>
      <c r="S1070" s="31">
        <v>2000</v>
      </c>
      <c r="T1070" s="32">
        <v>45209</v>
      </c>
      <c r="U1070" s="31">
        <v>13836</v>
      </c>
      <c r="V1070" s="32">
        <v>45227</v>
      </c>
      <c r="W1070" s="33" t="s">
        <v>4182</v>
      </c>
      <c r="X1070" s="26"/>
      <c r="Y1070" s="22">
        <v>100</v>
      </c>
      <c r="Z1070" s="26" t="s">
        <v>118</v>
      </c>
      <c r="AA1070" s="19" t="s">
        <v>3454</v>
      </c>
      <c r="AB1070" s="26" t="s">
        <v>146</v>
      </c>
      <c r="AC1070" s="26" t="s">
        <v>53</v>
      </c>
      <c r="AD1070" s="19" t="s">
        <v>138</v>
      </c>
      <c r="AE1070" s="26" t="s">
        <v>2967</v>
      </c>
      <c r="AF1070" s="17">
        <v>45261</v>
      </c>
      <c r="AG1070" s="26" t="s">
        <v>5027</v>
      </c>
      <c r="AH1070" s="26"/>
      <c r="AI1070" s="40"/>
      <c r="AJ1070" s="26"/>
      <c r="AK1070" s="26"/>
      <c r="AL1070" s="35"/>
      <c r="AM1070" s="35"/>
      <c r="AN1070" s="35"/>
      <c r="AO1070" s="35"/>
      <c r="AP1070" s="35"/>
    </row>
    <row r="1071" spans="1:42" x14ac:dyDescent="0.2">
      <c r="A1071" s="14">
        <v>45261</v>
      </c>
      <c r="B1071" s="28" t="s">
        <v>37</v>
      </c>
      <c r="C1071" s="41" t="s">
        <v>118</v>
      </c>
      <c r="D1071" s="26" t="s">
        <v>36</v>
      </c>
      <c r="E1071" s="26" t="s">
        <v>139</v>
      </c>
      <c r="F1071" s="26" t="s">
        <v>2967</v>
      </c>
      <c r="G1071" s="26" t="s">
        <v>108</v>
      </c>
      <c r="H1071" s="26" t="s">
        <v>5025</v>
      </c>
      <c r="I1071" s="17">
        <f ca="1">IFERROR(__xludf.DUMMYFUNCTION("""COMPUTED_VALUE"""),45265)</f>
        <v>45265</v>
      </c>
      <c r="J1071" s="29" t="s">
        <v>3918</v>
      </c>
      <c r="K1071" s="26" t="s">
        <v>3919</v>
      </c>
      <c r="L1071" s="30">
        <v>942247485</v>
      </c>
      <c r="M1071" s="26" t="s">
        <v>1245</v>
      </c>
      <c r="N1071" s="26" t="s">
        <v>4957</v>
      </c>
      <c r="O1071" s="26" t="s">
        <v>1226</v>
      </c>
      <c r="P1071" s="42" t="s">
        <v>5036</v>
      </c>
      <c r="Q1071" s="20">
        <v>15936</v>
      </c>
      <c r="R1071" s="26" t="s">
        <v>36</v>
      </c>
      <c r="S1071" s="31">
        <v>2000</v>
      </c>
      <c r="T1071" s="32">
        <v>45197</v>
      </c>
      <c r="U1071" s="31">
        <v>13936</v>
      </c>
      <c r="V1071" s="32">
        <v>45226</v>
      </c>
      <c r="W1071" s="33" t="s">
        <v>3920</v>
      </c>
      <c r="X1071" s="26"/>
      <c r="Y1071" s="22">
        <v>0</v>
      </c>
      <c r="Z1071" s="26" t="s">
        <v>118</v>
      </c>
      <c r="AA1071" s="19" t="s">
        <v>3454</v>
      </c>
      <c r="AB1071" s="26" t="s">
        <v>146</v>
      </c>
      <c r="AC1071" s="26" t="s">
        <v>53</v>
      </c>
      <c r="AD1071" s="19" t="s">
        <v>138</v>
      </c>
      <c r="AE1071" s="26" t="s">
        <v>2967</v>
      </c>
      <c r="AF1071" s="17">
        <v>45261</v>
      </c>
      <c r="AG1071" s="26" t="s">
        <v>5027</v>
      </c>
      <c r="AH1071" s="26"/>
      <c r="AI1071" s="40"/>
      <c r="AJ1071" s="26"/>
      <c r="AK1071" s="26"/>
      <c r="AL1071" s="35"/>
      <c r="AM1071" s="35"/>
      <c r="AN1071" s="35"/>
      <c r="AO1071" s="35"/>
      <c r="AP1071" s="35"/>
    </row>
    <row r="1072" spans="1:42" x14ac:dyDescent="0.2">
      <c r="A1072" s="14">
        <v>45261</v>
      </c>
      <c r="B1072" s="28" t="s">
        <v>37</v>
      </c>
      <c r="C1072" s="41" t="s">
        <v>118</v>
      </c>
      <c r="D1072" s="26" t="s">
        <v>36</v>
      </c>
      <c r="E1072" s="26" t="s">
        <v>139</v>
      </c>
      <c r="F1072" s="26" t="s">
        <v>2967</v>
      </c>
      <c r="G1072" s="26" t="s">
        <v>108</v>
      </c>
      <c r="H1072" s="26" t="s">
        <v>5037</v>
      </c>
      <c r="I1072" s="17">
        <f ca="1">IFERROR(__xludf.DUMMYFUNCTION("""COMPUTED_VALUE"""),45391)</f>
        <v>45391</v>
      </c>
      <c r="J1072" s="29" t="s">
        <v>4049</v>
      </c>
      <c r="K1072" s="26" t="s">
        <v>5038</v>
      </c>
      <c r="L1072" s="30">
        <v>967514532</v>
      </c>
      <c r="M1072" s="26" t="s">
        <v>123</v>
      </c>
      <c r="N1072" s="26" t="s">
        <v>186</v>
      </c>
      <c r="O1072" s="26" t="s">
        <v>1226</v>
      </c>
      <c r="P1072" s="42" t="s">
        <v>5039</v>
      </c>
      <c r="Q1072" s="20">
        <v>15936</v>
      </c>
      <c r="R1072" s="26" t="s">
        <v>36</v>
      </c>
      <c r="S1072" s="31">
        <v>4000</v>
      </c>
      <c r="T1072" s="32">
        <v>45202</v>
      </c>
      <c r="U1072" s="31">
        <v>11936</v>
      </c>
      <c r="V1072" s="32">
        <v>45226</v>
      </c>
      <c r="W1072" s="55" t="s">
        <v>4051</v>
      </c>
      <c r="X1072" s="26"/>
      <c r="Y1072" s="22">
        <v>0</v>
      </c>
      <c r="Z1072" s="26" t="s">
        <v>118</v>
      </c>
      <c r="AA1072" s="19" t="s">
        <v>3454</v>
      </c>
      <c r="AB1072" s="26" t="s">
        <v>137</v>
      </c>
      <c r="AC1072" s="26" t="s">
        <v>53</v>
      </c>
      <c r="AD1072" s="19" t="s">
        <v>138</v>
      </c>
      <c r="AE1072" s="26" t="s">
        <v>2967</v>
      </c>
      <c r="AF1072" s="17">
        <v>45261</v>
      </c>
      <c r="AG1072" s="26" t="s">
        <v>5027</v>
      </c>
      <c r="AH1072" s="26"/>
      <c r="AI1072" s="40"/>
      <c r="AJ1072" s="26"/>
      <c r="AK1072" s="26"/>
      <c r="AL1072" s="35"/>
      <c r="AM1072" s="35"/>
      <c r="AN1072" s="35"/>
      <c r="AO1072" s="35"/>
      <c r="AP1072" s="35"/>
    </row>
    <row r="1073" spans="1:42" x14ac:dyDescent="0.2">
      <c r="A1073" s="14">
        <v>45264</v>
      </c>
      <c r="B1073" s="28" t="s">
        <v>37</v>
      </c>
      <c r="C1073" s="41" t="s">
        <v>118</v>
      </c>
      <c r="D1073" s="26" t="s">
        <v>36</v>
      </c>
      <c r="E1073" s="26" t="s">
        <v>56</v>
      </c>
      <c r="F1073" s="19" t="s">
        <v>2921</v>
      </c>
      <c r="G1073" s="26" t="s">
        <v>108</v>
      </c>
      <c r="H1073" s="19" t="s">
        <v>4525</v>
      </c>
      <c r="I1073" s="17">
        <f ca="1">IFERROR(__xludf.DUMMYFUNCTION("""COMPUTED_VALUE"""),45272)</f>
        <v>45272</v>
      </c>
      <c r="J1073" s="49" t="s">
        <v>4027</v>
      </c>
      <c r="K1073" s="19" t="s">
        <v>4028</v>
      </c>
      <c r="L1073" s="47">
        <v>378313441</v>
      </c>
      <c r="M1073" s="26" t="s">
        <v>1245</v>
      </c>
      <c r="N1073" s="26" t="s">
        <v>4957</v>
      </c>
      <c r="O1073" s="19" t="s">
        <v>4029</v>
      </c>
      <c r="P1073" s="62" t="s">
        <v>5040</v>
      </c>
      <c r="Q1073" s="20">
        <v>9317</v>
      </c>
      <c r="R1073" s="26" t="s">
        <v>36</v>
      </c>
      <c r="S1073" s="31">
        <v>200</v>
      </c>
      <c r="T1073" s="32">
        <v>45202</v>
      </c>
      <c r="U1073" s="21">
        <f>7317+1800</f>
        <v>9117</v>
      </c>
      <c r="V1073" s="26" t="s">
        <v>4031</v>
      </c>
      <c r="W1073" s="33" t="s">
        <v>4032</v>
      </c>
      <c r="X1073" s="26"/>
      <c r="Y1073" s="22">
        <v>0</v>
      </c>
      <c r="Z1073" s="26" t="s">
        <v>118</v>
      </c>
      <c r="AA1073" s="19" t="s">
        <v>3454</v>
      </c>
      <c r="AB1073" s="26"/>
      <c r="AC1073" s="26" t="s">
        <v>53</v>
      </c>
      <c r="AD1073" s="19" t="s">
        <v>54</v>
      </c>
      <c r="AE1073" s="26" t="s">
        <v>2921</v>
      </c>
      <c r="AF1073" s="17">
        <v>45265</v>
      </c>
      <c r="AG1073" s="26"/>
      <c r="AH1073" s="26"/>
      <c r="AI1073" s="40"/>
      <c r="AJ1073" s="26"/>
      <c r="AK1073" s="26"/>
      <c r="AL1073" s="35"/>
      <c r="AM1073" s="35"/>
      <c r="AN1073" s="35"/>
      <c r="AO1073" s="35"/>
      <c r="AP1073" s="35"/>
    </row>
    <row r="1074" spans="1:42" x14ac:dyDescent="0.2">
      <c r="A1074" s="14">
        <v>45264</v>
      </c>
      <c r="B1074" s="28" t="s">
        <v>37</v>
      </c>
      <c r="C1074" s="41" t="s">
        <v>118</v>
      </c>
      <c r="D1074" s="26" t="s">
        <v>36</v>
      </c>
      <c r="E1074" s="26" t="s">
        <v>139</v>
      </c>
      <c r="F1074" s="26" t="s">
        <v>857</v>
      </c>
      <c r="G1074" s="26" t="s">
        <v>108</v>
      </c>
      <c r="H1074" s="19" t="s">
        <v>4525</v>
      </c>
      <c r="I1074" s="17">
        <f ca="1">IFERROR(__xludf.DUMMYFUNCTION("""COMPUTED_VALUE"""),45272)</f>
        <v>45272</v>
      </c>
      <c r="J1074" s="29" t="s">
        <v>2694</v>
      </c>
      <c r="K1074" s="112" t="s">
        <v>5041</v>
      </c>
      <c r="L1074" s="30">
        <v>342540538</v>
      </c>
      <c r="M1074" s="26" t="s">
        <v>1245</v>
      </c>
      <c r="N1074" s="26" t="s">
        <v>4957</v>
      </c>
      <c r="O1074" s="26" t="s">
        <v>2697</v>
      </c>
      <c r="P1074" s="42" t="s">
        <v>5042</v>
      </c>
      <c r="Q1074" s="20">
        <v>15936</v>
      </c>
      <c r="R1074" s="26" t="s">
        <v>36</v>
      </c>
      <c r="S1074" s="31">
        <v>15936</v>
      </c>
      <c r="T1074" s="32">
        <v>45176</v>
      </c>
      <c r="U1074" s="31"/>
      <c r="V1074" s="26"/>
      <c r="W1074" s="33" t="s">
        <v>2699</v>
      </c>
      <c r="X1074" s="26"/>
      <c r="Y1074" s="22">
        <v>0</v>
      </c>
      <c r="Z1074" s="26" t="s">
        <v>118</v>
      </c>
      <c r="AA1074" s="19" t="s">
        <v>2449</v>
      </c>
      <c r="AB1074" s="26" t="s">
        <v>154</v>
      </c>
      <c r="AC1074" s="26" t="s">
        <v>53</v>
      </c>
      <c r="AD1074" s="19" t="s">
        <v>54</v>
      </c>
      <c r="AE1074" s="26" t="s">
        <v>857</v>
      </c>
      <c r="AF1074" s="17">
        <v>45265</v>
      </c>
      <c r="AG1074" s="26"/>
      <c r="AH1074" s="26"/>
      <c r="AI1074" s="40"/>
      <c r="AJ1074" s="26"/>
      <c r="AK1074" s="26"/>
      <c r="AL1074" s="35"/>
      <c r="AM1074" s="35"/>
      <c r="AN1074" s="35"/>
      <c r="AO1074" s="35"/>
      <c r="AP1074" s="35"/>
    </row>
    <row r="1075" spans="1:42" x14ac:dyDescent="0.2">
      <c r="A1075" s="14">
        <v>45264</v>
      </c>
      <c r="B1075" s="28" t="s">
        <v>37</v>
      </c>
      <c r="C1075" s="41" t="s">
        <v>118</v>
      </c>
      <c r="D1075" s="26" t="s">
        <v>36</v>
      </c>
      <c r="E1075" s="26" t="s">
        <v>139</v>
      </c>
      <c r="F1075" s="26" t="s">
        <v>2921</v>
      </c>
      <c r="G1075" s="26" t="s">
        <v>108</v>
      </c>
      <c r="H1075" s="19" t="s">
        <v>4525</v>
      </c>
      <c r="I1075" s="17">
        <f ca="1">IFERROR(__xludf.DUMMYFUNCTION("""COMPUTED_VALUE"""),45272)</f>
        <v>45272</v>
      </c>
      <c r="J1075" s="29" t="s">
        <v>4041</v>
      </c>
      <c r="K1075" s="26" t="s">
        <v>5043</v>
      </c>
      <c r="L1075" s="30">
        <v>337281886</v>
      </c>
      <c r="M1075" s="26" t="s">
        <v>1245</v>
      </c>
      <c r="N1075" s="26" t="s">
        <v>4957</v>
      </c>
      <c r="O1075" s="26" t="s">
        <v>4043</v>
      </c>
      <c r="P1075" s="42" t="s">
        <v>5044</v>
      </c>
      <c r="Q1075" s="20">
        <v>15936</v>
      </c>
      <c r="R1075" s="26" t="s">
        <v>36</v>
      </c>
      <c r="S1075" s="31">
        <v>2000</v>
      </c>
      <c r="T1075" s="32">
        <v>45202</v>
      </c>
      <c r="U1075" s="31">
        <v>13936</v>
      </c>
      <c r="V1075" s="32">
        <v>45226</v>
      </c>
      <c r="W1075" s="26" t="s">
        <v>4045</v>
      </c>
      <c r="X1075" s="26"/>
      <c r="Y1075" s="22">
        <v>0</v>
      </c>
      <c r="Z1075" s="26" t="s">
        <v>118</v>
      </c>
      <c r="AA1075" s="19" t="s">
        <v>3454</v>
      </c>
      <c r="AB1075" s="26"/>
      <c r="AC1075" s="26" t="s">
        <v>53</v>
      </c>
      <c r="AD1075" s="19" t="s">
        <v>54</v>
      </c>
      <c r="AE1075" s="26" t="s">
        <v>2921</v>
      </c>
      <c r="AF1075" s="17">
        <v>45265</v>
      </c>
      <c r="AG1075" s="26"/>
      <c r="AH1075" s="26"/>
      <c r="AI1075" s="40"/>
      <c r="AJ1075" s="26"/>
      <c r="AK1075" s="26"/>
      <c r="AL1075" s="35"/>
      <c r="AM1075" s="35"/>
      <c r="AN1075" s="35"/>
      <c r="AO1075" s="35"/>
      <c r="AP1075" s="35"/>
    </row>
    <row r="1076" spans="1:42" x14ac:dyDescent="0.2">
      <c r="A1076" s="14">
        <v>45265</v>
      </c>
      <c r="B1076" s="28" t="s">
        <v>37</v>
      </c>
      <c r="C1076" s="41" t="s">
        <v>118</v>
      </c>
      <c r="D1076" s="26" t="s">
        <v>36</v>
      </c>
      <c r="E1076" s="26" t="s">
        <v>77</v>
      </c>
      <c r="F1076" s="26" t="s">
        <v>3899</v>
      </c>
      <c r="G1076" s="26" t="s">
        <v>41</v>
      </c>
      <c r="H1076" s="26" t="s">
        <v>4489</v>
      </c>
      <c r="I1076" s="17">
        <f ca="1">IFERROR(__xludf.DUMMYFUNCTION("""COMPUTED_VALUE"""),45309)</f>
        <v>45309</v>
      </c>
      <c r="J1076" s="29" t="s">
        <v>4241</v>
      </c>
      <c r="K1076" s="26" t="s">
        <v>5045</v>
      </c>
      <c r="L1076" s="30">
        <v>349287614</v>
      </c>
      <c r="M1076" s="26" t="s">
        <v>112</v>
      </c>
      <c r="N1076" s="26" t="s">
        <v>5046</v>
      </c>
      <c r="O1076" s="26" t="s">
        <v>4243</v>
      </c>
      <c r="P1076" s="26" t="s">
        <v>4244</v>
      </c>
      <c r="Q1076" s="20">
        <v>1968</v>
      </c>
      <c r="R1076" s="26" t="s">
        <v>36</v>
      </c>
      <c r="S1076" s="31">
        <v>1968</v>
      </c>
      <c r="T1076" s="32">
        <v>45212</v>
      </c>
      <c r="U1076" s="31"/>
      <c r="V1076" s="26"/>
      <c r="W1076" s="33" t="s">
        <v>4245</v>
      </c>
      <c r="X1076" s="26"/>
      <c r="Y1076" s="22">
        <v>0</v>
      </c>
      <c r="Z1076" s="26" t="s">
        <v>118</v>
      </c>
      <c r="AA1076" s="19" t="s">
        <v>3454</v>
      </c>
      <c r="AB1076" s="26" t="s">
        <v>154</v>
      </c>
      <c r="AC1076" s="26" t="s">
        <v>53</v>
      </c>
      <c r="AD1076" s="19" t="s">
        <v>138</v>
      </c>
      <c r="AE1076" s="26" t="s">
        <v>72</v>
      </c>
      <c r="AF1076" s="17">
        <v>45215</v>
      </c>
      <c r="AG1076" s="26" t="s">
        <v>1631</v>
      </c>
      <c r="AH1076" s="26"/>
      <c r="AI1076" s="40"/>
      <c r="AJ1076" s="26"/>
      <c r="AK1076" s="26"/>
      <c r="AL1076" s="35"/>
      <c r="AM1076" s="35"/>
      <c r="AN1076" s="35"/>
      <c r="AO1076" s="35"/>
      <c r="AP1076" s="35"/>
    </row>
    <row r="1077" spans="1:42" x14ac:dyDescent="0.2">
      <c r="A1077" s="14">
        <v>45265</v>
      </c>
      <c r="B1077" s="28" t="s">
        <v>37</v>
      </c>
      <c r="C1077" s="41" t="s">
        <v>118</v>
      </c>
      <c r="D1077" s="26" t="s">
        <v>36</v>
      </c>
      <c r="E1077" s="26" t="s">
        <v>139</v>
      </c>
      <c r="F1077" s="26" t="s">
        <v>2760</v>
      </c>
      <c r="G1077" s="26" t="s">
        <v>108</v>
      </c>
      <c r="H1077" s="26" t="s">
        <v>4633</v>
      </c>
      <c r="I1077" s="17">
        <f ca="1">IFERROR(__xludf.DUMMYFUNCTION("""COMPUTED_VALUE"""),45365)</f>
        <v>45365</v>
      </c>
      <c r="J1077" s="29" t="s">
        <v>3817</v>
      </c>
      <c r="K1077" s="26" t="s">
        <v>5047</v>
      </c>
      <c r="L1077" s="30">
        <v>869888905</v>
      </c>
      <c r="M1077" s="26" t="s">
        <v>1245</v>
      </c>
      <c r="N1077" s="26" t="s">
        <v>4957</v>
      </c>
      <c r="O1077" s="26" t="s">
        <v>3819</v>
      </c>
      <c r="P1077" s="42" t="s">
        <v>5048</v>
      </c>
      <c r="Q1077" s="20">
        <v>15936</v>
      </c>
      <c r="R1077" s="26" t="s">
        <v>36</v>
      </c>
      <c r="S1077" s="31">
        <v>2000</v>
      </c>
      <c r="T1077" s="32">
        <v>45193</v>
      </c>
      <c r="U1077" s="31">
        <v>13936</v>
      </c>
      <c r="V1077" s="32">
        <v>45223</v>
      </c>
      <c r="W1077" s="33" t="s">
        <v>3821</v>
      </c>
      <c r="X1077" s="26"/>
      <c r="Y1077" s="22">
        <v>0</v>
      </c>
      <c r="Z1077" s="26" t="s">
        <v>118</v>
      </c>
      <c r="AA1077" s="19" t="s">
        <v>3454</v>
      </c>
      <c r="AB1077" s="26" t="s">
        <v>104</v>
      </c>
      <c r="AC1077" s="26" t="s">
        <v>53</v>
      </c>
      <c r="AD1077" s="19" t="s">
        <v>54</v>
      </c>
      <c r="AE1077" s="26" t="s">
        <v>2760</v>
      </c>
      <c r="AF1077" s="17">
        <v>45268</v>
      </c>
      <c r="AG1077" s="26"/>
      <c r="AH1077" s="26"/>
      <c r="AI1077" s="40"/>
      <c r="AJ1077" s="26"/>
      <c r="AK1077" s="26"/>
      <c r="AL1077" s="35"/>
      <c r="AM1077" s="35"/>
      <c r="AN1077" s="35"/>
      <c r="AO1077" s="35"/>
      <c r="AP1077" s="35"/>
    </row>
    <row r="1078" spans="1:42" x14ac:dyDescent="0.2">
      <c r="A1078" s="14">
        <v>45267</v>
      </c>
      <c r="B1078" s="28" t="s">
        <v>37</v>
      </c>
      <c r="C1078" s="41" t="s">
        <v>118</v>
      </c>
      <c r="D1078" s="26" t="s">
        <v>36</v>
      </c>
      <c r="E1078" s="26" t="s">
        <v>119</v>
      </c>
      <c r="F1078" s="26" t="s">
        <v>830</v>
      </c>
      <c r="G1078" s="26" t="s">
        <v>221</v>
      </c>
      <c r="H1078" s="26" t="s">
        <v>5049</v>
      </c>
      <c r="I1078" s="17">
        <f ca="1">IFERROR(__xludf.DUMMYFUNCTION("""COMPUTED_VALUE"""),45270)</f>
        <v>45270</v>
      </c>
      <c r="J1078" s="29" t="s">
        <v>1464</v>
      </c>
      <c r="K1078" s="26" t="s">
        <v>5050</v>
      </c>
      <c r="L1078" s="30">
        <v>888528598</v>
      </c>
      <c r="M1078" s="26" t="s">
        <v>292</v>
      </c>
      <c r="N1078" s="26" t="s">
        <v>1466</v>
      </c>
      <c r="O1078" s="26" t="s">
        <v>1467</v>
      </c>
      <c r="P1078" s="54" t="s">
        <v>5051</v>
      </c>
      <c r="Q1078" s="20">
        <v>13968</v>
      </c>
      <c r="R1078" s="26" t="s">
        <v>36</v>
      </c>
      <c r="S1078" s="31">
        <v>13968</v>
      </c>
      <c r="T1078" s="32">
        <v>45150</v>
      </c>
      <c r="U1078" s="31"/>
      <c r="V1078" s="26"/>
      <c r="W1078" s="33" t="s">
        <v>1469</v>
      </c>
      <c r="X1078" s="26">
        <v>0</v>
      </c>
      <c r="Y1078" s="22">
        <v>0</v>
      </c>
      <c r="Z1078" s="26" t="s">
        <v>118</v>
      </c>
      <c r="AA1078" s="19" t="s">
        <v>901</v>
      </c>
      <c r="AB1078" s="26" t="s">
        <v>104</v>
      </c>
      <c r="AC1078" s="26" t="s">
        <v>53</v>
      </c>
      <c r="AD1078" s="19" t="s">
        <v>54</v>
      </c>
      <c r="AE1078" s="26" t="s">
        <v>830</v>
      </c>
      <c r="AF1078" s="17">
        <v>45268</v>
      </c>
      <c r="AG1078" s="26"/>
      <c r="AH1078" s="26">
        <v>1</v>
      </c>
      <c r="AI1078" s="40">
        <v>4</v>
      </c>
      <c r="AJ1078" s="26"/>
      <c r="AK1078" s="26"/>
      <c r="AL1078" s="35"/>
      <c r="AM1078" s="35"/>
      <c r="AN1078" s="35"/>
      <c r="AO1078" s="35"/>
      <c r="AP1078" s="35"/>
    </row>
    <row r="1079" spans="1:42" x14ac:dyDescent="0.2">
      <c r="A1079" s="14">
        <v>45268</v>
      </c>
      <c r="B1079" s="28" t="s">
        <v>37</v>
      </c>
      <c r="C1079" s="41" t="s">
        <v>118</v>
      </c>
      <c r="D1079" s="26" t="s">
        <v>36</v>
      </c>
      <c r="E1079" s="26" t="s">
        <v>119</v>
      </c>
      <c r="F1079" s="26" t="s">
        <v>562</v>
      </c>
      <c r="G1079" s="26" t="s">
        <v>221</v>
      </c>
      <c r="H1079" s="26" t="s">
        <v>5049</v>
      </c>
      <c r="I1079" s="17">
        <f ca="1">IFERROR(__xludf.DUMMYFUNCTION("""COMPUTED_VALUE"""),45270)</f>
        <v>45270</v>
      </c>
      <c r="J1079" s="29" t="s">
        <v>1102</v>
      </c>
      <c r="K1079" s="26" t="s">
        <v>1103</v>
      </c>
      <c r="L1079" s="30">
        <v>378868780</v>
      </c>
      <c r="M1079" s="26" t="s">
        <v>80</v>
      </c>
      <c r="N1079" s="26" t="s">
        <v>2404</v>
      </c>
      <c r="O1079" s="26" t="s">
        <v>1104</v>
      </c>
      <c r="P1079" s="26" t="s">
        <v>1105</v>
      </c>
      <c r="Q1079" s="20">
        <v>13968</v>
      </c>
      <c r="R1079" s="26" t="s">
        <v>1106</v>
      </c>
      <c r="S1079" s="31">
        <v>4000</v>
      </c>
      <c r="T1079" s="32">
        <v>45129</v>
      </c>
      <c r="U1079" s="31">
        <v>9968</v>
      </c>
      <c r="V1079" s="32">
        <v>45151</v>
      </c>
      <c r="W1079" s="33" t="s">
        <v>1107</v>
      </c>
      <c r="X1079" s="26">
        <v>150</v>
      </c>
      <c r="Y1079" s="22">
        <v>-150</v>
      </c>
      <c r="Z1079" s="26" t="s">
        <v>118</v>
      </c>
      <c r="AA1079" s="19" t="s">
        <v>901</v>
      </c>
      <c r="AB1079" s="26" t="s">
        <v>104</v>
      </c>
      <c r="AC1079" s="26" t="s">
        <v>53</v>
      </c>
      <c r="AD1079" s="19" t="s">
        <v>54</v>
      </c>
      <c r="AE1079" s="26" t="s">
        <v>562</v>
      </c>
      <c r="AF1079" s="17">
        <v>45268</v>
      </c>
      <c r="AG1079" s="26"/>
      <c r="AH1079" s="26">
        <v>1</v>
      </c>
      <c r="AI1079" s="40">
        <v>4</v>
      </c>
      <c r="AJ1079" s="26"/>
      <c r="AK1079" s="26"/>
      <c r="AL1079" s="35"/>
      <c r="AM1079" s="35"/>
      <c r="AN1079" s="35"/>
      <c r="AO1079" s="35"/>
      <c r="AP1079" s="35"/>
    </row>
    <row r="1080" spans="1:42" x14ac:dyDescent="0.2">
      <c r="A1080" s="97">
        <v>45272</v>
      </c>
      <c r="B1080" s="28" t="s">
        <v>37</v>
      </c>
      <c r="C1080" s="41" t="s">
        <v>118</v>
      </c>
      <c r="D1080" s="26" t="s">
        <v>36</v>
      </c>
      <c r="E1080" s="26" t="s">
        <v>106</v>
      </c>
      <c r="F1080" s="26" t="s">
        <v>2675</v>
      </c>
      <c r="G1080" s="26" t="s">
        <v>108</v>
      </c>
      <c r="H1080" s="26" t="s">
        <v>824</v>
      </c>
      <c r="I1080" s="17">
        <f ca="1">IFERROR(__xludf.DUMMYFUNCTION("""COMPUTED_VALUE"""),45275)</f>
        <v>45275</v>
      </c>
      <c r="J1080" s="29" t="s">
        <v>2676</v>
      </c>
      <c r="K1080" s="26" t="s">
        <v>5052</v>
      </c>
      <c r="L1080" s="30">
        <v>869168175</v>
      </c>
      <c r="M1080" s="26" t="s">
        <v>1245</v>
      </c>
      <c r="N1080" s="26" t="s">
        <v>1246</v>
      </c>
      <c r="O1080" s="26" t="s">
        <v>91</v>
      </c>
      <c r="P1080" s="26" t="s">
        <v>2678</v>
      </c>
      <c r="Q1080" s="20">
        <v>3768</v>
      </c>
      <c r="R1080" s="26" t="s">
        <v>36</v>
      </c>
      <c r="S1080" s="31">
        <v>3768</v>
      </c>
      <c r="T1080" s="32">
        <v>45175</v>
      </c>
      <c r="U1080" s="31"/>
      <c r="V1080" s="26"/>
      <c r="W1080" s="33" t="s">
        <v>2679</v>
      </c>
      <c r="X1080" s="26"/>
      <c r="Y1080" s="22">
        <v>0</v>
      </c>
      <c r="Z1080" s="26" t="s">
        <v>118</v>
      </c>
      <c r="AA1080" s="19" t="s">
        <v>2449</v>
      </c>
      <c r="AB1080" s="26" t="s">
        <v>154</v>
      </c>
      <c r="AC1080" s="26" t="s">
        <v>53</v>
      </c>
      <c r="AD1080" s="19" t="s">
        <v>54</v>
      </c>
      <c r="AE1080" s="26">
        <v>350</v>
      </c>
      <c r="AF1080" s="17">
        <v>45177</v>
      </c>
      <c r="AG1080" s="26" t="s">
        <v>5053</v>
      </c>
      <c r="AH1080" s="26"/>
      <c r="AI1080" s="40"/>
      <c r="AJ1080" s="26"/>
      <c r="AK1080" s="26"/>
      <c r="AL1080" s="35"/>
      <c r="AM1080" s="35"/>
      <c r="AN1080" s="35"/>
      <c r="AO1080" s="35"/>
      <c r="AP1080" s="35"/>
    </row>
    <row r="1081" spans="1:42" x14ac:dyDescent="0.2">
      <c r="A1081" s="97">
        <v>45273</v>
      </c>
      <c r="B1081" s="28" t="s">
        <v>37</v>
      </c>
      <c r="C1081" s="41" t="s">
        <v>118</v>
      </c>
      <c r="D1081" s="26" t="s">
        <v>36</v>
      </c>
      <c r="E1081" s="26" t="s">
        <v>139</v>
      </c>
      <c r="F1081" s="26" t="s">
        <v>1436</v>
      </c>
      <c r="G1081" s="26" t="s">
        <v>108</v>
      </c>
      <c r="H1081" s="26" t="s">
        <v>2016</v>
      </c>
      <c r="I1081" s="17">
        <f ca="1">IFERROR(__xludf.DUMMYFUNCTION("""COMPUTED_VALUE"""),45365)</f>
        <v>45365</v>
      </c>
      <c r="J1081" s="29" t="s">
        <v>1441</v>
      </c>
      <c r="K1081" s="26" t="s">
        <v>5054</v>
      </c>
      <c r="L1081" s="30">
        <v>868043757</v>
      </c>
      <c r="M1081" s="26" t="s">
        <v>1245</v>
      </c>
      <c r="N1081" s="26" t="s">
        <v>4957</v>
      </c>
      <c r="O1081" s="26" t="s">
        <v>1443</v>
      </c>
      <c r="P1081" s="42" t="s">
        <v>5055</v>
      </c>
      <c r="Q1081" s="20">
        <v>15936</v>
      </c>
      <c r="R1081" s="26" t="s">
        <v>36</v>
      </c>
      <c r="S1081" s="31">
        <v>2000</v>
      </c>
      <c r="T1081" s="32">
        <v>45148</v>
      </c>
      <c r="U1081" s="31">
        <f>5000+8936</f>
        <v>13936</v>
      </c>
      <c r="V1081" s="26" t="s">
        <v>1445</v>
      </c>
      <c r="W1081" s="33" t="s">
        <v>1446</v>
      </c>
      <c r="X1081" s="26">
        <v>0</v>
      </c>
      <c r="Y1081" s="22">
        <v>0</v>
      </c>
      <c r="Z1081" s="26" t="s">
        <v>118</v>
      </c>
      <c r="AA1081" s="19" t="s">
        <v>901</v>
      </c>
      <c r="AB1081" s="26"/>
      <c r="AC1081" s="26" t="s">
        <v>53</v>
      </c>
      <c r="AD1081" s="19" t="s">
        <v>138</v>
      </c>
      <c r="AE1081" s="26" t="s">
        <v>1436</v>
      </c>
      <c r="AF1081" s="43">
        <v>45278</v>
      </c>
      <c r="AG1081" s="26"/>
      <c r="AH1081" s="26"/>
      <c r="AI1081" s="40" t="s">
        <v>147</v>
      </c>
      <c r="AJ1081" s="26"/>
      <c r="AK1081" s="26"/>
      <c r="AL1081" s="35"/>
      <c r="AM1081" s="35"/>
      <c r="AN1081" s="35"/>
      <c r="AO1081" s="35"/>
      <c r="AP1081" s="35"/>
    </row>
    <row r="1082" spans="1:42" x14ac:dyDescent="0.2">
      <c r="A1082" s="97">
        <v>45273</v>
      </c>
      <c r="B1082" s="28" t="s">
        <v>37</v>
      </c>
      <c r="C1082" s="41" t="s">
        <v>118</v>
      </c>
      <c r="D1082" s="26" t="s">
        <v>36</v>
      </c>
      <c r="E1082" s="26" t="s">
        <v>148</v>
      </c>
      <c r="F1082" s="26" t="s">
        <v>338</v>
      </c>
      <c r="G1082" s="26" t="s">
        <v>221</v>
      </c>
      <c r="H1082" s="26" t="s">
        <v>5056</v>
      </c>
      <c r="I1082" s="17">
        <f ca="1">IFERROR(__xludf.DUMMYFUNCTION("""COMPUTED_VALUE"""),45295)</f>
        <v>45295</v>
      </c>
      <c r="J1082" s="29" t="s">
        <v>339</v>
      </c>
      <c r="K1082" s="26" t="s">
        <v>340</v>
      </c>
      <c r="L1082" s="30">
        <v>338054682</v>
      </c>
      <c r="M1082" s="26" t="s">
        <v>1245</v>
      </c>
      <c r="N1082" s="26" t="s">
        <v>4957</v>
      </c>
      <c r="O1082" s="26" t="s">
        <v>342</v>
      </c>
      <c r="P1082" s="42" t="s">
        <v>5057</v>
      </c>
      <c r="Q1082" s="20">
        <v>7349</v>
      </c>
      <c r="R1082" s="26" t="s">
        <v>36</v>
      </c>
      <c r="S1082" s="31">
        <v>7349</v>
      </c>
      <c r="T1082" s="32">
        <v>45118</v>
      </c>
      <c r="U1082" s="31"/>
      <c r="V1082" s="26"/>
      <c r="W1082" s="33" t="s">
        <v>344</v>
      </c>
      <c r="X1082" s="26">
        <v>100</v>
      </c>
      <c r="Y1082" s="22">
        <v>-100</v>
      </c>
      <c r="Z1082" s="26" t="s">
        <v>118</v>
      </c>
      <c r="AA1082" s="19" t="s">
        <v>51</v>
      </c>
      <c r="AB1082" s="26"/>
      <c r="AC1082" s="26" t="s">
        <v>53</v>
      </c>
      <c r="AD1082" s="19" t="s">
        <v>54</v>
      </c>
      <c r="AE1082" s="26" t="s">
        <v>338</v>
      </c>
      <c r="AF1082" s="17">
        <v>45285</v>
      </c>
      <c r="AG1082" s="26"/>
      <c r="AH1082" s="26">
        <v>1</v>
      </c>
      <c r="AI1082" s="40">
        <v>2</v>
      </c>
      <c r="AJ1082" s="26"/>
      <c r="AK1082" s="26"/>
      <c r="AL1082" s="35"/>
      <c r="AM1082" s="35"/>
      <c r="AN1082" s="35"/>
      <c r="AO1082" s="35"/>
      <c r="AP1082" s="35"/>
    </row>
    <row r="1083" spans="1:42" x14ac:dyDescent="0.2">
      <c r="A1083" s="97">
        <v>45273</v>
      </c>
      <c r="B1083" s="28" t="s">
        <v>37</v>
      </c>
      <c r="C1083" s="41" t="s">
        <v>118</v>
      </c>
      <c r="D1083" s="26" t="s">
        <v>36</v>
      </c>
      <c r="E1083" s="26" t="s">
        <v>148</v>
      </c>
      <c r="F1083" s="26" t="s">
        <v>524</v>
      </c>
      <c r="G1083" s="26" t="s">
        <v>221</v>
      </c>
      <c r="H1083" s="26" t="s">
        <v>5056</v>
      </c>
      <c r="I1083" s="17">
        <f ca="1">IFERROR(__xludf.DUMMYFUNCTION("""COMPUTED_VALUE"""),45295)</f>
        <v>45295</v>
      </c>
      <c r="J1083" s="29" t="s">
        <v>525</v>
      </c>
      <c r="K1083" s="26" t="s">
        <v>526</v>
      </c>
      <c r="L1083" s="30">
        <v>965069074</v>
      </c>
      <c r="M1083" s="26" t="s">
        <v>1245</v>
      </c>
      <c r="N1083" s="26" t="s">
        <v>4957</v>
      </c>
      <c r="O1083" s="26" t="s">
        <v>527</v>
      </c>
      <c r="P1083" s="42" t="s">
        <v>5058</v>
      </c>
      <c r="Q1083" s="20">
        <v>7349</v>
      </c>
      <c r="R1083" s="26" t="s">
        <v>36</v>
      </c>
      <c r="S1083" s="31">
        <v>7349</v>
      </c>
      <c r="T1083" s="32">
        <v>45125</v>
      </c>
      <c r="U1083" s="31"/>
      <c r="V1083" s="26"/>
      <c r="W1083" s="33" t="s">
        <v>529</v>
      </c>
      <c r="X1083" s="26">
        <v>100</v>
      </c>
      <c r="Y1083" s="22">
        <v>-100</v>
      </c>
      <c r="Z1083" s="26" t="s">
        <v>118</v>
      </c>
      <c r="AA1083" s="19" t="s">
        <v>51</v>
      </c>
      <c r="AB1083" s="26"/>
      <c r="AC1083" s="26" t="s">
        <v>53</v>
      </c>
      <c r="AD1083" s="19" t="s">
        <v>54</v>
      </c>
      <c r="AE1083" s="26" t="s">
        <v>524</v>
      </c>
      <c r="AF1083" s="17">
        <v>45285</v>
      </c>
      <c r="AG1083" s="26"/>
      <c r="AH1083" s="26">
        <v>1</v>
      </c>
      <c r="AI1083" s="40">
        <v>2</v>
      </c>
      <c r="AJ1083" s="26"/>
      <c r="AK1083" s="26"/>
      <c r="AL1083" s="35"/>
      <c r="AM1083" s="35"/>
      <c r="AN1083" s="35"/>
      <c r="AO1083" s="35"/>
      <c r="AP1083" s="35"/>
    </row>
    <row r="1084" spans="1:42" x14ac:dyDescent="0.2">
      <c r="A1084" s="97">
        <v>45273</v>
      </c>
      <c r="B1084" s="28" t="s">
        <v>37</v>
      </c>
      <c r="C1084" s="41" t="s">
        <v>118</v>
      </c>
      <c r="D1084" s="26" t="s">
        <v>36</v>
      </c>
      <c r="E1084" s="26" t="s">
        <v>148</v>
      </c>
      <c r="F1084" s="26" t="s">
        <v>882</v>
      </c>
      <c r="G1084" s="26" t="s">
        <v>221</v>
      </c>
      <c r="H1084" s="26" t="s">
        <v>5056</v>
      </c>
      <c r="I1084" s="17">
        <f ca="1">IFERROR(__xludf.DUMMYFUNCTION("""COMPUTED_VALUE"""),45295)</f>
        <v>45295</v>
      </c>
      <c r="J1084" s="29" t="s">
        <v>1740</v>
      </c>
      <c r="K1084" s="26" t="s">
        <v>1741</v>
      </c>
      <c r="L1084" s="30">
        <v>389288483</v>
      </c>
      <c r="M1084" s="26" t="s">
        <v>1245</v>
      </c>
      <c r="N1084" s="26" t="s">
        <v>4957</v>
      </c>
      <c r="O1084" s="26" t="s">
        <v>1743</v>
      </c>
      <c r="P1084" s="42" t="s">
        <v>5059</v>
      </c>
      <c r="Q1084" s="20">
        <v>7349</v>
      </c>
      <c r="R1084" s="26" t="s">
        <v>36</v>
      </c>
      <c r="S1084" s="31">
        <v>7349</v>
      </c>
      <c r="T1084" s="32">
        <v>45162</v>
      </c>
      <c r="U1084" s="31"/>
      <c r="V1084" s="26"/>
      <c r="W1084" s="33" t="s">
        <v>1745</v>
      </c>
      <c r="X1084" s="26">
        <v>100</v>
      </c>
      <c r="Y1084" s="22">
        <v>-100</v>
      </c>
      <c r="Z1084" s="26" t="s">
        <v>118</v>
      </c>
      <c r="AA1084" s="19" t="s">
        <v>901</v>
      </c>
      <c r="AB1084" s="26"/>
      <c r="AC1084" s="26" t="s">
        <v>53</v>
      </c>
      <c r="AD1084" s="19" t="s">
        <v>54</v>
      </c>
      <c r="AE1084" s="26" t="s">
        <v>882</v>
      </c>
      <c r="AF1084" s="17">
        <v>45285</v>
      </c>
      <c r="AG1084" s="26"/>
      <c r="AH1084" s="26">
        <v>2</v>
      </c>
      <c r="AI1084" s="40">
        <v>2</v>
      </c>
      <c r="AJ1084" s="26"/>
      <c r="AK1084" s="26"/>
      <c r="AL1084" s="35"/>
      <c r="AM1084" s="35"/>
      <c r="AN1084" s="35"/>
      <c r="AO1084" s="35"/>
      <c r="AP1084" s="35"/>
    </row>
    <row r="1085" spans="1:42" x14ac:dyDescent="0.2">
      <c r="A1085" s="97">
        <v>45274</v>
      </c>
      <c r="B1085" s="28" t="s">
        <v>37</v>
      </c>
      <c r="C1085" s="41" t="s">
        <v>118</v>
      </c>
      <c r="D1085" s="26" t="s">
        <v>36</v>
      </c>
      <c r="E1085" s="26" t="s">
        <v>119</v>
      </c>
      <c r="F1085" s="26" t="s">
        <v>836</v>
      </c>
      <c r="G1085" s="26" t="s">
        <v>221</v>
      </c>
      <c r="H1085" s="26" t="s">
        <v>5056</v>
      </c>
      <c r="I1085" s="17">
        <f ca="1">IFERROR(__xludf.DUMMYFUNCTION("""COMPUTED_VALUE"""),45295)</f>
        <v>45295</v>
      </c>
      <c r="J1085" s="29" t="s">
        <v>1582</v>
      </c>
      <c r="K1085" s="26" t="s">
        <v>5060</v>
      </c>
      <c r="L1085" s="30">
        <v>334992012</v>
      </c>
      <c r="M1085" s="26" t="s">
        <v>1245</v>
      </c>
      <c r="N1085" s="26" t="s">
        <v>4957</v>
      </c>
      <c r="O1085" s="26" t="s">
        <v>1584</v>
      </c>
      <c r="P1085" s="42" t="s">
        <v>5061</v>
      </c>
      <c r="Q1085" s="20">
        <v>13968</v>
      </c>
      <c r="R1085" s="26" t="s">
        <v>36</v>
      </c>
      <c r="S1085" s="31">
        <v>13968</v>
      </c>
      <c r="T1085" s="32">
        <v>45156</v>
      </c>
      <c r="U1085" s="31"/>
      <c r="V1085" s="26"/>
      <c r="W1085" s="33" t="s">
        <v>1586</v>
      </c>
      <c r="X1085" s="26">
        <v>0</v>
      </c>
      <c r="Y1085" s="22">
        <v>0</v>
      </c>
      <c r="Z1085" s="26" t="s">
        <v>118</v>
      </c>
      <c r="AA1085" s="19" t="s">
        <v>901</v>
      </c>
      <c r="AB1085" s="26"/>
      <c r="AC1085" s="26" t="s">
        <v>53</v>
      </c>
      <c r="AD1085" s="19" t="s">
        <v>54</v>
      </c>
      <c r="AE1085" s="26" t="s">
        <v>836</v>
      </c>
      <c r="AF1085" s="17">
        <v>45285</v>
      </c>
      <c r="AG1085" s="42"/>
      <c r="AH1085" s="26">
        <v>1</v>
      </c>
      <c r="AI1085" s="40">
        <v>4</v>
      </c>
      <c r="AJ1085" s="26"/>
      <c r="AK1085" s="26"/>
      <c r="AL1085" s="35"/>
      <c r="AM1085" s="35"/>
      <c r="AN1085" s="35"/>
      <c r="AO1085" s="35"/>
      <c r="AP1085" s="35"/>
    </row>
    <row r="1086" spans="1:42" x14ac:dyDescent="0.2">
      <c r="A1086" s="97">
        <v>45274</v>
      </c>
      <c r="B1086" s="28" t="s">
        <v>37</v>
      </c>
      <c r="C1086" s="41" t="s">
        <v>118</v>
      </c>
      <c r="D1086" s="26" t="s">
        <v>36</v>
      </c>
      <c r="E1086" s="26" t="s">
        <v>56</v>
      </c>
      <c r="F1086" s="26" t="s">
        <v>882</v>
      </c>
      <c r="G1086" s="26" t="s">
        <v>221</v>
      </c>
      <c r="H1086" s="26" t="s">
        <v>5056</v>
      </c>
      <c r="I1086" s="17">
        <f ca="1">IFERROR(__xludf.DUMMYFUNCTION("""COMPUTED_VALUE"""),45295)</f>
        <v>45295</v>
      </c>
      <c r="J1086" s="29" t="s">
        <v>908</v>
      </c>
      <c r="K1086" s="26" t="s">
        <v>909</v>
      </c>
      <c r="L1086" s="30">
        <v>349387708</v>
      </c>
      <c r="M1086" s="26" t="s">
        <v>1245</v>
      </c>
      <c r="N1086" s="26" t="s">
        <v>4957</v>
      </c>
      <c r="O1086" s="26" t="s">
        <v>91</v>
      </c>
      <c r="P1086" s="42" t="s">
        <v>5062</v>
      </c>
      <c r="Q1086" s="20">
        <v>9317</v>
      </c>
      <c r="R1086" s="26" t="s">
        <v>36</v>
      </c>
      <c r="S1086" s="31">
        <v>2000</v>
      </c>
      <c r="T1086" s="32">
        <v>45114</v>
      </c>
      <c r="U1086" s="31">
        <v>7317</v>
      </c>
      <c r="V1086" s="32">
        <v>45139</v>
      </c>
      <c r="W1086" s="33" t="s">
        <v>914</v>
      </c>
      <c r="X1086" s="26">
        <v>0</v>
      </c>
      <c r="Y1086" s="22">
        <v>0</v>
      </c>
      <c r="Z1086" s="26" t="s">
        <v>118</v>
      </c>
      <c r="AA1086" s="19" t="s">
        <v>1871</v>
      </c>
      <c r="AB1086" s="26" t="s">
        <v>104</v>
      </c>
      <c r="AC1086" s="26" t="s">
        <v>53</v>
      </c>
      <c r="AD1086" s="19" t="s">
        <v>54</v>
      </c>
      <c r="AE1086" s="26" t="s">
        <v>882</v>
      </c>
      <c r="AF1086" s="17">
        <v>45285</v>
      </c>
      <c r="AG1086" s="26"/>
      <c r="AH1086" s="26">
        <v>2</v>
      </c>
      <c r="AI1086" s="40" t="s">
        <v>64</v>
      </c>
      <c r="AJ1086" s="26"/>
      <c r="AK1086" s="26"/>
      <c r="AL1086" s="35"/>
      <c r="AM1086" s="35"/>
      <c r="AN1086" s="35"/>
      <c r="AO1086" s="35"/>
      <c r="AP1086" s="35"/>
    </row>
    <row r="1087" spans="1:42" x14ac:dyDescent="0.2">
      <c r="A1087" s="97">
        <v>45274</v>
      </c>
      <c r="B1087" s="28" t="s">
        <v>37</v>
      </c>
      <c r="C1087" s="41" t="s">
        <v>118</v>
      </c>
      <c r="D1087" s="26" t="s">
        <v>36</v>
      </c>
      <c r="E1087" s="26" t="s">
        <v>139</v>
      </c>
      <c r="F1087" s="26" t="s">
        <v>882</v>
      </c>
      <c r="G1087" s="26" t="s">
        <v>221</v>
      </c>
      <c r="H1087" s="26" t="s">
        <v>5063</v>
      </c>
      <c r="I1087" s="17">
        <f ca="1">IFERROR(__xludf.DUMMYFUNCTION("""COMPUTED_VALUE"""),45345)</f>
        <v>45345</v>
      </c>
      <c r="J1087" s="29" t="s">
        <v>179</v>
      </c>
      <c r="K1087" s="26" t="s">
        <v>2364</v>
      </c>
      <c r="L1087" s="30">
        <v>396917524</v>
      </c>
      <c r="M1087" s="26" t="s">
        <v>1245</v>
      </c>
      <c r="N1087" s="26" t="s">
        <v>4957</v>
      </c>
      <c r="O1087" s="26" t="s">
        <v>36</v>
      </c>
      <c r="P1087" s="42" t="s">
        <v>5064</v>
      </c>
      <c r="Q1087" s="20">
        <v>15936</v>
      </c>
      <c r="R1087" s="26" t="s">
        <v>36</v>
      </c>
      <c r="S1087" s="31">
        <v>4000</v>
      </c>
      <c r="T1087" s="32">
        <v>45112</v>
      </c>
      <c r="U1087" s="31">
        <v>11936</v>
      </c>
      <c r="V1087" s="32">
        <v>45137</v>
      </c>
      <c r="W1087" s="33" t="s">
        <v>183</v>
      </c>
      <c r="X1087" s="26">
        <v>0</v>
      </c>
      <c r="Y1087" s="22">
        <v>0</v>
      </c>
      <c r="Z1087" s="26" t="s">
        <v>118</v>
      </c>
      <c r="AA1087" s="19" t="s">
        <v>1871</v>
      </c>
      <c r="AB1087" s="26" t="s">
        <v>104</v>
      </c>
      <c r="AC1087" s="26" t="s">
        <v>53</v>
      </c>
      <c r="AD1087" s="19" t="s">
        <v>54</v>
      </c>
      <c r="AE1087" s="26" t="s">
        <v>882</v>
      </c>
      <c r="AF1087" s="17">
        <v>45338</v>
      </c>
      <c r="AG1087" s="26"/>
      <c r="AH1087" s="26">
        <v>2</v>
      </c>
      <c r="AI1087" s="40" t="s">
        <v>147</v>
      </c>
      <c r="AJ1087" s="26"/>
      <c r="AK1087" s="26"/>
      <c r="AL1087" s="35"/>
      <c r="AM1087" s="35"/>
      <c r="AN1087" s="35"/>
      <c r="AO1087" s="35"/>
      <c r="AP1087" s="35"/>
    </row>
    <row r="1088" spans="1:42" x14ac:dyDescent="0.2">
      <c r="A1088" s="97">
        <v>45274</v>
      </c>
      <c r="B1088" s="28" t="s">
        <v>37</v>
      </c>
      <c r="C1088" s="41" t="s">
        <v>118</v>
      </c>
      <c r="D1088" s="26" t="s">
        <v>36</v>
      </c>
      <c r="E1088" s="26" t="s">
        <v>148</v>
      </c>
      <c r="F1088" s="26" t="s">
        <v>5065</v>
      </c>
      <c r="G1088" s="26" t="s">
        <v>221</v>
      </c>
      <c r="H1088" s="26" t="s">
        <v>5056</v>
      </c>
      <c r="I1088" s="17">
        <f ca="1">IFERROR(__xludf.DUMMYFUNCTION("""COMPUTED_VALUE"""),45295)</f>
        <v>45295</v>
      </c>
      <c r="J1088" s="29" t="s">
        <v>5066</v>
      </c>
      <c r="K1088" s="26" t="s">
        <v>5067</v>
      </c>
      <c r="L1088" s="30">
        <v>329367159</v>
      </c>
      <c r="M1088" s="26" t="s">
        <v>1245</v>
      </c>
      <c r="N1088" s="26" t="s">
        <v>4957</v>
      </c>
      <c r="O1088" s="26"/>
      <c r="P1088" s="42" t="s">
        <v>5068</v>
      </c>
      <c r="Q1088" s="20">
        <v>7349</v>
      </c>
      <c r="R1088" s="26" t="s">
        <v>36</v>
      </c>
      <c r="S1088" s="31">
        <v>7349</v>
      </c>
      <c r="T1088" s="32">
        <v>44936</v>
      </c>
      <c r="U1088" s="31"/>
      <c r="V1088" s="26"/>
      <c r="W1088" s="33" t="s">
        <v>5069</v>
      </c>
      <c r="X1088" s="26">
        <v>0</v>
      </c>
      <c r="Y1088" s="22">
        <v>0</v>
      </c>
      <c r="Z1088" s="26" t="s">
        <v>118</v>
      </c>
      <c r="AA1088" s="19" t="s">
        <v>5070</v>
      </c>
      <c r="AB1088" s="26" t="s">
        <v>104</v>
      </c>
      <c r="AC1088" s="26" t="s">
        <v>53</v>
      </c>
      <c r="AD1088" s="19" t="s">
        <v>54</v>
      </c>
      <c r="AE1088" s="26" t="s">
        <v>5065</v>
      </c>
      <c r="AF1088" s="17">
        <v>45285</v>
      </c>
      <c r="AG1088" s="91"/>
      <c r="AH1088" s="26"/>
      <c r="AI1088" s="92"/>
      <c r="AJ1088" s="35"/>
      <c r="AK1088" s="35"/>
      <c r="AL1088" s="35"/>
      <c r="AM1088" s="35"/>
      <c r="AN1088" s="26"/>
      <c r="AO1088" s="26"/>
      <c r="AP1088" s="35"/>
    </row>
    <row r="1089" spans="1:42" x14ac:dyDescent="0.2">
      <c r="A1089" s="97">
        <v>45274</v>
      </c>
      <c r="B1089" s="28" t="s">
        <v>37</v>
      </c>
      <c r="C1089" s="41" t="s">
        <v>118</v>
      </c>
      <c r="D1089" s="26" t="s">
        <v>36</v>
      </c>
      <c r="E1089" s="26" t="s">
        <v>56</v>
      </c>
      <c r="F1089" s="26" t="s">
        <v>2973</v>
      </c>
      <c r="G1089" s="26" t="s">
        <v>108</v>
      </c>
      <c r="H1089" s="26" t="s">
        <v>4576</v>
      </c>
      <c r="I1089" s="17">
        <f ca="1">IFERROR(__xludf.DUMMYFUNCTION("""COMPUTED_VALUE"""),45294)</f>
        <v>45294</v>
      </c>
      <c r="J1089" s="29" t="s">
        <v>2998</v>
      </c>
      <c r="K1089" s="26" t="s">
        <v>2999</v>
      </c>
      <c r="L1089" s="30">
        <v>964600301</v>
      </c>
      <c r="M1089" s="26" t="s">
        <v>1245</v>
      </c>
      <c r="N1089" s="26" t="s">
        <v>4957</v>
      </c>
      <c r="O1089" s="26" t="s">
        <v>3000</v>
      </c>
      <c r="P1089" s="42" t="s">
        <v>5071</v>
      </c>
      <c r="Q1089" s="20">
        <v>9317</v>
      </c>
      <c r="R1089" s="26" t="s">
        <v>36</v>
      </c>
      <c r="S1089" s="31">
        <v>9317</v>
      </c>
      <c r="T1089" s="32">
        <v>45189</v>
      </c>
      <c r="U1089" s="31"/>
      <c r="V1089" s="26"/>
      <c r="W1089" s="33" t="s">
        <v>3002</v>
      </c>
      <c r="X1089" s="26"/>
      <c r="Y1089" s="22">
        <v>0</v>
      </c>
      <c r="Z1089" s="26" t="s">
        <v>118</v>
      </c>
      <c r="AA1089" s="19" t="s">
        <v>2449</v>
      </c>
      <c r="AB1089" s="26" t="s">
        <v>128</v>
      </c>
      <c r="AC1089" s="26" t="s">
        <v>53</v>
      </c>
      <c r="AD1089" s="19" t="s">
        <v>54</v>
      </c>
      <c r="AE1089" s="26" t="s">
        <v>2973</v>
      </c>
      <c r="AF1089" s="43">
        <v>45278</v>
      </c>
      <c r="AG1089" s="26"/>
      <c r="AH1089" s="26"/>
      <c r="AI1089" s="40"/>
      <c r="AJ1089" s="26"/>
      <c r="AK1089" s="26"/>
      <c r="AL1089" s="35"/>
      <c r="AM1089" s="35"/>
      <c r="AN1089" s="35"/>
      <c r="AO1089" s="35"/>
      <c r="AP1089" s="35"/>
    </row>
    <row r="1090" spans="1:42" x14ac:dyDescent="0.2">
      <c r="A1090" s="97">
        <v>45274</v>
      </c>
      <c r="B1090" s="28" t="s">
        <v>37</v>
      </c>
      <c r="C1090" s="41" t="s">
        <v>118</v>
      </c>
      <c r="D1090" s="26" t="s">
        <v>36</v>
      </c>
      <c r="E1090" s="26" t="s">
        <v>56</v>
      </c>
      <c r="F1090" s="26" t="s">
        <v>4371</v>
      </c>
      <c r="G1090" s="26" t="s">
        <v>108</v>
      </c>
      <c r="H1090" s="26" t="s">
        <v>4576</v>
      </c>
      <c r="I1090" s="17">
        <f ca="1">IFERROR(__xludf.DUMMYFUNCTION("""COMPUTED_VALUE"""),45294)</f>
        <v>45294</v>
      </c>
      <c r="J1090" s="29" t="s">
        <v>4372</v>
      </c>
      <c r="K1090" s="26" t="s">
        <v>4373</v>
      </c>
      <c r="L1090" s="30">
        <v>365731492</v>
      </c>
      <c r="M1090" s="26" t="s">
        <v>59</v>
      </c>
      <c r="N1090" s="26" t="s">
        <v>68</v>
      </c>
      <c r="O1090" s="26" t="s">
        <v>4374</v>
      </c>
      <c r="P1090" s="26" t="s">
        <v>5072</v>
      </c>
      <c r="Q1090" s="20">
        <v>9317</v>
      </c>
      <c r="R1090" s="26" t="s">
        <v>36</v>
      </c>
      <c r="S1090" s="31">
        <v>9317</v>
      </c>
      <c r="T1090" s="32">
        <v>45219</v>
      </c>
      <c r="U1090" s="31"/>
      <c r="V1090" s="26"/>
      <c r="W1090" s="33" t="s">
        <v>4376</v>
      </c>
      <c r="X1090" s="26"/>
      <c r="Y1090" s="22">
        <v>0</v>
      </c>
      <c r="Z1090" s="26" t="s">
        <v>118</v>
      </c>
      <c r="AA1090" s="19" t="s">
        <v>3454</v>
      </c>
      <c r="AB1090" s="26" t="s">
        <v>154</v>
      </c>
      <c r="AC1090" s="26" t="s">
        <v>53</v>
      </c>
      <c r="AD1090" s="19" t="s">
        <v>54</v>
      </c>
      <c r="AE1090" s="26" t="s">
        <v>4371</v>
      </c>
      <c r="AF1090" s="43">
        <v>45278</v>
      </c>
      <c r="AG1090" s="26"/>
      <c r="AH1090" s="26"/>
      <c r="AI1090" s="40"/>
      <c r="AJ1090" s="26"/>
      <c r="AK1090" s="26"/>
      <c r="AL1090" s="35"/>
      <c r="AM1090" s="35"/>
      <c r="AN1090" s="35"/>
      <c r="AO1090" s="35"/>
      <c r="AP1090" s="35"/>
    </row>
    <row r="1091" spans="1:42" x14ac:dyDescent="0.2">
      <c r="A1091" s="97">
        <v>45274</v>
      </c>
      <c r="B1091" s="28" t="s">
        <v>37</v>
      </c>
      <c r="C1091" s="41" t="s">
        <v>118</v>
      </c>
      <c r="D1091" s="26" t="s">
        <v>36</v>
      </c>
      <c r="E1091" s="26" t="s">
        <v>139</v>
      </c>
      <c r="F1091" s="26" t="s">
        <v>3302</v>
      </c>
      <c r="G1091" s="26" t="s">
        <v>108</v>
      </c>
      <c r="H1091" s="26" t="s">
        <v>4576</v>
      </c>
      <c r="I1091" s="17">
        <f ca="1">IFERROR(__xludf.DUMMYFUNCTION("""COMPUTED_VALUE"""),45294)</f>
        <v>45294</v>
      </c>
      <c r="J1091" s="29" t="s">
        <v>4118</v>
      </c>
      <c r="K1091" s="26" t="s">
        <v>5073</v>
      </c>
      <c r="L1091" s="30">
        <v>367450851</v>
      </c>
      <c r="M1091" s="26" t="s">
        <v>123</v>
      </c>
      <c r="N1091" s="26" t="s">
        <v>4957</v>
      </c>
      <c r="O1091" s="26" t="s">
        <v>1313</v>
      </c>
      <c r="P1091" s="42" t="s">
        <v>5074</v>
      </c>
      <c r="Q1091" s="20">
        <v>15936</v>
      </c>
      <c r="R1091" s="26" t="s">
        <v>36</v>
      </c>
      <c r="S1091" s="31">
        <v>2000</v>
      </c>
      <c r="T1091" s="32">
        <v>45206</v>
      </c>
      <c r="U1091" s="31">
        <v>13936</v>
      </c>
      <c r="V1091" s="32">
        <v>45207</v>
      </c>
      <c r="W1091" s="33" t="s">
        <v>4121</v>
      </c>
      <c r="X1091" s="26"/>
      <c r="Y1091" s="22">
        <v>0</v>
      </c>
      <c r="Z1091" s="26" t="s">
        <v>118</v>
      </c>
      <c r="AA1091" s="19" t="s">
        <v>3454</v>
      </c>
      <c r="AB1091" s="26" t="s">
        <v>104</v>
      </c>
      <c r="AC1091" s="26" t="s">
        <v>53</v>
      </c>
      <c r="AD1091" s="19" t="s">
        <v>54</v>
      </c>
      <c r="AE1091" s="26" t="s">
        <v>3302</v>
      </c>
      <c r="AF1091" s="43">
        <v>45278</v>
      </c>
      <c r="AG1091" s="26"/>
      <c r="AH1091" s="26"/>
      <c r="AI1091" s="40"/>
      <c r="AJ1091" s="26"/>
      <c r="AK1091" s="26"/>
      <c r="AL1091" s="35"/>
      <c r="AM1091" s="35"/>
      <c r="AN1091" s="35"/>
      <c r="AO1091" s="35"/>
      <c r="AP1091" s="35"/>
    </row>
    <row r="1092" spans="1:42" x14ac:dyDescent="0.2">
      <c r="A1092" s="97">
        <v>45274</v>
      </c>
      <c r="B1092" s="28" t="s">
        <v>37</v>
      </c>
      <c r="C1092" s="41" t="s">
        <v>118</v>
      </c>
      <c r="D1092" s="26" t="s">
        <v>36</v>
      </c>
      <c r="E1092" s="26" t="s">
        <v>148</v>
      </c>
      <c r="F1092" s="26" t="s">
        <v>2421</v>
      </c>
      <c r="G1092" s="26" t="s">
        <v>221</v>
      </c>
      <c r="H1092" s="26" t="s">
        <v>5075</v>
      </c>
      <c r="I1092" s="17">
        <f ca="1">IFERROR(__xludf.DUMMYFUNCTION("""COMPUTED_VALUE"""),45288)</f>
        <v>45288</v>
      </c>
      <c r="J1092" s="29" t="s">
        <v>3032</v>
      </c>
      <c r="K1092" s="26" t="s">
        <v>3033</v>
      </c>
      <c r="L1092" s="30">
        <v>362382546</v>
      </c>
      <c r="M1092" s="26" t="s">
        <v>1245</v>
      </c>
      <c r="N1092" s="26" t="s">
        <v>4957</v>
      </c>
      <c r="O1092" s="26" t="s">
        <v>3034</v>
      </c>
      <c r="P1092" s="42" t="s">
        <v>5076</v>
      </c>
      <c r="Q1092" s="20">
        <v>7349</v>
      </c>
      <c r="R1092" s="26" t="s">
        <v>36</v>
      </c>
      <c r="S1092" s="31">
        <v>7349</v>
      </c>
      <c r="T1092" s="32">
        <v>45190</v>
      </c>
      <c r="U1092" s="31"/>
      <c r="V1092" s="26"/>
      <c r="W1092" s="33" t="s">
        <v>3036</v>
      </c>
      <c r="X1092" s="26"/>
      <c r="Y1092" s="22">
        <v>0</v>
      </c>
      <c r="Z1092" s="26" t="s">
        <v>118</v>
      </c>
      <c r="AA1092" s="19" t="s">
        <v>2449</v>
      </c>
      <c r="AB1092" s="26" t="s">
        <v>104</v>
      </c>
      <c r="AC1092" s="26" t="s">
        <v>53</v>
      </c>
      <c r="AD1092" s="19" t="s">
        <v>54</v>
      </c>
      <c r="AE1092" s="26" t="s">
        <v>2421</v>
      </c>
      <c r="AF1092" s="43">
        <v>45278</v>
      </c>
      <c r="AG1092" s="26"/>
      <c r="AH1092" s="26"/>
      <c r="AI1092" s="40"/>
      <c r="AJ1092" s="26"/>
      <c r="AK1092" s="26"/>
      <c r="AL1092" s="35"/>
      <c r="AM1092" s="35"/>
      <c r="AN1092" s="35"/>
      <c r="AO1092" s="35"/>
      <c r="AP1092" s="35"/>
    </row>
    <row r="1093" spans="1:42" x14ac:dyDescent="0.2">
      <c r="A1093" s="97">
        <v>45274</v>
      </c>
      <c r="B1093" s="28" t="s">
        <v>37</v>
      </c>
      <c r="C1093" s="41" t="s">
        <v>118</v>
      </c>
      <c r="D1093" s="26" t="s">
        <v>36</v>
      </c>
      <c r="E1093" s="26" t="s">
        <v>148</v>
      </c>
      <c r="F1093" s="26" t="s">
        <v>765</v>
      </c>
      <c r="G1093" s="26" t="s">
        <v>221</v>
      </c>
      <c r="H1093" s="26" t="s">
        <v>5075</v>
      </c>
      <c r="I1093" s="17">
        <f ca="1">IFERROR(__xludf.DUMMYFUNCTION("""COMPUTED_VALUE"""),45288)</f>
        <v>45288</v>
      </c>
      <c r="J1093" s="29" t="s">
        <v>1139</v>
      </c>
      <c r="K1093" s="26" t="s">
        <v>1140</v>
      </c>
      <c r="L1093" s="30">
        <v>384449827</v>
      </c>
      <c r="M1093" s="26" t="s">
        <v>1245</v>
      </c>
      <c r="N1093" s="26" t="s">
        <v>4957</v>
      </c>
      <c r="O1093" s="26" t="s">
        <v>1141</v>
      </c>
      <c r="P1093" s="42" t="s">
        <v>5077</v>
      </c>
      <c r="Q1093" s="20">
        <v>7349</v>
      </c>
      <c r="R1093" s="26" t="s">
        <v>36</v>
      </c>
      <c r="S1093" s="31">
        <v>4000</v>
      </c>
      <c r="T1093" s="32">
        <v>45133</v>
      </c>
      <c r="U1093" s="31">
        <v>3350</v>
      </c>
      <c r="V1093" s="32">
        <v>45156</v>
      </c>
      <c r="W1093" s="33" t="s">
        <v>1143</v>
      </c>
      <c r="X1093" s="26">
        <v>0</v>
      </c>
      <c r="Y1093" s="22">
        <v>-1</v>
      </c>
      <c r="Z1093" s="26" t="s">
        <v>118</v>
      </c>
      <c r="AA1093" s="19" t="s">
        <v>901</v>
      </c>
      <c r="AB1093" s="26" t="s">
        <v>104</v>
      </c>
      <c r="AC1093" s="26" t="s">
        <v>53</v>
      </c>
      <c r="AD1093" s="19" t="s">
        <v>54</v>
      </c>
      <c r="AE1093" s="26" t="s">
        <v>765</v>
      </c>
      <c r="AF1093" s="43">
        <v>45278</v>
      </c>
      <c r="AG1093" s="26"/>
      <c r="AH1093" s="26">
        <v>1</v>
      </c>
      <c r="AI1093" s="40">
        <v>2</v>
      </c>
      <c r="AJ1093" s="26"/>
      <c r="AK1093" s="26"/>
      <c r="AL1093" s="35"/>
      <c r="AM1093" s="35"/>
      <c r="AN1093" s="35"/>
      <c r="AO1093" s="35"/>
      <c r="AP1093" s="35"/>
    </row>
    <row r="1094" spans="1:42" x14ac:dyDescent="0.2">
      <c r="A1094" s="97">
        <v>45274</v>
      </c>
      <c r="B1094" s="28" t="s">
        <v>37</v>
      </c>
      <c r="C1094" s="41" t="s">
        <v>118</v>
      </c>
      <c r="D1094" s="26" t="s">
        <v>36</v>
      </c>
      <c r="E1094" s="26" t="s">
        <v>119</v>
      </c>
      <c r="F1094" s="26" t="s">
        <v>1657</v>
      </c>
      <c r="G1094" s="26" t="s">
        <v>221</v>
      </c>
      <c r="H1094" s="26" t="s">
        <v>5075</v>
      </c>
      <c r="I1094" s="17">
        <f ca="1">IFERROR(__xludf.DUMMYFUNCTION("""COMPUTED_VALUE"""),45288)</f>
        <v>45288</v>
      </c>
      <c r="J1094" s="29" t="s">
        <v>1662</v>
      </c>
      <c r="K1094" s="26" t="s">
        <v>5078</v>
      </c>
      <c r="L1094" s="30">
        <v>334362815</v>
      </c>
      <c r="M1094" s="26" t="s">
        <v>1245</v>
      </c>
      <c r="N1094" s="26" t="s">
        <v>4957</v>
      </c>
      <c r="O1094" s="26" t="s">
        <v>91</v>
      </c>
      <c r="P1094" s="42" t="s">
        <v>5079</v>
      </c>
      <c r="Q1094" s="20">
        <v>13968</v>
      </c>
      <c r="R1094" s="26" t="s">
        <v>36</v>
      </c>
      <c r="S1094" s="31">
        <v>13968</v>
      </c>
      <c r="T1094" s="32">
        <v>45157</v>
      </c>
      <c r="U1094" s="31"/>
      <c r="V1094" s="26"/>
      <c r="W1094" s="33" t="s">
        <v>1665</v>
      </c>
      <c r="X1094" s="26">
        <v>0</v>
      </c>
      <c r="Y1094" s="22">
        <v>0</v>
      </c>
      <c r="Z1094" s="26" t="s">
        <v>118</v>
      </c>
      <c r="AA1094" s="19" t="s">
        <v>901</v>
      </c>
      <c r="AB1094" s="26" t="s">
        <v>104</v>
      </c>
      <c r="AC1094" s="26" t="s">
        <v>53</v>
      </c>
      <c r="AD1094" s="19" t="s">
        <v>54</v>
      </c>
      <c r="AE1094" s="26" t="s">
        <v>1657</v>
      </c>
      <c r="AF1094" s="43">
        <v>45278</v>
      </c>
      <c r="AG1094" s="26"/>
      <c r="AH1094" s="26">
        <v>1</v>
      </c>
      <c r="AI1094" s="40">
        <v>4</v>
      </c>
      <c r="AJ1094" s="26"/>
      <c r="AK1094" s="26"/>
      <c r="AL1094" s="35"/>
      <c r="AM1094" s="35"/>
      <c r="AN1094" s="35"/>
      <c r="AO1094" s="35"/>
      <c r="AP1094" s="35"/>
    </row>
    <row r="1095" spans="1:42" x14ac:dyDescent="0.2">
      <c r="A1095" s="97">
        <v>45274</v>
      </c>
      <c r="B1095" s="28" t="s">
        <v>37</v>
      </c>
      <c r="C1095" s="41" t="s">
        <v>118</v>
      </c>
      <c r="D1095" s="26" t="s">
        <v>36</v>
      </c>
      <c r="E1095" s="26" t="s">
        <v>148</v>
      </c>
      <c r="F1095" s="26" t="s">
        <v>1657</v>
      </c>
      <c r="G1095" s="26" t="s">
        <v>221</v>
      </c>
      <c r="H1095" s="26" t="s">
        <v>5075</v>
      </c>
      <c r="I1095" s="17">
        <f ca="1">IFERROR(__xludf.DUMMYFUNCTION("""COMPUTED_VALUE"""),45288)</f>
        <v>45288</v>
      </c>
      <c r="J1095" s="29" t="s">
        <v>2543</v>
      </c>
      <c r="K1095" s="26" t="s">
        <v>5080</v>
      </c>
      <c r="L1095" s="30">
        <v>914624218</v>
      </c>
      <c r="M1095" s="26" t="s">
        <v>1245</v>
      </c>
      <c r="N1095" s="26" t="s">
        <v>4957</v>
      </c>
      <c r="O1095" s="26" t="s">
        <v>2545</v>
      </c>
      <c r="P1095" s="42" t="s">
        <v>5081</v>
      </c>
      <c r="Q1095" s="20">
        <v>7349</v>
      </c>
      <c r="R1095" s="26" t="s">
        <v>36</v>
      </c>
      <c r="S1095" s="31">
        <v>4000</v>
      </c>
      <c r="T1095" s="32">
        <v>45162</v>
      </c>
      <c r="U1095" s="31">
        <v>3349</v>
      </c>
      <c r="V1095" s="32">
        <v>45195</v>
      </c>
      <c r="W1095" s="33" t="s">
        <v>2547</v>
      </c>
      <c r="X1095" s="26"/>
      <c r="Y1095" s="22">
        <v>0</v>
      </c>
      <c r="Z1095" s="26" t="s">
        <v>118</v>
      </c>
      <c r="AA1095" s="19" t="s">
        <v>2449</v>
      </c>
      <c r="AB1095" s="26" t="s">
        <v>104</v>
      </c>
      <c r="AC1095" s="26" t="s">
        <v>53</v>
      </c>
      <c r="AD1095" s="19" t="s">
        <v>54</v>
      </c>
      <c r="AE1095" s="26" t="s">
        <v>1657</v>
      </c>
      <c r="AF1095" s="43">
        <v>45278</v>
      </c>
      <c r="AG1095" s="26"/>
      <c r="AH1095" s="26"/>
      <c r="AI1095" s="40"/>
      <c r="AJ1095" s="26"/>
      <c r="AK1095" s="26"/>
      <c r="AL1095" s="35"/>
      <c r="AM1095" s="35"/>
      <c r="AN1095" s="35"/>
      <c r="AO1095" s="35"/>
      <c r="AP1095" s="35"/>
    </row>
    <row r="1096" spans="1:42" x14ac:dyDescent="0.2">
      <c r="A1096" s="97">
        <v>45274</v>
      </c>
      <c r="B1096" s="28" t="s">
        <v>37</v>
      </c>
      <c r="C1096" s="41" t="s">
        <v>118</v>
      </c>
      <c r="D1096" s="26" t="s">
        <v>36</v>
      </c>
      <c r="E1096" s="26" t="s">
        <v>119</v>
      </c>
      <c r="F1096" s="26" t="s">
        <v>2377</v>
      </c>
      <c r="G1096" s="26" t="s">
        <v>221</v>
      </c>
      <c r="H1096" s="26" t="s">
        <v>5075</v>
      </c>
      <c r="I1096" s="17">
        <f ca="1">IFERROR(__xludf.DUMMYFUNCTION("""COMPUTED_VALUE"""),45288)</f>
        <v>45288</v>
      </c>
      <c r="J1096" s="29" t="s">
        <v>3576</v>
      </c>
      <c r="K1096" s="26" t="s">
        <v>5082</v>
      </c>
      <c r="L1096" s="30">
        <v>978331320</v>
      </c>
      <c r="M1096" s="26" t="s">
        <v>1245</v>
      </c>
      <c r="N1096" s="26" t="s">
        <v>4957</v>
      </c>
      <c r="O1096" s="26" t="s">
        <v>3578</v>
      </c>
      <c r="P1096" s="42" t="s">
        <v>5083</v>
      </c>
      <c r="Q1096" s="20">
        <v>13968</v>
      </c>
      <c r="R1096" s="26" t="s">
        <v>36</v>
      </c>
      <c r="S1096" s="31">
        <v>4000</v>
      </c>
      <c r="T1096" s="32">
        <v>45183</v>
      </c>
      <c r="U1096" s="31">
        <v>9968</v>
      </c>
      <c r="V1096" s="32">
        <v>45213</v>
      </c>
      <c r="W1096" s="33" t="s">
        <v>3580</v>
      </c>
      <c r="X1096" s="26"/>
      <c r="Y1096" s="22">
        <v>0</v>
      </c>
      <c r="Z1096" s="26" t="s">
        <v>118</v>
      </c>
      <c r="AA1096" s="19" t="s">
        <v>3454</v>
      </c>
      <c r="AB1096" s="26" t="s">
        <v>104</v>
      </c>
      <c r="AC1096" s="26" t="s">
        <v>53</v>
      </c>
      <c r="AD1096" s="19" t="s">
        <v>54</v>
      </c>
      <c r="AE1096" s="26" t="s">
        <v>2377</v>
      </c>
      <c r="AF1096" s="43">
        <v>45278</v>
      </c>
      <c r="AG1096" s="26"/>
      <c r="AH1096" s="26"/>
      <c r="AI1096" s="40"/>
      <c r="AJ1096" s="26"/>
      <c r="AK1096" s="26"/>
      <c r="AL1096" s="35"/>
      <c r="AM1096" s="35"/>
      <c r="AN1096" s="35"/>
      <c r="AO1096" s="35"/>
      <c r="AP1096" s="35"/>
    </row>
    <row r="1097" spans="1:42" x14ac:dyDescent="0.2">
      <c r="A1097" s="97">
        <v>45274</v>
      </c>
      <c r="B1097" s="28" t="s">
        <v>37</v>
      </c>
      <c r="C1097" s="41" t="s">
        <v>118</v>
      </c>
      <c r="D1097" s="26" t="s">
        <v>36</v>
      </c>
      <c r="E1097" s="26" t="s">
        <v>56</v>
      </c>
      <c r="F1097" s="26" t="s">
        <v>2421</v>
      </c>
      <c r="G1097" s="26" t="s">
        <v>221</v>
      </c>
      <c r="H1097" s="26" t="s">
        <v>5084</v>
      </c>
      <c r="I1097" s="17">
        <f ca="1">IFERROR(__xludf.DUMMYFUNCTION("""COMPUTED_VALUE"""),45344)</f>
        <v>45344</v>
      </c>
      <c r="J1097" s="44" t="s">
        <v>4700</v>
      </c>
      <c r="K1097" s="26" t="s">
        <v>5085</v>
      </c>
      <c r="L1097" s="30">
        <v>349810085</v>
      </c>
      <c r="M1097" s="26" t="s">
        <v>123</v>
      </c>
      <c r="N1097" s="26" t="s">
        <v>81</v>
      </c>
      <c r="O1097" s="26" t="s">
        <v>91</v>
      </c>
      <c r="P1097" s="42" t="s">
        <v>5086</v>
      </c>
      <c r="Q1097" s="20">
        <v>9317</v>
      </c>
      <c r="R1097" s="26" t="s">
        <v>36</v>
      </c>
      <c r="S1097" s="31">
        <v>9317</v>
      </c>
      <c r="T1097" s="32">
        <v>45131</v>
      </c>
      <c r="U1097" s="31"/>
      <c r="V1097" s="26"/>
      <c r="W1097" s="33" t="s">
        <v>641</v>
      </c>
      <c r="X1097" s="26">
        <v>0</v>
      </c>
      <c r="Y1097" s="22">
        <v>0</v>
      </c>
      <c r="Z1097" s="26" t="s">
        <v>118</v>
      </c>
      <c r="AA1097" s="19" t="s">
        <v>4541</v>
      </c>
      <c r="AB1097" s="26" t="s">
        <v>104</v>
      </c>
      <c r="AC1097" s="26" t="s">
        <v>53</v>
      </c>
      <c r="AD1097" s="19" t="s">
        <v>54</v>
      </c>
      <c r="AE1097" s="26" t="s">
        <v>2421</v>
      </c>
      <c r="AF1097" s="43">
        <v>45278</v>
      </c>
      <c r="AG1097" s="26"/>
      <c r="AH1097" s="26"/>
      <c r="AI1097" s="40"/>
      <c r="AJ1097" s="26"/>
      <c r="AK1097" s="26"/>
      <c r="AL1097" s="35"/>
      <c r="AM1097" s="35"/>
      <c r="AN1097" s="35"/>
      <c r="AO1097" s="35"/>
      <c r="AP1097" s="35"/>
    </row>
    <row r="1098" spans="1:42" x14ac:dyDescent="0.2">
      <c r="A1098" s="97">
        <v>45274</v>
      </c>
      <c r="B1098" s="28" t="s">
        <v>37</v>
      </c>
      <c r="C1098" s="41" t="s">
        <v>118</v>
      </c>
      <c r="D1098" s="26" t="s">
        <v>36</v>
      </c>
      <c r="E1098" s="26" t="s">
        <v>56</v>
      </c>
      <c r="F1098" s="26" t="s">
        <v>2381</v>
      </c>
      <c r="G1098" s="26" t="s">
        <v>221</v>
      </c>
      <c r="H1098" s="26" t="s">
        <v>5087</v>
      </c>
      <c r="I1098" s="17">
        <f ca="1">IFERROR(__xludf.DUMMYFUNCTION("""COMPUTED_VALUE"""),45356)</f>
        <v>45356</v>
      </c>
      <c r="J1098" s="29" t="s">
        <v>754</v>
      </c>
      <c r="K1098" s="26" t="s">
        <v>4695</v>
      </c>
      <c r="L1098" s="30">
        <v>869050236</v>
      </c>
      <c r="M1098" s="26" t="s">
        <v>1245</v>
      </c>
      <c r="N1098" s="26" t="s">
        <v>4957</v>
      </c>
      <c r="O1098" s="26" t="s">
        <v>91</v>
      </c>
      <c r="P1098" s="42" t="s">
        <v>4696</v>
      </c>
      <c r="Q1098" s="20">
        <v>9317</v>
      </c>
      <c r="R1098" s="26" t="s">
        <v>36</v>
      </c>
      <c r="S1098" s="31">
        <v>9317</v>
      </c>
      <c r="T1098" s="32">
        <v>45135</v>
      </c>
      <c r="U1098" s="31"/>
      <c r="V1098" s="26"/>
      <c r="W1098" s="33" t="s">
        <v>4697</v>
      </c>
      <c r="X1098" s="26"/>
      <c r="Y1098" s="22">
        <v>0</v>
      </c>
      <c r="Z1098" s="26" t="s">
        <v>118</v>
      </c>
      <c r="AA1098" s="19" t="s">
        <v>4541</v>
      </c>
      <c r="AB1098" s="26" t="s">
        <v>104</v>
      </c>
      <c r="AC1098" s="26" t="s">
        <v>53</v>
      </c>
      <c r="AD1098" s="19" t="s">
        <v>54</v>
      </c>
      <c r="AE1098" s="26" t="s">
        <v>2381</v>
      </c>
      <c r="AF1098" s="17">
        <v>45356</v>
      </c>
      <c r="AG1098" s="26"/>
      <c r="AH1098" s="26"/>
      <c r="AI1098" s="40"/>
      <c r="AJ1098" s="26"/>
      <c r="AK1098" s="26"/>
      <c r="AL1098" s="35"/>
      <c r="AM1098" s="35"/>
      <c r="AN1098" s="35"/>
      <c r="AO1098" s="35"/>
      <c r="AP1098" s="35"/>
    </row>
    <row r="1099" spans="1:42" x14ac:dyDescent="0.2">
      <c r="A1099" s="97">
        <v>45274</v>
      </c>
      <c r="B1099" s="28" t="s">
        <v>37</v>
      </c>
      <c r="C1099" s="41" t="s">
        <v>118</v>
      </c>
      <c r="D1099" s="26" t="s">
        <v>36</v>
      </c>
      <c r="E1099" s="26" t="s">
        <v>56</v>
      </c>
      <c r="F1099" s="26" t="s">
        <v>2421</v>
      </c>
      <c r="G1099" s="26" t="s">
        <v>221</v>
      </c>
      <c r="H1099" s="26" t="s">
        <v>5075</v>
      </c>
      <c r="I1099" s="17">
        <f ca="1">IFERROR(__xludf.DUMMYFUNCTION("""COMPUTED_VALUE"""),45288)</f>
        <v>45288</v>
      </c>
      <c r="J1099" s="29" t="s">
        <v>1339</v>
      </c>
      <c r="K1099" s="26" t="s">
        <v>1340</v>
      </c>
      <c r="L1099" s="30">
        <v>984908099</v>
      </c>
      <c r="M1099" s="26" t="s">
        <v>1245</v>
      </c>
      <c r="N1099" s="26" t="s">
        <v>4957</v>
      </c>
      <c r="O1099" s="26" t="s">
        <v>91</v>
      </c>
      <c r="P1099" s="42" t="s">
        <v>5088</v>
      </c>
      <c r="Q1099" s="20">
        <v>9317</v>
      </c>
      <c r="R1099" s="26" t="s">
        <v>36</v>
      </c>
      <c r="S1099" s="31">
        <v>9317</v>
      </c>
      <c r="T1099" s="32">
        <v>45145</v>
      </c>
      <c r="U1099" s="31"/>
      <c r="V1099" s="26"/>
      <c r="W1099" s="26"/>
      <c r="X1099" s="26"/>
      <c r="Y1099" s="22">
        <v>0</v>
      </c>
      <c r="Z1099" s="26" t="s">
        <v>118</v>
      </c>
      <c r="AA1099" s="19" t="s">
        <v>4541</v>
      </c>
      <c r="AB1099" s="26" t="s">
        <v>104</v>
      </c>
      <c r="AC1099" s="26" t="s">
        <v>53</v>
      </c>
      <c r="AD1099" s="19" t="s">
        <v>54</v>
      </c>
      <c r="AE1099" s="26" t="s">
        <v>2421</v>
      </c>
      <c r="AF1099" s="43">
        <v>45278</v>
      </c>
      <c r="AG1099" s="26"/>
      <c r="AH1099" s="26"/>
      <c r="AI1099" s="40"/>
      <c r="AJ1099" s="26"/>
      <c r="AK1099" s="26"/>
      <c r="AL1099" s="35"/>
      <c r="AM1099" s="35"/>
      <c r="AN1099" s="35"/>
      <c r="AO1099" s="35"/>
      <c r="AP1099" s="35"/>
    </row>
    <row r="1100" spans="1:42" x14ac:dyDescent="0.2">
      <c r="A1100" s="97">
        <v>45275</v>
      </c>
      <c r="B1100" s="28" t="s">
        <v>37</v>
      </c>
      <c r="C1100" s="41" t="s">
        <v>118</v>
      </c>
      <c r="D1100" s="26" t="s">
        <v>36</v>
      </c>
      <c r="E1100" s="26" t="s">
        <v>148</v>
      </c>
      <c r="F1100" s="26" t="s">
        <v>740</v>
      </c>
      <c r="G1100" s="35" t="s">
        <v>108</v>
      </c>
      <c r="H1100" s="35" t="s">
        <v>1176</v>
      </c>
      <c r="I1100" s="17">
        <f ca="1">IFERROR(__xludf.DUMMYFUNCTION("""COMPUTED_VALUE"""),45258)</f>
        <v>45258</v>
      </c>
      <c r="J1100" s="29" t="s">
        <v>2185</v>
      </c>
      <c r="K1100" s="26" t="s">
        <v>5089</v>
      </c>
      <c r="L1100" s="30">
        <v>366117635</v>
      </c>
      <c r="M1100" s="26" t="s">
        <v>112</v>
      </c>
      <c r="N1100" s="26" t="s">
        <v>5090</v>
      </c>
      <c r="O1100" s="26" t="s">
        <v>2187</v>
      </c>
      <c r="P1100" s="28" t="s">
        <v>2188</v>
      </c>
      <c r="Q1100" s="20">
        <v>7349</v>
      </c>
      <c r="R1100" s="26" t="s">
        <v>36</v>
      </c>
      <c r="S1100" s="58">
        <v>7349</v>
      </c>
      <c r="T1100" s="32">
        <v>44963</v>
      </c>
      <c r="U1100" s="58"/>
      <c r="V1100" s="35"/>
      <c r="W1100" s="33" t="s">
        <v>2189</v>
      </c>
      <c r="X1100" s="35">
        <v>0</v>
      </c>
      <c r="Y1100" s="22">
        <v>0</v>
      </c>
      <c r="Z1100" s="35" t="s">
        <v>118</v>
      </c>
      <c r="AA1100" s="19" t="s">
        <v>1871</v>
      </c>
      <c r="AB1100" s="26" t="s">
        <v>1144</v>
      </c>
      <c r="AC1100" s="26" t="s">
        <v>53</v>
      </c>
      <c r="AD1100" s="19" t="s">
        <v>54</v>
      </c>
      <c r="AE1100" s="19" t="s">
        <v>740</v>
      </c>
      <c r="AF1100" s="17">
        <v>45149</v>
      </c>
      <c r="AG1100" s="35"/>
      <c r="AH1100" s="36">
        <v>1</v>
      </c>
      <c r="AI1100" s="37">
        <v>2</v>
      </c>
      <c r="AJ1100" s="35"/>
      <c r="AK1100" s="35"/>
      <c r="AL1100" s="35"/>
      <c r="AM1100" s="35"/>
      <c r="AN1100" s="35"/>
      <c r="AO1100" s="35"/>
      <c r="AP1100" s="35"/>
    </row>
    <row r="1101" spans="1:42" x14ac:dyDescent="0.2">
      <c r="A1101" s="14"/>
      <c r="B1101" s="28" t="s">
        <v>37</v>
      </c>
      <c r="C1101" s="41" t="s">
        <v>118</v>
      </c>
      <c r="D1101" s="26"/>
      <c r="E1101" s="26"/>
      <c r="F1101" s="26"/>
      <c r="G1101" s="26"/>
      <c r="H1101" s="26" t="s">
        <v>3314</v>
      </c>
      <c r="I1101" s="17">
        <f ca="1">IFERROR(__xludf.DUMMYFUNCTION("""COMPUTED_VALUE"""),45236)</f>
        <v>45236</v>
      </c>
      <c r="J1101" s="29"/>
      <c r="K1101" s="42" t="s">
        <v>5091</v>
      </c>
      <c r="L1101" s="30"/>
      <c r="M1101" s="26" t="s">
        <v>1245</v>
      </c>
      <c r="N1101" s="26" t="s">
        <v>5092</v>
      </c>
      <c r="O1101" s="26"/>
      <c r="P1101" s="26"/>
      <c r="Q1101" s="20"/>
      <c r="R1101" s="26"/>
      <c r="S1101" s="31"/>
      <c r="T1101" s="32"/>
      <c r="U1101" s="31"/>
      <c r="V1101" s="26"/>
      <c r="W1101" s="33"/>
      <c r="X1101" s="26"/>
      <c r="Y1101" s="22"/>
      <c r="Z1101" s="34"/>
      <c r="AA1101" s="19"/>
      <c r="AB1101" s="26"/>
      <c r="AC1101" s="26"/>
      <c r="AD1101" s="14"/>
      <c r="AE1101" s="26"/>
      <c r="AF1101" s="60" t="s">
        <v>1829</v>
      </c>
      <c r="AG1101" s="91"/>
      <c r="AH1101" s="26"/>
      <c r="AI1101" s="92"/>
      <c r="AJ1101" s="35"/>
      <c r="AK1101" s="35"/>
      <c r="AL1101" s="35"/>
      <c r="AM1101" s="35"/>
      <c r="AN1101" s="26"/>
      <c r="AO1101" s="26"/>
      <c r="AP1101" s="26"/>
    </row>
    <row r="1102" spans="1:42" x14ac:dyDescent="0.2">
      <c r="A1102" s="97">
        <v>45275</v>
      </c>
      <c r="B1102" s="28" t="s">
        <v>37</v>
      </c>
      <c r="C1102" s="41" t="s">
        <v>118</v>
      </c>
      <c r="D1102" s="26" t="s">
        <v>36</v>
      </c>
      <c r="E1102" s="26" t="s">
        <v>139</v>
      </c>
      <c r="F1102" s="26" t="s">
        <v>3090</v>
      </c>
      <c r="G1102" s="35" t="s">
        <v>108</v>
      </c>
      <c r="H1102" s="26" t="s">
        <v>824</v>
      </c>
      <c r="I1102" s="17">
        <f ca="1">IFERROR(__xludf.DUMMYFUNCTION("""COMPUTED_VALUE"""),45275)</f>
        <v>45275</v>
      </c>
      <c r="J1102" s="29" t="s">
        <v>4105</v>
      </c>
      <c r="K1102" s="26" t="s">
        <v>4106</v>
      </c>
      <c r="L1102" s="30">
        <v>394589165</v>
      </c>
      <c r="M1102" s="26" t="s">
        <v>123</v>
      </c>
      <c r="N1102" s="26" t="s">
        <v>186</v>
      </c>
      <c r="O1102" s="26" t="s">
        <v>1226</v>
      </c>
      <c r="P1102" s="26" t="s">
        <v>4107</v>
      </c>
      <c r="Q1102" s="20">
        <v>15936</v>
      </c>
      <c r="R1102" s="26" t="s">
        <v>36</v>
      </c>
      <c r="S1102" s="31">
        <v>7500</v>
      </c>
      <c r="T1102" s="32">
        <v>45206</v>
      </c>
      <c r="U1102" s="31">
        <v>8436</v>
      </c>
      <c r="V1102" s="32">
        <v>45230</v>
      </c>
      <c r="W1102" s="33" t="s">
        <v>4108</v>
      </c>
      <c r="X1102" s="26"/>
      <c r="Y1102" s="22">
        <v>0</v>
      </c>
      <c r="Z1102" s="35" t="s">
        <v>118</v>
      </c>
      <c r="AA1102" s="19" t="s">
        <v>3454</v>
      </c>
      <c r="AB1102" s="26" t="s">
        <v>104</v>
      </c>
      <c r="AC1102" s="26" t="s">
        <v>53</v>
      </c>
      <c r="AD1102" s="19" t="s">
        <v>54</v>
      </c>
      <c r="AE1102" s="26" t="s">
        <v>3090</v>
      </c>
      <c r="AF1102" s="43">
        <v>45278</v>
      </c>
      <c r="AG1102" s="26"/>
      <c r="AH1102" s="26"/>
      <c r="AI1102" s="40"/>
      <c r="AJ1102" s="26"/>
      <c r="AK1102" s="26"/>
      <c r="AL1102" s="35"/>
      <c r="AM1102" s="35"/>
      <c r="AN1102" s="35"/>
      <c r="AO1102" s="35"/>
      <c r="AP1102" s="35"/>
    </row>
    <row r="1103" spans="1:42" x14ac:dyDescent="0.2">
      <c r="A1103" s="97">
        <v>45275</v>
      </c>
      <c r="B1103" s="28" t="s">
        <v>37</v>
      </c>
      <c r="C1103" s="41" t="s">
        <v>118</v>
      </c>
      <c r="D1103" s="26" t="s">
        <v>36</v>
      </c>
      <c r="E1103" s="26" t="s">
        <v>148</v>
      </c>
      <c r="F1103" s="26" t="s">
        <v>2421</v>
      </c>
      <c r="G1103" s="26" t="s">
        <v>221</v>
      </c>
      <c r="H1103" s="26" t="s">
        <v>5093</v>
      </c>
      <c r="I1103" s="17">
        <f ca="1">IFERROR(__xludf.DUMMYFUNCTION("""COMPUTED_VALUE"""),45348)</f>
        <v>45348</v>
      </c>
      <c r="J1103" s="29" t="s">
        <v>4712</v>
      </c>
      <c r="K1103" s="26" t="s">
        <v>5094</v>
      </c>
      <c r="L1103" s="30">
        <v>973376988</v>
      </c>
      <c r="M1103" s="26" t="s">
        <v>1245</v>
      </c>
      <c r="N1103" s="26" t="s">
        <v>4957</v>
      </c>
      <c r="O1103" s="26" t="s">
        <v>2144</v>
      </c>
      <c r="P1103" s="42" t="s">
        <v>5095</v>
      </c>
      <c r="Q1103" s="20">
        <v>7349</v>
      </c>
      <c r="R1103" s="26" t="s">
        <v>36</v>
      </c>
      <c r="S1103" s="31">
        <v>2000</v>
      </c>
      <c r="T1103" s="32">
        <v>44955</v>
      </c>
      <c r="U1103" s="31">
        <v>14779</v>
      </c>
      <c r="V1103" s="26"/>
      <c r="W1103" s="26"/>
      <c r="X1103" s="26"/>
      <c r="Y1103" s="22">
        <v>-9430</v>
      </c>
      <c r="Z1103" s="26" t="s">
        <v>118</v>
      </c>
      <c r="AA1103" s="19" t="s">
        <v>4541</v>
      </c>
      <c r="AB1103" s="26" t="s">
        <v>104</v>
      </c>
      <c r="AC1103" s="26" t="s">
        <v>53</v>
      </c>
      <c r="AD1103" s="19" t="s">
        <v>54</v>
      </c>
      <c r="AE1103" s="26" t="s">
        <v>2421</v>
      </c>
      <c r="AF1103" s="43">
        <v>45278</v>
      </c>
      <c r="AG1103" s="26" t="s">
        <v>4596</v>
      </c>
      <c r="AH1103" s="26"/>
      <c r="AI1103" s="40"/>
      <c r="AJ1103" s="26"/>
      <c r="AK1103" s="26"/>
      <c r="AL1103" s="35"/>
      <c r="AM1103" s="35"/>
      <c r="AN1103" s="35"/>
      <c r="AO1103" s="35"/>
      <c r="AP1103" s="35"/>
    </row>
    <row r="1104" spans="1:42" x14ac:dyDescent="0.2">
      <c r="A1104" s="97">
        <v>45278</v>
      </c>
      <c r="B1104" s="28" t="s">
        <v>37</v>
      </c>
      <c r="C1104" s="41" t="s">
        <v>118</v>
      </c>
      <c r="D1104" s="26" t="s">
        <v>36</v>
      </c>
      <c r="E1104" s="26" t="s">
        <v>148</v>
      </c>
      <c r="F1104" s="26" t="s">
        <v>1500</v>
      </c>
      <c r="G1104" s="26" t="s">
        <v>221</v>
      </c>
      <c r="H1104" s="26" t="s">
        <v>5096</v>
      </c>
      <c r="I1104" s="17">
        <f ca="1">IFERROR(__xludf.DUMMYFUNCTION("""COMPUTED_VALUE"""),45384)</f>
        <v>45384</v>
      </c>
      <c r="J1104" s="29" t="s">
        <v>2295</v>
      </c>
      <c r="K1104" s="26" t="s">
        <v>5097</v>
      </c>
      <c r="L1104" s="30">
        <v>963021844</v>
      </c>
      <c r="M1104" s="26" t="s">
        <v>1245</v>
      </c>
      <c r="N1104" s="26" t="s">
        <v>4957</v>
      </c>
      <c r="O1104" s="26" t="s">
        <v>91</v>
      </c>
      <c r="P1104" s="42" t="s">
        <v>5098</v>
      </c>
      <c r="Q1104" s="20">
        <v>7349</v>
      </c>
      <c r="R1104" s="26" t="s">
        <v>36</v>
      </c>
      <c r="S1104" s="31">
        <v>100</v>
      </c>
      <c r="T1104" s="32">
        <v>44858</v>
      </c>
      <c r="U1104" s="31">
        <v>13515</v>
      </c>
      <c r="V1104" s="26" t="s">
        <v>2298</v>
      </c>
      <c r="W1104" s="33" t="s">
        <v>2299</v>
      </c>
      <c r="X1104" s="26">
        <v>0</v>
      </c>
      <c r="Y1104" s="22">
        <v>-6266</v>
      </c>
      <c r="Z1104" s="26" t="s">
        <v>118</v>
      </c>
      <c r="AA1104" s="19" t="s">
        <v>1871</v>
      </c>
      <c r="AB1104" s="26"/>
      <c r="AC1104" s="26" t="s">
        <v>53</v>
      </c>
      <c r="AD1104" s="19" t="s">
        <v>54</v>
      </c>
      <c r="AE1104" s="26" t="s">
        <v>1500</v>
      </c>
      <c r="AF1104" s="17">
        <v>44944</v>
      </c>
      <c r="AG1104" s="42" t="s">
        <v>5099</v>
      </c>
      <c r="AH1104" s="26">
        <v>1</v>
      </c>
      <c r="AI1104" s="40">
        <v>2</v>
      </c>
      <c r="AJ1104" s="26"/>
      <c r="AK1104" s="26"/>
      <c r="AL1104" s="35"/>
      <c r="AM1104" s="35"/>
      <c r="AN1104" s="35"/>
      <c r="AO1104" s="35"/>
      <c r="AP1104" s="35"/>
    </row>
    <row r="1105" spans="1:42" x14ac:dyDescent="0.2">
      <c r="A1105" s="97">
        <v>45279</v>
      </c>
      <c r="B1105" s="28" t="s">
        <v>37</v>
      </c>
      <c r="C1105" s="41" t="s">
        <v>118</v>
      </c>
      <c r="D1105" s="26" t="s">
        <v>4128</v>
      </c>
      <c r="E1105" s="26" t="s">
        <v>139</v>
      </c>
      <c r="F1105" s="26" t="s">
        <v>4129</v>
      </c>
      <c r="G1105" s="26" t="s">
        <v>108</v>
      </c>
      <c r="H1105" s="26" t="s">
        <v>5100</v>
      </c>
      <c r="I1105" s="17">
        <f ca="1">IFERROR(__xludf.DUMMYFUNCTION("""COMPUTED_VALUE"""),45288)</f>
        <v>45288</v>
      </c>
      <c r="J1105" s="29" t="s">
        <v>4130</v>
      </c>
      <c r="K1105" s="26" t="s">
        <v>4131</v>
      </c>
      <c r="L1105" s="30">
        <v>337981335</v>
      </c>
      <c r="M1105" s="26" t="s">
        <v>123</v>
      </c>
      <c r="N1105" s="26" t="s">
        <v>186</v>
      </c>
      <c r="O1105" s="26" t="s">
        <v>1226</v>
      </c>
      <c r="P1105" s="26" t="s">
        <v>3487</v>
      </c>
      <c r="Q1105" s="20">
        <v>15936</v>
      </c>
      <c r="R1105" s="26" t="s">
        <v>36</v>
      </c>
      <c r="S1105" s="31">
        <v>15936</v>
      </c>
      <c r="T1105" s="32">
        <v>45207</v>
      </c>
      <c r="U1105" s="31"/>
      <c r="V1105" s="26"/>
      <c r="W1105" s="33" t="s">
        <v>4132</v>
      </c>
      <c r="X1105" s="26"/>
      <c r="Y1105" s="22">
        <v>0</v>
      </c>
      <c r="Z1105" s="26" t="s">
        <v>118</v>
      </c>
      <c r="AA1105" s="19" t="s">
        <v>3454</v>
      </c>
      <c r="AB1105" s="26" t="s">
        <v>104</v>
      </c>
      <c r="AC1105" s="26" t="s">
        <v>53</v>
      </c>
      <c r="AD1105" s="19" t="s">
        <v>138</v>
      </c>
      <c r="AE1105" s="26" t="s">
        <v>4129</v>
      </c>
      <c r="AF1105" s="17">
        <v>45288</v>
      </c>
      <c r="AG1105" s="26" t="s">
        <v>5101</v>
      </c>
      <c r="AH1105" s="26"/>
      <c r="AI1105" s="40"/>
      <c r="AJ1105" s="26"/>
      <c r="AK1105" s="26"/>
      <c r="AL1105" s="35"/>
      <c r="AM1105" s="35"/>
      <c r="AN1105" s="35"/>
      <c r="AO1105" s="35"/>
      <c r="AP1105" s="35"/>
    </row>
    <row r="1106" spans="1:42" x14ac:dyDescent="0.2">
      <c r="A1106" s="97">
        <v>45279</v>
      </c>
      <c r="B1106" s="28" t="s">
        <v>37</v>
      </c>
      <c r="C1106" s="41" t="s">
        <v>118</v>
      </c>
      <c r="D1106" s="26" t="s">
        <v>36</v>
      </c>
      <c r="E1106" s="26" t="s">
        <v>139</v>
      </c>
      <c r="F1106" s="26" t="s">
        <v>4129</v>
      </c>
      <c r="G1106" s="26" t="s">
        <v>108</v>
      </c>
      <c r="H1106" s="26" t="s">
        <v>5100</v>
      </c>
      <c r="I1106" s="17">
        <f ca="1">IFERROR(__xludf.DUMMYFUNCTION("""COMPUTED_VALUE"""),45288)</f>
        <v>45288</v>
      </c>
      <c r="J1106" s="29" t="s">
        <v>4324</v>
      </c>
      <c r="K1106" s="26" t="s">
        <v>4325</v>
      </c>
      <c r="L1106" s="30">
        <v>337463783</v>
      </c>
      <c r="M1106" s="26" t="s">
        <v>1245</v>
      </c>
      <c r="N1106" s="26" t="s">
        <v>4957</v>
      </c>
      <c r="O1106" s="26" t="s">
        <v>1226</v>
      </c>
      <c r="P1106" s="26" t="s">
        <v>3056</v>
      </c>
      <c r="Q1106" s="20">
        <v>15936</v>
      </c>
      <c r="R1106" s="26" t="s">
        <v>70</v>
      </c>
      <c r="S1106" s="31">
        <v>15836</v>
      </c>
      <c r="T1106" s="32">
        <v>45216</v>
      </c>
      <c r="U1106" s="31"/>
      <c r="V1106" s="26"/>
      <c r="W1106" s="33" t="s">
        <v>4326</v>
      </c>
      <c r="X1106" s="26"/>
      <c r="Y1106" s="22">
        <v>100</v>
      </c>
      <c r="Z1106" s="26" t="s">
        <v>118</v>
      </c>
      <c r="AA1106" s="19" t="s">
        <v>3454</v>
      </c>
      <c r="AB1106" s="26" t="s">
        <v>104</v>
      </c>
      <c r="AC1106" s="26" t="s">
        <v>53</v>
      </c>
      <c r="AD1106" s="19" t="s">
        <v>138</v>
      </c>
      <c r="AE1106" s="26" t="s">
        <v>4129</v>
      </c>
      <c r="AF1106" s="17">
        <v>45288</v>
      </c>
      <c r="AG1106" s="26" t="s">
        <v>5101</v>
      </c>
      <c r="AH1106" s="26"/>
      <c r="AI1106" s="40"/>
      <c r="AJ1106" s="26"/>
      <c r="AK1106" s="26"/>
      <c r="AL1106" s="35"/>
      <c r="AM1106" s="35"/>
      <c r="AN1106" s="35"/>
      <c r="AO1106" s="35"/>
      <c r="AP1106" s="35"/>
    </row>
    <row r="1107" spans="1:42" x14ac:dyDescent="0.2">
      <c r="A1107" s="97">
        <v>45279</v>
      </c>
      <c r="B1107" s="28" t="s">
        <v>37</v>
      </c>
      <c r="C1107" s="41" t="s">
        <v>118</v>
      </c>
      <c r="D1107" s="26" t="s">
        <v>36</v>
      </c>
      <c r="E1107" s="26" t="s">
        <v>56</v>
      </c>
      <c r="F1107" s="26" t="s">
        <v>4129</v>
      </c>
      <c r="G1107" s="26" t="s">
        <v>108</v>
      </c>
      <c r="H1107" s="26" t="s">
        <v>5100</v>
      </c>
      <c r="I1107" s="17">
        <f ca="1">IFERROR(__xludf.DUMMYFUNCTION("""COMPUTED_VALUE"""),45288)</f>
        <v>45288</v>
      </c>
      <c r="J1107" s="29" t="s">
        <v>4220</v>
      </c>
      <c r="K1107" s="26" t="s">
        <v>5102</v>
      </c>
      <c r="L1107" s="30">
        <v>397638696</v>
      </c>
      <c r="M1107" s="26" t="s">
        <v>1245</v>
      </c>
      <c r="N1107" s="26" t="s">
        <v>4957</v>
      </c>
      <c r="O1107" s="26" t="s">
        <v>4222</v>
      </c>
      <c r="P1107" s="26" t="s">
        <v>4223</v>
      </c>
      <c r="Q1107" s="20">
        <v>9317</v>
      </c>
      <c r="R1107" s="26" t="s">
        <v>36</v>
      </c>
      <c r="S1107" s="31">
        <v>9317</v>
      </c>
      <c r="T1107" s="32">
        <v>45211</v>
      </c>
      <c r="U1107" s="31"/>
      <c r="V1107" s="26"/>
      <c r="W1107" s="33" t="s">
        <v>4224</v>
      </c>
      <c r="X1107" s="26"/>
      <c r="Y1107" s="22">
        <v>0</v>
      </c>
      <c r="Z1107" s="26" t="s">
        <v>118</v>
      </c>
      <c r="AA1107" s="19" t="s">
        <v>3454</v>
      </c>
      <c r="AB1107" s="26" t="s">
        <v>104</v>
      </c>
      <c r="AC1107" s="26" t="s">
        <v>53</v>
      </c>
      <c r="AD1107" s="19" t="s">
        <v>138</v>
      </c>
      <c r="AE1107" s="26" t="s">
        <v>4129</v>
      </c>
      <c r="AF1107" s="17">
        <v>45288</v>
      </c>
      <c r="AG1107" s="26" t="s">
        <v>5101</v>
      </c>
      <c r="AH1107" s="26"/>
      <c r="AI1107" s="40"/>
      <c r="AJ1107" s="26"/>
      <c r="AK1107" s="26"/>
      <c r="AL1107" s="35"/>
      <c r="AM1107" s="35"/>
      <c r="AN1107" s="35"/>
      <c r="AO1107" s="35"/>
      <c r="AP1107" s="35"/>
    </row>
    <row r="1108" spans="1:42" x14ac:dyDescent="0.2">
      <c r="A1108" s="97">
        <v>45279</v>
      </c>
      <c r="B1108" s="28" t="s">
        <v>37</v>
      </c>
      <c r="C1108" s="41" t="s">
        <v>118</v>
      </c>
      <c r="D1108" s="26" t="s">
        <v>36</v>
      </c>
      <c r="E1108" s="26" t="s">
        <v>139</v>
      </c>
      <c r="F1108" s="26" t="s">
        <v>4129</v>
      </c>
      <c r="G1108" s="26" t="s">
        <v>108</v>
      </c>
      <c r="H1108" s="26" t="s">
        <v>5100</v>
      </c>
      <c r="I1108" s="17">
        <f ca="1">IFERROR(__xludf.DUMMYFUNCTION("""COMPUTED_VALUE"""),45288)</f>
        <v>45288</v>
      </c>
      <c r="J1108" s="44" t="s">
        <v>5103</v>
      </c>
      <c r="K1108" s="26" t="s">
        <v>4502</v>
      </c>
      <c r="L1108" s="30">
        <v>911928302</v>
      </c>
      <c r="M1108" s="26" t="s">
        <v>3498</v>
      </c>
      <c r="N1108" s="26" t="s">
        <v>310</v>
      </c>
      <c r="O1108" s="26" t="s">
        <v>4503</v>
      </c>
      <c r="P1108" s="26" t="s">
        <v>4504</v>
      </c>
      <c r="Q1108" s="20">
        <v>15936</v>
      </c>
      <c r="R1108" s="26" t="s">
        <v>36</v>
      </c>
      <c r="S1108" s="31">
        <v>15936</v>
      </c>
      <c r="T1108" s="32">
        <v>45228</v>
      </c>
      <c r="U1108" s="31"/>
      <c r="V1108" s="26"/>
      <c r="W1108" s="33" t="s">
        <v>4505</v>
      </c>
      <c r="X1108" s="26"/>
      <c r="Y1108" s="22">
        <v>0</v>
      </c>
      <c r="Z1108" s="26" t="s">
        <v>118</v>
      </c>
      <c r="AA1108" s="19" t="s">
        <v>3454</v>
      </c>
      <c r="AB1108" s="26" t="s">
        <v>104</v>
      </c>
      <c r="AC1108" s="26" t="s">
        <v>53</v>
      </c>
      <c r="AD1108" s="19" t="s">
        <v>138</v>
      </c>
      <c r="AE1108" s="26" t="s">
        <v>4129</v>
      </c>
      <c r="AF1108" s="17">
        <v>45288</v>
      </c>
      <c r="AG1108" s="26" t="s">
        <v>5104</v>
      </c>
      <c r="AH1108" s="26"/>
      <c r="AI1108" s="40"/>
      <c r="AJ1108" s="26"/>
      <c r="AK1108" s="26"/>
      <c r="AL1108" s="35"/>
      <c r="AM1108" s="35"/>
      <c r="AN1108" s="35"/>
      <c r="AO1108" s="35"/>
      <c r="AP1108" s="35"/>
    </row>
    <row r="1109" spans="1:42" x14ac:dyDescent="0.2">
      <c r="A1109" s="97">
        <v>45279</v>
      </c>
      <c r="B1109" s="28" t="s">
        <v>37</v>
      </c>
      <c r="C1109" s="41" t="s">
        <v>118</v>
      </c>
      <c r="D1109" s="26" t="s">
        <v>36</v>
      </c>
      <c r="E1109" s="26" t="s">
        <v>139</v>
      </c>
      <c r="F1109" s="26" t="s">
        <v>4129</v>
      </c>
      <c r="G1109" s="26" t="s">
        <v>108</v>
      </c>
      <c r="H1109" s="26" t="s">
        <v>5100</v>
      </c>
      <c r="I1109" s="17">
        <f ca="1">IFERROR(__xludf.DUMMYFUNCTION("""COMPUTED_VALUE"""),45288)</f>
        <v>45288</v>
      </c>
      <c r="J1109" s="29" t="s">
        <v>4322</v>
      </c>
      <c r="K1109" s="26" t="s">
        <v>274</v>
      </c>
      <c r="L1109" s="30">
        <v>899805200</v>
      </c>
      <c r="M1109" s="26" t="s">
        <v>123</v>
      </c>
      <c r="N1109" s="26" t="s">
        <v>2847</v>
      </c>
      <c r="O1109" s="26" t="s">
        <v>1226</v>
      </c>
      <c r="P1109" s="26" t="s">
        <v>3056</v>
      </c>
      <c r="Q1109" s="20">
        <v>15936</v>
      </c>
      <c r="R1109" s="26" t="s">
        <v>70</v>
      </c>
      <c r="S1109" s="31">
        <v>15836</v>
      </c>
      <c r="T1109" s="32">
        <v>45216</v>
      </c>
      <c r="U1109" s="31"/>
      <c r="V1109" s="26"/>
      <c r="W1109" s="33" t="s">
        <v>4323</v>
      </c>
      <c r="X1109" s="26"/>
      <c r="Y1109" s="22">
        <v>100</v>
      </c>
      <c r="Z1109" s="26" t="s">
        <v>118</v>
      </c>
      <c r="AA1109" s="19" t="s">
        <v>3454</v>
      </c>
      <c r="AB1109" s="26" t="s">
        <v>104</v>
      </c>
      <c r="AC1109" s="26" t="s">
        <v>53</v>
      </c>
      <c r="AD1109" s="19" t="s">
        <v>138</v>
      </c>
      <c r="AE1109" s="26" t="s">
        <v>4129</v>
      </c>
      <c r="AF1109" s="17">
        <v>45288</v>
      </c>
      <c r="AG1109" s="26" t="s">
        <v>5101</v>
      </c>
      <c r="AH1109" s="26"/>
      <c r="AI1109" s="40"/>
      <c r="AJ1109" s="26"/>
      <c r="AK1109" s="26"/>
      <c r="AL1109" s="35"/>
      <c r="AM1109" s="35"/>
      <c r="AN1109" s="35"/>
      <c r="AO1109" s="35"/>
      <c r="AP1109" s="35"/>
    </row>
    <row r="1110" spans="1:42" x14ac:dyDescent="0.2">
      <c r="A1110" s="97">
        <v>45279</v>
      </c>
      <c r="B1110" s="28" t="s">
        <v>37</v>
      </c>
      <c r="C1110" s="41" t="s">
        <v>118</v>
      </c>
      <c r="D1110" s="26" t="s">
        <v>36</v>
      </c>
      <c r="E1110" s="26" t="s">
        <v>139</v>
      </c>
      <c r="F1110" s="26" t="s">
        <v>2967</v>
      </c>
      <c r="G1110" s="26" t="s">
        <v>108</v>
      </c>
      <c r="H1110" s="26" t="s">
        <v>5100</v>
      </c>
      <c r="I1110" s="17">
        <f ca="1">IFERROR(__xludf.DUMMYFUNCTION("""COMPUTED_VALUE"""),45288)</f>
        <v>45288</v>
      </c>
      <c r="J1110" s="29" t="s">
        <v>3151</v>
      </c>
      <c r="K1110" s="26" t="s">
        <v>3152</v>
      </c>
      <c r="L1110" s="30">
        <v>973927321</v>
      </c>
      <c r="M1110" s="26" t="s">
        <v>1245</v>
      </c>
      <c r="N1110" s="26" t="s">
        <v>4957</v>
      </c>
      <c r="O1110" s="26" t="s">
        <v>1226</v>
      </c>
      <c r="P1110" s="26" t="s">
        <v>3153</v>
      </c>
      <c r="Q1110" s="20">
        <v>15936</v>
      </c>
      <c r="R1110" s="26" t="s">
        <v>36</v>
      </c>
      <c r="S1110" s="31">
        <v>200</v>
      </c>
      <c r="T1110" s="32">
        <v>45191</v>
      </c>
      <c r="U1110" s="31">
        <v>15736</v>
      </c>
      <c r="V1110" s="32">
        <v>45195</v>
      </c>
      <c r="W1110" s="33" t="s">
        <v>3154</v>
      </c>
      <c r="X1110" s="26"/>
      <c r="Y1110" s="22">
        <v>0</v>
      </c>
      <c r="Z1110" s="26" t="s">
        <v>118</v>
      </c>
      <c r="AA1110" s="19" t="s">
        <v>2449</v>
      </c>
      <c r="AB1110" s="26" t="s">
        <v>104</v>
      </c>
      <c r="AC1110" s="26" t="s">
        <v>53</v>
      </c>
      <c r="AD1110" s="19" t="s">
        <v>138</v>
      </c>
      <c r="AE1110" s="26" t="s">
        <v>2967</v>
      </c>
      <c r="AF1110" s="17">
        <v>45288</v>
      </c>
      <c r="AG1110" s="26" t="s">
        <v>5101</v>
      </c>
      <c r="AH1110" s="26"/>
      <c r="AI1110" s="40"/>
      <c r="AJ1110" s="26"/>
      <c r="AK1110" s="26"/>
      <c r="AL1110" s="35"/>
      <c r="AM1110" s="35"/>
      <c r="AN1110" s="35"/>
      <c r="AO1110" s="35"/>
      <c r="AP1110" s="35"/>
    </row>
    <row r="1111" spans="1:42" x14ac:dyDescent="0.2">
      <c r="A1111" s="97">
        <v>45279</v>
      </c>
      <c r="B1111" s="28" t="s">
        <v>37</v>
      </c>
      <c r="C1111" s="41" t="s">
        <v>118</v>
      </c>
      <c r="D1111" s="26" t="s">
        <v>36</v>
      </c>
      <c r="E1111" s="26" t="s">
        <v>139</v>
      </c>
      <c r="F1111" s="26" t="s">
        <v>2967</v>
      </c>
      <c r="G1111" s="26" t="s">
        <v>108</v>
      </c>
      <c r="H1111" s="26" t="s">
        <v>5100</v>
      </c>
      <c r="I1111" s="17">
        <f ca="1">IFERROR(__xludf.DUMMYFUNCTION("""COMPUTED_VALUE"""),45288)</f>
        <v>45288</v>
      </c>
      <c r="J1111" s="29" t="s">
        <v>3244</v>
      </c>
      <c r="K1111" s="26" t="s">
        <v>3245</v>
      </c>
      <c r="L1111" s="30">
        <v>989396608</v>
      </c>
      <c r="M1111" s="26" t="s">
        <v>1245</v>
      </c>
      <c r="N1111" s="26" t="s">
        <v>4957</v>
      </c>
      <c r="O1111" s="26" t="s">
        <v>3246</v>
      </c>
      <c r="P1111" s="26" t="s">
        <v>5105</v>
      </c>
      <c r="Q1111" s="20">
        <v>15936</v>
      </c>
      <c r="R1111" s="26" t="s">
        <v>36</v>
      </c>
      <c r="S1111" s="31">
        <v>200</v>
      </c>
      <c r="T1111" s="32">
        <v>45195</v>
      </c>
      <c r="U1111" s="31">
        <v>15763</v>
      </c>
      <c r="V1111" s="32">
        <v>45198</v>
      </c>
      <c r="W1111" s="33" t="s">
        <v>3248</v>
      </c>
      <c r="X1111" s="26"/>
      <c r="Y1111" s="22">
        <v>-27</v>
      </c>
      <c r="Z1111" s="26" t="s">
        <v>118</v>
      </c>
      <c r="AA1111" s="19" t="s">
        <v>2449</v>
      </c>
      <c r="AB1111" s="26" t="s">
        <v>154</v>
      </c>
      <c r="AC1111" s="26" t="s">
        <v>53</v>
      </c>
      <c r="AD1111" s="19" t="s">
        <v>138</v>
      </c>
      <c r="AE1111" s="26" t="s">
        <v>2967</v>
      </c>
      <c r="AF1111" s="17">
        <v>45288</v>
      </c>
      <c r="AG1111" s="26" t="s">
        <v>5101</v>
      </c>
      <c r="AH1111" s="26"/>
      <c r="AI1111" s="40"/>
      <c r="AJ1111" s="26"/>
      <c r="AK1111" s="26"/>
      <c r="AL1111" s="35"/>
      <c r="AM1111" s="35"/>
      <c r="AN1111" s="35"/>
      <c r="AO1111" s="35"/>
      <c r="AP1111" s="35"/>
    </row>
    <row r="1112" spans="1:42" x14ac:dyDescent="0.2">
      <c r="A1112" s="97">
        <v>45279</v>
      </c>
      <c r="B1112" s="28" t="s">
        <v>37</v>
      </c>
      <c r="C1112" s="41" t="s">
        <v>118</v>
      </c>
      <c r="D1112" s="26" t="s">
        <v>36</v>
      </c>
      <c r="E1112" s="26" t="s">
        <v>56</v>
      </c>
      <c r="F1112" s="26" t="s">
        <v>4133</v>
      </c>
      <c r="G1112" s="26" t="s">
        <v>108</v>
      </c>
      <c r="H1112" s="26" t="s">
        <v>5106</v>
      </c>
      <c r="I1112" s="17">
        <f ca="1">IFERROR(__xludf.DUMMYFUNCTION("""COMPUTED_VALUE"""),45294)</f>
        <v>45294</v>
      </c>
      <c r="J1112" s="29" t="s">
        <v>4134</v>
      </c>
      <c r="K1112" s="26" t="s">
        <v>4135</v>
      </c>
      <c r="L1112" s="30">
        <v>584505732</v>
      </c>
      <c r="M1112" s="26" t="s">
        <v>1245</v>
      </c>
      <c r="N1112" s="26" t="s">
        <v>4957</v>
      </c>
      <c r="O1112" s="26" t="s">
        <v>4137</v>
      </c>
      <c r="P1112" s="26" t="s">
        <v>4138</v>
      </c>
      <c r="Q1112" s="20">
        <v>9317</v>
      </c>
      <c r="R1112" s="26" t="s">
        <v>36</v>
      </c>
      <c r="S1112" s="31">
        <v>9317</v>
      </c>
      <c r="T1112" s="32">
        <v>45208</v>
      </c>
      <c r="U1112" s="31"/>
      <c r="V1112" s="26"/>
      <c r="W1112" s="33" t="s">
        <v>4139</v>
      </c>
      <c r="X1112" s="26"/>
      <c r="Y1112" s="22">
        <v>0</v>
      </c>
      <c r="Z1112" s="26" t="s">
        <v>118</v>
      </c>
      <c r="AA1112" s="19" t="s">
        <v>3454</v>
      </c>
      <c r="AB1112" s="26" t="s">
        <v>104</v>
      </c>
      <c r="AC1112" s="26" t="s">
        <v>53</v>
      </c>
      <c r="AD1112" s="19" t="s">
        <v>138</v>
      </c>
      <c r="AE1112" s="26" t="s">
        <v>4133</v>
      </c>
      <c r="AF1112" s="17">
        <v>44929</v>
      </c>
      <c r="AG1112" s="26" t="s">
        <v>5101</v>
      </c>
      <c r="AH1112" s="26"/>
      <c r="AI1112" s="40"/>
      <c r="AJ1112" s="26"/>
      <c r="AK1112" s="26"/>
      <c r="AL1112" s="35"/>
      <c r="AM1112" s="35"/>
      <c r="AN1112" s="35"/>
      <c r="AO1112" s="35"/>
      <c r="AP1112" s="35"/>
    </row>
    <row r="1113" spans="1:42" x14ac:dyDescent="0.2">
      <c r="A1113" s="97">
        <v>45279</v>
      </c>
      <c r="B1113" s="28" t="s">
        <v>37</v>
      </c>
      <c r="C1113" s="41" t="s">
        <v>118</v>
      </c>
      <c r="D1113" s="26" t="s">
        <v>36</v>
      </c>
      <c r="E1113" s="26" t="s">
        <v>39</v>
      </c>
      <c r="F1113" s="26" t="s">
        <v>4133</v>
      </c>
      <c r="G1113" s="26" t="s">
        <v>108</v>
      </c>
      <c r="H1113" s="26" t="s">
        <v>5106</v>
      </c>
      <c r="I1113" s="17">
        <f ca="1">IFERROR(__xludf.DUMMYFUNCTION("""COMPUTED_VALUE"""),45294)</f>
        <v>45294</v>
      </c>
      <c r="J1113" s="29" t="s">
        <v>4496</v>
      </c>
      <c r="K1113" s="26" t="s">
        <v>4497</v>
      </c>
      <c r="L1113" s="30">
        <v>912565839</v>
      </c>
      <c r="M1113" s="26" t="s">
        <v>1245</v>
      </c>
      <c r="N1113" s="26" t="s">
        <v>4957</v>
      </c>
      <c r="O1113" s="26" t="s">
        <v>4498</v>
      </c>
      <c r="P1113" s="26" t="s">
        <v>4482</v>
      </c>
      <c r="Q1113" s="20">
        <v>5736</v>
      </c>
      <c r="R1113" s="26" t="s">
        <v>36</v>
      </c>
      <c r="S1113" s="31">
        <v>5736</v>
      </c>
      <c r="T1113" s="32">
        <v>45230</v>
      </c>
      <c r="U1113" s="31"/>
      <c r="V1113" s="26"/>
      <c r="W1113" s="33" t="s">
        <v>4499</v>
      </c>
      <c r="X1113" s="26"/>
      <c r="Y1113" s="22">
        <v>0</v>
      </c>
      <c r="Z1113" s="26" t="s">
        <v>118</v>
      </c>
      <c r="AA1113" s="19" t="s">
        <v>3454</v>
      </c>
      <c r="AB1113" s="26" t="s">
        <v>154</v>
      </c>
      <c r="AC1113" s="26" t="s">
        <v>53</v>
      </c>
      <c r="AD1113" s="19" t="s">
        <v>138</v>
      </c>
      <c r="AE1113" s="26" t="s">
        <v>4133</v>
      </c>
      <c r="AF1113" s="17">
        <v>44929</v>
      </c>
      <c r="AG1113" s="26" t="s">
        <v>5101</v>
      </c>
      <c r="AH1113" s="26"/>
      <c r="AI1113" s="40"/>
      <c r="AJ1113" s="26"/>
      <c r="AK1113" s="26"/>
      <c r="AL1113" s="35"/>
      <c r="AM1113" s="35"/>
      <c r="AN1113" s="35"/>
      <c r="AO1113" s="35"/>
      <c r="AP1113" s="35"/>
    </row>
    <row r="1114" spans="1:42" x14ac:dyDescent="0.2">
      <c r="A1114" s="27">
        <v>45167.346047592597</v>
      </c>
      <c r="B1114" s="28" t="s">
        <v>37</v>
      </c>
      <c r="C1114" s="41" t="s">
        <v>118</v>
      </c>
      <c r="D1114" s="26" t="s">
        <v>36</v>
      </c>
      <c r="E1114" s="26" t="s">
        <v>106</v>
      </c>
      <c r="F1114" s="26" t="s">
        <v>36</v>
      </c>
      <c r="G1114" s="26" t="s">
        <v>108</v>
      </c>
      <c r="H1114" s="26" t="s">
        <v>1721</v>
      </c>
      <c r="I1114" s="17">
        <f ca="1">IFERROR(__xludf.DUMMYFUNCTION("""COMPUTED_VALUE"""),45189)</f>
        <v>45189</v>
      </c>
      <c r="J1114" s="29" t="s">
        <v>5107</v>
      </c>
      <c r="K1114" s="26" t="s">
        <v>5108</v>
      </c>
      <c r="L1114" s="30">
        <v>964150288</v>
      </c>
      <c r="M1114" s="26" t="s">
        <v>80</v>
      </c>
      <c r="N1114" s="26" t="s">
        <v>299</v>
      </c>
      <c r="O1114" s="26" t="s">
        <v>5109</v>
      </c>
      <c r="P1114" s="26" t="s">
        <v>5110</v>
      </c>
      <c r="Q1114" s="20">
        <v>3768</v>
      </c>
      <c r="R1114" s="26" t="s">
        <v>36</v>
      </c>
      <c r="S1114" s="31">
        <v>4000</v>
      </c>
      <c r="T1114" s="32">
        <v>45167</v>
      </c>
      <c r="U1114" s="31"/>
      <c r="V1114" s="26"/>
      <c r="W1114" s="33" t="s">
        <v>5111</v>
      </c>
      <c r="X1114" s="26"/>
      <c r="Y1114" s="22">
        <v>-232</v>
      </c>
      <c r="Z1114" s="26" t="s">
        <v>50</v>
      </c>
      <c r="AA1114" s="19" t="s">
        <v>5112</v>
      </c>
      <c r="AB1114" s="26" t="s">
        <v>137</v>
      </c>
      <c r="AC1114" s="26" t="s">
        <v>53</v>
      </c>
      <c r="AD1114" s="19" t="s">
        <v>54</v>
      </c>
      <c r="AE1114" s="26">
        <v>400</v>
      </c>
      <c r="AF1114" s="17">
        <v>45169</v>
      </c>
      <c r="AG1114" s="26" t="s">
        <v>5113</v>
      </c>
      <c r="AH1114" s="26" t="s">
        <v>5114</v>
      </c>
      <c r="AI1114" s="40">
        <v>1</v>
      </c>
      <c r="AJ1114" s="26" t="s">
        <v>5115</v>
      </c>
      <c r="AK1114" s="26"/>
      <c r="AL1114" s="35"/>
      <c r="AM1114" s="35"/>
      <c r="AN1114" s="35"/>
      <c r="AO1114" s="35"/>
      <c r="AP1114" s="35"/>
    </row>
    <row r="1115" spans="1:42" x14ac:dyDescent="0.2">
      <c r="A1115" s="27">
        <v>45183.106536539352</v>
      </c>
      <c r="B1115" s="28" t="s">
        <v>37</v>
      </c>
      <c r="C1115" s="41" t="s">
        <v>118</v>
      </c>
      <c r="D1115" s="26" t="s">
        <v>36</v>
      </c>
      <c r="E1115" s="26" t="s">
        <v>106</v>
      </c>
      <c r="F1115" s="26" t="s">
        <v>36</v>
      </c>
      <c r="G1115" s="26" t="s">
        <v>108</v>
      </c>
      <c r="H1115" s="26" t="s">
        <v>2595</v>
      </c>
      <c r="I1115" s="17">
        <f ca="1">IFERROR(__xludf.DUMMYFUNCTION("""COMPUTED_VALUE"""),45191)</f>
        <v>45191</v>
      </c>
      <c r="J1115" s="29" t="s">
        <v>5116</v>
      </c>
      <c r="K1115" s="26" t="s">
        <v>2905</v>
      </c>
      <c r="L1115" s="30" t="s">
        <v>5117</v>
      </c>
      <c r="M1115" s="26" t="s">
        <v>80</v>
      </c>
      <c r="N1115" s="26" t="s">
        <v>81</v>
      </c>
      <c r="O1115" s="26" t="s">
        <v>5118</v>
      </c>
      <c r="P1115" s="26" t="s">
        <v>2641</v>
      </c>
      <c r="Q1115" s="20">
        <v>3768</v>
      </c>
      <c r="R1115" s="26" t="s">
        <v>36</v>
      </c>
      <c r="S1115" s="31">
        <v>4000</v>
      </c>
      <c r="T1115" s="32">
        <v>45183</v>
      </c>
      <c r="U1115" s="31"/>
      <c r="V1115" s="26"/>
      <c r="W1115" s="33" t="s">
        <v>5119</v>
      </c>
      <c r="X1115" s="26"/>
      <c r="Y1115" s="22">
        <v>-232</v>
      </c>
      <c r="Z1115" s="26" t="s">
        <v>50</v>
      </c>
      <c r="AA1115" s="19" t="s">
        <v>5112</v>
      </c>
      <c r="AB1115" s="26" t="s">
        <v>104</v>
      </c>
      <c r="AC1115" s="26" t="s">
        <v>53</v>
      </c>
      <c r="AD1115" s="19" t="s">
        <v>138</v>
      </c>
      <c r="AE1115" s="26">
        <v>400</v>
      </c>
      <c r="AF1115" s="17">
        <v>45191</v>
      </c>
      <c r="AG1115" s="26" t="s">
        <v>1631</v>
      </c>
      <c r="AH1115" s="26"/>
      <c r="AI1115" s="40">
        <v>1</v>
      </c>
      <c r="AJ1115" s="26" t="s">
        <v>5115</v>
      </c>
      <c r="AK1115" s="26"/>
      <c r="AL1115" s="35"/>
      <c r="AM1115" s="35"/>
      <c r="AN1115" s="35"/>
      <c r="AO1115" s="35"/>
      <c r="AP1115" s="35"/>
    </row>
    <row r="1116" spans="1:42" x14ac:dyDescent="0.2">
      <c r="A1116" s="27">
        <v>45186.47824488426</v>
      </c>
      <c r="B1116" s="28" t="s">
        <v>37</v>
      </c>
      <c r="C1116" s="41" t="s">
        <v>118</v>
      </c>
      <c r="D1116" s="26" t="s">
        <v>36</v>
      </c>
      <c r="E1116" s="26" t="s">
        <v>77</v>
      </c>
      <c r="F1116" s="26" t="s">
        <v>36</v>
      </c>
      <c r="G1116" s="26" t="s">
        <v>41</v>
      </c>
      <c r="H1116" s="26" t="s">
        <v>2717</v>
      </c>
      <c r="I1116" s="17">
        <f ca="1">IFERROR(__xludf.DUMMYFUNCTION("""COMPUTED_VALUE"""),45196)</f>
        <v>45196</v>
      </c>
      <c r="J1116" s="29" t="s">
        <v>5120</v>
      </c>
      <c r="K1116" s="26" t="s">
        <v>5121</v>
      </c>
      <c r="L1116" s="83">
        <v>325772723</v>
      </c>
      <c r="M1116" s="26" t="s">
        <v>80</v>
      </c>
      <c r="N1116" s="26" t="s">
        <v>81</v>
      </c>
      <c r="O1116" s="26" t="s">
        <v>5122</v>
      </c>
      <c r="P1116" s="26" t="s">
        <v>5123</v>
      </c>
      <c r="Q1116" s="20">
        <v>1968</v>
      </c>
      <c r="R1116" s="26" t="s">
        <v>36</v>
      </c>
      <c r="S1116" s="31">
        <v>2000</v>
      </c>
      <c r="T1116" s="32">
        <v>45186</v>
      </c>
      <c r="U1116" s="31"/>
      <c r="V1116" s="26"/>
      <c r="W1116" s="33" t="s">
        <v>5124</v>
      </c>
      <c r="X1116" s="26"/>
      <c r="Y1116" s="22">
        <v>-32</v>
      </c>
      <c r="Z1116" s="26" t="s">
        <v>50</v>
      </c>
      <c r="AA1116" s="19" t="s">
        <v>5112</v>
      </c>
      <c r="AB1116" s="26" t="s">
        <v>104</v>
      </c>
      <c r="AC1116" s="26" t="s">
        <v>53</v>
      </c>
      <c r="AD1116" s="19" t="s">
        <v>54</v>
      </c>
      <c r="AE1116" s="26"/>
      <c r="AF1116" s="17">
        <v>45187</v>
      </c>
      <c r="AG1116" s="26" t="s">
        <v>5115</v>
      </c>
      <c r="AH1116" s="26"/>
      <c r="AI1116" s="40" t="s">
        <v>84</v>
      </c>
      <c r="AJ1116" s="26"/>
      <c r="AK1116" s="26"/>
      <c r="AL1116" s="35"/>
      <c r="AM1116" s="35"/>
      <c r="AN1116" s="35"/>
      <c r="AO1116" s="35"/>
      <c r="AP1116" s="35"/>
    </row>
    <row r="1117" spans="1:42" x14ac:dyDescent="0.2">
      <c r="A1117" s="27">
        <v>45187.356204097217</v>
      </c>
      <c r="B1117" s="28" t="s">
        <v>37</v>
      </c>
      <c r="C1117" s="41" t="s">
        <v>118</v>
      </c>
      <c r="D1117" s="26" t="s">
        <v>36</v>
      </c>
      <c r="E1117" s="26" t="s">
        <v>77</v>
      </c>
      <c r="F1117" s="26" t="s">
        <v>36</v>
      </c>
      <c r="G1117" s="26" t="s">
        <v>41</v>
      </c>
      <c r="H1117" s="26" t="s">
        <v>2647</v>
      </c>
      <c r="I1117" s="17">
        <f ca="1">IFERROR(__xludf.DUMMYFUNCTION("""COMPUTED_VALUE"""),45191)</f>
        <v>45191</v>
      </c>
      <c r="J1117" s="29" t="s">
        <v>5125</v>
      </c>
      <c r="K1117" s="26" t="s">
        <v>5126</v>
      </c>
      <c r="L1117" s="30">
        <v>559578297</v>
      </c>
      <c r="M1117" s="26" t="s">
        <v>123</v>
      </c>
      <c r="N1117" s="26" t="s">
        <v>2459</v>
      </c>
      <c r="O1117" s="26" t="s">
        <v>2737</v>
      </c>
      <c r="P1117" s="26" t="s">
        <v>3487</v>
      </c>
      <c r="Q1117" s="20">
        <v>1968</v>
      </c>
      <c r="R1117" s="26" t="s">
        <v>36</v>
      </c>
      <c r="S1117" s="31">
        <v>2000</v>
      </c>
      <c r="T1117" s="32">
        <v>45186</v>
      </c>
      <c r="U1117" s="31"/>
      <c r="V1117" s="26"/>
      <c r="W1117" s="55" t="s">
        <v>5127</v>
      </c>
      <c r="X1117" s="26"/>
      <c r="Y1117" s="22">
        <v>-32</v>
      </c>
      <c r="Z1117" s="26" t="s">
        <v>50</v>
      </c>
      <c r="AA1117" s="19" t="s">
        <v>5112</v>
      </c>
      <c r="AB1117" s="26" t="s">
        <v>104</v>
      </c>
      <c r="AC1117" s="26" t="s">
        <v>53</v>
      </c>
      <c r="AD1117" s="19" t="s">
        <v>138</v>
      </c>
      <c r="AE1117" s="26"/>
      <c r="AF1117" s="17">
        <v>45190</v>
      </c>
      <c r="AG1117" s="26" t="s">
        <v>1631</v>
      </c>
      <c r="AH1117" s="26" t="s">
        <v>2652</v>
      </c>
      <c r="AI1117" s="40" t="s">
        <v>84</v>
      </c>
      <c r="AJ1117" s="26"/>
      <c r="AK1117" s="26"/>
      <c r="AL1117" s="35"/>
      <c r="AM1117" s="35"/>
      <c r="AN1117" s="35"/>
      <c r="AO1117" s="35"/>
      <c r="AP1117" s="35"/>
    </row>
    <row r="1118" spans="1:42" x14ac:dyDescent="0.2">
      <c r="A1118" s="27">
        <v>45187.857306770835</v>
      </c>
      <c r="B1118" s="28" t="s">
        <v>37</v>
      </c>
      <c r="C1118" s="41" t="s">
        <v>118</v>
      </c>
      <c r="D1118" s="26" t="s">
        <v>36</v>
      </c>
      <c r="E1118" s="26" t="s">
        <v>77</v>
      </c>
      <c r="F1118" s="26" t="s">
        <v>36</v>
      </c>
      <c r="G1118" s="26" t="s">
        <v>41</v>
      </c>
      <c r="H1118" s="26" t="s">
        <v>2573</v>
      </c>
      <c r="I1118" s="17">
        <f ca="1">IFERROR(__xludf.DUMMYFUNCTION("""COMPUTED_VALUE"""),45195)</f>
        <v>45195</v>
      </c>
      <c r="J1118" s="29" t="s">
        <v>5128</v>
      </c>
      <c r="K1118" s="26" t="s">
        <v>5129</v>
      </c>
      <c r="L1118" s="30">
        <v>396078200</v>
      </c>
      <c r="M1118" s="26" t="s">
        <v>80</v>
      </c>
      <c r="N1118" s="26" t="s">
        <v>186</v>
      </c>
      <c r="O1118" s="26" t="s">
        <v>1492</v>
      </c>
      <c r="P1118" s="26" t="s">
        <v>3694</v>
      </c>
      <c r="Q1118" s="20">
        <v>1968</v>
      </c>
      <c r="R1118" s="26" t="s">
        <v>36</v>
      </c>
      <c r="S1118" s="31">
        <v>2000</v>
      </c>
      <c r="T1118" s="32">
        <v>45187</v>
      </c>
      <c r="U1118" s="31"/>
      <c r="V1118" s="26"/>
      <c r="W1118" s="33" t="s">
        <v>5130</v>
      </c>
      <c r="X1118" s="26"/>
      <c r="Y1118" s="22">
        <v>-32</v>
      </c>
      <c r="Z1118" s="26" t="s">
        <v>50</v>
      </c>
      <c r="AA1118" s="19" t="s">
        <v>5112</v>
      </c>
      <c r="AB1118" s="26" t="s">
        <v>104</v>
      </c>
      <c r="AC1118" s="26" t="s">
        <v>53</v>
      </c>
      <c r="AD1118" s="19" t="s">
        <v>138</v>
      </c>
      <c r="AE1118" s="26"/>
      <c r="AF1118" s="17">
        <v>45195</v>
      </c>
      <c r="AG1118" s="26" t="s">
        <v>5131</v>
      </c>
      <c r="AH1118" s="26"/>
      <c r="AI1118" s="40" t="s">
        <v>84</v>
      </c>
      <c r="AJ1118" s="26"/>
      <c r="AK1118" s="26"/>
      <c r="AL1118" s="35"/>
      <c r="AM1118" s="35"/>
      <c r="AN1118" s="35"/>
      <c r="AO1118" s="35"/>
      <c r="AP1118" s="35"/>
    </row>
    <row r="1119" spans="1:42" x14ac:dyDescent="0.2">
      <c r="A1119" s="27">
        <v>45188.742119814815</v>
      </c>
      <c r="B1119" s="28" t="s">
        <v>37</v>
      </c>
      <c r="C1119" s="41" t="s">
        <v>118</v>
      </c>
      <c r="D1119" s="26" t="s">
        <v>36</v>
      </c>
      <c r="E1119" s="26" t="s">
        <v>148</v>
      </c>
      <c r="F1119" s="26" t="s">
        <v>36</v>
      </c>
      <c r="G1119" s="26" t="s">
        <v>108</v>
      </c>
      <c r="H1119" s="26" t="s">
        <v>3285</v>
      </c>
      <c r="I1119" s="17">
        <f ca="1">IFERROR(__xludf.DUMMYFUNCTION("""COMPUTED_VALUE"""),45229)</f>
        <v>45229</v>
      </c>
      <c r="J1119" s="29" t="s">
        <v>5132</v>
      </c>
      <c r="K1119" s="26" t="s">
        <v>5133</v>
      </c>
      <c r="L1119" s="30">
        <v>969282301</v>
      </c>
      <c r="M1119" s="26" t="s">
        <v>80</v>
      </c>
      <c r="N1119" s="26" t="s">
        <v>299</v>
      </c>
      <c r="O1119" s="26" t="s">
        <v>5134</v>
      </c>
      <c r="P1119" s="26" t="s">
        <v>5135</v>
      </c>
      <c r="Q1119" s="20">
        <v>7349</v>
      </c>
      <c r="R1119" s="26" t="s">
        <v>36</v>
      </c>
      <c r="S1119" s="31">
        <v>4000</v>
      </c>
      <c r="T1119" s="32">
        <v>45188</v>
      </c>
      <c r="U1119" s="31">
        <v>3349</v>
      </c>
      <c r="V1119" s="32">
        <v>45232</v>
      </c>
      <c r="W1119" s="33" t="s">
        <v>5136</v>
      </c>
      <c r="X1119" s="26"/>
      <c r="Y1119" s="22">
        <v>0</v>
      </c>
      <c r="Z1119" s="26" t="s">
        <v>50</v>
      </c>
      <c r="AA1119" s="19" t="s">
        <v>5112</v>
      </c>
      <c r="AB1119" s="26" t="s">
        <v>154</v>
      </c>
      <c r="AC1119" s="26" t="s">
        <v>53</v>
      </c>
      <c r="AD1119" s="19" t="s">
        <v>54</v>
      </c>
      <c r="AE1119" s="26">
        <v>640</v>
      </c>
      <c r="AF1119" s="17">
        <v>45229</v>
      </c>
      <c r="AG1119" s="26" t="s">
        <v>5137</v>
      </c>
      <c r="AH1119" s="26"/>
      <c r="AI1119" s="40">
        <v>2</v>
      </c>
      <c r="AJ1119" s="26"/>
      <c r="AK1119" s="26"/>
      <c r="AL1119" s="35"/>
      <c r="AM1119" s="35"/>
      <c r="AN1119" s="35"/>
      <c r="AO1119" s="35"/>
      <c r="AP1119" s="35"/>
    </row>
    <row r="1120" spans="1:42" x14ac:dyDescent="0.2">
      <c r="A1120" s="27">
        <v>45188.938882245369</v>
      </c>
      <c r="B1120" s="28" t="s">
        <v>37</v>
      </c>
      <c r="C1120" s="41" t="s">
        <v>118</v>
      </c>
      <c r="D1120" s="26" t="s">
        <v>36</v>
      </c>
      <c r="E1120" s="26" t="s">
        <v>119</v>
      </c>
      <c r="F1120" s="26" t="s">
        <v>36</v>
      </c>
      <c r="G1120" s="26" t="s">
        <v>108</v>
      </c>
      <c r="H1120" s="26" t="s">
        <v>1853</v>
      </c>
      <c r="I1120" s="17">
        <f ca="1">IFERROR(__xludf.DUMMYFUNCTION("""COMPUTED_VALUE"""),45229)</f>
        <v>45229</v>
      </c>
      <c r="J1120" s="29" t="s">
        <v>5138</v>
      </c>
      <c r="K1120" s="26" t="s">
        <v>5139</v>
      </c>
      <c r="L1120" s="30">
        <v>968102600</v>
      </c>
      <c r="M1120" s="26" t="s">
        <v>123</v>
      </c>
      <c r="N1120" s="26" t="s">
        <v>327</v>
      </c>
      <c r="O1120" s="26" t="s">
        <v>1226</v>
      </c>
      <c r="P1120" s="26" t="s">
        <v>3056</v>
      </c>
      <c r="Q1120" s="20">
        <v>13968</v>
      </c>
      <c r="R1120" s="26" t="s">
        <v>36</v>
      </c>
      <c r="S1120" s="31">
        <v>200</v>
      </c>
      <c r="T1120" s="32">
        <v>45188</v>
      </c>
      <c r="U1120" s="58">
        <f>10168+3600</f>
        <v>13768</v>
      </c>
      <c r="V1120" s="35" t="s">
        <v>5140</v>
      </c>
      <c r="W1120" s="33" t="s">
        <v>5141</v>
      </c>
      <c r="X1120" s="26"/>
      <c r="Y1120" s="22">
        <v>0</v>
      </c>
      <c r="Z1120" s="26" t="s">
        <v>50</v>
      </c>
      <c r="AA1120" s="19" t="s">
        <v>5112</v>
      </c>
      <c r="AB1120" s="26" t="s">
        <v>104</v>
      </c>
      <c r="AC1120" s="26" t="s">
        <v>53</v>
      </c>
      <c r="AD1120" s="19" t="s">
        <v>138</v>
      </c>
      <c r="AE1120" s="26"/>
      <c r="AF1120" s="17">
        <v>45229</v>
      </c>
      <c r="AG1120" s="26" t="s">
        <v>1631</v>
      </c>
      <c r="AH1120" s="26"/>
      <c r="AI1120" s="40">
        <v>4</v>
      </c>
      <c r="AJ1120" s="26"/>
      <c r="AK1120" s="26"/>
      <c r="AL1120" s="35"/>
      <c r="AM1120" s="35"/>
      <c r="AN1120" s="35"/>
      <c r="AO1120" s="35"/>
      <c r="AP1120" s="35"/>
    </row>
    <row r="1121" spans="1:42" x14ac:dyDescent="0.2">
      <c r="A1121" s="27">
        <v>45191.905277395832</v>
      </c>
      <c r="B1121" s="28" t="s">
        <v>37</v>
      </c>
      <c r="C1121" s="41" t="s">
        <v>118</v>
      </c>
      <c r="D1121" s="26" t="s">
        <v>36</v>
      </c>
      <c r="E1121" s="26" t="s">
        <v>139</v>
      </c>
      <c r="F1121" s="26" t="s">
        <v>91</v>
      </c>
      <c r="G1121" s="26" t="s">
        <v>41</v>
      </c>
      <c r="H1121" s="26" t="s">
        <v>3899</v>
      </c>
      <c r="I1121" s="17">
        <f ca="1">IFERROR(__xludf.DUMMYFUNCTION("""COMPUTED_VALUE"""),45215)</f>
        <v>45215</v>
      </c>
      <c r="J1121" s="29" t="s">
        <v>5142</v>
      </c>
      <c r="K1121" s="26" t="s">
        <v>5143</v>
      </c>
      <c r="L1121" s="30">
        <v>372919046</v>
      </c>
      <c r="M1121" s="26" t="s">
        <v>910</v>
      </c>
      <c r="N1121" s="26" t="s">
        <v>3525</v>
      </c>
      <c r="O1121" s="26" t="s">
        <v>3754</v>
      </c>
      <c r="P1121" s="26" t="s">
        <v>5144</v>
      </c>
      <c r="Q1121" s="20">
        <v>15936</v>
      </c>
      <c r="R1121" s="26" t="s">
        <v>36</v>
      </c>
      <c r="S1121" s="31">
        <v>4000</v>
      </c>
      <c r="T1121" s="32">
        <v>45191</v>
      </c>
      <c r="U1121" s="31">
        <v>11936</v>
      </c>
      <c r="V1121" s="32">
        <v>45246</v>
      </c>
      <c r="W1121" s="33" t="s">
        <v>5145</v>
      </c>
      <c r="X1121" s="26"/>
      <c r="Y1121" s="22">
        <v>0</v>
      </c>
      <c r="Z1121" s="26" t="s">
        <v>50</v>
      </c>
      <c r="AA1121" s="19" t="s">
        <v>5112</v>
      </c>
      <c r="AB1121" s="26" t="s">
        <v>104</v>
      </c>
      <c r="AC1121" s="26" t="s">
        <v>53</v>
      </c>
      <c r="AD1121" s="19" t="s">
        <v>138</v>
      </c>
      <c r="AE1121" s="26"/>
      <c r="AF1121" s="17">
        <v>45215</v>
      </c>
      <c r="AG1121" s="26" t="s">
        <v>1631</v>
      </c>
      <c r="AH1121" s="26"/>
      <c r="AI1121" s="40" t="s">
        <v>147</v>
      </c>
      <c r="AJ1121" s="26"/>
      <c r="AK1121" s="26"/>
      <c r="AL1121" s="35"/>
      <c r="AM1121" s="35"/>
      <c r="AN1121" s="35"/>
      <c r="AO1121" s="35"/>
      <c r="AP1121" s="35"/>
    </row>
    <row r="1122" spans="1:42" x14ac:dyDescent="0.2">
      <c r="A1122" s="27">
        <v>45193.965192094911</v>
      </c>
      <c r="B1122" s="28" t="s">
        <v>37</v>
      </c>
      <c r="C1122" s="41" t="s">
        <v>118</v>
      </c>
      <c r="D1122" s="26" t="s">
        <v>36</v>
      </c>
      <c r="E1122" s="26" t="s">
        <v>77</v>
      </c>
      <c r="F1122" s="26" t="s">
        <v>91</v>
      </c>
      <c r="G1122" s="26" t="s">
        <v>41</v>
      </c>
      <c r="H1122" s="26" t="s">
        <v>2967</v>
      </c>
      <c r="I1122" s="17">
        <f ca="1">IFERROR(__xludf.DUMMYFUNCTION("""COMPUTED_VALUE"""),45209)</f>
        <v>45209</v>
      </c>
      <c r="J1122" s="29" t="s">
        <v>5146</v>
      </c>
      <c r="K1122" s="26" t="s">
        <v>5147</v>
      </c>
      <c r="L1122" s="113">
        <v>977426154</v>
      </c>
      <c r="M1122" s="26" t="s">
        <v>910</v>
      </c>
      <c r="N1122" s="26" t="s">
        <v>3221</v>
      </c>
      <c r="O1122" s="26" t="s">
        <v>3754</v>
      </c>
      <c r="P1122" s="26" t="s">
        <v>5148</v>
      </c>
      <c r="Q1122" s="20">
        <v>1968</v>
      </c>
      <c r="R1122" s="26" t="s">
        <v>36</v>
      </c>
      <c r="S1122" s="31">
        <v>1968</v>
      </c>
      <c r="T1122" s="32">
        <v>45193</v>
      </c>
      <c r="U1122" s="31"/>
      <c r="V1122" s="26"/>
      <c r="W1122" s="33" t="s">
        <v>5149</v>
      </c>
      <c r="X1122" s="26"/>
      <c r="Y1122" s="22">
        <v>0</v>
      </c>
      <c r="Z1122" s="26" t="s">
        <v>50</v>
      </c>
      <c r="AA1122" s="19" t="s">
        <v>5112</v>
      </c>
      <c r="AB1122" s="26" t="s">
        <v>104</v>
      </c>
      <c r="AC1122" s="26" t="s">
        <v>53</v>
      </c>
      <c r="AD1122" s="19" t="s">
        <v>138</v>
      </c>
      <c r="AE1122" s="26"/>
      <c r="AF1122" s="17">
        <v>44114</v>
      </c>
      <c r="AG1122" s="26" t="s">
        <v>1631</v>
      </c>
      <c r="AH1122" s="26"/>
      <c r="AI1122" s="40" t="s">
        <v>84</v>
      </c>
      <c r="AJ1122" s="26"/>
      <c r="AK1122" s="26"/>
      <c r="AL1122" s="35"/>
      <c r="AM1122" s="35"/>
      <c r="AN1122" s="35"/>
      <c r="AO1122" s="35"/>
      <c r="AP1122" s="35"/>
    </row>
    <row r="1123" spans="1:42" x14ac:dyDescent="0.2">
      <c r="A1123" s="27">
        <v>45194.901184074071</v>
      </c>
      <c r="B1123" s="28" t="s">
        <v>37</v>
      </c>
      <c r="C1123" s="41" t="s">
        <v>118</v>
      </c>
      <c r="D1123" s="26" t="s">
        <v>36</v>
      </c>
      <c r="E1123" s="26" t="s">
        <v>119</v>
      </c>
      <c r="F1123" s="26" t="s">
        <v>36</v>
      </c>
      <c r="G1123" s="26" t="s">
        <v>108</v>
      </c>
      <c r="H1123" s="26" t="s">
        <v>3013</v>
      </c>
      <c r="I1123" s="17">
        <f ca="1">IFERROR(__xludf.DUMMYFUNCTION("""COMPUTED_VALUE"""),45207)</f>
        <v>45207</v>
      </c>
      <c r="J1123" s="29" t="s">
        <v>5150</v>
      </c>
      <c r="K1123" s="26" t="s">
        <v>5151</v>
      </c>
      <c r="L1123" s="30">
        <v>986760294</v>
      </c>
      <c r="M1123" s="26" t="s">
        <v>80</v>
      </c>
      <c r="N1123" s="26" t="s">
        <v>186</v>
      </c>
      <c r="O1123" s="26" t="s">
        <v>5152</v>
      </c>
      <c r="P1123" s="26" t="s">
        <v>2641</v>
      </c>
      <c r="Q1123" s="20">
        <v>13968</v>
      </c>
      <c r="R1123" s="26" t="s">
        <v>36</v>
      </c>
      <c r="S1123" s="31">
        <v>300</v>
      </c>
      <c r="T1123" s="32">
        <v>45192</v>
      </c>
      <c r="U1123" s="31">
        <f>3700+9968</f>
        <v>13668</v>
      </c>
      <c r="V1123" s="26" t="s">
        <v>5153</v>
      </c>
      <c r="W1123" s="33" t="s">
        <v>5154</v>
      </c>
      <c r="X1123" s="26"/>
      <c r="Y1123" s="22">
        <v>0</v>
      </c>
      <c r="Z1123" s="26" t="s">
        <v>50</v>
      </c>
      <c r="AA1123" s="19" t="s">
        <v>5112</v>
      </c>
      <c r="AB1123" s="26" t="s">
        <v>137</v>
      </c>
      <c r="AC1123" s="26" t="s">
        <v>53</v>
      </c>
      <c r="AD1123" s="19" t="s">
        <v>138</v>
      </c>
      <c r="AE1123" s="26" t="s">
        <v>2705</v>
      </c>
      <c r="AF1123" s="17">
        <v>45207</v>
      </c>
      <c r="AG1123" s="26" t="s">
        <v>1631</v>
      </c>
      <c r="AH1123" s="26"/>
      <c r="AI1123" s="40">
        <v>4</v>
      </c>
      <c r="AJ1123" s="26"/>
      <c r="AK1123" s="26"/>
      <c r="AL1123" s="35"/>
      <c r="AM1123" s="35"/>
      <c r="AN1123" s="35"/>
      <c r="AO1123" s="35"/>
      <c r="AP1123" s="35"/>
    </row>
    <row r="1124" spans="1:42" x14ac:dyDescent="0.2">
      <c r="A1124" s="27">
        <v>45195.801419756943</v>
      </c>
      <c r="B1124" s="28" t="s">
        <v>37</v>
      </c>
      <c r="C1124" s="41" t="s">
        <v>118</v>
      </c>
      <c r="D1124" s="26" t="s">
        <v>36</v>
      </c>
      <c r="E1124" s="26" t="s">
        <v>119</v>
      </c>
      <c r="F1124" s="26" t="s">
        <v>36</v>
      </c>
      <c r="G1124" s="26" t="s">
        <v>108</v>
      </c>
      <c r="H1124" s="26" t="s">
        <v>3013</v>
      </c>
      <c r="I1124" s="17">
        <f ca="1">IFERROR(__xludf.DUMMYFUNCTION("""COMPUTED_VALUE"""),45207)</f>
        <v>45207</v>
      </c>
      <c r="J1124" s="29" t="s">
        <v>5155</v>
      </c>
      <c r="K1124" s="26" t="s">
        <v>5156</v>
      </c>
      <c r="L1124" s="30">
        <v>762656129</v>
      </c>
      <c r="M1124" s="26" t="s">
        <v>80</v>
      </c>
      <c r="N1124" s="26" t="s">
        <v>186</v>
      </c>
      <c r="O1124" s="26" t="s">
        <v>5157</v>
      </c>
      <c r="P1124" s="26" t="s">
        <v>5158</v>
      </c>
      <c r="Q1124" s="20">
        <v>13968</v>
      </c>
      <c r="R1124" s="26" t="s">
        <v>36</v>
      </c>
      <c r="S1124" s="31">
        <v>200</v>
      </c>
      <c r="T1124" s="32">
        <v>45195</v>
      </c>
      <c r="U1124" s="31">
        <f>3800+9998</f>
        <v>13798</v>
      </c>
      <c r="V1124" s="26" t="s">
        <v>5159</v>
      </c>
      <c r="W1124" s="33" t="s">
        <v>5160</v>
      </c>
      <c r="X1124" s="26"/>
      <c r="Y1124" s="22">
        <v>-30</v>
      </c>
      <c r="Z1124" s="26" t="s">
        <v>50</v>
      </c>
      <c r="AA1124" s="19" t="s">
        <v>5112</v>
      </c>
      <c r="AB1124" s="26" t="s">
        <v>128</v>
      </c>
      <c r="AC1124" s="26" t="s">
        <v>53</v>
      </c>
      <c r="AD1124" s="19" t="s">
        <v>138</v>
      </c>
      <c r="AE1124" s="26">
        <v>640</v>
      </c>
      <c r="AF1124" s="17">
        <v>45207</v>
      </c>
      <c r="AG1124" s="26" t="s">
        <v>1631</v>
      </c>
      <c r="AH1124" s="26"/>
      <c r="AI1124" s="40">
        <v>4</v>
      </c>
      <c r="AJ1124" s="26"/>
      <c r="AK1124" s="26"/>
      <c r="AL1124" s="35"/>
      <c r="AM1124" s="35"/>
      <c r="AN1124" s="35"/>
      <c r="AO1124" s="35"/>
      <c r="AP1124" s="35"/>
    </row>
    <row r="1125" spans="1:42" x14ac:dyDescent="0.2">
      <c r="A1125" s="27">
        <v>45195.804584155092</v>
      </c>
      <c r="B1125" s="28" t="s">
        <v>37</v>
      </c>
      <c r="C1125" s="41" t="s">
        <v>118</v>
      </c>
      <c r="D1125" s="26" t="s">
        <v>36</v>
      </c>
      <c r="E1125" s="26" t="s">
        <v>106</v>
      </c>
      <c r="F1125" s="26" t="s">
        <v>36</v>
      </c>
      <c r="G1125" s="26" t="s">
        <v>108</v>
      </c>
      <c r="H1125" s="26" t="s">
        <v>3238</v>
      </c>
      <c r="I1125" s="17">
        <f ca="1">IFERROR(__xludf.DUMMYFUNCTION("""COMPUTED_VALUE"""),45216)</f>
        <v>45216</v>
      </c>
      <c r="J1125" s="29" t="s">
        <v>5161</v>
      </c>
      <c r="K1125" s="26" t="s">
        <v>5162</v>
      </c>
      <c r="L1125" s="30">
        <v>944600450</v>
      </c>
      <c r="M1125" s="26" t="s">
        <v>80</v>
      </c>
      <c r="N1125" s="26" t="s">
        <v>186</v>
      </c>
      <c r="O1125" s="26" t="s">
        <v>5163</v>
      </c>
      <c r="P1125" s="26" t="s">
        <v>5164</v>
      </c>
      <c r="Q1125" s="20">
        <v>3768</v>
      </c>
      <c r="R1125" s="26" t="s">
        <v>36</v>
      </c>
      <c r="S1125" s="31">
        <v>200</v>
      </c>
      <c r="T1125" s="32">
        <v>45194</v>
      </c>
      <c r="U1125" s="31">
        <v>3800</v>
      </c>
      <c r="V1125" s="32">
        <v>45196</v>
      </c>
      <c r="W1125" s="33" t="s">
        <v>5165</v>
      </c>
      <c r="X1125" s="26"/>
      <c r="Y1125" s="22">
        <v>-232</v>
      </c>
      <c r="Z1125" s="26" t="s">
        <v>50</v>
      </c>
      <c r="AA1125" s="19" t="s">
        <v>5112</v>
      </c>
      <c r="AB1125" s="26" t="s">
        <v>128</v>
      </c>
      <c r="AC1125" s="26" t="s">
        <v>53</v>
      </c>
      <c r="AD1125" s="19" t="s">
        <v>138</v>
      </c>
      <c r="AE1125" s="26">
        <v>560</v>
      </c>
      <c r="AF1125" s="43">
        <v>45216</v>
      </c>
      <c r="AG1125" s="26" t="s">
        <v>1631</v>
      </c>
      <c r="AH1125" s="26" t="s">
        <v>5166</v>
      </c>
      <c r="AI1125" s="40">
        <v>1</v>
      </c>
      <c r="AJ1125" s="26" t="s">
        <v>5115</v>
      </c>
      <c r="AK1125" s="26"/>
      <c r="AL1125" s="35"/>
      <c r="AM1125" s="35"/>
      <c r="AN1125" s="35"/>
      <c r="AO1125" s="35"/>
      <c r="AP1125" s="35"/>
    </row>
    <row r="1126" spans="1:42" x14ac:dyDescent="0.2">
      <c r="A1126" s="27">
        <v>45196.926601747684</v>
      </c>
      <c r="B1126" s="28" t="s">
        <v>37</v>
      </c>
      <c r="C1126" s="41" t="s">
        <v>118</v>
      </c>
      <c r="D1126" s="26" t="s">
        <v>36</v>
      </c>
      <c r="E1126" s="26" t="s">
        <v>139</v>
      </c>
      <c r="F1126" s="26" t="s">
        <v>36</v>
      </c>
      <c r="G1126" s="26" t="s">
        <v>41</v>
      </c>
      <c r="H1126" s="26" t="s">
        <v>3112</v>
      </c>
      <c r="I1126" s="17">
        <f ca="1">IFERROR(__xludf.DUMMYFUNCTION("""COMPUTED_VALUE"""),45204)</f>
        <v>45204</v>
      </c>
      <c r="J1126" s="29" t="s">
        <v>5167</v>
      </c>
      <c r="K1126" s="26" t="s">
        <v>5168</v>
      </c>
      <c r="L1126" s="30">
        <v>394526833</v>
      </c>
      <c r="M1126" s="26" t="s">
        <v>80</v>
      </c>
      <c r="N1126" s="26" t="s">
        <v>186</v>
      </c>
      <c r="O1126" s="26" t="s">
        <v>5169</v>
      </c>
      <c r="P1126" s="26" t="s">
        <v>2641</v>
      </c>
      <c r="Q1126" s="20">
        <v>15936</v>
      </c>
      <c r="R1126" s="26" t="s">
        <v>36</v>
      </c>
      <c r="S1126" s="31">
        <v>4000</v>
      </c>
      <c r="T1126" s="32">
        <v>45196</v>
      </c>
      <c r="U1126" s="31">
        <v>11936</v>
      </c>
      <c r="V1126" s="32">
        <v>45235</v>
      </c>
      <c r="W1126" s="33" t="s">
        <v>5170</v>
      </c>
      <c r="X1126" s="26"/>
      <c r="Y1126" s="22">
        <v>0</v>
      </c>
      <c r="Z1126" s="26" t="s">
        <v>50</v>
      </c>
      <c r="AA1126" s="19" t="s">
        <v>5112</v>
      </c>
      <c r="AB1126" s="26" t="s">
        <v>104</v>
      </c>
      <c r="AC1126" s="26" t="s">
        <v>53</v>
      </c>
      <c r="AD1126" s="19" t="s">
        <v>138</v>
      </c>
      <c r="AE1126" s="26">
        <v>0</v>
      </c>
      <c r="AF1126" s="17">
        <v>45204</v>
      </c>
      <c r="AG1126" s="26" t="s">
        <v>1631</v>
      </c>
      <c r="AH1126" s="26"/>
      <c r="AI1126" s="40" t="s">
        <v>147</v>
      </c>
      <c r="AJ1126" s="26"/>
      <c r="AK1126" s="26"/>
      <c r="AL1126" s="35"/>
      <c r="AM1126" s="35"/>
      <c r="AN1126" s="35"/>
      <c r="AO1126" s="35"/>
      <c r="AP1126" s="35"/>
    </row>
    <row r="1127" spans="1:42" x14ac:dyDescent="0.2">
      <c r="A1127" s="27">
        <v>45196.934330277778</v>
      </c>
      <c r="B1127" s="28" t="s">
        <v>37</v>
      </c>
      <c r="C1127" s="41" t="s">
        <v>118</v>
      </c>
      <c r="D1127" s="26" t="s">
        <v>36</v>
      </c>
      <c r="E1127" s="26" t="s">
        <v>106</v>
      </c>
      <c r="F1127" s="26" t="s">
        <v>36</v>
      </c>
      <c r="G1127" s="26" t="s">
        <v>108</v>
      </c>
      <c r="H1127" s="26" t="s">
        <v>3013</v>
      </c>
      <c r="I1127" s="17">
        <f ca="1">IFERROR(__xludf.DUMMYFUNCTION("""COMPUTED_VALUE"""),45207)</f>
        <v>45207</v>
      </c>
      <c r="J1127" s="29" t="s">
        <v>5171</v>
      </c>
      <c r="K1127" s="26" t="s">
        <v>5172</v>
      </c>
      <c r="L1127" s="30">
        <v>376462605</v>
      </c>
      <c r="M1127" s="26" t="s">
        <v>80</v>
      </c>
      <c r="N1127" s="26" t="s">
        <v>186</v>
      </c>
      <c r="O1127" s="26" t="s">
        <v>5173</v>
      </c>
      <c r="P1127" s="26" t="s">
        <v>5174</v>
      </c>
      <c r="Q1127" s="20">
        <v>3768</v>
      </c>
      <c r="R1127" s="26" t="s">
        <v>36</v>
      </c>
      <c r="S1127" s="31">
        <v>200</v>
      </c>
      <c r="T1127" s="32">
        <v>45196</v>
      </c>
      <c r="U1127" s="31">
        <v>3568</v>
      </c>
      <c r="V1127" s="32">
        <v>45209</v>
      </c>
      <c r="W1127" s="55" t="s">
        <v>5175</v>
      </c>
      <c r="X1127" s="26"/>
      <c r="Y1127" s="22">
        <v>0</v>
      </c>
      <c r="Z1127" s="26" t="s">
        <v>50</v>
      </c>
      <c r="AA1127" s="19" t="s">
        <v>5112</v>
      </c>
      <c r="AB1127" s="26" t="s">
        <v>146</v>
      </c>
      <c r="AC1127" s="26" t="s">
        <v>53</v>
      </c>
      <c r="AD1127" s="19" t="s">
        <v>138</v>
      </c>
      <c r="AE1127" s="26">
        <v>520</v>
      </c>
      <c r="AF1127" s="17">
        <v>45207</v>
      </c>
      <c r="AG1127" s="26" t="s">
        <v>1631</v>
      </c>
      <c r="AH1127" s="26"/>
      <c r="AI1127" s="40">
        <v>1</v>
      </c>
      <c r="AJ1127" s="26" t="s">
        <v>5115</v>
      </c>
      <c r="AK1127" s="26"/>
      <c r="AL1127" s="35"/>
      <c r="AM1127" s="35"/>
      <c r="AN1127" s="35"/>
      <c r="AO1127" s="35"/>
      <c r="AP1127" s="35"/>
    </row>
    <row r="1128" spans="1:42" x14ac:dyDescent="0.2">
      <c r="A1128" s="27">
        <v>45199.669029479162</v>
      </c>
      <c r="B1128" s="28" t="s">
        <v>37</v>
      </c>
      <c r="C1128" s="41" t="s">
        <v>118</v>
      </c>
      <c r="D1128" s="26" t="s">
        <v>36</v>
      </c>
      <c r="E1128" s="26" t="s">
        <v>39</v>
      </c>
      <c r="F1128" s="26" t="s">
        <v>36</v>
      </c>
      <c r="G1128" s="26" t="s">
        <v>41</v>
      </c>
      <c r="H1128" s="26" t="s">
        <v>3112</v>
      </c>
      <c r="I1128" s="17">
        <f ca="1">IFERROR(__xludf.DUMMYFUNCTION("""COMPUTED_VALUE"""),45204)</f>
        <v>45204</v>
      </c>
      <c r="J1128" s="29" t="s">
        <v>5176</v>
      </c>
      <c r="K1128" s="26" t="s">
        <v>5177</v>
      </c>
      <c r="L1128" s="30">
        <v>911375319</v>
      </c>
      <c r="M1128" s="26" t="s">
        <v>80</v>
      </c>
      <c r="N1128" s="26" t="s">
        <v>81</v>
      </c>
      <c r="O1128" s="26" t="s">
        <v>1492</v>
      </c>
      <c r="P1128" s="26" t="s">
        <v>5178</v>
      </c>
      <c r="Q1128" s="20">
        <v>5736</v>
      </c>
      <c r="R1128" s="26" t="s">
        <v>36</v>
      </c>
      <c r="S1128" s="31">
        <v>200</v>
      </c>
      <c r="T1128" s="32">
        <v>45191</v>
      </c>
      <c r="U1128" s="31">
        <f>3800+1736</f>
        <v>5536</v>
      </c>
      <c r="V1128" s="26" t="s">
        <v>5179</v>
      </c>
      <c r="W1128" s="26" t="s">
        <v>5180</v>
      </c>
      <c r="X1128" s="26"/>
      <c r="Y1128" s="22">
        <v>0</v>
      </c>
      <c r="Z1128" s="26" t="s">
        <v>50</v>
      </c>
      <c r="AA1128" s="19" t="s">
        <v>5112</v>
      </c>
      <c r="AB1128" s="26" t="s">
        <v>104</v>
      </c>
      <c r="AC1128" s="26" t="s">
        <v>53</v>
      </c>
      <c r="AD1128" s="19" t="s">
        <v>138</v>
      </c>
      <c r="AE1128" s="26">
        <v>0</v>
      </c>
      <c r="AF1128" s="17">
        <v>45204</v>
      </c>
      <c r="AG1128" s="26" t="s">
        <v>1631</v>
      </c>
      <c r="AH1128" s="26"/>
      <c r="AI1128" s="40" t="s">
        <v>55</v>
      </c>
      <c r="AJ1128" s="26" t="s">
        <v>5181</v>
      </c>
      <c r="AK1128" s="26"/>
      <c r="AL1128" s="35"/>
      <c r="AM1128" s="35"/>
      <c r="AN1128" s="35"/>
      <c r="AO1128" s="35"/>
      <c r="AP1128" s="35"/>
    </row>
    <row r="1129" spans="1:42" x14ac:dyDescent="0.2">
      <c r="A1129" s="27">
        <v>45199.832406273148</v>
      </c>
      <c r="B1129" s="28" t="s">
        <v>37</v>
      </c>
      <c r="C1129" s="41" t="s">
        <v>118</v>
      </c>
      <c r="D1129" s="26" t="s">
        <v>36</v>
      </c>
      <c r="E1129" s="26" t="s">
        <v>56</v>
      </c>
      <c r="F1129" s="26" t="s">
        <v>36</v>
      </c>
      <c r="G1129" s="26" t="s">
        <v>41</v>
      </c>
      <c r="H1129" s="26" t="s">
        <v>3302</v>
      </c>
      <c r="I1129" s="17">
        <f ca="1">IFERROR(__xludf.DUMMYFUNCTION("""COMPUTED_VALUE"""),45224)</f>
        <v>45224</v>
      </c>
      <c r="J1129" s="29" t="s">
        <v>5182</v>
      </c>
      <c r="K1129" s="26" t="s">
        <v>5183</v>
      </c>
      <c r="L1129" s="30">
        <v>367934994</v>
      </c>
      <c r="M1129" s="26" t="s">
        <v>80</v>
      </c>
      <c r="N1129" s="26" t="s">
        <v>186</v>
      </c>
      <c r="O1129" s="26" t="s">
        <v>5184</v>
      </c>
      <c r="P1129" s="26" t="s">
        <v>5185</v>
      </c>
      <c r="Q1129" s="20">
        <v>9317</v>
      </c>
      <c r="R1129" s="26" t="s">
        <v>36</v>
      </c>
      <c r="S1129" s="31">
        <v>4000</v>
      </c>
      <c r="T1129" s="32">
        <v>45199</v>
      </c>
      <c r="U1129" s="31">
        <v>5317</v>
      </c>
      <c r="V1129" s="32">
        <v>45237</v>
      </c>
      <c r="W1129" s="33" t="s">
        <v>5186</v>
      </c>
      <c r="X1129" s="26"/>
      <c r="Y1129" s="22">
        <v>0</v>
      </c>
      <c r="Z1129" s="26" t="s">
        <v>50</v>
      </c>
      <c r="AA1129" s="19" t="s">
        <v>5112</v>
      </c>
      <c r="AB1129" s="26" t="s">
        <v>104</v>
      </c>
      <c r="AC1129" s="26" t="s">
        <v>53</v>
      </c>
      <c r="AD1129" s="19" t="s">
        <v>54</v>
      </c>
      <c r="AE1129" s="26">
        <v>0</v>
      </c>
      <c r="AF1129" s="17">
        <v>45215</v>
      </c>
      <c r="AG1129" s="26" t="s">
        <v>3095</v>
      </c>
      <c r="AH1129" s="26"/>
      <c r="AI1129" s="40" t="s">
        <v>64</v>
      </c>
      <c r="AJ1129" s="26"/>
      <c r="AK1129" s="26"/>
      <c r="AL1129" s="35"/>
      <c r="AM1129" s="35"/>
      <c r="AN1129" s="35"/>
      <c r="AO1129" s="35"/>
      <c r="AP1129" s="35"/>
    </row>
    <row r="1130" spans="1:42" x14ac:dyDescent="0.2">
      <c r="A1130" s="27">
        <v>45200.393709675925</v>
      </c>
      <c r="B1130" s="28" t="s">
        <v>37</v>
      </c>
      <c r="C1130" s="41" t="s">
        <v>118</v>
      </c>
      <c r="D1130" s="26" t="s">
        <v>36</v>
      </c>
      <c r="E1130" s="26" t="s">
        <v>148</v>
      </c>
      <c r="F1130" s="26" t="s">
        <v>307</v>
      </c>
      <c r="G1130" s="26" t="s">
        <v>108</v>
      </c>
      <c r="H1130" s="26" t="s">
        <v>1853</v>
      </c>
      <c r="I1130" s="17">
        <f ca="1">IFERROR(__xludf.DUMMYFUNCTION("""COMPUTED_VALUE"""),45229)</f>
        <v>45229</v>
      </c>
      <c r="J1130" s="29" t="s">
        <v>5187</v>
      </c>
      <c r="K1130" s="19" t="s">
        <v>5188</v>
      </c>
      <c r="L1130" s="30">
        <v>379180793</v>
      </c>
      <c r="M1130" s="26" t="s">
        <v>123</v>
      </c>
      <c r="N1130" s="26" t="s">
        <v>2847</v>
      </c>
      <c r="O1130" s="26" t="s">
        <v>5189</v>
      </c>
      <c r="P1130" s="26" t="s">
        <v>3487</v>
      </c>
      <c r="Q1130" s="20">
        <v>7349</v>
      </c>
      <c r="R1130" s="26" t="s">
        <v>36</v>
      </c>
      <c r="S1130" s="31">
        <v>2000</v>
      </c>
      <c r="T1130" s="32">
        <v>45199</v>
      </c>
      <c r="U1130" s="58">
        <v>5349</v>
      </c>
      <c r="V1130" s="59">
        <v>45252</v>
      </c>
      <c r="W1130" s="33" t="s">
        <v>5190</v>
      </c>
      <c r="X1130" s="26"/>
      <c r="Y1130" s="22">
        <v>0</v>
      </c>
      <c r="Z1130" s="26" t="s">
        <v>50</v>
      </c>
      <c r="AA1130" s="19" t="s">
        <v>5112</v>
      </c>
      <c r="AB1130" s="26" t="s">
        <v>104</v>
      </c>
      <c r="AC1130" s="26" t="s">
        <v>53</v>
      </c>
      <c r="AD1130" s="19" t="s">
        <v>138</v>
      </c>
      <c r="AE1130" s="26">
        <v>470</v>
      </c>
      <c r="AF1130" s="17">
        <v>45229</v>
      </c>
      <c r="AG1130" s="26" t="s">
        <v>1631</v>
      </c>
      <c r="AH1130" s="26"/>
      <c r="AI1130" s="40">
        <v>2</v>
      </c>
      <c r="AJ1130" s="26" t="s">
        <v>5191</v>
      </c>
      <c r="AK1130" s="26"/>
      <c r="AL1130" s="35"/>
      <c r="AM1130" s="35"/>
      <c r="AN1130" s="35"/>
      <c r="AO1130" s="35"/>
      <c r="AP1130" s="35"/>
    </row>
    <row r="1131" spans="1:42" x14ac:dyDescent="0.2">
      <c r="A1131" s="27">
        <v>45201.662976550928</v>
      </c>
      <c r="B1131" s="28" t="s">
        <v>37</v>
      </c>
      <c r="C1131" s="41" t="s">
        <v>118</v>
      </c>
      <c r="D1131" s="26" t="s">
        <v>36</v>
      </c>
      <c r="E1131" s="26" t="s">
        <v>139</v>
      </c>
      <c r="F1131" s="26" t="s">
        <v>91</v>
      </c>
      <c r="G1131" s="26" t="s">
        <v>41</v>
      </c>
      <c r="H1131" s="26" t="s">
        <v>3899</v>
      </c>
      <c r="I1131" s="17">
        <f ca="1">IFERROR(__xludf.DUMMYFUNCTION("""COMPUTED_VALUE"""),45215)</f>
        <v>45215</v>
      </c>
      <c r="J1131" s="29" t="s">
        <v>5192</v>
      </c>
      <c r="K1131" s="26" t="s">
        <v>5193</v>
      </c>
      <c r="L1131" s="30">
        <v>373944787</v>
      </c>
      <c r="M1131" s="26" t="s">
        <v>2755</v>
      </c>
      <c r="N1131" s="26" t="s">
        <v>2756</v>
      </c>
      <c r="O1131" s="26" t="s">
        <v>2819</v>
      </c>
      <c r="P1131" s="26" t="s">
        <v>5194</v>
      </c>
      <c r="Q1131" s="20">
        <v>15936</v>
      </c>
      <c r="R1131" s="26" t="s">
        <v>1106</v>
      </c>
      <c r="S1131" s="31">
        <v>2000</v>
      </c>
      <c r="T1131" s="32">
        <v>45201</v>
      </c>
      <c r="U1131" s="31">
        <v>13786</v>
      </c>
      <c r="V1131" s="32">
        <v>45232</v>
      </c>
      <c r="W1131" s="33" t="s">
        <v>5195</v>
      </c>
      <c r="X1131" s="26"/>
      <c r="Y1131" s="22">
        <v>150</v>
      </c>
      <c r="Z1131" s="26" t="s">
        <v>50</v>
      </c>
      <c r="AA1131" s="19" t="s">
        <v>5112</v>
      </c>
      <c r="AB1131" s="26" t="s">
        <v>104</v>
      </c>
      <c r="AC1131" s="26" t="s">
        <v>53</v>
      </c>
      <c r="AD1131" s="19" t="s">
        <v>138</v>
      </c>
      <c r="AE1131" s="26"/>
      <c r="AF1131" s="17">
        <v>45215</v>
      </c>
      <c r="AG1131" s="26" t="s">
        <v>1631</v>
      </c>
      <c r="AH1131" s="26"/>
      <c r="AI1131" s="40" t="s">
        <v>147</v>
      </c>
      <c r="AJ1131" s="26"/>
      <c r="AK1131" s="26"/>
      <c r="AL1131" s="35"/>
      <c r="AM1131" s="35"/>
      <c r="AN1131" s="35"/>
      <c r="AO1131" s="35"/>
      <c r="AP1131" s="35"/>
    </row>
    <row r="1132" spans="1:42" x14ac:dyDescent="0.2">
      <c r="A1132" s="27">
        <v>45201.665796574074</v>
      </c>
      <c r="B1132" s="28" t="s">
        <v>37</v>
      </c>
      <c r="C1132" s="41" t="s">
        <v>118</v>
      </c>
      <c r="D1132" s="26" t="s">
        <v>36</v>
      </c>
      <c r="E1132" s="26" t="s">
        <v>139</v>
      </c>
      <c r="F1132" s="26" t="s">
        <v>91</v>
      </c>
      <c r="G1132" s="26" t="s">
        <v>41</v>
      </c>
      <c r="H1132" s="26" t="s">
        <v>3899</v>
      </c>
      <c r="I1132" s="17">
        <f ca="1">IFERROR(__xludf.DUMMYFUNCTION("""COMPUTED_VALUE"""),45215)</f>
        <v>45215</v>
      </c>
      <c r="J1132" s="29" t="s">
        <v>5196</v>
      </c>
      <c r="K1132" s="26" t="s">
        <v>5197</v>
      </c>
      <c r="L1132" s="30">
        <v>977943642</v>
      </c>
      <c r="M1132" s="26" t="s">
        <v>2755</v>
      </c>
      <c r="N1132" s="26" t="s">
        <v>2756</v>
      </c>
      <c r="O1132" s="26" t="s">
        <v>2819</v>
      </c>
      <c r="P1132" s="26" t="s">
        <v>5198</v>
      </c>
      <c r="Q1132" s="20">
        <v>15936</v>
      </c>
      <c r="R1132" s="26" t="s">
        <v>1106</v>
      </c>
      <c r="S1132" s="31">
        <v>2000</v>
      </c>
      <c r="T1132" s="32">
        <v>45201</v>
      </c>
      <c r="U1132" s="31">
        <v>13786</v>
      </c>
      <c r="V1132" s="32">
        <v>45232</v>
      </c>
      <c r="W1132" s="33" t="s">
        <v>5199</v>
      </c>
      <c r="X1132" s="26"/>
      <c r="Y1132" s="22">
        <v>150</v>
      </c>
      <c r="Z1132" s="26" t="s">
        <v>50</v>
      </c>
      <c r="AA1132" s="19" t="s">
        <v>5112</v>
      </c>
      <c r="AB1132" s="26" t="s">
        <v>104</v>
      </c>
      <c r="AC1132" s="26" t="s">
        <v>53</v>
      </c>
      <c r="AD1132" s="19" t="s">
        <v>138</v>
      </c>
      <c r="AE1132" s="26"/>
      <c r="AF1132" s="17">
        <v>45215</v>
      </c>
      <c r="AG1132" s="26" t="s">
        <v>1631</v>
      </c>
      <c r="AH1132" s="26"/>
      <c r="AI1132" s="40" t="s">
        <v>147</v>
      </c>
      <c r="AJ1132" s="26"/>
      <c r="AK1132" s="26"/>
      <c r="AL1132" s="35"/>
      <c r="AM1132" s="35"/>
      <c r="AN1132" s="35"/>
      <c r="AO1132" s="35"/>
      <c r="AP1132" s="35"/>
    </row>
    <row r="1133" spans="1:42" x14ac:dyDescent="0.2">
      <c r="A1133" s="27">
        <v>45201.66855923611</v>
      </c>
      <c r="B1133" s="28" t="s">
        <v>37</v>
      </c>
      <c r="C1133" s="41" t="s">
        <v>118</v>
      </c>
      <c r="D1133" s="26" t="s">
        <v>36</v>
      </c>
      <c r="E1133" s="26" t="s">
        <v>139</v>
      </c>
      <c r="F1133" s="26" t="s">
        <v>91</v>
      </c>
      <c r="G1133" s="26" t="s">
        <v>41</v>
      </c>
      <c r="H1133" s="26" t="s">
        <v>3899</v>
      </c>
      <c r="I1133" s="17">
        <f ca="1">IFERROR(__xludf.DUMMYFUNCTION("""COMPUTED_VALUE"""),45215)</f>
        <v>45215</v>
      </c>
      <c r="J1133" s="29" t="s">
        <v>5200</v>
      </c>
      <c r="K1133" s="26" t="s">
        <v>5201</v>
      </c>
      <c r="L1133" s="30">
        <v>563626888</v>
      </c>
      <c r="M1133" s="26" t="s">
        <v>2755</v>
      </c>
      <c r="N1133" s="26" t="s">
        <v>2756</v>
      </c>
      <c r="O1133" s="26" t="s">
        <v>2819</v>
      </c>
      <c r="P1133" s="26" t="s">
        <v>5202</v>
      </c>
      <c r="Q1133" s="20">
        <v>15936</v>
      </c>
      <c r="R1133" s="26" t="s">
        <v>1106</v>
      </c>
      <c r="S1133" s="31">
        <v>2000</v>
      </c>
      <c r="T1133" s="32">
        <v>45201</v>
      </c>
      <c r="U1133" s="31">
        <f>13768+18</f>
        <v>13786</v>
      </c>
      <c r="V1133" s="26" t="s">
        <v>5203</v>
      </c>
      <c r="W1133" s="33" t="s">
        <v>5204</v>
      </c>
      <c r="X1133" s="26"/>
      <c r="Y1133" s="22">
        <v>150</v>
      </c>
      <c r="Z1133" s="26" t="s">
        <v>50</v>
      </c>
      <c r="AA1133" s="19" t="s">
        <v>5112</v>
      </c>
      <c r="AB1133" s="26" t="s">
        <v>104</v>
      </c>
      <c r="AC1133" s="26" t="s">
        <v>53</v>
      </c>
      <c r="AD1133" s="19" t="s">
        <v>138</v>
      </c>
      <c r="AE1133" s="26" t="s">
        <v>72</v>
      </c>
      <c r="AF1133" s="17">
        <v>45215</v>
      </c>
      <c r="AG1133" s="26" t="s">
        <v>1631</v>
      </c>
      <c r="AH1133" s="26"/>
      <c r="AI1133" s="40" t="s">
        <v>147</v>
      </c>
      <c r="AJ1133" s="26"/>
      <c r="AK1133" s="26"/>
      <c r="AL1133" s="35"/>
      <c r="AM1133" s="35"/>
      <c r="AN1133" s="35"/>
      <c r="AO1133" s="35"/>
      <c r="AP1133" s="35"/>
    </row>
    <row r="1134" spans="1:42" x14ac:dyDescent="0.2">
      <c r="A1134" s="27">
        <v>45201.882811018513</v>
      </c>
      <c r="B1134" s="28" t="s">
        <v>37</v>
      </c>
      <c r="C1134" s="41" t="s">
        <v>118</v>
      </c>
      <c r="D1134" s="26" t="s">
        <v>36</v>
      </c>
      <c r="E1134" s="26" t="s">
        <v>915</v>
      </c>
      <c r="F1134" s="26" t="s">
        <v>36</v>
      </c>
      <c r="G1134" s="26" t="s">
        <v>221</v>
      </c>
      <c r="H1134" s="26" t="s">
        <v>2279</v>
      </c>
      <c r="I1134" s="17">
        <f ca="1">IFERROR(__xludf.DUMMYFUNCTION("""COMPUTED_VALUE"""),45222)</f>
        <v>45222</v>
      </c>
      <c r="J1134" s="29" t="s">
        <v>5205</v>
      </c>
      <c r="K1134" s="26" t="s">
        <v>5206</v>
      </c>
      <c r="L1134" s="30">
        <v>865522905</v>
      </c>
      <c r="M1134" s="26" t="s">
        <v>80</v>
      </c>
      <c r="N1134" s="26" t="s">
        <v>186</v>
      </c>
      <c r="O1134" s="26" t="s">
        <v>1492</v>
      </c>
      <c r="P1134" s="42" t="s">
        <v>5207</v>
      </c>
      <c r="Q1134" s="20">
        <v>10894</v>
      </c>
      <c r="R1134" s="26" t="s">
        <v>36</v>
      </c>
      <c r="S1134" s="31">
        <v>5000</v>
      </c>
      <c r="T1134" s="32">
        <v>45201</v>
      </c>
      <c r="U1134" s="31">
        <v>5894</v>
      </c>
      <c r="V1134" s="32">
        <v>45238</v>
      </c>
      <c r="W1134" s="33" t="s">
        <v>5208</v>
      </c>
      <c r="X1134" s="26"/>
      <c r="Y1134" s="22">
        <v>0</v>
      </c>
      <c r="Z1134" s="26" t="s">
        <v>50</v>
      </c>
      <c r="AA1134" s="19" t="s">
        <v>5112</v>
      </c>
      <c r="AB1134" s="26" t="s">
        <v>104</v>
      </c>
      <c r="AC1134" s="26" t="s">
        <v>53</v>
      </c>
      <c r="AD1134" s="19" t="s">
        <v>54</v>
      </c>
      <c r="AE1134" s="26" t="s">
        <v>3473</v>
      </c>
      <c r="AF1134" s="17">
        <v>45211</v>
      </c>
      <c r="AG1134" s="26"/>
      <c r="AH1134" s="26"/>
      <c r="AI1134" s="40">
        <v>3</v>
      </c>
      <c r="AJ1134" s="26"/>
      <c r="AK1134" s="26"/>
      <c r="AL1134" s="35"/>
      <c r="AM1134" s="35"/>
      <c r="AN1134" s="35"/>
      <c r="AO1134" s="35"/>
      <c r="AP1134" s="35"/>
    </row>
    <row r="1135" spans="1:42" x14ac:dyDescent="0.2">
      <c r="A1135" s="27">
        <v>45201.88913476852</v>
      </c>
      <c r="B1135" s="28" t="s">
        <v>37</v>
      </c>
      <c r="C1135" s="41" t="s">
        <v>118</v>
      </c>
      <c r="D1135" s="26" t="s">
        <v>36</v>
      </c>
      <c r="E1135" s="26" t="s">
        <v>119</v>
      </c>
      <c r="F1135" s="26" t="s">
        <v>36</v>
      </c>
      <c r="G1135" s="26" t="s">
        <v>108</v>
      </c>
      <c r="H1135" s="26" t="s">
        <v>4328</v>
      </c>
      <c r="I1135" s="17">
        <f ca="1">IFERROR(__xludf.DUMMYFUNCTION("""COMPUTED_VALUE"""),45236)</f>
        <v>45236</v>
      </c>
      <c r="J1135" s="29" t="s">
        <v>5209</v>
      </c>
      <c r="K1135" s="26" t="s">
        <v>5210</v>
      </c>
      <c r="L1135" s="30">
        <v>976315889</v>
      </c>
      <c r="M1135" s="26" t="s">
        <v>80</v>
      </c>
      <c r="N1135" s="26" t="s">
        <v>186</v>
      </c>
      <c r="O1135" s="26" t="s">
        <v>5211</v>
      </c>
      <c r="P1135" s="42" t="s">
        <v>5212</v>
      </c>
      <c r="Q1135" s="20">
        <v>13968</v>
      </c>
      <c r="R1135" s="26" t="s">
        <v>36</v>
      </c>
      <c r="S1135" s="31">
        <v>4000</v>
      </c>
      <c r="T1135" s="32">
        <v>45201</v>
      </c>
      <c r="U1135" s="31">
        <v>10000</v>
      </c>
      <c r="V1135" s="32">
        <v>45248</v>
      </c>
      <c r="W1135" s="33" t="s">
        <v>5213</v>
      </c>
      <c r="X1135" s="26"/>
      <c r="Y1135" s="22">
        <v>-32</v>
      </c>
      <c r="Z1135" s="26" t="s">
        <v>50</v>
      </c>
      <c r="AA1135" s="19" t="s">
        <v>5112</v>
      </c>
      <c r="AB1135" s="26" t="s">
        <v>154</v>
      </c>
      <c r="AC1135" s="26" t="s">
        <v>53</v>
      </c>
      <c r="AD1135" s="19" t="s">
        <v>138</v>
      </c>
      <c r="AE1135" s="26">
        <v>700</v>
      </c>
      <c r="AF1135" s="17">
        <v>45236</v>
      </c>
      <c r="AG1135" s="26" t="s">
        <v>5214</v>
      </c>
      <c r="AH1135" s="26"/>
      <c r="AI1135" s="40">
        <v>4</v>
      </c>
      <c r="AJ1135" s="26"/>
      <c r="AK1135" s="26"/>
      <c r="AL1135" s="35"/>
      <c r="AM1135" s="35"/>
      <c r="AN1135" s="35"/>
      <c r="AO1135" s="35"/>
      <c r="AP1135" s="35"/>
    </row>
    <row r="1136" spans="1:42" x14ac:dyDescent="0.2">
      <c r="A1136" s="27">
        <v>45201.968931516203</v>
      </c>
      <c r="B1136" s="28" t="s">
        <v>37</v>
      </c>
      <c r="C1136" s="41" t="s">
        <v>118</v>
      </c>
      <c r="D1136" s="26" t="s">
        <v>36</v>
      </c>
      <c r="E1136" s="26" t="s">
        <v>139</v>
      </c>
      <c r="F1136" s="26" t="s">
        <v>36</v>
      </c>
      <c r="G1136" s="26" t="s">
        <v>41</v>
      </c>
      <c r="H1136" s="26" t="s">
        <v>3930</v>
      </c>
      <c r="I1136" s="17">
        <f ca="1">IFERROR(__xludf.DUMMYFUNCTION("""COMPUTED_VALUE"""),45223)</f>
        <v>45223</v>
      </c>
      <c r="J1136" s="29" t="s">
        <v>5215</v>
      </c>
      <c r="K1136" s="26" t="s">
        <v>5216</v>
      </c>
      <c r="L1136" s="30">
        <v>912200120</v>
      </c>
      <c r="M1136" s="26" t="s">
        <v>80</v>
      </c>
      <c r="N1136" s="26" t="s">
        <v>81</v>
      </c>
      <c r="O1136" s="26" t="s">
        <v>5217</v>
      </c>
      <c r="P1136" s="26" t="s">
        <v>2641</v>
      </c>
      <c r="Q1136" s="20">
        <v>15936</v>
      </c>
      <c r="R1136" s="26" t="s">
        <v>36</v>
      </c>
      <c r="S1136" s="31">
        <v>200</v>
      </c>
      <c r="T1136" s="32">
        <v>45199</v>
      </c>
      <c r="U1136" s="31">
        <f>3800+11936</f>
        <v>15736</v>
      </c>
      <c r="V1136" s="26" t="s">
        <v>5218</v>
      </c>
      <c r="W1136" s="33" t="s">
        <v>5219</v>
      </c>
      <c r="X1136" s="26"/>
      <c r="Y1136" s="22">
        <v>0</v>
      </c>
      <c r="Z1136" s="26" t="s">
        <v>50</v>
      </c>
      <c r="AA1136" s="19" t="s">
        <v>5112</v>
      </c>
      <c r="AB1136" s="26" t="s">
        <v>104</v>
      </c>
      <c r="AC1136" s="26" t="s">
        <v>53</v>
      </c>
      <c r="AD1136" s="19" t="s">
        <v>138</v>
      </c>
      <c r="AE1136" s="26">
        <v>0</v>
      </c>
      <c r="AF1136" s="43">
        <v>45223</v>
      </c>
      <c r="AG1136" s="26" t="s">
        <v>3192</v>
      </c>
      <c r="AH1136" s="26"/>
      <c r="AI1136" s="40" t="s">
        <v>147</v>
      </c>
      <c r="AJ1136" s="26"/>
      <c r="AK1136" s="26"/>
      <c r="AL1136" s="35"/>
      <c r="AM1136" s="35"/>
      <c r="AN1136" s="35"/>
      <c r="AO1136" s="35"/>
      <c r="AP1136" s="35"/>
    </row>
    <row r="1137" spans="1:42" x14ac:dyDescent="0.2">
      <c r="A1137" s="27">
        <v>45202.717873078705</v>
      </c>
      <c r="B1137" s="28" t="s">
        <v>37</v>
      </c>
      <c r="C1137" s="41" t="s">
        <v>118</v>
      </c>
      <c r="D1137" s="26" t="s">
        <v>119</v>
      </c>
      <c r="E1137" s="26" t="s">
        <v>139</v>
      </c>
      <c r="F1137" s="26" t="s">
        <v>91</v>
      </c>
      <c r="G1137" s="26" t="s">
        <v>41</v>
      </c>
      <c r="H1137" s="26" t="s">
        <v>3930</v>
      </c>
      <c r="I1137" s="17">
        <f ca="1">IFERROR(__xludf.DUMMYFUNCTION("""COMPUTED_VALUE"""),45223)</f>
        <v>45223</v>
      </c>
      <c r="J1137" s="29" t="s">
        <v>5220</v>
      </c>
      <c r="K1137" s="26" t="s">
        <v>5221</v>
      </c>
      <c r="L1137" s="30">
        <v>878982865</v>
      </c>
      <c r="M1137" s="26" t="s">
        <v>910</v>
      </c>
      <c r="N1137" s="26" t="s">
        <v>3525</v>
      </c>
      <c r="O1137" s="26" t="s">
        <v>3754</v>
      </c>
      <c r="P1137" s="26" t="s">
        <v>5222</v>
      </c>
      <c r="Q1137" s="20">
        <v>15936</v>
      </c>
      <c r="R1137" s="26" t="s">
        <v>70</v>
      </c>
      <c r="S1137" s="31">
        <v>2000</v>
      </c>
      <c r="T1137" s="32">
        <v>45202</v>
      </c>
      <c r="U1137" s="31">
        <v>13936</v>
      </c>
      <c r="V1137" s="32">
        <v>45246</v>
      </c>
      <c r="W1137" s="33" t="s">
        <v>5223</v>
      </c>
      <c r="X1137" s="26"/>
      <c r="Y1137" s="22">
        <v>0</v>
      </c>
      <c r="Z1137" s="26" t="s">
        <v>50</v>
      </c>
      <c r="AA1137" s="19" t="s">
        <v>5112</v>
      </c>
      <c r="AB1137" s="26" t="s">
        <v>104</v>
      </c>
      <c r="AC1137" s="26" t="s">
        <v>53</v>
      </c>
      <c r="AD1137" s="19" t="s">
        <v>138</v>
      </c>
      <c r="AE1137" s="26"/>
      <c r="AF1137" s="43">
        <v>45223</v>
      </c>
      <c r="AG1137" s="26" t="s">
        <v>1631</v>
      </c>
      <c r="AH1137" s="26"/>
      <c r="AI1137" s="40" t="s">
        <v>147</v>
      </c>
      <c r="AJ1137" s="26"/>
      <c r="AK1137" s="26"/>
      <c r="AL1137" s="35"/>
      <c r="AM1137" s="35"/>
      <c r="AN1137" s="35"/>
      <c r="AO1137" s="35"/>
      <c r="AP1137" s="35"/>
    </row>
    <row r="1138" spans="1:42" x14ac:dyDescent="0.2">
      <c r="A1138" s="27">
        <v>45203.474170949077</v>
      </c>
      <c r="B1138" s="28" t="s">
        <v>37</v>
      </c>
      <c r="C1138" s="41" t="s">
        <v>118</v>
      </c>
      <c r="D1138" s="26" t="s">
        <v>36</v>
      </c>
      <c r="E1138" s="26" t="s">
        <v>77</v>
      </c>
      <c r="F1138" s="26" t="s">
        <v>307</v>
      </c>
      <c r="G1138" s="26" t="s">
        <v>41</v>
      </c>
      <c r="H1138" s="26" t="s">
        <v>2967</v>
      </c>
      <c r="I1138" s="17">
        <f ca="1">IFERROR(__xludf.DUMMYFUNCTION("""COMPUTED_VALUE"""),45209)</f>
        <v>45209</v>
      </c>
      <c r="J1138" s="29" t="s">
        <v>5224</v>
      </c>
      <c r="K1138" s="26" t="s">
        <v>5225</v>
      </c>
      <c r="L1138" s="30">
        <v>866068056</v>
      </c>
      <c r="M1138" s="26" t="s">
        <v>123</v>
      </c>
      <c r="N1138" s="26" t="s">
        <v>850</v>
      </c>
      <c r="O1138" s="26" t="s">
        <v>1226</v>
      </c>
      <c r="P1138" s="26" t="s">
        <v>3153</v>
      </c>
      <c r="Q1138" s="20">
        <v>1968</v>
      </c>
      <c r="R1138" s="26" t="s">
        <v>36</v>
      </c>
      <c r="S1138" s="31">
        <v>2000</v>
      </c>
      <c r="T1138" s="32">
        <v>45202</v>
      </c>
      <c r="U1138" s="31"/>
      <c r="V1138" s="26"/>
      <c r="W1138" s="33" t="s">
        <v>5226</v>
      </c>
      <c r="X1138" s="26"/>
      <c r="Y1138" s="22">
        <v>-32</v>
      </c>
      <c r="Z1138" s="26" t="s">
        <v>50</v>
      </c>
      <c r="AA1138" s="19" t="s">
        <v>5112</v>
      </c>
      <c r="AB1138" s="26" t="s">
        <v>104</v>
      </c>
      <c r="AC1138" s="26" t="s">
        <v>53</v>
      </c>
      <c r="AD1138" s="19" t="s">
        <v>138</v>
      </c>
      <c r="AE1138" s="26"/>
      <c r="AF1138" s="17">
        <v>44114</v>
      </c>
      <c r="AG1138" s="26" t="s">
        <v>5191</v>
      </c>
      <c r="AH1138" s="44" t="s">
        <v>5227</v>
      </c>
      <c r="AI1138" s="40" t="s">
        <v>84</v>
      </c>
      <c r="AJ1138" s="26"/>
      <c r="AK1138" s="26"/>
      <c r="AL1138" s="35"/>
      <c r="AM1138" s="35"/>
      <c r="AN1138" s="35"/>
      <c r="AO1138" s="35"/>
      <c r="AP1138" s="35"/>
    </row>
    <row r="1139" spans="1:42" x14ac:dyDescent="0.2">
      <c r="A1139" s="27">
        <v>45203.838643912037</v>
      </c>
      <c r="B1139" s="28" t="s">
        <v>37</v>
      </c>
      <c r="C1139" s="41" t="s">
        <v>118</v>
      </c>
      <c r="D1139" s="26" t="s">
        <v>36</v>
      </c>
      <c r="E1139" s="26" t="s">
        <v>139</v>
      </c>
      <c r="F1139" s="26" t="s">
        <v>36</v>
      </c>
      <c r="G1139" s="26" t="s">
        <v>41</v>
      </c>
      <c r="H1139" s="26" t="s">
        <v>3899</v>
      </c>
      <c r="I1139" s="17">
        <f ca="1">IFERROR(__xludf.DUMMYFUNCTION("""COMPUTED_VALUE"""),45215)</f>
        <v>45215</v>
      </c>
      <c r="J1139" s="29" t="s">
        <v>5228</v>
      </c>
      <c r="K1139" s="26" t="s">
        <v>5229</v>
      </c>
      <c r="L1139" s="30">
        <v>368685906</v>
      </c>
      <c r="M1139" s="26" t="s">
        <v>80</v>
      </c>
      <c r="N1139" s="26" t="s">
        <v>299</v>
      </c>
      <c r="O1139" s="26" t="s">
        <v>5230</v>
      </c>
      <c r="P1139" s="42" t="s">
        <v>5231</v>
      </c>
      <c r="Q1139" s="20">
        <v>15936</v>
      </c>
      <c r="R1139" s="26" t="s">
        <v>36</v>
      </c>
      <c r="S1139" s="31">
        <v>2000</v>
      </c>
      <c r="T1139" s="32">
        <v>45202</v>
      </c>
      <c r="U1139" s="31">
        <v>13936</v>
      </c>
      <c r="V1139" s="32">
        <v>45232</v>
      </c>
      <c r="W1139" s="33" t="s">
        <v>5232</v>
      </c>
      <c r="X1139" s="26"/>
      <c r="Y1139" s="22">
        <v>0</v>
      </c>
      <c r="Z1139" s="26" t="s">
        <v>50</v>
      </c>
      <c r="AA1139" s="19" t="s">
        <v>5112</v>
      </c>
      <c r="AB1139" s="26" t="s">
        <v>104</v>
      </c>
      <c r="AC1139" s="26" t="s">
        <v>53</v>
      </c>
      <c r="AD1139" s="19" t="s">
        <v>138</v>
      </c>
      <c r="AE1139" s="26">
        <v>0</v>
      </c>
      <c r="AF1139" s="17">
        <v>45215</v>
      </c>
      <c r="AG1139" s="26" t="s">
        <v>1631</v>
      </c>
      <c r="AH1139" s="26"/>
      <c r="AI1139" s="40" t="s">
        <v>147</v>
      </c>
      <c r="AJ1139" s="26"/>
      <c r="AK1139" s="26"/>
      <c r="AL1139" s="35"/>
      <c r="AM1139" s="35"/>
      <c r="AN1139" s="35"/>
      <c r="AO1139" s="35"/>
      <c r="AP1139" s="35"/>
    </row>
    <row r="1140" spans="1:42" x14ac:dyDescent="0.2">
      <c r="A1140" s="27">
        <v>45204.478381701389</v>
      </c>
      <c r="B1140" s="28" t="s">
        <v>37</v>
      </c>
      <c r="C1140" s="41" t="s">
        <v>118</v>
      </c>
      <c r="D1140" s="26" t="s">
        <v>36</v>
      </c>
      <c r="E1140" s="26" t="s">
        <v>139</v>
      </c>
      <c r="F1140" s="26" t="s">
        <v>36</v>
      </c>
      <c r="G1140" s="26" t="s">
        <v>41</v>
      </c>
      <c r="H1140" s="26" t="s">
        <v>3090</v>
      </c>
      <c r="I1140" s="17">
        <f ca="1">IFERROR(__xludf.DUMMYFUNCTION("""COMPUTED_VALUE"""),45215)</f>
        <v>45215</v>
      </c>
      <c r="J1140" s="29" t="s">
        <v>5233</v>
      </c>
      <c r="K1140" s="26" t="s">
        <v>5234</v>
      </c>
      <c r="L1140" s="30">
        <v>859088883</v>
      </c>
      <c r="M1140" s="26" t="s">
        <v>80</v>
      </c>
      <c r="N1140" s="26" t="s">
        <v>299</v>
      </c>
      <c r="O1140" s="26" t="s">
        <v>5235</v>
      </c>
      <c r="P1140" s="26" t="s">
        <v>5236</v>
      </c>
      <c r="Q1140" s="20">
        <v>15936</v>
      </c>
      <c r="R1140" s="26" t="s">
        <v>36</v>
      </c>
      <c r="S1140" s="31">
        <v>2000</v>
      </c>
      <c r="T1140" s="32">
        <v>45204</v>
      </c>
      <c r="U1140" s="31">
        <v>13936</v>
      </c>
      <c r="V1140" s="32">
        <v>45246</v>
      </c>
      <c r="W1140" s="33" t="s">
        <v>5237</v>
      </c>
      <c r="X1140" s="26"/>
      <c r="Y1140" s="22">
        <v>0</v>
      </c>
      <c r="Z1140" s="26" t="s">
        <v>50</v>
      </c>
      <c r="AA1140" s="19" t="s">
        <v>5112</v>
      </c>
      <c r="AB1140" s="26" t="s">
        <v>104</v>
      </c>
      <c r="AC1140" s="26" t="s">
        <v>53</v>
      </c>
      <c r="AD1140" s="19" t="s">
        <v>54</v>
      </c>
      <c r="AE1140" s="26">
        <v>0</v>
      </c>
      <c r="AF1140" s="17">
        <v>45205</v>
      </c>
      <c r="AG1140" s="26"/>
      <c r="AH1140" s="26"/>
      <c r="AI1140" s="40" t="s">
        <v>147</v>
      </c>
      <c r="AJ1140" s="26"/>
      <c r="AK1140" s="26"/>
      <c r="AL1140" s="35"/>
      <c r="AM1140" s="35"/>
      <c r="AN1140" s="35"/>
      <c r="AO1140" s="35"/>
      <c r="AP1140" s="35"/>
    </row>
    <row r="1141" spans="1:42" x14ac:dyDescent="0.2">
      <c r="A1141" s="27">
        <v>45205.679016655093</v>
      </c>
      <c r="B1141" s="28" t="s">
        <v>37</v>
      </c>
      <c r="C1141" s="41" t="s">
        <v>118</v>
      </c>
      <c r="D1141" s="26" t="s">
        <v>36</v>
      </c>
      <c r="E1141" s="26" t="s">
        <v>139</v>
      </c>
      <c r="F1141" s="26" t="s">
        <v>307</v>
      </c>
      <c r="G1141" s="26" t="s">
        <v>41</v>
      </c>
      <c r="H1141" s="26" t="s">
        <v>3090</v>
      </c>
      <c r="I1141" s="17">
        <f ca="1">IFERROR(__xludf.DUMMYFUNCTION("""COMPUTED_VALUE"""),45215)</f>
        <v>45215</v>
      </c>
      <c r="J1141" s="29" t="s">
        <v>5238</v>
      </c>
      <c r="K1141" s="26" t="s">
        <v>5239</v>
      </c>
      <c r="L1141" s="30">
        <v>965991652</v>
      </c>
      <c r="M1141" s="26" t="s">
        <v>123</v>
      </c>
      <c r="N1141" s="26" t="s">
        <v>850</v>
      </c>
      <c r="O1141" s="26" t="s">
        <v>1226</v>
      </c>
      <c r="P1141" s="26" t="s">
        <v>3056</v>
      </c>
      <c r="Q1141" s="20">
        <v>15936</v>
      </c>
      <c r="R1141" s="26" t="s">
        <v>36</v>
      </c>
      <c r="S1141" s="31">
        <v>4000</v>
      </c>
      <c r="T1141" s="32">
        <v>45204</v>
      </c>
      <c r="U1141" s="31">
        <v>11936</v>
      </c>
      <c r="V1141" s="32">
        <v>45231</v>
      </c>
      <c r="W1141" s="33" t="s">
        <v>5240</v>
      </c>
      <c r="X1141" s="26"/>
      <c r="Y1141" s="22">
        <v>0</v>
      </c>
      <c r="Z1141" s="26" t="s">
        <v>50</v>
      </c>
      <c r="AA1141" s="19" t="s">
        <v>5112</v>
      </c>
      <c r="AB1141" s="26" t="s">
        <v>104</v>
      </c>
      <c r="AC1141" s="26" t="s">
        <v>53</v>
      </c>
      <c r="AD1141" s="19" t="s">
        <v>138</v>
      </c>
      <c r="AE1141" s="26"/>
      <c r="AF1141" s="17">
        <v>45208</v>
      </c>
      <c r="AG1141" s="26"/>
      <c r="AH1141" s="26"/>
      <c r="AI1141" s="40" t="s">
        <v>147</v>
      </c>
      <c r="AJ1141" s="26"/>
      <c r="AK1141" s="26"/>
      <c r="AL1141" s="35"/>
      <c r="AM1141" s="35"/>
      <c r="AN1141" s="35"/>
      <c r="AO1141" s="35"/>
      <c r="AP1141" s="35"/>
    </row>
    <row r="1142" spans="1:42" x14ac:dyDescent="0.2">
      <c r="A1142" s="27">
        <v>45205.680653784722</v>
      </c>
      <c r="B1142" s="28" t="s">
        <v>37</v>
      </c>
      <c r="C1142" s="41" t="s">
        <v>118</v>
      </c>
      <c r="D1142" s="26" t="s">
        <v>36</v>
      </c>
      <c r="E1142" s="26" t="s">
        <v>119</v>
      </c>
      <c r="F1142" s="26" t="s">
        <v>91</v>
      </c>
      <c r="G1142" s="26" t="s">
        <v>108</v>
      </c>
      <c r="H1142" s="26" t="s">
        <v>1853</v>
      </c>
      <c r="I1142" s="17">
        <f ca="1">IFERROR(__xludf.DUMMYFUNCTION("""COMPUTED_VALUE"""),45229)</f>
        <v>45229</v>
      </c>
      <c r="J1142" s="29" t="s">
        <v>5241</v>
      </c>
      <c r="K1142" s="19" t="s">
        <v>5242</v>
      </c>
      <c r="L1142" s="30">
        <v>973536255</v>
      </c>
      <c r="M1142" s="26" t="s">
        <v>123</v>
      </c>
      <c r="N1142" s="26" t="s">
        <v>186</v>
      </c>
      <c r="O1142" s="26" t="s">
        <v>1226</v>
      </c>
      <c r="P1142" s="26" t="s">
        <v>3056</v>
      </c>
      <c r="Q1142" s="20">
        <v>13968</v>
      </c>
      <c r="R1142" s="26" t="s">
        <v>36</v>
      </c>
      <c r="S1142" s="31">
        <v>4000</v>
      </c>
      <c r="T1142" s="32">
        <v>45204</v>
      </c>
      <c r="U1142" s="58">
        <v>9868</v>
      </c>
      <c r="V1142" s="59">
        <v>45247</v>
      </c>
      <c r="W1142" s="33" t="s">
        <v>5243</v>
      </c>
      <c r="X1142" s="26"/>
      <c r="Y1142" s="22">
        <v>100</v>
      </c>
      <c r="Z1142" s="26" t="s">
        <v>50</v>
      </c>
      <c r="AA1142" s="19" t="s">
        <v>5112</v>
      </c>
      <c r="AB1142" s="26" t="s">
        <v>154</v>
      </c>
      <c r="AC1142" s="26" t="s">
        <v>53</v>
      </c>
      <c r="AD1142" s="19" t="s">
        <v>138</v>
      </c>
      <c r="AE1142" s="26"/>
      <c r="AF1142" s="17">
        <v>45229</v>
      </c>
      <c r="AG1142" s="26" t="s">
        <v>1631</v>
      </c>
      <c r="AH1142" s="26"/>
      <c r="AI1142" s="40">
        <v>4</v>
      </c>
      <c r="AJ1142" s="26"/>
      <c r="AK1142" s="26"/>
      <c r="AL1142" s="35"/>
      <c r="AM1142" s="35"/>
      <c r="AN1142" s="35"/>
      <c r="AO1142" s="35"/>
      <c r="AP1142" s="35"/>
    </row>
    <row r="1143" spans="1:42" x14ac:dyDescent="0.2">
      <c r="A1143" s="27">
        <v>45205.701498935188</v>
      </c>
      <c r="B1143" s="28" t="s">
        <v>37</v>
      </c>
      <c r="C1143" s="41" t="s">
        <v>118</v>
      </c>
      <c r="D1143" s="26" t="s">
        <v>36</v>
      </c>
      <c r="E1143" s="26" t="s">
        <v>139</v>
      </c>
      <c r="F1143" s="26" t="s">
        <v>36</v>
      </c>
      <c r="G1143" s="26" t="s">
        <v>41</v>
      </c>
      <c r="H1143" s="26" t="s">
        <v>423</v>
      </c>
      <c r="I1143" s="17">
        <f ca="1">IFERROR(__xludf.DUMMYFUNCTION("""COMPUTED_VALUE"""),45225)</f>
        <v>45225</v>
      </c>
      <c r="J1143" s="29" t="s">
        <v>5244</v>
      </c>
      <c r="K1143" s="26" t="s">
        <v>5245</v>
      </c>
      <c r="L1143" s="30">
        <v>386723413</v>
      </c>
      <c r="M1143" s="26" t="s">
        <v>80</v>
      </c>
      <c r="N1143" s="26" t="s">
        <v>1073</v>
      </c>
      <c r="O1143" s="26" t="s">
        <v>5246</v>
      </c>
      <c r="P1143" s="26" t="s">
        <v>5247</v>
      </c>
      <c r="Q1143" s="20">
        <v>15936</v>
      </c>
      <c r="R1143" s="26" t="s">
        <v>36</v>
      </c>
      <c r="S1143" s="31">
        <v>200</v>
      </c>
      <c r="T1143" s="32">
        <v>45205</v>
      </c>
      <c r="U1143" s="31">
        <f>1800+13936</f>
        <v>15736</v>
      </c>
      <c r="V1143" s="26" t="s">
        <v>5248</v>
      </c>
      <c r="W1143" s="33" t="s">
        <v>5249</v>
      </c>
      <c r="X1143" s="26"/>
      <c r="Y1143" s="22">
        <v>0</v>
      </c>
      <c r="Z1143" s="26" t="s">
        <v>50</v>
      </c>
      <c r="AA1143" s="19" t="s">
        <v>5112</v>
      </c>
      <c r="AB1143" s="26" t="s">
        <v>104</v>
      </c>
      <c r="AC1143" s="26" t="s">
        <v>53</v>
      </c>
      <c r="AD1143" s="19" t="s">
        <v>54</v>
      </c>
      <c r="AE1143" s="26">
        <v>0</v>
      </c>
      <c r="AF1143" s="17">
        <v>45208</v>
      </c>
      <c r="AG1143" s="26" t="s">
        <v>5250</v>
      </c>
      <c r="AH1143" s="26"/>
      <c r="AI1143" s="40" t="s">
        <v>147</v>
      </c>
      <c r="AJ1143" s="26"/>
      <c r="AK1143" s="26"/>
      <c r="AL1143" s="35"/>
      <c r="AM1143" s="35"/>
      <c r="AN1143" s="35"/>
      <c r="AO1143" s="35"/>
      <c r="AP1143" s="35"/>
    </row>
    <row r="1144" spans="1:42" x14ac:dyDescent="0.2">
      <c r="A1144" s="27">
        <v>45205.703981631945</v>
      </c>
      <c r="B1144" s="28" t="s">
        <v>37</v>
      </c>
      <c r="C1144" s="41" t="s">
        <v>118</v>
      </c>
      <c r="D1144" s="26" t="s">
        <v>36</v>
      </c>
      <c r="E1144" s="26" t="s">
        <v>915</v>
      </c>
      <c r="F1144" s="26" t="s">
        <v>36</v>
      </c>
      <c r="G1144" s="26" t="s">
        <v>221</v>
      </c>
      <c r="H1144" s="26" t="s">
        <v>2121</v>
      </c>
      <c r="I1144" s="17">
        <f ca="1">IFERROR(__xludf.DUMMYFUNCTION("""COMPUTED_VALUE"""),45230)</f>
        <v>45230</v>
      </c>
      <c r="J1144" s="29" t="s">
        <v>5251</v>
      </c>
      <c r="K1144" s="26" t="s">
        <v>5252</v>
      </c>
      <c r="L1144" s="30">
        <v>972881842</v>
      </c>
      <c r="M1144" s="26" t="s">
        <v>80</v>
      </c>
      <c r="N1144" s="26" t="s">
        <v>186</v>
      </c>
      <c r="O1144" s="26" t="s">
        <v>5253</v>
      </c>
      <c r="P1144" s="26" t="s">
        <v>5254</v>
      </c>
      <c r="Q1144" s="20">
        <v>10894</v>
      </c>
      <c r="R1144" s="26" t="s">
        <v>36</v>
      </c>
      <c r="S1144" s="31">
        <v>100</v>
      </c>
      <c r="T1144" s="32">
        <v>45205</v>
      </c>
      <c r="U1144" s="31">
        <f>4000+6794</f>
        <v>10794</v>
      </c>
      <c r="V1144" s="26" t="s">
        <v>5255</v>
      </c>
      <c r="W1144" s="33" t="s">
        <v>5256</v>
      </c>
      <c r="X1144" s="26"/>
      <c r="Y1144" s="22">
        <v>0</v>
      </c>
      <c r="Z1144" s="26" t="s">
        <v>50</v>
      </c>
      <c r="AA1144" s="19" t="s">
        <v>5112</v>
      </c>
      <c r="AB1144" s="26" t="s">
        <v>104</v>
      </c>
      <c r="AC1144" s="26" t="s">
        <v>53</v>
      </c>
      <c r="AD1144" s="19" t="s">
        <v>54</v>
      </c>
      <c r="AE1144" s="26">
        <v>660</v>
      </c>
      <c r="AF1144" s="17">
        <v>45224</v>
      </c>
      <c r="AG1144" s="26" t="s">
        <v>5257</v>
      </c>
      <c r="AH1144" s="26"/>
      <c r="AI1144" s="40">
        <v>3</v>
      </c>
      <c r="AJ1144" s="26"/>
      <c r="AK1144" s="26"/>
      <c r="AL1144" s="35"/>
      <c r="AM1144" s="35"/>
      <c r="AN1144" s="35"/>
      <c r="AO1144" s="35"/>
      <c r="AP1144" s="35"/>
    </row>
    <row r="1145" spans="1:42" x14ac:dyDescent="0.2">
      <c r="A1145" s="27">
        <v>45205.707125740737</v>
      </c>
      <c r="B1145" s="28" t="s">
        <v>37</v>
      </c>
      <c r="C1145" s="41" t="s">
        <v>118</v>
      </c>
      <c r="D1145" s="26" t="s">
        <v>36</v>
      </c>
      <c r="E1145" s="26" t="s">
        <v>119</v>
      </c>
      <c r="F1145" s="26" t="s">
        <v>36</v>
      </c>
      <c r="G1145" s="26" t="s">
        <v>108</v>
      </c>
      <c r="H1145" s="26" t="s">
        <v>3238</v>
      </c>
      <c r="I1145" s="17">
        <f ca="1">IFERROR(__xludf.DUMMYFUNCTION("""COMPUTED_VALUE"""),45216)</f>
        <v>45216</v>
      </c>
      <c r="J1145" s="29" t="s">
        <v>5258</v>
      </c>
      <c r="K1145" s="26" t="s">
        <v>5259</v>
      </c>
      <c r="L1145" s="30">
        <v>966620605</v>
      </c>
      <c r="M1145" s="26" t="s">
        <v>80</v>
      </c>
      <c r="N1145" s="26" t="s">
        <v>253</v>
      </c>
      <c r="O1145" s="26" t="s">
        <v>1492</v>
      </c>
      <c r="P1145" s="26" t="s">
        <v>2641</v>
      </c>
      <c r="Q1145" s="20">
        <v>13968</v>
      </c>
      <c r="R1145" s="26" t="s">
        <v>36</v>
      </c>
      <c r="S1145" s="31">
        <v>200</v>
      </c>
      <c r="T1145" s="32">
        <v>45202</v>
      </c>
      <c r="U1145" s="31">
        <f>3800 +9968</f>
        <v>13768</v>
      </c>
      <c r="V1145" s="26" t="s">
        <v>5260</v>
      </c>
      <c r="W1145" s="33" t="s">
        <v>5261</v>
      </c>
      <c r="X1145" s="26"/>
      <c r="Y1145" s="22">
        <v>0</v>
      </c>
      <c r="Z1145" s="26" t="s">
        <v>50</v>
      </c>
      <c r="AA1145" s="19" t="s">
        <v>5112</v>
      </c>
      <c r="AB1145" s="26" t="s">
        <v>137</v>
      </c>
      <c r="AC1145" s="26" t="s">
        <v>53</v>
      </c>
      <c r="AD1145" s="19" t="s">
        <v>138</v>
      </c>
      <c r="AE1145" s="26">
        <v>430</v>
      </c>
      <c r="AF1145" s="43">
        <v>45216</v>
      </c>
      <c r="AG1145" s="26" t="s">
        <v>1631</v>
      </c>
      <c r="AH1145" s="26"/>
      <c r="AI1145" s="40">
        <v>4</v>
      </c>
      <c r="AJ1145" s="26"/>
      <c r="AK1145" s="26"/>
      <c r="AL1145" s="35"/>
      <c r="AM1145" s="35"/>
      <c r="AN1145" s="35"/>
      <c r="AO1145" s="35"/>
      <c r="AP1145" s="35"/>
    </row>
    <row r="1146" spans="1:42" x14ac:dyDescent="0.2">
      <c r="A1146" s="27">
        <v>45188.744477627319</v>
      </c>
      <c r="B1146" s="68" t="s">
        <v>37</v>
      </c>
      <c r="C1146" s="41" t="s">
        <v>118</v>
      </c>
      <c r="D1146" s="26" t="s">
        <v>36</v>
      </c>
      <c r="E1146" s="26" t="s">
        <v>56</v>
      </c>
      <c r="F1146" s="26" t="s">
        <v>36</v>
      </c>
      <c r="G1146" s="26" t="s">
        <v>41</v>
      </c>
      <c r="H1146" s="26" t="s">
        <v>3899</v>
      </c>
      <c r="I1146" s="17">
        <f ca="1">IFERROR(__xludf.DUMMYFUNCTION("""COMPUTED_VALUE"""),45215)</f>
        <v>45215</v>
      </c>
      <c r="J1146" s="29" t="s">
        <v>5262</v>
      </c>
      <c r="K1146" s="26" t="s">
        <v>5263</v>
      </c>
      <c r="L1146" s="30">
        <v>522684125</v>
      </c>
      <c r="M1146" s="26" t="s">
        <v>80</v>
      </c>
      <c r="N1146" s="26" t="s">
        <v>81</v>
      </c>
      <c r="O1146" s="26" t="s">
        <v>5264</v>
      </c>
      <c r="P1146" s="26" t="s">
        <v>2641</v>
      </c>
      <c r="Q1146" s="20">
        <v>9317</v>
      </c>
      <c r="R1146" s="26" t="s">
        <v>36</v>
      </c>
      <c r="S1146" s="31">
        <v>2000</v>
      </c>
      <c r="T1146" s="32">
        <v>45188</v>
      </c>
      <c r="U1146" s="31">
        <v>7317</v>
      </c>
      <c r="V1146" s="32">
        <v>45243</v>
      </c>
      <c r="W1146" s="33" t="s">
        <v>5265</v>
      </c>
      <c r="X1146" s="26"/>
      <c r="Y1146" s="22">
        <v>0</v>
      </c>
      <c r="Z1146" s="26" t="s">
        <v>50</v>
      </c>
      <c r="AA1146" s="19" t="s">
        <v>5112</v>
      </c>
      <c r="AB1146" s="26" t="s">
        <v>104</v>
      </c>
      <c r="AC1146" s="26" t="s">
        <v>53</v>
      </c>
      <c r="AD1146" s="19" t="s">
        <v>138</v>
      </c>
      <c r="AE1146" s="26">
        <v>0</v>
      </c>
      <c r="AF1146" s="17">
        <v>45200</v>
      </c>
      <c r="AG1146" s="72" t="s">
        <v>5266</v>
      </c>
      <c r="AH1146" s="26"/>
      <c r="AI1146" s="40" t="s">
        <v>64</v>
      </c>
      <c r="AJ1146" s="26"/>
      <c r="AK1146" s="26"/>
      <c r="AL1146" s="35"/>
      <c r="AM1146" s="35"/>
      <c r="AN1146" s="35"/>
      <c r="AO1146" s="35"/>
      <c r="AP1146" s="35"/>
    </row>
    <row r="1147" spans="1:42" x14ac:dyDescent="0.2">
      <c r="A1147" s="27">
        <v>45206.920664131947</v>
      </c>
      <c r="B1147" s="28" t="s">
        <v>37</v>
      </c>
      <c r="C1147" s="41" t="s">
        <v>118</v>
      </c>
      <c r="D1147" s="26" t="s">
        <v>36</v>
      </c>
      <c r="E1147" s="26" t="s">
        <v>139</v>
      </c>
      <c r="F1147" s="26" t="s">
        <v>91</v>
      </c>
      <c r="G1147" s="26" t="s">
        <v>41</v>
      </c>
      <c r="H1147" s="26" t="s">
        <v>3090</v>
      </c>
      <c r="I1147" s="17">
        <f ca="1">IFERROR(__xludf.DUMMYFUNCTION("""COMPUTED_VALUE"""),45215)</f>
        <v>45215</v>
      </c>
      <c r="J1147" s="29" t="s">
        <v>5267</v>
      </c>
      <c r="K1147" s="26" t="s">
        <v>5268</v>
      </c>
      <c r="L1147" s="30">
        <v>961017134</v>
      </c>
      <c r="M1147" s="26" t="s">
        <v>123</v>
      </c>
      <c r="N1147" s="26" t="s">
        <v>186</v>
      </c>
      <c r="O1147" s="26" t="s">
        <v>1226</v>
      </c>
      <c r="P1147" s="26" t="s">
        <v>5269</v>
      </c>
      <c r="Q1147" s="20">
        <v>15936</v>
      </c>
      <c r="R1147" s="26" t="s">
        <v>36</v>
      </c>
      <c r="S1147" s="31">
        <v>2000</v>
      </c>
      <c r="T1147" s="32">
        <v>45205</v>
      </c>
      <c r="U1147" s="31">
        <v>13936</v>
      </c>
      <c r="V1147" s="32">
        <v>45231</v>
      </c>
      <c r="W1147" s="33" t="s">
        <v>5270</v>
      </c>
      <c r="X1147" s="26"/>
      <c r="Y1147" s="22">
        <v>0</v>
      </c>
      <c r="Z1147" s="26" t="s">
        <v>50</v>
      </c>
      <c r="AA1147" s="19" t="s">
        <v>5112</v>
      </c>
      <c r="AB1147" s="26" t="s">
        <v>104</v>
      </c>
      <c r="AC1147" s="26" t="s">
        <v>53</v>
      </c>
      <c r="AD1147" s="19" t="s">
        <v>54</v>
      </c>
      <c r="AE1147" s="26"/>
      <c r="AF1147" s="17">
        <v>45208</v>
      </c>
      <c r="AG1147" s="26"/>
      <c r="AH1147" s="26"/>
      <c r="AI1147" s="40" t="s">
        <v>147</v>
      </c>
      <c r="AJ1147" s="26"/>
      <c r="AK1147" s="26"/>
      <c r="AL1147" s="35"/>
      <c r="AM1147" s="35"/>
      <c r="AN1147" s="35"/>
      <c r="AO1147" s="35"/>
      <c r="AP1147" s="35"/>
    </row>
    <row r="1148" spans="1:42" x14ac:dyDescent="0.2">
      <c r="A1148" s="27">
        <v>45206.922271319447</v>
      </c>
      <c r="B1148" s="28" t="s">
        <v>37</v>
      </c>
      <c r="C1148" s="41" t="s">
        <v>118</v>
      </c>
      <c r="D1148" s="26" t="s">
        <v>36</v>
      </c>
      <c r="E1148" s="26" t="s">
        <v>139</v>
      </c>
      <c r="F1148" s="26" t="s">
        <v>91</v>
      </c>
      <c r="G1148" s="26" t="s">
        <v>41</v>
      </c>
      <c r="H1148" s="26" t="s">
        <v>3899</v>
      </c>
      <c r="I1148" s="17">
        <f ca="1">IFERROR(__xludf.DUMMYFUNCTION("""COMPUTED_VALUE"""),45215)</f>
        <v>45215</v>
      </c>
      <c r="J1148" s="29" t="s">
        <v>5271</v>
      </c>
      <c r="K1148" s="26" t="s">
        <v>5272</v>
      </c>
      <c r="L1148" s="30">
        <v>926502995</v>
      </c>
      <c r="M1148" s="26" t="s">
        <v>123</v>
      </c>
      <c r="N1148" s="26" t="s">
        <v>850</v>
      </c>
      <c r="O1148" s="26" t="s">
        <v>1226</v>
      </c>
      <c r="P1148" s="42" t="s">
        <v>5273</v>
      </c>
      <c r="Q1148" s="20">
        <v>15936</v>
      </c>
      <c r="R1148" s="26" t="s">
        <v>36</v>
      </c>
      <c r="S1148" s="31">
        <v>2000</v>
      </c>
      <c r="T1148" s="32">
        <v>45205</v>
      </c>
      <c r="U1148" s="31">
        <v>13936</v>
      </c>
      <c r="V1148" s="38">
        <v>45231</v>
      </c>
      <c r="W1148" s="33" t="s">
        <v>5274</v>
      </c>
      <c r="X1148" s="26"/>
      <c r="Y1148" s="22">
        <v>0</v>
      </c>
      <c r="Z1148" s="26" t="s">
        <v>50</v>
      </c>
      <c r="AA1148" s="19" t="s">
        <v>5112</v>
      </c>
      <c r="AB1148" s="26" t="s">
        <v>104</v>
      </c>
      <c r="AC1148" s="26" t="s">
        <v>53</v>
      </c>
      <c r="AD1148" s="19" t="s">
        <v>138</v>
      </c>
      <c r="AE1148" s="26"/>
      <c r="AF1148" s="17">
        <v>45215</v>
      </c>
      <c r="AG1148" s="26" t="s">
        <v>1631</v>
      </c>
      <c r="AH1148" s="26"/>
      <c r="AI1148" s="40" t="s">
        <v>147</v>
      </c>
      <c r="AJ1148" s="26"/>
      <c r="AK1148" s="26"/>
      <c r="AL1148" s="35"/>
      <c r="AM1148" s="35"/>
      <c r="AN1148" s="35"/>
      <c r="AO1148" s="35"/>
      <c r="AP1148" s="35"/>
    </row>
    <row r="1149" spans="1:42" x14ac:dyDescent="0.2">
      <c r="A1149" s="27">
        <v>45207.85871</v>
      </c>
      <c r="B1149" s="28" t="s">
        <v>37</v>
      </c>
      <c r="C1149" s="41" t="s">
        <v>118</v>
      </c>
      <c r="D1149" s="26" t="s">
        <v>36</v>
      </c>
      <c r="E1149" s="26" t="s">
        <v>148</v>
      </c>
      <c r="F1149" s="26" t="s">
        <v>36</v>
      </c>
      <c r="G1149" s="26" t="s">
        <v>108</v>
      </c>
      <c r="H1149" s="26" t="s">
        <v>3238</v>
      </c>
      <c r="I1149" s="17">
        <f ca="1">IFERROR(__xludf.DUMMYFUNCTION("""COMPUTED_VALUE"""),45216)</f>
        <v>45216</v>
      </c>
      <c r="J1149" s="29" t="s">
        <v>5275</v>
      </c>
      <c r="K1149" s="26" t="s">
        <v>5276</v>
      </c>
      <c r="L1149" s="30">
        <v>562136391</v>
      </c>
      <c r="M1149" s="26" t="s">
        <v>3728</v>
      </c>
      <c r="N1149" s="26" t="s">
        <v>5277</v>
      </c>
      <c r="O1149" s="26" t="s">
        <v>5278</v>
      </c>
      <c r="P1149" s="26" t="s">
        <v>138</v>
      </c>
      <c r="Q1149" s="20">
        <v>7349</v>
      </c>
      <c r="R1149" s="26" t="s">
        <v>36</v>
      </c>
      <c r="S1149" s="31">
        <v>3800</v>
      </c>
      <c r="T1149" s="32">
        <v>45206</v>
      </c>
      <c r="U1149" s="31">
        <v>3550</v>
      </c>
      <c r="V1149" s="32">
        <v>45233</v>
      </c>
      <c r="W1149" s="33" t="s">
        <v>5279</v>
      </c>
      <c r="X1149" s="26"/>
      <c r="Y1149" s="22">
        <v>-1</v>
      </c>
      <c r="Z1149" s="26" t="s">
        <v>50</v>
      </c>
      <c r="AA1149" s="19" t="s">
        <v>5112</v>
      </c>
      <c r="AB1149" s="26" t="s">
        <v>137</v>
      </c>
      <c r="AC1149" s="26" t="s">
        <v>53</v>
      </c>
      <c r="AD1149" s="19" t="s">
        <v>138</v>
      </c>
      <c r="AE1149" s="26">
        <v>480</v>
      </c>
      <c r="AF1149" s="43">
        <v>45216</v>
      </c>
      <c r="AG1149" s="26" t="s">
        <v>1631</v>
      </c>
      <c r="AH1149" s="26"/>
      <c r="AI1149" s="40">
        <v>2</v>
      </c>
      <c r="AJ1149" s="26"/>
      <c r="AK1149" s="26"/>
      <c r="AL1149" s="35"/>
      <c r="AM1149" s="35"/>
      <c r="AN1149" s="35"/>
      <c r="AO1149" s="35"/>
      <c r="AP1149" s="35"/>
    </row>
    <row r="1150" spans="1:42" x14ac:dyDescent="0.2">
      <c r="A1150" s="27">
        <v>45207.89931508102</v>
      </c>
      <c r="B1150" s="28" t="s">
        <v>37</v>
      </c>
      <c r="C1150" s="41" t="s">
        <v>118</v>
      </c>
      <c r="D1150" s="26" t="s">
        <v>36</v>
      </c>
      <c r="E1150" s="26" t="s">
        <v>139</v>
      </c>
      <c r="F1150" s="26" t="s">
        <v>36</v>
      </c>
      <c r="G1150" s="26" t="s">
        <v>41</v>
      </c>
      <c r="H1150" s="26" t="s">
        <v>3899</v>
      </c>
      <c r="I1150" s="17">
        <f ca="1">IFERROR(__xludf.DUMMYFUNCTION("""COMPUTED_VALUE"""),45215)</f>
        <v>45215</v>
      </c>
      <c r="J1150" s="29" t="s">
        <v>5280</v>
      </c>
      <c r="K1150" s="26" t="s">
        <v>5281</v>
      </c>
      <c r="L1150" s="30">
        <v>379911659</v>
      </c>
      <c r="M1150" s="26" t="s">
        <v>3498</v>
      </c>
      <c r="N1150" s="26" t="s">
        <v>2756</v>
      </c>
      <c r="O1150" s="26" t="s">
        <v>1226</v>
      </c>
      <c r="P1150" s="26" t="s">
        <v>3153</v>
      </c>
      <c r="Q1150" s="20">
        <v>15936</v>
      </c>
      <c r="R1150" s="26" t="s">
        <v>70</v>
      </c>
      <c r="S1150" s="31">
        <v>500</v>
      </c>
      <c r="T1150" s="32">
        <v>45207</v>
      </c>
      <c r="U1150" s="58">
        <f>1500+13936</f>
        <v>15436</v>
      </c>
      <c r="V1150" s="35" t="s">
        <v>5282</v>
      </c>
      <c r="W1150" s="33" t="s">
        <v>5283</v>
      </c>
      <c r="X1150" s="26"/>
      <c r="Y1150" s="22">
        <v>0</v>
      </c>
      <c r="Z1150" s="26" t="s">
        <v>50</v>
      </c>
      <c r="AA1150" s="19" t="s">
        <v>5112</v>
      </c>
      <c r="AB1150" s="26" t="s">
        <v>104</v>
      </c>
      <c r="AC1150" s="26" t="s">
        <v>53</v>
      </c>
      <c r="AD1150" s="19" t="s">
        <v>138</v>
      </c>
      <c r="AE1150" s="26"/>
      <c r="AF1150" s="17">
        <v>45215</v>
      </c>
      <c r="AG1150" s="26" t="s">
        <v>1631</v>
      </c>
      <c r="AH1150" s="26"/>
      <c r="AI1150" s="40" t="s">
        <v>147</v>
      </c>
      <c r="AJ1150" s="26"/>
      <c r="AK1150" s="26"/>
      <c r="AL1150" s="35"/>
      <c r="AM1150" s="35"/>
      <c r="AN1150" s="35"/>
      <c r="AO1150" s="35"/>
      <c r="AP1150" s="35"/>
    </row>
    <row r="1151" spans="1:42" x14ac:dyDescent="0.2">
      <c r="A1151" s="27">
        <v>45207.904195034724</v>
      </c>
      <c r="B1151" s="28" t="s">
        <v>37</v>
      </c>
      <c r="C1151" s="41" t="s">
        <v>118</v>
      </c>
      <c r="D1151" s="26" t="s">
        <v>36</v>
      </c>
      <c r="E1151" s="26" t="s">
        <v>77</v>
      </c>
      <c r="F1151" s="26" t="s">
        <v>91</v>
      </c>
      <c r="G1151" s="26" t="s">
        <v>41</v>
      </c>
      <c r="H1151" s="26" t="s">
        <v>3899</v>
      </c>
      <c r="I1151" s="17">
        <f ca="1">IFERROR(__xludf.DUMMYFUNCTION("""COMPUTED_VALUE"""),45215)</f>
        <v>45215</v>
      </c>
      <c r="J1151" s="29" t="s">
        <v>5284</v>
      </c>
      <c r="K1151" s="26" t="s">
        <v>5285</v>
      </c>
      <c r="L1151" s="30">
        <v>352120726</v>
      </c>
      <c r="M1151" s="26" t="s">
        <v>2755</v>
      </c>
      <c r="N1151" s="26" t="s">
        <v>2756</v>
      </c>
      <c r="O1151" s="26" t="s">
        <v>1226</v>
      </c>
      <c r="P1151" s="42" t="s">
        <v>5286</v>
      </c>
      <c r="Q1151" s="20">
        <v>1968</v>
      </c>
      <c r="R1151" s="26" t="s">
        <v>36</v>
      </c>
      <c r="S1151" s="31">
        <v>200</v>
      </c>
      <c r="T1151" s="32">
        <v>45204</v>
      </c>
      <c r="U1151" s="31">
        <v>1800</v>
      </c>
      <c r="V1151" s="32">
        <v>45207</v>
      </c>
      <c r="W1151" s="26" t="s">
        <v>5287</v>
      </c>
      <c r="X1151" s="26"/>
      <c r="Y1151" s="22">
        <v>-32</v>
      </c>
      <c r="Z1151" s="26" t="s">
        <v>50</v>
      </c>
      <c r="AA1151" s="19" t="s">
        <v>5112</v>
      </c>
      <c r="AB1151" s="26" t="s">
        <v>104</v>
      </c>
      <c r="AC1151" s="26"/>
      <c r="AD1151" s="19" t="s">
        <v>138</v>
      </c>
      <c r="AE1151" s="26" t="s">
        <v>3586</v>
      </c>
      <c r="AF1151" s="17">
        <v>45215</v>
      </c>
      <c r="AG1151" s="26" t="s">
        <v>1631</v>
      </c>
      <c r="AH1151" s="26"/>
      <c r="AI1151" s="40" t="s">
        <v>84</v>
      </c>
      <c r="AJ1151" s="26"/>
      <c r="AK1151" s="26"/>
      <c r="AL1151" s="35"/>
      <c r="AM1151" s="35"/>
      <c r="AN1151" s="35"/>
      <c r="AO1151" s="35"/>
      <c r="AP1151" s="35"/>
    </row>
    <row r="1152" spans="1:42" x14ac:dyDescent="0.2">
      <c r="A1152" s="27">
        <v>45207.905754560183</v>
      </c>
      <c r="B1152" s="28" t="s">
        <v>37</v>
      </c>
      <c r="C1152" s="41" t="s">
        <v>118</v>
      </c>
      <c r="D1152" s="26" t="s">
        <v>36</v>
      </c>
      <c r="E1152" s="26" t="s">
        <v>139</v>
      </c>
      <c r="F1152" s="26" t="s">
        <v>91</v>
      </c>
      <c r="G1152" s="26" t="s">
        <v>41</v>
      </c>
      <c r="H1152" s="26" t="s">
        <v>4133</v>
      </c>
      <c r="I1152" s="17">
        <f ca="1">IFERROR(__xludf.DUMMYFUNCTION("""COMPUTED_VALUE"""),45231)</f>
        <v>45231</v>
      </c>
      <c r="J1152" s="29" t="s">
        <v>5288</v>
      </c>
      <c r="K1152" s="26" t="s">
        <v>5289</v>
      </c>
      <c r="L1152" s="30">
        <v>368236186</v>
      </c>
      <c r="M1152" s="26" t="s">
        <v>2755</v>
      </c>
      <c r="N1152" s="26" t="s">
        <v>3512</v>
      </c>
      <c r="O1152" s="26" t="s">
        <v>1226</v>
      </c>
      <c r="P1152" s="26" t="s">
        <v>3153</v>
      </c>
      <c r="Q1152" s="20">
        <v>15936</v>
      </c>
      <c r="R1152" s="26" t="s">
        <v>36</v>
      </c>
      <c r="S1152" s="31">
        <v>2000</v>
      </c>
      <c r="T1152" s="32">
        <v>45207</v>
      </c>
      <c r="U1152" s="58">
        <v>13936</v>
      </c>
      <c r="V1152" s="59">
        <v>45251</v>
      </c>
      <c r="W1152" s="33" t="s">
        <v>5290</v>
      </c>
      <c r="X1152" s="26"/>
      <c r="Y1152" s="22">
        <v>0</v>
      </c>
      <c r="Z1152" s="26" t="s">
        <v>50</v>
      </c>
      <c r="AA1152" s="19" t="s">
        <v>5112</v>
      </c>
      <c r="AB1152" s="26" t="s">
        <v>104</v>
      </c>
      <c r="AC1152" s="26" t="s">
        <v>53</v>
      </c>
      <c r="AD1152" s="19" t="s">
        <v>138</v>
      </c>
      <c r="AE1152" s="26" t="s">
        <v>5291</v>
      </c>
      <c r="AF1152" s="17">
        <v>45231</v>
      </c>
      <c r="AG1152" s="26" t="s">
        <v>1631</v>
      </c>
      <c r="AH1152" s="26"/>
      <c r="AI1152" s="40" t="s">
        <v>147</v>
      </c>
      <c r="AJ1152" s="26"/>
      <c r="AK1152" s="26"/>
      <c r="AL1152" s="35"/>
      <c r="AM1152" s="35"/>
      <c r="AN1152" s="35"/>
      <c r="AO1152" s="35"/>
      <c r="AP1152" s="35"/>
    </row>
    <row r="1153" spans="1:42" x14ac:dyDescent="0.2">
      <c r="A1153" s="27">
        <v>45208.788711134257</v>
      </c>
      <c r="B1153" s="28" t="s">
        <v>37</v>
      </c>
      <c r="C1153" s="41" t="s">
        <v>118</v>
      </c>
      <c r="D1153" s="26" t="s">
        <v>36</v>
      </c>
      <c r="E1153" s="26" t="s">
        <v>39</v>
      </c>
      <c r="F1153" s="26" t="s">
        <v>91</v>
      </c>
      <c r="G1153" s="26" t="s">
        <v>41</v>
      </c>
      <c r="H1153" s="26" t="s">
        <v>3198</v>
      </c>
      <c r="I1153" s="17">
        <f ca="1">IFERROR(__xludf.DUMMYFUNCTION("""COMPUTED_VALUE"""),45215)</f>
        <v>45215</v>
      </c>
      <c r="J1153" s="29" t="s">
        <v>5292</v>
      </c>
      <c r="K1153" s="26" t="s">
        <v>5293</v>
      </c>
      <c r="L1153" s="30">
        <v>968063533</v>
      </c>
      <c r="M1153" s="26" t="s">
        <v>123</v>
      </c>
      <c r="N1153" s="26" t="s">
        <v>850</v>
      </c>
      <c r="O1153" s="26" t="s">
        <v>1226</v>
      </c>
      <c r="P1153" s="26" t="s">
        <v>5294</v>
      </c>
      <c r="Q1153" s="20">
        <v>5736</v>
      </c>
      <c r="R1153" s="26" t="s">
        <v>36</v>
      </c>
      <c r="S1153" s="31">
        <v>2000</v>
      </c>
      <c r="T1153" s="32">
        <v>45208</v>
      </c>
      <c r="U1153" s="31">
        <v>3736</v>
      </c>
      <c r="V1153" s="32">
        <v>45231</v>
      </c>
      <c r="W1153" s="33" t="s">
        <v>5295</v>
      </c>
      <c r="X1153" s="26"/>
      <c r="Y1153" s="22">
        <v>0</v>
      </c>
      <c r="Z1153" s="26" t="s">
        <v>50</v>
      </c>
      <c r="AA1153" s="19" t="s">
        <v>5112</v>
      </c>
      <c r="AB1153" s="26" t="s">
        <v>104</v>
      </c>
      <c r="AC1153" s="26" t="s">
        <v>53</v>
      </c>
      <c r="AD1153" s="19" t="s">
        <v>54</v>
      </c>
      <c r="AE1153" s="26"/>
      <c r="AF1153" s="17">
        <v>45211</v>
      </c>
      <c r="AG1153" s="26"/>
      <c r="AH1153" s="26"/>
      <c r="AI1153" s="40" t="s">
        <v>55</v>
      </c>
      <c r="AJ1153" s="26"/>
      <c r="AK1153" s="26"/>
      <c r="AL1153" s="35"/>
      <c r="AM1153" s="35"/>
      <c r="AN1153" s="35"/>
      <c r="AO1153" s="35"/>
      <c r="AP1153" s="35"/>
    </row>
    <row r="1154" spans="1:42" x14ac:dyDescent="0.2">
      <c r="A1154" s="27">
        <v>45209.457667349532</v>
      </c>
      <c r="B1154" s="28" t="s">
        <v>37</v>
      </c>
      <c r="C1154" s="41" t="s">
        <v>118</v>
      </c>
      <c r="D1154" s="26" t="s">
        <v>36</v>
      </c>
      <c r="E1154" s="26" t="s">
        <v>119</v>
      </c>
      <c r="F1154" s="26" t="s">
        <v>36</v>
      </c>
      <c r="G1154" s="26" t="s">
        <v>108</v>
      </c>
      <c r="H1154" s="26" t="s">
        <v>3238</v>
      </c>
      <c r="I1154" s="17">
        <f ca="1">IFERROR(__xludf.DUMMYFUNCTION("""COMPUTED_VALUE"""),45216)</f>
        <v>45216</v>
      </c>
      <c r="J1154" s="29" t="s">
        <v>5296</v>
      </c>
      <c r="K1154" s="26" t="s">
        <v>5297</v>
      </c>
      <c r="L1154" s="30">
        <v>373027421</v>
      </c>
      <c r="M1154" s="26" t="s">
        <v>80</v>
      </c>
      <c r="N1154" s="26" t="s">
        <v>253</v>
      </c>
      <c r="O1154" s="26" t="s">
        <v>5298</v>
      </c>
      <c r="P1154" s="26" t="s">
        <v>3178</v>
      </c>
      <c r="Q1154" s="20">
        <v>13968</v>
      </c>
      <c r="R1154" s="26" t="s">
        <v>36</v>
      </c>
      <c r="S1154" s="31">
        <v>4000</v>
      </c>
      <c r="T1154" s="32">
        <v>45208</v>
      </c>
      <c r="U1154" s="31">
        <v>9968</v>
      </c>
      <c r="V1154" s="32">
        <v>45232</v>
      </c>
      <c r="W1154" s="33" t="s">
        <v>5299</v>
      </c>
      <c r="X1154" s="26"/>
      <c r="Y1154" s="22">
        <v>0</v>
      </c>
      <c r="Z1154" s="26" t="s">
        <v>50</v>
      </c>
      <c r="AA1154" s="19" t="s">
        <v>5112</v>
      </c>
      <c r="AB1154" s="26" t="s">
        <v>128</v>
      </c>
      <c r="AC1154" s="26" t="s">
        <v>53</v>
      </c>
      <c r="AD1154" s="19" t="s">
        <v>138</v>
      </c>
      <c r="AE1154" s="26">
        <v>400</v>
      </c>
      <c r="AF1154" s="43">
        <v>45216</v>
      </c>
      <c r="AG1154" s="26" t="s">
        <v>1631</v>
      </c>
      <c r="AH1154" s="26"/>
      <c r="AI1154" s="40">
        <v>4</v>
      </c>
      <c r="AJ1154" s="26"/>
      <c r="AK1154" s="26"/>
      <c r="AL1154" s="35"/>
      <c r="AM1154" s="35"/>
      <c r="AN1154" s="35"/>
      <c r="AO1154" s="35"/>
      <c r="AP1154" s="35"/>
    </row>
    <row r="1155" spans="1:42" x14ac:dyDescent="0.2">
      <c r="A1155" s="27">
        <v>45209.594425902775</v>
      </c>
      <c r="B1155" s="28" t="s">
        <v>37</v>
      </c>
      <c r="C1155" s="41" t="s">
        <v>118</v>
      </c>
      <c r="D1155" s="26" t="s">
        <v>36</v>
      </c>
      <c r="E1155" s="26" t="s">
        <v>56</v>
      </c>
      <c r="F1155" s="26" t="s">
        <v>36</v>
      </c>
      <c r="G1155" s="26" t="s">
        <v>41</v>
      </c>
      <c r="H1155" s="26" t="s">
        <v>3930</v>
      </c>
      <c r="I1155" s="17">
        <f ca="1">IFERROR(__xludf.DUMMYFUNCTION("""COMPUTED_VALUE"""),45223)</f>
        <v>45223</v>
      </c>
      <c r="J1155" s="44" t="s">
        <v>5300</v>
      </c>
      <c r="K1155" s="26" t="s">
        <v>5301</v>
      </c>
      <c r="L1155" s="30">
        <v>347205331</v>
      </c>
      <c r="M1155" s="26" t="s">
        <v>80</v>
      </c>
      <c r="N1155" s="26" t="s">
        <v>1073</v>
      </c>
      <c r="O1155" s="26" t="s">
        <v>5302</v>
      </c>
      <c r="P1155" s="26" t="s">
        <v>3178</v>
      </c>
      <c r="Q1155" s="20">
        <v>9317</v>
      </c>
      <c r="R1155" s="26" t="s">
        <v>36</v>
      </c>
      <c r="S1155" s="31">
        <v>200</v>
      </c>
      <c r="T1155" s="32">
        <v>45206</v>
      </c>
      <c r="U1155" s="26">
        <f>1800+7317</f>
        <v>9117</v>
      </c>
      <c r="V1155" s="26" t="s">
        <v>5303</v>
      </c>
      <c r="W1155" s="33" t="s">
        <v>5304</v>
      </c>
      <c r="X1155" s="26"/>
      <c r="Y1155" s="22">
        <v>0</v>
      </c>
      <c r="Z1155" s="26" t="s">
        <v>50</v>
      </c>
      <c r="AA1155" s="19" t="s">
        <v>5112</v>
      </c>
      <c r="AB1155" s="26" t="s">
        <v>104</v>
      </c>
      <c r="AC1155" s="26" t="s">
        <v>53</v>
      </c>
      <c r="AD1155" s="19" t="s">
        <v>138</v>
      </c>
      <c r="AE1155" s="26">
        <v>0</v>
      </c>
      <c r="AF1155" s="43">
        <v>45223</v>
      </c>
      <c r="AG1155" s="26" t="s">
        <v>1631</v>
      </c>
      <c r="AH1155" s="26"/>
      <c r="AI1155" s="40" t="s">
        <v>64</v>
      </c>
      <c r="AJ1155" s="26"/>
      <c r="AK1155" s="26"/>
      <c r="AL1155" s="35"/>
      <c r="AM1155" s="35"/>
      <c r="AN1155" s="35"/>
      <c r="AO1155" s="35"/>
      <c r="AP1155" s="35"/>
    </row>
    <row r="1156" spans="1:42" x14ac:dyDescent="0.2">
      <c r="A1156" s="27">
        <v>45210.499454895835</v>
      </c>
      <c r="B1156" s="28" t="s">
        <v>37</v>
      </c>
      <c r="C1156" s="41" t="s">
        <v>118</v>
      </c>
      <c r="D1156" s="26" t="s">
        <v>36</v>
      </c>
      <c r="E1156" s="26" t="s">
        <v>56</v>
      </c>
      <c r="F1156" s="26" t="s">
        <v>36</v>
      </c>
      <c r="G1156" s="26" t="s">
        <v>41</v>
      </c>
      <c r="H1156" s="26" t="s">
        <v>4371</v>
      </c>
      <c r="I1156" s="17">
        <f ca="1">IFERROR(__xludf.DUMMYFUNCTION("""COMPUTED_VALUE"""),45231)</f>
        <v>45231</v>
      </c>
      <c r="J1156" s="29" t="s">
        <v>5305</v>
      </c>
      <c r="K1156" s="26" t="s">
        <v>5306</v>
      </c>
      <c r="L1156" s="30">
        <v>968529386</v>
      </c>
      <c r="M1156" s="26" t="s">
        <v>292</v>
      </c>
      <c r="N1156" s="26" t="s">
        <v>438</v>
      </c>
      <c r="O1156" s="67" t="s">
        <v>5307</v>
      </c>
      <c r="P1156" s="26" t="s">
        <v>5308</v>
      </c>
      <c r="Q1156" s="20">
        <v>9317</v>
      </c>
      <c r="R1156" s="26" t="s">
        <v>36</v>
      </c>
      <c r="S1156" s="31">
        <v>1900</v>
      </c>
      <c r="T1156" s="32">
        <v>45210</v>
      </c>
      <c r="U1156" s="31">
        <v>7417</v>
      </c>
      <c r="V1156" s="32">
        <v>45245</v>
      </c>
      <c r="W1156" s="33" t="s">
        <v>5309</v>
      </c>
      <c r="X1156" s="26"/>
      <c r="Y1156" s="22">
        <v>0</v>
      </c>
      <c r="Z1156" s="26" t="s">
        <v>50</v>
      </c>
      <c r="AA1156" s="19" t="s">
        <v>5112</v>
      </c>
      <c r="AB1156" s="26" t="s">
        <v>104</v>
      </c>
      <c r="AC1156" s="26" t="s">
        <v>53</v>
      </c>
      <c r="AD1156" s="19" t="s">
        <v>54</v>
      </c>
      <c r="AE1156" s="26">
        <v>0</v>
      </c>
      <c r="AF1156" s="17">
        <v>45222</v>
      </c>
      <c r="AG1156" s="26"/>
      <c r="AH1156" s="26"/>
      <c r="AI1156" s="40" t="s">
        <v>64</v>
      </c>
      <c r="AJ1156" s="26"/>
      <c r="AK1156" s="26"/>
      <c r="AL1156" s="35"/>
      <c r="AM1156" s="35"/>
      <c r="AN1156" s="35"/>
      <c r="AO1156" s="35"/>
      <c r="AP1156" s="35"/>
    </row>
    <row r="1157" spans="1:42" x14ac:dyDescent="0.2">
      <c r="A1157" s="27">
        <v>45210.636493310187</v>
      </c>
      <c r="B1157" s="28" t="s">
        <v>37</v>
      </c>
      <c r="C1157" s="41" t="s">
        <v>118</v>
      </c>
      <c r="D1157" s="26" t="s">
        <v>36</v>
      </c>
      <c r="E1157" s="26" t="s">
        <v>119</v>
      </c>
      <c r="F1157" s="26" t="s">
        <v>40</v>
      </c>
      <c r="G1157" s="26" t="s">
        <v>108</v>
      </c>
      <c r="H1157" s="26" t="s">
        <v>3238</v>
      </c>
      <c r="I1157" s="17">
        <f ca="1">IFERROR(__xludf.DUMMYFUNCTION("""COMPUTED_VALUE"""),45216)</f>
        <v>45216</v>
      </c>
      <c r="J1157" s="29" t="s">
        <v>5310</v>
      </c>
      <c r="K1157" s="26" t="s">
        <v>5311</v>
      </c>
      <c r="L1157" s="30">
        <v>963718483</v>
      </c>
      <c r="M1157" s="26" t="s">
        <v>3728</v>
      </c>
      <c r="N1157" s="26" t="s">
        <v>5312</v>
      </c>
      <c r="O1157" s="26" t="s">
        <v>5313</v>
      </c>
      <c r="P1157" s="26" t="s">
        <v>5314</v>
      </c>
      <c r="Q1157" s="20">
        <v>13968</v>
      </c>
      <c r="R1157" s="26" t="s">
        <v>36</v>
      </c>
      <c r="S1157" s="31">
        <v>4000</v>
      </c>
      <c r="T1157" s="32">
        <v>45210</v>
      </c>
      <c r="U1157" s="31">
        <v>9968</v>
      </c>
      <c r="V1157" s="32">
        <v>45231</v>
      </c>
      <c r="W1157" s="33" t="s">
        <v>5315</v>
      </c>
      <c r="X1157" s="26"/>
      <c r="Y1157" s="22">
        <v>0</v>
      </c>
      <c r="Z1157" s="26" t="s">
        <v>50</v>
      </c>
      <c r="AA1157" s="19" t="s">
        <v>5112</v>
      </c>
      <c r="AB1157" s="26" t="s">
        <v>128</v>
      </c>
      <c r="AC1157" s="26" t="s">
        <v>53</v>
      </c>
      <c r="AD1157" s="19" t="s">
        <v>138</v>
      </c>
      <c r="AE1157" s="26">
        <v>430</v>
      </c>
      <c r="AF1157" s="43">
        <v>45216</v>
      </c>
      <c r="AG1157" s="26" t="s">
        <v>1631</v>
      </c>
      <c r="AH1157" s="26"/>
      <c r="AI1157" s="40">
        <v>4</v>
      </c>
      <c r="AJ1157" s="26"/>
      <c r="AK1157" s="26"/>
      <c r="AL1157" s="35"/>
      <c r="AM1157" s="35"/>
      <c r="AN1157" s="35"/>
      <c r="AO1157" s="35"/>
      <c r="AP1157" s="35"/>
    </row>
    <row r="1158" spans="1:42" x14ac:dyDescent="0.2">
      <c r="A1158" s="27">
        <v>45212.731398217591</v>
      </c>
      <c r="B1158" s="28" t="s">
        <v>37</v>
      </c>
      <c r="C1158" s="41" t="s">
        <v>118</v>
      </c>
      <c r="D1158" s="26" t="s">
        <v>36</v>
      </c>
      <c r="E1158" s="26" t="s">
        <v>119</v>
      </c>
      <c r="F1158" s="26" t="s">
        <v>36</v>
      </c>
      <c r="G1158" s="26" t="s">
        <v>108</v>
      </c>
      <c r="H1158" s="26" t="s">
        <v>3238</v>
      </c>
      <c r="I1158" s="17">
        <f ca="1">IFERROR(__xludf.DUMMYFUNCTION("""COMPUTED_VALUE"""),45216)</f>
        <v>45216</v>
      </c>
      <c r="J1158" s="29" t="s">
        <v>5316</v>
      </c>
      <c r="K1158" s="26" t="s">
        <v>5317</v>
      </c>
      <c r="L1158" s="30">
        <v>398354256</v>
      </c>
      <c r="M1158" s="26" t="s">
        <v>80</v>
      </c>
      <c r="N1158" s="26" t="s">
        <v>438</v>
      </c>
      <c r="O1158" s="26" t="s">
        <v>5318</v>
      </c>
      <c r="P1158" s="26" t="s">
        <v>5319</v>
      </c>
      <c r="Q1158" s="20">
        <v>13968</v>
      </c>
      <c r="R1158" s="26" t="s">
        <v>36</v>
      </c>
      <c r="S1158" s="31">
        <v>4000</v>
      </c>
      <c r="T1158" s="32">
        <v>45212</v>
      </c>
      <c r="U1158" s="31">
        <v>9968</v>
      </c>
      <c r="V1158" s="32">
        <v>45233</v>
      </c>
      <c r="W1158" s="33" t="s">
        <v>5320</v>
      </c>
      <c r="X1158" s="26"/>
      <c r="Y1158" s="22">
        <v>0</v>
      </c>
      <c r="Z1158" s="26" t="s">
        <v>50</v>
      </c>
      <c r="AA1158" s="19" t="s">
        <v>5112</v>
      </c>
      <c r="AB1158" s="26" t="s">
        <v>128</v>
      </c>
      <c r="AC1158" s="26" t="s">
        <v>53</v>
      </c>
      <c r="AD1158" s="19" t="s">
        <v>138</v>
      </c>
      <c r="AE1158" s="26">
        <v>500</v>
      </c>
      <c r="AF1158" s="43">
        <v>45216</v>
      </c>
      <c r="AG1158" s="26" t="s">
        <v>1631</v>
      </c>
      <c r="AH1158" s="26"/>
      <c r="AI1158" s="40">
        <v>4</v>
      </c>
      <c r="AJ1158" s="26"/>
      <c r="AK1158" s="26"/>
      <c r="AL1158" s="35"/>
      <c r="AM1158" s="35"/>
      <c r="AN1158" s="35"/>
      <c r="AO1158" s="35"/>
      <c r="AP1158" s="35"/>
    </row>
    <row r="1159" spans="1:42" x14ac:dyDescent="0.2">
      <c r="A1159" s="27">
        <v>45213.625876921295</v>
      </c>
      <c r="B1159" s="28" t="s">
        <v>37</v>
      </c>
      <c r="C1159" s="41" t="s">
        <v>118</v>
      </c>
      <c r="D1159" s="26" t="s">
        <v>36</v>
      </c>
      <c r="E1159" s="26" t="s">
        <v>119</v>
      </c>
      <c r="F1159" s="26" t="s">
        <v>36</v>
      </c>
      <c r="G1159" s="26" t="s">
        <v>108</v>
      </c>
      <c r="H1159" s="26" t="s">
        <v>3285</v>
      </c>
      <c r="I1159" s="17">
        <f ca="1">IFERROR(__xludf.DUMMYFUNCTION("""COMPUTED_VALUE"""),45229)</f>
        <v>45229</v>
      </c>
      <c r="J1159" s="29" t="s">
        <v>5321</v>
      </c>
      <c r="K1159" s="26" t="s">
        <v>5322</v>
      </c>
      <c r="L1159" s="30">
        <v>904234619</v>
      </c>
      <c r="M1159" s="26" t="s">
        <v>80</v>
      </c>
      <c r="N1159" s="26" t="s">
        <v>1073</v>
      </c>
      <c r="O1159" s="26" t="s">
        <v>5323</v>
      </c>
      <c r="P1159" s="26" t="s">
        <v>5324</v>
      </c>
      <c r="Q1159" s="20">
        <v>13968</v>
      </c>
      <c r="R1159" s="26" t="s">
        <v>36</v>
      </c>
      <c r="S1159" s="31">
        <v>4000</v>
      </c>
      <c r="T1159" s="32">
        <v>45212</v>
      </c>
      <c r="U1159" s="31">
        <v>9968</v>
      </c>
      <c r="V1159" s="32">
        <v>45240</v>
      </c>
      <c r="W1159" s="26" t="s">
        <v>5325</v>
      </c>
      <c r="X1159" s="26"/>
      <c r="Y1159" s="22">
        <v>0</v>
      </c>
      <c r="Z1159" s="26" t="s">
        <v>50</v>
      </c>
      <c r="AA1159" s="19" t="s">
        <v>5112</v>
      </c>
      <c r="AB1159" s="26" t="s">
        <v>104</v>
      </c>
      <c r="AC1159" s="26" t="s">
        <v>53</v>
      </c>
      <c r="AD1159" s="19" t="s">
        <v>138</v>
      </c>
      <c r="AE1159" s="26">
        <v>600</v>
      </c>
      <c r="AF1159" s="17">
        <v>45229</v>
      </c>
      <c r="AG1159" s="26"/>
      <c r="AH1159" s="26"/>
      <c r="AI1159" s="40">
        <v>4</v>
      </c>
      <c r="AJ1159" s="26"/>
      <c r="AK1159" s="26"/>
      <c r="AL1159" s="35"/>
      <c r="AM1159" s="35"/>
      <c r="AN1159" s="35"/>
      <c r="AO1159" s="35"/>
      <c r="AP1159" s="35"/>
    </row>
    <row r="1160" spans="1:42" x14ac:dyDescent="0.2">
      <c r="A1160" s="27">
        <v>45214.908293576387</v>
      </c>
      <c r="B1160" s="28" t="s">
        <v>37</v>
      </c>
      <c r="C1160" s="41" t="s">
        <v>118</v>
      </c>
      <c r="D1160" s="26" t="s">
        <v>36</v>
      </c>
      <c r="E1160" s="26" t="s">
        <v>119</v>
      </c>
      <c r="F1160" s="26" t="s">
        <v>36</v>
      </c>
      <c r="G1160" s="26" t="s">
        <v>108</v>
      </c>
      <c r="H1160" s="26" t="s">
        <v>3238</v>
      </c>
      <c r="I1160" s="17">
        <f ca="1">IFERROR(__xludf.DUMMYFUNCTION("""COMPUTED_VALUE"""),45216)</f>
        <v>45216</v>
      </c>
      <c r="J1160" s="29" t="s">
        <v>5326</v>
      </c>
      <c r="K1160" s="26" t="s">
        <v>5327</v>
      </c>
      <c r="L1160" s="30">
        <v>818458386</v>
      </c>
      <c r="M1160" s="26" t="s">
        <v>80</v>
      </c>
      <c r="N1160" s="26" t="s">
        <v>186</v>
      </c>
      <c r="O1160" s="26" t="s">
        <v>5328</v>
      </c>
      <c r="P1160" s="26" t="s">
        <v>5329</v>
      </c>
      <c r="Q1160" s="20">
        <v>13968</v>
      </c>
      <c r="R1160" s="26" t="s">
        <v>36</v>
      </c>
      <c r="S1160" s="31">
        <v>4000</v>
      </c>
      <c r="T1160" s="32">
        <v>45214</v>
      </c>
      <c r="U1160" s="31">
        <v>9968</v>
      </c>
      <c r="V1160" s="32">
        <v>45232</v>
      </c>
      <c r="W1160" s="33" t="s">
        <v>5330</v>
      </c>
      <c r="X1160" s="26"/>
      <c r="Y1160" s="22">
        <v>0</v>
      </c>
      <c r="Z1160" s="26" t="s">
        <v>50</v>
      </c>
      <c r="AA1160" s="19" t="s">
        <v>5112</v>
      </c>
      <c r="AB1160" s="26" t="s">
        <v>137</v>
      </c>
      <c r="AC1160" s="26" t="s">
        <v>53</v>
      </c>
      <c r="AD1160" s="19" t="s">
        <v>138</v>
      </c>
      <c r="AE1160" s="26">
        <v>500</v>
      </c>
      <c r="AF1160" s="43">
        <v>45216</v>
      </c>
      <c r="AG1160" s="26" t="s">
        <v>1631</v>
      </c>
      <c r="AH1160" s="26"/>
      <c r="AI1160" s="40">
        <v>4</v>
      </c>
      <c r="AJ1160" s="26"/>
      <c r="AK1160" s="26"/>
      <c r="AL1160" s="35"/>
      <c r="AM1160" s="35"/>
      <c r="AN1160" s="35"/>
      <c r="AO1160" s="35"/>
      <c r="AP1160" s="35"/>
    </row>
    <row r="1161" spans="1:42" x14ac:dyDescent="0.2">
      <c r="A1161" s="27">
        <v>45214.909642546292</v>
      </c>
      <c r="B1161" s="28" t="s">
        <v>37</v>
      </c>
      <c r="C1161" s="41" t="s">
        <v>118</v>
      </c>
      <c r="D1161" s="26" t="s">
        <v>36</v>
      </c>
      <c r="E1161" s="26" t="s">
        <v>139</v>
      </c>
      <c r="F1161" s="26" t="s">
        <v>36</v>
      </c>
      <c r="G1161" s="26" t="s">
        <v>41</v>
      </c>
      <c r="H1161" s="26" t="s">
        <v>3930</v>
      </c>
      <c r="I1161" s="17">
        <f ca="1">IFERROR(__xludf.DUMMYFUNCTION("""COMPUTED_VALUE"""),45223)</f>
        <v>45223</v>
      </c>
      <c r="J1161" s="29" t="s">
        <v>5331</v>
      </c>
      <c r="K1161" s="26" t="s">
        <v>5332</v>
      </c>
      <c r="L1161" s="30">
        <v>336138599</v>
      </c>
      <c r="M1161" s="26" t="s">
        <v>80</v>
      </c>
      <c r="N1161" s="26" t="s">
        <v>186</v>
      </c>
      <c r="O1161" s="26" t="s">
        <v>5333</v>
      </c>
      <c r="P1161" s="26" t="s">
        <v>5334</v>
      </c>
      <c r="Q1161" s="20">
        <v>15936</v>
      </c>
      <c r="R1161" s="26" t="s">
        <v>36</v>
      </c>
      <c r="S1161" s="31">
        <v>4000</v>
      </c>
      <c r="T1161" s="32">
        <v>45214</v>
      </c>
      <c r="U1161" s="31">
        <v>11936</v>
      </c>
      <c r="V1161" s="32">
        <v>45239</v>
      </c>
      <c r="W1161" s="33" t="s">
        <v>5335</v>
      </c>
      <c r="X1161" s="26"/>
      <c r="Y1161" s="22">
        <v>0</v>
      </c>
      <c r="Z1161" s="26" t="s">
        <v>50</v>
      </c>
      <c r="AA1161" s="19" t="s">
        <v>5112</v>
      </c>
      <c r="AB1161" s="26" t="s">
        <v>154</v>
      </c>
      <c r="AC1161" s="26" t="s">
        <v>53</v>
      </c>
      <c r="AD1161" s="19" t="s">
        <v>138</v>
      </c>
      <c r="AE1161" s="26">
        <v>0</v>
      </c>
      <c r="AF1161" s="43">
        <v>45223</v>
      </c>
      <c r="AG1161" s="26" t="s">
        <v>1631</v>
      </c>
      <c r="AH1161" s="26"/>
      <c r="AI1161" s="40" t="s">
        <v>147</v>
      </c>
      <c r="AJ1161" s="26"/>
      <c r="AK1161" s="26"/>
      <c r="AL1161" s="35"/>
      <c r="AM1161" s="35"/>
      <c r="AN1161" s="35"/>
      <c r="AO1161" s="35"/>
      <c r="AP1161" s="35"/>
    </row>
    <row r="1162" spans="1:42" x14ac:dyDescent="0.2">
      <c r="A1162" s="27">
        <v>45214.911015717589</v>
      </c>
      <c r="B1162" s="28" t="s">
        <v>37</v>
      </c>
      <c r="C1162" s="41" t="s">
        <v>118</v>
      </c>
      <c r="D1162" s="26" t="s">
        <v>36</v>
      </c>
      <c r="E1162" s="26" t="s">
        <v>119</v>
      </c>
      <c r="F1162" s="26" t="s">
        <v>36</v>
      </c>
      <c r="G1162" s="26" t="s">
        <v>108</v>
      </c>
      <c r="H1162" s="26" t="s">
        <v>4328</v>
      </c>
      <c r="I1162" s="17">
        <f ca="1">IFERROR(__xludf.DUMMYFUNCTION("""COMPUTED_VALUE"""),45236)</f>
        <v>45236</v>
      </c>
      <c r="J1162" s="29" t="s">
        <v>5336</v>
      </c>
      <c r="K1162" s="26" t="s">
        <v>5337</v>
      </c>
      <c r="L1162" s="30">
        <v>367191406</v>
      </c>
      <c r="M1162" s="26" t="s">
        <v>80</v>
      </c>
      <c r="N1162" s="26" t="s">
        <v>186</v>
      </c>
      <c r="O1162" s="26" t="s">
        <v>5338</v>
      </c>
      <c r="P1162" s="26" t="s">
        <v>2641</v>
      </c>
      <c r="Q1162" s="20">
        <v>13968</v>
      </c>
      <c r="R1162" s="26" t="s">
        <v>36</v>
      </c>
      <c r="S1162" s="31">
        <v>4000</v>
      </c>
      <c r="T1162" s="32">
        <v>45214</v>
      </c>
      <c r="U1162" s="31">
        <v>10000</v>
      </c>
      <c r="V1162" s="32">
        <v>45249</v>
      </c>
      <c r="W1162" s="33" t="s">
        <v>5339</v>
      </c>
      <c r="X1162" s="26"/>
      <c r="Y1162" s="22">
        <v>-32</v>
      </c>
      <c r="Z1162" s="26" t="s">
        <v>50</v>
      </c>
      <c r="AA1162" s="19" t="s">
        <v>5112</v>
      </c>
      <c r="AB1162" s="26" t="s">
        <v>128</v>
      </c>
      <c r="AC1162" s="26" t="s">
        <v>53</v>
      </c>
      <c r="AD1162" s="19" t="s">
        <v>138</v>
      </c>
      <c r="AE1162" s="26">
        <v>450</v>
      </c>
      <c r="AF1162" s="17">
        <v>45236</v>
      </c>
      <c r="AG1162" s="26" t="s">
        <v>5214</v>
      </c>
      <c r="AH1162" s="26"/>
      <c r="AI1162" s="40">
        <v>4</v>
      </c>
      <c r="AJ1162" s="26"/>
      <c r="AK1162" s="26"/>
      <c r="AL1162" s="35"/>
      <c r="AM1162" s="35"/>
      <c r="AN1162" s="35"/>
      <c r="AO1162" s="35"/>
      <c r="AP1162" s="35"/>
    </row>
    <row r="1163" spans="1:42" x14ac:dyDescent="0.2">
      <c r="A1163" s="27">
        <v>45215.512591354171</v>
      </c>
      <c r="B1163" s="28" t="s">
        <v>37</v>
      </c>
      <c r="C1163" s="41" t="s">
        <v>118</v>
      </c>
      <c r="D1163" s="26" t="s">
        <v>36</v>
      </c>
      <c r="E1163" s="26" t="s">
        <v>139</v>
      </c>
      <c r="F1163" s="26" t="s">
        <v>91</v>
      </c>
      <c r="G1163" s="26" t="s">
        <v>41</v>
      </c>
      <c r="H1163" s="26" t="s">
        <v>4129</v>
      </c>
      <c r="I1163" s="17">
        <f ca="1">IFERROR(__xludf.DUMMYFUNCTION("""COMPUTED_VALUE"""),45232)</f>
        <v>45232</v>
      </c>
      <c r="J1163" s="29" t="s">
        <v>5340</v>
      </c>
      <c r="K1163" s="26" t="s">
        <v>5341</v>
      </c>
      <c r="L1163" s="30">
        <v>865683198</v>
      </c>
      <c r="M1163" s="26" t="s">
        <v>123</v>
      </c>
      <c r="N1163" s="26" t="s">
        <v>2459</v>
      </c>
      <c r="O1163" s="26" t="s">
        <v>2737</v>
      </c>
      <c r="P1163" s="26" t="s">
        <v>3487</v>
      </c>
      <c r="Q1163" s="20">
        <v>15936</v>
      </c>
      <c r="R1163" s="26" t="s">
        <v>36</v>
      </c>
      <c r="S1163" s="31">
        <v>200</v>
      </c>
      <c r="T1163" s="32">
        <v>45211</v>
      </c>
      <c r="U1163" s="58">
        <f>10000+3736+2000</f>
        <v>15736</v>
      </c>
      <c r="V1163" s="35" t="s">
        <v>5342</v>
      </c>
      <c r="W1163" s="33" t="s">
        <v>5343</v>
      </c>
      <c r="X1163" s="26"/>
      <c r="Y1163" s="22">
        <v>0</v>
      </c>
      <c r="Z1163" s="26" t="s">
        <v>50</v>
      </c>
      <c r="AA1163" s="19" t="s">
        <v>5112</v>
      </c>
      <c r="AB1163" s="26" t="s">
        <v>104</v>
      </c>
      <c r="AC1163" s="26" t="s">
        <v>53</v>
      </c>
      <c r="AD1163" s="19" t="s">
        <v>138</v>
      </c>
      <c r="AE1163" s="26"/>
      <c r="AF1163" s="17">
        <v>45232</v>
      </c>
      <c r="AG1163" s="26" t="s">
        <v>1631</v>
      </c>
      <c r="AH1163" s="26"/>
      <c r="AI1163" s="40" t="s">
        <v>147</v>
      </c>
      <c r="AJ1163" s="26"/>
      <c r="AK1163" s="26"/>
      <c r="AL1163" s="35"/>
      <c r="AM1163" s="35"/>
      <c r="AN1163" s="35"/>
      <c r="AO1163" s="35"/>
      <c r="AP1163" s="35"/>
    </row>
    <row r="1164" spans="1:42" x14ac:dyDescent="0.2">
      <c r="A1164" s="27">
        <v>45215.519484247685</v>
      </c>
      <c r="B1164" s="28" t="s">
        <v>37</v>
      </c>
      <c r="C1164" s="41" t="s">
        <v>118</v>
      </c>
      <c r="D1164" s="26" t="s">
        <v>36</v>
      </c>
      <c r="E1164" s="26" t="s">
        <v>119</v>
      </c>
      <c r="F1164" s="26" t="s">
        <v>91</v>
      </c>
      <c r="G1164" s="26" t="s">
        <v>108</v>
      </c>
      <c r="H1164" s="26" t="s">
        <v>3238</v>
      </c>
      <c r="I1164" s="17">
        <f ca="1">IFERROR(__xludf.DUMMYFUNCTION("""COMPUTED_VALUE"""),45216)</f>
        <v>45216</v>
      </c>
      <c r="J1164" s="29" t="s">
        <v>5344</v>
      </c>
      <c r="K1164" s="26" t="s">
        <v>5345</v>
      </c>
      <c r="L1164" s="30">
        <v>365045442</v>
      </c>
      <c r="M1164" s="26" t="s">
        <v>123</v>
      </c>
      <c r="N1164" s="26" t="s">
        <v>850</v>
      </c>
      <c r="O1164" s="26" t="s">
        <v>2737</v>
      </c>
      <c r="P1164" s="26" t="s">
        <v>3056</v>
      </c>
      <c r="Q1164" s="20">
        <v>13968</v>
      </c>
      <c r="R1164" s="26" t="s">
        <v>36</v>
      </c>
      <c r="S1164" s="31">
        <v>4000</v>
      </c>
      <c r="T1164" s="32" t="s">
        <v>5346</v>
      </c>
      <c r="U1164" s="58">
        <v>9968</v>
      </c>
      <c r="V1164" s="59">
        <v>45240</v>
      </c>
      <c r="W1164" s="33" t="s">
        <v>5347</v>
      </c>
      <c r="X1164" s="26"/>
      <c r="Y1164" s="22">
        <v>0</v>
      </c>
      <c r="Z1164" s="26" t="s">
        <v>50</v>
      </c>
      <c r="AA1164" s="19" t="s">
        <v>5112</v>
      </c>
      <c r="AB1164" s="26" t="s">
        <v>137</v>
      </c>
      <c r="AC1164" s="26" t="s">
        <v>53</v>
      </c>
      <c r="AD1164" s="19" t="s">
        <v>138</v>
      </c>
      <c r="AE1164" s="26"/>
      <c r="AF1164" s="43">
        <v>45216</v>
      </c>
      <c r="AG1164" s="26" t="s">
        <v>1631</v>
      </c>
      <c r="AH1164" s="26"/>
      <c r="AI1164" s="40">
        <v>4</v>
      </c>
      <c r="AJ1164" s="26"/>
      <c r="AK1164" s="26"/>
      <c r="AL1164" s="35"/>
      <c r="AM1164" s="35"/>
      <c r="AN1164" s="35"/>
      <c r="AO1164" s="35"/>
      <c r="AP1164" s="35"/>
    </row>
    <row r="1165" spans="1:42" x14ac:dyDescent="0.2">
      <c r="A1165" s="27">
        <v>45215.770808437504</v>
      </c>
      <c r="B1165" s="28" t="s">
        <v>37</v>
      </c>
      <c r="C1165" s="41" t="s">
        <v>118</v>
      </c>
      <c r="D1165" s="26" t="s">
        <v>36</v>
      </c>
      <c r="E1165" s="26" t="s">
        <v>56</v>
      </c>
      <c r="F1165" s="26" t="s">
        <v>91</v>
      </c>
      <c r="G1165" s="26" t="s">
        <v>41</v>
      </c>
      <c r="H1165" s="26" t="s">
        <v>3930</v>
      </c>
      <c r="I1165" s="17">
        <f ca="1">IFERROR(__xludf.DUMMYFUNCTION("""COMPUTED_VALUE"""),45223)</f>
        <v>45223</v>
      </c>
      <c r="J1165" s="29" t="s">
        <v>5348</v>
      </c>
      <c r="K1165" s="26" t="s">
        <v>5349</v>
      </c>
      <c r="L1165" s="30">
        <v>762347599</v>
      </c>
      <c r="M1165" s="26" t="s">
        <v>123</v>
      </c>
      <c r="N1165" s="26" t="s">
        <v>2847</v>
      </c>
      <c r="O1165" s="26" t="s">
        <v>5350</v>
      </c>
      <c r="P1165" s="26" t="s">
        <v>3056</v>
      </c>
      <c r="Q1165" s="20">
        <v>9317</v>
      </c>
      <c r="R1165" s="26" t="s">
        <v>70</v>
      </c>
      <c r="S1165" s="31">
        <v>100</v>
      </c>
      <c r="T1165" s="32">
        <v>45210</v>
      </c>
      <c r="U1165" s="31">
        <f>400+2000+6717</f>
        <v>9117</v>
      </c>
      <c r="V1165" s="26" t="s">
        <v>5351</v>
      </c>
      <c r="W1165" s="33" t="s">
        <v>5352</v>
      </c>
      <c r="X1165" s="26"/>
      <c r="Y1165" s="22">
        <v>100</v>
      </c>
      <c r="Z1165" s="26" t="s">
        <v>50</v>
      </c>
      <c r="AA1165" s="19" t="s">
        <v>5112</v>
      </c>
      <c r="AB1165" s="26" t="s">
        <v>104</v>
      </c>
      <c r="AC1165" s="26" t="s">
        <v>53</v>
      </c>
      <c r="AD1165" s="19" t="s">
        <v>138</v>
      </c>
      <c r="AE1165" s="26"/>
      <c r="AF1165" s="43">
        <v>45223</v>
      </c>
      <c r="AG1165" s="26" t="s">
        <v>1631</v>
      </c>
      <c r="AH1165" s="26"/>
      <c r="AI1165" s="40" t="s">
        <v>64</v>
      </c>
      <c r="AJ1165" s="26"/>
      <c r="AK1165" s="26"/>
      <c r="AL1165" s="35"/>
      <c r="AM1165" s="35"/>
      <c r="AN1165" s="35"/>
      <c r="AO1165" s="35"/>
      <c r="AP1165" s="35"/>
    </row>
    <row r="1166" spans="1:42" x14ac:dyDescent="0.2">
      <c r="A1166" s="27">
        <v>45215.771027476847</v>
      </c>
      <c r="B1166" s="28" t="s">
        <v>37</v>
      </c>
      <c r="C1166" s="41" t="s">
        <v>118</v>
      </c>
      <c r="D1166" s="26" t="s">
        <v>36</v>
      </c>
      <c r="E1166" s="26" t="s">
        <v>119</v>
      </c>
      <c r="F1166" s="26" t="s">
        <v>723</v>
      </c>
      <c r="G1166" s="26" t="s">
        <v>108</v>
      </c>
      <c r="H1166" s="26" t="s">
        <v>3285</v>
      </c>
      <c r="I1166" s="17">
        <f ca="1">IFERROR(__xludf.DUMMYFUNCTION("""COMPUTED_VALUE"""),45229)</f>
        <v>45229</v>
      </c>
      <c r="J1166" s="29" t="s">
        <v>5353</v>
      </c>
      <c r="K1166" s="26" t="s">
        <v>1387</v>
      </c>
      <c r="L1166" s="30">
        <v>867951661</v>
      </c>
      <c r="M1166" s="26" t="s">
        <v>80</v>
      </c>
      <c r="N1166" s="26" t="s">
        <v>81</v>
      </c>
      <c r="O1166" s="26" t="s">
        <v>1388</v>
      </c>
      <c r="P1166" s="26" t="s">
        <v>5354</v>
      </c>
      <c r="Q1166" s="20">
        <v>13968</v>
      </c>
      <c r="R1166" s="26" t="s">
        <v>36</v>
      </c>
      <c r="S1166" s="31">
        <v>3968</v>
      </c>
      <c r="T1166" s="32">
        <v>45213</v>
      </c>
      <c r="U1166" s="31">
        <f>4000+4000+2000</f>
        <v>10000</v>
      </c>
      <c r="V1166" s="26" t="s">
        <v>5355</v>
      </c>
      <c r="W1166" s="33" t="s">
        <v>5356</v>
      </c>
      <c r="X1166" s="26"/>
      <c r="Y1166" s="22">
        <v>0</v>
      </c>
      <c r="Z1166" s="26" t="s">
        <v>50</v>
      </c>
      <c r="AA1166" s="19" t="s">
        <v>5112</v>
      </c>
      <c r="AB1166" s="26" t="s">
        <v>146</v>
      </c>
      <c r="AC1166" s="26" t="s">
        <v>53</v>
      </c>
      <c r="AD1166" s="19" t="s">
        <v>138</v>
      </c>
      <c r="AE1166" s="26" t="s">
        <v>723</v>
      </c>
      <c r="AF1166" s="17">
        <v>45229</v>
      </c>
      <c r="AG1166" s="114" t="s">
        <v>5357</v>
      </c>
      <c r="AH1166" s="26"/>
      <c r="AI1166" s="40">
        <v>4</v>
      </c>
      <c r="AJ1166" s="26"/>
      <c r="AK1166" s="26"/>
      <c r="AL1166" s="35"/>
      <c r="AM1166" s="35"/>
      <c r="AN1166" s="35"/>
      <c r="AO1166" s="35"/>
      <c r="AP1166" s="35"/>
    </row>
    <row r="1167" spans="1:42" x14ac:dyDescent="0.2">
      <c r="A1167" s="27">
        <v>45215.772496585647</v>
      </c>
      <c r="B1167" s="28" t="s">
        <v>37</v>
      </c>
      <c r="C1167" s="41" t="s">
        <v>118</v>
      </c>
      <c r="D1167" s="26" t="s">
        <v>36</v>
      </c>
      <c r="E1167" s="26" t="s">
        <v>56</v>
      </c>
      <c r="F1167" s="26" t="s">
        <v>91</v>
      </c>
      <c r="G1167" s="26" t="s">
        <v>41</v>
      </c>
      <c r="H1167" s="26" t="s">
        <v>3930</v>
      </c>
      <c r="I1167" s="17">
        <f ca="1">IFERROR(__xludf.DUMMYFUNCTION("""COMPUTED_VALUE"""),45223)</f>
        <v>45223</v>
      </c>
      <c r="J1167" s="29" t="s">
        <v>5358</v>
      </c>
      <c r="K1167" s="26" t="s">
        <v>5359</v>
      </c>
      <c r="L1167" s="30">
        <v>389630618</v>
      </c>
      <c r="M1167" s="26" t="s">
        <v>123</v>
      </c>
      <c r="N1167" s="26" t="s">
        <v>2847</v>
      </c>
      <c r="O1167" s="26" t="s">
        <v>5360</v>
      </c>
      <c r="P1167" s="26" t="s">
        <v>3056</v>
      </c>
      <c r="Q1167" s="20">
        <v>9317</v>
      </c>
      <c r="R1167" s="26" t="s">
        <v>70</v>
      </c>
      <c r="S1167" s="31">
        <v>100</v>
      </c>
      <c r="T1167" s="32">
        <v>45210</v>
      </c>
      <c r="U1167" s="31">
        <f>400+2000+6717</f>
        <v>9117</v>
      </c>
      <c r="V1167" s="26" t="s">
        <v>5351</v>
      </c>
      <c r="W1167" s="33" t="s">
        <v>5361</v>
      </c>
      <c r="X1167" s="26"/>
      <c r="Y1167" s="22">
        <v>100</v>
      </c>
      <c r="Z1167" s="26" t="s">
        <v>50</v>
      </c>
      <c r="AA1167" s="19" t="s">
        <v>5112</v>
      </c>
      <c r="AB1167" s="26" t="s">
        <v>104</v>
      </c>
      <c r="AC1167" s="26" t="s">
        <v>53</v>
      </c>
      <c r="AD1167" s="19" t="s">
        <v>138</v>
      </c>
      <c r="AE1167" s="26"/>
      <c r="AF1167" s="43">
        <v>45223</v>
      </c>
      <c r="AG1167" s="26" t="s">
        <v>1631</v>
      </c>
      <c r="AH1167" s="26"/>
      <c r="AI1167" s="40" t="s">
        <v>64</v>
      </c>
      <c r="AJ1167" s="26"/>
      <c r="AK1167" s="26"/>
      <c r="AL1167" s="35"/>
      <c r="AM1167" s="35"/>
      <c r="AN1167" s="35"/>
      <c r="AO1167" s="35"/>
      <c r="AP1167" s="35"/>
    </row>
    <row r="1168" spans="1:42" x14ac:dyDescent="0.2">
      <c r="A1168" s="27">
        <v>45215.775610798606</v>
      </c>
      <c r="B1168" s="28" t="s">
        <v>37</v>
      </c>
      <c r="C1168" s="41" t="s">
        <v>118</v>
      </c>
      <c r="D1168" s="26" t="s">
        <v>36</v>
      </c>
      <c r="E1168" s="26" t="s">
        <v>56</v>
      </c>
      <c r="F1168" s="26" t="s">
        <v>91</v>
      </c>
      <c r="G1168" s="26" t="s">
        <v>41</v>
      </c>
      <c r="H1168" s="26" t="s">
        <v>3302</v>
      </c>
      <c r="I1168" s="17">
        <f ca="1">IFERROR(__xludf.DUMMYFUNCTION("""COMPUTED_VALUE"""),45224)</f>
        <v>45224</v>
      </c>
      <c r="J1168" s="29" t="s">
        <v>5362</v>
      </c>
      <c r="K1168" s="26" t="s">
        <v>5363</v>
      </c>
      <c r="L1168" s="30">
        <v>862995083</v>
      </c>
      <c r="M1168" s="26" t="s">
        <v>123</v>
      </c>
      <c r="N1168" s="26" t="s">
        <v>327</v>
      </c>
      <c r="O1168" s="26" t="s">
        <v>1226</v>
      </c>
      <c r="P1168" s="26" t="s">
        <v>5364</v>
      </c>
      <c r="Q1168" s="20">
        <v>9317</v>
      </c>
      <c r="R1168" s="26" t="s">
        <v>36</v>
      </c>
      <c r="S1168" s="31">
        <v>200</v>
      </c>
      <c r="T1168" s="32">
        <v>45157</v>
      </c>
      <c r="U1168" s="31">
        <f>2000+7117</f>
        <v>9117</v>
      </c>
      <c r="V1168" s="26" t="s">
        <v>5365</v>
      </c>
      <c r="W1168" s="33" t="s">
        <v>5366</v>
      </c>
      <c r="X1168" s="26"/>
      <c r="Y1168" s="22">
        <v>0</v>
      </c>
      <c r="Z1168" s="26" t="s">
        <v>50</v>
      </c>
      <c r="AA1168" s="19" t="s">
        <v>5112</v>
      </c>
      <c r="AB1168" s="26" t="s">
        <v>104</v>
      </c>
      <c r="AC1168" s="26" t="s">
        <v>53</v>
      </c>
      <c r="AD1168" s="19" t="s">
        <v>54</v>
      </c>
      <c r="AE1168" s="26"/>
      <c r="AF1168" s="17">
        <v>45216</v>
      </c>
      <c r="AG1168" s="26"/>
      <c r="AH1168" s="26"/>
      <c r="AI1168" s="40" t="s">
        <v>64</v>
      </c>
      <c r="AJ1168" s="26"/>
      <c r="AK1168" s="26"/>
      <c r="AL1168" s="35"/>
      <c r="AM1168" s="35"/>
      <c r="AN1168" s="35"/>
      <c r="AO1168" s="35"/>
      <c r="AP1168" s="35"/>
    </row>
    <row r="1169" spans="1:42" x14ac:dyDescent="0.2">
      <c r="A1169" s="27">
        <v>45215.778119537033</v>
      </c>
      <c r="B1169" s="28" t="s">
        <v>37</v>
      </c>
      <c r="C1169" s="41" t="s">
        <v>118</v>
      </c>
      <c r="D1169" s="26" t="s">
        <v>36</v>
      </c>
      <c r="E1169" s="26" t="s">
        <v>139</v>
      </c>
      <c r="F1169" s="26" t="s">
        <v>91</v>
      </c>
      <c r="G1169" s="26" t="s">
        <v>41</v>
      </c>
      <c r="H1169" s="26" t="s">
        <v>3302</v>
      </c>
      <c r="I1169" s="17">
        <f ca="1">IFERROR(__xludf.DUMMYFUNCTION("""COMPUTED_VALUE"""),45224)</f>
        <v>45224</v>
      </c>
      <c r="J1169" s="29" t="s">
        <v>5367</v>
      </c>
      <c r="K1169" s="26" t="s">
        <v>5368</v>
      </c>
      <c r="L1169" s="30">
        <v>944615676</v>
      </c>
      <c r="M1169" s="26" t="s">
        <v>123</v>
      </c>
      <c r="N1169" s="26" t="s">
        <v>186</v>
      </c>
      <c r="O1169" s="26" t="s">
        <v>1226</v>
      </c>
      <c r="P1169" s="33" t="s">
        <v>5367</v>
      </c>
      <c r="Q1169" s="20">
        <v>15936</v>
      </c>
      <c r="R1169" s="26" t="s">
        <v>70</v>
      </c>
      <c r="S1169" s="31">
        <v>2000</v>
      </c>
      <c r="T1169" s="32">
        <v>45214</v>
      </c>
      <c r="U1169" s="58">
        <v>13936</v>
      </c>
      <c r="V1169" s="59">
        <v>45244</v>
      </c>
      <c r="W1169" s="33" t="s">
        <v>5369</v>
      </c>
      <c r="X1169" s="26"/>
      <c r="Y1169" s="22">
        <v>0</v>
      </c>
      <c r="Z1169" s="26" t="s">
        <v>50</v>
      </c>
      <c r="AA1169" s="19" t="s">
        <v>5112</v>
      </c>
      <c r="AB1169" s="26" t="s">
        <v>104</v>
      </c>
      <c r="AC1169" s="26" t="s">
        <v>53</v>
      </c>
      <c r="AD1169" s="19" t="s">
        <v>54</v>
      </c>
      <c r="AE1169" s="26"/>
      <c r="AF1169" s="17">
        <v>45216</v>
      </c>
      <c r="AG1169" s="26"/>
      <c r="AH1169" s="26"/>
      <c r="AI1169" s="40" t="s">
        <v>147</v>
      </c>
      <c r="AJ1169" s="26"/>
      <c r="AK1169" s="26"/>
      <c r="AL1169" s="35"/>
      <c r="AM1169" s="35"/>
      <c r="AN1169" s="35"/>
      <c r="AO1169" s="35"/>
      <c r="AP1169" s="35"/>
    </row>
    <row r="1170" spans="1:42" x14ac:dyDescent="0.2">
      <c r="A1170" s="27">
        <v>45215.973219560183</v>
      </c>
      <c r="B1170" s="28" t="s">
        <v>37</v>
      </c>
      <c r="C1170" s="41" t="s">
        <v>118</v>
      </c>
      <c r="D1170" s="26" t="s">
        <v>36</v>
      </c>
      <c r="E1170" s="26" t="s">
        <v>139</v>
      </c>
      <c r="F1170" s="26" t="s">
        <v>36</v>
      </c>
      <c r="G1170" s="26" t="s">
        <v>41</v>
      </c>
      <c r="H1170" s="26" t="s">
        <v>3899</v>
      </c>
      <c r="I1170" s="17">
        <f ca="1">IFERROR(__xludf.DUMMYFUNCTION("""COMPUTED_VALUE"""),45215)</f>
        <v>45215</v>
      </c>
      <c r="J1170" s="29" t="s">
        <v>5370</v>
      </c>
      <c r="K1170" s="26" t="s">
        <v>5371</v>
      </c>
      <c r="L1170" s="30">
        <v>862999040</v>
      </c>
      <c r="M1170" s="26" t="s">
        <v>80</v>
      </c>
      <c r="N1170" s="26" t="s">
        <v>466</v>
      </c>
      <c r="O1170" s="26" t="s">
        <v>5372</v>
      </c>
      <c r="P1170" s="26" t="s">
        <v>5373</v>
      </c>
      <c r="Q1170" s="20">
        <v>15936</v>
      </c>
      <c r="R1170" s="26" t="s">
        <v>36</v>
      </c>
      <c r="S1170" s="31">
        <v>4000</v>
      </c>
      <c r="T1170" s="32">
        <v>45207</v>
      </c>
      <c r="U1170" s="31">
        <v>11936</v>
      </c>
      <c r="V1170" s="32">
        <v>45232</v>
      </c>
      <c r="W1170" s="33" t="s">
        <v>5374</v>
      </c>
      <c r="X1170" s="26"/>
      <c r="Y1170" s="22">
        <v>0</v>
      </c>
      <c r="Z1170" s="26" t="s">
        <v>50</v>
      </c>
      <c r="AA1170" s="19" t="s">
        <v>5112</v>
      </c>
      <c r="AB1170" s="26" t="s">
        <v>104</v>
      </c>
      <c r="AC1170" s="26" t="s">
        <v>53</v>
      </c>
      <c r="AD1170" s="19" t="s">
        <v>138</v>
      </c>
      <c r="AE1170" s="26">
        <v>0</v>
      </c>
      <c r="AF1170" s="17">
        <v>45215</v>
      </c>
      <c r="AG1170" s="26" t="s">
        <v>1631</v>
      </c>
      <c r="AH1170" s="26"/>
      <c r="AI1170" s="40" t="s">
        <v>147</v>
      </c>
      <c r="AJ1170" s="26"/>
      <c r="AK1170" s="26"/>
      <c r="AL1170" s="35"/>
      <c r="AM1170" s="35"/>
      <c r="AN1170" s="35"/>
      <c r="AO1170" s="35"/>
      <c r="AP1170" s="35"/>
    </row>
    <row r="1171" spans="1:42" x14ac:dyDescent="0.2">
      <c r="A1171" s="27">
        <v>45216.831663263889</v>
      </c>
      <c r="B1171" s="28" t="s">
        <v>37</v>
      </c>
      <c r="C1171" s="41" t="s">
        <v>118</v>
      </c>
      <c r="D1171" s="26" t="s">
        <v>36</v>
      </c>
      <c r="E1171" s="26" t="s">
        <v>139</v>
      </c>
      <c r="F1171" s="26" t="s">
        <v>36</v>
      </c>
      <c r="G1171" s="26" t="s">
        <v>41</v>
      </c>
      <c r="H1171" s="26" t="s">
        <v>3930</v>
      </c>
      <c r="I1171" s="17">
        <f ca="1">IFERROR(__xludf.DUMMYFUNCTION("""COMPUTED_VALUE"""),45223)</f>
        <v>45223</v>
      </c>
      <c r="J1171" s="29" t="s">
        <v>5375</v>
      </c>
      <c r="K1171" s="26" t="s">
        <v>5376</v>
      </c>
      <c r="L1171" s="30">
        <v>329863371</v>
      </c>
      <c r="M1171" s="26" t="s">
        <v>3728</v>
      </c>
      <c r="N1171" s="26" t="s">
        <v>5377</v>
      </c>
      <c r="O1171" s="33" t="s">
        <v>5378</v>
      </c>
      <c r="P1171" s="26" t="s">
        <v>4126</v>
      </c>
      <c r="Q1171" s="20">
        <v>15936</v>
      </c>
      <c r="R1171" s="26" t="s">
        <v>36</v>
      </c>
      <c r="S1171" s="31">
        <v>2000</v>
      </c>
      <c r="T1171" s="32">
        <v>45216</v>
      </c>
      <c r="U1171" s="31">
        <v>14000</v>
      </c>
      <c r="V1171" s="32">
        <v>45243</v>
      </c>
      <c r="W1171" s="33" t="s">
        <v>5379</v>
      </c>
      <c r="X1171" s="26"/>
      <c r="Y1171" s="22">
        <v>-64</v>
      </c>
      <c r="Z1171" s="26" t="s">
        <v>50</v>
      </c>
      <c r="AA1171" s="19" t="s">
        <v>5112</v>
      </c>
      <c r="AB1171" s="26" t="s">
        <v>104</v>
      </c>
      <c r="AC1171" s="26" t="s">
        <v>53</v>
      </c>
      <c r="AD1171" s="19" t="s">
        <v>138</v>
      </c>
      <c r="AE1171" s="26">
        <v>0</v>
      </c>
      <c r="AF1171" s="43">
        <v>45223</v>
      </c>
      <c r="AG1171" s="26" t="s">
        <v>1631</v>
      </c>
      <c r="AH1171" s="26"/>
      <c r="AI1171" s="40" t="s">
        <v>147</v>
      </c>
      <c r="AJ1171" s="26"/>
      <c r="AK1171" s="26"/>
      <c r="AL1171" s="35"/>
      <c r="AM1171" s="35"/>
      <c r="AN1171" s="35"/>
      <c r="AO1171" s="35"/>
      <c r="AP1171" s="35"/>
    </row>
    <row r="1172" spans="1:42" x14ac:dyDescent="0.2">
      <c r="A1172" s="27">
        <v>45216.879486446764</v>
      </c>
      <c r="B1172" s="28" t="s">
        <v>37</v>
      </c>
      <c r="C1172" s="41" t="s">
        <v>118</v>
      </c>
      <c r="D1172" s="26" t="s">
        <v>36</v>
      </c>
      <c r="E1172" s="26" t="s">
        <v>139</v>
      </c>
      <c r="F1172" s="26" t="s">
        <v>36</v>
      </c>
      <c r="G1172" s="26" t="s">
        <v>41</v>
      </c>
      <c r="H1172" s="26" t="s">
        <v>413</v>
      </c>
      <c r="I1172" s="17">
        <f ca="1">IFERROR(__xludf.DUMMYFUNCTION("""COMPUTED_VALUE"""),45246)</f>
        <v>45246</v>
      </c>
      <c r="J1172" s="29" t="s">
        <v>5380</v>
      </c>
      <c r="K1172" s="26" t="s">
        <v>5381</v>
      </c>
      <c r="L1172" s="30">
        <v>398926200</v>
      </c>
      <c r="M1172" s="26" t="s">
        <v>80</v>
      </c>
      <c r="N1172" s="26" t="s">
        <v>186</v>
      </c>
      <c r="O1172" s="26" t="s">
        <v>5382</v>
      </c>
      <c r="P1172" s="26" t="s">
        <v>5383</v>
      </c>
      <c r="Q1172" s="20">
        <v>15936</v>
      </c>
      <c r="R1172" s="26" t="s">
        <v>36</v>
      </c>
      <c r="S1172" s="31">
        <v>2000</v>
      </c>
      <c r="T1172" s="32">
        <v>45215</v>
      </c>
      <c r="U1172" s="58">
        <v>13936</v>
      </c>
      <c r="V1172" s="59">
        <v>45260</v>
      </c>
      <c r="W1172" s="33" t="s">
        <v>5384</v>
      </c>
      <c r="X1172" s="26"/>
      <c r="Y1172" s="22">
        <v>0</v>
      </c>
      <c r="Z1172" s="26" t="s">
        <v>50</v>
      </c>
      <c r="AA1172" s="19" t="s">
        <v>5112</v>
      </c>
      <c r="AB1172" s="26" t="s">
        <v>104</v>
      </c>
      <c r="AC1172" s="26" t="s">
        <v>53</v>
      </c>
      <c r="AD1172" s="19" t="s">
        <v>54</v>
      </c>
      <c r="AE1172" s="26">
        <v>0</v>
      </c>
      <c r="AF1172" s="17">
        <v>45244</v>
      </c>
      <c r="AG1172" s="26"/>
      <c r="AH1172" s="26"/>
      <c r="AI1172" s="40" t="s">
        <v>147</v>
      </c>
      <c r="AJ1172" s="26"/>
      <c r="AK1172" s="26"/>
      <c r="AL1172" s="35"/>
      <c r="AM1172" s="35"/>
      <c r="AN1172" s="35"/>
      <c r="AO1172" s="35"/>
      <c r="AP1172" s="35"/>
    </row>
    <row r="1173" spans="1:42" x14ac:dyDescent="0.2">
      <c r="A1173" s="27">
        <v>45217.483002106484</v>
      </c>
      <c r="B1173" s="28" t="s">
        <v>37</v>
      </c>
      <c r="C1173" s="41" t="s">
        <v>118</v>
      </c>
      <c r="D1173" s="26" t="s">
        <v>36</v>
      </c>
      <c r="E1173" s="26" t="s">
        <v>56</v>
      </c>
      <c r="F1173" s="26" t="s">
        <v>36</v>
      </c>
      <c r="G1173" s="26" t="s">
        <v>41</v>
      </c>
      <c r="H1173" s="26" t="s">
        <v>3930</v>
      </c>
      <c r="I1173" s="17">
        <f ca="1">IFERROR(__xludf.DUMMYFUNCTION("""COMPUTED_VALUE"""),45223)</f>
        <v>45223</v>
      </c>
      <c r="J1173" s="29" t="s">
        <v>5385</v>
      </c>
      <c r="K1173" s="26" t="s">
        <v>5386</v>
      </c>
      <c r="L1173" s="30">
        <v>867427218</v>
      </c>
      <c r="M1173" s="26" t="s">
        <v>910</v>
      </c>
      <c r="N1173" s="26" t="s">
        <v>1472</v>
      </c>
      <c r="O1173" s="26" t="s">
        <v>5387</v>
      </c>
      <c r="P1173" s="26" t="s">
        <v>5388</v>
      </c>
      <c r="Q1173" s="20">
        <v>9317</v>
      </c>
      <c r="R1173" s="26" t="s">
        <v>36</v>
      </c>
      <c r="S1173" s="31">
        <v>2000</v>
      </c>
      <c r="T1173" s="32">
        <v>45217</v>
      </c>
      <c r="U1173" s="31">
        <v>7317</v>
      </c>
      <c r="V1173" s="32">
        <v>45238</v>
      </c>
      <c r="W1173" s="33" t="s">
        <v>5389</v>
      </c>
      <c r="X1173" s="26"/>
      <c r="Y1173" s="22">
        <v>0</v>
      </c>
      <c r="Z1173" s="26" t="s">
        <v>50</v>
      </c>
      <c r="AA1173" s="19" t="s">
        <v>5112</v>
      </c>
      <c r="AB1173" s="26" t="s">
        <v>104</v>
      </c>
      <c r="AC1173" s="26" t="s">
        <v>53</v>
      </c>
      <c r="AD1173" s="19" t="s">
        <v>138</v>
      </c>
      <c r="AE1173" s="26"/>
      <c r="AF1173" s="43">
        <v>45223</v>
      </c>
      <c r="AG1173" s="26" t="s">
        <v>1631</v>
      </c>
      <c r="AH1173" s="26"/>
      <c r="AI1173" s="40" t="s">
        <v>64</v>
      </c>
      <c r="AJ1173" s="26"/>
      <c r="AK1173" s="26"/>
      <c r="AL1173" s="35"/>
      <c r="AM1173" s="35"/>
      <c r="AN1173" s="35"/>
      <c r="AO1173" s="35"/>
      <c r="AP1173" s="35"/>
    </row>
    <row r="1174" spans="1:42" x14ac:dyDescent="0.2">
      <c r="A1174" s="27">
        <v>45217.536388807872</v>
      </c>
      <c r="B1174" s="28" t="s">
        <v>37</v>
      </c>
      <c r="C1174" s="41" t="s">
        <v>118</v>
      </c>
      <c r="D1174" s="26" t="s">
        <v>36</v>
      </c>
      <c r="E1174" s="26" t="s">
        <v>39</v>
      </c>
      <c r="F1174" s="26" t="s">
        <v>91</v>
      </c>
      <c r="G1174" s="26" t="s">
        <v>41</v>
      </c>
      <c r="H1174" s="26" t="s">
        <v>4133</v>
      </c>
      <c r="I1174" s="17">
        <f ca="1">IFERROR(__xludf.DUMMYFUNCTION("""COMPUTED_VALUE"""),45231)</f>
        <v>45231</v>
      </c>
      <c r="J1174" s="29" t="s">
        <v>5390</v>
      </c>
      <c r="K1174" s="26" t="s">
        <v>5391</v>
      </c>
      <c r="L1174" s="30">
        <v>3699362285</v>
      </c>
      <c r="M1174" s="26" t="s">
        <v>123</v>
      </c>
      <c r="N1174" s="26" t="s">
        <v>850</v>
      </c>
      <c r="O1174" s="26" t="s">
        <v>1226</v>
      </c>
      <c r="P1174" s="26" t="s">
        <v>3056</v>
      </c>
      <c r="Q1174" s="20">
        <v>5736</v>
      </c>
      <c r="R1174" s="26" t="s">
        <v>36</v>
      </c>
      <c r="S1174" s="31">
        <v>2000</v>
      </c>
      <c r="T1174" s="32">
        <v>45216</v>
      </c>
      <c r="U1174" s="58">
        <v>3768</v>
      </c>
      <c r="V1174" s="59">
        <v>45248</v>
      </c>
      <c r="W1174" s="33" t="s">
        <v>5392</v>
      </c>
      <c r="X1174" s="26"/>
      <c r="Y1174" s="22">
        <v>-32</v>
      </c>
      <c r="Z1174" s="26" t="s">
        <v>50</v>
      </c>
      <c r="AA1174" s="19" t="s">
        <v>5112</v>
      </c>
      <c r="AB1174" s="26" t="s">
        <v>104</v>
      </c>
      <c r="AC1174" s="26" t="s">
        <v>53</v>
      </c>
      <c r="AD1174" s="19" t="s">
        <v>138</v>
      </c>
      <c r="AE1174" s="26"/>
      <c r="AF1174" s="17">
        <v>45231</v>
      </c>
      <c r="AG1174" s="26" t="s">
        <v>1631</v>
      </c>
      <c r="AH1174" s="26"/>
      <c r="AI1174" s="40" t="s">
        <v>55</v>
      </c>
      <c r="AJ1174" s="26"/>
      <c r="AK1174" s="26"/>
      <c r="AL1174" s="35"/>
      <c r="AM1174" s="35"/>
      <c r="AN1174" s="35"/>
      <c r="AO1174" s="35"/>
      <c r="AP1174" s="35"/>
    </row>
    <row r="1175" spans="1:42" x14ac:dyDescent="0.2">
      <c r="A1175" s="27">
        <v>45217.713944131945</v>
      </c>
      <c r="B1175" s="28" t="s">
        <v>37</v>
      </c>
      <c r="C1175" s="41" t="s">
        <v>118</v>
      </c>
      <c r="D1175" s="26" t="s">
        <v>36</v>
      </c>
      <c r="E1175" s="26" t="s">
        <v>56</v>
      </c>
      <c r="F1175" s="26" t="s">
        <v>36</v>
      </c>
      <c r="G1175" s="26" t="s">
        <v>41</v>
      </c>
      <c r="H1175" s="26" t="s">
        <v>423</v>
      </c>
      <c r="I1175" s="17">
        <f ca="1">IFERROR(__xludf.DUMMYFUNCTION("""COMPUTED_VALUE"""),45225)</f>
        <v>45225</v>
      </c>
      <c r="J1175" s="29" t="s">
        <v>5393</v>
      </c>
      <c r="K1175" s="26" t="s">
        <v>5394</v>
      </c>
      <c r="L1175" s="30">
        <v>392395361</v>
      </c>
      <c r="M1175" s="26" t="s">
        <v>3728</v>
      </c>
      <c r="N1175" s="26" t="s">
        <v>5377</v>
      </c>
      <c r="O1175" s="26" t="s">
        <v>5395</v>
      </c>
      <c r="P1175" s="26" t="s">
        <v>5396</v>
      </c>
      <c r="Q1175" s="20">
        <v>9317</v>
      </c>
      <c r="R1175" s="26" t="s">
        <v>36</v>
      </c>
      <c r="S1175" s="31">
        <v>2000</v>
      </c>
      <c r="T1175" s="32">
        <v>45217</v>
      </c>
      <c r="U1175" s="31">
        <v>7317</v>
      </c>
      <c r="V1175" s="32">
        <v>45245</v>
      </c>
      <c r="W1175" s="33" t="s">
        <v>5397</v>
      </c>
      <c r="X1175" s="26"/>
      <c r="Y1175" s="22">
        <v>0</v>
      </c>
      <c r="Z1175" s="26" t="s">
        <v>50</v>
      </c>
      <c r="AA1175" s="19" t="s">
        <v>5112</v>
      </c>
      <c r="AB1175" s="26" t="s">
        <v>104</v>
      </c>
      <c r="AC1175" s="26" t="s">
        <v>53</v>
      </c>
      <c r="AD1175" s="19" t="s">
        <v>54</v>
      </c>
      <c r="AE1175" s="26">
        <v>0</v>
      </c>
      <c r="AF1175" s="17">
        <v>45218</v>
      </c>
      <c r="AG1175" s="26"/>
      <c r="AH1175" s="26"/>
      <c r="AI1175" s="40" t="s">
        <v>64</v>
      </c>
      <c r="AJ1175" s="26"/>
      <c r="AK1175" s="26"/>
      <c r="AL1175" s="35"/>
      <c r="AM1175" s="35"/>
      <c r="AN1175" s="35"/>
      <c r="AO1175" s="35"/>
      <c r="AP1175" s="35"/>
    </row>
    <row r="1176" spans="1:42" x14ac:dyDescent="0.2">
      <c r="A1176" s="27">
        <v>45220.763210532408</v>
      </c>
      <c r="B1176" s="28" t="s">
        <v>37</v>
      </c>
      <c r="C1176" s="41" t="s">
        <v>118</v>
      </c>
      <c r="D1176" s="26" t="s">
        <v>36</v>
      </c>
      <c r="E1176" s="26" t="s">
        <v>39</v>
      </c>
      <c r="F1176" s="26" t="s">
        <v>91</v>
      </c>
      <c r="G1176" s="26" t="s">
        <v>41</v>
      </c>
      <c r="H1176" s="26" t="s">
        <v>423</v>
      </c>
      <c r="I1176" s="17">
        <f ca="1">IFERROR(__xludf.DUMMYFUNCTION("""COMPUTED_VALUE"""),45225)</f>
        <v>45225</v>
      </c>
      <c r="J1176" s="29" t="s">
        <v>5398</v>
      </c>
      <c r="K1176" s="26" t="s">
        <v>5399</v>
      </c>
      <c r="L1176" s="30">
        <v>868717780</v>
      </c>
      <c r="M1176" s="26" t="s">
        <v>123</v>
      </c>
      <c r="N1176" s="26" t="s">
        <v>850</v>
      </c>
      <c r="O1176" s="26" t="s">
        <v>5400</v>
      </c>
      <c r="P1176" s="26" t="s">
        <v>5401</v>
      </c>
      <c r="Q1176" s="20">
        <v>5736</v>
      </c>
      <c r="R1176" s="26" t="s">
        <v>36</v>
      </c>
      <c r="S1176" s="31">
        <v>2000</v>
      </c>
      <c r="T1176" s="32">
        <v>45218</v>
      </c>
      <c r="U1176" s="58">
        <v>3736</v>
      </c>
      <c r="V1176" s="59">
        <v>45242</v>
      </c>
      <c r="W1176" s="33" t="s">
        <v>5402</v>
      </c>
      <c r="X1176" s="26"/>
      <c r="Y1176" s="22">
        <v>0</v>
      </c>
      <c r="Z1176" s="26" t="s">
        <v>50</v>
      </c>
      <c r="AA1176" s="19" t="s">
        <v>5112</v>
      </c>
      <c r="AB1176" s="26" t="s">
        <v>104</v>
      </c>
      <c r="AC1176" s="26" t="s">
        <v>53</v>
      </c>
      <c r="AD1176" s="19" t="s">
        <v>54</v>
      </c>
      <c r="AE1176" s="26"/>
      <c r="AF1176" s="17">
        <v>45222</v>
      </c>
      <c r="AG1176" s="26"/>
      <c r="AH1176" s="26"/>
      <c r="AI1176" s="40" t="s">
        <v>55</v>
      </c>
      <c r="AJ1176" s="26"/>
      <c r="AK1176" s="26"/>
      <c r="AL1176" s="35"/>
      <c r="AM1176" s="35"/>
      <c r="AN1176" s="35"/>
      <c r="AO1176" s="35"/>
      <c r="AP1176" s="35"/>
    </row>
    <row r="1177" spans="1:42" x14ac:dyDescent="0.2">
      <c r="A1177" s="27">
        <v>45220.76434454861</v>
      </c>
      <c r="B1177" s="28" t="s">
        <v>37</v>
      </c>
      <c r="C1177" s="41" t="s">
        <v>118</v>
      </c>
      <c r="D1177" s="26" t="s">
        <v>36</v>
      </c>
      <c r="E1177" s="26" t="s">
        <v>139</v>
      </c>
      <c r="F1177" s="26" t="s">
        <v>36</v>
      </c>
      <c r="G1177" s="26" t="s">
        <v>41</v>
      </c>
      <c r="H1177" s="26" t="s">
        <v>4133</v>
      </c>
      <c r="I1177" s="17">
        <f ca="1">IFERROR(__xludf.DUMMYFUNCTION("""COMPUTED_VALUE"""),45231)</f>
        <v>45231</v>
      </c>
      <c r="J1177" s="29" t="s">
        <v>5403</v>
      </c>
      <c r="K1177" s="26" t="s">
        <v>5404</v>
      </c>
      <c r="L1177" s="30">
        <v>966763105</v>
      </c>
      <c r="M1177" s="26" t="s">
        <v>123</v>
      </c>
      <c r="N1177" s="26" t="s">
        <v>850</v>
      </c>
      <c r="O1177" s="26" t="s">
        <v>1226</v>
      </c>
      <c r="P1177" s="115" t="s">
        <v>5405</v>
      </c>
      <c r="Q1177" s="20">
        <v>15936</v>
      </c>
      <c r="R1177" s="26" t="s">
        <v>36</v>
      </c>
      <c r="S1177" s="31">
        <v>2000</v>
      </c>
      <c r="T1177" s="32">
        <v>45220</v>
      </c>
      <c r="U1177" s="58">
        <v>13936</v>
      </c>
      <c r="V1177" s="59">
        <v>45249</v>
      </c>
      <c r="W1177" s="26" t="s">
        <v>5406</v>
      </c>
      <c r="X1177" s="26"/>
      <c r="Y1177" s="22">
        <v>0</v>
      </c>
      <c r="Z1177" s="26" t="s">
        <v>50</v>
      </c>
      <c r="AA1177" s="19" t="s">
        <v>5112</v>
      </c>
      <c r="AB1177" s="26" t="s">
        <v>104</v>
      </c>
      <c r="AC1177" s="26" t="s">
        <v>53</v>
      </c>
      <c r="AD1177" s="19" t="s">
        <v>138</v>
      </c>
      <c r="AE1177" s="26"/>
      <c r="AF1177" s="17">
        <v>45231</v>
      </c>
      <c r="AG1177" s="26" t="s">
        <v>1631</v>
      </c>
      <c r="AH1177" s="26"/>
      <c r="AI1177" s="40" t="s">
        <v>147</v>
      </c>
      <c r="AJ1177" s="26"/>
      <c r="AK1177" s="26"/>
      <c r="AL1177" s="35"/>
      <c r="AM1177" s="35"/>
      <c r="AN1177" s="35"/>
      <c r="AO1177" s="35"/>
      <c r="AP1177" s="35"/>
    </row>
    <row r="1178" spans="1:42" x14ac:dyDescent="0.2">
      <c r="A1178" s="27">
        <v>45221.938555555556</v>
      </c>
      <c r="B1178" s="28" t="s">
        <v>37</v>
      </c>
      <c r="C1178" s="41" t="s">
        <v>118</v>
      </c>
      <c r="D1178" s="26" t="s">
        <v>36</v>
      </c>
      <c r="E1178" s="26" t="s">
        <v>139</v>
      </c>
      <c r="F1178" s="26" t="s">
        <v>4911</v>
      </c>
      <c r="G1178" s="26" t="s">
        <v>41</v>
      </c>
      <c r="H1178" s="26" t="s">
        <v>4133</v>
      </c>
      <c r="I1178" s="17">
        <f ca="1">IFERROR(__xludf.DUMMYFUNCTION("""COMPUTED_VALUE"""),45231)</f>
        <v>45231</v>
      </c>
      <c r="J1178" s="29" t="s">
        <v>5407</v>
      </c>
      <c r="K1178" s="26" t="s">
        <v>5408</v>
      </c>
      <c r="L1178" s="30">
        <v>983990355</v>
      </c>
      <c r="M1178" s="26" t="s">
        <v>2755</v>
      </c>
      <c r="N1178" s="26" t="s">
        <v>2756</v>
      </c>
      <c r="O1178" s="26" t="s">
        <v>2144</v>
      </c>
      <c r="P1178" s="26" t="s">
        <v>3117</v>
      </c>
      <c r="Q1178" s="20">
        <v>15936</v>
      </c>
      <c r="R1178" s="26" t="s">
        <v>70</v>
      </c>
      <c r="S1178" s="31">
        <v>3000</v>
      </c>
      <c r="T1178" s="32">
        <v>45221</v>
      </c>
      <c r="U1178" s="58">
        <v>12836</v>
      </c>
      <c r="V1178" s="59">
        <v>45245</v>
      </c>
      <c r="W1178" s="33" t="s">
        <v>5409</v>
      </c>
      <c r="X1178" s="26"/>
      <c r="Y1178" s="22">
        <v>100</v>
      </c>
      <c r="Z1178" s="26" t="s">
        <v>50</v>
      </c>
      <c r="AA1178" s="19" t="s">
        <v>5112</v>
      </c>
      <c r="AB1178" s="26" t="s">
        <v>104</v>
      </c>
      <c r="AC1178" s="26" t="s">
        <v>53</v>
      </c>
      <c r="AD1178" s="19" t="s">
        <v>138</v>
      </c>
      <c r="AE1178" s="26"/>
      <c r="AF1178" s="17">
        <v>45231</v>
      </c>
      <c r="AG1178" s="26" t="s">
        <v>1631</v>
      </c>
      <c r="AH1178" s="26"/>
      <c r="AI1178" s="40" t="s">
        <v>147</v>
      </c>
      <c r="AJ1178" s="26"/>
      <c r="AK1178" s="26"/>
      <c r="AL1178" s="35"/>
      <c r="AM1178" s="35"/>
      <c r="AN1178" s="35"/>
      <c r="AO1178" s="35"/>
      <c r="AP1178" s="35"/>
    </row>
    <row r="1179" spans="1:42" x14ac:dyDescent="0.2">
      <c r="A1179" s="27">
        <v>45221.953317372681</v>
      </c>
      <c r="B1179" s="28" t="s">
        <v>37</v>
      </c>
      <c r="C1179" s="41" t="s">
        <v>118</v>
      </c>
      <c r="D1179" s="26" t="s">
        <v>36</v>
      </c>
      <c r="E1179" s="26" t="s">
        <v>139</v>
      </c>
      <c r="F1179" s="26" t="s">
        <v>91</v>
      </c>
      <c r="G1179" s="26" t="s">
        <v>41</v>
      </c>
      <c r="H1179" s="26" t="s">
        <v>423</v>
      </c>
      <c r="I1179" s="17">
        <f ca="1">IFERROR(__xludf.DUMMYFUNCTION("""COMPUTED_VALUE"""),45225)</f>
        <v>45225</v>
      </c>
      <c r="J1179" s="29" t="s">
        <v>5410</v>
      </c>
      <c r="K1179" s="26" t="s">
        <v>5411</v>
      </c>
      <c r="L1179" s="30">
        <v>375501405</v>
      </c>
      <c r="M1179" s="26" t="s">
        <v>123</v>
      </c>
      <c r="N1179" s="26" t="s">
        <v>186</v>
      </c>
      <c r="O1179" s="26" t="s">
        <v>1226</v>
      </c>
      <c r="P1179" s="26" t="s">
        <v>5412</v>
      </c>
      <c r="Q1179" s="20">
        <v>15936</v>
      </c>
      <c r="R1179" s="26" t="s">
        <v>36</v>
      </c>
      <c r="S1179" s="31">
        <v>2000</v>
      </c>
      <c r="T1179" s="32">
        <v>45221</v>
      </c>
      <c r="U1179" s="58">
        <v>13936</v>
      </c>
      <c r="V1179" s="59">
        <v>45240</v>
      </c>
      <c r="W1179" s="33" t="s">
        <v>5413</v>
      </c>
      <c r="X1179" s="26"/>
      <c r="Y1179" s="22">
        <v>0</v>
      </c>
      <c r="Z1179" s="26" t="s">
        <v>50</v>
      </c>
      <c r="AA1179" s="19" t="s">
        <v>5112</v>
      </c>
      <c r="AB1179" s="26" t="s">
        <v>104</v>
      </c>
      <c r="AC1179" s="26" t="s">
        <v>53</v>
      </c>
      <c r="AD1179" s="19" t="s">
        <v>54</v>
      </c>
      <c r="AE1179" s="26"/>
      <c r="AF1179" s="17">
        <v>45222</v>
      </c>
      <c r="AG1179" s="26"/>
      <c r="AH1179" s="26"/>
      <c r="AI1179" s="40" t="s">
        <v>147</v>
      </c>
      <c r="AJ1179" s="26"/>
      <c r="AK1179" s="26"/>
      <c r="AL1179" s="35"/>
      <c r="AM1179" s="35"/>
      <c r="AN1179" s="35"/>
      <c r="AO1179" s="35"/>
      <c r="AP1179" s="35"/>
    </row>
    <row r="1180" spans="1:42" x14ac:dyDescent="0.2">
      <c r="A1180" s="27">
        <v>45221.95803386574</v>
      </c>
      <c r="B1180" s="28" t="s">
        <v>37</v>
      </c>
      <c r="C1180" s="41" t="s">
        <v>118</v>
      </c>
      <c r="D1180" s="26" t="s">
        <v>36</v>
      </c>
      <c r="E1180" s="26" t="s">
        <v>139</v>
      </c>
      <c r="F1180" s="26" t="s">
        <v>91</v>
      </c>
      <c r="G1180" s="26" t="s">
        <v>41</v>
      </c>
      <c r="H1180" s="26" t="s">
        <v>4129</v>
      </c>
      <c r="I1180" s="17">
        <f ca="1">IFERROR(__xludf.DUMMYFUNCTION("""COMPUTED_VALUE"""),45232)</f>
        <v>45232</v>
      </c>
      <c r="J1180" s="29" t="s">
        <v>5414</v>
      </c>
      <c r="K1180" s="26" t="s">
        <v>5415</v>
      </c>
      <c r="L1180" s="30">
        <v>564144888</v>
      </c>
      <c r="M1180" s="26" t="s">
        <v>123</v>
      </c>
      <c r="N1180" s="26" t="s">
        <v>186</v>
      </c>
      <c r="O1180" s="26" t="s">
        <v>1226</v>
      </c>
      <c r="P1180" s="26" t="s">
        <v>3056</v>
      </c>
      <c r="Q1180" s="20">
        <v>15936</v>
      </c>
      <c r="R1180" s="26" t="s">
        <v>36</v>
      </c>
      <c r="S1180" s="31">
        <v>5000</v>
      </c>
      <c r="T1180" s="32">
        <v>45221</v>
      </c>
      <c r="U1180" s="58">
        <v>10936</v>
      </c>
      <c r="V1180" s="59">
        <v>45253</v>
      </c>
      <c r="W1180" s="33" t="s">
        <v>5416</v>
      </c>
      <c r="X1180" s="26"/>
      <c r="Y1180" s="22">
        <v>0</v>
      </c>
      <c r="Z1180" s="26" t="s">
        <v>50</v>
      </c>
      <c r="AA1180" s="19" t="s">
        <v>5112</v>
      </c>
      <c r="AB1180" s="26" t="s">
        <v>104</v>
      </c>
      <c r="AC1180" s="26" t="s">
        <v>53</v>
      </c>
      <c r="AD1180" s="19" t="s">
        <v>138</v>
      </c>
      <c r="AE1180" s="26"/>
      <c r="AF1180" s="17">
        <v>45232</v>
      </c>
      <c r="AG1180" s="26" t="s">
        <v>1362</v>
      </c>
      <c r="AH1180" s="26"/>
      <c r="AI1180" s="40" t="s">
        <v>147</v>
      </c>
      <c r="AJ1180" s="26"/>
      <c r="AK1180" s="26"/>
      <c r="AL1180" s="35"/>
      <c r="AM1180" s="35"/>
      <c r="AN1180" s="35"/>
      <c r="AO1180" s="35"/>
      <c r="AP1180" s="35"/>
    </row>
    <row r="1181" spans="1:42" x14ac:dyDescent="0.2">
      <c r="A1181" s="27">
        <v>45222.566746747689</v>
      </c>
      <c r="B1181" s="28" t="s">
        <v>37</v>
      </c>
      <c r="C1181" s="41" t="s">
        <v>118</v>
      </c>
      <c r="D1181" s="26" t="s">
        <v>36</v>
      </c>
      <c r="E1181" s="26" t="s">
        <v>139</v>
      </c>
      <c r="F1181" s="26" t="s">
        <v>36</v>
      </c>
      <c r="G1181" s="26" t="s">
        <v>41</v>
      </c>
      <c r="H1181" s="26" t="s">
        <v>4133</v>
      </c>
      <c r="I1181" s="17">
        <f ca="1">IFERROR(__xludf.DUMMYFUNCTION("""COMPUTED_VALUE"""),45231)</f>
        <v>45231</v>
      </c>
      <c r="J1181" s="29" t="s">
        <v>5417</v>
      </c>
      <c r="K1181" s="26" t="s">
        <v>5418</v>
      </c>
      <c r="L1181" s="30">
        <v>982648022</v>
      </c>
      <c r="M1181" s="26" t="s">
        <v>80</v>
      </c>
      <c r="N1181" s="26" t="s">
        <v>466</v>
      </c>
      <c r="O1181" s="26" t="s">
        <v>5419</v>
      </c>
      <c r="P1181" s="26" t="s">
        <v>3178</v>
      </c>
      <c r="Q1181" s="20">
        <v>15936</v>
      </c>
      <c r="R1181" s="26" t="s">
        <v>36</v>
      </c>
      <c r="S1181" s="31">
        <v>4000</v>
      </c>
      <c r="T1181" s="32">
        <v>45221</v>
      </c>
      <c r="U1181" s="31">
        <v>11836</v>
      </c>
      <c r="V1181" s="32">
        <v>45246</v>
      </c>
      <c r="W1181" s="33" t="s">
        <v>5420</v>
      </c>
      <c r="X1181" s="26"/>
      <c r="Y1181" s="22">
        <v>100</v>
      </c>
      <c r="Z1181" s="26" t="s">
        <v>50</v>
      </c>
      <c r="AA1181" s="19" t="s">
        <v>5112</v>
      </c>
      <c r="AB1181" s="26" t="s">
        <v>104</v>
      </c>
      <c r="AC1181" s="26" t="s">
        <v>53</v>
      </c>
      <c r="AD1181" s="19" t="s">
        <v>138</v>
      </c>
      <c r="AE1181" s="26">
        <v>0</v>
      </c>
      <c r="AF1181" s="17">
        <v>45231</v>
      </c>
      <c r="AG1181" s="26" t="s">
        <v>1631</v>
      </c>
      <c r="AH1181" s="26"/>
      <c r="AI1181" s="40" t="s">
        <v>147</v>
      </c>
      <c r="AJ1181" s="26"/>
      <c r="AK1181" s="26"/>
      <c r="AL1181" s="35"/>
      <c r="AM1181" s="35"/>
      <c r="AN1181" s="35"/>
      <c r="AO1181" s="35"/>
      <c r="AP1181" s="35"/>
    </row>
    <row r="1182" spans="1:42" x14ac:dyDescent="0.2">
      <c r="A1182" s="27">
        <v>45222.764367233802</v>
      </c>
      <c r="B1182" s="28" t="s">
        <v>37</v>
      </c>
      <c r="C1182" s="41" t="s">
        <v>118</v>
      </c>
      <c r="D1182" s="26" t="s">
        <v>36</v>
      </c>
      <c r="E1182" s="26" t="s">
        <v>139</v>
      </c>
      <c r="F1182" s="26" t="s">
        <v>36</v>
      </c>
      <c r="G1182" s="26" t="s">
        <v>41</v>
      </c>
      <c r="H1182" s="26" t="s">
        <v>3414</v>
      </c>
      <c r="I1182" s="17">
        <f ca="1">IFERROR(__xludf.DUMMYFUNCTION("""COMPUTED_VALUE"""),45240)</f>
        <v>45240</v>
      </c>
      <c r="J1182" s="29" t="s">
        <v>5421</v>
      </c>
      <c r="K1182" s="26" t="s">
        <v>5422</v>
      </c>
      <c r="L1182" s="30">
        <v>357656025</v>
      </c>
      <c r="M1182" s="26" t="s">
        <v>123</v>
      </c>
      <c r="N1182" s="26" t="s">
        <v>186</v>
      </c>
      <c r="O1182" s="26" t="s">
        <v>1226</v>
      </c>
      <c r="P1182" s="26" t="s">
        <v>5423</v>
      </c>
      <c r="Q1182" s="20">
        <v>15936</v>
      </c>
      <c r="R1182" s="26" t="s">
        <v>36</v>
      </c>
      <c r="S1182" s="31">
        <v>200</v>
      </c>
      <c r="T1182" s="32">
        <v>45222</v>
      </c>
      <c r="U1182" s="31">
        <f>8000+7936</f>
        <v>15936</v>
      </c>
      <c r="V1182" s="26" t="s">
        <v>5424</v>
      </c>
      <c r="W1182" s="33" t="s">
        <v>5425</v>
      </c>
      <c r="X1182" s="26"/>
      <c r="Y1182" s="22">
        <v>-200</v>
      </c>
      <c r="Z1182" s="26" t="s">
        <v>50</v>
      </c>
      <c r="AA1182" s="19" t="s">
        <v>5112</v>
      </c>
      <c r="AB1182" s="26" t="s">
        <v>104</v>
      </c>
      <c r="AC1182" s="26" t="s">
        <v>53</v>
      </c>
      <c r="AD1182" s="19" t="s">
        <v>54</v>
      </c>
      <c r="AE1182" s="26"/>
      <c r="AF1182" s="43">
        <v>45229</v>
      </c>
      <c r="AG1182" s="26" t="s">
        <v>5426</v>
      </c>
      <c r="AH1182" s="26"/>
      <c r="AI1182" s="40" t="s">
        <v>147</v>
      </c>
      <c r="AJ1182" s="26"/>
      <c r="AK1182" s="26"/>
      <c r="AL1182" s="35"/>
      <c r="AM1182" s="35"/>
      <c r="AN1182" s="35"/>
      <c r="AO1182" s="35"/>
      <c r="AP1182" s="35"/>
    </row>
    <row r="1183" spans="1:42" x14ac:dyDescent="0.2">
      <c r="A1183" s="27">
        <v>45222.764367233802</v>
      </c>
      <c r="B1183" s="28" t="s">
        <v>37</v>
      </c>
      <c r="C1183" s="41" t="s">
        <v>118</v>
      </c>
      <c r="D1183" s="26" t="s">
        <v>36</v>
      </c>
      <c r="E1183" s="26" t="s">
        <v>119</v>
      </c>
      <c r="F1183" s="26" t="s">
        <v>36</v>
      </c>
      <c r="G1183" s="26" t="s">
        <v>108</v>
      </c>
      <c r="H1183" s="26" t="s">
        <v>4328</v>
      </c>
      <c r="I1183" s="17">
        <f ca="1">IFERROR(__xludf.DUMMYFUNCTION("""COMPUTED_VALUE"""),45236)</f>
        <v>45236</v>
      </c>
      <c r="J1183" s="29" t="s">
        <v>5427</v>
      </c>
      <c r="K1183" s="26" t="s">
        <v>5428</v>
      </c>
      <c r="L1183" s="30">
        <v>941603226</v>
      </c>
      <c r="M1183" s="26" t="s">
        <v>5429</v>
      </c>
      <c r="N1183" s="26" t="s">
        <v>81</v>
      </c>
      <c r="O1183" s="26" t="s">
        <v>5430</v>
      </c>
      <c r="P1183" s="26" t="s">
        <v>5431</v>
      </c>
      <c r="Q1183" s="20">
        <v>13968</v>
      </c>
      <c r="R1183" s="26" t="s">
        <v>36</v>
      </c>
      <c r="S1183" s="31">
        <v>4000</v>
      </c>
      <c r="T1183" s="32">
        <v>45222</v>
      </c>
      <c r="U1183" s="31">
        <v>9968</v>
      </c>
      <c r="V1183" s="32">
        <v>45251</v>
      </c>
      <c r="W1183" s="33" t="s">
        <v>5432</v>
      </c>
      <c r="X1183" s="26"/>
      <c r="Y1183" s="22">
        <v>0</v>
      </c>
      <c r="Z1183" s="26" t="s">
        <v>50</v>
      </c>
      <c r="AA1183" s="19" t="s">
        <v>5112</v>
      </c>
      <c r="AB1183" s="26" t="s">
        <v>137</v>
      </c>
      <c r="AC1183" s="26" t="s">
        <v>53</v>
      </c>
      <c r="AD1183" s="19" t="s">
        <v>138</v>
      </c>
      <c r="AE1183" s="26">
        <v>610</v>
      </c>
      <c r="AF1183" s="17">
        <v>45236</v>
      </c>
      <c r="AG1183" s="26" t="s">
        <v>1362</v>
      </c>
      <c r="AH1183" s="26"/>
      <c r="AI1183" s="40">
        <v>4</v>
      </c>
      <c r="AJ1183" s="26"/>
      <c r="AK1183" s="26"/>
      <c r="AL1183" s="35"/>
      <c r="AM1183" s="35"/>
      <c r="AN1183" s="35"/>
      <c r="AO1183" s="35"/>
      <c r="AP1183" s="35"/>
    </row>
    <row r="1184" spans="1:42" x14ac:dyDescent="0.2">
      <c r="A1184" s="27">
        <v>45222.873071423615</v>
      </c>
      <c r="B1184" s="28" t="s">
        <v>37</v>
      </c>
      <c r="C1184" s="41" t="s">
        <v>118</v>
      </c>
      <c r="D1184" s="26" t="s">
        <v>36</v>
      </c>
      <c r="E1184" s="26" t="s">
        <v>139</v>
      </c>
      <c r="F1184" s="26" t="s">
        <v>36</v>
      </c>
      <c r="G1184" s="26" t="s">
        <v>41</v>
      </c>
      <c r="H1184" s="26" t="s">
        <v>4371</v>
      </c>
      <c r="I1184" s="17">
        <f ca="1">IFERROR(__xludf.DUMMYFUNCTION("""COMPUTED_VALUE"""),45231)</f>
        <v>45231</v>
      </c>
      <c r="J1184" s="29" t="s">
        <v>5433</v>
      </c>
      <c r="K1184" s="26" t="s">
        <v>5434</v>
      </c>
      <c r="L1184" s="30">
        <v>393409293</v>
      </c>
      <c r="M1184" s="26" t="s">
        <v>123</v>
      </c>
      <c r="N1184" s="26" t="s">
        <v>186</v>
      </c>
      <c r="O1184" s="26" t="s">
        <v>1226</v>
      </c>
      <c r="P1184" s="26" t="s">
        <v>5435</v>
      </c>
      <c r="Q1184" s="20">
        <v>15936</v>
      </c>
      <c r="R1184" s="26" t="s">
        <v>36</v>
      </c>
      <c r="S1184" s="31">
        <v>5000</v>
      </c>
      <c r="T1184" s="32">
        <v>45222</v>
      </c>
      <c r="U1184" s="58">
        <v>10936</v>
      </c>
      <c r="V1184" s="59">
        <v>45246</v>
      </c>
      <c r="W1184" s="33" t="s">
        <v>5436</v>
      </c>
      <c r="X1184" s="26"/>
      <c r="Y1184" s="22">
        <v>0</v>
      </c>
      <c r="Z1184" s="26" t="s">
        <v>50</v>
      </c>
      <c r="AA1184" s="19" t="s">
        <v>5112</v>
      </c>
      <c r="AB1184" s="26" t="s">
        <v>104</v>
      </c>
      <c r="AC1184" s="26" t="s">
        <v>53</v>
      </c>
      <c r="AD1184" s="19" t="s">
        <v>54</v>
      </c>
      <c r="AE1184" s="26"/>
      <c r="AF1184" s="43">
        <v>45224</v>
      </c>
      <c r="AG1184" s="26"/>
      <c r="AH1184" s="26"/>
      <c r="AI1184" s="40" t="s">
        <v>147</v>
      </c>
      <c r="AJ1184" s="26"/>
      <c r="AK1184" s="26"/>
      <c r="AL1184" s="35"/>
      <c r="AM1184" s="35"/>
      <c r="AN1184" s="35"/>
      <c r="AO1184" s="35"/>
      <c r="AP1184" s="35"/>
    </row>
    <row r="1185" spans="1:42" ht="187" x14ac:dyDescent="0.2">
      <c r="A1185" s="27">
        <v>45222.98593978009</v>
      </c>
      <c r="B1185" s="28" t="s">
        <v>37</v>
      </c>
      <c r="C1185" s="41" t="s">
        <v>118</v>
      </c>
      <c r="D1185" s="26" t="s">
        <v>36</v>
      </c>
      <c r="E1185" s="26" t="s">
        <v>148</v>
      </c>
      <c r="F1185" s="26" t="s">
        <v>36</v>
      </c>
      <c r="G1185" s="26" t="s">
        <v>108</v>
      </c>
      <c r="H1185" s="26" t="s">
        <v>3285</v>
      </c>
      <c r="I1185" s="17">
        <f ca="1">IFERROR(__xludf.DUMMYFUNCTION("""COMPUTED_VALUE"""),45229)</f>
        <v>45229</v>
      </c>
      <c r="J1185" s="29" t="s">
        <v>5437</v>
      </c>
      <c r="K1185" s="26" t="s">
        <v>5438</v>
      </c>
      <c r="L1185" s="30">
        <v>342481394</v>
      </c>
      <c r="M1185" s="26" t="s">
        <v>80</v>
      </c>
      <c r="N1185" s="26" t="s">
        <v>186</v>
      </c>
      <c r="O1185" s="26" t="s">
        <v>5439</v>
      </c>
      <c r="P1185" s="26" t="s">
        <v>5440</v>
      </c>
      <c r="Q1185" s="20">
        <v>7349</v>
      </c>
      <c r="R1185" s="26" t="s">
        <v>36</v>
      </c>
      <c r="S1185" s="31">
        <v>4000</v>
      </c>
      <c r="T1185" s="32">
        <v>45222</v>
      </c>
      <c r="U1185" s="31">
        <v>3349</v>
      </c>
      <c r="V1185" s="32">
        <v>45245</v>
      </c>
      <c r="W1185" s="33" t="s">
        <v>5441</v>
      </c>
      <c r="X1185" s="26"/>
      <c r="Y1185" s="22">
        <v>0</v>
      </c>
      <c r="Z1185" s="26" t="s">
        <v>50</v>
      </c>
      <c r="AA1185" s="19" t="s">
        <v>5112</v>
      </c>
      <c r="AB1185" s="26" t="s">
        <v>137</v>
      </c>
      <c r="AC1185" s="26" t="s">
        <v>53</v>
      </c>
      <c r="AD1185" s="19" t="s">
        <v>138</v>
      </c>
      <c r="AE1185" s="26">
        <v>440</v>
      </c>
      <c r="AF1185" s="17">
        <v>45229</v>
      </c>
      <c r="AG1185" s="116" t="s">
        <v>5442</v>
      </c>
      <c r="AH1185" s="26"/>
      <c r="AI1185" s="40">
        <v>2</v>
      </c>
      <c r="AJ1185" s="26"/>
      <c r="AK1185" s="26"/>
      <c r="AL1185" s="35"/>
      <c r="AM1185" s="35"/>
      <c r="AN1185" s="35"/>
      <c r="AO1185" s="35"/>
      <c r="AP1185" s="35"/>
    </row>
    <row r="1186" spans="1:42" x14ac:dyDescent="0.2">
      <c r="A1186" s="27">
        <v>45223.398006365736</v>
      </c>
      <c r="B1186" s="28" t="s">
        <v>37</v>
      </c>
      <c r="C1186" s="41" t="s">
        <v>118</v>
      </c>
      <c r="D1186" s="26" t="s">
        <v>119</v>
      </c>
      <c r="E1186" s="26" t="s">
        <v>119</v>
      </c>
      <c r="F1186" s="26" t="s">
        <v>40</v>
      </c>
      <c r="G1186" s="26" t="s">
        <v>108</v>
      </c>
      <c r="H1186" s="26" t="s">
        <v>4328</v>
      </c>
      <c r="I1186" s="17">
        <f ca="1">IFERROR(__xludf.DUMMYFUNCTION("""COMPUTED_VALUE"""),45236)</f>
        <v>45236</v>
      </c>
      <c r="J1186" s="29" t="s">
        <v>5443</v>
      </c>
      <c r="K1186" s="26" t="s">
        <v>5444</v>
      </c>
      <c r="L1186" s="30">
        <v>364140656</v>
      </c>
      <c r="M1186" s="26" t="s">
        <v>45</v>
      </c>
      <c r="N1186" s="26" t="s">
        <v>557</v>
      </c>
      <c r="O1186" s="26" t="s">
        <v>5445</v>
      </c>
      <c r="P1186" s="26" t="s">
        <v>5446</v>
      </c>
      <c r="Q1186" s="20">
        <v>13968</v>
      </c>
      <c r="R1186" s="26" t="s">
        <v>36</v>
      </c>
      <c r="S1186" s="31">
        <v>6984</v>
      </c>
      <c r="T1186" s="32">
        <v>45223</v>
      </c>
      <c r="U1186" s="31">
        <v>6984</v>
      </c>
      <c r="V1186" s="32">
        <v>45236</v>
      </c>
      <c r="W1186" s="33" t="s">
        <v>5447</v>
      </c>
      <c r="X1186" s="26"/>
      <c r="Y1186" s="22">
        <v>0</v>
      </c>
      <c r="Z1186" s="26" t="s">
        <v>50</v>
      </c>
      <c r="AA1186" s="19" t="s">
        <v>5112</v>
      </c>
      <c r="AB1186" s="26" t="s">
        <v>154</v>
      </c>
      <c r="AC1186" s="26" t="s">
        <v>53</v>
      </c>
      <c r="AD1186" s="19" t="s">
        <v>138</v>
      </c>
      <c r="AE1186" s="26">
        <v>360</v>
      </c>
      <c r="AF1186" s="17">
        <v>45236</v>
      </c>
      <c r="AG1186" s="26" t="s">
        <v>5214</v>
      </c>
      <c r="AH1186" s="26"/>
      <c r="AI1186" s="40">
        <v>4</v>
      </c>
      <c r="AJ1186" s="26"/>
      <c r="AK1186" s="26"/>
      <c r="AL1186" s="35"/>
      <c r="AM1186" s="35"/>
      <c r="AN1186" s="35"/>
      <c r="AO1186" s="35"/>
      <c r="AP1186" s="35"/>
    </row>
    <row r="1187" spans="1:42" x14ac:dyDescent="0.2">
      <c r="A1187" s="27">
        <v>45223.69691111111</v>
      </c>
      <c r="B1187" s="28" t="s">
        <v>37</v>
      </c>
      <c r="C1187" s="41" t="s">
        <v>118</v>
      </c>
      <c r="D1187" s="26" t="s">
        <v>36</v>
      </c>
      <c r="E1187" s="26" t="s">
        <v>39</v>
      </c>
      <c r="F1187" s="26" t="s">
        <v>91</v>
      </c>
      <c r="G1187" s="26" t="s">
        <v>41</v>
      </c>
      <c r="H1187" s="26" t="s">
        <v>4133</v>
      </c>
      <c r="I1187" s="17">
        <f ca="1">IFERROR(__xludf.DUMMYFUNCTION("""COMPUTED_VALUE"""),45231)</f>
        <v>45231</v>
      </c>
      <c r="J1187" s="29" t="s">
        <v>5448</v>
      </c>
      <c r="K1187" s="26" t="s">
        <v>5449</v>
      </c>
      <c r="L1187" s="30">
        <v>355173754</v>
      </c>
      <c r="M1187" s="26" t="s">
        <v>123</v>
      </c>
      <c r="N1187" s="26" t="s">
        <v>850</v>
      </c>
      <c r="O1187" s="26" t="s">
        <v>1226</v>
      </c>
      <c r="P1187" s="26" t="s">
        <v>3487</v>
      </c>
      <c r="Q1187" s="20">
        <v>5736</v>
      </c>
      <c r="R1187" s="26" t="s">
        <v>36</v>
      </c>
      <c r="S1187" s="31">
        <v>2000</v>
      </c>
      <c r="T1187" s="32">
        <v>45223</v>
      </c>
      <c r="U1187" s="58">
        <v>3736</v>
      </c>
      <c r="V1187" s="59">
        <v>45245</v>
      </c>
      <c r="W1187" s="33" t="s">
        <v>5450</v>
      </c>
      <c r="X1187" s="26"/>
      <c r="Y1187" s="22">
        <v>0</v>
      </c>
      <c r="Z1187" s="26" t="s">
        <v>50</v>
      </c>
      <c r="AA1187" s="19" t="s">
        <v>5112</v>
      </c>
      <c r="AB1187" s="26" t="s">
        <v>104</v>
      </c>
      <c r="AC1187" s="26" t="s">
        <v>53</v>
      </c>
      <c r="AD1187" s="19" t="s">
        <v>138</v>
      </c>
      <c r="AE1187" s="26"/>
      <c r="AF1187" s="17">
        <v>45231</v>
      </c>
      <c r="AG1187" s="26" t="s">
        <v>1631</v>
      </c>
      <c r="AH1187" s="26"/>
      <c r="AI1187" s="40" t="s">
        <v>55</v>
      </c>
      <c r="AJ1187" s="26"/>
      <c r="AK1187" s="26"/>
      <c r="AL1187" s="35"/>
      <c r="AM1187" s="35"/>
      <c r="AN1187" s="35"/>
      <c r="AO1187" s="35"/>
      <c r="AP1187" s="35"/>
    </row>
    <row r="1188" spans="1:42" x14ac:dyDescent="0.2">
      <c r="A1188" s="27">
        <v>45224.643486250003</v>
      </c>
      <c r="B1188" s="28" t="s">
        <v>37</v>
      </c>
      <c r="C1188" s="41" t="s">
        <v>118</v>
      </c>
      <c r="D1188" s="26" t="s">
        <v>36</v>
      </c>
      <c r="E1188" s="26" t="s">
        <v>77</v>
      </c>
      <c r="F1188" s="26" t="s">
        <v>36</v>
      </c>
      <c r="G1188" s="26" t="s">
        <v>41</v>
      </c>
      <c r="H1188" s="26" t="s">
        <v>5451</v>
      </c>
      <c r="I1188" s="17" t="str">
        <f ca="1">IFERROR(__xludf.DUMMYFUNCTION("""COMPUTED_VALUE""")," ")</f>
        <v xml:space="preserve"> </v>
      </c>
      <c r="J1188" s="29" t="s">
        <v>5452</v>
      </c>
      <c r="K1188" s="26" t="s">
        <v>5453</v>
      </c>
      <c r="L1188" s="30">
        <v>989221834</v>
      </c>
      <c r="M1188" s="26" t="s">
        <v>80</v>
      </c>
      <c r="N1188" s="26" t="s">
        <v>253</v>
      </c>
      <c r="O1188" s="26" t="s">
        <v>1492</v>
      </c>
      <c r="P1188" s="26" t="s">
        <v>5454</v>
      </c>
      <c r="Q1188" s="20">
        <v>1968</v>
      </c>
      <c r="R1188" s="26" t="s">
        <v>36</v>
      </c>
      <c r="S1188" s="31">
        <v>2000</v>
      </c>
      <c r="T1188" s="32">
        <v>45224</v>
      </c>
      <c r="U1188" s="31"/>
      <c r="V1188" s="26"/>
      <c r="W1188" s="33" t="s">
        <v>5455</v>
      </c>
      <c r="X1188" s="26"/>
      <c r="Y1188" s="22">
        <v>-32</v>
      </c>
      <c r="Z1188" s="26" t="s">
        <v>50</v>
      </c>
      <c r="AA1188" s="19" t="s">
        <v>5112</v>
      </c>
      <c r="AB1188" s="26" t="s">
        <v>104</v>
      </c>
      <c r="AC1188" s="26" t="s">
        <v>53</v>
      </c>
      <c r="AD1188" s="19" t="s">
        <v>54</v>
      </c>
      <c r="AE1188" s="26">
        <v>0</v>
      </c>
      <c r="AF1188" s="43">
        <v>45225</v>
      </c>
      <c r="AG1188" s="26" t="s">
        <v>5131</v>
      </c>
      <c r="AH1188" s="26"/>
      <c r="AI1188" s="40" t="s">
        <v>84</v>
      </c>
      <c r="AJ1188" s="26"/>
      <c r="AK1188" s="26"/>
      <c r="AL1188" s="35"/>
      <c r="AM1188" s="35"/>
      <c r="AN1188" s="35"/>
      <c r="AO1188" s="35"/>
      <c r="AP1188" s="35"/>
    </row>
    <row r="1189" spans="1:42" x14ac:dyDescent="0.2">
      <c r="A1189" s="27">
        <v>45224.968393854171</v>
      </c>
      <c r="B1189" s="28" t="s">
        <v>37</v>
      </c>
      <c r="C1189" s="41" t="s">
        <v>118</v>
      </c>
      <c r="D1189" s="26" t="s">
        <v>36</v>
      </c>
      <c r="E1189" s="26" t="s">
        <v>139</v>
      </c>
      <c r="F1189" s="26" t="s">
        <v>36</v>
      </c>
      <c r="G1189" s="26" t="s">
        <v>41</v>
      </c>
      <c r="H1189" s="26" t="s">
        <v>3414</v>
      </c>
      <c r="I1189" s="17">
        <f ca="1">IFERROR(__xludf.DUMMYFUNCTION("""COMPUTED_VALUE"""),45240)</f>
        <v>45240</v>
      </c>
      <c r="J1189" s="29" t="s">
        <v>5456</v>
      </c>
      <c r="K1189" s="26" t="s">
        <v>5457</v>
      </c>
      <c r="L1189" s="30">
        <v>359499051</v>
      </c>
      <c r="M1189" s="26" t="s">
        <v>3728</v>
      </c>
      <c r="N1189" s="26" t="s">
        <v>5312</v>
      </c>
      <c r="O1189" s="26" t="s">
        <v>5458</v>
      </c>
      <c r="P1189" s="26" t="s">
        <v>5314</v>
      </c>
      <c r="Q1189" s="20">
        <v>15936</v>
      </c>
      <c r="R1189" s="26" t="s">
        <v>36</v>
      </c>
      <c r="S1189" s="31">
        <v>2000</v>
      </c>
      <c r="T1189" s="32">
        <v>45224</v>
      </c>
      <c r="U1189" s="31">
        <v>13936</v>
      </c>
      <c r="V1189" s="32">
        <v>45256</v>
      </c>
      <c r="W1189" s="33" t="s">
        <v>5459</v>
      </c>
      <c r="X1189" s="26"/>
      <c r="Y1189" s="22">
        <v>0</v>
      </c>
      <c r="Z1189" s="26" t="s">
        <v>50</v>
      </c>
      <c r="AA1189" s="19" t="s">
        <v>5112</v>
      </c>
      <c r="AB1189" s="26" t="s">
        <v>104</v>
      </c>
      <c r="AC1189" s="26" t="s">
        <v>53</v>
      </c>
      <c r="AD1189" s="19" t="s">
        <v>138</v>
      </c>
      <c r="AE1189" s="26">
        <v>0</v>
      </c>
      <c r="AF1189" s="17">
        <v>45240</v>
      </c>
      <c r="AG1189" s="26" t="s">
        <v>1362</v>
      </c>
      <c r="AH1189" s="26"/>
      <c r="AI1189" s="40" t="s">
        <v>147</v>
      </c>
      <c r="AJ1189" s="26"/>
      <c r="AK1189" s="26"/>
      <c r="AL1189" s="35"/>
      <c r="AM1189" s="35"/>
      <c r="AN1189" s="35"/>
      <c r="AO1189" s="35"/>
      <c r="AP1189" s="35"/>
    </row>
    <row r="1190" spans="1:42" x14ac:dyDescent="0.2">
      <c r="A1190" s="27">
        <v>45225.358567858799</v>
      </c>
      <c r="B1190" s="28" t="s">
        <v>37</v>
      </c>
      <c r="C1190" s="41" t="s">
        <v>118</v>
      </c>
      <c r="D1190" s="26" t="s">
        <v>36</v>
      </c>
      <c r="E1190" s="26" t="s">
        <v>39</v>
      </c>
      <c r="F1190" s="26" t="s">
        <v>36</v>
      </c>
      <c r="G1190" s="26" t="s">
        <v>41</v>
      </c>
      <c r="H1190" s="26" t="s">
        <v>4133</v>
      </c>
      <c r="I1190" s="17">
        <f ca="1">IFERROR(__xludf.DUMMYFUNCTION("""COMPUTED_VALUE"""),45231)</f>
        <v>45231</v>
      </c>
      <c r="J1190" s="29" t="s">
        <v>5460</v>
      </c>
      <c r="K1190" s="26" t="s">
        <v>5461</v>
      </c>
      <c r="L1190" s="30">
        <v>383399052</v>
      </c>
      <c r="M1190" s="26" t="s">
        <v>910</v>
      </c>
      <c r="N1190" s="26" t="s">
        <v>260</v>
      </c>
      <c r="O1190" s="26" t="s">
        <v>3754</v>
      </c>
      <c r="P1190" s="26" t="s">
        <v>5462</v>
      </c>
      <c r="Q1190" s="20">
        <v>5736</v>
      </c>
      <c r="R1190" s="26" t="s">
        <v>70</v>
      </c>
      <c r="S1190" s="31">
        <v>2000</v>
      </c>
      <c r="T1190" s="32">
        <v>45222</v>
      </c>
      <c r="U1190" s="31">
        <v>3636</v>
      </c>
      <c r="V1190" s="32">
        <v>45249</v>
      </c>
      <c r="W1190" s="33" t="s">
        <v>5463</v>
      </c>
      <c r="X1190" s="26"/>
      <c r="Y1190" s="22">
        <v>100</v>
      </c>
      <c r="Z1190" s="26" t="s">
        <v>50</v>
      </c>
      <c r="AA1190" s="19" t="s">
        <v>5112</v>
      </c>
      <c r="AB1190" s="26" t="s">
        <v>104</v>
      </c>
      <c r="AC1190" s="26" t="s">
        <v>53</v>
      </c>
      <c r="AD1190" s="19" t="s">
        <v>138</v>
      </c>
      <c r="AE1190" s="26"/>
      <c r="AF1190" s="17">
        <v>45231</v>
      </c>
      <c r="AG1190" s="26" t="s">
        <v>1362</v>
      </c>
      <c r="AH1190" s="26"/>
      <c r="AI1190" s="40" t="s">
        <v>55</v>
      </c>
      <c r="AJ1190" s="26"/>
      <c r="AK1190" s="26"/>
      <c r="AL1190" s="35"/>
      <c r="AM1190" s="35"/>
      <c r="AN1190" s="35"/>
      <c r="AO1190" s="35"/>
      <c r="AP1190" s="35"/>
    </row>
    <row r="1191" spans="1:42" x14ac:dyDescent="0.2">
      <c r="A1191" s="27">
        <v>45225.360176365743</v>
      </c>
      <c r="B1191" s="28" t="s">
        <v>37</v>
      </c>
      <c r="C1191" s="41" t="s">
        <v>118</v>
      </c>
      <c r="D1191" s="26" t="s">
        <v>36</v>
      </c>
      <c r="E1191" s="26" t="s">
        <v>39</v>
      </c>
      <c r="F1191" s="26" t="s">
        <v>91</v>
      </c>
      <c r="G1191" s="26" t="s">
        <v>41</v>
      </c>
      <c r="H1191" s="26" t="s">
        <v>4133</v>
      </c>
      <c r="I1191" s="17">
        <f ca="1">IFERROR(__xludf.DUMMYFUNCTION("""COMPUTED_VALUE"""),45231)</f>
        <v>45231</v>
      </c>
      <c r="J1191" s="29" t="s">
        <v>5464</v>
      </c>
      <c r="K1191" s="26" t="s">
        <v>5465</v>
      </c>
      <c r="L1191" s="30">
        <v>397422005</v>
      </c>
      <c r="M1191" s="26" t="s">
        <v>910</v>
      </c>
      <c r="N1191" s="26" t="s">
        <v>260</v>
      </c>
      <c r="O1191" s="26" t="s">
        <v>3754</v>
      </c>
      <c r="P1191" s="26" t="s">
        <v>5462</v>
      </c>
      <c r="Q1191" s="20">
        <v>5736</v>
      </c>
      <c r="R1191" s="26" t="s">
        <v>70</v>
      </c>
      <c r="S1191" s="31">
        <v>2000</v>
      </c>
      <c r="T1191" s="32">
        <v>45224</v>
      </c>
      <c r="U1191" s="31">
        <v>3636</v>
      </c>
      <c r="V1191" s="32">
        <v>45248</v>
      </c>
      <c r="W1191" s="33" t="s">
        <v>5466</v>
      </c>
      <c r="X1191" s="26"/>
      <c r="Y1191" s="22">
        <v>100</v>
      </c>
      <c r="Z1191" s="26" t="s">
        <v>50</v>
      </c>
      <c r="AA1191" s="19" t="s">
        <v>5112</v>
      </c>
      <c r="AB1191" s="26" t="s">
        <v>104</v>
      </c>
      <c r="AC1191" s="26" t="s">
        <v>53</v>
      </c>
      <c r="AD1191" s="19" t="s">
        <v>138</v>
      </c>
      <c r="AE1191" s="26"/>
      <c r="AF1191" s="17">
        <v>45231</v>
      </c>
      <c r="AG1191" s="26" t="s">
        <v>1362</v>
      </c>
      <c r="AH1191" s="26"/>
      <c r="AI1191" s="40" t="s">
        <v>55</v>
      </c>
      <c r="AJ1191" s="26"/>
      <c r="AK1191" s="26"/>
      <c r="AL1191" s="35"/>
      <c r="AM1191" s="35"/>
      <c r="AN1191" s="35"/>
      <c r="AO1191" s="35"/>
      <c r="AP1191" s="35"/>
    </row>
    <row r="1192" spans="1:42" x14ac:dyDescent="0.2">
      <c r="A1192" s="27">
        <v>45225.773935914352</v>
      </c>
      <c r="B1192" s="28" t="s">
        <v>37</v>
      </c>
      <c r="C1192" s="41" t="s">
        <v>118</v>
      </c>
      <c r="D1192" s="26" t="s">
        <v>36</v>
      </c>
      <c r="E1192" s="26" t="s">
        <v>139</v>
      </c>
      <c r="F1192" s="26" t="s">
        <v>36</v>
      </c>
      <c r="G1192" s="26" t="s">
        <v>41</v>
      </c>
      <c r="H1192" s="26" t="s">
        <v>4371</v>
      </c>
      <c r="I1192" s="17">
        <f ca="1">IFERROR(__xludf.DUMMYFUNCTION("""COMPUTED_VALUE"""),45231)</f>
        <v>45231</v>
      </c>
      <c r="J1192" s="29" t="s">
        <v>5467</v>
      </c>
      <c r="K1192" s="26" t="s">
        <v>5468</v>
      </c>
      <c r="L1192" s="30">
        <v>971237752</v>
      </c>
      <c r="M1192" s="26" t="s">
        <v>3728</v>
      </c>
      <c r="N1192" s="26" t="s">
        <v>5312</v>
      </c>
      <c r="O1192" s="26" t="s">
        <v>5469</v>
      </c>
      <c r="P1192" s="26" t="s">
        <v>5470</v>
      </c>
      <c r="Q1192" s="20">
        <v>15936</v>
      </c>
      <c r="R1192" s="26" t="s">
        <v>36</v>
      </c>
      <c r="S1192" s="31">
        <v>2000</v>
      </c>
      <c r="T1192" s="32">
        <v>45225</v>
      </c>
      <c r="U1192" s="31">
        <v>13936</v>
      </c>
      <c r="V1192" s="32">
        <v>45251</v>
      </c>
      <c r="W1192" s="33" t="s">
        <v>5471</v>
      </c>
      <c r="X1192" s="26"/>
      <c r="Y1192" s="22">
        <v>0</v>
      </c>
      <c r="Z1192" s="26" t="s">
        <v>50</v>
      </c>
      <c r="AA1192" s="19" t="s">
        <v>5112</v>
      </c>
      <c r="AB1192" s="26" t="s">
        <v>104</v>
      </c>
      <c r="AC1192" s="26" t="s">
        <v>53</v>
      </c>
      <c r="AD1192" s="19" t="s">
        <v>54</v>
      </c>
      <c r="AE1192" s="26">
        <v>0</v>
      </c>
      <c r="AF1192" s="43">
        <v>45226</v>
      </c>
      <c r="AG1192" s="26"/>
      <c r="AH1192" s="26"/>
      <c r="AI1192" s="40" t="s">
        <v>147</v>
      </c>
      <c r="AJ1192" s="26"/>
      <c r="AK1192" s="26"/>
      <c r="AL1192" s="35"/>
      <c r="AM1192" s="35"/>
      <c r="AN1192" s="35"/>
      <c r="AO1192" s="35"/>
      <c r="AP1192" s="35"/>
    </row>
    <row r="1193" spans="1:42" x14ac:dyDescent="0.2">
      <c r="A1193" s="27">
        <v>45226.331200567132</v>
      </c>
      <c r="B1193" s="28" t="s">
        <v>37</v>
      </c>
      <c r="C1193" s="41" t="s">
        <v>118</v>
      </c>
      <c r="D1193" s="26" t="s">
        <v>36</v>
      </c>
      <c r="E1193" s="26" t="s">
        <v>106</v>
      </c>
      <c r="F1193" s="26" t="s">
        <v>36</v>
      </c>
      <c r="G1193" s="26" t="s">
        <v>108</v>
      </c>
      <c r="H1193" s="26" t="s">
        <v>5472</v>
      </c>
      <c r="I1193" s="17">
        <f ca="1">IFERROR(__xludf.DUMMYFUNCTION("""COMPUTED_VALUE"""),45299)</f>
        <v>45299</v>
      </c>
      <c r="J1193" s="29" t="s">
        <v>5473</v>
      </c>
      <c r="K1193" s="26" t="s">
        <v>5474</v>
      </c>
      <c r="L1193" s="30">
        <v>796079468</v>
      </c>
      <c r="M1193" s="26" t="s">
        <v>112</v>
      </c>
      <c r="N1193" s="26" t="s">
        <v>113</v>
      </c>
      <c r="O1193" s="26" t="s">
        <v>5475</v>
      </c>
      <c r="P1193" s="26" t="s">
        <v>5476</v>
      </c>
      <c r="Q1193" s="20">
        <v>3768</v>
      </c>
      <c r="R1193" s="26" t="s">
        <v>36</v>
      </c>
      <c r="S1193" s="31">
        <v>1000</v>
      </c>
      <c r="T1193" s="32">
        <v>45226</v>
      </c>
      <c r="U1193" s="31">
        <v>2768</v>
      </c>
      <c r="V1193" s="32">
        <v>45236</v>
      </c>
      <c r="W1193" s="33" t="s">
        <v>5477</v>
      </c>
      <c r="X1193" s="26"/>
      <c r="Y1193" s="22">
        <v>0</v>
      </c>
      <c r="Z1193" s="26" t="s">
        <v>50</v>
      </c>
      <c r="AA1193" s="19" t="s">
        <v>5112</v>
      </c>
      <c r="AB1193" s="26" t="s">
        <v>128</v>
      </c>
      <c r="AC1193" s="26" t="s">
        <v>53</v>
      </c>
      <c r="AD1193" s="19" t="s">
        <v>54</v>
      </c>
      <c r="AE1193" s="26"/>
      <c r="AF1193" s="43">
        <v>45230</v>
      </c>
      <c r="AG1193" s="26"/>
      <c r="AH1193" s="26"/>
      <c r="AI1193" s="40">
        <v>1</v>
      </c>
      <c r="AJ1193" s="26"/>
      <c r="AK1193" s="26"/>
      <c r="AL1193" s="35"/>
      <c r="AM1193" s="35"/>
      <c r="AN1193" s="35"/>
      <c r="AO1193" s="35"/>
      <c r="AP1193" s="35"/>
    </row>
    <row r="1194" spans="1:42" x14ac:dyDescent="0.2">
      <c r="A1194" s="27">
        <v>45226.394828449076</v>
      </c>
      <c r="B1194" s="28" t="s">
        <v>37</v>
      </c>
      <c r="C1194" s="41" t="s">
        <v>118</v>
      </c>
      <c r="D1194" s="26" t="s">
        <v>36</v>
      </c>
      <c r="E1194" s="26" t="s">
        <v>139</v>
      </c>
      <c r="F1194" s="26" t="s">
        <v>91</v>
      </c>
      <c r="G1194" s="26" t="s">
        <v>41</v>
      </c>
      <c r="H1194" s="26" t="s">
        <v>3414</v>
      </c>
      <c r="I1194" s="17">
        <f ca="1">IFERROR(__xludf.DUMMYFUNCTION("""COMPUTED_VALUE"""),45240)</f>
        <v>45240</v>
      </c>
      <c r="J1194" s="29" t="s">
        <v>5478</v>
      </c>
      <c r="K1194" s="26" t="s">
        <v>5479</v>
      </c>
      <c r="L1194" s="30">
        <v>377762634</v>
      </c>
      <c r="M1194" s="26" t="s">
        <v>123</v>
      </c>
      <c r="N1194" s="26" t="s">
        <v>186</v>
      </c>
      <c r="O1194" s="26" t="s">
        <v>1226</v>
      </c>
      <c r="P1194" s="26" t="s">
        <v>3056</v>
      </c>
      <c r="Q1194" s="20">
        <v>15936</v>
      </c>
      <c r="R1194" s="26" t="s">
        <v>70</v>
      </c>
      <c r="S1194" s="31">
        <v>5000</v>
      </c>
      <c r="T1194" s="32">
        <v>45225</v>
      </c>
      <c r="U1194" s="58">
        <v>10836</v>
      </c>
      <c r="V1194" s="59">
        <v>45259</v>
      </c>
      <c r="W1194" s="33" t="s">
        <v>5480</v>
      </c>
      <c r="X1194" s="26"/>
      <c r="Y1194" s="22">
        <v>100</v>
      </c>
      <c r="Z1194" s="26" t="s">
        <v>50</v>
      </c>
      <c r="AA1194" s="19" t="s">
        <v>5112</v>
      </c>
      <c r="AB1194" s="26" t="s">
        <v>104</v>
      </c>
      <c r="AC1194" s="26" t="s">
        <v>53</v>
      </c>
      <c r="AD1194" s="19" t="s">
        <v>138</v>
      </c>
      <c r="AE1194" s="26"/>
      <c r="AF1194" s="17">
        <v>45240</v>
      </c>
      <c r="AG1194" s="26" t="s">
        <v>1362</v>
      </c>
      <c r="AH1194" s="26"/>
      <c r="AI1194" s="40" t="s">
        <v>147</v>
      </c>
      <c r="AJ1194" s="26"/>
      <c r="AK1194" s="26"/>
      <c r="AL1194" s="35"/>
      <c r="AM1194" s="35"/>
      <c r="AN1194" s="35"/>
      <c r="AO1194" s="35"/>
      <c r="AP1194" s="35"/>
    </row>
    <row r="1195" spans="1:42" x14ac:dyDescent="0.2">
      <c r="A1195" s="27">
        <v>45226.755671631945</v>
      </c>
      <c r="B1195" s="28" t="s">
        <v>37</v>
      </c>
      <c r="C1195" s="41" t="s">
        <v>118</v>
      </c>
      <c r="D1195" s="26" t="s">
        <v>36</v>
      </c>
      <c r="E1195" s="26" t="s">
        <v>139</v>
      </c>
      <c r="F1195" s="26" t="s">
        <v>36</v>
      </c>
      <c r="G1195" s="26" t="s">
        <v>41</v>
      </c>
      <c r="H1195" s="26" t="s">
        <v>3414</v>
      </c>
      <c r="I1195" s="17">
        <f ca="1">IFERROR(__xludf.DUMMYFUNCTION("""COMPUTED_VALUE"""),45240)</f>
        <v>45240</v>
      </c>
      <c r="J1195" s="29" t="s">
        <v>5481</v>
      </c>
      <c r="K1195" s="26" t="s">
        <v>5482</v>
      </c>
      <c r="L1195" s="30">
        <v>332762963</v>
      </c>
      <c r="M1195" s="26" t="s">
        <v>80</v>
      </c>
      <c r="N1195" s="26" t="s">
        <v>186</v>
      </c>
      <c r="O1195" s="26" t="s">
        <v>5483</v>
      </c>
      <c r="P1195" s="26" t="s">
        <v>5484</v>
      </c>
      <c r="Q1195" s="20">
        <v>15936</v>
      </c>
      <c r="R1195" s="26" t="s">
        <v>36</v>
      </c>
      <c r="S1195" s="31">
        <v>2000</v>
      </c>
      <c r="T1195" s="32">
        <v>45225</v>
      </c>
      <c r="U1195" s="31">
        <v>13936</v>
      </c>
      <c r="V1195" s="32">
        <v>45257</v>
      </c>
      <c r="W1195" s="33" t="s">
        <v>5485</v>
      </c>
      <c r="X1195" s="26"/>
      <c r="Y1195" s="22">
        <v>0</v>
      </c>
      <c r="Z1195" s="26" t="s">
        <v>50</v>
      </c>
      <c r="AA1195" s="19" t="s">
        <v>5112</v>
      </c>
      <c r="AB1195" s="26" t="s">
        <v>104</v>
      </c>
      <c r="AC1195" s="26" t="s">
        <v>53</v>
      </c>
      <c r="AD1195" s="19" t="s">
        <v>138</v>
      </c>
      <c r="AE1195" s="26">
        <v>0</v>
      </c>
      <c r="AF1195" s="17">
        <v>45240</v>
      </c>
      <c r="AG1195" s="26" t="s">
        <v>1362</v>
      </c>
      <c r="AH1195" s="26"/>
      <c r="AI1195" s="40" t="s">
        <v>147</v>
      </c>
      <c r="AJ1195" s="26"/>
      <c r="AK1195" s="26"/>
      <c r="AL1195" s="35"/>
      <c r="AM1195" s="35"/>
      <c r="AN1195" s="35"/>
      <c r="AO1195" s="35"/>
      <c r="AP1195" s="35"/>
    </row>
    <row r="1196" spans="1:42" x14ac:dyDescent="0.2">
      <c r="A1196" s="27">
        <v>45229.868660891203</v>
      </c>
      <c r="B1196" s="28" t="s">
        <v>37</v>
      </c>
      <c r="C1196" s="41" t="s">
        <v>118</v>
      </c>
      <c r="D1196" s="26" t="s">
        <v>36</v>
      </c>
      <c r="E1196" s="26" t="s">
        <v>139</v>
      </c>
      <c r="F1196" s="26" t="s">
        <v>91</v>
      </c>
      <c r="G1196" s="26" t="s">
        <v>41</v>
      </c>
      <c r="H1196" s="26" t="s">
        <v>4129</v>
      </c>
      <c r="I1196" s="17">
        <f ca="1">IFERROR(__xludf.DUMMYFUNCTION("""COMPUTED_VALUE"""),45232)</f>
        <v>45232</v>
      </c>
      <c r="J1196" s="29" t="s">
        <v>5486</v>
      </c>
      <c r="K1196" s="26" t="s">
        <v>5487</v>
      </c>
      <c r="L1196" s="30">
        <v>338936412</v>
      </c>
      <c r="M1196" s="26" t="s">
        <v>910</v>
      </c>
      <c r="N1196" s="26" t="s">
        <v>3525</v>
      </c>
      <c r="O1196" s="26" t="s">
        <v>5488</v>
      </c>
      <c r="P1196" s="26" t="s">
        <v>5489</v>
      </c>
      <c r="Q1196" s="20">
        <v>15936</v>
      </c>
      <c r="R1196" s="26" t="s">
        <v>36</v>
      </c>
      <c r="S1196" s="31">
        <v>5000</v>
      </c>
      <c r="T1196" s="32">
        <v>45229</v>
      </c>
      <c r="U1196" s="31">
        <v>10936</v>
      </c>
      <c r="V1196" s="32">
        <v>45246</v>
      </c>
      <c r="W1196" s="26" t="s">
        <v>5490</v>
      </c>
      <c r="X1196" s="26"/>
      <c r="Y1196" s="22">
        <v>0</v>
      </c>
      <c r="Z1196" s="26" t="s">
        <v>50</v>
      </c>
      <c r="AA1196" s="19" t="s">
        <v>5112</v>
      </c>
      <c r="AB1196" s="26" t="s">
        <v>104</v>
      </c>
      <c r="AC1196" s="26" t="s">
        <v>53</v>
      </c>
      <c r="AD1196" s="19" t="s">
        <v>138</v>
      </c>
      <c r="AE1196" s="26"/>
      <c r="AF1196" s="17">
        <v>45232</v>
      </c>
      <c r="AG1196" s="26" t="s">
        <v>1362</v>
      </c>
      <c r="AH1196" s="26"/>
      <c r="AI1196" s="40" t="s">
        <v>147</v>
      </c>
      <c r="AJ1196" s="26"/>
      <c r="AK1196" s="26"/>
      <c r="AL1196" s="35"/>
      <c r="AM1196" s="35"/>
      <c r="AN1196" s="35"/>
      <c r="AO1196" s="35"/>
      <c r="AP1196" s="35"/>
    </row>
    <row r="1197" spans="1:42" x14ac:dyDescent="0.2">
      <c r="A1197" s="27">
        <v>45231.672583391206</v>
      </c>
      <c r="B1197" s="28" t="s">
        <v>37</v>
      </c>
      <c r="C1197" s="41" t="s">
        <v>118</v>
      </c>
      <c r="D1197" s="26" t="s">
        <v>36</v>
      </c>
      <c r="E1197" s="26" t="s">
        <v>77</v>
      </c>
      <c r="F1197" s="26" t="s">
        <v>91</v>
      </c>
      <c r="G1197" s="26" t="s">
        <v>41</v>
      </c>
      <c r="H1197" s="26" t="s">
        <v>4409</v>
      </c>
      <c r="I1197" s="17">
        <f ca="1">IFERROR(__xludf.DUMMYFUNCTION("""COMPUTED_VALUE"""),45236)</f>
        <v>45236</v>
      </c>
      <c r="J1197" s="29" t="s">
        <v>5491</v>
      </c>
      <c r="K1197" s="26" t="s">
        <v>5492</v>
      </c>
      <c r="L1197" s="30">
        <v>974634945</v>
      </c>
      <c r="M1197" s="26" t="s">
        <v>391</v>
      </c>
      <c r="N1197" s="26" t="s">
        <v>1424</v>
      </c>
      <c r="O1197" s="26" t="s">
        <v>5493</v>
      </c>
      <c r="P1197" s="26" t="s">
        <v>5494</v>
      </c>
      <c r="Q1197" s="20">
        <v>1968</v>
      </c>
      <c r="R1197" s="26" t="s">
        <v>36</v>
      </c>
      <c r="S1197" s="31">
        <v>1968</v>
      </c>
      <c r="T1197" s="32">
        <v>45231</v>
      </c>
      <c r="U1197" s="31"/>
      <c r="V1197" s="26"/>
      <c r="W1197" s="33" t="s">
        <v>5495</v>
      </c>
      <c r="X1197" s="26"/>
      <c r="Y1197" s="22">
        <v>0</v>
      </c>
      <c r="Z1197" s="26" t="s">
        <v>50</v>
      </c>
      <c r="AA1197" s="19" t="s">
        <v>5112</v>
      </c>
      <c r="AB1197" s="26" t="s">
        <v>104</v>
      </c>
      <c r="AC1197" s="26" t="s">
        <v>53</v>
      </c>
      <c r="AD1197" s="19" t="s">
        <v>54</v>
      </c>
      <c r="AE1197" s="26"/>
      <c r="AF1197" s="17">
        <v>45236</v>
      </c>
      <c r="AG1197" s="26"/>
      <c r="AH1197" s="26"/>
      <c r="AI1197" s="40" t="s">
        <v>84</v>
      </c>
      <c r="AJ1197" s="26"/>
      <c r="AK1197" s="26"/>
      <c r="AL1197" s="35"/>
      <c r="AM1197" s="35"/>
      <c r="AN1197" s="35"/>
      <c r="AO1197" s="35"/>
      <c r="AP1197" s="35"/>
    </row>
    <row r="1198" spans="1:42" x14ac:dyDescent="0.2">
      <c r="A1198" s="27">
        <v>45231.693212638886</v>
      </c>
      <c r="B1198" s="28" t="s">
        <v>90</v>
      </c>
      <c r="C1198" s="41" t="s">
        <v>118</v>
      </c>
      <c r="D1198" s="26" t="s">
        <v>36</v>
      </c>
      <c r="E1198" s="26" t="s">
        <v>106</v>
      </c>
      <c r="F1198" s="26" t="s">
        <v>91</v>
      </c>
      <c r="G1198" s="26" t="s">
        <v>108</v>
      </c>
      <c r="H1198" s="26" t="s">
        <v>3285</v>
      </c>
      <c r="I1198" s="17">
        <f ca="1">IFERROR(__xludf.DUMMYFUNCTION("""COMPUTED_VALUE"""),45229)</f>
        <v>45229</v>
      </c>
      <c r="J1198" s="29" t="s">
        <v>5496</v>
      </c>
      <c r="K1198" s="26" t="s">
        <v>5497</v>
      </c>
      <c r="L1198" s="30">
        <v>378104047</v>
      </c>
      <c r="M1198" s="26" t="s">
        <v>910</v>
      </c>
      <c r="N1198" s="26" t="s">
        <v>355</v>
      </c>
      <c r="O1198" s="26" t="s">
        <v>5498</v>
      </c>
      <c r="P1198" s="26" t="s">
        <v>5499</v>
      </c>
      <c r="Q1198" s="20">
        <v>3768</v>
      </c>
      <c r="R1198" s="26" t="s">
        <v>36</v>
      </c>
      <c r="S1198" s="31">
        <v>3768</v>
      </c>
      <c r="T1198" s="32">
        <v>45231</v>
      </c>
      <c r="U1198" s="31"/>
      <c r="V1198" s="26"/>
      <c r="W1198" s="33" t="s">
        <v>5500</v>
      </c>
      <c r="X1198" s="26"/>
      <c r="Y1198" s="22">
        <v>0</v>
      </c>
      <c r="Z1198" s="26" t="s">
        <v>50</v>
      </c>
      <c r="AA1198" s="19" t="s">
        <v>5112</v>
      </c>
      <c r="AB1198" s="26" t="s">
        <v>128</v>
      </c>
      <c r="AC1198" s="26" t="s">
        <v>53</v>
      </c>
      <c r="AD1198" s="19" t="s">
        <v>138</v>
      </c>
      <c r="AE1198" s="26"/>
      <c r="AF1198" s="17">
        <v>45231</v>
      </c>
      <c r="AG1198" s="26" t="s">
        <v>5501</v>
      </c>
      <c r="AH1198" s="26"/>
      <c r="AI1198" s="40">
        <v>1</v>
      </c>
      <c r="AJ1198" s="26"/>
      <c r="AK1198" s="26"/>
      <c r="AL1198" s="35"/>
      <c r="AM1198" s="35"/>
      <c r="AN1198" s="35"/>
      <c r="AO1198" s="35"/>
      <c r="AP1198" s="35"/>
    </row>
    <row r="1199" spans="1:42" x14ac:dyDescent="0.2">
      <c r="A1199" s="27">
        <v>45232.005958807873</v>
      </c>
      <c r="B1199" s="28" t="s">
        <v>37</v>
      </c>
      <c r="C1199" s="41" t="s">
        <v>118</v>
      </c>
      <c r="D1199" s="26" t="s">
        <v>36</v>
      </c>
      <c r="E1199" s="26" t="s">
        <v>106</v>
      </c>
      <c r="F1199" s="26" t="s">
        <v>91</v>
      </c>
      <c r="G1199" s="26" t="s">
        <v>108</v>
      </c>
      <c r="H1199" s="26" t="s">
        <v>2128</v>
      </c>
      <c r="I1199" s="17">
        <f ca="1">IFERROR(__xludf.DUMMYFUNCTION("""COMPUTED_VALUE"""),45237)</f>
        <v>45237</v>
      </c>
      <c r="J1199" s="29" t="s">
        <v>5502</v>
      </c>
      <c r="K1199" s="26" t="s">
        <v>5503</v>
      </c>
      <c r="L1199" s="30">
        <v>931519658</v>
      </c>
      <c r="M1199" s="26" t="s">
        <v>633</v>
      </c>
      <c r="N1199" s="26" t="s">
        <v>1384</v>
      </c>
      <c r="O1199" s="26" t="s">
        <v>5504</v>
      </c>
      <c r="P1199" s="26" t="s">
        <v>5505</v>
      </c>
      <c r="Q1199" s="20">
        <v>3768</v>
      </c>
      <c r="R1199" s="26" t="s">
        <v>36</v>
      </c>
      <c r="S1199" s="31">
        <v>1000</v>
      </c>
      <c r="T1199" s="32">
        <v>45231</v>
      </c>
      <c r="U1199" s="31">
        <v>2768</v>
      </c>
      <c r="V1199" s="32">
        <v>45233</v>
      </c>
      <c r="W1199" s="33" t="s">
        <v>5506</v>
      </c>
      <c r="X1199" s="26"/>
      <c r="Y1199" s="22">
        <v>0</v>
      </c>
      <c r="Z1199" s="26" t="s">
        <v>50</v>
      </c>
      <c r="AA1199" s="19" t="s">
        <v>5112</v>
      </c>
      <c r="AB1199" s="26" t="s">
        <v>137</v>
      </c>
      <c r="AC1199" s="26" t="s">
        <v>53</v>
      </c>
      <c r="AD1199" s="19" t="s">
        <v>54</v>
      </c>
      <c r="AE1199" s="26">
        <v>380</v>
      </c>
      <c r="AF1199" s="17">
        <v>45236</v>
      </c>
      <c r="AG1199" s="26"/>
      <c r="AH1199" s="26"/>
      <c r="AI1199" s="40">
        <v>1</v>
      </c>
      <c r="AJ1199" s="26"/>
      <c r="AK1199" s="26"/>
      <c r="AL1199" s="35"/>
      <c r="AM1199" s="35"/>
      <c r="AN1199" s="35"/>
      <c r="AO1199" s="35"/>
      <c r="AP1199" s="35"/>
    </row>
    <row r="1200" spans="1:42" x14ac:dyDescent="0.2">
      <c r="A1200" s="27">
        <v>45232.791306296298</v>
      </c>
      <c r="B1200" s="28" t="s">
        <v>37</v>
      </c>
      <c r="C1200" s="41" t="s">
        <v>118</v>
      </c>
      <c r="D1200" s="26" t="s">
        <v>36</v>
      </c>
      <c r="E1200" s="26" t="s">
        <v>139</v>
      </c>
      <c r="F1200" s="26" t="s">
        <v>36</v>
      </c>
      <c r="G1200" s="26" t="s">
        <v>41</v>
      </c>
      <c r="H1200" s="26" t="s">
        <v>4409</v>
      </c>
      <c r="I1200" s="17">
        <f ca="1">IFERROR(__xludf.DUMMYFUNCTION("""COMPUTED_VALUE"""),45236)</f>
        <v>45236</v>
      </c>
      <c r="J1200" s="29" t="s">
        <v>5507</v>
      </c>
      <c r="K1200" s="26" t="s">
        <v>5508</v>
      </c>
      <c r="L1200" s="30">
        <v>978397153</v>
      </c>
      <c r="M1200" s="26" t="s">
        <v>59</v>
      </c>
      <c r="N1200" s="26" t="s">
        <v>68</v>
      </c>
      <c r="O1200" s="26" t="s">
        <v>5509</v>
      </c>
      <c r="P1200" s="26" t="s">
        <v>5510</v>
      </c>
      <c r="Q1200" s="20">
        <v>15936</v>
      </c>
      <c r="R1200" s="26" t="s">
        <v>36</v>
      </c>
      <c r="S1200" s="31">
        <v>7000</v>
      </c>
      <c r="T1200" s="32">
        <v>45232</v>
      </c>
      <c r="U1200" s="31">
        <v>8963</v>
      </c>
      <c r="V1200" s="32">
        <v>45260</v>
      </c>
      <c r="W1200" s="33" t="s">
        <v>5511</v>
      </c>
      <c r="X1200" s="26"/>
      <c r="Y1200" s="22">
        <v>-27</v>
      </c>
      <c r="Z1200" s="26" t="s">
        <v>50</v>
      </c>
      <c r="AA1200" s="19" t="s">
        <v>5112</v>
      </c>
      <c r="AB1200" s="26" t="s">
        <v>154</v>
      </c>
      <c r="AC1200" s="26" t="s">
        <v>53</v>
      </c>
      <c r="AD1200" s="19" t="s">
        <v>54</v>
      </c>
      <c r="AE1200" s="26" t="s">
        <v>72</v>
      </c>
      <c r="AF1200" s="17">
        <v>45236</v>
      </c>
      <c r="AG1200" s="26"/>
      <c r="AH1200" s="26"/>
      <c r="AI1200" s="40" t="s">
        <v>147</v>
      </c>
      <c r="AJ1200" s="26"/>
      <c r="AK1200" s="26"/>
      <c r="AL1200" s="35"/>
      <c r="AM1200" s="35"/>
      <c r="AN1200" s="35"/>
      <c r="AO1200" s="35"/>
      <c r="AP1200" s="35"/>
    </row>
    <row r="1201" spans="1:42" x14ac:dyDescent="0.2">
      <c r="A1201" s="27">
        <v>45233.985283182876</v>
      </c>
      <c r="B1201" s="28" t="s">
        <v>37</v>
      </c>
      <c r="C1201" s="41" t="s">
        <v>118</v>
      </c>
      <c r="D1201" s="26" t="s">
        <v>36</v>
      </c>
      <c r="E1201" s="26" t="s">
        <v>139</v>
      </c>
      <c r="F1201" s="26" t="s">
        <v>36</v>
      </c>
      <c r="G1201" s="26" t="s">
        <v>41</v>
      </c>
      <c r="H1201" s="26" t="s">
        <v>3414</v>
      </c>
      <c r="I1201" s="17">
        <f ca="1">IFERROR(__xludf.DUMMYFUNCTION("""COMPUTED_VALUE"""),45240)</f>
        <v>45240</v>
      </c>
      <c r="J1201" s="29" t="s">
        <v>5512</v>
      </c>
      <c r="K1201" s="26" t="s">
        <v>5513</v>
      </c>
      <c r="L1201" s="30">
        <v>366306689</v>
      </c>
      <c r="M1201" s="26" t="s">
        <v>5429</v>
      </c>
      <c r="N1201" s="26" t="s">
        <v>81</v>
      </c>
      <c r="O1201" s="26" t="s">
        <v>5514</v>
      </c>
      <c r="P1201" s="26" t="s">
        <v>2641</v>
      </c>
      <c r="Q1201" s="20">
        <v>15936</v>
      </c>
      <c r="R1201" s="26" t="s">
        <v>36</v>
      </c>
      <c r="S1201" s="31">
        <v>2000</v>
      </c>
      <c r="T1201" s="32">
        <v>45229</v>
      </c>
      <c r="U1201" s="31">
        <v>13968</v>
      </c>
      <c r="V1201" s="32">
        <v>45257</v>
      </c>
      <c r="W1201" s="33" t="s">
        <v>5515</v>
      </c>
      <c r="X1201" s="26"/>
      <c r="Y1201" s="22">
        <v>-32</v>
      </c>
      <c r="Z1201" s="26" t="s">
        <v>50</v>
      </c>
      <c r="AA1201" s="19" t="s">
        <v>5112</v>
      </c>
      <c r="AB1201" s="26" t="s">
        <v>104</v>
      </c>
      <c r="AC1201" s="26" t="s">
        <v>53</v>
      </c>
      <c r="AD1201" s="19" t="s">
        <v>138</v>
      </c>
      <c r="AE1201" s="26">
        <v>0</v>
      </c>
      <c r="AF1201" s="17">
        <v>45240</v>
      </c>
      <c r="AG1201" s="26" t="s">
        <v>1362</v>
      </c>
      <c r="AH1201" s="26"/>
      <c r="AI1201" s="40" t="s">
        <v>147</v>
      </c>
      <c r="AJ1201" s="26"/>
      <c r="AK1201" s="26"/>
      <c r="AL1201" s="35"/>
      <c r="AM1201" s="35"/>
      <c r="AN1201" s="35"/>
      <c r="AO1201" s="35"/>
      <c r="AP1201" s="35"/>
    </row>
    <row r="1202" spans="1:42" x14ac:dyDescent="0.2">
      <c r="A1202" s="27">
        <v>45233.987128402776</v>
      </c>
      <c r="B1202" s="28" t="s">
        <v>37</v>
      </c>
      <c r="C1202" s="41" t="s">
        <v>118</v>
      </c>
      <c r="D1202" s="26" t="s">
        <v>36</v>
      </c>
      <c r="E1202" s="26" t="s">
        <v>139</v>
      </c>
      <c r="F1202" s="26" t="s">
        <v>36</v>
      </c>
      <c r="G1202" s="26" t="s">
        <v>41</v>
      </c>
      <c r="H1202" s="26" t="s">
        <v>3414</v>
      </c>
      <c r="I1202" s="17">
        <f ca="1">IFERROR(__xludf.DUMMYFUNCTION("""COMPUTED_VALUE"""),45240)</f>
        <v>45240</v>
      </c>
      <c r="J1202" s="29" t="s">
        <v>5516</v>
      </c>
      <c r="K1202" s="26" t="s">
        <v>5517</v>
      </c>
      <c r="L1202" s="30">
        <v>365253934</v>
      </c>
      <c r="M1202" s="26" t="s">
        <v>5518</v>
      </c>
      <c r="N1202" s="26" t="s">
        <v>186</v>
      </c>
      <c r="O1202" s="26" t="s">
        <v>5519</v>
      </c>
      <c r="P1202" s="26" t="s">
        <v>2641</v>
      </c>
      <c r="Q1202" s="20">
        <v>15936</v>
      </c>
      <c r="R1202" s="26" t="s">
        <v>36</v>
      </c>
      <c r="S1202" s="31">
        <v>200</v>
      </c>
      <c r="T1202" s="32">
        <v>45230</v>
      </c>
      <c r="U1202" s="31">
        <f>3800+11936</f>
        <v>15736</v>
      </c>
      <c r="V1202" s="26" t="s">
        <v>5520</v>
      </c>
      <c r="W1202" s="33" t="s">
        <v>5521</v>
      </c>
      <c r="X1202" s="26"/>
      <c r="Y1202" s="22">
        <v>0</v>
      </c>
      <c r="Z1202" s="26" t="s">
        <v>50</v>
      </c>
      <c r="AA1202" s="19" t="s">
        <v>5112</v>
      </c>
      <c r="AB1202" s="26" t="s">
        <v>104</v>
      </c>
      <c r="AC1202" s="26" t="s">
        <v>53</v>
      </c>
      <c r="AD1202" s="19" t="s">
        <v>138</v>
      </c>
      <c r="AE1202" s="26">
        <v>0</v>
      </c>
      <c r="AF1202" s="17">
        <v>45240</v>
      </c>
      <c r="AG1202" s="26" t="s">
        <v>1362</v>
      </c>
      <c r="AH1202" s="26"/>
      <c r="AI1202" s="40" t="s">
        <v>147</v>
      </c>
      <c r="AJ1202" s="26"/>
      <c r="AK1202" s="26"/>
      <c r="AL1202" s="35"/>
      <c r="AM1202" s="35"/>
      <c r="AN1202" s="35"/>
      <c r="AO1202" s="35"/>
      <c r="AP1202" s="35"/>
    </row>
    <row r="1203" spans="1:42" x14ac:dyDescent="0.2">
      <c r="A1203" s="27">
        <v>45233.988294201394</v>
      </c>
      <c r="B1203" s="28" t="s">
        <v>37</v>
      </c>
      <c r="C1203" s="41" t="s">
        <v>118</v>
      </c>
      <c r="D1203" s="26" t="s">
        <v>36</v>
      </c>
      <c r="E1203" s="26" t="s">
        <v>77</v>
      </c>
      <c r="F1203" s="26" t="s">
        <v>36</v>
      </c>
      <c r="G1203" s="26" t="s">
        <v>41</v>
      </c>
      <c r="H1203" s="26" t="s">
        <v>3365</v>
      </c>
      <c r="I1203" s="17">
        <f ca="1">IFERROR(__xludf.DUMMYFUNCTION("""COMPUTED_VALUE"""),45244)</f>
        <v>45244</v>
      </c>
      <c r="J1203" s="29" t="s">
        <v>5522</v>
      </c>
      <c r="K1203" s="26" t="s">
        <v>5523</v>
      </c>
      <c r="L1203" s="30">
        <v>365626632</v>
      </c>
      <c r="M1203" s="26" t="s">
        <v>5518</v>
      </c>
      <c r="N1203" s="26" t="s">
        <v>5524</v>
      </c>
      <c r="O1203" s="26" t="s">
        <v>5525</v>
      </c>
      <c r="P1203" s="26" t="s">
        <v>5526</v>
      </c>
      <c r="Q1203" s="20">
        <v>1968</v>
      </c>
      <c r="R1203" s="26" t="s">
        <v>36</v>
      </c>
      <c r="S1203" s="31">
        <v>1968</v>
      </c>
      <c r="T1203" s="32">
        <v>45231</v>
      </c>
      <c r="U1203" s="31"/>
      <c r="V1203" s="26"/>
      <c r="W1203" s="33" t="s">
        <v>5527</v>
      </c>
      <c r="X1203" s="26"/>
      <c r="Y1203" s="22">
        <v>0</v>
      </c>
      <c r="Z1203" s="26" t="s">
        <v>50</v>
      </c>
      <c r="AA1203" s="19" t="s">
        <v>5112</v>
      </c>
      <c r="AB1203" s="26" t="s">
        <v>104</v>
      </c>
      <c r="AC1203" s="26" t="s">
        <v>53</v>
      </c>
      <c r="AD1203" s="19" t="s">
        <v>54</v>
      </c>
      <c r="AE1203" s="26">
        <v>0</v>
      </c>
      <c r="AF1203" s="17">
        <v>45236</v>
      </c>
      <c r="AG1203" s="26"/>
      <c r="AH1203" s="26"/>
      <c r="AI1203" s="40" t="s">
        <v>84</v>
      </c>
      <c r="AJ1203" s="26"/>
      <c r="AK1203" s="26"/>
      <c r="AL1203" s="35"/>
      <c r="AM1203" s="35"/>
      <c r="AN1203" s="35"/>
      <c r="AO1203" s="35"/>
      <c r="AP1203" s="35"/>
    </row>
    <row r="1204" spans="1:42" x14ac:dyDescent="0.2">
      <c r="A1204" s="27">
        <v>45233.989125</v>
      </c>
      <c r="B1204" s="28" t="s">
        <v>37</v>
      </c>
      <c r="C1204" s="41" t="s">
        <v>118</v>
      </c>
      <c r="D1204" s="26" t="s">
        <v>36</v>
      </c>
      <c r="E1204" s="26" t="s">
        <v>139</v>
      </c>
      <c r="F1204" s="26" t="s">
        <v>36</v>
      </c>
      <c r="G1204" s="26" t="s">
        <v>41</v>
      </c>
      <c r="H1204" s="26" t="s">
        <v>3414</v>
      </c>
      <c r="I1204" s="17">
        <f ca="1">IFERROR(__xludf.DUMMYFUNCTION("""COMPUTED_VALUE"""),45240)</f>
        <v>45240</v>
      </c>
      <c r="J1204" s="29" t="s">
        <v>5528</v>
      </c>
      <c r="K1204" s="26" t="s">
        <v>5529</v>
      </c>
      <c r="L1204" s="30">
        <v>374653416</v>
      </c>
      <c r="M1204" s="26" t="s">
        <v>5429</v>
      </c>
      <c r="N1204" s="26" t="s">
        <v>81</v>
      </c>
      <c r="O1204" s="26" t="s">
        <v>1492</v>
      </c>
      <c r="P1204" s="26" t="s">
        <v>2641</v>
      </c>
      <c r="Q1204" s="20">
        <v>15936</v>
      </c>
      <c r="R1204" s="26" t="s">
        <v>36</v>
      </c>
      <c r="S1204" s="31">
        <v>15936</v>
      </c>
      <c r="T1204" s="32">
        <v>45233</v>
      </c>
      <c r="U1204" s="31"/>
      <c r="V1204" s="26"/>
      <c r="W1204" s="33" t="s">
        <v>5530</v>
      </c>
      <c r="X1204" s="26"/>
      <c r="Y1204" s="22">
        <v>0</v>
      </c>
      <c r="Z1204" s="26" t="s">
        <v>50</v>
      </c>
      <c r="AA1204" s="19" t="s">
        <v>5112</v>
      </c>
      <c r="AB1204" s="26" t="s">
        <v>104</v>
      </c>
      <c r="AC1204" s="26" t="s">
        <v>53</v>
      </c>
      <c r="AD1204" s="19" t="s">
        <v>138</v>
      </c>
      <c r="AE1204" s="26">
        <v>0</v>
      </c>
      <c r="AF1204" s="17">
        <v>45240</v>
      </c>
      <c r="AG1204" s="26" t="s">
        <v>1362</v>
      </c>
      <c r="AH1204" s="26"/>
      <c r="AI1204" s="40" t="s">
        <v>147</v>
      </c>
      <c r="AJ1204" s="26"/>
      <c r="AK1204" s="26"/>
      <c r="AL1204" s="35"/>
      <c r="AM1204" s="35"/>
      <c r="AN1204" s="35"/>
      <c r="AO1204" s="35"/>
      <c r="AP1204" s="35"/>
    </row>
    <row r="1205" spans="1:42" x14ac:dyDescent="0.2">
      <c r="A1205" s="27">
        <v>45235.327944745368</v>
      </c>
      <c r="B1205" s="28" t="s">
        <v>37</v>
      </c>
      <c r="C1205" s="41" t="s">
        <v>118</v>
      </c>
      <c r="D1205" s="26" t="s">
        <v>36</v>
      </c>
      <c r="E1205" s="26" t="s">
        <v>119</v>
      </c>
      <c r="F1205" s="26" t="s">
        <v>36</v>
      </c>
      <c r="G1205" s="26" t="s">
        <v>108</v>
      </c>
      <c r="H1205" s="26" t="s">
        <v>3407</v>
      </c>
      <c r="I1205" s="17">
        <f ca="1">IFERROR(__xludf.DUMMYFUNCTION("""COMPUTED_VALUE"""),45293)</f>
        <v>45293</v>
      </c>
      <c r="J1205" s="29" t="s">
        <v>5531</v>
      </c>
      <c r="K1205" s="26" t="s">
        <v>4350</v>
      </c>
      <c r="L1205" s="30">
        <v>961765444</v>
      </c>
      <c r="M1205" s="26" t="s">
        <v>633</v>
      </c>
      <c r="N1205" s="26" t="s">
        <v>3115</v>
      </c>
      <c r="O1205" s="26" t="s">
        <v>4351</v>
      </c>
      <c r="P1205" s="26" t="s">
        <v>5532</v>
      </c>
      <c r="Q1205" s="20">
        <v>13968</v>
      </c>
      <c r="R1205" s="26" t="s">
        <v>36</v>
      </c>
      <c r="S1205" s="31">
        <v>13936</v>
      </c>
      <c r="T1205" s="32">
        <v>45231</v>
      </c>
      <c r="U1205" s="31"/>
      <c r="V1205" s="32"/>
      <c r="W1205" s="33" t="s">
        <v>5533</v>
      </c>
      <c r="X1205" s="26"/>
      <c r="Y1205" s="22">
        <v>32</v>
      </c>
      <c r="Z1205" s="26" t="s">
        <v>50</v>
      </c>
      <c r="AA1205" s="19" t="s">
        <v>5112</v>
      </c>
      <c r="AB1205" s="26" t="s">
        <v>128</v>
      </c>
      <c r="AC1205" s="26" t="s">
        <v>53</v>
      </c>
      <c r="AD1205" s="19" t="s">
        <v>138</v>
      </c>
      <c r="AE1205" s="26" t="s">
        <v>5534</v>
      </c>
      <c r="AF1205" s="17">
        <v>45293</v>
      </c>
      <c r="AG1205" s="35" t="s">
        <v>3415</v>
      </c>
      <c r="AH1205" s="26"/>
      <c r="AI1205" s="40">
        <v>4</v>
      </c>
      <c r="AJ1205" s="26"/>
      <c r="AK1205" s="26"/>
      <c r="AL1205" s="35"/>
      <c r="AM1205" s="35"/>
      <c r="AN1205" s="35"/>
      <c r="AO1205" s="35"/>
      <c r="AP1205" s="35"/>
    </row>
    <row r="1206" spans="1:42" x14ac:dyDescent="0.2">
      <c r="A1206" s="27">
        <v>45235.334831967593</v>
      </c>
      <c r="B1206" s="28" t="s">
        <v>37</v>
      </c>
      <c r="C1206" s="41" t="s">
        <v>118</v>
      </c>
      <c r="D1206" s="26" t="s">
        <v>36</v>
      </c>
      <c r="E1206" s="26" t="s">
        <v>39</v>
      </c>
      <c r="F1206" s="26" t="s">
        <v>36</v>
      </c>
      <c r="G1206" s="26" t="s">
        <v>41</v>
      </c>
      <c r="H1206" s="26" t="s">
        <v>3414</v>
      </c>
      <c r="I1206" s="17">
        <f ca="1">IFERROR(__xludf.DUMMYFUNCTION("""COMPUTED_VALUE"""),45240)</f>
        <v>45240</v>
      </c>
      <c r="J1206" s="29" t="s">
        <v>5535</v>
      </c>
      <c r="K1206" s="26" t="s">
        <v>5536</v>
      </c>
      <c r="L1206" s="30">
        <v>886676928</v>
      </c>
      <c r="M1206" s="26" t="s">
        <v>633</v>
      </c>
      <c r="N1206" s="26" t="s">
        <v>5537</v>
      </c>
      <c r="O1206" s="26" t="s">
        <v>5538</v>
      </c>
      <c r="P1206" s="26" t="s">
        <v>5539</v>
      </c>
      <c r="Q1206" s="20">
        <v>5736</v>
      </c>
      <c r="R1206" s="26" t="s">
        <v>70</v>
      </c>
      <c r="S1206" s="31">
        <v>500</v>
      </c>
      <c r="T1206" s="32">
        <v>45232</v>
      </c>
      <c r="U1206" s="31">
        <v>5136</v>
      </c>
      <c r="V1206" s="32">
        <v>45240</v>
      </c>
      <c r="W1206" s="33" t="s">
        <v>5540</v>
      </c>
      <c r="X1206" s="26"/>
      <c r="Y1206" s="22">
        <v>100</v>
      </c>
      <c r="Z1206" s="26" t="s">
        <v>50</v>
      </c>
      <c r="AA1206" s="19" t="s">
        <v>5112</v>
      </c>
      <c r="AB1206" s="26" t="s">
        <v>137</v>
      </c>
      <c r="AC1206" s="26" t="s">
        <v>53</v>
      </c>
      <c r="AD1206" s="19" t="s">
        <v>138</v>
      </c>
      <c r="AE1206" s="26" t="s">
        <v>76</v>
      </c>
      <c r="AF1206" s="17">
        <v>45240</v>
      </c>
      <c r="AG1206" s="26" t="s">
        <v>1362</v>
      </c>
      <c r="AH1206" s="26"/>
      <c r="AI1206" s="40" t="s">
        <v>55</v>
      </c>
      <c r="AJ1206" s="26"/>
      <c r="AK1206" s="26"/>
      <c r="AL1206" s="35"/>
      <c r="AM1206" s="35"/>
      <c r="AN1206" s="35"/>
      <c r="AO1206" s="35"/>
      <c r="AP1206" s="35"/>
    </row>
    <row r="1207" spans="1:42" x14ac:dyDescent="0.2">
      <c r="A1207" s="27">
        <v>45235.958188530094</v>
      </c>
      <c r="B1207" s="28" t="s">
        <v>37</v>
      </c>
      <c r="C1207" s="41" t="s">
        <v>118</v>
      </c>
      <c r="D1207" s="26" t="s">
        <v>36</v>
      </c>
      <c r="E1207" s="26" t="s">
        <v>77</v>
      </c>
      <c r="F1207" s="26" t="s">
        <v>91</v>
      </c>
      <c r="G1207" s="26" t="s">
        <v>41</v>
      </c>
      <c r="H1207" s="26" t="s">
        <v>413</v>
      </c>
      <c r="I1207" s="17">
        <f ca="1">IFERROR(__xludf.DUMMYFUNCTION("""COMPUTED_VALUE"""),45246)</f>
        <v>45246</v>
      </c>
      <c r="J1207" s="29" t="s">
        <v>5541</v>
      </c>
      <c r="K1207" s="26" t="s">
        <v>5542</v>
      </c>
      <c r="L1207" s="30">
        <v>919769670</v>
      </c>
      <c r="M1207" s="26" t="s">
        <v>123</v>
      </c>
      <c r="N1207" s="26" t="s">
        <v>2847</v>
      </c>
      <c r="O1207" s="26" t="s">
        <v>4503</v>
      </c>
      <c r="P1207" s="26" t="s">
        <v>5543</v>
      </c>
      <c r="Q1207" s="20">
        <v>1968</v>
      </c>
      <c r="R1207" s="26" t="s">
        <v>36</v>
      </c>
      <c r="S1207" s="31">
        <v>2000</v>
      </c>
      <c r="T1207" s="32">
        <v>45232</v>
      </c>
      <c r="U1207" s="31"/>
      <c r="V1207" s="32"/>
      <c r="W1207" s="33" t="s">
        <v>5544</v>
      </c>
      <c r="X1207" s="26"/>
      <c r="Y1207" s="22">
        <v>-32</v>
      </c>
      <c r="Z1207" s="26" t="s">
        <v>50</v>
      </c>
      <c r="AA1207" s="19" t="s">
        <v>5112</v>
      </c>
      <c r="AB1207" s="26" t="s">
        <v>104</v>
      </c>
      <c r="AC1207" s="26" t="s">
        <v>53</v>
      </c>
      <c r="AD1207" s="19" t="s">
        <v>54</v>
      </c>
      <c r="AE1207" s="26"/>
      <c r="AF1207" s="17">
        <v>45236</v>
      </c>
      <c r="AG1207" s="26"/>
      <c r="AH1207" s="26"/>
      <c r="AI1207" s="40" t="s">
        <v>84</v>
      </c>
      <c r="AJ1207" s="26"/>
      <c r="AK1207" s="26"/>
      <c r="AL1207" s="35"/>
      <c r="AM1207" s="35"/>
      <c r="AN1207" s="35"/>
      <c r="AO1207" s="35"/>
      <c r="AP1207" s="35"/>
    </row>
    <row r="1208" spans="1:42" x14ac:dyDescent="0.2">
      <c r="A1208" s="27">
        <v>45236.612659803242</v>
      </c>
      <c r="B1208" s="28" t="s">
        <v>37</v>
      </c>
      <c r="C1208" s="41" t="s">
        <v>118</v>
      </c>
      <c r="D1208" s="26" t="s">
        <v>36</v>
      </c>
      <c r="E1208" s="26" t="s">
        <v>106</v>
      </c>
      <c r="F1208" s="26" t="s">
        <v>1513</v>
      </c>
      <c r="G1208" s="26" t="s">
        <v>108</v>
      </c>
      <c r="H1208" s="26" t="s">
        <v>3295</v>
      </c>
      <c r="I1208" s="17">
        <f ca="1">IFERROR(__xludf.DUMMYFUNCTION("""COMPUTED_VALUE"""),45247)</f>
        <v>45247</v>
      </c>
      <c r="J1208" s="29" t="s">
        <v>5545</v>
      </c>
      <c r="K1208" s="26" t="s">
        <v>2827</v>
      </c>
      <c r="L1208" s="30">
        <v>868819333</v>
      </c>
      <c r="M1208" s="26" t="s">
        <v>112</v>
      </c>
      <c r="N1208" s="26" t="s">
        <v>1742</v>
      </c>
      <c r="O1208" s="26" t="s">
        <v>2828</v>
      </c>
      <c r="P1208" s="26" t="s">
        <v>5546</v>
      </c>
      <c r="Q1208" s="20">
        <v>3768</v>
      </c>
      <c r="R1208" s="26" t="s">
        <v>36</v>
      </c>
      <c r="S1208" s="31">
        <v>3768</v>
      </c>
      <c r="T1208" s="32">
        <v>45236</v>
      </c>
      <c r="U1208" s="31"/>
      <c r="V1208" s="32"/>
      <c r="W1208" s="33" t="s">
        <v>5547</v>
      </c>
      <c r="X1208" s="26"/>
      <c r="Y1208" s="22">
        <v>0</v>
      </c>
      <c r="Z1208" s="26" t="s">
        <v>50</v>
      </c>
      <c r="AA1208" s="19" t="s">
        <v>5112</v>
      </c>
      <c r="AB1208" s="26" t="s">
        <v>137</v>
      </c>
      <c r="AC1208" s="26" t="s">
        <v>53</v>
      </c>
      <c r="AD1208" s="19" t="s">
        <v>54</v>
      </c>
      <c r="AE1208" s="26" t="s">
        <v>1513</v>
      </c>
      <c r="AF1208" s="17">
        <v>45238</v>
      </c>
      <c r="AG1208" s="26"/>
      <c r="AH1208" s="26"/>
      <c r="AI1208" s="40">
        <v>1</v>
      </c>
      <c r="AJ1208" s="26"/>
      <c r="AK1208" s="26"/>
      <c r="AL1208" s="35"/>
      <c r="AM1208" s="35"/>
      <c r="AN1208" s="35"/>
      <c r="AO1208" s="35"/>
      <c r="AP1208" s="35"/>
    </row>
    <row r="1209" spans="1:42" x14ac:dyDescent="0.2">
      <c r="A1209" s="27">
        <v>45236.790916111117</v>
      </c>
      <c r="B1209" s="28" t="s">
        <v>37</v>
      </c>
      <c r="C1209" s="41" t="s">
        <v>118</v>
      </c>
      <c r="D1209" s="26" t="s">
        <v>36</v>
      </c>
      <c r="E1209" s="26" t="s">
        <v>77</v>
      </c>
      <c r="F1209" s="26" t="s">
        <v>91</v>
      </c>
      <c r="G1209" s="26" t="s">
        <v>41</v>
      </c>
      <c r="H1209" s="26" t="s">
        <v>3414</v>
      </c>
      <c r="I1209" s="17">
        <f ca="1">IFERROR(__xludf.DUMMYFUNCTION("""COMPUTED_VALUE"""),45240)</f>
        <v>45240</v>
      </c>
      <c r="J1209" s="29" t="s">
        <v>5548</v>
      </c>
      <c r="K1209" s="26" t="s">
        <v>5549</v>
      </c>
      <c r="L1209" s="30">
        <v>976020429</v>
      </c>
      <c r="M1209" s="26" t="s">
        <v>123</v>
      </c>
      <c r="N1209" s="26" t="s">
        <v>81</v>
      </c>
      <c r="O1209" s="26" t="s">
        <v>4503</v>
      </c>
      <c r="P1209" s="26" t="s">
        <v>3056</v>
      </c>
      <c r="Q1209" s="20">
        <v>1968</v>
      </c>
      <c r="R1209" s="26" t="s">
        <v>36</v>
      </c>
      <c r="S1209" s="31">
        <v>1968</v>
      </c>
      <c r="T1209" s="32">
        <v>45236</v>
      </c>
      <c r="U1209" s="31"/>
      <c r="V1209" s="32"/>
      <c r="W1209" s="33" t="s">
        <v>5550</v>
      </c>
      <c r="X1209" s="26"/>
      <c r="Y1209" s="22">
        <v>0</v>
      </c>
      <c r="Z1209" s="26" t="s">
        <v>50</v>
      </c>
      <c r="AA1209" s="19" t="s">
        <v>5112</v>
      </c>
      <c r="AB1209" s="26" t="s">
        <v>104</v>
      </c>
      <c r="AC1209" s="26" t="s">
        <v>53</v>
      </c>
      <c r="AD1209" s="19" t="s">
        <v>138</v>
      </c>
      <c r="AE1209" s="26"/>
      <c r="AF1209" s="17">
        <v>45240</v>
      </c>
      <c r="AG1209" s="26" t="s">
        <v>1362</v>
      </c>
      <c r="AH1209" s="26"/>
      <c r="AI1209" s="40" t="s">
        <v>84</v>
      </c>
      <c r="AJ1209" s="26"/>
      <c r="AK1209" s="26"/>
      <c r="AL1209" s="35"/>
      <c r="AM1209" s="35"/>
      <c r="AN1209" s="35"/>
      <c r="AO1209" s="35"/>
      <c r="AP1209" s="35"/>
    </row>
    <row r="1210" spans="1:42" x14ac:dyDescent="0.2">
      <c r="A1210" s="27">
        <v>45237.484157847226</v>
      </c>
      <c r="B1210" s="28" t="s">
        <v>37</v>
      </c>
      <c r="C1210" s="41" t="s">
        <v>118</v>
      </c>
      <c r="D1210" s="26" t="s">
        <v>36</v>
      </c>
      <c r="E1210" s="26" t="s">
        <v>106</v>
      </c>
      <c r="F1210" s="26" t="s">
        <v>5551</v>
      </c>
      <c r="G1210" s="26" t="s">
        <v>108</v>
      </c>
      <c r="H1210" s="26" t="s">
        <v>2081</v>
      </c>
      <c r="I1210" s="17">
        <f ca="1">IFERROR(__xludf.DUMMYFUNCTION("""COMPUTED_VALUE"""),45246)</f>
        <v>45246</v>
      </c>
      <c r="J1210" s="29" t="s">
        <v>5552</v>
      </c>
      <c r="K1210" s="39" t="s">
        <v>5553</v>
      </c>
      <c r="L1210" s="30">
        <v>984638936</v>
      </c>
      <c r="M1210" s="26" t="s">
        <v>3288</v>
      </c>
      <c r="N1210" s="26" t="s">
        <v>200</v>
      </c>
      <c r="O1210" s="26" t="s">
        <v>91</v>
      </c>
      <c r="P1210" s="26" t="s">
        <v>5554</v>
      </c>
      <c r="Q1210" s="20">
        <v>3768</v>
      </c>
      <c r="R1210" s="26" t="s">
        <v>36</v>
      </c>
      <c r="S1210" s="31">
        <v>1000</v>
      </c>
      <c r="T1210" s="32">
        <v>45237</v>
      </c>
      <c r="U1210" s="31">
        <v>2668</v>
      </c>
      <c r="V1210" s="32">
        <v>45244</v>
      </c>
      <c r="W1210" s="33" t="s">
        <v>5555</v>
      </c>
      <c r="X1210" s="26"/>
      <c r="Y1210" s="22">
        <v>100</v>
      </c>
      <c r="Z1210" s="26" t="s">
        <v>50</v>
      </c>
      <c r="AA1210" s="19" t="s">
        <v>5112</v>
      </c>
      <c r="AB1210" s="26" t="s">
        <v>146</v>
      </c>
      <c r="AC1210" s="26" t="s">
        <v>53</v>
      </c>
      <c r="AD1210" s="19" t="s">
        <v>54</v>
      </c>
      <c r="AE1210" s="26">
        <v>470</v>
      </c>
      <c r="AF1210" s="17">
        <v>45238</v>
      </c>
      <c r="AG1210" s="26"/>
      <c r="AH1210" s="26"/>
      <c r="AI1210" s="40">
        <v>1</v>
      </c>
      <c r="AJ1210" s="26"/>
      <c r="AK1210" s="26"/>
      <c r="AL1210" s="35"/>
      <c r="AM1210" s="35"/>
      <c r="AN1210" s="35"/>
      <c r="AO1210" s="35"/>
      <c r="AP1210" s="35"/>
    </row>
    <row r="1211" spans="1:42" x14ac:dyDescent="0.2">
      <c r="A1211" s="27">
        <v>45237.506799212963</v>
      </c>
      <c r="B1211" s="28" t="s">
        <v>37</v>
      </c>
      <c r="C1211" s="41" t="s">
        <v>118</v>
      </c>
      <c r="D1211" s="26" t="s">
        <v>36</v>
      </c>
      <c r="E1211" s="26" t="s">
        <v>39</v>
      </c>
      <c r="F1211" s="26" t="s">
        <v>91</v>
      </c>
      <c r="G1211" s="26" t="s">
        <v>41</v>
      </c>
      <c r="H1211" s="26" t="s">
        <v>3365</v>
      </c>
      <c r="I1211" s="17">
        <f ca="1">IFERROR(__xludf.DUMMYFUNCTION("""COMPUTED_VALUE"""),45244)</f>
        <v>45244</v>
      </c>
      <c r="J1211" s="29" t="s">
        <v>5556</v>
      </c>
      <c r="K1211" s="26" t="s">
        <v>5557</v>
      </c>
      <c r="L1211" s="30">
        <v>394166110</v>
      </c>
      <c r="M1211" s="26" t="s">
        <v>5558</v>
      </c>
      <c r="N1211" s="26" t="s">
        <v>5559</v>
      </c>
      <c r="O1211" s="26" t="s">
        <v>91</v>
      </c>
      <c r="P1211" s="26" t="s">
        <v>5560</v>
      </c>
      <c r="Q1211" s="20">
        <v>5736</v>
      </c>
      <c r="R1211" s="26" t="s">
        <v>36</v>
      </c>
      <c r="S1211" s="31">
        <v>200</v>
      </c>
      <c r="T1211" s="32">
        <v>45236</v>
      </c>
      <c r="U1211" s="31">
        <v>5536</v>
      </c>
      <c r="V1211" s="32">
        <v>45236</v>
      </c>
      <c r="W1211" s="26" t="s">
        <v>5561</v>
      </c>
      <c r="X1211" s="26"/>
      <c r="Y1211" s="22">
        <v>0</v>
      </c>
      <c r="Z1211" s="26" t="s">
        <v>50</v>
      </c>
      <c r="AA1211" s="19" t="s">
        <v>5112</v>
      </c>
      <c r="AB1211" s="26" t="s">
        <v>104</v>
      </c>
      <c r="AC1211" s="26" t="s">
        <v>53</v>
      </c>
      <c r="AD1211" s="19" t="s">
        <v>54</v>
      </c>
      <c r="AE1211" s="26"/>
      <c r="AF1211" s="17">
        <v>45238</v>
      </c>
      <c r="AG1211" s="26"/>
      <c r="AH1211" s="26"/>
      <c r="AI1211" s="40" t="s">
        <v>55</v>
      </c>
      <c r="AJ1211" s="26"/>
      <c r="AK1211" s="26"/>
      <c r="AL1211" s="35"/>
      <c r="AM1211" s="35"/>
      <c r="AN1211" s="35"/>
      <c r="AO1211" s="35"/>
      <c r="AP1211" s="35"/>
    </row>
    <row r="1212" spans="1:42" x14ac:dyDescent="0.2">
      <c r="A1212" s="27">
        <v>45237.634199386579</v>
      </c>
      <c r="B1212" s="28" t="s">
        <v>37</v>
      </c>
      <c r="C1212" s="41" t="s">
        <v>118</v>
      </c>
      <c r="D1212" s="26" t="s">
        <v>36</v>
      </c>
      <c r="E1212" s="26" t="s">
        <v>77</v>
      </c>
      <c r="F1212" s="26" t="s">
        <v>422</v>
      </c>
      <c r="G1212" s="26" t="s">
        <v>41</v>
      </c>
      <c r="H1212" s="26" t="s">
        <v>3365</v>
      </c>
      <c r="I1212" s="17">
        <f ca="1">IFERROR(__xludf.DUMMYFUNCTION("""COMPUTED_VALUE"""),45244)</f>
        <v>45244</v>
      </c>
      <c r="J1212" s="29" t="s">
        <v>3367</v>
      </c>
      <c r="K1212" s="26" t="s">
        <v>5562</v>
      </c>
      <c r="L1212" s="30">
        <v>359263531</v>
      </c>
      <c r="M1212" s="26" t="s">
        <v>123</v>
      </c>
      <c r="N1212" s="26" t="s">
        <v>5563</v>
      </c>
      <c r="O1212" s="26" t="s">
        <v>4503</v>
      </c>
      <c r="P1212" s="26" t="s">
        <v>5564</v>
      </c>
      <c r="Q1212" s="20">
        <v>1968</v>
      </c>
      <c r="R1212" s="26" t="s">
        <v>36</v>
      </c>
      <c r="S1212" s="31">
        <v>1968</v>
      </c>
      <c r="T1212" s="32">
        <v>45236</v>
      </c>
      <c r="U1212" s="31"/>
      <c r="V1212" s="32"/>
      <c r="W1212" s="33" t="s">
        <v>5565</v>
      </c>
      <c r="X1212" s="26"/>
      <c r="Y1212" s="22">
        <v>0</v>
      </c>
      <c r="Z1212" s="26" t="s">
        <v>50</v>
      </c>
      <c r="AA1212" s="19" t="s">
        <v>5112</v>
      </c>
      <c r="AB1212" s="26" t="s">
        <v>104</v>
      </c>
      <c r="AC1212" s="26" t="s">
        <v>53</v>
      </c>
      <c r="AD1212" s="19" t="s">
        <v>54</v>
      </c>
      <c r="AE1212" s="26"/>
      <c r="AF1212" s="17">
        <v>45238</v>
      </c>
      <c r="AG1212" s="26"/>
      <c r="AH1212" s="26"/>
      <c r="AI1212" s="40" t="s">
        <v>84</v>
      </c>
      <c r="AJ1212" s="26"/>
      <c r="AK1212" s="26"/>
      <c r="AL1212" s="35"/>
      <c r="AM1212" s="35"/>
      <c r="AN1212" s="35"/>
      <c r="AO1212" s="35"/>
      <c r="AP1212" s="35"/>
    </row>
    <row r="1213" spans="1:42" x14ac:dyDescent="0.2">
      <c r="A1213" s="27">
        <v>45237.635323831018</v>
      </c>
      <c r="B1213" s="28" t="s">
        <v>37</v>
      </c>
      <c r="C1213" s="41" t="s">
        <v>118</v>
      </c>
      <c r="D1213" s="26" t="s">
        <v>36</v>
      </c>
      <c r="E1213" s="26" t="s">
        <v>77</v>
      </c>
      <c r="F1213" s="26" t="s">
        <v>36</v>
      </c>
      <c r="G1213" s="26" t="s">
        <v>41</v>
      </c>
      <c r="H1213" s="26" t="s">
        <v>3414</v>
      </c>
      <c r="I1213" s="17">
        <f ca="1">IFERROR(__xludf.DUMMYFUNCTION("""COMPUTED_VALUE"""),45240)</f>
        <v>45240</v>
      </c>
      <c r="J1213" s="29" t="s">
        <v>5566</v>
      </c>
      <c r="K1213" s="26" t="s">
        <v>5567</v>
      </c>
      <c r="L1213" s="30">
        <v>334891918</v>
      </c>
      <c r="M1213" s="26" t="s">
        <v>123</v>
      </c>
      <c r="N1213" s="26" t="s">
        <v>81</v>
      </c>
      <c r="O1213" s="26" t="s">
        <v>4503</v>
      </c>
      <c r="P1213" s="26" t="s">
        <v>3056</v>
      </c>
      <c r="Q1213" s="20">
        <v>1968</v>
      </c>
      <c r="R1213" s="26" t="s">
        <v>36</v>
      </c>
      <c r="S1213" s="31">
        <v>1968</v>
      </c>
      <c r="T1213" s="32">
        <v>45236</v>
      </c>
      <c r="U1213" s="31"/>
      <c r="V1213" s="32"/>
      <c r="W1213" s="33" t="s">
        <v>5568</v>
      </c>
      <c r="X1213" s="26"/>
      <c r="Y1213" s="22">
        <v>0</v>
      </c>
      <c r="Z1213" s="26" t="s">
        <v>50</v>
      </c>
      <c r="AA1213" s="19" t="s">
        <v>5112</v>
      </c>
      <c r="AB1213" s="26" t="s">
        <v>104</v>
      </c>
      <c r="AC1213" s="26" t="s">
        <v>53</v>
      </c>
      <c r="AD1213" s="19" t="s">
        <v>138</v>
      </c>
      <c r="AE1213" s="26"/>
      <c r="AF1213" s="17">
        <v>45240</v>
      </c>
      <c r="AG1213" s="26" t="s">
        <v>1362</v>
      </c>
      <c r="AH1213" s="26"/>
      <c r="AI1213" s="40" t="s">
        <v>84</v>
      </c>
      <c r="AJ1213" s="26"/>
      <c r="AK1213" s="26"/>
      <c r="AL1213" s="35"/>
      <c r="AM1213" s="35"/>
      <c r="AN1213" s="35"/>
      <c r="AO1213" s="35"/>
      <c r="AP1213" s="35"/>
    </row>
    <row r="1214" spans="1:42" x14ac:dyDescent="0.2">
      <c r="A1214" s="27">
        <v>45237.641259675926</v>
      </c>
      <c r="B1214" s="28" t="s">
        <v>37</v>
      </c>
      <c r="C1214" s="41" t="s">
        <v>118</v>
      </c>
      <c r="D1214" s="26" t="s">
        <v>36</v>
      </c>
      <c r="E1214" s="26" t="s">
        <v>139</v>
      </c>
      <c r="F1214" s="26" t="s">
        <v>91</v>
      </c>
      <c r="G1214" s="26" t="s">
        <v>41</v>
      </c>
      <c r="H1214" s="26" t="s">
        <v>3414</v>
      </c>
      <c r="I1214" s="17">
        <f ca="1">IFERROR(__xludf.DUMMYFUNCTION("""COMPUTED_VALUE"""),45240)</f>
        <v>45240</v>
      </c>
      <c r="J1214" s="29" t="s">
        <v>5569</v>
      </c>
      <c r="K1214" s="26" t="s">
        <v>5570</v>
      </c>
      <c r="L1214" s="30">
        <v>374526184</v>
      </c>
      <c r="M1214" s="26" t="s">
        <v>5558</v>
      </c>
      <c r="N1214" s="26" t="s">
        <v>850</v>
      </c>
      <c r="O1214" s="26" t="s">
        <v>4503</v>
      </c>
      <c r="P1214" s="26" t="s">
        <v>3056</v>
      </c>
      <c r="Q1214" s="20">
        <v>15936</v>
      </c>
      <c r="R1214" s="26" t="s">
        <v>36</v>
      </c>
      <c r="S1214" s="31">
        <v>15936</v>
      </c>
      <c r="T1214" s="32">
        <v>45236</v>
      </c>
      <c r="U1214" s="31"/>
      <c r="V1214" s="32"/>
      <c r="W1214" s="33" t="s">
        <v>5571</v>
      </c>
      <c r="X1214" s="26"/>
      <c r="Y1214" s="22">
        <v>0</v>
      </c>
      <c r="Z1214" s="26" t="s">
        <v>50</v>
      </c>
      <c r="AA1214" s="19" t="s">
        <v>5112</v>
      </c>
      <c r="AB1214" s="26" t="s">
        <v>104</v>
      </c>
      <c r="AC1214" s="26" t="s">
        <v>53</v>
      </c>
      <c r="AD1214" s="19" t="s">
        <v>138</v>
      </c>
      <c r="AE1214" s="26"/>
      <c r="AF1214" s="17">
        <v>45240</v>
      </c>
      <c r="AG1214" s="26" t="s">
        <v>1362</v>
      </c>
      <c r="AH1214" s="26"/>
      <c r="AI1214" s="40" t="s">
        <v>147</v>
      </c>
      <c r="AJ1214" s="26"/>
      <c r="AK1214" s="26"/>
      <c r="AL1214" s="35"/>
      <c r="AM1214" s="35"/>
      <c r="AN1214" s="35"/>
      <c r="AO1214" s="35"/>
      <c r="AP1214" s="35"/>
    </row>
    <row r="1215" spans="1:42" x14ac:dyDescent="0.2">
      <c r="A1215" s="27">
        <v>45238.38196230324</v>
      </c>
      <c r="B1215" s="28" t="s">
        <v>37</v>
      </c>
      <c r="C1215" s="41" t="s">
        <v>118</v>
      </c>
      <c r="D1215" s="26" t="s">
        <v>36</v>
      </c>
      <c r="E1215" s="26" t="s">
        <v>77</v>
      </c>
      <c r="F1215" s="26" t="s">
        <v>91</v>
      </c>
      <c r="G1215" s="26" t="s">
        <v>41</v>
      </c>
      <c r="H1215" s="26" t="s">
        <v>3365</v>
      </c>
      <c r="I1215" s="17">
        <f ca="1">IFERROR(__xludf.DUMMYFUNCTION("""COMPUTED_VALUE"""),45244)</f>
        <v>45244</v>
      </c>
      <c r="J1215" s="44" t="s">
        <v>5572</v>
      </c>
      <c r="K1215" s="26" t="s">
        <v>5573</v>
      </c>
      <c r="L1215" s="30">
        <v>964054871</v>
      </c>
      <c r="M1215" s="26" t="s">
        <v>633</v>
      </c>
      <c r="N1215" s="26" t="s">
        <v>5574</v>
      </c>
      <c r="O1215" s="26" t="s">
        <v>5575</v>
      </c>
      <c r="P1215" s="26" t="s">
        <v>5576</v>
      </c>
      <c r="Q1215" s="20">
        <v>1968</v>
      </c>
      <c r="R1215" s="26" t="s">
        <v>36</v>
      </c>
      <c r="S1215" s="31">
        <v>1968</v>
      </c>
      <c r="T1215" s="32">
        <v>45237</v>
      </c>
      <c r="U1215" s="31"/>
      <c r="V1215" s="32"/>
      <c r="W1215" s="33" t="s">
        <v>5577</v>
      </c>
      <c r="X1215" s="26"/>
      <c r="Y1215" s="22">
        <v>0</v>
      </c>
      <c r="Z1215" s="26" t="s">
        <v>50</v>
      </c>
      <c r="AA1215" s="19" t="s">
        <v>5112</v>
      </c>
      <c r="AB1215" s="26" t="s">
        <v>104</v>
      </c>
      <c r="AC1215" s="26" t="s">
        <v>53</v>
      </c>
      <c r="AD1215" s="19" t="s">
        <v>54</v>
      </c>
      <c r="AE1215" s="26" t="s">
        <v>5578</v>
      </c>
      <c r="AF1215" s="17">
        <v>45239</v>
      </c>
      <c r="AG1215" s="26" t="s">
        <v>5579</v>
      </c>
      <c r="AH1215" s="26"/>
      <c r="AI1215" s="40" t="s">
        <v>84</v>
      </c>
      <c r="AJ1215" s="26"/>
      <c r="AK1215" s="26"/>
      <c r="AL1215" s="35"/>
      <c r="AM1215" s="35"/>
      <c r="AN1215" s="35"/>
      <c r="AO1215" s="35"/>
      <c r="AP1215" s="35"/>
    </row>
    <row r="1216" spans="1:42" x14ac:dyDescent="0.2">
      <c r="A1216" s="27">
        <v>45238.662157106482</v>
      </c>
      <c r="B1216" s="28" t="s">
        <v>37</v>
      </c>
      <c r="C1216" s="41" t="s">
        <v>118</v>
      </c>
      <c r="D1216" s="26" t="s">
        <v>36</v>
      </c>
      <c r="E1216" s="26" t="s">
        <v>119</v>
      </c>
      <c r="F1216" s="26" t="s">
        <v>40</v>
      </c>
      <c r="G1216" s="26" t="s">
        <v>108</v>
      </c>
      <c r="H1216" s="26" t="s">
        <v>3418</v>
      </c>
      <c r="I1216" s="17">
        <f ca="1">IFERROR(__xludf.DUMMYFUNCTION("""COMPUTED_VALUE"""),45240)</f>
        <v>45240</v>
      </c>
      <c r="J1216" s="29" t="s">
        <v>5580</v>
      </c>
      <c r="K1216" s="26" t="s">
        <v>5581</v>
      </c>
      <c r="L1216" s="30">
        <v>915300201</v>
      </c>
      <c r="M1216" s="26" t="s">
        <v>5518</v>
      </c>
      <c r="N1216" s="26" t="s">
        <v>5582</v>
      </c>
      <c r="O1216" s="26" t="s">
        <v>5583</v>
      </c>
      <c r="P1216" s="26" t="s">
        <v>5584</v>
      </c>
      <c r="Q1216" s="20">
        <v>13968</v>
      </c>
      <c r="R1216" s="26" t="s">
        <v>36</v>
      </c>
      <c r="S1216" s="31">
        <v>4000</v>
      </c>
      <c r="T1216" s="32">
        <v>45238</v>
      </c>
      <c r="U1216" s="31">
        <v>9968</v>
      </c>
      <c r="V1216" s="32">
        <v>45260</v>
      </c>
      <c r="W1216" s="33" t="s">
        <v>5585</v>
      </c>
      <c r="X1216" s="26"/>
      <c r="Y1216" s="22">
        <v>0</v>
      </c>
      <c r="Z1216" s="26" t="s">
        <v>50</v>
      </c>
      <c r="AA1216" s="19" t="s">
        <v>5112</v>
      </c>
      <c r="AB1216" s="26" t="s">
        <v>137</v>
      </c>
      <c r="AC1216" s="26" t="s">
        <v>53</v>
      </c>
      <c r="AD1216" s="19" t="s">
        <v>54</v>
      </c>
      <c r="AE1216" s="26">
        <v>360</v>
      </c>
      <c r="AF1216" s="17">
        <v>45238</v>
      </c>
      <c r="AG1216" s="26" t="s">
        <v>5586</v>
      </c>
      <c r="AH1216" s="26"/>
      <c r="AI1216" s="40">
        <v>4</v>
      </c>
      <c r="AJ1216" s="26"/>
      <c r="AK1216" s="26"/>
      <c r="AL1216" s="35"/>
      <c r="AM1216" s="35"/>
      <c r="AN1216" s="35"/>
      <c r="AO1216" s="35"/>
      <c r="AP1216" s="35"/>
    </row>
    <row r="1217" spans="1:42" x14ac:dyDescent="0.2">
      <c r="A1217" s="27">
        <v>45239.256510671301</v>
      </c>
      <c r="B1217" s="28" t="s">
        <v>37</v>
      </c>
      <c r="C1217" s="41" t="s">
        <v>118</v>
      </c>
      <c r="D1217" s="26" t="s">
        <v>36</v>
      </c>
      <c r="E1217" s="26" t="s">
        <v>119</v>
      </c>
      <c r="F1217" s="26" t="s">
        <v>36</v>
      </c>
      <c r="G1217" s="26" t="s">
        <v>108</v>
      </c>
      <c r="H1217" s="26" t="s">
        <v>3416</v>
      </c>
      <c r="I1217" s="17">
        <f ca="1">IFERROR(__xludf.DUMMYFUNCTION("""COMPUTED_VALUE"""),45247)</f>
        <v>45247</v>
      </c>
      <c r="J1217" s="29" t="s">
        <v>5587</v>
      </c>
      <c r="K1217" s="26" t="s">
        <v>5588</v>
      </c>
      <c r="L1217" s="30">
        <v>822448005</v>
      </c>
      <c r="M1217" s="26" t="s">
        <v>5518</v>
      </c>
      <c r="N1217" s="26" t="s">
        <v>5582</v>
      </c>
      <c r="O1217" s="26" t="s">
        <v>5589</v>
      </c>
      <c r="P1217" s="26" t="s">
        <v>5590</v>
      </c>
      <c r="Q1217" s="20">
        <v>13968</v>
      </c>
      <c r="R1217" s="26" t="s">
        <v>36</v>
      </c>
      <c r="S1217" s="31">
        <v>4000</v>
      </c>
      <c r="T1217" s="32">
        <v>45238</v>
      </c>
      <c r="U1217" s="31">
        <v>9968</v>
      </c>
      <c r="V1217" s="32">
        <v>45258</v>
      </c>
      <c r="W1217" s="33" t="s">
        <v>5591</v>
      </c>
      <c r="X1217" s="26"/>
      <c r="Y1217" s="22">
        <v>0</v>
      </c>
      <c r="Z1217" s="26" t="s">
        <v>50</v>
      </c>
      <c r="AA1217" s="19" t="s">
        <v>5112</v>
      </c>
      <c r="AB1217" s="26" t="s">
        <v>137</v>
      </c>
      <c r="AC1217" s="26" t="s">
        <v>53</v>
      </c>
      <c r="AD1217" s="19" t="s">
        <v>54</v>
      </c>
      <c r="AE1217" s="26">
        <v>460</v>
      </c>
      <c r="AF1217" s="43">
        <v>45247</v>
      </c>
      <c r="AG1217" s="26" t="s">
        <v>5592</v>
      </c>
      <c r="AH1217" s="26"/>
      <c r="AI1217" s="40">
        <v>4</v>
      </c>
      <c r="AJ1217" s="26"/>
      <c r="AK1217" s="26"/>
      <c r="AL1217" s="35"/>
      <c r="AM1217" s="35"/>
      <c r="AN1217" s="35"/>
      <c r="AO1217" s="35"/>
      <c r="AP1217" s="35"/>
    </row>
    <row r="1218" spans="1:42" x14ac:dyDescent="0.2">
      <c r="A1218" s="27">
        <v>45239.733941689818</v>
      </c>
      <c r="B1218" s="28" t="s">
        <v>37</v>
      </c>
      <c r="C1218" s="41" t="s">
        <v>118</v>
      </c>
      <c r="D1218" s="26" t="s">
        <v>36</v>
      </c>
      <c r="E1218" s="26" t="s">
        <v>39</v>
      </c>
      <c r="F1218" s="26" t="s">
        <v>40</v>
      </c>
      <c r="G1218" s="26" t="s">
        <v>41</v>
      </c>
      <c r="H1218" s="26" t="s">
        <v>3414</v>
      </c>
      <c r="I1218" s="17">
        <f ca="1">IFERROR(__xludf.DUMMYFUNCTION("""COMPUTED_VALUE"""),45240)</f>
        <v>45240</v>
      </c>
      <c r="J1218" s="29" t="s">
        <v>5593</v>
      </c>
      <c r="K1218" s="26" t="s">
        <v>3794</v>
      </c>
      <c r="L1218" s="30">
        <v>852397689</v>
      </c>
      <c r="M1218" s="26" t="s">
        <v>59</v>
      </c>
      <c r="N1218" s="26" t="s">
        <v>68</v>
      </c>
      <c r="O1218" s="26" t="s">
        <v>5594</v>
      </c>
      <c r="P1218" s="26" t="s">
        <v>5595</v>
      </c>
      <c r="Q1218" s="20">
        <v>5736</v>
      </c>
      <c r="R1218" s="26" t="s">
        <v>36</v>
      </c>
      <c r="S1218" s="31">
        <v>5736</v>
      </c>
      <c r="T1218" s="32">
        <v>45239</v>
      </c>
      <c r="U1218" s="31"/>
      <c r="V1218" s="32"/>
      <c r="W1218" s="33" t="s">
        <v>5596</v>
      </c>
      <c r="X1218" s="26"/>
      <c r="Y1218" s="22">
        <v>0</v>
      </c>
      <c r="Z1218" s="26" t="s">
        <v>50</v>
      </c>
      <c r="AA1218" s="19" t="s">
        <v>5112</v>
      </c>
      <c r="AB1218" s="26" t="s">
        <v>104</v>
      </c>
      <c r="AC1218" s="26" t="s">
        <v>53</v>
      </c>
      <c r="AD1218" s="19" t="s">
        <v>138</v>
      </c>
      <c r="AE1218" s="26" t="s">
        <v>72</v>
      </c>
      <c r="AF1218" s="17">
        <v>45240</v>
      </c>
      <c r="AG1218" s="26" t="s">
        <v>1362</v>
      </c>
      <c r="AH1218" s="26"/>
      <c r="AI1218" s="40" t="s">
        <v>55</v>
      </c>
      <c r="AJ1218" s="26"/>
      <c r="AK1218" s="26"/>
      <c r="AL1218" s="35"/>
      <c r="AM1218" s="35"/>
      <c r="AN1218" s="35"/>
      <c r="AO1218" s="35"/>
      <c r="AP1218" s="35"/>
    </row>
    <row r="1219" spans="1:42" x14ac:dyDescent="0.2">
      <c r="A1219" s="27">
        <v>45239.952021990743</v>
      </c>
      <c r="B1219" s="28" t="s">
        <v>37</v>
      </c>
      <c r="C1219" s="41" t="s">
        <v>118</v>
      </c>
      <c r="D1219" s="26" t="s">
        <v>77</v>
      </c>
      <c r="E1219" s="26" t="s">
        <v>106</v>
      </c>
      <c r="F1219" s="26" t="s">
        <v>1513</v>
      </c>
      <c r="G1219" s="26" t="s">
        <v>108</v>
      </c>
      <c r="H1219" s="26" t="s">
        <v>3295</v>
      </c>
      <c r="I1219" s="17">
        <f ca="1">IFERROR(__xludf.DUMMYFUNCTION("""COMPUTED_VALUE"""),45247)</f>
        <v>45247</v>
      </c>
      <c r="J1219" s="29" t="s">
        <v>1648</v>
      </c>
      <c r="K1219" s="26" t="s">
        <v>5597</v>
      </c>
      <c r="L1219" s="30">
        <v>328693544</v>
      </c>
      <c r="M1219" s="26" t="s">
        <v>112</v>
      </c>
      <c r="N1219" s="26" t="s">
        <v>3330</v>
      </c>
      <c r="O1219" s="26" t="s">
        <v>125</v>
      </c>
      <c r="P1219" s="26" t="s">
        <v>1650</v>
      </c>
      <c r="Q1219" s="20">
        <v>3768</v>
      </c>
      <c r="R1219" s="26" t="s">
        <v>36</v>
      </c>
      <c r="S1219" s="31">
        <v>3770</v>
      </c>
      <c r="T1219" s="32">
        <v>45239</v>
      </c>
      <c r="U1219" s="31"/>
      <c r="V1219" s="32"/>
      <c r="W1219" s="33" t="s">
        <v>5598</v>
      </c>
      <c r="X1219" s="26"/>
      <c r="Y1219" s="22">
        <v>-2</v>
      </c>
      <c r="Z1219" s="26" t="s">
        <v>50</v>
      </c>
      <c r="AA1219" s="19" t="s">
        <v>5112</v>
      </c>
      <c r="AB1219" s="26" t="s">
        <v>128</v>
      </c>
      <c r="AC1219" s="26" t="s">
        <v>53</v>
      </c>
      <c r="AD1219" s="19" t="s">
        <v>54</v>
      </c>
      <c r="AE1219" s="26" t="s">
        <v>5599</v>
      </c>
      <c r="AF1219" s="17">
        <v>45244</v>
      </c>
      <c r="AG1219" s="26"/>
      <c r="AH1219" s="26"/>
      <c r="AI1219" s="40">
        <v>1</v>
      </c>
      <c r="AJ1219" s="26"/>
      <c r="AK1219" s="26"/>
      <c r="AL1219" s="35"/>
      <c r="AM1219" s="35"/>
      <c r="AN1219" s="35"/>
      <c r="AO1219" s="35"/>
      <c r="AP1219" s="35"/>
    </row>
    <row r="1220" spans="1:42" x14ac:dyDescent="0.2">
      <c r="A1220" s="27">
        <v>45240.364603807873</v>
      </c>
      <c r="B1220" s="28" t="s">
        <v>37</v>
      </c>
      <c r="C1220" s="41" t="s">
        <v>118</v>
      </c>
      <c r="D1220" s="26" t="s">
        <v>36</v>
      </c>
      <c r="E1220" s="26" t="s">
        <v>106</v>
      </c>
      <c r="F1220" s="26" t="s">
        <v>2647</v>
      </c>
      <c r="G1220" s="26" t="s">
        <v>108</v>
      </c>
      <c r="H1220" s="26" t="s">
        <v>3418</v>
      </c>
      <c r="I1220" s="17">
        <f ca="1">IFERROR(__xludf.DUMMYFUNCTION("""COMPUTED_VALUE"""),45240)</f>
        <v>45240</v>
      </c>
      <c r="J1220" s="29" t="s">
        <v>5125</v>
      </c>
      <c r="K1220" s="26" t="s">
        <v>5126</v>
      </c>
      <c r="L1220" s="30">
        <v>559578297</v>
      </c>
      <c r="M1220" s="26" t="s">
        <v>112</v>
      </c>
      <c r="N1220" s="26" t="s">
        <v>193</v>
      </c>
      <c r="O1220" s="26" t="s">
        <v>5600</v>
      </c>
      <c r="P1220" s="26" t="s">
        <v>5601</v>
      </c>
      <c r="Q1220" s="20">
        <v>3768</v>
      </c>
      <c r="R1220" s="26" t="s">
        <v>36</v>
      </c>
      <c r="S1220" s="31">
        <v>3668</v>
      </c>
      <c r="T1220" s="32">
        <v>45239</v>
      </c>
      <c r="U1220" s="31"/>
      <c r="V1220" s="32"/>
      <c r="W1220" s="33" t="s">
        <v>5602</v>
      </c>
      <c r="X1220" s="26"/>
      <c r="Y1220" s="22">
        <v>100</v>
      </c>
      <c r="Z1220" s="26" t="s">
        <v>50</v>
      </c>
      <c r="AA1220" s="19" t="s">
        <v>5112</v>
      </c>
      <c r="AB1220" s="26" t="s">
        <v>137</v>
      </c>
      <c r="AC1220" s="26" t="s">
        <v>53</v>
      </c>
      <c r="AD1220" s="19" t="s">
        <v>138</v>
      </c>
      <c r="AE1220" s="26" t="s">
        <v>2647</v>
      </c>
      <c r="AF1220" s="17">
        <v>45244</v>
      </c>
      <c r="AG1220" s="26" t="s">
        <v>4955</v>
      </c>
      <c r="AH1220" s="26"/>
      <c r="AI1220" s="40">
        <v>1</v>
      </c>
      <c r="AJ1220" s="26"/>
      <c r="AK1220" s="26"/>
      <c r="AL1220" s="35"/>
      <c r="AM1220" s="35"/>
      <c r="AN1220" s="35"/>
      <c r="AO1220" s="35"/>
      <c r="AP1220" s="35"/>
    </row>
    <row r="1221" spans="1:42" x14ac:dyDescent="0.2">
      <c r="A1221" s="27">
        <v>45240.766989548611</v>
      </c>
      <c r="B1221" s="28" t="s">
        <v>37</v>
      </c>
      <c r="C1221" s="41" t="s">
        <v>118</v>
      </c>
      <c r="D1221" s="26" t="s">
        <v>36</v>
      </c>
      <c r="E1221" s="26" t="s">
        <v>139</v>
      </c>
      <c r="F1221" s="26" t="s">
        <v>36</v>
      </c>
      <c r="G1221" s="26" t="s">
        <v>41</v>
      </c>
      <c r="H1221" s="26" t="s">
        <v>3414</v>
      </c>
      <c r="I1221" s="17">
        <f ca="1">IFERROR(__xludf.DUMMYFUNCTION("""COMPUTED_VALUE"""),45240)</f>
        <v>45240</v>
      </c>
      <c r="J1221" s="29" t="s">
        <v>5603</v>
      </c>
      <c r="K1221" s="26" t="s">
        <v>5604</v>
      </c>
      <c r="L1221" s="30">
        <v>397620726</v>
      </c>
      <c r="M1221" s="26" t="s">
        <v>5518</v>
      </c>
      <c r="N1221" s="26" t="s">
        <v>438</v>
      </c>
      <c r="O1221" s="26" t="s">
        <v>5605</v>
      </c>
      <c r="P1221" s="26" t="s">
        <v>5590</v>
      </c>
      <c r="Q1221" s="20">
        <v>15936</v>
      </c>
      <c r="R1221" s="26" t="s">
        <v>36</v>
      </c>
      <c r="S1221" s="31">
        <v>2000</v>
      </c>
      <c r="T1221" s="32">
        <v>45238</v>
      </c>
      <c r="U1221" s="31">
        <v>13836</v>
      </c>
      <c r="V1221" s="32">
        <v>45255</v>
      </c>
      <c r="W1221" s="33" t="s">
        <v>5606</v>
      </c>
      <c r="X1221" s="26"/>
      <c r="Y1221" s="22">
        <v>100</v>
      </c>
      <c r="Z1221" s="26" t="s">
        <v>50</v>
      </c>
      <c r="AA1221" s="19" t="s">
        <v>5112</v>
      </c>
      <c r="AB1221" s="26" t="s">
        <v>104</v>
      </c>
      <c r="AC1221" s="26" t="s">
        <v>53</v>
      </c>
      <c r="AD1221" s="19" t="s">
        <v>138</v>
      </c>
      <c r="AE1221" s="26">
        <v>0</v>
      </c>
      <c r="AF1221" s="17">
        <v>45244</v>
      </c>
      <c r="AG1221" s="26" t="s">
        <v>5607</v>
      </c>
      <c r="AH1221" s="26"/>
      <c r="AI1221" s="40" t="s">
        <v>147</v>
      </c>
      <c r="AJ1221" s="26"/>
      <c r="AK1221" s="26"/>
      <c r="AL1221" s="35"/>
      <c r="AM1221" s="35"/>
      <c r="AN1221" s="35"/>
      <c r="AO1221" s="35"/>
      <c r="AP1221" s="35"/>
    </row>
    <row r="1222" spans="1:42" x14ac:dyDescent="0.2">
      <c r="A1222" s="27">
        <v>45241.450812557872</v>
      </c>
      <c r="B1222" s="28" t="s">
        <v>37</v>
      </c>
      <c r="C1222" s="41" t="s">
        <v>118</v>
      </c>
      <c r="D1222" s="26" t="s">
        <v>36</v>
      </c>
      <c r="E1222" s="26" t="s">
        <v>106</v>
      </c>
      <c r="F1222" s="26" t="s">
        <v>2734</v>
      </c>
      <c r="G1222" s="26" t="s">
        <v>108</v>
      </c>
      <c r="H1222" s="26" t="s">
        <v>2081</v>
      </c>
      <c r="I1222" s="17">
        <f ca="1">IFERROR(__xludf.DUMMYFUNCTION("""COMPUTED_VALUE"""),45246)</f>
        <v>45246</v>
      </c>
      <c r="J1222" s="29" t="s">
        <v>2851</v>
      </c>
      <c r="K1222" s="26" t="s">
        <v>5608</v>
      </c>
      <c r="L1222" s="30">
        <v>364402207</v>
      </c>
      <c r="M1222" s="26" t="s">
        <v>112</v>
      </c>
      <c r="N1222" s="26" t="s">
        <v>2691</v>
      </c>
      <c r="O1222" s="26" t="s">
        <v>36</v>
      </c>
      <c r="P1222" s="26" t="s">
        <v>5609</v>
      </c>
      <c r="Q1222" s="20">
        <v>3768</v>
      </c>
      <c r="R1222" s="26" t="s">
        <v>36</v>
      </c>
      <c r="S1222" s="31">
        <v>3668</v>
      </c>
      <c r="T1222" s="32">
        <v>45240</v>
      </c>
      <c r="U1222" s="31"/>
      <c r="V1222" s="32"/>
      <c r="W1222" s="33" t="s">
        <v>5610</v>
      </c>
      <c r="X1222" s="26"/>
      <c r="Y1222" s="22">
        <v>100</v>
      </c>
      <c r="Z1222" s="26" t="s">
        <v>50</v>
      </c>
      <c r="AA1222" s="19" t="s">
        <v>5112</v>
      </c>
      <c r="AB1222" s="26" t="s">
        <v>128</v>
      </c>
      <c r="AC1222" s="26" t="s">
        <v>53</v>
      </c>
      <c r="AD1222" s="19" t="s">
        <v>54</v>
      </c>
      <c r="AE1222" s="26" t="s">
        <v>2734</v>
      </c>
      <c r="AF1222" s="17">
        <v>45244</v>
      </c>
      <c r="AG1222" s="26"/>
      <c r="AH1222" s="26"/>
      <c r="AI1222" s="40">
        <v>1</v>
      </c>
      <c r="AJ1222" s="26"/>
      <c r="AK1222" s="26"/>
      <c r="AL1222" s="35"/>
      <c r="AM1222" s="35"/>
      <c r="AN1222" s="35"/>
      <c r="AO1222" s="35"/>
      <c r="AP1222" s="35"/>
    </row>
    <row r="1223" spans="1:42" x14ac:dyDescent="0.2">
      <c r="A1223" s="27">
        <v>45241.591249652774</v>
      </c>
      <c r="B1223" s="28" t="s">
        <v>37</v>
      </c>
      <c r="C1223" s="41" t="s">
        <v>118</v>
      </c>
      <c r="D1223" s="26" t="s">
        <v>77</v>
      </c>
      <c r="E1223" s="26" t="s">
        <v>106</v>
      </c>
      <c r="F1223" s="26" t="s">
        <v>2573</v>
      </c>
      <c r="G1223" s="26" t="s">
        <v>108</v>
      </c>
      <c r="H1223" s="26" t="s">
        <v>3397</v>
      </c>
      <c r="I1223" s="17">
        <f ca="1">IFERROR(__xludf.DUMMYFUNCTION("""COMPUTED_VALUE"""),45256)</f>
        <v>45256</v>
      </c>
      <c r="J1223" s="29" t="s">
        <v>5128</v>
      </c>
      <c r="K1223" s="26" t="s">
        <v>5129</v>
      </c>
      <c r="L1223" s="30">
        <v>396078200</v>
      </c>
      <c r="M1223" s="26" t="s">
        <v>112</v>
      </c>
      <c r="N1223" s="26" t="s">
        <v>3330</v>
      </c>
      <c r="O1223" s="26" t="s">
        <v>134</v>
      </c>
      <c r="P1223" s="26" t="s">
        <v>3178</v>
      </c>
      <c r="Q1223" s="20">
        <v>3768</v>
      </c>
      <c r="R1223" s="26" t="s">
        <v>36</v>
      </c>
      <c r="S1223" s="31">
        <v>32</v>
      </c>
      <c r="T1223" s="32">
        <v>45187</v>
      </c>
      <c r="U1223" s="31">
        <v>3736</v>
      </c>
      <c r="V1223" s="32">
        <v>45241</v>
      </c>
      <c r="W1223" s="33" t="s">
        <v>5611</v>
      </c>
      <c r="X1223" s="26"/>
      <c r="Y1223" s="22">
        <v>0</v>
      </c>
      <c r="Z1223" s="26" t="s">
        <v>50</v>
      </c>
      <c r="AA1223" s="19" t="s">
        <v>5112</v>
      </c>
      <c r="AB1223" s="26" t="s">
        <v>137</v>
      </c>
      <c r="AC1223" s="26" t="s">
        <v>53</v>
      </c>
      <c r="AD1223" s="19" t="s">
        <v>138</v>
      </c>
      <c r="AE1223" s="26" t="s">
        <v>2573</v>
      </c>
      <c r="AF1223" s="43">
        <v>45256</v>
      </c>
      <c r="AG1223" s="26" t="s">
        <v>1362</v>
      </c>
      <c r="AH1223" s="26"/>
      <c r="AI1223" s="40">
        <v>1</v>
      </c>
      <c r="AJ1223" s="26"/>
      <c r="AK1223" s="26"/>
      <c r="AL1223" s="35"/>
      <c r="AM1223" s="35"/>
      <c r="AN1223" s="35"/>
      <c r="AO1223" s="35"/>
      <c r="AP1223" s="35"/>
    </row>
    <row r="1224" spans="1:42" x14ac:dyDescent="0.2">
      <c r="A1224" s="27">
        <v>45241.90745731481</v>
      </c>
      <c r="B1224" s="28" t="s">
        <v>37</v>
      </c>
      <c r="C1224" s="41" t="s">
        <v>118</v>
      </c>
      <c r="D1224" s="26" t="s">
        <v>36</v>
      </c>
      <c r="E1224" s="26" t="s">
        <v>139</v>
      </c>
      <c r="F1224" s="26" t="s">
        <v>36</v>
      </c>
      <c r="G1224" s="26" t="s">
        <v>41</v>
      </c>
      <c r="H1224" s="26" t="s">
        <v>1733</v>
      </c>
      <c r="I1224" s="17">
        <f ca="1">IFERROR(__xludf.DUMMYFUNCTION("""COMPUTED_VALUE"""),45275)</f>
        <v>45275</v>
      </c>
      <c r="J1224" s="29" t="s">
        <v>5612</v>
      </c>
      <c r="K1224" s="26" t="s">
        <v>5613</v>
      </c>
      <c r="L1224" s="30">
        <v>919617050</v>
      </c>
      <c r="M1224" s="26" t="s">
        <v>3728</v>
      </c>
      <c r="N1224" s="26" t="s">
        <v>5377</v>
      </c>
      <c r="O1224" s="26" t="s">
        <v>5614</v>
      </c>
      <c r="P1224" s="42" t="s">
        <v>5615</v>
      </c>
      <c r="Q1224" s="20">
        <v>15936</v>
      </c>
      <c r="R1224" s="26" t="s">
        <v>36</v>
      </c>
      <c r="S1224" s="31">
        <v>200</v>
      </c>
      <c r="T1224" s="32">
        <v>45241</v>
      </c>
      <c r="U1224" s="31">
        <v>15736</v>
      </c>
      <c r="V1224" s="32">
        <v>45244</v>
      </c>
      <c r="W1224" s="33" t="s">
        <v>5616</v>
      </c>
      <c r="X1224" s="26"/>
      <c r="Y1224" s="22">
        <v>0</v>
      </c>
      <c r="Z1224" s="26" t="s">
        <v>50</v>
      </c>
      <c r="AA1224" s="19" t="s">
        <v>5112</v>
      </c>
      <c r="AB1224" s="26" t="s">
        <v>104</v>
      </c>
      <c r="AC1224" s="26" t="s">
        <v>53</v>
      </c>
      <c r="AD1224" s="19" t="s">
        <v>138</v>
      </c>
      <c r="AE1224" s="26">
        <v>0</v>
      </c>
      <c r="AF1224" s="17">
        <v>45265</v>
      </c>
      <c r="AG1224" s="26"/>
      <c r="AH1224" s="26"/>
      <c r="AI1224" s="40" t="s">
        <v>147</v>
      </c>
      <c r="AJ1224" s="26"/>
      <c r="AK1224" s="26"/>
      <c r="AL1224" s="35"/>
      <c r="AM1224" s="35"/>
      <c r="AN1224" s="35"/>
      <c r="AO1224" s="35"/>
      <c r="AP1224" s="35"/>
    </row>
    <row r="1225" spans="1:42" x14ac:dyDescent="0.2">
      <c r="A1225" s="27">
        <v>45243.327725821757</v>
      </c>
      <c r="B1225" s="28" t="s">
        <v>37</v>
      </c>
      <c r="C1225" s="41" t="s">
        <v>118</v>
      </c>
      <c r="D1225" s="26" t="s">
        <v>36</v>
      </c>
      <c r="E1225" s="26" t="s">
        <v>106</v>
      </c>
      <c r="F1225" s="26" t="s">
        <v>2989</v>
      </c>
      <c r="G1225" s="26" t="s">
        <v>108</v>
      </c>
      <c r="H1225" s="26" t="s">
        <v>2415</v>
      </c>
      <c r="I1225" s="17">
        <f ca="1">IFERROR(__xludf.DUMMYFUNCTION("""COMPUTED_VALUE"""),45254)</f>
        <v>45254</v>
      </c>
      <c r="J1225" s="29" t="s">
        <v>3124</v>
      </c>
      <c r="K1225" s="26" t="s">
        <v>5617</v>
      </c>
      <c r="L1225" s="30">
        <v>982694348</v>
      </c>
      <c r="M1225" s="26" t="s">
        <v>112</v>
      </c>
      <c r="N1225" s="26" t="s">
        <v>5618</v>
      </c>
      <c r="O1225" s="67" t="s">
        <v>5619</v>
      </c>
      <c r="P1225" s="26" t="s">
        <v>5620</v>
      </c>
      <c r="Q1225" s="20">
        <v>3768</v>
      </c>
      <c r="R1225" s="26" t="s">
        <v>36</v>
      </c>
      <c r="S1225" s="31">
        <v>3668</v>
      </c>
      <c r="T1225" s="32">
        <v>45242</v>
      </c>
      <c r="U1225" s="31"/>
      <c r="V1225" s="32"/>
      <c r="W1225" s="33" t="s">
        <v>5621</v>
      </c>
      <c r="X1225" s="26"/>
      <c r="Y1225" s="22">
        <v>100</v>
      </c>
      <c r="Z1225" s="26" t="s">
        <v>50</v>
      </c>
      <c r="AA1225" s="19" t="s">
        <v>5112</v>
      </c>
      <c r="AB1225" s="26" t="s">
        <v>154</v>
      </c>
      <c r="AC1225" s="26" t="s">
        <v>53</v>
      </c>
      <c r="AD1225" s="19" t="s">
        <v>54</v>
      </c>
      <c r="AE1225" s="26" t="s">
        <v>2989</v>
      </c>
      <c r="AF1225" s="17">
        <v>45244</v>
      </c>
      <c r="AG1225" s="26"/>
      <c r="AH1225" s="26"/>
      <c r="AI1225" s="40">
        <v>1</v>
      </c>
      <c r="AJ1225" s="26"/>
      <c r="AK1225" s="26"/>
      <c r="AL1225" s="35"/>
      <c r="AM1225" s="35"/>
      <c r="AN1225" s="35"/>
      <c r="AO1225" s="35"/>
      <c r="AP1225" s="35"/>
    </row>
    <row r="1226" spans="1:42" x14ac:dyDescent="0.2">
      <c r="A1226" s="27">
        <v>45243.386273506942</v>
      </c>
      <c r="B1226" s="28" t="s">
        <v>37</v>
      </c>
      <c r="C1226" s="41" t="s">
        <v>118</v>
      </c>
      <c r="D1226" s="26" t="s">
        <v>36</v>
      </c>
      <c r="E1226" s="26" t="s">
        <v>77</v>
      </c>
      <c r="F1226" s="26" t="s">
        <v>91</v>
      </c>
      <c r="G1226" s="26" t="s">
        <v>41</v>
      </c>
      <c r="H1226" s="26" t="s">
        <v>4261</v>
      </c>
      <c r="I1226" s="17">
        <f ca="1">IFERROR(__xludf.DUMMYFUNCTION("""COMPUTED_VALUE"""),45257)</f>
        <v>45257</v>
      </c>
      <c r="J1226" s="29" t="s">
        <v>5622</v>
      </c>
      <c r="K1226" s="26" t="s">
        <v>5623</v>
      </c>
      <c r="L1226" s="30">
        <v>368750136</v>
      </c>
      <c r="M1226" s="26" t="s">
        <v>5558</v>
      </c>
      <c r="N1226" s="26" t="s">
        <v>5559</v>
      </c>
      <c r="O1226" s="26" t="s">
        <v>4503</v>
      </c>
      <c r="P1226" s="26" t="s">
        <v>5624</v>
      </c>
      <c r="Q1226" s="20">
        <v>1968</v>
      </c>
      <c r="R1226" s="26" t="s">
        <v>36</v>
      </c>
      <c r="S1226" s="31">
        <v>100</v>
      </c>
      <c r="T1226" s="32">
        <v>45215</v>
      </c>
      <c r="U1226" s="31">
        <v>1868</v>
      </c>
      <c r="V1226" s="32">
        <v>45242</v>
      </c>
      <c r="W1226" s="26" t="s">
        <v>5625</v>
      </c>
      <c r="X1226" s="26"/>
      <c r="Y1226" s="22">
        <v>0</v>
      </c>
      <c r="Z1226" s="26" t="s">
        <v>50</v>
      </c>
      <c r="AA1226" s="19" t="s">
        <v>5112</v>
      </c>
      <c r="AB1226" s="26" t="s">
        <v>104</v>
      </c>
      <c r="AC1226" s="26" t="s">
        <v>53</v>
      </c>
      <c r="AD1226" s="19" t="s">
        <v>54</v>
      </c>
      <c r="AE1226" s="26"/>
      <c r="AF1226" s="43">
        <v>45250</v>
      </c>
      <c r="AG1226" s="26"/>
      <c r="AH1226" s="26"/>
      <c r="AI1226" s="40" t="s">
        <v>84</v>
      </c>
      <c r="AJ1226" s="26"/>
      <c r="AK1226" s="26"/>
      <c r="AL1226" s="35"/>
      <c r="AM1226" s="35"/>
      <c r="AN1226" s="35"/>
      <c r="AO1226" s="35"/>
      <c r="AP1226" s="35"/>
    </row>
    <row r="1227" spans="1:42" x14ac:dyDescent="0.2">
      <c r="A1227" s="27">
        <v>45243.612998206023</v>
      </c>
      <c r="B1227" s="28" t="s">
        <v>37</v>
      </c>
      <c r="C1227" s="41" t="s">
        <v>118</v>
      </c>
      <c r="D1227" s="26" t="s">
        <v>36</v>
      </c>
      <c r="E1227" s="26" t="s">
        <v>77</v>
      </c>
      <c r="F1227" s="26" t="s">
        <v>36</v>
      </c>
      <c r="G1227" s="26" t="s">
        <v>41</v>
      </c>
      <c r="H1227" s="26" t="s">
        <v>413</v>
      </c>
      <c r="I1227" s="17">
        <f ca="1">IFERROR(__xludf.DUMMYFUNCTION("""COMPUTED_VALUE"""),45246)</f>
        <v>45246</v>
      </c>
      <c r="J1227" s="29" t="s">
        <v>5626</v>
      </c>
      <c r="K1227" s="26" t="s">
        <v>5627</v>
      </c>
      <c r="L1227" s="30">
        <v>328614607</v>
      </c>
      <c r="M1227" s="26" t="s">
        <v>123</v>
      </c>
      <c r="N1227" s="26" t="s">
        <v>3065</v>
      </c>
      <c r="O1227" s="26" t="s">
        <v>4503</v>
      </c>
      <c r="P1227" s="26" t="s">
        <v>5628</v>
      </c>
      <c r="Q1227" s="20">
        <v>1968</v>
      </c>
      <c r="R1227" s="26" t="s">
        <v>36</v>
      </c>
      <c r="S1227" s="31">
        <v>200</v>
      </c>
      <c r="T1227" s="32">
        <v>45214</v>
      </c>
      <c r="U1227" s="31">
        <v>1768</v>
      </c>
      <c r="V1227" s="32">
        <v>45235</v>
      </c>
      <c r="W1227" s="33" t="s">
        <v>5629</v>
      </c>
      <c r="X1227" s="26"/>
      <c r="Y1227" s="22">
        <v>0</v>
      </c>
      <c r="Z1227" s="26" t="s">
        <v>50</v>
      </c>
      <c r="AA1227" s="19" t="s">
        <v>5112</v>
      </c>
      <c r="AB1227" s="26" t="s">
        <v>104</v>
      </c>
      <c r="AC1227" s="26" t="s">
        <v>53</v>
      </c>
      <c r="AD1227" s="19" t="s">
        <v>54</v>
      </c>
      <c r="AE1227" s="26"/>
      <c r="AF1227" s="17">
        <v>45244</v>
      </c>
      <c r="AG1227" s="26"/>
      <c r="AH1227" s="26"/>
      <c r="AI1227" s="40" t="s">
        <v>84</v>
      </c>
      <c r="AJ1227" s="26"/>
      <c r="AK1227" s="26"/>
      <c r="AL1227" s="35"/>
      <c r="AM1227" s="35"/>
      <c r="AN1227" s="35"/>
      <c r="AO1227" s="35"/>
      <c r="AP1227" s="35"/>
    </row>
    <row r="1228" spans="1:42" x14ac:dyDescent="0.2">
      <c r="A1228" s="27">
        <v>45243.615559097219</v>
      </c>
      <c r="B1228" s="28" t="s">
        <v>37</v>
      </c>
      <c r="C1228" s="41" t="s">
        <v>118</v>
      </c>
      <c r="D1228" s="26" t="s">
        <v>36</v>
      </c>
      <c r="E1228" s="26" t="s">
        <v>119</v>
      </c>
      <c r="F1228" s="26" t="s">
        <v>91</v>
      </c>
      <c r="G1228" s="26" t="s">
        <v>108</v>
      </c>
      <c r="H1228" s="26" t="s">
        <v>3295</v>
      </c>
      <c r="I1228" s="17">
        <f ca="1">IFERROR(__xludf.DUMMYFUNCTION("""COMPUTED_VALUE"""),45247)</f>
        <v>45247</v>
      </c>
      <c r="J1228" s="29" t="s">
        <v>5630</v>
      </c>
      <c r="K1228" s="26" t="s">
        <v>5631</v>
      </c>
      <c r="L1228" s="30">
        <v>358101104</v>
      </c>
      <c r="M1228" s="26" t="s">
        <v>5558</v>
      </c>
      <c r="N1228" s="26" t="s">
        <v>850</v>
      </c>
      <c r="O1228" s="26" t="s">
        <v>4503</v>
      </c>
      <c r="P1228" s="26" t="s">
        <v>5632</v>
      </c>
      <c r="Q1228" s="20">
        <v>13968</v>
      </c>
      <c r="R1228" s="26" t="s">
        <v>36</v>
      </c>
      <c r="S1228" s="31">
        <v>100</v>
      </c>
      <c r="T1228" s="32">
        <v>45241</v>
      </c>
      <c r="U1228" s="31">
        <v>13868</v>
      </c>
      <c r="V1228" s="32">
        <v>45242</v>
      </c>
      <c r="W1228" s="33" t="s">
        <v>5633</v>
      </c>
      <c r="X1228" s="26"/>
      <c r="Y1228" s="22">
        <v>0</v>
      </c>
      <c r="Z1228" s="26" t="s">
        <v>50</v>
      </c>
      <c r="AA1228" s="19" t="s">
        <v>5112</v>
      </c>
      <c r="AB1228" s="26" t="s">
        <v>137</v>
      </c>
      <c r="AC1228" s="26" t="s">
        <v>53</v>
      </c>
      <c r="AD1228" s="19" t="s">
        <v>54</v>
      </c>
      <c r="AE1228" s="26"/>
      <c r="AF1228" s="17">
        <v>45244</v>
      </c>
      <c r="AG1228" s="26"/>
      <c r="AH1228" s="26"/>
      <c r="AI1228" s="40">
        <v>4</v>
      </c>
      <c r="AJ1228" s="26"/>
      <c r="AK1228" s="26"/>
      <c r="AL1228" s="35"/>
      <c r="AM1228" s="35"/>
      <c r="AN1228" s="35"/>
      <c r="AO1228" s="35"/>
      <c r="AP1228" s="35"/>
    </row>
    <row r="1229" spans="1:42" x14ac:dyDescent="0.2">
      <c r="A1229" s="27">
        <v>45243.630661608797</v>
      </c>
      <c r="B1229" s="28" t="s">
        <v>37</v>
      </c>
      <c r="C1229" s="41" t="s">
        <v>118</v>
      </c>
      <c r="D1229" s="26" t="s">
        <v>36</v>
      </c>
      <c r="E1229" s="26" t="s">
        <v>77</v>
      </c>
      <c r="F1229" s="26" t="s">
        <v>36</v>
      </c>
      <c r="G1229" s="26" t="s">
        <v>41</v>
      </c>
      <c r="H1229" s="26" t="s">
        <v>1733</v>
      </c>
      <c r="I1229" s="17">
        <f ca="1">IFERROR(__xludf.DUMMYFUNCTION("""COMPUTED_VALUE"""),45275)</f>
        <v>45275</v>
      </c>
      <c r="J1229" s="29" t="s">
        <v>5634</v>
      </c>
      <c r="K1229" s="26" t="s">
        <v>5635</v>
      </c>
      <c r="L1229" s="30">
        <v>356871666</v>
      </c>
      <c r="M1229" s="26" t="s">
        <v>1245</v>
      </c>
      <c r="N1229" s="26" t="s">
        <v>1246</v>
      </c>
      <c r="O1229" s="26" t="s">
        <v>5636</v>
      </c>
      <c r="P1229" s="42" t="s">
        <v>5637</v>
      </c>
      <c r="Q1229" s="20">
        <v>1968</v>
      </c>
      <c r="R1229" s="26" t="s">
        <v>36</v>
      </c>
      <c r="S1229" s="31">
        <v>1968</v>
      </c>
      <c r="T1229" s="32">
        <v>45243</v>
      </c>
      <c r="U1229" s="31"/>
      <c r="V1229" s="32"/>
      <c r="W1229" s="33" t="s">
        <v>5638</v>
      </c>
      <c r="X1229" s="26"/>
      <c r="Y1229" s="22">
        <v>0</v>
      </c>
      <c r="Z1229" s="26" t="s">
        <v>50</v>
      </c>
      <c r="AA1229" s="19" t="s">
        <v>5112</v>
      </c>
      <c r="AB1229" s="26" t="s">
        <v>104</v>
      </c>
      <c r="AC1229" s="26" t="s">
        <v>53</v>
      </c>
      <c r="AD1229" s="19" t="s">
        <v>138</v>
      </c>
      <c r="AE1229" s="26" t="s">
        <v>5639</v>
      </c>
      <c r="AF1229" s="17">
        <v>45265</v>
      </c>
      <c r="AG1229" s="26"/>
      <c r="AH1229" s="26"/>
      <c r="AI1229" s="40" t="s">
        <v>84</v>
      </c>
      <c r="AJ1229" s="26"/>
      <c r="AK1229" s="26"/>
      <c r="AL1229" s="35"/>
      <c r="AM1229" s="35"/>
      <c r="AN1229" s="35"/>
      <c r="AO1229" s="35"/>
      <c r="AP1229" s="35"/>
    </row>
    <row r="1230" spans="1:42" x14ac:dyDescent="0.2">
      <c r="A1230" s="27">
        <v>45243.849188078704</v>
      </c>
      <c r="B1230" s="28" t="s">
        <v>37</v>
      </c>
      <c r="C1230" s="41" t="s">
        <v>118</v>
      </c>
      <c r="D1230" s="26" t="s">
        <v>36</v>
      </c>
      <c r="E1230" s="26" t="s">
        <v>56</v>
      </c>
      <c r="F1230" s="26" t="s">
        <v>91</v>
      </c>
      <c r="G1230" s="26" t="s">
        <v>41</v>
      </c>
      <c r="H1230" s="26" t="s">
        <v>413</v>
      </c>
      <c r="I1230" s="17">
        <f ca="1">IFERROR(__xludf.DUMMYFUNCTION("""COMPUTED_VALUE"""),45246)</f>
        <v>45246</v>
      </c>
      <c r="J1230" s="29" t="s">
        <v>5640</v>
      </c>
      <c r="K1230" s="26" t="s">
        <v>5641</v>
      </c>
      <c r="L1230" s="30">
        <v>394272046</v>
      </c>
      <c r="M1230" s="26" t="s">
        <v>910</v>
      </c>
      <c r="N1230" s="26" t="s">
        <v>3221</v>
      </c>
      <c r="O1230" s="26" t="s">
        <v>5642</v>
      </c>
      <c r="P1230" s="26" t="s">
        <v>5643</v>
      </c>
      <c r="Q1230" s="20">
        <v>9317</v>
      </c>
      <c r="R1230" s="26" t="s">
        <v>36</v>
      </c>
      <c r="S1230" s="31">
        <v>9317</v>
      </c>
      <c r="T1230" s="32">
        <v>45243</v>
      </c>
      <c r="U1230" s="31"/>
      <c r="V1230" s="32"/>
      <c r="W1230" s="33" t="s">
        <v>5644</v>
      </c>
      <c r="X1230" s="26"/>
      <c r="Y1230" s="22">
        <v>0</v>
      </c>
      <c r="Z1230" s="26" t="s">
        <v>50</v>
      </c>
      <c r="AA1230" s="19" t="s">
        <v>5112</v>
      </c>
      <c r="AB1230" s="26" t="s">
        <v>104</v>
      </c>
      <c r="AC1230" s="26" t="s">
        <v>53</v>
      </c>
      <c r="AD1230" s="19" t="s">
        <v>54</v>
      </c>
      <c r="AE1230" s="26"/>
      <c r="AF1230" s="17">
        <v>45244</v>
      </c>
      <c r="AG1230" s="26"/>
      <c r="AH1230" s="26"/>
      <c r="AI1230" s="40" t="s">
        <v>64</v>
      </c>
      <c r="AJ1230" s="26"/>
      <c r="AK1230" s="26"/>
      <c r="AL1230" s="35"/>
      <c r="AM1230" s="35"/>
      <c r="AN1230" s="35"/>
      <c r="AO1230" s="35"/>
      <c r="AP1230" s="35"/>
    </row>
    <row r="1231" spans="1:42" x14ac:dyDescent="0.2">
      <c r="A1231" s="27">
        <v>45243.884086759259</v>
      </c>
      <c r="B1231" s="28" t="s">
        <v>37</v>
      </c>
      <c r="C1231" s="41" t="s">
        <v>118</v>
      </c>
      <c r="D1231" s="26" t="s">
        <v>36</v>
      </c>
      <c r="E1231" s="26" t="s">
        <v>106</v>
      </c>
      <c r="F1231" s="26" t="s">
        <v>91</v>
      </c>
      <c r="G1231" s="26" t="s">
        <v>108</v>
      </c>
      <c r="H1231" s="26" t="s">
        <v>2393</v>
      </c>
      <c r="I1231" s="17">
        <f ca="1">IFERROR(__xludf.DUMMYFUNCTION("""COMPUTED_VALUE"""),45257)</f>
        <v>45257</v>
      </c>
      <c r="J1231" s="29" t="s">
        <v>5645</v>
      </c>
      <c r="K1231" s="26" t="s">
        <v>5646</v>
      </c>
      <c r="L1231" s="30">
        <v>835474566</v>
      </c>
      <c r="M1231" s="26" t="s">
        <v>910</v>
      </c>
      <c r="N1231" s="26" t="s">
        <v>355</v>
      </c>
      <c r="O1231" s="26" t="s">
        <v>5647</v>
      </c>
      <c r="P1231" s="26" t="s">
        <v>5648</v>
      </c>
      <c r="Q1231" s="20">
        <v>3768</v>
      </c>
      <c r="R1231" s="26" t="s">
        <v>36</v>
      </c>
      <c r="S1231" s="31">
        <v>3768</v>
      </c>
      <c r="T1231" s="32">
        <v>45243</v>
      </c>
      <c r="U1231" s="31"/>
      <c r="V1231" s="32"/>
      <c r="W1231" s="33" t="s">
        <v>5649</v>
      </c>
      <c r="X1231" s="26"/>
      <c r="Y1231" s="22">
        <v>0</v>
      </c>
      <c r="Z1231" s="26" t="s">
        <v>50</v>
      </c>
      <c r="AA1231" s="19" t="s">
        <v>5112</v>
      </c>
      <c r="AB1231" s="26" t="s">
        <v>146</v>
      </c>
      <c r="AC1231" s="26" t="s">
        <v>53</v>
      </c>
      <c r="AD1231" s="19" t="s">
        <v>54</v>
      </c>
      <c r="AE1231" s="26">
        <v>410</v>
      </c>
      <c r="AF1231" s="17">
        <v>45247</v>
      </c>
      <c r="AG1231" s="26"/>
      <c r="AH1231" s="26"/>
      <c r="AI1231" s="40">
        <v>1</v>
      </c>
      <c r="AJ1231" s="26"/>
      <c r="AK1231" s="26"/>
      <c r="AL1231" s="35"/>
      <c r="AM1231" s="35"/>
      <c r="AN1231" s="35"/>
      <c r="AO1231" s="35"/>
      <c r="AP1231" s="35"/>
    </row>
    <row r="1232" spans="1:42" x14ac:dyDescent="0.2">
      <c r="A1232" s="27">
        <v>45243.93405413194</v>
      </c>
      <c r="B1232" s="28" t="s">
        <v>37</v>
      </c>
      <c r="C1232" s="41" t="s">
        <v>118</v>
      </c>
      <c r="D1232" s="26" t="s">
        <v>36</v>
      </c>
      <c r="E1232" s="26" t="s">
        <v>39</v>
      </c>
      <c r="F1232" s="26" t="s">
        <v>36</v>
      </c>
      <c r="G1232" s="26" t="s">
        <v>41</v>
      </c>
      <c r="H1232" s="26" t="s">
        <v>5650</v>
      </c>
      <c r="I1232" s="17">
        <f ca="1">IFERROR(__xludf.DUMMYFUNCTION("""COMPUTED_VALUE"""),45265)</f>
        <v>45265</v>
      </c>
      <c r="J1232" s="29" t="s">
        <v>5651</v>
      </c>
      <c r="K1232" s="26" t="s">
        <v>5652</v>
      </c>
      <c r="L1232" s="30">
        <v>796920034</v>
      </c>
      <c r="M1232" s="26" t="s">
        <v>292</v>
      </c>
      <c r="N1232" s="26" t="s">
        <v>5653</v>
      </c>
      <c r="O1232" s="26" t="s">
        <v>5654</v>
      </c>
      <c r="P1232" s="26" t="s">
        <v>5655</v>
      </c>
      <c r="Q1232" s="20">
        <v>5736</v>
      </c>
      <c r="R1232" s="26" t="s">
        <v>36</v>
      </c>
      <c r="S1232" s="31">
        <v>2000</v>
      </c>
      <c r="T1232" s="32">
        <v>45243</v>
      </c>
      <c r="U1232" s="31">
        <v>3736</v>
      </c>
      <c r="V1232" s="32">
        <v>45255</v>
      </c>
      <c r="W1232" s="33" t="s">
        <v>5656</v>
      </c>
      <c r="X1232" s="26"/>
      <c r="Y1232" s="22">
        <v>0</v>
      </c>
      <c r="Z1232" s="26" t="s">
        <v>50</v>
      </c>
      <c r="AA1232" s="19" t="s">
        <v>5112</v>
      </c>
      <c r="AB1232" s="26" t="s">
        <v>104</v>
      </c>
      <c r="AC1232" s="26" t="s">
        <v>53</v>
      </c>
      <c r="AD1232" s="19" t="s">
        <v>54</v>
      </c>
      <c r="AE1232" s="26">
        <v>290</v>
      </c>
      <c r="AF1232" s="43">
        <v>45250</v>
      </c>
      <c r="AG1232" s="26"/>
      <c r="AH1232" s="26"/>
      <c r="AI1232" s="40" t="s">
        <v>55</v>
      </c>
      <c r="AJ1232" s="26"/>
      <c r="AK1232" s="26"/>
      <c r="AL1232" s="35"/>
      <c r="AM1232" s="35"/>
      <c r="AN1232" s="35"/>
      <c r="AO1232" s="35"/>
      <c r="AP1232" s="35"/>
    </row>
    <row r="1233" spans="1:42" x14ac:dyDescent="0.2">
      <c r="A1233" s="27">
        <v>45244.416679305556</v>
      </c>
      <c r="B1233" s="28" t="s">
        <v>37</v>
      </c>
      <c r="C1233" s="41" t="s">
        <v>118</v>
      </c>
      <c r="D1233" s="26" t="s">
        <v>36</v>
      </c>
      <c r="E1233" s="26" t="s">
        <v>106</v>
      </c>
      <c r="F1233" s="26" t="s">
        <v>2973</v>
      </c>
      <c r="G1233" s="26" t="s">
        <v>108</v>
      </c>
      <c r="H1233" s="26" t="s">
        <v>1176</v>
      </c>
      <c r="I1233" s="17">
        <f ca="1">IFERROR(__xludf.DUMMYFUNCTION("""COMPUTED_VALUE"""),45258)</f>
        <v>45258</v>
      </c>
      <c r="J1233" s="29" t="s">
        <v>5657</v>
      </c>
      <c r="K1233" s="26" t="s">
        <v>5658</v>
      </c>
      <c r="L1233" s="30">
        <v>338497007</v>
      </c>
      <c r="M1233" s="26" t="s">
        <v>112</v>
      </c>
      <c r="N1233" s="26" t="s">
        <v>1993</v>
      </c>
      <c r="O1233" s="26" t="s">
        <v>5659</v>
      </c>
      <c r="P1233" s="42" t="s">
        <v>5660</v>
      </c>
      <c r="Q1233" s="20">
        <v>3768</v>
      </c>
      <c r="R1233" s="26" t="s">
        <v>36</v>
      </c>
      <c r="S1233" s="31">
        <v>3768</v>
      </c>
      <c r="T1233" s="32">
        <v>45244</v>
      </c>
      <c r="U1233" s="31"/>
      <c r="V1233" s="32"/>
      <c r="W1233" s="33" t="s">
        <v>5661</v>
      </c>
      <c r="X1233" s="26"/>
      <c r="Y1233" s="22">
        <v>0</v>
      </c>
      <c r="Z1233" s="26" t="s">
        <v>50</v>
      </c>
      <c r="AA1233" s="19" t="s">
        <v>5112</v>
      </c>
      <c r="AB1233" s="26" t="s">
        <v>146</v>
      </c>
      <c r="AC1233" s="26" t="s">
        <v>53</v>
      </c>
      <c r="AD1233" s="19" t="s">
        <v>54</v>
      </c>
      <c r="AE1233" s="26" t="s">
        <v>888</v>
      </c>
      <c r="AF1233" s="43">
        <v>45250</v>
      </c>
      <c r="AG1233" s="26"/>
      <c r="AH1233" s="26"/>
      <c r="AI1233" s="40">
        <v>1</v>
      </c>
      <c r="AJ1233" s="26"/>
      <c r="AK1233" s="26"/>
      <c r="AL1233" s="35"/>
      <c r="AM1233" s="35"/>
      <c r="AN1233" s="35"/>
      <c r="AO1233" s="35"/>
      <c r="AP1233" s="35"/>
    </row>
    <row r="1234" spans="1:42" x14ac:dyDescent="0.2">
      <c r="A1234" s="27">
        <v>45244.988088564816</v>
      </c>
      <c r="B1234" s="28" t="s">
        <v>37</v>
      </c>
      <c r="C1234" s="41" t="s">
        <v>118</v>
      </c>
      <c r="D1234" s="26" t="s">
        <v>36</v>
      </c>
      <c r="E1234" s="26" t="s">
        <v>39</v>
      </c>
      <c r="F1234" s="26" t="s">
        <v>91</v>
      </c>
      <c r="G1234" s="26" t="s">
        <v>41</v>
      </c>
      <c r="H1234" s="26" t="s">
        <v>4261</v>
      </c>
      <c r="I1234" s="17">
        <f ca="1">IFERROR(__xludf.DUMMYFUNCTION("""COMPUTED_VALUE"""),45257)</f>
        <v>45257</v>
      </c>
      <c r="J1234" s="29" t="s">
        <v>5662</v>
      </c>
      <c r="K1234" s="26" t="s">
        <v>5663</v>
      </c>
      <c r="L1234" s="30">
        <v>971741625</v>
      </c>
      <c r="M1234" s="26" t="s">
        <v>5558</v>
      </c>
      <c r="N1234" s="26" t="s">
        <v>850</v>
      </c>
      <c r="O1234" s="26" t="s">
        <v>91</v>
      </c>
      <c r="P1234" s="26" t="s">
        <v>5664</v>
      </c>
      <c r="Q1234" s="20">
        <v>5736</v>
      </c>
      <c r="R1234" s="26" t="s">
        <v>36</v>
      </c>
      <c r="S1234" s="31">
        <v>5736</v>
      </c>
      <c r="T1234" s="32">
        <v>45244</v>
      </c>
      <c r="U1234" s="31"/>
      <c r="V1234" s="32"/>
      <c r="W1234" s="33" t="s">
        <v>5665</v>
      </c>
      <c r="X1234" s="26"/>
      <c r="Y1234" s="22">
        <v>0</v>
      </c>
      <c r="Z1234" s="26" t="s">
        <v>50</v>
      </c>
      <c r="AA1234" s="19" t="s">
        <v>5112</v>
      </c>
      <c r="AB1234" s="26" t="s">
        <v>104</v>
      </c>
      <c r="AC1234" s="26" t="s">
        <v>53</v>
      </c>
      <c r="AD1234" s="19" t="s">
        <v>54</v>
      </c>
      <c r="AE1234" s="26"/>
      <c r="AF1234" s="17">
        <v>45247</v>
      </c>
      <c r="AG1234" s="26"/>
      <c r="AH1234" s="26"/>
      <c r="AI1234" s="40" t="s">
        <v>55</v>
      </c>
      <c r="AJ1234" s="26"/>
      <c r="AK1234" s="26"/>
      <c r="AL1234" s="35"/>
      <c r="AM1234" s="35"/>
      <c r="AN1234" s="35"/>
      <c r="AO1234" s="35"/>
      <c r="AP1234" s="35"/>
    </row>
    <row r="1235" spans="1:42" x14ac:dyDescent="0.2">
      <c r="A1235" s="27">
        <v>45248.879050462958</v>
      </c>
      <c r="B1235" s="28" t="s">
        <v>37</v>
      </c>
      <c r="C1235" s="41" t="s">
        <v>118</v>
      </c>
      <c r="D1235" s="26" t="s">
        <v>36</v>
      </c>
      <c r="E1235" s="26" t="s">
        <v>56</v>
      </c>
      <c r="F1235" s="26" t="s">
        <v>40</v>
      </c>
      <c r="G1235" s="26" t="s">
        <v>41</v>
      </c>
      <c r="H1235" s="26" t="s">
        <v>5666</v>
      </c>
      <c r="I1235" s="17">
        <f ca="1">IFERROR(__xludf.DUMMYFUNCTION("""COMPUTED_VALUE"""),45540)</f>
        <v>45540</v>
      </c>
      <c r="J1235" s="29" t="s">
        <v>5667</v>
      </c>
      <c r="K1235" s="26" t="s">
        <v>5668</v>
      </c>
      <c r="L1235" s="30">
        <v>868434205</v>
      </c>
      <c r="M1235" s="26" t="s">
        <v>59</v>
      </c>
      <c r="N1235" s="26" t="s">
        <v>260</v>
      </c>
      <c r="O1235" s="26" t="s">
        <v>5669</v>
      </c>
      <c r="P1235" s="42" t="s">
        <v>5670</v>
      </c>
      <c r="Q1235" s="20">
        <v>9317</v>
      </c>
      <c r="R1235" s="26" t="s">
        <v>36</v>
      </c>
      <c r="S1235" s="31">
        <v>9317</v>
      </c>
      <c r="T1235" s="32">
        <v>45243</v>
      </c>
      <c r="U1235" s="31"/>
      <c r="V1235" s="32"/>
      <c r="W1235" s="33" t="s">
        <v>5671</v>
      </c>
      <c r="X1235" s="26"/>
      <c r="Y1235" s="22">
        <v>0</v>
      </c>
      <c r="Z1235" s="26" t="s">
        <v>50</v>
      </c>
      <c r="AA1235" s="19" t="s">
        <v>5112</v>
      </c>
      <c r="AB1235" s="26" t="s">
        <v>137</v>
      </c>
      <c r="AC1235" s="26" t="s">
        <v>53</v>
      </c>
      <c r="AD1235" s="19" t="s">
        <v>138</v>
      </c>
      <c r="AE1235" s="26" t="s">
        <v>5672</v>
      </c>
      <c r="AF1235" s="17">
        <v>45540</v>
      </c>
      <c r="AG1235" s="26" t="s">
        <v>3399</v>
      </c>
      <c r="AH1235" s="26"/>
      <c r="AI1235" s="40" t="s">
        <v>64</v>
      </c>
      <c r="AJ1235" s="26"/>
      <c r="AK1235" s="26"/>
      <c r="AL1235" s="35"/>
      <c r="AM1235" s="35"/>
      <c r="AN1235" s="35"/>
      <c r="AO1235" s="35"/>
      <c r="AP1235" s="35"/>
    </row>
    <row r="1236" spans="1:42" x14ac:dyDescent="0.2">
      <c r="A1236" s="27">
        <v>45214.626330729167</v>
      </c>
      <c r="B1236" s="28" t="s">
        <v>37</v>
      </c>
      <c r="C1236" s="41" t="s">
        <v>118</v>
      </c>
      <c r="D1236" s="26" t="s">
        <v>36</v>
      </c>
      <c r="E1236" s="26" t="s">
        <v>139</v>
      </c>
      <c r="F1236" s="26" t="s">
        <v>36</v>
      </c>
      <c r="G1236" s="26" t="s">
        <v>41</v>
      </c>
      <c r="H1236" s="26" t="s">
        <v>5650</v>
      </c>
      <c r="I1236" s="17">
        <f ca="1">IFERROR(__xludf.DUMMYFUNCTION("""COMPUTED_VALUE"""),45265)</f>
        <v>45265</v>
      </c>
      <c r="J1236" s="29" t="s">
        <v>5673</v>
      </c>
      <c r="K1236" s="26" t="s">
        <v>5674</v>
      </c>
      <c r="L1236" s="30">
        <v>962091946</v>
      </c>
      <c r="M1236" s="26" t="s">
        <v>292</v>
      </c>
      <c r="N1236" s="26" t="s">
        <v>5675</v>
      </c>
      <c r="O1236" s="26" t="s">
        <v>5676</v>
      </c>
      <c r="P1236" s="26" t="s">
        <v>5677</v>
      </c>
      <c r="Q1236" s="20">
        <v>15936</v>
      </c>
      <c r="R1236" s="26" t="s">
        <v>36</v>
      </c>
      <c r="S1236" s="31">
        <v>1000</v>
      </c>
      <c r="T1236" s="32">
        <v>45214</v>
      </c>
      <c r="U1236" s="31">
        <v>14936</v>
      </c>
      <c r="V1236" s="32">
        <v>45249</v>
      </c>
      <c r="W1236" s="33" t="s">
        <v>5678</v>
      </c>
      <c r="X1236" s="26">
        <v>0</v>
      </c>
      <c r="Y1236" s="22">
        <v>0</v>
      </c>
      <c r="Z1236" s="26" t="s">
        <v>50</v>
      </c>
      <c r="AA1236" s="19" t="s">
        <v>5112</v>
      </c>
      <c r="AB1236" s="26" t="s">
        <v>104</v>
      </c>
      <c r="AC1236" s="26" t="s">
        <v>53</v>
      </c>
      <c r="AD1236" s="19" t="s">
        <v>54</v>
      </c>
      <c r="AE1236" s="26" t="s">
        <v>72</v>
      </c>
      <c r="AF1236" s="43">
        <v>45250</v>
      </c>
      <c r="AG1236" s="26" t="s">
        <v>5679</v>
      </c>
      <c r="AH1236" s="26"/>
      <c r="AI1236" s="40" t="s">
        <v>147</v>
      </c>
      <c r="AJ1236" s="26"/>
      <c r="AK1236" s="26"/>
      <c r="AL1236" s="35"/>
      <c r="AM1236" s="35"/>
      <c r="AN1236" s="35"/>
      <c r="AO1236" s="35"/>
      <c r="AP1236" s="35"/>
    </row>
    <row r="1237" spans="1:42" x14ac:dyDescent="0.2">
      <c r="A1237" s="27">
        <v>45250.606656041666</v>
      </c>
      <c r="B1237" s="28" t="s">
        <v>37</v>
      </c>
      <c r="C1237" s="41" t="s">
        <v>118</v>
      </c>
      <c r="D1237" s="26" t="s">
        <v>36</v>
      </c>
      <c r="E1237" s="26" t="s">
        <v>148</v>
      </c>
      <c r="F1237" s="26" t="s">
        <v>36</v>
      </c>
      <c r="G1237" s="26" t="s">
        <v>108</v>
      </c>
      <c r="H1237" s="26" t="s">
        <v>4362</v>
      </c>
      <c r="I1237" s="17">
        <f ca="1">IFERROR(__xludf.DUMMYFUNCTION("""COMPUTED_VALUE"""),45257)</f>
        <v>45257</v>
      </c>
      <c r="J1237" s="29" t="s">
        <v>5680</v>
      </c>
      <c r="K1237" s="26" t="s">
        <v>5681</v>
      </c>
      <c r="L1237" s="30">
        <v>865245112</v>
      </c>
      <c r="M1237" s="26" t="s">
        <v>292</v>
      </c>
      <c r="N1237" s="26" t="s">
        <v>438</v>
      </c>
      <c r="O1237" s="67" t="s">
        <v>5682</v>
      </c>
      <c r="P1237" s="26" t="s">
        <v>5683</v>
      </c>
      <c r="Q1237" s="20">
        <v>7349</v>
      </c>
      <c r="R1237" s="26" t="s">
        <v>36</v>
      </c>
      <c r="S1237" s="31">
        <v>7349</v>
      </c>
      <c r="T1237" s="32">
        <v>45250</v>
      </c>
      <c r="U1237" s="31"/>
      <c r="V1237" s="32"/>
      <c r="W1237" s="33" t="s">
        <v>5684</v>
      </c>
      <c r="X1237" s="26"/>
      <c r="Y1237" s="22">
        <v>0</v>
      </c>
      <c r="Z1237" s="26" t="s">
        <v>50</v>
      </c>
      <c r="AA1237" s="19" t="s">
        <v>5112</v>
      </c>
      <c r="AB1237" s="26" t="s">
        <v>128</v>
      </c>
      <c r="AC1237" s="26" t="s">
        <v>53</v>
      </c>
      <c r="AD1237" s="19" t="s">
        <v>138</v>
      </c>
      <c r="AE1237" s="26">
        <v>350</v>
      </c>
      <c r="AF1237" s="43">
        <v>45257</v>
      </c>
      <c r="AG1237" s="26" t="s">
        <v>3399</v>
      </c>
      <c r="AH1237" s="26"/>
      <c r="AI1237" s="40">
        <v>2</v>
      </c>
      <c r="AJ1237" s="26"/>
      <c r="AK1237" s="26"/>
      <c r="AL1237" s="35"/>
      <c r="AM1237" s="35"/>
      <c r="AN1237" s="35"/>
      <c r="AO1237" s="35"/>
      <c r="AP1237" s="35"/>
    </row>
    <row r="1238" spans="1:42" x14ac:dyDescent="0.2">
      <c r="A1238" s="27">
        <v>45250.800235370371</v>
      </c>
      <c r="B1238" s="28" t="s">
        <v>37</v>
      </c>
      <c r="C1238" s="41" t="s">
        <v>118</v>
      </c>
      <c r="D1238" s="26" t="s">
        <v>36</v>
      </c>
      <c r="E1238" s="26" t="s">
        <v>77</v>
      </c>
      <c r="F1238" s="26" t="s">
        <v>91</v>
      </c>
      <c r="G1238" s="26" t="s">
        <v>41</v>
      </c>
      <c r="H1238" s="26" t="s">
        <v>4261</v>
      </c>
      <c r="I1238" s="17">
        <f ca="1">IFERROR(__xludf.DUMMYFUNCTION("""COMPUTED_VALUE"""),45257)</f>
        <v>45257</v>
      </c>
      <c r="J1238" s="29" t="s">
        <v>5685</v>
      </c>
      <c r="K1238" s="26" t="s">
        <v>5686</v>
      </c>
      <c r="L1238" s="30">
        <v>847947757</v>
      </c>
      <c r="M1238" s="26" t="s">
        <v>910</v>
      </c>
      <c r="N1238" s="26" t="s">
        <v>355</v>
      </c>
      <c r="O1238" s="26" t="s">
        <v>3754</v>
      </c>
      <c r="P1238" s="26" t="s">
        <v>5687</v>
      </c>
      <c r="Q1238" s="20">
        <v>1968</v>
      </c>
      <c r="R1238" s="26" t="s">
        <v>36</v>
      </c>
      <c r="S1238" s="31">
        <v>1968</v>
      </c>
      <c r="T1238" s="32" t="s">
        <v>5688</v>
      </c>
      <c r="U1238" s="31"/>
      <c r="V1238" s="32"/>
      <c r="W1238" s="33" t="s">
        <v>5689</v>
      </c>
      <c r="X1238" s="26"/>
      <c r="Y1238" s="22">
        <v>0</v>
      </c>
      <c r="Z1238" s="26" t="s">
        <v>50</v>
      </c>
      <c r="AA1238" s="19" t="s">
        <v>5112</v>
      </c>
      <c r="AB1238" s="26" t="s">
        <v>104</v>
      </c>
      <c r="AC1238" s="26" t="s">
        <v>53</v>
      </c>
      <c r="AD1238" s="19" t="s">
        <v>54</v>
      </c>
      <c r="AE1238" s="26"/>
      <c r="AF1238" s="43">
        <v>45251</v>
      </c>
      <c r="AG1238" s="26"/>
      <c r="AH1238" s="26"/>
      <c r="AI1238" s="40" t="s">
        <v>84</v>
      </c>
      <c r="AJ1238" s="26"/>
      <c r="AK1238" s="26"/>
      <c r="AL1238" s="35"/>
      <c r="AM1238" s="35"/>
      <c r="AN1238" s="35"/>
      <c r="AO1238" s="35"/>
      <c r="AP1238" s="35"/>
    </row>
    <row r="1239" spans="1:42" x14ac:dyDescent="0.2">
      <c r="A1239" s="27">
        <v>45250.802451446754</v>
      </c>
      <c r="B1239" s="28" t="s">
        <v>37</v>
      </c>
      <c r="C1239" s="41" t="s">
        <v>118</v>
      </c>
      <c r="D1239" s="26" t="s">
        <v>36</v>
      </c>
      <c r="E1239" s="26" t="s">
        <v>77</v>
      </c>
      <c r="F1239" s="26" t="s">
        <v>91</v>
      </c>
      <c r="G1239" s="26" t="s">
        <v>41</v>
      </c>
      <c r="H1239" s="26" t="s">
        <v>4261</v>
      </c>
      <c r="I1239" s="17">
        <f ca="1">IFERROR(__xludf.DUMMYFUNCTION("""COMPUTED_VALUE"""),45257)</f>
        <v>45257</v>
      </c>
      <c r="J1239" s="29" t="s">
        <v>5690</v>
      </c>
      <c r="K1239" s="26" t="s">
        <v>5691</v>
      </c>
      <c r="L1239" s="30">
        <v>565827596</v>
      </c>
      <c r="M1239" s="26" t="s">
        <v>910</v>
      </c>
      <c r="N1239" s="26" t="s">
        <v>355</v>
      </c>
      <c r="O1239" s="26" t="s">
        <v>3754</v>
      </c>
      <c r="P1239" s="26" t="s">
        <v>5692</v>
      </c>
      <c r="Q1239" s="20">
        <v>1968</v>
      </c>
      <c r="R1239" s="26" t="s">
        <v>36</v>
      </c>
      <c r="S1239" s="58">
        <v>1968</v>
      </c>
      <c r="T1239" s="59">
        <v>45246</v>
      </c>
      <c r="U1239" s="31"/>
      <c r="V1239" s="32"/>
      <c r="W1239" s="33" t="s">
        <v>5693</v>
      </c>
      <c r="X1239" s="26"/>
      <c r="Y1239" s="22">
        <v>0</v>
      </c>
      <c r="Z1239" s="26" t="s">
        <v>50</v>
      </c>
      <c r="AA1239" s="19" t="s">
        <v>5112</v>
      </c>
      <c r="AB1239" s="26" t="s">
        <v>104</v>
      </c>
      <c r="AC1239" s="26"/>
      <c r="AD1239" s="19" t="s">
        <v>54</v>
      </c>
      <c r="AE1239" s="26"/>
      <c r="AF1239" s="43">
        <v>45251</v>
      </c>
      <c r="AG1239" s="26"/>
      <c r="AH1239" s="26"/>
      <c r="AI1239" s="40" t="s">
        <v>84</v>
      </c>
      <c r="AJ1239" s="26"/>
      <c r="AK1239" s="26"/>
      <c r="AL1239" s="35"/>
      <c r="AM1239" s="35"/>
      <c r="AN1239" s="35"/>
      <c r="AO1239" s="35"/>
      <c r="AP1239" s="35"/>
    </row>
    <row r="1240" spans="1:42" x14ac:dyDescent="0.2">
      <c r="A1240" s="27">
        <v>45250.821410555553</v>
      </c>
      <c r="B1240" s="28" t="s">
        <v>37</v>
      </c>
      <c r="C1240" s="41" t="s">
        <v>118</v>
      </c>
      <c r="D1240" s="26" t="s">
        <v>36</v>
      </c>
      <c r="E1240" s="26" t="s">
        <v>77</v>
      </c>
      <c r="F1240" s="26" t="s">
        <v>91</v>
      </c>
      <c r="G1240" s="26" t="s">
        <v>41</v>
      </c>
      <c r="H1240" s="26" t="s">
        <v>4261</v>
      </c>
      <c r="I1240" s="17">
        <f ca="1">IFERROR(__xludf.DUMMYFUNCTION("""COMPUTED_VALUE"""),45257)</f>
        <v>45257</v>
      </c>
      <c r="J1240" s="29" t="s">
        <v>5694</v>
      </c>
      <c r="K1240" s="26" t="s">
        <v>5695</v>
      </c>
      <c r="L1240" s="30">
        <v>834809345</v>
      </c>
      <c r="M1240" s="26" t="s">
        <v>910</v>
      </c>
      <c r="N1240" s="26" t="s">
        <v>355</v>
      </c>
      <c r="O1240" s="26" t="s">
        <v>5696</v>
      </c>
      <c r="P1240" s="26" t="s">
        <v>5697</v>
      </c>
      <c r="Q1240" s="20">
        <v>1968</v>
      </c>
      <c r="R1240" s="26" t="s">
        <v>36</v>
      </c>
      <c r="S1240" s="31">
        <v>200</v>
      </c>
      <c r="T1240" s="32">
        <v>45225</v>
      </c>
      <c r="U1240" s="31">
        <v>1768</v>
      </c>
      <c r="V1240" s="32">
        <v>45250</v>
      </c>
      <c r="W1240" s="26" t="s">
        <v>5698</v>
      </c>
      <c r="X1240" s="26"/>
      <c r="Y1240" s="22">
        <v>0</v>
      </c>
      <c r="Z1240" s="26" t="s">
        <v>50</v>
      </c>
      <c r="AA1240" s="19" t="s">
        <v>5112</v>
      </c>
      <c r="AB1240" s="26" t="s">
        <v>104</v>
      </c>
      <c r="AC1240" s="26" t="s">
        <v>53</v>
      </c>
      <c r="AD1240" s="19" t="s">
        <v>54</v>
      </c>
      <c r="AE1240" s="26"/>
      <c r="AF1240" s="43">
        <v>45251</v>
      </c>
      <c r="AG1240" s="26"/>
      <c r="AH1240" s="26"/>
      <c r="AI1240" s="40" t="s">
        <v>84</v>
      </c>
      <c r="AJ1240" s="26"/>
      <c r="AK1240" s="26"/>
      <c r="AL1240" s="35"/>
      <c r="AM1240" s="35"/>
      <c r="AN1240" s="35"/>
      <c r="AO1240" s="35"/>
      <c r="AP1240" s="35"/>
    </row>
    <row r="1241" spans="1:42" x14ac:dyDescent="0.2">
      <c r="A1241" s="97">
        <v>45251</v>
      </c>
      <c r="B1241" s="28" t="s">
        <v>37</v>
      </c>
      <c r="C1241" s="41" t="s">
        <v>118</v>
      </c>
      <c r="D1241" s="26" t="s">
        <v>36</v>
      </c>
      <c r="E1241" s="26" t="s">
        <v>106</v>
      </c>
      <c r="F1241" s="26" t="s">
        <v>3899</v>
      </c>
      <c r="G1241" s="26" t="s">
        <v>108</v>
      </c>
      <c r="H1241" s="26" t="s">
        <v>4984</v>
      </c>
      <c r="I1241" s="17">
        <f ca="1">IFERROR(__xludf.DUMMYFUNCTION("""COMPUTED_VALUE"""),45264)</f>
        <v>45264</v>
      </c>
      <c r="J1241" s="29" t="s">
        <v>5284</v>
      </c>
      <c r="K1241" s="26" t="s">
        <v>5285</v>
      </c>
      <c r="L1241" s="30">
        <v>352120726</v>
      </c>
      <c r="M1241" s="26" t="s">
        <v>2755</v>
      </c>
      <c r="N1241" s="26" t="s">
        <v>2756</v>
      </c>
      <c r="O1241" s="26" t="s">
        <v>1226</v>
      </c>
      <c r="P1241" s="42" t="s">
        <v>5286</v>
      </c>
      <c r="Q1241" s="20">
        <v>3768</v>
      </c>
      <c r="R1241" s="26" t="s">
        <v>36</v>
      </c>
      <c r="S1241" s="31">
        <v>3736</v>
      </c>
      <c r="T1241" s="32">
        <v>45246</v>
      </c>
      <c r="U1241" s="31"/>
      <c r="V1241" s="32"/>
      <c r="W1241" s="55" t="s">
        <v>5699</v>
      </c>
      <c r="X1241" s="26"/>
      <c r="Y1241" s="22">
        <v>32</v>
      </c>
      <c r="Z1241" s="26" t="s">
        <v>50</v>
      </c>
      <c r="AA1241" s="19" t="s">
        <v>5112</v>
      </c>
      <c r="AB1241" s="26" t="s">
        <v>128</v>
      </c>
      <c r="AC1241" s="26"/>
      <c r="AD1241" s="19" t="s">
        <v>138</v>
      </c>
      <c r="AE1241" s="26" t="s">
        <v>3586</v>
      </c>
      <c r="AF1241" s="17">
        <v>45264</v>
      </c>
      <c r="AG1241" s="26" t="s">
        <v>1362</v>
      </c>
      <c r="AH1241" s="26"/>
      <c r="AI1241" s="40">
        <v>1</v>
      </c>
      <c r="AJ1241" s="26"/>
      <c r="AK1241" s="26"/>
      <c r="AL1241" s="35"/>
      <c r="AM1241" s="35"/>
      <c r="AN1241" s="35"/>
      <c r="AO1241" s="35"/>
      <c r="AP1241" s="35"/>
    </row>
    <row r="1242" spans="1:42" x14ac:dyDescent="0.2">
      <c r="A1242" s="27">
        <v>45251.699372442134</v>
      </c>
      <c r="B1242" s="28" t="s">
        <v>37</v>
      </c>
      <c r="C1242" s="41" t="s">
        <v>118</v>
      </c>
      <c r="D1242" s="26" t="s">
        <v>36</v>
      </c>
      <c r="E1242" s="26" t="s">
        <v>106</v>
      </c>
      <c r="F1242" s="26" t="s">
        <v>36</v>
      </c>
      <c r="G1242" s="26" t="s">
        <v>108</v>
      </c>
      <c r="H1242" s="26" t="s">
        <v>4988</v>
      </c>
      <c r="I1242" s="17">
        <f ca="1">IFERROR(__xludf.DUMMYFUNCTION("""COMPUTED_VALUE"""),45261)</f>
        <v>45261</v>
      </c>
      <c r="J1242" s="29" t="s">
        <v>5700</v>
      </c>
      <c r="K1242" s="26" t="s">
        <v>5701</v>
      </c>
      <c r="L1242" s="30">
        <v>917521708</v>
      </c>
      <c r="M1242" s="26" t="s">
        <v>391</v>
      </c>
      <c r="N1242" s="26" t="s">
        <v>1306</v>
      </c>
      <c r="O1242" s="26" t="s">
        <v>5702</v>
      </c>
      <c r="P1242" s="26" t="s">
        <v>5703</v>
      </c>
      <c r="Q1242" s="20">
        <v>3768</v>
      </c>
      <c r="R1242" s="26" t="s">
        <v>36</v>
      </c>
      <c r="S1242" s="31">
        <v>3768</v>
      </c>
      <c r="T1242" s="32">
        <v>45247</v>
      </c>
      <c r="U1242" s="31"/>
      <c r="V1242" s="32"/>
      <c r="W1242" s="26"/>
      <c r="X1242" s="26"/>
      <c r="Y1242" s="22">
        <v>0</v>
      </c>
      <c r="Z1242" s="26" t="s">
        <v>50</v>
      </c>
      <c r="AA1242" s="19" t="s">
        <v>5112</v>
      </c>
      <c r="AB1242" s="26" t="s">
        <v>128</v>
      </c>
      <c r="AC1242" s="26"/>
      <c r="AD1242" s="19"/>
      <c r="AE1242" s="26">
        <v>390</v>
      </c>
      <c r="AF1242" s="17">
        <v>45253</v>
      </c>
      <c r="AG1242" s="26"/>
      <c r="AH1242" s="26"/>
      <c r="AI1242" s="40">
        <v>1</v>
      </c>
      <c r="AJ1242" s="26"/>
      <c r="AK1242" s="26"/>
      <c r="AL1242" s="35"/>
      <c r="AM1242" s="35"/>
      <c r="AN1242" s="35"/>
      <c r="AO1242" s="35"/>
      <c r="AP1242" s="35"/>
    </row>
    <row r="1243" spans="1:42" x14ac:dyDescent="0.2">
      <c r="A1243" s="27">
        <v>45252.404269039354</v>
      </c>
      <c r="B1243" s="28" t="s">
        <v>37</v>
      </c>
      <c r="C1243" s="41" t="s">
        <v>118</v>
      </c>
      <c r="D1243" s="26" t="s">
        <v>36</v>
      </c>
      <c r="E1243" s="26" t="s">
        <v>148</v>
      </c>
      <c r="F1243" s="26" t="s">
        <v>3899</v>
      </c>
      <c r="G1243" s="26" t="s">
        <v>108</v>
      </c>
      <c r="H1243" s="26" t="s">
        <v>4984</v>
      </c>
      <c r="I1243" s="17">
        <f ca="1">IFERROR(__xludf.DUMMYFUNCTION("""COMPUTED_VALUE"""),45264)</f>
        <v>45264</v>
      </c>
      <c r="J1243" s="29" t="s">
        <v>5704</v>
      </c>
      <c r="K1243" s="26" t="s">
        <v>5705</v>
      </c>
      <c r="L1243" s="30">
        <v>865676526</v>
      </c>
      <c r="M1243" s="26" t="s">
        <v>112</v>
      </c>
      <c r="N1243" s="26" t="s">
        <v>5706</v>
      </c>
      <c r="O1243" s="26" t="s">
        <v>4158</v>
      </c>
      <c r="P1243" s="26" t="s">
        <v>5707</v>
      </c>
      <c r="Q1243" s="20">
        <v>7349</v>
      </c>
      <c r="R1243" s="26" t="s">
        <v>36</v>
      </c>
      <c r="S1243" s="31">
        <v>200</v>
      </c>
      <c r="T1243" s="32">
        <v>45252</v>
      </c>
      <c r="U1243" s="31">
        <v>7149</v>
      </c>
      <c r="V1243" s="32">
        <v>45255</v>
      </c>
      <c r="W1243" s="33" t="s">
        <v>5708</v>
      </c>
      <c r="X1243" s="26"/>
      <c r="Y1243" s="22">
        <v>0</v>
      </c>
      <c r="Z1243" s="26" t="s">
        <v>50</v>
      </c>
      <c r="AA1243" s="19" t="s">
        <v>5112</v>
      </c>
      <c r="AB1243" s="26" t="s">
        <v>128</v>
      </c>
      <c r="AC1243" s="26" t="s">
        <v>53</v>
      </c>
      <c r="AD1243" s="19" t="s">
        <v>138</v>
      </c>
      <c r="AE1243" s="26" t="s">
        <v>3899</v>
      </c>
      <c r="AF1243" s="17">
        <v>45264</v>
      </c>
      <c r="AG1243" s="26" t="s">
        <v>1362</v>
      </c>
      <c r="AH1243" s="26"/>
      <c r="AI1243" s="40">
        <v>2</v>
      </c>
      <c r="AJ1243" s="26"/>
      <c r="AK1243" s="26"/>
      <c r="AL1243" s="35"/>
      <c r="AM1243" s="35"/>
      <c r="AN1243" s="35"/>
      <c r="AO1243" s="35"/>
      <c r="AP1243" s="35"/>
    </row>
    <row r="1244" spans="1:42" x14ac:dyDescent="0.2">
      <c r="A1244" s="27">
        <v>45252.730860497686</v>
      </c>
      <c r="B1244" s="28" t="s">
        <v>37</v>
      </c>
      <c r="C1244" s="41" t="s">
        <v>118</v>
      </c>
      <c r="D1244" s="26" t="s">
        <v>36</v>
      </c>
      <c r="E1244" s="26" t="s">
        <v>106</v>
      </c>
      <c r="F1244" s="26" t="s">
        <v>1436</v>
      </c>
      <c r="G1244" s="26" t="s">
        <v>108</v>
      </c>
      <c r="H1244" s="26" t="s">
        <v>2191</v>
      </c>
      <c r="I1244" s="17">
        <f ca="1">IFERROR(__xludf.DUMMYFUNCTION("""COMPUTED_VALUE"""),45263)</f>
        <v>45263</v>
      </c>
      <c r="J1244" s="29" t="s">
        <v>1822</v>
      </c>
      <c r="K1244" s="26" t="s">
        <v>1823</v>
      </c>
      <c r="L1244" s="30" t="s">
        <v>5709</v>
      </c>
      <c r="M1244" s="26" t="s">
        <v>112</v>
      </c>
      <c r="N1244" s="26" t="s">
        <v>5710</v>
      </c>
      <c r="O1244" s="26" t="s">
        <v>1825</v>
      </c>
      <c r="P1244" s="26" t="s">
        <v>5711</v>
      </c>
      <c r="Q1244" s="20">
        <v>3768</v>
      </c>
      <c r="R1244" s="26" t="s">
        <v>36</v>
      </c>
      <c r="S1244" s="31">
        <v>3568</v>
      </c>
      <c r="T1244" s="32">
        <v>45251</v>
      </c>
      <c r="U1244" s="31"/>
      <c r="V1244" s="32"/>
      <c r="W1244" s="33" t="s">
        <v>5712</v>
      </c>
      <c r="X1244" s="26"/>
      <c r="Y1244" s="22">
        <v>200</v>
      </c>
      <c r="Z1244" s="26" t="s">
        <v>50</v>
      </c>
      <c r="AA1244" s="19" t="s">
        <v>5112</v>
      </c>
      <c r="AB1244" s="26" t="s">
        <v>146</v>
      </c>
      <c r="AC1244" s="26" t="s">
        <v>53</v>
      </c>
      <c r="AD1244" s="19" t="s">
        <v>54</v>
      </c>
      <c r="AE1244" s="26">
        <v>470</v>
      </c>
      <c r="AF1244" s="60" t="s">
        <v>1829</v>
      </c>
      <c r="AG1244" s="26" t="s">
        <v>5713</v>
      </c>
      <c r="AH1244" s="26"/>
      <c r="AI1244" s="40">
        <v>1</v>
      </c>
      <c r="AJ1244" s="26"/>
      <c r="AK1244" s="26"/>
      <c r="AL1244" s="35"/>
      <c r="AM1244" s="35"/>
      <c r="AN1244" s="35"/>
      <c r="AO1244" s="35"/>
      <c r="AP1244" s="35"/>
    </row>
    <row r="1245" spans="1:42" x14ac:dyDescent="0.2">
      <c r="A1245" s="27">
        <v>45253.407096076393</v>
      </c>
      <c r="B1245" s="28" t="s">
        <v>37</v>
      </c>
      <c r="C1245" s="41" t="s">
        <v>118</v>
      </c>
      <c r="D1245" s="26" t="s">
        <v>36</v>
      </c>
      <c r="E1245" s="26" t="s">
        <v>77</v>
      </c>
      <c r="F1245" s="26" t="s">
        <v>36</v>
      </c>
      <c r="G1245" s="26" t="s">
        <v>41</v>
      </c>
      <c r="H1245" s="26" t="s">
        <v>5650</v>
      </c>
      <c r="I1245" s="17">
        <f ca="1">IFERROR(__xludf.DUMMYFUNCTION("""COMPUTED_VALUE"""),45265)</f>
        <v>45265</v>
      </c>
      <c r="J1245" s="29" t="s">
        <v>5714</v>
      </c>
      <c r="K1245" s="26" t="s">
        <v>5715</v>
      </c>
      <c r="L1245" s="30">
        <v>949749981</v>
      </c>
      <c r="M1245" s="26" t="s">
        <v>3728</v>
      </c>
      <c r="N1245" s="26" t="s">
        <v>5277</v>
      </c>
      <c r="O1245" s="26" t="s">
        <v>5716</v>
      </c>
      <c r="P1245" s="26" t="s">
        <v>5717</v>
      </c>
      <c r="Q1245" s="20">
        <v>1968</v>
      </c>
      <c r="R1245" s="26" t="s">
        <v>36</v>
      </c>
      <c r="S1245" s="31">
        <v>400</v>
      </c>
      <c r="T1245" s="32">
        <v>45252</v>
      </c>
      <c r="U1245" s="31">
        <v>1568</v>
      </c>
      <c r="V1245" s="32">
        <v>45258</v>
      </c>
      <c r="W1245" s="33" t="s">
        <v>5718</v>
      </c>
      <c r="X1245" s="26"/>
      <c r="Y1245" s="22">
        <v>0</v>
      </c>
      <c r="Z1245" s="26" t="s">
        <v>50</v>
      </c>
      <c r="AA1245" s="19" t="s">
        <v>5112</v>
      </c>
      <c r="AB1245" s="26" t="s">
        <v>104</v>
      </c>
      <c r="AC1245" s="26" t="s">
        <v>53</v>
      </c>
      <c r="AD1245" s="19" t="s">
        <v>54</v>
      </c>
      <c r="AE1245" s="26">
        <v>0</v>
      </c>
      <c r="AF1245" s="17">
        <v>45259</v>
      </c>
      <c r="AG1245" s="26" t="s">
        <v>2075</v>
      </c>
      <c r="AH1245" s="26"/>
      <c r="AI1245" s="40" t="s">
        <v>84</v>
      </c>
      <c r="AJ1245" s="26"/>
      <c r="AK1245" s="26"/>
      <c r="AL1245" s="35"/>
      <c r="AM1245" s="35"/>
      <c r="AN1245" s="35"/>
      <c r="AO1245" s="35"/>
      <c r="AP1245" s="35"/>
    </row>
    <row r="1246" spans="1:42" x14ac:dyDescent="0.2">
      <c r="A1246" s="27">
        <v>45254.621537546293</v>
      </c>
      <c r="B1246" s="28" t="s">
        <v>37</v>
      </c>
      <c r="C1246" s="41" t="s">
        <v>118</v>
      </c>
      <c r="D1246" s="26" t="s">
        <v>36</v>
      </c>
      <c r="E1246" s="26" t="s">
        <v>119</v>
      </c>
      <c r="F1246" s="26" t="s">
        <v>36</v>
      </c>
      <c r="G1246" s="26" t="s">
        <v>221</v>
      </c>
      <c r="H1246" s="26" t="s">
        <v>4646</v>
      </c>
      <c r="I1246" s="17">
        <f ca="1">IFERROR(__xludf.DUMMYFUNCTION("""COMPUTED_VALUE"""),45370)</f>
        <v>45370</v>
      </c>
      <c r="J1246" s="29" t="s">
        <v>5719</v>
      </c>
      <c r="K1246" s="26" t="s">
        <v>5720</v>
      </c>
      <c r="L1246" s="30">
        <v>378143076</v>
      </c>
      <c r="M1246" s="26" t="s">
        <v>5429</v>
      </c>
      <c r="N1246" s="26" t="s">
        <v>81</v>
      </c>
      <c r="O1246" s="26" t="s">
        <v>1492</v>
      </c>
      <c r="P1246" s="26" t="s">
        <v>3324</v>
      </c>
      <c r="Q1246" s="20">
        <v>13968</v>
      </c>
      <c r="R1246" s="26" t="s">
        <v>36</v>
      </c>
      <c r="S1246" s="31">
        <v>10126</v>
      </c>
      <c r="T1246" s="32">
        <v>45253</v>
      </c>
      <c r="U1246" s="31"/>
      <c r="V1246" s="16" t="s">
        <v>5721</v>
      </c>
      <c r="W1246" s="33" t="s">
        <v>5722</v>
      </c>
      <c r="X1246" s="26"/>
      <c r="Y1246" s="22">
        <v>0</v>
      </c>
      <c r="Z1246" s="26" t="s">
        <v>50</v>
      </c>
      <c r="AA1246" s="19" t="s">
        <v>5112</v>
      </c>
      <c r="AB1246" s="26" t="s">
        <v>104</v>
      </c>
      <c r="AC1246" s="26" t="s">
        <v>53</v>
      </c>
      <c r="AD1246" s="19" t="s">
        <v>138</v>
      </c>
      <c r="AE1246" s="26" t="s">
        <v>3314</v>
      </c>
      <c r="AF1246" s="17">
        <v>45362</v>
      </c>
      <c r="AG1246" s="26"/>
      <c r="AH1246" s="26"/>
      <c r="AI1246" s="40">
        <v>4</v>
      </c>
      <c r="AJ1246" s="26"/>
      <c r="AK1246" s="26"/>
      <c r="AL1246" s="35"/>
      <c r="AM1246" s="35"/>
      <c r="AN1246" s="35"/>
      <c r="AO1246" s="35"/>
      <c r="AP1246" s="35"/>
    </row>
    <row r="1247" spans="1:42" x14ac:dyDescent="0.2">
      <c r="A1247" s="27">
        <v>45254.683900879631</v>
      </c>
      <c r="B1247" s="28" t="s">
        <v>37</v>
      </c>
      <c r="C1247" s="41" t="s">
        <v>118</v>
      </c>
      <c r="D1247" s="26" t="s">
        <v>36</v>
      </c>
      <c r="E1247" s="26" t="s">
        <v>39</v>
      </c>
      <c r="F1247" s="26" t="s">
        <v>36</v>
      </c>
      <c r="G1247" s="26" t="s">
        <v>41</v>
      </c>
      <c r="H1247" s="26" t="s">
        <v>4261</v>
      </c>
      <c r="I1247" s="17">
        <f ca="1">IFERROR(__xludf.DUMMYFUNCTION("""COMPUTED_VALUE"""),45257)</f>
        <v>45257</v>
      </c>
      <c r="J1247" s="29" t="s">
        <v>5723</v>
      </c>
      <c r="K1247" s="26" t="s">
        <v>5724</v>
      </c>
      <c r="L1247" s="30">
        <v>362905047</v>
      </c>
      <c r="M1247" s="26" t="s">
        <v>2755</v>
      </c>
      <c r="N1247" s="26" t="s">
        <v>310</v>
      </c>
      <c r="O1247" s="26" t="s">
        <v>4503</v>
      </c>
      <c r="P1247" s="26" t="s">
        <v>5725</v>
      </c>
      <c r="Q1247" s="20">
        <v>5736</v>
      </c>
      <c r="R1247" s="26" t="s">
        <v>36</v>
      </c>
      <c r="S1247" s="31">
        <v>5317</v>
      </c>
      <c r="T1247" s="32">
        <v>45253</v>
      </c>
      <c r="U1247" s="58">
        <v>419</v>
      </c>
      <c r="V1247" s="59">
        <v>45257</v>
      </c>
      <c r="W1247" s="33" t="s">
        <v>5726</v>
      </c>
      <c r="X1247" s="26"/>
      <c r="Y1247" s="22">
        <v>0</v>
      </c>
      <c r="Z1247" s="26" t="s">
        <v>50</v>
      </c>
      <c r="AA1247" s="19" t="s">
        <v>5112</v>
      </c>
      <c r="AB1247" s="26" t="s">
        <v>104</v>
      </c>
      <c r="AC1247" s="26" t="s">
        <v>53</v>
      </c>
      <c r="AD1247" s="19" t="s">
        <v>54</v>
      </c>
      <c r="AE1247" s="26"/>
      <c r="AF1247" s="17">
        <v>45257</v>
      </c>
      <c r="AG1247" s="26"/>
      <c r="AH1247" s="26"/>
      <c r="AI1247" s="40" t="s">
        <v>55</v>
      </c>
      <c r="AJ1247" s="26"/>
      <c r="AK1247" s="26"/>
      <c r="AL1247" s="35"/>
      <c r="AM1247" s="35"/>
      <c r="AN1247" s="35"/>
      <c r="AO1247" s="35"/>
      <c r="AP1247" s="35"/>
    </row>
    <row r="1248" spans="1:42" x14ac:dyDescent="0.2">
      <c r="A1248" s="27">
        <v>45254.690501608799</v>
      </c>
      <c r="B1248" s="28" t="s">
        <v>37</v>
      </c>
      <c r="C1248" s="41" t="s">
        <v>118</v>
      </c>
      <c r="D1248" s="26" t="s">
        <v>77</v>
      </c>
      <c r="E1248" s="26" t="s">
        <v>106</v>
      </c>
      <c r="F1248" s="26" t="s">
        <v>2734</v>
      </c>
      <c r="G1248" s="26" t="s">
        <v>108</v>
      </c>
      <c r="H1248" s="26" t="s">
        <v>3181</v>
      </c>
      <c r="I1248" s="17">
        <f ca="1">IFERROR(__xludf.DUMMYFUNCTION("""COMPUTED_VALUE"""),45257)</f>
        <v>45257</v>
      </c>
      <c r="J1248" s="29" t="s">
        <v>5727</v>
      </c>
      <c r="K1248" s="26" t="s">
        <v>3605</v>
      </c>
      <c r="L1248" s="30">
        <v>865489236</v>
      </c>
      <c r="M1248" s="26" t="s">
        <v>2755</v>
      </c>
      <c r="N1248" s="26" t="s">
        <v>2756</v>
      </c>
      <c r="O1248" s="26" t="s">
        <v>3606</v>
      </c>
      <c r="P1248" s="42" t="s">
        <v>5728</v>
      </c>
      <c r="Q1248" s="20">
        <v>3768</v>
      </c>
      <c r="R1248" s="26" t="s">
        <v>36</v>
      </c>
      <c r="S1248" s="21">
        <v>3568</v>
      </c>
      <c r="T1248" s="32">
        <v>45253</v>
      </c>
      <c r="U1248" s="31">
        <v>200</v>
      </c>
      <c r="V1248" s="32">
        <v>45244</v>
      </c>
      <c r="W1248" s="33" t="s">
        <v>5729</v>
      </c>
      <c r="X1248" s="26"/>
      <c r="Y1248" s="22">
        <v>0</v>
      </c>
      <c r="Z1248" s="26" t="s">
        <v>50</v>
      </c>
      <c r="AA1248" s="19" t="s">
        <v>5112</v>
      </c>
      <c r="AB1248" s="26" t="s">
        <v>154</v>
      </c>
      <c r="AC1248" s="26" t="s">
        <v>53</v>
      </c>
      <c r="AD1248" s="19" t="s">
        <v>54</v>
      </c>
      <c r="AE1248" s="26" t="s">
        <v>2734</v>
      </c>
      <c r="AF1248" s="17">
        <v>45257</v>
      </c>
      <c r="AG1248" s="26"/>
      <c r="AH1248" s="26"/>
      <c r="AI1248" s="40">
        <v>1</v>
      </c>
      <c r="AJ1248" s="26"/>
      <c r="AK1248" s="26"/>
      <c r="AL1248" s="35"/>
      <c r="AM1248" s="35"/>
      <c r="AN1248" s="35"/>
      <c r="AO1248" s="35"/>
      <c r="AP1248" s="35"/>
    </row>
    <row r="1249" spans="1:42" x14ac:dyDescent="0.2">
      <c r="A1249" s="27">
        <v>45255.803193101849</v>
      </c>
      <c r="B1249" s="28" t="s">
        <v>37</v>
      </c>
      <c r="C1249" s="41" t="s">
        <v>118</v>
      </c>
      <c r="D1249" s="26" t="s">
        <v>36</v>
      </c>
      <c r="E1249" s="26" t="s">
        <v>106</v>
      </c>
      <c r="F1249" s="26" t="s">
        <v>36</v>
      </c>
      <c r="G1249" s="26" t="s">
        <v>108</v>
      </c>
      <c r="H1249" s="26" t="s">
        <v>5730</v>
      </c>
      <c r="I1249" s="17">
        <f ca="1">IFERROR(__xludf.DUMMYFUNCTION("""COMPUTED_VALUE"""),45452)</f>
        <v>45452</v>
      </c>
      <c r="J1249" s="29" t="s">
        <v>5731</v>
      </c>
      <c r="K1249" s="26" t="s">
        <v>5732</v>
      </c>
      <c r="L1249" s="30">
        <v>858990334</v>
      </c>
      <c r="M1249" s="26" t="s">
        <v>112</v>
      </c>
      <c r="N1249" s="26" t="s">
        <v>113</v>
      </c>
      <c r="O1249" s="26" t="s">
        <v>5733</v>
      </c>
      <c r="P1249" s="26" t="s">
        <v>5734</v>
      </c>
      <c r="Q1249" s="20">
        <v>3768</v>
      </c>
      <c r="R1249" s="26" t="s">
        <v>36</v>
      </c>
      <c r="S1249" s="31">
        <v>3768</v>
      </c>
      <c r="T1249" s="32">
        <v>45255</v>
      </c>
      <c r="U1249" s="31"/>
      <c r="V1249" s="32"/>
      <c r="W1249" s="26"/>
      <c r="X1249" s="26"/>
      <c r="Y1249" s="22">
        <v>0</v>
      </c>
      <c r="Z1249" s="26" t="s">
        <v>50</v>
      </c>
      <c r="AA1249" s="19" t="s">
        <v>5112</v>
      </c>
      <c r="AB1249" s="26" t="s">
        <v>146</v>
      </c>
      <c r="AC1249" s="26" t="s">
        <v>53</v>
      </c>
      <c r="AD1249" s="19" t="s">
        <v>54</v>
      </c>
      <c r="AE1249" s="26">
        <v>435</v>
      </c>
      <c r="AF1249" s="17">
        <v>45257</v>
      </c>
      <c r="AG1249" s="26"/>
      <c r="AH1249" s="26"/>
      <c r="AI1249" s="40">
        <v>1</v>
      </c>
      <c r="AJ1249" s="26"/>
      <c r="AK1249" s="26"/>
      <c r="AL1249" s="35"/>
      <c r="AM1249" s="35"/>
      <c r="AN1249" s="35"/>
      <c r="AO1249" s="35"/>
      <c r="AP1249" s="35"/>
    </row>
    <row r="1250" spans="1:42" x14ac:dyDescent="0.2">
      <c r="A1250" s="27">
        <v>45256.659786990742</v>
      </c>
      <c r="B1250" s="28" t="s">
        <v>90</v>
      </c>
      <c r="C1250" s="41" t="s">
        <v>118</v>
      </c>
      <c r="D1250" s="26" t="s">
        <v>36</v>
      </c>
      <c r="E1250" s="26" t="s">
        <v>106</v>
      </c>
      <c r="F1250" s="26" t="s">
        <v>2889</v>
      </c>
      <c r="G1250" s="26" t="s">
        <v>108</v>
      </c>
      <c r="H1250" s="26" t="s">
        <v>3397</v>
      </c>
      <c r="I1250" s="17">
        <f ca="1">IFERROR(__xludf.DUMMYFUNCTION("""COMPUTED_VALUE"""),45256)</f>
        <v>45256</v>
      </c>
      <c r="J1250" s="29" t="s">
        <v>5735</v>
      </c>
      <c r="K1250" s="26" t="s">
        <v>5736</v>
      </c>
      <c r="L1250" s="30">
        <v>865287783</v>
      </c>
      <c r="M1250" s="26" t="s">
        <v>112</v>
      </c>
      <c r="N1250" s="26" t="s">
        <v>5737</v>
      </c>
      <c r="O1250" s="26" t="s">
        <v>5738</v>
      </c>
      <c r="P1250" s="26" t="s">
        <v>5739</v>
      </c>
      <c r="Q1250" s="20">
        <v>3768</v>
      </c>
      <c r="R1250" s="26" t="s">
        <v>36</v>
      </c>
      <c r="S1250" s="31">
        <v>3668</v>
      </c>
      <c r="T1250" s="32">
        <v>45254</v>
      </c>
      <c r="U1250" s="31"/>
      <c r="V1250" s="26"/>
      <c r="W1250" s="33" t="s">
        <v>5740</v>
      </c>
      <c r="X1250" s="26"/>
      <c r="Y1250" s="22">
        <v>100</v>
      </c>
      <c r="Z1250" s="26" t="s">
        <v>50</v>
      </c>
      <c r="AA1250" s="19" t="s">
        <v>5112</v>
      </c>
      <c r="AB1250" s="26" t="s">
        <v>128</v>
      </c>
      <c r="AC1250" s="26" t="s">
        <v>53</v>
      </c>
      <c r="AD1250" s="19" t="s">
        <v>138</v>
      </c>
      <c r="AE1250" s="26" t="s">
        <v>2889</v>
      </c>
      <c r="AF1250" s="43">
        <v>45256</v>
      </c>
      <c r="AG1250" s="26" t="s">
        <v>1362</v>
      </c>
      <c r="AH1250" s="26"/>
      <c r="AI1250" s="40">
        <v>1</v>
      </c>
      <c r="AJ1250" s="26"/>
      <c r="AK1250" s="26"/>
      <c r="AL1250" s="35"/>
      <c r="AM1250" s="35"/>
      <c r="AN1250" s="35"/>
      <c r="AO1250" s="35"/>
      <c r="AP1250" s="35"/>
    </row>
    <row r="1251" spans="1:42" x14ac:dyDescent="0.2">
      <c r="A1251" s="27">
        <v>45256.930274837963</v>
      </c>
      <c r="B1251" s="28" t="s">
        <v>37</v>
      </c>
      <c r="C1251" s="41" t="s">
        <v>118</v>
      </c>
      <c r="D1251" s="26" t="s">
        <v>36</v>
      </c>
      <c r="E1251" s="26" t="s">
        <v>106</v>
      </c>
      <c r="F1251" s="26" t="s">
        <v>2717</v>
      </c>
      <c r="G1251" s="26" t="s">
        <v>108</v>
      </c>
      <c r="H1251" s="26" t="s">
        <v>5741</v>
      </c>
      <c r="I1251" s="17" t="str">
        <f ca="1">IFERROR(__xludf.DUMMYFUNCTION("""COMPUTED_VALUE""")," ")</f>
        <v xml:space="preserve"> </v>
      </c>
      <c r="J1251" s="29" t="s">
        <v>5742</v>
      </c>
      <c r="K1251" s="26" t="s">
        <v>5743</v>
      </c>
      <c r="L1251" s="30">
        <v>367646750</v>
      </c>
      <c r="M1251" s="26" t="s">
        <v>112</v>
      </c>
      <c r="N1251" s="26" t="s">
        <v>1742</v>
      </c>
      <c r="O1251" s="26" t="s">
        <v>2964</v>
      </c>
      <c r="P1251" s="26" t="s">
        <v>5744</v>
      </c>
      <c r="Q1251" s="20">
        <v>3768</v>
      </c>
      <c r="R1251" s="26" t="s">
        <v>36</v>
      </c>
      <c r="S1251" s="31">
        <v>3768</v>
      </c>
      <c r="T1251" s="32">
        <v>45256</v>
      </c>
      <c r="U1251" s="31"/>
      <c r="V1251" s="32"/>
      <c r="W1251" s="33" t="s">
        <v>5745</v>
      </c>
      <c r="X1251" s="26"/>
      <c r="Y1251" s="22">
        <v>0</v>
      </c>
      <c r="Z1251" s="26" t="s">
        <v>50</v>
      </c>
      <c r="AA1251" s="19" t="s">
        <v>5112</v>
      </c>
      <c r="AB1251" s="26" t="s">
        <v>154</v>
      </c>
      <c r="AC1251" s="26" t="s">
        <v>53</v>
      </c>
      <c r="AD1251" s="19" t="s">
        <v>54</v>
      </c>
      <c r="AE1251" s="26" t="s">
        <v>2717</v>
      </c>
      <c r="AF1251" s="17">
        <v>45257</v>
      </c>
      <c r="AG1251" s="26"/>
      <c r="AH1251" s="26"/>
      <c r="AI1251" s="40">
        <v>1</v>
      </c>
      <c r="AJ1251" s="26"/>
      <c r="AK1251" s="26"/>
      <c r="AL1251" s="35"/>
      <c r="AM1251" s="35"/>
      <c r="AN1251" s="35"/>
      <c r="AO1251" s="35"/>
      <c r="AP1251" s="35"/>
    </row>
    <row r="1252" spans="1:42" x14ac:dyDescent="0.2">
      <c r="A1252" s="27">
        <v>45257.488118981477</v>
      </c>
      <c r="B1252" s="28" t="s">
        <v>37</v>
      </c>
      <c r="C1252" s="41" t="s">
        <v>118</v>
      </c>
      <c r="D1252" s="26" t="s">
        <v>36</v>
      </c>
      <c r="E1252" s="26" t="s">
        <v>106</v>
      </c>
      <c r="F1252" s="26" t="s">
        <v>36</v>
      </c>
      <c r="G1252" s="26" t="s">
        <v>108</v>
      </c>
      <c r="H1252" s="26" t="s">
        <v>5746</v>
      </c>
      <c r="I1252" s="17" t="str">
        <f ca="1">IFERROR(__xludf.DUMMYFUNCTION("""COMPUTED_VALUE""")," ")</f>
        <v xml:space="preserve"> </v>
      </c>
      <c r="J1252" s="29" t="s">
        <v>5747</v>
      </c>
      <c r="K1252" s="26" t="s">
        <v>5748</v>
      </c>
      <c r="L1252" s="30">
        <v>332029941</v>
      </c>
      <c r="M1252" s="26" t="s">
        <v>94</v>
      </c>
      <c r="N1252" s="26" t="s">
        <v>4827</v>
      </c>
      <c r="O1252" s="26" t="s">
        <v>40</v>
      </c>
      <c r="P1252" s="26" t="s">
        <v>5749</v>
      </c>
      <c r="Q1252" s="20">
        <v>3768</v>
      </c>
      <c r="R1252" s="26" t="s">
        <v>36</v>
      </c>
      <c r="S1252" s="31">
        <v>3768</v>
      </c>
      <c r="T1252" s="32">
        <v>45253</v>
      </c>
      <c r="U1252" s="31"/>
      <c r="V1252" s="32"/>
      <c r="W1252" s="33" t="s">
        <v>5750</v>
      </c>
      <c r="X1252" s="26"/>
      <c r="Y1252" s="22">
        <v>0</v>
      </c>
      <c r="Z1252" s="26" t="s">
        <v>50</v>
      </c>
      <c r="AA1252" s="19" t="s">
        <v>5112</v>
      </c>
      <c r="AB1252" s="26" t="s">
        <v>128</v>
      </c>
      <c r="AC1252" s="26" t="s">
        <v>53</v>
      </c>
      <c r="AD1252" s="19" t="s">
        <v>54</v>
      </c>
      <c r="AE1252" s="26">
        <v>380</v>
      </c>
      <c r="AF1252" s="17">
        <v>45265</v>
      </c>
      <c r="AG1252" s="26"/>
      <c r="AH1252" s="26"/>
      <c r="AI1252" s="40">
        <v>1</v>
      </c>
      <c r="AJ1252" s="26"/>
      <c r="AK1252" s="26"/>
      <c r="AL1252" s="35"/>
      <c r="AM1252" s="35"/>
      <c r="AN1252" s="35"/>
      <c r="AO1252" s="35"/>
      <c r="AP1252" s="35"/>
    </row>
    <row r="1253" spans="1:42" x14ac:dyDescent="0.2">
      <c r="A1253" s="27">
        <v>45257.797439571761</v>
      </c>
      <c r="B1253" s="28" t="s">
        <v>37</v>
      </c>
      <c r="C1253" s="41" t="s">
        <v>118</v>
      </c>
      <c r="D1253" s="26" t="s">
        <v>36</v>
      </c>
      <c r="E1253" s="26" t="s">
        <v>77</v>
      </c>
      <c r="F1253" s="26" t="s">
        <v>40</v>
      </c>
      <c r="G1253" s="26" t="s">
        <v>41</v>
      </c>
      <c r="H1253" s="26" t="s">
        <v>5650</v>
      </c>
      <c r="I1253" s="17">
        <f ca="1">IFERROR(__xludf.DUMMYFUNCTION("""COMPUTED_VALUE"""),45265)</f>
        <v>45265</v>
      </c>
      <c r="J1253" s="29" t="s">
        <v>5751</v>
      </c>
      <c r="K1253" s="26" t="s">
        <v>5752</v>
      </c>
      <c r="L1253" s="30">
        <v>919032871</v>
      </c>
      <c r="M1253" s="26" t="s">
        <v>59</v>
      </c>
      <c r="N1253" s="26" t="s">
        <v>68</v>
      </c>
      <c r="O1253" s="26" t="s">
        <v>5753</v>
      </c>
      <c r="P1253" s="26" t="s">
        <v>5754</v>
      </c>
      <c r="Q1253" s="20">
        <v>1968</v>
      </c>
      <c r="R1253" s="26" t="s">
        <v>36</v>
      </c>
      <c r="S1253" s="31">
        <v>2000</v>
      </c>
      <c r="T1253" s="32">
        <v>45247</v>
      </c>
      <c r="U1253" s="31"/>
      <c r="V1253" s="32"/>
      <c r="W1253" s="55" t="s">
        <v>5755</v>
      </c>
      <c r="X1253" s="26"/>
      <c r="Y1253" s="22">
        <v>-32</v>
      </c>
      <c r="Z1253" s="26" t="s">
        <v>50</v>
      </c>
      <c r="AA1253" s="19" t="s">
        <v>5112</v>
      </c>
      <c r="AB1253" s="26" t="s">
        <v>154</v>
      </c>
      <c r="AC1253" s="26" t="s">
        <v>53</v>
      </c>
      <c r="AD1253" s="19" t="s">
        <v>54</v>
      </c>
      <c r="AE1253" s="26" t="s">
        <v>72</v>
      </c>
      <c r="AF1253" s="17">
        <v>45259</v>
      </c>
      <c r="AG1253" s="26"/>
      <c r="AH1253" s="26"/>
      <c r="AI1253" s="40" t="s">
        <v>84</v>
      </c>
      <c r="AJ1253" s="26"/>
      <c r="AK1253" s="26"/>
      <c r="AL1253" s="35"/>
      <c r="AM1253" s="35"/>
      <c r="AN1253" s="35"/>
      <c r="AO1253" s="35"/>
      <c r="AP1253" s="35"/>
    </row>
    <row r="1254" spans="1:42" x14ac:dyDescent="0.2">
      <c r="A1254" s="27">
        <v>45258.597732789349</v>
      </c>
      <c r="B1254" s="28" t="s">
        <v>37</v>
      </c>
      <c r="C1254" s="41" t="s">
        <v>118</v>
      </c>
      <c r="D1254" s="26" t="s">
        <v>36</v>
      </c>
      <c r="E1254" s="26" t="s">
        <v>39</v>
      </c>
      <c r="F1254" s="26" t="s">
        <v>91</v>
      </c>
      <c r="G1254" s="26" t="s">
        <v>41</v>
      </c>
      <c r="H1254" s="26" t="s">
        <v>5650</v>
      </c>
      <c r="I1254" s="17">
        <f ca="1">IFERROR(__xludf.DUMMYFUNCTION("""COMPUTED_VALUE"""),45265)</f>
        <v>45265</v>
      </c>
      <c r="J1254" s="29" t="s">
        <v>5756</v>
      </c>
      <c r="K1254" s="26" t="s">
        <v>5757</v>
      </c>
      <c r="L1254" s="30">
        <v>866515907</v>
      </c>
      <c r="M1254" s="26" t="s">
        <v>391</v>
      </c>
      <c r="N1254" s="26" t="s">
        <v>4282</v>
      </c>
      <c r="O1254" s="26" t="s">
        <v>5758</v>
      </c>
      <c r="P1254" s="26" t="s">
        <v>5759</v>
      </c>
      <c r="Q1254" s="20">
        <v>5736</v>
      </c>
      <c r="R1254" s="26" t="s">
        <v>36</v>
      </c>
      <c r="S1254" s="31">
        <v>5736</v>
      </c>
      <c r="T1254" s="32">
        <v>45257</v>
      </c>
      <c r="U1254" s="31"/>
      <c r="V1254" s="32"/>
      <c r="W1254" s="33" t="s">
        <v>5760</v>
      </c>
      <c r="X1254" s="26"/>
      <c r="Y1254" s="22">
        <v>0</v>
      </c>
      <c r="Z1254" s="26" t="s">
        <v>50</v>
      </c>
      <c r="AA1254" s="19" t="s">
        <v>5112</v>
      </c>
      <c r="AB1254" s="26" t="s">
        <v>104</v>
      </c>
      <c r="AC1254" s="26" t="s">
        <v>53</v>
      </c>
      <c r="AD1254" s="19" t="s">
        <v>54</v>
      </c>
      <c r="AE1254" s="26"/>
      <c r="AF1254" s="17">
        <v>45259</v>
      </c>
      <c r="AG1254" s="26"/>
      <c r="AH1254" s="26"/>
      <c r="AI1254" s="40" t="s">
        <v>55</v>
      </c>
      <c r="AJ1254" s="26"/>
      <c r="AK1254" s="26"/>
      <c r="AL1254" s="35"/>
      <c r="AM1254" s="35"/>
      <c r="AN1254" s="35"/>
      <c r="AO1254" s="35"/>
      <c r="AP1254" s="35"/>
    </row>
    <row r="1255" spans="1:42" x14ac:dyDescent="0.2">
      <c r="A1255" s="27">
        <v>45259.470635543985</v>
      </c>
      <c r="B1255" s="28" t="s">
        <v>37</v>
      </c>
      <c r="C1255" s="41" t="s">
        <v>118</v>
      </c>
      <c r="D1255" s="26" t="s">
        <v>77</v>
      </c>
      <c r="E1255" s="26" t="s">
        <v>106</v>
      </c>
      <c r="F1255" s="26" t="s">
        <v>3930</v>
      </c>
      <c r="G1255" s="26" t="s">
        <v>108</v>
      </c>
      <c r="H1255" s="26" t="s">
        <v>5761</v>
      </c>
      <c r="I1255" s="17" t="str">
        <f ca="1">IFERROR(__xludf.DUMMYFUNCTION("""COMPUTED_VALUE""")," ")</f>
        <v xml:space="preserve"> </v>
      </c>
      <c r="J1255" s="29" t="s">
        <v>4297</v>
      </c>
      <c r="K1255" s="26" t="s">
        <v>4298</v>
      </c>
      <c r="L1255" s="30">
        <v>369676203</v>
      </c>
      <c r="M1255" s="26" t="s">
        <v>112</v>
      </c>
      <c r="N1255" s="26" t="s">
        <v>3330</v>
      </c>
      <c r="O1255" s="26" t="s">
        <v>4300</v>
      </c>
      <c r="P1255" s="42" t="s">
        <v>5762</v>
      </c>
      <c r="Q1255" s="20">
        <v>3768</v>
      </c>
      <c r="R1255" s="26" t="s">
        <v>36</v>
      </c>
      <c r="S1255" s="31">
        <v>3668</v>
      </c>
      <c r="T1255" s="32">
        <v>45259</v>
      </c>
      <c r="U1255" s="31"/>
      <c r="V1255" s="32"/>
      <c r="W1255" s="33" t="s">
        <v>5763</v>
      </c>
      <c r="X1255" s="26"/>
      <c r="Y1255" s="22">
        <v>100</v>
      </c>
      <c r="Z1255" s="26" t="s">
        <v>50</v>
      </c>
      <c r="AA1255" s="19" t="s">
        <v>5112</v>
      </c>
      <c r="AB1255" s="26" t="s">
        <v>137</v>
      </c>
      <c r="AC1255" s="26" t="s">
        <v>53</v>
      </c>
      <c r="AD1255" s="19" t="s">
        <v>138</v>
      </c>
      <c r="AE1255" s="26" t="s">
        <v>3930</v>
      </c>
      <c r="AF1255" s="43">
        <v>45272</v>
      </c>
      <c r="AG1255" s="26" t="s">
        <v>4996</v>
      </c>
      <c r="AH1255" s="26"/>
      <c r="AI1255" s="40">
        <v>1</v>
      </c>
      <c r="AJ1255" s="26"/>
      <c r="AK1255" s="26"/>
      <c r="AL1255" s="35"/>
      <c r="AM1255" s="35"/>
      <c r="AN1255" s="35"/>
      <c r="AO1255" s="35"/>
      <c r="AP1255" s="35"/>
    </row>
    <row r="1256" spans="1:42" x14ac:dyDescent="0.2">
      <c r="A1256" s="27">
        <v>45259.99162306713</v>
      </c>
      <c r="B1256" s="28" t="s">
        <v>37</v>
      </c>
      <c r="C1256" s="41" t="s">
        <v>118</v>
      </c>
      <c r="D1256" s="26" t="s">
        <v>36</v>
      </c>
      <c r="E1256" s="26" t="s">
        <v>77</v>
      </c>
      <c r="F1256" s="26" t="s">
        <v>36</v>
      </c>
      <c r="G1256" s="26" t="s">
        <v>41</v>
      </c>
      <c r="H1256" s="26" t="s">
        <v>5764</v>
      </c>
      <c r="I1256" s="17" t="str">
        <f ca="1">IFERROR(__xludf.DUMMYFUNCTION("""COMPUTED_VALUE""")," ")</f>
        <v xml:space="preserve"> </v>
      </c>
      <c r="J1256" s="29" t="s">
        <v>5765</v>
      </c>
      <c r="K1256" s="26" t="s">
        <v>5766</v>
      </c>
      <c r="L1256" s="30">
        <v>866793316</v>
      </c>
      <c r="M1256" s="26" t="s">
        <v>910</v>
      </c>
      <c r="N1256" s="26" t="s">
        <v>355</v>
      </c>
      <c r="O1256" s="26" t="s">
        <v>5767</v>
      </c>
      <c r="P1256" s="26" t="s">
        <v>5768</v>
      </c>
      <c r="Q1256" s="20">
        <v>1968</v>
      </c>
      <c r="R1256" s="26" t="s">
        <v>36</v>
      </c>
      <c r="S1256" s="31">
        <v>1968</v>
      </c>
      <c r="T1256" s="32">
        <v>45259</v>
      </c>
      <c r="U1256" s="31"/>
      <c r="V1256" s="32"/>
      <c r="W1256" s="33" t="s">
        <v>5769</v>
      </c>
      <c r="X1256" s="26"/>
      <c r="Y1256" s="22">
        <v>0</v>
      </c>
      <c r="Z1256" s="26" t="s">
        <v>50</v>
      </c>
      <c r="AA1256" s="19" t="s">
        <v>5112</v>
      </c>
      <c r="AB1256" s="26" t="s">
        <v>104</v>
      </c>
      <c r="AC1256" s="26" t="s">
        <v>53</v>
      </c>
      <c r="AD1256" s="19" t="s">
        <v>54</v>
      </c>
      <c r="AE1256" s="26" t="s">
        <v>5770</v>
      </c>
      <c r="AF1256" s="60" t="s">
        <v>1829</v>
      </c>
      <c r="AG1256" s="26"/>
      <c r="AH1256" s="26"/>
      <c r="AI1256" s="40" t="s">
        <v>84</v>
      </c>
      <c r="AJ1256" s="26"/>
      <c r="AK1256" s="26"/>
      <c r="AL1256" s="35"/>
      <c r="AM1256" s="35"/>
      <c r="AN1256" s="35"/>
      <c r="AO1256" s="35"/>
      <c r="AP1256" s="35"/>
    </row>
    <row r="1257" spans="1:42" x14ac:dyDescent="0.2">
      <c r="A1257" s="27">
        <v>45260.789676377317</v>
      </c>
      <c r="B1257" s="28" t="s">
        <v>37</v>
      </c>
      <c r="C1257" s="41" t="s">
        <v>118</v>
      </c>
      <c r="D1257" s="26" t="s">
        <v>36</v>
      </c>
      <c r="E1257" s="26" t="s">
        <v>56</v>
      </c>
      <c r="F1257" s="26" t="s">
        <v>40</v>
      </c>
      <c r="G1257" s="26" t="s">
        <v>41</v>
      </c>
      <c r="H1257" s="26" t="s">
        <v>4489</v>
      </c>
      <c r="I1257" s="17">
        <f ca="1">IFERROR(__xludf.DUMMYFUNCTION("""COMPUTED_VALUE"""),45309)</f>
        <v>45309</v>
      </c>
      <c r="J1257" s="29" t="s">
        <v>5771</v>
      </c>
      <c r="K1257" s="26" t="s">
        <v>5772</v>
      </c>
      <c r="L1257" s="30">
        <v>325474825</v>
      </c>
      <c r="M1257" s="26" t="s">
        <v>59</v>
      </c>
      <c r="N1257" s="26" t="s">
        <v>68</v>
      </c>
      <c r="O1257" s="26" t="s">
        <v>5773</v>
      </c>
      <c r="P1257" s="26" t="s">
        <v>5774</v>
      </c>
      <c r="Q1257" s="20">
        <v>9317</v>
      </c>
      <c r="R1257" s="26" t="s">
        <v>36</v>
      </c>
      <c r="S1257" s="31">
        <v>9317</v>
      </c>
      <c r="T1257" s="32">
        <v>45257</v>
      </c>
      <c r="U1257" s="31"/>
      <c r="V1257" s="32"/>
      <c r="W1257" s="33" t="s">
        <v>5775</v>
      </c>
      <c r="X1257" s="26"/>
      <c r="Y1257" s="22">
        <v>0</v>
      </c>
      <c r="Z1257" s="26" t="s">
        <v>50</v>
      </c>
      <c r="AA1257" s="19" t="s">
        <v>5112</v>
      </c>
      <c r="AB1257" s="26" t="s">
        <v>137</v>
      </c>
      <c r="AC1257" s="26" t="s">
        <v>53</v>
      </c>
      <c r="AD1257" s="19" t="s">
        <v>138</v>
      </c>
      <c r="AE1257" s="26" t="s">
        <v>72</v>
      </c>
      <c r="AF1257" s="17">
        <v>45309</v>
      </c>
      <c r="AG1257" s="26" t="s">
        <v>1362</v>
      </c>
      <c r="AH1257" s="26"/>
      <c r="AI1257" s="40" t="s">
        <v>64</v>
      </c>
      <c r="AJ1257" s="26"/>
      <c r="AK1257" s="26"/>
      <c r="AL1257" s="35"/>
      <c r="AM1257" s="35"/>
      <c r="AN1257" s="35"/>
      <c r="AO1257" s="35"/>
      <c r="AP1257" s="35"/>
    </row>
    <row r="1258" spans="1:42" x14ac:dyDescent="0.2">
      <c r="A1258" s="27">
        <v>45261.440212928239</v>
      </c>
      <c r="B1258" s="28"/>
      <c r="C1258" s="41" t="s">
        <v>118</v>
      </c>
      <c r="D1258" s="26" t="s">
        <v>36</v>
      </c>
      <c r="E1258" s="26" t="s">
        <v>1704</v>
      </c>
      <c r="F1258" s="26" t="s">
        <v>40</v>
      </c>
      <c r="G1258" s="26" t="s">
        <v>1705</v>
      </c>
      <c r="H1258" s="26" t="s">
        <v>5776</v>
      </c>
      <c r="I1258" s="17" t="str">
        <f ca="1">IFERROR(__xludf.DUMMYFUNCTION("""COMPUTED_VALUE""")," ")</f>
        <v xml:space="preserve"> </v>
      </c>
      <c r="J1258" s="29" t="s">
        <v>5777</v>
      </c>
      <c r="K1258" s="19" t="s">
        <v>5778</v>
      </c>
      <c r="L1258" s="30">
        <v>365731492</v>
      </c>
      <c r="M1258" s="26" t="s">
        <v>59</v>
      </c>
      <c r="N1258" s="26" t="s">
        <v>68</v>
      </c>
      <c r="O1258" s="26" t="s">
        <v>5779</v>
      </c>
      <c r="P1258" s="26" t="s">
        <v>4375</v>
      </c>
      <c r="Q1258" s="20">
        <v>7729</v>
      </c>
      <c r="R1258" s="26" t="s">
        <v>36</v>
      </c>
      <c r="S1258" s="31">
        <v>7729</v>
      </c>
      <c r="T1258" s="32">
        <v>45260</v>
      </c>
      <c r="U1258" s="31"/>
      <c r="V1258" s="32"/>
      <c r="W1258" s="26" t="s">
        <v>5780</v>
      </c>
      <c r="X1258" s="26"/>
      <c r="Y1258" s="22">
        <v>0</v>
      </c>
      <c r="Z1258" s="26" t="s">
        <v>50</v>
      </c>
      <c r="AA1258" s="19" t="s">
        <v>5112</v>
      </c>
      <c r="AB1258" s="26"/>
      <c r="AC1258" s="26" t="s">
        <v>53</v>
      </c>
      <c r="AD1258" s="19" t="s">
        <v>54</v>
      </c>
      <c r="AE1258" s="26"/>
      <c r="AF1258" s="17">
        <v>45814</v>
      </c>
      <c r="AG1258" s="26"/>
      <c r="AH1258" s="26"/>
      <c r="AI1258" s="40">
        <v>2</v>
      </c>
      <c r="AJ1258" s="26"/>
      <c r="AK1258" s="26"/>
      <c r="AL1258" s="35"/>
      <c r="AM1258" s="35"/>
      <c r="AN1258" s="35"/>
      <c r="AO1258" s="35"/>
      <c r="AP1258" s="35"/>
    </row>
    <row r="1259" spans="1:42" x14ac:dyDescent="0.2">
      <c r="A1259" s="27">
        <v>45261.604586921298</v>
      </c>
      <c r="B1259" s="28" t="s">
        <v>37</v>
      </c>
      <c r="C1259" s="41" t="s">
        <v>118</v>
      </c>
      <c r="D1259" s="26" t="s">
        <v>36</v>
      </c>
      <c r="E1259" s="26" t="s">
        <v>119</v>
      </c>
      <c r="F1259" s="26" t="s">
        <v>36</v>
      </c>
      <c r="G1259" s="26" t="s">
        <v>108</v>
      </c>
      <c r="H1259" s="26" t="s">
        <v>5025</v>
      </c>
      <c r="I1259" s="17">
        <f ca="1">IFERROR(__xludf.DUMMYFUNCTION("""COMPUTED_VALUE"""),45265)</f>
        <v>45265</v>
      </c>
      <c r="J1259" s="29" t="s">
        <v>5781</v>
      </c>
      <c r="K1259" s="26" t="s">
        <v>5782</v>
      </c>
      <c r="L1259" s="30">
        <v>967651627</v>
      </c>
      <c r="M1259" s="26" t="s">
        <v>5558</v>
      </c>
      <c r="N1259" s="26" t="s">
        <v>850</v>
      </c>
      <c r="O1259" s="26" t="s">
        <v>4503</v>
      </c>
      <c r="P1259" s="42" t="s">
        <v>5783</v>
      </c>
      <c r="Q1259" s="20">
        <v>13968</v>
      </c>
      <c r="R1259" s="26" t="s">
        <v>36</v>
      </c>
      <c r="S1259" s="31">
        <v>200</v>
      </c>
      <c r="T1259" s="32">
        <v>45244</v>
      </c>
      <c r="U1259" s="31">
        <v>13768</v>
      </c>
      <c r="V1259" s="32">
        <v>45245</v>
      </c>
      <c r="W1259" s="26" t="s">
        <v>5784</v>
      </c>
      <c r="X1259" s="26"/>
      <c r="Y1259" s="22">
        <v>0</v>
      </c>
      <c r="Z1259" s="26" t="s">
        <v>50</v>
      </c>
      <c r="AA1259" s="19" t="s">
        <v>5112</v>
      </c>
      <c r="AB1259" s="26" t="s">
        <v>137</v>
      </c>
      <c r="AC1259" s="26" t="s">
        <v>53</v>
      </c>
      <c r="AD1259" s="19" t="s">
        <v>138</v>
      </c>
      <c r="AE1259" s="26"/>
      <c r="AF1259" s="17">
        <v>45265</v>
      </c>
      <c r="AG1259" s="26"/>
      <c r="AH1259" s="26"/>
      <c r="AI1259" s="40">
        <v>4</v>
      </c>
      <c r="AJ1259" s="26"/>
      <c r="AK1259" s="26"/>
      <c r="AL1259" s="35"/>
      <c r="AM1259" s="35"/>
      <c r="AN1259" s="35"/>
      <c r="AO1259" s="35"/>
      <c r="AP1259" s="35"/>
    </row>
    <row r="1260" spans="1:42" x14ac:dyDescent="0.2">
      <c r="A1260" s="27">
        <v>45234.010722372681</v>
      </c>
      <c r="B1260" s="28" t="s">
        <v>37</v>
      </c>
      <c r="C1260" s="41" t="s">
        <v>118</v>
      </c>
      <c r="D1260" s="26" t="s">
        <v>36</v>
      </c>
      <c r="E1260" s="26" t="s">
        <v>139</v>
      </c>
      <c r="F1260" s="26" t="s">
        <v>36</v>
      </c>
      <c r="G1260" s="26" t="s">
        <v>108</v>
      </c>
      <c r="H1260" s="26" t="s">
        <v>3416</v>
      </c>
      <c r="I1260" s="17">
        <f ca="1">IFERROR(__xludf.DUMMYFUNCTION("""COMPUTED_VALUE"""),45247)</f>
        <v>45247</v>
      </c>
      <c r="J1260" s="29" t="s">
        <v>3609</v>
      </c>
      <c r="K1260" s="26" t="s">
        <v>3610</v>
      </c>
      <c r="L1260" s="30">
        <v>343294525</v>
      </c>
      <c r="M1260" s="26" t="s">
        <v>80</v>
      </c>
      <c r="N1260" s="26" t="s">
        <v>81</v>
      </c>
      <c r="O1260" s="26" t="s">
        <v>3611</v>
      </c>
      <c r="P1260" s="26" t="s">
        <v>2641</v>
      </c>
      <c r="Q1260" s="20">
        <v>15936</v>
      </c>
      <c r="R1260" s="26" t="s">
        <v>36</v>
      </c>
      <c r="S1260" s="31">
        <v>2000</v>
      </c>
      <c r="T1260" s="32">
        <v>45185</v>
      </c>
      <c r="U1260" s="31">
        <v>13936</v>
      </c>
      <c r="V1260" s="32">
        <v>45207</v>
      </c>
      <c r="W1260" s="33" t="s">
        <v>3613</v>
      </c>
      <c r="X1260" s="26"/>
      <c r="Y1260" s="22">
        <v>0</v>
      </c>
      <c r="Z1260" s="26" t="s">
        <v>118</v>
      </c>
      <c r="AA1260" s="19" t="s">
        <v>5785</v>
      </c>
      <c r="AB1260" s="26" t="s">
        <v>137</v>
      </c>
      <c r="AC1260" s="26" t="s">
        <v>53</v>
      </c>
      <c r="AD1260" s="19" t="s">
        <v>138</v>
      </c>
      <c r="AE1260" s="26" t="s">
        <v>2573</v>
      </c>
      <c r="AF1260" s="43">
        <v>45247</v>
      </c>
      <c r="AG1260" s="26" t="s">
        <v>1362</v>
      </c>
      <c r="AH1260" s="26"/>
      <c r="AI1260" s="40" t="s">
        <v>147</v>
      </c>
      <c r="AJ1260" s="26"/>
      <c r="AK1260" s="26"/>
      <c r="AL1260" s="35"/>
      <c r="AM1260" s="35"/>
      <c r="AN1260" s="35"/>
      <c r="AO1260" s="35"/>
      <c r="AP1260" s="35"/>
    </row>
    <row r="1261" spans="1:42" x14ac:dyDescent="0.2">
      <c r="A1261" s="27">
        <v>45234.012998958337</v>
      </c>
      <c r="B1261" s="28" t="s">
        <v>37</v>
      </c>
      <c r="C1261" s="41" t="s">
        <v>118</v>
      </c>
      <c r="D1261" s="26" t="s">
        <v>36</v>
      </c>
      <c r="E1261" s="26" t="s">
        <v>139</v>
      </c>
      <c r="F1261" s="26" t="s">
        <v>36</v>
      </c>
      <c r="G1261" s="26" t="s">
        <v>108</v>
      </c>
      <c r="H1261" s="26" t="s">
        <v>3416</v>
      </c>
      <c r="I1261" s="17">
        <f ca="1">IFERROR(__xludf.DUMMYFUNCTION("""COMPUTED_VALUE"""),45247)</f>
        <v>45247</v>
      </c>
      <c r="J1261" s="29" t="s">
        <v>3681</v>
      </c>
      <c r="K1261" s="26" t="s">
        <v>3682</v>
      </c>
      <c r="L1261" s="30">
        <v>369747482</v>
      </c>
      <c r="M1261" s="26" t="s">
        <v>80</v>
      </c>
      <c r="N1261" s="26" t="s">
        <v>299</v>
      </c>
      <c r="O1261" s="26" t="s">
        <v>3683</v>
      </c>
      <c r="P1261" s="26" t="s">
        <v>2641</v>
      </c>
      <c r="Q1261" s="20">
        <v>15936</v>
      </c>
      <c r="R1261" s="26" t="s">
        <v>36</v>
      </c>
      <c r="S1261" s="31">
        <v>2000</v>
      </c>
      <c r="T1261" s="32">
        <v>45187</v>
      </c>
      <c r="U1261" s="31">
        <v>13936</v>
      </c>
      <c r="V1261" s="32">
        <v>45211</v>
      </c>
      <c r="W1261" s="33" t="s">
        <v>3685</v>
      </c>
      <c r="X1261" s="26"/>
      <c r="Y1261" s="22">
        <v>0</v>
      </c>
      <c r="Z1261" s="26" t="s">
        <v>118</v>
      </c>
      <c r="AA1261" s="19" t="s">
        <v>5785</v>
      </c>
      <c r="AB1261" s="26" t="s">
        <v>137</v>
      </c>
      <c r="AC1261" s="26" t="s">
        <v>53</v>
      </c>
      <c r="AD1261" s="19" t="s">
        <v>138</v>
      </c>
      <c r="AE1261" s="26" t="s">
        <v>2573</v>
      </c>
      <c r="AF1261" s="43">
        <v>45247</v>
      </c>
      <c r="AG1261" s="26" t="s">
        <v>1362</v>
      </c>
      <c r="AH1261" s="26"/>
      <c r="AI1261" s="40" t="s">
        <v>147</v>
      </c>
      <c r="AJ1261" s="26"/>
      <c r="AK1261" s="26"/>
      <c r="AL1261" s="35"/>
      <c r="AM1261" s="35"/>
      <c r="AN1261" s="35"/>
      <c r="AO1261" s="35"/>
      <c r="AP1261" s="35"/>
    </row>
    <row r="1262" spans="1:42" x14ac:dyDescent="0.2">
      <c r="A1262" s="27">
        <v>45234.014989768519</v>
      </c>
      <c r="B1262" s="28" t="s">
        <v>37</v>
      </c>
      <c r="C1262" s="41" t="s">
        <v>118</v>
      </c>
      <c r="D1262" s="26" t="s">
        <v>36</v>
      </c>
      <c r="E1262" s="26" t="s">
        <v>139</v>
      </c>
      <c r="F1262" s="26" t="s">
        <v>36</v>
      </c>
      <c r="G1262" s="26" t="s">
        <v>108</v>
      </c>
      <c r="H1262" s="26" t="s">
        <v>4869</v>
      </c>
      <c r="I1262" s="17">
        <f ca="1">IFERROR(__xludf.DUMMYFUNCTION("""COMPUTED_VALUE"""),45300)</f>
        <v>45300</v>
      </c>
      <c r="J1262" s="29" t="s">
        <v>3614</v>
      </c>
      <c r="K1262" s="26" t="s">
        <v>5786</v>
      </c>
      <c r="L1262" s="30">
        <v>345486753</v>
      </c>
      <c r="M1262" s="26" t="s">
        <v>80</v>
      </c>
      <c r="N1262" s="26" t="s">
        <v>81</v>
      </c>
      <c r="O1262" s="26" t="s">
        <v>3615</v>
      </c>
      <c r="P1262" s="26" t="s">
        <v>2641</v>
      </c>
      <c r="Q1262" s="20">
        <v>15936</v>
      </c>
      <c r="R1262" s="26" t="s">
        <v>36</v>
      </c>
      <c r="S1262" s="31">
        <v>2000</v>
      </c>
      <c r="T1262" s="32">
        <v>45185</v>
      </c>
      <c r="U1262" s="31">
        <v>13936</v>
      </c>
      <c r="V1262" s="32">
        <v>45209</v>
      </c>
      <c r="W1262" s="33" t="s">
        <v>3617</v>
      </c>
      <c r="X1262" s="26"/>
      <c r="Y1262" s="22">
        <v>0</v>
      </c>
      <c r="Z1262" s="26" t="s">
        <v>118</v>
      </c>
      <c r="AA1262" s="19" t="s">
        <v>5785</v>
      </c>
      <c r="AB1262" s="26" t="s">
        <v>128</v>
      </c>
      <c r="AC1262" s="26" t="s">
        <v>53</v>
      </c>
      <c r="AD1262" s="19" t="s">
        <v>138</v>
      </c>
      <c r="AE1262" s="26" t="s">
        <v>2573</v>
      </c>
      <c r="AF1262" s="43">
        <v>45247</v>
      </c>
      <c r="AG1262" s="26" t="s">
        <v>1362</v>
      </c>
      <c r="AH1262" s="26"/>
      <c r="AI1262" s="40" t="s">
        <v>147</v>
      </c>
      <c r="AJ1262" s="26"/>
      <c r="AK1262" s="26"/>
      <c r="AL1262" s="35"/>
      <c r="AM1262" s="35"/>
      <c r="AN1262" s="35"/>
      <c r="AO1262" s="35"/>
      <c r="AP1262" s="35"/>
    </row>
    <row r="1263" spans="1:42" x14ac:dyDescent="0.2">
      <c r="A1263" s="27">
        <v>45234.018319143521</v>
      </c>
      <c r="B1263" s="28" t="s">
        <v>37</v>
      </c>
      <c r="C1263" s="41" t="s">
        <v>118</v>
      </c>
      <c r="D1263" s="26" t="s">
        <v>36</v>
      </c>
      <c r="E1263" s="26" t="s">
        <v>139</v>
      </c>
      <c r="F1263" s="26" t="s">
        <v>36</v>
      </c>
      <c r="G1263" s="26" t="s">
        <v>108</v>
      </c>
      <c r="H1263" s="26" t="s">
        <v>1710</v>
      </c>
      <c r="I1263" s="17">
        <f ca="1">IFERROR(__xludf.DUMMYFUNCTION("""COMPUTED_VALUE"""),45293)</f>
        <v>45293</v>
      </c>
      <c r="J1263" s="29" t="s">
        <v>3448</v>
      </c>
      <c r="K1263" s="26" t="s">
        <v>5787</v>
      </c>
      <c r="L1263" s="30">
        <v>762240349</v>
      </c>
      <c r="M1263" s="26" t="s">
        <v>112</v>
      </c>
      <c r="N1263" s="26" t="s">
        <v>3330</v>
      </c>
      <c r="O1263" s="26" t="s">
        <v>3450</v>
      </c>
      <c r="P1263" s="42" t="s">
        <v>5788</v>
      </c>
      <c r="Q1263" s="20">
        <v>15936</v>
      </c>
      <c r="R1263" s="26" t="s">
        <v>36</v>
      </c>
      <c r="S1263" s="31">
        <v>1000</v>
      </c>
      <c r="T1263" s="32">
        <v>45169</v>
      </c>
      <c r="U1263" s="31">
        <v>14936</v>
      </c>
      <c r="V1263" s="32">
        <v>45218</v>
      </c>
      <c r="W1263" s="26"/>
      <c r="X1263" s="26"/>
      <c r="Y1263" s="22">
        <v>0</v>
      </c>
      <c r="Z1263" s="26" t="s">
        <v>118</v>
      </c>
      <c r="AA1263" s="19" t="s">
        <v>5785</v>
      </c>
      <c r="AB1263" s="26" t="s">
        <v>154</v>
      </c>
      <c r="AC1263" s="26" t="s">
        <v>53</v>
      </c>
      <c r="AD1263" s="19" t="s">
        <v>138</v>
      </c>
      <c r="AE1263" s="26" t="s">
        <v>2573</v>
      </c>
      <c r="AF1263" s="43">
        <v>45285</v>
      </c>
      <c r="AG1263" s="26" t="s">
        <v>5789</v>
      </c>
      <c r="AH1263" s="26"/>
      <c r="AI1263" s="40" t="s">
        <v>147</v>
      </c>
      <c r="AJ1263" s="26"/>
      <c r="AK1263" s="26"/>
      <c r="AL1263" s="35"/>
      <c r="AM1263" s="35"/>
      <c r="AN1263" s="35"/>
      <c r="AO1263" s="35"/>
      <c r="AP1263" s="35"/>
    </row>
    <row r="1264" spans="1:42" x14ac:dyDescent="0.2">
      <c r="A1264" s="27">
        <v>45234.020584282407</v>
      </c>
      <c r="B1264" s="28" t="s">
        <v>37</v>
      </c>
      <c r="C1264" s="41" t="s">
        <v>118</v>
      </c>
      <c r="D1264" s="26" t="s">
        <v>36</v>
      </c>
      <c r="E1264" s="26" t="s">
        <v>139</v>
      </c>
      <c r="F1264" s="26" t="s">
        <v>36</v>
      </c>
      <c r="G1264" s="26" t="s">
        <v>108</v>
      </c>
      <c r="H1264" s="26" t="s">
        <v>2016</v>
      </c>
      <c r="I1264" s="17">
        <f ca="1">IFERROR(__xludf.DUMMYFUNCTION("""COMPUTED_VALUE"""),45365)</f>
        <v>45365</v>
      </c>
      <c r="J1264" s="29" t="s">
        <v>2879</v>
      </c>
      <c r="K1264" s="26" t="s">
        <v>5790</v>
      </c>
      <c r="L1264" s="30">
        <v>819609803</v>
      </c>
      <c r="M1264" s="26" t="s">
        <v>633</v>
      </c>
      <c r="N1264" s="26" t="s">
        <v>1384</v>
      </c>
      <c r="O1264" s="26" t="s">
        <v>2881</v>
      </c>
      <c r="P1264" s="26" t="s">
        <v>2882</v>
      </c>
      <c r="Q1264" s="20">
        <v>15936</v>
      </c>
      <c r="R1264" s="26" t="s">
        <v>36</v>
      </c>
      <c r="S1264" s="31">
        <v>15936</v>
      </c>
      <c r="T1264" s="32">
        <v>45184</v>
      </c>
      <c r="U1264" s="31"/>
      <c r="V1264" s="26"/>
      <c r="W1264" s="33" t="s">
        <v>2883</v>
      </c>
      <c r="X1264" s="26"/>
      <c r="Y1264" s="22">
        <v>0</v>
      </c>
      <c r="Z1264" s="26" t="s">
        <v>118</v>
      </c>
      <c r="AA1264" s="19" t="s">
        <v>5785</v>
      </c>
      <c r="AB1264" s="26" t="s">
        <v>128</v>
      </c>
      <c r="AC1264" s="26" t="s">
        <v>53</v>
      </c>
      <c r="AD1264" s="19" t="s">
        <v>138</v>
      </c>
      <c r="AE1264" s="26" t="s">
        <v>2573</v>
      </c>
      <c r="AF1264" s="43">
        <v>45247</v>
      </c>
      <c r="AG1264" s="26" t="s">
        <v>1362</v>
      </c>
      <c r="AH1264" s="26"/>
      <c r="AI1264" s="40" t="s">
        <v>147</v>
      </c>
      <c r="AJ1264" s="26"/>
      <c r="AK1264" s="26"/>
      <c r="AL1264" s="35"/>
      <c r="AM1264" s="35"/>
      <c r="AN1264" s="35"/>
      <c r="AO1264" s="35"/>
      <c r="AP1264" s="35"/>
    </row>
    <row r="1265" spans="1:42" x14ac:dyDescent="0.2">
      <c r="A1265" s="27">
        <v>45234.023092083335</v>
      </c>
      <c r="B1265" s="28" t="s">
        <v>37</v>
      </c>
      <c r="C1265" s="41" t="s">
        <v>118</v>
      </c>
      <c r="D1265" s="26" t="s">
        <v>36</v>
      </c>
      <c r="E1265" s="26" t="s">
        <v>139</v>
      </c>
      <c r="F1265" s="26" t="s">
        <v>36</v>
      </c>
      <c r="G1265" s="26" t="s">
        <v>108</v>
      </c>
      <c r="H1265" s="26" t="s">
        <v>5791</v>
      </c>
      <c r="I1265" s="17" t="str">
        <f ca="1">IFERROR(__xludf.DUMMYFUNCTION("""COMPUTED_VALUE""")," ")</f>
        <v xml:space="preserve"> </v>
      </c>
      <c r="J1265" s="29" t="s">
        <v>2839</v>
      </c>
      <c r="K1265" s="26" t="s">
        <v>5792</v>
      </c>
      <c r="L1265" s="30">
        <v>789197704</v>
      </c>
      <c r="M1265" s="26" t="s">
        <v>112</v>
      </c>
      <c r="N1265" s="26" t="s">
        <v>3330</v>
      </c>
      <c r="O1265" s="26" t="s">
        <v>2842</v>
      </c>
      <c r="P1265" s="26" t="s">
        <v>2641</v>
      </c>
      <c r="Q1265" s="20">
        <v>15936</v>
      </c>
      <c r="R1265" s="26" t="s">
        <v>36</v>
      </c>
      <c r="S1265" s="31">
        <v>15936</v>
      </c>
      <c r="T1265" s="32">
        <v>45184</v>
      </c>
      <c r="U1265" s="31"/>
      <c r="V1265" s="26"/>
      <c r="W1265" s="33" t="s">
        <v>2844</v>
      </c>
      <c r="X1265" s="26"/>
      <c r="Y1265" s="22">
        <v>0</v>
      </c>
      <c r="Z1265" s="26" t="s">
        <v>118</v>
      </c>
      <c r="AA1265" s="19" t="s">
        <v>5785</v>
      </c>
      <c r="AB1265" s="26" t="s">
        <v>128</v>
      </c>
      <c r="AC1265" s="26" t="s">
        <v>53</v>
      </c>
      <c r="AD1265" s="19" t="s">
        <v>138</v>
      </c>
      <c r="AE1265" s="26" t="s">
        <v>2573</v>
      </c>
      <c r="AF1265" s="43">
        <v>45247</v>
      </c>
      <c r="AG1265" s="26" t="s">
        <v>1362</v>
      </c>
      <c r="AH1265" s="26"/>
      <c r="AI1265" s="40" t="s">
        <v>147</v>
      </c>
      <c r="AJ1265" s="26"/>
      <c r="AK1265" s="26"/>
      <c r="AL1265" s="35"/>
      <c r="AM1265" s="35"/>
      <c r="AN1265" s="35"/>
      <c r="AO1265" s="35"/>
      <c r="AP1265" s="35"/>
    </row>
    <row r="1266" spans="1:42" x14ac:dyDescent="0.2">
      <c r="A1266" s="27">
        <v>45234.025240706018</v>
      </c>
      <c r="B1266" s="28" t="s">
        <v>37</v>
      </c>
      <c r="C1266" s="41" t="s">
        <v>118</v>
      </c>
      <c r="D1266" s="26" t="s">
        <v>36</v>
      </c>
      <c r="E1266" s="26" t="s">
        <v>56</v>
      </c>
      <c r="F1266" s="26" t="s">
        <v>36</v>
      </c>
      <c r="G1266" s="26" t="s">
        <v>108</v>
      </c>
      <c r="H1266" s="26" t="s">
        <v>3416</v>
      </c>
      <c r="I1266" s="17">
        <f ca="1">IFERROR(__xludf.DUMMYFUNCTION("""COMPUTED_VALUE"""),45247)</f>
        <v>45247</v>
      </c>
      <c r="J1266" s="29" t="s">
        <v>3566</v>
      </c>
      <c r="K1266" s="26" t="s">
        <v>5793</v>
      </c>
      <c r="L1266" s="30">
        <v>392612303</v>
      </c>
      <c r="M1266" s="26" t="s">
        <v>80</v>
      </c>
      <c r="N1266" s="26" t="s">
        <v>81</v>
      </c>
      <c r="O1266" s="26" t="s">
        <v>3568</v>
      </c>
      <c r="P1266" s="26" t="s">
        <v>5794</v>
      </c>
      <c r="Q1266" s="20">
        <v>9317</v>
      </c>
      <c r="R1266" s="26" t="s">
        <v>36</v>
      </c>
      <c r="S1266" s="31">
        <v>2000</v>
      </c>
      <c r="T1266" s="32">
        <v>45182</v>
      </c>
      <c r="U1266" s="31">
        <v>7317</v>
      </c>
      <c r="V1266" s="32">
        <v>45215</v>
      </c>
      <c r="W1266" s="33" t="s">
        <v>3570</v>
      </c>
      <c r="X1266" s="26"/>
      <c r="Y1266" s="22">
        <v>0</v>
      </c>
      <c r="Z1266" s="26" t="s">
        <v>118</v>
      </c>
      <c r="AA1266" s="19" t="s">
        <v>5785</v>
      </c>
      <c r="AB1266" s="26" t="s">
        <v>154</v>
      </c>
      <c r="AC1266" s="26" t="s">
        <v>53</v>
      </c>
      <c r="AD1266" s="19" t="s">
        <v>138</v>
      </c>
      <c r="AE1266" s="26" t="s">
        <v>2573</v>
      </c>
      <c r="AF1266" s="43">
        <v>45247</v>
      </c>
      <c r="AG1266" s="26" t="s">
        <v>1362</v>
      </c>
      <c r="AH1266" s="26"/>
      <c r="AI1266" s="40" t="s">
        <v>64</v>
      </c>
      <c r="AJ1266" s="26"/>
      <c r="AK1266" s="26"/>
      <c r="AL1266" s="35"/>
      <c r="AM1266" s="35"/>
      <c r="AN1266" s="35"/>
      <c r="AO1266" s="35"/>
      <c r="AP1266" s="35"/>
    </row>
    <row r="1267" spans="1:42" x14ac:dyDescent="0.2">
      <c r="A1267" s="27">
        <v>45234.027667523143</v>
      </c>
      <c r="B1267" s="28" t="s">
        <v>37</v>
      </c>
      <c r="C1267" s="41" t="s">
        <v>118</v>
      </c>
      <c r="D1267" s="26" t="s">
        <v>36</v>
      </c>
      <c r="E1267" s="26" t="s">
        <v>139</v>
      </c>
      <c r="F1267" s="26" t="s">
        <v>36</v>
      </c>
      <c r="G1267" s="26" t="s">
        <v>108</v>
      </c>
      <c r="H1267" s="26" t="s">
        <v>3416</v>
      </c>
      <c r="I1267" s="17">
        <f ca="1">IFERROR(__xludf.DUMMYFUNCTION("""COMPUTED_VALUE"""),45247)</f>
        <v>45247</v>
      </c>
      <c r="J1267" s="29" t="s">
        <v>3019</v>
      </c>
      <c r="K1267" s="26" t="s">
        <v>3020</v>
      </c>
      <c r="L1267" s="30">
        <v>565993520</v>
      </c>
      <c r="M1267" s="26" t="s">
        <v>80</v>
      </c>
      <c r="N1267" s="26" t="s">
        <v>299</v>
      </c>
      <c r="O1267" s="26" t="s">
        <v>3021</v>
      </c>
      <c r="P1267" s="26" t="s">
        <v>5794</v>
      </c>
      <c r="Q1267" s="20">
        <v>15936</v>
      </c>
      <c r="R1267" s="26" t="s">
        <v>36</v>
      </c>
      <c r="S1267" s="31">
        <v>500</v>
      </c>
      <c r="T1267" s="32">
        <v>45157</v>
      </c>
      <c r="U1267" s="31">
        <v>15436</v>
      </c>
      <c r="V1267" s="32">
        <v>45190</v>
      </c>
      <c r="W1267" s="33" t="s">
        <v>3022</v>
      </c>
      <c r="X1267" s="26"/>
      <c r="Y1267" s="22">
        <v>0</v>
      </c>
      <c r="Z1267" s="26" t="s">
        <v>118</v>
      </c>
      <c r="AA1267" s="19" t="s">
        <v>5785</v>
      </c>
      <c r="AB1267" s="26" t="s">
        <v>137</v>
      </c>
      <c r="AC1267" s="26" t="s">
        <v>53</v>
      </c>
      <c r="AD1267" s="19" t="s">
        <v>138</v>
      </c>
      <c r="AE1267" s="26" t="s">
        <v>2573</v>
      </c>
      <c r="AF1267" s="43">
        <v>45247</v>
      </c>
      <c r="AG1267" s="26" t="s">
        <v>1362</v>
      </c>
      <c r="AH1267" s="26"/>
      <c r="AI1267" s="40" t="s">
        <v>147</v>
      </c>
      <c r="AJ1267" s="26"/>
      <c r="AK1267" s="26"/>
      <c r="AL1267" s="35"/>
      <c r="AM1267" s="35"/>
      <c r="AN1267" s="35"/>
      <c r="AO1267" s="35"/>
      <c r="AP1267" s="35"/>
    </row>
    <row r="1268" spans="1:42" x14ac:dyDescent="0.2">
      <c r="A1268" s="27">
        <v>45234.029837986112</v>
      </c>
      <c r="B1268" s="28" t="s">
        <v>37</v>
      </c>
      <c r="C1268" s="41" t="s">
        <v>118</v>
      </c>
      <c r="D1268" s="26" t="s">
        <v>36</v>
      </c>
      <c r="E1268" s="26" t="s">
        <v>139</v>
      </c>
      <c r="F1268" s="26" t="s">
        <v>36</v>
      </c>
      <c r="G1268" s="26" t="s">
        <v>108</v>
      </c>
      <c r="H1268" s="26" t="s">
        <v>3416</v>
      </c>
      <c r="I1268" s="17">
        <f ca="1">IFERROR(__xludf.DUMMYFUNCTION("""COMPUTED_VALUE"""),45247)</f>
        <v>45247</v>
      </c>
      <c r="J1268" s="29" t="s">
        <v>3677</v>
      </c>
      <c r="K1268" s="26" t="s">
        <v>3678</v>
      </c>
      <c r="L1268" s="30">
        <v>988341325</v>
      </c>
      <c r="M1268" s="26" t="s">
        <v>80</v>
      </c>
      <c r="N1268" s="26" t="s">
        <v>186</v>
      </c>
      <c r="O1268" s="26" t="s">
        <v>125</v>
      </c>
      <c r="P1268" s="26" t="s">
        <v>3679</v>
      </c>
      <c r="Q1268" s="20">
        <v>15936</v>
      </c>
      <c r="R1268" s="26" t="s">
        <v>36</v>
      </c>
      <c r="S1268" s="31">
        <v>2000</v>
      </c>
      <c r="T1268" s="32">
        <v>45157</v>
      </c>
      <c r="U1268" s="31">
        <v>13968</v>
      </c>
      <c r="V1268" s="32">
        <v>45212</v>
      </c>
      <c r="W1268" s="33" t="s">
        <v>3680</v>
      </c>
      <c r="X1268" s="26"/>
      <c r="Y1268" s="22">
        <v>-32</v>
      </c>
      <c r="Z1268" s="26" t="s">
        <v>118</v>
      </c>
      <c r="AA1268" s="19" t="s">
        <v>5785</v>
      </c>
      <c r="AB1268" s="26" t="s">
        <v>137</v>
      </c>
      <c r="AC1268" s="26" t="s">
        <v>53</v>
      </c>
      <c r="AD1268" s="19" t="s">
        <v>138</v>
      </c>
      <c r="AE1268" s="26" t="s">
        <v>2573</v>
      </c>
      <c r="AF1268" s="43">
        <v>45247</v>
      </c>
      <c r="AG1268" s="26" t="s">
        <v>1362</v>
      </c>
      <c r="AH1268" s="26"/>
      <c r="AI1268" s="40" t="s">
        <v>147</v>
      </c>
      <c r="AJ1268" s="26"/>
      <c r="AK1268" s="26"/>
      <c r="AL1268" s="35"/>
      <c r="AM1268" s="35"/>
      <c r="AN1268" s="35"/>
      <c r="AO1268" s="35"/>
      <c r="AP1268" s="35"/>
    </row>
    <row r="1269" spans="1:42" x14ac:dyDescent="0.2">
      <c r="A1269" s="27">
        <v>45234.032008194445</v>
      </c>
      <c r="B1269" s="28" t="s">
        <v>37</v>
      </c>
      <c r="C1269" s="41" t="s">
        <v>118</v>
      </c>
      <c r="D1269" s="26" t="s">
        <v>36</v>
      </c>
      <c r="E1269" s="26" t="s">
        <v>139</v>
      </c>
      <c r="F1269" s="26" t="s">
        <v>36</v>
      </c>
      <c r="G1269" s="26" t="s">
        <v>108</v>
      </c>
      <c r="H1269" s="26" t="s">
        <v>3416</v>
      </c>
      <c r="I1269" s="17">
        <f ca="1">IFERROR(__xludf.DUMMYFUNCTION("""COMPUTED_VALUE"""),45247)</f>
        <v>45247</v>
      </c>
      <c r="J1269" s="29" t="s">
        <v>3666</v>
      </c>
      <c r="K1269" s="26" t="s">
        <v>3667</v>
      </c>
      <c r="L1269" s="30">
        <v>332925273</v>
      </c>
      <c r="M1269" s="26" t="s">
        <v>112</v>
      </c>
      <c r="N1269" s="26" t="s">
        <v>3330</v>
      </c>
      <c r="O1269" s="26" t="s">
        <v>125</v>
      </c>
      <c r="P1269" s="26" t="s">
        <v>5794</v>
      </c>
      <c r="Q1269" s="20">
        <v>15936</v>
      </c>
      <c r="R1269" s="26" t="s">
        <v>36</v>
      </c>
      <c r="S1269" s="31">
        <v>2000</v>
      </c>
      <c r="T1269" s="32">
        <v>45187</v>
      </c>
      <c r="U1269" s="31">
        <v>13936</v>
      </c>
      <c r="V1269" s="32">
        <v>45205</v>
      </c>
      <c r="W1269" s="33" t="s">
        <v>3670</v>
      </c>
      <c r="X1269" s="26"/>
      <c r="Y1269" s="22">
        <v>0</v>
      </c>
      <c r="Z1269" s="26" t="s">
        <v>118</v>
      </c>
      <c r="AA1269" s="19" t="s">
        <v>5785</v>
      </c>
      <c r="AB1269" s="26" t="s">
        <v>137</v>
      </c>
      <c r="AC1269" s="26" t="s">
        <v>53</v>
      </c>
      <c r="AD1269" s="19" t="s">
        <v>138</v>
      </c>
      <c r="AE1269" s="26" t="s">
        <v>2573</v>
      </c>
      <c r="AF1269" s="43">
        <v>45247</v>
      </c>
      <c r="AG1269" s="26" t="s">
        <v>5592</v>
      </c>
      <c r="AH1269" s="26"/>
      <c r="AI1269" s="40" t="s">
        <v>147</v>
      </c>
      <c r="AJ1269" s="26"/>
      <c r="AK1269" s="26"/>
      <c r="AL1269" s="35"/>
      <c r="AM1269" s="35"/>
      <c r="AN1269" s="35"/>
      <c r="AO1269" s="35"/>
      <c r="AP1269" s="35"/>
    </row>
    <row r="1270" spans="1:42" x14ac:dyDescent="0.2">
      <c r="A1270" s="27">
        <v>45234.034071608796</v>
      </c>
      <c r="B1270" s="28" t="s">
        <v>37</v>
      </c>
      <c r="C1270" s="41" t="s">
        <v>118</v>
      </c>
      <c r="D1270" s="26" t="s">
        <v>36</v>
      </c>
      <c r="E1270" s="26" t="s">
        <v>139</v>
      </c>
      <c r="F1270" s="26" t="s">
        <v>36</v>
      </c>
      <c r="G1270" s="26" t="s">
        <v>108</v>
      </c>
      <c r="H1270" s="26" t="s">
        <v>3416</v>
      </c>
      <c r="I1270" s="17">
        <f ca="1">IFERROR(__xludf.DUMMYFUNCTION("""COMPUTED_VALUE"""),45247)</f>
        <v>45247</v>
      </c>
      <c r="J1270" s="29" t="s">
        <v>3623</v>
      </c>
      <c r="K1270" s="26" t="s">
        <v>3624</v>
      </c>
      <c r="L1270" s="30">
        <v>775270270</v>
      </c>
      <c r="M1270" s="26" t="s">
        <v>80</v>
      </c>
      <c r="N1270" s="26" t="s">
        <v>81</v>
      </c>
      <c r="O1270" s="26" t="s">
        <v>3625</v>
      </c>
      <c r="P1270" s="26" t="s">
        <v>2641</v>
      </c>
      <c r="Q1270" s="20">
        <v>15936</v>
      </c>
      <c r="R1270" s="26" t="s">
        <v>36</v>
      </c>
      <c r="S1270" s="31">
        <v>4000</v>
      </c>
      <c r="T1270" s="32">
        <v>45185</v>
      </c>
      <c r="U1270" s="31">
        <v>11936</v>
      </c>
      <c r="V1270" s="32">
        <v>45212</v>
      </c>
      <c r="W1270" s="33" t="s">
        <v>3626</v>
      </c>
      <c r="X1270" s="26"/>
      <c r="Y1270" s="22">
        <v>0</v>
      </c>
      <c r="Z1270" s="26" t="s">
        <v>118</v>
      </c>
      <c r="AA1270" s="19" t="s">
        <v>5785</v>
      </c>
      <c r="AB1270" s="26" t="s">
        <v>137</v>
      </c>
      <c r="AC1270" s="26" t="s">
        <v>53</v>
      </c>
      <c r="AD1270" s="19" t="s">
        <v>138</v>
      </c>
      <c r="AE1270" s="26" t="s">
        <v>2573</v>
      </c>
      <c r="AF1270" s="43">
        <v>45247</v>
      </c>
      <c r="AG1270" s="26" t="s">
        <v>5592</v>
      </c>
      <c r="AH1270" s="26"/>
      <c r="AI1270" s="40" t="s">
        <v>147</v>
      </c>
      <c r="AJ1270" s="26"/>
      <c r="AK1270" s="26"/>
      <c r="AL1270" s="35"/>
      <c r="AM1270" s="35"/>
      <c r="AN1270" s="35"/>
      <c r="AO1270" s="35"/>
      <c r="AP1270" s="35"/>
    </row>
    <row r="1271" spans="1:42" x14ac:dyDescent="0.2">
      <c r="A1271" s="27">
        <v>45234.436517222217</v>
      </c>
      <c r="B1271" s="28" t="s">
        <v>37</v>
      </c>
      <c r="C1271" s="41" t="s">
        <v>118</v>
      </c>
      <c r="D1271" s="26" t="s">
        <v>36</v>
      </c>
      <c r="E1271" s="26" t="s">
        <v>56</v>
      </c>
      <c r="F1271" s="26" t="s">
        <v>2573</v>
      </c>
      <c r="G1271" s="26" t="s">
        <v>108</v>
      </c>
      <c r="H1271" s="26" t="s">
        <v>889</v>
      </c>
      <c r="I1271" s="17">
        <f ca="1">IFERROR(__xludf.DUMMYFUNCTION("""COMPUTED_VALUE"""),45342)</f>
        <v>45342</v>
      </c>
      <c r="J1271" s="29" t="s">
        <v>5795</v>
      </c>
      <c r="K1271" s="26" t="s">
        <v>5796</v>
      </c>
      <c r="L1271" s="30">
        <v>866026557</v>
      </c>
      <c r="M1271" s="26" t="s">
        <v>112</v>
      </c>
      <c r="N1271" s="26" t="s">
        <v>3330</v>
      </c>
      <c r="O1271" s="26" t="s">
        <v>3584</v>
      </c>
      <c r="P1271" s="26" t="s">
        <v>2641</v>
      </c>
      <c r="Q1271" s="20">
        <v>9317</v>
      </c>
      <c r="R1271" s="26" t="s">
        <v>36</v>
      </c>
      <c r="S1271" s="31">
        <v>4000</v>
      </c>
      <c r="T1271" s="32">
        <v>45183</v>
      </c>
      <c r="U1271" s="31">
        <v>5317</v>
      </c>
      <c r="V1271" s="32">
        <v>45214</v>
      </c>
      <c r="W1271" s="26"/>
      <c r="X1271" s="26"/>
      <c r="Y1271" s="22">
        <v>0</v>
      </c>
      <c r="Z1271" s="26" t="s">
        <v>118</v>
      </c>
      <c r="AA1271" s="19" t="s">
        <v>5785</v>
      </c>
      <c r="AB1271" s="26" t="s">
        <v>128</v>
      </c>
      <c r="AC1271" s="26" t="s">
        <v>53</v>
      </c>
      <c r="AD1271" s="19" t="s">
        <v>138</v>
      </c>
      <c r="AE1271" s="26" t="s">
        <v>2573</v>
      </c>
      <c r="AF1271" s="43">
        <v>45247</v>
      </c>
      <c r="AG1271" s="26" t="s">
        <v>5592</v>
      </c>
      <c r="AH1271" s="26"/>
      <c r="AI1271" s="40" t="s">
        <v>64</v>
      </c>
      <c r="AJ1271" s="26"/>
      <c r="AK1271" s="26"/>
      <c r="AL1271" s="35"/>
      <c r="AM1271" s="35"/>
      <c r="AN1271" s="35"/>
      <c r="AO1271" s="35"/>
      <c r="AP1271" s="35"/>
    </row>
    <row r="1272" spans="1:42" x14ac:dyDescent="0.2">
      <c r="A1272" s="27">
        <v>45234.438427754634</v>
      </c>
      <c r="B1272" s="28" t="s">
        <v>37</v>
      </c>
      <c r="C1272" s="41" t="s">
        <v>118</v>
      </c>
      <c r="D1272" s="26" t="s">
        <v>36</v>
      </c>
      <c r="E1272" s="26" t="s">
        <v>139</v>
      </c>
      <c r="F1272" s="26" t="s">
        <v>307</v>
      </c>
      <c r="G1272" s="26" t="s">
        <v>108</v>
      </c>
      <c r="H1272" s="26" t="s">
        <v>3416</v>
      </c>
      <c r="I1272" s="17">
        <f ca="1">IFERROR(__xludf.DUMMYFUNCTION("""COMPUTED_VALUE"""),45247)</f>
        <v>45247</v>
      </c>
      <c r="J1272" s="29" t="s">
        <v>3618</v>
      </c>
      <c r="K1272" s="26" t="s">
        <v>3619</v>
      </c>
      <c r="L1272" s="30">
        <v>917441898</v>
      </c>
      <c r="M1272" s="26" t="s">
        <v>112</v>
      </c>
      <c r="N1272" s="26" t="s">
        <v>3330</v>
      </c>
      <c r="O1272" s="26" t="s">
        <v>125</v>
      </c>
      <c r="P1272" s="26" t="s">
        <v>2641</v>
      </c>
      <c r="Q1272" s="20">
        <v>15936</v>
      </c>
      <c r="R1272" s="26" t="s">
        <v>36</v>
      </c>
      <c r="S1272" s="31">
        <v>4000</v>
      </c>
      <c r="T1272" s="32">
        <v>45185</v>
      </c>
      <c r="U1272" s="31">
        <v>11936</v>
      </c>
      <c r="V1272" s="32">
        <v>45213</v>
      </c>
      <c r="W1272" s="33" t="s">
        <v>3622</v>
      </c>
      <c r="X1272" s="26"/>
      <c r="Y1272" s="22">
        <v>0</v>
      </c>
      <c r="Z1272" s="26" t="s">
        <v>118</v>
      </c>
      <c r="AA1272" s="19" t="s">
        <v>5785</v>
      </c>
      <c r="AB1272" s="26" t="s">
        <v>137</v>
      </c>
      <c r="AC1272" s="26" t="s">
        <v>53</v>
      </c>
      <c r="AD1272" s="19" t="s">
        <v>138</v>
      </c>
      <c r="AE1272" s="26" t="s">
        <v>2573</v>
      </c>
      <c r="AF1272" s="43">
        <v>45247</v>
      </c>
      <c r="AG1272" s="26" t="s">
        <v>5592</v>
      </c>
      <c r="AH1272" s="26"/>
      <c r="AI1272" s="40" t="s">
        <v>147</v>
      </c>
      <c r="AJ1272" s="26"/>
      <c r="AK1272" s="26"/>
      <c r="AL1272" s="35"/>
      <c r="AM1272" s="35"/>
      <c r="AN1272" s="35"/>
      <c r="AO1272" s="35"/>
      <c r="AP1272" s="35"/>
    </row>
    <row r="1273" spans="1:42" x14ac:dyDescent="0.2">
      <c r="A1273" s="27">
        <v>45234.440901828704</v>
      </c>
      <c r="B1273" s="28" t="s">
        <v>37</v>
      </c>
      <c r="C1273" s="41" t="s">
        <v>118</v>
      </c>
      <c r="D1273" s="26" t="s">
        <v>36</v>
      </c>
      <c r="E1273" s="26" t="s">
        <v>139</v>
      </c>
      <c r="F1273" s="26" t="s">
        <v>36</v>
      </c>
      <c r="G1273" s="26" t="s">
        <v>108</v>
      </c>
      <c r="H1273" s="26" t="s">
        <v>3416</v>
      </c>
      <c r="I1273" s="17">
        <f ca="1">IFERROR(__xludf.DUMMYFUNCTION("""COMPUTED_VALUE"""),45247)</f>
        <v>45247</v>
      </c>
      <c r="J1273" s="29" t="s">
        <v>3661</v>
      </c>
      <c r="K1273" s="26" t="s">
        <v>3662</v>
      </c>
      <c r="L1273" s="30">
        <v>327047878</v>
      </c>
      <c r="M1273" s="26" t="s">
        <v>123</v>
      </c>
      <c r="N1273" s="26" t="s">
        <v>3663</v>
      </c>
      <c r="O1273" s="26" t="s">
        <v>492</v>
      </c>
      <c r="P1273" s="26" t="s">
        <v>5794</v>
      </c>
      <c r="Q1273" s="20">
        <v>15936</v>
      </c>
      <c r="R1273" s="26" t="s">
        <v>36</v>
      </c>
      <c r="S1273" s="31">
        <v>200</v>
      </c>
      <c r="T1273" s="32">
        <v>45185</v>
      </c>
      <c r="U1273" s="31">
        <v>15736</v>
      </c>
      <c r="V1273" s="32">
        <v>45217</v>
      </c>
      <c r="W1273" s="26" t="s">
        <v>3665</v>
      </c>
      <c r="X1273" s="26"/>
      <c r="Y1273" s="22">
        <v>0</v>
      </c>
      <c r="Z1273" s="26" t="s">
        <v>118</v>
      </c>
      <c r="AA1273" s="19" t="s">
        <v>5785</v>
      </c>
      <c r="AB1273" s="26" t="s">
        <v>137</v>
      </c>
      <c r="AC1273" s="26" t="s">
        <v>53</v>
      </c>
      <c r="AD1273" s="19" t="s">
        <v>138</v>
      </c>
      <c r="AE1273" s="26" t="s">
        <v>2573</v>
      </c>
      <c r="AF1273" s="43">
        <v>45247</v>
      </c>
      <c r="AG1273" s="26" t="s">
        <v>5592</v>
      </c>
      <c r="AH1273" s="26"/>
      <c r="AI1273" s="40" t="s">
        <v>147</v>
      </c>
      <c r="AJ1273" s="26"/>
      <c r="AK1273" s="26"/>
      <c r="AL1273" s="35"/>
      <c r="AM1273" s="35"/>
      <c r="AN1273" s="35"/>
      <c r="AO1273" s="35"/>
      <c r="AP1273" s="35"/>
    </row>
    <row r="1274" spans="1:42" x14ac:dyDescent="0.2">
      <c r="A1274" s="27"/>
      <c r="B1274" s="28" t="s">
        <v>37</v>
      </c>
      <c r="C1274" s="41" t="s">
        <v>118</v>
      </c>
      <c r="D1274" s="26" t="s">
        <v>36</v>
      </c>
      <c r="E1274" s="26" t="s">
        <v>106</v>
      </c>
      <c r="F1274" s="26" t="s">
        <v>5797</v>
      </c>
      <c r="G1274" s="26" t="s">
        <v>108</v>
      </c>
      <c r="H1274" s="26" t="s">
        <v>2128</v>
      </c>
      <c r="I1274" s="17">
        <f ca="1">IFERROR(__xludf.DUMMYFUNCTION("""COMPUTED_VALUE"""),45237)</f>
        <v>45237</v>
      </c>
      <c r="J1274" s="29" t="s">
        <v>5798</v>
      </c>
      <c r="K1274" s="26" t="s">
        <v>5799</v>
      </c>
      <c r="L1274" s="30">
        <v>384361607</v>
      </c>
      <c r="M1274" s="26" t="s">
        <v>391</v>
      </c>
      <c r="N1274" s="26" t="s">
        <v>5800</v>
      </c>
      <c r="O1274" s="26" t="s">
        <v>492</v>
      </c>
      <c r="P1274" s="54" t="s">
        <v>5801</v>
      </c>
      <c r="Q1274" s="20">
        <v>3768</v>
      </c>
      <c r="R1274" s="26" t="s">
        <v>36</v>
      </c>
      <c r="S1274" s="31">
        <v>10804</v>
      </c>
      <c r="T1274" s="32">
        <v>44892</v>
      </c>
      <c r="U1274" s="31"/>
      <c r="V1274" s="32"/>
      <c r="W1274" s="33" t="s">
        <v>5802</v>
      </c>
      <c r="X1274" s="26">
        <v>0</v>
      </c>
      <c r="Y1274" s="22">
        <v>-7036</v>
      </c>
      <c r="Z1274" s="26" t="s">
        <v>118</v>
      </c>
      <c r="AA1274" s="19" t="s">
        <v>5785</v>
      </c>
      <c r="AB1274" s="26" t="s">
        <v>137</v>
      </c>
      <c r="AC1274" s="26" t="s">
        <v>53</v>
      </c>
      <c r="AD1274" s="19" t="s">
        <v>54</v>
      </c>
      <c r="AE1274" s="26"/>
      <c r="AF1274" s="17">
        <v>45236</v>
      </c>
      <c r="AG1274" s="26"/>
      <c r="AH1274" s="26"/>
      <c r="AI1274" s="40">
        <v>1</v>
      </c>
      <c r="AJ1274" s="26"/>
      <c r="AK1274" s="26"/>
      <c r="AL1274" s="35"/>
      <c r="AM1274" s="35"/>
      <c r="AN1274" s="35"/>
      <c r="AO1274" s="35"/>
      <c r="AP1274" s="35"/>
    </row>
    <row r="1275" spans="1:42" x14ac:dyDescent="0.2">
      <c r="A1275" s="27">
        <v>45234.63494256945</v>
      </c>
      <c r="B1275" s="28" t="s">
        <v>37</v>
      </c>
      <c r="C1275" s="41" t="s">
        <v>118</v>
      </c>
      <c r="D1275" s="26" t="s">
        <v>36</v>
      </c>
      <c r="E1275" s="26" t="s">
        <v>56</v>
      </c>
      <c r="F1275" s="26" t="s">
        <v>91</v>
      </c>
      <c r="G1275" s="26" t="s">
        <v>108</v>
      </c>
      <c r="H1275" s="26" t="s">
        <v>4328</v>
      </c>
      <c r="I1275" s="17">
        <f ca="1">IFERROR(__xludf.DUMMYFUNCTION("""COMPUTED_VALUE"""),45236)</f>
        <v>45236</v>
      </c>
      <c r="J1275" s="29" t="s">
        <v>1857</v>
      </c>
      <c r="K1275" s="26" t="s">
        <v>5803</v>
      </c>
      <c r="L1275" s="30">
        <v>355692620</v>
      </c>
      <c r="M1275" s="26" t="s">
        <v>80</v>
      </c>
      <c r="N1275" s="26" t="s">
        <v>299</v>
      </c>
      <c r="O1275" s="26" t="s">
        <v>125</v>
      </c>
      <c r="P1275" s="26" t="s">
        <v>2641</v>
      </c>
      <c r="Q1275" s="20">
        <v>9317</v>
      </c>
      <c r="R1275" s="26" t="s">
        <v>36</v>
      </c>
      <c r="S1275" s="31">
        <v>9317</v>
      </c>
      <c r="T1275" s="32">
        <v>45154</v>
      </c>
      <c r="U1275" s="31"/>
      <c r="V1275" s="32"/>
      <c r="W1275" s="33" t="s">
        <v>1860</v>
      </c>
      <c r="X1275" s="26">
        <v>0</v>
      </c>
      <c r="Y1275" s="22">
        <v>0</v>
      </c>
      <c r="Z1275" s="26" t="s">
        <v>118</v>
      </c>
      <c r="AA1275" s="19" t="s">
        <v>5785</v>
      </c>
      <c r="AB1275" s="26" t="s">
        <v>137</v>
      </c>
      <c r="AC1275" s="26" t="s">
        <v>53</v>
      </c>
      <c r="AD1275" s="19" t="s">
        <v>138</v>
      </c>
      <c r="AE1275" s="26" t="s">
        <v>5804</v>
      </c>
      <c r="AF1275" s="17">
        <v>45236</v>
      </c>
      <c r="AG1275" s="26" t="s">
        <v>1362</v>
      </c>
      <c r="AH1275" s="26"/>
      <c r="AI1275" s="40" t="s">
        <v>64</v>
      </c>
      <c r="AJ1275" s="26"/>
      <c r="AK1275" s="26"/>
      <c r="AL1275" s="35"/>
      <c r="AM1275" s="35"/>
      <c r="AN1275" s="35"/>
      <c r="AO1275" s="35"/>
      <c r="AP1275" s="35"/>
    </row>
    <row r="1276" spans="1:42" x14ac:dyDescent="0.2">
      <c r="A1276" s="27">
        <v>45235.903377719907</v>
      </c>
      <c r="B1276" s="28" t="s">
        <v>90</v>
      </c>
      <c r="C1276" s="41" t="s">
        <v>118</v>
      </c>
      <c r="D1276" s="26" t="s">
        <v>36</v>
      </c>
      <c r="E1276" s="26" t="s">
        <v>139</v>
      </c>
      <c r="F1276" s="26" t="s">
        <v>36</v>
      </c>
      <c r="G1276" s="26" t="s">
        <v>108</v>
      </c>
      <c r="H1276" s="26" t="s">
        <v>2128</v>
      </c>
      <c r="I1276" s="17">
        <f ca="1">IFERROR(__xludf.DUMMYFUNCTION("""COMPUTED_VALUE"""),45237)</f>
        <v>45237</v>
      </c>
      <c r="J1276" s="29" t="s">
        <v>2538</v>
      </c>
      <c r="K1276" s="26" t="s">
        <v>5805</v>
      </c>
      <c r="L1276" s="30">
        <v>327096128</v>
      </c>
      <c r="M1276" s="26" t="s">
        <v>80</v>
      </c>
      <c r="N1276" s="26" t="s">
        <v>299</v>
      </c>
      <c r="O1276" s="26" t="s">
        <v>2540</v>
      </c>
      <c r="P1276" s="42" t="s">
        <v>5806</v>
      </c>
      <c r="Q1276" s="20">
        <v>15936</v>
      </c>
      <c r="R1276" s="26" t="s">
        <v>36</v>
      </c>
      <c r="S1276" s="31">
        <v>4000</v>
      </c>
      <c r="T1276" s="32">
        <v>45161</v>
      </c>
      <c r="U1276" s="31">
        <v>11936</v>
      </c>
      <c r="V1276" s="32">
        <v>45187</v>
      </c>
      <c r="W1276" s="33" t="s">
        <v>2542</v>
      </c>
      <c r="X1276" s="26"/>
      <c r="Y1276" s="22">
        <v>0</v>
      </c>
      <c r="Z1276" s="26" t="s">
        <v>118</v>
      </c>
      <c r="AA1276" s="19" t="s">
        <v>5785</v>
      </c>
      <c r="AB1276" s="26" t="s">
        <v>137</v>
      </c>
      <c r="AC1276" s="26" t="s">
        <v>53</v>
      </c>
      <c r="AD1276" s="19" t="s">
        <v>54</v>
      </c>
      <c r="AE1276" s="26" t="s">
        <v>4798</v>
      </c>
      <c r="AF1276" s="17">
        <v>45236</v>
      </c>
      <c r="AG1276" s="26"/>
      <c r="AH1276" s="26"/>
      <c r="AI1276" s="40" t="s">
        <v>147</v>
      </c>
      <c r="AJ1276" s="26"/>
      <c r="AK1276" s="26"/>
      <c r="AL1276" s="35"/>
      <c r="AM1276" s="35"/>
      <c r="AN1276" s="35"/>
      <c r="AO1276" s="35"/>
      <c r="AP1276" s="35"/>
    </row>
    <row r="1277" spans="1:42" x14ac:dyDescent="0.2">
      <c r="A1277" s="27">
        <v>45236.652650671298</v>
      </c>
      <c r="B1277" s="28" t="s">
        <v>37</v>
      </c>
      <c r="C1277" s="41" t="s">
        <v>118</v>
      </c>
      <c r="D1277" s="26" t="s">
        <v>36</v>
      </c>
      <c r="E1277" s="26" t="s">
        <v>77</v>
      </c>
      <c r="F1277" s="26" t="s">
        <v>36</v>
      </c>
      <c r="G1277" s="26" t="s">
        <v>41</v>
      </c>
      <c r="H1277" s="26" t="s">
        <v>3365</v>
      </c>
      <c r="I1277" s="17">
        <f ca="1">IFERROR(__xludf.DUMMYFUNCTION("""COMPUTED_VALUE"""),45244)</f>
        <v>45244</v>
      </c>
      <c r="J1277" s="29" t="s">
        <v>5807</v>
      </c>
      <c r="K1277" s="26" t="s">
        <v>5808</v>
      </c>
      <c r="L1277" s="30">
        <v>359987588</v>
      </c>
      <c r="M1277" s="26" t="s">
        <v>80</v>
      </c>
      <c r="N1277" s="26" t="s">
        <v>81</v>
      </c>
      <c r="O1277" s="26" t="s">
        <v>5809</v>
      </c>
      <c r="P1277" s="26" t="s">
        <v>5810</v>
      </c>
      <c r="Q1277" s="20">
        <v>1968</v>
      </c>
      <c r="R1277" s="26" t="s">
        <v>36</v>
      </c>
      <c r="S1277" s="31">
        <v>1968</v>
      </c>
      <c r="T1277" s="32">
        <v>45196</v>
      </c>
      <c r="U1277" s="31"/>
      <c r="V1277" s="32"/>
      <c r="W1277" s="33" t="s">
        <v>5811</v>
      </c>
      <c r="X1277" s="26"/>
      <c r="Y1277" s="22">
        <v>0</v>
      </c>
      <c r="Z1277" s="26" t="s">
        <v>118</v>
      </c>
      <c r="AA1277" s="19" t="s">
        <v>5785</v>
      </c>
      <c r="AB1277" s="26" t="s">
        <v>104</v>
      </c>
      <c r="AC1277" s="26" t="s">
        <v>2218</v>
      </c>
      <c r="AD1277" s="19" t="s">
        <v>54</v>
      </c>
      <c r="AE1277" s="26">
        <v>0</v>
      </c>
      <c r="AF1277" s="17">
        <v>45238</v>
      </c>
      <c r="AG1277" s="26" t="s">
        <v>5812</v>
      </c>
      <c r="AH1277" s="26"/>
      <c r="AI1277" s="40" t="s">
        <v>84</v>
      </c>
      <c r="AJ1277" s="26"/>
      <c r="AK1277" s="26"/>
      <c r="AL1277" s="35"/>
      <c r="AM1277" s="35"/>
      <c r="AN1277" s="35"/>
      <c r="AO1277" s="35"/>
      <c r="AP1277" s="35"/>
    </row>
    <row r="1278" spans="1:42" x14ac:dyDescent="0.2">
      <c r="A1278" s="27">
        <v>45236.672221122688</v>
      </c>
      <c r="B1278" s="28" t="s">
        <v>37</v>
      </c>
      <c r="C1278" s="41" t="s">
        <v>118</v>
      </c>
      <c r="D1278" s="26" t="s">
        <v>36</v>
      </c>
      <c r="E1278" s="26" t="s">
        <v>39</v>
      </c>
      <c r="F1278" s="26" t="s">
        <v>91</v>
      </c>
      <c r="G1278" s="26" t="s">
        <v>108</v>
      </c>
      <c r="H1278" s="26" t="s">
        <v>3295</v>
      </c>
      <c r="I1278" s="17">
        <f ca="1">IFERROR(__xludf.DUMMYFUNCTION("""COMPUTED_VALUE"""),45247)</f>
        <v>45247</v>
      </c>
      <c r="J1278" s="29" t="s">
        <v>1791</v>
      </c>
      <c r="K1278" s="26" t="s">
        <v>1792</v>
      </c>
      <c r="L1278" s="30">
        <v>339320112</v>
      </c>
      <c r="M1278" s="26" t="s">
        <v>112</v>
      </c>
      <c r="N1278" s="26" t="s">
        <v>3330</v>
      </c>
      <c r="O1278" s="26" t="s">
        <v>1793</v>
      </c>
      <c r="P1278" s="26" t="s">
        <v>5813</v>
      </c>
      <c r="Q1278" s="20">
        <v>5736</v>
      </c>
      <c r="R1278" s="26" t="s">
        <v>36</v>
      </c>
      <c r="S1278" s="31">
        <v>5736</v>
      </c>
      <c r="T1278" s="32">
        <v>45166</v>
      </c>
      <c r="U1278" s="31"/>
      <c r="V1278" s="32"/>
      <c r="W1278" s="26"/>
      <c r="X1278" s="26"/>
      <c r="Y1278" s="22">
        <v>0</v>
      </c>
      <c r="Z1278" s="26" t="s">
        <v>118</v>
      </c>
      <c r="AA1278" s="19" t="s">
        <v>5785</v>
      </c>
      <c r="AB1278" s="26" t="s">
        <v>128</v>
      </c>
      <c r="AC1278" s="26" t="s">
        <v>53</v>
      </c>
      <c r="AD1278" s="19" t="s">
        <v>54</v>
      </c>
      <c r="AE1278" s="26" t="s">
        <v>4386</v>
      </c>
      <c r="AF1278" s="17">
        <v>45238</v>
      </c>
      <c r="AG1278" s="26"/>
      <c r="AH1278" s="26"/>
      <c r="AI1278" s="40" t="s">
        <v>55</v>
      </c>
      <c r="AJ1278" s="26"/>
      <c r="AK1278" s="26"/>
      <c r="AL1278" s="35"/>
      <c r="AM1278" s="35"/>
      <c r="AN1278" s="35"/>
      <c r="AO1278" s="35"/>
      <c r="AP1278" s="35"/>
    </row>
    <row r="1279" spans="1:42" x14ac:dyDescent="0.2">
      <c r="A1279" s="27">
        <v>45236.680210983795</v>
      </c>
      <c r="B1279" s="28" t="s">
        <v>37</v>
      </c>
      <c r="C1279" s="41" t="s">
        <v>118</v>
      </c>
      <c r="D1279" s="26" t="s">
        <v>36</v>
      </c>
      <c r="E1279" s="26" t="s">
        <v>56</v>
      </c>
      <c r="F1279" s="26" t="s">
        <v>1436</v>
      </c>
      <c r="G1279" s="26" t="s">
        <v>108</v>
      </c>
      <c r="H1279" s="26" t="s">
        <v>3295</v>
      </c>
      <c r="I1279" s="17">
        <f ca="1">IFERROR(__xludf.DUMMYFUNCTION("""COMPUTED_VALUE"""),45247)</f>
        <v>45247</v>
      </c>
      <c r="J1279" s="29" t="s">
        <v>2564</v>
      </c>
      <c r="K1279" s="26" t="s">
        <v>2565</v>
      </c>
      <c r="L1279" s="30">
        <v>866505937</v>
      </c>
      <c r="M1279" s="26" t="s">
        <v>123</v>
      </c>
      <c r="N1279" s="26" t="s">
        <v>850</v>
      </c>
      <c r="O1279" s="26" t="s">
        <v>125</v>
      </c>
      <c r="P1279" s="42" t="s">
        <v>5814</v>
      </c>
      <c r="Q1279" s="20">
        <v>9317</v>
      </c>
      <c r="R1279" s="26" t="s">
        <v>36</v>
      </c>
      <c r="S1279" s="31">
        <v>5000</v>
      </c>
      <c r="T1279" s="32">
        <v>45166</v>
      </c>
      <c r="U1279" s="31">
        <v>4317</v>
      </c>
      <c r="V1279" s="32">
        <v>45187</v>
      </c>
      <c r="W1279" s="33" t="s">
        <v>2567</v>
      </c>
      <c r="X1279" s="26"/>
      <c r="Y1279" s="22">
        <v>0</v>
      </c>
      <c r="Z1279" s="26" t="s">
        <v>118</v>
      </c>
      <c r="AA1279" s="19" t="s">
        <v>2449</v>
      </c>
      <c r="AB1279" s="26" t="s">
        <v>137</v>
      </c>
      <c r="AC1279" s="26" t="s">
        <v>53</v>
      </c>
      <c r="AD1279" s="19" t="s">
        <v>54</v>
      </c>
      <c r="AE1279" s="26" t="s">
        <v>5815</v>
      </c>
      <c r="AF1279" s="17">
        <v>45238</v>
      </c>
      <c r="AG1279" s="26"/>
      <c r="AH1279" s="26"/>
      <c r="AI1279" s="40" t="s">
        <v>64</v>
      </c>
      <c r="AJ1279" s="26"/>
      <c r="AK1279" s="26"/>
      <c r="AL1279" s="35"/>
      <c r="AM1279" s="35"/>
      <c r="AN1279" s="35"/>
      <c r="AO1279" s="35"/>
      <c r="AP1279" s="35"/>
    </row>
    <row r="1280" spans="1:42" x14ac:dyDescent="0.2">
      <c r="A1280" s="27">
        <v>45236.684163472222</v>
      </c>
      <c r="B1280" s="28" t="s">
        <v>37</v>
      </c>
      <c r="C1280" s="41" t="s">
        <v>118</v>
      </c>
      <c r="D1280" s="26" t="s">
        <v>36</v>
      </c>
      <c r="E1280" s="26" t="s">
        <v>56</v>
      </c>
      <c r="F1280" s="26" t="s">
        <v>91</v>
      </c>
      <c r="G1280" s="26" t="s">
        <v>108</v>
      </c>
      <c r="H1280" s="26" t="s">
        <v>3295</v>
      </c>
      <c r="I1280" s="17">
        <f ca="1">IFERROR(__xludf.DUMMYFUNCTION("""COMPUTED_VALUE"""),45247)</f>
        <v>45247</v>
      </c>
      <c r="J1280" s="29" t="s">
        <v>1455</v>
      </c>
      <c r="K1280" s="26" t="s">
        <v>5816</v>
      </c>
      <c r="L1280" s="30">
        <v>345840253</v>
      </c>
      <c r="M1280" s="26" t="s">
        <v>910</v>
      </c>
      <c r="N1280" s="26" t="s">
        <v>355</v>
      </c>
      <c r="O1280" s="26" t="s">
        <v>1457</v>
      </c>
      <c r="P1280" s="26" t="s">
        <v>5817</v>
      </c>
      <c r="Q1280" s="20">
        <v>9317</v>
      </c>
      <c r="R1280" s="26" t="s">
        <v>36</v>
      </c>
      <c r="S1280" s="31">
        <v>2000</v>
      </c>
      <c r="T1280" s="32">
        <v>45150</v>
      </c>
      <c r="U1280" s="31">
        <v>7317</v>
      </c>
      <c r="V1280" s="32">
        <v>45164</v>
      </c>
      <c r="W1280" s="33" t="s">
        <v>1459</v>
      </c>
      <c r="X1280" s="26">
        <v>0</v>
      </c>
      <c r="Y1280" s="22">
        <v>0</v>
      </c>
      <c r="Z1280" s="26" t="s">
        <v>118</v>
      </c>
      <c r="AA1280" s="19" t="s">
        <v>5785</v>
      </c>
      <c r="AB1280" s="26" t="s">
        <v>137</v>
      </c>
      <c r="AC1280" s="26" t="s">
        <v>53</v>
      </c>
      <c r="AD1280" s="19" t="s">
        <v>54</v>
      </c>
      <c r="AE1280" s="26" t="s">
        <v>5818</v>
      </c>
      <c r="AF1280" s="17">
        <v>45238</v>
      </c>
      <c r="AG1280" s="26"/>
      <c r="AH1280" s="26"/>
      <c r="AI1280" s="40" t="s">
        <v>64</v>
      </c>
      <c r="AJ1280" s="26"/>
      <c r="AK1280" s="26"/>
      <c r="AL1280" s="35"/>
      <c r="AM1280" s="35"/>
      <c r="AN1280" s="35"/>
      <c r="AO1280" s="35"/>
      <c r="AP1280" s="35"/>
    </row>
    <row r="1281" spans="1:42" x14ac:dyDescent="0.2">
      <c r="A1281" s="27">
        <v>45236.848978148148</v>
      </c>
      <c r="B1281" s="28" t="s">
        <v>37</v>
      </c>
      <c r="C1281" s="41" t="s">
        <v>118</v>
      </c>
      <c r="D1281" s="26" t="s">
        <v>36</v>
      </c>
      <c r="E1281" s="26" t="s">
        <v>139</v>
      </c>
      <c r="F1281" s="26" t="s">
        <v>91</v>
      </c>
      <c r="G1281" s="26" t="s">
        <v>108</v>
      </c>
      <c r="H1281" s="26" t="s">
        <v>3295</v>
      </c>
      <c r="I1281" s="17">
        <f ca="1">IFERROR(__xludf.DUMMYFUNCTION("""COMPUTED_VALUE"""),45247)</f>
        <v>45247</v>
      </c>
      <c r="J1281" s="29" t="s">
        <v>2568</v>
      </c>
      <c r="K1281" s="26" t="s">
        <v>5819</v>
      </c>
      <c r="L1281" s="30">
        <v>376179475</v>
      </c>
      <c r="M1281" s="26" t="s">
        <v>80</v>
      </c>
      <c r="N1281" s="26" t="s">
        <v>299</v>
      </c>
      <c r="O1281" s="26" t="s">
        <v>2570</v>
      </c>
      <c r="P1281" s="26" t="s">
        <v>5820</v>
      </c>
      <c r="Q1281" s="20">
        <v>15936</v>
      </c>
      <c r="R1281" s="26" t="s">
        <v>36</v>
      </c>
      <c r="S1281" s="31">
        <v>2000</v>
      </c>
      <c r="T1281" s="32">
        <v>45167</v>
      </c>
      <c r="U1281" s="31">
        <v>13968</v>
      </c>
      <c r="V1281" s="32">
        <v>45196</v>
      </c>
      <c r="W1281" s="33" t="s">
        <v>2572</v>
      </c>
      <c r="X1281" s="26"/>
      <c r="Y1281" s="22">
        <v>0</v>
      </c>
      <c r="Z1281" s="26" t="s">
        <v>118</v>
      </c>
      <c r="AA1281" s="19" t="s">
        <v>2449</v>
      </c>
      <c r="AB1281" s="26" t="s">
        <v>137</v>
      </c>
      <c r="AC1281" s="26" t="s">
        <v>53</v>
      </c>
      <c r="AD1281" s="19" t="s">
        <v>54</v>
      </c>
      <c r="AE1281" s="26" t="s">
        <v>1896</v>
      </c>
      <c r="AF1281" s="17">
        <v>45238</v>
      </c>
      <c r="AG1281" s="26"/>
      <c r="AH1281" s="26"/>
      <c r="AI1281" s="40" t="s">
        <v>147</v>
      </c>
      <c r="AJ1281" s="26"/>
      <c r="AK1281" s="26"/>
      <c r="AL1281" s="35"/>
      <c r="AM1281" s="35"/>
      <c r="AN1281" s="35"/>
      <c r="AO1281" s="35"/>
      <c r="AP1281" s="35"/>
    </row>
    <row r="1282" spans="1:42" x14ac:dyDescent="0.2">
      <c r="A1282" s="27">
        <v>45236.990398854163</v>
      </c>
      <c r="B1282" s="28" t="s">
        <v>37</v>
      </c>
      <c r="C1282" s="41" t="s">
        <v>118</v>
      </c>
      <c r="D1282" s="26" t="s">
        <v>36</v>
      </c>
      <c r="E1282" s="26" t="s">
        <v>56</v>
      </c>
      <c r="F1282" s="26" t="s">
        <v>91</v>
      </c>
      <c r="G1282" s="26" t="s">
        <v>108</v>
      </c>
      <c r="H1282" s="26" t="s">
        <v>2081</v>
      </c>
      <c r="I1282" s="17">
        <f ca="1">IFERROR(__xludf.DUMMYFUNCTION("""COMPUTED_VALUE"""),45246)</f>
        <v>45246</v>
      </c>
      <c r="J1282" s="29" t="s">
        <v>5821</v>
      </c>
      <c r="K1282" s="26" t="s">
        <v>5822</v>
      </c>
      <c r="L1282" s="30">
        <v>904357647</v>
      </c>
      <c r="M1282" s="26" t="s">
        <v>112</v>
      </c>
      <c r="N1282" s="26" t="s">
        <v>3330</v>
      </c>
      <c r="O1282" s="67" t="s">
        <v>5823</v>
      </c>
      <c r="P1282" s="26" t="s">
        <v>5824</v>
      </c>
      <c r="Q1282" s="20">
        <v>9317</v>
      </c>
      <c r="R1282" s="26" t="s">
        <v>36</v>
      </c>
      <c r="S1282" s="31">
        <v>9217</v>
      </c>
      <c r="T1282" s="32">
        <v>45075</v>
      </c>
      <c r="U1282" s="31"/>
      <c r="V1282" s="32"/>
      <c r="W1282" s="33" t="s">
        <v>5825</v>
      </c>
      <c r="X1282" s="26"/>
      <c r="Y1282" s="22">
        <v>100</v>
      </c>
      <c r="Z1282" s="26" t="s">
        <v>118</v>
      </c>
      <c r="AA1282" s="19" t="s">
        <v>5785</v>
      </c>
      <c r="AB1282" s="26" t="s">
        <v>137</v>
      </c>
      <c r="AC1282" s="26" t="s">
        <v>53</v>
      </c>
      <c r="AD1282" s="19" t="s">
        <v>54</v>
      </c>
      <c r="AE1282" s="26" t="s">
        <v>5826</v>
      </c>
      <c r="AF1282" s="17">
        <v>45238</v>
      </c>
      <c r="AG1282" s="26"/>
      <c r="AH1282" s="26"/>
      <c r="AI1282" s="40" t="s">
        <v>64</v>
      </c>
      <c r="AJ1282" s="26"/>
      <c r="AK1282" s="26"/>
      <c r="AL1282" s="35"/>
      <c r="AM1282" s="35"/>
      <c r="AN1282" s="35"/>
      <c r="AO1282" s="35"/>
      <c r="AP1282" s="35"/>
    </row>
    <row r="1283" spans="1:42" x14ac:dyDescent="0.2">
      <c r="A1283" s="27">
        <v>45236.994280254628</v>
      </c>
      <c r="B1283" s="28" t="s">
        <v>37</v>
      </c>
      <c r="C1283" s="41" t="s">
        <v>118</v>
      </c>
      <c r="D1283" s="26" t="s">
        <v>36</v>
      </c>
      <c r="E1283" s="26" t="s">
        <v>56</v>
      </c>
      <c r="F1283" s="26" t="s">
        <v>91</v>
      </c>
      <c r="G1283" s="26" t="s">
        <v>108</v>
      </c>
      <c r="H1283" s="26" t="s">
        <v>2081</v>
      </c>
      <c r="I1283" s="17">
        <f ca="1">IFERROR(__xludf.DUMMYFUNCTION("""COMPUTED_VALUE"""),45246)</f>
        <v>45246</v>
      </c>
      <c r="J1283" s="29" t="s">
        <v>2681</v>
      </c>
      <c r="K1283" s="26" t="s">
        <v>5827</v>
      </c>
      <c r="L1283" s="30">
        <v>963871330</v>
      </c>
      <c r="M1283" s="26" t="s">
        <v>80</v>
      </c>
      <c r="N1283" s="26" t="s">
        <v>299</v>
      </c>
      <c r="O1283" s="26" t="s">
        <v>2683</v>
      </c>
      <c r="P1283" s="26" t="s">
        <v>5828</v>
      </c>
      <c r="Q1283" s="20">
        <v>9317</v>
      </c>
      <c r="R1283" s="26" t="s">
        <v>36</v>
      </c>
      <c r="S1283" s="31">
        <v>2000</v>
      </c>
      <c r="T1283" s="32">
        <v>45176</v>
      </c>
      <c r="U1283" s="31">
        <v>7317</v>
      </c>
      <c r="V1283" s="32">
        <v>45192</v>
      </c>
      <c r="W1283" s="33" t="s">
        <v>2685</v>
      </c>
      <c r="X1283" s="26"/>
      <c r="Y1283" s="22">
        <v>0</v>
      </c>
      <c r="Z1283" s="26" t="s">
        <v>118</v>
      </c>
      <c r="AA1283" s="19" t="s">
        <v>5785</v>
      </c>
      <c r="AB1283" s="26" t="s">
        <v>137</v>
      </c>
      <c r="AC1283" s="26" t="s">
        <v>53</v>
      </c>
      <c r="AD1283" s="19" t="s">
        <v>54</v>
      </c>
      <c r="AE1283" s="26" t="s">
        <v>5599</v>
      </c>
      <c r="AF1283" s="17">
        <v>45238</v>
      </c>
      <c r="AG1283" s="26"/>
      <c r="AH1283" s="26"/>
      <c r="AI1283" s="40" t="s">
        <v>64</v>
      </c>
      <c r="AJ1283" s="26"/>
      <c r="AK1283" s="26"/>
      <c r="AL1283" s="35"/>
      <c r="AM1283" s="35"/>
      <c r="AN1283" s="35"/>
      <c r="AO1283" s="35"/>
      <c r="AP1283" s="35"/>
    </row>
    <row r="1284" spans="1:42" x14ac:dyDescent="0.2">
      <c r="A1284" s="27">
        <v>45237.003054189816</v>
      </c>
      <c r="B1284" s="28" t="s">
        <v>37</v>
      </c>
      <c r="C1284" s="41" t="s">
        <v>118</v>
      </c>
      <c r="D1284" s="26" t="s">
        <v>36</v>
      </c>
      <c r="E1284" s="26" t="s">
        <v>39</v>
      </c>
      <c r="F1284" s="26" t="s">
        <v>91</v>
      </c>
      <c r="G1284" s="26" t="s">
        <v>108</v>
      </c>
      <c r="H1284" s="26" t="s">
        <v>2081</v>
      </c>
      <c r="I1284" s="17">
        <f ca="1">IFERROR(__xludf.DUMMYFUNCTION("""COMPUTED_VALUE"""),45246)</f>
        <v>45246</v>
      </c>
      <c r="J1284" s="29" t="s">
        <v>2789</v>
      </c>
      <c r="K1284" s="26" t="s">
        <v>2790</v>
      </c>
      <c r="L1284" s="30">
        <v>967838216</v>
      </c>
      <c r="M1284" s="26" t="s">
        <v>112</v>
      </c>
      <c r="N1284" s="26" t="s">
        <v>3330</v>
      </c>
      <c r="O1284" s="26" t="s">
        <v>2791</v>
      </c>
      <c r="P1284" s="26" t="s">
        <v>5829</v>
      </c>
      <c r="Q1284" s="20">
        <v>5736</v>
      </c>
      <c r="R1284" s="26" t="s">
        <v>36</v>
      </c>
      <c r="S1284" s="31">
        <v>5736</v>
      </c>
      <c r="T1284" s="32">
        <v>45180</v>
      </c>
      <c r="U1284" s="31"/>
      <c r="V1284" s="32"/>
      <c r="W1284" s="33" t="s">
        <v>2793</v>
      </c>
      <c r="X1284" s="26"/>
      <c r="Y1284" s="22">
        <v>0</v>
      </c>
      <c r="Z1284" s="26" t="s">
        <v>118</v>
      </c>
      <c r="AA1284" s="19" t="s">
        <v>5785</v>
      </c>
      <c r="AB1284" s="26" t="s">
        <v>137</v>
      </c>
      <c r="AC1284" s="26" t="s">
        <v>53</v>
      </c>
      <c r="AD1284" s="19" t="s">
        <v>54</v>
      </c>
      <c r="AE1284" s="26" t="s">
        <v>4191</v>
      </c>
      <c r="AF1284" s="17">
        <v>45238</v>
      </c>
      <c r="AG1284" s="26"/>
      <c r="AH1284" s="26"/>
      <c r="AI1284" s="40" t="s">
        <v>55</v>
      </c>
      <c r="AJ1284" s="26"/>
      <c r="AK1284" s="26"/>
      <c r="AL1284" s="35"/>
      <c r="AM1284" s="35"/>
      <c r="AN1284" s="35"/>
      <c r="AO1284" s="35"/>
      <c r="AP1284" s="35"/>
    </row>
    <row r="1285" spans="1:42" x14ac:dyDescent="0.2">
      <c r="A1285" s="27">
        <v>45237.005865879633</v>
      </c>
      <c r="B1285" s="28" t="s">
        <v>37</v>
      </c>
      <c r="C1285" s="41" t="s">
        <v>118</v>
      </c>
      <c r="D1285" s="26" t="s">
        <v>36</v>
      </c>
      <c r="E1285" s="26" t="s">
        <v>139</v>
      </c>
      <c r="F1285" s="26" t="s">
        <v>91</v>
      </c>
      <c r="G1285" s="26" t="s">
        <v>108</v>
      </c>
      <c r="H1285" s="26" t="s">
        <v>2081</v>
      </c>
      <c r="I1285" s="17">
        <f ca="1">IFERROR(__xludf.DUMMYFUNCTION("""COMPUTED_VALUE"""),45246)</f>
        <v>45246</v>
      </c>
      <c r="J1285" s="29" t="s">
        <v>2671</v>
      </c>
      <c r="K1285" s="26" t="s">
        <v>5830</v>
      </c>
      <c r="L1285" s="30">
        <v>971533472</v>
      </c>
      <c r="M1285" s="26" t="s">
        <v>123</v>
      </c>
      <c r="N1285" s="26" t="s">
        <v>850</v>
      </c>
      <c r="O1285" s="26" t="s">
        <v>125</v>
      </c>
      <c r="P1285" s="26" t="s">
        <v>5831</v>
      </c>
      <c r="Q1285" s="20">
        <v>15936</v>
      </c>
      <c r="R1285" s="26" t="s">
        <v>36</v>
      </c>
      <c r="S1285" s="31">
        <v>4000</v>
      </c>
      <c r="T1285" s="32">
        <v>45175</v>
      </c>
      <c r="U1285" s="31">
        <v>11936</v>
      </c>
      <c r="V1285" s="32">
        <v>45195</v>
      </c>
      <c r="W1285" s="33" t="s">
        <v>2674</v>
      </c>
      <c r="X1285" s="26"/>
      <c r="Y1285" s="22">
        <v>0</v>
      </c>
      <c r="Z1285" s="26" t="s">
        <v>118</v>
      </c>
      <c r="AA1285" s="19" t="s">
        <v>5785</v>
      </c>
      <c r="AB1285" s="26" t="s">
        <v>137</v>
      </c>
      <c r="AC1285" s="26" t="s">
        <v>53</v>
      </c>
      <c r="AD1285" s="19" t="s">
        <v>54</v>
      </c>
      <c r="AE1285" s="26" t="s">
        <v>4790</v>
      </c>
      <c r="AF1285" s="17">
        <v>45238</v>
      </c>
      <c r="AG1285" s="26"/>
      <c r="AH1285" s="26"/>
      <c r="AI1285" s="40" t="s">
        <v>147</v>
      </c>
      <c r="AJ1285" s="26"/>
      <c r="AK1285" s="26"/>
      <c r="AL1285" s="35"/>
      <c r="AM1285" s="35"/>
      <c r="AN1285" s="35"/>
      <c r="AO1285" s="35"/>
      <c r="AP1285" s="35"/>
    </row>
    <row r="1286" spans="1:42" x14ac:dyDescent="0.2">
      <c r="A1286" s="27">
        <v>45238.763576018522</v>
      </c>
      <c r="B1286" s="28" t="s">
        <v>37</v>
      </c>
      <c r="C1286" s="41" t="s">
        <v>118</v>
      </c>
      <c r="D1286" s="26" t="s">
        <v>36</v>
      </c>
      <c r="E1286" s="26" t="s">
        <v>139</v>
      </c>
      <c r="F1286" s="26" t="s">
        <v>36</v>
      </c>
      <c r="G1286" s="26" t="s">
        <v>108</v>
      </c>
      <c r="H1286" s="26" t="s">
        <v>3418</v>
      </c>
      <c r="I1286" s="17">
        <f ca="1">IFERROR(__xludf.DUMMYFUNCTION("""COMPUTED_VALUE"""),45240)</f>
        <v>45240</v>
      </c>
      <c r="J1286" s="29" t="s">
        <v>3657</v>
      </c>
      <c r="K1286" s="26" t="s">
        <v>3658</v>
      </c>
      <c r="L1286" s="30">
        <v>376549099</v>
      </c>
      <c r="M1286" s="26" t="s">
        <v>123</v>
      </c>
      <c r="N1286" s="26" t="s">
        <v>850</v>
      </c>
      <c r="O1286" s="26" t="s">
        <v>134</v>
      </c>
      <c r="P1286" s="26" t="s">
        <v>3178</v>
      </c>
      <c r="Q1286" s="20">
        <v>15936</v>
      </c>
      <c r="R1286" s="26" t="s">
        <v>36</v>
      </c>
      <c r="S1286" s="31">
        <v>100</v>
      </c>
      <c r="T1286" s="32">
        <v>45178</v>
      </c>
      <c r="U1286" s="31">
        <v>15836</v>
      </c>
      <c r="V1286" s="32">
        <v>45189</v>
      </c>
      <c r="W1286" s="33" t="s">
        <v>3660</v>
      </c>
      <c r="X1286" s="26"/>
      <c r="Y1286" s="22">
        <v>0</v>
      </c>
      <c r="Z1286" s="26" t="s">
        <v>118</v>
      </c>
      <c r="AA1286" s="19" t="s">
        <v>5785</v>
      </c>
      <c r="AB1286" s="26" t="s">
        <v>137</v>
      </c>
      <c r="AC1286" s="26" t="s">
        <v>53</v>
      </c>
      <c r="AD1286" s="19" t="s">
        <v>138</v>
      </c>
      <c r="AE1286" s="26" t="s">
        <v>2647</v>
      </c>
      <c r="AF1286" s="17">
        <v>45240</v>
      </c>
      <c r="AG1286" s="26"/>
      <c r="AH1286" s="26"/>
      <c r="AI1286" s="40" t="s">
        <v>147</v>
      </c>
      <c r="AJ1286" s="26"/>
      <c r="AK1286" s="26"/>
      <c r="AL1286" s="35"/>
      <c r="AM1286" s="35"/>
      <c r="AN1286" s="35"/>
      <c r="AO1286" s="35"/>
      <c r="AP1286" s="35"/>
    </row>
    <row r="1287" spans="1:42" x14ac:dyDescent="0.2">
      <c r="A1287" s="27">
        <v>45238.766027650461</v>
      </c>
      <c r="B1287" s="28" t="s">
        <v>37</v>
      </c>
      <c r="C1287" s="41" t="s">
        <v>118</v>
      </c>
      <c r="D1287" s="26" t="s">
        <v>36</v>
      </c>
      <c r="E1287" s="26" t="s">
        <v>56</v>
      </c>
      <c r="F1287" s="26" t="s">
        <v>36</v>
      </c>
      <c r="G1287" s="26" t="s">
        <v>108</v>
      </c>
      <c r="H1287" s="26" t="s">
        <v>2081</v>
      </c>
      <c r="I1287" s="17">
        <f ca="1">IFERROR(__xludf.DUMMYFUNCTION("""COMPUTED_VALUE"""),45246)</f>
        <v>45246</v>
      </c>
      <c r="J1287" s="29" t="s">
        <v>1816</v>
      </c>
      <c r="K1287" s="26" t="s">
        <v>5832</v>
      </c>
      <c r="L1287" s="30">
        <v>918543199</v>
      </c>
      <c r="M1287" s="26" t="s">
        <v>112</v>
      </c>
      <c r="N1287" s="26" t="s">
        <v>3330</v>
      </c>
      <c r="O1287" s="26" t="s">
        <v>134</v>
      </c>
      <c r="P1287" s="26" t="s">
        <v>5833</v>
      </c>
      <c r="Q1287" s="20">
        <v>9317</v>
      </c>
      <c r="R1287" s="26" t="s">
        <v>36</v>
      </c>
      <c r="S1287" s="31">
        <v>9317</v>
      </c>
      <c r="T1287" s="32">
        <v>45165</v>
      </c>
      <c r="U1287" s="31"/>
      <c r="V1287" s="32"/>
      <c r="W1287" s="33" t="s">
        <v>1821</v>
      </c>
      <c r="X1287" s="26">
        <v>0</v>
      </c>
      <c r="Y1287" s="22">
        <v>0</v>
      </c>
      <c r="Z1287" s="26" t="s">
        <v>118</v>
      </c>
      <c r="AA1287" s="19" t="s">
        <v>5785</v>
      </c>
      <c r="AB1287" s="26" t="s">
        <v>137</v>
      </c>
      <c r="AC1287" s="26" t="s">
        <v>53</v>
      </c>
      <c r="AD1287" s="19" t="s">
        <v>54</v>
      </c>
      <c r="AE1287" s="26" t="s">
        <v>117</v>
      </c>
      <c r="AF1287" s="17">
        <v>45244</v>
      </c>
      <c r="AG1287" s="26"/>
      <c r="AH1287" s="26"/>
      <c r="AI1287" s="40" t="s">
        <v>64</v>
      </c>
      <c r="AJ1287" s="26"/>
      <c r="AK1287" s="26"/>
      <c r="AL1287" s="35"/>
      <c r="AM1287" s="35"/>
      <c r="AN1287" s="35"/>
      <c r="AO1287" s="35"/>
      <c r="AP1287" s="35"/>
    </row>
    <row r="1288" spans="1:42" x14ac:dyDescent="0.2">
      <c r="A1288" s="27">
        <v>45238.808259687503</v>
      </c>
      <c r="B1288" s="28" t="s">
        <v>37</v>
      </c>
      <c r="C1288" s="41" t="s">
        <v>118</v>
      </c>
      <c r="D1288" s="26" t="s">
        <v>36</v>
      </c>
      <c r="E1288" s="26" t="s">
        <v>139</v>
      </c>
      <c r="F1288" s="26" t="s">
        <v>2647</v>
      </c>
      <c r="G1288" s="26" t="s">
        <v>108</v>
      </c>
      <c r="H1288" s="26" t="s">
        <v>3418</v>
      </c>
      <c r="I1288" s="17">
        <f ca="1">IFERROR(__xludf.DUMMYFUNCTION("""COMPUTED_VALUE"""),45240)</f>
        <v>45240</v>
      </c>
      <c r="J1288" s="29" t="s">
        <v>3632</v>
      </c>
      <c r="K1288" s="26" t="s">
        <v>5834</v>
      </c>
      <c r="L1288" s="30">
        <v>869367198</v>
      </c>
      <c r="M1288" s="26" t="s">
        <v>112</v>
      </c>
      <c r="N1288" s="26" t="s">
        <v>3330</v>
      </c>
      <c r="O1288" s="33" t="s">
        <v>3632</v>
      </c>
      <c r="P1288" s="26" t="s">
        <v>2641</v>
      </c>
      <c r="Q1288" s="20">
        <v>15936</v>
      </c>
      <c r="R1288" s="26" t="s">
        <v>36</v>
      </c>
      <c r="S1288" s="31">
        <v>200</v>
      </c>
      <c r="T1288" s="32">
        <v>45197</v>
      </c>
      <c r="U1288" s="31">
        <v>15736</v>
      </c>
      <c r="V1288" s="32"/>
      <c r="W1288" s="26"/>
      <c r="X1288" s="26"/>
      <c r="Y1288" s="22">
        <v>0</v>
      </c>
      <c r="Z1288" s="26" t="s">
        <v>118</v>
      </c>
      <c r="AA1288" s="19" t="s">
        <v>5785</v>
      </c>
      <c r="AB1288" s="26" t="s">
        <v>137</v>
      </c>
      <c r="AC1288" s="26" t="s">
        <v>53</v>
      </c>
      <c r="AD1288" s="19" t="s">
        <v>138</v>
      </c>
      <c r="AE1288" s="26" t="s">
        <v>3466</v>
      </c>
      <c r="AF1288" s="17">
        <v>45240</v>
      </c>
      <c r="AG1288" s="26"/>
      <c r="AH1288" s="26"/>
      <c r="AI1288" s="40" t="s">
        <v>147</v>
      </c>
      <c r="AJ1288" s="26"/>
      <c r="AK1288" s="26"/>
      <c r="AL1288" s="35"/>
      <c r="AM1288" s="35"/>
      <c r="AN1288" s="35"/>
      <c r="AO1288" s="35"/>
      <c r="AP1288" s="35"/>
    </row>
    <row r="1289" spans="1:42" x14ac:dyDescent="0.2">
      <c r="A1289" s="27">
        <v>45238.858170347223</v>
      </c>
      <c r="B1289" s="28" t="s">
        <v>37</v>
      </c>
      <c r="C1289" s="41" t="s">
        <v>118</v>
      </c>
      <c r="D1289" s="26" t="s">
        <v>36</v>
      </c>
      <c r="E1289" s="26" t="s">
        <v>139</v>
      </c>
      <c r="F1289" s="26" t="s">
        <v>36</v>
      </c>
      <c r="G1289" s="26" t="s">
        <v>108</v>
      </c>
      <c r="H1289" s="26" t="s">
        <v>3418</v>
      </c>
      <c r="I1289" s="17">
        <f ca="1">IFERROR(__xludf.DUMMYFUNCTION("""COMPUTED_VALUE"""),45240)</f>
        <v>45240</v>
      </c>
      <c r="J1289" s="29" t="s">
        <v>2653</v>
      </c>
      <c r="K1289" s="26" t="s">
        <v>5835</v>
      </c>
      <c r="L1289" s="30">
        <v>813938859</v>
      </c>
      <c r="M1289" s="26" t="s">
        <v>123</v>
      </c>
      <c r="N1289" s="26" t="s">
        <v>850</v>
      </c>
      <c r="O1289" s="26" t="s">
        <v>134</v>
      </c>
      <c r="P1289" s="26" t="s">
        <v>2641</v>
      </c>
      <c r="Q1289" s="20">
        <v>15936</v>
      </c>
      <c r="R1289" s="26" t="s">
        <v>36</v>
      </c>
      <c r="S1289" s="31">
        <v>200</v>
      </c>
      <c r="T1289" s="32">
        <v>45170</v>
      </c>
      <c r="U1289" s="21">
        <v>15736</v>
      </c>
      <c r="V1289" s="46">
        <v>45188</v>
      </c>
      <c r="W1289" s="55" t="s">
        <v>2656</v>
      </c>
      <c r="X1289" s="26"/>
      <c r="Y1289" s="22">
        <v>0</v>
      </c>
      <c r="Z1289" s="26" t="s">
        <v>118</v>
      </c>
      <c r="AA1289" s="19" t="s">
        <v>5785</v>
      </c>
      <c r="AB1289" s="26" t="s">
        <v>137</v>
      </c>
      <c r="AC1289" s="26" t="s">
        <v>53</v>
      </c>
      <c r="AD1289" s="19" t="s">
        <v>138</v>
      </c>
      <c r="AE1289" s="26" t="s">
        <v>5836</v>
      </c>
      <c r="AF1289" s="17">
        <v>45240</v>
      </c>
      <c r="AG1289" s="26"/>
      <c r="AH1289" s="26"/>
      <c r="AI1289" s="40" t="s">
        <v>147</v>
      </c>
      <c r="AJ1289" s="26"/>
      <c r="AK1289" s="26"/>
      <c r="AL1289" s="35"/>
      <c r="AM1289" s="35"/>
      <c r="AN1289" s="35"/>
      <c r="AO1289" s="35"/>
      <c r="AP1289" s="35"/>
    </row>
    <row r="1290" spans="1:42" x14ac:dyDescent="0.2">
      <c r="A1290" s="27">
        <v>45239.285600844909</v>
      </c>
      <c r="B1290" s="28" t="s">
        <v>37</v>
      </c>
      <c r="C1290" s="41" t="s">
        <v>118</v>
      </c>
      <c r="D1290" s="26" t="s">
        <v>36</v>
      </c>
      <c r="E1290" s="26" t="s">
        <v>56</v>
      </c>
      <c r="F1290" s="26" t="s">
        <v>36</v>
      </c>
      <c r="G1290" s="26" t="s">
        <v>108</v>
      </c>
      <c r="H1290" s="26" t="s">
        <v>3418</v>
      </c>
      <c r="I1290" s="17">
        <f ca="1">IFERROR(__xludf.DUMMYFUNCTION("""COMPUTED_VALUE"""),45240)</f>
        <v>45240</v>
      </c>
      <c r="J1290" s="29" t="s">
        <v>2666</v>
      </c>
      <c r="K1290" s="26" t="s">
        <v>5837</v>
      </c>
      <c r="L1290" s="30">
        <v>586505467</v>
      </c>
      <c r="M1290" s="26" t="s">
        <v>112</v>
      </c>
      <c r="N1290" s="26" t="s">
        <v>3330</v>
      </c>
      <c r="O1290" s="26" t="s">
        <v>2668</v>
      </c>
      <c r="P1290" s="26" t="s">
        <v>2641</v>
      </c>
      <c r="Q1290" s="20">
        <v>9317</v>
      </c>
      <c r="R1290" s="26" t="s">
        <v>36</v>
      </c>
      <c r="S1290" s="31">
        <v>9317</v>
      </c>
      <c r="T1290" s="32">
        <v>45174</v>
      </c>
      <c r="U1290" s="31"/>
      <c r="V1290" s="32"/>
      <c r="W1290" s="26"/>
      <c r="X1290" s="26"/>
      <c r="Y1290" s="22">
        <v>0</v>
      </c>
      <c r="Z1290" s="26" t="s">
        <v>118</v>
      </c>
      <c r="AA1290" s="19" t="s">
        <v>5785</v>
      </c>
      <c r="AB1290" s="26" t="s">
        <v>137</v>
      </c>
      <c r="AC1290" s="26" t="s">
        <v>53</v>
      </c>
      <c r="AD1290" s="19" t="s">
        <v>138</v>
      </c>
      <c r="AE1290" s="26" t="s">
        <v>5838</v>
      </c>
      <c r="AF1290" s="17">
        <v>45240</v>
      </c>
      <c r="AG1290" s="26"/>
      <c r="AH1290" s="26"/>
      <c r="AI1290" s="40" t="s">
        <v>64</v>
      </c>
      <c r="AJ1290" s="26"/>
      <c r="AK1290" s="26"/>
      <c r="AL1290" s="35"/>
      <c r="AM1290" s="35"/>
      <c r="AN1290" s="35"/>
      <c r="AO1290" s="35"/>
      <c r="AP1290" s="35"/>
    </row>
    <row r="1291" spans="1:42" x14ac:dyDescent="0.2">
      <c r="A1291" s="27">
        <v>45239.290640474537</v>
      </c>
      <c r="B1291" s="28" t="s">
        <v>37</v>
      </c>
      <c r="C1291" s="41" t="s">
        <v>118</v>
      </c>
      <c r="D1291" s="26" t="s">
        <v>36</v>
      </c>
      <c r="E1291" s="26" t="s">
        <v>139</v>
      </c>
      <c r="F1291" s="26" t="s">
        <v>36</v>
      </c>
      <c r="G1291" s="26" t="s">
        <v>108</v>
      </c>
      <c r="H1291" s="26" t="s">
        <v>3418</v>
      </c>
      <c r="I1291" s="17">
        <f ca="1">IFERROR(__xludf.DUMMYFUNCTION("""COMPUTED_VALUE"""),45240)</f>
        <v>45240</v>
      </c>
      <c r="J1291" s="29" t="s">
        <v>3717</v>
      </c>
      <c r="K1291" s="26" t="s">
        <v>3718</v>
      </c>
      <c r="L1291" s="30">
        <v>334077376</v>
      </c>
      <c r="M1291" s="26" t="s">
        <v>123</v>
      </c>
      <c r="N1291" s="26" t="s">
        <v>327</v>
      </c>
      <c r="O1291" s="26" t="s">
        <v>134</v>
      </c>
      <c r="P1291" s="26" t="s">
        <v>2641</v>
      </c>
      <c r="Q1291" s="20">
        <v>15936</v>
      </c>
      <c r="R1291" s="26" t="s">
        <v>36</v>
      </c>
      <c r="S1291" s="31">
        <v>200</v>
      </c>
      <c r="T1291" s="32">
        <v>45188</v>
      </c>
      <c r="U1291" s="31">
        <f>1768+13968</f>
        <v>15736</v>
      </c>
      <c r="V1291" s="16" t="s">
        <v>3719</v>
      </c>
      <c r="W1291" s="33" t="s">
        <v>3720</v>
      </c>
      <c r="X1291" s="26"/>
      <c r="Y1291" s="22">
        <v>0</v>
      </c>
      <c r="Z1291" s="26" t="s">
        <v>118</v>
      </c>
      <c r="AA1291" s="19" t="s">
        <v>5785</v>
      </c>
      <c r="AB1291" s="26" t="s">
        <v>137</v>
      </c>
      <c r="AC1291" s="26" t="s">
        <v>53</v>
      </c>
      <c r="AD1291" s="19" t="s">
        <v>138</v>
      </c>
      <c r="AE1291" s="26" t="s">
        <v>5804</v>
      </c>
      <c r="AF1291" s="17">
        <v>45240</v>
      </c>
      <c r="AG1291" s="26"/>
      <c r="AH1291" s="26"/>
      <c r="AI1291" s="40" t="s">
        <v>147</v>
      </c>
      <c r="AJ1291" s="26"/>
      <c r="AK1291" s="26"/>
      <c r="AL1291" s="35"/>
      <c r="AM1291" s="35"/>
      <c r="AN1291" s="35"/>
      <c r="AO1291" s="35"/>
      <c r="AP1291" s="35"/>
    </row>
    <row r="1292" spans="1:42" x14ac:dyDescent="0.2">
      <c r="A1292" s="27">
        <v>45239.311625219911</v>
      </c>
      <c r="B1292" s="28" t="s">
        <v>37</v>
      </c>
      <c r="C1292" s="41" t="s">
        <v>118</v>
      </c>
      <c r="D1292" s="26" t="s">
        <v>36</v>
      </c>
      <c r="E1292" s="26" t="s">
        <v>139</v>
      </c>
      <c r="F1292" s="26" t="s">
        <v>36</v>
      </c>
      <c r="G1292" s="26" t="s">
        <v>108</v>
      </c>
      <c r="H1292" s="26" t="s">
        <v>3418</v>
      </c>
      <c r="I1292" s="17">
        <f ca="1">IFERROR(__xludf.DUMMYFUNCTION("""COMPUTED_VALUE"""),45240)</f>
        <v>45240</v>
      </c>
      <c r="J1292" s="29" t="s">
        <v>3485</v>
      </c>
      <c r="K1292" s="26" t="s">
        <v>5839</v>
      </c>
      <c r="L1292" s="30">
        <v>949862005</v>
      </c>
      <c r="M1292" s="26" t="s">
        <v>112</v>
      </c>
      <c r="N1292" s="26" t="s">
        <v>4913</v>
      </c>
      <c r="O1292" s="26" t="s">
        <v>134</v>
      </c>
      <c r="P1292" s="26" t="s">
        <v>2641</v>
      </c>
      <c r="Q1292" s="20">
        <v>15936</v>
      </c>
      <c r="R1292" s="26" t="s">
        <v>36</v>
      </c>
      <c r="S1292" s="31">
        <v>200</v>
      </c>
      <c r="T1292" s="32">
        <v>45169</v>
      </c>
      <c r="U1292" s="31">
        <v>15736</v>
      </c>
      <c r="V1292" s="32">
        <v>45189</v>
      </c>
      <c r="W1292" s="26"/>
      <c r="X1292" s="26"/>
      <c r="Y1292" s="22">
        <v>0</v>
      </c>
      <c r="Z1292" s="26" t="s">
        <v>118</v>
      </c>
      <c r="AA1292" s="19" t="s">
        <v>5785</v>
      </c>
      <c r="AB1292" s="26" t="s">
        <v>137</v>
      </c>
      <c r="AC1292" s="26" t="s">
        <v>53</v>
      </c>
      <c r="AD1292" s="19" t="s">
        <v>138</v>
      </c>
      <c r="AE1292" s="26" t="s">
        <v>4417</v>
      </c>
      <c r="AF1292" s="17">
        <v>45244</v>
      </c>
      <c r="AG1292" s="26" t="s">
        <v>4955</v>
      </c>
      <c r="AH1292" s="26"/>
      <c r="AI1292" s="40" t="s">
        <v>147</v>
      </c>
      <c r="AJ1292" s="26"/>
      <c r="AK1292" s="26"/>
      <c r="AL1292" s="35"/>
      <c r="AM1292" s="35"/>
      <c r="AN1292" s="35"/>
      <c r="AO1292" s="35"/>
      <c r="AP1292" s="35"/>
    </row>
    <row r="1293" spans="1:42" x14ac:dyDescent="0.2">
      <c r="A1293" s="27">
        <v>45239.936788692125</v>
      </c>
      <c r="B1293" s="28" t="s">
        <v>37</v>
      </c>
      <c r="C1293" s="41" t="s">
        <v>118</v>
      </c>
      <c r="D1293" s="26" t="s">
        <v>36</v>
      </c>
      <c r="E1293" s="26" t="s">
        <v>139</v>
      </c>
      <c r="F1293" s="26" t="s">
        <v>2647</v>
      </c>
      <c r="G1293" s="26" t="s">
        <v>108</v>
      </c>
      <c r="H1293" s="26" t="s">
        <v>3418</v>
      </c>
      <c r="I1293" s="17">
        <f ca="1">IFERROR(__xludf.DUMMYFUNCTION("""COMPUTED_VALUE"""),45240)</f>
        <v>45240</v>
      </c>
      <c r="J1293" s="29" t="s">
        <v>3480</v>
      </c>
      <c r="K1293" s="26" t="s">
        <v>3481</v>
      </c>
      <c r="L1293" s="30">
        <v>966983800</v>
      </c>
      <c r="M1293" s="26" t="s">
        <v>123</v>
      </c>
      <c r="N1293" s="26" t="s">
        <v>207</v>
      </c>
      <c r="O1293" s="26" t="s">
        <v>134</v>
      </c>
      <c r="P1293" s="26" t="s">
        <v>2641</v>
      </c>
      <c r="Q1293" s="20">
        <v>15936</v>
      </c>
      <c r="R1293" s="26" t="s">
        <v>36</v>
      </c>
      <c r="S1293" s="31">
        <v>200</v>
      </c>
      <c r="T1293" s="32">
        <v>45167</v>
      </c>
      <c r="U1293" s="31">
        <f>2000+13936</f>
        <v>15936</v>
      </c>
      <c r="V1293" s="26" t="s">
        <v>3483</v>
      </c>
      <c r="W1293" s="33" t="s">
        <v>3484</v>
      </c>
      <c r="X1293" s="26"/>
      <c r="Y1293" s="22">
        <v>0</v>
      </c>
      <c r="Z1293" s="26" t="s">
        <v>118</v>
      </c>
      <c r="AA1293" s="19" t="s">
        <v>5785</v>
      </c>
      <c r="AB1293" s="26" t="s">
        <v>137</v>
      </c>
      <c r="AC1293" s="26" t="s">
        <v>53</v>
      </c>
      <c r="AD1293" s="19" t="s">
        <v>138</v>
      </c>
      <c r="AE1293" s="26" t="s">
        <v>117</v>
      </c>
      <c r="AF1293" s="17">
        <v>45244</v>
      </c>
      <c r="AG1293" s="26" t="s">
        <v>4955</v>
      </c>
      <c r="AH1293" s="26"/>
      <c r="AI1293" s="40" t="s">
        <v>147</v>
      </c>
      <c r="AJ1293" s="26"/>
      <c r="AK1293" s="26"/>
      <c r="AL1293" s="35"/>
      <c r="AM1293" s="35"/>
      <c r="AN1293" s="35"/>
      <c r="AO1293" s="35"/>
      <c r="AP1293" s="35"/>
    </row>
    <row r="1294" spans="1:42" x14ac:dyDescent="0.2">
      <c r="A1294" s="97">
        <v>45240</v>
      </c>
      <c r="B1294" s="28" t="s">
        <v>37</v>
      </c>
      <c r="C1294" s="41" t="s">
        <v>118</v>
      </c>
      <c r="D1294" s="26" t="s">
        <v>36</v>
      </c>
      <c r="E1294" s="26" t="s">
        <v>106</v>
      </c>
      <c r="F1294" s="26" t="s">
        <v>91</v>
      </c>
      <c r="G1294" s="26" t="s">
        <v>108</v>
      </c>
      <c r="H1294" s="26" t="s">
        <v>2088</v>
      </c>
      <c r="I1294" s="17">
        <f ca="1">IFERROR(__xludf.DUMMYFUNCTION("""COMPUTED_VALUE"""),45222)</f>
        <v>45222</v>
      </c>
      <c r="J1294" s="44" t="s">
        <v>5840</v>
      </c>
      <c r="K1294" s="26" t="s">
        <v>5841</v>
      </c>
      <c r="L1294" s="30"/>
      <c r="M1294" s="26" t="s">
        <v>1245</v>
      </c>
      <c r="N1294" s="26" t="s">
        <v>5842</v>
      </c>
      <c r="O1294" s="26"/>
      <c r="P1294" s="26"/>
      <c r="Q1294" s="20">
        <v>3768</v>
      </c>
      <c r="R1294" s="26" t="s">
        <v>36</v>
      </c>
      <c r="S1294" s="31"/>
      <c r="T1294" s="32"/>
      <c r="U1294" s="31"/>
      <c r="V1294" s="32"/>
      <c r="W1294" s="26"/>
      <c r="X1294" s="26"/>
      <c r="Y1294" s="22">
        <v>0</v>
      </c>
      <c r="Z1294" s="26" t="s">
        <v>118</v>
      </c>
      <c r="AA1294" s="19" t="s">
        <v>5785</v>
      </c>
      <c r="AB1294" s="26"/>
      <c r="AC1294" s="26" t="s">
        <v>53</v>
      </c>
      <c r="AD1294" s="19" t="s">
        <v>54</v>
      </c>
      <c r="AE1294" s="26" t="s">
        <v>5843</v>
      </c>
      <c r="AF1294" s="43">
        <v>45240</v>
      </c>
      <c r="AG1294" s="26"/>
      <c r="AH1294" s="26"/>
      <c r="AI1294" s="40">
        <v>1</v>
      </c>
      <c r="AJ1294" s="26"/>
      <c r="AK1294" s="26"/>
      <c r="AL1294" s="35"/>
      <c r="AM1294" s="35"/>
      <c r="AN1294" s="35"/>
      <c r="AO1294" s="35"/>
      <c r="AP1294" s="35"/>
    </row>
    <row r="1295" spans="1:42" x14ac:dyDescent="0.2">
      <c r="A1295" s="97">
        <v>45240</v>
      </c>
      <c r="B1295" s="28" t="s">
        <v>37</v>
      </c>
      <c r="C1295" s="41" t="s">
        <v>118</v>
      </c>
      <c r="D1295" s="26" t="s">
        <v>36</v>
      </c>
      <c r="E1295" s="26" t="s">
        <v>106</v>
      </c>
      <c r="F1295" s="26" t="s">
        <v>4354</v>
      </c>
      <c r="G1295" s="26" t="s">
        <v>108</v>
      </c>
      <c r="H1295" s="26" t="s">
        <v>3181</v>
      </c>
      <c r="I1295" s="17">
        <f ca="1">IFERROR(__xludf.DUMMYFUNCTION("""COMPUTED_VALUE"""),45257)</f>
        <v>45257</v>
      </c>
      <c r="J1295" s="29" t="s">
        <v>5844</v>
      </c>
      <c r="K1295" s="39" t="s">
        <v>5845</v>
      </c>
      <c r="L1295" s="30">
        <v>901548495</v>
      </c>
      <c r="M1295" s="26" t="s">
        <v>3288</v>
      </c>
      <c r="N1295" s="26" t="s">
        <v>5846</v>
      </c>
      <c r="O1295" s="26" t="s">
        <v>5847</v>
      </c>
      <c r="P1295" s="26" t="s">
        <v>5848</v>
      </c>
      <c r="Q1295" s="20">
        <v>3768</v>
      </c>
      <c r="R1295" s="26" t="s">
        <v>36</v>
      </c>
      <c r="S1295" s="31">
        <v>1000</v>
      </c>
      <c r="T1295" s="32">
        <v>45141</v>
      </c>
      <c r="U1295" s="31">
        <f>3000+3349</f>
        <v>6349</v>
      </c>
      <c r="V1295" s="32" t="s">
        <v>5849</v>
      </c>
      <c r="W1295" s="33" t="s">
        <v>5850</v>
      </c>
      <c r="X1295" s="26"/>
      <c r="Y1295" s="22">
        <v>-3581</v>
      </c>
      <c r="Z1295" s="26" t="s">
        <v>118</v>
      </c>
      <c r="AA1295" s="19" t="s">
        <v>5785</v>
      </c>
      <c r="AB1295" s="26" t="s">
        <v>128</v>
      </c>
      <c r="AC1295" s="26" t="s">
        <v>53</v>
      </c>
      <c r="AD1295" s="19" t="s">
        <v>54</v>
      </c>
      <c r="AE1295" s="117" t="s">
        <v>5851</v>
      </c>
      <c r="AF1295" s="17">
        <v>45247</v>
      </c>
      <c r="AG1295" s="26" t="s">
        <v>5852</v>
      </c>
      <c r="AH1295" s="42" t="s">
        <v>5853</v>
      </c>
      <c r="AI1295" s="40">
        <v>1</v>
      </c>
      <c r="AJ1295" s="26"/>
      <c r="AK1295" s="26"/>
      <c r="AL1295" s="35"/>
      <c r="AM1295" s="35"/>
      <c r="AN1295" s="35"/>
      <c r="AO1295" s="35"/>
      <c r="AP1295" s="35"/>
    </row>
    <row r="1296" spans="1:42" x14ac:dyDescent="0.2">
      <c r="A1296" s="27">
        <v>45240.491708009256</v>
      </c>
      <c r="B1296" s="28" t="s">
        <v>90</v>
      </c>
      <c r="C1296" s="41" t="s">
        <v>118</v>
      </c>
      <c r="D1296" s="26" t="s">
        <v>36</v>
      </c>
      <c r="E1296" s="26" t="s">
        <v>139</v>
      </c>
      <c r="F1296" s="26" t="s">
        <v>2647</v>
      </c>
      <c r="G1296" s="26" t="s">
        <v>108</v>
      </c>
      <c r="H1296" s="26" t="s">
        <v>3418</v>
      </c>
      <c r="I1296" s="17">
        <f ca="1">IFERROR(__xludf.DUMMYFUNCTION("""COMPUTED_VALUE"""),45240)</f>
        <v>45240</v>
      </c>
      <c r="J1296" s="29" t="s">
        <v>3649</v>
      </c>
      <c r="K1296" s="26" t="s">
        <v>3650</v>
      </c>
      <c r="L1296" s="30">
        <v>368025125</v>
      </c>
      <c r="M1296" s="26" t="s">
        <v>123</v>
      </c>
      <c r="N1296" s="26" t="s">
        <v>186</v>
      </c>
      <c r="O1296" s="26" t="s">
        <v>134</v>
      </c>
      <c r="P1296" s="26" t="s">
        <v>2641</v>
      </c>
      <c r="Q1296" s="20">
        <v>15936</v>
      </c>
      <c r="R1296" s="26" t="s">
        <v>36</v>
      </c>
      <c r="S1296" s="31">
        <v>200</v>
      </c>
      <c r="T1296" s="32">
        <v>45187</v>
      </c>
      <c r="U1296" s="31">
        <f>4000+11736</f>
        <v>15736</v>
      </c>
      <c r="V1296" s="16" t="s">
        <v>3651</v>
      </c>
      <c r="W1296" s="33" t="s">
        <v>3652</v>
      </c>
      <c r="X1296" s="26"/>
      <c r="Y1296" s="22">
        <v>0</v>
      </c>
      <c r="Z1296" s="26" t="s">
        <v>118</v>
      </c>
      <c r="AA1296" s="19" t="s">
        <v>5785</v>
      </c>
      <c r="AB1296" s="26" t="s">
        <v>137</v>
      </c>
      <c r="AC1296" s="26" t="s">
        <v>53</v>
      </c>
      <c r="AD1296" s="19" t="s">
        <v>138</v>
      </c>
      <c r="AE1296" s="26" t="s">
        <v>4910</v>
      </c>
      <c r="AF1296" s="17">
        <v>45244</v>
      </c>
      <c r="AG1296" s="26" t="s">
        <v>4955</v>
      </c>
      <c r="AH1296" s="26"/>
      <c r="AI1296" s="40" t="s">
        <v>147</v>
      </c>
      <c r="AJ1296" s="26"/>
      <c r="AK1296" s="26"/>
      <c r="AL1296" s="35"/>
      <c r="AM1296" s="35"/>
      <c r="AN1296" s="35"/>
      <c r="AO1296" s="35"/>
      <c r="AP1296" s="35"/>
    </row>
    <row r="1297" spans="1:42" x14ac:dyDescent="0.2">
      <c r="A1297" s="27">
        <v>45241.701616736114</v>
      </c>
      <c r="B1297" s="28" t="s">
        <v>37</v>
      </c>
      <c r="C1297" s="41" t="s">
        <v>118</v>
      </c>
      <c r="D1297" s="26" t="s">
        <v>36</v>
      </c>
      <c r="E1297" s="26" t="s">
        <v>139</v>
      </c>
      <c r="F1297" s="26" t="s">
        <v>888</v>
      </c>
      <c r="G1297" s="26" t="s">
        <v>108</v>
      </c>
      <c r="H1297" s="26" t="s">
        <v>2415</v>
      </c>
      <c r="I1297" s="17">
        <f ca="1">IFERROR(__xludf.DUMMYFUNCTION("""COMPUTED_VALUE"""),45254)</f>
        <v>45254</v>
      </c>
      <c r="J1297" s="29" t="s">
        <v>3496</v>
      </c>
      <c r="K1297" s="26" t="s">
        <v>5854</v>
      </c>
      <c r="L1297" s="30">
        <v>973088950</v>
      </c>
      <c r="M1297" s="26" t="s">
        <v>3498</v>
      </c>
      <c r="N1297" s="26" t="s">
        <v>2756</v>
      </c>
      <c r="O1297" s="26" t="s">
        <v>134</v>
      </c>
      <c r="P1297" s="26" t="s">
        <v>5855</v>
      </c>
      <c r="Q1297" s="20">
        <v>15936</v>
      </c>
      <c r="R1297" s="26" t="s">
        <v>36</v>
      </c>
      <c r="S1297" s="31">
        <v>2000</v>
      </c>
      <c r="T1297" s="32">
        <v>45178</v>
      </c>
      <c r="U1297" s="31">
        <v>13936</v>
      </c>
      <c r="V1297" s="32">
        <v>45209</v>
      </c>
      <c r="W1297" s="33" t="s">
        <v>3500</v>
      </c>
      <c r="X1297" s="26"/>
      <c r="Y1297" s="22">
        <v>0</v>
      </c>
      <c r="Z1297" s="26" t="s">
        <v>118</v>
      </c>
      <c r="AA1297" s="19" t="s">
        <v>5785</v>
      </c>
      <c r="AB1297" s="26" t="s">
        <v>137</v>
      </c>
      <c r="AC1297" s="26" t="s">
        <v>53</v>
      </c>
      <c r="AD1297" s="19" t="s">
        <v>54</v>
      </c>
      <c r="AE1297" s="26" t="s">
        <v>4790</v>
      </c>
      <c r="AF1297" s="17">
        <v>45244</v>
      </c>
      <c r="AG1297" s="61" t="s">
        <v>5856</v>
      </c>
      <c r="AH1297" s="26"/>
      <c r="AI1297" s="40" t="s">
        <v>147</v>
      </c>
      <c r="AJ1297" s="26"/>
      <c r="AK1297" s="26"/>
      <c r="AL1297" s="35"/>
      <c r="AM1297" s="35"/>
      <c r="AN1297" s="35"/>
      <c r="AO1297" s="35"/>
      <c r="AP1297" s="35"/>
    </row>
    <row r="1298" spans="1:42" x14ac:dyDescent="0.2">
      <c r="A1298" s="27">
        <v>45241.725122430551</v>
      </c>
      <c r="B1298" s="28" t="s">
        <v>37</v>
      </c>
      <c r="C1298" s="41" t="s">
        <v>118</v>
      </c>
      <c r="D1298" s="26" t="s">
        <v>36</v>
      </c>
      <c r="E1298" s="26" t="s">
        <v>139</v>
      </c>
      <c r="F1298" s="26" t="s">
        <v>888</v>
      </c>
      <c r="G1298" s="26" t="s">
        <v>108</v>
      </c>
      <c r="H1298" s="26" t="s">
        <v>2415</v>
      </c>
      <c r="I1298" s="17">
        <f ca="1">IFERROR(__xludf.DUMMYFUNCTION("""COMPUTED_VALUE"""),45254)</f>
        <v>45254</v>
      </c>
      <c r="J1298" s="29" t="s">
        <v>3555</v>
      </c>
      <c r="K1298" s="26" t="s">
        <v>5857</v>
      </c>
      <c r="L1298" s="30">
        <v>378860205</v>
      </c>
      <c r="M1298" s="26" t="s">
        <v>80</v>
      </c>
      <c r="N1298" s="26" t="s">
        <v>81</v>
      </c>
      <c r="O1298" s="26" t="s">
        <v>134</v>
      </c>
      <c r="P1298" s="26" t="s">
        <v>5858</v>
      </c>
      <c r="Q1298" s="20">
        <v>15936</v>
      </c>
      <c r="R1298" s="26" t="s">
        <v>36</v>
      </c>
      <c r="S1298" s="31">
        <v>2000</v>
      </c>
      <c r="T1298" s="32">
        <v>45182</v>
      </c>
      <c r="U1298" s="31">
        <v>13936</v>
      </c>
      <c r="V1298" s="32">
        <v>45211</v>
      </c>
      <c r="W1298" s="33" t="s">
        <v>3559</v>
      </c>
      <c r="X1298" s="26"/>
      <c r="Y1298" s="22">
        <v>0</v>
      </c>
      <c r="Z1298" s="26" t="s">
        <v>118</v>
      </c>
      <c r="AA1298" s="19" t="s">
        <v>5785</v>
      </c>
      <c r="AB1298" s="26" t="s">
        <v>137</v>
      </c>
      <c r="AC1298" s="26" t="s">
        <v>53</v>
      </c>
      <c r="AD1298" s="19" t="s">
        <v>54</v>
      </c>
      <c r="AE1298" s="26" t="s">
        <v>4698</v>
      </c>
      <c r="AF1298" s="17">
        <v>45244</v>
      </c>
      <c r="AG1298" s="26"/>
      <c r="AH1298" s="26"/>
      <c r="AI1298" s="40" t="s">
        <v>147</v>
      </c>
      <c r="AJ1298" s="26"/>
      <c r="AK1298" s="26"/>
      <c r="AL1298" s="35"/>
      <c r="AM1298" s="35"/>
      <c r="AN1298" s="35"/>
      <c r="AO1298" s="35"/>
      <c r="AP1298" s="35"/>
    </row>
    <row r="1299" spans="1:42" x14ac:dyDescent="0.2">
      <c r="A1299" s="27">
        <v>45241.732770243056</v>
      </c>
      <c r="B1299" s="28" t="s">
        <v>37</v>
      </c>
      <c r="C1299" s="41" t="s">
        <v>118</v>
      </c>
      <c r="D1299" s="26" t="s">
        <v>36</v>
      </c>
      <c r="E1299" s="26" t="s">
        <v>219</v>
      </c>
      <c r="F1299" s="26" t="s">
        <v>109</v>
      </c>
      <c r="G1299" s="26" t="s">
        <v>221</v>
      </c>
      <c r="H1299" s="26" t="s">
        <v>4982</v>
      </c>
      <c r="I1299" s="17">
        <f ca="1">IFERROR(__xludf.DUMMYFUNCTION("""COMPUTED_VALUE"""),45257)</f>
        <v>45257</v>
      </c>
      <c r="J1299" s="29" t="s">
        <v>5859</v>
      </c>
      <c r="K1299" s="26" t="s">
        <v>5860</v>
      </c>
      <c r="L1299" s="30">
        <v>941879960</v>
      </c>
      <c r="M1299" s="26" t="s">
        <v>112</v>
      </c>
      <c r="N1299" s="26" t="s">
        <v>3330</v>
      </c>
      <c r="O1299" s="67" t="s">
        <v>5861</v>
      </c>
      <c r="P1299" s="26" t="s">
        <v>5862</v>
      </c>
      <c r="Q1299" s="20">
        <v>7349</v>
      </c>
      <c r="R1299" s="26" t="s">
        <v>36</v>
      </c>
      <c r="S1299" s="31">
        <v>3968</v>
      </c>
      <c r="T1299" s="32">
        <v>45959</v>
      </c>
      <c r="U1299" s="31"/>
      <c r="V1299" s="32"/>
      <c r="W1299" s="33" t="s">
        <v>5863</v>
      </c>
      <c r="X1299" s="26"/>
      <c r="Y1299" s="22">
        <v>0</v>
      </c>
      <c r="Z1299" s="26" t="s">
        <v>118</v>
      </c>
      <c r="AA1299" s="19" t="s">
        <v>5785</v>
      </c>
      <c r="AB1299" s="26" t="s">
        <v>104</v>
      </c>
      <c r="AC1299" s="26" t="s">
        <v>53</v>
      </c>
      <c r="AD1299" s="19" t="s">
        <v>54</v>
      </c>
      <c r="AE1299" s="26">
        <v>645</v>
      </c>
      <c r="AF1299" s="17">
        <v>45247</v>
      </c>
      <c r="AG1299" s="26"/>
      <c r="AH1299" s="26"/>
      <c r="AI1299" s="40">
        <v>2</v>
      </c>
      <c r="AJ1299" s="26"/>
      <c r="AK1299" s="26"/>
      <c r="AL1299" s="35"/>
      <c r="AM1299" s="35"/>
      <c r="AN1299" s="35"/>
      <c r="AO1299" s="35"/>
      <c r="AP1299" s="35"/>
    </row>
    <row r="1300" spans="1:42" x14ac:dyDescent="0.2">
      <c r="A1300" s="27">
        <v>45241.742073842594</v>
      </c>
      <c r="B1300" s="28" t="s">
        <v>37</v>
      </c>
      <c r="C1300" s="41" t="s">
        <v>118</v>
      </c>
      <c r="D1300" s="26" t="s">
        <v>36</v>
      </c>
      <c r="E1300" s="26" t="s">
        <v>56</v>
      </c>
      <c r="F1300" s="26" t="s">
        <v>888</v>
      </c>
      <c r="G1300" s="26" t="s">
        <v>108</v>
      </c>
      <c r="H1300" s="26" t="s">
        <v>2415</v>
      </c>
      <c r="I1300" s="17">
        <f ca="1">IFERROR(__xludf.DUMMYFUNCTION("""COMPUTED_VALUE"""),45254)</f>
        <v>45254</v>
      </c>
      <c r="J1300" s="29" t="s">
        <v>2833</v>
      </c>
      <c r="K1300" s="26" t="s">
        <v>5864</v>
      </c>
      <c r="L1300" s="30">
        <v>397167205</v>
      </c>
      <c r="M1300" s="26" t="s">
        <v>112</v>
      </c>
      <c r="N1300" s="26" t="s">
        <v>3330</v>
      </c>
      <c r="O1300" s="26" t="s">
        <v>2836</v>
      </c>
      <c r="P1300" s="26" t="s">
        <v>5865</v>
      </c>
      <c r="Q1300" s="20">
        <v>9317</v>
      </c>
      <c r="R1300" s="26" t="s">
        <v>36</v>
      </c>
      <c r="S1300" s="31">
        <v>9317</v>
      </c>
      <c r="T1300" s="32">
        <v>45184</v>
      </c>
      <c r="U1300" s="31"/>
      <c r="V1300" s="32"/>
      <c r="W1300" s="33" t="s">
        <v>2838</v>
      </c>
      <c r="X1300" s="26"/>
      <c r="Y1300" s="22">
        <v>0</v>
      </c>
      <c r="Z1300" s="26" t="s">
        <v>118</v>
      </c>
      <c r="AA1300" s="19" t="s">
        <v>5785</v>
      </c>
      <c r="AB1300" s="26" t="s">
        <v>137</v>
      </c>
      <c r="AC1300" s="26" t="s">
        <v>53</v>
      </c>
      <c r="AD1300" s="19" t="s">
        <v>54</v>
      </c>
      <c r="AE1300" s="26" t="s">
        <v>5866</v>
      </c>
      <c r="AF1300" s="17">
        <v>45244</v>
      </c>
      <c r="AG1300" s="26"/>
      <c r="AH1300" s="26"/>
      <c r="AI1300" s="40" t="s">
        <v>64</v>
      </c>
      <c r="AJ1300" s="26"/>
      <c r="AK1300" s="26"/>
      <c r="AL1300" s="35"/>
      <c r="AM1300" s="35"/>
      <c r="AN1300" s="35"/>
      <c r="AO1300" s="35"/>
      <c r="AP1300" s="35"/>
    </row>
    <row r="1301" spans="1:42" x14ac:dyDescent="0.2">
      <c r="A1301" s="27">
        <v>45241.75033628472</v>
      </c>
      <c r="B1301" s="28" t="s">
        <v>37</v>
      </c>
      <c r="C1301" s="41" t="s">
        <v>118</v>
      </c>
      <c r="D1301" s="26" t="s">
        <v>36</v>
      </c>
      <c r="E1301" s="26" t="s">
        <v>148</v>
      </c>
      <c r="F1301" s="26" t="s">
        <v>554</v>
      </c>
      <c r="G1301" s="26" t="s">
        <v>221</v>
      </c>
      <c r="H1301" s="26" t="s">
        <v>5867</v>
      </c>
      <c r="I1301" s="17" t="str">
        <f ca="1">IFERROR(__xludf.DUMMYFUNCTION("""COMPUTED_VALUE""")," ")</f>
        <v xml:space="preserve"> </v>
      </c>
      <c r="J1301" s="29" t="s">
        <v>2043</v>
      </c>
      <c r="K1301" s="26" t="s">
        <v>5868</v>
      </c>
      <c r="L1301" s="30">
        <v>963970712</v>
      </c>
      <c r="M1301" s="26" t="s">
        <v>112</v>
      </c>
      <c r="N1301" s="26" t="s">
        <v>3330</v>
      </c>
      <c r="O1301" s="67" t="s">
        <v>5869</v>
      </c>
      <c r="P1301" s="26" t="s">
        <v>5870</v>
      </c>
      <c r="Q1301" s="20">
        <v>7349</v>
      </c>
      <c r="R1301" s="26" t="s">
        <v>36</v>
      </c>
      <c r="S1301" s="31">
        <v>7349</v>
      </c>
      <c r="T1301" s="32">
        <v>44772</v>
      </c>
      <c r="U1301" s="31"/>
      <c r="V1301" s="26" t="s">
        <v>5871</v>
      </c>
      <c r="W1301" s="26"/>
      <c r="X1301" s="26"/>
      <c r="Y1301" s="22">
        <v>0</v>
      </c>
      <c r="Z1301" s="26" t="s">
        <v>118</v>
      </c>
      <c r="AA1301" s="19" t="s">
        <v>5785</v>
      </c>
      <c r="AB1301" s="26" t="s">
        <v>104</v>
      </c>
      <c r="AC1301" s="26" t="s">
        <v>53</v>
      </c>
      <c r="AD1301" s="19" t="s">
        <v>54</v>
      </c>
      <c r="AE1301" s="26">
        <v>880</v>
      </c>
      <c r="AF1301" s="43">
        <v>45246</v>
      </c>
      <c r="AG1301" s="26"/>
      <c r="AH1301" s="26"/>
      <c r="AI1301" s="40">
        <v>2</v>
      </c>
      <c r="AJ1301" s="26"/>
      <c r="AK1301" s="26"/>
      <c r="AL1301" s="35"/>
      <c r="AM1301" s="35"/>
      <c r="AN1301" s="35"/>
      <c r="AO1301" s="35"/>
      <c r="AP1301" s="35"/>
    </row>
    <row r="1302" spans="1:42" x14ac:dyDescent="0.2">
      <c r="A1302" s="27">
        <v>45241.755503043983</v>
      </c>
      <c r="B1302" s="28" t="s">
        <v>37</v>
      </c>
      <c r="C1302" s="41" t="s">
        <v>118</v>
      </c>
      <c r="D1302" s="26" t="s">
        <v>36</v>
      </c>
      <c r="E1302" s="26" t="s">
        <v>56</v>
      </c>
      <c r="F1302" s="26" t="s">
        <v>857</v>
      </c>
      <c r="G1302" s="26" t="s">
        <v>108</v>
      </c>
      <c r="H1302" s="26" t="s">
        <v>2415</v>
      </c>
      <c r="I1302" s="17">
        <f ca="1">IFERROR(__xludf.DUMMYFUNCTION("""COMPUTED_VALUE"""),45254)</f>
        <v>45254</v>
      </c>
      <c r="J1302" s="29" t="s">
        <v>858</v>
      </c>
      <c r="K1302" s="26" t="s">
        <v>859</v>
      </c>
      <c r="L1302" s="30">
        <v>965917843</v>
      </c>
      <c r="M1302" s="26" t="s">
        <v>59</v>
      </c>
      <c r="N1302" s="26" t="s">
        <v>68</v>
      </c>
      <c r="O1302" s="26" t="s">
        <v>860</v>
      </c>
      <c r="P1302" s="26" t="s">
        <v>5872</v>
      </c>
      <c r="Q1302" s="20">
        <v>9317</v>
      </c>
      <c r="R1302" s="26" t="s">
        <v>36</v>
      </c>
      <c r="S1302" s="31">
        <v>9317</v>
      </c>
      <c r="T1302" s="32">
        <v>45138</v>
      </c>
      <c r="U1302" s="31"/>
      <c r="V1302" s="32"/>
      <c r="W1302" s="33" t="s">
        <v>862</v>
      </c>
      <c r="X1302" s="26">
        <v>0</v>
      </c>
      <c r="Y1302" s="22">
        <v>0</v>
      </c>
      <c r="Z1302" s="26" t="s">
        <v>118</v>
      </c>
      <c r="AA1302" s="19" t="s">
        <v>5785</v>
      </c>
      <c r="AB1302" s="26" t="s">
        <v>137</v>
      </c>
      <c r="AC1302" s="26" t="s">
        <v>53</v>
      </c>
      <c r="AD1302" s="19" t="s">
        <v>54</v>
      </c>
      <c r="AE1302" s="26" t="s">
        <v>4860</v>
      </c>
      <c r="AF1302" s="17">
        <v>45244</v>
      </c>
      <c r="AG1302" s="26"/>
      <c r="AH1302" s="26"/>
      <c r="AI1302" s="40" t="s">
        <v>64</v>
      </c>
      <c r="AJ1302" s="26"/>
      <c r="AK1302" s="26"/>
      <c r="AL1302" s="35"/>
      <c r="AM1302" s="35"/>
      <c r="AN1302" s="35"/>
      <c r="AO1302" s="35"/>
      <c r="AP1302" s="35"/>
    </row>
    <row r="1303" spans="1:42" x14ac:dyDescent="0.2">
      <c r="A1303" s="27">
        <v>45241.864842546296</v>
      </c>
      <c r="B1303" s="28" t="s">
        <v>37</v>
      </c>
      <c r="C1303" s="41" t="s">
        <v>118</v>
      </c>
      <c r="D1303" s="26" t="s">
        <v>36</v>
      </c>
      <c r="E1303" s="26" t="s">
        <v>39</v>
      </c>
      <c r="F1303" s="26" t="s">
        <v>2734</v>
      </c>
      <c r="G1303" s="26" t="s">
        <v>108</v>
      </c>
      <c r="H1303" s="26" t="s">
        <v>2415</v>
      </c>
      <c r="I1303" s="17">
        <f ca="1">IFERROR(__xludf.DUMMYFUNCTION("""COMPUTED_VALUE"""),45254)</f>
        <v>45254</v>
      </c>
      <c r="J1303" s="29" t="s">
        <v>3561</v>
      </c>
      <c r="K1303" s="26" t="s">
        <v>3562</v>
      </c>
      <c r="L1303" s="30">
        <v>824130871</v>
      </c>
      <c r="M1303" s="26" t="s">
        <v>112</v>
      </c>
      <c r="N1303" s="26" t="s">
        <v>3330</v>
      </c>
      <c r="O1303" s="26" t="s">
        <v>3563</v>
      </c>
      <c r="P1303" s="26" t="s">
        <v>5873</v>
      </c>
      <c r="Q1303" s="20">
        <v>5736</v>
      </c>
      <c r="R1303" s="26" t="s">
        <v>36</v>
      </c>
      <c r="S1303" s="31">
        <v>2000</v>
      </c>
      <c r="T1303" s="32">
        <v>45182</v>
      </c>
      <c r="U1303" s="31">
        <v>3736</v>
      </c>
      <c r="V1303" s="32">
        <v>45212</v>
      </c>
      <c r="W1303" s="26"/>
      <c r="X1303" s="26"/>
      <c r="Y1303" s="22">
        <v>0</v>
      </c>
      <c r="Z1303" s="26" t="s">
        <v>118</v>
      </c>
      <c r="AA1303" s="19" t="s">
        <v>5785</v>
      </c>
      <c r="AB1303" s="26" t="s">
        <v>137</v>
      </c>
      <c r="AC1303" s="26" t="s">
        <v>53</v>
      </c>
      <c r="AD1303" s="19" t="s">
        <v>54</v>
      </c>
      <c r="AE1303" s="26" t="s">
        <v>4910</v>
      </c>
      <c r="AF1303" s="17">
        <v>45244</v>
      </c>
      <c r="AG1303" s="26"/>
      <c r="AH1303" s="26"/>
      <c r="AI1303" s="40" t="s">
        <v>55</v>
      </c>
      <c r="AJ1303" s="26"/>
      <c r="AK1303" s="26"/>
      <c r="AL1303" s="35"/>
      <c r="AM1303" s="35"/>
      <c r="AN1303" s="35"/>
      <c r="AO1303" s="35"/>
      <c r="AP1303" s="35"/>
    </row>
    <row r="1304" spans="1:42" x14ac:dyDescent="0.2">
      <c r="A1304" s="27">
        <v>45242.62570315972</v>
      </c>
      <c r="B1304" s="28" t="s">
        <v>37</v>
      </c>
      <c r="C1304" s="41" t="s">
        <v>118</v>
      </c>
      <c r="D1304" s="26" t="s">
        <v>36</v>
      </c>
      <c r="E1304" s="26" t="s">
        <v>219</v>
      </c>
      <c r="F1304" s="26" t="s">
        <v>109</v>
      </c>
      <c r="G1304" s="26" t="s">
        <v>221</v>
      </c>
      <c r="H1304" s="26" t="s">
        <v>4982</v>
      </c>
      <c r="I1304" s="17">
        <f ca="1">IFERROR(__xludf.DUMMYFUNCTION("""COMPUTED_VALUE"""),45257)</f>
        <v>45257</v>
      </c>
      <c r="J1304" s="29" t="s">
        <v>1898</v>
      </c>
      <c r="K1304" s="26" t="s">
        <v>1899</v>
      </c>
      <c r="L1304" s="30">
        <v>942595228</v>
      </c>
      <c r="M1304" s="26" t="s">
        <v>112</v>
      </c>
      <c r="N1304" s="26" t="s">
        <v>3330</v>
      </c>
      <c r="O1304" s="67" t="s">
        <v>5874</v>
      </c>
      <c r="P1304" s="26" t="s">
        <v>5875</v>
      </c>
      <c r="Q1304" s="20">
        <v>3968</v>
      </c>
      <c r="R1304" s="26" t="s">
        <v>36</v>
      </c>
      <c r="S1304" s="31">
        <v>3768</v>
      </c>
      <c r="T1304" s="32">
        <v>44854</v>
      </c>
      <c r="U1304" s="31">
        <v>3581</v>
      </c>
      <c r="V1304" s="32">
        <v>44859</v>
      </c>
      <c r="W1304" s="33" t="s">
        <v>5876</v>
      </c>
      <c r="X1304" s="26"/>
      <c r="Y1304" s="22">
        <v>-3381</v>
      </c>
      <c r="Z1304" s="26" t="s">
        <v>118</v>
      </c>
      <c r="AA1304" s="19" t="s">
        <v>5785</v>
      </c>
      <c r="AB1304" s="26" t="s">
        <v>104</v>
      </c>
      <c r="AC1304" s="26" t="s">
        <v>53</v>
      </c>
      <c r="AD1304" s="19" t="s">
        <v>54</v>
      </c>
      <c r="AE1304" s="26">
        <v>615</v>
      </c>
      <c r="AF1304" s="17">
        <v>45247</v>
      </c>
      <c r="AG1304" s="26"/>
      <c r="AH1304" s="26"/>
      <c r="AI1304" s="40">
        <v>1</v>
      </c>
      <c r="AJ1304" s="26"/>
      <c r="AK1304" s="26"/>
      <c r="AL1304" s="35"/>
      <c r="AM1304" s="35"/>
      <c r="AN1304" s="35"/>
      <c r="AO1304" s="35"/>
      <c r="AP1304" s="35"/>
    </row>
    <row r="1305" spans="1:42" x14ac:dyDescent="0.2">
      <c r="A1305" s="27">
        <v>45243.4198612037</v>
      </c>
      <c r="B1305" s="28" t="s">
        <v>37</v>
      </c>
      <c r="C1305" s="41" t="s">
        <v>118</v>
      </c>
      <c r="D1305" s="26" t="s">
        <v>36</v>
      </c>
      <c r="E1305" s="26" t="s">
        <v>106</v>
      </c>
      <c r="F1305" s="26" t="s">
        <v>5877</v>
      </c>
      <c r="G1305" s="26" t="s">
        <v>108</v>
      </c>
      <c r="H1305" s="26" t="s">
        <v>2415</v>
      </c>
      <c r="I1305" s="17">
        <f ca="1">IFERROR(__xludf.DUMMYFUNCTION("""COMPUTED_VALUE"""),45254)</f>
        <v>45254</v>
      </c>
      <c r="J1305" s="29" t="s">
        <v>5878</v>
      </c>
      <c r="K1305" s="26" t="s">
        <v>5879</v>
      </c>
      <c r="L1305" s="30">
        <v>985467099</v>
      </c>
      <c r="M1305" s="26" t="s">
        <v>3288</v>
      </c>
      <c r="N1305" s="26" t="s">
        <v>200</v>
      </c>
      <c r="O1305" s="26" t="s">
        <v>36</v>
      </c>
      <c r="P1305" s="26" t="s">
        <v>5880</v>
      </c>
      <c r="Q1305" s="20">
        <v>3768</v>
      </c>
      <c r="R1305" s="26" t="s">
        <v>36</v>
      </c>
      <c r="S1305" s="31">
        <v>10354</v>
      </c>
      <c r="T1305" s="32">
        <v>44961</v>
      </c>
      <c r="U1305" s="31"/>
      <c r="V1305" s="32"/>
      <c r="W1305" s="33" t="s">
        <v>5881</v>
      </c>
      <c r="X1305" s="26"/>
      <c r="Y1305" s="22">
        <v>-6586</v>
      </c>
      <c r="Z1305" s="26" t="s">
        <v>118</v>
      </c>
      <c r="AA1305" s="19" t="s">
        <v>5785</v>
      </c>
      <c r="AB1305" s="26" t="s">
        <v>137</v>
      </c>
      <c r="AC1305" s="26" t="s">
        <v>53</v>
      </c>
      <c r="AD1305" s="19" t="s">
        <v>54</v>
      </c>
      <c r="AE1305" s="26">
        <v>350</v>
      </c>
      <c r="AF1305" s="17">
        <v>45244</v>
      </c>
      <c r="AG1305" s="61" t="s">
        <v>5882</v>
      </c>
      <c r="AH1305" s="26"/>
      <c r="AI1305" s="40">
        <v>1</v>
      </c>
      <c r="AJ1305" s="26"/>
      <c r="AK1305" s="26"/>
      <c r="AL1305" s="35"/>
      <c r="AM1305" s="35"/>
      <c r="AN1305" s="35"/>
      <c r="AO1305" s="35"/>
      <c r="AP1305" s="35"/>
    </row>
    <row r="1306" spans="1:42" x14ac:dyDescent="0.2">
      <c r="A1306" s="27">
        <v>45243.585331643517</v>
      </c>
      <c r="B1306" s="28" t="s">
        <v>37</v>
      </c>
      <c r="C1306" s="41" t="s">
        <v>118</v>
      </c>
      <c r="D1306" s="26" t="s">
        <v>36</v>
      </c>
      <c r="E1306" s="26" t="s">
        <v>39</v>
      </c>
      <c r="F1306" s="26" t="s">
        <v>4861</v>
      </c>
      <c r="G1306" s="26" t="s">
        <v>41</v>
      </c>
      <c r="H1306" s="26" t="s">
        <v>3365</v>
      </c>
      <c r="I1306" s="17">
        <f ca="1">IFERROR(__xludf.DUMMYFUNCTION("""COMPUTED_VALUE"""),45244)</f>
        <v>45244</v>
      </c>
      <c r="J1306" s="29" t="s">
        <v>5883</v>
      </c>
      <c r="K1306" s="26" t="s">
        <v>5884</v>
      </c>
      <c r="L1306" s="30">
        <v>8051857075</v>
      </c>
      <c r="M1306" s="26" t="s">
        <v>391</v>
      </c>
      <c r="N1306" s="26" t="s">
        <v>584</v>
      </c>
      <c r="O1306" s="26" t="s">
        <v>5885</v>
      </c>
      <c r="P1306" s="26" t="s">
        <v>5886</v>
      </c>
      <c r="Q1306" s="20">
        <v>5736</v>
      </c>
      <c r="R1306" s="26" t="s">
        <v>36</v>
      </c>
      <c r="S1306" s="31">
        <v>14055</v>
      </c>
      <c r="T1306" s="32">
        <v>44925</v>
      </c>
      <c r="U1306" s="31"/>
      <c r="V1306" s="32"/>
      <c r="W1306" s="33" t="s">
        <v>5887</v>
      </c>
      <c r="X1306" s="26">
        <v>0</v>
      </c>
      <c r="Y1306" s="22">
        <v>-8319</v>
      </c>
      <c r="Z1306" s="26" t="s">
        <v>118</v>
      </c>
      <c r="AA1306" s="19" t="s">
        <v>5785</v>
      </c>
      <c r="AB1306" s="26" t="s">
        <v>104</v>
      </c>
      <c r="AC1306" s="26" t="s">
        <v>1828</v>
      </c>
      <c r="AD1306" s="19" t="s">
        <v>54</v>
      </c>
      <c r="AE1306" s="26">
        <v>310</v>
      </c>
      <c r="AF1306" s="60" t="s">
        <v>1829</v>
      </c>
      <c r="AG1306" s="26" t="s">
        <v>5888</v>
      </c>
      <c r="AH1306" s="26"/>
      <c r="AI1306" s="40" t="s">
        <v>55</v>
      </c>
      <c r="AJ1306" s="26"/>
      <c r="AK1306" s="26"/>
      <c r="AL1306" s="35"/>
      <c r="AM1306" s="35"/>
      <c r="AN1306" s="35"/>
      <c r="AO1306" s="35"/>
      <c r="AP1306" s="35"/>
    </row>
    <row r="1307" spans="1:42" x14ac:dyDescent="0.2">
      <c r="A1307" s="27">
        <v>45243.800909120371</v>
      </c>
      <c r="B1307" s="28" t="s">
        <v>37</v>
      </c>
      <c r="C1307" s="41" t="s">
        <v>118</v>
      </c>
      <c r="D1307" s="26" t="s">
        <v>36</v>
      </c>
      <c r="E1307" s="26" t="s">
        <v>56</v>
      </c>
      <c r="F1307" s="26" t="s">
        <v>2717</v>
      </c>
      <c r="G1307" s="26" t="s">
        <v>108</v>
      </c>
      <c r="H1307" s="26" t="s">
        <v>4959</v>
      </c>
      <c r="I1307" s="17">
        <f ca="1">IFERROR(__xludf.DUMMYFUNCTION("""COMPUTED_VALUE"""),45352)</f>
        <v>45352</v>
      </c>
      <c r="J1307" s="29" t="s">
        <v>3686</v>
      </c>
      <c r="K1307" s="26" t="s">
        <v>5889</v>
      </c>
      <c r="L1307" s="30">
        <v>963055426</v>
      </c>
      <c r="M1307" s="26" t="s">
        <v>112</v>
      </c>
      <c r="N1307" s="26" t="s">
        <v>3330</v>
      </c>
      <c r="O1307" s="26" t="s">
        <v>3688</v>
      </c>
      <c r="P1307" s="42" t="s">
        <v>5890</v>
      </c>
      <c r="Q1307" s="20">
        <v>9317</v>
      </c>
      <c r="R1307" s="26" t="s">
        <v>36</v>
      </c>
      <c r="S1307" s="31">
        <v>2000</v>
      </c>
      <c r="T1307" s="32">
        <v>45187</v>
      </c>
      <c r="U1307" s="31">
        <v>7217</v>
      </c>
      <c r="V1307" s="32">
        <v>45214</v>
      </c>
      <c r="W1307" s="33" t="s">
        <v>3690</v>
      </c>
      <c r="X1307" s="26"/>
      <c r="Y1307" s="22">
        <v>100</v>
      </c>
      <c r="Z1307" s="26" t="s">
        <v>118</v>
      </c>
      <c r="AA1307" s="19" t="s">
        <v>5785</v>
      </c>
      <c r="AB1307" s="26" t="s">
        <v>137</v>
      </c>
      <c r="AC1307" s="26" t="s">
        <v>53</v>
      </c>
      <c r="AD1307" s="19" t="s">
        <v>54</v>
      </c>
      <c r="AE1307" s="26" t="s">
        <v>5891</v>
      </c>
      <c r="AF1307" s="43">
        <v>45250</v>
      </c>
      <c r="AG1307" s="26"/>
      <c r="AH1307" s="26"/>
      <c r="AI1307" s="40" t="s">
        <v>64</v>
      </c>
      <c r="AJ1307" s="26"/>
      <c r="AK1307" s="26"/>
      <c r="AL1307" s="35"/>
      <c r="AM1307" s="35"/>
      <c r="AN1307" s="35"/>
      <c r="AO1307" s="35"/>
      <c r="AP1307" s="35"/>
    </row>
    <row r="1308" spans="1:42" x14ac:dyDescent="0.2">
      <c r="A1308" s="27">
        <v>45243.804102638889</v>
      </c>
      <c r="B1308" s="28" t="s">
        <v>37</v>
      </c>
      <c r="C1308" s="41" t="s">
        <v>118</v>
      </c>
      <c r="D1308" s="26" t="s">
        <v>36</v>
      </c>
      <c r="E1308" s="26" t="s">
        <v>39</v>
      </c>
      <c r="F1308" s="26" t="s">
        <v>2989</v>
      </c>
      <c r="G1308" s="26" t="s">
        <v>108</v>
      </c>
      <c r="H1308" s="26" t="s">
        <v>1176</v>
      </c>
      <c r="I1308" s="17">
        <f ca="1">IFERROR(__xludf.DUMMYFUNCTION("""COMPUTED_VALUE"""),45258)</f>
        <v>45258</v>
      </c>
      <c r="J1308" s="29" t="s">
        <v>3838</v>
      </c>
      <c r="K1308" s="26" t="s">
        <v>1442</v>
      </c>
      <c r="L1308" s="30">
        <v>703601804</v>
      </c>
      <c r="M1308" s="26" t="s">
        <v>112</v>
      </c>
      <c r="N1308" s="26" t="s">
        <v>3330</v>
      </c>
      <c r="O1308" s="26" t="s">
        <v>3840</v>
      </c>
      <c r="P1308" s="42" t="s">
        <v>5892</v>
      </c>
      <c r="Q1308" s="20">
        <v>5736</v>
      </c>
      <c r="R1308" s="26" t="s">
        <v>36</v>
      </c>
      <c r="S1308" s="31">
        <v>2000</v>
      </c>
      <c r="T1308" s="32">
        <v>45194</v>
      </c>
      <c r="U1308" s="31">
        <v>3736</v>
      </c>
      <c r="V1308" s="32">
        <v>45208</v>
      </c>
      <c r="W1308" s="33" t="s">
        <v>3842</v>
      </c>
      <c r="X1308" s="26"/>
      <c r="Y1308" s="22">
        <v>0</v>
      </c>
      <c r="Z1308" s="26" t="s">
        <v>118</v>
      </c>
      <c r="AA1308" s="19" t="s">
        <v>5785</v>
      </c>
      <c r="AB1308" s="26" t="s">
        <v>137</v>
      </c>
      <c r="AC1308" s="26" t="s">
        <v>53</v>
      </c>
      <c r="AD1308" s="19" t="s">
        <v>54</v>
      </c>
      <c r="AE1308" s="26" t="s">
        <v>2989</v>
      </c>
      <c r="AF1308" s="43">
        <v>45250</v>
      </c>
      <c r="AG1308" s="26"/>
      <c r="AH1308" s="26"/>
      <c r="AI1308" s="40" t="s">
        <v>55</v>
      </c>
      <c r="AJ1308" s="26"/>
      <c r="AK1308" s="26"/>
      <c r="AL1308" s="35"/>
      <c r="AM1308" s="35"/>
      <c r="AN1308" s="35"/>
      <c r="AO1308" s="35"/>
      <c r="AP1308" s="35"/>
    </row>
    <row r="1309" spans="1:42" x14ac:dyDescent="0.2">
      <c r="A1309" s="27">
        <v>45243.848310347224</v>
      </c>
      <c r="B1309" s="28" t="s">
        <v>37</v>
      </c>
      <c r="C1309" s="41" t="s">
        <v>118</v>
      </c>
      <c r="D1309" s="26" t="s">
        <v>36</v>
      </c>
      <c r="E1309" s="26" t="s">
        <v>39</v>
      </c>
      <c r="F1309" s="26" t="s">
        <v>2989</v>
      </c>
      <c r="G1309" s="26" t="s">
        <v>108</v>
      </c>
      <c r="H1309" s="26" t="s">
        <v>1176</v>
      </c>
      <c r="I1309" s="17">
        <f ca="1">IFERROR(__xludf.DUMMYFUNCTION("""COMPUTED_VALUE"""),45258)</f>
        <v>45258</v>
      </c>
      <c r="J1309" s="29" t="s">
        <v>3131</v>
      </c>
      <c r="K1309" s="26" t="s">
        <v>5893</v>
      </c>
      <c r="L1309" s="30">
        <v>338831493</v>
      </c>
      <c r="M1309" s="26" t="s">
        <v>112</v>
      </c>
      <c r="N1309" s="26" t="s">
        <v>3330</v>
      </c>
      <c r="O1309" s="26" t="s">
        <v>3133</v>
      </c>
      <c r="P1309" s="42" t="s">
        <v>5894</v>
      </c>
      <c r="Q1309" s="20">
        <v>5736</v>
      </c>
      <c r="R1309" s="26" t="s">
        <v>36</v>
      </c>
      <c r="S1309" s="31">
        <v>5736</v>
      </c>
      <c r="T1309" s="32">
        <v>45181</v>
      </c>
      <c r="U1309" s="31"/>
      <c r="V1309" s="32"/>
      <c r="W1309" s="33" t="s">
        <v>3135</v>
      </c>
      <c r="X1309" s="26"/>
      <c r="Y1309" s="22">
        <v>0</v>
      </c>
      <c r="Z1309" s="26" t="s">
        <v>118</v>
      </c>
      <c r="AA1309" s="19" t="s">
        <v>5785</v>
      </c>
      <c r="AB1309" s="26" t="s">
        <v>137</v>
      </c>
      <c r="AC1309" s="26" t="s">
        <v>53</v>
      </c>
      <c r="AD1309" s="19" t="s">
        <v>54</v>
      </c>
      <c r="AE1309" s="26" t="s">
        <v>2989</v>
      </c>
      <c r="AF1309" s="43">
        <v>45250</v>
      </c>
      <c r="AG1309" s="26"/>
      <c r="AH1309" s="26"/>
      <c r="AI1309" s="40" t="s">
        <v>55</v>
      </c>
      <c r="AJ1309" s="26"/>
      <c r="AK1309" s="26"/>
      <c r="AL1309" s="35"/>
      <c r="AM1309" s="35"/>
      <c r="AN1309" s="35"/>
      <c r="AO1309" s="35"/>
      <c r="AP1309" s="35"/>
    </row>
    <row r="1310" spans="1:42" x14ac:dyDescent="0.2">
      <c r="A1310" s="27">
        <v>45245.79954018518</v>
      </c>
      <c r="B1310" s="28" t="s">
        <v>37</v>
      </c>
      <c r="C1310" s="41" t="s">
        <v>118</v>
      </c>
      <c r="D1310" s="26" t="s">
        <v>36</v>
      </c>
      <c r="E1310" s="26" t="s">
        <v>139</v>
      </c>
      <c r="F1310" s="26" t="s">
        <v>2889</v>
      </c>
      <c r="G1310" s="26" t="s">
        <v>108</v>
      </c>
      <c r="H1310" s="26" t="s">
        <v>3397</v>
      </c>
      <c r="I1310" s="17">
        <f ca="1">IFERROR(__xludf.DUMMYFUNCTION("""COMPUTED_VALUE"""),45256)</f>
        <v>45256</v>
      </c>
      <c r="J1310" s="29" t="s">
        <v>3732</v>
      </c>
      <c r="K1310" s="26" t="s">
        <v>3733</v>
      </c>
      <c r="L1310" s="30">
        <v>385729320</v>
      </c>
      <c r="M1310" s="26" t="s">
        <v>80</v>
      </c>
      <c r="N1310" s="26" t="s">
        <v>299</v>
      </c>
      <c r="O1310" s="26" t="s">
        <v>3734</v>
      </c>
      <c r="P1310" s="26" t="s">
        <v>5895</v>
      </c>
      <c r="Q1310" s="20">
        <v>15936</v>
      </c>
      <c r="R1310" s="26" t="s">
        <v>36</v>
      </c>
      <c r="S1310" s="31">
        <v>2000</v>
      </c>
      <c r="T1310" s="32">
        <v>45188</v>
      </c>
      <c r="U1310" s="31">
        <v>13936</v>
      </c>
      <c r="V1310" s="32">
        <v>45221</v>
      </c>
      <c r="W1310" s="33" t="s">
        <v>3736</v>
      </c>
      <c r="X1310" s="26"/>
      <c r="Y1310" s="22">
        <v>0</v>
      </c>
      <c r="Z1310" s="26" t="s">
        <v>118</v>
      </c>
      <c r="AA1310" s="19" t="s">
        <v>5785</v>
      </c>
      <c r="AB1310" s="26" t="s">
        <v>137</v>
      </c>
      <c r="AC1310" s="26" t="s">
        <v>53</v>
      </c>
      <c r="AD1310" s="19" t="s">
        <v>138</v>
      </c>
      <c r="AE1310" s="26" t="s">
        <v>2889</v>
      </c>
      <c r="AF1310" s="43">
        <v>45256</v>
      </c>
      <c r="AG1310" s="26" t="s">
        <v>1362</v>
      </c>
      <c r="AH1310" s="26"/>
      <c r="AI1310" s="40" t="s">
        <v>147</v>
      </c>
      <c r="AJ1310" s="26"/>
      <c r="AK1310" s="26"/>
      <c r="AL1310" s="35"/>
      <c r="AM1310" s="35"/>
      <c r="AN1310" s="35"/>
      <c r="AO1310" s="35"/>
      <c r="AP1310" s="35"/>
    </row>
    <row r="1311" spans="1:42" x14ac:dyDescent="0.2">
      <c r="A1311" s="27">
        <v>45247.207060428242</v>
      </c>
      <c r="B1311" s="28" t="s">
        <v>37</v>
      </c>
      <c r="C1311" s="41" t="s">
        <v>118</v>
      </c>
      <c r="D1311" s="26" t="s">
        <v>36</v>
      </c>
      <c r="E1311" s="26" t="s">
        <v>139</v>
      </c>
      <c r="F1311" s="26" t="s">
        <v>3112</v>
      </c>
      <c r="G1311" s="26" t="s">
        <v>108</v>
      </c>
      <c r="H1311" s="93" t="s">
        <v>4362</v>
      </c>
      <c r="I1311" s="17">
        <f ca="1">IFERROR(__xludf.DUMMYFUNCTION("""COMPUTED_VALUE"""),45257)</f>
        <v>45257</v>
      </c>
      <c r="J1311" s="29" t="s">
        <v>3830</v>
      </c>
      <c r="K1311" s="26" t="s">
        <v>3831</v>
      </c>
      <c r="L1311" s="30">
        <v>936643943</v>
      </c>
      <c r="M1311" s="26" t="s">
        <v>80</v>
      </c>
      <c r="N1311" s="26" t="s">
        <v>186</v>
      </c>
      <c r="O1311" s="26" t="s">
        <v>3832</v>
      </c>
      <c r="P1311" s="26" t="s">
        <v>2641</v>
      </c>
      <c r="Q1311" s="20">
        <v>15936</v>
      </c>
      <c r="R1311" s="26" t="s">
        <v>3825</v>
      </c>
      <c r="S1311" s="31">
        <v>2000</v>
      </c>
      <c r="T1311" s="32">
        <v>45193</v>
      </c>
      <c r="U1311" s="31">
        <v>13736</v>
      </c>
      <c r="V1311" s="32">
        <v>45222</v>
      </c>
      <c r="W1311" s="33" t="s">
        <v>3833</v>
      </c>
      <c r="X1311" s="26"/>
      <c r="Y1311" s="22">
        <v>200</v>
      </c>
      <c r="Z1311" s="26" t="s">
        <v>118</v>
      </c>
      <c r="AA1311" s="19" t="s">
        <v>5785</v>
      </c>
      <c r="AB1311" s="26" t="s">
        <v>137</v>
      </c>
      <c r="AC1311" s="26" t="s">
        <v>53</v>
      </c>
      <c r="AD1311" s="19" t="s">
        <v>138</v>
      </c>
      <c r="AE1311" s="26" t="s">
        <v>3112</v>
      </c>
      <c r="AF1311" s="43">
        <v>45257</v>
      </c>
      <c r="AG1311" s="26" t="s">
        <v>3399</v>
      </c>
      <c r="AH1311" s="26"/>
      <c r="AI1311" s="40" t="s">
        <v>147</v>
      </c>
      <c r="AJ1311" s="26"/>
      <c r="AK1311" s="26"/>
      <c r="AL1311" s="35"/>
      <c r="AM1311" s="35"/>
      <c r="AN1311" s="35"/>
      <c r="AO1311" s="35"/>
      <c r="AP1311" s="35"/>
    </row>
    <row r="1312" spans="1:42" x14ac:dyDescent="0.2">
      <c r="A1312" s="27">
        <v>45247.209943981477</v>
      </c>
      <c r="B1312" s="28" t="s">
        <v>37</v>
      </c>
      <c r="C1312" s="41" t="s">
        <v>118</v>
      </c>
      <c r="D1312" s="26" t="s">
        <v>36</v>
      </c>
      <c r="E1312" s="26" t="s">
        <v>139</v>
      </c>
      <c r="F1312" s="26" t="s">
        <v>3112</v>
      </c>
      <c r="G1312" s="26" t="s">
        <v>108</v>
      </c>
      <c r="H1312" s="26" t="s">
        <v>4362</v>
      </c>
      <c r="I1312" s="17">
        <f ca="1">IFERROR(__xludf.DUMMYFUNCTION("""COMPUTED_VALUE"""),45257)</f>
        <v>45257</v>
      </c>
      <c r="J1312" s="29" t="s">
        <v>3915</v>
      </c>
      <c r="K1312" s="26" t="s">
        <v>3916</v>
      </c>
      <c r="L1312" s="30">
        <v>384481624</v>
      </c>
      <c r="M1312" s="26" t="s">
        <v>80</v>
      </c>
      <c r="N1312" s="26" t="s">
        <v>186</v>
      </c>
      <c r="O1312" s="26" t="s">
        <v>134</v>
      </c>
      <c r="P1312" s="26" t="s">
        <v>2641</v>
      </c>
      <c r="Q1312" s="20">
        <v>15936</v>
      </c>
      <c r="R1312" s="26" t="s">
        <v>36</v>
      </c>
      <c r="S1312" s="31">
        <v>2000</v>
      </c>
      <c r="T1312" s="32">
        <v>45198</v>
      </c>
      <c r="U1312" s="31">
        <v>13936</v>
      </c>
      <c r="V1312" s="32">
        <v>45218</v>
      </c>
      <c r="W1312" s="33" t="s">
        <v>3917</v>
      </c>
      <c r="X1312" s="26"/>
      <c r="Y1312" s="22">
        <v>0</v>
      </c>
      <c r="Z1312" s="26" t="s">
        <v>118</v>
      </c>
      <c r="AA1312" s="19" t="s">
        <v>5785</v>
      </c>
      <c r="AB1312" s="26" t="s">
        <v>137</v>
      </c>
      <c r="AC1312" s="26" t="s">
        <v>53</v>
      </c>
      <c r="AD1312" s="19" t="s">
        <v>138</v>
      </c>
      <c r="AE1312" s="26" t="s">
        <v>3112</v>
      </c>
      <c r="AF1312" s="43">
        <v>45257</v>
      </c>
      <c r="AG1312" s="26" t="s">
        <v>3399</v>
      </c>
      <c r="AH1312" s="26"/>
      <c r="AI1312" s="40" t="s">
        <v>147</v>
      </c>
      <c r="AJ1312" s="26"/>
      <c r="AK1312" s="26"/>
      <c r="AL1312" s="35"/>
      <c r="AM1312" s="35"/>
      <c r="AN1312" s="35"/>
      <c r="AO1312" s="35"/>
      <c r="AP1312" s="35"/>
    </row>
    <row r="1313" spans="1:42" x14ac:dyDescent="0.2">
      <c r="A1313" s="27">
        <v>45247.212652071757</v>
      </c>
      <c r="B1313" s="28" t="s">
        <v>37</v>
      </c>
      <c r="C1313" s="41" t="s">
        <v>118</v>
      </c>
      <c r="D1313" s="26" t="s">
        <v>36</v>
      </c>
      <c r="E1313" s="26" t="s">
        <v>139</v>
      </c>
      <c r="F1313" s="26" t="s">
        <v>3112</v>
      </c>
      <c r="G1313" s="26" t="s">
        <v>108</v>
      </c>
      <c r="H1313" s="26" t="s">
        <v>4362</v>
      </c>
      <c r="I1313" s="17">
        <f ca="1">IFERROR(__xludf.DUMMYFUNCTION("""COMPUTED_VALUE"""),45257)</f>
        <v>45257</v>
      </c>
      <c r="J1313" s="29" t="s">
        <v>3911</v>
      </c>
      <c r="K1313" s="26" t="s">
        <v>3912</v>
      </c>
      <c r="L1313" s="30">
        <v>378138205</v>
      </c>
      <c r="M1313" s="26" t="s">
        <v>910</v>
      </c>
      <c r="N1313" s="26" t="s">
        <v>3525</v>
      </c>
      <c r="O1313" s="26" t="s">
        <v>134</v>
      </c>
      <c r="P1313" s="26" t="s">
        <v>3913</v>
      </c>
      <c r="Q1313" s="20">
        <v>15936</v>
      </c>
      <c r="R1313" s="26" t="s">
        <v>36</v>
      </c>
      <c r="S1313" s="31">
        <v>2000</v>
      </c>
      <c r="T1313" s="32">
        <v>45197</v>
      </c>
      <c r="U1313" s="31">
        <v>13936</v>
      </c>
      <c r="V1313" s="32">
        <v>45226</v>
      </c>
      <c r="W1313" s="33" t="s">
        <v>3914</v>
      </c>
      <c r="X1313" s="26"/>
      <c r="Y1313" s="22">
        <v>0</v>
      </c>
      <c r="Z1313" s="26" t="s">
        <v>118</v>
      </c>
      <c r="AA1313" s="19" t="s">
        <v>5785</v>
      </c>
      <c r="AB1313" s="26" t="s">
        <v>137</v>
      </c>
      <c r="AC1313" s="26" t="s">
        <v>53</v>
      </c>
      <c r="AD1313" s="19" t="s">
        <v>138</v>
      </c>
      <c r="AE1313" s="26" t="s">
        <v>3112</v>
      </c>
      <c r="AF1313" s="43">
        <v>45257</v>
      </c>
      <c r="AG1313" s="26" t="s">
        <v>3399</v>
      </c>
      <c r="AH1313" s="26"/>
      <c r="AI1313" s="40" t="s">
        <v>147</v>
      </c>
      <c r="AJ1313" s="26"/>
      <c r="AK1313" s="26"/>
      <c r="AL1313" s="35"/>
      <c r="AM1313" s="35"/>
      <c r="AN1313" s="35"/>
      <c r="AO1313" s="35"/>
      <c r="AP1313" s="35"/>
    </row>
    <row r="1314" spans="1:42" x14ac:dyDescent="0.2">
      <c r="A1314" s="27">
        <v>45247.215477106482</v>
      </c>
      <c r="B1314" s="28" t="s">
        <v>37</v>
      </c>
      <c r="C1314" s="41" t="s">
        <v>118</v>
      </c>
      <c r="D1314" s="26" t="s">
        <v>36</v>
      </c>
      <c r="E1314" s="26" t="s">
        <v>139</v>
      </c>
      <c r="F1314" s="26" t="s">
        <v>3112</v>
      </c>
      <c r="G1314" s="26" t="s">
        <v>108</v>
      </c>
      <c r="H1314" s="26" t="s">
        <v>4362</v>
      </c>
      <c r="I1314" s="17">
        <f ca="1">IFERROR(__xludf.DUMMYFUNCTION("""COMPUTED_VALUE"""),45257)</f>
        <v>45257</v>
      </c>
      <c r="J1314" s="29" t="s">
        <v>3872</v>
      </c>
      <c r="K1314" s="26" t="s">
        <v>3873</v>
      </c>
      <c r="L1314" s="30">
        <v>971764067</v>
      </c>
      <c r="M1314" s="26" t="s">
        <v>3498</v>
      </c>
      <c r="N1314" s="26" t="s">
        <v>3874</v>
      </c>
      <c r="O1314" s="26" t="s">
        <v>134</v>
      </c>
      <c r="P1314" s="26" t="s">
        <v>5896</v>
      </c>
      <c r="Q1314" s="20">
        <v>15936</v>
      </c>
      <c r="R1314" s="26" t="s">
        <v>36</v>
      </c>
      <c r="S1314" s="31">
        <v>2000</v>
      </c>
      <c r="T1314" s="32">
        <v>45195</v>
      </c>
      <c r="U1314" s="31">
        <v>13968</v>
      </c>
      <c r="V1314" s="32">
        <v>45225</v>
      </c>
      <c r="W1314" s="33" t="s">
        <v>3876</v>
      </c>
      <c r="X1314" s="26"/>
      <c r="Y1314" s="22">
        <v>-32</v>
      </c>
      <c r="Z1314" s="26" t="s">
        <v>118</v>
      </c>
      <c r="AA1314" s="19" t="s">
        <v>5785</v>
      </c>
      <c r="AB1314" s="26" t="s">
        <v>137</v>
      </c>
      <c r="AC1314" s="26" t="s">
        <v>53</v>
      </c>
      <c r="AD1314" s="19" t="s">
        <v>138</v>
      </c>
      <c r="AE1314" s="26" t="s">
        <v>3112</v>
      </c>
      <c r="AF1314" s="43">
        <v>45257</v>
      </c>
      <c r="AG1314" s="26" t="s">
        <v>3399</v>
      </c>
      <c r="AH1314" s="26"/>
      <c r="AI1314" s="40" t="s">
        <v>147</v>
      </c>
      <c r="AJ1314" s="26"/>
      <c r="AK1314" s="26"/>
      <c r="AL1314" s="35"/>
      <c r="AM1314" s="35"/>
      <c r="AN1314" s="35"/>
      <c r="AO1314" s="35"/>
      <c r="AP1314" s="35"/>
    </row>
    <row r="1315" spans="1:42" x14ac:dyDescent="0.2">
      <c r="A1315" s="27">
        <v>45247.219148946759</v>
      </c>
      <c r="B1315" s="28" t="s">
        <v>37</v>
      </c>
      <c r="C1315" s="41" t="s">
        <v>118</v>
      </c>
      <c r="D1315" s="26" t="s">
        <v>36</v>
      </c>
      <c r="E1315" s="26" t="s">
        <v>139</v>
      </c>
      <c r="F1315" s="26" t="s">
        <v>3112</v>
      </c>
      <c r="G1315" s="26" t="s">
        <v>108</v>
      </c>
      <c r="H1315" s="26" t="s">
        <v>4362</v>
      </c>
      <c r="I1315" s="17">
        <f ca="1">IFERROR(__xludf.DUMMYFUNCTION("""COMPUTED_VALUE"""),45257)</f>
        <v>45257</v>
      </c>
      <c r="J1315" s="29" t="s">
        <v>4037</v>
      </c>
      <c r="K1315" s="26" t="s">
        <v>4038</v>
      </c>
      <c r="L1315" s="30">
        <v>878886183</v>
      </c>
      <c r="M1315" s="26" t="s">
        <v>910</v>
      </c>
      <c r="N1315" s="26" t="s">
        <v>3525</v>
      </c>
      <c r="O1315" s="26" t="s">
        <v>134</v>
      </c>
      <c r="P1315" s="26" t="s">
        <v>2641</v>
      </c>
      <c r="Q1315" s="20">
        <v>15936</v>
      </c>
      <c r="R1315" s="26" t="s">
        <v>70</v>
      </c>
      <c r="S1315" s="31">
        <v>2000</v>
      </c>
      <c r="T1315" s="32">
        <v>45202</v>
      </c>
      <c r="U1315" s="31">
        <v>13936</v>
      </c>
      <c r="V1315" s="32">
        <v>45223</v>
      </c>
      <c r="W1315" s="33" t="s">
        <v>4040</v>
      </c>
      <c r="X1315" s="26"/>
      <c r="Y1315" s="22">
        <v>0</v>
      </c>
      <c r="Z1315" s="26" t="s">
        <v>118</v>
      </c>
      <c r="AA1315" s="19" t="s">
        <v>5785</v>
      </c>
      <c r="AB1315" s="26" t="s">
        <v>104</v>
      </c>
      <c r="AC1315" s="26" t="s">
        <v>53</v>
      </c>
      <c r="AD1315" s="19" t="s">
        <v>138</v>
      </c>
      <c r="AE1315" s="26" t="s">
        <v>3112</v>
      </c>
      <c r="AF1315" s="43">
        <v>45257</v>
      </c>
      <c r="AG1315" s="26" t="s">
        <v>3399</v>
      </c>
      <c r="AH1315" s="26"/>
      <c r="AI1315" s="40" t="s">
        <v>147</v>
      </c>
      <c r="AJ1315" s="26"/>
      <c r="AK1315" s="26"/>
      <c r="AL1315" s="35"/>
      <c r="AM1315" s="35"/>
      <c r="AN1315" s="35"/>
      <c r="AO1315" s="35"/>
      <c r="AP1315" s="35"/>
    </row>
    <row r="1316" spans="1:42" x14ac:dyDescent="0.2">
      <c r="A1316" s="27">
        <v>45247.22272237268</v>
      </c>
      <c r="B1316" s="28" t="s">
        <v>37</v>
      </c>
      <c r="C1316" s="41" t="s">
        <v>118</v>
      </c>
      <c r="D1316" s="26" t="s">
        <v>36</v>
      </c>
      <c r="E1316" s="26" t="s">
        <v>39</v>
      </c>
      <c r="F1316" s="26" t="s">
        <v>3112</v>
      </c>
      <c r="G1316" s="26" t="s">
        <v>108</v>
      </c>
      <c r="H1316" s="26" t="s">
        <v>4362</v>
      </c>
      <c r="I1316" s="17">
        <f ca="1">IFERROR(__xludf.DUMMYFUNCTION("""COMPUTED_VALUE"""),45257)</f>
        <v>45257</v>
      </c>
      <c r="J1316" s="29" t="s">
        <v>3965</v>
      </c>
      <c r="K1316" s="118" t="s">
        <v>5897</v>
      </c>
      <c r="L1316" s="30">
        <v>342687657</v>
      </c>
      <c r="M1316" s="26" t="s">
        <v>112</v>
      </c>
      <c r="N1316" s="26" t="s">
        <v>3330</v>
      </c>
      <c r="O1316" s="26" t="s">
        <v>3968</v>
      </c>
      <c r="P1316" s="26" t="s">
        <v>2641</v>
      </c>
      <c r="Q1316" s="20">
        <v>5736</v>
      </c>
      <c r="R1316" s="26" t="s">
        <v>36</v>
      </c>
      <c r="S1316" s="31">
        <v>3768</v>
      </c>
      <c r="T1316" s="32">
        <v>45186</v>
      </c>
      <c r="U1316" s="31">
        <v>1968</v>
      </c>
      <c r="V1316" s="32">
        <v>45208</v>
      </c>
      <c r="W1316" s="33" t="s">
        <v>3969</v>
      </c>
      <c r="X1316" s="26"/>
      <c r="Y1316" s="22">
        <v>0</v>
      </c>
      <c r="Z1316" s="26" t="s">
        <v>118</v>
      </c>
      <c r="AA1316" s="19" t="s">
        <v>5785</v>
      </c>
      <c r="AB1316" s="26" t="s">
        <v>137</v>
      </c>
      <c r="AC1316" s="26" t="s">
        <v>53</v>
      </c>
      <c r="AD1316" s="19" t="s">
        <v>138</v>
      </c>
      <c r="AE1316" s="26" t="s">
        <v>3112</v>
      </c>
      <c r="AF1316" s="43">
        <v>45257</v>
      </c>
      <c r="AG1316" s="26" t="s">
        <v>3399</v>
      </c>
      <c r="AH1316" s="26"/>
      <c r="AI1316" s="40" t="s">
        <v>55</v>
      </c>
      <c r="AJ1316" s="26"/>
      <c r="AK1316" s="26"/>
      <c r="AL1316" s="35"/>
      <c r="AM1316" s="35"/>
      <c r="AN1316" s="35"/>
      <c r="AO1316" s="35"/>
      <c r="AP1316" s="35"/>
    </row>
    <row r="1317" spans="1:42" x14ac:dyDescent="0.2">
      <c r="A1317" s="27">
        <v>45247.309817303241</v>
      </c>
      <c r="B1317" s="28" t="s">
        <v>37</v>
      </c>
      <c r="C1317" s="41" t="s">
        <v>118</v>
      </c>
      <c r="D1317" s="26" t="s">
        <v>36</v>
      </c>
      <c r="E1317" s="26" t="s">
        <v>139</v>
      </c>
      <c r="F1317" s="26" t="s">
        <v>3112</v>
      </c>
      <c r="G1317" s="26" t="s">
        <v>108</v>
      </c>
      <c r="H1317" s="26" t="s">
        <v>4362</v>
      </c>
      <c r="I1317" s="17">
        <f ca="1">IFERROR(__xludf.DUMMYFUNCTION("""COMPUTED_VALUE"""),45257)</f>
        <v>45257</v>
      </c>
      <c r="J1317" s="29" t="s">
        <v>3883</v>
      </c>
      <c r="K1317" s="26" t="s">
        <v>3884</v>
      </c>
      <c r="L1317" s="30">
        <v>866796610</v>
      </c>
      <c r="M1317" s="26" t="s">
        <v>112</v>
      </c>
      <c r="N1317" s="26" t="s">
        <v>3330</v>
      </c>
      <c r="O1317" s="26" t="s">
        <v>3885</v>
      </c>
      <c r="P1317" s="26" t="s">
        <v>2641</v>
      </c>
      <c r="Q1317" s="20">
        <v>15936</v>
      </c>
      <c r="R1317" s="26" t="s">
        <v>36</v>
      </c>
      <c r="S1317" s="31">
        <v>2000</v>
      </c>
      <c r="T1317" s="32">
        <v>45196</v>
      </c>
      <c r="U1317" s="31">
        <v>13836</v>
      </c>
      <c r="V1317" s="32">
        <v>45225</v>
      </c>
      <c r="W1317" s="26"/>
      <c r="X1317" s="26"/>
      <c r="Y1317" s="22">
        <v>100</v>
      </c>
      <c r="Z1317" s="26" t="s">
        <v>118</v>
      </c>
      <c r="AA1317" s="19" t="s">
        <v>5785</v>
      </c>
      <c r="AB1317" s="26" t="s">
        <v>137</v>
      </c>
      <c r="AC1317" s="26" t="s">
        <v>53</v>
      </c>
      <c r="AD1317" s="19" t="s">
        <v>138</v>
      </c>
      <c r="AE1317" s="26" t="s">
        <v>3112</v>
      </c>
      <c r="AF1317" s="43">
        <v>45257</v>
      </c>
      <c r="AG1317" s="26" t="s">
        <v>3399</v>
      </c>
      <c r="AH1317" s="26"/>
      <c r="AI1317" s="40" t="s">
        <v>147</v>
      </c>
      <c r="AJ1317" s="26"/>
      <c r="AK1317" s="26"/>
      <c r="AL1317" s="35"/>
      <c r="AM1317" s="35"/>
      <c r="AN1317" s="35"/>
      <c r="AO1317" s="35"/>
      <c r="AP1317" s="35"/>
    </row>
    <row r="1318" spans="1:42" x14ac:dyDescent="0.2">
      <c r="A1318" s="27">
        <v>45247.316557986109</v>
      </c>
      <c r="B1318" s="28" t="s">
        <v>37</v>
      </c>
      <c r="C1318" s="41" t="s">
        <v>118</v>
      </c>
      <c r="D1318" s="26" t="s">
        <v>36</v>
      </c>
      <c r="E1318" s="26" t="s">
        <v>139</v>
      </c>
      <c r="F1318" s="26" t="s">
        <v>3112</v>
      </c>
      <c r="G1318" s="26" t="s">
        <v>108</v>
      </c>
      <c r="H1318" s="26" t="s">
        <v>4362</v>
      </c>
      <c r="I1318" s="17">
        <f ca="1">IFERROR(__xludf.DUMMYFUNCTION("""COMPUTED_VALUE"""),45257)</f>
        <v>45257</v>
      </c>
      <c r="J1318" s="29" t="s">
        <v>3887</v>
      </c>
      <c r="K1318" s="26" t="s">
        <v>5898</v>
      </c>
      <c r="L1318" s="30">
        <v>783564613</v>
      </c>
      <c r="M1318" s="26" t="s">
        <v>112</v>
      </c>
      <c r="N1318" s="26" t="s">
        <v>3330</v>
      </c>
      <c r="O1318" s="33" t="s">
        <v>3887</v>
      </c>
      <c r="P1318" s="26" t="s">
        <v>2641</v>
      </c>
      <c r="Q1318" s="20">
        <v>15936</v>
      </c>
      <c r="R1318" s="26" t="s">
        <v>70</v>
      </c>
      <c r="S1318" s="31">
        <v>2000</v>
      </c>
      <c r="T1318" s="32">
        <v>45196</v>
      </c>
      <c r="U1318" s="31">
        <v>13836</v>
      </c>
      <c r="V1318" s="32">
        <v>45225</v>
      </c>
      <c r="W1318" s="26"/>
      <c r="X1318" s="26"/>
      <c r="Y1318" s="22">
        <v>100</v>
      </c>
      <c r="Z1318" s="26" t="s">
        <v>118</v>
      </c>
      <c r="AA1318" s="19" t="s">
        <v>5785</v>
      </c>
      <c r="AB1318" s="26" t="s">
        <v>137</v>
      </c>
      <c r="AC1318" s="26" t="s">
        <v>53</v>
      </c>
      <c r="AD1318" s="19" t="s">
        <v>138</v>
      </c>
      <c r="AE1318" s="26" t="s">
        <v>3112</v>
      </c>
      <c r="AF1318" s="43">
        <v>45257</v>
      </c>
      <c r="AG1318" s="26" t="s">
        <v>3399</v>
      </c>
      <c r="AH1318" s="26"/>
      <c r="AI1318" s="40" t="s">
        <v>147</v>
      </c>
      <c r="AJ1318" s="26"/>
      <c r="AK1318" s="26"/>
      <c r="AL1318" s="35"/>
      <c r="AM1318" s="35"/>
      <c r="AN1318" s="35"/>
      <c r="AO1318" s="35"/>
      <c r="AP1318" s="35"/>
    </row>
    <row r="1319" spans="1:42" x14ac:dyDescent="0.2">
      <c r="A1319" s="27">
        <v>45247.322128321757</v>
      </c>
      <c r="B1319" s="28" t="s">
        <v>37</v>
      </c>
      <c r="C1319" s="41" t="s">
        <v>118</v>
      </c>
      <c r="D1319" s="26" t="s">
        <v>36</v>
      </c>
      <c r="E1319" s="26" t="s">
        <v>139</v>
      </c>
      <c r="F1319" s="26" t="s">
        <v>3112</v>
      </c>
      <c r="G1319" s="26" t="s">
        <v>108</v>
      </c>
      <c r="H1319" s="26" t="s">
        <v>4362</v>
      </c>
      <c r="I1319" s="17">
        <f ca="1">IFERROR(__xludf.DUMMYFUNCTION("""COMPUTED_VALUE"""),45257)</f>
        <v>45257</v>
      </c>
      <c r="J1319" s="29" t="s">
        <v>3904</v>
      </c>
      <c r="K1319" s="26" t="s">
        <v>5899</v>
      </c>
      <c r="L1319" s="30">
        <v>398502015</v>
      </c>
      <c r="M1319" s="26" t="s">
        <v>112</v>
      </c>
      <c r="N1319" s="26" t="s">
        <v>3330</v>
      </c>
      <c r="O1319" s="26" t="s">
        <v>3906</v>
      </c>
      <c r="P1319" s="26" t="s">
        <v>3178</v>
      </c>
      <c r="Q1319" s="20">
        <v>15936</v>
      </c>
      <c r="R1319" s="26" t="s">
        <v>36</v>
      </c>
      <c r="S1319" s="31">
        <v>500</v>
      </c>
      <c r="T1319" s="32">
        <v>45197</v>
      </c>
      <c r="U1319" s="31">
        <v>15436</v>
      </c>
      <c r="V1319" s="32">
        <v>45204</v>
      </c>
      <c r="W1319" s="26"/>
      <c r="X1319" s="26"/>
      <c r="Y1319" s="22">
        <v>0</v>
      </c>
      <c r="Z1319" s="26" t="s">
        <v>118</v>
      </c>
      <c r="AA1319" s="19" t="s">
        <v>5785</v>
      </c>
      <c r="AB1319" s="26" t="s">
        <v>137</v>
      </c>
      <c r="AC1319" s="26" t="s">
        <v>53</v>
      </c>
      <c r="AD1319" s="19" t="s">
        <v>138</v>
      </c>
      <c r="AE1319" s="26" t="s">
        <v>3112</v>
      </c>
      <c r="AF1319" s="43">
        <v>45257</v>
      </c>
      <c r="AG1319" s="26" t="s">
        <v>3399</v>
      </c>
      <c r="AH1319" s="26"/>
      <c r="AI1319" s="40" t="s">
        <v>147</v>
      </c>
      <c r="AJ1319" s="26"/>
      <c r="AK1319" s="26"/>
      <c r="AL1319" s="35"/>
      <c r="AM1319" s="35"/>
      <c r="AN1319" s="35"/>
      <c r="AO1319" s="35"/>
      <c r="AP1319" s="35"/>
    </row>
    <row r="1320" spans="1:42" x14ac:dyDescent="0.2">
      <c r="A1320" s="97">
        <v>45247</v>
      </c>
      <c r="B1320" s="28" t="s">
        <v>37</v>
      </c>
      <c r="C1320" s="41" t="s">
        <v>118</v>
      </c>
      <c r="D1320" s="26" t="s">
        <v>36</v>
      </c>
      <c r="E1320" s="26" t="s">
        <v>139</v>
      </c>
      <c r="F1320" s="26" t="s">
        <v>3112</v>
      </c>
      <c r="G1320" s="26" t="s">
        <v>108</v>
      </c>
      <c r="H1320" s="26" t="s">
        <v>4362</v>
      </c>
      <c r="I1320" s="17">
        <f ca="1">IFERROR(__xludf.DUMMYFUNCTION("""COMPUTED_VALUE"""),45257)</f>
        <v>45257</v>
      </c>
      <c r="J1320" s="29" t="s">
        <v>5167</v>
      </c>
      <c r="K1320" s="26" t="s">
        <v>5168</v>
      </c>
      <c r="L1320" s="30">
        <v>394526833</v>
      </c>
      <c r="M1320" s="26" t="s">
        <v>80</v>
      </c>
      <c r="N1320" s="26" t="s">
        <v>186</v>
      </c>
      <c r="O1320" s="26" t="s">
        <v>5169</v>
      </c>
      <c r="P1320" s="26" t="s">
        <v>2641</v>
      </c>
      <c r="Q1320" s="20">
        <v>15936</v>
      </c>
      <c r="R1320" s="26" t="s">
        <v>36</v>
      </c>
      <c r="S1320" s="31">
        <v>4000</v>
      </c>
      <c r="T1320" s="32">
        <v>45196</v>
      </c>
      <c r="U1320" s="31">
        <v>11936</v>
      </c>
      <c r="V1320" s="32">
        <v>45235</v>
      </c>
      <c r="W1320" s="33" t="s">
        <v>5170</v>
      </c>
      <c r="X1320" s="26"/>
      <c r="Y1320" s="22">
        <v>0</v>
      </c>
      <c r="Z1320" s="26" t="s">
        <v>118</v>
      </c>
      <c r="AA1320" s="19" t="s">
        <v>5785</v>
      </c>
      <c r="AB1320" s="26" t="s">
        <v>128</v>
      </c>
      <c r="AC1320" s="26" t="s">
        <v>53</v>
      </c>
      <c r="AD1320" s="19" t="s">
        <v>138</v>
      </c>
      <c r="AE1320" s="26" t="s">
        <v>3112</v>
      </c>
      <c r="AF1320" s="43">
        <v>45257</v>
      </c>
      <c r="AG1320" s="26" t="s">
        <v>3399</v>
      </c>
      <c r="AH1320" s="26"/>
      <c r="AI1320" s="40" t="s">
        <v>147</v>
      </c>
      <c r="AJ1320" s="26"/>
      <c r="AK1320" s="26"/>
      <c r="AL1320" s="35"/>
      <c r="AM1320" s="35"/>
      <c r="AN1320" s="35"/>
      <c r="AO1320" s="35"/>
      <c r="AP1320" s="35"/>
    </row>
    <row r="1321" spans="1:42" x14ac:dyDescent="0.2">
      <c r="A1321" s="27">
        <v>45247.450392465282</v>
      </c>
      <c r="B1321" s="28" t="s">
        <v>37</v>
      </c>
      <c r="C1321" s="41" t="s">
        <v>118</v>
      </c>
      <c r="D1321" s="26" t="s">
        <v>36</v>
      </c>
      <c r="E1321" s="26" t="s">
        <v>39</v>
      </c>
      <c r="F1321" s="26" t="s">
        <v>3112</v>
      </c>
      <c r="G1321" s="26" t="s">
        <v>108</v>
      </c>
      <c r="H1321" s="26" t="s">
        <v>4362</v>
      </c>
      <c r="I1321" s="17">
        <f ca="1">IFERROR(__xludf.DUMMYFUNCTION("""COMPUTED_VALUE"""),45257)</f>
        <v>45257</v>
      </c>
      <c r="J1321" s="29" t="s">
        <v>5900</v>
      </c>
      <c r="K1321" s="26" t="s">
        <v>5901</v>
      </c>
      <c r="L1321" s="30">
        <v>363304705</v>
      </c>
      <c r="M1321" s="26" t="s">
        <v>112</v>
      </c>
      <c r="N1321" s="26" t="s">
        <v>3330</v>
      </c>
      <c r="O1321" s="26" t="s">
        <v>134</v>
      </c>
      <c r="P1321" s="26" t="s">
        <v>2641</v>
      </c>
      <c r="Q1321" s="20">
        <v>5736</v>
      </c>
      <c r="R1321" s="26" t="s">
        <v>36</v>
      </c>
      <c r="S1321" s="31">
        <v>2000</v>
      </c>
      <c r="T1321" s="32">
        <v>45195</v>
      </c>
      <c r="U1321" s="31">
        <v>3736</v>
      </c>
      <c r="V1321" s="32">
        <v>45222</v>
      </c>
      <c r="W1321" s="33" t="s">
        <v>5902</v>
      </c>
      <c r="X1321" s="26"/>
      <c r="Y1321" s="22">
        <v>0</v>
      </c>
      <c r="Z1321" s="26" t="s">
        <v>118</v>
      </c>
      <c r="AA1321" s="19" t="s">
        <v>5785</v>
      </c>
      <c r="AB1321" s="26" t="s">
        <v>137</v>
      </c>
      <c r="AC1321" s="26" t="s">
        <v>53</v>
      </c>
      <c r="AD1321" s="19" t="s">
        <v>138</v>
      </c>
      <c r="AE1321" s="26" t="s">
        <v>3112</v>
      </c>
      <c r="AF1321" s="43">
        <v>45257</v>
      </c>
      <c r="AG1321" s="26" t="s">
        <v>3399</v>
      </c>
      <c r="AH1321" s="26"/>
      <c r="AI1321" s="40" t="s">
        <v>55</v>
      </c>
      <c r="AJ1321" s="26"/>
      <c r="AK1321" s="26"/>
      <c r="AL1321" s="35"/>
      <c r="AM1321" s="35"/>
      <c r="AN1321" s="35"/>
      <c r="AO1321" s="35"/>
      <c r="AP1321" s="35"/>
    </row>
    <row r="1322" spans="1:42" x14ac:dyDescent="0.2">
      <c r="A1322" s="27">
        <v>45247.482793090283</v>
      </c>
      <c r="B1322" s="28" t="s">
        <v>37</v>
      </c>
      <c r="C1322" s="41" t="s">
        <v>118</v>
      </c>
      <c r="D1322" s="26" t="s">
        <v>36</v>
      </c>
      <c r="E1322" s="26" t="s">
        <v>139</v>
      </c>
      <c r="F1322" s="26" t="s">
        <v>3112</v>
      </c>
      <c r="G1322" s="26" t="s">
        <v>108</v>
      </c>
      <c r="H1322" s="26" t="s">
        <v>4362</v>
      </c>
      <c r="I1322" s="17">
        <f ca="1">IFERROR(__xludf.DUMMYFUNCTION("""COMPUTED_VALUE"""),45257)</f>
        <v>45257</v>
      </c>
      <c r="J1322" s="29" t="s">
        <v>3822</v>
      </c>
      <c r="K1322" s="26" t="s">
        <v>5903</v>
      </c>
      <c r="L1322" s="30">
        <v>325407382</v>
      </c>
      <c r="M1322" s="26" t="s">
        <v>80</v>
      </c>
      <c r="N1322" s="26" t="s">
        <v>186</v>
      </c>
      <c r="O1322" s="26" t="s">
        <v>3824</v>
      </c>
      <c r="P1322" s="26" t="s">
        <v>2641</v>
      </c>
      <c r="Q1322" s="20">
        <v>15936</v>
      </c>
      <c r="R1322" s="26" t="s">
        <v>3825</v>
      </c>
      <c r="S1322" s="31">
        <v>2000</v>
      </c>
      <c r="T1322" s="32">
        <v>45193</v>
      </c>
      <c r="U1322" s="31">
        <v>13736</v>
      </c>
      <c r="V1322" s="32">
        <v>45219</v>
      </c>
      <c r="W1322" s="33" t="s">
        <v>3826</v>
      </c>
      <c r="X1322" s="26"/>
      <c r="Y1322" s="22">
        <v>200</v>
      </c>
      <c r="Z1322" s="26" t="s">
        <v>118</v>
      </c>
      <c r="AA1322" s="19" t="s">
        <v>5785</v>
      </c>
      <c r="AB1322" s="26" t="s">
        <v>137</v>
      </c>
      <c r="AC1322" s="26" t="s">
        <v>53</v>
      </c>
      <c r="AD1322" s="19" t="s">
        <v>138</v>
      </c>
      <c r="AE1322" s="26" t="s">
        <v>3112</v>
      </c>
      <c r="AF1322" s="43">
        <v>45257</v>
      </c>
      <c r="AG1322" s="26" t="s">
        <v>3399</v>
      </c>
      <c r="AH1322" s="26"/>
      <c r="AI1322" s="40" t="s">
        <v>147</v>
      </c>
      <c r="AJ1322" s="26"/>
      <c r="AK1322" s="26"/>
      <c r="AL1322" s="35"/>
      <c r="AM1322" s="35"/>
      <c r="AN1322" s="35"/>
      <c r="AO1322" s="35"/>
      <c r="AP1322" s="35"/>
    </row>
    <row r="1323" spans="1:42" x14ac:dyDescent="0.2">
      <c r="A1323" s="27">
        <v>45247.544149050926</v>
      </c>
      <c r="B1323" s="28" t="s">
        <v>37</v>
      </c>
      <c r="C1323" s="41" t="s">
        <v>118</v>
      </c>
      <c r="D1323" s="26" t="s">
        <v>36</v>
      </c>
      <c r="E1323" s="26" t="s">
        <v>119</v>
      </c>
      <c r="F1323" s="26" t="s">
        <v>740</v>
      </c>
      <c r="G1323" s="26" t="s">
        <v>221</v>
      </c>
      <c r="H1323" s="26" t="s">
        <v>4982</v>
      </c>
      <c r="I1323" s="17">
        <f ca="1">IFERROR(__xludf.DUMMYFUNCTION("""COMPUTED_VALUE"""),45257)</f>
        <v>45257</v>
      </c>
      <c r="J1323" s="29" t="s">
        <v>2155</v>
      </c>
      <c r="K1323" s="26" t="s">
        <v>5904</v>
      </c>
      <c r="L1323" s="30">
        <v>824048516</v>
      </c>
      <c r="M1323" s="26" t="s">
        <v>123</v>
      </c>
      <c r="N1323" s="26" t="s">
        <v>2157</v>
      </c>
      <c r="O1323" s="67" t="s">
        <v>2158</v>
      </c>
      <c r="P1323" s="26" t="s">
        <v>5905</v>
      </c>
      <c r="Q1323" s="20">
        <v>13968</v>
      </c>
      <c r="R1323" s="26" t="s">
        <v>36</v>
      </c>
      <c r="S1323" s="19">
        <f>500+12779</f>
        <v>13279</v>
      </c>
      <c r="T1323" s="19" t="s">
        <v>2159</v>
      </c>
      <c r="U1323" s="31">
        <v>957</v>
      </c>
      <c r="V1323" s="32">
        <v>45147</v>
      </c>
      <c r="W1323" s="33" t="s">
        <v>2160</v>
      </c>
      <c r="X1323" s="35">
        <v>0</v>
      </c>
      <c r="Y1323" s="22">
        <v>0</v>
      </c>
      <c r="Z1323" s="26" t="s">
        <v>118</v>
      </c>
      <c r="AA1323" s="19" t="s">
        <v>5785</v>
      </c>
      <c r="AB1323" s="26" t="s">
        <v>104</v>
      </c>
      <c r="AC1323" s="26" t="s">
        <v>53</v>
      </c>
      <c r="AD1323" s="19" t="s">
        <v>54</v>
      </c>
      <c r="AE1323" s="26">
        <v>730</v>
      </c>
      <c r="AF1323" s="17">
        <v>45247</v>
      </c>
      <c r="AG1323" s="35" t="s">
        <v>2161</v>
      </c>
      <c r="AH1323" s="26"/>
      <c r="AI1323" s="40">
        <v>4</v>
      </c>
      <c r="AJ1323" s="26"/>
      <c r="AK1323" s="26"/>
      <c r="AL1323" s="35"/>
      <c r="AM1323" s="35"/>
      <c r="AN1323" s="35"/>
      <c r="AO1323" s="35"/>
      <c r="AP1323" s="35"/>
    </row>
    <row r="1324" spans="1:42" x14ac:dyDescent="0.2">
      <c r="A1324" s="27">
        <v>45247.920718773152</v>
      </c>
      <c r="B1324" s="28" t="s">
        <v>37</v>
      </c>
      <c r="C1324" s="41" t="s">
        <v>118</v>
      </c>
      <c r="D1324" s="26" t="s">
        <v>36</v>
      </c>
      <c r="E1324" s="26" t="s">
        <v>119</v>
      </c>
      <c r="F1324" s="26" t="s">
        <v>740</v>
      </c>
      <c r="G1324" s="26" t="s">
        <v>221</v>
      </c>
      <c r="H1324" s="26" t="s">
        <v>4982</v>
      </c>
      <c r="I1324" s="17">
        <f ca="1">IFERROR(__xludf.DUMMYFUNCTION("""COMPUTED_VALUE"""),45257)</f>
        <v>45257</v>
      </c>
      <c r="J1324" s="29" t="s">
        <v>2148</v>
      </c>
      <c r="K1324" s="26" t="s">
        <v>5906</v>
      </c>
      <c r="L1324" s="30">
        <v>826538931</v>
      </c>
      <c r="M1324" s="26" t="s">
        <v>123</v>
      </c>
      <c r="N1324" s="26" t="s">
        <v>124</v>
      </c>
      <c r="O1324" s="67" t="s">
        <v>2150</v>
      </c>
      <c r="P1324" s="72" t="s">
        <v>2151</v>
      </c>
      <c r="Q1324" s="20">
        <v>13968</v>
      </c>
      <c r="R1324" s="26" t="s">
        <v>36</v>
      </c>
      <c r="S1324" s="19">
        <f>500+12679</f>
        <v>13179</v>
      </c>
      <c r="T1324" s="19" t="s">
        <v>2152</v>
      </c>
      <c r="U1324" s="31">
        <v>957</v>
      </c>
      <c r="V1324" s="32">
        <v>45147</v>
      </c>
      <c r="W1324" s="33" t="s">
        <v>2153</v>
      </c>
      <c r="X1324" s="35">
        <v>0</v>
      </c>
      <c r="Y1324" s="22">
        <v>0</v>
      </c>
      <c r="Z1324" s="26" t="s">
        <v>118</v>
      </c>
      <c r="AA1324" s="19" t="s">
        <v>5785</v>
      </c>
      <c r="AB1324" s="26" t="s">
        <v>104</v>
      </c>
      <c r="AC1324" s="26" t="s">
        <v>53</v>
      </c>
      <c r="AD1324" s="19" t="s">
        <v>54</v>
      </c>
      <c r="AE1324" s="26">
        <v>615</v>
      </c>
      <c r="AF1324" s="43">
        <v>45250</v>
      </c>
      <c r="AG1324" s="35" t="s">
        <v>2154</v>
      </c>
      <c r="AH1324" s="26"/>
      <c r="AI1324" s="40">
        <v>4</v>
      </c>
      <c r="AJ1324" s="26"/>
      <c r="AK1324" s="26"/>
      <c r="AL1324" s="35"/>
      <c r="AM1324" s="35"/>
      <c r="AN1324" s="35"/>
      <c r="AO1324" s="35"/>
      <c r="AP1324" s="35"/>
    </row>
    <row r="1325" spans="1:42" x14ac:dyDescent="0.2">
      <c r="A1325" s="27">
        <v>45247.978994409721</v>
      </c>
      <c r="B1325" s="28" t="s">
        <v>37</v>
      </c>
      <c r="C1325" s="41" t="s">
        <v>118</v>
      </c>
      <c r="D1325" s="26" t="s">
        <v>36</v>
      </c>
      <c r="E1325" s="26" t="s">
        <v>139</v>
      </c>
      <c r="F1325" s="26" t="s">
        <v>2760</v>
      </c>
      <c r="G1325" s="26" t="s">
        <v>108</v>
      </c>
      <c r="H1325" s="26" t="s">
        <v>5037</v>
      </c>
      <c r="I1325" s="17">
        <f ca="1">IFERROR(__xludf.DUMMYFUNCTION("""COMPUTED_VALUE"""),45391)</f>
        <v>45391</v>
      </c>
      <c r="J1325" s="44" t="s">
        <v>5907</v>
      </c>
      <c r="K1325" s="26" t="s">
        <v>5908</v>
      </c>
      <c r="L1325" s="30">
        <v>971434958</v>
      </c>
      <c r="M1325" s="26" t="s">
        <v>112</v>
      </c>
      <c r="N1325" s="26" t="s">
        <v>3330</v>
      </c>
      <c r="O1325" s="26" t="s">
        <v>3711</v>
      </c>
      <c r="P1325" s="26" t="s">
        <v>5909</v>
      </c>
      <c r="Q1325" s="20">
        <v>15936</v>
      </c>
      <c r="R1325" s="26" t="s">
        <v>36</v>
      </c>
      <c r="S1325" s="31">
        <v>2000</v>
      </c>
      <c r="T1325" s="32">
        <v>45188</v>
      </c>
      <c r="U1325" s="31">
        <v>13968</v>
      </c>
      <c r="V1325" s="32">
        <v>45216</v>
      </c>
      <c r="W1325" s="26"/>
      <c r="X1325" s="26"/>
      <c r="Y1325" s="22">
        <v>-32</v>
      </c>
      <c r="Z1325" s="26" t="s">
        <v>118</v>
      </c>
      <c r="AA1325" s="19" t="s">
        <v>5785</v>
      </c>
      <c r="AB1325" s="26" t="s">
        <v>137</v>
      </c>
      <c r="AC1325" s="26" t="s">
        <v>53</v>
      </c>
      <c r="AD1325" s="19" t="s">
        <v>54</v>
      </c>
      <c r="AE1325" s="26" t="s">
        <v>4898</v>
      </c>
      <c r="AF1325" s="43">
        <v>45250</v>
      </c>
      <c r="AG1325" s="26"/>
      <c r="AH1325" s="26"/>
      <c r="AI1325" s="40" t="s">
        <v>147</v>
      </c>
      <c r="AJ1325" s="26"/>
      <c r="AK1325" s="26"/>
      <c r="AL1325" s="35"/>
      <c r="AM1325" s="35"/>
      <c r="AN1325" s="35"/>
      <c r="AO1325" s="35"/>
      <c r="AP1325" s="35"/>
    </row>
    <row r="1326" spans="1:42" x14ac:dyDescent="0.2">
      <c r="A1326" s="27">
        <v>45247.982587916667</v>
      </c>
      <c r="B1326" s="28" t="s">
        <v>37</v>
      </c>
      <c r="C1326" s="41" t="s">
        <v>118</v>
      </c>
      <c r="D1326" s="26" t="s">
        <v>36</v>
      </c>
      <c r="E1326" s="26" t="s">
        <v>139</v>
      </c>
      <c r="F1326" s="26" t="s">
        <v>2760</v>
      </c>
      <c r="G1326" s="26" t="s">
        <v>108</v>
      </c>
      <c r="H1326" s="26" t="s">
        <v>3181</v>
      </c>
      <c r="I1326" s="17">
        <f ca="1">IFERROR(__xludf.DUMMYFUNCTION("""COMPUTED_VALUE"""),45257)</f>
        <v>45257</v>
      </c>
      <c r="J1326" s="29" t="s">
        <v>3799</v>
      </c>
      <c r="K1326" s="26" t="s">
        <v>3800</v>
      </c>
      <c r="L1326" s="30">
        <v>398985762</v>
      </c>
      <c r="M1326" s="26" t="s">
        <v>123</v>
      </c>
      <c r="N1326" s="26" t="s">
        <v>850</v>
      </c>
      <c r="O1326" s="26" t="s">
        <v>125</v>
      </c>
      <c r="P1326" s="26" t="s">
        <v>5910</v>
      </c>
      <c r="Q1326" s="20">
        <v>15936</v>
      </c>
      <c r="R1326" s="26" t="s">
        <v>36</v>
      </c>
      <c r="S1326" s="31">
        <v>200</v>
      </c>
      <c r="T1326" s="32">
        <v>45185</v>
      </c>
      <c r="U1326" s="31">
        <f>2000+13736</f>
        <v>15736</v>
      </c>
      <c r="V1326" s="26" t="s">
        <v>3802</v>
      </c>
      <c r="W1326" s="26" t="s">
        <v>3803</v>
      </c>
      <c r="X1326" s="26"/>
      <c r="Y1326" s="22">
        <v>0</v>
      </c>
      <c r="Z1326" s="26" t="s">
        <v>118</v>
      </c>
      <c r="AA1326" s="19" t="s">
        <v>5785</v>
      </c>
      <c r="AB1326" s="26" t="s">
        <v>137</v>
      </c>
      <c r="AC1326" s="26" t="s">
        <v>53</v>
      </c>
      <c r="AD1326" s="19" t="s">
        <v>54</v>
      </c>
      <c r="AE1326" s="26" t="s">
        <v>5866</v>
      </c>
      <c r="AF1326" s="43">
        <v>45250</v>
      </c>
      <c r="AG1326" s="26"/>
      <c r="AH1326" s="26"/>
      <c r="AI1326" s="40" t="s">
        <v>147</v>
      </c>
      <c r="AJ1326" s="26"/>
      <c r="AK1326" s="26"/>
      <c r="AL1326" s="35"/>
      <c r="AM1326" s="35"/>
      <c r="AN1326" s="35"/>
      <c r="AO1326" s="35"/>
      <c r="AP1326" s="35"/>
    </row>
    <row r="1327" spans="1:42" x14ac:dyDescent="0.2">
      <c r="A1327" s="27">
        <v>45247.990597743061</v>
      </c>
      <c r="B1327" s="28" t="s">
        <v>37</v>
      </c>
      <c r="C1327" s="41" t="s">
        <v>118</v>
      </c>
      <c r="D1327" s="26" t="s">
        <v>36</v>
      </c>
      <c r="E1327" s="26" t="s">
        <v>39</v>
      </c>
      <c r="F1327" s="26" t="s">
        <v>2760</v>
      </c>
      <c r="G1327" s="26" t="s">
        <v>108</v>
      </c>
      <c r="H1327" s="26" t="s">
        <v>2393</v>
      </c>
      <c r="I1327" s="17">
        <f ca="1">IFERROR(__xludf.DUMMYFUNCTION("""COMPUTED_VALUE"""),45257)</f>
        <v>45257</v>
      </c>
      <c r="J1327" s="29" t="s">
        <v>2761</v>
      </c>
      <c r="K1327" s="26" t="s">
        <v>5911</v>
      </c>
      <c r="L1327" s="30">
        <v>395928168</v>
      </c>
      <c r="M1327" s="26" t="s">
        <v>112</v>
      </c>
      <c r="N1327" s="26" t="s">
        <v>2157</v>
      </c>
      <c r="O1327" s="26" t="s">
        <v>3754</v>
      </c>
      <c r="P1327" s="26" t="s">
        <v>5912</v>
      </c>
      <c r="Q1327" s="20">
        <v>5736</v>
      </c>
      <c r="R1327" s="26" t="s">
        <v>36</v>
      </c>
      <c r="S1327" s="31">
        <v>5736</v>
      </c>
      <c r="T1327" s="32">
        <v>45177</v>
      </c>
      <c r="U1327" s="31"/>
      <c r="V1327" s="32"/>
      <c r="W1327" s="26"/>
      <c r="X1327" s="26"/>
      <c r="Y1327" s="22">
        <v>0</v>
      </c>
      <c r="Z1327" s="26" t="s">
        <v>118</v>
      </c>
      <c r="AA1327" s="19" t="s">
        <v>5785</v>
      </c>
      <c r="AB1327" s="26" t="s">
        <v>137</v>
      </c>
      <c r="AC1327" s="26" t="s">
        <v>53</v>
      </c>
      <c r="AD1327" s="19" t="s">
        <v>54</v>
      </c>
      <c r="AE1327" s="26" t="s">
        <v>4916</v>
      </c>
      <c r="AF1327" s="43">
        <v>45250</v>
      </c>
      <c r="AG1327" s="26"/>
      <c r="AH1327" s="26"/>
      <c r="AI1327" s="40" t="s">
        <v>55</v>
      </c>
      <c r="AJ1327" s="26"/>
      <c r="AK1327" s="26"/>
      <c r="AL1327" s="35"/>
      <c r="AM1327" s="35"/>
      <c r="AN1327" s="35"/>
      <c r="AO1327" s="35"/>
      <c r="AP1327" s="35"/>
    </row>
    <row r="1328" spans="1:42" x14ac:dyDescent="0.2">
      <c r="A1328" s="27">
        <v>45249.520891608801</v>
      </c>
      <c r="B1328" s="28" t="s">
        <v>37</v>
      </c>
      <c r="C1328" s="41" t="s">
        <v>118</v>
      </c>
      <c r="D1328" s="26" t="s">
        <v>36</v>
      </c>
      <c r="E1328" s="26" t="s">
        <v>139</v>
      </c>
      <c r="F1328" s="26" t="s">
        <v>2889</v>
      </c>
      <c r="G1328" s="26" t="s">
        <v>108</v>
      </c>
      <c r="H1328" s="26" t="s">
        <v>4984</v>
      </c>
      <c r="I1328" s="17">
        <f ca="1">IFERROR(__xludf.DUMMYFUNCTION("""COMPUTED_VALUE"""),45264)</f>
        <v>45264</v>
      </c>
      <c r="J1328" s="29" t="s">
        <v>3726</v>
      </c>
      <c r="K1328" s="26" t="s">
        <v>3727</v>
      </c>
      <c r="L1328" s="30">
        <v>984104416</v>
      </c>
      <c r="M1328" s="26" t="s">
        <v>112</v>
      </c>
      <c r="N1328" s="26" t="s">
        <v>113</v>
      </c>
      <c r="O1328" s="26" t="s">
        <v>3729</v>
      </c>
      <c r="P1328" s="26" t="s">
        <v>5601</v>
      </c>
      <c r="Q1328" s="20">
        <v>15936</v>
      </c>
      <c r="R1328" s="26" t="s">
        <v>36</v>
      </c>
      <c r="S1328" s="31">
        <v>2000</v>
      </c>
      <c r="T1328" s="32">
        <v>45188</v>
      </c>
      <c r="U1328" s="31">
        <v>13936</v>
      </c>
      <c r="V1328" s="32">
        <v>45218</v>
      </c>
      <c r="W1328" s="26"/>
      <c r="X1328" s="26"/>
      <c r="Y1328" s="22">
        <v>0</v>
      </c>
      <c r="Z1328" s="26" t="s">
        <v>118</v>
      </c>
      <c r="AA1328" s="19" t="s">
        <v>5785</v>
      </c>
      <c r="AB1328" s="26" t="s">
        <v>128</v>
      </c>
      <c r="AC1328" s="26"/>
      <c r="AD1328" s="19" t="s">
        <v>138</v>
      </c>
      <c r="AE1328" s="26" t="s">
        <v>2889</v>
      </c>
      <c r="AF1328" s="17">
        <v>45264</v>
      </c>
      <c r="AG1328" s="26" t="s">
        <v>1362</v>
      </c>
      <c r="AH1328" s="26"/>
      <c r="AI1328" s="40" t="s">
        <v>147</v>
      </c>
      <c r="AJ1328" s="26"/>
      <c r="AK1328" s="26"/>
      <c r="AL1328" s="35"/>
      <c r="AM1328" s="35"/>
      <c r="AN1328" s="35"/>
      <c r="AO1328" s="35"/>
      <c r="AP1328" s="35"/>
    </row>
    <row r="1329" spans="1:42" x14ac:dyDescent="0.2">
      <c r="A1329" s="27">
        <v>45249.535021874995</v>
      </c>
      <c r="B1329" s="28" t="s">
        <v>37</v>
      </c>
      <c r="C1329" s="41" t="s">
        <v>118</v>
      </c>
      <c r="D1329" s="26" t="s">
        <v>36</v>
      </c>
      <c r="E1329" s="26" t="s">
        <v>139</v>
      </c>
      <c r="F1329" s="26" t="s">
        <v>3112</v>
      </c>
      <c r="G1329" s="26" t="s">
        <v>108</v>
      </c>
      <c r="H1329" s="26" t="s">
        <v>4362</v>
      </c>
      <c r="I1329" s="17">
        <f ca="1">IFERROR(__xludf.DUMMYFUNCTION("""COMPUTED_VALUE"""),45257)</f>
        <v>45257</v>
      </c>
      <c r="J1329" s="29" t="s">
        <v>3812</v>
      </c>
      <c r="K1329" s="26" t="s">
        <v>5913</v>
      </c>
      <c r="L1329" s="30">
        <v>869261465</v>
      </c>
      <c r="M1329" s="26" t="s">
        <v>80</v>
      </c>
      <c r="N1329" s="26" t="s">
        <v>186</v>
      </c>
      <c r="O1329" s="26" t="s">
        <v>3814</v>
      </c>
      <c r="P1329" s="26" t="s">
        <v>3815</v>
      </c>
      <c r="Q1329" s="20">
        <v>15936</v>
      </c>
      <c r="R1329" s="26" t="s">
        <v>36</v>
      </c>
      <c r="S1329" s="31">
        <v>4000</v>
      </c>
      <c r="T1329" s="32">
        <v>45192</v>
      </c>
      <c r="U1329" s="31">
        <v>11936</v>
      </c>
      <c r="V1329" s="32">
        <v>45220</v>
      </c>
      <c r="W1329" s="33" t="s">
        <v>3816</v>
      </c>
      <c r="X1329" s="26"/>
      <c r="Y1329" s="22">
        <v>0</v>
      </c>
      <c r="Z1329" s="26" t="s">
        <v>118</v>
      </c>
      <c r="AA1329" s="19" t="s">
        <v>5785</v>
      </c>
      <c r="AB1329" s="26" t="s">
        <v>137</v>
      </c>
      <c r="AC1329" s="26" t="s">
        <v>53</v>
      </c>
      <c r="AD1329" s="19" t="s">
        <v>138</v>
      </c>
      <c r="AE1329" s="26" t="s">
        <v>3112</v>
      </c>
      <c r="AF1329" s="43">
        <v>45257</v>
      </c>
      <c r="AG1329" s="26" t="s">
        <v>3399</v>
      </c>
      <c r="AH1329" s="26"/>
      <c r="AI1329" s="40" t="s">
        <v>147</v>
      </c>
      <c r="AJ1329" s="26"/>
      <c r="AK1329" s="26"/>
      <c r="AL1329" s="35"/>
      <c r="AM1329" s="35"/>
      <c r="AN1329" s="35"/>
      <c r="AO1329" s="35"/>
      <c r="AP1329" s="35"/>
    </row>
    <row r="1330" spans="1:42" x14ac:dyDescent="0.2">
      <c r="A1330" s="27">
        <v>45249.537904548612</v>
      </c>
      <c r="B1330" s="28" t="s">
        <v>37</v>
      </c>
      <c r="C1330" s="41" t="s">
        <v>118</v>
      </c>
      <c r="D1330" s="26" t="s">
        <v>36</v>
      </c>
      <c r="E1330" s="26" t="s">
        <v>139</v>
      </c>
      <c r="F1330" s="26" t="s">
        <v>3112</v>
      </c>
      <c r="G1330" s="26" t="s">
        <v>108</v>
      </c>
      <c r="H1330" s="26" t="s">
        <v>4362</v>
      </c>
      <c r="I1330" s="17">
        <f ca="1">IFERROR(__xludf.DUMMYFUNCTION("""COMPUTED_VALUE"""),45257)</f>
        <v>45257</v>
      </c>
      <c r="J1330" s="29" t="s">
        <v>3827</v>
      </c>
      <c r="K1330" s="26" t="s">
        <v>3828</v>
      </c>
      <c r="L1330" s="30">
        <v>865113566</v>
      </c>
      <c r="M1330" s="26" t="s">
        <v>80</v>
      </c>
      <c r="N1330" s="26" t="s">
        <v>186</v>
      </c>
      <c r="O1330" s="26" t="s">
        <v>143</v>
      </c>
      <c r="P1330" s="26" t="s">
        <v>3178</v>
      </c>
      <c r="Q1330" s="20">
        <v>15936</v>
      </c>
      <c r="R1330" s="26" t="s">
        <v>3825</v>
      </c>
      <c r="S1330" s="31">
        <v>2000</v>
      </c>
      <c r="T1330" s="32">
        <v>45193</v>
      </c>
      <c r="U1330" s="31">
        <v>13736</v>
      </c>
      <c r="V1330" s="32">
        <v>45221</v>
      </c>
      <c r="W1330" s="33" t="s">
        <v>3829</v>
      </c>
      <c r="X1330" s="26"/>
      <c r="Y1330" s="22">
        <v>200</v>
      </c>
      <c r="Z1330" s="26" t="s">
        <v>118</v>
      </c>
      <c r="AA1330" s="19" t="s">
        <v>5785</v>
      </c>
      <c r="AB1330" s="26" t="s">
        <v>137</v>
      </c>
      <c r="AC1330" s="26" t="s">
        <v>53</v>
      </c>
      <c r="AD1330" s="19" t="s">
        <v>138</v>
      </c>
      <c r="AE1330" s="26" t="s">
        <v>3112</v>
      </c>
      <c r="AF1330" s="43">
        <v>45257</v>
      </c>
      <c r="AG1330" s="26" t="s">
        <v>3399</v>
      </c>
      <c r="AH1330" s="26"/>
      <c r="AI1330" s="40" t="s">
        <v>147</v>
      </c>
      <c r="AJ1330" s="26"/>
      <c r="AK1330" s="26"/>
      <c r="AL1330" s="35"/>
      <c r="AM1330" s="35"/>
      <c r="AN1330" s="35"/>
      <c r="AO1330" s="35"/>
      <c r="AP1330" s="35"/>
    </row>
    <row r="1331" spans="1:42" x14ac:dyDescent="0.2">
      <c r="A1331" s="27">
        <v>45249.754066331021</v>
      </c>
      <c r="B1331" s="28" t="s">
        <v>37</v>
      </c>
      <c r="C1331" s="41" t="s">
        <v>118</v>
      </c>
      <c r="D1331" s="26" t="s">
        <v>36</v>
      </c>
      <c r="E1331" s="26" t="s">
        <v>139</v>
      </c>
      <c r="F1331" s="26" t="s">
        <v>3112</v>
      </c>
      <c r="G1331" s="26" t="s">
        <v>108</v>
      </c>
      <c r="H1331" s="26" t="s">
        <v>4362</v>
      </c>
      <c r="I1331" s="17">
        <f ca="1">IFERROR(__xludf.DUMMYFUNCTION("""COMPUTED_VALUE"""),45257)</f>
        <v>45257</v>
      </c>
      <c r="J1331" s="29" t="s">
        <v>3113</v>
      </c>
      <c r="K1331" s="26" t="s">
        <v>3114</v>
      </c>
      <c r="L1331" s="30">
        <v>988898521</v>
      </c>
      <c r="M1331" s="26" t="s">
        <v>112</v>
      </c>
      <c r="N1331" s="26" t="s">
        <v>3330</v>
      </c>
      <c r="O1331" s="26" t="s">
        <v>3116</v>
      </c>
      <c r="P1331" s="26" t="s">
        <v>2641</v>
      </c>
      <c r="Q1331" s="20">
        <v>15936</v>
      </c>
      <c r="R1331" s="26" t="s">
        <v>70</v>
      </c>
      <c r="S1331" s="31">
        <v>15836</v>
      </c>
      <c r="T1331" s="32">
        <v>45195</v>
      </c>
      <c r="U1331" s="31"/>
      <c r="V1331" s="32"/>
      <c r="W1331" s="33" t="s">
        <v>3118</v>
      </c>
      <c r="X1331" s="26"/>
      <c r="Y1331" s="22">
        <v>100</v>
      </c>
      <c r="Z1331" s="26" t="s">
        <v>118</v>
      </c>
      <c r="AA1331" s="19" t="s">
        <v>5785</v>
      </c>
      <c r="AB1331" s="26" t="s">
        <v>137</v>
      </c>
      <c r="AC1331" s="26" t="s">
        <v>53</v>
      </c>
      <c r="AD1331" s="19" t="s">
        <v>138</v>
      </c>
      <c r="AE1331" s="26" t="s">
        <v>3112</v>
      </c>
      <c r="AF1331" s="43">
        <v>45257</v>
      </c>
      <c r="AG1331" s="26" t="s">
        <v>3399</v>
      </c>
      <c r="AH1331" s="26"/>
      <c r="AI1331" s="40" t="s">
        <v>147</v>
      </c>
      <c r="AJ1331" s="26"/>
      <c r="AK1331" s="26"/>
      <c r="AL1331" s="35"/>
      <c r="AM1331" s="35"/>
      <c r="AN1331" s="35"/>
      <c r="AO1331" s="35"/>
      <c r="AP1331" s="35"/>
    </row>
    <row r="1332" spans="1:42" x14ac:dyDescent="0.2">
      <c r="A1332" s="27">
        <v>45249.760939027779</v>
      </c>
      <c r="B1332" s="28" t="s">
        <v>37</v>
      </c>
      <c r="C1332" s="41" t="s">
        <v>118</v>
      </c>
      <c r="D1332" s="26" t="s">
        <v>36</v>
      </c>
      <c r="E1332" s="26" t="s">
        <v>139</v>
      </c>
      <c r="F1332" s="26" t="s">
        <v>3112</v>
      </c>
      <c r="G1332" s="26" t="s">
        <v>108</v>
      </c>
      <c r="H1332" s="26" t="s">
        <v>4362</v>
      </c>
      <c r="I1332" s="17">
        <f ca="1">IFERROR(__xludf.DUMMYFUNCTION("""COMPUTED_VALUE"""),45257)</f>
        <v>45257</v>
      </c>
      <c r="J1332" s="29" t="s">
        <v>3233</v>
      </c>
      <c r="K1332" s="26" t="s">
        <v>5914</v>
      </c>
      <c r="L1332" s="30">
        <v>857005487</v>
      </c>
      <c r="M1332" s="26" t="s">
        <v>112</v>
      </c>
      <c r="N1332" s="26" t="s">
        <v>3330</v>
      </c>
      <c r="O1332" s="26" t="s">
        <v>3235</v>
      </c>
      <c r="P1332" s="26" t="s">
        <v>3236</v>
      </c>
      <c r="Q1332" s="20">
        <v>15936</v>
      </c>
      <c r="R1332" s="26" t="s">
        <v>70</v>
      </c>
      <c r="S1332" s="31">
        <v>15836</v>
      </c>
      <c r="T1332" s="32">
        <v>45198</v>
      </c>
      <c r="U1332" s="31"/>
      <c r="V1332" s="32"/>
      <c r="W1332" s="33" t="s">
        <v>3237</v>
      </c>
      <c r="X1332" s="26"/>
      <c r="Y1332" s="22">
        <v>100</v>
      </c>
      <c r="Z1332" s="26" t="s">
        <v>118</v>
      </c>
      <c r="AA1332" s="19" t="s">
        <v>5785</v>
      </c>
      <c r="AB1332" s="26" t="s">
        <v>137</v>
      </c>
      <c r="AC1332" s="26" t="s">
        <v>53</v>
      </c>
      <c r="AD1332" s="19" t="s">
        <v>138</v>
      </c>
      <c r="AE1332" s="26" t="s">
        <v>3112</v>
      </c>
      <c r="AF1332" s="43">
        <v>45257</v>
      </c>
      <c r="AG1332" s="26" t="s">
        <v>3399</v>
      </c>
      <c r="AH1332" s="26"/>
      <c r="AI1332" s="40" t="s">
        <v>147</v>
      </c>
      <c r="AJ1332" s="26"/>
      <c r="AK1332" s="26"/>
      <c r="AL1332" s="35"/>
      <c r="AM1332" s="35"/>
      <c r="AN1332" s="35"/>
      <c r="AO1332" s="35"/>
      <c r="AP1332" s="35"/>
    </row>
    <row r="1333" spans="1:42" x14ac:dyDescent="0.2">
      <c r="A1333" s="27">
        <v>45249.764660081019</v>
      </c>
      <c r="B1333" s="28" t="s">
        <v>37</v>
      </c>
      <c r="C1333" s="41" t="s">
        <v>118</v>
      </c>
      <c r="D1333" s="26" t="s">
        <v>36</v>
      </c>
      <c r="E1333" s="26" t="s">
        <v>39</v>
      </c>
      <c r="F1333" s="26" t="s">
        <v>3112</v>
      </c>
      <c r="G1333" s="26" t="s">
        <v>108</v>
      </c>
      <c r="H1333" s="26" t="s">
        <v>4362</v>
      </c>
      <c r="I1333" s="17">
        <f ca="1">IFERROR(__xludf.DUMMYFUNCTION("""COMPUTED_VALUE"""),45257)</f>
        <v>45257</v>
      </c>
      <c r="J1333" s="29" t="s">
        <v>5176</v>
      </c>
      <c r="K1333" s="26" t="s">
        <v>5177</v>
      </c>
      <c r="L1333" s="30">
        <v>911375319</v>
      </c>
      <c r="M1333" s="26" t="s">
        <v>112</v>
      </c>
      <c r="N1333" s="26" t="s">
        <v>2157</v>
      </c>
      <c r="O1333" s="26" t="s">
        <v>134</v>
      </c>
      <c r="P1333" s="26" t="s">
        <v>3178</v>
      </c>
      <c r="Q1333" s="20">
        <v>5736</v>
      </c>
      <c r="R1333" s="26" t="s">
        <v>36</v>
      </c>
      <c r="S1333" s="31">
        <v>200</v>
      </c>
      <c r="T1333" s="32">
        <v>45191</v>
      </c>
      <c r="U1333" s="31">
        <f>3800+1736</f>
        <v>5536</v>
      </c>
      <c r="V1333" s="26" t="s">
        <v>5179</v>
      </c>
      <c r="W1333" s="26" t="s">
        <v>5180</v>
      </c>
      <c r="X1333" s="26"/>
      <c r="Y1333" s="22">
        <v>0</v>
      </c>
      <c r="Z1333" s="26" t="s">
        <v>118</v>
      </c>
      <c r="AA1333" s="19" t="s">
        <v>5785</v>
      </c>
      <c r="AB1333" s="26" t="s">
        <v>137</v>
      </c>
      <c r="AC1333" s="26" t="s">
        <v>53</v>
      </c>
      <c r="AD1333" s="19" t="s">
        <v>138</v>
      </c>
      <c r="AE1333" s="26" t="s">
        <v>3112</v>
      </c>
      <c r="AF1333" s="43">
        <v>45257</v>
      </c>
      <c r="AG1333" s="26" t="s">
        <v>3399</v>
      </c>
      <c r="AH1333" s="26"/>
      <c r="AI1333" s="40" t="s">
        <v>55</v>
      </c>
      <c r="AJ1333" s="26" t="s">
        <v>5181</v>
      </c>
      <c r="AK1333" s="26"/>
      <c r="AL1333" s="35"/>
      <c r="AM1333" s="35"/>
      <c r="AN1333" s="35"/>
      <c r="AO1333" s="35"/>
      <c r="AP1333" s="35"/>
    </row>
    <row r="1334" spans="1:42" x14ac:dyDescent="0.2">
      <c r="A1334" s="27">
        <v>45249.774013113427</v>
      </c>
      <c r="B1334" s="28" t="s">
        <v>37</v>
      </c>
      <c r="C1334" s="41" t="s">
        <v>118</v>
      </c>
      <c r="D1334" s="26" t="s">
        <v>36</v>
      </c>
      <c r="E1334" s="26" t="s">
        <v>139</v>
      </c>
      <c r="F1334" s="26" t="s">
        <v>3112</v>
      </c>
      <c r="G1334" s="26" t="s">
        <v>108</v>
      </c>
      <c r="H1334" s="26" t="s">
        <v>4362</v>
      </c>
      <c r="I1334" s="17">
        <f ca="1">IFERROR(__xludf.DUMMYFUNCTION("""COMPUTED_VALUE"""),45257)</f>
        <v>45257</v>
      </c>
      <c r="J1334" s="29" t="s">
        <v>3834</v>
      </c>
      <c r="K1334" s="26" t="s">
        <v>3835</v>
      </c>
      <c r="L1334" s="30">
        <v>777930784</v>
      </c>
      <c r="M1334" s="26" t="s">
        <v>80</v>
      </c>
      <c r="N1334" s="26" t="s">
        <v>186</v>
      </c>
      <c r="O1334" s="26" t="s">
        <v>3836</v>
      </c>
      <c r="P1334" s="26" t="s">
        <v>2641</v>
      </c>
      <c r="Q1334" s="20">
        <v>15936</v>
      </c>
      <c r="R1334" s="26" t="s">
        <v>3825</v>
      </c>
      <c r="S1334" s="31">
        <v>2000</v>
      </c>
      <c r="T1334" s="32">
        <v>45193</v>
      </c>
      <c r="U1334" s="31">
        <v>13736</v>
      </c>
      <c r="V1334" s="32">
        <v>45218</v>
      </c>
      <c r="W1334" s="33" t="s">
        <v>3837</v>
      </c>
      <c r="X1334" s="26"/>
      <c r="Y1334" s="22">
        <v>200</v>
      </c>
      <c r="Z1334" s="26" t="s">
        <v>118</v>
      </c>
      <c r="AA1334" s="19" t="s">
        <v>5785</v>
      </c>
      <c r="AB1334" s="26" t="s">
        <v>137</v>
      </c>
      <c r="AC1334" s="26" t="s">
        <v>53</v>
      </c>
      <c r="AD1334" s="19" t="s">
        <v>138</v>
      </c>
      <c r="AE1334" s="26" t="s">
        <v>3112</v>
      </c>
      <c r="AF1334" s="43">
        <v>45257</v>
      </c>
      <c r="AG1334" s="26" t="s">
        <v>3399</v>
      </c>
      <c r="AH1334" s="26"/>
      <c r="AI1334" s="40" t="s">
        <v>147</v>
      </c>
      <c r="AJ1334" s="26"/>
      <c r="AK1334" s="26"/>
      <c r="AL1334" s="35"/>
      <c r="AM1334" s="35"/>
      <c r="AN1334" s="35"/>
      <c r="AO1334" s="35"/>
      <c r="AP1334" s="35"/>
    </row>
    <row r="1335" spans="1:42" x14ac:dyDescent="0.2">
      <c r="A1335" s="27">
        <v>45249.77935931713</v>
      </c>
      <c r="B1335" s="28" t="s">
        <v>37</v>
      </c>
      <c r="C1335" s="41" t="s">
        <v>118</v>
      </c>
      <c r="D1335" s="26" t="s">
        <v>36</v>
      </c>
      <c r="E1335" s="26" t="s">
        <v>56</v>
      </c>
      <c r="F1335" s="26" t="s">
        <v>2760</v>
      </c>
      <c r="G1335" s="26" t="s">
        <v>108</v>
      </c>
      <c r="H1335" s="26" t="s">
        <v>2393</v>
      </c>
      <c r="I1335" s="17">
        <f ca="1">IFERROR(__xludf.DUMMYFUNCTION("""COMPUTED_VALUE"""),45257)</f>
        <v>45257</v>
      </c>
      <c r="J1335" s="29" t="s">
        <v>3571</v>
      </c>
      <c r="K1335" s="26" t="s">
        <v>5915</v>
      </c>
      <c r="L1335" s="30">
        <v>852598596</v>
      </c>
      <c r="M1335" s="26" t="s">
        <v>80</v>
      </c>
      <c r="N1335" s="26" t="s">
        <v>81</v>
      </c>
      <c r="O1335" s="26" t="s">
        <v>3573</v>
      </c>
      <c r="P1335" s="26" t="s">
        <v>5916</v>
      </c>
      <c r="Q1335" s="20">
        <v>9317</v>
      </c>
      <c r="R1335" s="26" t="s">
        <v>36</v>
      </c>
      <c r="S1335" s="31">
        <v>2000</v>
      </c>
      <c r="T1335" s="32">
        <v>45183</v>
      </c>
      <c r="U1335" s="31">
        <v>7704</v>
      </c>
      <c r="V1335" s="32">
        <v>45226</v>
      </c>
      <c r="W1335" s="33" t="s">
        <v>3574</v>
      </c>
      <c r="X1335" s="26"/>
      <c r="Y1335" s="22">
        <v>-387</v>
      </c>
      <c r="Z1335" s="26" t="s">
        <v>118</v>
      </c>
      <c r="AA1335" s="19" t="s">
        <v>5785</v>
      </c>
      <c r="AB1335" s="26" t="s">
        <v>137</v>
      </c>
      <c r="AC1335" s="26" t="s">
        <v>53</v>
      </c>
      <c r="AD1335" s="19" t="s">
        <v>138</v>
      </c>
      <c r="AE1335" s="26" t="s">
        <v>5818</v>
      </c>
      <c r="AF1335" s="43">
        <v>45253</v>
      </c>
      <c r="AG1335" s="26"/>
      <c r="AH1335" s="26"/>
      <c r="AI1335" s="40" t="s">
        <v>64</v>
      </c>
      <c r="AJ1335" s="26"/>
      <c r="AK1335" s="26"/>
      <c r="AL1335" s="35"/>
      <c r="AM1335" s="35"/>
      <c r="AN1335" s="35"/>
      <c r="AO1335" s="35"/>
      <c r="AP1335" s="35"/>
    </row>
    <row r="1336" spans="1:42" x14ac:dyDescent="0.2">
      <c r="A1336" s="97">
        <v>45251</v>
      </c>
      <c r="B1336" s="28" t="s">
        <v>37</v>
      </c>
      <c r="C1336" s="41" t="s">
        <v>118</v>
      </c>
      <c r="D1336" s="26" t="s">
        <v>36</v>
      </c>
      <c r="E1336" s="26" t="s">
        <v>139</v>
      </c>
      <c r="F1336" s="26" t="s">
        <v>3899</v>
      </c>
      <c r="G1336" s="26" t="s">
        <v>108</v>
      </c>
      <c r="H1336" s="26" t="s">
        <v>4984</v>
      </c>
      <c r="I1336" s="17">
        <f ca="1">IFERROR(__xludf.DUMMYFUNCTION("""COMPUTED_VALUE"""),45264)</f>
        <v>45264</v>
      </c>
      <c r="J1336" s="29" t="s">
        <v>5196</v>
      </c>
      <c r="K1336" s="26" t="s">
        <v>5197</v>
      </c>
      <c r="L1336" s="30">
        <v>977943642</v>
      </c>
      <c r="M1336" s="26" t="s">
        <v>2755</v>
      </c>
      <c r="N1336" s="26" t="s">
        <v>2756</v>
      </c>
      <c r="O1336" s="26" t="s">
        <v>2819</v>
      </c>
      <c r="P1336" s="42" t="s">
        <v>5198</v>
      </c>
      <c r="Q1336" s="20">
        <v>15936</v>
      </c>
      <c r="R1336" s="26" t="s">
        <v>1106</v>
      </c>
      <c r="S1336" s="31">
        <v>2000</v>
      </c>
      <c r="T1336" s="32">
        <v>45201</v>
      </c>
      <c r="U1336" s="31">
        <v>13768</v>
      </c>
      <c r="V1336" s="32">
        <v>45232</v>
      </c>
      <c r="W1336" s="33" t="s">
        <v>5199</v>
      </c>
      <c r="X1336" s="26"/>
      <c r="Y1336" s="22">
        <v>168</v>
      </c>
      <c r="Z1336" s="26" t="s">
        <v>118</v>
      </c>
      <c r="AA1336" s="19" t="s">
        <v>5785</v>
      </c>
      <c r="AB1336" s="26" t="s">
        <v>128</v>
      </c>
      <c r="AC1336" s="26" t="s">
        <v>53</v>
      </c>
      <c r="AD1336" s="19" t="s">
        <v>138</v>
      </c>
      <c r="AE1336" s="26" t="s">
        <v>3899</v>
      </c>
      <c r="AF1336" s="17">
        <v>45264</v>
      </c>
      <c r="AG1336" s="26" t="s">
        <v>1362</v>
      </c>
      <c r="AH1336" s="26"/>
      <c r="AI1336" s="40" t="s">
        <v>147</v>
      </c>
      <c r="AJ1336" s="26"/>
      <c r="AK1336" s="26"/>
      <c r="AL1336" s="35"/>
      <c r="AM1336" s="35"/>
      <c r="AN1336" s="35"/>
      <c r="AO1336" s="35"/>
      <c r="AP1336" s="35"/>
    </row>
    <row r="1337" spans="1:42" x14ac:dyDescent="0.2">
      <c r="A1337" s="97">
        <v>45251</v>
      </c>
      <c r="B1337" s="28" t="s">
        <v>37</v>
      </c>
      <c r="C1337" s="41" t="s">
        <v>118</v>
      </c>
      <c r="D1337" s="26" t="s">
        <v>36</v>
      </c>
      <c r="E1337" s="26" t="s">
        <v>139</v>
      </c>
      <c r="F1337" s="26" t="s">
        <v>3899</v>
      </c>
      <c r="G1337" s="26" t="s">
        <v>108</v>
      </c>
      <c r="H1337" s="26" t="s">
        <v>4984</v>
      </c>
      <c r="I1337" s="17">
        <f ca="1">IFERROR(__xludf.DUMMYFUNCTION("""COMPUTED_VALUE"""),45264)</f>
        <v>45264</v>
      </c>
      <c r="J1337" s="29" t="s">
        <v>5271</v>
      </c>
      <c r="K1337" s="26" t="s">
        <v>5272</v>
      </c>
      <c r="L1337" s="30">
        <v>926502995</v>
      </c>
      <c r="M1337" s="26" t="s">
        <v>123</v>
      </c>
      <c r="N1337" s="26" t="s">
        <v>850</v>
      </c>
      <c r="O1337" s="26" t="s">
        <v>1226</v>
      </c>
      <c r="P1337" s="42" t="s">
        <v>5273</v>
      </c>
      <c r="Q1337" s="20">
        <v>15936</v>
      </c>
      <c r="R1337" s="26" t="s">
        <v>36</v>
      </c>
      <c r="S1337" s="31">
        <v>2000</v>
      </c>
      <c r="T1337" s="32">
        <v>45205</v>
      </c>
      <c r="U1337" s="31">
        <v>13936</v>
      </c>
      <c r="V1337" s="38">
        <v>45231</v>
      </c>
      <c r="W1337" s="33" t="s">
        <v>5274</v>
      </c>
      <c r="X1337" s="26"/>
      <c r="Y1337" s="22">
        <v>0</v>
      </c>
      <c r="Z1337" s="26" t="s">
        <v>118</v>
      </c>
      <c r="AA1337" s="19" t="s">
        <v>5785</v>
      </c>
      <c r="AB1337" s="26" t="s">
        <v>128</v>
      </c>
      <c r="AC1337" s="26" t="s">
        <v>53</v>
      </c>
      <c r="AD1337" s="19" t="s">
        <v>138</v>
      </c>
      <c r="AE1337" s="26" t="s">
        <v>3899</v>
      </c>
      <c r="AF1337" s="17">
        <v>45264</v>
      </c>
      <c r="AG1337" s="26" t="s">
        <v>1362</v>
      </c>
      <c r="AH1337" s="26"/>
      <c r="AI1337" s="40" t="s">
        <v>147</v>
      </c>
      <c r="AJ1337" s="26"/>
      <c r="AK1337" s="26"/>
      <c r="AL1337" s="35"/>
      <c r="AM1337" s="35"/>
      <c r="AN1337" s="35"/>
      <c r="AO1337" s="35"/>
      <c r="AP1337" s="35"/>
    </row>
    <row r="1338" spans="1:42" x14ac:dyDescent="0.2">
      <c r="A1338" s="97">
        <v>45251</v>
      </c>
      <c r="B1338" s="28" t="s">
        <v>37</v>
      </c>
      <c r="C1338" s="41" t="s">
        <v>118</v>
      </c>
      <c r="D1338" s="26" t="s">
        <v>36</v>
      </c>
      <c r="E1338" s="26" t="s">
        <v>56</v>
      </c>
      <c r="F1338" s="26" t="s">
        <v>3899</v>
      </c>
      <c r="G1338" s="26" t="s">
        <v>108</v>
      </c>
      <c r="H1338" s="26" t="s">
        <v>4984</v>
      </c>
      <c r="I1338" s="17">
        <f ca="1">IFERROR(__xludf.DUMMYFUNCTION("""COMPUTED_VALUE"""),45264)</f>
        <v>45264</v>
      </c>
      <c r="J1338" s="44" t="s">
        <v>5917</v>
      </c>
      <c r="K1338" s="26" t="s">
        <v>5918</v>
      </c>
      <c r="L1338" s="30">
        <v>522684125</v>
      </c>
      <c r="M1338" s="26" t="s">
        <v>80</v>
      </c>
      <c r="N1338" s="26" t="s">
        <v>81</v>
      </c>
      <c r="O1338" s="26" t="s">
        <v>5264</v>
      </c>
      <c r="P1338" s="42" t="s">
        <v>4990</v>
      </c>
      <c r="Q1338" s="20">
        <v>9317</v>
      </c>
      <c r="R1338" s="26" t="s">
        <v>36</v>
      </c>
      <c r="S1338" s="31">
        <v>2000</v>
      </c>
      <c r="T1338" s="32">
        <v>45188</v>
      </c>
      <c r="U1338" s="31">
        <v>7317</v>
      </c>
      <c r="V1338" s="32">
        <v>45243</v>
      </c>
      <c r="W1338" s="33" t="s">
        <v>5265</v>
      </c>
      <c r="X1338" s="26"/>
      <c r="Y1338" s="22">
        <v>0</v>
      </c>
      <c r="Z1338" s="26" t="s">
        <v>118</v>
      </c>
      <c r="AA1338" s="19" t="s">
        <v>5785</v>
      </c>
      <c r="AB1338" s="119" t="s">
        <v>5919</v>
      </c>
      <c r="AC1338" s="26" t="s">
        <v>53</v>
      </c>
      <c r="AD1338" s="19" t="s">
        <v>138</v>
      </c>
      <c r="AE1338" s="26" t="s">
        <v>3899</v>
      </c>
      <c r="AF1338" s="17">
        <v>45264</v>
      </c>
      <c r="AG1338" s="26" t="s">
        <v>1362</v>
      </c>
      <c r="AH1338" s="26"/>
      <c r="AI1338" s="40" t="s">
        <v>64</v>
      </c>
      <c r="AJ1338" s="26"/>
      <c r="AK1338" s="26"/>
      <c r="AL1338" s="35"/>
      <c r="AM1338" s="35"/>
      <c r="AN1338" s="35"/>
      <c r="AO1338" s="35"/>
      <c r="AP1338" s="35"/>
    </row>
    <row r="1339" spans="1:42" x14ac:dyDescent="0.2">
      <c r="A1339" s="97">
        <v>45251</v>
      </c>
      <c r="B1339" s="28" t="s">
        <v>37</v>
      </c>
      <c r="C1339" s="41" t="s">
        <v>118</v>
      </c>
      <c r="D1339" s="26" t="s">
        <v>36</v>
      </c>
      <c r="E1339" s="26" t="s">
        <v>139</v>
      </c>
      <c r="F1339" s="26" t="s">
        <v>3899</v>
      </c>
      <c r="G1339" s="26" t="s">
        <v>108</v>
      </c>
      <c r="H1339" s="26" t="s">
        <v>4984</v>
      </c>
      <c r="I1339" s="17">
        <f ca="1">IFERROR(__xludf.DUMMYFUNCTION("""COMPUTED_VALUE"""),45264)</f>
        <v>45264</v>
      </c>
      <c r="J1339" s="29" t="s">
        <v>5142</v>
      </c>
      <c r="K1339" s="26" t="s">
        <v>5143</v>
      </c>
      <c r="L1339" s="30">
        <v>372919046</v>
      </c>
      <c r="M1339" s="26" t="s">
        <v>910</v>
      </c>
      <c r="N1339" s="26" t="s">
        <v>3525</v>
      </c>
      <c r="O1339" s="26" t="s">
        <v>3754</v>
      </c>
      <c r="P1339" s="42" t="s">
        <v>5920</v>
      </c>
      <c r="Q1339" s="20">
        <v>15936</v>
      </c>
      <c r="R1339" s="26" t="s">
        <v>36</v>
      </c>
      <c r="S1339" s="31">
        <v>4000</v>
      </c>
      <c r="T1339" s="32">
        <v>45191</v>
      </c>
      <c r="U1339" s="31">
        <v>11936</v>
      </c>
      <c r="V1339" s="32">
        <v>45246</v>
      </c>
      <c r="W1339" s="33" t="s">
        <v>5145</v>
      </c>
      <c r="X1339" s="26"/>
      <c r="Y1339" s="22">
        <v>0</v>
      </c>
      <c r="Z1339" s="26" t="s">
        <v>118</v>
      </c>
      <c r="AA1339" s="19" t="s">
        <v>5785</v>
      </c>
      <c r="AB1339" s="26" t="s">
        <v>128</v>
      </c>
      <c r="AC1339" s="26" t="s">
        <v>53</v>
      </c>
      <c r="AD1339" s="19" t="s">
        <v>138</v>
      </c>
      <c r="AE1339" s="26" t="s">
        <v>3899</v>
      </c>
      <c r="AF1339" s="17">
        <v>45264</v>
      </c>
      <c r="AG1339" s="26" t="s">
        <v>1362</v>
      </c>
      <c r="AH1339" s="26"/>
      <c r="AI1339" s="40" t="s">
        <v>147</v>
      </c>
      <c r="AJ1339" s="26"/>
      <c r="AK1339" s="26"/>
      <c r="AL1339" s="35"/>
      <c r="AM1339" s="35"/>
      <c r="AN1339" s="35"/>
      <c r="AO1339" s="35"/>
      <c r="AP1339" s="35"/>
    </row>
    <row r="1340" spans="1:42" x14ac:dyDescent="0.2">
      <c r="A1340" s="97">
        <v>45251</v>
      </c>
      <c r="B1340" s="28" t="s">
        <v>37</v>
      </c>
      <c r="C1340" s="41" t="s">
        <v>118</v>
      </c>
      <c r="D1340" s="26" t="s">
        <v>36</v>
      </c>
      <c r="E1340" s="26" t="s">
        <v>139</v>
      </c>
      <c r="F1340" s="26" t="s">
        <v>3899</v>
      </c>
      <c r="G1340" s="26" t="s">
        <v>108</v>
      </c>
      <c r="H1340" s="26" t="s">
        <v>4984</v>
      </c>
      <c r="I1340" s="17">
        <f ca="1">IFERROR(__xludf.DUMMYFUNCTION("""COMPUTED_VALUE"""),45264)</f>
        <v>45264</v>
      </c>
      <c r="J1340" s="29" t="s">
        <v>5370</v>
      </c>
      <c r="K1340" s="26" t="s">
        <v>5371</v>
      </c>
      <c r="L1340" s="30">
        <v>862999040</v>
      </c>
      <c r="M1340" s="26" t="s">
        <v>80</v>
      </c>
      <c r="N1340" s="26" t="s">
        <v>466</v>
      </c>
      <c r="O1340" s="26" t="s">
        <v>5372</v>
      </c>
      <c r="P1340" s="42" t="s">
        <v>5921</v>
      </c>
      <c r="Q1340" s="20">
        <v>15936</v>
      </c>
      <c r="R1340" s="26" t="s">
        <v>36</v>
      </c>
      <c r="S1340" s="31">
        <v>4000</v>
      </c>
      <c r="T1340" s="32">
        <v>45207</v>
      </c>
      <c r="U1340" s="31">
        <v>11936</v>
      </c>
      <c r="V1340" s="32">
        <v>45232</v>
      </c>
      <c r="W1340" s="33" t="s">
        <v>5374</v>
      </c>
      <c r="X1340" s="26"/>
      <c r="Y1340" s="22">
        <v>0</v>
      </c>
      <c r="Z1340" s="26" t="s">
        <v>118</v>
      </c>
      <c r="AA1340" s="19" t="s">
        <v>5785</v>
      </c>
      <c r="AB1340" s="26" t="s">
        <v>128</v>
      </c>
      <c r="AC1340" s="26" t="s">
        <v>53</v>
      </c>
      <c r="AD1340" s="19" t="s">
        <v>138</v>
      </c>
      <c r="AE1340" s="26" t="s">
        <v>3899</v>
      </c>
      <c r="AF1340" s="17">
        <v>45264</v>
      </c>
      <c r="AG1340" s="26" t="s">
        <v>1362</v>
      </c>
      <c r="AH1340" s="26"/>
      <c r="AI1340" s="40" t="s">
        <v>147</v>
      </c>
      <c r="AJ1340" s="26"/>
      <c r="AK1340" s="26"/>
      <c r="AL1340" s="35"/>
      <c r="AM1340" s="35"/>
      <c r="AN1340" s="35"/>
      <c r="AO1340" s="35"/>
      <c r="AP1340" s="35"/>
    </row>
    <row r="1341" spans="1:42" x14ac:dyDescent="0.2">
      <c r="A1341" s="27">
        <v>45251.516389918979</v>
      </c>
      <c r="B1341" s="28" t="s">
        <v>37</v>
      </c>
      <c r="C1341" s="41" t="s">
        <v>118</v>
      </c>
      <c r="D1341" s="26" t="s">
        <v>36</v>
      </c>
      <c r="E1341" s="26" t="s">
        <v>139</v>
      </c>
      <c r="F1341" s="26" t="s">
        <v>3899</v>
      </c>
      <c r="G1341" s="26" t="s">
        <v>108</v>
      </c>
      <c r="H1341" s="26" t="s">
        <v>4984</v>
      </c>
      <c r="I1341" s="17">
        <f ca="1">IFERROR(__xludf.DUMMYFUNCTION("""COMPUTED_VALUE"""),45264)</f>
        <v>45264</v>
      </c>
      <c r="J1341" s="29" t="s">
        <v>5192</v>
      </c>
      <c r="K1341" s="26" t="s">
        <v>5193</v>
      </c>
      <c r="L1341" s="30">
        <v>373944787</v>
      </c>
      <c r="M1341" s="26" t="s">
        <v>2755</v>
      </c>
      <c r="N1341" s="26" t="s">
        <v>2756</v>
      </c>
      <c r="O1341" s="26" t="s">
        <v>134</v>
      </c>
      <c r="P1341" s="42" t="s">
        <v>5922</v>
      </c>
      <c r="Q1341" s="20">
        <v>15936</v>
      </c>
      <c r="R1341" s="26" t="s">
        <v>1106</v>
      </c>
      <c r="S1341" s="31">
        <v>2000</v>
      </c>
      <c r="T1341" s="32">
        <v>45201</v>
      </c>
      <c r="U1341" s="31">
        <v>13768</v>
      </c>
      <c r="V1341" s="32">
        <v>45232</v>
      </c>
      <c r="W1341" s="33" t="s">
        <v>5195</v>
      </c>
      <c r="X1341" s="26"/>
      <c r="Y1341" s="22">
        <v>168</v>
      </c>
      <c r="Z1341" s="26" t="s">
        <v>118</v>
      </c>
      <c r="AA1341" s="19" t="s">
        <v>5785</v>
      </c>
      <c r="AB1341" s="26" t="s">
        <v>128</v>
      </c>
      <c r="AC1341" s="26" t="s">
        <v>53</v>
      </c>
      <c r="AD1341" s="19" t="s">
        <v>138</v>
      </c>
      <c r="AE1341" s="26" t="s">
        <v>3899</v>
      </c>
      <c r="AF1341" s="17">
        <v>45264</v>
      </c>
      <c r="AG1341" s="26" t="s">
        <v>1362</v>
      </c>
      <c r="AH1341" s="26"/>
      <c r="AI1341" s="40" t="s">
        <v>147</v>
      </c>
      <c r="AJ1341" s="26"/>
      <c r="AK1341" s="26"/>
      <c r="AL1341" s="35"/>
      <c r="AM1341" s="35"/>
      <c r="AN1341" s="35"/>
      <c r="AO1341" s="35"/>
      <c r="AP1341" s="35"/>
    </row>
    <row r="1342" spans="1:42" x14ac:dyDescent="0.2">
      <c r="A1342" s="27">
        <v>45251.541694050931</v>
      </c>
      <c r="B1342" s="28" t="s">
        <v>37</v>
      </c>
      <c r="C1342" s="41" t="s">
        <v>118</v>
      </c>
      <c r="D1342" s="26" t="s">
        <v>36</v>
      </c>
      <c r="E1342" s="26" t="s">
        <v>39</v>
      </c>
      <c r="F1342" s="26" t="s">
        <v>3058</v>
      </c>
      <c r="G1342" s="26" t="s">
        <v>108</v>
      </c>
      <c r="H1342" s="26" t="s">
        <v>4988</v>
      </c>
      <c r="I1342" s="17">
        <f ca="1">IFERROR(__xludf.DUMMYFUNCTION("""COMPUTED_VALUE"""),45261)</f>
        <v>45261</v>
      </c>
      <c r="J1342" s="29" t="s">
        <v>3165</v>
      </c>
      <c r="K1342" s="26" t="s">
        <v>5923</v>
      </c>
      <c r="L1342" s="30">
        <v>964129650</v>
      </c>
      <c r="M1342" s="26" t="s">
        <v>112</v>
      </c>
      <c r="N1342" s="26" t="s">
        <v>2157</v>
      </c>
      <c r="O1342" s="26" t="s">
        <v>134</v>
      </c>
      <c r="P1342" s="42" t="s">
        <v>5924</v>
      </c>
      <c r="Q1342" s="20">
        <v>5736</v>
      </c>
      <c r="R1342" s="26" t="s">
        <v>70</v>
      </c>
      <c r="S1342" s="31">
        <v>5636</v>
      </c>
      <c r="T1342" s="32">
        <v>45195</v>
      </c>
      <c r="U1342" s="31"/>
      <c r="V1342" s="26"/>
      <c r="W1342" s="33" t="s">
        <v>3169</v>
      </c>
      <c r="X1342" s="26"/>
      <c r="Y1342" s="22">
        <v>100</v>
      </c>
      <c r="Z1342" s="26" t="s">
        <v>118</v>
      </c>
      <c r="AA1342" s="19" t="s">
        <v>5785</v>
      </c>
      <c r="AB1342" s="26" t="s">
        <v>137</v>
      </c>
      <c r="AC1342" s="26" t="s">
        <v>53</v>
      </c>
      <c r="AD1342" s="19" t="s">
        <v>54</v>
      </c>
      <c r="AE1342" s="26" t="s">
        <v>4417</v>
      </c>
      <c r="AF1342" s="17">
        <v>45253</v>
      </c>
      <c r="AG1342" s="26"/>
      <c r="AH1342" s="26"/>
      <c r="AI1342" s="40" t="s">
        <v>55</v>
      </c>
      <c r="AJ1342" s="26"/>
      <c r="AK1342" s="26"/>
      <c r="AL1342" s="35"/>
      <c r="AM1342" s="35"/>
      <c r="AN1342" s="35"/>
      <c r="AO1342" s="35"/>
      <c r="AP1342" s="35"/>
    </row>
    <row r="1343" spans="1:42" x14ac:dyDescent="0.2">
      <c r="A1343" s="27">
        <v>45251.543596608797</v>
      </c>
      <c r="B1343" s="28" t="s">
        <v>37</v>
      </c>
      <c r="C1343" s="41" t="s">
        <v>118</v>
      </c>
      <c r="D1343" s="26" t="s">
        <v>36</v>
      </c>
      <c r="E1343" s="26" t="s">
        <v>39</v>
      </c>
      <c r="F1343" s="26" t="s">
        <v>3058</v>
      </c>
      <c r="G1343" s="26" t="s">
        <v>108</v>
      </c>
      <c r="H1343" s="26" t="s">
        <v>4988</v>
      </c>
      <c r="I1343" s="17">
        <f ca="1">IFERROR(__xludf.DUMMYFUNCTION("""COMPUTED_VALUE"""),45261)</f>
        <v>45261</v>
      </c>
      <c r="J1343" s="29" t="s">
        <v>3160</v>
      </c>
      <c r="K1343" s="26" t="s">
        <v>1640</v>
      </c>
      <c r="L1343" s="30">
        <v>373631121</v>
      </c>
      <c r="M1343" s="26" t="s">
        <v>112</v>
      </c>
      <c r="N1343" s="26" t="s">
        <v>2157</v>
      </c>
      <c r="O1343" s="26" t="s">
        <v>134</v>
      </c>
      <c r="P1343" s="26" t="s">
        <v>5925</v>
      </c>
      <c r="Q1343" s="20">
        <v>5736</v>
      </c>
      <c r="R1343" s="26" t="s">
        <v>70</v>
      </c>
      <c r="S1343" s="31">
        <v>5636</v>
      </c>
      <c r="T1343" s="32">
        <v>45195</v>
      </c>
      <c r="U1343" s="31"/>
      <c r="V1343" s="32"/>
      <c r="W1343" s="33" t="s">
        <v>3164</v>
      </c>
      <c r="X1343" s="26"/>
      <c r="Y1343" s="22">
        <v>100</v>
      </c>
      <c r="Z1343" s="26" t="s">
        <v>118</v>
      </c>
      <c r="AA1343" s="19" t="s">
        <v>5785</v>
      </c>
      <c r="AB1343" s="26" t="s">
        <v>137</v>
      </c>
      <c r="AC1343" s="26" t="s">
        <v>53</v>
      </c>
      <c r="AD1343" s="19" t="s">
        <v>54</v>
      </c>
      <c r="AE1343" s="26" t="s">
        <v>5804</v>
      </c>
      <c r="AF1343" s="17">
        <v>45253</v>
      </c>
      <c r="AG1343" s="26"/>
      <c r="AH1343" s="26"/>
      <c r="AI1343" s="40" t="s">
        <v>55</v>
      </c>
      <c r="AJ1343" s="26"/>
      <c r="AK1343" s="26"/>
      <c r="AL1343" s="35"/>
      <c r="AM1343" s="35"/>
      <c r="AN1343" s="35"/>
      <c r="AO1343" s="35"/>
      <c r="AP1343" s="35"/>
    </row>
    <row r="1344" spans="1:42" x14ac:dyDescent="0.2">
      <c r="A1344" s="27">
        <v>45252.277375486112</v>
      </c>
      <c r="B1344" s="28" t="s">
        <v>37</v>
      </c>
      <c r="C1344" s="41" t="s">
        <v>118</v>
      </c>
      <c r="D1344" s="26" t="s">
        <v>36</v>
      </c>
      <c r="E1344" s="26" t="s">
        <v>139</v>
      </c>
      <c r="F1344" s="26" t="s">
        <v>3899</v>
      </c>
      <c r="G1344" s="26" t="s">
        <v>108</v>
      </c>
      <c r="H1344" s="26" t="s">
        <v>4984</v>
      </c>
      <c r="I1344" s="17">
        <f ca="1">IFERROR(__xludf.DUMMYFUNCTION("""COMPUTED_VALUE"""),45264)</f>
        <v>45264</v>
      </c>
      <c r="J1344" s="29" t="s">
        <v>5200</v>
      </c>
      <c r="K1344" s="26" t="s">
        <v>5201</v>
      </c>
      <c r="L1344" s="30">
        <v>563626888</v>
      </c>
      <c r="M1344" s="26" t="s">
        <v>2755</v>
      </c>
      <c r="N1344" s="26" t="s">
        <v>2756</v>
      </c>
      <c r="O1344" s="26" t="s">
        <v>5767</v>
      </c>
      <c r="P1344" s="42" t="s">
        <v>5926</v>
      </c>
      <c r="Q1344" s="20">
        <v>15936</v>
      </c>
      <c r="R1344" s="26" t="s">
        <v>1106</v>
      </c>
      <c r="S1344" s="31">
        <v>2000</v>
      </c>
      <c r="T1344" s="32">
        <v>45201</v>
      </c>
      <c r="U1344" s="31">
        <f>13768+18</f>
        <v>13786</v>
      </c>
      <c r="V1344" s="26" t="s">
        <v>5203</v>
      </c>
      <c r="W1344" s="33" t="s">
        <v>5927</v>
      </c>
      <c r="X1344" s="26"/>
      <c r="Y1344" s="22">
        <v>150</v>
      </c>
      <c r="Z1344" s="26" t="s">
        <v>118</v>
      </c>
      <c r="AA1344" s="19" t="s">
        <v>5785</v>
      </c>
      <c r="AB1344" s="26" t="s">
        <v>128</v>
      </c>
      <c r="AC1344" s="26" t="s">
        <v>53</v>
      </c>
      <c r="AD1344" s="19" t="s">
        <v>138</v>
      </c>
      <c r="AE1344" s="26" t="s">
        <v>3899</v>
      </c>
      <c r="AF1344" s="17">
        <v>45264</v>
      </c>
      <c r="AG1344" s="26" t="s">
        <v>1362</v>
      </c>
      <c r="AH1344" s="26"/>
      <c r="AI1344" s="40" t="s">
        <v>147</v>
      </c>
      <c r="AJ1344" s="26"/>
      <c r="AK1344" s="26"/>
      <c r="AL1344" s="35"/>
      <c r="AM1344" s="35"/>
      <c r="AN1344" s="35"/>
      <c r="AO1344" s="35"/>
      <c r="AP1344" s="35"/>
    </row>
    <row r="1345" spans="1:42" x14ac:dyDescent="0.2">
      <c r="A1345" s="27">
        <v>45252.282705509264</v>
      </c>
      <c r="B1345" s="28" t="s">
        <v>37</v>
      </c>
      <c r="C1345" s="41" t="s">
        <v>118</v>
      </c>
      <c r="D1345" s="26" t="s">
        <v>36</v>
      </c>
      <c r="E1345" s="26" t="s">
        <v>139</v>
      </c>
      <c r="F1345" s="26" t="s">
        <v>3899</v>
      </c>
      <c r="G1345" s="26" t="s">
        <v>108</v>
      </c>
      <c r="H1345" s="26" t="s">
        <v>4984</v>
      </c>
      <c r="I1345" s="17">
        <f ca="1">IFERROR(__xludf.DUMMYFUNCTION("""COMPUTED_VALUE"""),45264)</f>
        <v>45264</v>
      </c>
      <c r="J1345" s="29" t="s">
        <v>5280</v>
      </c>
      <c r="K1345" s="26" t="s">
        <v>5281</v>
      </c>
      <c r="L1345" s="30">
        <v>379911659</v>
      </c>
      <c r="M1345" s="26" t="s">
        <v>3498</v>
      </c>
      <c r="N1345" s="26" t="s">
        <v>2756</v>
      </c>
      <c r="O1345" s="26" t="s">
        <v>143</v>
      </c>
      <c r="P1345" s="42" t="s">
        <v>5928</v>
      </c>
      <c r="Q1345" s="20">
        <v>15936</v>
      </c>
      <c r="R1345" s="26" t="s">
        <v>70</v>
      </c>
      <c r="S1345" s="31">
        <v>500</v>
      </c>
      <c r="T1345" s="32">
        <v>45207</v>
      </c>
      <c r="U1345" s="58">
        <f>1500+13936</f>
        <v>15436</v>
      </c>
      <c r="V1345" s="35" t="s">
        <v>5282</v>
      </c>
      <c r="W1345" s="33" t="s">
        <v>5283</v>
      </c>
      <c r="X1345" s="26"/>
      <c r="Y1345" s="22">
        <v>0</v>
      </c>
      <c r="Z1345" s="26" t="s">
        <v>118</v>
      </c>
      <c r="AA1345" s="19" t="s">
        <v>5785</v>
      </c>
      <c r="AB1345" s="26" t="s">
        <v>128</v>
      </c>
      <c r="AC1345" s="26" t="s">
        <v>53</v>
      </c>
      <c r="AD1345" s="19" t="s">
        <v>138</v>
      </c>
      <c r="AE1345" s="26" t="s">
        <v>3899</v>
      </c>
      <c r="AF1345" s="17">
        <v>45264</v>
      </c>
      <c r="AG1345" s="26" t="s">
        <v>1362</v>
      </c>
      <c r="AH1345" s="26"/>
      <c r="AI1345" s="40" t="s">
        <v>147</v>
      </c>
      <c r="AJ1345" s="26"/>
      <c r="AK1345" s="26"/>
      <c r="AL1345" s="35"/>
      <c r="AM1345" s="35"/>
      <c r="AN1345" s="35"/>
      <c r="AO1345" s="35"/>
      <c r="AP1345" s="35"/>
    </row>
    <row r="1346" spans="1:42" x14ac:dyDescent="0.2">
      <c r="A1346" s="27">
        <v>45252.286090266207</v>
      </c>
      <c r="B1346" s="28" t="s">
        <v>37</v>
      </c>
      <c r="C1346" s="41" t="s">
        <v>118</v>
      </c>
      <c r="D1346" s="26" t="s">
        <v>36</v>
      </c>
      <c r="E1346" s="26" t="s">
        <v>39</v>
      </c>
      <c r="F1346" s="26" t="s">
        <v>3058</v>
      </c>
      <c r="G1346" s="26" t="s">
        <v>108</v>
      </c>
      <c r="H1346" s="26" t="s">
        <v>4988</v>
      </c>
      <c r="I1346" s="17">
        <f ca="1">IFERROR(__xludf.DUMMYFUNCTION("""COMPUTED_VALUE"""),45261)</f>
        <v>45261</v>
      </c>
      <c r="J1346" s="29" t="s">
        <v>3254</v>
      </c>
      <c r="K1346" s="26" t="s">
        <v>5929</v>
      </c>
      <c r="L1346" s="30">
        <v>889966203</v>
      </c>
      <c r="M1346" s="26" t="s">
        <v>112</v>
      </c>
      <c r="N1346" s="26" t="s">
        <v>2157</v>
      </c>
      <c r="O1346" s="26" t="s">
        <v>134</v>
      </c>
      <c r="P1346" s="42" t="s">
        <v>5930</v>
      </c>
      <c r="Q1346" s="20">
        <v>5736</v>
      </c>
      <c r="R1346" s="26" t="s">
        <v>36</v>
      </c>
      <c r="S1346" s="31">
        <v>5636</v>
      </c>
      <c r="T1346" s="32">
        <v>45198</v>
      </c>
      <c r="U1346" s="31"/>
      <c r="V1346" s="32"/>
      <c r="W1346" s="26"/>
      <c r="X1346" s="26"/>
      <c r="Y1346" s="22">
        <v>100</v>
      </c>
      <c r="Z1346" s="26" t="s">
        <v>118</v>
      </c>
      <c r="AA1346" s="19" t="s">
        <v>5785</v>
      </c>
      <c r="AB1346" s="26" t="s">
        <v>137</v>
      </c>
      <c r="AC1346" s="26" t="s">
        <v>53</v>
      </c>
      <c r="AD1346" s="19" t="s">
        <v>54</v>
      </c>
      <c r="AE1346" s="26" t="s">
        <v>4191</v>
      </c>
      <c r="AF1346" s="17">
        <v>45253</v>
      </c>
      <c r="AG1346" s="26"/>
      <c r="AH1346" s="26"/>
      <c r="AI1346" s="40" t="s">
        <v>55</v>
      </c>
      <c r="AJ1346" s="26"/>
      <c r="AK1346" s="26"/>
      <c r="AL1346" s="35"/>
      <c r="AM1346" s="35"/>
      <c r="AN1346" s="35"/>
      <c r="AO1346" s="35"/>
      <c r="AP1346" s="35"/>
    </row>
    <row r="1347" spans="1:42" x14ac:dyDescent="0.2">
      <c r="A1347" s="27">
        <v>45252.312451574078</v>
      </c>
      <c r="B1347" s="28" t="s">
        <v>37</v>
      </c>
      <c r="C1347" s="41" t="s">
        <v>118</v>
      </c>
      <c r="D1347" s="26" t="s">
        <v>36</v>
      </c>
      <c r="E1347" s="26" t="s">
        <v>148</v>
      </c>
      <c r="F1347" s="26" t="s">
        <v>5931</v>
      </c>
      <c r="G1347" s="26" t="s">
        <v>108</v>
      </c>
      <c r="H1347" s="26" t="s">
        <v>4988</v>
      </c>
      <c r="I1347" s="17">
        <f ca="1">IFERROR(__xludf.DUMMYFUNCTION("""COMPUTED_VALUE"""),45261)</f>
        <v>45261</v>
      </c>
      <c r="J1347" s="29" t="s">
        <v>5932</v>
      </c>
      <c r="K1347" s="26" t="s">
        <v>5933</v>
      </c>
      <c r="L1347" s="30">
        <v>868956664</v>
      </c>
      <c r="M1347" s="26" t="s">
        <v>94</v>
      </c>
      <c r="N1347" s="26" t="s">
        <v>1358</v>
      </c>
      <c r="O1347" s="26" t="s">
        <v>91</v>
      </c>
      <c r="P1347" s="26" t="s">
        <v>5934</v>
      </c>
      <c r="Q1347" s="20">
        <v>7349</v>
      </c>
      <c r="R1347" s="26" t="s">
        <v>36</v>
      </c>
      <c r="S1347" s="31">
        <v>200</v>
      </c>
      <c r="T1347" s="32">
        <v>44891</v>
      </c>
      <c r="U1347" s="31">
        <v>16579</v>
      </c>
      <c r="V1347" s="32">
        <v>44892</v>
      </c>
      <c r="W1347" s="26" t="s">
        <v>5935</v>
      </c>
      <c r="X1347" s="26">
        <v>0</v>
      </c>
      <c r="Y1347" s="22">
        <v>-9430</v>
      </c>
      <c r="Z1347" s="26" t="s">
        <v>118</v>
      </c>
      <c r="AA1347" s="19" t="s">
        <v>5785</v>
      </c>
      <c r="AB1347" s="26" t="s">
        <v>137</v>
      </c>
      <c r="AC1347" s="26" t="s">
        <v>53</v>
      </c>
      <c r="AD1347" s="19" t="s">
        <v>54</v>
      </c>
      <c r="AE1347" s="26">
        <v>350</v>
      </c>
      <c r="AF1347" s="17">
        <v>45253</v>
      </c>
      <c r="AG1347" s="26"/>
      <c r="AH1347" s="26"/>
      <c r="AI1347" s="40">
        <v>2</v>
      </c>
      <c r="AJ1347" s="26"/>
      <c r="AK1347" s="26"/>
      <c r="AL1347" s="35"/>
      <c r="AM1347" s="35"/>
      <c r="AN1347" s="35"/>
      <c r="AO1347" s="35"/>
      <c r="AP1347" s="35"/>
    </row>
    <row r="1348" spans="1:42" x14ac:dyDescent="0.2">
      <c r="A1348" s="27">
        <v>45252.313372256947</v>
      </c>
      <c r="B1348" s="28" t="s">
        <v>37</v>
      </c>
      <c r="C1348" s="41" t="s">
        <v>118</v>
      </c>
      <c r="D1348" s="26" t="s">
        <v>36</v>
      </c>
      <c r="E1348" s="26" t="s">
        <v>39</v>
      </c>
      <c r="F1348" s="26" t="s">
        <v>3058</v>
      </c>
      <c r="G1348" s="26" t="s">
        <v>108</v>
      </c>
      <c r="H1348" s="26" t="s">
        <v>4988</v>
      </c>
      <c r="I1348" s="17">
        <f ca="1">IFERROR(__xludf.DUMMYFUNCTION("""COMPUTED_VALUE"""),45261)</f>
        <v>45261</v>
      </c>
      <c r="J1348" s="29" t="s">
        <v>3259</v>
      </c>
      <c r="K1348" s="26" t="s">
        <v>5936</v>
      </c>
      <c r="L1348" s="30">
        <v>389927560</v>
      </c>
      <c r="M1348" s="26" t="s">
        <v>112</v>
      </c>
      <c r="N1348" s="26" t="s">
        <v>3330</v>
      </c>
      <c r="O1348" s="26" t="s">
        <v>3261</v>
      </c>
      <c r="P1348" s="42" t="s">
        <v>5937</v>
      </c>
      <c r="Q1348" s="20">
        <v>5736</v>
      </c>
      <c r="R1348" s="26" t="s">
        <v>36</v>
      </c>
      <c r="S1348" s="31">
        <v>5636</v>
      </c>
      <c r="T1348" s="32">
        <v>45198</v>
      </c>
      <c r="U1348" s="31"/>
      <c r="V1348" s="32"/>
      <c r="W1348" s="26"/>
      <c r="X1348" s="26"/>
      <c r="Y1348" s="22">
        <v>100</v>
      </c>
      <c r="Z1348" s="26" t="s">
        <v>118</v>
      </c>
      <c r="AA1348" s="19" t="s">
        <v>5785</v>
      </c>
      <c r="AB1348" s="26" t="s">
        <v>137</v>
      </c>
      <c r="AC1348" s="26" t="s">
        <v>53</v>
      </c>
      <c r="AD1348" s="19" t="s">
        <v>54</v>
      </c>
      <c r="AE1348" s="26" t="s">
        <v>4916</v>
      </c>
      <c r="AF1348" s="17">
        <v>45253</v>
      </c>
      <c r="AG1348" s="26"/>
      <c r="AH1348" s="26"/>
      <c r="AI1348" s="40" t="s">
        <v>55</v>
      </c>
      <c r="AJ1348" s="26"/>
      <c r="AK1348" s="26"/>
      <c r="AL1348" s="35"/>
      <c r="AM1348" s="35"/>
      <c r="AN1348" s="35"/>
      <c r="AO1348" s="35"/>
      <c r="AP1348" s="35"/>
    </row>
    <row r="1349" spans="1:42" x14ac:dyDescent="0.2">
      <c r="A1349" s="97">
        <v>45253</v>
      </c>
      <c r="B1349" s="28" t="s">
        <v>37</v>
      </c>
      <c r="C1349" s="41" t="s">
        <v>118</v>
      </c>
      <c r="D1349" s="26" t="s">
        <v>119</v>
      </c>
      <c r="E1349" s="26" t="s">
        <v>139</v>
      </c>
      <c r="F1349" s="26" t="s">
        <v>3930</v>
      </c>
      <c r="G1349" s="26" t="s">
        <v>108</v>
      </c>
      <c r="H1349" s="26" t="s">
        <v>1626</v>
      </c>
      <c r="I1349" s="17">
        <f ca="1">IFERROR(__xludf.DUMMYFUNCTION("""COMPUTED_VALUE"""),45272)</f>
        <v>45272</v>
      </c>
      <c r="J1349" s="29" t="s">
        <v>5220</v>
      </c>
      <c r="K1349" s="26" t="s">
        <v>5221</v>
      </c>
      <c r="L1349" s="30">
        <v>878982865</v>
      </c>
      <c r="M1349" s="26" t="s">
        <v>910</v>
      </c>
      <c r="N1349" s="26" t="s">
        <v>3525</v>
      </c>
      <c r="O1349" s="26" t="s">
        <v>3754</v>
      </c>
      <c r="P1349" s="42" t="s">
        <v>5938</v>
      </c>
      <c r="Q1349" s="20">
        <v>15936</v>
      </c>
      <c r="R1349" s="26" t="s">
        <v>70</v>
      </c>
      <c r="S1349" s="31">
        <v>2000</v>
      </c>
      <c r="T1349" s="32">
        <v>45202</v>
      </c>
      <c r="U1349" s="31">
        <v>13936</v>
      </c>
      <c r="V1349" s="32">
        <v>45246</v>
      </c>
      <c r="W1349" s="33" t="s">
        <v>5223</v>
      </c>
      <c r="X1349" s="26"/>
      <c r="Y1349" s="22">
        <v>0</v>
      </c>
      <c r="Z1349" s="26" t="s">
        <v>118</v>
      </c>
      <c r="AA1349" s="19" t="s">
        <v>5785</v>
      </c>
      <c r="AB1349" s="26" t="s">
        <v>104</v>
      </c>
      <c r="AC1349" s="26" t="s">
        <v>53</v>
      </c>
      <c r="AD1349" s="19" t="s">
        <v>138</v>
      </c>
      <c r="AE1349" s="26"/>
      <c r="AF1349" s="43">
        <v>45272</v>
      </c>
      <c r="AG1349" s="26" t="s">
        <v>4996</v>
      </c>
      <c r="AH1349" s="26"/>
      <c r="AI1349" s="40" t="s">
        <v>147</v>
      </c>
      <c r="AJ1349" s="26"/>
      <c r="AK1349" s="26"/>
      <c r="AL1349" s="35"/>
      <c r="AM1349" s="35"/>
      <c r="AN1349" s="35"/>
      <c r="AO1349" s="35"/>
      <c r="AP1349" s="35"/>
    </row>
    <row r="1350" spans="1:42" x14ac:dyDescent="0.2">
      <c r="A1350" s="97">
        <v>45253</v>
      </c>
      <c r="B1350" s="28" t="s">
        <v>37</v>
      </c>
      <c r="C1350" s="41" t="s">
        <v>118</v>
      </c>
      <c r="D1350" s="26" t="s">
        <v>36</v>
      </c>
      <c r="E1350" s="26" t="s">
        <v>56</v>
      </c>
      <c r="F1350" s="26" t="s">
        <v>3930</v>
      </c>
      <c r="G1350" s="26" t="s">
        <v>108</v>
      </c>
      <c r="H1350" s="26" t="s">
        <v>4931</v>
      </c>
      <c r="I1350" s="17">
        <f ca="1">IFERROR(__xludf.DUMMYFUNCTION("""COMPUTED_VALUE"""),45375)</f>
        <v>45375</v>
      </c>
      <c r="J1350" s="29" t="s">
        <v>5385</v>
      </c>
      <c r="K1350" s="26" t="s">
        <v>5939</v>
      </c>
      <c r="L1350" s="30">
        <v>867427218</v>
      </c>
      <c r="M1350" s="26" t="s">
        <v>910</v>
      </c>
      <c r="N1350" s="26" t="s">
        <v>1472</v>
      </c>
      <c r="O1350" s="26" t="s">
        <v>5387</v>
      </c>
      <c r="P1350" s="42" t="s">
        <v>5940</v>
      </c>
      <c r="Q1350" s="20">
        <v>9317</v>
      </c>
      <c r="R1350" s="26" t="s">
        <v>36</v>
      </c>
      <c r="S1350" s="31">
        <v>2000</v>
      </c>
      <c r="T1350" s="32">
        <v>45217</v>
      </c>
      <c r="U1350" s="31">
        <v>7317</v>
      </c>
      <c r="V1350" s="32">
        <v>45238</v>
      </c>
      <c r="W1350" s="33" t="s">
        <v>5389</v>
      </c>
      <c r="X1350" s="26"/>
      <c r="Y1350" s="22">
        <v>0</v>
      </c>
      <c r="Z1350" s="26" t="s">
        <v>118</v>
      </c>
      <c r="AA1350" s="19" t="s">
        <v>5785</v>
      </c>
      <c r="AB1350" s="26" t="s">
        <v>104</v>
      </c>
      <c r="AC1350" s="26" t="s">
        <v>53</v>
      </c>
      <c r="AD1350" s="19" t="s">
        <v>138</v>
      </c>
      <c r="AE1350" s="26"/>
      <c r="AF1350" s="43">
        <v>45272</v>
      </c>
      <c r="AG1350" s="26" t="s">
        <v>4996</v>
      </c>
      <c r="AH1350" s="26"/>
      <c r="AI1350" s="40" t="s">
        <v>64</v>
      </c>
      <c r="AJ1350" s="26"/>
      <c r="AK1350" s="26"/>
      <c r="AL1350" s="35"/>
      <c r="AM1350" s="35"/>
      <c r="AN1350" s="35"/>
      <c r="AO1350" s="35"/>
      <c r="AP1350" s="35"/>
    </row>
    <row r="1351" spans="1:42" x14ac:dyDescent="0.2">
      <c r="A1351" s="97">
        <v>45253</v>
      </c>
      <c r="B1351" s="28" t="s">
        <v>37</v>
      </c>
      <c r="C1351" s="41" t="s">
        <v>118</v>
      </c>
      <c r="D1351" s="26" t="s">
        <v>36</v>
      </c>
      <c r="E1351" s="26" t="s">
        <v>56</v>
      </c>
      <c r="F1351" s="26" t="s">
        <v>3930</v>
      </c>
      <c r="G1351" s="26" t="s">
        <v>108</v>
      </c>
      <c r="H1351" s="26" t="s">
        <v>1626</v>
      </c>
      <c r="I1351" s="17">
        <f ca="1">IFERROR(__xludf.DUMMYFUNCTION("""COMPUTED_VALUE"""),45272)</f>
        <v>45272</v>
      </c>
      <c r="J1351" s="44" t="s">
        <v>5300</v>
      </c>
      <c r="K1351" s="26" t="s">
        <v>5301</v>
      </c>
      <c r="L1351" s="30">
        <v>347205331</v>
      </c>
      <c r="M1351" s="26" t="s">
        <v>80</v>
      </c>
      <c r="N1351" s="26" t="s">
        <v>1073</v>
      </c>
      <c r="O1351" s="26" t="s">
        <v>5302</v>
      </c>
      <c r="P1351" s="42" t="s">
        <v>5941</v>
      </c>
      <c r="Q1351" s="20">
        <v>9317</v>
      </c>
      <c r="R1351" s="26" t="s">
        <v>36</v>
      </c>
      <c r="S1351" s="31">
        <v>200</v>
      </c>
      <c r="T1351" s="32">
        <v>45206</v>
      </c>
      <c r="U1351" s="26">
        <f>1800+7317</f>
        <v>9117</v>
      </c>
      <c r="V1351" s="26" t="s">
        <v>5303</v>
      </c>
      <c r="W1351" s="33" t="s">
        <v>5304</v>
      </c>
      <c r="X1351" s="26"/>
      <c r="Y1351" s="22">
        <v>0</v>
      </c>
      <c r="Z1351" s="26" t="s">
        <v>118</v>
      </c>
      <c r="AA1351" s="19" t="s">
        <v>5785</v>
      </c>
      <c r="AB1351" s="26" t="s">
        <v>104</v>
      </c>
      <c r="AC1351" s="26" t="s">
        <v>53</v>
      </c>
      <c r="AD1351" s="19" t="s">
        <v>138</v>
      </c>
      <c r="AE1351" s="26">
        <v>0</v>
      </c>
      <c r="AF1351" s="43">
        <v>45272</v>
      </c>
      <c r="AG1351" s="26" t="s">
        <v>4996</v>
      </c>
      <c r="AH1351" s="26"/>
      <c r="AI1351" s="40" t="s">
        <v>64</v>
      </c>
      <c r="AJ1351" s="26"/>
      <c r="AK1351" s="26"/>
      <c r="AL1351" s="35"/>
      <c r="AM1351" s="35"/>
      <c r="AN1351" s="35"/>
      <c r="AO1351" s="35"/>
      <c r="AP1351" s="35"/>
    </row>
    <row r="1352" spans="1:42" x14ac:dyDescent="0.2">
      <c r="A1352" s="97">
        <v>45253</v>
      </c>
      <c r="B1352" s="28" t="s">
        <v>37</v>
      </c>
      <c r="C1352" s="41" t="s">
        <v>118</v>
      </c>
      <c r="D1352" s="26" t="s">
        <v>36</v>
      </c>
      <c r="E1352" s="26" t="s">
        <v>56</v>
      </c>
      <c r="F1352" s="26" t="s">
        <v>3930</v>
      </c>
      <c r="G1352" s="26" t="s">
        <v>108</v>
      </c>
      <c r="H1352" s="26" t="s">
        <v>1626</v>
      </c>
      <c r="I1352" s="17">
        <f ca="1">IFERROR(__xludf.DUMMYFUNCTION("""COMPUTED_VALUE"""),45272)</f>
        <v>45272</v>
      </c>
      <c r="J1352" s="29" t="s">
        <v>5358</v>
      </c>
      <c r="K1352" s="26" t="s">
        <v>5942</v>
      </c>
      <c r="L1352" s="30">
        <v>389630618</v>
      </c>
      <c r="M1352" s="26" t="s">
        <v>123</v>
      </c>
      <c r="N1352" s="26" t="s">
        <v>2847</v>
      </c>
      <c r="O1352" s="26" t="s">
        <v>5360</v>
      </c>
      <c r="P1352" s="26" t="s">
        <v>5943</v>
      </c>
      <c r="Q1352" s="20">
        <v>9317</v>
      </c>
      <c r="R1352" s="26" t="s">
        <v>70</v>
      </c>
      <c r="S1352" s="31">
        <v>100</v>
      </c>
      <c r="T1352" s="32">
        <v>45210</v>
      </c>
      <c r="U1352" s="31">
        <f t="shared" ref="U1352:U1353" si="0">400+2000+6717</f>
        <v>9117</v>
      </c>
      <c r="V1352" s="26" t="s">
        <v>5351</v>
      </c>
      <c r="W1352" s="33" t="s">
        <v>5361</v>
      </c>
      <c r="X1352" s="26"/>
      <c r="Y1352" s="22">
        <v>100</v>
      </c>
      <c r="Z1352" s="26" t="s">
        <v>118</v>
      </c>
      <c r="AA1352" s="19" t="s">
        <v>5785</v>
      </c>
      <c r="AB1352" s="26" t="s">
        <v>104</v>
      </c>
      <c r="AC1352" s="26" t="s">
        <v>53</v>
      </c>
      <c r="AD1352" s="19" t="s">
        <v>138</v>
      </c>
      <c r="AE1352" s="26"/>
      <c r="AF1352" s="43">
        <v>45272</v>
      </c>
      <c r="AG1352" s="26" t="s">
        <v>4996</v>
      </c>
      <c r="AH1352" s="26"/>
      <c r="AI1352" s="40" t="s">
        <v>64</v>
      </c>
      <c r="AJ1352" s="26"/>
      <c r="AK1352" s="26"/>
      <c r="AL1352" s="35"/>
      <c r="AM1352" s="35"/>
      <c r="AN1352" s="35"/>
      <c r="AO1352" s="35"/>
      <c r="AP1352" s="35"/>
    </row>
    <row r="1353" spans="1:42" x14ac:dyDescent="0.2">
      <c r="A1353" s="97">
        <v>45253</v>
      </c>
      <c r="B1353" s="28" t="s">
        <v>37</v>
      </c>
      <c r="C1353" s="41" t="s">
        <v>118</v>
      </c>
      <c r="D1353" s="26" t="s">
        <v>36</v>
      </c>
      <c r="E1353" s="26" t="s">
        <v>56</v>
      </c>
      <c r="F1353" s="26" t="s">
        <v>3930</v>
      </c>
      <c r="G1353" s="26" t="s">
        <v>108</v>
      </c>
      <c r="H1353" s="26" t="s">
        <v>1626</v>
      </c>
      <c r="I1353" s="17">
        <f ca="1">IFERROR(__xludf.DUMMYFUNCTION("""COMPUTED_VALUE"""),45272)</f>
        <v>45272</v>
      </c>
      <c r="J1353" s="29" t="s">
        <v>5348</v>
      </c>
      <c r="K1353" s="26" t="s">
        <v>5944</v>
      </c>
      <c r="L1353" s="30">
        <v>762347599</v>
      </c>
      <c r="M1353" s="26" t="s">
        <v>123</v>
      </c>
      <c r="N1353" s="26" t="s">
        <v>2847</v>
      </c>
      <c r="O1353" s="26" t="s">
        <v>5350</v>
      </c>
      <c r="P1353" s="26" t="s">
        <v>5943</v>
      </c>
      <c r="Q1353" s="20">
        <v>9317</v>
      </c>
      <c r="R1353" s="26" t="s">
        <v>70</v>
      </c>
      <c r="S1353" s="31">
        <v>100</v>
      </c>
      <c r="T1353" s="32">
        <v>45210</v>
      </c>
      <c r="U1353" s="31">
        <f t="shared" si="0"/>
        <v>9117</v>
      </c>
      <c r="V1353" s="26" t="s">
        <v>5351</v>
      </c>
      <c r="W1353" s="33" t="s">
        <v>5352</v>
      </c>
      <c r="X1353" s="26"/>
      <c r="Y1353" s="22">
        <v>100</v>
      </c>
      <c r="Z1353" s="26" t="s">
        <v>118</v>
      </c>
      <c r="AA1353" s="19" t="s">
        <v>5785</v>
      </c>
      <c r="AB1353" s="26" t="s">
        <v>104</v>
      </c>
      <c r="AC1353" s="26" t="s">
        <v>53</v>
      </c>
      <c r="AD1353" s="19" t="s">
        <v>138</v>
      </c>
      <c r="AE1353" s="26"/>
      <c r="AF1353" s="43">
        <v>45272</v>
      </c>
      <c r="AG1353" s="26" t="s">
        <v>4996</v>
      </c>
      <c r="AH1353" s="26"/>
      <c r="AI1353" s="40" t="s">
        <v>64</v>
      </c>
      <c r="AJ1353" s="26"/>
      <c r="AK1353" s="26"/>
      <c r="AL1353" s="35"/>
      <c r="AM1353" s="35"/>
      <c r="AN1353" s="35"/>
      <c r="AO1353" s="35"/>
      <c r="AP1353" s="35"/>
    </row>
    <row r="1354" spans="1:42" x14ac:dyDescent="0.2">
      <c r="A1354" s="97">
        <v>45253</v>
      </c>
      <c r="B1354" s="28" t="s">
        <v>37</v>
      </c>
      <c r="C1354" s="41" t="s">
        <v>118</v>
      </c>
      <c r="D1354" s="26" t="s">
        <v>36</v>
      </c>
      <c r="E1354" s="26" t="s">
        <v>139</v>
      </c>
      <c r="F1354" s="26" t="s">
        <v>3930</v>
      </c>
      <c r="G1354" s="26" t="s">
        <v>108</v>
      </c>
      <c r="H1354" s="26" t="s">
        <v>1626</v>
      </c>
      <c r="I1354" s="17">
        <f ca="1">IFERROR(__xludf.DUMMYFUNCTION("""COMPUTED_VALUE"""),45272)</f>
        <v>45272</v>
      </c>
      <c r="J1354" s="29" t="s">
        <v>5375</v>
      </c>
      <c r="K1354" s="26" t="s">
        <v>5376</v>
      </c>
      <c r="L1354" s="30">
        <v>329863371</v>
      </c>
      <c r="M1354" s="26" t="s">
        <v>3728</v>
      </c>
      <c r="N1354" s="26" t="s">
        <v>5377</v>
      </c>
      <c r="O1354" s="33" t="s">
        <v>5378</v>
      </c>
      <c r="P1354" s="26" t="s">
        <v>5945</v>
      </c>
      <c r="Q1354" s="20">
        <v>15936</v>
      </c>
      <c r="R1354" s="26" t="s">
        <v>36</v>
      </c>
      <c r="S1354" s="31">
        <v>2000</v>
      </c>
      <c r="T1354" s="32">
        <v>45216</v>
      </c>
      <c r="U1354" s="31">
        <v>14000</v>
      </c>
      <c r="V1354" s="32">
        <v>45243</v>
      </c>
      <c r="W1354" s="33" t="s">
        <v>5379</v>
      </c>
      <c r="X1354" s="26"/>
      <c r="Y1354" s="22">
        <v>-64</v>
      </c>
      <c r="Z1354" s="26" t="s">
        <v>118</v>
      </c>
      <c r="AA1354" s="19" t="s">
        <v>5785</v>
      </c>
      <c r="AB1354" s="26" t="s">
        <v>104</v>
      </c>
      <c r="AC1354" s="26" t="s">
        <v>53</v>
      </c>
      <c r="AD1354" s="19" t="s">
        <v>138</v>
      </c>
      <c r="AE1354" s="26">
        <v>0</v>
      </c>
      <c r="AF1354" s="43">
        <v>45272</v>
      </c>
      <c r="AG1354" s="26" t="s">
        <v>4996</v>
      </c>
      <c r="AH1354" s="26"/>
      <c r="AI1354" s="40" t="s">
        <v>147</v>
      </c>
      <c r="AJ1354" s="26"/>
      <c r="AK1354" s="26"/>
      <c r="AL1354" s="35"/>
      <c r="AM1354" s="35"/>
      <c r="AN1354" s="35"/>
      <c r="AO1354" s="35"/>
      <c r="AP1354" s="35"/>
    </row>
    <row r="1355" spans="1:42" x14ac:dyDescent="0.2">
      <c r="A1355" s="27">
        <v>45253.755572928239</v>
      </c>
      <c r="B1355" s="28" t="s">
        <v>37</v>
      </c>
      <c r="C1355" s="41" t="s">
        <v>118</v>
      </c>
      <c r="D1355" s="26" t="s">
        <v>36</v>
      </c>
      <c r="E1355" s="26" t="s">
        <v>56</v>
      </c>
      <c r="F1355" s="26" t="s">
        <v>2967</v>
      </c>
      <c r="G1355" s="26" t="s">
        <v>108</v>
      </c>
      <c r="H1355" s="26" t="s">
        <v>5946</v>
      </c>
      <c r="I1355" s="17">
        <f ca="1">IFERROR(__xludf.DUMMYFUNCTION("""COMPUTED_VALUE"""),45742)</f>
        <v>45742</v>
      </c>
      <c r="J1355" s="44" t="s">
        <v>5947</v>
      </c>
      <c r="K1355" s="26" t="s">
        <v>5948</v>
      </c>
      <c r="L1355" s="30">
        <v>386274462</v>
      </c>
      <c r="M1355" s="26" t="s">
        <v>80</v>
      </c>
      <c r="N1355" s="26" t="s">
        <v>81</v>
      </c>
      <c r="O1355" s="26" t="s">
        <v>4001</v>
      </c>
      <c r="P1355" s="26" t="s">
        <v>3178</v>
      </c>
      <c r="Q1355" s="20">
        <v>9317</v>
      </c>
      <c r="R1355" s="26" t="s">
        <v>36</v>
      </c>
      <c r="S1355" s="31">
        <v>200</v>
      </c>
      <c r="T1355" s="32">
        <v>45201</v>
      </c>
      <c r="U1355" s="31">
        <v>9117</v>
      </c>
      <c r="V1355" s="32">
        <v>45209</v>
      </c>
      <c r="W1355" s="26"/>
      <c r="X1355" s="26"/>
      <c r="Y1355" s="22">
        <v>0</v>
      </c>
      <c r="Z1355" s="26" t="s">
        <v>118</v>
      </c>
      <c r="AA1355" s="19" t="s">
        <v>5785</v>
      </c>
      <c r="AB1355" s="26"/>
      <c r="AC1355" s="26" t="s">
        <v>53</v>
      </c>
      <c r="AD1355" s="19" t="s">
        <v>138</v>
      </c>
      <c r="AE1355" s="26" t="s">
        <v>2967</v>
      </c>
      <c r="AF1355" s="17">
        <v>45300</v>
      </c>
      <c r="AG1355" s="26" t="s">
        <v>1362</v>
      </c>
      <c r="AH1355" s="26"/>
      <c r="AI1355" s="40" t="s">
        <v>64</v>
      </c>
      <c r="AJ1355" s="26"/>
      <c r="AK1355" s="26"/>
      <c r="AL1355" s="35"/>
      <c r="AM1355" s="35"/>
      <c r="AN1355" s="35"/>
      <c r="AO1355" s="35"/>
      <c r="AP1355" s="35"/>
    </row>
    <row r="1356" spans="1:42" x14ac:dyDescent="0.2">
      <c r="A1356" s="27">
        <v>45253.882325925922</v>
      </c>
      <c r="B1356" s="28" t="s">
        <v>37</v>
      </c>
      <c r="C1356" s="41" t="s">
        <v>118</v>
      </c>
      <c r="D1356" s="26" t="s">
        <v>36</v>
      </c>
      <c r="E1356" s="26" t="s">
        <v>148</v>
      </c>
      <c r="F1356" s="26" t="s">
        <v>740</v>
      </c>
      <c r="G1356" s="26" t="s">
        <v>221</v>
      </c>
      <c r="H1356" s="26" t="s">
        <v>4982</v>
      </c>
      <c r="I1356" s="17">
        <f ca="1">IFERROR(__xludf.DUMMYFUNCTION("""COMPUTED_VALUE"""),45257)</f>
        <v>45257</v>
      </c>
      <c r="J1356" s="29" t="s">
        <v>5949</v>
      </c>
      <c r="K1356" s="26" t="s">
        <v>2170</v>
      </c>
      <c r="L1356" s="30">
        <v>348178114</v>
      </c>
      <c r="M1356" s="26" t="s">
        <v>112</v>
      </c>
      <c r="N1356" s="26" t="s">
        <v>3330</v>
      </c>
      <c r="O1356" s="67" t="s">
        <v>5950</v>
      </c>
      <c r="P1356" s="42" t="s">
        <v>5951</v>
      </c>
      <c r="Q1356" s="20">
        <v>7349</v>
      </c>
      <c r="R1356" s="26" t="s">
        <v>36</v>
      </c>
      <c r="S1356" s="31">
        <v>7349</v>
      </c>
      <c r="T1356" s="32">
        <v>44899</v>
      </c>
      <c r="U1356" s="31"/>
      <c r="V1356" s="32"/>
      <c r="W1356" s="26"/>
      <c r="X1356" s="26"/>
      <c r="Y1356" s="22">
        <v>0</v>
      </c>
      <c r="Z1356" s="26" t="s">
        <v>118</v>
      </c>
      <c r="AA1356" s="19" t="s">
        <v>5785</v>
      </c>
      <c r="AB1356" s="26" t="s">
        <v>137</v>
      </c>
      <c r="AC1356" s="26" t="s">
        <v>53</v>
      </c>
      <c r="AD1356" s="19" t="s">
        <v>54</v>
      </c>
      <c r="AE1356" s="26">
        <v>630</v>
      </c>
      <c r="AF1356" s="17">
        <v>45257</v>
      </c>
      <c r="AG1356" s="26"/>
      <c r="AH1356" s="26"/>
      <c r="AI1356" s="40">
        <v>2</v>
      </c>
      <c r="AJ1356" s="26"/>
      <c r="AK1356" s="26"/>
      <c r="AL1356" s="35"/>
      <c r="AM1356" s="35"/>
      <c r="AN1356" s="35"/>
      <c r="AO1356" s="35"/>
      <c r="AP1356" s="35"/>
    </row>
    <row r="1357" spans="1:42" x14ac:dyDescent="0.2">
      <c r="A1357" s="27">
        <v>45253.987914953701</v>
      </c>
      <c r="B1357" s="28" t="s">
        <v>37</v>
      </c>
      <c r="C1357" s="41" t="s">
        <v>118</v>
      </c>
      <c r="D1357" s="26" t="s">
        <v>36</v>
      </c>
      <c r="E1357" s="26" t="s">
        <v>148</v>
      </c>
      <c r="F1357" s="26" t="s">
        <v>3400</v>
      </c>
      <c r="G1357" s="26" t="s">
        <v>221</v>
      </c>
      <c r="H1357" s="26" t="s">
        <v>4982</v>
      </c>
      <c r="I1357" s="17">
        <f ca="1">IFERROR(__xludf.DUMMYFUNCTION("""COMPUTED_VALUE"""),45257)</f>
        <v>45257</v>
      </c>
      <c r="J1357" s="29" t="s">
        <v>5952</v>
      </c>
      <c r="K1357" s="26" t="s">
        <v>5953</v>
      </c>
      <c r="L1357" s="30">
        <v>886242703</v>
      </c>
      <c r="M1357" s="26" t="s">
        <v>112</v>
      </c>
      <c r="N1357" s="26" t="s">
        <v>3330</v>
      </c>
      <c r="O1357" s="67" t="s">
        <v>5954</v>
      </c>
      <c r="P1357" s="42" t="s">
        <v>5955</v>
      </c>
      <c r="Q1357" s="20">
        <v>7349</v>
      </c>
      <c r="R1357" s="26" t="s">
        <v>36</v>
      </c>
      <c r="S1357" s="31">
        <v>7249</v>
      </c>
      <c r="T1357" s="32">
        <v>45091</v>
      </c>
      <c r="U1357" s="31">
        <v>100</v>
      </c>
      <c r="V1357" s="32">
        <v>45091</v>
      </c>
      <c r="W1357" s="26"/>
      <c r="X1357" s="26"/>
      <c r="Y1357" s="22">
        <v>0</v>
      </c>
      <c r="Z1357" s="26" t="s">
        <v>118</v>
      </c>
      <c r="AA1357" s="19" t="s">
        <v>5785</v>
      </c>
      <c r="AB1357" s="26" t="s">
        <v>104</v>
      </c>
      <c r="AC1357" s="26" t="s">
        <v>53</v>
      </c>
      <c r="AD1357" s="19" t="s">
        <v>54</v>
      </c>
      <c r="AE1357" s="26">
        <v>565</v>
      </c>
      <c r="AF1357" s="17">
        <v>45257</v>
      </c>
      <c r="AG1357" s="26"/>
      <c r="AH1357" s="26"/>
      <c r="AI1357" s="40">
        <v>2</v>
      </c>
      <c r="AJ1357" s="26"/>
      <c r="AK1357" s="26"/>
      <c r="AL1357" s="35"/>
      <c r="AM1357" s="35"/>
      <c r="AN1357" s="35"/>
      <c r="AO1357" s="35"/>
      <c r="AP1357" s="35"/>
    </row>
    <row r="1358" spans="1:42" x14ac:dyDescent="0.2">
      <c r="A1358" s="97">
        <v>45254</v>
      </c>
      <c r="B1358" s="28" t="s">
        <v>37</v>
      </c>
      <c r="C1358" s="41" t="s">
        <v>118</v>
      </c>
      <c r="D1358" s="26" t="s">
        <v>36</v>
      </c>
      <c r="E1358" s="26" t="s">
        <v>139</v>
      </c>
      <c r="F1358" s="26" t="s">
        <v>3930</v>
      </c>
      <c r="G1358" s="26" t="s">
        <v>108</v>
      </c>
      <c r="H1358" s="26" t="s">
        <v>1626</v>
      </c>
      <c r="I1358" s="17">
        <f ca="1">IFERROR(__xludf.DUMMYFUNCTION("""COMPUTED_VALUE"""),45272)</f>
        <v>45272</v>
      </c>
      <c r="J1358" s="29" t="s">
        <v>5215</v>
      </c>
      <c r="K1358" s="26" t="s">
        <v>5216</v>
      </c>
      <c r="L1358" s="30">
        <v>912200120</v>
      </c>
      <c r="M1358" s="26" t="s">
        <v>80</v>
      </c>
      <c r="N1358" s="26" t="s">
        <v>81</v>
      </c>
      <c r="O1358" s="26" t="s">
        <v>5217</v>
      </c>
      <c r="P1358" s="42" t="s">
        <v>5956</v>
      </c>
      <c r="Q1358" s="20">
        <v>15936</v>
      </c>
      <c r="R1358" s="26" t="s">
        <v>36</v>
      </c>
      <c r="S1358" s="31">
        <v>200</v>
      </c>
      <c r="T1358" s="32">
        <v>45199</v>
      </c>
      <c r="U1358" s="31">
        <f>3800+11936</f>
        <v>15736</v>
      </c>
      <c r="V1358" s="26" t="s">
        <v>5218</v>
      </c>
      <c r="W1358" s="33" t="s">
        <v>5219</v>
      </c>
      <c r="X1358" s="26"/>
      <c r="Y1358" s="22">
        <v>0</v>
      </c>
      <c r="Z1358" s="26" t="s">
        <v>118</v>
      </c>
      <c r="AA1358" s="19" t="s">
        <v>5785</v>
      </c>
      <c r="AB1358" s="26" t="s">
        <v>104</v>
      </c>
      <c r="AC1358" s="26" t="s">
        <v>53</v>
      </c>
      <c r="AD1358" s="19" t="s">
        <v>138</v>
      </c>
      <c r="AE1358" s="26">
        <v>0</v>
      </c>
      <c r="AF1358" s="43">
        <v>45272</v>
      </c>
      <c r="AG1358" s="26" t="s">
        <v>4996</v>
      </c>
      <c r="AH1358" s="26"/>
      <c r="AI1358" s="40" t="s">
        <v>147</v>
      </c>
      <c r="AJ1358" s="26"/>
      <c r="AK1358" s="26"/>
      <c r="AL1358" s="35"/>
      <c r="AM1358" s="35"/>
      <c r="AN1358" s="35"/>
      <c r="AO1358" s="35"/>
      <c r="AP1358" s="35"/>
    </row>
    <row r="1359" spans="1:42" x14ac:dyDescent="0.2">
      <c r="A1359" s="97">
        <v>45254</v>
      </c>
      <c r="B1359" s="28" t="s">
        <v>37</v>
      </c>
      <c r="C1359" s="41" t="s">
        <v>118</v>
      </c>
      <c r="D1359" s="26" t="s">
        <v>36</v>
      </c>
      <c r="E1359" s="26" t="s">
        <v>139</v>
      </c>
      <c r="F1359" s="26" t="s">
        <v>3930</v>
      </c>
      <c r="G1359" s="26" t="s">
        <v>108</v>
      </c>
      <c r="H1359" s="26" t="s">
        <v>1626</v>
      </c>
      <c r="I1359" s="17">
        <f ca="1">IFERROR(__xludf.DUMMYFUNCTION("""COMPUTED_VALUE"""),45272)</f>
        <v>45272</v>
      </c>
      <c r="J1359" s="29" t="s">
        <v>5957</v>
      </c>
      <c r="K1359" s="26" t="s">
        <v>5958</v>
      </c>
      <c r="L1359" s="30">
        <v>837161555</v>
      </c>
      <c r="M1359" s="26" t="s">
        <v>123</v>
      </c>
      <c r="N1359" s="26" t="s">
        <v>1881</v>
      </c>
      <c r="O1359" s="26" t="s">
        <v>1226</v>
      </c>
      <c r="P1359" s="42" t="s">
        <v>5959</v>
      </c>
      <c r="Q1359" s="20">
        <v>15936</v>
      </c>
      <c r="R1359" s="26" t="s">
        <v>36</v>
      </c>
      <c r="S1359" s="31">
        <v>7000</v>
      </c>
      <c r="T1359" s="32">
        <v>45214</v>
      </c>
      <c r="U1359" s="31">
        <v>8936</v>
      </c>
      <c r="V1359" s="32">
        <v>45260</v>
      </c>
      <c r="W1359" s="33" t="s">
        <v>5960</v>
      </c>
      <c r="X1359" s="26"/>
      <c r="Y1359" s="22">
        <v>0</v>
      </c>
      <c r="Z1359" s="26" t="s">
        <v>50</v>
      </c>
      <c r="AA1359" s="19" t="s">
        <v>5961</v>
      </c>
      <c r="AB1359" s="26" t="s">
        <v>104</v>
      </c>
      <c r="AC1359" s="26" t="s">
        <v>53</v>
      </c>
      <c r="AD1359" s="19" t="s">
        <v>138</v>
      </c>
      <c r="AE1359" s="26"/>
      <c r="AF1359" s="43">
        <v>45272</v>
      </c>
      <c r="AG1359" s="26" t="s">
        <v>4996</v>
      </c>
      <c r="AH1359" s="26"/>
      <c r="AI1359" s="40" t="s">
        <v>147</v>
      </c>
      <c r="AJ1359" s="26"/>
      <c r="AK1359" s="26"/>
      <c r="AL1359" s="35"/>
      <c r="AM1359" s="35"/>
      <c r="AN1359" s="35"/>
      <c r="AO1359" s="35"/>
      <c r="AP1359" s="35"/>
    </row>
    <row r="1360" spans="1:42" x14ac:dyDescent="0.2">
      <c r="A1360" s="27">
        <v>45254.800214918985</v>
      </c>
      <c r="B1360" s="28" t="s">
        <v>37</v>
      </c>
      <c r="C1360" s="41" t="s">
        <v>118</v>
      </c>
      <c r="D1360" s="26" t="s">
        <v>36</v>
      </c>
      <c r="E1360" s="26" t="s">
        <v>139</v>
      </c>
      <c r="F1360" s="26" t="s">
        <v>3930</v>
      </c>
      <c r="G1360" s="26" t="s">
        <v>108</v>
      </c>
      <c r="H1360" s="26" t="s">
        <v>3407</v>
      </c>
      <c r="I1360" s="17">
        <f ca="1">IFERROR(__xludf.DUMMYFUNCTION("""COMPUTED_VALUE"""),45293)</f>
        <v>45293</v>
      </c>
      <c r="J1360" s="29" t="s">
        <v>3931</v>
      </c>
      <c r="K1360" s="26" t="s">
        <v>5962</v>
      </c>
      <c r="L1360" s="30">
        <v>912526137</v>
      </c>
      <c r="M1360" s="26" t="s">
        <v>80</v>
      </c>
      <c r="N1360" s="26" t="s">
        <v>186</v>
      </c>
      <c r="O1360" s="26" t="s">
        <v>3933</v>
      </c>
      <c r="P1360" s="42" t="s">
        <v>5963</v>
      </c>
      <c r="Q1360" s="20">
        <v>15936</v>
      </c>
      <c r="R1360" s="26" t="s">
        <v>36</v>
      </c>
      <c r="S1360" s="31">
        <v>4000</v>
      </c>
      <c r="T1360" s="32">
        <v>45198</v>
      </c>
      <c r="U1360" s="31">
        <v>11836</v>
      </c>
      <c r="V1360" s="32">
        <v>45227</v>
      </c>
      <c r="W1360" s="33" t="s">
        <v>3935</v>
      </c>
      <c r="X1360" s="26"/>
      <c r="Y1360" s="22">
        <v>100</v>
      </c>
      <c r="Z1360" s="26" t="s">
        <v>118</v>
      </c>
      <c r="AA1360" s="19" t="s">
        <v>5785</v>
      </c>
      <c r="AB1360" s="26" t="s">
        <v>137</v>
      </c>
      <c r="AC1360" s="26" t="s">
        <v>53</v>
      </c>
      <c r="AD1360" s="19" t="s">
        <v>138</v>
      </c>
      <c r="AE1360" s="26" t="s">
        <v>3930</v>
      </c>
      <c r="AF1360" s="17">
        <v>45293</v>
      </c>
      <c r="AG1360" s="35" t="s">
        <v>3415</v>
      </c>
      <c r="AH1360" s="26"/>
      <c r="AI1360" s="40" t="s">
        <v>147</v>
      </c>
      <c r="AJ1360" s="26"/>
      <c r="AK1360" s="26"/>
      <c r="AL1360" s="35"/>
      <c r="AM1360" s="35"/>
      <c r="AN1360" s="35"/>
      <c r="AO1360" s="35"/>
      <c r="AP1360" s="35"/>
    </row>
    <row r="1361" spans="1:42" x14ac:dyDescent="0.2">
      <c r="A1361" s="27">
        <v>45255.678468460646</v>
      </c>
      <c r="B1361" s="28" t="s">
        <v>37</v>
      </c>
      <c r="C1361" s="41" t="s">
        <v>118</v>
      </c>
      <c r="D1361" s="26" t="s">
        <v>36</v>
      </c>
      <c r="E1361" s="26" t="s">
        <v>39</v>
      </c>
      <c r="F1361" s="26" t="s">
        <v>2973</v>
      </c>
      <c r="G1361" s="26" t="s">
        <v>108</v>
      </c>
      <c r="H1361" s="26" t="s">
        <v>2191</v>
      </c>
      <c r="I1361" s="17">
        <f ca="1">IFERROR(__xludf.DUMMYFUNCTION("""COMPUTED_VALUE"""),45263)</f>
        <v>45263</v>
      </c>
      <c r="J1361" s="29" t="s">
        <v>3772</v>
      </c>
      <c r="K1361" s="26" t="s">
        <v>5964</v>
      </c>
      <c r="L1361" s="30">
        <v>349875301</v>
      </c>
      <c r="M1361" s="26" t="s">
        <v>112</v>
      </c>
      <c r="N1361" s="26" t="s">
        <v>3330</v>
      </c>
      <c r="O1361" s="26" t="s">
        <v>3774</v>
      </c>
      <c r="P1361" s="42" t="s">
        <v>5965</v>
      </c>
      <c r="Q1361" s="20">
        <v>5736</v>
      </c>
      <c r="R1361" s="26" t="s">
        <v>36</v>
      </c>
      <c r="S1361" s="31">
        <v>2000</v>
      </c>
      <c r="T1361" s="32">
        <v>45189</v>
      </c>
      <c r="U1361" s="31">
        <v>3736</v>
      </c>
      <c r="V1361" s="32">
        <v>45212</v>
      </c>
      <c r="W1361" s="26"/>
      <c r="X1361" s="26"/>
      <c r="Y1361" s="22">
        <v>0</v>
      </c>
      <c r="Z1361" s="26" t="s">
        <v>118</v>
      </c>
      <c r="AA1361" s="19" t="s">
        <v>5785</v>
      </c>
      <c r="AB1361" s="26" t="s">
        <v>137</v>
      </c>
      <c r="AC1361" s="26" t="s">
        <v>53</v>
      </c>
      <c r="AD1361" s="19" t="s">
        <v>54</v>
      </c>
      <c r="AE1361" s="26" t="s">
        <v>4698</v>
      </c>
      <c r="AF1361" s="17">
        <v>45257</v>
      </c>
      <c r="AG1361" s="26"/>
      <c r="AH1361" s="26"/>
      <c r="AI1361" s="40" t="s">
        <v>55</v>
      </c>
      <c r="AJ1361" s="26"/>
      <c r="AK1361" s="26"/>
      <c r="AL1361" s="35"/>
      <c r="AM1361" s="35"/>
      <c r="AN1361" s="35"/>
      <c r="AO1361" s="35"/>
      <c r="AP1361" s="35"/>
    </row>
    <row r="1362" spans="1:42" x14ac:dyDescent="0.2">
      <c r="A1362" s="27">
        <v>45257.835353784722</v>
      </c>
      <c r="B1362" s="28" t="s">
        <v>37</v>
      </c>
      <c r="C1362" s="41" t="s">
        <v>118</v>
      </c>
      <c r="D1362" s="26" t="s">
        <v>36</v>
      </c>
      <c r="E1362" s="26" t="s">
        <v>148</v>
      </c>
      <c r="F1362" s="26" t="s">
        <v>1544</v>
      </c>
      <c r="G1362" s="26" t="s">
        <v>221</v>
      </c>
      <c r="H1362" s="26" t="s">
        <v>5049</v>
      </c>
      <c r="I1362" s="17">
        <f ca="1">IFERROR(__xludf.DUMMYFUNCTION("""COMPUTED_VALUE"""),45270)</f>
        <v>45270</v>
      </c>
      <c r="J1362" s="29" t="s">
        <v>2320</v>
      </c>
      <c r="K1362" s="26" t="s">
        <v>5966</v>
      </c>
      <c r="L1362" s="30">
        <v>942442595</v>
      </c>
      <c r="M1362" s="26" t="s">
        <v>112</v>
      </c>
      <c r="N1362" s="26" t="s">
        <v>3330</v>
      </c>
      <c r="O1362" s="67" t="s">
        <v>5967</v>
      </c>
      <c r="P1362" s="26" t="s">
        <v>5968</v>
      </c>
      <c r="Q1362" s="20">
        <v>7349</v>
      </c>
      <c r="R1362" s="26" t="s">
        <v>36</v>
      </c>
      <c r="S1362" s="31">
        <v>10804</v>
      </c>
      <c r="T1362" s="32">
        <v>45012</v>
      </c>
      <c r="U1362" s="31"/>
      <c r="V1362" s="32"/>
      <c r="W1362" s="26"/>
      <c r="X1362" s="26"/>
      <c r="Y1362" s="22">
        <v>-3455</v>
      </c>
      <c r="Z1362" s="26" t="s">
        <v>118</v>
      </c>
      <c r="AA1362" s="19" t="s">
        <v>5785</v>
      </c>
      <c r="AB1362" s="26" t="s">
        <v>104</v>
      </c>
      <c r="AC1362" s="26" t="s">
        <v>53</v>
      </c>
      <c r="AD1362" s="19" t="s">
        <v>54</v>
      </c>
      <c r="AE1362" s="26">
        <v>745</v>
      </c>
      <c r="AF1362" s="17">
        <v>45259</v>
      </c>
      <c r="AG1362" s="26"/>
      <c r="AH1362" s="26"/>
      <c r="AI1362" s="40">
        <v>2</v>
      </c>
      <c r="AJ1362" s="26"/>
      <c r="AK1362" s="26"/>
      <c r="AL1362" s="35"/>
      <c r="AM1362" s="35"/>
      <c r="AN1362" s="35"/>
      <c r="AO1362" s="35"/>
      <c r="AP1362" s="35"/>
    </row>
    <row r="1363" spans="1:42" x14ac:dyDescent="0.2">
      <c r="A1363" s="27">
        <v>45257.839186018522</v>
      </c>
      <c r="B1363" s="28" t="s">
        <v>37</v>
      </c>
      <c r="C1363" s="41" t="s">
        <v>118</v>
      </c>
      <c r="D1363" s="26" t="s">
        <v>36</v>
      </c>
      <c r="E1363" s="26" t="s">
        <v>139</v>
      </c>
      <c r="F1363" s="26" t="s">
        <v>2921</v>
      </c>
      <c r="G1363" s="26" t="s">
        <v>108</v>
      </c>
      <c r="H1363" s="26" t="s">
        <v>2191</v>
      </c>
      <c r="I1363" s="17">
        <f ca="1">IFERROR(__xludf.DUMMYFUNCTION("""COMPUTED_VALUE"""),45263)</f>
        <v>45263</v>
      </c>
      <c r="J1363" s="29" t="s">
        <v>4101</v>
      </c>
      <c r="K1363" s="26" t="s">
        <v>5969</v>
      </c>
      <c r="L1363" s="30">
        <v>974883029</v>
      </c>
      <c r="M1363" s="26" t="s">
        <v>123</v>
      </c>
      <c r="N1363" s="26" t="s">
        <v>186</v>
      </c>
      <c r="O1363" s="26" t="s">
        <v>4293</v>
      </c>
      <c r="P1363" s="26" t="s">
        <v>5970</v>
      </c>
      <c r="Q1363" s="20">
        <v>15936</v>
      </c>
      <c r="R1363" s="26" t="s">
        <v>70</v>
      </c>
      <c r="S1363" s="31">
        <v>200</v>
      </c>
      <c r="T1363" s="32">
        <v>45200</v>
      </c>
      <c r="U1363" s="31">
        <v>15636</v>
      </c>
      <c r="V1363" s="32">
        <v>45205</v>
      </c>
      <c r="W1363" s="26" t="s">
        <v>4104</v>
      </c>
      <c r="X1363" s="26"/>
      <c r="Y1363" s="22">
        <v>100</v>
      </c>
      <c r="Z1363" s="26" t="s">
        <v>118</v>
      </c>
      <c r="AA1363" s="19" t="s">
        <v>5785</v>
      </c>
      <c r="AB1363" s="26" t="s">
        <v>137</v>
      </c>
      <c r="AC1363" s="26" t="s">
        <v>53</v>
      </c>
      <c r="AD1363" s="19" t="s">
        <v>54</v>
      </c>
      <c r="AE1363" s="26" t="s">
        <v>5971</v>
      </c>
      <c r="AF1363" s="17">
        <v>45259</v>
      </c>
      <c r="AG1363" s="26"/>
      <c r="AH1363" s="26"/>
      <c r="AI1363" s="40" t="s">
        <v>147</v>
      </c>
      <c r="AJ1363" s="26"/>
      <c r="AK1363" s="26"/>
      <c r="AL1363" s="35"/>
      <c r="AM1363" s="35"/>
      <c r="AN1363" s="35"/>
      <c r="AO1363" s="35"/>
      <c r="AP1363" s="35"/>
    </row>
    <row r="1364" spans="1:42" x14ac:dyDescent="0.2">
      <c r="A1364" s="27">
        <v>45257.841882766203</v>
      </c>
      <c r="B1364" s="28" t="s">
        <v>37</v>
      </c>
      <c r="C1364" s="41" t="s">
        <v>118</v>
      </c>
      <c r="D1364" s="26" t="s">
        <v>36</v>
      </c>
      <c r="E1364" s="26" t="s">
        <v>39</v>
      </c>
      <c r="F1364" s="26" t="s">
        <v>2921</v>
      </c>
      <c r="G1364" s="26" t="s">
        <v>108</v>
      </c>
      <c r="H1364" s="26" t="s">
        <v>2191</v>
      </c>
      <c r="I1364" s="17">
        <f ca="1">IFERROR(__xludf.DUMMYFUNCTION("""COMPUTED_VALUE"""),45263)</f>
        <v>45263</v>
      </c>
      <c r="J1364" s="29" t="s">
        <v>3249</v>
      </c>
      <c r="K1364" s="26" t="s">
        <v>3250</v>
      </c>
      <c r="L1364" s="30">
        <v>356636111</v>
      </c>
      <c r="M1364" s="26" t="s">
        <v>112</v>
      </c>
      <c r="N1364" s="26" t="s">
        <v>3330</v>
      </c>
      <c r="O1364" s="26" t="s">
        <v>3251</v>
      </c>
      <c r="P1364" s="26" t="s">
        <v>5972</v>
      </c>
      <c r="Q1364" s="20">
        <v>5736</v>
      </c>
      <c r="R1364" s="26" t="s">
        <v>36</v>
      </c>
      <c r="S1364" s="31">
        <v>5736</v>
      </c>
      <c r="T1364" s="32">
        <v>45198</v>
      </c>
      <c r="U1364" s="31"/>
      <c r="V1364" s="32"/>
      <c r="W1364" s="26"/>
      <c r="X1364" s="26"/>
      <c r="Y1364" s="22">
        <v>0</v>
      </c>
      <c r="Z1364" s="26" t="s">
        <v>118</v>
      </c>
      <c r="AA1364" s="19" t="s">
        <v>5785</v>
      </c>
      <c r="AB1364" s="26" t="s">
        <v>137</v>
      </c>
      <c r="AC1364" s="26" t="s">
        <v>53</v>
      </c>
      <c r="AD1364" s="19" t="s">
        <v>54</v>
      </c>
      <c r="AE1364" s="26" t="s">
        <v>5891</v>
      </c>
      <c r="AF1364" s="17">
        <v>45259</v>
      </c>
      <c r="AG1364" s="26"/>
      <c r="AH1364" s="26"/>
      <c r="AI1364" s="40" t="s">
        <v>55</v>
      </c>
      <c r="AJ1364" s="26"/>
      <c r="AK1364" s="26"/>
      <c r="AL1364" s="35"/>
      <c r="AM1364" s="35"/>
      <c r="AN1364" s="35"/>
      <c r="AO1364" s="35"/>
      <c r="AP1364" s="35"/>
    </row>
    <row r="1365" spans="1:42" x14ac:dyDescent="0.2">
      <c r="A1365" s="27">
        <v>45258.773998749995</v>
      </c>
      <c r="B1365" s="28" t="s">
        <v>37</v>
      </c>
      <c r="C1365" s="41" t="s">
        <v>118</v>
      </c>
      <c r="D1365" s="26" t="s">
        <v>36</v>
      </c>
      <c r="E1365" s="26" t="s">
        <v>139</v>
      </c>
      <c r="F1365" s="26" t="s">
        <v>3198</v>
      </c>
      <c r="G1365" s="26" t="s">
        <v>108</v>
      </c>
      <c r="H1365" s="26" t="s">
        <v>2258</v>
      </c>
      <c r="I1365" s="17">
        <f ca="1">IFERROR(__xludf.DUMMYFUNCTION("""COMPUTED_VALUE"""),45267)</f>
        <v>45267</v>
      </c>
      <c r="J1365" s="29" t="s">
        <v>5973</v>
      </c>
      <c r="K1365" s="26" t="s">
        <v>2364</v>
      </c>
      <c r="L1365" s="30">
        <v>866819319</v>
      </c>
      <c r="M1365" s="26" t="s">
        <v>112</v>
      </c>
      <c r="N1365" s="26" t="s">
        <v>2157</v>
      </c>
      <c r="O1365" s="26" t="s">
        <v>134</v>
      </c>
      <c r="P1365" s="42" t="s">
        <v>5974</v>
      </c>
      <c r="Q1365" s="20">
        <v>15936</v>
      </c>
      <c r="R1365" s="26" t="s">
        <v>36</v>
      </c>
      <c r="S1365" s="31">
        <v>2000</v>
      </c>
      <c r="T1365" s="32">
        <v>45180</v>
      </c>
      <c r="U1365" s="31">
        <v>14232</v>
      </c>
      <c r="V1365" s="32">
        <v>45219</v>
      </c>
      <c r="W1365" s="26"/>
      <c r="X1365" s="26"/>
      <c r="Y1365" s="22">
        <v>-296</v>
      </c>
      <c r="Z1365" s="26" t="s">
        <v>118</v>
      </c>
      <c r="AA1365" s="19" t="s">
        <v>5785</v>
      </c>
      <c r="AB1365" s="26" t="s">
        <v>137</v>
      </c>
      <c r="AC1365" s="26" t="s">
        <v>53</v>
      </c>
      <c r="AD1365" s="19" t="s">
        <v>54</v>
      </c>
      <c r="AE1365" s="26" t="s">
        <v>3198</v>
      </c>
      <c r="AF1365" s="17">
        <v>45259</v>
      </c>
      <c r="AG1365" s="26"/>
      <c r="AH1365" s="26"/>
      <c r="AI1365" s="40" t="s">
        <v>147</v>
      </c>
      <c r="AJ1365" s="26"/>
      <c r="AK1365" s="26"/>
      <c r="AL1365" s="35"/>
      <c r="AM1365" s="35"/>
      <c r="AN1365" s="35"/>
      <c r="AO1365" s="35"/>
      <c r="AP1365" s="35"/>
    </row>
    <row r="1366" spans="1:42" x14ac:dyDescent="0.2">
      <c r="A1366" s="27">
        <v>45258.777752604168</v>
      </c>
      <c r="B1366" s="28" t="s">
        <v>37</v>
      </c>
      <c r="C1366" s="41" t="s">
        <v>118</v>
      </c>
      <c r="D1366" s="26" t="s">
        <v>36</v>
      </c>
      <c r="E1366" s="26" t="s">
        <v>139</v>
      </c>
      <c r="F1366" s="26" t="s">
        <v>3198</v>
      </c>
      <c r="G1366" s="26" t="s">
        <v>108</v>
      </c>
      <c r="H1366" s="26" t="s">
        <v>2258</v>
      </c>
      <c r="I1366" s="17">
        <f ca="1">IFERROR(__xludf.DUMMYFUNCTION("""COMPUTED_VALUE"""),45267)</f>
        <v>45267</v>
      </c>
      <c r="J1366" s="29" t="s">
        <v>4199</v>
      </c>
      <c r="K1366" s="26" t="s">
        <v>5975</v>
      </c>
      <c r="L1366" s="30">
        <v>896516273</v>
      </c>
      <c r="M1366" s="26" t="s">
        <v>633</v>
      </c>
      <c r="N1366" s="26" t="s">
        <v>2847</v>
      </c>
      <c r="O1366" s="26" t="s">
        <v>5976</v>
      </c>
      <c r="P1366" s="42" t="s">
        <v>5977</v>
      </c>
      <c r="Q1366" s="20">
        <v>15936</v>
      </c>
      <c r="R1366" s="26" t="s">
        <v>36</v>
      </c>
      <c r="S1366" s="31">
        <v>15936</v>
      </c>
      <c r="T1366" s="32">
        <v>45210</v>
      </c>
      <c r="U1366" s="31"/>
      <c r="V1366" s="32"/>
      <c r="W1366" s="33" t="s">
        <v>4202</v>
      </c>
      <c r="X1366" s="26"/>
      <c r="Y1366" s="22">
        <v>0</v>
      </c>
      <c r="Z1366" s="26" t="s">
        <v>118</v>
      </c>
      <c r="AA1366" s="19" t="s">
        <v>5785</v>
      </c>
      <c r="AB1366" s="26" t="s">
        <v>137</v>
      </c>
      <c r="AC1366" s="26" t="s">
        <v>53</v>
      </c>
      <c r="AD1366" s="19" t="s">
        <v>54</v>
      </c>
      <c r="AE1366" s="26" t="s">
        <v>3198</v>
      </c>
      <c r="AF1366" s="17">
        <v>45259</v>
      </c>
      <c r="AG1366" s="26"/>
      <c r="AH1366" s="26"/>
      <c r="AI1366" s="40" t="s">
        <v>147</v>
      </c>
      <c r="AJ1366" s="26"/>
      <c r="AK1366" s="26"/>
      <c r="AL1366" s="35"/>
      <c r="AM1366" s="35"/>
      <c r="AN1366" s="35"/>
      <c r="AO1366" s="35"/>
      <c r="AP1366" s="35"/>
    </row>
    <row r="1367" spans="1:42" x14ac:dyDescent="0.2">
      <c r="A1367" s="27">
        <v>45258.902316354171</v>
      </c>
      <c r="B1367" s="28" t="s">
        <v>37</v>
      </c>
      <c r="C1367" s="41" t="s">
        <v>118</v>
      </c>
      <c r="D1367" s="26" t="s">
        <v>36</v>
      </c>
      <c r="E1367" s="26" t="s">
        <v>39</v>
      </c>
      <c r="F1367" s="26" t="s">
        <v>3198</v>
      </c>
      <c r="G1367" s="26" t="s">
        <v>108</v>
      </c>
      <c r="H1367" s="26" t="s">
        <v>2258</v>
      </c>
      <c r="I1367" s="17">
        <f ca="1">IFERROR(__xludf.DUMMYFUNCTION("""COMPUTED_VALUE"""),45267)</f>
        <v>45267</v>
      </c>
      <c r="J1367" s="29" t="s">
        <v>5292</v>
      </c>
      <c r="K1367" s="26" t="s">
        <v>5978</v>
      </c>
      <c r="L1367" s="30">
        <v>968063533</v>
      </c>
      <c r="M1367" s="26" t="s">
        <v>112</v>
      </c>
      <c r="N1367" s="26" t="s">
        <v>3330</v>
      </c>
      <c r="O1367" s="26" t="s">
        <v>134</v>
      </c>
      <c r="P1367" s="54" t="s">
        <v>5294</v>
      </c>
      <c r="Q1367" s="20">
        <v>5736</v>
      </c>
      <c r="R1367" s="26" t="s">
        <v>36</v>
      </c>
      <c r="S1367" s="31">
        <v>2000</v>
      </c>
      <c r="T1367" s="32">
        <v>45208</v>
      </c>
      <c r="U1367" s="31">
        <v>3736</v>
      </c>
      <c r="V1367" s="32">
        <v>45231</v>
      </c>
      <c r="W1367" s="33" t="s">
        <v>5295</v>
      </c>
      <c r="X1367" s="26"/>
      <c r="Y1367" s="22">
        <v>0</v>
      </c>
      <c r="Z1367" s="26" t="s">
        <v>118</v>
      </c>
      <c r="AA1367" s="19" t="s">
        <v>5785</v>
      </c>
      <c r="AB1367" s="26" t="s">
        <v>137</v>
      </c>
      <c r="AC1367" s="26" t="s">
        <v>53</v>
      </c>
      <c r="AD1367" s="19" t="s">
        <v>54</v>
      </c>
      <c r="AE1367" s="26" t="s">
        <v>3198</v>
      </c>
      <c r="AF1367" s="17">
        <v>45259</v>
      </c>
      <c r="AG1367" s="26"/>
      <c r="AH1367" s="26"/>
      <c r="AI1367" s="40" t="s">
        <v>55</v>
      </c>
      <c r="AJ1367" s="26"/>
      <c r="AK1367" s="26"/>
      <c r="AL1367" s="35"/>
      <c r="AM1367" s="35"/>
      <c r="AN1367" s="35"/>
      <c r="AO1367" s="35"/>
      <c r="AP1367" s="35"/>
    </row>
    <row r="1368" spans="1:42" x14ac:dyDescent="0.2">
      <c r="A1368" s="27">
        <v>45258.984246805558</v>
      </c>
      <c r="B1368" s="28" t="s">
        <v>37</v>
      </c>
      <c r="C1368" s="41" t="s">
        <v>118</v>
      </c>
      <c r="D1368" s="26" t="s">
        <v>36</v>
      </c>
      <c r="E1368" s="26" t="s">
        <v>56</v>
      </c>
      <c r="F1368" s="26" t="s">
        <v>3198</v>
      </c>
      <c r="G1368" s="26" t="s">
        <v>108</v>
      </c>
      <c r="H1368" s="26" t="s">
        <v>2258</v>
      </c>
      <c r="I1368" s="17">
        <f ca="1">IFERROR(__xludf.DUMMYFUNCTION("""COMPUTED_VALUE"""),45267)</f>
        <v>45267</v>
      </c>
      <c r="J1368" s="29" t="s">
        <v>3199</v>
      </c>
      <c r="K1368" s="26" t="s">
        <v>5979</v>
      </c>
      <c r="L1368" s="30">
        <v>975329707</v>
      </c>
      <c r="M1368" s="26" t="s">
        <v>59</v>
      </c>
      <c r="N1368" s="26" t="s">
        <v>68</v>
      </c>
      <c r="O1368" s="26" t="s">
        <v>3201</v>
      </c>
      <c r="P1368" s="42" t="s">
        <v>5980</v>
      </c>
      <c r="Q1368" s="20">
        <v>9317</v>
      </c>
      <c r="R1368" s="26" t="s">
        <v>36</v>
      </c>
      <c r="S1368" s="31">
        <v>9317</v>
      </c>
      <c r="T1368" s="32">
        <v>45196</v>
      </c>
      <c r="U1368" s="31"/>
      <c r="V1368" s="32"/>
      <c r="W1368" s="33" t="s">
        <v>3203</v>
      </c>
      <c r="X1368" s="26"/>
      <c r="Y1368" s="22">
        <v>0</v>
      </c>
      <c r="Z1368" s="26" t="s">
        <v>118</v>
      </c>
      <c r="AA1368" s="19" t="s">
        <v>5785</v>
      </c>
      <c r="AB1368" s="26" t="s">
        <v>137</v>
      </c>
      <c r="AC1368" s="26" t="s">
        <v>53</v>
      </c>
      <c r="AD1368" s="19" t="s">
        <v>54</v>
      </c>
      <c r="AE1368" s="26" t="s">
        <v>3198</v>
      </c>
      <c r="AF1368" s="17">
        <v>45259</v>
      </c>
      <c r="AG1368" s="26"/>
      <c r="AH1368" s="26"/>
      <c r="AI1368" s="40" t="s">
        <v>64</v>
      </c>
      <c r="AJ1368" s="26"/>
      <c r="AK1368" s="26"/>
      <c r="AL1368" s="35"/>
      <c r="AM1368" s="35"/>
      <c r="AN1368" s="35"/>
      <c r="AO1368" s="35"/>
      <c r="AP1368" s="35"/>
    </row>
    <row r="1369" spans="1:42" x14ac:dyDescent="0.2">
      <c r="A1369" s="27">
        <v>45259.004426689819</v>
      </c>
      <c r="B1369" s="28" t="s">
        <v>37</v>
      </c>
      <c r="C1369" s="41" t="s">
        <v>118</v>
      </c>
      <c r="D1369" s="26" t="s">
        <v>36</v>
      </c>
      <c r="E1369" s="26" t="s">
        <v>139</v>
      </c>
      <c r="F1369" s="26" t="s">
        <v>3198</v>
      </c>
      <c r="G1369" s="26" t="s">
        <v>108</v>
      </c>
      <c r="H1369" s="26" t="s">
        <v>2258</v>
      </c>
      <c r="I1369" s="17">
        <f ca="1">IFERROR(__xludf.DUMMYFUNCTION("""COMPUTED_VALUE"""),45267)</f>
        <v>45267</v>
      </c>
      <c r="J1369" s="29" t="s">
        <v>4183</v>
      </c>
      <c r="K1369" s="26" t="s">
        <v>5981</v>
      </c>
      <c r="L1369" s="30">
        <v>789248956</v>
      </c>
      <c r="M1369" s="26" t="s">
        <v>2755</v>
      </c>
      <c r="N1369" s="26" t="s">
        <v>310</v>
      </c>
      <c r="O1369" s="26" t="s">
        <v>4185</v>
      </c>
      <c r="P1369" s="42" t="s">
        <v>5982</v>
      </c>
      <c r="Q1369" s="20">
        <v>15936</v>
      </c>
      <c r="R1369" s="26" t="s">
        <v>70</v>
      </c>
      <c r="S1369" s="31">
        <v>2000</v>
      </c>
      <c r="T1369" s="32">
        <v>45209</v>
      </c>
      <c r="U1369" s="31">
        <v>13936</v>
      </c>
      <c r="V1369" s="32">
        <v>45230</v>
      </c>
      <c r="W1369" s="33" t="s">
        <v>4187</v>
      </c>
      <c r="X1369" s="26"/>
      <c r="Y1369" s="22">
        <v>0</v>
      </c>
      <c r="Z1369" s="26" t="s">
        <v>118</v>
      </c>
      <c r="AA1369" s="19" t="s">
        <v>5785</v>
      </c>
      <c r="AB1369" s="26" t="s">
        <v>137</v>
      </c>
      <c r="AC1369" s="26" t="s">
        <v>53</v>
      </c>
      <c r="AD1369" s="19" t="s">
        <v>54</v>
      </c>
      <c r="AE1369" s="26" t="s">
        <v>3198</v>
      </c>
      <c r="AF1369" s="17">
        <v>45259</v>
      </c>
      <c r="AG1369" s="26"/>
      <c r="AH1369" s="26"/>
      <c r="AI1369" s="40" t="s">
        <v>147</v>
      </c>
      <c r="AJ1369" s="26"/>
      <c r="AK1369" s="26"/>
      <c r="AL1369" s="35"/>
      <c r="AM1369" s="35"/>
      <c r="AN1369" s="35"/>
      <c r="AO1369" s="35"/>
      <c r="AP1369" s="35"/>
    </row>
    <row r="1370" spans="1:42" x14ac:dyDescent="0.2">
      <c r="A1370" s="27">
        <v>45260.917021805551</v>
      </c>
      <c r="B1370" s="28" t="s">
        <v>37</v>
      </c>
      <c r="C1370" s="41" t="s">
        <v>118</v>
      </c>
      <c r="D1370" s="26" t="s">
        <v>36</v>
      </c>
      <c r="E1370" s="26" t="s">
        <v>139</v>
      </c>
      <c r="F1370" s="26" t="s">
        <v>3899</v>
      </c>
      <c r="G1370" s="26" t="s">
        <v>108</v>
      </c>
      <c r="H1370" s="26" t="s">
        <v>4984</v>
      </c>
      <c r="I1370" s="17">
        <f ca="1">IFERROR(__xludf.DUMMYFUNCTION("""COMPUTED_VALUE"""),45264)</f>
        <v>45264</v>
      </c>
      <c r="J1370" s="29" t="s">
        <v>5228</v>
      </c>
      <c r="K1370" s="26" t="s">
        <v>5983</v>
      </c>
      <c r="L1370" s="30">
        <v>368685906</v>
      </c>
      <c r="M1370" s="26" t="s">
        <v>80</v>
      </c>
      <c r="N1370" s="26" t="s">
        <v>299</v>
      </c>
      <c r="O1370" s="26" t="s">
        <v>5230</v>
      </c>
      <c r="P1370" s="42" t="s">
        <v>5231</v>
      </c>
      <c r="Q1370" s="20">
        <v>15936</v>
      </c>
      <c r="R1370" s="26" t="s">
        <v>36</v>
      </c>
      <c r="S1370" s="31">
        <v>2000</v>
      </c>
      <c r="T1370" s="32">
        <v>45202</v>
      </c>
      <c r="U1370" s="31">
        <v>13936</v>
      </c>
      <c r="V1370" s="32">
        <v>45232</v>
      </c>
      <c r="W1370" s="33" t="s">
        <v>5232</v>
      </c>
      <c r="X1370" s="26"/>
      <c r="Y1370" s="22">
        <v>0</v>
      </c>
      <c r="Z1370" s="26" t="s">
        <v>118</v>
      </c>
      <c r="AA1370" s="19" t="s">
        <v>5785</v>
      </c>
      <c r="AB1370" s="26" t="s">
        <v>128</v>
      </c>
      <c r="AC1370" s="26" t="s">
        <v>53</v>
      </c>
      <c r="AD1370" s="19" t="s">
        <v>138</v>
      </c>
      <c r="AE1370" s="26" t="s">
        <v>3466</v>
      </c>
      <c r="AF1370" s="17">
        <v>45264</v>
      </c>
      <c r="AG1370" s="26" t="s">
        <v>1362</v>
      </c>
      <c r="AH1370" s="26"/>
      <c r="AI1370" s="40" t="s">
        <v>147</v>
      </c>
      <c r="AJ1370" s="26"/>
      <c r="AK1370" s="26"/>
      <c r="AL1370" s="35"/>
      <c r="AM1370" s="35"/>
      <c r="AN1370" s="35"/>
      <c r="AO1370" s="35"/>
      <c r="AP1370" s="35"/>
    </row>
    <row r="1371" spans="1:42" x14ac:dyDescent="0.2">
      <c r="A1371" s="14">
        <v>45262</v>
      </c>
      <c r="B1371" s="28" t="s">
        <v>37</v>
      </c>
      <c r="C1371" s="41" t="s">
        <v>118</v>
      </c>
      <c r="D1371" s="26" t="s">
        <v>36</v>
      </c>
      <c r="E1371" s="26" t="s">
        <v>139</v>
      </c>
      <c r="F1371" s="26" t="s">
        <v>3090</v>
      </c>
      <c r="G1371" s="26" t="s">
        <v>108</v>
      </c>
      <c r="H1371" s="26" t="s">
        <v>4869</v>
      </c>
      <c r="I1371" s="17">
        <f ca="1">IFERROR(__xludf.DUMMYFUNCTION("""COMPUTED_VALUE"""),45300)</f>
        <v>45300</v>
      </c>
      <c r="J1371" s="29" t="s">
        <v>5233</v>
      </c>
      <c r="K1371" s="26" t="s">
        <v>5234</v>
      </c>
      <c r="L1371" s="30">
        <v>859088883</v>
      </c>
      <c r="M1371" s="26" t="s">
        <v>80</v>
      </c>
      <c r="N1371" s="26" t="s">
        <v>299</v>
      </c>
      <c r="O1371" s="26" t="s">
        <v>5235</v>
      </c>
      <c r="P1371" s="26" t="s">
        <v>5236</v>
      </c>
      <c r="Q1371" s="20">
        <v>15936</v>
      </c>
      <c r="R1371" s="26" t="s">
        <v>36</v>
      </c>
      <c r="S1371" s="31">
        <v>2000</v>
      </c>
      <c r="T1371" s="32">
        <v>45204</v>
      </c>
      <c r="U1371" s="31">
        <v>13936</v>
      </c>
      <c r="V1371" s="32">
        <v>45246</v>
      </c>
      <c r="W1371" s="33" t="s">
        <v>5237</v>
      </c>
      <c r="X1371" s="26"/>
      <c r="Y1371" s="22">
        <v>0</v>
      </c>
      <c r="Z1371" s="26" t="s">
        <v>118</v>
      </c>
      <c r="AA1371" s="19" t="s">
        <v>5785</v>
      </c>
      <c r="AB1371" s="26"/>
      <c r="AC1371" s="26" t="s">
        <v>53</v>
      </c>
      <c r="AD1371" s="19" t="s">
        <v>138</v>
      </c>
      <c r="AE1371" s="26" t="s">
        <v>3090</v>
      </c>
      <c r="AF1371" s="17">
        <v>45300</v>
      </c>
      <c r="AG1371" s="26" t="s">
        <v>1362</v>
      </c>
      <c r="AH1371" s="26"/>
      <c r="AI1371" s="40" t="s">
        <v>147</v>
      </c>
      <c r="AJ1371" s="26"/>
      <c r="AK1371" s="26"/>
      <c r="AL1371" s="35"/>
      <c r="AM1371" s="35"/>
      <c r="AN1371" s="35"/>
      <c r="AO1371" s="35"/>
      <c r="AP1371" s="35"/>
    </row>
    <row r="1372" spans="1:42" x14ac:dyDescent="0.2">
      <c r="A1372" s="97">
        <v>45271</v>
      </c>
      <c r="B1372" s="28" t="s">
        <v>37</v>
      </c>
      <c r="C1372" s="41" t="s">
        <v>118</v>
      </c>
      <c r="D1372" s="26" t="s">
        <v>36</v>
      </c>
      <c r="E1372" s="26" t="s">
        <v>39</v>
      </c>
      <c r="F1372" s="26" t="s">
        <v>2573</v>
      </c>
      <c r="G1372" s="26" t="s">
        <v>108</v>
      </c>
      <c r="H1372" s="26" t="s">
        <v>4869</v>
      </c>
      <c r="I1372" s="17">
        <f ca="1">IFERROR(__xludf.DUMMYFUNCTION("""COMPUTED_VALUE"""),45300)</f>
        <v>45300</v>
      </c>
      <c r="J1372" s="29" t="s">
        <v>5984</v>
      </c>
      <c r="K1372" s="26" t="s">
        <v>5985</v>
      </c>
      <c r="L1372" s="30">
        <v>814283199</v>
      </c>
      <c r="M1372" s="26" t="s">
        <v>80</v>
      </c>
      <c r="N1372" s="26" t="s">
        <v>186</v>
      </c>
      <c r="O1372" s="26" t="s">
        <v>5986</v>
      </c>
      <c r="P1372" s="26" t="s">
        <v>5987</v>
      </c>
      <c r="Q1372" s="20">
        <v>5736</v>
      </c>
      <c r="R1372" s="26" t="s">
        <v>36</v>
      </c>
      <c r="S1372" s="31">
        <v>2000</v>
      </c>
      <c r="T1372" s="32">
        <v>45183</v>
      </c>
      <c r="U1372" s="31">
        <v>3736</v>
      </c>
      <c r="V1372" s="32">
        <v>45230</v>
      </c>
      <c r="W1372" s="33" t="s">
        <v>5988</v>
      </c>
      <c r="X1372" s="26"/>
      <c r="Y1372" s="22">
        <v>0</v>
      </c>
      <c r="Z1372" s="26" t="s">
        <v>118</v>
      </c>
      <c r="AA1372" s="19" t="s">
        <v>5785</v>
      </c>
      <c r="AB1372" s="26"/>
      <c r="AC1372" s="26" t="s">
        <v>53</v>
      </c>
      <c r="AD1372" s="19" t="s">
        <v>54</v>
      </c>
      <c r="AE1372" s="26" t="s">
        <v>5989</v>
      </c>
      <c r="AF1372" s="17">
        <v>45300</v>
      </c>
      <c r="AG1372" s="26" t="s">
        <v>1362</v>
      </c>
      <c r="AH1372" s="26"/>
      <c r="AI1372" s="40" t="s">
        <v>147</v>
      </c>
      <c r="AJ1372" s="26"/>
      <c r="AK1372" s="26"/>
      <c r="AL1372" s="35"/>
      <c r="AM1372" s="35"/>
      <c r="AN1372" s="35"/>
      <c r="AO1372" s="35"/>
      <c r="AP1372" s="35"/>
    </row>
    <row r="1373" spans="1:42" x14ac:dyDescent="0.2">
      <c r="A1373" s="97">
        <v>45272</v>
      </c>
      <c r="B1373" s="28" t="s">
        <v>37</v>
      </c>
      <c r="C1373" s="41" t="s">
        <v>118</v>
      </c>
      <c r="D1373" s="26" t="s">
        <v>36</v>
      </c>
      <c r="E1373" s="26" t="s">
        <v>119</v>
      </c>
      <c r="F1373" s="26" t="s">
        <v>36</v>
      </c>
      <c r="G1373" s="26" t="s">
        <v>108</v>
      </c>
      <c r="H1373" s="26" t="s">
        <v>1710</v>
      </c>
      <c r="I1373" s="17">
        <f ca="1">IFERROR(__xludf.DUMMYFUNCTION("""COMPUTED_VALUE"""),45293)</f>
        <v>45293</v>
      </c>
      <c r="J1373" s="29" t="s">
        <v>5990</v>
      </c>
      <c r="K1373" s="26" t="s">
        <v>5991</v>
      </c>
      <c r="L1373" s="30">
        <v>816308200</v>
      </c>
      <c r="M1373" s="26" t="s">
        <v>1245</v>
      </c>
      <c r="N1373" s="26" t="s">
        <v>5992</v>
      </c>
      <c r="O1373" s="26" t="s">
        <v>5993</v>
      </c>
      <c r="P1373" s="42" t="s">
        <v>5994</v>
      </c>
      <c r="Q1373" s="20">
        <v>13968</v>
      </c>
      <c r="R1373" s="26" t="s">
        <v>36</v>
      </c>
      <c r="S1373" s="31">
        <v>13968</v>
      </c>
      <c r="T1373" s="32">
        <v>45184</v>
      </c>
      <c r="U1373" s="31"/>
      <c r="V1373" s="26"/>
      <c r="W1373" s="33" t="s">
        <v>2844</v>
      </c>
      <c r="X1373" s="26"/>
      <c r="Y1373" s="22">
        <v>0</v>
      </c>
      <c r="Z1373" s="26" t="s">
        <v>118</v>
      </c>
      <c r="AA1373" s="19" t="s">
        <v>5785</v>
      </c>
      <c r="AB1373" s="26" t="s">
        <v>128</v>
      </c>
      <c r="AC1373" s="26" t="s">
        <v>53</v>
      </c>
      <c r="AD1373" s="19" t="s">
        <v>138</v>
      </c>
      <c r="AE1373" s="26">
        <v>460</v>
      </c>
      <c r="AF1373" s="43">
        <v>45247</v>
      </c>
      <c r="AG1373" s="26" t="s">
        <v>1362</v>
      </c>
      <c r="AH1373" s="26" t="s">
        <v>5995</v>
      </c>
      <c r="AI1373" s="40">
        <v>4</v>
      </c>
      <c r="AJ1373" s="26"/>
      <c r="AK1373" s="26"/>
      <c r="AL1373" s="35"/>
      <c r="AM1373" s="35"/>
      <c r="AN1373" s="35"/>
      <c r="AO1373" s="35"/>
      <c r="AP1373" s="35"/>
    </row>
    <row r="1374" spans="1:42" x14ac:dyDescent="0.2">
      <c r="A1374" s="27">
        <v>45273.629784502315</v>
      </c>
      <c r="B1374" s="28" t="s">
        <v>37</v>
      </c>
      <c r="C1374" s="41" t="s">
        <v>118</v>
      </c>
      <c r="D1374" s="26" t="s">
        <v>36</v>
      </c>
      <c r="E1374" s="26" t="s">
        <v>148</v>
      </c>
      <c r="F1374" s="26" t="s">
        <v>1657</v>
      </c>
      <c r="G1374" s="26" t="s">
        <v>221</v>
      </c>
      <c r="H1374" s="26" t="s">
        <v>5056</v>
      </c>
      <c r="I1374" s="17">
        <f ca="1">IFERROR(__xludf.DUMMYFUNCTION("""COMPUTED_VALUE"""),45295)</f>
        <v>45295</v>
      </c>
      <c r="J1374" s="29" t="s">
        <v>5996</v>
      </c>
      <c r="K1374" s="26" t="s">
        <v>5997</v>
      </c>
      <c r="L1374" s="30">
        <v>862133417</v>
      </c>
      <c r="M1374" s="26" t="s">
        <v>112</v>
      </c>
      <c r="N1374" s="26" t="s">
        <v>1742</v>
      </c>
      <c r="O1374" s="26" t="s">
        <v>5998</v>
      </c>
      <c r="P1374" s="42" t="s">
        <v>5999</v>
      </c>
      <c r="Q1374" s="20">
        <v>7349</v>
      </c>
      <c r="R1374" s="26" t="s">
        <v>36</v>
      </c>
      <c r="S1374" s="31">
        <v>7349</v>
      </c>
      <c r="T1374" s="32">
        <v>44757</v>
      </c>
      <c r="U1374" s="31"/>
      <c r="V1374" s="32"/>
      <c r="W1374" s="33" t="s">
        <v>6000</v>
      </c>
      <c r="X1374" s="26"/>
      <c r="Y1374" s="22">
        <v>0</v>
      </c>
      <c r="Z1374" s="26" t="s">
        <v>118</v>
      </c>
      <c r="AA1374" s="19" t="s">
        <v>5785</v>
      </c>
      <c r="AB1374" s="26" t="s">
        <v>104</v>
      </c>
      <c r="AC1374" s="26" t="s">
        <v>53</v>
      </c>
      <c r="AD1374" s="19" t="s">
        <v>54</v>
      </c>
      <c r="AE1374" s="26">
        <v>940</v>
      </c>
      <c r="AF1374" s="17">
        <v>45285</v>
      </c>
      <c r="AG1374" s="26"/>
      <c r="AH1374" s="26"/>
      <c r="AI1374" s="40">
        <v>2</v>
      </c>
      <c r="AJ1374" s="26"/>
      <c r="AK1374" s="26"/>
      <c r="AL1374" s="35"/>
      <c r="AM1374" s="35"/>
      <c r="AN1374" s="35"/>
      <c r="AO1374" s="35"/>
      <c r="AP1374" s="35"/>
    </row>
    <row r="1375" spans="1:42" x14ac:dyDescent="0.2">
      <c r="A1375" s="97">
        <v>45275</v>
      </c>
      <c r="B1375" s="28" t="s">
        <v>37</v>
      </c>
      <c r="C1375" s="41" t="s">
        <v>118</v>
      </c>
      <c r="D1375" s="26" t="s">
        <v>36</v>
      </c>
      <c r="E1375" s="26" t="s">
        <v>139</v>
      </c>
      <c r="F1375" s="26" t="s">
        <v>3090</v>
      </c>
      <c r="G1375" s="26" t="s">
        <v>108</v>
      </c>
      <c r="H1375" s="26" t="s">
        <v>1710</v>
      </c>
      <c r="I1375" s="17">
        <f ca="1">IFERROR(__xludf.DUMMYFUNCTION("""COMPUTED_VALUE"""),45293)</f>
        <v>45293</v>
      </c>
      <c r="J1375" s="29" t="s">
        <v>5238</v>
      </c>
      <c r="K1375" s="26" t="s">
        <v>5239</v>
      </c>
      <c r="L1375" s="30">
        <v>965991652</v>
      </c>
      <c r="M1375" s="26" t="s">
        <v>123</v>
      </c>
      <c r="N1375" s="26" t="s">
        <v>850</v>
      </c>
      <c r="O1375" s="26" t="s">
        <v>1226</v>
      </c>
      <c r="P1375" s="42" t="s">
        <v>6001</v>
      </c>
      <c r="Q1375" s="20">
        <v>15936</v>
      </c>
      <c r="R1375" s="26" t="s">
        <v>36</v>
      </c>
      <c r="S1375" s="31">
        <v>4000</v>
      </c>
      <c r="T1375" s="32">
        <v>45204</v>
      </c>
      <c r="U1375" s="31">
        <v>11936</v>
      </c>
      <c r="V1375" s="32">
        <v>45231</v>
      </c>
      <c r="W1375" s="33" t="s">
        <v>5240</v>
      </c>
      <c r="X1375" s="26"/>
      <c r="Y1375" s="22">
        <v>0</v>
      </c>
      <c r="Z1375" s="26" t="s">
        <v>118</v>
      </c>
      <c r="AA1375" s="19" t="s">
        <v>5785</v>
      </c>
      <c r="AB1375" s="26" t="s">
        <v>104</v>
      </c>
      <c r="AC1375" s="26" t="s">
        <v>53</v>
      </c>
      <c r="AD1375" s="19" t="s">
        <v>138</v>
      </c>
      <c r="AE1375" s="26" t="s">
        <v>3090</v>
      </c>
      <c r="AF1375" s="17">
        <v>45278</v>
      </c>
      <c r="AG1375" s="26"/>
      <c r="AH1375" s="26"/>
      <c r="AI1375" s="40" t="s">
        <v>147</v>
      </c>
      <c r="AJ1375" s="26"/>
      <c r="AK1375" s="26"/>
      <c r="AL1375" s="35"/>
      <c r="AM1375" s="35"/>
      <c r="AN1375" s="35"/>
      <c r="AO1375" s="35"/>
      <c r="AP1375" s="35"/>
    </row>
    <row r="1376" spans="1:42" x14ac:dyDescent="0.2">
      <c r="A1376" s="97">
        <v>45279</v>
      </c>
      <c r="B1376" s="28" t="s">
        <v>90</v>
      </c>
      <c r="C1376" s="41" t="s">
        <v>118</v>
      </c>
      <c r="D1376" s="26" t="s">
        <v>36</v>
      </c>
      <c r="E1376" s="26" t="s">
        <v>56</v>
      </c>
      <c r="F1376" s="26" t="s">
        <v>4129</v>
      </c>
      <c r="G1376" s="26" t="s">
        <v>108</v>
      </c>
      <c r="H1376" s="26" t="s">
        <v>5100</v>
      </c>
      <c r="I1376" s="17">
        <f ca="1">IFERROR(__xludf.DUMMYFUNCTION("""COMPUTED_VALUE"""),45288)</f>
        <v>45288</v>
      </c>
      <c r="J1376" s="29" t="s">
        <v>6002</v>
      </c>
      <c r="K1376" s="26" t="s">
        <v>6003</v>
      </c>
      <c r="L1376" s="30">
        <v>389204443</v>
      </c>
      <c r="M1376" s="26" t="s">
        <v>123</v>
      </c>
      <c r="N1376" s="26" t="s">
        <v>4521</v>
      </c>
      <c r="O1376" s="26" t="s">
        <v>2737</v>
      </c>
      <c r="P1376" s="26" t="s">
        <v>6004</v>
      </c>
      <c r="Q1376" s="20">
        <v>9317</v>
      </c>
      <c r="R1376" s="26" t="s">
        <v>36</v>
      </c>
      <c r="S1376" s="31">
        <f>200+1768</f>
        <v>1968</v>
      </c>
      <c r="T1376" s="26" t="s">
        <v>6005</v>
      </c>
      <c r="U1376" s="31">
        <v>7349</v>
      </c>
      <c r="V1376" s="32">
        <v>45267</v>
      </c>
      <c r="W1376" s="33" t="s">
        <v>6006</v>
      </c>
      <c r="X1376" s="26"/>
      <c r="Y1376" s="22">
        <v>0</v>
      </c>
      <c r="Z1376" s="26" t="s">
        <v>118</v>
      </c>
      <c r="AA1376" s="19" t="s">
        <v>5785</v>
      </c>
      <c r="AB1376" s="26" t="s">
        <v>104</v>
      </c>
      <c r="AC1376" s="26" t="s">
        <v>53</v>
      </c>
      <c r="AD1376" s="19" t="s">
        <v>138</v>
      </c>
      <c r="AE1376" s="26" t="s">
        <v>4129</v>
      </c>
      <c r="AF1376" s="17">
        <v>45288</v>
      </c>
      <c r="AG1376" s="26" t="s">
        <v>5101</v>
      </c>
      <c r="AH1376" s="26"/>
      <c r="AI1376" s="40" t="s">
        <v>64</v>
      </c>
      <c r="AJ1376" s="26"/>
      <c r="AK1376" s="26"/>
      <c r="AL1376" s="35"/>
      <c r="AM1376" s="35"/>
      <c r="AN1376" s="35"/>
      <c r="AO1376" s="35"/>
      <c r="AP1376" s="35"/>
    </row>
    <row r="1377" spans="1:42" x14ac:dyDescent="0.2">
      <c r="A1377" s="97">
        <v>45279</v>
      </c>
      <c r="B1377" s="28" t="s">
        <v>37</v>
      </c>
      <c r="C1377" s="41" t="s">
        <v>118</v>
      </c>
      <c r="D1377" s="26" t="s">
        <v>36</v>
      </c>
      <c r="E1377" s="26" t="s">
        <v>139</v>
      </c>
      <c r="F1377" s="26" t="s">
        <v>4129</v>
      </c>
      <c r="G1377" s="26" t="s">
        <v>108</v>
      </c>
      <c r="H1377" s="26" t="s">
        <v>5100</v>
      </c>
      <c r="I1377" s="17">
        <f ca="1">IFERROR(__xludf.DUMMYFUNCTION("""COMPUTED_VALUE"""),45288)</f>
        <v>45288</v>
      </c>
      <c r="J1377" s="29" t="s">
        <v>5340</v>
      </c>
      <c r="K1377" s="26" t="s">
        <v>5341</v>
      </c>
      <c r="L1377" s="30">
        <v>865683198</v>
      </c>
      <c r="M1377" s="26" t="s">
        <v>1245</v>
      </c>
      <c r="N1377" s="26" t="s">
        <v>4957</v>
      </c>
      <c r="O1377" s="26" t="s">
        <v>2737</v>
      </c>
      <c r="P1377" s="26" t="s">
        <v>3487</v>
      </c>
      <c r="Q1377" s="20">
        <v>15936</v>
      </c>
      <c r="R1377" s="26" t="s">
        <v>36</v>
      </c>
      <c r="S1377" s="31">
        <v>200</v>
      </c>
      <c r="T1377" s="32">
        <v>45211</v>
      </c>
      <c r="U1377" s="58">
        <f>10000+3736+2000</f>
        <v>15736</v>
      </c>
      <c r="V1377" s="35" t="s">
        <v>5342</v>
      </c>
      <c r="W1377" s="33" t="s">
        <v>5343</v>
      </c>
      <c r="X1377" s="26"/>
      <c r="Y1377" s="22">
        <v>0</v>
      </c>
      <c r="Z1377" s="26" t="s">
        <v>118</v>
      </c>
      <c r="AA1377" s="19" t="s">
        <v>5785</v>
      </c>
      <c r="AB1377" s="26" t="s">
        <v>104</v>
      </c>
      <c r="AC1377" s="26" t="s">
        <v>53</v>
      </c>
      <c r="AD1377" s="19" t="s">
        <v>138</v>
      </c>
      <c r="AE1377" s="26" t="s">
        <v>4129</v>
      </c>
      <c r="AF1377" s="17">
        <v>45288</v>
      </c>
      <c r="AG1377" s="26" t="s">
        <v>5101</v>
      </c>
      <c r="AH1377" s="26"/>
      <c r="AI1377" s="40" t="s">
        <v>147</v>
      </c>
      <c r="AJ1377" s="26"/>
      <c r="AK1377" s="26"/>
      <c r="AL1377" s="35"/>
      <c r="AM1377" s="35"/>
      <c r="AN1377" s="35"/>
      <c r="AO1377" s="35"/>
      <c r="AP1377" s="35"/>
    </row>
    <row r="1378" spans="1:42" x14ac:dyDescent="0.2">
      <c r="A1378" s="97">
        <v>45279</v>
      </c>
      <c r="B1378" s="28" t="s">
        <v>37</v>
      </c>
      <c r="C1378" s="41" t="s">
        <v>118</v>
      </c>
      <c r="D1378" s="26" t="s">
        <v>36</v>
      </c>
      <c r="E1378" s="26" t="s">
        <v>139</v>
      </c>
      <c r="F1378" s="26" t="s">
        <v>4129</v>
      </c>
      <c r="G1378" s="26" t="s">
        <v>108</v>
      </c>
      <c r="H1378" s="26" t="s">
        <v>5100</v>
      </c>
      <c r="I1378" s="17">
        <f ca="1">IFERROR(__xludf.DUMMYFUNCTION("""COMPUTED_VALUE"""),45288)</f>
        <v>45288</v>
      </c>
      <c r="J1378" s="29" t="s">
        <v>6007</v>
      </c>
      <c r="K1378" s="26" t="s">
        <v>6008</v>
      </c>
      <c r="L1378" s="30">
        <v>912501828</v>
      </c>
      <c r="M1378" s="26" t="s">
        <v>123</v>
      </c>
      <c r="N1378" s="26" t="s">
        <v>2847</v>
      </c>
      <c r="O1378" s="26" t="s">
        <v>4503</v>
      </c>
      <c r="P1378" s="26" t="s">
        <v>6009</v>
      </c>
      <c r="Q1378" s="20">
        <v>15936</v>
      </c>
      <c r="R1378" s="26" t="s">
        <v>36</v>
      </c>
      <c r="S1378" s="31">
        <v>200</v>
      </c>
      <c r="T1378" s="32">
        <v>45226</v>
      </c>
      <c r="U1378" s="31">
        <f>1800+13936</f>
        <v>15736</v>
      </c>
      <c r="V1378" s="26" t="s">
        <v>6010</v>
      </c>
      <c r="W1378" s="26" t="s">
        <v>6011</v>
      </c>
      <c r="X1378" s="26"/>
      <c r="Y1378" s="22">
        <v>0</v>
      </c>
      <c r="Z1378" s="26" t="s">
        <v>50</v>
      </c>
      <c r="AA1378" s="19" t="s">
        <v>5961</v>
      </c>
      <c r="AB1378" s="26" t="s">
        <v>104</v>
      </c>
      <c r="AC1378" s="26" t="s">
        <v>53</v>
      </c>
      <c r="AD1378" s="19" t="s">
        <v>138</v>
      </c>
      <c r="AE1378" s="26" t="s">
        <v>4129</v>
      </c>
      <c r="AF1378" s="17">
        <v>45288</v>
      </c>
      <c r="AG1378" s="26" t="s">
        <v>5101</v>
      </c>
      <c r="AH1378" s="26"/>
      <c r="AI1378" s="40" t="s">
        <v>147</v>
      </c>
      <c r="AJ1378" s="26"/>
      <c r="AK1378" s="26"/>
      <c r="AL1378" s="35"/>
      <c r="AM1378" s="35"/>
      <c r="AN1378" s="35"/>
      <c r="AO1378" s="35"/>
      <c r="AP1378" s="35"/>
    </row>
    <row r="1379" spans="1:42" x14ac:dyDescent="0.2">
      <c r="A1379" s="97">
        <v>45279</v>
      </c>
      <c r="B1379" s="28" t="s">
        <v>37</v>
      </c>
      <c r="C1379" s="41" t="s">
        <v>118</v>
      </c>
      <c r="D1379" s="26" t="s">
        <v>36</v>
      </c>
      <c r="E1379" s="26" t="s">
        <v>139</v>
      </c>
      <c r="F1379" s="26" t="s">
        <v>4133</v>
      </c>
      <c r="G1379" s="26" t="s">
        <v>108</v>
      </c>
      <c r="H1379" s="26" t="s">
        <v>5106</v>
      </c>
      <c r="I1379" s="17">
        <f ca="1">IFERROR(__xludf.DUMMYFUNCTION("""COMPUTED_VALUE"""),45294)</f>
        <v>45294</v>
      </c>
      <c r="J1379" s="29" t="s">
        <v>5417</v>
      </c>
      <c r="K1379" s="26" t="s">
        <v>5418</v>
      </c>
      <c r="L1379" s="30">
        <v>982648022</v>
      </c>
      <c r="M1379" s="26" t="s">
        <v>80</v>
      </c>
      <c r="N1379" s="26" t="s">
        <v>466</v>
      </c>
      <c r="O1379" s="26" t="s">
        <v>5419</v>
      </c>
      <c r="P1379" s="26" t="s">
        <v>3178</v>
      </c>
      <c r="Q1379" s="20">
        <v>15936</v>
      </c>
      <c r="R1379" s="26" t="s">
        <v>36</v>
      </c>
      <c r="S1379" s="31">
        <v>4000</v>
      </c>
      <c r="T1379" s="32">
        <v>45221</v>
      </c>
      <c r="U1379" s="31">
        <v>11836</v>
      </c>
      <c r="V1379" s="32">
        <v>45246</v>
      </c>
      <c r="W1379" s="33" t="s">
        <v>5420</v>
      </c>
      <c r="X1379" s="26"/>
      <c r="Y1379" s="22">
        <v>100</v>
      </c>
      <c r="Z1379" s="26" t="s">
        <v>118</v>
      </c>
      <c r="AA1379" s="19" t="s">
        <v>5785</v>
      </c>
      <c r="AB1379" s="26" t="s">
        <v>104</v>
      </c>
      <c r="AC1379" s="26" t="s">
        <v>53</v>
      </c>
      <c r="AD1379" s="19" t="s">
        <v>138</v>
      </c>
      <c r="AE1379" s="26" t="s">
        <v>4133</v>
      </c>
      <c r="AF1379" s="17">
        <v>44929</v>
      </c>
      <c r="AG1379" s="26" t="s">
        <v>5101</v>
      </c>
      <c r="AH1379" s="26"/>
      <c r="AI1379" s="40" t="s">
        <v>147</v>
      </c>
      <c r="AJ1379" s="26"/>
      <c r="AK1379" s="26"/>
      <c r="AL1379" s="35"/>
      <c r="AM1379" s="35"/>
      <c r="AN1379" s="35"/>
      <c r="AO1379" s="35"/>
      <c r="AP1379" s="35"/>
    </row>
    <row r="1380" spans="1:42" x14ac:dyDescent="0.2">
      <c r="A1380" s="97">
        <v>45279</v>
      </c>
      <c r="B1380" s="28" t="s">
        <v>37</v>
      </c>
      <c r="C1380" s="41" t="s">
        <v>118</v>
      </c>
      <c r="D1380" s="26" t="s">
        <v>36</v>
      </c>
      <c r="E1380" s="26" t="s">
        <v>39</v>
      </c>
      <c r="F1380" s="26" t="s">
        <v>4133</v>
      </c>
      <c r="G1380" s="26" t="s">
        <v>108</v>
      </c>
      <c r="H1380" s="26" t="s">
        <v>5106</v>
      </c>
      <c r="I1380" s="17">
        <f ca="1">IFERROR(__xludf.DUMMYFUNCTION("""COMPUTED_VALUE"""),45294)</f>
        <v>45294</v>
      </c>
      <c r="J1380" s="29" t="s">
        <v>5448</v>
      </c>
      <c r="K1380" s="26" t="s">
        <v>5449</v>
      </c>
      <c r="L1380" s="30">
        <v>355173754</v>
      </c>
      <c r="M1380" s="26" t="s">
        <v>1245</v>
      </c>
      <c r="N1380" s="26" t="s">
        <v>4957</v>
      </c>
      <c r="O1380" s="26" t="s">
        <v>1226</v>
      </c>
      <c r="P1380" s="26" t="s">
        <v>3487</v>
      </c>
      <c r="Q1380" s="20">
        <v>5736</v>
      </c>
      <c r="R1380" s="26" t="s">
        <v>36</v>
      </c>
      <c r="S1380" s="31">
        <v>2000</v>
      </c>
      <c r="T1380" s="32">
        <v>45223</v>
      </c>
      <c r="U1380" s="58">
        <v>3736</v>
      </c>
      <c r="V1380" s="59">
        <v>45245</v>
      </c>
      <c r="W1380" s="33" t="s">
        <v>5450</v>
      </c>
      <c r="X1380" s="26"/>
      <c r="Y1380" s="22">
        <v>0</v>
      </c>
      <c r="Z1380" s="26" t="s">
        <v>118</v>
      </c>
      <c r="AA1380" s="19" t="s">
        <v>5785</v>
      </c>
      <c r="AB1380" s="26" t="s">
        <v>104</v>
      </c>
      <c r="AC1380" s="26" t="s">
        <v>53</v>
      </c>
      <c r="AD1380" s="19" t="s">
        <v>138</v>
      </c>
      <c r="AE1380" s="26" t="s">
        <v>4133</v>
      </c>
      <c r="AF1380" s="17">
        <v>44929</v>
      </c>
      <c r="AG1380" s="26" t="s">
        <v>5101</v>
      </c>
      <c r="AH1380" s="26"/>
      <c r="AI1380" s="40" t="s">
        <v>55</v>
      </c>
      <c r="AJ1380" s="26"/>
      <c r="AK1380" s="26"/>
      <c r="AL1380" s="35"/>
      <c r="AM1380" s="35"/>
      <c r="AN1380" s="35"/>
      <c r="AO1380" s="35"/>
      <c r="AP1380" s="35"/>
    </row>
    <row r="1381" spans="1:42" x14ac:dyDescent="0.2">
      <c r="A1381" s="97">
        <v>45279</v>
      </c>
      <c r="B1381" s="28" t="s">
        <v>37</v>
      </c>
      <c r="C1381" s="41" t="s">
        <v>118</v>
      </c>
      <c r="D1381" s="26" t="s">
        <v>36</v>
      </c>
      <c r="E1381" s="26" t="s">
        <v>139</v>
      </c>
      <c r="F1381" s="26" t="s">
        <v>4133</v>
      </c>
      <c r="G1381" s="26" t="s">
        <v>108</v>
      </c>
      <c r="H1381" s="26" t="s">
        <v>5106</v>
      </c>
      <c r="I1381" s="17">
        <f ca="1">IFERROR(__xludf.DUMMYFUNCTION("""COMPUTED_VALUE"""),45294)</f>
        <v>45294</v>
      </c>
      <c r="J1381" s="29" t="s">
        <v>5407</v>
      </c>
      <c r="K1381" s="26" t="s">
        <v>5408</v>
      </c>
      <c r="L1381" s="30">
        <v>983990355</v>
      </c>
      <c r="M1381" s="26" t="s">
        <v>1245</v>
      </c>
      <c r="N1381" s="26" t="s">
        <v>4957</v>
      </c>
      <c r="O1381" s="26" t="s">
        <v>2144</v>
      </c>
      <c r="P1381" s="26" t="s">
        <v>3117</v>
      </c>
      <c r="Q1381" s="20">
        <v>15936</v>
      </c>
      <c r="R1381" s="26" t="s">
        <v>70</v>
      </c>
      <c r="S1381" s="31">
        <v>3000</v>
      </c>
      <c r="T1381" s="32">
        <v>45221</v>
      </c>
      <c r="U1381" s="58">
        <v>12836</v>
      </c>
      <c r="V1381" s="59">
        <v>45245</v>
      </c>
      <c r="W1381" s="33" t="s">
        <v>5409</v>
      </c>
      <c r="X1381" s="26"/>
      <c r="Y1381" s="22">
        <v>100</v>
      </c>
      <c r="Z1381" s="26" t="s">
        <v>118</v>
      </c>
      <c r="AA1381" s="19" t="s">
        <v>5785</v>
      </c>
      <c r="AB1381" s="26" t="s">
        <v>104</v>
      </c>
      <c r="AC1381" s="26" t="s">
        <v>53</v>
      </c>
      <c r="AD1381" s="19" t="s">
        <v>138</v>
      </c>
      <c r="AE1381" s="26" t="s">
        <v>4133</v>
      </c>
      <c r="AF1381" s="17">
        <v>44929</v>
      </c>
      <c r="AG1381" s="26" t="s">
        <v>5101</v>
      </c>
      <c r="AH1381" s="26"/>
      <c r="AI1381" s="40" t="s">
        <v>147</v>
      </c>
      <c r="AJ1381" s="26"/>
      <c r="AK1381" s="26"/>
      <c r="AL1381" s="35"/>
      <c r="AM1381" s="35"/>
      <c r="AN1381" s="35"/>
      <c r="AO1381" s="35"/>
      <c r="AP1381" s="35"/>
    </row>
    <row r="1382" spans="1:42" x14ac:dyDescent="0.2">
      <c r="A1382" s="97">
        <v>45279</v>
      </c>
      <c r="B1382" s="28" t="s">
        <v>37</v>
      </c>
      <c r="C1382" s="41" t="s">
        <v>118</v>
      </c>
      <c r="D1382" s="26" t="s">
        <v>36</v>
      </c>
      <c r="E1382" s="26" t="s">
        <v>139</v>
      </c>
      <c r="F1382" s="26" t="s">
        <v>4129</v>
      </c>
      <c r="G1382" s="26" t="s">
        <v>108</v>
      </c>
      <c r="H1382" s="26" t="s">
        <v>5100</v>
      </c>
      <c r="I1382" s="17">
        <f ca="1">IFERROR(__xludf.DUMMYFUNCTION("""COMPUTED_VALUE"""),45288)</f>
        <v>45288</v>
      </c>
      <c r="J1382" s="29" t="s">
        <v>5486</v>
      </c>
      <c r="K1382" s="26" t="s">
        <v>5487</v>
      </c>
      <c r="L1382" s="30">
        <v>338936412</v>
      </c>
      <c r="M1382" s="26" t="s">
        <v>910</v>
      </c>
      <c r="N1382" s="26" t="s">
        <v>3525</v>
      </c>
      <c r="O1382" s="26" t="s">
        <v>5488</v>
      </c>
      <c r="P1382" s="26" t="s">
        <v>5489</v>
      </c>
      <c r="Q1382" s="20">
        <v>15936</v>
      </c>
      <c r="R1382" s="26" t="s">
        <v>36</v>
      </c>
      <c r="S1382" s="31">
        <v>5000</v>
      </c>
      <c r="T1382" s="32">
        <v>45229</v>
      </c>
      <c r="U1382" s="31">
        <v>10936</v>
      </c>
      <c r="V1382" s="32">
        <v>45246</v>
      </c>
      <c r="W1382" s="26" t="s">
        <v>5490</v>
      </c>
      <c r="X1382" s="26"/>
      <c r="Y1382" s="22">
        <v>0</v>
      </c>
      <c r="Z1382" s="26" t="s">
        <v>118</v>
      </c>
      <c r="AA1382" s="19" t="s">
        <v>5785</v>
      </c>
      <c r="AB1382" s="26" t="s">
        <v>104</v>
      </c>
      <c r="AC1382" s="26" t="s">
        <v>53</v>
      </c>
      <c r="AD1382" s="19" t="s">
        <v>138</v>
      </c>
      <c r="AE1382" s="26" t="s">
        <v>4129</v>
      </c>
      <c r="AF1382" s="17">
        <v>45288</v>
      </c>
      <c r="AG1382" s="26" t="s">
        <v>5101</v>
      </c>
      <c r="AH1382" s="26"/>
      <c r="AI1382" s="40" t="s">
        <v>147</v>
      </c>
      <c r="AJ1382" s="26"/>
      <c r="AK1382" s="26"/>
      <c r="AL1382" s="35"/>
      <c r="AM1382" s="35"/>
      <c r="AN1382" s="35"/>
      <c r="AO1382" s="35"/>
      <c r="AP1382" s="35"/>
    </row>
    <row r="1383" spans="1:42" x14ac:dyDescent="0.2">
      <c r="A1383" s="97">
        <v>45279</v>
      </c>
      <c r="B1383" s="28" t="s">
        <v>37</v>
      </c>
      <c r="C1383" s="41" t="s">
        <v>118</v>
      </c>
      <c r="D1383" s="26" t="s">
        <v>36</v>
      </c>
      <c r="E1383" s="26" t="s">
        <v>139</v>
      </c>
      <c r="F1383" s="26" t="s">
        <v>4133</v>
      </c>
      <c r="G1383" s="26" t="s">
        <v>108</v>
      </c>
      <c r="H1383" s="26" t="s">
        <v>5106</v>
      </c>
      <c r="I1383" s="17">
        <f ca="1">IFERROR(__xludf.DUMMYFUNCTION("""COMPUTED_VALUE"""),45294)</f>
        <v>45294</v>
      </c>
      <c r="J1383" s="29" t="s">
        <v>5403</v>
      </c>
      <c r="K1383" s="26" t="s">
        <v>6012</v>
      </c>
      <c r="L1383" s="30">
        <v>966763105</v>
      </c>
      <c r="M1383" s="26" t="s">
        <v>123</v>
      </c>
      <c r="N1383" s="26" t="s">
        <v>850</v>
      </c>
      <c r="O1383" s="26" t="s">
        <v>1226</v>
      </c>
      <c r="P1383" s="115" t="s">
        <v>5405</v>
      </c>
      <c r="Q1383" s="20">
        <v>15936</v>
      </c>
      <c r="R1383" s="26" t="s">
        <v>36</v>
      </c>
      <c r="S1383" s="31">
        <v>2000</v>
      </c>
      <c r="T1383" s="32">
        <v>45220</v>
      </c>
      <c r="U1383" s="58">
        <v>13936</v>
      </c>
      <c r="V1383" s="59">
        <v>45249</v>
      </c>
      <c r="W1383" s="26" t="s">
        <v>5406</v>
      </c>
      <c r="X1383" s="26"/>
      <c r="Y1383" s="22">
        <v>0</v>
      </c>
      <c r="Z1383" s="26" t="s">
        <v>118</v>
      </c>
      <c r="AA1383" s="19" t="s">
        <v>5785</v>
      </c>
      <c r="AB1383" s="26" t="s">
        <v>104</v>
      </c>
      <c r="AC1383" s="26" t="s">
        <v>53</v>
      </c>
      <c r="AD1383" s="19" t="s">
        <v>138</v>
      </c>
      <c r="AE1383" s="26" t="s">
        <v>4133</v>
      </c>
      <c r="AF1383" s="17">
        <v>44929</v>
      </c>
      <c r="AG1383" s="26" t="s">
        <v>5101</v>
      </c>
      <c r="AH1383" s="26"/>
      <c r="AI1383" s="40" t="s">
        <v>147</v>
      </c>
      <c r="AJ1383" s="26"/>
      <c r="AK1383" s="26"/>
      <c r="AL1383" s="35"/>
      <c r="AM1383" s="35"/>
      <c r="AN1383" s="35"/>
      <c r="AO1383" s="35"/>
      <c r="AP1383" s="35"/>
    </row>
    <row r="1384" spans="1:42" x14ac:dyDescent="0.2">
      <c r="A1384" s="97">
        <v>45279</v>
      </c>
      <c r="B1384" s="28" t="s">
        <v>37</v>
      </c>
      <c r="C1384" s="41" t="s">
        <v>118</v>
      </c>
      <c r="D1384" s="26" t="s">
        <v>36</v>
      </c>
      <c r="E1384" s="26" t="s">
        <v>56</v>
      </c>
      <c r="F1384" s="26" t="s">
        <v>4133</v>
      </c>
      <c r="G1384" s="26" t="s">
        <v>108</v>
      </c>
      <c r="H1384" s="26" t="s">
        <v>5106</v>
      </c>
      <c r="I1384" s="17">
        <f ca="1">IFERROR(__xludf.DUMMYFUNCTION("""COMPUTED_VALUE"""),45294)</f>
        <v>45294</v>
      </c>
      <c r="J1384" s="29" t="s">
        <v>6013</v>
      </c>
      <c r="K1384" s="26" t="s">
        <v>6014</v>
      </c>
      <c r="L1384" s="30">
        <v>399102177</v>
      </c>
      <c r="M1384" s="26" t="s">
        <v>3498</v>
      </c>
      <c r="N1384" s="26" t="s">
        <v>3874</v>
      </c>
      <c r="O1384" s="26" t="s">
        <v>2819</v>
      </c>
      <c r="P1384" s="26" t="s">
        <v>6015</v>
      </c>
      <c r="Q1384" s="20">
        <v>9317</v>
      </c>
      <c r="R1384" s="26" t="s">
        <v>36</v>
      </c>
      <c r="S1384" s="58">
        <v>2000</v>
      </c>
      <c r="T1384" s="59">
        <v>45223</v>
      </c>
      <c r="U1384" s="58">
        <v>7317</v>
      </c>
      <c r="V1384" s="59">
        <v>45245</v>
      </c>
      <c r="W1384" s="33" t="s">
        <v>6016</v>
      </c>
      <c r="X1384" s="26"/>
      <c r="Y1384" s="22">
        <v>0</v>
      </c>
      <c r="Z1384" s="26" t="s">
        <v>118</v>
      </c>
      <c r="AA1384" s="19" t="s">
        <v>5785</v>
      </c>
      <c r="AB1384" s="26" t="s">
        <v>104</v>
      </c>
      <c r="AC1384" s="26" t="s">
        <v>53</v>
      </c>
      <c r="AD1384" s="19" t="s">
        <v>138</v>
      </c>
      <c r="AE1384" s="26" t="s">
        <v>4133</v>
      </c>
      <c r="AF1384" s="17">
        <v>44929</v>
      </c>
      <c r="AG1384" s="26" t="s">
        <v>5101</v>
      </c>
      <c r="AH1384" s="26"/>
      <c r="AI1384" s="40" t="s">
        <v>64</v>
      </c>
      <c r="AJ1384" s="26"/>
      <c r="AK1384" s="26"/>
      <c r="AL1384" s="35"/>
      <c r="AM1384" s="35"/>
      <c r="AN1384" s="35"/>
      <c r="AO1384" s="35"/>
      <c r="AP1384" s="35"/>
    </row>
    <row r="1385" spans="1:42" x14ac:dyDescent="0.2">
      <c r="A1385" s="97">
        <v>45279</v>
      </c>
      <c r="B1385" s="28" t="s">
        <v>37</v>
      </c>
      <c r="C1385" s="41" t="s">
        <v>118</v>
      </c>
      <c r="D1385" s="26" t="s">
        <v>119</v>
      </c>
      <c r="E1385" s="26" t="s">
        <v>139</v>
      </c>
      <c r="F1385" s="26" t="s">
        <v>4133</v>
      </c>
      <c r="G1385" s="26" t="s">
        <v>108</v>
      </c>
      <c r="H1385" s="26" t="s">
        <v>5106</v>
      </c>
      <c r="I1385" s="17">
        <f ca="1">IFERROR(__xludf.DUMMYFUNCTION("""COMPUTED_VALUE"""),45294)</f>
        <v>45294</v>
      </c>
      <c r="J1385" s="29" t="s">
        <v>6017</v>
      </c>
      <c r="K1385" s="26" t="s">
        <v>6018</v>
      </c>
      <c r="L1385" s="30">
        <v>967086395</v>
      </c>
      <c r="M1385" s="26" t="s">
        <v>3728</v>
      </c>
      <c r="N1385" s="26" t="s">
        <v>5377</v>
      </c>
      <c r="O1385" s="26" t="s">
        <v>6019</v>
      </c>
      <c r="P1385" s="42" t="s">
        <v>6020</v>
      </c>
      <c r="Q1385" s="20">
        <v>15936</v>
      </c>
      <c r="R1385" s="26" t="s">
        <v>36</v>
      </c>
      <c r="S1385" s="31">
        <v>2000</v>
      </c>
      <c r="T1385" s="32">
        <v>45223</v>
      </c>
      <c r="U1385" s="31">
        <v>14000</v>
      </c>
      <c r="V1385" s="32">
        <v>45264</v>
      </c>
      <c r="W1385" s="33" t="s">
        <v>6021</v>
      </c>
      <c r="X1385" s="26"/>
      <c r="Y1385" s="22">
        <v>-64</v>
      </c>
      <c r="Z1385" s="26" t="s">
        <v>118</v>
      </c>
      <c r="AA1385" s="19" t="s">
        <v>5785</v>
      </c>
      <c r="AB1385" s="26" t="s">
        <v>104</v>
      </c>
      <c r="AC1385" s="26" t="s">
        <v>53</v>
      </c>
      <c r="AD1385" s="19" t="s">
        <v>138</v>
      </c>
      <c r="AE1385" s="26" t="s">
        <v>4133</v>
      </c>
      <c r="AF1385" s="17">
        <v>44929</v>
      </c>
      <c r="AG1385" s="26" t="s">
        <v>5101</v>
      </c>
      <c r="AH1385" s="26"/>
      <c r="AI1385" s="40" t="s">
        <v>147</v>
      </c>
      <c r="AJ1385" s="26"/>
      <c r="AK1385" s="26"/>
      <c r="AL1385" s="35"/>
      <c r="AM1385" s="35"/>
      <c r="AN1385" s="35"/>
      <c r="AO1385" s="35"/>
      <c r="AP1385" s="35"/>
    </row>
    <row r="1386" spans="1:42" x14ac:dyDescent="0.2">
      <c r="A1386" s="97">
        <v>45279</v>
      </c>
      <c r="B1386" s="28" t="s">
        <v>37</v>
      </c>
      <c r="C1386" s="41" t="s">
        <v>118</v>
      </c>
      <c r="D1386" s="26" t="s">
        <v>36</v>
      </c>
      <c r="E1386" s="26" t="s">
        <v>139</v>
      </c>
      <c r="F1386" s="26" t="s">
        <v>4133</v>
      </c>
      <c r="G1386" s="26" t="s">
        <v>108</v>
      </c>
      <c r="H1386" s="26" t="s">
        <v>5106</v>
      </c>
      <c r="I1386" s="17">
        <f ca="1">IFERROR(__xludf.DUMMYFUNCTION("""COMPUTED_VALUE"""),45294)</f>
        <v>45294</v>
      </c>
      <c r="J1386" s="29" t="s">
        <v>5288</v>
      </c>
      <c r="K1386" s="26" t="s">
        <v>5289</v>
      </c>
      <c r="L1386" s="30">
        <v>368236186</v>
      </c>
      <c r="M1386" s="26" t="s">
        <v>1245</v>
      </c>
      <c r="N1386" s="26" t="s">
        <v>4957</v>
      </c>
      <c r="O1386" s="26" t="s">
        <v>1226</v>
      </c>
      <c r="P1386" s="26" t="s">
        <v>3153</v>
      </c>
      <c r="Q1386" s="20">
        <v>15936</v>
      </c>
      <c r="R1386" s="26" t="s">
        <v>36</v>
      </c>
      <c r="S1386" s="31">
        <v>2000</v>
      </c>
      <c r="T1386" s="32">
        <v>45207</v>
      </c>
      <c r="U1386" s="58">
        <v>13936</v>
      </c>
      <c r="V1386" s="59">
        <v>45251</v>
      </c>
      <c r="W1386" s="33" t="s">
        <v>5290</v>
      </c>
      <c r="X1386" s="26"/>
      <c r="Y1386" s="22">
        <v>0</v>
      </c>
      <c r="Z1386" s="26" t="s">
        <v>118</v>
      </c>
      <c r="AA1386" s="19" t="s">
        <v>5785</v>
      </c>
      <c r="AB1386" s="26" t="s">
        <v>104</v>
      </c>
      <c r="AC1386" s="26" t="s">
        <v>53</v>
      </c>
      <c r="AD1386" s="19" t="s">
        <v>138</v>
      </c>
      <c r="AE1386" s="26" t="s">
        <v>4133</v>
      </c>
      <c r="AF1386" s="17">
        <v>44929</v>
      </c>
      <c r="AG1386" s="26" t="s">
        <v>5101</v>
      </c>
      <c r="AH1386" s="26"/>
      <c r="AI1386" s="40" t="s">
        <v>147</v>
      </c>
      <c r="AJ1386" s="26"/>
      <c r="AK1386" s="26"/>
      <c r="AL1386" s="35"/>
      <c r="AM1386" s="35"/>
      <c r="AN1386" s="35"/>
      <c r="AO1386" s="35"/>
      <c r="AP1386" s="35"/>
    </row>
    <row r="1387" spans="1:42" x14ac:dyDescent="0.2">
      <c r="A1387" s="97">
        <v>45279</v>
      </c>
      <c r="B1387" s="28" t="s">
        <v>37</v>
      </c>
      <c r="C1387" s="41" t="s">
        <v>118</v>
      </c>
      <c r="D1387" s="26" t="s">
        <v>36</v>
      </c>
      <c r="E1387" s="26" t="s">
        <v>148</v>
      </c>
      <c r="F1387" s="26" t="s">
        <v>4133</v>
      </c>
      <c r="G1387" s="26" t="s">
        <v>108</v>
      </c>
      <c r="H1387" s="26" t="s">
        <v>5106</v>
      </c>
      <c r="I1387" s="17">
        <f ca="1">IFERROR(__xludf.DUMMYFUNCTION("""COMPUTED_VALUE"""),45294)</f>
        <v>45294</v>
      </c>
      <c r="J1387" s="29" t="s">
        <v>4889</v>
      </c>
      <c r="K1387" s="26" t="s">
        <v>4890</v>
      </c>
      <c r="L1387" s="30">
        <v>397043478</v>
      </c>
      <c r="M1387" s="26" t="s">
        <v>1245</v>
      </c>
      <c r="N1387" s="26" t="s">
        <v>4957</v>
      </c>
      <c r="O1387" s="26"/>
      <c r="P1387" s="26"/>
      <c r="Q1387" s="20">
        <v>7349</v>
      </c>
      <c r="R1387" s="26" t="s">
        <v>36</v>
      </c>
      <c r="S1387" s="58">
        <v>8000</v>
      </c>
      <c r="T1387" s="59">
        <v>44965</v>
      </c>
      <c r="U1387" s="31">
        <f>5780+3000</f>
        <v>8780</v>
      </c>
      <c r="V1387" s="26" t="s">
        <v>4892</v>
      </c>
      <c r="W1387" s="33" t="s">
        <v>4893</v>
      </c>
      <c r="X1387" s="26"/>
      <c r="Y1387" s="22">
        <v>-9431</v>
      </c>
      <c r="Z1387" s="26" t="s">
        <v>118</v>
      </c>
      <c r="AA1387" s="19" t="s">
        <v>5785</v>
      </c>
      <c r="AB1387" s="26" t="s">
        <v>104</v>
      </c>
      <c r="AC1387" s="26" t="s">
        <v>53</v>
      </c>
      <c r="AD1387" s="19" t="s">
        <v>138</v>
      </c>
      <c r="AE1387" s="26" t="s">
        <v>4133</v>
      </c>
      <c r="AF1387" s="17">
        <v>44929</v>
      </c>
      <c r="AG1387" s="26" t="s">
        <v>5101</v>
      </c>
      <c r="AH1387" s="26"/>
      <c r="AI1387" s="40">
        <v>2</v>
      </c>
      <c r="AJ1387" s="26"/>
      <c r="AK1387" s="26"/>
      <c r="AL1387" s="35"/>
      <c r="AM1387" s="35"/>
      <c r="AN1387" s="35"/>
      <c r="AO1387" s="35"/>
      <c r="AP1387" s="35"/>
    </row>
    <row r="1388" spans="1:42" x14ac:dyDescent="0.2">
      <c r="A1388" s="97">
        <v>45279</v>
      </c>
      <c r="B1388" s="28" t="s">
        <v>37</v>
      </c>
      <c r="C1388" s="41" t="s">
        <v>118</v>
      </c>
      <c r="D1388" s="26" t="s">
        <v>36</v>
      </c>
      <c r="E1388" s="26" t="s">
        <v>39</v>
      </c>
      <c r="F1388" s="26" t="s">
        <v>4133</v>
      </c>
      <c r="G1388" s="26" t="s">
        <v>108</v>
      </c>
      <c r="H1388" s="26" t="s">
        <v>5106</v>
      </c>
      <c r="I1388" s="17">
        <f ca="1">IFERROR(__xludf.DUMMYFUNCTION("""COMPUTED_VALUE"""),45294)</f>
        <v>45294</v>
      </c>
      <c r="J1388" s="29" t="s">
        <v>5390</v>
      </c>
      <c r="K1388" s="26" t="s">
        <v>5391</v>
      </c>
      <c r="L1388" s="30">
        <v>3699362285</v>
      </c>
      <c r="M1388" s="26" t="s">
        <v>1245</v>
      </c>
      <c r="N1388" s="26" t="s">
        <v>4957</v>
      </c>
      <c r="O1388" s="26" t="s">
        <v>1226</v>
      </c>
      <c r="P1388" s="26" t="s">
        <v>3056</v>
      </c>
      <c r="Q1388" s="20">
        <v>5736</v>
      </c>
      <c r="R1388" s="26" t="s">
        <v>36</v>
      </c>
      <c r="S1388" s="31">
        <v>2000</v>
      </c>
      <c r="T1388" s="32">
        <v>45216</v>
      </c>
      <c r="U1388" s="58">
        <v>3768</v>
      </c>
      <c r="V1388" s="59">
        <v>45248</v>
      </c>
      <c r="W1388" s="33" t="s">
        <v>5392</v>
      </c>
      <c r="X1388" s="26"/>
      <c r="Y1388" s="22">
        <v>-32</v>
      </c>
      <c r="Z1388" s="26" t="s">
        <v>118</v>
      </c>
      <c r="AA1388" s="19" t="s">
        <v>5785</v>
      </c>
      <c r="AB1388" s="26" t="s">
        <v>104</v>
      </c>
      <c r="AC1388" s="26" t="s">
        <v>53</v>
      </c>
      <c r="AD1388" s="19" t="s">
        <v>138</v>
      </c>
      <c r="AE1388" s="26" t="s">
        <v>4133</v>
      </c>
      <c r="AF1388" s="17">
        <v>44929</v>
      </c>
      <c r="AG1388" s="26" t="s">
        <v>5101</v>
      </c>
      <c r="AH1388" s="26"/>
      <c r="AI1388" s="40" t="s">
        <v>55</v>
      </c>
      <c r="AJ1388" s="26"/>
      <c r="AK1388" s="26"/>
      <c r="AL1388" s="35"/>
      <c r="AM1388" s="35"/>
      <c r="AN1388" s="35"/>
      <c r="AO1388" s="35"/>
      <c r="AP1388" s="35"/>
    </row>
    <row r="1389" spans="1:42" x14ac:dyDescent="0.2">
      <c r="A1389" s="97">
        <v>45280</v>
      </c>
      <c r="B1389" s="28" t="s">
        <v>37</v>
      </c>
      <c r="C1389" s="41" t="s">
        <v>118</v>
      </c>
      <c r="D1389" s="26" t="s">
        <v>36</v>
      </c>
      <c r="E1389" s="26" t="s">
        <v>56</v>
      </c>
      <c r="F1389" s="26" t="s">
        <v>4371</v>
      </c>
      <c r="G1389" s="26" t="s">
        <v>108</v>
      </c>
      <c r="H1389" s="26" t="s">
        <v>4576</v>
      </c>
      <c r="I1389" s="17">
        <f ca="1">IFERROR(__xludf.DUMMYFUNCTION("""COMPUTED_VALUE"""),45294)</f>
        <v>45294</v>
      </c>
      <c r="J1389" s="29" t="s">
        <v>5305</v>
      </c>
      <c r="K1389" s="26" t="s">
        <v>5306</v>
      </c>
      <c r="L1389" s="30">
        <v>968529386</v>
      </c>
      <c r="M1389" s="26" t="s">
        <v>1245</v>
      </c>
      <c r="N1389" s="26" t="s">
        <v>4957</v>
      </c>
      <c r="O1389" s="67" t="s">
        <v>5307</v>
      </c>
      <c r="P1389" s="42" t="s">
        <v>6022</v>
      </c>
      <c r="Q1389" s="20">
        <v>9317</v>
      </c>
      <c r="R1389" s="26" t="s">
        <v>36</v>
      </c>
      <c r="S1389" s="31">
        <v>1900</v>
      </c>
      <c r="T1389" s="32">
        <v>45210</v>
      </c>
      <c r="U1389" s="31">
        <v>7417</v>
      </c>
      <c r="V1389" s="32">
        <v>45245</v>
      </c>
      <c r="W1389" s="33" t="s">
        <v>5309</v>
      </c>
      <c r="X1389" s="26"/>
      <c r="Y1389" s="22">
        <v>0</v>
      </c>
      <c r="Z1389" s="26" t="s">
        <v>118</v>
      </c>
      <c r="AA1389" s="19" t="s">
        <v>5112</v>
      </c>
      <c r="AB1389" s="26" t="s">
        <v>104</v>
      </c>
      <c r="AC1389" s="26" t="s">
        <v>53</v>
      </c>
      <c r="AD1389" s="19" t="s">
        <v>54</v>
      </c>
      <c r="AE1389" s="26" t="s">
        <v>4371</v>
      </c>
      <c r="AF1389" s="17">
        <v>45281</v>
      </c>
      <c r="AG1389" s="26"/>
      <c r="AH1389" s="26"/>
      <c r="AI1389" s="40" t="s">
        <v>64</v>
      </c>
      <c r="AJ1389" s="26"/>
      <c r="AK1389" s="26"/>
      <c r="AL1389" s="35"/>
      <c r="AM1389" s="35"/>
      <c r="AN1389" s="35"/>
      <c r="AO1389" s="35"/>
      <c r="AP1389" s="35"/>
    </row>
    <row r="1390" spans="1:42" x14ac:dyDescent="0.2">
      <c r="A1390" s="97">
        <v>45281</v>
      </c>
      <c r="B1390" s="28" t="s">
        <v>37</v>
      </c>
      <c r="C1390" s="41" t="s">
        <v>118</v>
      </c>
      <c r="D1390" s="26" t="s">
        <v>36</v>
      </c>
      <c r="E1390" s="26" t="s">
        <v>139</v>
      </c>
      <c r="F1390" s="26" t="s">
        <v>4129</v>
      </c>
      <c r="G1390" s="26" t="s">
        <v>108</v>
      </c>
      <c r="H1390" s="26" t="s">
        <v>5100</v>
      </c>
      <c r="I1390" s="17">
        <f ca="1">IFERROR(__xludf.DUMMYFUNCTION("""COMPUTED_VALUE"""),45288)</f>
        <v>45288</v>
      </c>
      <c r="J1390" s="29" t="s">
        <v>4506</v>
      </c>
      <c r="K1390" s="26" t="s">
        <v>4507</v>
      </c>
      <c r="L1390" s="30">
        <v>964298654</v>
      </c>
      <c r="M1390" s="26" t="s">
        <v>1245</v>
      </c>
      <c r="N1390" s="26" t="s">
        <v>4957</v>
      </c>
      <c r="O1390" s="26" t="s">
        <v>4503</v>
      </c>
      <c r="P1390" s="26" t="s">
        <v>4508</v>
      </c>
      <c r="Q1390" s="20">
        <v>15936</v>
      </c>
      <c r="R1390" s="26" t="s">
        <v>36</v>
      </c>
      <c r="S1390" s="31">
        <v>15936</v>
      </c>
      <c r="T1390" s="32">
        <v>45228</v>
      </c>
      <c r="U1390" s="31"/>
      <c r="V1390" s="26"/>
      <c r="W1390" s="33" t="s">
        <v>4509</v>
      </c>
      <c r="X1390" s="26"/>
      <c r="Y1390" s="22">
        <v>0</v>
      </c>
      <c r="Z1390" s="26" t="s">
        <v>118</v>
      </c>
      <c r="AA1390" s="19" t="s">
        <v>3454</v>
      </c>
      <c r="AB1390" s="26" t="s">
        <v>104</v>
      </c>
      <c r="AC1390" s="26" t="s">
        <v>53</v>
      </c>
      <c r="AD1390" s="19" t="s">
        <v>138</v>
      </c>
      <c r="AE1390" s="26" t="s">
        <v>4129</v>
      </c>
      <c r="AF1390" s="17">
        <v>45288</v>
      </c>
      <c r="AG1390" s="26" t="s">
        <v>5101</v>
      </c>
      <c r="AH1390" s="26"/>
      <c r="AI1390" s="40"/>
      <c r="AJ1390" s="26"/>
      <c r="AK1390" s="26"/>
      <c r="AL1390" s="35"/>
      <c r="AM1390" s="35"/>
      <c r="AN1390" s="35"/>
      <c r="AO1390" s="35"/>
      <c r="AP1390" s="35"/>
    </row>
    <row r="1391" spans="1:42" x14ac:dyDescent="0.2">
      <c r="A1391" s="97">
        <v>45281</v>
      </c>
      <c r="B1391" s="28" t="s">
        <v>37</v>
      </c>
      <c r="C1391" s="41" t="s">
        <v>118</v>
      </c>
      <c r="D1391" s="26" t="s">
        <v>36</v>
      </c>
      <c r="E1391" s="26" t="s">
        <v>39</v>
      </c>
      <c r="F1391" s="26" t="s">
        <v>4133</v>
      </c>
      <c r="G1391" s="26" t="s">
        <v>108</v>
      </c>
      <c r="H1391" s="26" t="s">
        <v>6023</v>
      </c>
      <c r="I1391" s="17" t="str">
        <f ca="1">IFERROR(__xludf.DUMMYFUNCTION("""COMPUTED_VALUE""")," ")</f>
        <v xml:space="preserve"> </v>
      </c>
      <c r="J1391" s="29" t="s">
        <v>5464</v>
      </c>
      <c r="K1391" s="26" t="s">
        <v>6024</v>
      </c>
      <c r="L1391" s="30">
        <v>397422005</v>
      </c>
      <c r="M1391" s="26" t="s">
        <v>1245</v>
      </c>
      <c r="N1391" s="26" t="s">
        <v>4957</v>
      </c>
      <c r="O1391" s="26" t="s">
        <v>3754</v>
      </c>
      <c r="P1391" s="26" t="s">
        <v>5462</v>
      </c>
      <c r="Q1391" s="20">
        <v>5736</v>
      </c>
      <c r="R1391" s="26" t="s">
        <v>70</v>
      </c>
      <c r="S1391" s="31">
        <v>2000</v>
      </c>
      <c r="T1391" s="32">
        <v>45224</v>
      </c>
      <c r="U1391" s="31">
        <v>3636</v>
      </c>
      <c r="V1391" s="32">
        <v>45248</v>
      </c>
      <c r="W1391" s="33" t="s">
        <v>5466</v>
      </c>
      <c r="X1391" s="26"/>
      <c r="Y1391" s="22">
        <v>100</v>
      </c>
      <c r="Z1391" s="26" t="s">
        <v>118</v>
      </c>
      <c r="AA1391" s="19" t="s">
        <v>5112</v>
      </c>
      <c r="AB1391" s="26" t="s">
        <v>104</v>
      </c>
      <c r="AC1391" s="26" t="s">
        <v>53</v>
      </c>
      <c r="AD1391" s="19" t="s">
        <v>138</v>
      </c>
      <c r="AE1391" s="26" t="s">
        <v>4133</v>
      </c>
      <c r="AF1391" s="17">
        <v>44929</v>
      </c>
      <c r="AG1391" s="26" t="s">
        <v>5101</v>
      </c>
      <c r="AH1391" s="26"/>
      <c r="AI1391" s="40" t="s">
        <v>55</v>
      </c>
      <c r="AJ1391" s="26"/>
      <c r="AK1391" s="26"/>
      <c r="AL1391" s="35"/>
      <c r="AM1391" s="35"/>
      <c r="AN1391" s="35"/>
      <c r="AO1391" s="35"/>
      <c r="AP1391" s="35"/>
    </row>
    <row r="1392" spans="1:42" x14ac:dyDescent="0.2">
      <c r="A1392" s="97">
        <v>45281</v>
      </c>
      <c r="B1392" s="28" t="s">
        <v>37</v>
      </c>
      <c r="C1392" s="41" t="s">
        <v>118</v>
      </c>
      <c r="D1392" s="26" t="s">
        <v>36</v>
      </c>
      <c r="E1392" s="26" t="s">
        <v>139</v>
      </c>
      <c r="F1392" s="26" t="s">
        <v>4129</v>
      </c>
      <c r="G1392" s="26" t="s">
        <v>108</v>
      </c>
      <c r="H1392" s="26" t="s">
        <v>5100</v>
      </c>
      <c r="I1392" s="17">
        <f ca="1">IFERROR(__xludf.DUMMYFUNCTION("""COMPUTED_VALUE"""),45288)</f>
        <v>45288</v>
      </c>
      <c r="J1392" s="29" t="s">
        <v>5414</v>
      </c>
      <c r="K1392" s="26" t="s">
        <v>5415</v>
      </c>
      <c r="L1392" s="30">
        <v>564144888</v>
      </c>
      <c r="M1392" s="26" t="s">
        <v>123</v>
      </c>
      <c r="N1392" s="26" t="s">
        <v>186</v>
      </c>
      <c r="O1392" s="26" t="s">
        <v>1226</v>
      </c>
      <c r="P1392" s="26" t="s">
        <v>3056</v>
      </c>
      <c r="Q1392" s="20">
        <v>15936</v>
      </c>
      <c r="R1392" s="26" t="s">
        <v>36</v>
      </c>
      <c r="S1392" s="31">
        <v>5000</v>
      </c>
      <c r="T1392" s="32">
        <v>45221</v>
      </c>
      <c r="U1392" s="58">
        <v>10936</v>
      </c>
      <c r="V1392" s="59">
        <v>45253</v>
      </c>
      <c r="W1392" s="33" t="s">
        <v>5416</v>
      </c>
      <c r="X1392" s="26"/>
      <c r="Y1392" s="22">
        <v>0</v>
      </c>
      <c r="Z1392" s="26" t="s">
        <v>118</v>
      </c>
      <c r="AA1392" s="19" t="s">
        <v>5112</v>
      </c>
      <c r="AB1392" s="26" t="s">
        <v>104</v>
      </c>
      <c r="AC1392" s="26" t="s">
        <v>53</v>
      </c>
      <c r="AD1392" s="19" t="s">
        <v>138</v>
      </c>
      <c r="AE1392" s="26" t="s">
        <v>4129</v>
      </c>
      <c r="AF1392" s="17">
        <v>45288</v>
      </c>
      <c r="AG1392" s="26" t="s">
        <v>5101</v>
      </c>
      <c r="AH1392" s="26"/>
      <c r="AI1392" s="40" t="s">
        <v>147</v>
      </c>
      <c r="AJ1392" s="26"/>
      <c r="AK1392" s="26"/>
      <c r="AL1392" s="35"/>
      <c r="AM1392" s="35"/>
      <c r="AN1392" s="35"/>
      <c r="AO1392" s="35"/>
      <c r="AP1392" s="35"/>
    </row>
    <row r="1393" spans="1:42" x14ac:dyDescent="0.2">
      <c r="A1393" s="97">
        <v>45282</v>
      </c>
      <c r="B1393" s="28" t="s">
        <v>37</v>
      </c>
      <c r="C1393" s="41" t="s">
        <v>118</v>
      </c>
      <c r="D1393" s="26" t="s">
        <v>36</v>
      </c>
      <c r="E1393" s="26" t="s">
        <v>119</v>
      </c>
      <c r="F1393" s="26" t="s">
        <v>1544</v>
      </c>
      <c r="G1393" s="26" t="s">
        <v>221</v>
      </c>
      <c r="H1393" s="26" t="s">
        <v>6025</v>
      </c>
      <c r="I1393" s="17">
        <f ca="1">IFERROR(__xludf.DUMMYFUNCTION("""COMPUTED_VALUE"""),45295)</f>
        <v>45295</v>
      </c>
      <c r="J1393" s="44" t="s">
        <v>6026</v>
      </c>
      <c r="K1393" s="26" t="s">
        <v>6027</v>
      </c>
      <c r="L1393" s="30">
        <v>971417226</v>
      </c>
      <c r="M1393" s="26" t="s">
        <v>80</v>
      </c>
      <c r="N1393" s="26" t="s">
        <v>466</v>
      </c>
      <c r="O1393" s="26" t="s">
        <v>2491</v>
      </c>
      <c r="P1393" s="26" t="s">
        <v>2492</v>
      </c>
      <c r="Q1393" s="20">
        <v>13968</v>
      </c>
      <c r="R1393" s="26" t="s">
        <v>36</v>
      </c>
      <c r="S1393" s="31">
        <v>4000</v>
      </c>
      <c r="T1393" s="32">
        <v>45154</v>
      </c>
      <c r="U1393" s="31">
        <v>9968</v>
      </c>
      <c r="V1393" s="32">
        <v>45196</v>
      </c>
      <c r="W1393" s="33" t="s">
        <v>2493</v>
      </c>
      <c r="X1393" s="26"/>
      <c r="Y1393" s="22">
        <v>0</v>
      </c>
      <c r="Z1393" s="26" t="s">
        <v>118</v>
      </c>
      <c r="AA1393" s="19" t="s">
        <v>2449</v>
      </c>
      <c r="AB1393" s="26" t="s">
        <v>146</v>
      </c>
      <c r="AC1393" s="26" t="s">
        <v>53</v>
      </c>
      <c r="AD1393" s="19" t="s">
        <v>54</v>
      </c>
      <c r="AE1393" s="26" t="s">
        <v>1544</v>
      </c>
      <c r="AF1393" s="17">
        <v>45285</v>
      </c>
      <c r="AG1393" s="26"/>
      <c r="AH1393" s="26"/>
      <c r="AI1393" s="40"/>
      <c r="AJ1393" s="26"/>
      <c r="AK1393" s="26"/>
      <c r="AL1393" s="35"/>
      <c r="AM1393" s="35"/>
      <c r="AN1393" s="35"/>
      <c r="AO1393" s="35"/>
      <c r="AP1393" s="35"/>
    </row>
    <row r="1394" spans="1:42" x14ac:dyDescent="0.2">
      <c r="A1394" s="97">
        <v>45282</v>
      </c>
      <c r="B1394" s="28" t="s">
        <v>37</v>
      </c>
      <c r="C1394" s="41" t="s">
        <v>118</v>
      </c>
      <c r="D1394" s="26" t="s">
        <v>36</v>
      </c>
      <c r="E1394" s="26" t="s">
        <v>119</v>
      </c>
      <c r="F1394" s="26" t="s">
        <v>1495</v>
      </c>
      <c r="G1394" s="26" t="s">
        <v>221</v>
      </c>
      <c r="H1394" s="26" t="s">
        <v>6025</v>
      </c>
      <c r="I1394" s="17">
        <f ca="1">IFERROR(__xludf.DUMMYFUNCTION("""COMPUTED_VALUE"""),45295)</f>
        <v>45295</v>
      </c>
      <c r="J1394" s="29" t="s">
        <v>2700</v>
      </c>
      <c r="K1394" s="26" t="s">
        <v>6028</v>
      </c>
      <c r="L1394" s="30">
        <v>941564187</v>
      </c>
      <c r="M1394" s="26" t="s">
        <v>1245</v>
      </c>
      <c r="N1394" s="26" t="s">
        <v>4957</v>
      </c>
      <c r="O1394" s="26" t="s">
        <v>2702</v>
      </c>
      <c r="P1394" s="42" t="s">
        <v>6029</v>
      </c>
      <c r="Q1394" s="20">
        <v>13968</v>
      </c>
      <c r="R1394" s="26" t="s">
        <v>36</v>
      </c>
      <c r="S1394" s="31">
        <v>4000</v>
      </c>
      <c r="T1394" s="32">
        <v>45176</v>
      </c>
      <c r="U1394" s="31">
        <v>9936</v>
      </c>
      <c r="V1394" s="32">
        <v>45195</v>
      </c>
      <c r="W1394" s="33" t="s">
        <v>2704</v>
      </c>
      <c r="X1394" s="26"/>
      <c r="Y1394" s="22">
        <v>32</v>
      </c>
      <c r="Z1394" s="26" t="s">
        <v>118</v>
      </c>
      <c r="AA1394" s="19" t="s">
        <v>2449</v>
      </c>
      <c r="AB1394" s="26" t="s">
        <v>137</v>
      </c>
      <c r="AC1394" s="26" t="s">
        <v>53</v>
      </c>
      <c r="AD1394" s="19" t="s">
        <v>54</v>
      </c>
      <c r="AE1394" s="26" t="s">
        <v>1495</v>
      </c>
      <c r="AF1394" s="17">
        <v>45285</v>
      </c>
      <c r="AG1394" s="26"/>
      <c r="AH1394" s="26"/>
      <c r="AI1394" s="40"/>
      <c r="AJ1394" s="26"/>
      <c r="AK1394" s="26"/>
      <c r="AL1394" s="35"/>
      <c r="AM1394" s="35"/>
      <c r="AN1394" s="35"/>
      <c r="AO1394" s="35"/>
      <c r="AP1394" s="35"/>
    </row>
    <row r="1395" spans="1:42" x14ac:dyDescent="0.2">
      <c r="A1395" s="97">
        <v>45282</v>
      </c>
      <c r="B1395" s="28" t="s">
        <v>37</v>
      </c>
      <c r="C1395" s="41" t="s">
        <v>118</v>
      </c>
      <c r="D1395" s="26" t="s">
        <v>36</v>
      </c>
      <c r="E1395" s="26" t="s">
        <v>119</v>
      </c>
      <c r="F1395" s="26" t="s">
        <v>2388</v>
      </c>
      <c r="G1395" s="26" t="s">
        <v>221</v>
      </c>
      <c r="H1395" s="26" t="s">
        <v>6025</v>
      </c>
      <c r="I1395" s="17">
        <f ca="1">IFERROR(__xludf.DUMMYFUNCTION("""COMPUTED_VALUE"""),45295)</f>
        <v>45295</v>
      </c>
      <c r="J1395" s="29" t="s">
        <v>3467</v>
      </c>
      <c r="K1395" s="26" t="s">
        <v>6030</v>
      </c>
      <c r="L1395" s="30">
        <v>796424066</v>
      </c>
      <c r="M1395" s="26" t="s">
        <v>1245</v>
      </c>
      <c r="N1395" s="26" t="s">
        <v>4957</v>
      </c>
      <c r="O1395" s="26" t="s">
        <v>3469</v>
      </c>
      <c r="P1395" s="42" t="s">
        <v>3470</v>
      </c>
      <c r="Q1395" s="20">
        <v>13968</v>
      </c>
      <c r="R1395" s="26" t="s">
        <v>36</v>
      </c>
      <c r="S1395" s="31">
        <v>4000</v>
      </c>
      <c r="T1395" s="32">
        <v>45173</v>
      </c>
      <c r="U1395" s="31">
        <v>9968</v>
      </c>
      <c r="V1395" s="32">
        <v>45220</v>
      </c>
      <c r="W1395" s="33" t="s">
        <v>3471</v>
      </c>
      <c r="X1395" s="35"/>
      <c r="Y1395" s="22">
        <v>0</v>
      </c>
      <c r="Z1395" s="26" t="s">
        <v>118</v>
      </c>
      <c r="AA1395" s="19" t="s">
        <v>3454</v>
      </c>
      <c r="AB1395" s="26" t="s">
        <v>3472</v>
      </c>
      <c r="AC1395" s="26" t="s">
        <v>53</v>
      </c>
      <c r="AD1395" s="19" t="s">
        <v>138</v>
      </c>
      <c r="AE1395" s="26" t="s">
        <v>2388</v>
      </c>
      <c r="AF1395" s="17">
        <v>45285</v>
      </c>
      <c r="AG1395" s="35"/>
      <c r="AH1395" s="36"/>
      <c r="AI1395" s="37"/>
      <c r="AJ1395" s="35"/>
      <c r="AK1395" s="35"/>
      <c r="AL1395" s="35"/>
      <c r="AM1395" s="35"/>
      <c r="AN1395" s="35"/>
      <c r="AO1395" s="35"/>
      <c r="AP1395" s="35"/>
    </row>
    <row r="1396" spans="1:42" x14ac:dyDescent="0.2">
      <c r="A1396" s="97">
        <v>45282</v>
      </c>
      <c r="B1396" s="28" t="s">
        <v>37</v>
      </c>
      <c r="C1396" s="41" t="s">
        <v>118</v>
      </c>
      <c r="D1396" s="26" t="s">
        <v>3490</v>
      </c>
      <c r="E1396" s="26" t="s">
        <v>119</v>
      </c>
      <c r="F1396" s="26" t="s">
        <v>1495</v>
      </c>
      <c r="G1396" s="26" t="s">
        <v>221</v>
      </c>
      <c r="H1396" s="26" t="s">
        <v>6025</v>
      </c>
      <c r="I1396" s="17">
        <f ca="1">IFERROR(__xludf.DUMMYFUNCTION("""COMPUTED_VALUE"""),45295)</f>
        <v>45295</v>
      </c>
      <c r="J1396" s="29" t="s">
        <v>3491</v>
      </c>
      <c r="K1396" s="26" t="s">
        <v>6031</v>
      </c>
      <c r="L1396" s="30">
        <v>393012214</v>
      </c>
      <c r="M1396" s="26" t="s">
        <v>1245</v>
      </c>
      <c r="N1396" s="26" t="s">
        <v>4957</v>
      </c>
      <c r="O1396" s="26" t="s">
        <v>3493</v>
      </c>
      <c r="P1396" s="42" t="s">
        <v>6032</v>
      </c>
      <c r="Q1396" s="20">
        <v>13968</v>
      </c>
      <c r="R1396" s="26" t="s">
        <v>36</v>
      </c>
      <c r="S1396" s="31">
        <v>4000</v>
      </c>
      <c r="T1396" s="32">
        <v>45176</v>
      </c>
      <c r="U1396" s="31">
        <v>9968</v>
      </c>
      <c r="V1396" s="32">
        <v>45204</v>
      </c>
      <c r="W1396" s="33" t="s">
        <v>3495</v>
      </c>
      <c r="X1396" s="26"/>
      <c r="Y1396" s="22">
        <v>0</v>
      </c>
      <c r="Z1396" s="26" t="s">
        <v>118</v>
      </c>
      <c r="AA1396" s="19" t="s">
        <v>3454</v>
      </c>
      <c r="AB1396" s="26" t="s">
        <v>137</v>
      </c>
      <c r="AC1396" s="26" t="s">
        <v>53</v>
      </c>
      <c r="AD1396" s="19" t="s">
        <v>54</v>
      </c>
      <c r="AE1396" s="26" t="s">
        <v>1495</v>
      </c>
      <c r="AF1396" s="17">
        <v>45285</v>
      </c>
      <c r="AG1396" s="26"/>
      <c r="AH1396" s="26"/>
      <c r="AI1396" s="40"/>
      <c r="AJ1396" s="26"/>
      <c r="AK1396" s="26"/>
      <c r="AL1396" s="35"/>
      <c r="AM1396" s="35"/>
      <c r="AN1396" s="35"/>
      <c r="AO1396" s="35"/>
      <c r="AP1396" s="35"/>
    </row>
    <row r="1397" spans="1:42" x14ac:dyDescent="0.2">
      <c r="A1397" s="97">
        <v>45285</v>
      </c>
      <c r="B1397" s="28" t="s">
        <v>37</v>
      </c>
      <c r="C1397" s="41" t="s">
        <v>118</v>
      </c>
      <c r="D1397" s="26" t="s">
        <v>36</v>
      </c>
      <c r="E1397" s="26" t="s">
        <v>39</v>
      </c>
      <c r="F1397" s="26" t="s">
        <v>545</v>
      </c>
      <c r="G1397" s="26" t="s">
        <v>108</v>
      </c>
      <c r="H1397" s="26" t="s">
        <v>6033</v>
      </c>
      <c r="I1397" s="17" t="str">
        <f ca="1">IFERROR(__xludf.DUMMYFUNCTION("""COMPUTED_VALUE""")," ")</f>
        <v xml:space="preserve"> </v>
      </c>
      <c r="J1397" s="29" t="s">
        <v>605</v>
      </c>
      <c r="K1397" s="26" t="s">
        <v>6034</v>
      </c>
      <c r="L1397" s="30">
        <v>398775012</v>
      </c>
      <c r="M1397" s="26" t="s">
        <v>1245</v>
      </c>
      <c r="N1397" s="26" t="s">
        <v>4957</v>
      </c>
      <c r="O1397" s="26" t="s">
        <v>607</v>
      </c>
      <c r="P1397" s="42" t="s">
        <v>6035</v>
      </c>
      <c r="Q1397" s="20">
        <v>5736</v>
      </c>
      <c r="R1397" s="26" t="s">
        <v>70</v>
      </c>
      <c r="S1397" s="31">
        <v>5636</v>
      </c>
      <c r="T1397" s="32">
        <v>45129</v>
      </c>
      <c r="U1397" s="31"/>
      <c r="V1397" s="26"/>
      <c r="W1397" s="33" t="s">
        <v>609</v>
      </c>
      <c r="X1397" s="26">
        <v>100</v>
      </c>
      <c r="Y1397" s="22">
        <v>0</v>
      </c>
      <c r="Z1397" s="26" t="s">
        <v>118</v>
      </c>
      <c r="AA1397" s="19" t="s">
        <v>51</v>
      </c>
      <c r="AB1397" s="26" t="s">
        <v>104</v>
      </c>
      <c r="AC1397" s="26" t="s">
        <v>53</v>
      </c>
      <c r="AD1397" s="19" t="s">
        <v>54</v>
      </c>
      <c r="AE1397" s="26" t="s">
        <v>545</v>
      </c>
      <c r="AF1397" s="17">
        <v>45289</v>
      </c>
      <c r="AG1397" s="26"/>
      <c r="AH1397" s="26">
        <v>1</v>
      </c>
      <c r="AI1397" s="40" t="s">
        <v>55</v>
      </c>
      <c r="AJ1397" s="26"/>
      <c r="AK1397" s="26"/>
      <c r="AL1397" s="35"/>
      <c r="AM1397" s="35"/>
      <c r="AN1397" s="35"/>
      <c r="AO1397" s="35"/>
      <c r="AP1397" s="35"/>
    </row>
    <row r="1398" spans="1:42" x14ac:dyDescent="0.2">
      <c r="A1398" s="97">
        <v>45285</v>
      </c>
      <c r="B1398" s="28" t="s">
        <v>37</v>
      </c>
      <c r="C1398" s="41" t="s">
        <v>118</v>
      </c>
      <c r="D1398" s="26" t="s">
        <v>36</v>
      </c>
      <c r="E1398" s="26" t="s">
        <v>77</v>
      </c>
      <c r="F1398" s="26" t="s">
        <v>423</v>
      </c>
      <c r="G1398" s="26" t="s">
        <v>41</v>
      </c>
      <c r="H1398" s="26" t="s">
        <v>2856</v>
      </c>
      <c r="I1398" s="17">
        <f ca="1">IFERROR(__xludf.DUMMYFUNCTION("""COMPUTED_VALUE"""),45293)</f>
        <v>45293</v>
      </c>
      <c r="J1398" s="29" t="s">
        <v>424</v>
      </c>
      <c r="K1398" s="26" t="s">
        <v>6036</v>
      </c>
      <c r="L1398" s="30">
        <v>374147040</v>
      </c>
      <c r="M1398" s="26" t="s">
        <v>391</v>
      </c>
      <c r="N1398" s="26" t="s">
        <v>426</v>
      </c>
      <c r="O1398" s="26" t="s">
        <v>427</v>
      </c>
      <c r="P1398" s="42" t="s">
        <v>428</v>
      </c>
      <c r="Q1398" s="20">
        <v>3768</v>
      </c>
      <c r="R1398" s="26" t="s">
        <v>36</v>
      </c>
      <c r="S1398" s="31">
        <v>3668</v>
      </c>
      <c r="T1398" s="32">
        <v>45117</v>
      </c>
      <c r="U1398" s="31"/>
      <c r="V1398" s="26"/>
      <c r="W1398" s="33" t="s">
        <v>429</v>
      </c>
      <c r="X1398" s="26">
        <v>100</v>
      </c>
      <c r="Y1398" s="22">
        <v>0</v>
      </c>
      <c r="Z1398" s="34" t="s">
        <v>50</v>
      </c>
      <c r="AA1398" s="19" t="s">
        <v>51</v>
      </c>
      <c r="AB1398" s="26" t="s">
        <v>154</v>
      </c>
      <c r="AC1398" s="26" t="s">
        <v>53</v>
      </c>
      <c r="AD1398" s="19" t="s">
        <v>54</v>
      </c>
      <c r="AE1398" s="26" t="s">
        <v>423</v>
      </c>
      <c r="AF1398" s="43">
        <v>45218</v>
      </c>
      <c r="AG1398" s="26" t="s">
        <v>6037</v>
      </c>
      <c r="AH1398" s="26">
        <v>1</v>
      </c>
      <c r="AI1398" s="40">
        <v>1</v>
      </c>
      <c r="AJ1398" s="26"/>
      <c r="AK1398" s="26"/>
      <c r="AL1398" s="35"/>
      <c r="AM1398" s="35"/>
      <c r="AN1398" s="35"/>
      <c r="AO1398" s="35"/>
      <c r="AP1398" s="35"/>
    </row>
    <row r="1399" spans="1:42" x14ac:dyDescent="0.2">
      <c r="A1399" s="97">
        <v>45285</v>
      </c>
      <c r="B1399" s="28" t="s">
        <v>37</v>
      </c>
      <c r="C1399" s="41" t="s">
        <v>118</v>
      </c>
      <c r="D1399" s="26" t="s">
        <v>36</v>
      </c>
      <c r="E1399" s="26" t="s">
        <v>139</v>
      </c>
      <c r="F1399" s="26" t="s">
        <v>3414</v>
      </c>
      <c r="G1399" s="26" t="s">
        <v>108</v>
      </c>
      <c r="H1399" s="26" t="s">
        <v>4931</v>
      </c>
      <c r="I1399" s="17">
        <f ca="1">IFERROR(__xludf.DUMMYFUNCTION("""COMPUTED_VALUE"""),45375)</f>
        <v>45375</v>
      </c>
      <c r="J1399" s="29" t="s">
        <v>5421</v>
      </c>
      <c r="K1399" s="26" t="s">
        <v>6038</v>
      </c>
      <c r="L1399" s="30">
        <v>357656025</v>
      </c>
      <c r="M1399" s="26" t="s">
        <v>123</v>
      </c>
      <c r="N1399" s="26" t="s">
        <v>186</v>
      </c>
      <c r="O1399" s="26" t="s">
        <v>1226</v>
      </c>
      <c r="P1399" s="26" t="s">
        <v>5423</v>
      </c>
      <c r="Q1399" s="20">
        <v>15936</v>
      </c>
      <c r="R1399" s="26" t="s">
        <v>36</v>
      </c>
      <c r="S1399" s="31">
        <v>200</v>
      </c>
      <c r="T1399" s="32">
        <v>45222</v>
      </c>
      <c r="U1399" s="31">
        <f>8000+7936</f>
        <v>15936</v>
      </c>
      <c r="V1399" s="26" t="s">
        <v>5424</v>
      </c>
      <c r="W1399" s="33" t="s">
        <v>5425</v>
      </c>
      <c r="X1399" s="26"/>
      <c r="Y1399" s="22">
        <v>-200</v>
      </c>
      <c r="Z1399" s="26" t="s">
        <v>118</v>
      </c>
      <c r="AA1399" s="19" t="s">
        <v>5112</v>
      </c>
      <c r="AB1399" s="26" t="s">
        <v>104</v>
      </c>
      <c r="AC1399" s="26" t="s">
        <v>53</v>
      </c>
      <c r="AD1399" s="19" t="s">
        <v>54</v>
      </c>
      <c r="AE1399" s="26" t="s">
        <v>3414</v>
      </c>
      <c r="AF1399" s="17">
        <v>45293</v>
      </c>
      <c r="AG1399" s="35" t="s">
        <v>3415</v>
      </c>
      <c r="AH1399" s="26"/>
      <c r="AI1399" s="40" t="s">
        <v>147</v>
      </c>
      <c r="AJ1399" s="26"/>
      <c r="AK1399" s="26"/>
      <c r="AL1399" s="35"/>
      <c r="AM1399" s="35"/>
      <c r="AN1399" s="35"/>
      <c r="AO1399" s="35"/>
      <c r="AP1399" s="35"/>
    </row>
    <row r="1400" spans="1:42" x14ac:dyDescent="0.2">
      <c r="A1400" s="97">
        <v>45285</v>
      </c>
      <c r="B1400" s="28" t="s">
        <v>37</v>
      </c>
      <c r="C1400" s="41" t="s">
        <v>118</v>
      </c>
      <c r="D1400" s="26" t="s">
        <v>36</v>
      </c>
      <c r="E1400" s="26" t="s">
        <v>39</v>
      </c>
      <c r="F1400" s="26" t="s">
        <v>3414</v>
      </c>
      <c r="G1400" s="26" t="s">
        <v>108</v>
      </c>
      <c r="H1400" s="26" t="s">
        <v>3407</v>
      </c>
      <c r="I1400" s="17">
        <f ca="1">IFERROR(__xludf.DUMMYFUNCTION("""COMPUTED_VALUE"""),45293)</f>
        <v>45293</v>
      </c>
      <c r="J1400" s="29" t="s">
        <v>5593</v>
      </c>
      <c r="K1400" s="26" t="s">
        <v>3794</v>
      </c>
      <c r="L1400" s="30">
        <v>852397689</v>
      </c>
      <c r="M1400" s="26" t="s">
        <v>1245</v>
      </c>
      <c r="N1400" s="26" t="s">
        <v>4957</v>
      </c>
      <c r="O1400" s="26" t="s">
        <v>5594</v>
      </c>
      <c r="P1400" s="26" t="s">
        <v>5595</v>
      </c>
      <c r="Q1400" s="20">
        <v>5736</v>
      </c>
      <c r="R1400" s="26" t="s">
        <v>36</v>
      </c>
      <c r="S1400" s="31">
        <v>5736</v>
      </c>
      <c r="T1400" s="32">
        <v>45239</v>
      </c>
      <c r="U1400" s="31"/>
      <c r="V1400" s="32"/>
      <c r="W1400" s="33" t="s">
        <v>5596</v>
      </c>
      <c r="X1400" s="26"/>
      <c r="Y1400" s="22">
        <v>0</v>
      </c>
      <c r="Z1400" s="26" t="s">
        <v>118</v>
      </c>
      <c r="AA1400" s="19" t="s">
        <v>5112</v>
      </c>
      <c r="AB1400" s="26" t="s">
        <v>104</v>
      </c>
      <c r="AC1400" s="26" t="s">
        <v>53</v>
      </c>
      <c r="AD1400" s="19" t="s">
        <v>138</v>
      </c>
      <c r="AE1400" s="26" t="s">
        <v>3414</v>
      </c>
      <c r="AF1400" s="17">
        <v>45293</v>
      </c>
      <c r="AG1400" s="35" t="s">
        <v>3415</v>
      </c>
      <c r="AH1400" s="26"/>
      <c r="AI1400" s="40" t="s">
        <v>55</v>
      </c>
      <c r="AJ1400" s="26"/>
      <c r="AK1400" s="26"/>
      <c r="AL1400" s="35"/>
      <c r="AM1400" s="35"/>
      <c r="AN1400" s="35"/>
      <c r="AO1400" s="35"/>
      <c r="AP1400" s="35"/>
    </row>
    <row r="1401" spans="1:42" x14ac:dyDescent="0.2">
      <c r="A1401" s="97">
        <v>45285</v>
      </c>
      <c r="B1401" s="28" t="s">
        <v>37</v>
      </c>
      <c r="C1401" s="41" t="s">
        <v>118</v>
      </c>
      <c r="D1401" s="26" t="s">
        <v>36</v>
      </c>
      <c r="E1401" s="26" t="s">
        <v>39</v>
      </c>
      <c r="F1401" s="26" t="s">
        <v>3414</v>
      </c>
      <c r="G1401" s="26" t="s">
        <v>108</v>
      </c>
      <c r="H1401" s="26" t="s">
        <v>3407</v>
      </c>
      <c r="I1401" s="17">
        <f ca="1">IFERROR(__xludf.DUMMYFUNCTION("""COMPUTED_VALUE"""),45293)</f>
        <v>45293</v>
      </c>
      <c r="J1401" s="29" t="s">
        <v>4484</v>
      </c>
      <c r="K1401" s="26" t="s">
        <v>4485</v>
      </c>
      <c r="L1401" s="30">
        <v>373701208</v>
      </c>
      <c r="M1401" s="26" t="s">
        <v>1245</v>
      </c>
      <c r="N1401" s="26" t="s">
        <v>4957</v>
      </c>
      <c r="O1401" s="26" t="s">
        <v>4486</v>
      </c>
      <c r="P1401" s="26" t="s">
        <v>4482</v>
      </c>
      <c r="Q1401" s="20">
        <v>5736</v>
      </c>
      <c r="R1401" s="26" t="s">
        <v>70</v>
      </c>
      <c r="S1401" s="31">
        <v>5636</v>
      </c>
      <c r="T1401" s="32">
        <v>45229</v>
      </c>
      <c r="U1401" s="31"/>
      <c r="V1401" s="26"/>
      <c r="W1401" s="33" t="s">
        <v>4487</v>
      </c>
      <c r="X1401" s="26"/>
      <c r="Y1401" s="22">
        <v>100</v>
      </c>
      <c r="Z1401" s="26" t="s">
        <v>118</v>
      </c>
      <c r="AA1401" s="19" t="s">
        <v>3454</v>
      </c>
      <c r="AB1401" s="26" t="s">
        <v>154</v>
      </c>
      <c r="AC1401" s="26" t="s">
        <v>53</v>
      </c>
      <c r="AD1401" s="19" t="s">
        <v>138</v>
      </c>
      <c r="AE1401" s="26" t="s">
        <v>3414</v>
      </c>
      <c r="AF1401" s="17">
        <v>45293</v>
      </c>
      <c r="AG1401" s="35" t="s">
        <v>3415</v>
      </c>
      <c r="AH1401" s="26"/>
      <c r="AI1401" s="40"/>
      <c r="AJ1401" s="26"/>
      <c r="AK1401" s="26"/>
      <c r="AL1401" s="35"/>
      <c r="AM1401" s="35"/>
      <c r="AN1401" s="35"/>
      <c r="AO1401" s="35"/>
      <c r="AP1401" s="35"/>
    </row>
    <row r="1402" spans="1:42" x14ac:dyDescent="0.2">
      <c r="A1402" s="97">
        <v>45286</v>
      </c>
      <c r="B1402" s="28" t="s">
        <v>37</v>
      </c>
      <c r="C1402" s="41" t="s">
        <v>118</v>
      </c>
      <c r="D1402" s="26" t="s">
        <v>36</v>
      </c>
      <c r="E1402" s="26" t="s">
        <v>139</v>
      </c>
      <c r="F1402" s="26" t="s">
        <v>3414</v>
      </c>
      <c r="G1402" s="26" t="s">
        <v>108</v>
      </c>
      <c r="H1402" s="26" t="s">
        <v>3407</v>
      </c>
      <c r="I1402" s="17">
        <f ca="1">IFERROR(__xludf.DUMMYFUNCTION("""COMPUTED_VALUE"""),45293)</f>
        <v>45293</v>
      </c>
      <c r="J1402" s="29" t="s">
        <v>5569</v>
      </c>
      <c r="K1402" s="26" t="s">
        <v>5570</v>
      </c>
      <c r="L1402" s="30">
        <v>374526184</v>
      </c>
      <c r="M1402" s="26" t="s">
        <v>1245</v>
      </c>
      <c r="N1402" s="26" t="s">
        <v>4957</v>
      </c>
      <c r="O1402" s="26" t="s">
        <v>4503</v>
      </c>
      <c r="P1402" s="42" t="s">
        <v>6039</v>
      </c>
      <c r="Q1402" s="20">
        <v>15936</v>
      </c>
      <c r="R1402" s="26" t="s">
        <v>36</v>
      </c>
      <c r="S1402" s="31">
        <v>15936</v>
      </c>
      <c r="T1402" s="32">
        <v>45236</v>
      </c>
      <c r="U1402" s="31"/>
      <c r="V1402" s="32"/>
      <c r="W1402" s="33" t="s">
        <v>5571</v>
      </c>
      <c r="X1402" s="26"/>
      <c r="Y1402" s="22">
        <v>0</v>
      </c>
      <c r="Z1402" s="26" t="s">
        <v>118</v>
      </c>
      <c r="AA1402" s="19" t="s">
        <v>5112</v>
      </c>
      <c r="AB1402" s="26" t="s">
        <v>104</v>
      </c>
      <c r="AC1402" s="26" t="s">
        <v>53</v>
      </c>
      <c r="AD1402" s="19" t="s">
        <v>138</v>
      </c>
      <c r="AE1402" s="26" t="s">
        <v>3414</v>
      </c>
      <c r="AF1402" s="17">
        <v>45293</v>
      </c>
      <c r="AG1402" s="35" t="s">
        <v>3415</v>
      </c>
      <c r="AH1402" s="26"/>
      <c r="AI1402" s="40" t="s">
        <v>147</v>
      </c>
      <c r="AJ1402" s="26"/>
      <c r="AK1402" s="26"/>
      <c r="AL1402" s="35"/>
      <c r="AM1402" s="35"/>
      <c r="AN1402" s="35"/>
      <c r="AO1402" s="35"/>
      <c r="AP1402" s="35"/>
    </row>
    <row r="1403" spans="1:42" x14ac:dyDescent="0.2">
      <c r="A1403" s="97">
        <v>45286</v>
      </c>
      <c r="B1403" s="28" t="s">
        <v>37</v>
      </c>
      <c r="C1403" s="41" t="s">
        <v>118</v>
      </c>
      <c r="D1403" s="26" t="s">
        <v>36</v>
      </c>
      <c r="E1403" s="26" t="s">
        <v>39</v>
      </c>
      <c r="F1403" s="26" t="s">
        <v>3414</v>
      </c>
      <c r="G1403" s="26" t="s">
        <v>108</v>
      </c>
      <c r="H1403" s="26" t="s">
        <v>3407</v>
      </c>
      <c r="I1403" s="17">
        <f ca="1">IFERROR(__xludf.DUMMYFUNCTION("""COMPUTED_VALUE"""),45293)</f>
        <v>45293</v>
      </c>
      <c r="J1403" s="29" t="s">
        <v>4455</v>
      </c>
      <c r="K1403" s="26" t="s">
        <v>4456</v>
      </c>
      <c r="L1403" s="30">
        <v>362519222</v>
      </c>
      <c r="M1403" s="26" t="s">
        <v>1245</v>
      </c>
      <c r="N1403" s="26" t="s">
        <v>4957</v>
      </c>
      <c r="O1403" s="26" t="s">
        <v>4457</v>
      </c>
      <c r="P1403" s="42" t="s">
        <v>6040</v>
      </c>
      <c r="Q1403" s="20">
        <v>5736</v>
      </c>
      <c r="R1403" s="26" t="s">
        <v>70</v>
      </c>
      <c r="S1403" s="31">
        <v>5636</v>
      </c>
      <c r="T1403" s="32">
        <v>45225</v>
      </c>
      <c r="U1403" s="31"/>
      <c r="V1403" s="26"/>
      <c r="W1403" s="33" t="s">
        <v>4459</v>
      </c>
      <c r="X1403" s="26"/>
      <c r="Y1403" s="22">
        <v>100</v>
      </c>
      <c r="Z1403" s="26" t="s">
        <v>118</v>
      </c>
      <c r="AA1403" s="19" t="s">
        <v>3454</v>
      </c>
      <c r="AB1403" s="26" t="s">
        <v>104</v>
      </c>
      <c r="AC1403" s="26" t="s">
        <v>53</v>
      </c>
      <c r="AD1403" s="19" t="s">
        <v>138</v>
      </c>
      <c r="AE1403" s="26" t="s">
        <v>3414</v>
      </c>
      <c r="AF1403" s="17">
        <v>45293</v>
      </c>
      <c r="AG1403" s="35" t="s">
        <v>3415</v>
      </c>
      <c r="AH1403" s="26"/>
      <c r="AI1403" s="40"/>
      <c r="AJ1403" s="26"/>
      <c r="AK1403" s="26"/>
      <c r="AL1403" s="35"/>
      <c r="AM1403" s="35"/>
      <c r="AN1403" s="35"/>
      <c r="AO1403" s="35"/>
      <c r="AP1403" s="35"/>
    </row>
    <row r="1404" spans="1:42" x14ac:dyDescent="0.2">
      <c r="A1404" s="97">
        <v>45286</v>
      </c>
      <c r="B1404" s="28" t="s">
        <v>37</v>
      </c>
      <c r="C1404" s="41" t="s">
        <v>118</v>
      </c>
      <c r="D1404" s="26" t="s">
        <v>36</v>
      </c>
      <c r="E1404" s="26" t="s">
        <v>39</v>
      </c>
      <c r="F1404" s="26" t="s">
        <v>3414</v>
      </c>
      <c r="G1404" s="26" t="s">
        <v>108</v>
      </c>
      <c r="H1404" s="26" t="s">
        <v>3407</v>
      </c>
      <c r="I1404" s="17">
        <f ca="1">IFERROR(__xludf.DUMMYFUNCTION("""COMPUTED_VALUE"""),45293)</f>
        <v>45293</v>
      </c>
      <c r="J1404" s="29" t="s">
        <v>4479</v>
      </c>
      <c r="K1404" s="26" t="s">
        <v>4480</v>
      </c>
      <c r="L1404" s="30">
        <v>337110105</v>
      </c>
      <c r="M1404" s="26" t="s">
        <v>1245</v>
      </c>
      <c r="N1404" s="26" t="s">
        <v>4957</v>
      </c>
      <c r="O1404" s="26" t="s">
        <v>4481</v>
      </c>
      <c r="P1404" s="42" t="s">
        <v>6041</v>
      </c>
      <c r="Q1404" s="20">
        <v>5736</v>
      </c>
      <c r="R1404" s="26" t="s">
        <v>70</v>
      </c>
      <c r="S1404" s="31">
        <v>5636</v>
      </c>
      <c r="T1404" s="32">
        <v>45229</v>
      </c>
      <c r="U1404" s="31"/>
      <c r="V1404" s="26"/>
      <c r="W1404" s="33" t="s">
        <v>4483</v>
      </c>
      <c r="X1404" s="26"/>
      <c r="Y1404" s="22">
        <v>100</v>
      </c>
      <c r="Z1404" s="26" t="s">
        <v>118</v>
      </c>
      <c r="AA1404" s="19" t="s">
        <v>3454</v>
      </c>
      <c r="AB1404" s="26" t="s">
        <v>154</v>
      </c>
      <c r="AC1404" s="26" t="s">
        <v>53</v>
      </c>
      <c r="AD1404" s="19" t="s">
        <v>138</v>
      </c>
      <c r="AE1404" s="26" t="s">
        <v>3414</v>
      </c>
      <c r="AF1404" s="17">
        <v>45293</v>
      </c>
      <c r="AG1404" s="35" t="s">
        <v>3415</v>
      </c>
      <c r="AH1404" s="26"/>
      <c r="AI1404" s="40"/>
      <c r="AJ1404" s="26"/>
      <c r="AK1404" s="26"/>
      <c r="AL1404" s="35"/>
      <c r="AM1404" s="35"/>
      <c r="AN1404" s="35"/>
      <c r="AO1404" s="35"/>
      <c r="AP1404" s="35"/>
    </row>
    <row r="1405" spans="1:42" x14ac:dyDescent="0.2">
      <c r="A1405" s="97">
        <v>45286</v>
      </c>
      <c r="B1405" s="28" t="s">
        <v>37</v>
      </c>
      <c r="C1405" s="41" t="s">
        <v>118</v>
      </c>
      <c r="D1405" s="26" t="s">
        <v>36</v>
      </c>
      <c r="E1405" s="26" t="s">
        <v>39</v>
      </c>
      <c r="F1405" s="26" t="s">
        <v>3414</v>
      </c>
      <c r="G1405" s="26" t="s">
        <v>108</v>
      </c>
      <c r="H1405" s="26" t="s">
        <v>3407</v>
      </c>
      <c r="I1405" s="17">
        <f ca="1">IFERROR(__xludf.DUMMYFUNCTION("""COMPUTED_VALUE"""),45293)</f>
        <v>45293</v>
      </c>
      <c r="J1405" s="29" t="s">
        <v>5535</v>
      </c>
      <c r="K1405" s="26" t="s">
        <v>5536</v>
      </c>
      <c r="L1405" s="30">
        <v>886676928</v>
      </c>
      <c r="M1405" s="26" t="s">
        <v>1245</v>
      </c>
      <c r="N1405" s="26" t="s">
        <v>4957</v>
      </c>
      <c r="O1405" s="26" t="s">
        <v>5538</v>
      </c>
      <c r="P1405" s="42" t="s">
        <v>6042</v>
      </c>
      <c r="Q1405" s="20">
        <v>5736</v>
      </c>
      <c r="R1405" s="26" t="s">
        <v>70</v>
      </c>
      <c r="S1405" s="31">
        <v>500</v>
      </c>
      <c r="T1405" s="32">
        <v>45232</v>
      </c>
      <c r="U1405" s="31">
        <v>5136</v>
      </c>
      <c r="V1405" s="32">
        <v>45240</v>
      </c>
      <c r="W1405" s="33" t="s">
        <v>5540</v>
      </c>
      <c r="X1405" s="26"/>
      <c r="Y1405" s="22">
        <v>100</v>
      </c>
      <c r="Z1405" s="26" t="s">
        <v>118</v>
      </c>
      <c r="AA1405" s="19" t="s">
        <v>5112</v>
      </c>
      <c r="AB1405" s="26" t="s">
        <v>137</v>
      </c>
      <c r="AC1405" s="26" t="s">
        <v>53</v>
      </c>
      <c r="AD1405" s="19" t="s">
        <v>138</v>
      </c>
      <c r="AE1405" s="26" t="s">
        <v>3414</v>
      </c>
      <c r="AF1405" s="17">
        <v>45293</v>
      </c>
      <c r="AG1405" s="35" t="s">
        <v>3415</v>
      </c>
      <c r="AH1405" s="26"/>
      <c r="AI1405" s="40" t="s">
        <v>55</v>
      </c>
      <c r="AJ1405" s="26"/>
      <c r="AK1405" s="26"/>
      <c r="AL1405" s="35"/>
      <c r="AM1405" s="35"/>
      <c r="AN1405" s="35"/>
      <c r="AO1405" s="35"/>
      <c r="AP1405" s="35"/>
    </row>
    <row r="1406" spans="1:42" x14ac:dyDescent="0.2">
      <c r="A1406" s="97">
        <v>45286</v>
      </c>
      <c r="B1406" s="28" t="s">
        <v>37</v>
      </c>
      <c r="C1406" s="41" t="s">
        <v>118</v>
      </c>
      <c r="D1406" s="26" t="s">
        <v>36</v>
      </c>
      <c r="E1406" s="26" t="s">
        <v>139</v>
      </c>
      <c r="F1406" s="26" t="s">
        <v>3414</v>
      </c>
      <c r="G1406" s="26" t="s">
        <v>108</v>
      </c>
      <c r="H1406" s="26" t="s">
        <v>3407</v>
      </c>
      <c r="I1406" s="17">
        <f ca="1">IFERROR(__xludf.DUMMYFUNCTION("""COMPUTED_VALUE"""),45293)</f>
        <v>45293</v>
      </c>
      <c r="J1406" s="29" t="s">
        <v>5516</v>
      </c>
      <c r="K1406" s="26" t="s">
        <v>5517</v>
      </c>
      <c r="L1406" s="30">
        <v>365253934</v>
      </c>
      <c r="M1406" s="26" t="s">
        <v>5518</v>
      </c>
      <c r="N1406" s="26" t="s">
        <v>186</v>
      </c>
      <c r="O1406" s="26" t="s">
        <v>5519</v>
      </c>
      <c r="P1406" s="42" t="s">
        <v>6043</v>
      </c>
      <c r="Q1406" s="20">
        <v>15936</v>
      </c>
      <c r="R1406" s="26" t="s">
        <v>36</v>
      </c>
      <c r="S1406" s="31">
        <v>200</v>
      </c>
      <c r="T1406" s="32">
        <v>45230</v>
      </c>
      <c r="U1406" s="31">
        <f>3800+11936</f>
        <v>15736</v>
      </c>
      <c r="V1406" s="26" t="s">
        <v>5520</v>
      </c>
      <c r="W1406" s="33" t="s">
        <v>5521</v>
      </c>
      <c r="X1406" s="26"/>
      <c r="Y1406" s="22">
        <v>0</v>
      </c>
      <c r="Z1406" s="26" t="s">
        <v>118</v>
      </c>
      <c r="AA1406" s="19" t="s">
        <v>5112</v>
      </c>
      <c r="AB1406" s="26" t="s">
        <v>104</v>
      </c>
      <c r="AC1406" s="26" t="s">
        <v>53</v>
      </c>
      <c r="AD1406" s="19" t="s">
        <v>138</v>
      </c>
      <c r="AE1406" s="26" t="s">
        <v>3414</v>
      </c>
      <c r="AF1406" s="17">
        <v>45293</v>
      </c>
      <c r="AG1406" s="35" t="s">
        <v>3415</v>
      </c>
      <c r="AH1406" s="26"/>
      <c r="AI1406" s="40" t="s">
        <v>147</v>
      </c>
      <c r="AJ1406" s="26"/>
      <c r="AK1406" s="26"/>
      <c r="AL1406" s="35"/>
      <c r="AM1406" s="35"/>
      <c r="AN1406" s="35"/>
      <c r="AO1406" s="35"/>
      <c r="AP1406" s="35"/>
    </row>
    <row r="1407" spans="1:42" x14ac:dyDescent="0.2">
      <c r="A1407" s="97">
        <v>45286</v>
      </c>
      <c r="B1407" s="28" t="s">
        <v>37</v>
      </c>
      <c r="C1407" s="41" t="s">
        <v>118</v>
      </c>
      <c r="D1407" s="26" t="s">
        <v>36</v>
      </c>
      <c r="E1407" s="26" t="s">
        <v>56</v>
      </c>
      <c r="F1407" s="26" t="s">
        <v>3414</v>
      </c>
      <c r="G1407" s="26" t="s">
        <v>108</v>
      </c>
      <c r="H1407" s="26" t="s">
        <v>3407</v>
      </c>
      <c r="I1407" s="17">
        <f ca="1">IFERROR(__xludf.DUMMYFUNCTION("""COMPUTED_VALUE"""),45293)</f>
        <v>45293</v>
      </c>
      <c r="J1407" s="29" t="s">
        <v>4460</v>
      </c>
      <c r="K1407" s="26" t="s">
        <v>4461</v>
      </c>
      <c r="L1407" s="30">
        <v>823916905</v>
      </c>
      <c r="M1407" s="26" t="s">
        <v>910</v>
      </c>
      <c r="N1407" s="26" t="s">
        <v>3221</v>
      </c>
      <c r="O1407" s="26" t="s">
        <v>3754</v>
      </c>
      <c r="P1407" s="42" t="s">
        <v>6044</v>
      </c>
      <c r="Q1407" s="20">
        <v>9317</v>
      </c>
      <c r="R1407" s="26" t="s">
        <v>36</v>
      </c>
      <c r="S1407" s="31">
        <v>9317</v>
      </c>
      <c r="T1407" s="32">
        <v>45228</v>
      </c>
      <c r="U1407" s="31"/>
      <c r="V1407" s="26"/>
      <c r="W1407" s="33" t="s">
        <v>4463</v>
      </c>
      <c r="X1407" s="26"/>
      <c r="Y1407" s="22">
        <v>0</v>
      </c>
      <c r="Z1407" s="26" t="s">
        <v>118</v>
      </c>
      <c r="AA1407" s="19" t="s">
        <v>3454</v>
      </c>
      <c r="AB1407" s="26" t="s">
        <v>104</v>
      </c>
      <c r="AC1407" s="26" t="s">
        <v>53</v>
      </c>
      <c r="AD1407" s="19" t="s">
        <v>138</v>
      </c>
      <c r="AE1407" s="26" t="s">
        <v>3414</v>
      </c>
      <c r="AF1407" s="17">
        <v>45293</v>
      </c>
      <c r="AG1407" s="35" t="s">
        <v>3415</v>
      </c>
      <c r="AH1407" s="26"/>
      <c r="AI1407" s="40"/>
      <c r="AJ1407" s="26"/>
      <c r="AK1407" s="26"/>
      <c r="AL1407" s="35"/>
      <c r="AM1407" s="35"/>
      <c r="AN1407" s="35"/>
      <c r="AO1407" s="35"/>
      <c r="AP1407" s="35"/>
    </row>
    <row r="1408" spans="1:42" x14ac:dyDescent="0.2">
      <c r="A1408" s="97">
        <v>45286</v>
      </c>
      <c r="B1408" s="28" t="s">
        <v>37</v>
      </c>
      <c r="C1408" s="41" t="s">
        <v>118</v>
      </c>
      <c r="D1408" s="26" t="s">
        <v>36</v>
      </c>
      <c r="E1408" s="26" t="s">
        <v>139</v>
      </c>
      <c r="F1408" s="26" t="s">
        <v>1500</v>
      </c>
      <c r="G1408" s="26" t="s">
        <v>221</v>
      </c>
      <c r="H1408" s="26" t="s">
        <v>2031</v>
      </c>
      <c r="I1408" s="17">
        <f ca="1">IFERROR(__xludf.DUMMYFUNCTION("""COMPUTED_VALUE"""),45299)</f>
        <v>45299</v>
      </c>
      <c r="J1408" s="29" t="s">
        <v>155</v>
      </c>
      <c r="K1408" s="26" t="s">
        <v>2358</v>
      </c>
      <c r="L1408" s="30">
        <v>388867916</v>
      </c>
      <c r="M1408" s="26" t="s">
        <v>123</v>
      </c>
      <c r="N1408" s="26" t="s">
        <v>133</v>
      </c>
      <c r="O1408" s="26" t="s">
        <v>2359</v>
      </c>
      <c r="P1408" s="42" t="s">
        <v>2360</v>
      </c>
      <c r="Q1408" s="20">
        <v>15936</v>
      </c>
      <c r="R1408" s="26" t="s">
        <v>36</v>
      </c>
      <c r="S1408" s="31">
        <v>6000</v>
      </c>
      <c r="T1408" s="32">
        <v>45111</v>
      </c>
      <c r="U1408" s="31">
        <v>9936</v>
      </c>
      <c r="V1408" s="32">
        <v>45112</v>
      </c>
      <c r="W1408" s="33" t="s">
        <v>158</v>
      </c>
      <c r="X1408" s="26">
        <v>0</v>
      </c>
      <c r="Y1408" s="22">
        <v>0</v>
      </c>
      <c r="Z1408" s="26" t="s">
        <v>118</v>
      </c>
      <c r="AA1408" s="19" t="s">
        <v>51</v>
      </c>
      <c r="AB1408" s="80" t="s">
        <v>36</v>
      </c>
      <c r="AC1408" s="26" t="s">
        <v>53</v>
      </c>
      <c r="AD1408" s="19" t="s">
        <v>54</v>
      </c>
      <c r="AE1408" s="26" t="s">
        <v>3414</v>
      </c>
      <c r="AF1408" s="17">
        <v>45293</v>
      </c>
      <c r="AG1408" s="26"/>
      <c r="AH1408" s="26">
        <v>2</v>
      </c>
      <c r="AI1408" s="40" t="s">
        <v>147</v>
      </c>
      <c r="AJ1408" s="26"/>
      <c r="AK1408" s="26"/>
      <c r="AL1408" s="35"/>
      <c r="AM1408" s="35"/>
      <c r="AN1408" s="35"/>
      <c r="AO1408" s="35"/>
      <c r="AP1408" s="35"/>
    </row>
    <row r="1409" spans="1:42" x14ac:dyDescent="0.2">
      <c r="A1409" s="97">
        <v>45286</v>
      </c>
      <c r="B1409" s="28" t="s">
        <v>37</v>
      </c>
      <c r="C1409" s="41" t="s">
        <v>118</v>
      </c>
      <c r="D1409" s="26" t="s">
        <v>36</v>
      </c>
      <c r="E1409" s="26" t="s">
        <v>148</v>
      </c>
      <c r="F1409" s="26" t="s">
        <v>1657</v>
      </c>
      <c r="G1409" s="26" t="s">
        <v>221</v>
      </c>
      <c r="H1409" s="26" t="s">
        <v>2031</v>
      </c>
      <c r="I1409" s="17">
        <f ca="1">IFERROR(__xludf.DUMMYFUNCTION("""COMPUTED_VALUE"""),45299)</f>
        <v>45299</v>
      </c>
      <c r="J1409" s="29" t="s">
        <v>6045</v>
      </c>
      <c r="K1409" s="26" t="s">
        <v>6046</v>
      </c>
      <c r="L1409" s="30">
        <v>868863520</v>
      </c>
      <c r="M1409" s="26" t="s">
        <v>1245</v>
      </c>
      <c r="N1409" s="26" t="s">
        <v>4957</v>
      </c>
      <c r="O1409" s="26"/>
      <c r="P1409" s="42" t="s">
        <v>6047</v>
      </c>
      <c r="Q1409" s="20"/>
      <c r="R1409" s="26" t="s">
        <v>36</v>
      </c>
      <c r="S1409" s="31">
        <v>1000</v>
      </c>
      <c r="T1409" s="38">
        <v>44765</v>
      </c>
      <c r="U1409" s="31">
        <v>5868</v>
      </c>
      <c r="V1409" s="32">
        <v>44771</v>
      </c>
      <c r="W1409" s="33" t="s">
        <v>6048</v>
      </c>
      <c r="X1409" s="26"/>
      <c r="Y1409" s="22"/>
      <c r="Z1409" s="26" t="s">
        <v>118</v>
      </c>
      <c r="AA1409" s="19" t="s">
        <v>51</v>
      </c>
      <c r="AB1409" s="26" t="s">
        <v>104</v>
      </c>
      <c r="AC1409" s="26" t="s">
        <v>53</v>
      </c>
      <c r="AD1409" s="19" t="s">
        <v>54</v>
      </c>
      <c r="AE1409" s="26" t="s">
        <v>1657</v>
      </c>
      <c r="AF1409" s="17">
        <v>45293</v>
      </c>
      <c r="AG1409" s="91"/>
      <c r="AH1409" s="26"/>
      <c r="AI1409" s="92"/>
      <c r="AJ1409" s="35"/>
      <c r="AK1409" s="35"/>
      <c r="AL1409" s="35"/>
      <c r="AM1409" s="35"/>
      <c r="AN1409" s="26"/>
      <c r="AO1409" s="26"/>
      <c r="AP1409" s="35"/>
    </row>
    <row r="1410" spans="1:42" x14ac:dyDescent="0.2">
      <c r="A1410" s="97">
        <v>45286</v>
      </c>
      <c r="B1410" s="28" t="s">
        <v>37</v>
      </c>
      <c r="C1410" s="41" t="s">
        <v>118</v>
      </c>
      <c r="D1410" s="26" t="s">
        <v>36</v>
      </c>
      <c r="E1410" s="26" t="s">
        <v>148</v>
      </c>
      <c r="F1410" s="26" t="s">
        <v>1781</v>
      </c>
      <c r="G1410" s="26" t="s">
        <v>221</v>
      </c>
      <c r="H1410" s="26" t="s">
        <v>2031</v>
      </c>
      <c r="I1410" s="17">
        <f ca="1">IFERROR(__xludf.DUMMYFUNCTION("""COMPUTED_VALUE"""),45299)</f>
        <v>45299</v>
      </c>
      <c r="J1410" s="29" t="s">
        <v>4716</v>
      </c>
      <c r="K1410" s="26" t="s">
        <v>4717</v>
      </c>
      <c r="L1410" s="30">
        <v>865265463</v>
      </c>
      <c r="M1410" s="26" t="s">
        <v>1245</v>
      </c>
      <c r="N1410" s="26" t="s">
        <v>4957</v>
      </c>
      <c r="O1410" s="26" t="s">
        <v>91</v>
      </c>
      <c r="P1410" s="42" t="s">
        <v>6049</v>
      </c>
      <c r="Q1410" s="20">
        <v>7349</v>
      </c>
      <c r="R1410" s="26" t="s">
        <v>70</v>
      </c>
      <c r="S1410" s="31">
        <v>5000</v>
      </c>
      <c r="T1410" s="32">
        <v>44860</v>
      </c>
      <c r="U1410" s="31">
        <v>11679</v>
      </c>
      <c r="V1410" s="32">
        <v>44883</v>
      </c>
      <c r="W1410" s="33" t="s">
        <v>4720</v>
      </c>
      <c r="X1410" s="26"/>
      <c r="Y1410" s="22">
        <v>-9330</v>
      </c>
      <c r="Z1410" s="26" t="s">
        <v>118</v>
      </c>
      <c r="AA1410" s="19" t="s">
        <v>4541</v>
      </c>
      <c r="AB1410" s="26" t="s">
        <v>104</v>
      </c>
      <c r="AC1410" s="26" t="s">
        <v>53</v>
      </c>
      <c r="AD1410" s="19" t="s">
        <v>54</v>
      </c>
      <c r="AE1410" s="26" t="s">
        <v>1781</v>
      </c>
      <c r="AF1410" s="17">
        <v>45293</v>
      </c>
      <c r="AG1410" s="26"/>
      <c r="AH1410" s="26"/>
      <c r="AI1410" s="40"/>
      <c r="AJ1410" s="26"/>
      <c r="AK1410" s="26"/>
      <c r="AL1410" s="35"/>
      <c r="AM1410" s="35"/>
      <c r="AN1410" s="35"/>
      <c r="AO1410" s="35"/>
      <c r="AP1410" s="35"/>
    </row>
    <row r="1411" spans="1:42" x14ac:dyDescent="0.2">
      <c r="A1411" s="97">
        <v>45286</v>
      </c>
      <c r="B1411" s="28" t="s">
        <v>37</v>
      </c>
      <c r="C1411" s="41" t="s">
        <v>118</v>
      </c>
      <c r="D1411" s="26" t="s">
        <v>36</v>
      </c>
      <c r="E1411" s="26" t="s">
        <v>56</v>
      </c>
      <c r="F1411" s="26" t="s">
        <v>1781</v>
      </c>
      <c r="G1411" s="26" t="s">
        <v>221</v>
      </c>
      <c r="H1411" s="26" t="s">
        <v>6050</v>
      </c>
      <c r="I1411" s="17">
        <f ca="1">IFERROR(__xludf.DUMMYFUNCTION("""COMPUTED_VALUE"""),45539)</f>
        <v>45539</v>
      </c>
      <c r="J1411" s="29" t="s">
        <v>1202</v>
      </c>
      <c r="K1411" s="26" t="s">
        <v>6051</v>
      </c>
      <c r="L1411" s="30">
        <v>375845005</v>
      </c>
      <c r="M1411" s="26" t="s">
        <v>80</v>
      </c>
      <c r="N1411" s="26" t="s">
        <v>299</v>
      </c>
      <c r="O1411" s="26" t="s">
        <v>1204</v>
      </c>
      <c r="P1411" s="42" t="s">
        <v>6052</v>
      </c>
      <c r="Q1411" s="20">
        <v>9317</v>
      </c>
      <c r="R1411" s="26" t="s">
        <v>36</v>
      </c>
      <c r="S1411" s="31">
        <v>2000</v>
      </c>
      <c r="T1411" s="32">
        <v>45137</v>
      </c>
      <c r="U1411" s="31">
        <v>7317</v>
      </c>
      <c r="V1411" s="32">
        <v>45163</v>
      </c>
      <c r="W1411" s="33" t="s">
        <v>1206</v>
      </c>
      <c r="X1411" s="35">
        <v>0</v>
      </c>
      <c r="Y1411" s="22">
        <v>0</v>
      </c>
      <c r="Z1411" s="26" t="s">
        <v>118</v>
      </c>
      <c r="AA1411" s="19" t="s">
        <v>901</v>
      </c>
      <c r="AB1411" s="35" t="s">
        <v>2408</v>
      </c>
      <c r="AC1411" s="26" t="s">
        <v>53</v>
      </c>
      <c r="AD1411" s="19" t="s">
        <v>54</v>
      </c>
      <c r="AE1411" s="26" t="s">
        <v>1781</v>
      </c>
      <c r="AF1411" s="17">
        <v>45293</v>
      </c>
      <c r="AG1411" s="26"/>
      <c r="AH1411" s="36">
        <v>1</v>
      </c>
      <c r="AI1411" s="37" t="s">
        <v>64</v>
      </c>
      <c r="AJ1411" s="35"/>
      <c r="AK1411" s="35"/>
      <c r="AL1411" s="35"/>
      <c r="AM1411" s="35"/>
      <c r="AN1411" s="35"/>
      <c r="AO1411" s="35"/>
      <c r="AP1411" s="35"/>
    </row>
    <row r="1412" spans="1:42" x14ac:dyDescent="0.2">
      <c r="A1412" s="97">
        <v>45286</v>
      </c>
      <c r="B1412" s="28" t="s">
        <v>37</v>
      </c>
      <c r="C1412" s="41" t="s">
        <v>118</v>
      </c>
      <c r="D1412" s="26" t="s">
        <v>36</v>
      </c>
      <c r="E1412" s="26" t="s">
        <v>56</v>
      </c>
      <c r="F1412" s="26" t="s">
        <v>1781</v>
      </c>
      <c r="G1412" s="26" t="s">
        <v>221</v>
      </c>
      <c r="H1412" s="26" t="s">
        <v>2031</v>
      </c>
      <c r="I1412" s="17">
        <f ca="1">IFERROR(__xludf.DUMMYFUNCTION("""COMPUTED_VALUE"""),45299)</f>
        <v>45299</v>
      </c>
      <c r="J1412" s="29" t="s">
        <v>876</v>
      </c>
      <c r="K1412" s="26" t="s">
        <v>4692</v>
      </c>
      <c r="L1412" s="30">
        <v>523885476</v>
      </c>
      <c r="M1412" s="26" t="s">
        <v>1245</v>
      </c>
      <c r="N1412" s="26" t="s">
        <v>4957</v>
      </c>
      <c r="O1412" s="26" t="s">
        <v>91</v>
      </c>
      <c r="P1412" s="42" t="s">
        <v>4693</v>
      </c>
      <c r="Q1412" s="20">
        <v>9317</v>
      </c>
      <c r="R1412" s="26" t="s">
        <v>36</v>
      </c>
      <c r="S1412" s="31">
        <v>9217</v>
      </c>
      <c r="T1412" s="32">
        <v>45167</v>
      </c>
      <c r="U1412" s="31"/>
      <c r="V1412" s="26"/>
      <c r="W1412" s="33" t="s">
        <v>880</v>
      </c>
      <c r="X1412" s="26"/>
      <c r="Y1412" s="22">
        <v>100</v>
      </c>
      <c r="Z1412" s="26" t="s">
        <v>118</v>
      </c>
      <c r="AA1412" s="19" t="s">
        <v>4541</v>
      </c>
      <c r="AB1412" s="26" t="s">
        <v>137</v>
      </c>
      <c r="AC1412" s="26" t="s">
        <v>53</v>
      </c>
      <c r="AD1412" s="19" t="s">
        <v>54</v>
      </c>
      <c r="AE1412" s="26" t="s">
        <v>1781</v>
      </c>
      <c r="AF1412" s="17">
        <v>45293</v>
      </c>
      <c r="AG1412" s="26"/>
      <c r="AH1412" s="26"/>
      <c r="AI1412" s="40"/>
      <c r="AJ1412" s="26"/>
      <c r="AK1412" s="26"/>
      <c r="AL1412" s="35"/>
      <c r="AM1412" s="35"/>
      <c r="AN1412" s="35"/>
      <c r="AO1412" s="35"/>
      <c r="AP1412" s="35"/>
    </row>
    <row r="1413" spans="1:42" x14ac:dyDescent="0.2">
      <c r="A1413" s="97">
        <v>45286</v>
      </c>
      <c r="B1413" s="28" t="s">
        <v>37</v>
      </c>
      <c r="C1413" s="41" t="s">
        <v>118</v>
      </c>
      <c r="D1413" s="26" t="s">
        <v>36</v>
      </c>
      <c r="E1413" s="26" t="s">
        <v>56</v>
      </c>
      <c r="F1413" s="26" t="s">
        <v>1781</v>
      </c>
      <c r="G1413" s="26" t="s">
        <v>221</v>
      </c>
      <c r="H1413" s="26" t="s">
        <v>2031</v>
      </c>
      <c r="I1413" s="17">
        <f ca="1">IFERROR(__xludf.DUMMYFUNCTION("""COMPUTED_VALUE"""),45299)</f>
        <v>45299</v>
      </c>
      <c r="J1413" s="29" t="s">
        <v>871</v>
      </c>
      <c r="K1413" s="26" t="s">
        <v>872</v>
      </c>
      <c r="L1413" s="30">
        <v>929275364</v>
      </c>
      <c r="M1413" s="26" t="s">
        <v>1245</v>
      </c>
      <c r="N1413" s="26" t="s">
        <v>4957</v>
      </c>
      <c r="O1413" s="26" t="s">
        <v>91</v>
      </c>
      <c r="P1413" s="42" t="s">
        <v>4694</v>
      </c>
      <c r="Q1413" s="20">
        <v>9317</v>
      </c>
      <c r="R1413" s="26" t="s">
        <v>36</v>
      </c>
      <c r="S1413" s="31">
        <v>9317</v>
      </c>
      <c r="T1413" s="32">
        <v>45136</v>
      </c>
      <c r="U1413" s="31"/>
      <c r="V1413" s="26"/>
      <c r="W1413" s="33" t="s">
        <v>875</v>
      </c>
      <c r="X1413" s="26"/>
      <c r="Y1413" s="22">
        <v>0</v>
      </c>
      <c r="Z1413" s="26" t="s">
        <v>118</v>
      </c>
      <c r="AA1413" s="19" t="s">
        <v>4541</v>
      </c>
      <c r="AB1413" s="26" t="s">
        <v>137</v>
      </c>
      <c r="AC1413" s="26" t="s">
        <v>53</v>
      </c>
      <c r="AD1413" s="19" t="s">
        <v>54</v>
      </c>
      <c r="AE1413" s="26" t="s">
        <v>1781</v>
      </c>
      <c r="AF1413" s="17">
        <v>45293</v>
      </c>
      <c r="AG1413" s="26"/>
      <c r="AH1413" s="26"/>
      <c r="AI1413" s="40"/>
      <c r="AJ1413" s="26"/>
      <c r="AK1413" s="26"/>
      <c r="AL1413" s="35"/>
      <c r="AM1413" s="35"/>
      <c r="AN1413" s="35"/>
      <c r="AO1413" s="35"/>
      <c r="AP1413" s="35"/>
    </row>
    <row r="1414" spans="1:42" x14ac:dyDescent="0.2">
      <c r="A1414" s="97">
        <v>45286</v>
      </c>
      <c r="B1414" s="28" t="s">
        <v>37</v>
      </c>
      <c r="C1414" s="41" t="s">
        <v>118</v>
      </c>
      <c r="D1414" s="26" t="s">
        <v>36</v>
      </c>
      <c r="E1414" s="26" t="s">
        <v>56</v>
      </c>
      <c r="F1414" s="26" t="s">
        <v>1781</v>
      </c>
      <c r="G1414" s="26" t="s">
        <v>221</v>
      </c>
      <c r="H1414" s="26" t="s">
        <v>6053</v>
      </c>
      <c r="I1414" s="17" t="str">
        <f ca="1">IFERROR(__xludf.DUMMYFUNCTION("""COMPUTED_VALUE""")," ")</f>
        <v xml:space="preserve"> </v>
      </c>
      <c r="J1414" s="29" t="s">
        <v>735</v>
      </c>
      <c r="K1414" s="26" t="s">
        <v>6054</v>
      </c>
      <c r="L1414" s="30">
        <v>969534780</v>
      </c>
      <c r="M1414" s="26" t="s">
        <v>59</v>
      </c>
      <c r="N1414" s="26" t="s">
        <v>4957</v>
      </c>
      <c r="O1414" s="26" t="s">
        <v>737</v>
      </c>
      <c r="P1414" s="42" t="s">
        <v>6055</v>
      </c>
      <c r="Q1414" s="20">
        <v>9317</v>
      </c>
      <c r="R1414" s="26" t="s">
        <v>70</v>
      </c>
      <c r="S1414" s="31">
        <v>9317</v>
      </c>
      <c r="T1414" s="32">
        <v>45133</v>
      </c>
      <c r="U1414" s="31"/>
      <c r="V1414" s="26"/>
      <c r="W1414" s="26"/>
      <c r="X1414" s="26">
        <v>100</v>
      </c>
      <c r="Y1414" s="22">
        <v>-100</v>
      </c>
      <c r="Z1414" s="26" t="s">
        <v>118</v>
      </c>
      <c r="AA1414" s="19" t="s">
        <v>51</v>
      </c>
      <c r="AB1414" s="26" t="s">
        <v>104</v>
      </c>
      <c r="AC1414" s="26" t="s">
        <v>53</v>
      </c>
      <c r="AD1414" s="19" t="s">
        <v>54</v>
      </c>
      <c r="AE1414" s="26" t="s">
        <v>1781</v>
      </c>
      <c r="AF1414" s="17">
        <v>45293</v>
      </c>
      <c r="AG1414" s="26" t="s">
        <v>6056</v>
      </c>
      <c r="AH1414" s="26"/>
      <c r="AI1414" s="40" t="s">
        <v>64</v>
      </c>
      <c r="AJ1414" s="26"/>
      <c r="AK1414" s="26"/>
      <c r="AL1414" s="35"/>
      <c r="AM1414" s="35"/>
      <c r="AN1414" s="35"/>
      <c r="AO1414" s="35"/>
      <c r="AP1414" s="35"/>
    </row>
    <row r="1415" spans="1:42" x14ac:dyDescent="0.2">
      <c r="A1415" s="38">
        <v>45299</v>
      </c>
      <c r="B1415" s="28" t="s">
        <v>37</v>
      </c>
      <c r="C1415" s="41" t="s">
        <v>118</v>
      </c>
      <c r="D1415" s="26" t="s">
        <v>36</v>
      </c>
      <c r="E1415" s="26" t="s">
        <v>219</v>
      </c>
      <c r="F1415" s="26" t="s">
        <v>36</v>
      </c>
      <c r="G1415" s="26" t="s">
        <v>221</v>
      </c>
      <c r="H1415" s="26" t="s">
        <v>6057</v>
      </c>
      <c r="I1415" s="17">
        <f ca="1">IFERROR(__xludf.DUMMYFUNCTION("""COMPUTED_VALUE"""),45391)</f>
        <v>45391</v>
      </c>
      <c r="J1415" s="29" t="s">
        <v>6058</v>
      </c>
      <c r="K1415" s="26" t="s">
        <v>6059</v>
      </c>
      <c r="L1415" s="30">
        <v>399123134</v>
      </c>
      <c r="M1415" s="26" t="s">
        <v>1245</v>
      </c>
      <c r="N1415" s="26" t="s">
        <v>6060</v>
      </c>
      <c r="O1415" s="26" t="s">
        <v>737</v>
      </c>
      <c r="P1415" s="42" t="s">
        <v>6055</v>
      </c>
      <c r="Q1415" s="20">
        <v>9317</v>
      </c>
      <c r="R1415" s="26" t="s">
        <v>70</v>
      </c>
      <c r="S1415" s="31">
        <v>9317</v>
      </c>
      <c r="T1415" s="32">
        <v>45133</v>
      </c>
      <c r="U1415" s="31"/>
      <c r="V1415" s="26"/>
      <c r="W1415" s="26"/>
      <c r="X1415" s="26">
        <v>100</v>
      </c>
      <c r="Y1415" s="22">
        <v>-100</v>
      </c>
      <c r="Z1415" s="26" t="s">
        <v>118</v>
      </c>
      <c r="AA1415" s="19" t="s">
        <v>51</v>
      </c>
      <c r="AB1415" s="26" t="s">
        <v>104</v>
      </c>
      <c r="AC1415" s="26" t="s">
        <v>53</v>
      </c>
      <c r="AD1415" s="19" t="s">
        <v>54</v>
      </c>
      <c r="AE1415" s="26" t="s">
        <v>1781</v>
      </c>
      <c r="AF1415" s="17">
        <v>45293</v>
      </c>
      <c r="AG1415" s="26" t="s">
        <v>6056</v>
      </c>
      <c r="AH1415" s="44" t="s">
        <v>735</v>
      </c>
      <c r="AI1415" s="40" t="s">
        <v>64</v>
      </c>
      <c r="AJ1415" s="26"/>
      <c r="AK1415" s="26"/>
      <c r="AL1415" s="35"/>
      <c r="AM1415" s="35"/>
      <c r="AN1415" s="35"/>
      <c r="AO1415" s="35"/>
      <c r="AP1415" s="35"/>
    </row>
    <row r="1416" spans="1:42" x14ac:dyDescent="0.2">
      <c r="A1416" s="97">
        <v>45286</v>
      </c>
      <c r="B1416" s="28" t="s">
        <v>37</v>
      </c>
      <c r="C1416" s="41" t="s">
        <v>118</v>
      </c>
      <c r="D1416" s="26" t="s">
        <v>36</v>
      </c>
      <c r="E1416" s="26" t="s">
        <v>148</v>
      </c>
      <c r="F1416" s="26" t="s">
        <v>740</v>
      </c>
      <c r="G1416" s="26" t="s">
        <v>221</v>
      </c>
      <c r="H1416" s="26" t="s">
        <v>5075</v>
      </c>
      <c r="I1416" s="17">
        <f ca="1">IFERROR(__xludf.DUMMYFUNCTION("""COMPUTED_VALUE"""),45288)</f>
        <v>45288</v>
      </c>
      <c r="J1416" s="29" t="s">
        <v>741</v>
      </c>
      <c r="K1416" s="26" t="s">
        <v>742</v>
      </c>
      <c r="L1416" s="30">
        <v>978561641</v>
      </c>
      <c r="M1416" s="26" t="s">
        <v>1245</v>
      </c>
      <c r="N1416" s="26" t="s">
        <v>4957</v>
      </c>
      <c r="O1416" s="26" t="s">
        <v>427</v>
      </c>
      <c r="P1416" s="42" t="s">
        <v>743</v>
      </c>
      <c r="Q1416" s="20">
        <v>7349</v>
      </c>
      <c r="R1416" s="26" t="s">
        <v>36</v>
      </c>
      <c r="S1416" s="31">
        <v>7349</v>
      </c>
      <c r="T1416" s="32">
        <v>45134</v>
      </c>
      <c r="U1416" s="31"/>
      <c r="V1416" s="26"/>
      <c r="W1416" s="33" t="s">
        <v>744</v>
      </c>
      <c r="X1416" s="26">
        <v>100</v>
      </c>
      <c r="Y1416" s="22">
        <v>-100</v>
      </c>
      <c r="Z1416" s="26" t="s">
        <v>118</v>
      </c>
      <c r="AA1416" s="19" t="s">
        <v>51</v>
      </c>
      <c r="AB1416" s="26" t="s">
        <v>154</v>
      </c>
      <c r="AC1416" s="26" t="s">
        <v>53</v>
      </c>
      <c r="AD1416" s="19" t="s">
        <v>54</v>
      </c>
      <c r="AE1416" s="26" t="s">
        <v>740</v>
      </c>
      <c r="AF1416" s="17">
        <v>45286</v>
      </c>
      <c r="AG1416" s="26"/>
      <c r="AH1416" s="26">
        <v>1</v>
      </c>
      <c r="AI1416" s="40">
        <v>2</v>
      </c>
      <c r="AJ1416" s="26"/>
      <c r="AK1416" s="26"/>
      <c r="AL1416" s="35"/>
      <c r="AM1416" s="35"/>
      <c r="AN1416" s="35"/>
      <c r="AO1416" s="35"/>
      <c r="AP1416" s="35"/>
    </row>
    <row r="1417" spans="1:42" x14ac:dyDescent="0.2">
      <c r="A1417" s="97">
        <v>45286</v>
      </c>
      <c r="B1417" s="28" t="s">
        <v>37</v>
      </c>
      <c r="C1417" s="41" t="s">
        <v>118</v>
      </c>
      <c r="D1417" s="26" t="s">
        <v>36</v>
      </c>
      <c r="E1417" s="26" t="s">
        <v>139</v>
      </c>
      <c r="F1417" s="26" t="s">
        <v>3414</v>
      </c>
      <c r="G1417" s="26" t="s">
        <v>108</v>
      </c>
      <c r="H1417" s="26" t="s">
        <v>3407</v>
      </c>
      <c r="I1417" s="17">
        <f ca="1">IFERROR(__xludf.DUMMYFUNCTION("""COMPUTED_VALUE"""),45293)</f>
        <v>45293</v>
      </c>
      <c r="J1417" s="29" t="s">
        <v>5456</v>
      </c>
      <c r="K1417" s="26" t="s">
        <v>5457</v>
      </c>
      <c r="L1417" s="30">
        <v>359499051</v>
      </c>
      <c r="M1417" s="26" t="s">
        <v>3728</v>
      </c>
      <c r="N1417" s="26" t="s">
        <v>5312</v>
      </c>
      <c r="O1417" s="26" t="s">
        <v>5458</v>
      </c>
      <c r="P1417" s="42" t="s">
        <v>6061</v>
      </c>
      <c r="Q1417" s="20">
        <v>15936</v>
      </c>
      <c r="R1417" s="26" t="s">
        <v>36</v>
      </c>
      <c r="S1417" s="31">
        <v>2000</v>
      </c>
      <c r="T1417" s="32">
        <v>45224</v>
      </c>
      <c r="U1417" s="31">
        <v>13936</v>
      </c>
      <c r="V1417" s="32">
        <v>45256</v>
      </c>
      <c r="W1417" s="33" t="s">
        <v>5459</v>
      </c>
      <c r="X1417" s="26"/>
      <c r="Y1417" s="22">
        <v>0</v>
      </c>
      <c r="Z1417" s="26" t="s">
        <v>118</v>
      </c>
      <c r="AA1417" s="19" t="s">
        <v>5112</v>
      </c>
      <c r="AB1417" s="26" t="s">
        <v>104</v>
      </c>
      <c r="AC1417" s="26" t="s">
        <v>53</v>
      </c>
      <c r="AD1417" s="19" t="s">
        <v>138</v>
      </c>
      <c r="AE1417" s="26" t="s">
        <v>3414</v>
      </c>
      <c r="AF1417" s="17">
        <v>45293</v>
      </c>
      <c r="AG1417" s="35" t="s">
        <v>3415</v>
      </c>
      <c r="AH1417" s="26"/>
      <c r="AI1417" s="40" t="s">
        <v>147</v>
      </c>
      <c r="AJ1417" s="26"/>
      <c r="AK1417" s="26"/>
      <c r="AL1417" s="35"/>
      <c r="AM1417" s="35"/>
      <c r="AN1417" s="35"/>
      <c r="AO1417" s="35"/>
      <c r="AP1417" s="35"/>
    </row>
    <row r="1418" spans="1:42" x14ac:dyDescent="0.2">
      <c r="A1418" s="97">
        <v>45286</v>
      </c>
      <c r="B1418" s="28" t="s">
        <v>37</v>
      </c>
      <c r="C1418" s="41" t="s">
        <v>118</v>
      </c>
      <c r="D1418" s="26" t="s">
        <v>36</v>
      </c>
      <c r="E1418" s="26" t="s">
        <v>139</v>
      </c>
      <c r="F1418" s="26" t="s">
        <v>3414</v>
      </c>
      <c r="G1418" s="26" t="s">
        <v>108</v>
      </c>
      <c r="H1418" s="26" t="s">
        <v>3407</v>
      </c>
      <c r="I1418" s="17">
        <f ca="1">IFERROR(__xludf.DUMMYFUNCTION("""COMPUTED_VALUE"""),45293)</f>
        <v>45293</v>
      </c>
      <c r="J1418" s="29" t="s">
        <v>5603</v>
      </c>
      <c r="K1418" s="26" t="s">
        <v>5604</v>
      </c>
      <c r="L1418" s="30">
        <v>397620726</v>
      </c>
      <c r="M1418" s="26" t="s">
        <v>1245</v>
      </c>
      <c r="N1418" s="26" t="s">
        <v>4957</v>
      </c>
      <c r="O1418" s="26" t="s">
        <v>5605</v>
      </c>
      <c r="P1418" s="42" t="s">
        <v>6062</v>
      </c>
      <c r="Q1418" s="20">
        <v>15936</v>
      </c>
      <c r="R1418" s="26" t="s">
        <v>36</v>
      </c>
      <c r="S1418" s="31">
        <v>2000</v>
      </c>
      <c r="T1418" s="32">
        <v>45238</v>
      </c>
      <c r="U1418" s="31">
        <v>13836</v>
      </c>
      <c r="V1418" s="32">
        <v>45255</v>
      </c>
      <c r="W1418" s="33" t="s">
        <v>5606</v>
      </c>
      <c r="X1418" s="26"/>
      <c r="Y1418" s="22">
        <v>100</v>
      </c>
      <c r="Z1418" s="26" t="s">
        <v>118</v>
      </c>
      <c r="AA1418" s="19" t="s">
        <v>5112</v>
      </c>
      <c r="AB1418" s="26" t="s">
        <v>104</v>
      </c>
      <c r="AC1418" s="26" t="s">
        <v>53</v>
      </c>
      <c r="AD1418" s="19" t="s">
        <v>138</v>
      </c>
      <c r="AE1418" s="26" t="s">
        <v>3414</v>
      </c>
      <c r="AF1418" s="17">
        <v>45293</v>
      </c>
      <c r="AG1418" s="35" t="s">
        <v>3415</v>
      </c>
      <c r="AH1418" s="26"/>
      <c r="AI1418" s="40" t="s">
        <v>147</v>
      </c>
      <c r="AJ1418" s="26"/>
      <c r="AK1418" s="26"/>
      <c r="AL1418" s="35"/>
      <c r="AM1418" s="35"/>
      <c r="AN1418" s="35"/>
      <c r="AO1418" s="35"/>
      <c r="AP1418" s="35"/>
    </row>
    <row r="1419" spans="1:42" x14ac:dyDescent="0.2">
      <c r="A1419" s="97">
        <v>45286</v>
      </c>
      <c r="B1419" s="28" t="s">
        <v>37</v>
      </c>
      <c r="C1419" s="41" t="s">
        <v>118</v>
      </c>
      <c r="D1419" s="26" t="s">
        <v>36</v>
      </c>
      <c r="E1419" s="26" t="s">
        <v>139</v>
      </c>
      <c r="F1419" s="26" t="s">
        <v>3414</v>
      </c>
      <c r="G1419" s="26" t="s">
        <v>108</v>
      </c>
      <c r="H1419" s="26" t="s">
        <v>3407</v>
      </c>
      <c r="I1419" s="17">
        <f ca="1">IFERROR(__xludf.DUMMYFUNCTION("""COMPUTED_VALUE"""),45293)</f>
        <v>45293</v>
      </c>
      <c r="J1419" s="29" t="s">
        <v>5512</v>
      </c>
      <c r="K1419" s="26" t="s">
        <v>5513</v>
      </c>
      <c r="L1419" s="30">
        <v>366306689</v>
      </c>
      <c r="M1419" s="26" t="s">
        <v>5429</v>
      </c>
      <c r="N1419" s="26" t="s">
        <v>81</v>
      </c>
      <c r="O1419" s="26" t="s">
        <v>5514</v>
      </c>
      <c r="P1419" s="26" t="s">
        <v>2641</v>
      </c>
      <c r="Q1419" s="20">
        <v>15936</v>
      </c>
      <c r="R1419" s="26" t="s">
        <v>36</v>
      </c>
      <c r="S1419" s="31">
        <v>2000</v>
      </c>
      <c r="T1419" s="32">
        <v>45229</v>
      </c>
      <c r="U1419" s="31">
        <v>13968</v>
      </c>
      <c r="V1419" s="32">
        <v>45257</v>
      </c>
      <c r="W1419" s="33" t="s">
        <v>5515</v>
      </c>
      <c r="X1419" s="26"/>
      <c r="Y1419" s="22">
        <v>-32</v>
      </c>
      <c r="Z1419" s="26" t="s">
        <v>118</v>
      </c>
      <c r="AA1419" s="19" t="s">
        <v>5112</v>
      </c>
      <c r="AB1419" s="26" t="s">
        <v>104</v>
      </c>
      <c r="AC1419" s="26" t="s">
        <v>53</v>
      </c>
      <c r="AD1419" s="19" t="s">
        <v>138</v>
      </c>
      <c r="AE1419" s="26" t="s">
        <v>3414</v>
      </c>
      <c r="AF1419" s="17">
        <v>45293</v>
      </c>
      <c r="AG1419" s="35" t="s">
        <v>3415</v>
      </c>
      <c r="AH1419" s="26"/>
      <c r="AI1419" s="40" t="s">
        <v>147</v>
      </c>
      <c r="AJ1419" s="26"/>
      <c r="AK1419" s="26"/>
      <c r="AL1419" s="35"/>
      <c r="AM1419" s="35"/>
      <c r="AN1419" s="35"/>
      <c r="AO1419" s="35"/>
      <c r="AP1419" s="35"/>
    </row>
    <row r="1420" spans="1:42" x14ac:dyDescent="0.2">
      <c r="A1420" s="97">
        <v>45286</v>
      </c>
      <c r="B1420" s="28" t="s">
        <v>37</v>
      </c>
      <c r="C1420" s="41" t="s">
        <v>118</v>
      </c>
      <c r="D1420" s="26" t="s">
        <v>36</v>
      </c>
      <c r="E1420" s="26" t="s">
        <v>139</v>
      </c>
      <c r="F1420" s="26" t="s">
        <v>3414</v>
      </c>
      <c r="G1420" s="26" t="s">
        <v>108</v>
      </c>
      <c r="H1420" s="26" t="s">
        <v>3407</v>
      </c>
      <c r="I1420" s="17">
        <f ca="1">IFERROR(__xludf.DUMMYFUNCTION("""COMPUTED_VALUE"""),45293)</f>
        <v>45293</v>
      </c>
      <c r="J1420" s="29" t="s">
        <v>5481</v>
      </c>
      <c r="K1420" s="26" t="s">
        <v>5482</v>
      </c>
      <c r="L1420" s="30">
        <v>332762963</v>
      </c>
      <c r="M1420" s="26" t="s">
        <v>80</v>
      </c>
      <c r="N1420" s="26" t="s">
        <v>186</v>
      </c>
      <c r="O1420" s="26" t="s">
        <v>5483</v>
      </c>
      <c r="P1420" s="42" t="s">
        <v>5484</v>
      </c>
      <c r="Q1420" s="20">
        <v>15936</v>
      </c>
      <c r="R1420" s="26" t="s">
        <v>36</v>
      </c>
      <c r="S1420" s="31">
        <v>2000</v>
      </c>
      <c r="T1420" s="32">
        <v>45225</v>
      </c>
      <c r="U1420" s="31">
        <v>13936</v>
      </c>
      <c r="V1420" s="32">
        <v>45257</v>
      </c>
      <c r="W1420" s="33" t="s">
        <v>5485</v>
      </c>
      <c r="X1420" s="26"/>
      <c r="Y1420" s="22">
        <v>0</v>
      </c>
      <c r="Z1420" s="26" t="s">
        <v>118</v>
      </c>
      <c r="AA1420" s="19" t="s">
        <v>5112</v>
      </c>
      <c r="AB1420" s="26" t="s">
        <v>104</v>
      </c>
      <c r="AC1420" s="26" t="s">
        <v>53</v>
      </c>
      <c r="AD1420" s="14" t="s">
        <v>138</v>
      </c>
      <c r="AE1420" s="26" t="s">
        <v>3414</v>
      </c>
      <c r="AF1420" s="17">
        <v>45293</v>
      </c>
      <c r="AG1420" s="35" t="s">
        <v>3415</v>
      </c>
      <c r="AH1420" s="26"/>
      <c r="AI1420" s="40" t="s">
        <v>147</v>
      </c>
      <c r="AJ1420" s="26"/>
      <c r="AK1420" s="26"/>
      <c r="AL1420" s="35"/>
      <c r="AM1420" s="35"/>
      <c r="AN1420" s="35"/>
      <c r="AO1420" s="35"/>
      <c r="AP1420" s="35"/>
    </row>
    <row r="1421" spans="1:42" x14ac:dyDescent="0.2">
      <c r="A1421" s="97">
        <v>45286</v>
      </c>
      <c r="B1421" s="28" t="s">
        <v>37</v>
      </c>
      <c r="C1421" s="41" t="s">
        <v>118</v>
      </c>
      <c r="D1421" s="26" t="s">
        <v>36</v>
      </c>
      <c r="E1421" s="26" t="s">
        <v>148</v>
      </c>
      <c r="F1421" s="26" t="s">
        <v>830</v>
      </c>
      <c r="G1421" s="26" t="s">
        <v>221</v>
      </c>
      <c r="H1421" s="26" t="s">
        <v>2031</v>
      </c>
      <c r="I1421" s="17">
        <f ca="1">IFERROR(__xludf.DUMMYFUNCTION("""COMPUTED_VALUE"""),45299)</f>
        <v>45299</v>
      </c>
      <c r="J1421" s="29" t="s">
        <v>1448</v>
      </c>
      <c r="K1421" s="26" t="s">
        <v>1449</v>
      </c>
      <c r="L1421" s="30">
        <v>384544182</v>
      </c>
      <c r="M1421" s="26" t="s">
        <v>1245</v>
      </c>
      <c r="N1421" s="26" t="s">
        <v>4957</v>
      </c>
      <c r="O1421" s="26" t="s">
        <v>1451</v>
      </c>
      <c r="P1421" s="54" t="s">
        <v>1452</v>
      </c>
      <c r="Q1421" s="20">
        <v>7349</v>
      </c>
      <c r="R1421" s="26" t="s">
        <v>36</v>
      </c>
      <c r="S1421" s="31">
        <v>7349</v>
      </c>
      <c r="T1421" s="32">
        <v>45149</v>
      </c>
      <c r="U1421" s="31"/>
      <c r="V1421" s="26"/>
      <c r="W1421" s="33" t="s">
        <v>1453</v>
      </c>
      <c r="X1421" s="26">
        <v>0</v>
      </c>
      <c r="Y1421" s="22">
        <v>0</v>
      </c>
      <c r="Z1421" s="26" t="s">
        <v>118</v>
      </c>
      <c r="AA1421" s="19" t="s">
        <v>901</v>
      </c>
      <c r="AB1421" s="26" t="s">
        <v>137</v>
      </c>
      <c r="AC1421" s="26" t="s">
        <v>53</v>
      </c>
      <c r="AD1421" s="19" t="s">
        <v>54</v>
      </c>
      <c r="AE1421" s="26" t="s">
        <v>830</v>
      </c>
      <c r="AF1421" s="17">
        <v>45293</v>
      </c>
      <c r="AG1421" s="26"/>
      <c r="AH1421" s="26">
        <v>1</v>
      </c>
      <c r="AI1421" s="40">
        <v>2</v>
      </c>
      <c r="AJ1421" s="26"/>
      <c r="AK1421" s="26"/>
      <c r="AL1421" s="35"/>
      <c r="AM1421" s="35"/>
      <c r="AN1421" s="35"/>
      <c r="AO1421" s="35"/>
      <c r="AP1421" s="35"/>
    </row>
    <row r="1422" spans="1:42" x14ac:dyDescent="0.2">
      <c r="A1422" s="97">
        <v>45288</v>
      </c>
      <c r="B1422" s="28" t="s">
        <v>37</v>
      </c>
      <c r="C1422" s="41" t="s">
        <v>118</v>
      </c>
      <c r="D1422" s="26" t="s">
        <v>36</v>
      </c>
      <c r="E1422" s="26" t="s">
        <v>148</v>
      </c>
      <c r="F1422" s="26" t="s">
        <v>6063</v>
      </c>
      <c r="G1422" s="26" t="s">
        <v>108</v>
      </c>
      <c r="H1422" s="26" t="s">
        <v>3407</v>
      </c>
      <c r="I1422" s="17">
        <f ca="1">IFERROR(__xludf.DUMMYFUNCTION("""COMPUTED_VALUE"""),45293)</f>
        <v>45293</v>
      </c>
      <c r="J1422" s="29" t="s">
        <v>6064</v>
      </c>
      <c r="K1422" s="26" t="s">
        <v>6065</v>
      </c>
      <c r="L1422" s="30">
        <v>948241838</v>
      </c>
      <c r="M1422" s="26" t="s">
        <v>123</v>
      </c>
      <c r="N1422" s="26" t="s">
        <v>4880</v>
      </c>
      <c r="O1422" s="26" t="s">
        <v>36</v>
      </c>
      <c r="P1422" s="26" t="s">
        <v>36</v>
      </c>
      <c r="Q1422" s="20"/>
      <c r="R1422" s="26" t="s">
        <v>36</v>
      </c>
      <c r="S1422" s="31">
        <v>13615</v>
      </c>
      <c r="T1422" s="32">
        <v>44847</v>
      </c>
      <c r="U1422" s="31"/>
      <c r="V1422" s="26"/>
      <c r="W1422" s="33" t="s">
        <v>6066</v>
      </c>
      <c r="X1422" s="26"/>
      <c r="Y1422" s="22"/>
      <c r="Z1422" s="26" t="s">
        <v>118</v>
      </c>
      <c r="AA1422" s="19"/>
      <c r="AB1422" s="26" t="s">
        <v>137</v>
      </c>
      <c r="AC1422" s="26" t="s">
        <v>53</v>
      </c>
      <c r="AD1422" s="19" t="s">
        <v>138</v>
      </c>
      <c r="AE1422" s="26">
        <v>475</v>
      </c>
      <c r="AF1422" s="17">
        <v>45293</v>
      </c>
      <c r="AG1422" s="35" t="s">
        <v>3415</v>
      </c>
      <c r="AH1422" s="26"/>
      <c r="AI1422" s="92"/>
      <c r="AJ1422" s="35"/>
      <c r="AK1422" s="35"/>
      <c r="AL1422" s="35"/>
      <c r="AM1422" s="35"/>
      <c r="AN1422" s="26"/>
      <c r="AO1422" s="26"/>
      <c r="AP1422" s="35"/>
    </row>
    <row r="1423" spans="1:42" x14ac:dyDescent="0.2">
      <c r="A1423" s="97">
        <v>45288</v>
      </c>
      <c r="B1423" s="28" t="s">
        <v>37</v>
      </c>
      <c r="C1423" s="41" t="s">
        <v>118</v>
      </c>
      <c r="D1423" s="26" t="s">
        <v>36</v>
      </c>
      <c r="E1423" s="26" t="s">
        <v>56</v>
      </c>
      <c r="F1423" s="26" t="s">
        <v>3058</v>
      </c>
      <c r="G1423" s="26" t="s">
        <v>108</v>
      </c>
      <c r="H1423" s="26" t="s">
        <v>1710</v>
      </c>
      <c r="I1423" s="17">
        <f ca="1">IFERROR(__xludf.DUMMYFUNCTION("""COMPUTED_VALUE"""),45293)</f>
        <v>45293</v>
      </c>
      <c r="J1423" s="29" t="s">
        <v>3084</v>
      </c>
      <c r="K1423" s="26" t="s">
        <v>3085</v>
      </c>
      <c r="L1423" s="30">
        <v>865874096</v>
      </c>
      <c r="M1423" s="26" t="s">
        <v>59</v>
      </c>
      <c r="N1423" s="26" t="s">
        <v>438</v>
      </c>
      <c r="O1423" s="26" t="s">
        <v>3086</v>
      </c>
      <c r="P1423" s="42" t="s">
        <v>6067</v>
      </c>
      <c r="Q1423" s="20">
        <v>9317</v>
      </c>
      <c r="R1423" s="26" t="s">
        <v>1989</v>
      </c>
      <c r="S1423" s="31">
        <v>9317</v>
      </c>
      <c r="T1423" s="32">
        <v>45190</v>
      </c>
      <c r="U1423" s="31"/>
      <c r="V1423" s="26"/>
      <c r="W1423" s="33" t="s">
        <v>3088</v>
      </c>
      <c r="X1423" s="26"/>
      <c r="Y1423" s="22">
        <v>0</v>
      </c>
      <c r="Z1423" s="26" t="s">
        <v>118</v>
      </c>
      <c r="AA1423" s="19" t="s">
        <v>2449</v>
      </c>
      <c r="AB1423" s="26" t="s">
        <v>137</v>
      </c>
      <c r="AC1423" s="26" t="s">
        <v>53</v>
      </c>
      <c r="AD1423" s="19" t="s">
        <v>54</v>
      </c>
      <c r="AE1423" s="26" t="s">
        <v>3058</v>
      </c>
      <c r="AF1423" s="17">
        <v>45288</v>
      </c>
      <c r="AG1423" s="26"/>
      <c r="AH1423" s="26"/>
      <c r="AI1423" s="40"/>
      <c r="AJ1423" s="26"/>
      <c r="AK1423" s="26"/>
      <c r="AL1423" s="35"/>
      <c r="AM1423" s="35"/>
      <c r="AN1423" s="35"/>
      <c r="AO1423" s="35"/>
      <c r="AP1423" s="35"/>
    </row>
    <row r="1424" spans="1:42" x14ac:dyDescent="0.2">
      <c r="A1424" s="97">
        <v>45288</v>
      </c>
      <c r="B1424" s="28" t="s">
        <v>37</v>
      </c>
      <c r="C1424" s="41" t="s">
        <v>118</v>
      </c>
      <c r="D1424" s="26" t="s">
        <v>36</v>
      </c>
      <c r="E1424" s="26" t="s">
        <v>219</v>
      </c>
      <c r="F1424" s="26" t="s">
        <v>1721</v>
      </c>
      <c r="G1424" s="26" t="s">
        <v>221</v>
      </c>
      <c r="H1424" s="26" t="s">
        <v>6025</v>
      </c>
      <c r="I1424" s="17">
        <f ca="1">IFERROR(__xludf.DUMMYFUNCTION("""COMPUTED_VALUE"""),45295)</f>
        <v>45295</v>
      </c>
      <c r="J1424" s="29" t="s">
        <v>4617</v>
      </c>
      <c r="K1424" s="26" t="s">
        <v>4618</v>
      </c>
      <c r="L1424" s="30">
        <v>374348168</v>
      </c>
      <c r="M1424" s="26" t="s">
        <v>1245</v>
      </c>
      <c r="N1424" s="26" t="s">
        <v>4957</v>
      </c>
      <c r="O1424" s="26" t="s">
        <v>4619</v>
      </c>
      <c r="P1424" s="42" t="s">
        <v>6068</v>
      </c>
      <c r="Q1424" s="20"/>
      <c r="R1424" s="26" t="s">
        <v>36</v>
      </c>
      <c r="S1424" s="31">
        <v>4000</v>
      </c>
      <c r="T1424" s="32">
        <v>44906</v>
      </c>
      <c r="U1424" s="31">
        <v>6804</v>
      </c>
      <c r="V1424" s="32">
        <v>44942</v>
      </c>
      <c r="W1424" s="33" t="s">
        <v>6069</v>
      </c>
      <c r="X1424" s="26"/>
      <c r="Y1424" s="22"/>
      <c r="Z1424" s="109" t="s">
        <v>118</v>
      </c>
      <c r="AA1424" s="19"/>
      <c r="AB1424" s="26" t="s">
        <v>104</v>
      </c>
      <c r="AC1424" s="26" t="s">
        <v>53</v>
      </c>
      <c r="AD1424" s="19" t="s">
        <v>54</v>
      </c>
      <c r="AE1424" s="26" t="s">
        <v>1721</v>
      </c>
      <c r="AF1424" s="17">
        <v>45289</v>
      </c>
      <c r="AG1424" s="72" t="s">
        <v>4622</v>
      </c>
      <c r="AH1424" s="26">
        <v>1</v>
      </c>
      <c r="AI1424" s="40">
        <v>1</v>
      </c>
      <c r="AJ1424" s="26"/>
      <c r="AK1424" s="26"/>
      <c r="AL1424" s="35"/>
      <c r="AM1424" s="35"/>
      <c r="AN1424" s="35"/>
      <c r="AO1424" s="35"/>
      <c r="AP1424" s="35"/>
    </row>
    <row r="1425" spans="1:42" x14ac:dyDescent="0.2">
      <c r="A1425" s="97">
        <v>45288</v>
      </c>
      <c r="B1425" s="28" t="s">
        <v>37</v>
      </c>
      <c r="C1425" s="41" t="s">
        <v>118</v>
      </c>
      <c r="D1425" s="26" t="s">
        <v>36</v>
      </c>
      <c r="E1425" s="26" t="s">
        <v>119</v>
      </c>
      <c r="F1425" s="26" t="s">
        <v>562</v>
      </c>
      <c r="G1425" s="26" t="s">
        <v>221</v>
      </c>
      <c r="H1425" s="26" t="s">
        <v>6070</v>
      </c>
      <c r="I1425" s="17">
        <f ca="1">IFERROR(__xludf.DUMMYFUNCTION("""COMPUTED_VALUE"""),45300)</f>
        <v>45300</v>
      </c>
      <c r="J1425" s="29" t="s">
        <v>1108</v>
      </c>
      <c r="K1425" s="26" t="s">
        <v>6071</v>
      </c>
      <c r="L1425" s="30">
        <v>528404137</v>
      </c>
      <c r="M1425" s="26" t="s">
        <v>1245</v>
      </c>
      <c r="N1425" s="26" t="s">
        <v>4957</v>
      </c>
      <c r="O1425" s="26" t="s">
        <v>1110</v>
      </c>
      <c r="P1425" s="54" t="s">
        <v>6072</v>
      </c>
      <c r="Q1425" s="20">
        <v>13968</v>
      </c>
      <c r="R1425" s="26" t="s">
        <v>36</v>
      </c>
      <c r="S1425" s="31">
        <v>3968</v>
      </c>
      <c r="T1425" s="32">
        <v>45129</v>
      </c>
      <c r="U1425" s="31">
        <v>10000</v>
      </c>
      <c r="V1425" s="32">
        <v>45147</v>
      </c>
      <c r="W1425" s="33" t="s">
        <v>1112</v>
      </c>
      <c r="X1425" s="26">
        <v>0</v>
      </c>
      <c r="Y1425" s="22">
        <v>0</v>
      </c>
      <c r="Z1425" s="109" t="s">
        <v>118</v>
      </c>
      <c r="AA1425" s="19" t="s">
        <v>901</v>
      </c>
      <c r="AB1425" s="26" t="s">
        <v>104</v>
      </c>
      <c r="AC1425" s="26" t="s">
        <v>53</v>
      </c>
      <c r="AD1425" s="19" t="s">
        <v>54</v>
      </c>
      <c r="AE1425" s="26" t="s">
        <v>562</v>
      </c>
      <c r="AF1425" s="17">
        <v>45295</v>
      </c>
      <c r="AG1425" s="26"/>
      <c r="AH1425" s="26">
        <v>1</v>
      </c>
      <c r="AI1425" s="40">
        <v>4</v>
      </c>
      <c r="AJ1425" s="26"/>
      <c r="AK1425" s="26"/>
      <c r="AL1425" s="35"/>
      <c r="AM1425" s="35"/>
      <c r="AN1425" s="35"/>
      <c r="AO1425" s="35"/>
      <c r="AP1425" s="35"/>
    </row>
    <row r="1426" spans="1:42" x14ac:dyDescent="0.2">
      <c r="A1426" s="97">
        <v>45289</v>
      </c>
      <c r="B1426" s="28" t="s">
        <v>37</v>
      </c>
      <c r="C1426" s="41" t="s">
        <v>118</v>
      </c>
      <c r="D1426" s="26" t="s">
        <v>36</v>
      </c>
      <c r="E1426" s="26" t="s">
        <v>148</v>
      </c>
      <c r="F1426" s="26" t="s">
        <v>3013</v>
      </c>
      <c r="G1426" s="26" t="s">
        <v>221</v>
      </c>
      <c r="H1426" s="26" t="s">
        <v>6070</v>
      </c>
      <c r="I1426" s="17">
        <f ca="1">IFERROR(__xludf.DUMMYFUNCTION("""COMPUTED_VALUE"""),45300)</f>
        <v>45300</v>
      </c>
      <c r="J1426" s="29" t="s">
        <v>4093</v>
      </c>
      <c r="K1426" s="26" t="s">
        <v>4094</v>
      </c>
      <c r="L1426" s="30">
        <v>397369810</v>
      </c>
      <c r="M1426" s="26" t="s">
        <v>1245</v>
      </c>
      <c r="N1426" s="26" t="s">
        <v>4957</v>
      </c>
      <c r="O1426" s="26"/>
      <c r="P1426" s="42" t="s">
        <v>6073</v>
      </c>
      <c r="Q1426" s="20">
        <v>7349</v>
      </c>
      <c r="R1426" s="26" t="s">
        <v>36</v>
      </c>
      <c r="S1426" s="31">
        <f>1000+3000</f>
        <v>4000</v>
      </c>
      <c r="T1426" s="26" t="s">
        <v>4096</v>
      </c>
      <c r="U1426" s="31">
        <v>3349</v>
      </c>
      <c r="V1426" s="32">
        <v>45224</v>
      </c>
      <c r="W1426" s="33" t="s">
        <v>4097</v>
      </c>
      <c r="X1426" s="26"/>
      <c r="Y1426" s="22">
        <v>0</v>
      </c>
      <c r="Z1426" s="109" t="s">
        <v>118</v>
      </c>
      <c r="AA1426" s="19" t="s">
        <v>3454</v>
      </c>
      <c r="AB1426" s="26" t="s">
        <v>104</v>
      </c>
      <c r="AC1426" s="26" t="s">
        <v>53</v>
      </c>
      <c r="AD1426" s="19" t="s">
        <v>138</v>
      </c>
      <c r="AE1426" s="26" t="s">
        <v>3013</v>
      </c>
      <c r="AF1426" s="17">
        <v>45295</v>
      </c>
      <c r="AG1426" s="26"/>
      <c r="AH1426" s="26"/>
      <c r="AI1426" s="40"/>
      <c r="AJ1426" s="26"/>
      <c r="AK1426" s="26"/>
      <c r="AL1426" s="35"/>
      <c r="AM1426" s="35"/>
      <c r="AN1426" s="35"/>
      <c r="AO1426" s="35"/>
      <c r="AP1426" s="35"/>
    </row>
    <row r="1427" spans="1:42" x14ac:dyDescent="0.2">
      <c r="A1427" s="97">
        <v>45289</v>
      </c>
      <c r="B1427" s="28" t="s">
        <v>37</v>
      </c>
      <c r="C1427" s="41" t="s">
        <v>118</v>
      </c>
      <c r="D1427" s="26" t="s">
        <v>36</v>
      </c>
      <c r="E1427" s="26" t="s">
        <v>119</v>
      </c>
      <c r="F1427" s="26" t="s">
        <v>3013</v>
      </c>
      <c r="G1427" s="26" t="s">
        <v>221</v>
      </c>
      <c r="H1427" s="26" t="s">
        <v>4275</v>
      </c>
      <c r="I1427" s="17">
        <f ca="1">IFERROR(__xludf.DUMMYFUNCTION("""COMPUTED_VALUE"""),45300)</f>
        <v>45300</v>
      </c>
      <c r="J1427" s="29" t="s">
        <v>3843</v>
      </c>
      <c r="K1427" s="19" t="s">
        <v>3844</v>
      </c>
      <c r="L1427" s="47">
        <v>327718648</v>
      </c>
      <c r="M1427" s="26" t="s">
        <v>80</v>
      </c>
      <c r="N1427" s="26" t="s">
        <v>81</v>
      </c>
      <c r="O1427" s="26" t="s">
        <v>3845</v>
      </c>
      <c r="P1427" s="26" t="s">
        <v>6074</v>
      </c>
      <c r="Q1427" s="20">
        <v>13968</v>
      </c>
      <c r="R1427" s="26" t="s">
        <v>36</v>
      </c>
      <c r="S1427" s="31">
        <v>4000</v>
      </c>
      <c r="T1427" s="32">
        <v>45194</v>
      </c>
      <c r="U1427" s="31">
        <v>9968</v>
      </c>
      <c r="V1427" s="32">
        <v>45222</v>
      </c>
      <c r="W1427" s="33" t="s">
        <v>3847</v>
      </c>
      <c r="X1427" s="26"/>
      <c r="Y1427" s="22">
        <v>0</v>
      </c>
      <c r="Z1427" s="109" t="s">
        <v>118</v>
      </c>
      <c r="AA1427" s="19" t="s">
        <v>3454</v>
      </c>
      <c r="AB1427" s="26" t="s">
        <v>104</v>
      </c>
      <c r="AC1427" s="26" t="s">
        <v>53</v>
      </c>
      <c r="AD1427" s="19" t="s">
        <v>138</v>
      </c>
      <c r="AE1427" s="26" t="s">
        <v>3013</v>
      </c>
      <c r="AF1427" s="17">
        <v>45300</v>
      </c>
      <c r="AG1427" s="26" t="s">
        <v>4279</v>
      </c>
      <c r="AH1427" s="26"/>
      <c r="AI1427" s="40"/>
      <c r="AJ1427" s="26"/>
      <c r="AK1427" s="26"/>
      <c r="AL1427" s="35"/>
      <c r="AM1427" s="35"/>
      <c r="AN1427" s="35"/>
      <c r="AO1427" s="35"/>
      <c r="AP1427" s="35"/>
    </row>
    <row r="1428" spans="1:42" x14ac:dyDescent="0.2">
      <c r="A1428" s="97">
        <v>45289</v>
      </c>
      <c r="B1428" s="28" t="s">
        <v>37</v>
      </c>
      <c r="C1428" s="41" t="s">
        <v>118</v>
      </c>
      <c r="D1428" s="26" t="s">
        <v>36</v>
      </c>
      <c r="E1428" s="26" t="s">
        <v>119</v>
      </c>
      <c r="F1428" s="26" t="s">
        <v>3013</v>
      </c>
      <c r="G1428" s="26" t="s">
        <v>221</v>
      </c>
      <c r="H1428" s="26" t="s">
        <v>4275</v>
      </c>
      <c r="I1428" s="17">
        <f ca="1">IFERROR(__xludf.DUMMYFUNCTION("""COMPUTED_VALUE"""),45300)</f>
        <v>45300</v>
      </c>
      <c r="J1428" s="29" t="s">
        <v>3777</v>
      </c>
      <c r="K1428" s="19" t="s">
        <v>3778</v>
      </c>
      <c r="L1428" s="47">
        <v>877938553</v>
      </c>
      <c r="M1428" s="26" t="s">
        <v>80</v>
      </c>
      <c r="N1428" s="26" t="s">
        <v>81</v>
      </c>
      <c r="O1428" s="26" t="s">
        <v>3779</v>
      </c>
      <c r="P1428" s="26" t="s">
        <v>3780</v>
      </c>
      <c r="Q1428" s="20">
        <v>13968</v>
      </c>
      <c r="R1428" s="26" t="s">
        <v>36</v>
      </c>
      <c r="S1428" s="31">
        <v>4000</v>
      </c>
      <c r="T1428" s="32">
        <v>45190</v>
      </c>
      <c r="U1428" s="31">
        <v>9968</v>
      </c>
      <c r="V1428" s="32">
        <v>45223</v>
      </c>
      <c r="W1428" s="33" t="s">
        <v>3781</v>
      </c>
      <c r="X1428" s="26"/>
      <c r="Y1428" s="22">
        <v>0</v>
      </c>
      <c r="Z1428" s="109" t="s">
        <v>118</v>
      </c>
      <c r="AA1428" s="19" t="s">
        <v>3454</v>
      </c>
      <c r="AB1428" s="26" t="s">
        <v>104</v>
      </c>
      <c r="AC1428" s="26" t="s">
        <v>53</v>
      </c>
      <c r="AD1428" s="19" t="s">
        <v>138</v>
      </c>
      <c r="AE1428" s="26" t="s">
        <v>3013</v>
      </c>
      <c r="AF1428" s="17">
        <v>45300</v>
      </c>
      <c r="AG1428" s="26" t="s">
        <v>4279</v>
      </c>
      <c r="AH1428" s="26"/>
      <c r="AI1428" s="40"/>
      <c r="AJ1428" s="26"/>
      <c r="AK1428" s="26"/>
      <c r="AL1428" s="35"/>
      <c r="AM1428" s="35"/>
      <c r="AN1428" s="35"/>
      <c r="AO1428" s="35"/>
      <c r="AP1428" s="35"/>
    </row>
    <row r="1429" spans="1:42" x14ac:dyDescent="0.2">
      <c r="A1429" s="97">
        <v>45289</v>
      </c>
      <c r="B1429" s="28" t="s">
        <v>37</v>
      </c>
      <c r="C1429" s="41" t="s">
        <v>118</v>
      </c>
      <c r="D1429" s="26" t="s">
        <v>36</v>
      </c>
      <c r="E1429" s="26" t="s">
        <v>119</v>
      </c>
      <c r="F1429" s="26" t="s">
        <v>3013</v>
      </c>
      <c r="G1429" s="26" t="s">
        <v>221</v>
      </c>
      <c r="H1429" s="26" t="s">
        <v>4275</v>
      </c>
      <c r="I1429" s="17">
        <f ca="1">IFERROR(__xludf.DUMMYFUNCTION("""COMPUTED_VALUE"""),45300)</f>
        <v>45300</v>
      </c>
      <c r="J1429" s="29" t="s">
        <v>3877</v>
      </c>
      <c r="K1429" s="19" t="s">
        <v>3878</v>
      </c>
      <c r="L1429" s="47">
        <v>397739565</v>
      </c>
      <c r="M1429" s="26" t="s">
        <v>80</v>
      </c>
      <c r="N1429" s="26" t="s">
        <v>186</v>
      </c>
      <c r="O1429" s="26" t="s">
        <v>1492</v>
      </c>
      <c r="P1429" s="26" t="s">
        <v>3178</v>
      </c>
      <c r="Q1429" s="20">
        <v>13968</v>
      </c>
      <c r="R1429" s="26" t="s">
        <v>36</v>
      </c>
      <c r="S1429" s="31">
        <v>4000</v>
      </c>
      <c r="T1429" s="32">
        <v>45196</v>
      </c>
      <c r="U1429" s="31">
        <v>9968</v>
      </c>
      <c r="V1429" s="32">
        <v>45221</v>
      </c>
      <c r="W1429" s="33" t="s">
        <v>3879</v>
      </c>
      <c r="X1429" s="26"/>
      <c r="Y1429" s="22">
        <v>0</v>
      </c>
      <c r="Z1429" s="109" t="s">
        <v>118</v>
      </c>
      <c r="AA1429" s="19" t="s">
        <v>3454</v>
      </c>
      <c r="AB1429" s="26" t="s">
        <v>104</v>
      </c>
      <c r="AC1429" s="26" t="s">
        <v>53</v>
      </c>
      <c r="AD1429" s="19" t="s">
        <v>138</v>
      </c>
      <c r="AE1429" s="26" t="s">
        <v>3013</v>
      </c>
      <c r="AF1429" s="17">
        <v>45300</v>
      </c>
      <c r="AG1429" s="26" t="s">
        <v>4279</v>
      </c>
      <c r="AH1429" s="26"/>
      <c r="AI1429" s="40"/>
      <c r="AJ1429" s="26"/>
      <c r="AK1429" s="26"/>
      <c r="AL1429" s="35"/>
      <c r="AM1429" s="35"/>
      <c r="AN1429" s="35"/>
      <c r="AO1429" s="35"/>
      <c r="AP1429" s="35"/>
    </row>
    <row r="1430" spans="1:42" x14ac:dyDescent="0.2">
      <c r="A1430" s="97">
        <v>45289</v>
      </c>
      <c r="B1430" s="28" t="s">
        <v>37</v>
      </c>
      <c r="C1430" s="41" t="s">
        <v>118</v>
      </c>
      <c r="D1430" s="26" t="s">
        <v>36</v>
      </c>
      <c r="E1430" s="26" t="s">
        <v>119</v>
      </c>
      <c r="F1430" s="26" t="s">
        <v>3013</v>
      </c>
      <c r="G1430" s="26" t="s">
        <v>221</v>
      </c>
      <c r="H1430" s="26" t="s">
        <v>4275</v>
      </c>
      <c r="I1430" s="17">
        <f ca="1">IFERROR(__xludf.DUMMYFUNCTION("""COMPUTED_VALUE"""),45300)</f>
        <v>45300</v>
      </c>
      <c r="J1430" s="29" t="s">
        <v>3880</v>
      </c>
      <c r="K1430" s="19" t="s">
        <v>3881</v>
      </c>
      <c r="L1430" s="47">
        <v>358340212</v>
      </c>
      <c r="M1430" s="26" t="s">
        <v>80</v>
      </c>
      <c r="N1430" s="26" t="s">
        <v>186</v>
      </c>
      <c r="O1430" s="26" t="s">
        <v>1492</v>
      </c>
      <c r="P1430" s="26" t="s">
        <v>2641</v>
      </c>
      <c r="Q1430" s="20">
        <v>13968</v>
      </c>
      <c r="R1430" s="26" t="s">
        <v>36</v>
      </c>
      <c r="S1430" s="31">
        <v>4000</v>
      </c>
      <c r="T1430" s="32">
        <v>45196</v>
      </c>
      <c r="U1430" s="31">
        <v>9968</v>
      </c>
      <c r="V1430" s="32">
        <v>45217</v>
      </c>
      <c r="W1430" s="33" t="s">
        <v>3882</v>
      </c>
      <c r="X1430" s="26"/>
      <c r="Y1430" s="22">
        <v>0</v>
      </c>
      <c r="Z1430" s="109" t="s">
        <v>118</v>
      </c>
      <c r="AA1430" s="19" t="s">
        <v>3454</v>
      </c>
      <c r="AB1430" s="26" t="s">
        <v>104</v>
      </c>
      <c r="AC1430" s="26" t="s">
        <v>53</v>
      </c>
      <c r="AD1430" s="19" t="s">
        <v>138</v>
      </c>
      <c r="AE1430" s="26" t="s">
        <v>3013</v>
      </c>
      <c r="AF1430" s="17">
        <v>45300</v>
      </c>
      <c r="AG1430" s="26" t="s">
        <v>4279</v>
      </c>
      <c r="AH1430" s="26"/>
      <c r="AI1430" s="40"/>
      <c r="AJ1430" s="26"/>
      <c r="AK1430" s="26"/>
      <c r="AL1430" s="35"/>
      <c r="AM1430" s="35"/>
      <c r="AN1430" s="35"/>
      <c r="AO1430" s="35"/>
      <c r="AP1430" s="35"/>
    </row>
    <row r="1431" spans="1:42" x14ac:dyDescent="0.2">
      <c r="A1431" s="97">
        <v>45289</v>
      </c>
      <c r="B1431" s="28" t="s">
        <v>90</v>
      </c>
      <c r="C1431" s="41" t="s">
        <v>118</v>
      </c>
      <c r="D1431" s="26" t="s">
        <v>36</v>
      </c>
      <c r="E1431" s="26" t="s">
        <v>219</v>
      </c>
      <c r="F1431" s="26" t="s">
        <v>3013</v>
      </c>
      <c r="G1431" s="26" t="s">
        <v>221</v>
      </c>
      <c r="H1431" s="26" t="s">
        <v>4275</v>
      </c>
      <c r="I1431" s="17">
        <f ca="1">IFERROR(__xludf.DUMMYFUNCTION("""COMPUTED_VALUE"""),45300)</f>
        <v>45300</v>
      </c>
      <c r="J1431" s="29" t="s">
        <v>6075</v>
      </c>
      <c r="K1431" s="19" t="s">
        <v>6076</v>
      </c>
      <c r="L1431" s="47">
        <v>375647532</v>
      </c>
      <c r="M1431" s="26" t="s">
        <v>80</v>
      </c>
      <c r="N1431" s="26" t="s">
        <v>186</v>
      </c>
      <c r="O1431" s="26" t="s">
        <v>6077</v>
      </c>
      <c r="P1431" s="26" t="s">
        <v>2641</v>
      </c>
      <c r="Q1431" s="20">
        <v>3968</v>
      </c>
      <c r="R1431" s="26" t="s">
        <v>36</v>
      </c>
      <c r="S1431" s="31">
        <v>3968</v>
      </c>
      <c r="T1431" s="32">
        <v>45298</v>
      </c>
      <c r="U1431" s="31"/>
      <c r="V1431" s="32"/>
      <c r="W1431" s="33" t="s">
        <v>6078</v>
      </c>
      <c r="X1431" s="26">
        <v>100</v>
      </c>
      <c r="Y1431" s="22">
        <v>-100</v>
      </c>
      <c r="Z1431" s="26" t="s">
        <v>50</v>
      </c>
      <c r="AA1431" s="19" t="s">
        <v>6079</v>
      </c>
      <c r="AB1431" s="26" t="s">
        <v>104</v>
      </c>
      <c r="AC1431" s="26" t="s">
        <v>53</v>
      </c>
      <c r="AD1431" s="19" t="s">
        <v>138</v>
      </c>
      <c r="AE1431" s="26" t="s">
        <v>3013</v>
      </c>
      <c r="AF1431" s="17">
        <v>45300</v>
      </c>
      <c r="AG1431" s="26"/>
      <c r="AH1431" s="26"/>
      <c r="AI1431" s="40"/>
      <c r="AJ1431" s="26"/>
      <c r="AK1431" s="26"/>
      <c r="AL1431" s="35"/>
      <c r="AM1431" s="35"/>
      <c r="AN1431" s="35"/>
      <c r="AO1431" s="35"/>
      <c r="AP1431" s="35"/>
    </row>
    <row r="1432" spans="1:42" x14ac:dyDescent="0.2">
      <c r="A1432" s="97">
        <v>45289</v>
      </c>
      <c r="B1432" s="28" t="s">
        <v>37</v>
      </c>
      <c r="C1432" s="41" t="s">
        <v>118</v>
      </c>
      <c r="D1432" s="26" t="s">
        <v>36</v>
      </c>
      <c r="E1432" s="26" t="s">
        <v>119</v>
      </c>
      <c r="F1432" s="26" t="s">
        <v>3013</v>
      </c>
      <c r="G1432" s="26" t="s">
        <v>221</v>
      </c>
      <c r="H1432" s="26" t="s">
        <v>4275</v>
      </c>
      <c r="I1432" s="17">
        <f ca="1">IFERROR(__xludf.DUMMYFUNCTION("""COMPUTED_VALUE"""),45300)</f>
        <v>45300</v>
      </c>
      <c r="J1432" s="29" t="s">
        <v>3055</v>
      </c>
      <c r="K1432" s="19" t="s">
        <v>6080</v>
      </c>
      <c r="L1432" s="47">
        <v>354273166</v>
      </c>
      <c r="M1432" s="26" t="s">
        <v>123</v>
      </c>
      <c r="N1432" s="26" t="s">
        <v>850</v>
      </c>
      <c r="O1432" s="26" t="s">
        <v>2737</v>
      </c>
      <c r="P1432" s="26" t="s">
        <v>3056</v>
      </c>
      <c r="Q1432" s="20">
        <v>13968</v>
      </c>
      <c r="R1432" s="26" t="s">
        <v>36</v>
      </c>
      <c r="S1432" s="31">
        <v>13968</v>
      </c>
      <c r="T1432" s="32">
        <v>45191</v>
      </c>
      <c r="U1432" s="31"/>
      <c r="V1432" s="26"/>
      <c r="W1432" s="33" t="s">
        <v>3057</v>
      </c>
      <c r="X1432" s="26"/>
      <c r="Y1432" s="22">
        <v>0</v>
      </c>
      <c r="Z1432" s="26" t="s">
        <v>118</v>
      </c>
      <c r="AA1432" s="19" t="s">
        <v>2449</v>
      </c>
      <c r="AB1432" s="26" t="s">
        <v>104</v>
      </c>
      <c r="AC1432" s="26" t="s">
        <v>53</v>
      </c>
      <c r="AD1432" s="19" t="s">
        <v>138</v>
      </c>
      <c r="AE1432" s="26" t="s">
        <v>3013</v>
      </c>
      <c r="AF1432" s="17">
        <v>45300</v>
      </c>
      <c r="AG1432" s="26" t="s">
        <v>4279</v>
      </c>
      <c r="AH1432" s="26"/>
      <c r="AI1432" s="40"/>
      <c r="AJ1432" s="26"/>
      <c r="AK1432" s="26"/>
      <c r="AL1432" s="35"/>
      <c r="AM1432" s="35"/>
      <c r="AN1432" s="35"/>
      <c r="AO1432" s="35"/>
      <c r="AP1432" s="35"/>
    </row>
    <row r="1433" spans="1:42" x14ac:dyDescent="0.2">
      <c r="A1433" s="97">
        <v>45289</v>
      </c>
      <c r="B1433" s="28" t="s">
        <v>37</v>
      </c>
      <c r="C1433" s="41" t="s">
        <v>118</v>
      </c>
      <c r="D1433" s="26" t="s">
        <v>36</v>
      </c>
      <c r="E1433" s="26" t="s">
        <v>119</v>
      </c>
      <c r="F1433" s="26" t="s">
        <v>3013</v>
      </c>
      <c r="G1433" s="26" t="s">
        <v>221</v>
      </c>
      <c r="H1433" s="26" t="s">
        <v>6081</v>
      </c>
      <c r="I1433" s="17" t="str">
        <f ca="1">IFERROR(__xludf.DUMMYFUNCTION("""COMPUTED_VALUE""")," ")</f>
        <v xml:space="preserve"> </v>
      </c>
      <c r="J1433" s="29" t="s">
        <v>3014</v>
      </c>
      <c r="K1433" s="26" t="s">
        <v>3015</v>
      </c>
      <c r="L1433" s="47">
        <v>976953605</v>
      </c>
      <c r="M1433" s="26" t="s">
        <v>80</v>
      </c>
      <c r="N1433" s="26" t="s">
        <v>299</v>
      </c>
      <c r="O1433" s="26" t="s">
        <v>3016</v>
      </c>
      <c r="P1433" s="26" t="s">
        <v>3017</v>
      </c>
      <c r="Q1433" s="20">
        <v>13968</v>
      </c>
      <c r="R1433" s="26" t="s">
        <v>36</v>
      </c>
      <c r="S1433" s="31">
        <v>13968</v>
      </c>
      <c r="T1433" s="32">
        <v>45190</v>
      </c>
      <c r="U1433" s="31"/>
      <c r="V1433" s="26"/>
      <c r="W1433" s="33" t="s">
        <v>3018</v>
      </c>
      <c r="X1433" s="26"/>
      <c r="Y1433" s="22">
        <v>0</v>
      </c>
      <c r="Z1433" s="26" t="s">
        <v>118</v>
      </c>
      <c r="AA1433" s="19" t="s">
        <v>2449</v>
      </c>
      <c r="AB1433" s="26" t="s">
        <v>104</v>
      </c>
      <c r="AC1433" s="26" t="s">
        <v>53</v>
      </c>
      <c r="AD1433" s="19" t="s">
        <v>138</v>
      </c>
      <c r="AE1433" s="26" t="s">
        <v>3013</v>
      </c>
      <c r="AF1433" s="17">
        <v>45300</v>
      </c>
      <c r="AG1433" s="26" t="s">
        <v>4279</v>
      </c>
      <c r="AH1433" s="26"/>
      <c r="AI1433" s="40"/>
      <c r="AJ1433" s="26"/>
      <c r="AK1433" s="26"/>
      <c r="AL1433" s="35"/>
      <c r="AM1433" s="35"/>
      <c r="AN1433" s="35"/>
      <c r="AO1433" s="35"/>
      <c r="AP1433" s="35"/>
    </row>
    <row r="1434" spans="1:42" x14ac:dyDescent="0.2">
      <c r="A1434" s="97">
        <v>45289</v>
      </c>
      <c r="B1434" s="28" t="s">
        <v>37</v>
      </c>
      <c r="C1434" s="41" t="s">
        <v>118</v>
      </c>
      <c r="D1434" s="26" t="s">
        <v>36</v>
      </c>
      <c r="E1434" s="26" t="s">
        <v>119</v>
      </c>
      <c r="F1434" s="26" t="s">
        <v>36</v>
      </c>
      <c r="G1434" s="26" t="s">
        <v>221</v>
      </c>
      <c r="H1434" s="26" t="s">
        <v>4275</v>
      </c>
      <c r="I1434" s="17">
        <f ca="1">IFERROR(__xludf.DUMMYFUNCTION("""COMPUTED_VALUE"""),45300)</f>
        <v>45300</v>
      </c>
      <c r="J1434" s="29" t="s">
        <v>3215</v>
      </c>
      <c r="K1434" s="19" t="s">
        <v>3216</v>
      </c>
      <c r="L1434" s="47">
        <v>327372263</v>
      </c>
      <c r="M1434" s="26" t="s">
        <v>80</v>
      </c>
      <c r="N1434" s="26" t="s">
        <v>186</v>
      </c>
      <c r="O1434" s="26" t="s">
        <v>3217</v>
      </c>
      <c r="P1434" s="26" t="s">
        <v>3178</v>
      </c>
      <c r="Q1434" s="20">
        <v>13968</v>
      </c>
      <c r="R1434" s="26" t="s">
        <v>70</v>
      </c>
      <c r="S1434" s="31">
        <v>500</v>
      </c>
      <c r="T1434" s="32">
        <v>45197</v>
      </c>
      <c r="U1434" s="31">
        <v>13368</v>
      </c>
      <c r="V1434" s="32">
        <v>45198</v>
      </c>
      <c r="W1434" s="33" t="s">
        <v>3218</v>
      </c>
      <c r="X1434" s="26"/>
      <c r="Y1434" s="22">
        <v>100</v>
      </c>
      <c r="Z1434" s="26" t="s">
        <v>118</v>
      </c>
      <c r="AA1434" s="19" t="s">
        <v>2449</v>
      </c>
      <c r="AB1434" s="26" t="s">
        <v>104</v>
      </c>
      <c r="AC1434" s="26" t="s">
        <v>53</v>
      </c>
      <c r="AD1434" s="19" t="s">
        <v>138</v>
      </c>
      <c r="AE1434" s="26" t="s">
        <v>3013</v>
      </c>
      <c r="AF1434" s="17">
        <v>45300</v>
      </c>
      <c r="AG1434" s="26" t="s">
        <v>4279</v>
      </c>
      <c r="AH1434" s="26"/>
      <c r="AI1434" s="40"/>
      <c r="AJ1434" s="26"/>
      <c r="AK1434" s="26"/>
      <c r="AL1434" s="35"/>
      <c r="AM1434" s="35"/>
      <c r="AN1434" s="35"/>
      <c r="AO1434" s="35"/>
      <c r="AP1434" s="35"/>
    </row>
    <row r="1435" spans="1:42" x14ac:dyDescent="0.2">
      <c r="A1435" s="97">
        <v>45289</v>
      </c>
      <c r="B1435" s="28" t="s">
        <v>37</v>
      </c>
      <c r="C1435" s="41" t="s">
        <v>118</v>
      </c>
      <c r="D1435" s="26" t="s">
        <v>36</v>
      </c>
      <c r="E1435" s="26" t="s">
        <v>148</v>
      </c>
      <c r="F1435" s="26" t="s">
        <v>3013</v>
      </c>
      <c r="G1435" s="26" t="s">
        <v>221</v>
      </c>
      <c r="H1435" s="26" t="s">
        <v>4275</v>
      </c>
      <c r="I1435" s="17">
        <f ca="1">IFERROR(__xludf.DUMMYFUNCTION("""COMPUTED_VALUE"""),45300)</f>
        <v>45300</v>
      </c>
      <c r="J1435" s="29" t="s">
        <v>3703</v>
      </c>
      <c r="K1435" s="19" t="s">
        <v>6082</v>
      </c>
      <c r="L1435" s="47">
        <v>355403410</v>
      </c>
      <c r="M1435" s="26" t="s">
        <v>80</v>
      </c>
      <c r="N1435" s="26" t="s">
        <v>299</v>
      </c>
      <c r="O1435" s="26" t="s">
        <v>3705</v>
      </c>
      <c r="P1435" s="26" t="s">
        <v>3178</v>
      </c>
      <c r="Q1435" s="20">
        <v>7349</v>
      </c>
      <c r="R1435" s="26" t="s">
        <v>36</v>
      </c>
      <c r="S1435" s="31">
        <v>200</v>
      </c>
      <c r="T1435" s="32">
        <v>45188</v>
      </c>
      <c r="U1435" s="31">
        <f>3800+3317</f>
        <v>7117</v>
      </c>
      <c r="V1435" s="26" t="s">
        <v>3706</v>
      </c>
      <c r="W1435" s="33" t="s">
        <v>3707</v>
      </c>
      <c r="X1435" s="26"/>
      <c r="Y1435" s="22">
        <v>32</v>
      </c>
      <c r="Z1435" s="26" t="s">
        <v>118</v>
      </c>
      <c r="AA1435" s="19" t="s">
        <v>3454</v>
      </c>
      <c r="AB1435" s="26" t="s">
        <v>104</v>
      </c>
      <c r="AC1435" s="26" t="s">
        <v>53</v>
      </c>
      <c r="AD1435" s="19" t="s">
        <v>138</v>
      </c>
      <c r="AE1435" s="26" t="s">
        <v>3013</v>
      </c>
      <c r="AF1435" s="17">
        <v>45300</v>
      </c>
      <c r="AG1435" s="26" t="s">
        <v>4279</v>
      </c>
      <c r="AH1435" s="26"/>
      <c r="AI1435" s="40"/>
      <c r="AJ1435" s="26"/>
      <c r="AK1435" s="26"/>
      <c r="AL1435" s="35"/>
      <c r="AM1435" s="35"/>
      <c r="AN1435" s="35"/>
      <c r="AO1435" s="35"/>
      <c r="AP1435" s="35"/>
    </row>
    <row r="1436" spans="1:42" x14ac:dyDescent="0.2">
      <c r="A1436" s="97">
        <v>45289</v>
      </c>
      <c r="B1436" s="28" t="s">
        <v>37</v>
      </c>
      <c r="C1436" s="41" t="s">
        <v>118</v>
      </c>
      <c r="D1436" s="26" t="s">
        <v>36</v>
      </c>
      <c r="E1436" s="26" t="s">
        <v>119</v>
      </c>
      <c r="F1436" s="26" t="s">
        <v>524</v>
      </c>
      <c r="G1436" s="26" t="s">
        <v>221</v>
      </c>
      <c r="H1436" s="26" t="s">
        <v>6083</v>
      </c>
      <c r="I1436" s="17">
        <f ca="1">IFERROR(__xludf.DUMMYFUNCTION("""COMPUTED_VALUE"""),45303)</f>
        <v>45303</v>
      </c>
      <c r="J1436" s="29" t="s">
        <v>1166</v>
      </c>
      <c r="K1436" s="19" t="s">
        <v>1167</v>
      </c>
      <c r="L1436" s="47">
        <v>763160009</v>
      </c>
      <c r="M1436" s="26" t="s">
        <v>80</v>
      </c>
      <c r="N1436" s="26" t="s">
        <v>299</v>
      </c>
      <c r="O1436" s="26" t="s">
        <v>1168</v>
      </c>
      <c r="P1436" s="26" t="s">
        <v>1169</v>
      </c>
      <c r="Q1436" s="20">
        <v>13968</v>
      </c>
      <c r="R1436" s="26" t="s">
        <v>36</v>
      </c>
      <c r="S1436" s="58">
        <v>4000</v>
      </c>
      <c r="T1436" s="59">
        <v>45139</v>
      </c>
      <c r="U1436" s="31">
        <v>9968</v>
      </c>
      <c r="V1436" s="38">
        <v>45163</v>
      </c>
      <c r="W1436" s="33" t="s">
        <v>1170</v>
      </c>
      <c r="X1436" s="26">
        <v>0</v>
      </c>
      <c r="Y1436" s="22">
        <v>0</v>
      </c>
      <c r="Z1436" s="26" t="s">
        <v>118</v>
      </c>
      <c r="AA1436" s="19" t="s">
        <v>901</v>
      </c>
      <c r="AB1436" s="26" t="s">
        <v>104</v>
      </c>
      <c r="AC1436" s="26" t="s">
        <v>53</v>
      </c>
      <c r="AD1436" s="19" t="s">
        <v>54</v>
      </c>
      <c r="AE1436" s="26" t="s">
        <v>3013</v>
      </c>
      <c r="AF1436" s="17">
        <v>45303</v>
      </c>
      <c r="AG1436" s="26" t="s">
        <v>1631</v>
      </c>
      <c r="AH1436" s="26">
        <v>1</v>
      </c>
      <c r="AI1436" s="40">
        <v>4</v>
      </c>
      <c r="AJ1436" s="26"/>
      <c r="AK1436" s="26"/>
      <c r="AL1436" s="35"/>
      <c r="AM1436" s="35"/>
      <c r="AN1436" s="35"/>
      <c r="AO1436" s="35"/>
      <c r="AP1436" s="35"/>
    </row>
    <row r="1437" spans="1:42" x14ac:dyDescent="0.2">
      <c r="A1437" s="97">
        <v>45289</v>
      </c>
      <c r="B1437" s="28" t="s">
        <v>37</v>
      </c>
      <c r="C1437" s="41" t="s">
        <v>118</v>
      </c>
      <c r="D1437" s="26" t="s">
        <v>36</v>
      </c>
      <c r="E1437" s="26" t="s">
        <v>56</v>
      </c>
      <c r="F1437" s="26" t="s">
        <v>1495</v>
      </c>
      <c r="G1437" s="26" t="s">
        <v>221</v>
      </c>
      <c r="H1437" s="26" t="s">
        <v>6070</v>
      </c>
      <c r="I1437" s="17">
        <f ca="1">IFERROR(__xludf.DUMMYFUNCTION("""COMPUTED_VALUE"""),45300)</f>
        <v>45300</v>
      </c>
      <c r="J1437" s="29" t="s">
        <v>57</v>
      </c>
      <c r="K1437" s="19" t="s">
        <v>1305</v>
      </c>
      <c r="L1437" s="47">
        <v>981430602</v>
      </c>
      <c r="M1437" s="26" t="s">
        <v>1245</v>
      </c>
      <c r="N1437" s="26" t="s">
        <v>4957</v>
      </c>
      <c r="O1437" s="26" t="s">
        <v>91</v>
      </c>
      <c r="P1437" s="26" t="s">
        <v>62</v>
      </c>
      <c r="Q1437" s="20">
        <v>9317</v>
      </c>
      <c r="R1437" s="26" t="s">
        <v>36</v>
      </c>
      <c r="S1437" s="31">
        <v>7349</v>
      </c>
      <c r="T1437" s="32">
        <v>45108</v>
      </c>
      <c r="U1437" s="31">
        <v>1968</v>
      </c>
      <c r="V1437" s="32">
        <v>45125</v>
      </c>
      <c r="W1437" s="26"/>
      <c r="X1437" s="26"/>
      <c r="Y1437" s="22">
        <v>0</v>
      </c>
      <c r="Z1437" s="26" t="s">
        <v>118</v>
      </c>
      <c r="AA1437" s="19" t="s">
        <v>4541</v>
      </c>
      <c r="AB1437" s="26" t="s">
        <v>104</v>
      </c>
      <c r="AC1437" s="26" t="s">
        <v>53</v>
      </c>
      <c r="AD1437" s="19" t="s">
        <v>54</v>
      </c>
      <c r="AE1437" s="26" t="s">
        <v>1495</v>
      </c>
      <c r="AF1437" s="17">
        <v>45295</v>
      </c>
      <c r="AG1437" s="26"/>
      <c r="AH1437" s="26"/>
      <c r="AI1437" s="40"/>
      <c r="AJ1437" s="26"/>
      <c r="AK1437" s="26"/>
      <c r="AL1437" s="35"/>
      <c r="AM1437" s="35"/>
      <c r="AN1437" s="35"/>
      <c r="AO1437" s="35"/>
      <c r="AP1437" s="35"/>
    </row>
    <row r="1438" spans="1:42" x14ac:dyDescent="0.2">
      <c r="A1438" s="97">
        <v>45289</v>
      </c>
      <c r="B1438" s="28" t="s">
        <v>37</v>
      </c>
      <c r="C1438" s="41" t="s">
        <v>118</v>
      </c>
      <c r="D1438" s="26" t="s">
        <v>36</v>
      </c>
      <c r="E1438" s="26" t="s">
        <v>119</v>
      </c>
      <c r="F1438" s="26" t="s">
        <v>3013</v>
      </c>
      <c r="G1438" s="26" t="s">
        <v>221</v>
      </c>
      <c r="H1438" s="26" t="s">
        <v>4275</v>
      </c>
      <c r="I1438" s="17">
        <f ca="1">IFERROR(__xludf.DUMMYFUNCTION("""COMPUTED_VALUE"""),45300)</f>
        <v>45300</v>
      </c>
      <c r="J1438" s="29" t="s">
        <v>3848</v>
      </c>
      <c r="K1438" s="19" t="s">
        <v>3849</v>
      </c>
      <c r="L1438" s="47">
        <v>962021127</v>
      </c>
      <c r="M1438" s="26" t="s">
        <v>80</v>
      </c>
      <c r="N1438" s="26" t="s">
        <v>1073</v>
      </c>
      <c r="O1438" s="26" t="s">
        <v>3850</v>
      </c>
      <c r="P1438" s="26" t="s">
        <v>2641</v>
      </c>
      <c r="Q1438" s="20">
        <v>13968</v>
      </c>
      <c r="R1438" s="26" t="s">
        <v>36</v>
      </c>
      <c r="S1438" s="31">
        <v>300</v>
      </c>
      <c r="T1438" s="32">
        <v>45163</v>
      </c>
      <c r="U1438" s="31">
        <f>3700+9968</f>
        <v>13668</v>
      </c>
      <c r="V1438" s="26" t="s">
        <v>3851</v>
      </c>
      <c r="W1438" s="33" t="s">
        <v>3852</v>
      </c>
      <c r="X1438" s="26"/>
      <c r="Y1438" s="22">
        <v>0</v>
      </c>
      <c r="Z1438" s="26" t="s">
        <v>118</v>
      </c>
      <c r="AA1438" s="19" t="s">
        <v>3454</v>
      </c>
      <c r="AB1438" s="26" t="s">
        <v>104</v>
      </c>
      <c r="AC1438" s="26" t="s">
        <v>53</v>
      </c>
      <c r="AD1438" s="19" t="s">
        <v>138</v>
      </c>
      <c r="AE1438" s="26" t="s">
        <v>3013</v>
      </c>
      <c r="AF1438" s="17">
        <v>45300</v>
      </c>
      <c r="AG1438" s="26" t="s">
        <v>4279</v>
      </c>
      <c r="AH1438" s="26"/>
      <c r="AI1438" s="40"/>
      <c r="AJ1438" s="26"/>
      <c r="AK1438" s="26"/>
      <c r="AL1438" s="35"/>
      <c r="AM1438" s="35"/>
      <c r="AN1438" s="35"/>
      <c r="AO1438" s="35"/>
      <c r="AP1438" s="35"/>
    </row>
    <row r="1439" spans="1:42" x14ac:dyDescent="0.2">
      <c r="A1439" s="97">
        <v>45289</v>
      </c>
      <c r="B1439" s="28" t="s">
        <v>37</v>
      </c>
      <c r="C1439" s="41" t="s">
        <v>118</v>
      </c>
      <c r="D1439" s="26" t="s">
        <v>36</v>
      </c>
      <c r="E1439" s="26" t="s">
        <v>148</v>
      </c>
      <c r="F1439" s="26" t="s">
        <v>3013</v>
      </c>
      <c r="G1439" s="26" t="s">
        <v>221</v>
      </c>
      <c r="H1439" s="26" t="s">
        <v>4275</v>
      </c>
      <c r="I1439" s="17">
        <f ca="1">IFERROR(__xludf.DUMMYFUNCTION("""COMPUTED_VALUE"""),45300)</f>
        <v>45300</v>
      </c>
      <c r="J1439" s="29" t="s">
        <v>3155</v>
      </c>
      <c r="K1439" s="19" t="s">
        <v>3156</v>
      </c>
      <c r="L1439" s="47">
        <v>922222583</v>
      </c>
      <c r="M1439" s="26" t="s">
        <v>292</v>
      </c>
      <c r="N1439" s="26" t="s">
        <v>1232</v>
      </c>
      <c r="O1439" s="26" t="s">
        <v>3157</v>
      </c>
      <c r="P1439" s="26" t="s">
        <v>3158</v>
      </c>
      <c r="Q1439" s="20">
        <v>7349</v>
      </c>
      <c r="R1439" s="26" t="s">
        <v>36</v>
      </c>
      <c r="S1439" s="31">
        <v>7349</v>
      </c>
      <c r="T1439" s="32">
        <v>45196</v>
      </c>
      <c r="U1439" s="31"/>
      <c r="V1439" s="26"/>
      <c r="W1439" s="33" t="s">
        <v>3159</v>
      </c>
      <c r="X1439" s="26"/>
      <c r="Y1439" s="22">
        <v>0</v>
      </c>
      <c r="Z1439" s="26" t="s">
        <v>118</v>
      </c>
      <c r="AA1439" s="19" t="s">
        <v>2449</v>
      </c>
      <c r="AB1439" s="26" t="s">
        <v>104</v>
      </c>
      <c r="AC1439" s="26" t="s">
        <v>53</v>
      </c>
      <c r="AD1439" s="19" t="s">
        <v>138</v>
      </c>
      <c r="AE1439" s="26" t="s">
        <v>3013</v>
      </c>
      <c r="AF1439" s="17">
        <v>45300</v>
      </c>
      <c r="AG1439" s="26" t="s">
        <v>4279</v>
      </c>
      <c r="AH1439" s="26"/>
      <c r="AI1439" s="40"/>
      <c r="AJ1439" s="26"/>
      <c r="AK1439" s="26"/>
      <c r="AL1439" s="35"/>
      <c r="AM1439" s="35"/>
      <c r="AN1439" s="35"/>
      <c r="AO1439" s="35"/>
      <c r="AP1439" s="35"/>
    </row>
    <row r="1440" spans="1:42" x14ac:dyDescent="0.2">
      <c r="A1440" s="97">
        <v>45290</v>
      </c>
      <c r="B1440" s="28" t="s">
        <v>37</v>
      </c>
      <c r="C1440" s="41" t="s">
        <v>118</v>
      </c>
      <c r="D1440" s="26" t="s">
        <v>36</v>
      </c>
      <c r="E1440" s="26" t="s">
        <v>119</v>
      </c>
      <c r="F1440" s="26" t="s">
        <v>3013</v>
      </c>
      <c r="G1440" s="26" t="s">
        <v>221</v>
      </c>
      <c r="H1440" s="26" t="s">
        <v>6081</v>
      </c>
      <c r="I1440" s="17" t="str">
        <f ca="1">IFERROR(__xludf.DUMMYFUNCTION("""COMPUTED_VALUE""")," ")</f>
        <v xml:space="preserve"> </v>
      </c>
      <c r="J1440" s="29" t="s">
        <v>5155</v>
      </c>
      <c r="K1440" s="19" t="s">
        <v>5156</v>
      </c>
      <c r="L1440" s="47">
        <v>762656129</v>
      </c>
      <c r="M1440" s="26" t="s">
        <v>80</v>
      </c>
      <c r="N1440" s="26" t="s">
        <v>186</v>
      </c>
      <c r="O1440" s="26" t="s">
        <v>5157</v>
      </c>
      <c r="P1440" s="26" t="s">
        <v>5158</v>
      </c>
      <c r="Q1440" s="20">
        <v>13968</v>
      </c>
      <c r="R1440" s="26" t="s">
        <v>36</v>
      </c>
      <c r="S1440" s="31">
        <v>200</v>
      </c>
      <c r="T1440" s="32">
        <v>45195</v>
      </c>
      <c r="U1440" s="31">
        <f>3800+9998</f>
        <v>13798</v>
      </c>
      <c r="V1440" s="26" t="s">
        <v>5159</v>
      </c>
      <c r="W1440" s="33" t="s">
        <v>5160</v>
      </c>
      <c r="X1440" s="26"/>
      <c r="Y1440" s="22">
        <v>-30</v>
      </c>
      <c r="Z1440" s="26" t="s">
        <v>118</v>
      </c>
      <c r="AA1440" s="19" t="s">
        <v>5112</v>
      </c>
      <c r="AB1440" s="26" t="s">
        <v>104</v>
      </c>
      <c r="AC1440" s="26" t="s">
        <v>53</v>
      </c>
      <c r="AD1440" s="19" t="s">
        <v>138</v>
      </c>
      <c r="AE1440" s="26" t="s">
        <v>3013</v>
      </c>
      <c r="AF1440" s="17">
        <v>45300</v>
      </c>
      <c r="AG1440" s="26" t="s">
        <v>4279</v>
      </c>
      <c r="AH1440" s="26"/>
      <c r="AI1440" s="40">
        <v>4</v>
      </c>
      <c r="AJ1440" s="26"/>
      <c r="AK1440" s="26"/>
      <c r="AL1440" s="35"/>
      <c r="AM1440" s="35"/>
      <c r="AN1440" s="35"/>
      <c r="AO1440" s="35"/>
      <c r="AP1440" s="35"/>
    </row>
    <row r="1441" spans="1:42" x14ac:dyDescent="0.2">
      <c r="A1441" s="97">
        <v>45290</v>
      </c>
      <c r="B1441" s="28" t="s">
        <v>37</v>
      </c>
      <c r="C1441" s="41" t="s">
        <v>118</v>
      </c>
      <c r="D1441" s="26" t="s">
        <v>36</v>
      </c>
      <c r="E1441" s="26" t="s">
        <v>119</v>
      </c>
      <c r="F1441" s="26" t="s">
        <v>3013</v>
      </c>
      <c r="G1441" s="26" t="s">
        <v>221</v>
      </c>
      <c r="H1441" s="26" t="s">
        <v>4275</v>
      </c>
      <c r="I1441" s="17">
        <f ca="1">IFERROR(__xludf.DUMMYFUNCTION("""COMPUTED_VALUE"""),45300)</f>
        <v>45300</v>
      </c>
      <c r="J1441" s="29" t="s">
        <v>5150</v>
      </c>
      <c r="K1441" s="19" t="s">
        <v>5151</v>
      </c>
      <c r="L1441" s="47">
        <v>986760294</v>
      </c>
      <c r="M1441" s="26" t="s">
        <v>80</v>
      </c>
      <c r="N1441" s="26" t="s">
        <v>186</v>
      </c>
      <c r="O1441" s="26" t="s">
        <v>5152</v>
      </c>
      <c r="P1441" s="26" t="s">
        <v>2641</v>
      </c>
      <c r="Q1441" s="20">
        <v>13968</v>
      </c>
      <c r="R1441" s="26" t="s">
        <v>36</v>
      </c>
      <c r="S1441" s="31">
        <v>300</v>
      </c>
      <c r="T1441" s="32">
        <v>45192</v>
      </c>
      <c r="U1441" s="31">
        <f>3700+9968</f>
        <v>13668</v>
      </c>
      <c r="V1441" s="26" t="s">
        <v>5153</v>
      </c>
      <c r="W1441" s="33" t="s">
        <v>5154</v>
      </c>
      <c r="X1441" s="26"/>
      <c r="Y1441" s="22">
        <v>0</v>
      </c>
      <c r="Z1441" s="26" t="s">
        <v>118</v>
      </c>
      <c r="AA1441" s="19" t="s">
        <v>5112</v>
      </c>
      <c r="AB1441" s="26" t="s">
        <v>104</v>
      </c>
      <c r="AC1441" s="26" t="s">
        <v>53</v>
      </c>
      <c r="AD1441" s="19" t="s">
        <v>138</v>
      </c>
      <c r="AE1441" s="26" t="s">
        <v>3013</v>
      </c>
      <c r="AF1441" s="17">
        <v>45300</v>
      </c>
      <c r="AG1441" s="26" t="s">
        <v>4279</v>
      </c>
      <c r="AH1441" s="26"/>
      <c r="AI1441" s="40">
        <v>4</v>
      </c>
      <c r="AJ1441" s="26"/>
      <c r="AK1441" s="26"/>
      <c r="AL1441" s="35"/>
      <c r="AM1441" s="35"/>
      <c r="AN1441" s="35"/>
      <c r="AO1441" s="35"/>
      <c r="AP1441" s="35"/>
    </row>
    <row r="1442" spans="1:42" x14ac:dyDescent="0.2">
      <c r="A1442" s="97">
        <v>45290</v>
      </c>
      <c r="B1442" s="28" t="s">
        <v>37</v>
      </c>
      <c r="C1442" s="41" t="s">
        <v>118</v>
      </c>
      <c r="D1442" s="26" t="s">
        <v>36</v>
      </c>
      <c r="E1442" s="26" t="s">
        <v>119</v>
      </c>
      <c r="F1442" s="26" t="s">
        <v>3013</v>
      </c>
      <c r="G1442" s="26" t="s">
        <v>221</v>
      </c>
      <c r="H1442" s="26" t="s">
        <v>4275</v>
      </c>
      <c r="I1442" s="17">
        <f ca="1">IFERROR(__xludf.DUMMYFUNCTION("""COMPUTED_VALUE"""),45300)</f>
        <v>45300</v>
      </c>
      <c r="J1442" s="29" t="s">
        <v>3793</v>
      </c>
      <c r="K1442" s="19" t="s">
        <v>3794</v>
      </c>
      <c r="L1442" s="47">
        <v>359294508</v>
      </c>
      <c r="M1442" s="26" t="s">
        <v>80</v>
      </c>
      <c r="N1442" s="26" t="s">
        <v>186</v>
      </c>
      <c r="O1442" s="26" t="s">
        <v>3795</v>
      </c>
      <c r="P1442" s="26" t="s">
        <v>3796</v>
      </c>
      <c r="Q1442" s="20">
        <v>13968</v>
      </c>
      <c r="R1442" s="26" t="s">
        <v>36</v>
      </c>
      <c r="S1442" s="31">
        <v>200</v>
      </c>
      <c r="T1442" s="32">
        <v>45190</v>
      </c>
      <c r="U1442" s="31">
        <f>3800+10000</f>
        <v>13800</v>
      </c>
      <c r="V1442" s="26" t="s">
        <v>3797</v>
      </c>
      <c r="W1442" s="33" t="s">
        <v>3798</v>
      </c>
      <c r="X1442" s="26"/>
      <c r="Y1442" s="22">
        <v>-32</v>
      </c>
      <c r="Z1442" s="26" t="s">
        <v>118</v>
      </c>
      <c r="AA1442" s="19" t="s">
        <v>3454</v>
      </c>
      <c r="AB1442" s="26" t="s">
        <v>104</v>
      </c>
      <c r="AC1442" s="26" t="s">
        <v>53</v>
      </c>
      <c r="AD1442" s="19" t="s">
        <v>138</v>
      </c>
      <c r="AE1442" s="26" t="s">
        <v>3013</v>
      </c>
      <c r="AF1442" s="17">
        <v>45300</v>
      </c>
      <c r="AG1442" s="26" t="s">
        <v>4279</v>
      </c>
      <c r="AH1442" s="26"/>
      <c r="AI1442" s="40"/>
      <c r="AJ1442" s="26"/>
      <c r="AK1442" s="26"/>
      <c r="AL1442" s="35"/>
      <c r="AM1442" s="35"/>
      <c r="AN1442" s="35"/>
      <c r="AO1442" s="35"/>
      <c r="AP1442" s="35"/>
    </row>
    <row r="1443" spans="1:42" x14ac:dyDescent="0.2">
      <c r="A1443" s="97">
        <v>45290</v>
      </c>
      <c r="B1443" s="28" t="s">
        <v>37</v>
      </c>
      <c r="C1443" s="41" t="s">
        <v>118</v>
      </c>
      <c r="D1443" s="26" t="s">
        <v>36</v>
      </c>
      <c r="E1443" s="26" t="s">
        <v>119</v>
      </c>
      <c r="F1443" s="26" t="s">
        <v>3013</v>
      </c>
      <c r="G1443" s="26" t="s">
        <v>221</v>
      </c>
      <c r="H1443" s="26" t="s">
        <v>6083</v>
      </c>
      <c r="I1443" s="17">
        <f ca="1">IFERROR(__xludf.DUMMYFUNCTION("""COMPUTED_VALUE"""),45303)</f>
        <v>45303</v>
      </c>
      <c r="J1443" s="29" t="s">
        <v>3700</v>
      </c>
      <c r="K1443" s="26" t="s">
        <v>660</v>
      </c>
      <c r="L1443" s="30">
        <v>842459558</v>
      </c>
      <c r="M1443" s="26" t="s">
        <v>80</v>
      </c>
      <c r="N1443" s="26" t="s">
        <v>81</v>
      </c>
      <c r="O1443" s="26" t="s">
        <v>3701</v>
      </c>
      <c r="P1443" s="42" t="s">
        <v>6084</v>
      </c>
      <c r="Q1443" s="20">
        <v>13968</v>
      </c>
      <c r="R1443" s="26" t="s">
        <v>1106</v>
      </c>
      <c r="S1443" s="31">
        <v>4000</v>
      </c>
      <c r="T1443" s="32">
        <v>45187</v>
      </c>
      <c r="U1443" s="31">
        <v>9818</v>
      </c>
      <c r="V1443" s="32">
        <v>45210</v>
      </c>
      <c r="W1443" s="33" t="s">
        <v>3702</v>
      </c>
      <c r="X1443" s="26"/>
      <c r="Y1443" s="22">
        <v>150</v>
      </c>
      <c r="Z1443" s="26" t="s">
        <v>118</v>
      </c>
      <c r="AA1443" s="19" t="s">
        <v>3454</v>
      </c>
      <c r="AB1443" s="26" t="s">
        <v>104</v>
      </c>
      <c r="AC1443" s="26" t="s">
        <v>53</v>
      </c>
      <c r="AD1443" s="19" t="s">
        <v>138</v>
      </c>
      <c r="AE1443" s="26" t="s">
        <v>3013</v>
      </c>
      <c r="AF1443" s="17">
        <v>45303</v>
      </c>
      <c r="AG1443" s="26" t="s">
        <v>1631</v>
      </c>
      <c r="AH1443" s="26"/>
      <c r="AI1443" s="40"/>
      <c r="AJ1443" s="26"/>
      <c r="AK1443" s="26"/>
      <c r="AL1443" s="35"/>
      <c r="AM1443" s="35"/>
      <c r="AN1443" s="35"/>
      <c r="AO1443" s="35"/>
      <c r="AP1443" s="35"/>
    </row>
    <row r="1444" spans="1:42" x14ac:dyDescent="0.2">
      <c r="A1444" s="97">
        <v>45290</v>
      </c>
      <c r="B1444" s="28" t="s">
        <v>37</v>
      </c>
      <c r="C1444" s="41" t="s">
        <v>118</v>
      </c>
      <c r="D1444" s="26" t="s">
        <v>36</v>
      </c>
      <c r="E1444" s="26" t="s">
        <v>119</v>
      </c>
      <c r="F1444" s="26" t="s">
        <v>2595</v>
      </c>
      <c r="G1444" s="26" t="s">
        <v>221</v>
      </c>
      <c r="H1444" s="26" t="s">
        <v>6083</v>
      </c>
      <c r="I1444" s="17">
        <f ca="1">IFERROR(__xludf.DUMMYFUNCTION("""COMPUTED_VALUE"""),45303)</f>
        <v>45303</v>
      </c>
      <c r="J1444" s="44" t="s">
        <v>6085</v>
      </c>
      <c r="K1444" s="26" t="s">
        <v>6086</v>
      </c>
      <c r="L1444" s="30">
        <v>394717626</v>
      </c>
      <c r="M1444" s="26" t="s">
        <v>80</v>
      </c>
      <c r="N1444" s="26" t="s">
        <v>81</v>
      </c>
      <c r="O1444" s="26" t="s">
        <v>3698</v>
      </c>
      <c r="P1444" s="42" t="s">
        <v>6084</v>
      </c>
      <c r="Q1444" s="20">
        <v>13968</v>
      </c>
      <c r="R1444" s="26" t="s">
        <v>1106</v>
      </c>
      <c r="S1444" s="31">
        <v>4000</v>
      </c>
      <c r="T1444" s="32">
        <v>45187</v>
      </c>
      <c r="U1444" s="31">
        <v>9968</v>
      </c>
      <c r="V1444" s="32">
        <v>45209</v>
      </c>
      <c r="W1444" s="33" t="s">
        <v>3699</v>
      </c>
      <c r="X1444" s="26"/>
      <c r="Y1444" s="22">
        <v>0</v>
      </c>
      <c r="Z1444" s="26" t="s">
        <v>118</v>
      </c>
      <c r="AA1444" s="19" t="s">
        <v>3454</v>
      </c>
      <c r="AB1444" s="26" t="s">
        <v>104</v>
      </c>
      <c r="AC1444" s="26" t="s">
        <v>53</v>
      </c>
      <c r="AD1444" s="19" t="s">
        <v>138</v>
      </c>
      <c r="AE1444" s="26" t="s">
        <v>2595</v>
      </c>
      <c r="AF1444" s="17">
        <v>45303</v>
      </c>
      <c r="AG1444" s="26" t="s">
        <v>1631</v>
      </c>
      <c r="AH1444" s="26"/>
      <c r="AI1444" s="40"/>
      <c r="AJ1444" s="26"/>
      <c r="AK1444" s="26"/>
      <c r="AL1444" s="35"/>
      <c r="AM1444" s="35"/>
      <c r="AN1444" s="35"/>
      <c r="AO1444" s="35"/>
      <c r="AP1444" s="35"/>
    </row>
    <row r="1445" spans="1:42" x14ac:dyDescent="0.2">
      <c r="A1445" s="97">
        <v>45290</v>
      </c>
      <c r="B1445" s="28" t="s">
        <v>37</v>
      </c>
      <c r="C1445" s="41" t="s">
        <v>118</v>
      </c>
      <c r="D1445" s="26" t="s">
        <v>36</v>
      </c>
      <c r="E1445" s="26" t="s">
        <v>119</v>
      </c>
      <c r="F1445" s="26" t="s">
        <v>2595</v>
      </c>
      <c r="G1445" s="26" t="s">
        <v>221</v>
      </c>
      <c r="H1445" s="26" t="s">
        <v>6083</v>
      </c>
      <c r="I1445" s="17">
        <f ca="1">IFERROR(__xludf.DUMMYFUNCTION("""COMPUTED_VALUE"""),45303)</f>
        <v>45303</v>
      </c>
      <c r="J1445" s="29" t="s">
        <v>3691</v>
      </c>
      <c r="K1445" s="26" t="s">
        <v>3692</v>
      </c>
      <c r="L1445" s="30">
        <v>363987945</v>
      </c>
      <c r="M1445" s="26" t="s">
        <v>80</v>
      </c>
      <c r="N1445" s="26" t="s">
        <v>81</v>
      </c>
      <c r="O1445" s="26" t="s">
        <v>3693</v>
      </c>
      <c r="P1445" s="42" t="s">
        <v>6084</v>
      </c>
      <c r="Q1445" s="20">
        <v>13968</v>
      </c>
      <c r="R1445" s="26" t="s">
        <v>1106</v>
      </c>
      <c r="S1445" s="31">
        <v>4000</v>
      </c>
      <c r="T1445" s="32">
        <v>45187</v>
      </c>
      <c r="U1445" s="31">
        <v>9818</v>
      </c>
      <c r="V1445" s="32">
        <v>45209</v>
      </c>
      <c r="W1445" s="33" t="s">
        <v>3695</v>
      </c>
      <c r="X1445" s="26"/>
      <c r="Y1445" s="22">
        <v>150</v>
      </c>
      <c r="Z1445" s="26" t="s">
        <v>118</v>
      </c>
      <c r="AA1445" s="19" t="s">
        <v>3454</v>
      </c>
      <c r="AB1445" s="26" t="s">
        <v>104</v>
      </c>
      <c r="AC1445" s="26" t="s">
        <v>53</v>
      </c>
      <c r="AD1445" s="19" t="s">
        <v>138</v>
      </c>
      <c r="AE1445" s="26" t="s">
        <v>2595</v>
      </c>
      <c r="AF1445" s="17">
        <v>45303</v>
      </c>
      <c r="AG1445" s="26" t="s">
        <v>1631</v>
      </c>
      <c r="AH1445" s="26"/>
      <c r="AI1445" s="40"/>
      <c r="AJ1445" s="26"/>
      <c r="AK1445" s="26"/>
      <c r="AL1445" s="35"/>
      <c r="AM1445" s="35"/>
      <c r="AN1445" s="35"/>
      <c r="AO1445" s="35"/>
      <c r="AP1445" s="35"/>
    </row>
    <row r="1446" spans="1:42" x14ac:dyDescent="0.2">
      <c r="A1446" s="97">
        <v>45290</v>
      </c>
      <c r="B1446" s="28" t="s">
        <v>37</v>
      </c>
      <c r="C1446" s="41" t="s">
        <v>118</v>
      </c>
      <c r="D1446" s="26" t="s">
        <v>36</v>
      </c>
      <c r="E1446" s="26" t="s">
        <v>148</v>
      </c>
      <c r="F1446" s="26" t="s">
        <v>6087</v>
      </c>
      <c r="G1446" s="26" t="s">
        <v>221</v>
      </c>
      <c r="H1446" s="26" t="s">
        <v>6088</v>
      </c>
      <c r="I1446" s="17" t="str">
        <f ca="1">IFERROR(__xludf.DUMMYFUNCTION("""COMPUTED_VALUE""")," ")</f>
        <v xml:space="preserve"> </v>
      </c>
      <c r="J1446" s="29" t="s">
        <v>6089</v>
      </c>
      <c r="K1446" s="26" t="s">
        <v>6090</v>
      </c>
      <c r="L1446" s="30">
        <v>378933675</v>
      </c>
      <c r="M1446" s="26" t="s">
        <v>1245</v>
      </c>
      <c r="N1446" s="26" t="s">
        <v>4957</v>
      </c>
      <c r="O1446" s="26"/>
      <c r="P1446" s="42" t="s">
        <v>6091</v>
      </c>
      <c r="Q1446" s="20"/>
      <c r="R1446" s="26" t="s">
        <v>36</v>
      </c>
      <c r="S1446" s="31">
        <v>7349</v>
      </c>
      <c r="T1446" s="32">
        <v>44795</v>
      </c>
      <c r="U1446" s="31"/>
      <c r="V1446" s="32"/>
      <c r="W1446" s="33" t="s">
        <v>6092</v>
      </c>
      <c r="X1446" s="26"/>
      <c r="Y1446" s="22"/>
      <c r="Z1446" s="26" t="s">
        <v>118</v>
      </c>
      <c r="AA1446" s="19" t="s">
        <v>6093</v>
      </c>
      <c r="AB1446" s="26" t="s">
        <v>104</v>
      </c>
      <c r="AC1446" s="26" t="s">
        <v>53</v>
      </c>
      <c r="AD1446" s="19" t="s">
        <v>54</v>
      </c>
      <c r="AE1446" s="26" t="s">
        <v>6087</v>
      </c>
      <c r="AF1446" s="17">
        <v>45295</v>
      </c>
      <c r="AG1446" s="91"/>
      <c r="AH1446" s="26"/>
      <c r="AI1446" s="92"/>
      <c r="AJ1446" s="35"/>
      <c r="AK1446" s="35"/>
      <c r="AL1446" s="35"/>
      <c r="AM1446" s="35"/>
      <c r="AN1446" s="26"/>
      <c r="AO1446" s="26"/>
      <c r="AP1446" s="26"/>
    </row>
    <row r="1447" spans="1:42" x14ac:dyDescent="0.2">
      <c r="A1447" s="14">
        <v>45293</v>
      </c>
      <c r="B1447" s="28" t="s">
        <v>37</v>
      </c>
      <c r="C1447" s="41" t="s">
        <v>118</v>
      </c>
      <c r="D1447" s="26" t="s">
        <v>36</v>
      </c>
      <c r="E1447" s="26" t="s">
        <v>412</v>
      </c>
      <c r="F1447" s="26" t="s">
        <v>413</v>
      </c>
      <c r="G1447" s="26" t="s">
        <v>108</v>
      </c>
      <c r="H1447" s="26" t="s">
        <v>5472</v>
      </c>
      <c r="I1447" s="17">
        <f ca="1">IFERROR(__xludf.DUMMYFUNCTION("""COMPUTED_VALUE"""),45299)</f>
        <v>45299</v>
      </c>
      <c r="J1447" s="29" t="s">
        <v>414</v>
      </c>
      <c r="K1447" s="19" t="s">
        <v>415</v>
      </c>
      <c r="L1447" s="30">
        <v>342575428</v>
      </c>
      <c r="M1447" s="26" t="s">
        <v>59</v>
      </c>
      <c r="N1447" s="26" t="s">
        <v>68</v>
      </c>
      <c r="O1447" s="26" t="s">
        <v>416</v>
      </c>
      <c r="P1447" s="42" t="s">
        <v>417</v>
      </c>
      <c r="Q1447" s="20">
        <v>12412</v>
      </c>
      <c r="R1447" s="26" t="s">
        <v>36</v>
      </c>
      <c r="S1447" s="21">
        <v>12355</v>
      </c>
      <c r="T1447" s="32">
        <v>45119</v>
      </c>
      <c r="U1447" s="31"/>
      <c r="V1447" s="16" t="s">
        <v>418</v>
      </c>
      <c r="W1447" s="33" t="s">
        <v>419</v>
      </c>
      <c r="X1447" s="26">
        <v>0</v>
      </c>
      <c r="Y1447" s="22">
        <v>57</v>
      </c>
      <c r="Z1447" s="26" t="s">
        <v>118</v>
      </c>
      <c r="AA1447" s="19" t="s">
        <v>51</v>
      </c>
      <c r="AB1447" s="26" t="s">
        <v>104</v>
      </c>
      <c r="AC1447" s="26" t="s">
        <v>53</v>
      </c>
      <c r="AD1447" s="19" t="s">
        <v>54</v>
      </c>
      <c r="AE1447" s="26" t="s">
        <v>413</v>
      </c>
      <c r="AF1447" s="17">
        <v>45293</v>
      </c>
      <c r="AG1447" s="26"/>
      <c r="AH1447" s="26">
        <v>1</v>
      </c>
      <c r="AI1447" s="40" t="s">
        <v>421</v>
      </c>
      <c r="AJ1447" s="26"/>
      <c r="AK1447" s="26"/>
      <c r="AL1447" s="35"/>
      <c r="AM1447" s="35"/>
      <c r="AN1447" s="35"/>
      <c r="AO1447" s="35"/>
      <c r="AP1447" s="35"/>
    </row>
    <row r="1448" spans="1:42" x14ac:dyDescent="0.2">
      <c r="A1448" s="14">
        <v>45293</v>
      </c>
      <c r="B1448" s="28" t="s">
        <v>37</v>
      </c>
      <c r="C1448" s="41" t="s">
        <v>118</v>
      </c>
      <c r="D1448" s="26" t="s">
        <v>36</v>
      </c>
      <c r="E1448" s="26" t="s">
        <v>139</v>
      </c>
      <c r="F1448" s="26" t="s">
        <v>413</v>
      </c>
      <c r="G1448" s="26" t="s">
        <v>108</v>
      </c>
      <c r="H1448" s="26" t="s">
        <v>5472</v>
      </c>
      <c r="I1448" s="17">
        <f ca="1">IFERROR(__xludf.DUMMYFUNCTION("""COMPUTED_VALUE"""),45299)</f>
        <v>45299</v>
      </c>
      <c r="J1448" s="29" t="s">
        <v>5380</v>
      </c>
      <c r="K1448" s="26" t="s">
        <v>6094</v>
      </c>
      <c r="L1448" s="30">
        <v>398926200</v>
      </c>
      <c r="M1448" s="26" t="s">
        <v>80</v>
      </c>
      <c r="N1448" s="26" t="s">
        <v>186</v>
      </c>
      <c r="O1448" s="26" t="s">
        <v>5382</v>
      </c>
      <c r="P1448" s="42" t="s">
        <v>6095</v>
      </c>
      <c r="Q1448" s="20">
        <v>15936</v>
      </c>
      <c r="R1448" s="26" t="s">
        <v>36</v>
      </c>
      <c r="S1448" s="31">
        <v>2000</v>
      </c>
      <c r="T1448" s="32">
        <v>45215</v>
      </c>
      <c r="U1448" s="58">
        <v>13936</v>
      </c>
      <c r="V1448" s="59">
        <v>45260</v>
      </c>
      <c r="W1448" s="33" t="s">
        <v>5384</v>
      </c>
      <c r="X1448" s="26"/>
      <c r="Y1448" s="22">
        <v>0</v>
      </c>
      <c r="Z1448" s="26" t="s">
        <v>118</v>
      </c>
      <c r="AA1448" s="19" t="s">
        <v>5112</v>
      </c>
      <c r="AB1448" s="26" t="s">
        <v>104</v>
      </c>
      <c r="AC1448" s="26" t="s">
        <v>53</v>
      </c>
      <c r="AD1448" s="19" t="s">
        <v>54</v>
      </c>
      <c r="AE1448" s="26" t="s">
        <v>413</v>
      </c>
      <c r="AF1448" s="17">
        <v>45293</v>
      </c>
      <c r="AG1448" s="26"/>
      <c r="AH1448" s="26"/>
      <c r="AI1448" s="40" t="s">
        <v>147</v>
      </c>
      <c r="AJ1448" s="26"/>
      <c r="AK1448" s="26"/>
      <c r="AL1448" s="35"/>
      <c r="AM1448" s="35"/>
      <c r="AN1448" s="35"/>
      <c r="AO1448" s="35"/>
      <c r="AP1448" s="35"/>
    </row>
    <row r="1449" spans="1:42" x14ac:dyDescent="0.2">
      <c r="A1449" s="14">
        <v>45293</v>
      </c>
      <c r="B1449" s="28" t="s">
        <v>37</v>
      </c>
      <c r="C1449" s="41" t="s">
        <v>118</v>
      </c>
      <c r="D1449" s="26" t="s">
        <v>36</v>
      </c>
      <c r="E1449" s="26" t="s">
        <v>139</v>
      </c>
      <c r="F1449" s="26" t="s">
        <v>423</v>
      </c>
      <c r="G1449" s="26" t="s">
        <v>108</v>
      </c>
      <c r="H1449" s="26" t="s">
        <v>5472</v>
      </c>
      <c r="I1449" s="17">
        <f ca="1">IFERROR(__xludf.DUMMYFUNCTION("""COMPUTED_VALUE"""),45299)</f>
        <v>45299</v>
      </c>
      <c r="J1449" s="29" t="s">
        <v>5244</v>
      </c>
      <c r="K1449" s="26" t="s">
        <v>5245</v>
      </c>
      <c r="L1449" s="30">
        <v>386723413</v>
      </c>
      <c r="M1449" s="26" t="s">
        <v>80</v>
      </c>
      <c r="N1449" s="26" t="s">
        <v>1073</v>
      </c>
      <c r="O1449" s="26" t="s">
        <v>5246</v>
      </c>
      <c r="P1449" s="42" t="s">
        <v>6096</v>
      </c>
      <c r="Q1449" s="20">
        <v>15936</v>
      </c>
      <c r="R1449" s="26" t="s">
        <v>36</v>
      </c>
      <c r="S1449" s="31">
        <v>200</v>
      </c>
      <c r="T1449" s="32">
        <v>45205</v>
      </c>
      <c r="U1449" s="31">
        <f>1800+13936</f>
        <v>15736</v>
      </c>
      <c r="V1449" s="26" t="s">
        <v>5248</v>
      </c>
      <c r="W1449" s="33" t="s">
        <v>5249</v>
      </c>
      <c r="X1449" s="26"/>
      <c r="Y1449" s="22">
        <v>0</v>
      </c>
      <c r="Z1449" s="26" t="s">
        <v>118</v>
      </c>
      <c r="AA1449" s="19" t="s">
        <v>5112</v>
      </c>
      <c r="AB1449" s="26" t="s">
        <v>104</v>
      </c>
      <c r="AC1449" s="26" t="s">
        <v>53</v>
      </c>
      <c r="AD1449" s="19" t="s">
        <v>54</v>
      </c>
      <c r="AE1449" s="26" t="s">
        <v>423</v>
      </c>
      <c r="AF1449" s="17">
        <v>45293</v>
      </c>
      <c r="AG1449" s="26"/>
      <c r="AH1449" s="26"/>
      <c r="AI1449" s="40" t="s">
        <v>147</v>
      </c>
      <c r="AJ1449" s="26"/>
      <c r="AK1449" s="26"/>
      <c r="AL1449" s="35"/>
      <c r="AM1449" s="35"/>
      <c r="AN1449" s="35"/>
      <c r="AO1449" s="35"/>
      <c r="AP1449" s="35"/>
    </row>
    <row r="1450" spans="1:42" x14ac:dyDescent="0.2">
      <c r="A1450" s="14">
        <v>45293</v>
      </c>
      <c r="B1450" s="28" t="s">
        <v>37</v>
      </c>
      <c r="C1450" s="41" t="s">
        <v>118</v>
      </c>
      <c r="D1450" s="26" t="s">
        <v>36</v>
      </c>
      <c r="E1450" s="26" t="s">
        <v>119</v>
      </c>
      <c r="F1450" s="26" t="s">
        <v>2595</v>
      </c>
      <c r="G1450" s="26" t="s">
        <v>221</v>
      </c>
      <c r="H1450" s="26" t="s">
        <v>4275</v>
      </c>
      <c r="I1450" s="17">
        <f ca="1">IFERROR(__xludf.DUMMYFUNCTION("""COMPUTED_VALUE"""),45300)</f>
        <v>45300</v>
      </c>
      <c r="J1450" s="29" t="s">
        <v>2805</v>
      </c>
      <c r="K1450" s="26" t="s">
        <v>6097</v>
      </c>
      <c r="L1450" s="30">
        <v>979251613</v>
      </c>
      <c r="M1450" s="26" t="s">
        <v>80</v>
      </c>
      <c r="N1450" s="26" t="s">
        <v>299</v>
      </c>
      <c r="O1450" s="26" t="s">
        <v>2807</v>
      </c>
      <c r="P1450" s="26" t="s">
        <v>2808</v>
      </c>
      <c r="Q1450" s="20">
        <v>13968</v>
      </c>
      <c r="R1450" s="26" t="s">
        <v>36</v>
      </c>
      <c r="S1450" s="31">
        <v>3768</v>
      </c>
      <c r="T1450" s="32">
        <v>45183</v>
      </c>
      <c r="U1450" s="31">
        <v>10200</v>
      </c>
      <c r="V1450" s="32">
        <v>45197</v>
      </c>
      <c r="W1450" s="33" t="s">
        <v>2809</v>
      </c>
      <c r="X1450" s="26"/>
      <c r="Y1450" s="22">
        <v>0</v>
      </c>
      <c r="Z1450" s="26" t="s">
        <v>118</v>
      </c>
      <c r="AA1450" s="19" t="s">
        <v>2449</v>
      </c>
      <c r="AB1450" s="26" t="s">
        <v>104</v>
      </c>
      <c r="AC1450" s="26" t="s">
        <v>53</v>
      </c>
      <c r="AD1450" s="19" t="s">
        <v>54</v>
      </c>
      <c r="AE1450" s="26" t="s">
        <v>2595</v>
      </c>
      <c r="AF1450" s="17">
        <v>45300</v>
      </c>
      <c r="AG1450" s="26" t="s">
        <v>4279</v>
      </c>
      <c r="AH1450" s="26"/>
      <c r="AI1450" s="40"/>
      <c r="AJ1450" s="26"/>
      <c r="AK1450" s="26"/>
      <c r="AL1450" s="35"/>
      <c r="AM1450" s="35"/>
      <c r="AN1450" s="35"/>
      <c r="AO1450" s="35"/>
      <c r="AP1450" s="35"/>
    </row>
    <row r="1451" spans="1:42" x14ac:dyDescent="0.2">
      <c r="A1451" s="14">
        <v>45293</v>
      </c>
      <c r="B1451" s="28" t="s">
        <v>37</v>
      </c>
      <c r="C1451" s="41" t="s">
        <v>118</v>
      </c>
      <c r="D1451" s="26" t="s">
        <v>36</v>
      </c>
      <c r="E1451" s="26" t="s">
        <v>139</v>
      </c>
      <c r="F1451" s="26" t="s">
        <v>423</v>
      </c>
      <c r="G1451" s="26" t="s">
        <v>108</v>
      </c>
      <c r="H1451" s="26" t="s">
        <v>2440</v>
      </c>
      <c r="I1451" s="17">
        <f ca="1">IFERROR(__xludf.DUMMYFUNCTION("""COMPUTED_VALUE"""),45306)</f>
        <v>45306</v>
      </c>
      <c r="J1451" s="29" t="s">
        <v>5410</v>
      </c>
      <c r="K1451" s="26" t="s">
        <v>6098</v>
      </c>
      <c r="L1451" s="30">
        <v>375501405</v>
      </c>
      <c r="M1451" s="26" t="s">
        <v>123</v>
      </c>
      <c r="N1451" s="26" t="s">
        <v>186</v>
      </c>
      <c r="O1451" s="26" t="s">
        <v>1226</v>
      </c>
      <c r="P1451" s="26" t="s">
        <v>5412</v>
      </c>
      <c r="Q1451" s="20">
        <v>15936</v>
      </c>
      <c r="R1451" s="26" t="s">
        <v>36</v>
      </c>
      <c r="S1451" s="31">
        <v>2000</v>
      </c>
      <c r="T1451" s="32">
        <v>45221</v>
      </c>
      <c r="U1451" s="58">
        <v>13936</v>
      </c>
      <c r="V1451" s="59">
        <v>45240</v>
      </c>
      <c r="W1451" s="33" t="s">
        <v>5413</v>
      </c>
      <c r="X1451" s="26"/>
      <c r="Y1451" s="22">
        <v>0</v>
      </c>
      <c r="Z1451" s="26" t="s">
        <v>118</v>
      </c>
      <c r="AA1451" s="19" t="s">
        <v>5112</v>
      </c>
      <c r="AB1451" s="26" t="s">
        <v>104</v>
      </c>
      <c r="AC1451" s="26" t="s">
        <v>53</v>
      </c>
      <c r="AD1451" s="19" t="s">
        <v>54</v>
      </c>
      <c r="AE1451" s="26" t="s">
        <v>423</v>
      </c>
      <c r="AF1451" s="17">
        <v>45299</v>
      </c>
      <c r="AG1451" s="26"/>
      <c r="AH1451" s="26"/>
      <c r="AI1451" s="40" t="s">
        <v>147</v>
      </c>
      <c r="AJ1451" s="26"/>
      <c r="AK1451" s="26"/>
      <c r="AL1451" s="35"/>
      <c r="AM1451" s="35"/>
      <c r="AN1451" s="35"/>
      <c r="AO1451" s="35"/>
      <c r="AP1451" s="35"/>
    </row>
    <row r="1452" spans="1:42" x14ac:dyDescent="0.2">
      <c r="A1452" s="14">
        <v>45293</v>
      </c>
      <c r="B1452" s="28" t="s">
        <v>37</v>
      </c>
      <c r="C1452" s="41" t="s">
        <v>118</v>
      </c>
      <c r="D1452" s="26" t="s">
        <v>36</v>
      </c>
      <c r="E1452" s="26" t="s">
        <v>39</v>
      </c>
      <c r="F1452" s="26" t="s">
        <v>423</v>
      </c>
      <c r="G1452" s="26" t="s">
        <v>108</v>
      </c>
      <c r="H1452" s="26" t="s">
        <v>2440</v>
      </c>
      <c r="I1452" s="17">
        <f ca="1">IFERROR(__xludf.DUMMYFUNCTION("""COMPUTED_VALUE"""),45306)</f>
        <v>45306</v>
      </c>
      <c r="J1452" s="29" t="s">
        <v>5398</v>
      </c>
      <c r="K1452" s="26" t="s">
        <v>3152</v>
      </c>
      <c r="L1452" s="30">
        <v>868717780</v>
      </c>
      <c r="M1452" s="26" t="s">
        <v>123</v>
      </c>
      <c r="N1452" s="26" t="s">
        <v>850</v>
      </c>
      <c r="O1452" s="26" t="s">
        <v>5400</v>
      </c>
      <c r="P1452" s="42" t="s">
        <v>6099</v>
      </c>
      <c r="Q1452" s="20">
        <v>5736</v>
      </c>
      <c r="R1452" s="26" t="s">
        <v>36</v>
      </c>
      <c r="S1452" s="31">
        <v>2000</v>
      </c>
      <c r="T1452" s="32">
        <v>45218</v>
      </c>
      <c r="U1452" s="58">
        <v>3736</v>
      </c>
      <c r="V1452" s="59">
        <v>45242</v>
      </c>
      <c r="W1452" s="33" t="s">
        <v>5402</v>
      </c>
      <c r="X1452" s="26"/>
      <c r="Y1452" s="22">
        <v>0</v>
      </c>
      <c r="Z1452" s="26" t="s">
        <v>118</v>
      </c>
      <c r="AA1452" s="19" t="s">
        <v>5112</v>
      </c>
      <c r="AB1452" s="26" t="s">
        <v>104</v>
      </c>
      <c r="AC1452" s="26" t="s">
        <v>53</v>
      </c>
      <c r="AD1452" s="19" t="s">
        <v>54</v>
      </c>
      <c r="AE1452" s="26" t="s">
        <v>423</v>
      </c>
      <c r="AF1452" s="17">
        <v>45299</v>
      </c>
      <c r="AG1452" s="26"/>
      <c r="AH1452" s="26"/>
      <c r="AI1452" s="40" t="s">
        <v>55</v>
      </c>
      <c r="AJ1452" s="26"/>
      <c r="AK1452" s="26"/>
      <c r="AL1452" s="35"/>
      <c r="AM1452" s="35"/>
      <c r="AN1452" s="35"/>
      <c r="AO1452" s="35"/>
      <c r="AP1452" s="35"/>
    </row>
    <row r="1453" spans="1:42" x14ac:dyDescent="0.2">
      <c r="A1453" s="14">
        <v>45293</v>
      </c>
      <c r="B1453" s="28" t="s">
        <v>37</v>
      </c>
      <c r="C1453" s="41" t="s">
        <v>118</v>
      </c>
      <c r="D1453" s="26" t="s">
        <v>36</v>
      </c>
      <c r="E1453" s="26" t="s">
        <v>56</v>
      </c>
      <c r="F1453" s="26" t="s">
        <v>888</v>
      </c>
      <c r="G1453" s="26" t="s">
        <v>108</v>
      </c>
      <c r="H1453" s="26" t="s">
        <v>2440</v>
      </c>
      <c r="I1453" s="17">
        <f ca="1">IFERROR(__xludf.DUMMYFUNCTION("""COMPUTED_VALUE"""),45306)</f>
        <v>45306</v>
      </c>
      <c r="J1453" s="29" t="s">
        <v>2863</v>
      </c>
      <c r="K1453" s="26" t="s">
        <v>6100</v>
      </c>
      <c r="L1453" s="30">
        <v>963973205</v>
      </c>
      <c r="M1453" s="26" t="s">
        <v>548</v>
      </c>
      <c r="N1453" s="26" t="s">
        <v>1622</v>
      </c>
      <c r="O1453" s="26" t="s">
        <v>2866</v>
      </c>
      <c r="P1453" s="42" t="s">
        <v>6101</v>
      </c>
      <c r="Q1453" s="20">
        <v>9317</v>
      </c>
      <c r="R1453" s="26" t="s">
        <v>36</v>
      </c>
      <c r="S1453" s="31">
        <v>9317</v>
      </c>
      <c r="T1453" s="32">
        <v>45185</v>
      </c>
      <c r="U1453" s="31"/>
      <c r="V1453" s="26"/>
      <c r="W1453" s="33" t="s">
        <v>2868</v>
      </c>
      <c r="X1453" s="26"/>
      <c r="Y1453" s="22">
        <v>0</v>
      </c>
      <c r="Z1453" s="26" t="s">
        <v>118</v>
      </c>
      <c r="AA1453" s="19" t="s">
        <v>2449</v>
      </c>
      <c r="AB1453" s="26" t="s">
        <v>104</v>
      </c>
      <c r="AC1453" s="26" t="s">
        <v>53</v>
      </c>
      <c r="AD1453" s="19" t="s">
        <v>54</v>
      </c>
      <c r="AE1453" s="26" t="s">
        <v>888</v>
      </c>
      <c r="AF1453" s="17">
        <v>45299</v>
      </c>
      <c r="AG1453" s="61" t="s">
        <v>2865</v>
      </c>
      <c r="AH1453" s="26"/>
      <c r="AI1453" s="40"/>
      <c r="AJ1453" s="26"/>
      <c r="AK1453" s="26"/>
      <c r="AL1453" s="35"/>
      <c r="AM1453" s="35"/>
      <c r="AN1453" s="35"/>
      <c r="AO1453" s="35"/>
      <c r="AP1453" s="35"/>
    </row>
    <row r="1454" spans="1:42" x14ac:dyDescent="0.2">
      <c r="A1454" s="14">
        <v>45293</v>
      </c>
      <c r="B1454" s="28" t="s">
        <v>37</v>
      </c>
      <c r="C1454" s="41" t="s">
        <v>118</v>
      </c>
      <c r="D1454" s="26" t="s">
        <v>36</v>
      </c>
      <c r="E1454" s="26" t="s">
        <v>39</v>
      </c>
      <c r="F1454" s="26" t="s">
        <v>4133</v>
      </c>
      <c r="G1454" s="26" t="s">
        <v>108</v>
      </c>
      <c r="H1454" s="26" t="s">
        <v>6023</v>
      </c>
      <c r="I1454" s="17" t="str">
        <f ca="1">IFERROR(__xludf.DUMMYFUNCTION("""COMPUTED_VALUE""")," ")</f>
        <v xml:space="preserve"> </v>
      </c>
      <c r="J1454" s="29" t="s">
        <v>5460</v>
      </c>
      <c r="K1454" s="26" t="s">
        <v>6102</v>
      </c>
      <c r="L1454" s="30">
        <v>383399052</v>
      </c>
      <c r="M1454" s="26" t="s">
        <v>910</v>
      </c>
      <c r="N1454" s="26" t="s">
        <v>260</v>
      </c>
      <c r="O1454" s="26" t="s">
        <v>3754</v>
      </c>
      <c r="P1454" s="26" t="s">
        <v>5462</v>
      </c>
      <c r="Q1454" s="20">
        <v>5736</v>
      </c>
      <c r="R1454" s="26" t="s">
        <v>70</v>
      </c>
      <c r="S1454" s="31">
        <v>2000</v>
      </c>
      <c r="T1454" s="32">
        <v>45222</v>
      </c>
      <c r="U1454" s="31">
        <v>3636</v>
      </c>
      <c r="V1454" s="32">
        <v>45249</v>
      </c>
      <c r="W1454" s="33" t="s">
        <v>5463</v>
      </c>
      <c r="X1454" s="26"/>
      <c r="Y1454" s="22">
        <v>100</v>
      </c>
      <c r="Z1454" s="26" t="s">
        <v>118</v>
      </c>
      <c r="AA1454" s="19" t="s">
        <v>5112</v>
      </c>
      <c r="AB1454" s="26" t="s">
        <v>104</v>
      </c>
      <c r="AC1454" s="26" t="s">
        <v>53</v>
      </c>
      <c r="AD1454" s="19" t="s">
        <v>138</v>
      </c>
      <c r="AE1454" s="26" t="s">
        <v>4133</v>
      </c>
      <c r="AF1454" s="17">
        <v>44929</v>
      </c>
      <c r="AG1454" s="26" t="s">
        <v>5101</v>
      </c>
      <c r="AH1454" s="26"/>
      <c r="AI1454" s="40" t="s">
        <v>55</v>
      </c>
      <c r="AJ1454" s="26"/>
      <c r="AK1454" s="26"/>
      <c r="AL1454" s="35"/>
      <c r="AM1454" s="35"/>
      <c r="AN1454" s="35"/>
      <c r="AO1454" s="35"/>
      <c r="AP1454" s="35"/>
    </row>
    <row r="1455" spans="1:42" x14ac:dyDescent="0.2">
      <c r="A1455" s="14">
        <v>45294</v>
      </c>
      <c r="B1455" s="28" t="s">
        <v>37</v>
      </c>
      <c r="C1455" s="41" t="s">
        <v>118</v>
      </c>
      <c r="D1455" s="26" t="s">
        <v>36</v>
      </c>
      <c r="E1455" s="26" t="s">
        <v>148</v>
      </c>
      <c r="F1455" s="26" t="s">
        <v>1657</v>
      </c>
      <c r="G1455" s="26" t="s">
        <v>221</v>
      </c>
      <c r="H1455" s="26" t="s">
        <v>6103</v>
      </c>
      <c r="I1455" s="17" t="str">
        <f ca="1">IFERROR(__xludf.DUMMYFUNCTION("""COMPUTED_VALUE""")," ")</f>
        <v xml:space="preserve"> </v>
      </c>
      <c r="J1455" s="29" t="s">
        <v>2346</v>
      </c>
      <c r="K1455" s="26" t="s">
        <v>6104</v>
      </c>
      <c r="L1455" s="30">
        <v>354425207</v>
      </c>
      <c r="M1455" s="26" t="s">
        <v>94</v>
      </c>
      <c r="N1455" s="26" t="s">
        <v>2348</v>
      </c>
      <c r="O1455" s="26" t="s">
        <v>36</v>
      </c>
      <c r="P1455" s="26" t="s">
        <v>2349</v>
      </c>
      <c r="Q1455" s="20">
        <v>7349</v>
      </c>
      <c r="R1455" s="26" t="s">
        <v>36</v>
      </c>
      <c r="S1455" s="31">
        <v>16779</v>
      </c>
      <c r="T1455" s="32">
        <v>44780</v>
      </c>
      <c r="U1455" s="31"/>
      <c r="V1455" s="26"/>
      <c r="W1455" s="33" t="s">
        <v>2350</v>
      </c>
      <c r="X1455" s="26">
        <v>0</v>
      </c>
      <c r="Y1455" s="22">
        <v>-9430</v>
      </c>
      <c r="Z1455" s="26" t="s">
        <v>118</v>
      </c>
      <c r="AA1455" s="19" t="s">
        <v>1871</v>
      </c>
      <c r="AB1455" s="26" t="s">
        <v>104</v>
      </c>
      <c r="AC1455" s="26" t="s">
        <v>53</v>
      </c>
      <c r="AD1455" s="19" t="s">
        <v>54</v>
      </c>
      <c r="AE1455" s="26" t="s">
        <v>1657</v>
      </c>
      <c r="AF1455" s="60" t="s">
        <v>1829</v>
      </c>
      <c r="AG1455" s="26" t="s">
        <v>6105</v>
      </c>
      <c r="AH1455" s="26">
        <v>1</v>
      </c>
      <c r="AI1455" s="40">
        <v>2</v>
      </c>
      <c r="AJ1455" s="26"/>
      <c r="AK1455" s="26"/>
      <c r="AL1455" s="35"/>
      <c r="AM1455" s="35"/>
      <c r="AN1455" s="35"/>
      <c r="AO1455" s="35"/>
      <c r="AP1455" s="35"/>
    </row>
    <row r="1456" spans="1:42" x14ac:dyDescent="0.2">
      <c r="A1456" s="14">
        <v>45294</v>
      </c>
      <c r="B1456" s="28" t="s">
        <v>37</v>
      </c>
      <c r="C1456" s="41" t="s">
        <v>118</v>
      </c>
      <c r="D1456" s="26" t="s">
        <v>36</v>
      </c>
      <c r="E1456" s="26" t="s">
        <v>39</v>
      </c>
      <c r="F1456" s="26" t="s">
        <v>3365</v>
      </c>
      <c r="G1456" s="26" t="s">
        <v>108</v>
      </c>
      <c r="H1456" s="26" t="s">
        <v>6106</v>
      </c>
      <c r="I1456" s="17">
        <f ca="1">IFERROR(__xludf.DUMMYFUNCTION("""COMPUTED_VALUE"""),45314)</f>
        <v>45314</v>
      </c>
      <c r="J1456" s="29" t="s">
        <v>5883</v>
      </c>
      <c r="K1456" s="26" t="s">
        <v>5884</v>
      </c>
      <c r="L1456" s="30">
        <v>8051857075</v>
      </c>
      <c r="M1456" s="26" t="s">
        <v>391</v>
      </c>
      <c r="N1456" s="26" t="s">
        <v>584</v>
      </c>
      <c r="O1456" s="26" t="s">
        <v>5885</v>
      </c>
      <c r="P1456" s="42" t="s">
        <v>6107</v>
      </c>
      <c r="Q1456" s="20">
        <v>5736</v>
      </c>
      <c r="R1456" s="26" t="s">
        <v>36</v>
      </c>
      <c r="S1456" s="31">
        <v>14055</v>
      </c>
      <c r="T1456" s="32">
        <v>44925</v>
      </c>
      <c r="U1456" s="31"/>
      <c r="V1456" s="32"/>
      <c r="W1456" s="33" t="s">
        <v>5887</v>
      </c>
      <c r="X1456" s="26">
        <v>0</v>
      </c>
      <c r="Y1456" s="22">
        <v>-8319</v>
      </c>
      <c r="Z1456" s="26" t="s">
        <v>118</v>
      </c>
      <c r="AA1456" s="19" t="s">
        <v>5785</v>
      </c>
      <c r="AB1456" s="26" t="s">
        <v>104</v>
      </c>
      <c r="AC1456" s="26" t="s">
        <v>1828</v>
      </c>
      <c r="AD1456" s="19" t="s">
        <v>54</v>
      </c>
      <c r="AE1456" s="26" t="s">
        <v>3365</v>
      </c>
      <c r="AF1456" s="17">
        <v>45310</v>
      </c>
      <c r="AG1456" s="26" t="s">
        <v>6108</v>
      </c>
      <c r="AH1456" s="26"/>
      <c r="AI1456" s="40" t="s">
        <v>55</v>
      </c>
      <c r="AJ1456" s="26"/>
      <c r="AK1456" s="26"/>
      <c r="AL1456" s="35"/>
      <c r="AM1456" s="35"/>
      <c r="AN1456" s="35"/>
      <c r="AO1456" s="35"/>
      <c r="AP1456" s="35"/>
    </row>
    <row r="1457" spans="1:42" x14ac:dyDescent="0.2">
      <c r="A1457" s="14">
        <v>45294</v>
      </c>
      <c r="B1457" s="28" t="s">
        <v>37</v>
      </c>
      <c r="C1457" s="41" t="s">
        <v>118</v>
      </c>
      <c r="D1457" s="26" t="s">
        <v>36</v>
      </c>
      <c r="E1457" s="26" t="s">
        <v>139</v>
      </c>
      <c r="F1457" s="26" t="s">
        <v>1748</v>
      </c>
      <c r="G1457" s="26" t="s">
        <v>221</v>
      </c>
      <c r="H1457" s="26" t="s">
        <v>6070</v>
      </c>
      <c r="I1457" s="17">
        <f ca="1">IFERROR(__xludf.DUMMYFUNCTION("""COMPUTED_VALUE"""),45300)</f>
        <v>45300</v>
      </c>
      <c r="J1457" s="29" t="s">
        <v>954</v>
      </c>
      <c r="K1457" s="26" t="s">
        <v>6109</v>
      </c>
      <c r="L1457" s="30">
        <v>388176025</v>
      </c>
      <c r="M1457" s="26" t="s">
        <v>123</v>
      </c>
      <c r="N1457" s="26" t="s">
        <v>2386</v>
      </c>
      <c r="O1457" s="26" t="s">
        <v>134</v>
      </c>
      <c r="P1457" s="42" t="s">
        <v>6110</v>
      </c>
      <c r="Q1457" s="20">
        <v>15936</v>
      </c>
      <c r="R1457" s="26" t="s">
        <v>36</v>
      </c>
      <c r="S1457" s="31">
        <v>2000</v>
      </c>
      <c r="T1457" s="32">
        <v>45117</v>
      </c>
      <c r="U1457" s="58">
        <v>13936</v>
      </c>
      <c r="V1457" s="59">
        <v>45142</v>
      </c>
      <c r="W1457" s="33" t="s">
        <v>957</v>
      </c>
      <c r="X1457" s="26">
        <v>0</v>
      </c>
      <c r="Y1457" s="22">
        <v>0</v>
      </c>
      <c r="Z1457" s="26" t="s">
        <v>118</v>
      </c>
      <c r="AA1457" s="19" t="s">
        <v>1871</v>
      </c>
      <c r="AB1457" s="26" t="s">
        <v>104</v>
      </c>
      <c r="AC1457" s="26" t="s">
        <v>53</v>
      </c>
      <c r="AD1457" s="19" t="s">
        <v>54</v>
      </c>
      <c r="AE1457" s="26" t="s">
        <v>1748</v>
      </c>
      <c r="AF1457" s="17">
        <v>45295</v>
      </c>
      <c r="AG1457" s="26"/>
      <c r="AH1457" s="26">
        <v>2</v>
      </c>
      <c r="AI1457" s="40" t="s">
        <v>147</v>
      </c>
      <c r="AJ1457" s="26"/>
      <c r="AK1457" s="26"/>
      <c r="AL1457" s="35"/>
      <c r="AM1457" s="35"/>
      <c r="AN1457" s="35"/>
      <c r="AO1457" s="35"/>
      <c r="AP1457" s="35"/>
    </row>
    <row r="1458" spans="1:42" x14ac:dyDescent="0.2">
      <c r="A1458" s="14">
        <v>45294</v>
      </c>
      <c r="B1458" s="68" t="s">
        <v>90</v>
      </c>
      <c r="C1458" s="41" t="s">
        <v>118</v>
      </c>
      <c r="D1458" s="26" t="s">
        <v>36</v>
      </c>
      <c r="E1458" s="26" t="s">
        <v>148</v>
      </c>
      <c r="F1458" s="26" t="s">
        <v>6111</v>
      </c>
      <c r="G1458" s="26" t="s">
        <v>108</v>
      </c>
      <c r="H1458" s="26" t="s">
        <v>6112</v>
      </c>
      <c r="I1458" s="17">
        <f ca="1">IFERROR(__xludf.DUMMYFUNCTION("""COMPUTED_VALUE"""),46194)</f>
        <v>46194</v>
      </c>
      <c r="J1458" s="29" t="s">
        <v>6113</v>
      </c>
      <c r="K1458" s="19" t="s">
        <v>6114</v>
      </c>
      <c r="L1458" s="30">
        <v>365912022</v>
      </c>
      <c r="M1458" s="26" t="s">
        <v>3288</v>
      </c>
      <c r="N1458" s="26" t="s">
        <v>5846</v>
      </c>
      <c r="O1458" s="26"/>
      <c r="P1458" s="19" t="s">
        <v>6115</v>
      </c>
      <c r="Q1458" s="20"/>
      <c r="R1458" s="26" t="s">
        <v>36</v>
      </c>
      <c r="S1458" s="31">
        <v>7349</v>
      </c>
      <c r="T1458" s="32">
        <v>44866</v>
      </c>
      <c r="U1458" s="31"/>
      <c r="V1458" s="32"/>
      <c r="W1458" s="33" t="s">
        <v>6116</v>
      </c>
      <c r="X1458" s="26"/>
      <c r="Y1458" s="22">
        <v>0</v>
      </c>
      <c r="Z1458" s="26" t="s">
        <v>118</v>
      </c>
      <c r="AA1458" s="19" t="s">
        <v>3342</v>
      </c>
      <c r="AB1458" s="26"/>
      <c r="AC1458" s="26" t="s">
        <v>53</v>
      </c>
      <c r="AD1458" s="19" t="s">
        <v>54</v>
      </c>
      <c r="AE1458" s="26" t="s">
        <v>6111</v>
      </c>
      <c r="AF1458" s="17">
        <v>45299</v>
      </c>
      <c r="AG1458" s="91"/>
      <c r="AH1458" s="26"/>
      <c r="AI1458" s="92"/>
      <c r="AJ1458" s="35"/>
      <c r="AK1458" s="35"/>
      <c r="AL1458" s="35"/>
      <c r="AM1458" s="35"/>
      <c r="AN1458" s="26"/>
      <c r="AO1458" s="26"/>
      <c r="AP1458" s="26"/>
    </row>
    <row r="1459" spans="1:42" x14ac:dyDescent="0.2">
      <c r="A1459" s="14">
        <v>45294</v>
      </c>
      <c r="B1459" s="28" t="s">
        <v>37</v>
      </c>
      <c r="C1459" s="41" t="s">
        <v>118</v>
      </c>
      <c r="D1459" s="26" t="s">
        <v>36</v>
      </c>
      <c r="E1459" s="26" t="s">
        <v>106</v>
      </c>
      <c r="F1459" s="26" t="s">
        <v>1781</v>
      </c>
      <c r="G1459" s="26" t="s">
        <v>108</v>
      </c>
      <c r="H1459" s="26" t="s">
        <v>824</v>
      </c>
      <c r="I1459" s="17">
        <f ca="1">IFERROR(__xludf.DUMMYFUNCTION("""COMPUTED_VALUE"""),45275)</f>
        <v>45275</v>
      </c>
      <c r="J1459" s="29" t="s">
        <v>1782</v>
      </c>
      <c r="K1459" s="26" t="s">
        <v>6117</v>
      </c>
      <c r="L1459" s="30">
        <v>785735449</v>
      </c>
      <c r="M1459" s="26" t="s">
        <v>391</v>
      </c>
      <c r="N1459" s="26" t="s">
        <v>584</v>
      </c>
      <c r="O1459" s="26" t="s">
        <v>1784</v>
      </c>
      <c r="P1459" s="42" t="s">
        <v>1785</v>
      </c>
      <c r="Q1459" s="20">
        <v>3768</v>
      </c>
      <c r="R1459" s="26" t="s">
        <v>36</v>
      </c>
      <c r="S1459" s="31">
        <v>3770</v>
      </c>
      <c r="T1459" s="32">
        <v>45164</v>
      </c>
      <c r="U1459" s="31"/>
      <c r="V1459" s="26"/>
      <c r="W1459" s="33" t="s">
        <v>1786</v>
      </c>
      <c r="X1459" s="26">
        <v>100</v>
      </c>
      <c r="Y1459" s="22">
        <v>-102</v>
      </c>
      <c r="Z1459" s="26" t="s">
        <v>118</v>
      </c>
      <c r="AA1459" s="19" t="s">
        <v>901</v>
      </c>
      <c r="AB1459" s="26" t="s">
        <v>128</v>
      </c>
      <c r="AC1459" s="26" t="s">
        <v>53</v>
      </c>
      <c r="AD1459" s="19" t="s">
        <v>54</v>
      </c>
      <c r="AE1459" s="26"/>
      <c r="AF1459" s="17">
        <v>45181</v>
      </c>
      <c r="AG1459" s="26"/>
      <c r="AH1459" s="26">
        <v>1</v>
      </c>
      <c r="AI1459" s="40">
        <v>1</v>
      </c>
      <c r="AJ1459" s="26"/>
      <c r="AK1459" s="26"/>
      <c r="AL1459" s="35"/>
      <c r="AM1459" s="35"/>
      <c r="AN1459" s="35"/>
      <c r="AO1459" s="35"/>
      <c r="AP1459" s="35"/>
    </row>
    <row r="1460" spans="1:42" x14ac:dyDescent="0.2">
      <c r="A1460" s="14">
        <v>45295</v>
      </c>
      <c r="B1460" s="28" t="s">
        <v>37</v>
      </c>
      <c r="C1460" s="41" t="s">
        <v>118</v>
      </c>
      <c r="D1460" s="26" t="s">
        <v>36</v>
      </c>
      <c r="E1460" s="26" t="s">
        <v>119</v>
      </c>
      <c r="F1460" s="26" t="s">
        <v>2595</v>
      </c>
      <c r="G1460" s="26" t="s">
        <v>221</v>
      </c>
      <c r="H1460" s="26" t="s">
        <v>6083</v>
      </c>
      <c r="I1460" s="17">
        <f ca="1">IFERROR(__xludf.DUMMYFUNCTION("""COMPUTED_VALUE"""),45303)</f>
        <v>45303</v>
      </c>
      <c r="J1460" s="29" t="s">
        <v>3456</v>
      </c>
      <c r="K1460" s="26" t="s">
        <v>3457</v>
      </c>
      <c r="L1460" s="30">
        <v>867556958</v>
      </c>
      <c r="M1460" s="26" t="s">
        <v>80</v>
      </c>
      <c r="N1460" s="26" t="s">
        <v>186</v>
      </c>
      <c r="O1460" s="26" t="s">
        <v>3458</v>
      </c>
      <c r="P1460" s="26" t="s">
        <v>3459</v>
      </c>
      <c r="Q1460" s="20">
        <v>13968</v>
      </c>
      <c r="R1460" s="26" t="s">
        <v>36</v>
      </c>
      <c r="S1460" s="31">
        <v>5000</v>
      </c>
      <c r="T1460" s="32">
        <v>45169</v>
      </c>
      <c r="U1460" s="31">
        <v>8968</v>
      </c>
      <c r="V1460" s="32">
        <v>45209</v>
      </c>
      <c r="W1460" s="33" t="s">
        <v>3460</v>
      </c>
      <c r="X1460" s="26"/>
      <c r="Y1460" s="22">
        <v>0</v>
      </c>
      <c r="Z1460" s="26" t="s">
        <v>118</v>
      </c>
      <c r="AA1460" s="19" t="s">
        <v>3454</v>
      </c>
      <c r="AB1460" s="26" t="s">
        <v>104</v>
      </c>
      <c r="AC1460" s="26" t="s">
        <v>53</v>
      </c>
      <c r="AD1460" s="19" t="s">
        <v>138</v>
      </c>
      <c r="AE1460" s="26" t="s">
        <v>2595</v>
      </c>
      <c r="AF1460" s="17">
        <v>45303</v>
      </c>
      <c r="AG1460" s="26" t="s">
        <v>1631</v>
      </c>
      <c r="AH1460" s="26"/>
      <c r="AI1460" s="40"/>
      <c r="AJ1460" s="26"/>
      <c r="AK1460" s="26"/>
      <c r="AL1460" s="35"/>
      <c r="AM1460" s="35"/>
      <c r="AN1460" s="35"/>
      <c r="AO1460" s="35"/>
      <c r="AP1460" s="35"/>
    </row>
    <row r="1461" spans="1:42" x14ac:dyDescent="0.2">
      <c r="A1461" s="14">
        <v>45295</v>
      </c>
      <c r="B1461" s="28" t="s">
        <v>37</v>
      </c>
      <c r="C1461" s="41" t="s">
        <v>118</v>
      </c>
      <c r="D1461" s="26" t="s">
        <v>36</v>
      </c>
      <c r="E1461" s="26" t="s">
        <v>148</v>
      </c>
      <c r="F1461" s="26" t="s">
        <v>2595</v>
      </c>
      <c r="G1461" s="26" t="s">
        <v>221</v>
      </c>
      <c r="H1461" s="26" t="s">
        <v>6083</v>
      </c>
      <c r="I1461" s="17">
        <f ca="1">IFERROR(__xludf.DUMMYFUNCTION("""COMPUTED_VALUE"""),45303)</f>
        <v>45303</v>
      </c>
      <c r="J1461" s="29" t="s">
        <v>2900</v>
      </c>
      <c r="K1461" s="26" t="s">
        <v>2901</v>
      </c>
      <c r="L1461" s="30">
        <v>793327012</v>
      </c>
      <c r="M1461" s="26" t="s">
        <v>391</v>
      </c>
      <c r="N1461" s="26" t="s">
        <v>1424</v>
      </c>
      <c r="O1461" s="26" t="s">
        <v>2902</v>
      </c>
      <c r="P1461" s="26" t="s">
        <v>6118</v>
      </c>
      <c r="Q1461" s="20">
        <v>7349</v>
      </c>
      <c r="R1461" s="26" t="s">
        <v>36</v>
      </c>
      <c r="S1461" s="31">
        <v>1000</v>
      </c>
      <c r="T1461" s="32">
        <v>45185</v>
      </c>
      <c r="U1461" s="31">
        <v>6349</v>
      </c>
      <c r="V1461" s="32">
        <v>45188</v>
      </c>
      <c r="W1461" s="33" t="s">
        <v>2903</v>
      </c>
      <c r="X1461" s="26"/>
      <c r="Y1461" s="22">
        <v>0</v>
      </c>
      <c r="Z1461" s="26" t="s">
        <v>118</v>
      </c>
      <c r="AA1461" s="19" t="s">
        <v>2449</v>
      </c>
      <c r="AB1461" s="26" t="s">
        <v>104</v>
      </c>
      <c r="AC1461" s="26" t="s">
        <v>53</v>
      </c>
      <c r="AD1461" s="19" t="s">
        <v>138</v>
      </c>
      <c r="AE1461" s="26" t="s">
        <v>2595</v>
      </c>
      <c r="AF1461" s="17">
        <v>45303</v>
      </c>
      <c r="AG1461" s="26" t="s">
        <v>1631</v>
      </c>
      <c r="AH1461" s="26"/>
      <c r="AI1461" s="40"/>
      <c r="AJ1461" s="26"/>
      <c r="AK1461" s="26"/>
      <c r="AL1461" s="35"/>
      <c r="AM1461" s="35"/>
      <c r="AN1461" s="35"/>
      <c r="AO1461" s="35"/>
      <c r="AP1461" s="35"/>
    </row>
    <row r="1462" spans="1:42" x14ac:dyDescent="0.2">
      <c r="A1462" s="14">
        <v>45295</v>
      </c>
      <c r="B1462" s="28" t="s">
        <v>37</v>
      </c>
      <c r="C1462" s="41" t="s">
        <v>118</v>
      </c>
      <c r="D1462" s="26" t="s">
        <v>36</v>
      </c>
      <c r="E1462" s="26" t="s">
        <v>148</v>
      </c>
      <c r="F1462" s="26" t="s">
        <v>2595</v>
      </c>
      <c r="G1462" s="26" t="s">
        <v>221</v>
      </c>
      <c r="H1462" s="26" t="s">
        <v>6083</v>
      </c>
      <c r="I1462" s="17">
        <f ca="1">IFERROR(__xludf.DUMMYFUNCTION("""COMPUTED_VALUE"""),45303)</f>
        <v>45303</v>
      </c>
      <c r="J1462" s="29" t="s">
        <v>4655</v>
      </c>
      <c r="K1462" s="26" t="s">
        <v>4656</v>
      </c>
      <c r="L1462" s="30">
        <v>941356180</v>
      </c>
      <c r="M1462" s="26" t="s">
        <v>80</v>
      </c>
      <c r="N1462" s="26" t="s">
        <v>299</v>
      </c>
      <c r="O1462" s="26" t="s">
        <v>1492</v>
      </c>
      <c r="P1462" s="26" t="s">
        <v>4657</v>
      </c>
      <c r="Q1462" s="20">
        <v>7349</v>
      </c>
      <c r="R1462" s="26" t="s">
        <v>36</v>
      </c>
      <c r="S1462" s="31">
        <v>2000</v>
      </c>
      <c r="T1462" s="32">
        <v>44908</v>
      </c>
      <c r="U1462" s="31">
        <v>14779</v>
      </c>
      <c r="V1462" s="32">
        <v>44990</v>
      </c>
      <c r="W1462" s="26" t="s">
        <v>3665</v>
      </c>
      <c r="X1462" s="26"/>
      <c r="Y1462" s="22">
        <v>-9430</v>
      </c>
      <c r="Z1462" s="26" t="s">
        <v>118</v>
      </c>
      <c r="AA1462" s="19" t="s">
        <v>4541</v>
      </c>
      <c r="AB1462" s="26" t="s">
        <v>104</v>
      </c>
      <c r="AC1462" s="26" t="s">
        <v>53</v>
      </c>
      <c r="AD1462" s="19" t="s">
        <v>138</v>
      </c>
      <c r="AE1462" s="26" t="s">
        <v>2595</v>
      </c>
      <c r="AF1462" s="17">
        <v>45303</v>
      </c>
      <c r="AG1462" s="26" t="s">
        <v>1631</v>
      </c>
      <c r="AH1462" s="93" t="s">
        <v>4658</v>
      </c>
      <c r="AI1462" s="40"/>
      <c r="AJ1462" s="26"/>
      <c r="AK1462" s="26"/>
      <c r="AL1462" s="35"/>
      <c r="AM1462" s="35"/>
      <c r="AN1462" s="35"/>
      <c r="AO1462" s="35"/>
      <c r="AP1462" s="35"/>
    </row>
    <row r="1463" spans="1:42" x14ac:dyDescent="0.2">
      <c r="A1463" s="14">
        <v>45295</v>
      </c>
      <c r="B1463" s="28" t="s">
        <v>37</v>
      </c>
      <c r="C1463" s="41" t="s">
        <v>118</v>
      </c>
      <c r="D1463" s="26" t="s">
        <v>36</v>
      </c>
      <c r="E1463" s="26" t="s">
        <v>148</v>
      </c>
      <c r="F1463" s="26" t="s">
        <v>2595</v>
      </c>
      <c r="G1463" s="26" t="s">
        <v>221</v>
      </c>
      <c r="H1463" s="26" t="s">
        <v>6083</v>
      </c>
      <c r="I1463" s="17">
        <f ca="1">IFERROR(__xludf.DUMMYFUNCTION("""COMPUTED_VALUE"""),45303)</f>
        <v>45303</v>
      </c>
      <c r="J1463" s="29" t="s">
        <v>3641</v>
      </c>
      <c r="K1463" s="26" t="s">
        <v>3642</v>
      </c>
      <c r="L1463" s="30">
        <v>965977939</v>
      </c>
      <c r="M1463" s="26" t="s">
        <v>123</v>
      </c>
      <c r="N1463" s="26" t="s">
        <v>3065</v>
      </c>
      <c r="O1463" s="26" t="s">
        <v>1226</v>
      </c>
      <c r="P1463" s="26" t="s">
        <v>6119</v>
      </c>
      <c r="Q1463" s="20">
        <v>7349</v>
      </c>
      <c r="R1463" s="26" t="s">
        <v>36</v>
      </c>
      <c r="S1463" s="31">
        <v>300</v>
      </c>
      <c r="T1463" s="32">
        <v>45180</v>
      </c>
      <c r="U1463" s="31">
        <f>3500+3550</f>
        <v>7050</v>
      </c>
      <c r="V1463" s="16" t="s">
        <v>3643</v>
      </c>
      <c r="W1463" s="33" t="s">
        <v>3644</v>
      </c>
      <c r="X1463" s="26"/>
      <c r="Y1463" s="22">
        <v>-1</v>
      </c>
      <c r="Z1463" s="26" t="s">
        <v>118</v>
      </c>
      <c r="AA1463" s="19" t="s">
        <v>3454</v>
      </c>
      <c r="AB1463" s="26" t="s">
        <v>104</v>
      </c>
      <c r="AC1463" s="26" t="s">
        <v>53</v>
      </c>
      <c r="AD1463" s="19" t="s">
        <v>138</v>
      </c>
      <c r="AE1463" s="26" t="s">
        <v>2595</v>
      </c>
      <c r="AF1463" s="17">
        <v>45303</v>
      </c>
      <c r="AG1463" s="26" t="s">
        <v>1631</v>
      </c>
      <c r="AH1463" s="26"/>
      <c r="AI1463" s="40"/>
      <c r="AJ1463" s="26"/>
      <c r="AK1463" s="26"/>
      <c r="AL1463" s="35"/>
      <c r="AM1463" s="35"/>
      <c r="AN1463" s="35"/>
      <c r="AO1463" s="35"/>
      <c r="AP1463" s="35"/>
    </row>
    <row r="1464" spans="1:42" x14ac:dyDescent="0.2">
      <c r="A1464" s="14">
        <v>45295</v>
      </c>
      <c r="B1464" s="28" t="s">
        <v>37</v>
      </c>
      <c r="C1464" s="41" t="s">
        <v>118</v>
      </c>
      <c r="D1464" s="26" t="s">
        <v>36</v>
      </c>
      <c r="E1464" s="26" t="s">
        <v>148</v>
      </c>
      <c r="F1464" s="26" t="s">
        <v>3238</v>
      </c>
      <c r="G1464" s="26" t="s">
        <v>221</v>
      </c>
      <c r="H1464" s="26" t="s">
        <v>6083</v>
      </c>
      <c r="I1464" s="17">
        <f ca="1">IFERROR(__xludf.DUMMYFUNCTION("""COMPUTED_VALUE"""),45303)</f>
        <v>45303</v>
      </c>
      <c r="J1464" s="29" t="s">
        <v>4161</v>
      </c>
      <c r="K1464" s="26" t="s">
        <v>4162</v>
      </c>
      <c r="L1464" s="30">
        <v>986532769</v>
      </c>
      <c r="M1464" s="26" t="s">
        <v>3728</v>
      </c>
      <c r="N1464" s="26" t="s">
        <v>4163</v>
      </c>
      <c r="O1464" s="26" t="s">
        <v>4164</v>
      </c>
      <c r="P1464" s="42" t="s">
        <v>6120</v>
      </c>
      <c r="Q1464" s="20">
        <v>7349</v>
      </c>
      <c r="R1464" s="26" t="s">
        <v>36</v>
      </c>
      <c r="S1464" s="31">
        <v>7349</v>
      </c>
      <c r="T1464" s="32">
        <v>45209</v>
      </c>
      <c r="U1464" s="31"/>
      <c r="V1464" s="26"/>
      <c r="W1464" s="33" t="s">
        <v>4165</v>
      </c>
      <c r="X1464" s="26"/>
      <c r="Y1464" s="22">
        <v>0</v>
      </c>
      <c r="Z1464" s="26" t="s">
        <v>118</v>
      </c>
      <c r="AA1464" s="19" t="s">
        <v>3454</v>
      </c>
      <c r="AB1464" s="26" t="s">
        <v>104</v>
      </c>
      <c r="AC1464" s="26" t="s">
        <v>53</v>
      </c>
      <c r="AD1464" s="19" t="s">
        <v>138</v>
      </c>
      <c r="AE1464" s="26" t="s">
        <v>3238</v>
      </c>
      <c r="AF1464" s="17">
        <v>45303</v>
      </c>
      <c r="AG1464" s="26" t="s">
        <v>1631</v>
      </c>
      <c r="AH1464" s="26"/>
      <c r="AI1464" s="40"/>
      <c r="AJ1464" s="26"/>
      <c r="AK1464" s="26"/>
      <c r="AL1464" s="35"/>
      <c r="AM1464" s="35"/>
      <c r="AN1464" s="35"/>
      <c r="AO1464" s="35"/>
      <c r="AP1464" s="35"/>
    </row>
    <row r="1465" spans="1:42" x14ac:dyDescent="0.2">
      <c r="A1465" s="14">
        <v>45295</v>
      </c>
      <c r="B1465" s="28" t="s">
        <v>37</v>
      </c>
      <c r="C1465" s="41" t="s">
        <v>118</v>
      </c>
      <c r="D1465" s="26" t="s">
        <v>36</v>
      </c>
      <c r="E1465" s="26" t="s">
        <v>119</v>
      </c>
      <c r="F1465" s="26" t="s">
        <v>3238</v>
      </c>
      <c r="G1465" s="26" t="s">
        <v>221</v>
      </c>
      <c r="H1465" s="26" t="s">
        <v>6083</v>
      </c>
      <c r="I1465" s="17">
        <f ca="1">IFERROR(__xludf.DUMMYFUNCTION("""COMPUTED_VALUE"""),45303)</f>
        <v>45303</v>
      </c>
      <c r="J1465" s="29" t="s">
        <v>4077</v>
      </c>
      <c r="K1465" s="26" t="s">
        <v>5953</v>
      </c>
      <c r="L1465" s="30">
        <v>986274616</v>
      </c>
      <c r="M1465" s="26" t="s">
        <v>80</v>
      </c>
      <c r="N1465" s="26" t="s">
        <v>81</v>
      </c>
      <c r="O1465" s="26" t="s">
        <v>4079</v>
      </c>
      <c r="P1465" s="42" t="s">
        <v>4080</v>
      </c>
      <c r="Q1465" s="20">
        <v>13968</v>
      </c>
      <c r="R1465" s="26" t="s">
        <v>36</v>
      </c>
      <c r="S1465" s="31">
        <v>2000</v>
      </c>
      <c r="T1465" s="32">
        <v>45204</v>
      </c>
      <c r="U1465" s="31">
        <f>2000+9968</f>
        <v>11968</v>
      </c>
      <c r="V1465" s="26" t="s">
        <v>4081</v>
      </c>
      <c r="W1465" s="33" t="s">
        <v>4082</v>
      </c>
      <c r="X1465" s="26"/>
      <c r="Y1465" s="22">
        <v>0</v>
      </c>
      <c r="Z1465" s="26" t="s">
        <v>118</v>
      </c>
      <c r="AA1465" s="19" t="s">
        <v>3454</v>
      </c>
      <c r="AB1465" s="26" t="s">
        <v>104</v>
      </c>
      <c r="AC1465" s="26" t="s">
        <v>53</v>
      </c>
      <c r="AD1465" s="19" t="s">
        <v>138</v>
      </c>
      <c r="AE1465" s="26" t="s">
        <v>3238</v>
      </c>
      <c r="AF1465" s="17">
        <v>45303</v>
      </c>
      <c r="AG1465" s="26" t="s">
        <v>1631</v>
      </c>
      <c r="AH1465" s="26"/>
      <c r="AI1465" s="40"/>
      <c r="AJ1465" s="26"/>
      <c r="AK1465" s="26"/>
      <c r="AL1465" s="35"/>
      <c r="AM1465" s="35"/>
      <c r="AN1465" s="35"/>
      <c r="AO1465" s="35"/>
      <c r="AP1465" s="35"/>
    </row>
    <row r="1466" spans="1:42" x14ac:dyDescent="0.2">
      <c r="A1466" s="14">
        <v>45295</v>
      </c>
      <c r="B1466" s="28" t="s">
        <v>37</v>
      </c>
      <c r="C1466" s="41" t="s">
        <v>118</v>
      </c>
      <c r="D1466" s="26" t="s">
        <v>36</v>
      </c>
      <c r="E1466" s="26" t="s">
        <v>119</v>
      </c>
      <c r="F1466" s="26" t="s">
        <v>3238</v>
      </c>
      <c r="G1466" s="26" t="s">
        <v>221</v>
      </c>
      <c r="H1466" s="26" t="s">
        <v>6083</v>
      </c>
      <c r="I1466" s="17">
        <f ca="1">IFERROR(__xludf.DUMMYFUNCTION("""COMPUTED_VALUE"""),45303)</f>
        <v>45303</v>
      </c>
      <c r="J1466" s="29" t="s">
        <v>5326</v>
      </c>
      <c r="K1466" s="26" t="s">
        <v>5327</v>
      </c>
      <c r="L1466" s="30">
        <v>818458386</v>
      </c>
      <c r="M1466" s="26" t="s">
        <v>80</v>
      </c>
      <c r="N1466" s="26" t="s">
        <v>186</v>
      </c>
      <c r="O1466" s="26" t="s">
        <v>5328</v>
      </c>
      <c r="P1466" s="26" t="s">
        <v>5329</v>
      </c>
      <c r="Q1466" s="20">
        <v>13968</v>
      </c>
      <c r="R1466" s="26" t="s">
        <v>36</v>
      </c>
      <c r="S1466" s="31">
        <v>4000</v>
      </c>
      <c r="T1466" s="32">
        <v>45214</v>
      </c>
      <c r="U1466" s="31">
        <v>9968</v>
      </c>
      <c r="V1466" s="32">
        <v>45232</v>
      </c>
      <c r="W1466" s="33" t="s">
        <v>5330</v>
      </c>
      <c r="X1466" s="26"/>
      <c r="Y1466" s="22">
        <v>0</v>
      </c>
      <c r="Z1466" s="26" t="s">
        <v>118</v>
      </c>
      <c r="AA1466" s="19" t="s">
        <v>5112</v>
      </c>
      <c r="AB1466" s="26" t="s">
        <v>104</v>
      </c>
      <c r="AC1466" s="26" t="s">
        <v>53</v>
      </c>
      <c r="AD1466" s="19" t="s">
        <v>138</v>
      </c>
      <c r="AE1466" s="26" t="s">
        <v>3238</v>
      </c>
      <c r="AF1466" s="17">
        <v>45303</v>
      </c>
      <c r="AG1466" s="26" t="s">
        <v>1631</v>
      </c>
      <c r="AH1466" s="26"/>
      <c r="AI1466" s="40">
        <v>4</v>
      </c>
      <c r="AJ1466" s="26"/>
      <c r="AK1466" s="26"/>
      <c r="AL1466" s="35"/>
      <c r="AM1466" s="35"/>
      <c r="AN1466" s="35"/>
      <c r="AO1466" s="35"/>
      <c r="AP1466" s="35"/>
    </row>
    <row r="1467" spans="1:42" x14ac:dyDescent="0.2">
      <c r="A1467" s="14">
        <v>45295</v>
      </c>
      <c r="B1467" s="28" t="s">
        <v>37</v>
      </c>
      <c r="C1467" s="41" t="s">
        <v>118</v>
      </c>
      <c r="D1467" s="26" t="s">
        <v>36</v>
      </c>
      <c r="E1467" s="26" t="s">
        <v>119</v>
      </c>
      <c r="F1467" s="26" t="s">
        <v>3238</v>
      </c>
      <c r="G1467" s="26" t="s">
        <v>221</v>
      </c>
      <c r="H1467" s="26" t="s">
        <v>6083</v>
      </c>
      <c r="I1467" s="17">
        <f ca="1">IFERROR(__xludf.DUMMYFUNCTION("""COMPUTED_VALUE"""),45303)</f>
        <v>45303</v>
      </c>
      <c r="J1467" s="29" t="s">
        <v>5310</v>
      </c>
      <c r="K1467" s="26" t="s">
        <v>5311</v>
      </c>
      <c r="L1467" s="30">
        <v>963718483</v>
      </c>
      <c r="M1467" s="26" t="s">
        <v>3728</v>
      </c>
      <c r="N1467" s="26" t="s">
        <v>5312</v>
      </c>
      <c r="O1467" s="26" t="s">
        <v>5313</v>
      </c>
      <c r="P1467" s="26" t="s">
        <v>6121</v>
      </c>
      <c r="Q1467" s="20">
        <v>13968</v>
      </c>
      <c r="R1467" s="26" t="s">
        <v>36</v>
      </c>
      <c r="S1467" s="31">
        <v>4000</v>
      </c>
      <c r="T1467" s="32">
        <v>45210</v>
      </c>
      <c r="U1467" s="31">
        <v>9968</v>
      </c>
      <c r="V1467" s="32">
        <v>45231</v>
      </c>
      <c r="W1467" s="33" t="s">
        <v>5315</v>
      </c>
      <c r="X1467" s="26"/>
      <c r="Y1467" s="22">
        <v>0</v>
      </c>
      <c r="Z1467" s="26" t="s">
        <v>118</v>
      </c>
      <c r="AA1467" s="19" t="s">
        <v>5112</v>
      </c>
      <c r="AB1467" s="26" t="s">
        <v>104</v>
      </c>
      <c r="AC1467" s="26" t="s">
        <v>53</v>
      </c>
      <c r="AD1467" s="19" t="s">
        <v>138</v>
      </c>
      <c r="AE1467" s="26" t="s">
        <v>3238</v>
      </c>
      <c r="AF1467" s="17">
        <v>45303</v>
      </c>
      <c r="AG1467" s="26" t="s">
        <v>1631</v>
      </c>
      <c r="AH1467" s="26"/>
      <c r="AI1467" s="40">
        <v>4</v>
      </c>
      <c r="AJ1467" s="26"/>
      <c r="AK1467" s="26"/>
      <c r="AL1467" s="35"/>
      <c r="AM1467" s="35"/>
      <c r="AN1467" s="35"/>
      <c r="AO1467" s="35"/>
      <c r="AP1467" s="35"/>
    </row>
    <row r="1468" spans="1:42" x14ac:dyDescent="0.2">
      <c r="A1468" s="14">
        <v>45295</v>
      </c>
      <c r="B1468" s="28" t="s">
        <v>37</v>
      </c>
      <c r="C1468" s="41" t="s">
        <v>118</v>
      </c>
      <c r="D1468" s="26" t="s">
        <v>36</v>
      </c>
      <c r="E1468" s="26" t="s">
        <v>119</v>
      </c>
      <c r="F1468" s="26" t="s">
        <v>3238</v>
      </c>
      <c r="G1468" s="26" t="s">
        <v>221</v>
      </c>
      <c r="H1468" s="26" t="s">
        <v>6083</v>
      </c>
      <c r="I1468" s="17">
        <f ca="1">IFERROR(__xludf.DUMMYFUNCTION("""COMPUTED_VALUE"""),45303)</f>
        <v>45303</v>
      </c>
      <c r="J1468" s="29" t="s">
        <v>5296</v>
      </c>
      <c r="K1468" s="26" t="s">
        <v>5297</v>
      </c>
      <c r="L1468" s="30">
        <v>373027421</v>
      </c>
      <c r="M1468" s="26" t="s">
        <v>80</v>
      </c>
      <c r="N1468" s="26" t="s">
        <v>253</v>
      </c>
      <c r="O1468" s="26" t="s">
        <v>5298</v>
      </c>
      <c r="P1468" s="26" t="s">
        <v>6122</v>
      </c>
      <c r="Q1468" s="20">
        <v>13968</v>
      </c>
      <c r="R1468" s="26" t="s">
        <v>36</v>
      </c>
      <c r="S1468" s="31">
        <v>4000</v>
      </c>
      <c r="T1468" s="32">
        <v>45208</v>
      </c>
      <c r="U1468" s="31">
        <v>9968</v>
      </c>
      <c r="V1468" s="32">
        <v>45232</v>
      </c>
      <c r="W1468" s="33" t="s">
        <v>5299</v>
      </c>
      <c r="X1468" s="26"/>
      <c r="Y1468" s="22">
        <v>0</v>
      </c>
      <c r="Z1468" s="26" t="s">
        <v>118</v>
      </c>
      <c r="AA1468" s="19" t="s">
        <v>5112</v>
      </c>
      <c r="AB1468" s="26" t="s">
        <v>104</v>
      </c>
      <c r="AC1468" s="26" t="s">
        <v>53</v>
      </c>
      <c r="AD1468" s="19" t="s">
        <v>138</v>
      </c>
      <c r="AE1468" s="26" t="s">
        <v>3238</v>
      </c>
      <c r="AF1468" s="17">
        <v>45303</v>
      </c>
      <c r="AG1468" s="26" t="s">
        <v>1631</v>
      </c>
      <c r="AH1468" s="26"/>
      <c r="AI1468" s="40">
        <v>4</v>
      </c>
      <c r="AJ1468" s="26"/>
      <c r="AK1468" s="26"/>
      <c r="AL1468" s="35"/>
      <c r="AM1468" s="35"/>
      <c r="AN1468" s="35"/>
      <c r="AO1468" s="35"/>
      <c r="AP1468" s="35"/>
    </row>
    <row r="1469" spans="1:42" x14ac:dyDescent="0.2">
      <c r="A1469" s="14">
        <v>45295</v>
      </c>
      <c r="B1469" s="28" t="s">
        <v>37</v>
      </c>
      <c r="C1469" s="41" t="s">
        <v>118</v>
      </c>
      <c r="D1469" s="26" t="s">
        <v>36</v>
      </c>
      <c r="E1469" s="26" t="s">
        <v>119</v>
      </c>
      <c r="F1469" s="26" t="s">
        <v>3238</v>
      </c>
      <c r="G1469" s="26" t="s">
        <v>221</v>
      </c>
      <c r="H1469" s="26" t="s">
        <v>6123</v>
      </c>
      <c r="I1469" s="17">
        <f ca="1">IFERROR(__xludf.DUMMYFUNCTION("""COMPUTED_VALUE"""),45320)</f>
        <v>45320</v>
      </c>
      <c r="J1469" s="29" t="s">
        <v>5258</v>
      </c>
      <c r="K1469" s="26" t="s">
        <v>6124</v>
      </c>
      <c r="L1469" s="30">
        <v>966620605</v>
      </c>
      <c r="M1469" s="26" t="s">
        <v>80</v>
      </c>
      <c r="N1469" s="26" t="s">
        <v>253</v>
      </c>
      <c r="O1469" s="26" t="s">
        <v>1492</v>
      </c>
      <c r="P1469" s="42" t="s">
        <v>6125</v>
      </c>
      <c r="Q1469" s="20">
        <v>13968</v>
      </c>
      <c r="R1469" s="26" t="s">
        <v>36</v>
      </c>
      <c r="S1469" s="31">
        <v>200</v>
      </c>
      <c r="T1469" s="32">
        <v>45202</v>
      </c>
      <c r="U1469" s="31">
        <f>3800 +9968</f>
        <v>13768</v>
      </c>
      <c r="V1469" s="26" t="s">
        <v>5260</v>
      </c>
      <c r="W1469" s="33" t="s">
        <v>5261</v>
      </c>
      <c r="X1469" s="26"/>
      <c r="Y1469" s="22">
        <v>0</v>
      </c>
      <c r="Z1469" s="26" t="s">
        <v>118</v>
      </c>
      <c r="AA1469" s="19" t="s">
        <v>5112</v>
      </c>
      <c r="AB1469" s="26" t="s">
        <v>104</v>
      </c>
      <c r="AC1469" s="26" t="s">
        <v>53</v>
      </c>
      <c r="AD1469" s="19" t="s">
        <v>138</v>
      </c>
      <c r="AE1469" s="26" t="s">
        <v>3238</v>
      </c>
      <c r="AF1469" s="17">
        <v>45310</v>
      </c>
      <c r="AG1469" s="26" t="s">
        <v>6126</v>
      </c>
      <c r="AH1469" s="26"/>
      <c r="AI1469" s="40">
        <v>4</v>
      </c>
      <c r="AJ1469" s="26"/>
      <c r="AK1469" s="26"/>
      <c r="AL1469" s="35"/>
      <c r="AM1469" s="35"/>
      <c r="AN1469" s="35"/>
      <c r="AO1469" s="35"/>
      <c r="AP1469" s="35"/>
    </row>
    <row r="1470" spans="1:42" x14ac:dyDescent="0.2">
      <c r="A1470" s="14">
        <v>45295</v>
      </c>
      <c r="B1470" s="28" t="s">
        <v>37</v>
      </c>
      <c r="C1470" s="41" t="s">
        <v>118</v>
      </c>
      <c r="D1470" s="26" t="s">
        <v>36</v>
      </c>
      <c r="E1470" s="26" t="s">
        <v>148</v>
      </c>
      <c r="F1470" s="26" t="s">
        <v>3238</v>
      </c>
      <c r="G1470" s="26" t="s">
        <v>221</v>
      </c>
      <c r="H1470" s="26" t="s">
        <v>6083</v>
      </c>
      <c r="I1470" s="17">
        <f ca="1">IFERROR(__xludf.DUMMYFUNCTION("""COMPUTED_VALUE"""),45303)</f>
        <v>45303</v>
      </c>
      <c r="J1470" s="29" t="s">
        <v>5275</v>
      </c>
      <c r="K1470" s="26" t="s">
        <v>5276</v>
      </c>
      <c r="L1470" s="30">
        <v>562136391</v>
      </c>
      <c r="M1470" s="26" t="s">
        <v>3728</v>
      </c>
      <c r="N1470" s="26" t="s">
        <v>5277</v>
      </c>
      <c r="O1470" s="26" t="s">
        <v>5278</v>
      </c>
      <c r="P1470" s="26" t="s">
        <v>6127</v>
      </c>
      <c r="Q1470" s="20">
        <v>7349</v>
      </c>
      <c r="R1470" s="26" t="s">
        <v>36</v>
      </c>
      <c r="S1470" s="31">
        <v>3800</v>
      </c>
      <c r="T1470" s="32">
        <v>45206</v>
      </c>
      <c r="U1470" s="31">
        <v>3550</v>
      </c>
      <c r="V1470" s="32">
        <v>45233</v>
      </c>
      <c r="W1470" s="33" t="s">
        <v>5279</v>
      </c>
      <c r="X1470" s="26"/>
      <c r="Y1470" s="22">
        <v>-1</v>
      </c>
      <c r="Z1470" s="26" t="s">
        <v>118</v>
      </c>
      <c r="AA1470" s="19" t="s">
        <v>5112</v>
      </c>
      <c r="AB1470" s="26" t="s">
        <v>104</v>
      </c>
      <c r="AC1470" s="26" t="s">
        <v>53</v>
      </c>
      <c r="AD1470" s="19" t="s">
        <v>138</v>
      </c>
      <c r="AE1470" s="26" t="s">
        <v>3238</v>
      </c>
      <c r="AF1470" s="17">
        <v>45303</v>
      </c>
      <c r="AG1470" s="26" t="s">
        <v>1631</v>
      </c>
      <c r="AH1470" s="26"/>
      <c r="AI1470" s="40">
        <v>2</v>
      </c>
      <c r="AJ1470" s="26"/>
      <c r="AK1470" s="26"/>
      <c r="AL1470" s="35"/>
      <c r="AM1470" s="35"/>
      <c r="AN1470" s="35"/>
      <c r="AO1470" s="35"/>
      <c r="AP1470" s="35"/>
    </row>
    <row r="1471" spans="1:42" x14ac:dyDescent="0.2">
      <c r="A1471" s="14">
        <v>45295</v>
      </c>
      <c r="B1471" s="28" t="s">
        <v>37</v>
      </c>
      <c r="C1471" s="41" t="s">
        <v>118</v>
      </c>
      <c r="D1471" s="26" t="s">
        <v>36</v>
      </c>
      <c r="E1471" s="26" t="s">
        <v>119</v>
      </c>
      <c r="F1471" s="26" t="s">
        <v>2595</v>
      </c>
      <c r="G1471" s="26" t="s">
        <v>221</v>
      </c>
      <c r="H1471" s="26" t="s">
        <v>6128</v>
      </c>
      <c r="I1471" s="17">
        <f ca="1">IFERROR(__xludf.DUMMYFUNCTION("""COMPUTED_VALUE"""),45348)</f>
        <v>45348</v>
      </c>
      <c r="J1471" s="29" t="s">
        <v>2909</v>
      </c>
      <c r="K1471" s="26" t="s">
        <v>6129</v>
      </c>
      <c r="L1471" s="30">
        <v>964714862</v>
      </c>
      <c r="M1471" s="26" t="s">
        <v>80</v>
      </c>
      <c r="N1471" s="26" t="s">
        <v>299</v>
      </c>
      <c r="O1471" s="26" t="s">
        <v>2911</v>
      </c>
      <c r="P1471" s="42" t="s">
        <v>6130</v>
      </c>
      <c r="Q1471" s="20">
        <v>13968</v>
      </c>
      <c r="R1471" s="26" t="s">
        <v>36</v>
      </c>
      <c r="S1471" s="31">
        <v>4000</v>
      </c>
      <c r="T1471" s="32">
        <v>45186</v>
      </c>
      <c r="U1471" s="31">
        <v>9968</v>
      </c>
      <c r="V1471" s="32">
        <v>45197</v>
      </c>
      <c r="W1471" s="33" t="s">
        <v>2913</v>
      </c>
      <c r="X1471" s="26"/>
      <c r="Y1471" s="22">
        <v>0</v>
      </c>
      <c r="Z1471" s="26" t="s">
        <v>118</v>
      </c>
      <c r="AA1471" s="19" t="s">
        <v>2449</v>
      </c>
      <c r="AB1471" s="26" t="s">
        <v>104</v>
      </c>
      <c r="AC1471" s="26" t="s">
        <v>53</v>
      </c>
      <c r="AD1471" s="19" t="s">
        <v>138</v>
      </c>
      <c r="AE1471" s="26" t="s">
        <v>2595</v>
      </c>
      <c r="AF1471" s="17">
        <v>45348</v>
      </c>
      <c r="AG1471" s="26"/>
      <c r="AH1471" s="26"/>
      <c r="AI1471" s="40"/>
      <c r="AJ1471" s="26"/>
      <c r="AK1471" s="26"/>
      <c r="AL1471" s="35"/>
      <c r="AM1471" s="35"/>
      <c r="AN1471" s="35"/>
      <c r="AO1471" s="35"/>
      <c r="AP1471" s="35"/>
    </row>
    <row r="1472" spans="1:42" x14ac:dyDescent="0.2">
      <c r="A1472" s="14">
        <v>45295</v>
      </c>
      <c r="B1472" s="28" t="s">
        <v>37</v>
      </c>
      <c r="C1472" s="41" t="s">
        <v>118</v>
      </c>
      <c r="D1472" s="26" t="s">
        <v>36</v>
      </c>
      <c r="E1472" s="26" t="s">
        <v>119</v>
      </c>
      <c r="F1472" s="26" t="s">
        <v>3238</v>
      </c>
      <c r="G1472" s="26" t="s">
        <v>221</v>
      </c>
      <c r="H1472" s="26" t="s">
        <v>6083</v>
      </c>
      <c r="I1472" s="17">
        <f ca="1">IFERROR(__xludf.DUMMYFUNCTION("""COMPUTED_VALUE"""),45303)</f>
        <v>45303</v>
      </c>
      <c r="J1472" s="29" t="s">
        <v>5344</v>
      </c>
      <c r="K1472" s="26" t="s">
        <v>5345</v>
      </c>
      <c r="L1472" s="30">
        <v>365045442</v>
      </c>
      <c r="M1472" s="26" t="s">
        <v>123</v>
      </c>
      <c r="N1472" s="26" t="s">
        <v>850</v>
      </c>
      <c r="O1472" s="26" t="s">
        <v>2737</v>
      </c>
      <c r="P1472" s="26" t="s">
        <v>3056</v>
      </c>
      <c r="Q1472" s="20">
        <v>13968</v>
      </c>
      <c r="R1472" s="26" t="s">
        <v>36</v>
      </c>
      <c r="S1472" s="31">
        <v>4000</v>
      </c>
      <c r="T1472" s="32" t="s">
        <v>5346</v>
      </c>
      <c r="U1472" s="58">
        <v>9968</v>
      </c>
      <c r="V1472" s="59">
        <v>45240</v>
      </c>
      <c r="W1472" s="33" t="s">
        <v>5347</v>
      </c>
      <c r="X1472" s="26"/>
      <c r="Y1472" s="22">
        <v>0</v>
      </c>
      <c r="Z1472" s="26" t="s">
        <v>118</v>
      </c>
      <c r="AA1472" s="19" t="s">
        <v>5112</v>
      </c>
      <c r="AB1472" s="26" t="s">
        <v>104</v>
      </c>
      <c r="AC1472" s="26" t="s">
        <v>53</v>
      </c>
      <c r="AD1472" s="19" t="s">
        <v>138</v>
      </c>
      <c r="AE1472" s="26" t="s">
        <v>3238</v>
      </c>
      <c r="AF1472" s="17">
        <v>45303</v>
      </c>
      <c r="AG1472" s="26" t="s">
        <v>1631</v>
      </c>
      <c r="AH1472" s="26"/>
      <c r="AI1472" s="40">
        <v>4</v>
      </c>
      <c r="AJ1472" s="26"/>
      <c r="AK1472" s="26"/>
      <c r="AL1472" s="35"/>
      <c r="AM1472" s="35"/>
      <c r="AN1472" s="35"/>
      <c r="AO1472" s="35"/>
      <c r="AP1472" s="35"/>
    </row>
    <row r="1473" spans="1:42" x14ac:dyDescent="0.2">
      <c r="A1473" s="14">
        <v>45295</v>
      </c>
      <c r="B1473" s="28" t="s">
        <v>37</v>
      </c>
      <c r="C1473" s="41" t="s">
        <v>118</v>
      </c>
      <c r="D1473" s="26" t="s">
        <v>36</v>
      </c>
      <c r="E1473" s="26" t="s">
        <v>119</v>
      </c>
      <c r="F1473" s="26" t="s">
        <v>3238</v>
      </c>
      <c r="G1473" s="26" t="s">
        <v>221</v>
      </c>
      <c r="H1473" s="26" t="s">
        <v>6083</v>
      </c>
      <c r="I1473" s="17">
        <f ca="1">IFERROR(__xludf.DUMMYFUNCTION("""COMPUTED_VALUE"""),45303)</f>
        <v>45303</v>
      </c>
      <c r="J1473" s="29" t="s">
        <v>5316</v>
      </c>
      <c r="K1473" s="26" t="s">
        <v>5317</v>
      </c>
      <c r="L1473" s="30">
        <v>398354256</v>
      </c>
      <c r="M1473" s="26" t="s">
        <v>80</v>
      </c>
      <c r="N1473" s="26" t="s">
        <v>438</v>
      </c>
      <c r="O1473" s="26" t="s">
        <v>5318</v>
      </c>
      <c r="P1473" s="42" t="s">
        <v>5319</v>
      </c>
      <c r="Q1473" s="20">
        <v>13968</v>
      </c>
      <c r="R1473" s="26" t="s">
        <v>36</v>
      </c>
      <c r="S1473" s="31">
        <v>4000</v>
      </c>
      <c r="T1473" s="32">
        <v>45212</v>
      </c>
      <c r="U1473" s="31">
        <v>9968</v>
      </c>
      <c r="V1473" s="32">
        <v>45233</v>
      </c>
      <c r="W1473" s="33" t="s">
        <v>5320</v>
      </c>
      <c r="X1473" s="26"/>
      <c r="Y1473" s="22">
        <v>0</v>
      </c>
      <c r="Z1473" s="26" t="s">
        <v>118</v>
      </c>
      <c r="AA1473" s="19" t="s">
        <v>5112</v>
      </c>
      <c r="AB1473" s="26" t="s">
        <v>104</v>
      </c>
      <c r="AC1473" s="26" t="s">
        <v>53</v>
      </c>
      <c r="AD1473" s="19" t="s">
        <v>138</v>
      </c>
      <c r="AE1473" s="26" t="s">
        <v>3238</v>
      </c>
      <c r="AF1473" s="17">
        <v>45303</v>
      </c>
      <c r="AG1473" s="26" t="s">
        <v>1631</v>
      </c>
      <c r="AH1473" s="26"/>
      <c r="AI1473" s="40">
        <v>4</v>
      </c>
      <c r="AJ1473" s="26"/>
      <c r="AK1473" s="26"/>
      <c r="AL1473" s="35"/>
      <c r="AM1473" s="35"/>
      <c r="AN1473" s="35"/>
      <c r="AO1473" s="35"/>
      <c r="AP1473" s="35"/>
    </row>
    <row r="1474" spans="1:42" x14ac:dyDescent="0.2">
      <c r="A1474" s="14">
        <v>45298</v>
      </c>
      <c r="B1474" s="28" t="s">
        <v>37</v>
      </c>
      <c r="C1474" s="41" t="s">
        <v>118</v>
      </c>
      <c r="D1474" s="26" t="s">
        <v>36</v>
      </c>
      <c r="E1474" s="26" t="s">
        <v>148</v>
      </c>
      <c r="F1474" s="26" t="s">
        <v>3238</v>
      </c>
      <c r="G1474" s="26" t="s">
        <v>221</v>
      </c>
      <c r="H1474" s="26" t="s">
        <v>6083</v>
      </c>
      <c r="I1474" s="17">
        <f ca="1">IFERROR(__xludf.DUMMYFUNCTION("""COMPUTED_VALUE"""),45303)</f>
        <v>45303</v>
      </c>
      <c r="J1474" s="29" t="s">
        <v>4018</v>
      </c>
      <c r="K1474" s="26" t="s">
        <v>4019</v>
      </c>
      <c r="L1474" s="30">
        <v>372498244</v>
      </c>
      <c r="M1474" s="26" t="s">
        <v>80</v>
      </c>
      <c r="N1474" s="26" t="s">
        <v>1073</v>
      </c>
      <c r="O1474" s="26" t="s">
        <v>4020</v>
      </c>
      <c r="P1474" s="26" t="s">
        <v>2641</v>
      </c>
      <c r="Q1474" s="20">
        <v>7349</v>
      </c>
      <c r="R1474" s="26" t="s">
        <v>36</v>
      </c>
      <c r="S1474" s="31">
        <v>200</v>
      </c>
      <c r="T1474" s="32">
        <v>45201</v>
      </c>
      <c r="U1474" s="31">
        <v>7149</v>
      </c>
      <c r="V1474" s="32">
        <v>45205</v>
      </c>
      <c r="W1474" s="33" t="s">
        <v>4021</v>
      </c>
      <c r="X1474" s="26"/>
      <c r="Y1474" s="22">
        <v>0</v>
      </c>
      <c r="Z1474" s="26" t="s">
        <v>118</v>
      </c>
      <c r="AA1474" s="19" t="s">
        <v>3454</v>
      </c>
      <c r="AB1474" s="26" t="s">
        <v>104</v>
      </c>
      <c r="AC1474" s="26" t="s">
        <v>53</v>
      </c>
      <c r="AD1474" s="19" t="s">
        <v>138</v>
      </c>
      <c r="AE1474" s="26" t="s">
        <v>3238</v>
      </c>
      <c r="AF1474" s="17">
        <v>45303</v>
      </c>
      <c r="AG1474" s="26" t="s">
        <v>1631</v>
      </c>
      <c r="AH1474" s="26"/>
      <c r="AI1474" s="40"/>
      <c r="AJ1474" s="26"/>
      <c r="AK1474" s="26"/>
      <c r="AL1474" s="35"/>
      <c r="AM1474" s="35"/>
      <c r="AN1474" s="35"/>
      <c r="AO1474" s="35"/>
      <c r="AP1474" s="35"/>
    </row>
    <row r="1475" spans="1:42" x14ac:dyDescent="0.2">
      <c r="A1475" s="14">
        <v>45299</v>
      </c>
      <c r="B1475" s="28" t="s">
        <v>37</v>
      </c>
      <c r="C1475" s="41" t="s">
        <v>118</v>
      </c>
      <c r="D1475" s="26" t="s">
        <v>36</v>
      </c>
      <c r="E1475" s="26" t="s">
        <v>77</v>
      </c>
      <c r="F1475" s="26" t="s">
        <v>36</v>
      </c>
      <c r="G1475" s="26" t="s">
        <v>41</v>
      </c>
      <c r="H1475" s="26" t="s">
        <v>6131</v>
      </c>
      <c r="I1475" s="17">
        <f ca="1">IFERROR(__xludf.DUMMYFUNCTION("""COMPUTED_VALUE"""),45306)</f>
        <v>45306</v>
      </c>
      <c r="J1475" s="29" t="s">
        <v>6132</v>
      </c>
      <c r="K1475" s="26" t="s">
        <v>6133</v>
      </c>
      <c r="L1475" s="30">
        <v>352496990</v>
      </c>
      <c r="M1475" s="26" t="s">
        <v>1245</v>
      </c>
      <c r="N1475" s="26" t="s">
        <v>6134</v>
      </c>
      <c r="O1475" s="26" t="s">
        <v>6135</v>
      </c>
      <c r="P1475" s="42" t="s">
        <v>6136</v>
      </c>
      <c r="Q1475" s="20"/>
      <c r="R1475" s="26" t="s">
        <v>36</v>
      </c>
      <c r="S1475" s="31">
        <v>7349</v>
      </c>
      <c r="T1475" s="32">
        <v>44786</v>
      </c>
      <c r="U1475" s="31"/>
      <c r="V1475" s="32"/>
      <c r="W1475" s="33" t="s">
        <v>6137</v>
      </c>
      <c r="X1475" s="26"/>
      <c r="Y1475" s="22"/>
      <c r="Z1475" s="26" t="s">
        <v>118</v>
      </c>
      <c r="AA1475" s="19" t="s">
        <v>6093</v>
      </c>
      <c r="AB1475" s="26" t="s">
        <v>104</v>
      </c>
      <c r="AC1475" s="26" t="s">
        <v>53</v>
      </c>
      <c r="AD1475" s="19" t="s">
        <v>54</v>
      </c>
      <c r="AE1475" s="26" t="s">
        <v>6138</v>
      </c>
      <c r="AF1475" s="17">
        <v>45302</v>
      </c>
      <c r="AG1475" s="100" t="s">
        <v>6139</v>
      </c>
      <c r="AH1475" s="26"/>
      <c r="AI1475" s="92"/>
      <c r="AJ1475" s="35"/>
      <c r="AK1475" s="35"/>
      <c r="AL1475" s="35"/>
      <c r="AM1475" s="35"/>
      <c r="AN1475" s="26"/>
      <c r="AO1475" s="26"/>
      <c r="AP1475" s="35"/>
    </row>
    <row r="1476" spans="1:42" x14ac:dyDescent="0.2">
      <c r="A1476" s="14">
        <v>45300</v>
      </c>
      <c r="B1476" s="28" t="s">
        <v>37</v>
      </c>
      <c r="C1476" s="41" t="s">
        <v>118</v>
      </c>
      <c r="D1476" s="26" t="s">
        <v>36</v>
      </c>
      <c r="E1476" s="26" t="s">
        <v>106</v>
      </c>
      <c r="F1476" s="26" t="s">
        <v>3264</v>
      </c>
      <c r="G1476" s="26" t="s">
        <v>108</v>
      </c>
      <c r="H1476" s="26" t="s">
        <v>2393</v>
      </c>
      <c r="I1476" s="17">
        <f ca="1">IFERROR(__xludf.DUMMYFUNCTION("""COMPUTED_VALUE"""),45257)</f>
        <v>45257</v>
      </c>
      <c r="J1476" s="29" t="s">
        <v>3954</v>
      </c>
      <c r="K1476" s="26" t="s">
        <v>6140</v>
      </c>
      <c r="L1476" s="30">
        <v>912392704</v>
      </c>
      <c r="M1476" s="26" t="s">
        <v>80</v>
      </c>
      <c r="N1476" s="26" t="s">
        <v>299</v>
      </c>
      <c r="O1476" s="26" t="s">
        <v>3956</v>
      </c>
      <c r="P1476" s="26" t="s">
        <v>3957</v>
      </c>
      <c r="Q1476" s="20">
        <v>3768</v>
      </c>
      <c r="R1476" s="26" t="s">
        <v>36</v>
      </c>
      <c r="S1476" s="31">
        <v>1000</v>
      </c>
      <c r="T1476" s="32">
        <v>45201</v>
      </c>
      <c r="U1476" s="31">
        <v>2768</v>
      </c>
      <c r="V1476" s="32">
        <v>45200</v>
      </c>
      <c r="W1476" s="33" t="s">
        <v>3958</v>
      </c>
      <c r="X1476" s="26"/>
      <c r="Y1476" s="22">
        <v>0</v>
      </c>
      <c r="Z1476" s="26" t="s">
        <v>118</v>
      </c>
      <c r="AA1476" s="19" t="s">
        <v>3454</v>
      </c>
      <c r="AB1476" s="26" t="s">
        <v>128</v>
      </c>
      <c r="AC1476" s="26" t="s">
        <v>53</v>
      </c>
      <c r="AD1476" s="19" t="s">
        <v>54</v>
      </c>
      <c r="AE1476" s="26" t="s">
        <v>3264</v>
      </c>
      <c r="AF1476" s="17">
        <v>45202</v>
      </c>
      <c r="AG1476" s="26"/>
      <c r="AH1476" s="26"/>
      <c r="AI1476" s="40"/>
      <c r="AJ1476" s="26"/>
      <c r="AK1476" s="26"/>
      <c r="AL1476" s="35"/>
      <c r="AM1476" s="35"/>
      <c r="AN1476" s="35"/>
      <c r="AO1476" s="35"/>
      <c r="AP1476" s="35"/>
    </row>
    <row r="1477" spans="1:42" x14ac:dyDescent="0.2">
      <c r="A1477" s="14">
        <v>45300</v>
      </c>
      <c r="B1477" s="28" t="s">
        <v>37</v>
      </c>
      <c r="C1477" s="41" t="s">
        <v>118</v>
      </c>
      <c r="D1477" s="26" t="s">
        <v>36</v>
      </c>
      <c r="E1477" s="26" t="s">
        <v>106</v>
      </c>
      <c r="F1477" s="26" t="s">
        <v>6141</v>
      </c>
      <c r="G1477" s="26" t="s">
        <v>108</v>
      </c>
      <c r="H1477" s="26" t="s">
        <v>4869</v>
      </c>
      <c r="I1477" s="17">
        <f ca="1">IFERROR(__xludf.DUMMYFUNCTION("""COMPUTED_VALUE"""),45300)</f>
        <v>45300</v>
      </c>
      <c r="J1477" s="29" t="s">
        <v>6142</v>
      </c>
      <c r="K1477" s="26" t="s">
        <v>6143</v>
      </c>
      <c r="L1477" s="30">
        <v>965012395</v>
      </c>
      <c r="M1477" s="26" t="s">
        <v>123</v>
      </c>
      <c r="N1477" s="26" t="s">
        <v>6144</v>
      </c>
      <c r="O1477" s="67" t="s">
        <v>6145</v>
      </c>
      <c r="P1477" s="63" t="s">
        <v>6146</v>
      </c>
      <c r="Q1477" s="20"/>
      <c r="R1477" s="26" t="s">
        <v>36</v>
      </c>
      <c r="S1477" s="31">
        <v>6000</v>
      </c>
      <c r="T1477" s="32">
        <v>44912</v>
      </c>
      <c r="U1477" s="31">
        <v>4804</v>
      </c>
      <c r="V1477" s="38">
        <v>44985</v>
      </c>
      <c r="W1477" s="33" t="s">
        <v>6147</v>
      </c>
      <c r="X1477" s="26"/>
      <c r="Y1477" s="22"/>
      <c r="Z1477" s="26" t="s">
        <v>118</v>
      </c>
      <c r="AA1477" s="19"/>
      <c r="AB1477" s="26" t="s">
        <v>104</v>
      </c>
      <c r="AC1477" s="26" t="s">
        <v>53</v>
      </c>
      <c r="AD1477" s="19" t="s">
        <v>138</v>
      </c>
      <c r="AE1477" s="26" t="s">
        <v>6146</v>
      </c>
      <c r="AF1477" s="17">
        <v>45300</v>
      </c>
      <c r="AG1477" s="26" t="s">
        <v>1362</v>
      </c>
      <c r="AH1477" s="26"/>
      <c r="AI1477" s="92"/>
      <c r="AJ1477" s="35"/>
      <c r="AK1477" s="35"/>
      <c r="AL1477" s="35"/>
      <c r="AM1477" s="35"/>
      <c r="AN1477" s="26"/>
      <c r="AO1477" s="26"/>
      <c r="AP1477" s="35"/>
    </row>
    <row r="1478" spans="1:42" x14ac:dyDescent="0.2">
      <c r="A1478" s="14">
        <v>45300</v>
      </c>
      <c r="B1478" s="28" t="s">
        <v>37</v>
      </c>
      <c r="C1478" s="41" t="s">
        <v>118</v>
      </c>
      <c r="D1478" s="26" t="s">
        <v>36</v>
      </c>
      <c r="E1478" s="26" t="s">
        <v>56</v>
      </c>
      <c r="F1478" s="26" t="s">
        <v>423</v>
      </c>
      <c r="G1478" s="26" t="s">
        <v>41</v>
      </c>
      <c r="H1478" s="26" t="s">
        <v>6131</v>
      </c>
      <c r="I1478" s="17">
        <f ca="1">IFERROR(__xludf.DUMMYFUNCTION("""COMPUTED_VALUE"""),45306)</f>
        <v>45306</v>
      </c>
      <c r="J1478" s="29" t="s">
        <v>5393</v>
      </c>
      <c r="K1478" s="26" t="s">
        <v>6148</v>
      </c>
      <c r="L1478" s="30">
        <v>392395361</v>
      </c>
      <c r="M1478" s="26" t="s">
        <v>3728</v>
      </c>
      <c r="N1478" s="26" t="s">
        <v>5377</v>
      </c>
      <c r="O1478" s="26" t="s">
        <v>5395</v>
      </c>
      <c r="P1478" s="26" t="s">
        <v>5396</v>
      </c>
      <c r="Q1478" s="20">
        <v>9317</v>
      </c>
      <c r="R1478" s="26" t="s">
        <v>36</v>
      </c>
      <c r="S1478" s="31">
        <v>2000</v>
      </c>
      <c r="T1478" s="32">
        <v>45217</v>
      </c>
      <c r="U1478" s="31">
        <v>7317</v>
      </c>
      <c r="V1478" s="32">
        <v>45245</v>
      </c>
      <c r="W1478" s="33" t="s">
        <v>5397</v>
      </c>
      <c r="X1478" s="26"/>
      <c r="Y1478" s="22">
        <v>0</v>
      </c>
      <c r="Z1478" s="26" t="s">
        <v>118</v>
      </c>
      <c r="AA1478" s="19" t="s">
        <v>5112</v>
      </c>
      <c r="AB1478" s="26" t="s">
        <v>104</v>
      </c>
      <c r="AC1478" s="26" t="s">
        <v>53</v>
      </c>
      <c r="AD1478" s="19" t="s">
        <v>54</v>
      </c>
      <c r="AE1478" s="26" t="s">
        <v>6149</v>
      </c>
      <c r="AF1478" s="17">
        <v>45218</v>
      </c>
      <c r="AG1478" s="26"/>
      <c r="AH1478" s="26"/>
      <c r="AI1478" s="40" t="s">
        <v>64</v>
      </c>
      <c r="AJ1478" s="26"/>
      <c r="AK1478" s="26"/>
      <c r="AL1478" s="35"/>
      <c r="AM1478" s="35"/>
      <c r="AN1478" s="35"/>
      <c r="AO1478" s="35"/>
      <c r="AP1478" s="35"/>
    </row>
    <row r="1479" spans="1:42" x14ac:dyDescent="0.2">
      <c r="A1479" s="14">
        <v>45301</v>
      </c>
      <c r="B1479" s="28" t="s">
        <v>37</v>
      </c>
      <c r="C1479" s="41" t="s">
        <v>118</v>
      </c>
      <c r="D1479" s="26" t="s">
        <v>36</v>
      </c>
      <c r="E1479" s="26" t="s">
        <v>119</v>
      </c>
      <c r="F1479" s="26" t="s">
        <v>2595</v>
      </c>
      <c r="G1479" s="26" t="s">
        <v>221</v>
      </c>
      <c r="H1479" s="26" t="s">
        <v>6083</v>
      </c>
      <c r="I1479" s="17">
        <f ca="1">IFERROR(__xludf.DUMMYFUNCTION("""COMPUTED_VALUE"""),45303)</f>
        <v>45303</v>
      </c>
      <c r="J1479" s="29" t="s">
        <v>2746</v>
      </c>
      <c r="K1479" s="26" t="s">
        <v>2747</v>
      </c>
      <c r="L1479" s="30">
        <v>833782005</v>
      </c>
      <c r="M1479" s="26" t="s">
        <v>80</v>
      </c>
      <c r="N1479" s="26" t="s">
        <v>299</v>
      </c>
      <c r="O1479" s="26" t="s">
        <v>1492</v>
      </c>
      <c r="P1479" s="26" t="s">
        <v>138</v>
      </c>
      <c r="Q1479" s="20">
        <v>13968</v>
      </c>
      <c r="R1479" s="26" t="s">
        <v>36</v>
      </c>
      <c r="S1479" s="31">
        <v>13968</v>
      </c>
      <c r="T1479" s="32">
        <v>45179</v>
      </c>
      <c r="U1479" s="31"/>
      <c r="V1479" s="26"/>
      <c r="W1479" s="33" t="s">
        <v>2748</v>
      </c>
      <c r="X1479" s="26"/>
      <c r="Y1479" s="22">
        <v>0</v>
      </c>
      <c r="Z1479" s="26" t="s">
        <v>118</v>
      </c>
      <c r="AA1479" s="19" t="s">
        <v>2449</v>
      </c>
      <c r="AB1479" s="26" t="s">
        <v>104</v>
      </c>
      <c r="AC1479" s="26" t="s">
        <v>53</v>
      </c>
      <c r="AD1479" s="19" t="s">
        <v>138</v>
      </c>
      <c r="AE1479" s="26" t="s">
        <v>2595</v>
      </c>
      <c r="AF1479" s="17">
        <v>45303</v>
      </c>
      <c r="AG1479" s="26" t="s">
        <v>1631</v>
      </c>
      <c r="AH1479" s="26"/>
      <c r="AI1479" s="40"/>
      <c r="AJ1479" s="26"/>
      <c r="AK1479" s="26"/>
      <c r="AL1479" s="35"/>
      <c r="AM1479" s="35"/>
      <c r="AN1479" s="35"/>
      <c r="AO1479" s="35"/>
      <c r="AP1479" s="35"/>
    </row>
    <row r="1480" spans="1:42" x14ac:dyDescent="0.2">
      <c r="A1480" s="27">
        <v>45188.919894421299</v>
      </c>
      <c r="B1480" s="28" t="s">
        <v>37</v>
      </c>
      <c r="C1480" s="41" t="s">
        <v>118</v>
      </c>
      <c r="D1480" s="26" t="s">
        <v>36</v>
      </c>
      <c r="E1480" s="26" t="s">
        <v>77</v>
      </c>
      <c r="F1480" s="26" t="s">
        <v>91</v>
      </c>
      <c r="G1480" s="26" t="s">
        <v>41</v>
      </c>
      <c r="H1480" s="26" t="s">
        <v>3365</v>
      </c>
      <c r="I1480" s="17">
        <f ca="1">IFERROR(__xludf.DUMMYFUNCTION("""COMPUTED_VALUE"""),45244)</f>
        <v>45244</v>
      </c>
      <c r="J1480" s="29" t="s">
        <v>6150</v>
      </c>
      <c r="K1480" s="26" t="s">
        <v>6151</v>
      </c>
      <c r="L1480" s="30">
        <v>382640896</v>
      </c>
      <c r="M1480" s="26" t="s">
        <v>123</v>
      </c>
      <c r="N1480" s="26" t="s">
        <v>2847</v>
      </c>
      <c r="O1480" s="26" t="s">
        <v>6152</v>
      </c>
      <c r="P1480" s="26" t="s">
        <v>6153</v>
      </c>
      <c r="Q1480" s="20">
        <v>1968</v>
      </c>
      <c r="R1480" s="26" t="s">
        <v>36</v>
      </c>
      <c r="S1480" s="31">
        <v>4000</v>
      </c>
      <c r="T1480" s="32">
        <v>45188</v>
      </c>
      <c r="U1480" s="31"/>
      <c r="V1480" s="26"/>
      <c r="W1480" s="33" t="s">
        <v>6154</v>
      </c>
      <c r="X1480" s="26"/>
      <c r="Y1480" s="22">
        <v>-2032</v>
      </c>
      <c r="Z1480" s="26" t="s">
        <v>50</v>
      </c>
      <c r="AA1480" s="19" t="s">
        <v>5961</v>
      </c>
      <c r="AB1480" s="26" t="s">
        <v>104</v>
      </c>
      <c r="AC1480" s="26" t="s">
        <v>53</v>
      </c>
      <c r="AD1480" s="19" t="s">
        <v>54</v>
      </c>
      <c r="AE1480" s="26"/>
      <c r="AF1480" s="17">
        <v>45189</v>
      </c>
      <c r="AG1480" s="26" t="s">
        <v>5191</v>
      </c>
      <c r="AH1480" s="26">
        <v>1</v>
      </c>
      <c r="AI1480" s="40"/>
      <c r="AJ1480" s="26"/>
      <c r="AK1480" s="26"/>
      <c r="AL1480" s="35"/>
      <c r="AM1480" s="35"/>
      <c r="AN1480" s="35"/>
      <c r="AO1480" s="35"/>
      <c r="AP1480" s="35"/>
    </row>
    <row r="1481" spans="1:42" x14ac:dyDescent="0.2">
      <c r="A1481" s="27">
        <v>45191.661152106477</v>
      </c>
      <c r="B1481" s="28" t="s">
        <v>37</v>
      </c>
      <c r="C1481" s="41" t="s">
        <v>118</v>
      </c>
      <c r="D1481" s="26" t="s">
        <v>36</v>
      </c>
      <c r="E1481" s="26" t="s">
        <v>77</v>
      </c>
      <c r="F1481" s="26" t="s">
        <v>91</v>
      </c>
      <c r="G1481" s="26" t="s">
        <v>41</v>
      </c>
      <c r="H1481" s="26" t="s">
        <v>2889</v>
      </c>
      <c r="I1481" s="17">
        <f ca="1">IFERROR(__xludf.DUMMYFUNCTION("""COMPUTED_VALUE"""),45200)</f>
        <v>45200</v>
      </c>
      <c r="J1481" s="29" t="s">
        <v>5735</v>
      </c>
      <c r="K1481" s="26" t="s">
        <v>5736</v>
      </c>
      <c r="L1481" s="30">
        <v>865287783</v>
      </c>
      <c r="M1481" s="26" t="s">
        <v>2755</v>
      </c>
      <c r="N1481" s="26" t="s">
        <v>2756</v>
      </c>
      <c r="O1481" s="26" t="s">
        <v>5738</v>
      </c>
      <c r="P1481" s="26" t="s">
        <v>6155</v>
      </c>
      <c r="Q1481" s="20">
        <v>1968</v>
      </c>
      <c r="R1481" s="26" t="s">
        <v>36</v>
      </c>
      <c r="S1481" s="31">
        <v>200</v>
      </c>
      <c r="T1481" s="32">
        <v>45191</v>
      </c>
      <c r="U1481" s="31">
        <v>1768</v>
      </c>
      <c r="V1481" s="32">
        <v>45193</v>
      </c>
      <c r="W1481" s="120" t="s">
        <v>6156</v>
      </c>
      <c r="X1481" s="26"/>
      <c r="Y1481" s="22">
        <v>0</v>
      </c>
      <c r="Z1481" s="26" t="s">
        <v>50</v>
      </c>
      <c r="AA1481" s="19" t="s">
        <v>5961</v>
      </c>
      <c r="AB1481" s="26" t="s">
        <v>104</v>
      </c>
      <c r="AC1481" s="26" t="s">
        <v>53</v>
      </c>
      <c r="AD1481" s="19" t="s">
        <v>138</v>
      </c>
      <c r="AE1481" s="26" t="s">
        <v>76</v>
      </c>
      <c r="AF1481" s="17">
        <v>45200</v>
      </c>
      <c r="AG1481" s="26" t="s">
        <v>1631</v>
      </c>
      <c r="AH1481" s="26">
        <v>2</v>
      </c>
      <c r="AI1481" s="40"/>
      <c r="AJ1481" s="26"/>
      <c r="AK1481" s="26"/>
      <c r="AL1481" s="35"/>
      <c r="AM1481" s="35"/>
      <c r="AN1481" s="35"/>
      <c r="AO1481" s="35"/>
      <c r="AP1481" s="35"/>
    </row>
    <row r="1482" spans="1:42" x14ac:dyDescent="0.2">
      <c r="A1482" s="27">
        <v>45191.899673472217</v>
      </c>
      <c r="B1482" s="28" t="s">
        <v>37</v>
      </c>
      <c r="C1482" s="41" t="s">
        <v>118</v>
      </c>
      <c r="D1482" s="26" t="s">
        <v>36</v>
      </c>
      <c r="E1482" s="26" t="s">
        <v>39</v>
      </c>
      <c r="F1482" s="26" t="s">
        <v>36</v>
      </c>
      <c r="G1482" s="26" t="s">
        <v>41</v>
      </c>
      <c r="H1482" s="26" t="s">
        <v>4489</v>
      </c>
      <c r="I1482" s="17">
        <f ca="1">IFERROR(__xludf.DUMMYFUNCTION("""COMPUTED_VALUE"""),45309)</f>
        <v>45309</v>
      </c>
      <c r="J1482" s="29" t="s">
        <v>6157</v>
      </c>
      <c r="K1482" s="26" t="s">
        <v>6158</v>
      </c>
      <c r="L1482" s="30">
        <v>921187019</v>
      </c>
      <c r="M1482" s="19" t="s">
        <v>80</v>
      </c>
      <c r="N1482" s="19" t="s">
        <v>186</v>
      </c>
      <c r="O1482" s="26" t="s">
        <v>6159</v>
      </c>
      <c r="P1482" s="26" t="s">
        <v>6160</v>
      </c>
      <c r="Q1482" s="20">
        <v>5736</v>
      </c>
      <c r="R1482" s="26" t="s">
        <v>36</v>
      </c>
      <c r="S1482" s="31">
        <v>200</v>
      </c>
      <c r="T1482" s="32">
        <v>45190</v>
      </c>
      <c r="U1482" s="31">
        <f>3800+1736</f>
        <v>5536</v>
      </c>
      <c r="V1482" s="26" t="s">
        <v>6161</v>
      </c>
      <c r="W1482" s="26" t="s">
        <v>6162</v>
      </c>
      <c r="X1482" s="26"/>
      <c r="Y1482" s="22">
        <v>0</v>
      </c>
      <c r="Z1482" s="26" t="s">
        <v>50</v>
      </c>
      <c r="AA1482" s="19" t="s">
        <v>5961</v>
      </c>
      <c r="AB1482" s="26" t="s">
        <v>104</v>
      </c>
      <c r="AC1482" s="26" t="s">
        <v>53</v>
      </c>
      <c r="AD1482" s="19" t="s">
        <v>138</v>
      </c>
      <c r="AE1482" s="26" t="s">
        <v>6163</v>
      </c>
      <c r="AF1482" s="17">
        <v>45200</v>
      </c>
      <c r="AG1482" s="26" t="s">
        <v>6164</v>
      </c>
      <c r="AH1482" s="26">
        <v>1</v>
      </c>
      <c r="AI1482" s="40"/>
      <c r="AJ1482" s="26"/>
      <c r="AK1482" s="26"/>
      <c r="AL1482" s="35"/>
      <c r="AM1482" s="35"/>
      <c r="AN1482" s="35"/>
      <c r="AO1482" s="35"/>
      <c r="AP1482" s="35"/>
    </row>
    <row r="1483" spans="1:42" x14ac:dyDescent="0.2">
      <c r="A1483" s="27">
        <v>45196.562637268522</v>
      </c>
      <c r="B1483" s="28" t="s">
        <v>37</v>
      </c>
      <c r="C1483" s="41" t="s">
        <v>118</v>
      </c>
      <c r="D1483" s="26" t="s">
        <v>36</v>
      </c>
      <c r="E1483" s="26" t="s">
        <v>139</v>
      </c>
      <c r="F1483" s="26" t="s">
        <v>91</v>
      </c>
      <c r="G1483" s="26" t="s">
        <v>41</v>
      </c>
      <c r="H1483" s="26" t="s">
        <v>4129</v>
      </c>
      <c r="I1483" s="17">
        <f ca="1">IFERROR(__xludf.DUMMYFUNCTION("""COMPUTED_VALUE"""),45232)</f>
        <v>45232</v>
      </c>
      <c r="J1483" s="29" t="s">
        <v>6165</v>
      </c>
      <c r="K1483" s="26" t="s">
        <v>6166</v>
      </c>
      <c r="L1483" s="30">
        <v>961871926</v>
      </c>
      <c r="M1483" s="26" t="s">
        <v>123</v>
      </c>
      <c r="N1483" s="26" t="s">
        <v>850</v>
      </c>
      <c r="O1483" s="26" t="s">
        <v>1226</v>
      </c>
      <c r="P1483" s="26" t="s">
        <v>3487</v>
      </c>
      <c r="Q1483" s="20">
        <v>15936</v>
      </c>
      <c r="R1483" s="26" t="s">
        <v>70</v>
      </c>
      <c r="S1483" s="31">
        <v>200</v>
      </c>
      <c r="T1483" s="32">
        <v>45188</v>
      </c>
      <c r="U1483" s="26">
        <f>1768+13768+100</f>
        <v>15636</v>
      </c>
      <c r="V1483" s="26" t="s">
        <v>6167</v>
      </c>
      <c r="W1483" s="33" t="s">
        <v>6168</v>
      </c>
      <c r="X1483" s="26"/>
      <c r="Y1483" s="22">
        <v>100</v>
      </c>
      <c r="Z1483" s="26" t="s">
        <v>50</v>
      </c>
      <c r="AA1483" s="19" t="s">
        <v>5961</v>
      </c>
      <c r="AB1483" s="26" t="s">
        <v>104</v>
      </c>
      <c r="AC1483" s="26" t="s">
        <v>53</v>
      </c>
      <c r="AD1483" s="19" t="s">
        <v>138</v>
      </c>
      <c r="AE1483" s="26"/>
      <c r="AF1483" s="17">
        <v>44114</v>
      </c>
      <c r="AG1483" s="26" t="s">
        <v>1631</v>
      </c>
      <c r="AH1483" s="26">
        <v>2</v>
      </c>
      <c r="AI1483" s="40"/>
      <c r="AJ1483" s="26"/>
      <c r="AK1483" s="26"/>
      <c r="AL1483" s="35"/>
      <c r="AM1483" s="35"/>
      <c r="AN1483" s="35"/>
      <c r="AO1483" s="35"/>
      <c r="AP1483" s="35"/>
    </row>
    <row r="1484" spans="1:42" x14ac:dyDescent="0.2">
      <c r="A1484" s="27">
        <v>45196.565249027779</v>
      </c>
      <c r="B1484" s="28" t="s">
        <v>37</v>
      </c>
      <c r="C1484" s="41" t="s">
        <v>118</v>
      </c>
      <c r="D1484" s="26" t="s">
        <v>36</v>
      </c>
      <c r="E1484" s="26" t="s">
        <v>39</v>
      </c>
      <c r="F1484" s="26" t="s">
        <v>91</v>
      </c>
      <c r="G1484" s="26" t="s">
        <v>41</v>
      </c>
      <c r="H1484" s="26" t="s">
        <v>3112</v>
      </c>
      <c r="I1484" s="17">
        <f ca="1">IFERROR(__xludf.DUMMYFUNCTION("""COMPUTED_VALUE"""),45204)</f>
        <v>45204</v>
      </c>
      <c r="J1484" s="29" t="s">
        <v>5900</v>
      </c>
      <c r="K1484" s="26" t="s">
        <v>5901</v>
      </c>
      <c r="L1484" s="30">
        <v>363304705</v>
      </c>
      <c r="M1484" s="26" t="s">
        <v>123</v>
      </c>
      <c r="N1484" s="26" t="s">
        <v>850</v>
      </c>
      <c r="O1484" s="26" t="s">
        <v>2737</v>
      </c>
      <c r="P1484" s="26" t="s">
        <v>3056</v>
      </c>
      <c r="Q1484" s="20">
        <v>5736</v>
      </c>
      <c r="R1484" s="26" t="s">
        <v>36</v>
      </c>
      <c r="S1484" s="31">
        <v>2000</v>
      </c>
      <c r="T1484" s="32">
        <v>45195</v>
      </c>
      <c r="U1484" s="31">
        <v>3768</v>
      </c>
      <c r="V1484" s="32">
        <v>45222</v>
      </c>
      <c r="W1484" s="33" t="s">
        <v>6169</v>
      </c>
      <c r="X1484" s="26"/>
      <c r="Y1484" s="22">
        <v>-32</v>
      </c>
      <c r="Z1484" s="26" t="s">
        <v>50</v>
      </c>
      <c r="AA1484" s="19" t="s">
        <v>5961</v>
      </c>
      <c r="AB1484" s="26" t="s">
        <v>104</v>
      </c>
      <c r="AC1484" s="26" t="s">
        <v>53</v>
      </c>
      <c r="AD1484" s="19" t="s">
        <v>138</v>
      </c>
      <c r="AE1484" s="26"/>
      <c r="AF1484" s="17">
        <v>45204</v>
      </c>
      <c r="AG1484" s="26" t="s">
        <v>1631</v>
      </c>
      <c r="AH1484" s="26">
        <v>2</v>
      </c>
      <c r="AI1484" s="40"/>
      <c r="AJ1484" s="26"/>
      <c r="AK1484" s="26"/>
      <c r="AL1484" s="35"/>
      <c r="AM1484" s="35"/>
      <c r="AN1484" s="35"/>
      <c r="AO1484" s="35"/>
      <c r="AP1484" s="35"/>
    </row>
    <row r="1485" spans="1:42" x14ac:dyDescent="0.2">
      <c r="A1485" s="27">
        <v>45207.893677858796</v>
      </c>
      <c r="B1485" s="28" t="s">
        <v>37</v>
      </c>
      <c r="C1485" s="41" t="s">
        <v>118</v>
      </c>
      <c r="D1485" s="26" t="s">
        <v>36</v>
      </c>
      <c r="E1485" s="26" t="s">
        <v>77</v>
      </c>
      <c r="F1485" s="26" t="s">
        <v>36</v>
      </c>
      <c r="G1485" s="26" t="s">
        <v>41</v>
      </c>
      <c r="H1485" s="26" t="s">
        <v>3899</v>
      </c>
      <c r="I1485" s="17">
        <f ca="1">IFERROR(__xludf.DUMMYFUNCTION("""COMPUTED_VALUE"""),45215)</f>
        <v>45215</v>
      </c>
      <c r="J1485" s="29" t="s">
        <v>6170</v>
      </c>
      <c r="K1485" s="26" t="s">
        <v>6171</v>
      </c>
      <c r="L1485" s="30">
        <v>949799499</v>
      </c>
      <c r="M1485" s="26" t="s">
        <v>123</v>
      </c>
      <c r="N1485" s="26" t="s">
        <v>327</v>
      </c>
      <c r="O1485" s="26" t="s">
        <v>1226</v>
      </c>
      <c r="P1485" s="42" t="s">
        <v>6172</v>
      </c>
      <c r="Q1485" s="20">
        <v>1968</v>
      </c>
      <c r="R1485" s="26" t="s">
        <v>36</v>
      </c>
      <c r="S1485" s="31">
        <v>2000</v>
      </c>
      <c r="T1485" s="32">
        <v>45207</v>
      </c>
      <c r="U1485" s="31"/>
      <c r="V1485" s="26"/>
      <c r="W1485" s="33" t="s">
        <v>6173</v>
      </c>
      <c r="X1485" s="26"/>
      <c r="Y1485" s="22">
        <v>-32</v>
      </c>
      <c r="Z1485" s="26" t="s">
        <v>50</v>
      </c>
      <c r="AA1485" s="19" t="s">
        <v>5961</v>
      </c>
      <c r="AB1485" s="26" t="s">
        <v>104</v>
      </c>
      <c r="AC1485" s="26" t="s">
        <v>53</v>
      </c>
      <c r="AD1485" s="19" t="s">
        <v>138</v>
      </c>
      <c r="AE1485" s="26"/>
      <c r="AF1485" s="17">
        <v>45215</v>
      </c>
      <c r="AG1485" s="26" t="s">
        <v>6174</v>
      </c>
      <c r="AH1485" s="26">
        <v>2</v>
      </c>
      <c r="AI1485" s="40"/>
      <c r="AJ1485" s="26"/>
      <c r="AK1485" s="26"/>
      <c r="AL1485" s="35"/>
      <c r="AM1485" s="35"/>
      <c r="AN1485" s="35"/>
      <c r="AO1485" s="35"/>
      <c r="AP1485" s="35"/>
    </row>
    <row r="1486" spans="1:42" x14ac:dyDescent="0.2">
      <c r="A1486" s="27">
        <v>45210.362463622689</v>
      </c>
      <c r="B1486" s="28" t="s">
        <v>37</v>
      </c>
      <c r="C1486" s="41" t="s">
        <v>118</v>
      </c>
      <c r="D1486" s="26" t="s">
        <v>36</v>
      </c>
      <c r="E1486" s="26" t="s">
        <v>77</v>
      </c>
      <c r="F1486" s="26" t="s">
        <v>91</v>
      </c>
      <c r="G1486" s="26" t="s">
        <v>41</v>
      </c>
      <c r="H1486" s="26" t="s">
        <v>3090</v>
      </c>
      <c r="I1486" s="17">
        <f ca="1">IFERROR(__xludf.DUMMYFUNCTION("""COMPUTED_VALUE"""),45215)</f>
        <v>45215</v>
      </c>
      <c r="J1486" s="29" t="s">
        <v>6175</v>
      </c>
      <c r="K1486" s="26" t="s">
        <v>6176</v>
      </c>
      <c r="L1486" s="30">
        <v>896509868</v>
      </c>
      <c r="M1486" s="26" t="s">
        <v>123</v>
      </c>
      <c r="N1486" s="26" t="s">
        <v>850</v>
      </c>
      <c r="O1486" s="26" t="s">
        <v>5189</v>
      </c>
      <c r="P1486" s="26" t="s">
        <v>6177</v>
      </c>
      <c r="Q1486" s="20">
        <v>1968</v>
      </c>
      <c r="R1486" s="26" t="s">
        <v>36</v>
      </c>
      <c r="S1486" s="31">
        <v>1968</v>
      </c>
      <c r="T1486" s="32">
        <v>45209</v>
      </c>
      <c r="U1486" s="31"/>
      <c r="V1486" s="26"/>
      <c r="W1486" s="33" t="s">
        <v>6178</v>
      </c>
      <c r="X1486" s="26"/>
      <c r="Y1486" s="22">
        <v>0</v>
      </c>
      <c r="Z1486" s="26" t="s">
        <v>50</v>
      </c>
      <c r="AA1486" s="19" t="s">
        <v>5961</v>
      </c>
      <c r="AB1486" s="26" t="s">
        <v>104</v>
      </c>
      <c r="AC1486" s="26" t="s">
        <v>53</v>
      </c>
      <c r="AD1486" s="19" t="s">
        <v>54</v>
      </c>
      <c r="AE1486" s="26"/>
      <c r="AF1486" s="17">
        <v>45211</v>
      </c>
      <c r="AG1486" s="26" t="s">
        <v>5191</v>
      </c>
      <c r="AH1486" s="26">
        <v>1</v>
      </c>
      <c r="AI1486" s="40"/>
      <c r="AJ1486" s="26"/>
      <c r="AK1486" s="26"/>
      <c r="AL1486" s="35"/>
      <c r="AM1486" s="35"/>
      <c r="AN1486" s="35"/>
      <c r="AO1486" s="35"/>
      <c r="AP1486" s="35"/>
    </row>
    <row r="1487" spans="1:42" x14ac:dyDescent="0.2">
      <c r="A1487" s="27">
        <v>45210.818791053243</v>
      </c>
      <c r="B1487" s="28" t="s">
        <v>37</v>
      </c>
      <c r="C1487" s="41" t="s">
        <v>118</v>
      </c>
      <c r="D1487" s="26" t="s">
        <v>36</v>
      </c>
      <c r="E1487" s="26" t="s">
        <v>119</v>
      </c>
      <c r="F1487" s="26" t="s">
        <v>91</v>
      </c>
      <c r="G1487" s="26" t="s">
        <v>108</v>
      </c>
      <c r="H1487" s="26" t="s">
        <v>1853</v>
      </c>
      <c r="I1487" s="17">
        <f ca="1">IFERROR(__xludf.DUMMYFUNCTION("""COMPUTED_VALUE"""),45229)</f>
        <v>45229</v>
      </c>
      <c r="J1487" s="29" t="s">
        <v>6179</v>
      </c>
      <c r="K1487" s="26" t="s">
        <v>6180</v>
      </c>
      <c r="L1487" s="30">
        <v>963240098</v>
      </c>
      <c r="M1487" s="26" t="s">
        <v>123</v>
      </c>
      <c r="N1487" s="26" t="s">
        <v>186</v>
      </c>
      <c r="O1487" s="26" t="s">
        <v>2737</v>
      </c>
      <c r="P1487" s="26" t="s">
        <v>3056</v>
      </c>
      <c r="Q1487" s="20">
        <v>13968</v>
      </c>
      <c r="R1487" s="26" t="s">
        <v>36</v>
      </c>
      <c r="S1487" s="31">
        <v>4000</v>
      </c>
      <c r="T1487" s="32">
        <v>45210</v>
      </c>
      <c r="U1487" s="58">
        <f>9898+70</f>
        <v>9968</v>
      </c>
      <c r="V1487" s="35" t="s">
        <v>6181</v>
      </c>
      <c r="W1487" s="33" t="s">
        <v>6182</v>
      </c>
      <c r="X1487" s="26"/>
      <c r="Y1487" s="22">
        <v>0</v>
      </c>
      <c r="Z1487" s="26" t="s">
        <v>50</v>
      </c>
      <c r="AA1487" s="19" t="s">
        <v>5961</v>
      </c>
      <c r="AB1487" s="26" t="s">
        <v>128</v>
      </c>
      <c r="AC1487" s="26" t="s">
        <v>53</v>
      </c>
      <c r="AD1487" s="19" t="s">
        <v>138</v>
      </c>
      <c r="AE1487" s="26"/>
      <c r="AF1487" s="17">
        <v>45229</v>
      </c>
      <c r="AG1487" s="26" t="s">
        <v>1631</v>
      </c>
      <c r="AH1487" s="26">
        <v>1</v>
      </c>
      <c r="AI1487" s="40"/>
      <c r="AJ1487" s="26"/>
      <c r="AK1487" s="26"/>
      <c r="AL1487" s="35"/>
      <c r="AM1487" s="35"/>
      <c r="AN1487" s="35"/>
      <c r="AO1487" s="35"/>
      <c r="AP1487" s="35"/>
    </row>
    <row r="1488" spans="1:42" x14ac:dyDescent="0.2">
      <c r="A1488" s="27">
        <v>45215.525976192133</v>
      </c>
      <c r="B1488" s="28" t="s">
        <v>37</v>
      </c>
      <c r="C1488" s="41" t="s">
        <v>118</v>
      </c>
      <c r="D1488" s="26" t="s">
        <v>36</v>
      </c>
      <c r="E1488" s="26" t="s">
        <v>139</v>
      </c>
      <c r="F1488" s="26" t="s">
        <v>91</v>
      </c>
      <c r="G1488" s="26" t="s">
        <v>41</v>
      </c>
      <c r="H1488" s="26" t="s">
        <v>3930</v>
      </c>
      <c r="I1488" s="17">
        <f ca="1">IFERROR(__xludf.DUMMYFUNCTION("""COMPUTED_VALUE"""),45223)</f>
        <v>45223</v>
      </c>
      <c r="J1488" s="29" t="s">
        <v>5957</v>
      </c>
      <c r="K1488" s="26" t="s">
        <v>5958</v>
      </c>
      <c r="L1488" s="30">
        <v>837161555</v>
      </c>
      <c r="M1488" s="26" t="s">
        <v>123</v>
      </c>
      <c r="N1488" s="26" t="s">
        <v>1881</v>
      </c>
      <c r="O1488" s="26" t="s">
        <v>1226</v>
      </c>
      <c r="P1488" s="26" t="s">
        <v>3056</v>
      </c>
      <c r="Q1488" s="20">
        <v>15936</v>
      </c>
      <c r="R1488" s="26" t="s">
        <v>36</v>
      </c>
      <c r="S1488" s="31">
        <v>7000</v>
      </c>
      <c r="T1488" s="32">
        <v>45214</v>
      </c>
      <c r="U1488" s="31">
        <v>8936</v>
      </c>
      <c r="V1488" s="32">
        <v>45260</v>
      </c>
      <c r="W1488" s="33" t="s">
        <v>5960</v>
      </c>
      <c r="X1488" s="26"/>
      <c r="Y1488" s="22">
        <v>0</v>
      </c>
      <c r="Z1488" s="26" t="s">
        <v>50</v>
      </c>
      <c r="AA1488" s="19" t="s">
        <v>5961</v>
      </c>
      <c r="AB1488" s="26" t="s">
        <v>104</v>
      </c>
      <c r="AC1488" s="26" t="s">
        <v>53</v>
      </c>
      <c r="AD1488" s="19" t="s">
        <v>138</v>
      </c>
      <c r="AE1488" s="26"/>
      <c r="AF1488" s="43">
        <v>45223</v>
      </c>
      <c r="AG1488" s="26" t="s">
        <v>1631</v>
      </c>
      <c r="AH1488" s="26">
        <v>2</v>
      </c>
      <c r="AI1488" s="40"/>
      <c r="AJ1488" s="26"/>
      <c r="AK1488" s="26"/>
      <c r="AL1488" s="35"/>
      <c r="AM1488" s="35"/>
      <c r="AN1488" s="35"/>
      <c r="AO1488" s="35"/>
      <c r="AP1488" s="35"/>
    </row>
    <row r="1489" spans="1:42" x14ac:dyDescent="0.2">
      <c r="A1489" s="27">
        <v>45215.779169525464</v>
      </c>
      <c r="B1489" s="28" t="s">
        <v>37</v>
      </c>
      <c r="C1489" s="41" t="s">
        <v>118</v>
      </c>
      <c r="D1489" s="26" t="s">
        <v>36</v>
      </c>
      <c r="E1489" s="26" t="s">
        <v>77</v>
      </c>
      <c r="F1489" s="26" t="s">
        <v>91</v>
      </c>
      <c r="G1489" s="26" t="s">
        <v>41</v>
      </c>
      <c r="H1489" s="26" t="s">
        <v>4129</v>
      </c>
      <c r="I1489" s="17">
        <f ca="1">IFERROR(__xludf.DUMMYFUNCTION("""COMPUTED_VALUE"""),45232)</f>
        <v>45232</v>
      </c>
      <c r="J1489" s="29" t="s">
        <v>6183</v>
      </c>
      <c r="K1489" s="26" t="s">
        <v>6184</v>
      </c>
      <c r="L1489" s="30">
        <v>355262394</v>
      </c>
      <c r="M1489" s="26" t="s">
        <v>123</v>
      </c>
      <c r="N1489" s="26" t="s">
        <v>186</v>
      </c>
      <c r="O1489" s="26" t="s">
        <v>1226</v>
      </c>
      <c r="P1489" s="26" t="s">
        <v>3056</v>
      </c>
      <c r="Q1489" s="20">
        <v>1968</v>
      </c>
      <c r="R1489" s="26" t="s">
        <v>70</v>
      </c>
      <c r="S1489" s="31">
        <v>2000</v>
      </c>
      <c r="T1489" s="32">
        <v>45214</v>
      </c>
      <c r="U1489" s="31"/>
      <c r="V1489" s="26"/>
      <c r="W1489" s="33" t="s">
        <v>6185</v>
      </c>
      <c r="X1489" s="26"/>
      <c r="Y1489" s="22">
        <v>-32</v>
      </c>
      <c r="Z1489" s="26" t="s">
        <v>50</v>
      </c>
      <c r="AA1489" s="19" t="s">
        <v>5961</v>
      </c>
      <c r="AB1489" s="26" t="s">
        <v>104</v>
      </c>
      <c r="AC1489" s="26" t="s">
        <v>53</v>
      </c>
      <c r="AD1489" s="19" t="s">
        <v>138</v>
      </c>
      <c r="AE1489" s="26"/>
      <c r="AF1489" s="17">
        <v>45232</v>
      </c>
      <c r="AG1489" s="26" t="s">
        <v>5191</v>
      </c>
      <c r="AH1489" s="26">
        <v>1</v>
      </c>
      <c r="AI1489" s="40"/>
      <c r="AJ1489" s="26"/>
      <c r="AK1489" s="26"/>
      <c r="AL1489" s="35"/>
      <c r="AM1489" s="35"/>
      <c r="AN1489" s="35"/>
      <c r="AO1489" s="35"/>
      <c r="AP1489" s="35"/>
    </row>
    <row r="1490" spans="1:42" x14ac:dyDescent="0.2">
      <c r="A1490" s="27">
        <v>45215.781662094909</v>
      </c>
      <c r="B1490" s="28" t="s">
        <v>37</v>
      </c>
      <c r="C1490" s="41" t="s">
        <v>118</v>
      </c>
      <c r="D1490" s="26" t="s">
        <v>36</v>
      </c>
      <c r="E1490" s="26" t="s">
        <v>39</v>
      </c>
      <c r="F1490" s="26" t="s">
        <v>91</v>
      </c>
      <c r="G1490" s="26" t="s">
        <v>41</v>
      </c>
      <c r="H1490" s="26" t="s">
        <v>3302</v>
      </c>
      <c r="I1490" s="17">
        <f ca="1">IFERROR(__xludf.DUMMYFUNCTION("""COMPUTED_VALUE"""),45224)</f>
        <v>45224</v>
      </c>
      <c r="J1490" s="29" t="s">
        <v>6186</v>
      </c>
      <c r="K1490" s="26" t="s">
        <v>6187</v>
      </c>
      <c r="L1490" s="30">
        <v>399596024</v>
      </c>
      <c r="M1490" s="26" t="s">
        <v>2755</v>
      </c>
      <c r="N1490" s="26" t="s">
        <v>2756</v>
      </c>
      <c r="O1490" s="26" t="s">
        <v>6188</v>
      </c>
      <c r="P1490" s="26" t="s">
        <v>6189</v>
      </c>
      <c r="Q1490" s="20">
        <v>5736</v>
      </c>
      <c r="R1490" s="26" t="s">
        <v>36</v>
      </c>
      <c r="S1490" s="31">
        <v>250</v>
      </c>
      <c r="T1490" s="32">
        <v>45215</v>
      </c>
      <c r="U1490" s="31">
        <f>1750+3736</f>
        <v>5486</v>
      </c>
      <c r="V1490" s="26" t="s">
        <v>6190</v>
      </c>
      <c r="W1490" s="33" t="s">
        <v>6191</v>
      </c>
      <c r="X1490" s="26"/>
      <c r="Y1490" s="22">
        <v>0</v>
      </c>
      <c r="Z1490" s="26" t="s">
        <v>50</v>
      </c>
      <c r="AA1490" s="19" t="s">
        <v>5961</v>
      </c>
      <c r="AB1490" s="26" t="s">
        <v>104</v>
      </c>
      <c r="AC1490" s="26" t="s">
        <v>53</v>
      </c>
      <c r="AD1490" s="19" t="s">
        <v>54</v>
      </c>
      <c r="AE1490" s="26"/>
      <c r="AF1490" s="17">
        <v>45222</v>
      </c>
      <c r="AG1490" s="26" t="s">
        <v>6192</v>
      </c>
      <c r="AH1490" s="26">
        <v>1</v>
      </c>
      <c r="AI1490" s="40"/>
      <c r="AJ1490" s="26"/>
      <c r="AK1490" s="26"/>
      <c r="AL1490" s="35"/>
      <c r="AM1490" s="35"/>
      <c r="AN1490" s="35"/>
      <c r="AO1490" s="35"/>
      <c r="AP1490" s="35"/>
    </row>
    <row r="1491" spans="1:42" x14ac:dyDescent="0.2">
      <c r="A1491" s="27">
        <v>45216.422296944445</v>
      </c>
      <c r="B1491" s="28" t="s">
        <v>37</v>
      </c>
      <c r="C1491" s="41" t="s">
        <v>118</v>
      </c>
      <c r="D1491" s="26" t="s">
        <v>36</v>
      </c>
      <c r="E1491" s="26" t="s">
        <v>39</v>
      </c>
      <c r="F1491" s="26" t="s">
        <v>91</v>
      </c>
      <c r="G1491" s="26" t="s">
        <v>41</v>
      </c>
      <c r="H1491" s="26" t="s">
        <v>3302</v>
      </c>
      <c r="I1491" s="17">
        <f ca="1">IFERROR(__xludf.DUMMYFUNCTION("""COMPUTED_VALUE"""),45224)</f>
        <v>45224</v>
      </c>
      <c r="J1491" s="29" t="s">
        <v>6193</v>
      </c>
      <c r="K1491" s="26" t="s">
        <v>274</v>
      </c>
      <c r="L1491" s="30">
        <v>325502051</v>
      </c>
      <c r="M1491" s="26" t="s">
        <v>2755</v>
      </c>
      <c r="N1491" s="26" t="s">
        <v>310</v>
      </c>
      <c r="O1491" s="26" t="s">
        <v>6194</v>
      </c>
      <c r="P1491" s="26" t="s">
        <v>6195</v>
      </c>
      <c r="Q1491" s="20">
        <v>5736</v>
      </c>
      <c r="R1491" s="26" t="s">
        <v>70</v>
      </c>
      <c r="S1491" s="31">
        <v>500</v>
      </c>
      <c r="T1491" s="32">
        <v>45216</v>
      </c>
      <c r="U1491" s="31">
        <f>1500+3736</f>
        <v>5236</v>
      </c>
      <c r="V1491" s="26" t="s">
        <v>6196</v>
      </c>
      <c r="W1491" s="33" t="s">
        <v>6197</v>
      </c>
      <c r="X1491" s="26"/>
      <c r="Y1491" s="22">
        <v>0</v>
      </c>
      <c r="Z1491" s="26" t="s">
        <v>50</v>
      </c>
      <c r="AA1491" s="19" t="s">
        <v>5961</v>
      </c>
      <c r="AB1491" s="26" t="s">
        <v>104</v>
      </c>
      <c r="AC1491" s="26" t="s">
        <v>53</v>
      </c>
      <c r="AD1491" s="19" t="s">
        <v>54</v>
      </c>
      <c r="AE1491" s="26" t="s">
        <v>76</v>
      </c>
      <c r="AF1491" s="17">
        <v>45219</v>
      </c>
      <c r="AG1491" s="26" t="s">
        <v>6192</v>
      </c>
      <c r="AH1491" s="26">
        <v>1</v>
      </c>
      <c r="AI1491" s="40"/>
      <c r="AJ1491" s="26"/>
      <c r="AK1491" s="26"/>
      <c r="AL1491" s="35"/>
      <c r="AM1491" s="35"/>
      <c r="AN1491" s="35"/>
      <c r="AO1491" s="35"/>
      <c r="AP1491" s="35"/>
    </row>
    <row r="1492" spans="1:42" x14ac:dyDescent="0.2">
      <c r="A1492" s="27">
        <v>45216.432290972225</v>
      </c>
      <c r="B1492" s="28" t="s">
        <v>37</v>
      </c>
      <c r="C1492" s="41" t="s">
        <v>118</v>
      </c>
      <c r="D1492" s="26" t="s">
        <v>36</v>
      </c>
      <c r="E1492" s="26" t="s">
        <v>77</v>
      </c>
      <c r="F1492" s="26" t="s">
        <v>91</v>
      </c>
      <c r="G1492" s="26" t="s">
        <v>41</v>
      </c>
      <c r="H1492" s="26" t="s">
        <v>3930</v>
      </c>
      <c r="I1492" s="17">
        <f ca="1">IFERROR(__xludf.DUMMYFUNCTION("""COMPUTED_VALUE"""),45223)</f>
        <v>45223</v>
      </c>
      <c r="J1492" s="29" t="s">
        <v>6198</v>
      </c>
      <c r="K1492" s="26" t="s">
        <v>2098</v>
      </c>
      <c r="L1492" s="30">
        <v>963146548</v>
      </c>
      <c r="M1492" s="26" t="s">
        <v>2755</v>
      </c>
      <c r="N1492" s="26" t="s">
        <v>310</v>
      </c>
      <c r="O1492" s="26" t="s">
        <v>2819</v>
      </c>
      <c r="P1492" s="26" t="s">
        <v>6199</v>
      </c>
      <c r="Q1492" s="20">
        <v>1968</v>
      </c>
      <c r="R1492" s="26" t="s">
        <v>70</v>
      </c>
      <c r="S1492" s="31">
        <v>500</v>
      </c>
      <c r="T1492" s="32">
        <v>45216</v>
      </c>
      <c r="U1492" s="31">
        <v>3500</v>
      </c>
      <c r="V1492" s="32">
        <v>45223</v>
      </c>
      <c r="W1492" s="33" t="s">
        <v>6200</v>
      </c>
      <c r="X1492" s="26"/>
      <c r="Y1492" s="22">
        <v>-2032</v>
      </c>
      <c r="Z1492" s="26" t="s">
        <v>50</v>
      </c>
      <c r="AA1492" s="19" t="s">
        <v>5961</v>
      </c>
      <c r="AB1492" s="26" t="s">
        <v>104</v>
      </c>
      <c r="AC1492" s="26" t="s">
        <v>53</v>
      </c>
      <c r="AD1492" s="19" t="s">
        <v>138</v>
      </c>
      <c r="AE1492" s="26" t="s">
        <v>76</v>
      </c>
      <c r="AF1492" s="43">
        <v>45223</v>
      </c>
      <c r="AG1492" s="26" t="s">
        <v>6192</v>
      </c>
      <c r="AH1492" s="26">
        <v>1</v>
      </c>
      <c r="AI1492" s="40"/>
      <c r="AJ1492" s="26"/>
      <c r="AK1492" s="26"/>
      <c r="AL1492" s="35"/>
      <c r="AM1492" s="35"/>
      <c r="AN1492" s="35"/>
      <c r="AO1492" s="35"/>
      <c r="AP1492" s="35"/>
    </row>
    <row r="1493" spans="1:42" x14ac:dyDescent="0.2">
      <c r="A1493" s="27">
        <v>45221.940439525468</v>
      </c>
      <c r="B1493" s="28" t="s">
        <v>37</v>
      </c>
      <c r="C1493" s="41" t="s">
        <v>118</v>
      </c>
      <c r="D1493" s="26" t="s">
        <v>36</v>
      </c>
      <c r="E1493" s="26" t="s">
        <v>77</v>
      </c>
      <c r="F1493" s="26" t="s">
        <v>91</v>
      </c>
      <c r="G1493" s="26" t="s">
        <v>41</v>
      </c>
      <c r="H1493" s="26" t="s">
        <v>4133</v>
      </c>
      <c r="I1493" s="17">
        <f ca="1">IFERROR(__xludf.DUMMYFUNCTION("""COMPUTED_VALUE"""),45231)</f>
        <v>45231</v>
      </c>
      <c r="J1493" s="29" t="s">
        <v>6201</v>
      </c>
      <c r="K1493" s="26" t="s">
        <v>6202</v>
      </c>
      <c r="L1493" s="30">
        <v>386914032</v>
      </c>
      <c r="M1493" s="26" t="s">
        <v>2755</v>
      </c>
      <c r="N1493" s="26" t="s">
        <v>2756</v>
      </c>
      <c r="O1493" s="26" t="s">
        <v>2819</v>
      </c>
      <c r="P1493" s="26" t="s">
        <v>6015</v>
      </c>
      <c r="Q1493" s="20">
        <v>1968</v>
      </c>
      <c r="R1493" s="26" t="s">
        <v>70</v>
      </c>
      <c r="S1493" s="31">
        <v>3000</v>
      </c>
      <c r="T1493" s="32">
        <v>45221</v>
      </c>
      <c r="U1493" s="31"/>
      <c r="V1493" s="26"/>
      <c r="W1493" s="33" t="s">
        <v>6203</v>
      </c>
      <c r="X1493" s="26"/>
      <c r="Y1493" s="22">
        <v>-1032</v>
      </c>
      <c r="Z1493" s="26" t="s">
        <v>50</v>
      </c>
      <c r="AA1493" s="19" t="s">
        <v>5961</v>
      </c>
      <c r="AB1493" s="26" t="s">
        <v>104</v>
      </c>
      <c r="AC1493" s="26" t="s">
        <v>53</v>
      </c>
      <c r="AD1493" s="19" t="s">
        <v>138</v>
      </c>
      <c r="AE1493" s="26"/>
      <c r="AF1493" s="17">
        <v>45231</v>
      </c>
      <c r="AG1493" s="26" t="s">
        <v>6192</v>
      </c>
      <c r="AH1493" s="26">
        <v>1</v>
      </c>
      <c r="AI1493" s="40"/>
      <c r="AJ1493" s="26"/>
      <c r="AK1493" s="26"/>
      <c r="AL1493" s="35"/>
      <c r="AM1493" s="35"/>
      <c r="AN1493" s="35"/>
      <c r="AO1493" s="35"/>
      <c r="AP1493" s="35"/>
    </row>
    <row r="1494" spans="1:42" x14ac:dyDescent="0.2">
      <c r="A1494" s="27">
        <v>45221.947493483793</v>
      </c>
      <c r="B1494" s="28" t="s">
        <v>37</v>
      </c>
      <c r="C1494" s="41" t="s">
        <v>118</v>
      </c>
      <c r="D1494" s="26" t="s">
        <v>36</v>
      </c>
      <c r="E1494" s="26" t="s">
        <v>56</v>
      </c>
      <c r="F1494" s="26" t="s">
        <v>36</v>
      </c>
      <c r="G1494" s="26" t="s">
        <v>41</v>
      </c>
      <c r="H1494" s="26" t="s">
        <v>4133</v>
      </c>
      <c r="I1494" s="17">
        <f ca="1">IFERROR(__xludf.DUMMYFUNCTION("""COMPUTED_VALUE"""),45231)</f>
        <v>45231</v>
      </c>
      <c r="J1494" s="29" t="s">
        <v>6013</v>
      </c>
      <c r="K1494" s="26" t="s">
        <v>6014</v>
      </c>
      <c r="L1494" s="30">
        <v>399102177</v>
      </c>
      <c r="M1494" s="26" t="s">
        <v>3498</v>
      </c>
      <c r="N1494" s="26" t="s">
        <v>3874</v>
      </c>
      <c r="O1494" s="26" t="s">
        <v>2819</v>
      </c>
      <c r="P1494" s="26" t="s">
        <v>6015</v>
      </c>
      <c r="Q1494" s="20">
        <v>9317</v>
      </c>
      <c r="R1494" s="26" t="s">
        <v>36</v>
      </c>
      <c r="S1494" s="58">
        <v>2000</v>
      </c>
      <c r="T1494" s="59">
        <v>45223</v>
      </c>
      <c r="U1494" s="58">
        <v>7317</v>
      </c>
      <c r="V1494" s="59">
        <v>45245</v>
      </c>
      <c r="W1494" s="33" t="s">
        <v>6016</v>
      </c>
      <c r="X1494" s="26"/>
      <c r="Y1494" s="22">
        <v>0</v>
      </c>
      <c r="Z1494" s="26" t="s">
        <v>50</v>
      </c>
      <c r="AA1494" s="19" t="s">
        <v>5961</v>
      </c>
      <c r="AB1494" s="26" t="s">
        <v>104</v>
      </c>
      <c r="AC1494" s="26" t="s">
        <v>53</v>
      </c>
      <c r="AD1494" s="19" t="s">
        <v>138</v>
      </c>
      <c r="AE1494" s="26"/>
      <c r="AF1494" s="17">
        <v>45231</v>
      </c>
      <c r="AG1494" s="26" t="s">
        <v>5115</v>
      </c>
      <c r="AH1494" s="26">
        <v>2</v>
      </c>
      <c r="AI1494" s="40"/>
      <c r="AJ1494" s="26"/>
      <c r="AK1494" s="26"/>
      <c r="AL1494" s="35"/>
      <c r="AM1494" s="35"/>
      <c r="AN1494" s="35"/>
      <c r="AO1494" s="35"/>
      <c r="AP1494" s="35"/>
    </row>
    <row r="1495" spans="1:42" x14ac:dyDescent="0.2">
      <c r="A1495" s="27">
        <v>45221.960485127318</v>
      </c>
      <c r="B1495" s="28" t="s">
        <v>37</v>
      </c>
      <c r="C1495" s="41" t="s">
        <v>118</v>
      </c>
      <c r="D1495" s="26" t="s">
        <v>36</v>
      </c>
      <c r="E1495" s="26" t="s">
        <v>56</v>
      </c>
      <c r="F1495" s="26" t="s">
        <v>91</v>
      </c>
      <c r="G1495" s="26" t="s">
        <v>41</v>
      </c>
      <c r="H1495" s="26" t="s">
        <v>4129</v>
      </c>
      <c r="I1495" s="17">
        <f ca="1">IFERROR(__xludf.DUMMYFUNCTION("""COMPUTED_VALUE"""),45232)</f>
        <v>45232</v>
      </c>
      <c r="J1495" s="29" t="s">
        <v>6002</v>
      </c>
      <c r="K1495" s="26" t="s">
        <v>6003</v>
      </c>
      <c r="L1495" s="30">
        <v>389204443</v>
      </c>
      <c r="M1495" s="26" t="s">
        <v>123</v>
      </c>
      <c r="N1495" s="26" t="s">
        <v>4521</v>
      </c>
      <c r="O1495" s="26" t="s">
        <v>2737</v>
      </c>
      <c r="P1495" s="26" t="s">
        <v>6004</v>
      </c>
      <c r="Q1495" s="20">
        <v>9317</v>
      </c>
      <c r="R1495" s="26" t="s">
        <v>36</v>
      </c>
      <c r="S1495" s="31">
        <f>200+1768</f>
        <v>1968</v>
      </c>
      <c r="T1495" s="26" t="s">
        <v>6005</v>
      </c>
      <c r="U1495" s="31">
        <v>7349</v>
      </c>
      <c r="V1495" s="32">
        <v>45267</v>
      </c>
      <c r="W1495" s="33" t="s">
        <v>6006</v>
      </c>
      <c r="X1495" s="26"/>
      <c r="Y1495" s="22">
        <v>0</v>
      </c>
      <c r="Z1495" s="26" t="s">
        <v>50</v>
      </c>
      <c r="AA1495" s="19" t="s">
        <v>5961</v>
      </c>
      <c r="AB1495" s="26" t="s">
        <v>104</v>
      </c>
      <c r="AC1495" s="26" t="s">
        <v>53</v>
      </c>
      <c r="AD1495" s="19" t="s">
        <v>138</v>
      </c>
      <c r="AE1495" s="26"/>
      <c r="AF1495" s="17">
        <v>45232</v>
      </c>
      <c r="AG1495" s="26" t="s">
        <v>1362</v>
      </c>
      <c r="AH1495" s="26">
        <v>2</v>
      </c>
      <c r="AI1495" s="40"/>
      <c r="AJ1495" s="26"/>
      <c r="AK1495" s="26"/>
      <c r="AL1495" s="35"/>
      <c r="AM1495" s="35"/>
      <c r="AN1495" s="35"/>
      <c r="AO1495" s="35"/>
      <c r="AP1495" s="35"/>
    </row>
    <row r="1496" spans="1:42" x14ac:dyDescent="0.2">
      <c r="A1496" s="27">
        <v>45223.668101134259</v>
      </c>
      <c r="B1496" s="28" t="s">
        <v>37</v>
      </c>
      <c r="C1496" s="41" t="s">
        <v>118</v>
      </c>
      <c r="D1496" s="26" t="s">
        <v>119</v>
      </c>
      <c r="E1496" s="26" t="s">
        <v>139</v>
      </c>
      <c r="F1496" s="26" t="s">
        <v>36</v>
      </c>
      <c r="G1496" s="26" t="s">
        <v>41</v>
      </c>
      <c r="H1496" s="26" t="s">
        <v>4133</v>
      </c>
      <c r="I1496" s="17">
        <f ca="1">IFERROR(__xludf.DUMMYFUNCTION("""COMPUTED_VALUE"""),45231)</f>
        <v>45231</v>
      </c>
      <c r="J1496" s="29" t="s">
        <v>6017</v>
      </c>
      <c r="K1496" s="26" t="s">
        <v>6018</v>
      </c>
      <c r="L1496" s="30">
        <v>967086395</v>
      </c>
      <c r="M1496" s="26" t="s">
        <v>3728</v>
      </c>
      <c r="N1496" s="26" t="s">
        <v>5377</v>
      </c>
      <c r="O1496" s="26" t="s">
        <v>6019</v>
      </c>
      <c r="P1496" s="42" t="s">
        <v>6020</v>
      </c>
      <c r="Q1496" s="20">
        <v>15936</v>
      </c>
      <c r="R1496" s="26" t="s">
        <v>36</v>
      </c>
      <c r="S1496" s="31">
        <v>2000</v>
      </c>
      <c r="T1496" s="32">
        <v>45223</v>
      </c>
      <c r="U1496" s="31">
        <v>14000</v>
      </c>
      <c r="V1496" s="32">
        <v>45264</v>
      </c>
      <c r="W1496" s="33" t="s">
        <v>6021</v>
      </c>
      <c r="X1496" s="26"/>
      <c r="Y1496" s="22">
        <v>-64</v>
      </c>
      <c r="Z1496" s="26" t="s">
        <v>50</v>
      </c>
      <c r="AA1496" s="19" t="s">
        <v>5961</v>
      </c>
      <c r="AB1496" s="26" t="s">
        <v>104</v>
      </c>
      <c r="AC1496" s="26" t="s">
        <v>53</v>
      </c>
      <c r="AD1496" s="19" t="s">
        <v>138</v>
      </c>
      <c r="AE1496" s="26">
        <v>0</v>
      </c>
      <c r="AF1496" s="17">
        <v>45231</v>
      </c>
      <c r="AG1496" s="26" t="s">
        <v>1631</v>
      </c>
      <c r="AH1496" s="26">
        <v>2</v>
      </c>
      <c r="AI1496" s="40"/>
      <c r="AJ1496" s="26"/>
      <c r="AK1496" s="26"/>
      <c r="AL1496" s="35"/>
      <c r="AM1496" s="35"/>
      <c r="AN1496" s="35"/>
      <c r="AO1496" s="35"/>
      <c r="AP1496" s="35"/>
    </row>
    <row r="1497" spans="1:42" x14ac:dyDescent="0.2">
      <c r="A1497" s="27">
        <v>45226.76060267361</v>
      </c>
      <c r="B1497" s="28" t="s">
        <v>37</v>
      </c>
      <c r="C1497" s="41" t="s">
        <v>118</v>
      </c>
      <c r="D1497" s="26" t="s">
        <v>36</v>
      </c>
      <c r="E1497" s="26" t="s">
        <v>77</v>
      </c>
      <c r="F1497" s="26" t="s">
        <v>36</v>
      </c>
      <c r="G1497" s="26" t="s">
        <v>41</v>
      </c>
      <c r="H1497" s="26" t="s">
        <v>4409</v>
      </c>
      <c r="I1497" s="17">
        <f ca="1">IFERROR(__xludf.DUMMYFUNCTION("""COMPUTED_VALUE"""),45236)</f>
        <v>45236</v>
      </c>
      <c r="J1497" s="29" t="s">
        <v>6204</v>
      </c>
      <c r="K1497" s="26" t="s">
        <v>6205</v>
      </c>
      <c r="L1497" s="30">
        <v>764061267</v>
      </c>
      <c r="M1497" s="26" t="s">
        <v>80</v>
      </c>
      <c r="N1497" s="26" t="s">
        <v>186</v>
      </c>
      <c r="O1497" s="26" t="s">
        <v>6206</v>
      </c>
      <c r="P1497" s="26" t="s">
        <v>6207</v>
      </c>
      <c r="Q1497" s="20">
        <v>1968</v>
      </c>
      <c r="R1497" s="26" t="s">
        <v>36</v>
      </c>
      <c r="S1497" s="31">
        <v>2000</v>
      </c>
      <c r="T1497" s="32">
        <v>45226</v>
      </c>
      <c r="U1497" s="31"/>
      <c r="V1497" s="26"/>
      <c r="W1497" s="33" t="s">
        <v>6208</v>
      </c>
      <c r="X1497" s="26"/>
      <c r="Y1497" s="22">
        <v>-32</v>
      </c>
      <c r="Z1497" s="26" t="s">
        <v>50</v>
      </c>
      <c r="AA1497" s="19" t="s">
        <v>5961</v>
      </c>
      <c r="AB1497" s="26" t="s">
        <v>104</v>
      </c>
      <c r="AC1497" s="26" t="s">
        <v>53</v>
      </c>
      <c r="AD1497" s="19" t="s">
        <v>54</v>
      </c>
      <c r="AE1497" s="26">
        <v>0</v>
      </c>
      <c r="AF1497" s="43">
        <v>45230</v>
      </c>
      <c r="AG1497" s="26" t="s">
        <v>5115</v>
      </c>
      <c r="AH1497" s="26">
        <v>1</v>
      </c>
      <c r="AI1497" s="40"/>
      <c r="AJ1497" s="26"/>
      <c r="AK1497" s="26"/>
      <c r="AL1497" s="35"/>
      <c r="AM1497" s="35"/>
      <c r="AN1497" s="35"/>
      <c r="AO1497" s="35"/>
      <c r="AP1497" s="35"/>
    </row>
    <row r="1498" spans="1:42" x14ac:dyDescent="0.2">
      <c r="A1498" s="27">
        <v>45231.618190138892</v>
      </c>
      <c r="B1498" s="28" t="s">
        <v>37</v>
      </c>
      <c r="C1498" s="41" t="s">
        <v>118</v>
      </c>
      <c r="D1498" s="26" t="s">
        <v>36</v>
      </c>
      <c r="E1498" s="26" t="s">
        <v>139</v>
      </c>
      <c r="F1498" s="26" t="s">
        <v>91</v>
      </c>
      <c r="G1498" s="26" t="s">
        <v>41</v>
      </c>
      <c r="H1498" s="26" t="s">
        <v>4129</v>
      </c>
      <c r="I1498" s="17">
        <f ca="1">IFERROR(__xludf.DUMMYFUNCTION("""COMPUTED_VALUE"""),45232)</f>
        <v>45232</v>
      </c>
      <c r="J1498" s="29" t="s">
        <v>6007</v>
      </c>
      <c r="K1498" s="26" t="s">
        <v>6008</v>
      </c>
      <c r="L1498" s="30">
        <v>912501828</v>
      </c>
      <c r="M1498" s="26" t="s">
        <v>123</v>
      </c>
      <c r="N1498" s="26" t="s">
        <v>2847</v>
      </c>
      <c r="O1498" s="26" t="s">
        <v>4503</v>
      </c>
      <c r="P1498" s="26" t="s">
        <v>6009</v>
      </c>
      <c r="Q1498" s="20">
        <v>15936</v>
      </c>
      <c r="R1498" s="26" t="s">
        <v>36</v>
      </c>
      <c r="S1498" s="31">
        <v>200</v>
      </c>
      <c r="T1498" s="32">
        <v>45226</v>
      </c>
      <c r="U1498" s="31">
        <f>1800+13936</f>
        <v>15736</v>
      </c>
      <c r="V1498" s="26" t="s">
        <v>6010</v>
      </c>
      <c r="W1498" s="26" t="s">
        <v>6011</v>
      </c>
      <c r="X1498" s="26"/>
      <c r="Y1498" s="22">
        <v>0</v>
      </c>
      <c r="Z1498" s="26" t="s">
        <v>50</v>
      </c>
      <c r="AA1498" s="19" t="s">
        <v>5961</v>
      </c>
      <c r="AB1498" s="26" t="s">
        <v>104</v>
      </c>
      <c r="AC1498" s="26" t="s">
        <v>53</v>
      </c>
      <c r="AD1498" s="19" t="s">
        <v>138</v>
      </c>
      <c r="AE1498" s="26"/>
      <c r="AF1498" s="17">
        <v>45232</v>
      </c>
      <c r="AG1498" s="42"/>
      <c r="AH1498" s="26">
        <v>2</v>
      </c>
      <c r="AI1498" s="40"/>
      <c r="AJ1498" s="26"/>
      <c r="AK1498" s="26"/>
      <c r="AL1498" s="35"/>
      <c r="AM1498" s="35"/>
      <c r="AN1498" s="35"/>
      <c r="AO1498" s="35"/>
      <c r="AP1498" s="35"/>
    </row>
    <row r="1499" spans="1:42" x14ac:dyDescent="0.2">
      <c r="A1499" s="27">
        <v>45233.992121319447</v>
      </c>
      <c r="B1499" s="28" t="s">
        <v>37</v>
      </c>
      <c r="C1499" s="41" t="s">
        <v>118</v>
      </c>
      <c r="D1499" s="26" t="s">
        <v>36</v>
      </c>
      <c r="E1499" s="26" t="s">
        <v>119</v>
      </c>
      <c r="F1499" s="26" t="s">
        <v>36</v>
      </c>
      <c r="G1499" s="26" t="s">
        <v>108</v>
      </c>
      <c r="H1499" s="26" t="s">
        <v>3397</v>
      </c>
      <c r="I1499" s="17">
        <f ca="1">IFERROR(__xludf.DUMMYFUNCTION("""COMPUTED_VALUE"""),45256)</f>
        <v>45256</v>
      </c>
      <c r="J1499" s="29" t="s">
        <v>6209</v>
      </c>
      <c r="K1499" s="26" t="s">
        <v>6210</v>
      </c>
      <c r="L1499" s="30">
        <v>345813351</v>
      </c>
      <c r="M1499" s="26" t="s">
        <v>5429</v>
      </c>
      <c r="N1499" s="26" t="s">
        <v>81</v>
      </c>
      <c r="O1499" s="26" t="s">
        <v>6211</v>
      </c>
      <c r="P1499" s="26" t="s">
        <v>6212</v>
      </c>
      <c r="Q1499" s="20">
        <v>13968</v>
      </c>
      <c r="R1499" s="26" t="s">
        <v>36</v>
      </c>
      <c r="S1499" s="31">
        <v>4000</v>
      </c>
      <c r="T1499" s="32">
        <v>45233</v>
      </c>
      <c r="U1499" s="31">
        <v>9968</v>
      </c>
      <c r="V1499" s="32">
        <v>45265</v>
      </c>
      <c r="W1499" s="33" t="s">
        <v>6213</v>
      </c>
      <c r="X1499" s="26"/>
      <c r="Y1499" s="22">
        <v>0</v>
      </c>
      <c r="Z1499" s="26" t="s">
        <v>50</v>
      </c>
      <c r="AA1499" s="19" t="s">
        <v>5961</v>
      </c>
      <c r="AB1499" s="26" t="s">
        <v>137</v>
      </c>
      <c r="AC1499" s="26" t="s">
        <v>53</v>
      </c>
      <c r="AD1499" s="19" t="s">
        <v>138</v>
      </c>
      <c r="AE1499" s="26">
        <v>450</v>
      </c>
      <c r="AF1499" s="43">
        <v>45256</v>
      </c>
      <c r="AG1499" s="26" t="s">
        <v>1362</v>
      </c>
      <c r="AH1499" s="26">
        <v>1</v>
      </c>
      <c r="AI1499" s="40"/>
      <c r="AJ1499" s="26"/>
      <c r="AK1499" s="26"/>
      <c r="AL1499" s="35"/>
      <c r="AM1499" s="35"/>
      <c r="AN1499" s="35"/>
      <c r="AO1499" s="35"/>
      <c r="AP1499" s="35"/>
    </row>
    <row r="1500" spans="1:42" x14ac:dyDescent="0.2">
      <c r="A1500" s="27">
        <v>45235.941411342588</v>
      </c>
      <c r="B1500" s="28" t="s">
        <v>37</v>
      </c>
      <c r="C1500" s="41" t="s">
        <v>118</v>
      </c>
      <c r="D1500" s="26" t="s">
        <v>36</v>
      </c>
      <c r="E1500" s="26" t="s">
        <v>56</v>
      </c>
      <c r="F1500" s="26" t="s">
        <v>6214</v>
      </c>
      <c r="G1500" s="26" t="s">
        <v>41</v>
      </c>
      <c r="H1500" s="26" t="s">
        <v>413</v>
      </c>
      <c r="I1500" s="17">
        <f ca="1">IFERROR(__xludf.DUMMYFUNCTION("""COMPUTED_VALUE"""),45246)</f>
        <v>45246</v>
      </c>
      <c r="J1500" s="29" t="s">
        <v>6215</v>
      </c>
      <c r="K1500" s="26" t="s">
        <v>6216</v>
      </c>
      <c r="L1500" s="30">
        <v>393587181</v>
      </c>
      <c r="M1500" s="26" t="s">
        <v>3288</v>
      </c>
      <c r="N1500" s="26" t="s">
        <v>200</v>
      </c>
      <c r="O1500" s="26" t="s">
        <v>6217</v>
      </c>
      <c r="P1500" s="26" t="s">
        <v>6218</v>
      </c>
      <c r="Q1500" s="20">
        <v>9317</v>
      </c>
      <c r="R1500" s="26" t="s">
        <v>36</v>
      </c>
      <c r="S1500" s="31">
        <v>2000</v>
      </c>
      <c r="T1500" s="32">
        <v>45233</v>
      </c>
      <c r="U1500" s="31">
        <v>7317</v>
      </c>
      <c r="V1500" s="32">
        <v>45282</v>
      </c>
      <c r="W1500" s="33" t="s">
        <v>6219</v>
      </c>
      <c r="X1500" s="26"/>
      <c r="Y1500" s="22">
        <v>0</v>
      </c>
      <c r="Z1500" s="26" t="s">
        <v>50</v>
      </c>
      <c r="AA1500" s="19" t="s">
        <v>5961</v>
      </c>
      <c r="AB1500" s="26" t="s">
        <v>104</v>
      </c>
      <c r="AC1500" s="26" t="s">
        <v>53</v>
      </c>
      <c r="AD1500" s="19" t="s">
        <v>54</v>
      </c>
      <c r="AE1500" s="26" t="s">
        <v>1327</v>
      </c>
      <c r="AF1500" s="17">
        <v>45236</v>
      </c>
      <c r="AG1500" s="26"/>
      <c r="AH1500" s="26">
        <v>2</v>
      </c>
      <c r="AI1500" s="40"/>
      <c r="AJ1500" s="26"/>
      <c r="AK1500" s="26"/>
      <c r="AL1500" s="35"/>
      <c r="AM1500" s="35"/>
      <c r="AN1500" s="35"/>
      <c r="AO1500" s="35"/>
      <c r="AP1500" s="35"/>
    </row>
    <row r="1501" spans="1:42" x14ac:dyDescent="0.2">
      <c r="A1501" s="27">
        <v>45235.994085312501</v>
      </c>
      <c r="B1501" s="28" t="s">
        <v>37</v>
      </c>
      <c r="C1501" s="41" t="s">
        <v>118</v>
      </c>
      <c r="D1501" s="26" t="s">
        <v>36</v>
      </c>
      <c r="E1501" s="26" t="s">
        <v>119</v>
      </c>
      <c r="F1501" s="26" t="s">
        <v>36</v>
      </c>
      <c r="G1501" s="26" t="s">
        <v>108</v>
      </c>
      <c r="H1501" s="26" t="s">
        <v>3416</v>
      </c>
      <c r="I1501" s="17">
        <f ca="1">IFERROR(__xludf.DUMMYFUNCTION("""COMPUTED_VALUE"""),45247)</f>
        <v>45247</v>
      </c>
      <c r="J1501" s="29" t="s">
        <v>6220</v>
      </c>
      <c r="K1501" s="26" t="s">
        <v>6221</v>
      </c>
      <c r="L1501" s="30">
        <v>336953363</v>
      </c>
      <c r="M1501" s="26" t="s">
        <v>3728</v>
      </c>
      <c r="N1501" s="26" t="s">
        <v>5377</v>
      </c>
      <c r="O1501" s="26" t="s">
        <v>6222</v>
      </c>
      <c r="P1501" s="26" t="s">
        <v>4126</v>
      </c>
      <c r="Q1501" s="20">
        <v>13968</v>
      </c>
      <c r="R1501" s="26" t="s">
        <v>36</v>
      </c>
      <c r="S1501" s="31">
        <v>4000</v>
      </c>
      <c r="T1501" s="32">
        <v>45235</v>
      </c>
      <c r="U1501" s="31">
        <v>9968</v>
      </c>
      <c r="V1501" s="32">
        <v>45272</v>
      </c>
      <c r="W1501" s="33" t="s">
        <v>6223</v>
      </c>
      <c r="X1501" s="26"/>
      <c r="Y1501" s="22">
        <v>0</v>
      </c>
      <c r="Z1501" s="26" t="s">
        <v>50</v>
      </c>
      <c r="AA1501" s="19" t="s">
        <v>5961</v>
      </c>
      <c r="AB1501" s="26" t="s">
        <v>128</v>
      </c>
      <c r="AC1501" s="26" t="s">
        <v>53</v>
      </c>
      <c r="AD1501" s="19" t="s">
        <v>138</v>
      </c>
      <c r="AE1501" s="26">
        <v>560</v>
      </c>
      <c r="AF1501" s="43">
        <v>45247</v>
      </c>
      <c r="AG1501" s="26" t="s">
        <v>5592</v>
      </c>
      <c r="AH1501" s="26">
        <v>1</v>
      </c>
      <c r="AI1501" s="40"/>
      <c r="AJ1501" s="26"/>
      <c r="AK1501" s="26"/>
      <c r="AL1501" s="35"/>
      <c r="AM1501" s="35"/>
      <c r="AN1501" s="35"/>
      <c r="AO1501" s="35"/>
      <c r="AP1501" s="35"/>
    </row>
    <row r="1502" spans="1:42" x14ac:dyDescent="0.2">
      <c r="A1502" s="27">
        <v>45236.762085694441</v>
      </c>
      <c r="B1502" s="28" t="s">
        <v>37</v>
      </c>
      <c r="C1502" s="41" t="s">
        <v>118</v>
      </c>
      <c r="D1502" s="26" t="s">
        <v>36</v>
      </c>
      <c r="E1502" s="26" t="s">
        <v>56</v>
      </c>
      <c r="F1502" s="26" t="s">
        <v>91</v>
      </c>
      <c r="G1502" s="26" t="s">
        <v>41</v>
      </c>
      <c r="H1502" s="26" t="s">
        <v>413</v>
      </c>
      <c r="I1502" s="17">
        <f ca="1">IFERROR(__xludf.DUMMYFUNCTION("""COMPUTED_VALUE"""),45246)</f>
        <v>45246</v>
      </c>
      <c r="J1502" s="29" t="s">
        <v>6224</v>
      </c>
      <c r="K1502" s="26" t="s">
        <v>6225</v>
      </c>
      <c r="L1502" s="30">
        <v>877765981</v>
      </c>
      <c r="M1502" s="26" t="s">
        <v>5558</v>
      </c>
      <c r="N1502" s="26" t="s">
        <v>5559</v>
      </c>
      <c r="O1502" s="26" t="s">
        <v>91</v>
      </c>
      <c r="P1502" s="26" t="s">
        <v>6226</v>
      </c>
      <c r="Q1502" s="20">
        <v>9317</v>
      </c>
      <c r="R1502" s="26" t="s">
        <v>36</v>
      </c>
      <c r="S1502" s="31">
        <v>2000</v>
      </c>
      <c r="T1502" s="32">
        <v>45235</v>
      </c>
      <c r="U1502" s="31">
        <v>7317</v>
      </c>
      <c r="V1502" s="32">
        <v>45266</v>
      </c>
      <c r="W1502" s="33" t="s">
        <v>6227</v>
      </c>
      <c r="X1502" s="26"/>
      <c r="Y1502" s="22">
        <v>0</v>
      </c>
      <c r="Z1502" s="26" t="s">
        <v>50</v>
      </c>
      <c r="AA1502" s="19" t="s">
        <v>5961</v>
      </c>
      <c r="AB1502" s="26" t="s">
        <v>104</v>
      </c>
      <c r="AC1502" s="26" t="s">
        <v>53</v>
      </c>
      <c r="AD1502" s="19" t="s">
        <v>54</v>
      </c>
      <c r="AE1502" s="26"/>
      <c r="AF1502" s="17">
        <v>45238</v>
      </c>
      <c r="AG1502" s="26"/>
      <c r="AH1502" s="26">
        <v>2</v>
      </c>
      <c r="AI1502" s="40"/>
      <c r="AJ1502" s="26"/>
      <c r="AK1502" s="26"/>
      <c r="AL1502" s="35"/>
      <c r="AM1502" s="35"/>
      <c r="AN1502" s="35"/>
      <c r="AO1502" s="35"/>
      <c r="AP1502" s="35"/>
    </row>
    <row r="1503" spans="1:42" x14ac:dyDescent="0.2">
      <c r="A1503" s="27">
        <v>45236.788761076386</v>
      </c>
      <c r="B1503" s="28" t="s">
        <v>37</v>
      </c>
      <c r="C1503" s="41" t="s">
        <v>118</v>
      </c>
      <c r="D1503" s="26" t="s">
        <v>36</v>
      </c>
      <c r="E1503" s="26" t="s">
        <v>139</v>
      </c>
      <c r="F1503" s="26" t="s">
        <v>91</v>
      </c>
      <c r="G1503" s="26" t="s">
        <v>41</v>
      </c>
      <c r="H1503" s="26" t="s">
        <v>413</v>
      </c>
      <c r="I1503" s="17">
        <f ca="1">IFERROR(__xludf.DUMMYFUNCTION("""COMPUTED_VALUE"""),45246)</f>
        <v>45246</v>
      </c>
      <c r="J1503" s="29" t="s">
        <v>6228</v>
      </c>
      <c r="K1503" s="26" t="s">
        <v>6229</v>
      </c>
      <c r="L1503" s="30">
        <v>914638012</v>
      </c>
      <c r="M1503" s="26" t="s">
        <v>5558</v>
      </c>
      <c r="N1503" s="26" t="s">
        <v>850</v>
      </c>
      <c r="O1503" s="26" t="s">
        <v>4503</v>
      </c>
      <c r="P1503" s="26" t="s">
        <v>6230</v>
      </c>
      <c r="Q1503" s="20">
        <v>15936</v>
      </c>
      <c r="R1503" s="26" t="s">
        <v>36</v>
      </c>
      <c r="S1503" s="31">
        <v>8000</v>
      </c>
      <c r="T1503" s="32">
        <v>45236</v>
      </c>
      <c r="U1503" s="31">
        <v>7936</v>
      </c>
      <c r="V1503" s="32">
        <v>45265</v>
      </c>
      <c r="W1503" s="33" t="s">
        <v>6231</v>
      </c>
      <c r="X1503" s="26"/>
      <c r="Y1503" s="22">
        <v>0</v>
      </c>
      <c r="Z1503" s="26" t="s">
        <v>50</v>
      </c>
      <c r="AA1503" s="19" t="s">
        <v>5961</v>
      </c>
      <c r="AB1503" s="26" t="s">
        <v>104</v>
      </c>
      <c r="AC1503" s="26" t="s">
        <v>53</v>
      </c>
      <c r="AD1503" s="19" t="s">
        <v>54</v>
      </c>
      <c r="AE1503" s="26"/>
      <c r="AF1503" s="17">
        <v>45238</v>
      </c>
      <c r="AG1503" s="26"/>
      <c r="AH1503" s="26">
        <v>2</v>
      </c>
      <c r="AI1503" s="40"/>
      <c r="AJ1503" s="26"/>
      <c r="AK1503" s="26"/>
      <c r="AL1503" s="35"/>
      <c r="AM1503" s="35"/>
      <c r="AN1503" s="35"/>
      <c r="AO1503" s="35"/>
      <c r="AP1503" s="35"/>
    </row>
    <row r="1504" spans="1:42" x14ac:dyDescent="0.2">
      <c r="A1504" s="27">
        <v>45236.800384918984</v>
      </c>
      <c r="B1504" s="28" t="s">
        <v>37</v>
      </c>
      <c r="C1504" s="41" t="s">
        <v>118</v>
      </c>
      <c r="D1504" s="26" t="s">
        <v>36</v>
      </c>
      <c r="E1504" s="26" t="s">
        <v>139</v>
      </c>
      <c r="F1504" s="26" t="s">
        <v>36</v>
      </c>
      <c r="G1504" s="26" t="s">
        <v>41</v>
      </c>
      <c r="H1504" s="26" t="s">
        <v>3365</v>
      </c>
      <c r="I1504" s="17">
        <f ca="1">IFERROR(__xludf.DUMMYFUNCTION("""COMPUTED_VALUE"""),45244)</f>
        <v>45244</v>
      </c>
      <c r="J1504" s="29" t="s">
        <v>6232</v>
      </c>
      <c r="K1504" s="26" t="s">
        <v>6233</v>
      </c>
      <c r="L1504" s="30">
        <v>962502759</v>
      </c>
      <c r="M1504" s="26" t="s">
        <v>2755</v>
      </c>
      <c r="N1504" s="26" t="s">
        <v>310</v>
      </c>
      <c r="O1504" s="26" t="s">
        <v>6234</v>
      </c>
      <c r="P1504" s="26" t="s">
        <v>6235</v>
      </c>
      <c r="Q1504" s="20">
        <v>15936</v>
      </c>
      <c r="R1504" s="26" t="s">
        <v>36</v>
      </c>
      <c r="S1504" s="31">
        <v>2000</v>
      </c>
      <c r="T1504" s="32">
        <v>45235</v>
      </c>
      <c r="U1504" s="31">
        <v>13936</v>
      </c>
      <c r="V1504" s="32">
        <v>45261</v>
      </c>
      <c r="W1504" s="33" t="s">
        <v>6236</v>
      </c>
      <c r="X1504" s="26"/>
      <c r="Y1504" s="22">
        <v>0</v>
      </c>
      <c r="Z1504" s="26" t="s">
        <v>50</v>
      </c>
      <c r="AA1504" s="19" t="s">
        <v>5961</v>
      </c>
      <c r="AB1504" s="26"/>
      <c r="AC1504" s="26" t="s">
        <v>53</v>
      </c>
      <c r="AD1504" s="19" t="s">
        <v>54</v>
      </c>
      <c r="AE1504" s="26"/>
      <c r="AF1504" s="17">
        <v>45238</v>
      </c>
      <c r="AG1504" s="26"/>
      <c r="AH1504" s="26">
        <v>1</v>
      </c>
      <c r="AI1504" s="40"/>
      <c r="AJ1504" s="26"/>
      <c r="AK1504" s="26"/>
      <c r="AL1504" s="35"/>
      <c r="AM1504" s="35"/>
      <c r="AN1504" s="35"/>
      <c r="AO1504" s="35"/>
      <c r="AP1504" s="35"/>
    </row>
    <row r="1505" spans="1:42" x14ac:dyDescent="0.2">
      <c r="A1505" s="27">
        <v>45236.809385196757</v>
      </c>
      <c r="B1505" s="28" t="s">
        <v>37</v>
      </c>
      <c r="C1505" s="41" t="s">
        <v>118</v>
      </c>
      <c r="D1505" s="26" t="s">
        <v>36</v>
      </c>
      <c r="E1505" s="26" t="s">
        <v>106</v>
      </c>
      <c r="F1505" s="26" t="s">
        <v>6237</v>
      </c>
      <c r="G1505" s="26" t="s">
        <v>108</v>
      </c>
      <c r="H1505" s="26" t="s">
        <v>2440</v>
      </c>
      <c r="I1505" s="17">
        <f ca="1">IFERROR(__xludf.DUMMYFUNCTION("""COMPUTED_VALUE"""),45306)</f>
        <v>45306</v>
      </c>
      <c r="J1505" s="29" t="s">
        <v>6238</v>
      </c>
      <c r="K1505" s="26" t="s">
        <v>6239</v>
      </c>
      <c r="L1505" s="30">
        <v>945710064</v>
      </c>
      <c r="M1505" s="26" t="s">
        <v>3288</v>
      </c>
      <c r="N1505" s="26" t="s">
        <v>200</v>
      </c>
      <c r="O1505" s="26" t="s">
        <v>6240</v>
      </c>
      <c r="P1505" s="26" t="s">
        <v>6241</v>
      </c>
      <c r="Q1505" s="20">
        <v>3768</v>
      </c>
      <c r="R1505" s="26" t="s">
        <v>36</v>
      </c>
      <c r="S1505" s="31">
        <v>1000</v>
      </c>
      <c r="T1505" s="32">
        <v>45236</v>
      </c>
      <c r="U1505" s="31">
        <f>2508+173</f>
        <v>2681</v>
      </c>
      <c r="V1505" s="26" t="s">
        <v>6242</v>
      </c>
      <c r="W1505" s="33" t="s">
        <v>6243</v>
      </c>
      <c r="X1505" s="26"/>
      <c r="Y1505" s="22">
        <v>87</v>
      </c>
      <c r="Z1505" s="26" t="s">
        <v>50</v>
      </c>
      <c r="AA1505" s="19" t="s">
        <v>5961</v>
      </c>
      <c r="AB1505" s="26" t="s">
        <v>104</v>
      </c>
      <c r="AC1505" s="26" t="s">
        <v>53</v>
      </c>
      <c r="AD1505" s="19" t="s">
        <v>54</v>
      </c>
      <c r="AE1505" s="26">
        <v>400</v>
      </c>
      <c r="AF1505" s="17">
        <v>45299</v>
      </c>
      <c r="AG1505" s="26"/>
      <c r="AH1505" s="26">
        <v>1</v>
      </c>
      <c r="AI1505" s="40"/>
      <c r="AJ1505" s="26"/>
      <c r="AK1505" s="26"/>
      <c r="AL1505" s="35"/>
      <c r="AM1505" s="35"/>
      <c r="AN1505" s="35"/>
      <c r="AO1505" s="35"/>
      <c r="AP1505" s="35"/>
    </row>
    <row r="1506" spans="1:42" x14ac:dyDescent="0.2">
      <c r="A1506" s="27">
        <v>45242.497969999997</v>
      </c>
      <c r="B1506" s="28" t="s">
        <v>37</v>
      </c>
      <c r="C1506" s="41" t="s">
        <v>118</v>
      </c>
      <c r="D1506" s="26" t="s">
        <v>36</v>
      </c>
      <c r="E1506" s="26" t="s">
        <v>119</v>
      </c>
      <c r="F1506" s="26" t="s">
        <v>36</v>
      </c>
      <c r="G1506" s="26" t="s">
        <v>108</v>
      </c>
      <c r="H1506" s="26" t="s">
        <v>5764</v>
      </c>
      <c r="I1506" s="17" t="str">
        <f ca="1">IFERROR(__xludf.DUMMYFUNCTION("""COMPUTED_VALUE""")," ")</f>
        <v xml:space="preserve"> </v>
      </c>
      <c r="J1506" s="29" t="s">
        <v>6244</v>
      </c>
      <c r="K1506" s="26" t="s">
        <v>6245</v>
      </c>
      <c r="L1506" s="30">
        <v>769373069</v>
      </c>
      <c r="M1506" s="26" t="s">
        <v>80</v>
      </c>
      <c r="N1506" s="26" t="s">
        <v>1073</v>
      </c>
      <c r="O1506" s="26" t="s">
        <v>6246</v>
      </c>
      <c r="P1506" s="26" t="s">
        <v>2641</v>
      </c>
      <c r="Q1506" s="20">
        <v>13968</v>
      </c>
      <c r="R1506" s="26" t="s">
        <v>70</v>
      </c>
      <c r="S1506" s="31">
        <v>200</v>
      </c>
      <c r="T1506" s="32">
        <v>45238</v>
      </c>
      <c r="U1506" s="31">
        <f t="shared" ref="U1506:U1507" si="1">3800+9868</f>
        <v>13668</v>
      </c>
      <c r="V1506" s="26" t="s">
        <v>6247</v>
      </c>
      <c r="W1506" s="33" t="s">
        <v>6248</v>
      </c>
      <c r="X1506" s="26"/>
      <c r="Y1506" s="22">
        <v>100</v>
      </c>
      <c r="Z1506" s="26" t="s">
        <v>50</v>
      </c>
      <c r="AA1506" s="19" t="s">
        <v>5961</v>
      </c>
      <c r="AB1506" s="26" t="s">
        <v>104</v>
      </c>
      <c r="AC1506" s="26" t="s">
        <v>53</v>
      </c>
      <c r="AD1506" s="19" t="s">
        <v>138</v>
      </c>
      <c r="AE1506" s="26">
        <v>500</v>
      </c>
      <c r="AF1506" s="60" t="s">
        <v>1829</v>
      </c>
      <c r="AG1506" s="26" t="s">
        <v>6249</v>
      </c>
      <c r="AH1506" s="26">
        <v>1</v>
      </c>
      <c r="AI1506" s="40"/>
      <c r="AJ1506" s="26"/>
      <c r="AK1506" s="26"/>
      <c r="AL1506" s="35"/>
      <c r="AM1506" s="35"/>
      <c r="AN1506" s="35"/>
      <c r="AO1506" s="35"/>
      <c r="AP1506" s="35"/>
    </row>
    <row r="1507" spans="1:42" x14ac:dyDescent="0.2">
      <c r="A1507" s="14">
        <v>45307</v>
      </c>
      <c r="B1507" s="28" t="s">
        <v>37</v>
      </c>
      <c r="C1507" s="41" t="s">
        <v>118</v>
      </c>
      <c r="D1507" s="26" t="s">
        <v>36</v>
      </c>
      <c r="E1507" s="26" t="s">
        <v>119</v>
      </c>
      <c r="F1507" s="26" t="s">
        <v>36</v>
      </c>
      <c r="G1507" s="26" t="s">
        <v>108</v>
      </c>
      <c r="H1507" s="26" t="s">
        <v>6250</v>
      </c>
      <c r="I1507" s="17">
        <f ca="1">IFERROR(__xludf.DUMMYFUNCTION("""COMPUTED_VALUE"""),45495)</f>
        <v>45495</v>
      </c>
      <c r="J1507" s="44" t="s">
        <v>6251</v>
      </c>
      <c r="K1507" s="26" t="s">
        <v>6252</v>
      </c>
      <c r="L1507" s="121">
        <v>912243305</v>
      </c>
      <c r="M1507" s="26" t="s">
        <v>80</v>
      </c>
      <c r="N1507" s="26" t="s">
        <v>1073</v>
      </c>
      <c r="O1507" s="26" t="s">
        <v>36</v>
      </c>
      <c r="P1507" s="42" t="s">
        <v>6253</v>
      </c>
      <c r="Q1507" s="20">
        <v>13968</v>
      </c>
      <c r="R1507" s="26" t="s">
        <v>70</v>
      </c>
      <c r="S1507" s="31">
        <v>200</v>
      </c>
      <c r="T1507" s="32">
        <v>45238</v>
      </c>
      <c r="U1507" s="31">
        <f t="shared" si="1"/>
        <v>13668</v>
      </c>
      <c r="V1507" s="26" t="s">
        <v>6247</v>
      </c>
      <c r="W1507" s="33" t="s">
        <v>6248</v>
      </c>
      <c r="X1507" s="26"/>
      <c r="Y1507" s="22">
        <v>100</v>
      </c>
      <c r="Z1507" s="26" t="s">
        <v>50</v>
      </c>
      <c r="AA1507" s="19" t="s">
        <v>5961</v>
      </c>
      <c r="AB1507" s="26" t="s">
        <v>104</v>
      </c>
      <c r="AC1507" s="26" t="s">
        <v>53</v>
      </c>
      <c r="AD1507" s="19" t="s">
        <v>138</v>
      </c>
      <c r="AE1507" s="26" t="s">
        <v>6254</v>
      </c>
      <c r="AF1507" s="17">
        <v>45375</v>
      </c>
      <c r="AG1507" s="26" t="s">
        <v>1362</v>
      </c>
      <c r="AH1507" s="26">
        <v>1</v>
      </c>
      <c r="AI1507" s="40"/>
      <c r="AJ1507" s="26"/>
      <c r="AK1507" s="26"/>
      <c r="AL1507" s="35"/>
      <c r="AM1507" s="35"/>
      <c r="AN1507" s="35"/>
      <c r="AO1507" s="35"/>
      <c r="AP1507" s="35"/>
    </row>
    <row r="1508" spans="1:42" x14ac:dyDescent="0.2">
      <c r="A1508" s="27">
        <v>45242.938653611112</v>
      </c>
      <c r="B1508" s="28" t="s">
        <v>37</v>
      </c>
      <c r="C1508" s="41" t="s">
        <v>118</v>
      </c>
      <c r="D1508" s="26" t="s">
        <v>36</v>
      </c>
      <c r="E1508" s="26" t="s">
        <v>139</v>
      </c>
      <c r="F1508" s="26" t="s">
        <v>91</v>
      </c>
      <c r="G1508" s="26" t="s">
        <v>41</v>
      </c>
      <c r="H1508" s="26" t="s">
        <v>4261</v>
      </c>
      <c r="I1508" s="17">
        <f ca="1">IFERROR(__xludf.DUMMYFUNCTION("""COMPUTED_VALUE"""),45257)</f>
        <v>45257</v>
      </c>
      <c r="J1508" s="29" t="s">
        <v>6255</v>
      </c>
      <c r="K1508" s="26" t="s">
        <v>6256</v>
      </c>
      <c r="L1508" s="30">
        <v>966809024</v>
      </c>
      <c r="M1508" s="26" t="s">
        <v>348</v>
      </c>
      <c r="N1508" s="26" t="s">
        <v>200</v>
      </c>
      <c r="O1508" s="26" t="s">
        <v>6257</v>
      </c>
      <c r="P1508" s="26" t="s">
        <v>6258</v>
      </c>
      <c r="Q1508" s="20">
        <v>15936</v>
      </c>
      <c r="R1508" s="26" t="s">
        <v>36</v>
      </c>
      <c r="S1508" s="31">
        <v>2000</v>
      </c>
      <c r="T1508" s="32">
        <v>45241</v>
      </c>
      <c r="U1508" s="31">
        <v>13936</v>
      </c>
      <c r="V1508" s="32">
        <v>45265</v>
      </c>
      <c r="W1508" s="33" t="s">
        <v>6259</v>
      </c>
      <c r="X1508" s="26"/>
      <c r="Y1508" s="22">
        <v>0</v>
      </c>
      <c r="Z1508" s="26" t="s">
        <v>50</v>
      </c>
      <c r="AA1508" s="19" t="s">
        <v>5961</v>
      </c>
      <c r="AB1508" s="26" t="s">
        <v>104</v>
      </c>
      <c r="AC1508" s="26" t="s">
        <v>53</v>
      </c>
      <c r="AD1508" s="19" t="s">
        <v>54</v>
      </c>
      <c r="AE1508" s="26" t="s">
        <v>1327</v>
      </c>
      <c r="AF1508" s="17">
        <v>45247</v>
      </c>
      <c r="AG1508" s="26"/>
      <c r="AH1508" s="26">
        <v>1</v>
      </c>
      <c r="AI1508" s="40"/>
      <c r="AJ1508" s="26"/>
      <c r="AK1508" s="26"/>
      <c r="AL1508" s="35"/>
      <c r="AM1508" s="35"/>
      <c r="AN1508" s="35"/>
      <c r="AO1508" s="35"/>
      <c r="AP1508" s="35"/>
    </row>
    <row r="1509" spans="1:42" x14ac:dyDescent="0.2">
      <c r="A1509" s="27">
        <v>45246.011939490738</v>
      </c>
      <c r="B1509" s="28" t="s">
        <v>37</v>
      </c>
      <c r="C1509" s="41" t="s">
        <v>118</v>
      </c>
      <c r="D1509" s="26" t="s">
        <v>36</v>
      </c>
      <c r="E1509" s="26" t="s">
        <v>77</v>
      </c>
      <c r="F1509" s="26" t="s">
        <v>36</v>
      </c>
      <c r="G1509" s="26" t="s">
        <v>41</v>
      </c>
      <c r="H1509" s="26" t="s">
        <v>5650</v>
      </c>
      <c r="I1509" s="17">
        <f ca="1">IFERROR(__xludf.DUMMYFUNCTION("""COMPUTED_VALUE"""),45265)</f>
        <v>45265</v>
      </c>
      <c r="J1509" s="29" t="s">
        <v>6260</v>
      </c>
      <c r="K1509" s="26" t="s">
        <v>6261</v>
      </c>
      <c r="L1509" s="30">
        <v>981668796</v>
      </c>
      <c r="M1509" s="26" t="s">
        <v>5429</v>
      </c>
      <c r="N1509" s="26" t="s">
        <v>81</v>
      </c>
      <c r="O1509" s="26" t="s">
        <v>6262</v>
      </c>
      <c r="P1509" s="26" t="s">
        <v>6263</v>
      </c>
      <c r="Q1509" s="20">
        <v>1968</v>
      </c>
      <c r="R1509" s="26" t="s">
        <v>36</v>
      </c>
      <c r="S1509" s="31">
        <v>2000</v>
      </c>
      <c r="T1509" s="32">
        <v>45245</v>
      </c>
      <c r="U1509" s="31"/>
      <c r="V1509" s="32"/>
      <c r="W1509" s="33" t="s">
        <v>6264</v>
      </c>
      <c r="X1509" s="26"/>
      <c r="Y1509" s="22">
        <v>-32</v>
      </c>
      <c r="Z1509" s="26" t="s">
        <v>50</v>
      </c>
      <c r="AA1509" s="19" t="s">
        <v>5961</v>
      </c>
      <c r="AB1509" s="26" t="s">
        <v>104</v>
      </c>
      <c r="AC1509" s="26" t="s">
        <v>53</v>
      </c>
      <c r="AD1509" s="19" t="s">
        <v>54</v>
      </c>
      <c r="AE1509" s="26" t="s">
        <v>420</v>
      </c>
      <c r="AF1509" s="43">
        <v>45250</v>
      </c>
      <c r="AG1509" s="26"/>
      <c r="AH1509" s="26">
        <v>1</v>
      </c>
      <c r="AI1509" s="40"/>
      <c r="AJ1509" s="26"/>
      <c r="AK1509" s="26"/>
      <c r="AL1509" s="35"/>
      <c r="AM1509" s="35"/>
      <c r="AN1509" s="35"/>
      <c r="AO1509" s="35"/>
      <c r="AP1509" s="35"/>
    </row>
    <row r="1510" spans="1:42" x14ac:dyDescent="0.2">
      <c r="A1510" s="27">
        <v>45250.657456331013</v>
      </c>
      <c r="B1510" s="28" t="s">
        <v>37</v>
      </c>
      <c r="C1510" s="41" t="s">
        <v>118</v>
      </c>
      <c r="D1510" s="26" t="s">
        <v>36</v>
      </c>
      <c r="E1510" s="26" t="s">
        <v>139</v>
      </c>
      <c r="F1510" s="26" t="s">
        <v>36</v>
      </c>
      <c r="G1510" s="26" t="s">
        <v>41</v>
      </c>
      <c r="H1510" s="26" t="s">
        <v>4261</v>
      </c>
      <c r="I1510" s="17">
        <f ca="1">IFERROR(__xludf.DUMMYFUNCTION("""COMPUTED_VALUE"""),45257)</f>
        <v>45257</v>
      </c>
      <c r="J1510" s="29" t="s">
        <v>6265</v>
      </c>
      <c r="K1510" s="26" t="s">
        <v>6266</v>
      </c>
      <c r="L1510" s="30">
        <v>869671736</v>
      </c>
      <c r="M1510" s="26" t="s">
        <v>348</v>
      </c>
      <c r="N1510" s="26" t="s">
        <v>200</v>
      </c>
      <c r="O1510" s="26" t="s">
        <v>6267</v>
      </c>
      <c r="P1510" s="26" t="s">
        <v>6268</v>
      </c>
      <c r="Q1510" s="20">
        <v>15936</v>
      </c>
      <c r="R1510" s="26" t="s">
        <v>36</v>
      </c>
      <c r="S1510" s="31">
        <v>2000</v>
      </c>
      <c r="T1510" s="32">
        <v>45250</v>
      </c>
      <c r="U1510" s="31">
        <v>13936</v>
      </c>
      <c r="V1510" s="32">
        <v>45269</v>
      </c>
      <c r="W1510" s="33" t="s">
        <v>6269</v>
      </c>
      <c r="X1510" s="26"/>
      <c r="Y1510" s="22">
        <v>0</v>
      </c>
      <c r="Z1510" s="26" t="s">
        <v>50</v>
      </c>
      <c r="AA1510" s="19" t="s">
        <v>5961</v>
      </c>
      <c r="AB1510" s="26" t="s">
        <v>104</v>
      </c>
      <c r="AC1510" s="26" t="s">
        <v>53</v>
      </c>
      <c r="AD1510" s="19" t="s">
        <v>54</v>
      </c>
      <c r="AE1510" s="26" t="s">
        <v>1327</v>
      </c>
      <c r="AF1510" s="43">
        <v>45251</v>
      </c>
      <c r="AG1510" s="26"/>
      <c r="AH1510" s="26">
        <v>1</v>
      </c>
      <c r="AI1510" s="40"/>
      <c r="AJ1510" s="26"/>
      <c r="AK1510" s="26"/>
      <c r="AL1510" s="35"/>
      <c r="AM1510" s="35"/>
      <c r="AN1510" s="35"/>
      <c r="AO1510" s="35"/>
      <c r="AP1510" s="35"/>
    </row>
    <row r="1511" spans="1:42" x14ac:dyDescent="0.2">
      <c r="A1511" s="27">
        <v>45250.906952199075</v>
      </c>
      <c r="B1511" s="28" t="s">
        <v>37</v>
      </c>
      <c r="C1511" s="41" t="s">
        <v>118</v>
      </c>
      <c r="D1511" s="26" t="s">
        <v>36</v>
      </c>
      <c r="E1511" s="26" t="s">
        <v>77</v>
      </c>
      <c r="F1511" s="26" t="s">
        <v>36</v>
      </c>
      <c r="G1511" s="26" t="s">
        <v>41</v>
      </c>
      <c r="H1511" s="26" t="s">
        <v>5650</v>
      </c>
      <c r="I1511" s="17">
        <f ca="1">IFERROR(__xludf.DUMMYFUNCTION("""COMPUTED_VALUE"""),45265)</f>
        <v>45265</v>
      </c>
      <c r="J1511" s="29" t="s">
        <v>6270</v>
      </c>
      <c r="K1511" s="26" t="s">
        <v>6271</v>
      </c>
      <c r="L1511" s="30">
        <v>383022705</v>
      </c>
      <c r="M1511" s="26" t="s">
        <v>45</v>
      </c>
      <c r="N1511" s="26" t="s">
        <v>2696</v>
      </c>
      <c r="O1511" s="26" t="s">
        <v>6272</v>
      </c>
      <c r="P1511" s="26" t="s">
        <v>6273</v>
      </c>
      <c r="Q1511" s="20">
        <v>1968</v>
      </c>
      <c r="R1511" s="26" t="s">
        <v>36</v>
      </c>
      <c r="S1511" s="31">
        <v>2000</v>
      </c>
      <c r="T1511" s="32">
        <v>45250</v>
      </c>
      <c r="U1511" s="31"/>
      <c r="V1511" s="32"/>
      <c r="W1511" s="33" t="s">
        <v>6274</v>
      </c>
      <c r="X1511" s="26"/>
      <c r="Y1511" s="22">
        <v>-32</v>
      </c>
      <c r="Z1511" s="26" t="s">
        <v>50</v>
      </c>
      <c r="AA1511" s="19" t="s">
        <v>5961</v>
      </c>
      <c r="AB1511" s="26" t="s">
        <v>104</v>
      </c>
      <c r="AC1511" s="26" t="s">
        <v>53</v>
      </c>
      <c r="AD1511" s="19" t="s">
        <v>54</v>
      </c>
      <c r="AE1511" s="26">
        <v>0</v>
      </c>
      <c r="AF1511" s="43">
        <v>45251</v>
      </c>
      <c r="AG1511" s="26"/>
      <c r="AH1511" s="26">
        <v>1</v>
      </c>
      <c r="AI1511" s="40"/>
      <c r="AJ1511" s="26"/>
      <c r="AK1511" s="26"/>
      <c r="AL1511" s="35"/>
      <c r="AM1511" s="35"/>
      <c r="AN1511" s="35"/>
      <c r="AO1511" s="35"/>
      <c r="AP1511" s="35"/>
    </row>
    <row r="1512" spans="1:42" x14ac:dyDescent="0.2">
      <c r="A1512" s="27">
        <v>45254.596107939811</v>
      </c>
      <c r="B1512" s="28" t="s">
        <v>37</v>
      </c>
      <c r="C1512" s="41" t="s">
        <v>118</v>
      </c>
      <c r="D1512" s="26" t="s">
        <v>36</v>
      </c>
      <c r="E1512" s="26" t="s">
        <v>119</v>
      </c>
      <c r="F1512" s="26" t="s">
        <v>36</v>
      </c>
      <c r="G1512" s="26" t="s">
        <v>108</v>
      </c>
      <c r="H1512" s="26" t="s">
        <v>1626</v>
      </c>
      <c r="I1512" s="17">
        <f ca="1">IFERROR(__xludf.DUMMYFUNCTION("""COMPUTED_VALUE"""),45272)</f>
        <v>45272</v>
      </c>
      <c r="J1512" s="29" t="s">
        <v>6275</v>
      </c>
      <c r="K1512" s="26" t="s">
        <v>6276</v>
      </c>
      <c r="L1512" s="30">
        <v>343880005</v>
      </c>
      <c r="M1512" s="26" t="s">
        <v>5429</v>
      </c>
      <c r="N1512" s="26" t="s">
        <v>81</v>
      </c>
      <c r="O1512" s="26" t="s">
        <v>6277</v>
      </c>
      <c r="P1512" s="26" t="s">
        <v>6278</v>
      </c>
      <c r="Q1512" s="20">
        <v>13968</v>
      </c>
      <c r="R1512" s="26" t="s">
        <v>36</v>
      </c>
      <c r="S1512" s="31">
        <v>4000</v>
      </c>
      <c r="T1512" s="32">
        <v>45254</v>
      </c>
      <c r="U1512" s="31">
        <v>9968</v>
      </c>
      <c r="V1512" s="32">
        <v>45287</v>
      </c>
      <c r="W1512" s="33" t="s">
        <v>6279</v>
      </c>
      <c r="X1512" s="26"/>
      <c r="Y1512" s="22">
        <v>0</v>
      </c>
      <c r="Z1512" s="26" t="s">
        <v>50</v>
      </c>
      <c r="AA1512" s="19" t="s">
        <v>5961</v>
      </c>
      <c r="AB1512" s="26" t="s">
        <v>128</v>
      </c>
      <c r="AC1512" s="26" t="s">
        <v>53</v>
      </c>
      <c r="AD1512" s="19" t="s">
        <v>138</v>
      </c>
      <c r="AE1512" s="26">
        <v>650</v>
      </c>
      <c r="AF1512" s="43">
        <v>45272</v>
      </c>
      <c r="AG1512" s="26" t="s">
        <v>4996</v>
      </c>
      <c r="AH1512" s="26">
        <v>1</v>
      </c>
      <c r="AI1512" s="40"/>
      <c r="AJ1512" s="26"/>
      <c r="AK1512" s="26"/>
      <c r="AL1512" s="35"/>
      <c r="AM1512" s="35"/>
      <c r="AN1512" s="35"/>
      <c r="AO1512" s="35"/>
      <c r="AP1512" s="35"/>
    </row>
    <row r="1513" spans="1:42" x14ac:dyDescent="0.2">
      <c r="A1513" s="27">
        <v>45256.57743203704</v>
      </c>
      <c r="B1513" s="28" t="s">
        <v>37</v>
      </c>
      <c r="C1513" s="41" t="s">
        <v>118</v>
      </c>
      <c r="D1513" s="26" t="s">
        <v>36</v>
      </c>
      <c r="E1513" s="26" t="s">
        <v>139</v>
      </c>
      <c r="F1513" s="26" t="s">
        <v>6280</v>
      </c>
      <c r="G1513" s="26" t="s">
        <v>41</v>
      </c>
      <c r="H1513" s="26" t="s">
        <v>1733</v>
      </c>
      <c r="I1513" s="17">
        <f ca="1">IFERROR(__xludf.DUMMYFUNCTION("""COMPUTED_VALUE"""),45275)</f>
        <v>45275</v>
      </c>
      <c r="J1513" s="29" t="s">
        <v>6281</v>
      </c>
      <c r="K1513" s="26" t="s">
        <v>5899</v>
      </c>
      <c r="L1513" s="30">
        <v>382959506</v>
      </c>
      <c r="M1513" s="26" t="s">
        <v>3288</v>
      </c>
      <c r="N1513" s="26" t="s">
        <v>200</v>
      </c>
      <c r="O1513" s="26" t="s">
        <v>91</v>
      </c>
      <c r="P1513" s="26" t="s">
        <v>6282</v>
      </c>
      <c r="Q1513" s="20">
        <v>15936</v>
      </c>
      <c r="R1513" s="26" t="s">
        <v>36</v>
      </c>
      <c r="S1513" s="31">
        <v>7000</v>
      </c>
      <c r="T1513" s="32">
        <v>45256</v>
      </c>
      <c r="U1513" s="31">
        <v>8936</v>
      </c>
      <c r="V1513" s="32">
        <v>45263</v>
      </c>
      <c r="W1513" s="33" t="s">
        <v>6283</v>
      </c>
      <c r="X1513" s="26"/>
      <c r="Y1513" s="22">
        <v>0</v>
      </c>
      <c r="Z1513" s="26" t="s">
        <v>50</v>
      </c>
      <c r="AA1513" s="19" t="s">
        <v>5961</v>
      </c>
      <c r="AB1513" s="26" t="s">
        <v>104</v>
      </c>
      <c r="AC1513" s="26" t="s">
        <v>53</v>
      </c>
      <c r="AD1513" s="19" t="s">
        <v>54</v>
      </c>
      <c r="AE1513" s="26">
        <v>580</v>
      </c>
      <c r="AF1513" s="17">
        <v>45265</v>
      </c>
      <c r="AG1513" s="26"/>
      <c r="AH1513" s="26">
        <v>1</v>
      </c>
      <c r="AI1513" s="40"/>
      <c r="AJ1513" s="26"/>
      <c r="AK1513" s="26"/>
      <c r="AL1513" s="35"/>
      <c r="AM1513" s="35"/>
      <c r="AN1513" s="35"/>
      <c r="AO1513" s="35"/>
      <c r="AP1513" s="35"/>
    </row>
    <row r="1514" spans="1:42" x14ac:dyDescent="0.2">
      <c r="A1514" s="27">
        <v>45257.530722557873</v>
      </c>
      <c r="B1514" s="28" t="s">
        <v>37</v>
      </c>
      <c r="C1514" s="41" t="s">
        <v>118</v>
      </c>
      <c r="D1514" s="26" t="s">
        <v>36</v>
      </c>
      <c r="E1514" s="26" t="s">
        <v>56</v>
      </c>
      <c r="F1514" s="26" t="s">
        <v>36</v>
      </c>
      <c r="G1514" s="26" t="s">
        <v>41</v>
      </c>
      <c r="H1514" s="26" t="s">
        <v>5650</v>
      </c>
      <c r="I1514" s="17">
        <f ca="1">IFERROR(__xludf.DUMMYFUNCTION("""COMPUTED_VALUE"""),45265)</f>
        <v>45265</v>
      </c>
      <c r="J1514" s="29" t="s">
        <v>6284</v>
      </c>
      <c r="K1514" s="26" t="s">
        <v>2142</v>
      </c>
      <c r="L1514" s="30">
        <v>398308585</v>
      </c>
      <c r="M1514" s="26" t="s">
        <v>123</v>
      </c>
      <c r="N1514" s="26" t="s">
        <v>186</v>
      </c>
      <c r="O1514" s="26" t="s">
        <v>4503</v>
      </c>
      <c r="P1514" s="42" t="s">
        <v>6285</v>
      </c>
      <c r="Q1514" s="20">
        <v>9317</v>
      </c>
      <c r="R1514" s="26" t="s">
        <v>36</v>
      </c>
      <c r="S1514" s="31">
        <v>200</v>
      </c>
      <c r="T1514" s="32">
        <v>45250</v>
      </c>
      <c r="U1514" s="31">
        <f>2000+7117</f>
        <v>9117</v>
      </c>
      <c r="V1514" s="26" t="s">
        <v>6286</v>
      </c>
      <c r="W1514" s="33" t="s">
        <v>6287</v>
      </c>
      <c r="X1514" s="26"/>
      <c r="Y1514" s="22">
        <v>0</v>
      </c>
      <c r="Z1514" s="26" t="s">
        <v>50</v>
      </c>
      <c r="AA1514" s="19" t="s">
        <v>5961</v>
      </c>
      <c r="AB1514" s="26" t="s">
        <v>104</v>
      </c>
      <c r="AC1514" s="26" t="s">
        <v>53</v>
      </c>
      <c r="AD1514" s="19" t="s">
        <v>54</v>
      </c>
      <c r="AE1514" s="26"/>
      <c r="AF1514" s="17">
        <v>45257</v>
      </c>
      <c r="AG1514" s="26" t="s">
        <v>5191</v>
      </c>
      <c r="AH1514" s="26">
        <v>1</v>
      </c>
      <c r="AI1514" s="40"/>
      <c r="AJ1514" s="26"/>
      <c r="AK1514" s="26"/>
      <c r="AL1514" s="35"/>
      <c r="AM1514" s="35"/>
      <c r="AN1514" s="35"/>
      <c r="AO1514" s="35"/>
      <c r="AP1514" s="35"/>
    </row>
    <row r="1515" spans="1:42" x14ac:dyDescent="0.2">
      <c r="A1515" s="14">
        <v>45261</v>
      </c>
      <c r="B1515" s="28" t="s">
        <v>37</v>
      </c>
      <c r="C1515" s="41" t="s">
        <v>118</v>
      </c>
      <c r="D1515" s="26" t="s">
        <v>36</v>
      </c>
      <c r="E1515" s="26" t="s">
        <v>106</v>
      </c>
      <c r="F1515" s="26" t="s">
        <v>2967</v>
      </c>
      <c r="G1515" s="26" t="s">
        <v>108</v>
      </c>
      <c r="H1515" s="26" t="s">
        <v>5025</v>
      </c>
      <c r="I1515" s="17">
        <f ca="1">IFERROR(__xludf.DUMMYFUNCTION("""COMPUTED_VALUE"""),45265)</f>
        <v>45265</v>
      </c>
      <c r="J1515" s="29" t="s">
        <v>5146</v>
      </c>
      <c r="K1515" s="26" t="s">
        <v>5147</v>
      </c>
      <c r="L1515" s="30">
        <v>977426154</v>
      </c>
      <c r="M1515" s="26" t="s">
        <v>1245</v>
      </c>
      <c r="N1515" s="26" t="s">
        <v>1246</v>
      </c>
      <c r="O1515" s="26" t="s">
        <v>3754</v>
      </c>
      <c r="P1515" s="42" t="s">
        <v>6288</v>
      </c>
      <c r="Q1515" s="20">
        <v>3768</v>
      </c>
      <c r="R1515" s="26" t="s">
        <v>36</v>
      </c>
      <c r="S1515" s="31">
        <v>1000</v>
      </c>
      <c r="T1515" s="32">
        <v>45261</v>
      </c>
      <c r="U1515" s="31">
        <v>2668</v>
      </c>
      <c r="V1515" s="38">
        <v>45265</v>
      </c>
      <c r="W1515" s="26" t="s">
        <v>6289</v>
      </c>
      <c r="X1515" s="26"/>
      <c r="Y1515" s="22">
        <v>100</v>
      </c>
      <c r="Z1515" s="26" t="s">
        <v>50</v>
      </c>
      <c r="AA1515" s="19" t="s">
        <v>5961</v>
      </c>
      <c r="AB1515" s="26" t="s">
        <v>128</v>
      </c>
      <c r="AC1515" s="26" t="s">
        <v>53</v>
      </c>
      <c r="AD1515" s="19" t="s">
        <v>138</v>
      </c>
      <c r="AE1515" s="26" t="s">
        <v>2967</v>
      </c>
      <c r="AF1515" s="17">
        <v>45261</v>
      </c>
      <c r="AG1515" s="26" t="s">
        <v>5027</v>
      </c>
      <c r="AH1515" s="26">
        <v>2</v>
      </c>
      <c r="AI1515" s="40"/>
      <c r="AJ1515" s="26"/>
      <c r="AK1515" s="26"/>
      <c r="AL1515" s="35"/>
      <c r="AM1515" s="35"/>
      <c r="AN1515" s="35"/>
      <c r="AO1515" s="35"/>
      <c r="AP1515" s="35"/>
    </row>
    <row r="1516" spans="1:42" x14ac:dyDescent="0.2">
      <c r="A1516" s="27">
        <v>45261.634591689814</v>
      </c>
      <c r="B1516" s="28" t="s">
        <v>37</v>
      </c>
      <c r="C1516" s="41" t="s">
        <v>118</v>
      </c>
      <c r="D1516" s="26" t="s">
        <v>77</v>
      </c>
      <c r="E1516" s="26" t="s">
        <v>148</v>
      </c>
      <c r="F1516" s="26" t="s">
        <v>41</v>
      </c>
      <c r="G1516" s="26" t="s">
        <v>108</v>
      </c>
      <c r="H1516" s="26" t="s">
        <v>2191</v>
      </c>
      <c r="I1516" s="17">
        <f ca="1">IFERROR(__xludf.DUMMYFUNCTION("""COMPUTED_VALUE"""),45263)</f>
        <v>45263</v>
      </c>
      <c r="J1516" s="29" t="s">
        <v>3758</v>
      </c>
      <c r="K1516" s="26" t="s">
        <v>3759</v>
      </c>
      <c r="L1516" s="30">
        <v>359415833</v>
      </c>
      <c r="M1516" s="26" t="s">
        <v>2755</v>
      </c>
      <c r="N1516" s="26" t="s">
        <v>6290</v>
      </c>
      <c r="O1516" s="26" t="s">
        <v>4503</v>
      </c>
      <c r="P1516" s="26" t="s">
        <v>3761</v>
      </c>
      <c r="Q1516" s="20">
        <v>7349</v>
      </c>
      <c r="R1516" s="26" t="s">
        <v>36</v>
      </c>
      <c r="S1516" s="31">
        <v>6000</v>
      </c>
      <c r="T1516" s="32">
        <v>45261</v>
      </c>
      <c r="U1516" s="31">
        <v>1349</v>
      </c>
      <c r="V1516" s="32">
        <v>45264</v>
      </c>
      <c r="W1516" s="33" t="s">
        <v>6291</v>
      </c>
      <c r="X1516" s="26"/>
      <c r="Y1516" s="22">
        <v>0</v>
      </c>
      <c r="Z1516" s="26" t="s">
        <v>50</v>
      </c>
      <c r="AA1516" s="19" t="s">
        <v>5961</v>
      </c>
      <c r="AB1516" s="26" t="s">
        <v>154</v>
      </c>
      <c r="AC1516" s="26" t="s">
        <v>53</v>
      </c>
      <c r="AD1516" s="19" t="s">
        <v>54</v>
      </c>
      <c r="AE1516" s="26"/>
      <c r="AF1516" s="17">
        <v>45261</v>
      </c>
      <c r="AG1516" s="26"/>
      <c r="AH1516" s="26">
        <v>2</v>
      </c>
      <c r="AI1516" s="40"/>
      <c r="AJ1516" s="26"/>
      <c r="AK1516" s="26"/>
      <c r="AL1516" s="35"/>
      <c r="AM1516" s="35"/>
      <c r="AN1516" s="35"/>
      <c r="AO1516" s="35"/>
      <c r="AP1516" s="35"/>
    </row>
    <row r="1517" spans="1:42" x14ac:dyDescent="0.2">
      <c r="A1517" s="27">
        <v>45262.820068773144</v>
      </c>
      <c r="B1517" s="28" t="s">
        <v>37</v>
      </c>
      <c r="C1517" s="41" t="s">
        <v>118</v>
      </c>
      <c r="D1517" s="26" t="s">
        <v>36</v>
      </c>
      <c r="E1517" s="26" t="s">
        <v>106</v>
      </c>
      <c r="F1517" s="26" t="s">
        <v>36</v>
      </c>
      <c r="G1517" s="26" t="s">
        <v>108</v>
      </c>
      <c r="H1517" s="26" t="s">
        <v>4984</v>
      </c>
      <c r="I1517" s="17">
        <f ca="1">IFERROR(__xludf.DUMMYFUNCTION("""COMPUTED_VALUE"""),45264)</f>
        <v>45264</v>
      </c>
      <c r="J1517" s="29" t="s">
        <v>6292</v>
      </c>
      <c r="K1517" s="26" t="s">
        <v>6293</v>
      </c>
      <c r="L1517" s="30">
        <v>915895966</v>
      </c>
      <c r="M1517" s="26" t="s">
        <v>910</v>
      </c>
      <c r="N1517" s="26" t="s">
        <v>355</v>
      </c>
      <c r="O1517" s="26" t="s">
        <v>6294</v>
      </c>
      <c r="P1517" s="26" t="s">
        <v>6295</v>
      </c>
      <c r="Q1517" s="20">
        <v>3768</v>
      </c>
      <c r="R1517" s="26" t="s">
        <v>36</v>
      </c>
      <c r="S1517" s="31">
        <v>3768</v>
      </c>
      <c r="T1517" s="32">
        <v>45261</v>
      </c>
      <c r="U1517" s="31"/>
      <c r="V1517" s="32"/>
      <c r="W1517" s="33" t="s">
        <v>6296</v>
      </c>
      <c r="X1517" s="26"/>
      <c r="Y1517" s="22">
        <v>0</v>
      </c>
      <c r="Z1517" s="26" t="s">
        <v>50</v>
      </c>
      <c r="AA1517" s="19" t="s">
        <v>5961</v>
      </c>
      <c r="AB1517" s="26" t="s">
        <v>128</v>
      </c>
      <c r="AC1517" s="26" t="s">
        <v>53</v>
      </c>
      <c r="AD1517" s="19" t="s">
        <v>138</v>
      </c>
      <c r="AE1517" s="26"/>
      <c r="AF1517" s="17">
        <v>45264</v>
      </c>
      <c r="AG1517" s="26" t="s">
        <v>1362</v>
      </c>
      <c r="AH1517" s="26">
        <v>1</v>
      </c>
      <c r="AI1517" s="40"/>
      <c r="AJ1517" s="26"/>
      <c r="AK1517" s="26"/>
      <c r="AL1517" s="35"/>
      <c r="AM1517" s="35"/>
      <c r="AN1517" s="35"/>
      <c r="AO1517" s="35"/>
      <c r="AP1517" s="35"/>
    </row>
    <row r="1518" spans="1:42" x14ac:dyDescent="0.2">
      <c r="A1518" s="27">
        <v>45262.973076284718</v>
      </c>
      <c r="B1518" s="28" t="s">
        <v>37</v>
      </c>
      <c r="C1518" s="41" t="s">
        <v>118</v>
      </c>
      <c r="D1518" s="26" t="s">
        <v>36</v>
      </c>
      <c r="E1518" s="26" t="s">
        <v>39</v>
      </c>
      <c r="F1518" s="26" t="s">
        <v>40</v>
      </c>
      <c r="G1518" s="26" t="s">
        <v>41</v>
      </c>
      <c r="H1518" s="26" t="s">
        <v>4489</v>
      </c>
      <c r="I1518" s="17">
        <f ca="1">IFERROR(__xludf.DUMMYFUNCTION("""COMPUTED_VALUE"""),45309)</f>
        <v>45309</v>
      </c>
      <c r="J1518" s="29" t="s">
        <v>6297</v>
      </c>
      <c r="K1518" s="26" t="s">
        <v>6298</v>
      </c>
      <c r="L1518" s="30">
        <v>921597128</v>
      </c>
      <c r="M1518" s="26" t="s">
        <v>45</v>
      </c>
      <c r="N1518" s="26" t="s">
        <v>6299</v>
      </c>
      <c r="O1518" s="26" t="s">
        <v>6300</v>
      </c>
      <c r="P1518" s="26" t="s">
        <v>6301</v>
      </c>
      <c r="Q1518" s="20">
        <v>5736</v>
      </c>
      <c r="R1518" s="26" t="s">
        <v>36</v>
      </c>
      <c r="S1518" s="31">
        <v>5736</v>
      </c>
      <c r="T1518" s="32">
        <v>45262</v>
      </c>
      <c r="U1518" s="31"/>
      <c r="V1518" s="32"/>
      <c r="W1518" s="33" t="s">
        <v>6302</v>
      </c>
      <c r="X1518" s="26"/>
      <c r="Y1518" s="22">
        <v>0</v>
      </c>
      <c r="Z1518" s="26" t="s">
        <v>50</v>
      </c>
      <c r="AA1518" s="19" t="s">
        <v>5961</v>
      </c>
      <c r="AB1518" s="26" t="s">
        <v>104</v>
      </c>
      <c r="AC1518" s="26" t="s">
        <v>53</v>
      </c>
      <c r="AD1518" s="19" t="s">
        <v>138</v>
      </c>
      <c r="AE1518" s="26">
        <v>310</v>
      </c>
      <c r="AF1518" s="17">
        <v>45309</v>
      </c>
      <c r="AG1518" s="26" t="s">
        <v>1362</v>
      </c>
      <c r="AH1518" s="26">
        <v>1</v>
      </c>
      <c r="AI1518" s="40"/>
      <c r="AJ1518" s="26"/>
      <c r="AK1518" s="26"/>
      <c r="AL1518" s="35"/>
      <c r="AM1518" s="35"/>
      <c r="AN1518" s="35"/>
      <c r="AO1518" s="35"/>
      <c r="AP1518" s="35"/>
    </row>
    <row r="1519" spans="1:42" x14ac:dyDescent="0.2">
      <c r="A1519" s="27">
        <v>45263.916962974537</v>
      </c>
      <c r="B1519" s="28" t="s">
        <v>90</v>
      </c>
      <c r="C1519" s="41" t="s">
        <v>118</v>
      </c>
      <c r="D1519" s="26" t="s">
        <v>36</v>
      </c>
      <c r="E1519" s="26" t="s">
        <v>139</v>
      </c>
      <c r="F1519" s="26" t="s">
        <v>36</v>
      </c>
      <c r="G1519" s="26" t="s">
        <v>41</v>
      </c>
      <c r="H1519" s="26" t="s">
        <v>5650</v>
      </c>
      <c r="I1519" s="17">
        <f ca="1">IFERROR(__xludf.DUMMYFUNCTION("""COMPUTED_VALUE"""),45265)</f>
        <v>45265</v>
      </c>
      <c r="J1519" s="29" t="s">
        <v>6303</v>
      </c>
      <c r="K1519" s="26" t="s">
        <v>6304</v>
      </c>
      <c r="L1519" s="30">
        <v>763362688</v>
      </c>
      <c r="M1519" s="26" t="s">
        <v>123</v>
      </c>
      <c r="N1519" s="26" t="s">
        <v>310</v>
      </c>
      <c r="O1519" s="26" t="s">
        <v>4503</v>
      </c>
      <c r="P1519" s="26" t="s">
        <v>6305</v>
      </c>
      <c r="Q1519" s="20">
        <v>15936</v>
      </c>
      <c r="R1519" s="26" t="s">
        <v>70</v>
      </c>
      <c r="S1519" s="31">
        <v>4000</v>
      </c>
      <c r="T1519" s="32">
        <v>45256</v>
      </c>
      <c r="U1519" s="31">
        <v>11936</v>
      </c>
      <c r="V1519" s="32">
        <v>45281</v>
      </c>
      <c r="W1519" s="33" t="s">
        <v>6306</v>
      </c>
      <c r="X1519" s="26"/>
      <c r="Y1519" s="22">
        <v>0</v>
      </c>
      <c r="Z1519" s="26" t="s">
        <v>50</v>
      </c>
      <c r="AA1519" s="19" t="s">
        <v>5961</v>
      </c>
      <c r="AB1519" s="26" t="s">
        <v>104</v>
      </c>
      <c r="AC1519" s="26" t="s">
        <v>53</v>
      </c>
      <c r="AD1519" s="19" t="s">
        <v>54</v>
      </c>
      <c r="AE1519" s="26"/>
      <c r="AF1519" s="17">
        <v>45265</v>
      </c>
      <c r="AG1519" s="26"/>
      <c r="AH1519" s="26">
        <v>1</v>
      </c>
      <c r="AI1519" s="40"/>
      <c r="AJ1519" s="26"/>
      <c r="AK1519" s="26"/>
      <c r="AL1519" s="35"/>
      <c r="AM1519" s="35"/>
      <c r="AN1519" s="35"/>
      <c r="AO1519" s="35"/>
      <c r="AP1519" s="35"/>
    </row>
    <row r="1520" spans="1:42" x14ac:dyDescent="0.2">
      <c r="A1520" s="27">
        <v>45265.586580821764</v>
      </c>
      <c r="B1520" s="28" t="s">
        <v>37</v>
      </c>
      <c r="C1520" s="41" t="s">
        <v>118</v>
      </c>
      <c r="D1520" s="26" t="s">
        <v>36</v>
      </c>
      <c r="E1520" s="26" t="s">
        <v>77</v>
      </c>
      <c r="F1520" s="26" t="s">
        <v>91</v>
      </c>
      <c r="G1520" s="26" t="s">
        <v>41</v>
      </c>
      <c r="H1520" s="26" t="s">
        <v>4489</v>
      </c>
      <c r="I1520" s="17">
        <f ca="1">IFERROR(__xludf.DUMMYFUNCTION("""COMPUTED_VALUE"""),45309)</f>
        <v>45309</v>
      </c>
      <c r="J1520" s="29" t="s">
        <v>6307</v>
      </c>
      <c r="K1520" s="26" t="s">
        <v>6308</v>
      </c>
      <c r="L1520" s="30">
        <v>366012196</v>
      </c>
      <c r="M1520" s="26" t="s">
        <v>6309</v>
      </c>
      <c r="N1520" s="26" t="s">
        <v>1400</v>
      </c>
      <c r="O1520" s="26" t="s">
        <v>91</v>
      </c>
      <c r="P1520" s="26" t="s">
        <v>6310</v>
      </c>
      <c r="Q1520" s="20">
        <v>1968</v>
      </c>
      <c r="R1520" s="26" t="s">
        <v>36</v>
      </c>
      <c r="S1520" s="31">
        <v>1968</v>
      </c>
      <c r="T1520" s="32">
        <v>45265</v>
      </c>
      <c r="U1520" s="31"/>
      <c r="V1520" s="32"/>
      <c r="W1520" s="33" t="s">
        <v>6311</v>
      </c>
      <c r="X1520" s="26"/>
      <c r="Y1520" s="22">
        <v>0</v>
      </c>
      <c r="Z1520" s="26" t="s">
        <v>50</v>
      </c>
      <c r="AA1520" s="19" t="s">
        <v>5961</v>
      </c>
      <c r="AB1520" s="26" t="s">
        <v>104</v>
      </c>
      <c r="AC1520" s="26" t="s">
        <v>53</v>
      </c>
      <c r="AD1520" s="19" t="s">
        <v>138</v>
      </c>
      <c r="AE1520" s="26" t="s">
        <v>6312</v>
      </c>
      <c r="AF1520" s="17">
        <v>45309</v>
      </c>
      <c r="AG1520" s="26" t="s">
        <v>1362</v>
      </c>
      <c r="AH1520" s="26">
        <v>1</v>
      </c>
      <c r="AI1520" s="40"/>
      <c r="AJ1520" s="26"/>
      <c r="AK1520" s="26"/>
      <c r="AL1520" s="35"/>
      <c r="AM1520" s="35"/>
      <c r="AN1520" s="35"/>
      <c r="AO1520" s="35"/>
      <c r="AP1520" s="35"/>
    </row>
    <row r="1521" spans="1:42" x14ac:dyDescent="0.2">
      <c r="A1521" s="27">
        <v>45266.904105671296</v>
      </c>
      <c r="B1521" s="28" t="s">
        <v>37</v>
      </c>
      <c r="C1521" s="41" t="s">
        <v>118</v>
      </c>
      <c r="D1521" s="26" t="s">
        <v>36</v>
      </c>
      <c r="E1521" s="26" t="s">
        <v>219</v>
      </c>
      <c r="F1521" s="26" t="s">
        <v>36</v>
      </c>
      <c r="G1521" s="26" t="s">
        <v>221</v>
      </c>
      <c r="H1521" s="26" t="s">
        <v>5049</v>
      </c>
      <c r="I1521" s="17">
        <f ca="1">IFERROR(__xludf.DUMMYFUNCTION("""COMPUTED_VALUE"""),45270)</f>
        <v>45270</v>
      </c>
      <c r="J1521" s="29" t="s">
        <v>6313</v>
      </c>
      <c r="K1521" s="26" t="s">
        <v>274</v>
      </c>
      <c r="L1521" s="30">
        <v>969974315</v>
      </c>
      <c r="M1521" s="26" t="s">
        <v>45</v>
      </c>
      <c r="N1521" s="26" t="s">
        <v>1450</v>
      </c>
      <c r="O1521" s="26" t="s">
        <v>6314</v>
      </c>
      <c r="P1521" s="26" t="s">
        <v>6315</v>
      </c>
      <c r="Q1521" s="20">
        <v>3968</v>
      </c>
      <c r="R1521" s="26" t="s">
        <v>36</v>
      </c>
      <c r="S1521" s="31">
        <v>3968</v>
      </c>
      <c r="T1521" s="32">
        <v>45266</v>
      </c>
      <c r="U1521" s="31"/>
      <c r="V1521" s="32"/>
      <c r="W1521" s="33" t="s">
        <v>6316</v>
      </c>
      <c r="X1521" s="26"/>
      <c r="Y1521" s="22">
        <v>0</v>
      </c>
      <c r="Z1521" s="26" t="s">
        <v>50</v>
      </c>
      <c r="AA1521" s="19" t="s">
        <v>5961</v>
      </c>
      <c r="AB1521" s="26" t="s">
        <v>128</v>
      </c>
      <c r="AC1521" s="26" t="s">
        <v>53</v>
      </c>
      <c r="AD1521" s="19" t="s">
        <v>54</v>
      </c>
      <c r="AE1521" s="26">
        <v>500</v>
      </c>
      <c r="AF1521" s="17">
        <v>45267</v>
      </c>
      <c r="AG1521" s="26"/>
      <c r="AH1521" s="26">
        <v>1</v>
      </c>
      <c r="AI1521" s="40"/>
      <c r="AJ1521" s="26"/>
      <c r="AK1521" s="26"/>
      <c r="AL1521" s="35"/>
      <c r="AM1521" s="35"/>
      <c r="AN1521" s="35"/>
      <c r="AO1521" s="35"/>
      <c r="AP1521" s="35"/>
    </row>
    <row r="1522" spans="1:42" x14ac:dyDescent="0.2">
      <c r="A1522" s="27">
        <v>45267.382903831021</v>
      </c>
      <c r="B1522" s="28" t="s">
        <v>37</v>
      </c>
      <c r="C1522" s="41" t="s">
        <v>118</v>
      </c>
      <c r="D1522" s="26" t="s">
        <v>36</v>
      </c>
      <c r="E1522" s="26" t="s">
        <v>77</v>
      </c>
      <c r="F1522" s="26" t="s">
        <v>91</v>
      </c>
      <c r="G1522" s="26" t="s">
        <v>41</v>
      </c>
      <c r="H1522" s="26" t="s">
        <v>1733</v>
      </c>
      <c r="I1522" s="17">
        <f ca="1">IFERROR(__xludf.DUMMYFUNCTION("""COMPUTED_VALUE"""),45275)</f>
        <v>45275</v>
      </c>
      <c r="J1522" s="29" t="s">
        <v>6317</v>
      </c>
      <c r="K1522" s="26" t="s">
        <v>6318</v>
      </c>
      <c r="L1522" s="30">
        <v>966875285</v>
      </c>
      <c r="M1522" s="26" t="s">
        <v>123</v>
      </c>
      <c r="N1522" s="26" t="s">
        <v>3749</v>
      </c>
      <c r="O1522" s="26" t="s">
        <v>4503</v>
      </c>
      <c r="P1522" s="26" t="s">
        <v>6319</v>
      </c>
      <c r="Q1522" s="20">
        <v>1968</v>
      </c>
      <c r="R1522" s="26" t="s">
        <v>36</v>
      </c>
      <c r="S1522" s="31">
        <v>200</v>
      </c>
      <c r="T1522" s="32">
        <v>45264</v>
      </c>
      <c r="U1522" s="31">
        <v>1768</v>
      </c>
      <c r="V1522" s="32">
        <v>45266</v>
      </c>
      <c r="W1522" s="26" t="s">
        <v>6320</v>
      </c>
      <c r="X1522" s="26"/>
      <c r="Y1522" s="22">
        <v>0</v>
      </c>
      <c r="Z1522" s="26" t="s">
        <v>50</v>
      </c>
      <c r="AA1522" s="19" t="s">
        <v>5961</v>
      </c>
      <c r="AB1522" s="26" t="s">
        <v>104</v>
      </c>
      <c r="AC1522" s="26" t="s">
        <v>53</v>
      </c>
      <c r="AD1522" s="19" t="s">
        <v>54</v>
      </c>
      <c r="AE1522" s="26"/>
      <c r="AF1522" s="17">
        <v>45267</v>
      </c>
      <c r="AG1522" s="26"/>
      <c r="AH1522" s="26">
        <v>1</v>
      </c>
      <c r="AI1522" s="40"/>
      <c r="AJ1522" s="26"/>
      <c r="AK1522" s="26"/>
      <c r="AL1522" s="35"/>
      <c r="AM1522" s="35"/>
      <c r="AN1522" s="35"/>
      <c r="AO1522" s="35"/>
      <c r="AP1522" s="35"/>
    </row>
    <row r="1523" spans="1:42" x14ac:dyDescent="0.2">
      <c r="A1523" s="27">
        <v>45268.789343969911</v>
      </c>
      <c r="B1523" s="28" t="s">
        <v>37</v>
      </c>
      <c r="C1523" s="41" t="s">
        <v>118</v>
      </c>
      <c r="D1523" s="26" t="s">
        <v>36</v>
      </c>
      <c r="E1523" s="26" t="s">
        <v>39</v>
      </c>
      <c r="F1523" s="26" t="s">
        <v>91</v>
      </c>
      <c r="G1523" s="26" t="s">
        <v>41</v>
      </c>
      <c r="H1523" s="26" t="s">
        <v>1733</v>
      </c>
      <c r="I1523" s="17">
        <f ca="1">IFERROR(__xludf.DUMMYFUNCTION("""COMPUTED_VALUE"""),45275)</f>
        <v>45275</v>
      </c>
      <c r="J1523" s="29" t="s">
        <v>6321</v>
      </c>
      <c r="K1523" s="26" t="s">
        <v>6322</v>
      </c>
      <c r="L1523" s="30">
        <v>932306441</v>
      </c>
      <c r="M1523" s="26" t="s">
        <v>5558</v>
      </c>
      <c r="N1523" s="26" t="s">
        <v>850</v>
      </c>
      <c r="O1523" s="26" t="s">
        <v>4503</v>
      </c>
      <c r="P1523" s="26" t="s">
        <v>6323</v>
      </c>
      <c r="Q1523" s="20">
        <v>5736</v>
      </c>
      <c r="R1523" s="26" t="s">
        <v>36</v>
      </c>
      <c r="S1523" s="31">
        <v>5736</v>
      </c>
      <c r="T1523" s="32">
        <v>45268</v>
      </c>
      <c r="U1523" s="31"/>
      <c r="V1523" s="32"/>
      <c r="W1523" s="33" t="s">
        <v>6324</v>
      </c>
      <c r="X1523" s="26"/>
      <c r="Y1523" s="22">
        <v>0</v>
      </c>
      <c r="Z1523" s="26" t="s">
        <v>50</v>
      </c>
      <c r="AA1523" s="19" t="s">
        <v>5961</v>
      </c>
      <c r="AB1523" s="26" t="s">
        <v>104</v>
      </c>
      <c r="AC1523" s="26" t="s">
        <v>53</v>
      </c>
      <c r="AD1523" s="19" t="s">
        <v>54</v>
      </c>
      <c r="AE1523" s="26"/>
      <c r="AF1523" s="43">
        <v>45271</v>
      </c>
      <c r="AG1523" s="26"/>
      <c r="AH1523" s="26">
        <v>1</v>
      </c>
      <c r="AI1523" s="40"/>
      <c r="AJ1523" s="26"/>
      <c r="AK1523" s="26"/>
      <c r="AL1523" s="35"/>
      <c r="AM1523" s="35"/>
      <c r="AN1523" s="35"/>
      <c r="AO1523" s="35"/>
      <c r="AP1523" s="35"/>
    </row>
    <row r="1524" spans="1:42" x14ac:dyDescent="0.2">
      <c r="A1524" s="27">
        <v>45269.378955752312</v>
      </c>
      <c r="B1524" s="28" t="s">
        <v>37</v>
      </c>
      <c r="C1524" s="41" t="s">
        <v>118</v>
      </c>
      <c r="D1524" s="26" t="s">
        <v>36</v>
      </c>
      <c r="E1524" s="26" t="s">
        <v>148</v>
      </c>
      <c r="F1524" s="26" t="s">
        <v>6325</v>
      </c>
      <c r="G1524" s="26" t="s">
        <v>108</v>
      </c>
      <c r="H1524" s="26" t="s">
        <v>824</v>
      </c>
      <c r="I1524" s="17">
        <f ca="1">IFERROR(__xludf.DUMMYFUNCTION("""COMPUTED_VALUE"""),45275)</f>
        <v>45275</v>
      </c>
      <c r="J1524" s="29" t="s">
        <v>6326</v>
      </c>
      <c r="K1524" s="26" t="s">
        <v>6327</v>
      </c>
      <c r="L1524" s="30">
        <v>981189756</v>
      </c>
      <c r="M1524" s="26" t="s">
        <v>3288</v>
      </c>
      <c r="N1524" s="26" t="s">
        <v>200</v>
      </c>
      <c r="O1524" s="26" t="s">
        <v>6328</v>
      </c>
      <c r="P1524" s="26" t="s">
        <v>6329</v>
      </c>
      <c r="Q1524" s="20">
        <v>7349</v>
      </c>
      <c r="R1524" s="26" t="s">
        <v>36</v>
      </c>
      <c r="S1524" s="31">
        <v>5852</v>
      </c>
      <c r="T1524" s="32">
        <v>45268</v>
      </c>
      <c r="U1524" s="31"/>
      <c r="V1524" s="16" t="s">
        <v>4447</v>
      </c>
      <c r="W1524" s="33" t="s">
        <v>6330</v>
      </c>
      <c r="X1524" s="26"/>
      <c r="Y1524" s="22">
        <v>1497</v>
      </c>
      <c r="Z1524" s="26" t="s">
        <v>50</v>
      </c>
      <c r="AA1524" s="19" t="s">
        <v>5961</v>
      </c>
      <c r="AB1524" s="26"/>
      <c r="AC1524" s="26" t="s">
        <v>53</v>
      </c>
      <c r="AD1524" s="19" t="s">
        <v>54</v>
      </c>
      <c r="AE1524" s="61" t="s">
        <v>6331</v>
      </c>
      <c r="AF1524" s="43">
        <v>45271</v>
      </c>
      <c r="AG1524" s="26"/>
      <c r="AH1524" s="26">
        <v>1</v>
      </c>
      <c r="AI1524" s="40"/>
      <c r="AJ1524" s="26"/>
      <c r="AK1524" s="26"/>
      <c r="AL1524" s="35"/>
      <c r="AM1524" s="35"/>
      <c r="AN1524" s="35"/>
      <c r="AO1524" s="35"/>
      <c r="AP1524" s="35"/>
    </row>
    <row r="1525" spans="1:42" x14ac:dyDescent="0.2">
      <c r="A1525" s="27">
        <v>45269.652620428242</v>
      </c>
      <c r="B1525" s="28" t="s">
        <v>37</v>
      </c>
      <c r="C1525" s="41" t="s">
        <v>118</v>
      </c>
      <c r="D1525" s="26" t="s">
        <v>36</v>
      </c>
      <c r="E1525" s="26" t="s">
        <v>219</v>
      </c>
      <c r="F1525" s="26" t="s">
        <v>765</v>
      </c>
      <c r="G1525" s="26" t="s">
        <v>221</v>
      </c>
      <c r="H1525" s="26" t="s">
        <v>5049</v>
      </c>
      <c r="I1525" s="17">
        <f ca="1">IFERROR(__xludf.DUMMYFUNCTION("""COMPUTED_VALUE"""),45270)</f>
        <v>45270</v>
      </c>
      <c r="J1525" s="29" t="s">
        <v>777</v>
      </c>
      <c r="K1525" s="26" t="s">
        <v>778</v>
      </c>
      <c r="L1525" s="30">
        <v>334788920</v>
      </c>
      <c r="M1525" s="26" t="s">
        <v>292</v>
      </c>
      <c r="N1525" s="26" t="s">
        <v>1232</v>
      </c>
      <c r="O1525" s="26" t="s">
        <v>779</v>
      </c>
      <c r="P1525" s="26" t="s">
        <v>6332</v>
      </c>
      <c r="Q1525" s="20">
        <v>3968</v>
      </c>
      <c r="R1525" s="26" t="s">
        <v>36</v>
      </c>
      <c r="S1525" s="31">
        <v>3968</v>
      </c>
      <c r="T1525" s="32">
        <v>45269</v>
      </c>
      <c r="U1525" s="31"/>
      <c r="V1525" s="32"/>
      <c r="W1525" s="33" t="s">
        <v>6333</v>
      </c>
      <c r="X1525" s="26"/>
      <c r="Y1525" s="22">
        <v>0</v>
      </c>
      <c r="Z1525" s="26" t="s">
        <v>50</v>
      </c>
      <c r="AA1525" s="19" t="s">
        <v>5961</v>
      </c>
      <c r="AB1525" s="26" t="s">
        <v>104</v>
      </c>
      <c r="AC1525" s="26" t="s">
        <v>53</v>
      </c>
      <c r="AD1525" s="19" t="s">
        <v>54</v>
      </c>
      <c r="AE1525" s="26">
        <v>550</v>
      </c>
      <c r="AF1525" s="43">
        <v>45271</v>
      </c>
      <c r="AG1525" s="26"/>
      <c r="AH1525" s="26">
        <v>2</v>
      </c>
      <c r="AI1525" s="40"/>
      <c r="AJ1525" s="26"/>
      <c r="AK1525" s="26"/>
      <c r="AL1525" s="35"/>
      <c r="AM1525" s="35"/>
      <c r="AN1525" s="35"/>
      <c r="AO1525" s="35"/>
      <c r="AP1525" s="35"/>
    </row>
    <row r="1526" spans="1:42" x14ac:dyDescent="0.2">
      <c r="A1526" s="27">
        <v>45271.621655567127</v>
      </c>
      <c r="B1526" s="28" t="s">
        <v>37</v>
      </c>
      <c r="C1526" s="41" t="s">
        <v>118</v>
      </c>
      <c r="D1526" s="26" t="s">
        <v>36</v>
      </c>
      <c r="E1526" s="26" t="s">
        <v>106</v>
      </c>
      <c r="F1526" s="26" t="s">
        <v>6334</v>
      </c>
      <c r="G1526" s="26" t="s">
        <v>108</v>
      </c>
      <c r="H1526" s="26" t="s">
        <v>824</v>
      </c>
      <c r="I1526" s="17">
        <f ca="1">IFERROR(__xludf.DUMMYFUNCTION("""COMPUTED_VALUE"""),45275)</f>
        <v>45275</v>
      </c>
      <c r="J1526" s="29" t="s">
        <v>6335</v>
      </c>
      <c r="K1526" s="26" t="s">
        <v>6336</v>
      </c>
      <c r="L1526" s="30">
        <v>8067940096</v>
      </c>
      <c r="M1526" s="26" t="s">
        <v>391</v>
      </c>
      <c r="N1526" s="26" t="s">
        <v>2143</v>
      </c>
      <c r="O1526" s="26" t="s">
        <v>2144</v>
      </c>
      <c r="P1526" s="26" t="s">
        <v>6337</v>
      </c>
      <c r="Q1526" s="20">
        <v>3768</v>
      </c>
      <c r="R1526" s="26" t="s">
        <v>36</v>
      </c>
      <c r="S1526" s="31">
        <v>3768</v>
      </c>
      <c r="T1526" s="32">
        <v>45268</v>
      </c>
      <c r="U1526" s="31"/>
      <c r="V1526" s="32"/>
      <c r="W1526" s="33" t="s">
        <v>6338</v>
      </c>
      <c r="X1526" s="26"/>
      <c r="Y1526" s="22">
        <v>0</v>
      </c>
      <c r="Z1526" s="26" t="s">
        <v>50</v>
      </c>
      <c r="AA1526" s="19" t="s">
        <v>5961</v>
      </c>
      <c r="AB1526" s="26" t="s">
        <v>104</v>
      </c>
      <c r="AC1526" s="26" t="s">
        <v>1828</v>
      </c>
      <c r="AD1526" s="19" t="s">
        <v>54</v>
      </c>
      <c r="AE1526" s="26">
        <v>370</v>
      </c>
      <c r="AF1526" s="43">
        <v>45286</v>
      </c>
      <c r="AG1526" s="26"/>
      <c r="AH1526" s="26">
        <v>1</v>
      </c>
      <c r="AI1526" s="40"/>
      <c r="AJ1526" s="26"/>
      <c r="AK1526" s="26"/>
      <c r="AL1526" s="35"/>
      <c r="AM1526" s="35"/>
      <c r="AN1526" s="35"/>
      <c r="AO1526" s="35"/>
      <c r="AP1526" s="35"/>
    </row>
    <row r="1527" spans="1:42" x14ac:dyDescent="0.2">
      <c r="A1527" s="27">
        <v>45272.366788541665</v>
      </c>
      <c r="B1527" s="28" t="s">
        <v>37</v>
      </c>
      <c r="C1527" s="41" t="s">
        <v>118</v>
      </c>
      <c r="D1527" s="26" t="s">
        <v>36</v>
      </c>
      <c r="E1527" s="26" t="s">
        <v>148</v>
      </c>
      <c r="F1527" s="26" t="s">
        <v>36</v>
      </c>
      <c r="G1527" s="26" t="s">
        <v>108</v>
      </c>
      <c r="H1527" s="26" t="s">
        <v>6339</v>
      </c>
      <c r="I1527" s="17">
        <f ca="1">IFERROR(__xludf.DUMMYFUNCTION("""COMPUTED_VALUE"""),45761)</f>
        <v>45761</v>
      </c>
      <c r="J1527" s="29" t="s">
        <v>6340</v>
      </c>
      <c r="K1527" s="26" t="s">
        <v>6341</v>
      </c>
      <c r="L1527" s="30">
        <v>559611654</v>
      </c>
      <c r="M1527" s="26" t="s">
        <v>6309</v>
      </c>
      <c r="N1527" s="26" t="s">
        <v>1400</v>
      </c>
      <c r="O1527" s="26" t="s">
        <v>91</v>
      </c>
      <c r="P1527" s="26" t="s">
        <v>6342</v>
      </c>
      <c r="Q1527" s="20">
        <v>7349</v>
      </c>
      <c r="R1527" s="26" t="s">
        <v>36</v>
      </c>
      <c r="S1527" s="31">
        <v>7349</v>
      </c>
      <c r="T1527" s="32">
        <v>45271</v>
      </c>
      <c r="U1527" s="31"/>
      <c r="V1527" s="32"/>
      <c r="W1527" s="55" t="s">
        <v>6343</v>
      </c>
      <c r="X1527" s="26"/>
      <c r="Y1527" s="22">
        <v>0</v>
      </c>
      <c r="Z1527" s="26" t="s">
        <v>50</v>
      </c>
      <c r="AA1527" s="19" t="s">
        <v>5961</v>
      </c>
      <c r="AB1527" s="26"/>
      <c r="AC1527" s="26" t="s">
        <v>53</v>
      </c>
      <c r="AD1527" s="19" t="s">
        <v>54</v>
      </c>
      <c r="AE1527" s="26"/>
      <c r="AF1527" s="17">
        <v>45761</v>
      </c>
      <c r="AG1527" s="26" t="s">
        <v>6344</v>
      </c>
      <c r="AH1527" s="26">
        <v>1</v>
      </c>
      <c r="AI1527" s="40"/>
      <c r="AJ1527" s="26"/>
      <c r="AK1527" s="26"/>
      <c r="AL1527" s="35"/>
      <c r="AM1527" s="35"/>
      <c r="AN1527" s="35"/>
      <c r="AO1527" s="35"/>
      <c r="AP1527" s="35"/>
    </row>
    <row r="1528" spans="1:42" x14ac:dyDescent="0.2">
      <c r="A1528" s="27">
        <v>45272.820657546297</v>
      </c>
      <c r="B1528" s="28" t="s">
        <v>37</v>
      </c>
      <c r="C1528" s="41" t="s">
        <v>118</v>
      </c>
      <c r="D1528" s="26" t="s">
        <v>36</v>
      </c>
      <c r="E1528" s="26" t="s">
        <v>56</v>
      </c>
      <c r="F1528" s="26" t="s">
        <v>36</v>
      </c>
      <c r="G1528" s="26" t="s">
        <v>41</v>
      </c>
      <c r="H1528" s="26" t="s">
        <v>6345</v>
      </c>
      <c r="I1528" s="17" t="str">
        <f ca="1">IFERROR(__xludf.DUMMYFUNCTION("""COMPUTED_VALUE""")," ")</f>
        <v xml:space="preserve"> </v>
      </c>
      <c r="J1528" s="29" t="s">
        <v>6346</v>
      </c>
      <c r="K1528" s="26" t="s">
        <v>6347</v>
      </c>
      <c r="L1528" s="30">
        <v>355904612</v>
      </c>
      <c r="M1528" s="26" t="s">
        <v>45</v>
      </c>
      <c r="N1528" s="26" t="s">
        <v>3839</v>
      </c>
      <c r="O1528" s="26" t="s">
        <v>6348</v>
      </c>
      <c r="P1528" s="26" t="s">
        <v>6349</v>
      </c>
      <c r="Q1528" s="20">
        <v>9317</v>
      </c>
      <c r="R1528" s="26" t="s">
        <v>36</v>
      </c>
      <c r="S1528" s="31">
        <v>9317</v>
      </c>
      <c r="T1528" s="32">
        <v>45272</v>
      </c>
      <c r="U1528" s="31"/>
      <c r="V1528" s="32"/>
      <c r="W1528" s="33" t="s">
        <v>6350</v>
      </c>
      <c r="X1528" s="26"/>
      <c r="Y1528" s="22">
        <v>0</v>
      </c>
      <c r="Z1528" s="26" t="s">
        <v>50</v>
      </c>
      <c r="AA1528" s="19" t="s">
        <v>5961</v>
      </c>
      <c r="AB1528" s="26" t="s">
        <v>104</v>
      </c>
      <c r="AC1528" s="26" t="s">
        <v>53</v>
      </c>
      <c r="AD1528" s="19" t="s">
        <v>54</v>
      </c>
      <c r="AE1528" s="26">
        <v>0</v>
      </c>
      <c r="AF1528" s="43">
        <v>45273</v>
      </c>
      <c r="AG1528" s="26"/>
      <c r="AH1528" s="26">
        <v>1</v>
      </c>
      <c r="AI1528" s="40"/>
      <c r="AJ1528" s="26"/>
      <c r="AK1528" s="26"/>
      <c r="AL1528" s="35"/>
      <c r="AM1528" s="35"/>
      <c r="AN1528" s="35"/>
      <c r="AO1528" s="35"/>
      <c r="AP1528" s="35"/>
    </row>
    <row r="1529" spans="1:42" x14ac:dyDescent="0.2">
      <c r="A1529" s="27">
        <v>45273.385696215279</v>
      </c>
      <c r="B1529" s="28" t="s">
        <v>37</v>
      </c>
      <c r="C1529" s="41" t="s">
        <v>118</v>
      </c>
      <c r="D1529" s="26" t="s">
        <v>36</v>
      </c>
      <c r="E1529" s="26" t="s">
        <v>39</v>
      </c>
      <c r="F1529" s="26" t="s">
        <v>36</v>
      </c>
      <c r="G1529" s="26" t="s">
        <v>41</v>
      </c>
      <c r="H1529" s="26" t="s">
        <v>1733</v>
      </c>
      <c r="I1529" s="17">
        <f ca="1">IFERROR(__xludf.DUMMYFUNCTION("""COMPUTED_VALUE"""),45275)</f>
        <v>45275</v>
      </c>
      <c r="J1529" s="29" t="s">
        <v>6351</v>
      </c>
      <c r="K1529" s="26" t="s">
        <v>6352</v>
      </c>
      <c r="L1529" s="30">
        <v>869924205</v>
      </c>
      <c r="M1529" s="26" t="s">
        <v>2755</v>
      </c>
      <c r="N1529" s="26" t="s">
        <v>2756</v>
      </c>
      <c r="O1529" s="26" t="s">
        <v>4503</v>
      </c>
      <c r="P1529" s="26" t="s">
        <v>6353</v>
      </c>
      <c r="Q1529" s="20">
        <v>5736</v>
      </c>
      <c r="R1529" s="26" t="s">
        <v>36</v>
      </c>
      <c r="S1529" s="31">
        <v>4000</v>
      </c>
      <c r="T1529" s="32">
        <v>45270</v>
      </c>
      <c r="U1529" s="31">
        <v>1736</v>
      </c>
      <c r="V1529" s="32">
        <v>45285</v>
      </c>
      <c r="W1529" s="33" t="s">
        <v>6354</v>
      </c>
      <c r="X1529" s="26"/>
      <c r="Y1529" s="22">
        <v>0</v>
      </c>
      <c r="Z1529" s="26" t="s">
        <v>50</v>
      </c>
      <c r="AA1529" s="19" t="s">
        <v>5961</v>
      </c>
      <c r="AB1529" s="26" t="s">
        <v>104</v>
      </c>
      <c r="AC1529" s="26" t="s">
        <v>53</v>
      </c>
      <c r="AD1529" s="19" t="s">
        <v>54</v>
      </c>
      <c r="AE1529" s="26"/>
      <c r="AF1529" s="43">
        <v>45273</v>
      </c>
      <c r="AG1529" s="26"/>
      <c r="AH1529" s="26">
        <v>1</v>
      </c>
      <c r="AI1529" s="40"/>
      <c r="AJ1529" s="26"/>
      <c r="AK1529" s="26"/>
      <c r="AL1529" s="35"/>
      <c r="AM1529" s="35"/>
      <c r="AN1529" s="35"/>
      <c r="AO1529" s="35"/>
      <c r="AP1529" s="35"/>
    </row>
    <row r="1530" spans="1:42" x14ac:dyDescent="0.2">
      <c r="A1530" s="27">
        <v>45273.817142418979</v>
      </c>
      <c r="B1530" s="28" t="s">
        <v>37</v>
      </c>
      <c r="C1530" s="41" t="s">
        <v>118</v>
      </c>
      <c r="D1530" s="26" t="s">
        <v>36</v>
      </c>
      <c r="E1530" s="26" t="s">
        <v>39</v>
      </c>
      <c r="F1530" s="26" t="s">
        <v>91</v>
      </c>
      <c r="G1530" s="26" t="s">
        <v>41</v>
      </c>
      <c r="H1530" s="26" t="s">
        <v>4489</v>
      </c>
      <c r="I1530" s="17">
        <f ca="1">IFERROR(__xludf.DUMMYFUNCTION("""COMPUTED_VALUE"""),45309)</f>
        <v>45309</v>
      </c>
      <c r="J1530" s="44" t="s">
        <v>6355</v>
      </c>
      <c r="K1530" s="26" t="s">
        <v>6356</v>
      </c>
      <c r="L1530" s="30">
        <v>984512903</v>
      </c>
      <c r="M1530" s="26" t="s">
        <v>391</v>
      </c>
      <c r="N1530" s="26" t="s">
        <v>584</v>
      </c>
      <c r="O1530" s="26" t="s">
        <v>6357</v>
      </c>
      <c r="P1530" s="26" t="s">
        <v>6358</v>
      </c>
      <c r="Q1530" s="20">
        <v>5736</v>
      </c>
      <c r="R1530" s="26" t="s">
        <v>36</v>
      </c>
      <c r="S1530" s="31">
        <v>5736</v>
      </c>
      <c r="T1530" s="32">
        <v>45273</v>
      </c>
      <c r="U1530" s="31"/>
      <c r="V1530" s="32"/>
      <c r="W1530" s="33" t="s">
        <v>6359</v>
      </c>
      <c r="X1530" s="26"/>
      <c r="Y1530" s="22">
        <v>0</v>
      </c>
      <c r="Z1530" s="26" t="s">
        <v>50</v>
      </c>
      <c r="AA1530" s="19" t="s">
        <v>5961</v>
      </c>
      <c r="AB1530" s="26" t="s">
        <v>104</v>
      </c>
      <c r="AC1530" s="26" t="s">
        <v>53</v>
      </c>
      <c r="AD1530" s="19" t="s">
        <v>138</v>
      </c>
      <c r="AE1530" s="26" t="s">
        <v>6360</v>
      </c>
      <c r="AF1530" s="17">
        <v>45309</v>
      </c>
      <c r="AG1530" s="26" t="s">
        <v>1362</v>
      </c>
      <c r="AH1530" s="26">
        <v>1</v>
      </c>
      <c r="AI1530" s="40"/>
      <c r="AJ1530" s="26"/>
      <c r="AK1530" s="26"/>
      <c r="AL1530" s="35"/>
      <c r="AM1530" s="35"/>
      <c r="AN1530" s="35"/>
      <c r="AO1530" s="35"/>
      <c r="AP1530" s="35"/>
    </row>
    <row r="1531" spans="1:42" x14ac:dyDescent="0.2">
      <c r="A1531" s="27">
        <v>45274.490072303241</v>
      </c>
      <c r="B1531" s="28" t="s">
        <v>37</v>
      </c>
      <c r="C1531" s="41" t="s">
        <v>118</v>
      </c>
      <c r="D1531" s="26" t="s">
        <v>106</v>
      </c>
      <c r="E1531" s="26" t="s">
        <v>219</v>
      </c>
      <c r="F1531" s="26" t="s">
        <v>91</v>
      </c>
      <c r="G1531" s="26" t="s">
        <v>221</v>
      </c>
      <c r="H1531" s="26" t="s">
        <v>2071</v>
      </c>
      <c r="I1531" s="17">
        <f ca="1">IFERROR(__xludf.DUMMYFUNCTION("""COMPUTED_VALUE"""),45392)</f>
        <v>45392</v>
      </c>
      <c r="J1531" s="44" t="s">
        <v>920</v>
      </c>
      <c r="K1531" s="26" t="s">
        <v>6361</v>
      </c>
      <c r="L1531" s="30">
        <v>334705606</v>
      </c>
      <c r="M1531" s="26" t="s">
        <v>2755</v>
      </c>
      <c r="N1531" s="26" t="s">
        <v>310</v>
      </c>
      <c r="O1531" s="26" t="s">
        <v>4503</v>
      </c>
      <c r="P1531" s="26" t="s">
        <v>6362</v>
      </c>
      <c r="Q1531" s="20">
        <v>3968</v>
      </c>
      <c r="R1531" s="26" t="s">
        <v>36</v>
      </c>
      <c r="S1531" s="31">
        <v>3968</v>
      </c>
      <c r="T1531" s="32">
        <v>45271</v>
      </c>
      <c r="U1531" s="31"/>
      <c r="V1531" s="32"/>
      <c r="W1531" s="33" t="s">
        <v>6363</v>
      </c>
      <c r="X1531" s="26"/>
      <c r="Y1531" s="22">
        <v>0</v>
      </c>
      <c r="Z1531" s="26" t="s">
        <v>50</v>
      </c>
      <c r="AA1531" s="19" t="s">
        <v>5961</v>
      </c>
      <c r="AB1531" s="26" t="s">
        <v>104</v>
      </c>
      <c r="AC1531" s="26" t="s">
        <v>53</v>
      </c>
      <c r="AD1531" s="19" t="s">
        <v>54</v>
      </c>
      <c r="AE1531" s="26"/>
      <c r="AF1531" s="43">
        <v>45285</v>
      </c>
      <c r="AG1531" s="26"/>
      <c r="AH1531" s="26">
        <v>3</v>
      </c>
      <c r="AI1531" s="40"/>
      <c r="AJ1531" s="26"/>
      <c r="AK1531" s="26"/>
      <c r="AL1531" s="35"/>
      <c r="AM1531" s="35"/>
      <c r="AN1531" s="35"/>
      <c r="AO1531" s="35"/>
      <c r="AP1531" s="35"/>
    </row>
    <row r="1532" spans="1:42" x14ac:dyDescent="0.2">
      <c r="A1532" s="27">
        <v>45274.860575763887</v>
      </c>
      <c r="B1532" s="28" t="s">
        <v>37</v>
      </c>
      <c r="C1532" s="41" t="s">
        <v>118</v>
      </c>
      <c r="D1532" s="26" t="s">
        <v>36</v>
      </c>
      <c r="E1532" s="26" t="s">
        <v>219</v>
      </c>
      <c r="F1532" s="26" t="s">
        <v>324</v>
      </c>
      <c r="G1532" s="26" t="s">
        <v>221</v>
      </c>
      <c r="H1532" s="26" t="s">
        <v>4275</v>
      </c>
      <c r="I1532" s="17">
        <f ca="1">IFERROR(__xludf.DUMMYFUNCTION("""COMPUTED_VALUE"""),45300)</f>
        <v>45300</v>
      </c>
      <c r="J1532" s="29" t="s">
        <v>365</v>
      </c>
      <c r="K1532" s="26" t="s">
        <v>6364</v>
      </c>
      <c r="L1532" s="30">
        <v>973724205</v>
      </c>
      <c r="M1532" s="26" t="s">
        <v>2755</v>
      </c>
      <c r="N1532" s="26" t="s">
        <v>310</v>
      </c>
      <c r="O1532" s="26" t="s">
        <v>36</v>
      </c>
      <c r="P1532" s="26" t="s">
        <v>5601</v>
      </c>
      <c r="Q1532" s="20">
        <v>3968</v>
      </c>
      <c r="R1532" s="26" t="s">
        <v>36</v>
      </c>
      <c r="S1532" s="31">
        <v>3968</v>
      </c>
      <c r="T1532" s="32">
        <v>45274</v>
      </c>
      <c r="U1532" s="31"/>
      <c r="V1532" s="32"/>
      <c r="W1532" s="33" t="s">
        <v>6365</v>
      </c>
      <c r="X1532" s="26"/>
      <c r="Y1532" s="22">
        <v>0</v>
      </c>
      <c r="Z1532" s="26" t="s">
        <v>50</v>
      </c>
      <c r="AA1532" s="19" t="s">
        <v>5961</v>
      </c>
      <c r="AB1532" s="26" t="s">
        <v>104</v>
      </c>
      <c r="AC1532" s="26" t="s">
        <v>53</v>
      </c>
      <c r="AD1532" s="19" t="s">
        <v>138</v>
      </c>
      <c r="AE1532" s="26" t="s">
        <v>324</v>
      </c>
      <c r="AF1532" s="17">
        <v>45300</v>
      </c>
      <c r="AG1532" s="26" t="s">
        <v>4279</v>
      </c>
      <c r="AH1532" s="26">
        <v>2</v>
      </c>
      <c r="AI1532" s="40"/>
      <c r="AJ1532" s="26"/>
      <c r="AK1532" s="26"/>
      <c r="AL1532" s="35"/>
      <c r="AM1532" s="35"/>
      <c r="AN1532" s="35"/>
      <c r="AO1532" s="35"/>
      <c r="AP1532" s="35"/>
    </row>
    <row r="1533" spans="1:42" x14ac:dyDescent="0.2">
      <c r="A1533" s="27">
        <v>45275.658759803242</v>
      </c>
      <c r="B1533" s="28" t="s">
        <v>37</v>
      </c>
      <c r="C1533" s="41" t="s">
        <v>118</v>
      </c>
      <c r="D1533" s="26" t="s">
        <v>36</v>
      </c>
      <c r="E1533" s="26" t="s">
        <v>148</v>
      </c>
      <c r="F1533" s="26" t="s">
        <v>40</v>
      </c>
      <c r="G1533" s="26" t="s">
        <v>108</v>
      </c>
      <c r="H1533" s="26" t="s">
        <v>4869</v>
      </c>
      <c r="I1533" s="17">
        <f ca="1">IFERROR(__xludf.DUMMYFUNCTION("""COMPUTED_VALUE"""),45300)</f>
        <v>45300</v>
      </c>
      <c r="J1533" s="29" t="s">
        <v>6366</v>
      </c>
      <c r="K1533" s="26" t="s">
        <v>6367</v>
      </c>
      <c r="L1533" s="30">
        <v>368306812</v>
      </c>
      <c r="M1533" s="26" t="s">
        <v>5429</v>
      </c>
      <c r="N1533" s="26" t="s">
        <v>81</v>
      </c>
      <c r="O1533" s="26" t="s">
        <v>2981</v>
      </c>
      <c r="P1533" s="26" t="s">
        <v>6368</v>
      </c>
      <c r="Q1533" s="20">
        <v>7349</v>
      </c>
      <c r="R1533" s="26" t="s">
        <v>36</v>
      </c>
      <c r="S1533" s="31">
        <v>7349</v>
      </c>
      <c r="T1533" s="32">
        <v>45274</v>
      </c>
      <c r="U1533" s="31"/>
      <c r="V1533" s="32"/>
      <c r="W1533" s="33" t="s">
        <v>6369</v>
      </c>
      <c r="X1533" s="26"/>
      <c r="Y1533" s="22">
        <v>0</v>
      </c>
      <c r="Z1533" s="26" t="s">
        <v>50</v>
      </c>
      <c r="AA1533" s="19" t="s">
        <v>5961</v>
      </c>
      <c r="AB1533" s="26" t="s">
        <v>116</v>
      </c>
      <c r="AC1533" s="26" t="s">
        <v>53</v>
      </c>
      <c r="AD1533" s="19" t="s">
        <v>138</v>
      </c>
      <c r="AE1533" s="26" t="s">
        <v>6370</v>
      </c>
      <c r="AF1533" s="17">
        <v>45300</v>
      </c>
      <c r="AG1533" s="26" t="s">
        <v>1362</v>
      </c>
      <c r="AH1533" s="26">
        <v>2</v>
      </c>
      <c r="AI1533" s="40"/>
      <c r="AJ1533" s="26"/>
      <c r="AK1533" s="26"/>
      <c r="AL1533" s="35"/>
      <c r="AM1533" s="35"/>
      <c r="AN1533" s="35"/>
      <c r="AO1533" s="35"/>
      <c r="AP1533" s="35"/>
    </row>
    <row r="1534" spans="1:42" x14ac:dyDescent="0.2">
      <c r="A1534" s="27">
        <v>45278.365248275462</v>
      </c>
      <c r="B1534" s="28" t="s">
        <v>37</v>
      </c>
      <c r="C1534" s="41" t="s">
        <v>118</v>
      </c>
      <c r="D1534" s="26" t="s">
        <v>36</v>
      </c>
      <c r="E1534" s="26" t="s">
        <v>77</v>
      </c>
      <c r="F1534" s="26" t="s">
        <v>91</v>
      </c>
      <c r="G1534" s="26" t="s">
        <v>41</v>
      </c>
      <c r="H1534" s="26" t="s">
        <v>1733</v>
      </c>
      <c r="I1534" s="17">
        <f ca="1">IFERROR(__xludf.DUMMYFUNCTION("""COMPUTED_VALUE"""),45275)</f>
        <v>45275</v>
      </c>
      <c r="J1534" s="29" t="s">
        <v>6371</v>
      </c>
      <c r="K1534" s="26" t="s">
        <v>6372</v>
      </c>
      <c r="L1534" s="30">
        <v>982375823</v>
      </c>
      <c r="M1534" s="26" t="s">
        <v>391</v>
      </c>
      <c r="N1534" s="26" t="s">
        <v>327</v>
      </c>
      <c r="O1534" s="26" t="s">
        <v>6373</v>
      </c>
      <c r="P1534" s="26" t="s">
        <v>6374</v>
      </c>
      <c r="Q1534" s="20">
        <v>1968</v>
      </c>
      <c r="R1534" s="26" t="s">
        <v>36</v>
      </c>
      <c r="S1534" s="31">
        <v>1968</v>
      </c>
      <c r="T1534" s="32">
        <v>45275</v>
      </c>
      <c r="U1534" s="31"/>
      <c r="V1534" s="32"/>
      <c r="W1534" s="33" t="s">
        <v>6375</v>
      </c>
      <c r="X1534" s="26"/>
      <c r="Y1534" s="22">
        <v>0</v>
      </c>
      <c r="Z1534" s="26" t="s">
        <v>50</v>
      </c>
      <c r="AA1534" s="19" t="s">
        <v>5961</v>
      </c>
      <c r="AB1534" s="26" t="s">
        <v>104</v>
      </c>
      <c r="AC1534" s="26" t="s">
        <v>53</v>
      </c>
      <c r="AD1534" s="19" t="s">
        <v>54</v>
      </c>
      <c r="AE1534" s="26" t="s">
        <v>6376</v>
      </c>
      <c r="AF1534" s="17">
        <v>45278</v>
      </c>
      <c r="AG1534" s="26"/>
      <c r="AH1534" s="26">
        <v>1</v>
      </c>
      <c r="AI1534" s="40"/>
      <c r="AJ1534" s="26"/>
      <c r="AK1534" s="26"/>
      <c r="AL1534" s="35"/>
      <c r="AM1534" s="35"/>
      <c r="AN1534" s="35"/>
      <c r="AO1534" s="35"/>
      <c r="AP1534" s="35"/>
    </row>
    <row r="1535" spans="1:42" x14ac:dyDescent="0.2">
      <c r="A1535" s="97">
        <v>45279</v>
      </c>
      <c r="B1535" s="28" t="s">
        <v>37</v>
      </c>
      <c r="C1535" s="41" t="s">
        <v>118</v>
      </c>
      <c r="D1535" s="26" t="s">
        <v>36</v>
      </c>
      <c r="E1535" s="26" t="s">
        <v>106</v>
      </c>
      <c r="F1535" s="26" t="s">
        <v>4371</v>
      </c>
      <c r="G1535" s="26" t="s">
        <v>108</v>
      </c>
      <c r="H1535" s="26" t="s">
        <v>4576</v>
      </c>
      <c r="I1535" s="17">
        <f ca="1">IFERROR(__xludf.DUMMYFUNCTION("""COMPUTED_VALUE"""),45294)</f>
        <v>45294</v>
      </c>
      <c r="J1535" s="29" t="s">
        <v>4391</v>
      </c>
      <c r="K1535" s="26" t="s">
        <v>4392</v>
      </c>
      <c r="L1535" s="30">
        <v>774307819</v>
      </c>
      <c r="M1535" s="26" t="s">
        <v>5518</v>
      </c>
      <c r="N1535" s="26" t="s">
        <v>5524</v>
      </c>
      <c r="O1535" s="26"/>
      <c r="P1535" s="42" t="s">
        <v>6377</v>
      </c>
      <c r="Q1535" s="20">
        <v>3768</v>
      </c>
      <c r="R1535" s="26" t="s">
        <v>36</v>
      </c>
      <c r="S1535" s="31">
        <v>3668</v>
      </c>
      <c r="T1535" s="32">
        <v>45279</v>
      </c>
      <c r="U1535" s="31"/>
      <c r="V1535" s="32"/>
      <c r="W1535" s="55" t="s">
        <v>6378</v>
      </c>
      <c r="X1535" s="26"/>
      <c r="Y1535" s="22">
        <v>100</v>
      </c>
      <c r="Z1535" s="26" t="s">
        <v>50</v>
      </c>
      <c r="AA1535" s="19" t="s">
        <v>5961</v>
      </c>
      <c r="AB1535" s="26" t="s">
        <v>2196</v>
      </c>
      <c r="AC1535" s="26" t="s">
        <v>53</v>
      </c>
      <c r="AD1535" s="19" t="s">
        <v>54</v>
      </c>
      <c r="AE1535" s="26" t="s">
        <v>4371</v>
      </c>
      <c r="AF1535" s="43">
        <v>45280</v>
      </c>
      <c r="AG1535" s="26"/>
      <c r="AH1535" s="26">
        <v>2</v>
      </c>
      <c r="AI1535" s="40"/>
      <c r="AJ1535" s="26"/>
      <c r="AK1535" s="26"/>
      <c r="AL1535" s="35"/>
      <c r="AM1535" s="35"/>
      <c r="AN1535" s="35"/>
      <c r="AO1535" s="35"/>
      <c r="AP1535" s="35"/>
    </row>
    <row r="1536" spans="1:42" x14ac:dyDescent="0.2">
      <c r="A1536" s="27">
        <v>45279.417669340277</v>
      </c>
      <c r="B1536" s="28" t="s">
        <v>37</v>
      </c>
      <c r="C1536" s="41" t="s">
        <v>118</v>
      </c>
      <c r="D1536" s="26" t="s">
        <v>36</v>
      </c>
      <c r="E1536" s="26" t="s">
        <v>148</v>
      </c>
      <c r="F1536" s="26" t="s">
        <v>91</v>
      </c>
      <c r="G1536" s="26" t="s">
        <v>108</v>
      </c>
      <c r="H1536" s="26" t="s">
        <v>4869</v>
      </c>
      <c r="I1536" s="17">
        <f ca="1">IFERROR(__xludf.DUMMYFUNCTION("""COMPUTED_VALUE"""),45300)</f>
        <v>45300</v>
      </c>
      <c r="J1536" s="29" t="s">
        <v>6379</v>
      </c>
      <c r="K1536" s="26" t="s">
        <v>6380</v>
      </c>
      <c r="L1536" s="30">
        <v>359789536</v>
      </c>
      <c r="M1536" s="26" t="s">
        <v>548</v>
      </c>
      <c r="N1536" s="26" t="s">
        <v>6381</v>
      </c>
      <c r="O1536" s="26" t="s">
        <v>6382</v>
      </c>
      <c r="P1536" s="26" t="s">
        <v>3117</v>
      </c>
      <c r="Q1536" s="20">
        <v>7349</v>
      </c>
      <c r="R1536" s="26" t="s">
        <v>36</v>
      </c>
      <c r="S1536" s="31">
        <v>7349</v>
      </c>
      <c r="T1536" s="32">
        <v>45279</v>
      </c>
      <c r="U1536" s="31"/>
      <c r="V1536" s="32"/>
      <c r="W1536" s="33" t="s">
        <v>6383</v>
      </c>
      <c r="X1536" s="26"/>
      <c r="Y1536" s="22">
        <v>0</v>
      </c>
      <c r="Z1536" s="26" t="s">
        <v>50</v>
      </c>
      <c r="AA1536" s="19" t="s">
        <v>5961</v>
      </c>
      <c r="AB1536" s="26" t="s">
        <v>6384</v>
      </c>
      <c r="AC1536" s="26" t="s">
        <v>53</v>
      </c>
      <c r="AD1536" s="19" t="s">
        <v>138</v>
      </c>
      <c r="AE1536" s="26"/>
      <c r="AF1536" s="17">
        <v>45300</v>
      </c>
      <c r="AG1536" s="26" t="s">
        <v>1362</v>
      </c>
      <c r="AH1536" s="26">
        <v>1</v>
      </c>
      <c r="AI1536" s="40"/>
      <c r="AJ1536" s="26"/>
      <c r="AK1536" s="26"/>
      <c r="AL1536" s="35"/>
      <c r="AM1536" s="35"/>
      <c r="AN1536" s="35"/>
      <c r="AO1536" s="35"/>
      <c r="AP1536" s="35"/>
    </row>
    <row r="1537" spans="1:42" x14ac:dyDescent="0.2">
      <c r="A1537" s="27">
        <v>45280.924359710647</v>
      </c>
      <c r="B1537" s="28" t="s">
        <v>37</v>
      </c>
      <c r="C1537" s="41" t="s">
        <v>118</v>
      </c>
      <c r="D1537" s="26" t="s">
        <v>106</v>
      </c>
      <c r="E1537" s="26" t="s">
        <v>219</v>
      </c>
      <c r="F1537" s="26" t="s">
        <v>562</v>
      </c>
      <c r="G1537" s="26" t="s">
        <v>221</v>
      </c>
      <c r="H1537" s="26" t="s">
        <v>4275</v>
      </c>
      <c r="I1537" s="17">
        <f ca="1">IFERROR(__xludf.DUMMYFUNCTION("""COMPUTED_VALUE"""),45300)</f>
        <v>45300</v>
      </c>
      <c r="J1537" s="29" t="s">
        <v>1052</v>
      </c>
      <c r="K1537" s="26" t="s">
        <v>6385</v>
      </c>
      <c r="L1537" s="30">
        <v>334341927</v>
      </c>
      <c r="M1537" s="26" t="s">
        <v>80</v>
      </c>
      <c r="N1537" s="26" t="s">
        <v>253</v>
      </c>
      <c r="O1537" s="26" t="s">
        <v>1054</v>
      </c>
      <c r="P1537" s="26" t="s">
        <v>2641</v>
      </c>
      <c r="Q1537" s="20">
        <v>3968</v>
      </c>
      <c r="R1537" s="26" t="s">
        <v>36</v>
      </c>
      <c r="S1537" s="31">
        <v>3636</v>
      </c>
      <c r="T1537" s="32">
        <v>45279</v>
      </c>
      <c r="U1537" s="31"/>
      <c r="V1537" s="26" t="s">
        <v>6386</v>
      </c>
      <c r="W1537" s="33" t="s">
        <v>6387</v>
      </c>
      <c r="X1537" s="26"/>
      <c r="Y1537" s="22">
        <v>332</v>
      </c>
      <c r="Z1537" s="26" t="s">
        <v>50</v>
      </c>
      <c r="AA1537" s="19" t="s">
        <v>5961</v>
      </c>
      <c r="AB1537" s="26" t="s">
        <v>104</v>
      </c>
      <c r="AC1537" s="26" t="s">
        <v>53</v>
      </c>
      <c r="AD1537" s="19" t="s">
        <v>138</v>
      </c>
      <c r="AE1537" s="26" t="s">
        <v>562</v>
      </c>
      <c r="AF1537" s="43">
        <v>45285</v>
      </c>
      <c r="AG1537" s="26" t="s">
        <v>6388</v>
      </c>
      <c r="AH1537" s="26">
        <v>2</v>
      </c>
      <c r="AI1537" s="40"/>
      <c r="AJ1537" s="26"/>
      <c r="AK1537" s="26"/>
      <c r="AL1537" s="35"/>
      <c r="AM1537" s="35"/>
      <c r="AN1537" s="35"/>
      <c r="AO1537" s="35"/>
      <c r="AP1537" s="35"/>
    </row>
    <row r="1538" spans="1:42" x14ac:dyDescent="0.2">
      <c r="A1538" s="27">
        <v>45281.508537731483</v>
      </c>
      <c r="B1538" s="28" t="s">
        <v>37</v>
      </c>
      <c r="C1538" s="41" t="s">
        <v>118</v>
      </c>
      <c r="D1538" s="26" t="s">
        <v>106</v>
      </c>
      <c r="E1538" s="26" t="s">
        <v>219</v>
      </c>
      <c r="F1538" s="26" t="s">
        <v>2595</v>
      </c>
      <c r="G1538" s="26" t="s">
        <v>221</v>
      </c>
      <c r="H1538" s="26" t="s">
        <v>6389</v>
      </c>
      <c r="I1538" s="17">
        <f ca="1">IFERROR(__xludf.DUMMYFUNCTION("""COMPUTED_VALUE"""),45356)</f>
        <v>45356</v>
      </c>
      <c r="J1538" s="29" t="s">
        <v>2938</v>
      </c>
      <c r="K1538" s="26" t="s">
        <v>2939</v>
      </c>
      <c r="L1538" s="30">
        <v>376154919</v>
      </c>
      <c r="M1538" s="26" t="s">
        <v>5518</v>
      </c>
      <c r="N1538" s="26" t="s">
        <v>186</v>
      </c>
      <c r="O1538" s="26" t="s">
        <v>2940</v>
      </c>
      <c r="P1538" s="26" t="s">
        <v>6390</v>
      </c>
      <c r="Q1538" s="20">
        <v>3968</v>
      </c>
      <c r="R1538" s="26" t="s">
        <v>36</v>
      </c>
      <c r="S1538" s="31">
        <v>3868</v>
      </c>
      <c r="T1538" s="32">
        <v>45280</v>
      </c>
      <c r="U1538" s="31"/>
      <c r="V1538" s="32"/>
      <c r="W1538" s="33" t="s">
        <v>6391</v>
      </c>
      <c r="X1538" s="26"/>
      <c r="Y1538" s="22">
        <v>100</v>
      </c>
      <c r="Z1538" s="26" t="s">
        <v>50</v>
      </c>
      <c r="AA1538" s="19" t="s">
        <v>5961</v>
      </c>
      <c r="AB1538" s="26" t="s">
        <v>104</v>
      </c>
      <c r="AC1538" s="26" t="s">
        <v>53</v>
      </c>
      <c r="AD1538" s="19" t="s">
        <v>138</v>
      </c>
      <c r="AE1538" s="26" t="s">
        <v>2595</v>
      </c>
      <c r="AF1538" s="17">
        <v>45356</v>
      </c>
      <c r="AG1538" s="26" t="s">
        <v>1362</v>
      </c>
      <c r="AH1538" s="26">
        <v>2</v>
      </c>
      <c r="AI1538" s="40"/>
      <c r="AJ1538" s="26"/>
      <c r="AK1538" s="26"/>
      <c r="AL1538" s="35"/>
      <c r="AM1538" s="35"/>
      <c r="AN1538" s="35"/>
      <c r="AO1538" s="35"/>
      <c r="AP1538" s="35"/>
    </row>
    <row r="1539" spans="1:42" x14ac:dyDescent="0.2">
      <c r="A1539" s="97">
        <v>45282</v>
      </c>
      <c r="B1539" s="28" t="s">
        <v>37</v>
      </c>
      <c r="C1539" s="41" t="s">
        <v>118</v>
      </c>
      <c r="D1539" s="26" t="s">
        <v>36</v>
      </c>
      <c r="E1539" s="26" t="s">
        <v>219</v>
      </c>
      <c r="F1539" s="26" t="s">
        <v>765</v>
      </c>
      <c r="G1539" s="26" t="s">
        <v>221</v>
      </c>
      <c r="H1539" s="26" t="s">
        <v>6025</v>
      </c>
      <c r="I1539" s="17">
        <f ca="1">IFERROR(__xludf.DUMMYFUNCTION("""COMPUTED_VALUE"""),45295)</f>
        <v>45295</v>
      </c>
      <c r="J1539" s="29" t="s">
        <v>2066</v>
      </c>
      <c r="K1539" s="26" t="s">
        <v>6392</v>
      </c>
      <c r="L1539" s="30">
        <v>342964702</v>
      </c>
      <c r="M1539" s="26" t="s">
        <v>1245</v>
      </c>
      <c r="N1539" s="26" t="s">
        <v>1246</v>
      </c>
      <c r="O1539" s="26" t="s">
        <v>36</v>
      </c>
      <c r="P1539" s="76" t="s">
        <v>6393</v>
      </c>
      <c r="Q1539" s="20">
        <v>3968</v>
      </c>
      <c r="R1539" s="26" t="s">
        <v>36</v>
      </c>
      <c r="S1539" s="31">
        <v>3968</v>
      </c>
      <c r="T1539" s="32">
        <v>45284</v>
      </c>
      <c r="U1539" s="31"/>
      <c r="V1539" s="26"/>
      <c r="W1539" s="33"/>
      <c r="X1539" s="26">
        <v>0</v>
      </c>
      <c r="Y1539" s="22">
        <v>0</v>
      </c>
      <c r="Z1539" s="26" t="s">
        <v>50</v>
      </c>
      <c r="AA1539" s="19" t="s">
        <v>5961</v>
      </c>
      <c r="AB1539" s="26" t="s">
        <v>104</v>
      </c>
      <c r="AC1539" s="26" t="s">
        <v>53</v>
      </c>
      <c r="AD1539" s="19" t="s">
        <v>54</v>
      </c>
      <c r="AE1539" s="26" t="s">
        <v>765</v>
      </c>
      <c r="AF1539" s="43">
        <v>45285</v>
      </c>
      <c r="AG1539" s="26"/>
      <c r="AH1539" s="26">
        <v>2</v>
      </c>
      <c r="AI1539" s="40"/>
      <c r="AJ1539" s="26"/>
      <c r="AK1539" s="26"/>
      <c r="AL1539" s="35"/>
      <c r="AM1539" s="35"/>
      <c r="AN1539" s="35"/>
      <c r="AO1539" s="35"/>
      <c r="AP1539" s="35"/>
    </row>
    <row r="1540" spans="1:42" x14ac:dyDescent="0.2">
      <c r="A1540" s="27">
        <v>45283.744422476855</v>
      </c>
      <c r="B1540" s="28" t="s">
        <v>37</v>
      </c>
      <c r="C1540" s="41" t="s">
        <v>118</v>
      </c>
      <c r="D1540" s="26" t="s">
        <v>36</v>
      </c>
      <c r="E1540" s="26" t="s">
        <v>219</v>
      </c>
      <c r="F1540" s="26" t="s">
        <v>40</v>
      </c>
      <c r="G1540" s="26" t="s">
        <v>221</v>
      </c>
      <c r="H1540" s="26" t="s">
        <v>6025</v>
      </c>
      <c r="I1540" s="17">
        <f ca="1">IFERROR(__xludf.DUMMYFUNCTION("""COMPUTED_VALUE"""),45295)</f>
        <v>45295</v>
      </c>
      <c r="J1540" s="29" t="s">
        <v>6394</v>
      </c>
      <c r="K1540" s="26" t="s">
        <v>6395</v>
      </c>
      <c r="L1540" s="30">
        <v>986594506</v>
      </c>
      <c r="M1540" s="26" t="s">
        <v>45</v>
      </c>
      <c r="N1540" s="26" t="s">
        <v>315</v>
      </c>
      <c r="O1540" s="26" t="s">
        <v>134</v>
      </c>
      <c r="P1540" s="26" t="s">
        <v>6396</v>
      </c>
      <c r="Q1540" s="20">
        <v>3968</v>
      </c>
      <c r="R1540" s="26" t="s">
        <v>36</v>
      </c>
      <c r="S1540" s="31">
        <v>3968</v>
      </c>
      <c r="T1540" s="32">
        <v>45283</v>
      </c>
      <c r="U1540" s="31"/>
      <c r="V1540" s="32"/>
      <c r="W1540" s="33" t="s">
        <v>6397</v>
      </c>
      <c r="X1540" s="26"/>
      <c r="Y1540" s="22">
        <v>0</v>
      </c>
      <c r="Z1540" s="26" t="s">
        <v>50</v>
      </c>
      <c r="AA1540" s="19" t="s">
        <v>5961</v>
      </c>
      <c r="AB1540" s="26" t="s">
        <v>104</v>
      </c>
      <c r="AC1540" s="26" t="s">
        <v>53</v>
      </c>
      <c r="AD1540" s="19" t="s">
        <v>54</v>
      </c>
      <c r="AE1540" s="26" t="s">
        <v>3554</v>
      </c>
      <c r="AF1540" s="43">
        <v>45285</v>
      </c>
      <c r="AG1540" s="26"/>
      <c r="AH1540" s="26">
        <v>1</v>
      </c>
      <c r="AI1540" s="40"/>
      <c r="AJ1540" s="26"/>
      <c r="AK1540" s="26"/>
      <c r="AL1540" s="35"/>
      <c r="AM1540" s="35"/>
      <c r="AN1540" s="35"/>
      <c r="AO1540" s="35"/>
      <c r="AP1540" s="35"/>
    </row>
    <row r="1541" spans="1:42" x14ac:dyDescent="0.2">
      <c r="A1541" s="27">
        <v>45284.830164085652</v>
      </c>
      <c r="B1541" s="28" t="s">
        <v>37</v>
      </c>
      <c r="C1541" s="41" t="s">
        <v>118</v>
      </c>
      <c r="D1541" s="26" t="s">
        <v>36</v>
      </c>
      <c r="E1541" s="26" t="s">
        <v>77</v>
      </c>
      <c r="F1541" s="26" t="s">
        <v>36</v>
      </c>
      <c r="G1541" s="26" t="s">
        <v>41</v>
      </c>
      <c r="H1541" s="26" t="s">
        <v>2856</v>
      </c>
      <c r="I1541" s="17">
        <f ca="1">IFERROR(__xludf.DUMMYFUNCTION("""COMPUTED_VALUE"""),45293)</f>
        <v>45293</v>
      </c>
      <c r="J1541" s="29" t="s">
        <v>6398</v>
      </c>
      <c r="K1541" s="26" t="s">
        <v>6399</v>
      </c>
      <c r="L1541" s="30">
        <v>987063730</v>
      </c>
      <c r="M1541" s="26" t="s">
        <v>80</v>
      </c>
      <c r="N1541" s="26" t="s">
        <v>253</v>
      </c>
      <c r="O1541" s="26" t="s">
        <v>6400</v>
      </c>
      <c r="P1541" s="26" t="s">
        <v>6401</v>
      </c>
      <c r="Q1541" s="20">
        <v>1968</v>
      </c>
      <c r="R1541" s="26" t="s">
        <v>36</v>
      </c>
      <c r="S1541" s="31">
        <v>1968</v>
      </c>
      <c r="T1541" s="32">
        <v>45283</v>
      </c>
      <c r="U1541" s="31"/>
      <c r="V1541" s="32"/>
      <c r="W1541" s="33" t="s">
        <v>6402</v>
      </c>
      <c r="X1541" s="26"/>
      <c r="Y1541" s="22">
        <v>0</v>
      </c>
      <c r="Z1541" s="26" t="s">
        <v>50</v>
      </c>
      <c r="AA1541" s="19" t="s">
        <v>5961</v>
      </c>
      <c r="AB1541" s="26" t="s">
        <v>104</v>
      </c>
      <c r="AC1541" s="26" t="s">
        <v>53</v>
      </c>
      <c r="AD1541" s="19" t="s">
        <v>54</v>
      </c>
      <c r="AE1541" s="26">
        <v>0</v>
      </c>
      <c r="AF1541" s="43">
        <v>45285</v>
      </c>
      <c r="AG1541" s="26"/>
      <c r="AH1541" s="26">
        <v>1</v>
      </c>
      <c r="AI1541" s="40"/>
      <c r="AJ1541" s="26"/>
      <c r="AK1541" s="26"/>
      <c r="AL1541" s="35"/>
      <c r="AM1541" s="35"/>
      <c r="AN1541" s="35"/>
      <c r="AO1541" s="35"/>
      <c r="AP1541" s="35"/>
    </row>
    <row r="1542" spans="1:42" x14ac:dyDescent="0.2">
      <c r="A1542" s="27">
        <v>45284.944294270834</v>
      </c>
      <c r="B1542" s="28" t="s">
        <v>37</v>
      </c>
      <c r="C1542" s="41" t="s">
        <v>118</v>
      </c>
      <c r="D1542" s="26" t="s">
        <v>36</v>
      </c>
      <c r="E1542" s="26" t="s">
        <v>106</v>
      </c>
      <c r="F1542" s="26" t="s">
        <v>36</v>
      </c>
      <c r="G1542" s="26" t="s">
        <v>108</v>
      </c>
      <c r="H1542" s="26" t="s">
        <v>4576</v>
      </c>
      <c r="I1542" s="17">
        <f ca="1">IFERROR(__xludf.DUMMYFUNCTION("""COMPUTED_VALUE"""),45294)</f>
        <v>45294</v>
      </c>
      <c r="J1542" s="29" t="s">
        <v>6403</v>
      </c>
      <c r="K1542" s="26" t="s">
        <v>6404</v>
      </c>
      <c r="L1542" s="30">
        <v>364126319</v>
      </c>
      <c r="M1542" s="26" t="s">
        <v>391</v>
      </c>
      <c r="N1542" s="26" t="s">
        <v>3115</v>
      </c>
      <c r="O1542" s="26" t="s">
        <v>6405</v>
      </c>
      <c r="P1542" s="26" t="s">
        <v>6406</v>
      </c>
      <c r="Q1542" s="20">
        <v>3768</v>
      </c>
      <c r="R1542" s="26" t="s">
        <v>36</v>
      </c>
      <c r="S1542" s="31">
        <v>3768</v>
      </c>
      <c r="T1542" s="32">
        <v>45278</v>
      </c>
      <c r="U1542" s="31"/>
      <c r="V1542" s="32"/>
      <c r="W1542" s="33" t="s">
        <v>6407</v>
      </c>
      <c r="X1542" s="26"/>
      <c r="Y1542" s="22">
        <v>0</v>
      </c>
      <c r="Z1542" s="26" t="s">
        <v>50</v>
      </c>
      <c r="AA1542" s="19" t="s">
        <v>5961</v>
      </c>
      <c r="AB1542" s="26" t="s">
        <v>6384</v>
      </c>
      <c r="AC1542" s="26" t="s">
        <v>53</v>
      </c>
      <c r="AD1542" s="19" t="s">
        <v>54</v>
      </c>
      <c r="AE1542" s="26"/>
      <c r="AF1542" s="43">
        <v>45285</v>
      </c>
      <c r="AG1542" s="26"/>
      <c r="AH1542" s="26">
        <v>1</v>
      </c>
      <c r="AI1542" s="40"/>
      <c r="AJ1542" s="26"/>
      <c r="AK1542" s="26"/>
      <c r="AL1542" s="35"/>
      <c r="AM1542" s="35"/>
      <c r="AN1542" s="35"/>
      <c r="AO1542" s="35"/>
      <c r="AP1542" s="35"/>
    </row>
    <row r="1543" spans="1:42" x14ac:dyDescent="0.2">
      <c r="A1543" s="27">
        <v>45285.357357870365</v>
      </c>
      <c r="B1543" s="28" t="s">
        <v>37</v>
      </c>
      <c r="C1543" s="41" t="s">
        <v>118</v>
      </c>
      <c r="D1543" s="26" t="s">
        <v>36</v>
      </c>
      <c r="E1543" s="26" t="s">
        <v>106</v>
      </c>
      <c r="F1543" s="26" t="s">
        <v>4371</v>
      </c>
      <c r="G1543" s="26" t="s">
        <v>108</v>
      </c>
      <c r="H1543" s="26" t="s">
        <v>1710</v>
      </c>
      <c r="I1543" s="17">
        <f ca="1">IFERROR(__xludf.DUMMYFUNCTION("""COMPUTED_VALUE"""),45293)</f>
        <v>45293</v>
      </c>
      <c r="J1543" s="29" t="s">
        <v>6408</v>
      </c>
      <c r="K1543" s="26" t="s">
        <v>6409</v>
      </c>
      <c r="L1543" s="30">
        <v>868104913</v>
      </c>
      <c r="M1543" s="26" t="s">
        <v>391</v>
      </c>
      <c r="N1543" s="26" t="s">
        <v>584</v>
      </c>
      <c r="O1543" s="26" t="s">
        <v>134</v>
      </c>
      <c r="P1543" s="26" t="s">
        <v>6410</v>
      </c>
      <c r="Q1543" s="20">
        <v>3768</v>
      </c>
      <c r="R1543" s="26" t="s">
        <v>36</v>
      </c>
      <c r="S1543" s="31">
        <v>1500</v>
      </c>
      <c r="T1543" s="32">
        <v>45281</v>
      </c>
      <c r="U1543" s="31">
        <v>2268</v>
      </c>
      <c r="V1543" s="32">
        <v>45285</v>
      </c>
      <c r="W1543" s="33" t="s">
        <v>6411</v>
      </c>
      <c r="X1543" s="26"/>
      <c r="Y1543" s="22">
        <v>0</v>
      </c>
      <c r="Z1543" s="26" t="s">
        <v>50</v>
      </c>
      <c r="AA1543" s="19" t="s">
        <v>5961</v>
      </c>
      <c r="AB1543" s="26" t="s">
        <v>116</v>
      </c>
      <c r="AC1543" s="26" t="s">
        <v>53</v>
      </c>
      <c r="AD1543" s="19" t="s">
        <v>54</v>
      </c>
      <c r="AE1543" s="26"/>
      <c r="AF1543" s="43">
        <v>45285</v>
      </c>
      <c r="AG1543" s="26"/>
      <c r="AH1543" s="26">
        <v>1</v>
      </c>
      <c r="AI1543" s="40"/>
      <c r="AJ1543" s="26"/>
      <c r="AK1543" s="26"/>
      <c r="AL1543" s="35"/>
      <c r="AM1543" s="35"/>
      <c r="AN1543" s="35"/>
      <c r="AO1543" s="35"/>
      <c r="AP1543" s="35"/>
    </row>
    <row r="1544" spans="1:42" x14ac:dyDescent="0.2">
      <c r="A1544" s="27">
        <v>45285.451147951389</v>
      </c>
      <c r="B1544" s="28" t="s">
        <v>37</v>
      </c>
      <c r="C1544" s="41" t="s">
        <v>118</v>
      </c>
      <c r="D1544" s="26" t="s">
        <v>36</v>
      </c>
      <c r="E1544" s="26" t="s">
        <v>39</v>
      </c>
      <c r="F1544" s="26" t="s">
        <v>36</v>
      </c>
      <c r="G1544" s="26" t="s">
        <v>41</v>
      </c>
      <c r="H1544" s="26" t="s">
        <v>6412</v>
      </c>
      <c r="I1544" s="17">
        <f ca="1">IFERROR(__xludf.DUMMYFUNCTION("""COMPUTED_VALUE"""),45313)</f>
        <v>45313</v>
      </c>
      <c r="J1544" s="29" t="s">
        <v>6413</v>
      </c>
      <c r="K1544" s="26" t="s">
        <v>6414</v>
      </c>
      <c r="L1544" s="30">
        <v>362284532</v>
      </c>
      <c r="M1544" s="26" t="s">
        <v>3498</v>
      </c>
      <c r="N1544" s="26" t="s">
        <v>2756</v>
      </c>
      <c r="O1544" s="26" t="s">
        <v>4503</v>
      </c>
      <c r="P1544" s="26" t="s">
        <v>6415</v>
      </c>
      <c r="Q1544" s="20">
        <v>5736</v>
      </c>
      <c r="R1544" s="26" t="s">
        <v>36</v>
      </c>
      <c r="S1544" s="31">
        <v>300</v>
      </c>
      <c r="T1544" s="32">
        <v>45270</v>
      </c>
      <c r="U1544" s="31">
        <v>5436</v>
      </c>
      <c r="V1544" s="32">
        <v>45289</v>
      </c>
      <c r="W1544" s="33" t="s">
        <v>6416</v>
      </c>
      <c r="X1544" s="26"/>
      <c r="Y1544" s="22">
        <v>0</v>
      </c>
      <c r="Z1544" s="26" t="s">
        <v>50</v>
      </c>
      <c r="AA1544" s="19" t="s">
        <v>5961</v>
      </c>
      <c r="AB1544" s="26"/>
      <c r="AC1544" s="26" t="s">
        <v>53</v>
      </c>
      <c r="AD1544" s="19" t="s">
        <v>54</v>
      </c>
      <c r="AE1544" s="26"/>
      <c r="AF1544" s="17">
        <v>44944</v>
      </c>
      <c r="AG1544" s="26"/>
      <c r="AH1544" s="26">
        <v>1</v>
      </c>
      <c r="AI1544" s="40"/>
      <c r="AJ1544" s="26"/>
      <c r="AK1544" s="26"/>
      <c r="AL1544" s="35"/>
      <c r="AM1544" s="35"/>
      <c r="AN1544" s="35"/>
      <c r="AO1544" s="35"/>
      <c r="AP1544" s="35"/>
    </row>
    <row r="1545" spans="1:42" x14ac:dyDescent="0.2">
      <c r="A1545" s="27">
        <v>45285.468476134258</v>
      </c>
      <c r="B1545" s="28" t="s">
        <v>37</v>
      </c>
      <c r="C1545" s="41" t="s">
        <v>118</v>
      </c>
      <c r="D1545" s="26" t="s">
        <v>36</v>
      </c>
      <c r="E1545" s="26" t="s">
        <v>77</v>
      </c>
      <c r="F1545" s="26" t="s">
        <v>36</v>
      </c>
      <c r="G1545" s="26" t="s">
        <v>41</v>
      </c>
      <c r="H1545" s="26" t="s">
        <v>2856</v>
      </c>
      <c r="I1545" s="17">
        <f ca="1">IFERROR(__xludf.DUMMYFUNCTION("""COMPUTED_VALUE"""),45293)</f>
        <v>45293</v>
      </c>
      <c r="J1545" s="29" t="s">
        <v>6417</v>
      </c>
      <c r="K1545" s="26" t="s">
        <v>6418</v>
      </c>
      <c r="L1545" s="30">
        <v>942784065</v>
      </c>
      <c r="M1545" s="26" t="s">
        <v>348</v>
      </c>
      <c r="N1545" s="26" t="s">
        <v>200</v>
      </c>
      <c r="O1545" s="26" t="s">
        <v>6419</v>
      </c>
      <c r="P1545" s="26" t="s">
        <v>6420</v>
      </c>
      <c r="Q1545" s="20">
        <v>1968</v>
      </c>
      <c r="R1545" s="26" t="s">
        <v>36</v>
      </c>
      <c r="S1545" s="31">
        <v>1968</v>
      </c>
      <c r="T1545" s="32">
        <v>45285</v>
      </c>
      <c r="U1545" s="31"/>
      <c r="V1545" s="32"/>
      <c r="W1545" s="33" t="s">
        <v>6421</v>
      </c>
      <c r="X1545" s="26"/>
      <c r="Y1545" s="22">
        <v>0</v>
      </c>
      <c r="Z1545" s="26" t="s">
        <v>50</v>
      </c>
      <c r="AA1545" s="19" t="s">
        <v>5961</v>
      </c>
      <c r="AB1545" s="26"/>
      <c r="AC1545" s="26" t="s">
        <v>53</v>
      </c>
      <c r="AD1545" s="19" t="s">
        <v>54</v>
      </c>
      <c r="AE1545" s="26" t="s">
        <v>1327</v>
      </c>
      <c r="AF1545" s="43">
        <v>45285</v>
      </c>
      <c r="AG1545" s="26"/>
      <c r="AH1545" s="26">
        <v>1</v>
      </c>
      <c r="AI1545" s="40"/>
      <c r="AJ1545" s="26"/>
      <c r="AK1545" s="26"/>
      <c r="AL1545" s="35"/>
      <c r="AM1545" s="35"/>
      <c r="AN1545" s="35"/>
      <c r="AO1545" s="35"/>
      <c r="AP1545" s="35"/>
    </row>
    <row r="1546" spans="1:42" x14ac:dyDescent="0.2">
      <c r="A1546" s="27">
        <v>45286.369976932867</v>
      </c>
      <c r="B1546" s="28" t="s">
        <v>37</v>
      </c>
      <c r="C1546" s="41" t="s">
        <v>118</v>
      </c>
      <c r="D1546" s="26" t="s">
        <v>77</v>
      </c>
      <c r="E1546" s="26" t="s">
        <v>106</v>
      </c>
      <c r="F1546" s="26" t="s">
        <v>3414</v>
      </c>
      <c r="G1546" s="26" t="s">
        <v>108</v>
      </c>
      <c r="H1546" s="26" t="s">
        <v>3407</v>
      </c>
      <c r="I1546" s="17">
        <f ca="1">IFERROR(__xludf.DUMMYFUNCTION("""COMPUTED_VALUE"""),45293)</f>
        <v>45293</v>
      </c>
      <c r="J1546" s="29" t="s">
        <v>5548</v>
      </c>
      <c r="K1546" s="26" t="s">
        <v>5549</v>
      </c>
      <c r="L1546" s="30">
        <v>976020429</v>
      </c>
      <c r="M1546" s="26" t="s">
        <v>123</v>
      </c>
      <c r="N1546" s="26" t="s">
        <v>81</v>
      </c>
      <c r="O1546" s="26" t="s">
        <v>4503</v>
      </c>
      <c r="P1546" s="26" t="s">
        <v>6422</v>
      </c>
      <c r="Q1546" s="20">
        <v>3768</v>
      </c>
      <c r="R1546" s="26" t="s">
        <v>36</v>
      </c>
      <c r="S1546" s="31">
        <v>3768</v>
      </c>
      <c r="T1546" s="32">
        <v>45270</v>
      </c>
      <c r="U1546" s="31"/>
      <c r="V1546" s="32"/>
      <c r="W1546" s="33" t="s">
        <v>6423</v>
      </c>
      <c r="X1546" s="26"/>
      <c r="Y1546" s="22">
        <v>0</v>
      </c>
      <c r="Z1546" s="26" t="s">
        <v>50</v>
      </c>
      <c r="AA1546" s="19" t="s">
        <v>5961</v>
      </c>
      <c r="AB1546" s="26"/>
      <c r="AC1546" s="26" t="s">
        <v>53</v>
      </c>
      <c r="AD1546" s="19" t="s">
        <v>138</v>
      </c>
      <c r="AE1546" s="26"/>
      <c r="AF1546" s="17">
        <v>45293</v>
      </c>
      <c r="AG1546" s="26" t="s">
        <v>3415</v>
      </c>
      <c r="AH1546" s="26">
        <v>2</v>
      </c>
      <c r="AI1546" s="40" t="s">
        <v>84</v>
      </c>
      <c r="AJ1546" s="26"/>
      <c r="AK1546" s="26"/>
      <c r="AL1546" s="35"/>
      <c r="AM1546" s="35"/>
      <c r="AN1546" s="35"/>
      <c r="AO1546" s="35"/>
      <c r="AP1546" s="35"/>
    </row>
    <row r="1547" spans="1:42" x14ac:dyDescent="0.2">
      <c r="A1547" s="27">
        <v>45286.371898993057</v>
      </c>
      <c r="B1547" s="28" t="s">
        <v>37</v>
      </c>
      <c r="C1547" s="41" t="s">
        <v>118</v>
      </c>
      <c r="D1547" s="26" t="s">
        <v>36</v>
      </c>
      <c r="E1547" s="26" t="s">
        <v>119</v>
      </c>
      <c r="F1547" s="26" t="s">
        <v>36</v>
      </c>
      <c r="G1547" s="26" t="s">
        <v>108</v>
      </c>
      <c r="H1547" s="26" t="s">
        <v>5100</v>
      </c>
      <c r="I1547" s="17">
        <f ca="1">IFERROR(__xludf.DUMMYFUNCTION("""COMPUTED_VALUE"""),45288)</f>
        <v>45288</v>
      </c>
      <c r="J1547" s="29" t="s">
        <v>6424</v>
      </c>
      <c r="K1547" s="26" t="s">
        <v>5899</v>
      </c>
      <c r="L1547" s="30">
        <v>372156985</v>
      </c>
      <c r="M1547" s="26" t="s">
        <v>5558</v>
      </c>
      <c r="N1547" s="26" t="s">
        <v>850</v>
      </c>
      <c r="O1547" s="26" t="s">
        <v>2819</v>
      </c>
      <c r="P1547" s="26" t="s">
        <v>3153</v>
      </c>
      <c r="Q1547" s="20">
        <v>13968</v>
      </c>
      <c r="R1547" s="26" t="s">
        <v>36</v>
      </c>
      <c r="S1547" s="31">
        <v>13968</v>
      </c>
      <c r="T1547" s="32">
        <v>45284</v>
      </c>
      <c r="U1547" s="31"/>
      <c r="V1547" s="32"/>
      <c r="W1547" s="33" t="s">
        <v>6425</v>
      </c>
      <c r="X1547" s="26"/>
      <c r="Y1547" s="22">
        <v>0</v>
      </c>
      <c r="Z1547" s="26" t="s">
        <v>50</v>
      </c>
      <c r="AA1547" s="19" t="s">
        <v>5961</v>
      </c>
      <c r="AB1547" s="26" t="s">
        <v>104</v>
      </c>
      <c r="AC1547" s="26" t="s">
        <v>53</v>
      </c>
      <c r="AD1547" s="19" t="s">
        <v>138</v>
      </c>
      <c r="AE1547" s="26"/>
      <c r="AF1547" s="17">
        <v>45288</v>
      </c>
      <c r="AG1547" s="26" t="s">
        <v>4996</v>
      </c>
      <c r="AH1547" s="26">
        <v>1</v>
      </c>
      <c r="AI1547" s="40"/>
      <c r="AJ1547" s="26"/>
      <c r="AK1547" s="26"/>
      <c r="AL1547" s="35"/>
      <c r="AM1547" s="35"/>
      <c r="AN1547" s="35"/>
      <c r="AO1547" s="35"/>
      <c r="AP1547" s="35"/>
    </row>
    <row r="1548" spans="1:42" x14ac:dyDescent="0.2">
      <c r="A1548" s="27">
        <v>45286.593159016207</v>
      </c>
      <c r="B1548" s="28" t="s">
        <v>37</v>
      </c>
      <c r="C1548" s="41" t="s">
        <v>118</v>
      </c>
      <c r="D1548" s="26" t="s">
        <v>36</v>
      </c>
      <c r="E1548" s="26" t="s">
        <v>106</v>
      </c>
      <c r="F1548" s="26" t="s">
        <v>4371</v>
      </c>
      <c r="G1548" s="26" t="s">
        <v>108</v>
      </c>
      <c r="H1548" s="26" t="s">
        <v>6426</v>
      </c>
      <c r="I1548" s="17" t="str">
        <f ca="1">IFERROR(__xludf.DUMMYFUNCTION("""COMPUTED_VALUE""")," ")</f>
        <v xml:space="preserve"> </v>
      </c>
      <c r="J1548" s="29" t="s">
        <v>6427</v>
      </c>
      <c r="K1548" s="26" t="s">
        <v>6428</v>
      </c>
      <c r="L1548" s="30">
        <v>789370991</v>
      </c>
      <c r="M1548" s="26" t="s">
        <v>1245</v>
      </c>
      <c r="N1548" s="26" t="s">
        <v>1993</v>
      </c>
      <c r="O1548" s="26" t="s">
        <v>2819</v>
      </c>
      <c r="P1548" s="26" t="s">
        <v>6429</v>
      </c>
      <c r="Q1548" s="20">
        <v>3768</v>
      </c>
      <c r="R1548" s="26" t="s">
        <v>36</v>
      </c>
      <c r="S1548" s="31">
        <v>3768</v>
      </c>
      <c r="T1548" s="32">
        <v>45285</v>
      </c>
      <c r="U1548" s="31"/>
      <c r="V1548" s="32"/>
      <c r="W1548" s="33" t="s">
        <v>6430</v>
      </c>
      <c r="X1548" s="26"/>
      <c r="Y1548" s="22">
        <v>0</v>
      </c>
      <c r="Z1548" s="26" t="s">
        <v>50</v>
      </c>
      <c r="AA1548" s="19" t="s">
        <v>5961</v>
      </c>
      <c r="AB1548" s="26"/>
      <c r="AC1548" s="26" t="s">
        <v>53</v>
      </c>
      <c r="AD1548" s="19" t="s">
        <v>54</v>
      </c>
      <c r="AE1548" s="26" t="s">
        <v>4371</v>
      </c>
      <c r="AF1548" s="43">
        <v>45286</v>
      </c>
      <c r="AG1548" s="26"/>
      <c r="AH1548" s="26">
        <v>2</v>
      </c>
      <c r="AI1548" s="40"/>
      <c r="AJ1548" s="26"/>
      <c r="AK1548" s="26"/>
      <c r="AL1548" s="35"/>
      <c r="AM1548" s="35"/>
      <c r="AN1548" s="35"/>
      <c r="AO1548" s="35"/>
      <c r="AP1548" s="35"/>
    </row>
    <row r="1549" spans="1:42" x14ac:dyDescent="0.2">
      <c r="A1549" s="97">
        <v>45286</v>
      </c>
      <c r="B1549" s="28" t="s">
        <v>37</v>
      </c>
      <c r="C1549" s="41" t="s">
        <v>118</v>
      </c>
      <c r="D1549" s="26" t="s">
        <v>77</v>
      </c>
      <c r="E1549" s="26" t="s">
        <v>106</v>
      </c>
      <c r="F1549" s="26" t="s">
        <v>3414</v>
      </c>
      <c r="G1549" s="26" t="s">
        <v>108</v>
      </c>
      <c r="H1549" s="26" t="s">
        <v>3407</v>
      </c>
      <c r="I1549" s="17">
        <f ca="1">IFERROR(__xludf.DUMMYFUNCTION("""COMPUTED_VALUE"""),45293)</f>
        <v>45293</v>
      </c>
      <c r="J1549" s="29" t="s">
        <v>4450</v>
      </c>
      <c r="K1549" s="19" t="s">
        <v>6431</v>
      </c>
      <c r="L1549" s="30">
        <v>865962119</v>
      </c>
      <c r="M1549" s="26" t="s">
        <v>391</v>
      </c>
      <c r="N1549" s="26" t="s">
        <v>1384</v>
      </c>
      <c r="O1549" s="26" t="s">
        <v>4452</v>
      </c>
      <c r="P1549" s="42" t="s">
        <v>6432</v>
      </c>
      <c r="Q1549" s="20">
        <v>3768</v>
      </c>
      <c r="R1549" s="26" t="s">
        <v>36</v>
      </c>
      <c r="S1549" s="31">
        <v>3668</v>
      </c>
      <c r="T1549" s="32">
        <v>45286</v>
      </c>
      <c r="U1549" s="31"/>
      <c r="V1549" s="32"/>
      <c r="W1549" s="33"/>
      <c r="X1549" s="26"/>
      <c r="Y1549" s="22">
        <v>100</v>
      </c>
      <c r="Z1549" s="26" t="s">
        <v>50</v>
      </c>
      <c r="AA1549" s="19" t="s">
        <v>5961</v>
      </c>
      <c r="AB1549" s="26"/>
      <c r="AC1549" s="26" t="s">
        <v>53</v>
      </c>
      <c r="AD1549" s="19" t="s">
        <v>138</v>
      </c>
      <c r="AE1549" s="26" t="s">
        <v>3414</v>
      </c>
      <c r="AF1549" s="17">
        <v>45293</v>
      </c>
      <c r="AG1549" s="26" t="s">
        <v>3415</v>
      </c>
      <c r="AH1549" s="26">
        <v>2</v>
      </c>
      <c r="AI1549" s="40"/>
      <c r="AJ1549" s="26"/>
      <c r="AK1549" s="26"/>
      <c r="AL1549" s="35"/>
      <c r="AM1549" s="35"/>
      <c r="AN1549" s="35"/>
      <c r="AO1549" s="35"/>
      <c r="AP1549" s="35"/>
    </row>
    <row r="1550" spans="1:42" x14ac:dyDescent="0.2">
      <c r="A1550" s="27">
        <v>45286.654855370369</v>
      </c>
      <c r="B1550" s="28" t="s">
        <v>37</v>
      </c>
      <c r="C1550" s="41" t="s">
        <v>118</v>
      </c>
      <c r="D1550" s="26" t="s">
        <v>36</v>
      </c>
      <c r="E1550" s="26" t="s">
        <v>119</v>
      </c>
      <c r="F1550" s="26" t="s">
        <v>36</v>
      </c>
      <c r="G1550" s="26" t="s">
        <v>108</v>
      </c>
      <c r="H1550" s="26" t="s">
        <v>4869</v>
      </c>
      <c r="I1550" s="17">
        <f ca="1">IFERROR(__xludf.DUMMYFUNCTION("""COMPUTED_VALUE"""),45300)</f>
        <v>45300</v>
      </c>
      <c r="J1550" s="29" t="s">
        <v>6433</v>
      </c>
      <c r="K1550" s="26" t="s">
        <v>6434</v>
      </c>
      <c r="L1550" s="30">
        <v>836543689</v>
      </c>
      <c r="M1550" s="26" t="s">
        <v>292</v>
      </c>
      <c r="N1550" s="26" t="s">
        <v>1232</v>
      </c>
      <c r="O1550" s="67" t="s">
        <v>6435</v>
      </c>
      <c r="P1550" s="26" t="s">
        <v>6436</v>
      </c>
      <c r="Q1550" s="20">
        <v>13968</v>
      </c>
      <c r="R1550" s="26" t="s">
        <v>36</v>
      </c>
      <c r="S1550" s="31">
        <v>13968</v>
      </c>
      <c r="T1550" s="32">
        <v>45286</v>
      </c>
      <c r="U1550" s="31"/>
      <c r="V1550" s="32"/>
      <c r="W1550" s="33" t="s">
        <v>6437</v>
      </c>
      <c r="X1550" s="26"/>
      <c r="Y1550" s="22">
        <v>0</v>
      </c>
      <c r="Z1550" s="26" t="s">
        <v>50</v>
      </c>
      <c r="AA1550" s="19" t="s">
        <v>5961</v>
      </c>
      <c r="AB1550" s="26"/>
      <c r="AC1550" s="26" t="s">
        <v>53</v>
      </c>
      <c r="AD1550" s="19" t="s">
        <v>138</v>
      </c>
      <c r="AE1550" s="26">
        <v>450</v>
      </c>
      <c r="AF1550" s="17">
        <v>45300</v>
      </c>
      <c r="AG1550" s="26" t="s">
        <v>1362</v>
      </c>
      <c r="AH1550" s="26">
        <v>1</v>
      </c>
      <c r="AI1550" s="40"/>
      <c r="AJ1550" s="26"/>
      <c r="AK1550" s="26"/>
      <c r="AL1550" s="35"/>
      <c r="AM1550" s="35"/>
      <c r="AN1550" s="35"/>
      <c r="AO1550" s="35"/>
      <c r="AP1550" s="35"/>
    </row>
    <row r="1551" spans="1:42" x14ac:dyDescent="0.2">
      <c r="A1551" s="27">
        <v>45287.490095740737</v>
      </c>
      <c r="B1551" s="28" t="s">
        <v>37</v>
      </c>
      <c r="C1551" s="41" t="s">
        <v>118</v>
      </c>
      <c r="D1551" s="26" t="s">
        <v>36</v>
      </c>
      <c r="E1551" s="26" t="s">
        <v>39</v>
      </c>
      <c r="F1551" s="26" t="s">
        <v>36</v>
      </c>
      <c r="G1551" s="26" t="s">
        <v>41</v>
      </c>
      <c r="H1551" s="26" t="s">
        <v>2856</v>
      </c>
      <c r="I1551" s="17">
        <f ca="1">IFERROR(__xludf.DUMMYFUNCTION("""COMPUTED_VALUE"""),45293)</f>
        <v>45293</v>
      </c>
      <c r="J1551" s="29" t="s">
        <v>6438</v>
      </c>
      <c r="K1551" s="26" t="s">
        <v>5465</v>
      </c>
      <c r="L1551" s="30">
        <v>332313548</v>
      </c>
      <c r="M1551" s="26" t="s">
        <v>2755</v>
      </c>
      <c r="N1551" s="26" t="s">
        <v>2756</v>
      </c>
      <c r="O1551" s="26" t="s">
        <v>4503</v>
      </c>
      <c r="P1551" s="26" t="s">
        <v>6439</v>
      </c>
      <c r="Q1551" s="20">
        <v>5736</v>
      </c>
      <c r="R1551" s="26" t="s">
        <v>36</v>
      </c>
      <c r="S1551" s="31">
        <v>300</v>
      </c>
      <c r="T1551" s="32">
        <v>45281</v>
      </c>
      <c r="U1551" s="31">
        <v>5436</v>
      </c>
      <c r="V1551" s="32">
        <v>45287</v>
      </c>
      <c r="W1551" s="26" t="s">
        <v>6440</v>
      </c>
      <c r="X1551" s="26"/>
      <c r="Y1551" s="22">
        <v>0</v>
      </c>
      <c r="Z1551" s="26" t="s">
        <v>50</v>
      </c>
      <c r="AA1551" s="19" t="s">
        <v>5961</v>
      </c>
      <c r="AB1551" s="26"/>
      <c r="AC1551" s="26" t="s">
        <v>53</v>
      </c>
      <c r="AD1551" s="19" t="s">
        <v>54</v>
      </c>
      <c r="AE1551" s="26"/>
      <c r="AF1551" s="17">
        <v>45288</v>
      </c>
      <c r="AG1551" s="26"/>
      <c r="AH1551" s="26">
        <v>1</v>
      </c>
      <c r="AI1551" s="40"/>
      <c r="AJ1551" s="26"/>
      <c r="AK1551" s="26"/>
      <c r="AL1551" s="35"/>
      <c r="AM1551" s="35"/>
      <c r="AN1551" s="35"/>
      <c r="AO1551" s="35"/>
      <c r="AP1551" s="35"/>
    </row>
    <row r="1552" spans="1:42" x14ac:dyDescent="0.2">
      <c r="A1552" s="27">
        <v>45287.649359664356</v>
      </c>
      <c r="B1552" s="28" t="s">
        <v>37</v>
      </c>
      <c r="C1552" s="41" t="s">
        <v>118</v>
      </c>
      <c r="D1552" s="26" t="s">
        <v>36</v>
      </c>
      <c r="E1552" s="26" t="s">
        <v>56</v>
      </c>
      <c r="F1552" s="26" t="s">
        <v>36</v>
      </c>
      <c r="G1552" s="26" t="s">
        <v>41</v>
      </c>
      <c r="H1552" s="26" t="s">
        <v>4489</v>
      </c>
      <c r="I1552" s="17">
        <f ca="1">IFERROR(__xludf.DUMMYFUNCTION("""COMPUTED_VALUE"""),45309)</f>
        <v>45309</v>
      </c>
      <c r="J1552" s="29" t="s">
        <v>6441</v>
      </c>
      <c r="K1552" s="26" t="s">
        <v>6442</v>
      </c>
      <c r="L1552" s="30">
        <v>355666131</v>
      </c>
      <c r="M1552" s="26" t="s">
        <v>292</v>
      </c>
      <c r="N1552" s="26" t="s">
        <v>1232</v>
      </c>
      <c r="O1552" s="67" t="s">
        <v>6443</v>
      </c>
      <c r="P1552" s="26" t="s">
        <v>6444</v>
      </c>
      <c r="Q1552" s="20">
        <v>9317</v>
      </c>
      <c r="R1552" s="26" t="s">
        <v>36</v>
      </c>
      <c r="S1552" s="31">
        <v>9317</v>
      </c>
      <c r="T1552" s="32">
        <v>45287</v>
      </c>
      <c r="U1552" s="31"/>
      <c r="V1552" s="32"/>
      <c r="W1552" s="33" t="s">
        <v>6445</v>
      </c>
      <c r="X1552" s="26"/>
      <c r="Y1552" s="22">
        <v>0</v>
      </c>
      <c r="Z1552" s="26" t="s">
        <v>50</v>
      </c>
      <c r="AA1552" s="19" t="s">
        <v>5961</v>
      </c>
      <c r="AB1552" s="26"/>
      <c r="AC1552" s="26" t="s">
        <v>53</v>
      </c>
      <c r="AD1552" s="19" t="s">
        <v>138</v>
      </c>
      <c r="AE1552" s="26">
        <v>150</v>
      </c>
      <c r="AF1552" s="17">
        <v>45309</v>
      </c>
      <c r="AG1552" s="26" t="s">
        <v>1362</v>
      </c>
      <c r="AH1552" s="26">
        <v>1</v>
      </c>
      <c r="AI1552" s="40"/>
      <c r="AJ1552" s="26"/>
      <c r="AK1552" s="26"/>
      <c r="AL1552" s="35"/>
      <c r="AM1552" s="35"/>
      <c r="AN1552" s="35"/>
      <c r="AO1552" s="35"/>
      <c r="AP1552" s="35"/>
    </row>
    <row r="1553" spans="1:42" x14ac:dyDescent="0.2">
      <c r="A1553" s="27">
        <v>45287.659090358793</v>
      </c>
      <c r="B1553" s="28" t="s">
        <v>37</v>
      </c>
      <c r="C1553" s="41" t="s">
        <v>118</v>
      </c>
      <c r="D1553" s="26" t="s">
        <v>77</v>
      </c>
      <c r="E1553" s="26" t="s">
        <v>106</v>
      </c>
      <c r="F1553" s="26" t="s">
        <v>3112</v>
      </c>
      <c r="G1553" s="26" t="s">
        <v>108</v>
      </c>
      <c r="H1553" s="26" t="s">
        <v>4984</v>
      </c>
      <c r="I1553" s="17">
        <f ca="1">IFERROR(__xludf.DUMMYFUNCTION("""COMPUTED_VALUE"""),45264)</f>
        <v>45264</v>
      </c>
      <c r="J1553" s="29" t="s">
        <v>6170</v>
      </c>
      <c r="K1553" s="26" t="s">
        <v>6171</v>
      </c>
      <c r="L1553" s="30">
        <v>949799499</v>
      </c>
      <c r="M1553" s="26" t="s">
        <v>5558</v>
      </c>
      <c r="N1553" s="26" t="s">
        <v>327</v>
      </c>
      <c r="O1553" s="26" t="s">
        <v>4503</v>
      </c>
      <c r="P1553" s="42" t="s">
        <v>6446</v>
      </c>
      <c r="Q1553" s="20">
        <v>13968</v>
      </c>
      <c r="R1553" s="26" t="s">
        <v>36</v>
      </c>
      <c r="S1553" s="31">
        <v>13936</v>
      </c>
      <c r="T1553" s="32">
        <v>45267</v>
      </c>
      <c r="U1553" s="31"/>
      <c r="V1553" s="26" t="s">
        <v>6447</v>
      </c>
      <c r="W1553" s="33" t="s">
        <v>6448</v>
      </c>
      <c r="X1553" s="26"/>
      <c r="Y1553" s="22">
        <v>32</v>
      </c>
      <c r="Z1553" s="26" t="s">
        <v>50</v>
      </c>
      <c r="AA1553" s="19" t="s">
        <v>5961</v>
      </c>
      <c r="AB1553" s="26" t="s">
        <v>128</v>
      </c>
      <c r="AC1553" s="26" t="s">
        <v>53</v>
      </c>
      <c r="AD1553" s="19" t="s">
        <v>138</v>
      </c>
      <c r="AE1553" s="26" t="s">
        <v>3899</v>
      </c>
      <c r="AF1553" s="17">
        <v>45264</v>
      </c>
      <c r="AG1553" s="55" t="s">
        <v>6449</v>
      </c>
      <c r="AH1553" s="26">
        <v>2</v>
      </c>
      <c r="AI1553" s="40"/>
      <c r="AJ1553" s="26"/>
      <c r="AK1553" s="26"/>
      <c r="AL1553" s="35"/>
      <c r="AM1553" s="35"/>
      <c r="AN1553" s="35"/>
      <c r="AO1553" s="35"/>
      <c r="AP1553" s="35"/>
    </row>
    <row r="1554" spans="1:42" x14ac:dyDescent="0.2">
      <c r="A1554" s="27">
        <v>45288.01917767361</v>
      </c>
      <c r="B1554" s="28" t="s">
        <v>37</v>
      </c>
      <c r="C1554" s="41" t="s">
        <v>118</v>
      </c>
      <c r="D1554" s="26" t="s">
        <v>36</v>
      </c>
      <c r="E1554" s="26" t="s">
        <v>77</v>
      </c>
      <c r="F1554" s="26" t="s">
        <v>36</v>
      </c>
      <c r="G1554" s="26" t="s">
        <v>41</v>
      </c>
      <c r="H1554" s="26" t="s">
        <v>6450</v>
      </c>
      <c r="I1554" s="17" t="str">
        <f ca="1">IFERROR(__xludf.DUMMYFUNCTION("""COMPUTED_VALUE""")," ")</f>
        <v xml:space="preserve"> </v>
      </c>
      <c r="J1554" s="29" t="s">
        <v>6451</v>
      </c>
      <c r="K1554" s="26" t="s">
        <v>6452</v>
      </c>
      <c r="L1554" s="30">
        <v>981412648</v>
      </c>
      <c r="M1554" s="26" t="s">
        <v>59</v>
      </c>
      <c r="N1554" s="26" t="s">
        <v>68</v>
      </c>
      <c r="O1554" s="26" t="s">
        <v>6453</v>
      </c>
      <c r="P1554" s="26" t="s">
        <v>6454</v>
      </c>
      <c r="Q1554" s="20">
        <v>1968</v>
      </c>
      <c r="R1554" s="26" t="s">
        <v>36</v>
      </c>
      <c r="S1554" s="31">
        <v>1968</v>
      </c>
      <c r="T1554" s="32">
        <v>45287</v>
      </c>
      <c r="U1554" s="31"/>
      <c r="V1554" s="32"/>
      <c r="W1554" s="33" t="s">
        <v>6455</v>
      </c>
      <c r="X1554" s="26"/>
      <c r="Y1554" s="22">
        <v>0</v>
      </c>
      <c r="Z1554" s="26" t="s">
        <v>50</v>
      </c>
      <c r="AA1554" s="19" t="s">
        <v>5961</v>
      </c>
      <c r="AB1554" s="26"/>
      <c r="AC1554" s="26" t="s">
        <v>53</v>
      </c>
      <c r="AD1554" s="19" t="s">
        <v>138</v>
      </c>
      <c r="AE1554" s="26" t="s">
        <v>6456</v>
      </c>
      <c r="AF1554" s="17">
        <v>45309</v>
      </c>
      <c r="AG1554" s="26" t="s">
        <v>1362</v>
      </c>
      <c r="AH1554" s="26">
        <v>1</v>
      </c>
      <c r="AI1554" s="40"/>
      <c r="AJ1554" s="26"/>
      <c r="AK1554" s="26"/>
      <c r="AL1554" s="35"/>
      <c r="AM1554" s="35"/>
      <c r="AN1554" s="35"/>
      <c r="AO1554" s="35"/>
      <c r="AP1554" s="35"/>
    </row>
    <row r="1555" spans="1:42" x14ac:dyDescent="0.2">
      <c r="A1555" s="27">
        <v>45288.022963379626</v>
      </c>
      <c r="B1555" s="28" t="s">
        <v>37</v>
      </c>
      <c r="C1555" s="41" t="s">
        <v>118</v>
      </c>
      <c r="D1555" s="26" t="s">
        <v>77</v>
      </c>
      <c r="E1555" s="26" t="s">
        <v>148</v>
      </c>
      <c r="F1555" s="26" t="s">
        <v>5650</v>
      </c>
      <c r="G1555" s="26" t="s">
        <v>108</v>
      </c>
      <c r="H1555" s="26" t="s">
        <v>6457</v>
      </c>
      <c r="I1555" s="17">
        <f ca="1">IFERROR(__xludf.DUMMYFUNCTION("""COMPUTED_VALUE"""),45349)</f>
        <v>45349</v>
      </c>
      <c r="J1555" s="29" t="s">
        <v>5751</v>
      </c>
      <c r="K1555" s="26" t="s">
        <v>6458</v>
      </c>
      <c r="L1555" s="30">
        <v>919032871</v>
      </c>
      <c r="M1555" s="26" t="s">
        <v>59</v>
      </c>
      <c r="N1555" s="26" t="s">
        <v>68</v>
      </c>
      <c r="O1555" s="26" t="s">
        <v>5753</v>
      </c>
      <c r="P1555" s="42" t="s">
        <v>6459</v>
      </c>
      <c r="Q1555" s="20">
        <v>7349</v>
      </c>
      <c r="R1555" s="26" t="s">
        <v>36</v>
      </c>
      <c r="S1555" s="31">
        <v>7249</v>
      </c>
      <c r="T1555" s="32">
        <v>45282</v>
      </c>
      <c r="U1555" s="31"/>
      <c r="V1555" s="32"/>
      <c r="W1555" s="26" t="s">
        <v>6460</v>
      </c>
      <c r="X1555" s="26"/>
      <c r="Y1555" s="22">
        <v>100</v>
      </c>
      <c r="Z1555" s="26" t="s">
        <v>50</v>
      </c>
      <c r="AA1555" s="19" t="s">
        <v>5961</v>
      </c>
      <c r="AB1555" s="26"/>
      <c r="AC1555" s="26" t="s">
        <v>53</v>
      </c>
      <c r="AD1555" s="19" t="s">
        <v>54</v>
      </c>
      <c r="AE1555" s="26" t="s">
        <v>6461</v>
      </c>
      <c r="AF1555" s="17">
        <v>45343</v>
      </c>
      <c r="AG1555" s="26"/>
      <c r="AH1555" s="26">
        <v>2</v>
      </c>
      <c r="AI1555" s="40"/>
      <c r="AJ1555" s="26"/>
      <c r="AK1555" s="26"/>
      <c r="AL1555" s="35"/>
      <c r="AM1555" s="35"/>
      <c r="AN1555" s="35"/>
      <c r="AO1555" s="35"/>
      <c r="AP1555" s="35"/>
    </row>
    <row r="1556" spans="1:42" x14ac:dyDescent="0.2">
      <c r="A1556" s="27">
        <v>45288.025973668977</v>
      </c>
      <c r="B1556" s="68" t="s">
        <v>37</v>
      </c>
      <c r="C1556" s="41" t="s">
        <v>118</v>
      </c>
      <c r="D1556" s="26" t="s">
        <v>77</v>
      </c>
      <c r="E1556" s="26" t="s">
        <v>148</v>
      </c>
      <c r="F1556" s="26" t="s">
        <v>4409</v>
      </c>
      <c r="G1556" s="26" t="s">
        <v>108</v>
      </c>
      <c r="H1556" s="26" t="s">
        <v>3366</v>
      </c>
      <c r="I1556" s="17">
        <f ca="1">IFERROR(__xludf.DUMMYFUNCTION("""COMPUTED_VALUE"""),45313)</f>
        <v>45313</v>
      </c>
      <c r="J1556" s="29" t="s">
        <v>4410</v>
      </c>
      <c r="K1556" s="26" t="s">
        <v>6462</v>
      </c>
      <c r="L1556" s="30">
        <v>976043201</v>
      </c>
      <c r="M1556" s="26" t="s">
        <v>59</v>
      </c>
      <c r="N1556" s="26" t="s">
        <v>68</v>
      </c>
      <c r="O1556" s="26" t="s">
        <v>4411</v>
      </c>
      <c r="P1556" s="42" t="s">
        <v>6463</v>
      </c>
      <c r="Q1556" s="20">
        <v>7349</v>
      </c>
      <c r="R1556" s="26" t="s">
        <v>36</v>
      </c>
      <c r="S1556" s="31">
        <v>7249</v>
      </c>
      <c r="T1556" s="32">
        <v>45281</v>
      </c>
      <c r="U1556" s="31"/>
      <c r="V1556" s="32"/>
      <c r="W1556" s="33" t="s">
        <v>6464</v>
      </c>
      <c r="X1556" s="26"/>
      <c r="Y1556" s="22">
        <v>100</v>
      </c>
      <c r="Z1556" s="26" t="s">
        <v>50</v>
      </c>
      <c r="AA1556" s="19" t="s">
        <v>5961</v>
      </c>
      <c r="AB1556" s="26"/>
      <c r="AC1556" s="26" t="s">
        <v>53</v>
      </c>
      <c r="AD1556" s="19" t="s">
        <v>54</v>
      </c>
      <c r="AE1556" s="26" t="s">
        <v>6465</v>
      </c>
      <c r="AF1556" s="102">
        <v>45306</v>
      </c>
      <c r="AG1556" s="26"/>
      <c r="AH1556" s="26">
        <v>2</v>
      </c>
      <c r="AI1556" s="40"/>
      <c r="AJ1556" s="26"/>
      <c r="AK1556" s="26"/>
      <c r="AL1556" s="35"/>
      <c r="AM1556" s="35"/>
      <c r="AN1556" s="35"/>
      <c r="AO1556" s="35"/>
      <c r="AP1556" s="35"/>
    </row>
    <row r="1557" spans="1:42" x14ac:dyDescent="0.2">
      <c r="A1557" s="27">
        <v>45288.423390451389</v>
      </c>
      <c r="B1557" s="28" t="s">
        <v>37</v>
      </c>
      <c r="C1557" s="41" t="s">
        <v>118</v>
      </c>
      <c r="D1557" s="26" t="s">
        <v>36</v>
      </c>
      <c r="E1557" s="26" t="s">
        <v>119</v>
      </c>
      <c r="F1557" s="26" t="s">
        <v>36</v>
      </c>
      <c r="G1557" s="26" t="s">
        <v>108</v>
      </c>
      <c r="H1557" s="26" t="s">
        <v>5106</v>
      </c>
      <c r="I1557" s="17">
        <f ca="1">IFERROR(__xludf.DUMMYFUNCTION("""COMPUTED_VALUE"""),45294)</f>
        <v>45294</v>
      </c>
      <c r="J1557" s="29" t="s">
        <v>6466</v>
      </c>
      <c r="K1557" s="26" t="s">
        <v>6467</v>
      </c>
      <c r="L1557" s="30">
        <v>983734475</v>
      </c>
      <c r="M1557" s="26" t="s">
        <v>1245</v>
      </c>
      <c r="N1557" s="26" t="s">
        <v>6468</v>
      </c>
      <c r="O1557" s="26" t="s">
        <v>6469</v>
      </c>
      <c r="P1557" s="26" t="s">
        <v>6470</v>
      </c>
      <c r="Q1557" s="20">
        <v>13968</v>
      </c>
      <c r="R1557" s="26" t="s">
        <v>36</v>
      </c>
      <c r="S1557" s="31">
        <v>13968</v>
      </c>
      <c r="T1557" s="32">
        <v>45288</v>
      </c>
      <c r="U1557" s="31"/>
      <c r="V1557" s="32"/>
      <c r="W1557" s="33" t="s">
        <v>6471</v>
      </c>
      <c r="X1557" s="26"/>
      <c r="Y1557" s="22">
        <v>0</v>
      </c>
      <c r="Z1557" s="26" t="s">
        <v>50</v>
      </c>
      <c r="AA1557" s="19" t="s">
        <v>5961</v>
      </c>
      <c r="AB1557" s="26"/>
      <c r="AC1557" s="26" t="s">
        <v>53</v>
      </c>
      <c r="AD1557" s="19" t="s">
        <v>138</v>
      </c>
      <c r="AE1557" s="26"/>
      <c r="AF1557" s="17">
        <v>44929</v>
      </c>
      <c r="AG1557" s="26" t="s">
        <v>4092</v>
      </c>
      <c r="AH1557" s="26">
        <v>1</v>
      </c>
      <c r="AI1557" s="40"/>
      <c r="AJ1557" s="26"/>
      <c r="AK1557" s="26"/>
      <c r="AL1557" s="35"/>
      <c r="AM1557" s="35"/>
      <c r="AN1557" s="35"/>
      <c r="AO1557" s="35"/>
      <c r="AP1557" s="35"/>
    </row>
    <row r="1558" spans="1:42" x14ac:dyDescent="0.2">
      <c r="A1558" s="27">
        <v>45288.457487361113</v>
      </c>
      <c r="B1558" s="28" t="s">
        <v>37</v>
      </c>
      <c r="C1558" s="41" t="s">
        <v>118</v>
      </c>
      <c r="D1558" s="26" t="s">
        <v>36</v>
      </c>
      <c r="E1558" s="26" t="s">
        <v>106</v>
      </c>
      <c r="F1558" s="26" t="s">
        <v>3414</v>
      </c>
      <c r="G1558" s="26" t="s">
        <v>108</v>
      </c>
      <c r="H1558" s="26" t="s">
        <v>3407</v>
      </c>
      <c r="I1558" s="17">
        <f ca="1">IFERROR(__xludf.DUMMYFUNCTION("""COMPUTED_VALUE"""),45293)</f>
        <v>45293</v>
      </c>
      <c r="J1558" s="29" t="s">
        <v>4939</v>
      </c>
      <c r="K1558" s="26" t="s">
        <v>6472</v>
      </c>
      <c r="L1558" s="30">
        <v>382082289</v>
      </c>
      <c r="M1558" s="26" t="s">
        <v>112</v>
      </c>
      <c r="N1558" s="26" t="s">
        <v>113</v>
      </c>
      <c r="O1558" s="26" t="s">
        <v>36</v>
      </c>
      <c r="P1558" s="26" t="s">
        <v>5601</v>
      </c>
      <c r="Q1558" s="20">
        <v>3768</v>
      </c>
      <c r="R1558" s="26" t="s">
        <v>36</v>
      </c>
      <c r="S1558" s="31">
        <v>3668</v>
      </c>
      <c r="T1558" s="32">
        <v>45288</v>
      </c>
      <c r="U1558" s="31"/>
      <c r="V1558" s="32"/>
      <c r="W1558" s="33" t="s">
        <v>6473</v>
      </c>
      <c r="X1558" s="26"/>
      <c r="Y1558" s="22">
        <v>100</v>
      </c>
      <c r="Z1558" s="26" t="s">
        <v>50</v>
      </c>
      <c r="AA1558" s="19" t="s">
        <v>5961</v>
      </c>
      <c r="AB1558" s="26"/>
      <c r="AC1558" s="26" t="s">
        <v>53</v>
      </c>
      <c r="AD1558" s="19" t="s">
        <v>138</v>
      </c>
      <c r="AE1558" s="26" t="s">
        <v>3414</v>
      </c>
      <c r="AF1558" s="17">
        <v>45293</v>
      </c>
      <c r="AG1558" s="26" t="s">
        <v>3415</v>
      </c>
      <c r="AH1558" s="26">
        <v>3</v>
      </c>
      <c r="AI1558" s="40"/>
      <c r="AJ1558" s="26"/>
      <c r="AK1558" s="26"/>
      <c r="AL1558" s="35"/>
      <c r="AM1558" s="35"/>
      <c r="AN1558" s="35"/>
      <c r="AO1558" s="35"/>
      <c r="AP1558" s="35"/>
    </row>
    <row r="1559" spans="1:42" x14ac:dyDescent="0.2">
      <c r="A1559" s="27">
        <v>45288.640537847226</v>
      </c>
      <c r="B1559" s="28" t="s">
        <v>37</v>
      </c>
      <c r="C1559" s="41" t="s">
        <v>118</v>
      </c>
      <c r="D1559" s="26" t="s">
        <v>36</v>
      </c>
      <c r="E1559" s="26" t="s">
        <v>119</v>
      </c>
      <c r="F1559" s="26" t="s">
        <v>36</v>
      </c>
      <c r="G1559" s="26" t="s">
        <v>108</v>
      </c>
      <c r="H1559" s="26" t="s">
        <v>4869</v>
      </c>
      <c r="I1559" s="17">
        <f ca="1">IFERROR(__xludf.DUMMYFUNCTION("""COMPUTED_VALUE"""),45300)</f>
        <v>45300</v>
      </c>
      <c r="J1559" s="29" t="s">
        <v>6474</v>
      </c>
      <c r="K1559" s="26" t="s">
        <v>6475</v>
      </c>
      <c r="L1559" s="30">
        <v>775239835</v>
      </c>
      <c r="M1559" s="26" t="s">
        <v>80</v>
      </c>
      <c r="N1559" s="26" t="s">
        <v>438</v>
      </c>
      <c r="O1559" s="26" t="s">
        <v>1492</v>
      </c>
      <c r="P1559" s="26" t="s">
        <v>2641</v>
      </c>
      <c r="Q1559" s="20">
        <v>13968</v>
      </c>
      <c r="R1559" s="26" t="s">
        <v>36</v>
      </c>
      <c r="S1559" s="31">
        <v>200</v>
      </c>
      <c r="T1559" s="32">
        <v>45283</v>
      </c>
      <c r="U1559" s="31">
        <f>3800 +9968</f>
        <v>13768</v>
      </c>
      <c r="V1559" s="26" t="s">
        <v>6476</v>
      </c>
      <c r="W1559" s="33" t="s">
        <v>6477</v>
      </c>
      <c r="X1559" s="26"/>
      <c r="Y1559" s="22">
        <v>0</v>
      </c>
      <c r="Z1559" s="26" t="s">
        <v>50</v>
      </c>
      <c r="AA1559" s="19" t="s">
        <v>5961</v>
      </c>
      <c r="AB1559" s="26"/>
      <c r="AC1559" s="26" t="s">
        <v>53</v>
      </c>
      <c r="AD1559" s="19" t="s">
        <v>138</v>
      </c>
      <c r="AE1559" s="26">
        <v>460</v>
      </c>
      <c r="AF1559" s="17">
        <v>45300</v>
      </c>
      <c r="AG1559" s="26" t="s">
        <v>1362</v>
      </c>
      <c r="AH1559" s="26">
        <v>1</v>
      </c>
      <c r="AI1559" s="40"/>
      <c r="AJ1559" s="26"/>
      <c r="AK1559" s="26"/>
      <c r="AL1559" s="35"/>
      <c r="AM1559" s="35"/>
      <c r="AN1559" s="35"/>
      <c r="AO1559" s="35"/>
      <c r="AP1559" s="35"/>
    </row>
    <row r="1560" spans="1:42" x14ac:dyDescent="0.2">
      <c r="A1560" s="27">
        <v>45288.707484942133</v>
      </c>
      <c r="B1560" s="68" t="s">
        <v>37</v>
      </c>
      <c r="C1560" s="41" t="s">
        <v>118</v>
      </c>
      <c r="D1560" s="26" t="s">
        <v>77</v>
      </c>
      <c r="E1560" s="26" t="s">
        <v>119</v>
      </c>
      <c r="F1560" s="26" t="s">
        <v>2734</v>
      </c>
      <c r="G1560" s="26" t="s">
        <v>108</v>
      </c>
      <c r="H1560" s="26" t="s">
        <v>3366</v>
      </c>
      <c r="I1560" s="17">
        <f ca="1">IFERROR(__xludf.DUMMYFUNCTION("""COMPUTED_VALUE"""),45313)</f>
        <v>45313</v>
      </c>
      <c r="J1560" s="29" t="s">
        <v>3627</v>
      </c>
      <c r="K1560" s="26" t="s">
        <v>6478</v>
      </c>
      <c r="L1560" s="30">
        <v>913472537</v>
      </c>
      <c r="M1560" s="26" t="s">
        <v>2755</v>
      </c>
      <c r="N1560" s="26" t="s">
        <v>2756</v>
      </c>
      <c r="O1560" s="26" t="s">
        <v>4503</v>
      </c>
      <c r="P1560" s="42" t="s">
        <v>6479</v>
      </c>
      <c r="Q1560" s="20">
        <v>13968</v>
      </c>
      <c r="R1560" s="26" t="s">
        <v>36</v>
      </c>
      <c r="S1560" s="31">
        <v>11936</v>
      </c>
      <c r="T1560" s="32">
        <v>45284</v>
      </c>
      <c r="U1560" s="31">
        <v>2000</v>
      </c>
      <c r="V1560" s="32">
        <v>45288</v>
      </c>
      <c r="W1560" s="33" t="s">
        <v>6480</v>
      </c>
      <c r="X1560" s="26"/>
      <c r="Y1560" s="22">
        <v>32</v>
      </c>
      <c r="Z1560" s="26" t="s">
        <v>50</v>
      </c>
      <c r="AA1560" s="19" t="s">
        <v>5961</v>
      </c>
      <c r="AB1560" s="26"/>
      <c r="AC1560" s="26" t="s">
        <v>53</v>
      </c>
      <c r="AD1560" s="19" t="s">
        <v>138</v>
      </c>
      <c r="AE1560" s="26" t="s">
        <v>888</v>
      </c>
      <c r="AF1560" s="102">
        <v>45306</v>
      </c>
      <c r="AG1560" s="26"/>
      <c r="AH1560" s="26">
        <v>2</v>
      </c>
      <c r="AI1560" s="40"/>
      <c r="AJ1560" s="26"/>
      <c r="AK1560" s="26"/>
      <c r="AL1560" s="35"/>
      <c r="AM1560" s="35"/>
      <c r="AN1560" s="35"/>
      <c r="AO1560" s="35"/>
      <c r="AP1560" s="35"/>
    </row>
    <row r="1561" spans="1:42" x14ac:dyDescent="0.2">
      <c r="A1561" s="27">
        <v>45288.88472332176</v>
      </c>
      <c r="B1561" s="28" t="s">
        <v>37</v>
      </c>
      <c r="C1561" s="41" t="s">
        <v>118</v>
      </c>
      <c r="D1561" s="26" t="s">
        <v>36</v>
      </c>
      <c r="E1561" s="26" t="s">
        <v>106</v>
      </c>
      <c r="F1561" s="26" t="s">
        <v>4409</v>
      </c>
      <c r="G1561" s="26" t="s">
        <v>108</v>
      </c>
      <c r="H1561" s="26" t="s">
        <v>5106</v>
      </c>
      <c r="I1561" s="17">
        <f ca="1">IFERROR(__xludf.DUMMYFUNCTION("""COMPUTED_VALUE"""),45294)</f>
        <v>45294</v>
      </c>
      <c r="J1561" s="29" t="s">
        <v>5491</v>
      </c>
      <c r="K1561" s="35" t="s">
        <v>6481</v>
      </c>
      <c r="L1561" s="30">
        <v>974634945</v>
      </c>
      <c r="M1561" s="26" t="s">
        <v>391</v>
      </c>
      <c r="N1561" s="26" t="s">
        <v>584</v>
      </c>
      <c r="O1561" s="26" t="s">
        <v>91</v>
      </c>
      <c r="P1561" s="26" t="s">
        <v>5494</v>
      </c>
      <c r="Q1561" s="20">
        <v>3768</v>
      </c>
      <c r="R1561" s="26" t="s">
        <v>36</v>
      </c>
      <c r="S1561" s="31">
        <v>3768</v>
      </c>
      <c r="T1561" s="32">
        <v>45288</v>
      </c>
      <c r="U1561" s="31"/>
      <c r="V1561" s="35"/>
      <c r="W1561" s="33" t="s">
        <v>6482</v>
      </c>
      <c r="X1561" s="26"/>
      <c r="Y1561" s="22">
        <v>0</v>
      </c>
      <c r="Z1561" s="26" t="s">
        <v>50</v>
      </c>
      <c r="AA1561" s="19" t="s">
        <v>5961</v>
      </c>
      <c r="AB1561" s="26"/>
      <c r="AC1561" s="26" t="s">
        <v>53</v>
      </c>
      <c r="AD1561" s="19" t="s">
        <v>138</v>
      </c>
      <c r="AE1561" s="26" t="s">
        <v>4409</v>
      </c>
      <c r="AF1561" s="17">
        <v>44929</v>
      </c>
      <c r="AG1561" s="26" t="s">
        <v>4092</v>
      </c>
      <c r="AH1561" s="26">
        <v>2</v>
      </c>
      <c r="AI1561" s="40"/>
      <c r="AJ1561" s="26"/>
      <c r="AK1561" s="26"/>
      <c r="AL1561" s="35"/>
      <c r="AM1561" s="35"/>
      <c r="AN1561" s="35"/>
      <c r="AO1561" s="35"/>
      <c r="AP1561" s="35"/>
    </row>
    <row r="1562" spans="1:42" x14ac:dyDescent="0.2">
      <c r="A1562" s="27">
        <v>45288.956121249998</v>
      </c>
      <c r="B1562" s="28" t="s">
        <v>37</v>
      </c>
      <c r="C1562" s="41" t="s">
        <v>118</v>
      </c>
      <c r="D1562" s="26" t="s">
        <v>36</v>
      </c>
      <c r="E1562" s="26" t="s">
        <v>106</v>
      </c>
      <c r="F1562" s="26" t="s">
        <v>36</v>
      </c>
      <c r="G1562" s="26" t="s">
        <v>108</v>
      </c>
      <c r="H1562" s="26" t="s">
        <v>5037</v>
      </c>
      <c r="I1562" s="17">
        <f ca="1">IFERROR(__xludf.DUMMYFUNCTION("""COMPUTED_VALUE"""),45391)</f>
        <v>45391</v>
      </c>
      <c r="J1562" s="29" t="s">
        <v>6483</v>
      </c>
      <c r="K1562" s="26" t="s">
        <v>6484</v>
      </c>
      <c r="L1562" s="30">
        <v>832572876</v>
      </c>
      <c r="M1562" s="26" t="s">
        <v>391</v>
      </c>
      <c r="N1562" s="26" t="s">
        <v>584</v>
      </c>
      <c r="O1562" s="26" t="s">
        <v>6485</v>
      </c>
      <c r="P1562" s="26" t="s">
        <v>6486</v>
      </c>
      <c r="Q1562" s="20">
        <v>3768</v>
      </c>
      <c r="R1562" s="26" t="s">
        <v>36</v>
      </c>
      <c r="S1562" s="31">
        <v>3768</v>
      </c>
      <c r="T1562" s="32">
        <v>45288</v>
      </c>
      <c r="U1562" s="31"/>
      <c r="V1562" s="32"/>
      <c r="W1562" s="33" t="s">
        <v>6487</v>
      </c>
      <c r="X1562" s="26"/>
      <c r="Y1562" s="22">
        <v>0</v>
      </c>
      <c r="Z1562" s="26" t="s">
        <v>50</v>
      </c>
      <c r="AA1562" s="19" t="s">
        <v>5961</v>
      </c>
      <c r="AB1562" s="26"/>
      <c r="AC1562" s="26" t="s">
        <v>53</v>
      </c>
      <c r="AD1562" s="19" t="s">
        <v>54</v>
      </c>
      <c r="AE1562" s="26">
        <v>380</v>
      </c>
      <c r="AF1562" s="17">
        <v>45289</v>
      </c>
      <c r="AG1562" s="26"/>
      <c r="AH1562" s="26">
        <v>1</v>
      </c>
      <c r="AI1562" s="40"/>
      <c r="AJ1562" s="26"/>
      <c r="AK1562" s="26"/>
      <c r="AL1562" s="35"/>
      <c r="AM1562" s="35"/>
      <c r="AN1562" s="35"/>
      <c r="AO1562" s="35"/>
      <c r="AP1562" s="35"/>
    </row>
    <row r="1563" spans="1:42" x14ac:dyDescent="0.2">
      <c r="A1563" s="27">
        <v>45289.536902326392</v>
      </c>
      <c r="B1563" s="28" t="s">
        <v>37</v>
      </c>
      <c r="C1563" s="41" t="s">
        <v>118</v>
      </c>
      <c r="D1563" s="26" t="s">
        <v>77</v>
      </c>
      <c r="E1563" s="26" t="s">
        <v>106</v>
      </c>
      <c r="F1563" s="26" t="s">
        <v>4133</v>
      </c>
      <c r="G1563" s="26" t="s">
        <v>108</v>
      </c>
      <c r="H1563" s="26" t="s">
        <v>5106</v>
      </c>
      <c r="I1563" s="17">
        <f ca="1">IFERROR(__xludf.DUMMYFUNCTION("""COMPUTED_VALUE"""),45294)</f>
        <v>45294</v>
      </c>
      <c r="J1563" s="29" t="s">
        <v>4318</v>
      </c>
      <c r="K1563" s="26" t="s">
        <v>4319</v>
      </c>
      <c r="L1563" s="30">
        <v>865902247</v>
      </c>
      <c r="M1563" s="26" t="s">
        <v>123</v>
      </c>
      <c r="N1563" s="26" t="s">
        <v>850</v>
      </c>
      <c r="O1563" s="26" t="s">
        <v>4503</v>
      </c>
      <c r="P1563" s="26" t="s">
        <v>5794</v>
      </c>
      <c r="Q1563" s="20">
        <v>3768</v>
      </c>
      <c r="R1563" s="26" t="s">
        <v>36</v>
      </c>
      <c r="S1563" s="31">
        <v>3668</v>
      </c>
      <c r="T1563" s="32">
        <v>45289</v>
      </c>
      <c r="U1563" s="31"/>
      <c r="V1563" s="32"/>
      <c r="W1563" s="33" t="s">
        <v>6488</v>
      </c>
      <c r="X1563" s="26"/>
      <c r="Y1563" s="22">
        <v>100</v>
      </c>
      <c r="Z1563" s="26" t="s">
        <v>50</v>
      </c>
      <c r="AA1563" s="19" t="s">
        <v>5961</v>
      </c>
      <c r="AB1563" s="26" t="s">
        <v>4503</v>
      </c>
      <c r="AC1563" s="26" t="s">
        <v>53</v>
      </c>
      <c r="AD1563" s="19" t="s">
        <v>138</v>
      </c>
      <c r="AE1563" s="26"/>
      <c r="AF1563" s="17">
        <v>44929</v>
      </c>
      <c r="AG1563" s="26" t="s">
        <v>4092</v>
      </c>
      <c r="AH1563" s="26">
        <v>2</v>
      </c>
      <c r="AI1563" s="40"/>
      <c r="AJ1563" s="26"/>
      <c r="AK1563" s="26"/>
      <c r="AL1563" s="35"/>
      <c r="AM1563" s="35"/>
      <c r="AN1563" s="35"/>
      <c r="AO1563" s="35"/>
      <c r="AP1563" s="35"/>
    </row>
    <row r="1564" spans="1:42" x14ac:dyDescent="0.2">
      <c r="A1564" s="27">
        <v>45289.538929861112</v>
      </c>
      <c r="B1564" s="28" t="s">
        <v>37</v>
      </c>
      <c r="C1564" s="41" t="s">
        <v>118</v>
      </c>
      <c r="D1564" s="26" t="s">
        <v>36</v>
      </c>
      <c r="E1564" s="26" t="s">
        <v>139</v>
      </c>
      <c r="F1564" s="26" t="s">
        <v>91</v>
      </c>
      <c r="G1564" s="26" t="s">
        <v>41</v>
      </c>
      <c r="H1564" s="26" t="s">
        <v>2856</v>
      </c>
      <c r="I1564" s="17">
        <f ca="1">IFERROR(__xludf.DUMMYFUNCTION("""COMPUTED_VALUE"""),45293)</f>
        <v>45293</v>
      </c>
      <c r="J1564" s="29" t="s">
        <v>6489</v>
      </c>
      <c r="K1564" s="26" t="s">
        <v>6490</v>
      </c>
      <c r="L1564" s="30">
        <v>394045592</v>
      </c>
      <c r="M1564" s="26" t="s">
        <v>2755</v>
      </c>
      <c r="N1564" s="26" t="s">
        <v>2756</v>
      </c>
      <c r="O1564" s="26" t="s">
        <v>4503</v>
      </c>
      <c r="P1564" s="26" t="s">
        <v>6491</v>
      </c>
      <c r="Q1564" s="20">
        <v>15936</v>
      </c>
      <c r="R1564" s="26" t="s">
        <v>36</v>
      </c>
      <c r="S1564" s="31">
        <v>15968</v>
      </c>
      <c r="T1564" s="32">
        <v>45285</v>
      </c>
      <c r="U1564" s="31"/>
      <c r="V1564" s="32"/>
      <c r="W1564" s="33" t="s">
        <v>6492</v>
      </c>
      <c r="X1564" s="26"/>
      <c r="Y1564" s="22">
        <v>-32</v>
      </c>
      <c r="Z1564" s="26" t="s">
        <v>50</v>
      </c>
      <c r="AA1564" s="19" t="s">
        <v>5961</v>
      </c>
      <c r="AB1564" s="26" t="s">
        <v>4503</v>
      </c>
      <c r="AC1564" s="26" t="s">
        <v>53</v>
      </c>
      <c r="AD1564" s="19" t="s">
        <v>54</v>
      </c>
      <c r="AE1564" s="26"/>
      <c r="AF1564" s="17">
        <v>45289</v>
      </c>
      <c r="AG1564" s="26"/>
      <c r="AH1564" s="26">
        <v>1</v>
      </c>
      <c r="AI1564" s="40"/>
      <c r="AJ1564" s="26"/>
      <c r="AK1564" s="26"/>
      <c r="AL1564" s="35"/>
      <c r="AM1564" s="35"/>
      <c r="AN1564" s="35"/>
      <c r="AO1564" s="35"/>
      <c r="AP1564" s="35"/>
    </row>
    <row r="1565" spans="1:42" x14ac:dyDescent="0.2">
      <c r="A1565" s="27">
        <v>45289.898001608795</v>
      </c>
      <c r="B1565" s="28" t="s">
        <v>37</v>
      </c>
      <c r="C1565" s="41" t="s">
        <v>118</v>
      </c>
      <c r="D1565" s="26" t="s">
        <v>36</v>
      </c>
      <c r="E1565" s="26" t="s">
        <v>39</v>
      </c>
      <c r="F1565" s="26" t="s">
        <v>36</v>
      </c>
      <c r="G1565" s="26" t="s">
        <v>41</v>
      </c>
      <c r="H1565" s="26" t="s">
        <v>4489</v>
      </c>
      <c r="I1565" s="17">
        <f ca="1">IFERROR(__xludf.DUMMYFUNCTION("""COMPUTED_VALUE"""),45309)</f>
        <v>45309</v>
      </c>
      <c r="J1565" s="29" t="s">
        <v>6493</v>
      </c>
      <c r="K1565" s="26" t="s">
        <v>6494</v>
      </c>
      <c r="L1565" s="30">
        <v>961848623</v>
      </c>
      <c r="M1565" s="26" t="s">
        <v>2755</v>
      </c>
      <c r="N1565" s="26" t="s">
        <v>310</v>
      </c>
      <c r="O1565" s="26" t="s">
        <v>4503</v>
      </c>
      <c r="P1565" s="26" t="s">
        <v>6495</v>
      </c>
      <c r="Q1565" s="20">
        <v>5736</v>
      </c>
      <c r="R1565" s="26" t="s">
        <v>36</v>
      </c>
      <c r="S1565" s="31">
        <v>5736</v>
      </c>
      <c r="T1565" s="32">
        <v>45289</v>
      </c>
      <c r="U1565" s="31"/>
      <c r="V1565" s="32"/>
      <c r="W1565" s="33" t="s">
        <v>6496</v>
      </c>
      <c r="X1565" s="26"/>
      <c r="Y1565" s="22">
        <v>0</v>
      </c>
      <c r="Z1565" s="26" t="s">
        <v>50</v>
      </c>
      <c r="AA1565" s="19" t="s">
        <v>5961</v>
      </c>
      <c r="AB1565" s="26"/>
      <c r="AC1565" s="26" t="s">
        <v>53</v>
      </c>
      <c r="AD1565" s="19" t="s">
        <v>138</v>
      </c>
      <c r="AE1565" s="26"/>
      <c r="AF1565" s="17">
        <v>45309</v>
      </c>
      <c r="AG1565" s="26" t="s">
        <v>1362</v>
      </c>
      <c r="AH1565" s="26">
        <v>1</v>
      </c>
      <c r="AI1565" s="40"/>
      <c r="AJ1565" s="26"/>
      <c r="AK1565" s="26"/>
      <c r="AL1565" s="35"/>
      <c r="AM1565" s="35"/>
      <c r="AN1565" s="35"/>
      <c r="AO1565" s="35"/>
      <c r="AP1565" s="35"/>
    </row>
    <row r="1566" spans="1:42" x14ac:dyDescent="0.2">
      <c r="A1566" s="27">
        <v>45290.857824247687</v>
      </c>
      <c r="B1566" s="28" t="s">
        <v>37</v>
      </c>
      <c r="C1566" s="41" t="s">
        <v>118</v>
      </c>
      <c r="D1566" s="26" t="s">
        <v>36</v>
      </c>
      <c r="E1566" s="26" t="s">
        <v>77</v>
      </c>
      <c r="F1566" s="26" t="s">
        <v>36</v>
      </c>
      <c r="G1566" s="26" t="s">
        <v>41</v>
      </c>
      <c r="H1566" s="26" t="s">
        <v>2856</v>
      </c>
      <c r="I1566" s="17">
        <f ca="1">IFERROR(__xludf.DUMMYFUNCTION("""COMPUTED_VALUE"""),45293)</f>
        <v>45293</v>
      </c>
      <c r="J1566" s="29" t="s">
        <v>6497</v>
      </c>
      <c r="K1566" s="26" t="s">
        <v>6498</v>
      </c>
      <c r="L1566" s="30">
        <v>988163693</v>
      </c>
      <c r="M1566" s="26" t="s">
        <v>3728</v>
      </c>
      <c r="N1566" s="26" t="s">
        <v>299</v>
      </c>
      <c r="O1566" s="26" t="s">
        <v>6499</v>
      </c>
      <c r="P1566" s="26" t="s">
        <v>6500</v>
      </c>
      <c r="Q1566" s="20">
        <v>1968</v>
      </c>
      <c r="R1566" s="26" t="s">
        <v>36</v>
      </c>
      <c r="S1566" s="31">
        <v>1968</v>
      </c>
      <c r="T1566" s="32">
        <v>45289</v>
      </c>
      <c r="U1566" s="31"/>
      <c r="V1566" s="32"/>
      <c r="W1566" s="33" t="s">
        <v>6501</v>
      </c>
      <c r="X1566" s="26"/>
      <c r="Y1566" s="22">
        <v>0</v>
      </c>
      <c r="Z1566" s="26" t="s">
        <v>50</v>
      </c>
      <c r="AA1566" s="19" t="s">
        <v>5961</v>
      </c>
      <c r="AB1566" s="26"/>
      <c r="AC1566" s="26" t="s">
        <v>53</v>
      </c>
      <c r="AD1566" s="19" t="s">
        <v>54</v>
      </c>
      <c r="AE1566" s="26">
        <v>0</v>
      </c>
      <c r="AF1566" s="17">
        <v>45293</v>
      </c>
      <c r="AG1566" s="26"/>
      <c r="AH1566" s="26">
        <v>1</v>
      </c>
      <c r="AI1566" s="40"/>
      <c r="AJ1566" s="26"/>
      <c r="AK1566" s="26"/>
      <c r="AL1566" s="35"/>
      <c r="AM1566" s="35"/>
      <c r="AN1566" s="35"/>
      <c r="AO1566" s="35"/>
      <c r="AP1566" s="35"/>
    </row>
    <row r="1567" spans="1:42" x14ac:dyDescent="0.2">
      <c r="A1567" s="27">
        <v>45291.430753020832</v>
      </c>
      <c r="B1567" s="28" t="s">
        <v>37</v>
      </c>
      <c r="C1567" s="41" t="s">
        <v>118</v>
      </c>
      <c r="D1567" s="26" t="s">
        <v>36</v>
      </c>
      <c r="E1567" s="26" t="s">
        <v>219</v>
      </c>
      <c r="F1567" s="26" t="s">
        <v>1544</v>
      </c>
      <c r="G1567" s="26" t="s">
        <v>221</v>
      </c>
      <c r="H1567" s="26" t="s">
        <v>6070</v>
      </c>
      <c r="I1567" s="17">
        <f ca="1">IFERROR(__xludf.DUMMYFUNCTION("""COMPUTED_VALUE"""),45300)</f>
        <v>45300</v>
      </c>
      <c r="J1567" s="29" t="s">
        <v>6502</v>
      </c>
      <c r="K1567" s="26" t="s">
        <v>6503</v>
      </c>
      <c r="L1567" s="30">
        <v>982904344</v>
      </c>
      <c r="M1567" s="26" t="s">
        <v>1245</v>
      </c>
      <c r="N1567" s="26" t="s">
        <v>1993</v>
      </c>
      <c r="O1567" s="26" t="s">
        <v>6504</v>
      </c>
      <c r="P1567" s="26" t="s">
        <v>6505</v>
      </c>
      <c r="Q1567" s="20">
        <v>3968</v>
      </c>
      <c r="R1567" s="26" t="s">
        <v>36</v>
      </c>
      <c r="S1567" s="31">
        <v>3968</v>
      </c>
      <c r="T1567" s="32">
        <v>45290</v>
      </c>
      <c r="U1567" s="31"/>
      <c r="V1567" s="32"/>
      <c r="W1567" s="33" t="s">
        <v>6506</v>
      </c>
      <c r="X1567" s="26"/>
      <c r="Y1567" s="22">
        <v>0</v>
      </c>
      <c r="Z1567" s="26" t="s">
        <v>50</v>
      </c>
      <c r="AA1567" s="19" t="s">
        <v>5961</v>
      </c>
      <c r="AB1567" s="26"/>
      <c r="AC1567" s="26" t="s">
        <v>53</v>
      </c>
      <c r="AD1567" s="19" t="s">
        <v>54</v>
      </c>
      <c r="AE1567" s="26" t="s">
        <v>6507</v>
      </c>
      <c r="AF1567" s="17">
        <v>45295</v>
      </c>
      <c r="AG1567" s="26"/>
      <c r="AH1567" s="26">
        <v>2</v>
      </c>
      <c r="AI1567" s="40"/>
      <c r="AJ1567" s="26"/>
      <c r="AK1567" s="26"/>
      <c r="AL1567" s="35"/>
      <c r="AM1567" s="35"/>
      <c r="AN1567" s="35"/>
      <c r="AO1567" s="35"/>
      <c r="AP1567" s="35"/>
    </row>
    <row r="1568" spans="1:42" x14ac:dyDescent="0.2">
      <c r="A1568" s="27">
        <v>45293.313306585653</v>
      </c>
      <c r="B1568" s="28" t="s">
        <v>37</v>
      </c>
      <c r="C1568" s="41" t="s">
        <v>118</v>
      </c>
      <c r="D1568" s="26" t="s">
        <v>36</v>
      </c>
      <c r="E1568" s="26" t="s">
        <v>77</v>
      </c>
      <c r="F1568" s="26" t="s">
        <v>36</v>
      </c>
      <c r="G1568" s="26" t="s">
        <v>41</v>
      </c>
      <c r="H1568" s="26" t="s">
        <v>6131</v>
      </c>
      <c r="I1568" s="17">
        <f ca="1">IFERROR(__xludf.DUMMYFUNCTION("""COMPUTED_VALUE"""),45306)</f>
        <v>45306</v>
      </c>
      <c r="J1568" s="29" t="s">
        <v>6508</v>
      </c>
      <c r="K1568" s="26" t="s">
        <v>6509</v>
      </c>
      <c r="L1568" s="30">
        <v>962026701</v>
      </c>
      <c r="M1568" s="26" t="s">
        <v>6309</v>
      </c>
      <c r="N1568" s="26" t="s">
        <v>1400</v>
      </c>
      <c r="O1568" s="26" t="s">
        <v>91</v>
      </c>
      <c r="P1568" s="26" t="s">
        <v>6510</v>
      </c>
      <c r="Q1568" s="20">
        <v>1968</v>
      </c>
      <c r="R1568" s="26" t="s">
        <v>36</v>
      </c>
      <c r="S1568" s="31">
        <v>1968</v>
      </c>
      <c r="T1568" s="32">
        <v>45291</v>
      </c>
      <c r="U1568" s="31"/>
      <c r="V1568" s="32"/>
      <c r="W1568" s="33" t="s">
        <v>6511</v>
      </c>
      <c r="X1568" s="26"/>
      <c r="Y1568" s="22">
        <v>0</v>
      </c>
      <c r="Z1568" s="26" t="s">
        <v>50</v>
      </c>
      <c r="AA1568" s="19" t="s">
        <v>5961</v>
      </c>
      <c r="AB1568" s="26"/>
      <c r="AC1568" s="26" t="s">
        <v>53</v>
      </c>
      <c r="AD1568" s="19" t="s">
        <v>54</v>
      </c>
      <c r="AE1568" s="26"/>
      <c r="AF1568" s="17">
        <v>45299</v>
      </c>
      <c r="AG1568" s="26"/>
      <c r="AH1568" s="26">
        <v>1</v>
      </c>
      <c r="AI1568" s="40"/>
      <c r="AJ1568" s="26"/>
      <c r="AK1568" s="26"/>
      <c r="AL1568" s="35"/>
      <c r="AM1568" s="35"/>
      <c r="AN1568" s="35"/>
      <c r="AO1568" s="35"/>
      <c r="AP1568" s="35"/>
    </row>
    <row r="1569" spans="1:42" x14ac:dyDescent="0.2">
      <c r="A1569" s="27">
        <v>45295.45524974537</v>
      </c>
      <c r="B1569" s="28" t="s">
        <v>37</v>
      </c>
      <c r="C1569" s="41" t="s">
        <v>118</v>
      </c>
      <c r="D1569" s="26" t="s">
        <v>106</v>
      </c>
      <c r="E1569" s="26" t="s">
        <v>219</v>
      </c>
      <c r="F1569" s="26" t="s">
        <v>1500</v>
      </c>
      <c r="G1569" s="26" t="s">
        <v>221</v>
      </c>
      <c r="H1569" s="19" t="s">
        <v>6512</v>
      </c>
      <c r="I1569" s="17">
        <f ca="1">IFERROR(__xludf.DUMMYFUNCTION("""COMPUTED_VALUE"""),45431)</f>
        <v>45431</v>
      </c>
      <c r="J1569" s="49" t="s">
        <v>159</v>
      </c>
      <c r="K1569" s="19" t="s">
        <v>6513</v>
      </c>
      <c r="L1569" s="47">
        <v>837545747</v>
      </c>
      <c r="M1569" s="19" t="s">
        <v>123</v>
      </c>
      <c r="N1569" s="19" t="s">
        <v>327</v>
      </c>
      <c r="O1569" s="26" t="s">
        <v>4503</v>
      </c>
      <c r="P1569" s="26" t="s">
        <v>6514</v>
      </c>
      <c r="Q1569" s="20">
        <v>3968</v>
      </c>
      <c r="R1569" s="26" t="s">
        <v>36</v>
      </c>
      <c r="S1569" s="31">
        <v>3868</v>
      </c>
      <c r="T1569" s="32">
        <v>45276</v>
      </c>
      <c r="U1569" s="31"/>
      <c r="V1569" s="32"/>
      <c r="W1569" s="33" t="s">
        <v>6515</v>
      </c>
      <c r="X1569" s="26"/>
      <c r="Y1569" s="22">
        <v>100</v>
      </c>
      <c r="Z1569" s="26" t="s">
        <v>50</v>
      </c>
      <c r="AA1569" s="19" t="s">
        <v>5961</v>
      </c>
      <c r="AB1569" s="26" t="s">
        <v>4503</v>
      </c>
      <c r="AC1569" s="26" t="s">
        <v>53</v>
      </c>
      <c r="AD1569" s="19" t="s">
        <v>54</v>
      </c>
      <c r="AE1569" s="26"/>
      <c r="AF1569" s="17">
        <v>45295</v>
      </c>
      <c r="AG1569" s="26"/>
      <c r="AH1569" s="26">
        <v>3</v>
      </c>
      <c r="AI1569" s="40"/>
      <c r="AJ1569" s="26"/>
      <c r="AK1569" s="26"/>
      <c r="AL1569" s="35"/>
      <c r="AM1569" s="35"/>
      <c r="AN1569" s="35"/>
      <c r="AO1569" s="35"/>
      <c r="AP1569" s="35"/>
    </row>
    <row r="1570" spans="1:42" x14ac:dyDescent="0.2">
      <c r="A1570" s="27">
        <v>45295.45811349537</v>
      </c>
      <c r="B1570" s="28" t="s">
        <v>37</v>
      </c>
      <c r="C1570" s="41" t="s">
        <v>118</v>
      </c>
      <c r="D1570" s="26" t="s">
        <v>77</v>
      </c>
      <c r="E1570" s="26" t="s">
        <v>106</v>
      </c>
      <c r="F1570" s="26" t="s">
        <v>6516</v>
      </c>
      <c r="G1570" s="26" t="s">
        <v>108</v>
      </c>
      <c r="H1570" s="26" t="s">
        <v>4869</v>
      </c>
      <c r="I1570" s="17">
        <f ca="1">IFERROR(__xludf.DUMMYFUNCTION("""COMPUTED_VALUE"""),45300)</f>
        <v>45300</v>
      </c>
      <c r="J1570" s="29" t="s">
        <v>4406</v>
      </c>
      <c r="K1570" s="26" t="s">
        <v>6517</v>
      </c>
      <c r="L1570" s="30">
        <v>345111205</v>
      </c>
      <c r="M1570" s="26" t="s">
        <v>123</v>
      </c>
      <c r="N1570" s="26" t="s">
        <v>2847</v>
      </c>
      <c r="O1570" s="26" t="s">
        <v>4503</v>
      </c>
      <c r="P1570" s="26" t="s">
        <v>3056</v>
      </c>
      <c r="Q1570" s="20">
        <v>3768</v>
      </c>
      <c r="R1570" s="26" t="s">
        <v>36</v>
      </c>
      <c r="S1570" s="31">
        <v>3668</v>
      </c>
      <c r="T1570" s="32">
        <v>45289</v>
      </c>
      <c r="U1570" s="31"/>
      <c r="V1570" s="32"/>
      <c r="W1570" s="33" t="s">
        <v>6518</v>
      </c>
      <c r="X1570" s="26"/>
      <c r="Y1570" s="22">
        <v>100</v>
      </c>
      <c r="Z1570" s="26" t="s">
        <v>50</v>
      </c>
      <c r="AA1570" s="19" t="s">
        <v>5961</v>
      </c>
      <c r="AB1570" s="26"/>
      <c r="AC1570" s="26" t="s">
        <v>53</v>
      </c>
      <c r="AD1570" s="19" t="s">
        <v>54</v>
      </c>
      <c r="AE1570" s="26"/>
      <c r="AF1570" s="17">
        <v>45300</v>
      </c>
      <c r="AG1570" s="26" t="s">
        <v>1362</v>
      </c>
      <c r="AH1570" s="26">
        <v>2</v>
      </c>
      <c r="AI1570" s="40"/>
      <c r="AJ1570" s="26"/>
      <c r="AK1570" s="26"/>
      <c r="AL1570" s="35"/>
      <c r="AM1570" s="35"/>
      <c r="AN1570" s="35"/>
      <c r="AO1570" s="35"/>
      <c r="AP1570" s="35"/>
    </row>
    <row r="1571" spans="1:42" x14ac:dyDescent="0.2">
      <c r="A1571" s="27">
        <v>45300.635626527779</v>
      </c>
      <c r="B1571" s="28" t="s">
        <v>37</v>
      </c>
      <c r="C1571" s="41" t="s">
        <v>118</v>
      </c>
      <c r="D1571" s="26" t="s">
        <v>36</v>
      </c>
      <c r="E1571" s="26" t="s">
        <v>1704</v>
      </c>
      <c r="F1571" s="35" t="s">
        <v>4646</v>
      </c>
      <c r="G1571" s="26" t="s">
        <v>1705</v>
      </c>
      <c r="H1571" s="26" t="s">
        <v>6519</v>
      </c>
      <c r="I1571" s="17">
        <f ca="1">IFERROR(__xludf.DUMMYFUNCTION("""COMPUTED_VALUE"""),45518)</f>
        <v>45518</v>
      </c>
      <c r="J1571" s="29" t="s">
        <v>6520</v>
      </c>
      <c r="K1571" s="26" t="s">
        <v>1729</v>
      </c>
      <c r="L1571" s="30">
        <v>587006178</v>
      </c>
      <c r="M1571" s="26" t="s">
        <v>123</v>
      </c>
      <c r="N1571" s="26" t="s">
        <v>186</v>
      </c>
      <c r="O1571" s="26" t="s">
        <v>4503</v>
      </c>
      <c r="P1571" s="42" t="s">
        <v>6521</v>
      </c>
      <c r="Q1571" s="20">
        <v>7729</v>
      </c>
      <c r="R1571" s="26" t="s">
        <v>36</v>
      </c>
      <c r="S1571" s="31">
        <v>7729</v>
      </c>
      <c r="T1571" s="32">
        <v>45289</v>
      </c>
      <c r="U1571" s="31"/>
      <c r="V1571" s="32"/>
      <c r="W1571" s="33" t="s">
        <v>6522</v>
      </c>
      <c r="X1571" s="26"/>
      <c r="Y1571" s="22">
        <v>0</v>
      </c>
      <c r="Z1571" s="26" t="s">
        <v>50</v>
      </c>
      <c r="AA1571" s="19" t="s">
        <v>5961</v>
      </c>
      <c r="AB1571" s="26" t="s">
        <v>4503</v>
      </c>
      <c r="AC1571" s="26" t="s">
        <v>53</v>
      </c>
      <c r="AD1571" s="19" t="s">
        <v>138</v>
      </c>
      <c r="AE1571" s="35" t="s">
        <v>4646</v>
      </c>
      <c r="AF1571" s="17">
        <v>45518</v>
      </c>
      <c r="AG1571" s="26" t="s">
        <v>4279</v>
      </c>
      <c r="AH1571" s="26">
        <v>4</v>
      </c>
      <c r="AI1571" s="40"/>
      <c r="AJ1571" s="26"/>
      <c r="AK1571" s="26"/>
      <c r="AL1571" s="35"/>
      <c r="AM1571" s="35"/>
      <c r="AN1571" s="35"/>
      <c r="AO1571" s="35"/>
      <c r="AP1571" s="35"/>
    </row>
    <row r="1572" spans="1:42" x14ac:dyDescent="0.2">
      <c r="A1572" s="27">
        <v>45300.637197465279</v>
      </c>
      <c r="B1572" s="28" t="s">
        <v>37</v>
      </c>
      <c r="C1572" s="41" t="s">
        <v>118</v>
      </c>
      <c r="D1572" s="26" t="s">
        <v>36</v>
      </c>
      <c r="E1572" s="26" t="s">
        <v>39</v>
      </c>
      <c r="F1572" s="26" t="s">
        <v>91</v>
      </c>
      <c r="G1572" s="26" t="s">
        <v>41</v>
      </c>
      <c r="H1572" s="26" t="s">
        <v>6523</v>
      </c>
      <c r="I1572" s="17">
        <f ca="1">IFERROR(__xludf.DUMMYFUNCTION("""COMPUTED_VALUE"""),45622)</f>
        <v>45622</v>
      </c>
      <c r="J1572" s="29" t="s">
        <v>6524</v>
      </c>
      <c r="K1572" s="26" t="s">
        <v>6525</v>
      </c>
      <c r="L1572" s="30">
        <v>395896296</v>
      </c>
      <c r="M1572" s="26" t="s">
        <v>123</v>
      </c>
      <c r="N1572" s="26" t="s">
        <v>327</v>
      </c>
      <c r="O1572" s="26" t="s">
        <v>4503</v>
      </c>
      <c r="P1572" s="26" t="s">
        <v>4503</v>
      </c>
      <c r="Q1572" s="20">
        <v>5736</v>
      </c>
      <c r="R1572" s="26" t="s">
        <v>36</v>
      </c>
      <c r="S1572" s="31">
        <v>5736</v>
      </c>
      <c r="T1572" s="32">
        <v>45289</v>
      </c>
      <c r="U1572" s="31"/>
      <c r="V1572" s="32"/>
      <c r="W1572" s="33" t="s">
        <v>6526</v>
      </c>
      <c r="X1572" s="26"/>
      <c r="Y1572" s="22">
        <v>0</v>
      </c>
      <c r="Z1572" s="26" t="s">
        <v>50</v>
      </c>
      <c r="AA1572" s="19" t="s">
        <v>5961</v>
      </c>
      <c r="AB1572" s="26" t="s">
        <v>4503</v>
      </c>
      <c r="AC1572" s="26" t="s">
        <v>53</v>
      </c>
      <c r="AD1572" s="19" t="s">
        <v>54</v>
      </c>
      <c r="AE1572" s="26"/>
      <c r="AF1572" s="43">
        <v>45618</v>
      </c>
      <c r="AG1572" s="26" t="s">
        <v>6527</v>
      </c>
      <c r="AH1572" s="26">
        <v>4</v>
      </c>
      <c r="AI1572" s="40"/>
      <c r="AJ1572" s="26"/>
      <c r="AK1572" s="26"/>
      <c r="AL1572" s="35"/>
      <c r="AM1572" s="35"/>
      <c r="AN1572" s="35"/>
      <c r="AO1572" s="35"/>
      <c r="AP1572" s="35"/>
    </row>
    <row r="1573" spans="1:42" x14ac:dyDescent="0.2">
      <c r="A1573" s="27">
        <v>45300.640753067128</v>
      </c>
      <c r="B1573" s="28" t="s">
        <v>1703</v>
      </c>
      <c r="C1573" s="41" t="s">
        <v>118</v>
      </c>
      <c r="D1573" s="26" t="s">
        <v>36</v>
      </c>
      <c r="E1573" s="26" t="s">
        <v>6528</v>
      </c>
      <c r="F1573" s="26" t="s">
        <v>36</v>
      </c>
      <c r="G1573" s="26" t="s">
        <v>1847</v>
      </c>
      <c r="H1573" s="35" t="s">
        <v>865</v>
      </c>
      <c r="I1573" s="17" t="str">
        <f ca="1">IFERROR(__xludf.DUMMYFUNCTION("""COMPUTED_VALUE""")," ")</f>
        <v xml:space="preserve"> </v>
      </c>
      <c r="J1573" s="111" t="s">
        <v>6529</v>
      </c>
      <c r="K1573" s="19" t="s">
        <v>6530</v>
      </c>
      <c r="L1573" s="30">
        <v>366283908</v>
      </c>
      <c r="M1573" s="26" t="s">
        <v>123</v>
      </c>
      <c r="N1573" s="26" t="s">
        <v>2847</v>
      </c>
      <c r="O1573" s="26" t="s">
        <v>4503</v>
      </c>
      <c r="P1573" s="26" t="s">
        <v>4503</v>
      </c>
      <c r="Q1573" s="20">
        <v>4268</v>
      </c>
      <c r="R1573" s="26" t="s">
        <v>36</v>
      </c>
      <c r="S1573" s="31">
        <v>4268</v>
      </c>
      <c r="T1573" s="32">
        <v>45289</v>
      </c>
      <c r="U1573" s="31"/>
      <c r="V1573" s="32"/>
      <c r="W1573" s="33" t="s">
        <v>6531</v>
      </c>
      <c r="X1573" s="26"/>
      <c r="Y1573" s="22">
        <v>0</v>
      </c>
      <c r="Z1573" s="26" t="s">
        <v>50</v>
      </c>
      <c r="AA1573" s="19" t="s">
        <v>5961</v>
      </c>
      <c r="AB1573" s="26"/>
      <c r="AC1573" s="26" t="s">
        <v>53</v>
      </c>
      <c r="AD1573" s="19" t="s">
        <v>54</v>
      </c>
      <c r="AE1573" s="26"/>
      <c r="AF1573" s="60"/>
      <c r="AG1573" s="26"/>
      <c r="AH1573" s="26">
        <v>4</v>
      </c>
      <c r="AI1573" s="40"/>
      <c r="AJ1573" s="26"/>
      <c r="AK1573" s="26"/>
      <c r="AL1573" s="35"/>
      <c r="AM1573" s="35"/>
      <c r="AN1573" s="35"/>
      <c r="AO1573" s="35"/>
      <c r="AP1573" s="35"/>
    </row>
    <row r="1574" spans="1:42" x14ac:dyDescent="0.2">
      <c r="A1574" s="27">
        <v>45223.536213356478</v>
      </c>
      <c r="B1574" s="28" t="s">
        <v>37</v>
      </c>
      <c r="C1574" s="41" t="s">
        <v>118</v>
      </c>
      <c r="D1574" s="26" t="s">
        <v>36</v>
      </c>
      <c r="E1574" s="26" t="s">
        <v>139</v>
      </c>
      <c r="F1574" s="26" t="s">
        <v>36</v>
      </c>
      <c r="G1574" s="26" t="s">
        <v>41</v>
      </c>
      <c r="H1574" s="26" t="s">
        <v>4371</v>
      </c>
      <c r="I1574" s="17">
        <f ca="1">IFERROR(__xludf.DUMMYFUNCTION("""COMPUTED_VALUE"""),45231)</f>
        <v>45231</v>
      </c>
      <c r="J1574" s="29" t="s">
        <v>6532</v>
      </c>
      <c r="K1574" s="26" t="s">
        <v>6533</v>
      </c>
      <c r="L1574" s="30">
        <v>368197813</v>
      </c>
      <c r="M1574" s="26" t="s">
        <v>80</v>
      </c>
      <c r="N1574" s="26" t="s">
        <v>81</v>
      </c>
      <c r="O1574" s="26" t="s">
        <v>6534</v>
      </c>
      <c r="P1574" s="26" t="s">
        <v>6535</v>
      </c>
      <c r="Q1574" s="20">
        <v>15936</v>
      </c>
      <c r="R1574" s="26" t="s">
        <v>36</v>
      </c>
      <c r="S1574" s="31">
        <v>2000</v>
      </c>
      <c r="T1574" s="32">
        <v>45223</v>
      </c>
      <c r="U1574" s="31">
        <v>13936</v>
      </c>
      <c r="V1574" s="32">
        <v>45261</v>
      </c>
      <c r="W1574" s="33" t="s">
        <v>6536</v>
      </c>
      <c r="X1574" s="26"/>
      <c r="Y1574" s="22">
        <v>0</v>
      </c>
      <c r="Z1574" s="26" t="s">
        <v>50</v>
      </c>
      <c r="AA1574" s="19" t="s">
        <v>5961</v>
      </c>
      <c r="AB1574" s="26" t="s">
        <v>104</v>
      </c>
      <c r="AC1574" s="26" t="s">
        <v>53</v>
      </c>
      <c r="AD1574" s="19" t="s">
        <v>54</v>
      </c>
      <c r="AE1574" s="26">
        <v>0</v>
      </c>
      <c r="AF1574" s="43">
        <v>45223</v>
      </c>
      <c r="AG1574" s="26"/>
      <c r="AH1574" s="26">
        <v>1</v>
      </c>
      <c r="AI1574" s="40" t="s">
        <v>147</v>
      </c>
      <c r="AJ1574" s="26"/>
      <c r="AK1574" s="26"/>
      <c r="AL1574" s="35"/>
      <c r="AM1574" s="35"/>
      <c r="AN1574" s="35"/>
      <c r="AO1574" s="35"/>
      <c r="AP1574" s="35"/>
    </row>
    <row r="1575" spans="1:42" x14ac:dyDescent="0.2">
      <c r="A1575" s="97">
        <v>45248</v>
      </c>
      <c r="B1575" s="28" t="s">
        <v>37</v>
      </c>
      <c r="C1575" s="41" t="s">
        <v>118</v>
      </c>
      <c r="D1575" s="26" t="s">
        <v>36</v>
      </c>
      <c r="E1575" s="26" t="s">
        <v>148</v>
      </c>
      <c r="F1575" s="26" t="s">
        <v>36</v>
      </c>
      <c r="G1575" s="71" t="s">
        <v>108</v>
      </c>
      <c r="H1575" s="26" t="s">
        <v>4959</v>
      </c>
      <c r="I1575" s="17">
        <f ca="1">IFERROR(__xludf.DUMMYFUNCTION("""COMPUTED_VALUE"""),45352)</f>
        <v>45352</v>
      </c>
      <c r="J1575" s="29" t="s">
        <v>6537</v>
      </c>
      <c r="K1575" s="26" t="s">
        <v>6538</v>
      </c>
      <c r="L1575" s="30">
        <v>867028535</v>
      </c>
      <c r="M1575" s="26" t="s">
        <v>1993</v>
      </c>
      <c r="N1575" s="26" t="s">
        <v>2084</v>
      </c>
      <c r="O1575" s="26"/>
      <c r="P1575" s="42" t="s">
        <v>6539</v>
      </c>
      <c r="Q1575" s="20">
        <v>7349</v>
      </c>
      <c r="R1575" s="26" t="s">
        <v>36</v>
      </c>
      <c r="S1575" s="58">
        <v>10704</v>
      </c>
      <c r="T1575" s="32">
        <v>44936</v>
      </c>
      <c r="U1575" s="31"/>
      <c r="V1575" s="32"/>
      <c r="W1575" s="33" t="s">
        <v>6540</v>
      </c>
      <c r="X1575" s="26">
        <v>0</v>
      </c>
      <c r="Y1575" s="22">
        <v>-3355</v>
      </c>
      <c r="Z1575" s="98" t="s">
        <v>118</v>
      </c>
      <c r="AA1575" s="19" t="s">
        <v>6541</v>
      </c>
      <c r="AB1575" s="26" t="s">
        <v>128</v>
      </c>
      <c r="AC1575" s="26" t="s">
        <v>53</v>
      </c>
      <c r="AD1575" s="122" t="s">
        <v>54</v>
      </c>
      <c r="AE1575" s="123"/>
      <c r="AF1575" s="43">
        <v>45251</v>
      </c>
      <c r="AG1575" s="40"/>
      <c r="AH1575" s="26">
        <v>1</v>
      </c>
      <c r="AI1575" s="40">
        <v>2</v>
      </c>
      <c r="AJ1575" s="26"/>
      <c r="AK1575" s="26"/>
      <c r="AL1575" s="35"/>
      <c r="AM1575" s="35"/>
      <c r="AN1575" s="35"/>
      <c r="AO1575" s="35"/>
      <c r="AP1575" s="35"/>
    </row>
    <row r="1576" spans="1:42" x14ac:dyDescent="0.2">
      <c r="A1576" s="27">
        <v>45263.743012499996</v>
      </c>
      <c r="B1576" s="28" t="s">
        <v>37</v>
      </c>
      <c r="C1576" s="41" t="s">
        <v>118</v>
      </c>
      <c r="D1576" s="26" t="s">
        <v>36</v>
      </c>
      <c r="E1576" s="26" t="s">
        <v>148</v>
      </c>
      <c r="F1576" s="26" t="s">
        <v>4151</v>
      </c>
      <c r="G1576" s="71" t="s">
        <v>108</v>
      </c>
      <c r="H1576" s="26" t="s">
        <v>4525</v>
      </c>
      <c r="I1576" s="17">
        <f ca="1">IFERROR(__xludf.DUMMYFUNCTION("""COMPUTED_VALUE"""),45272)</f>
        <v>45272</v>
      </c>
      <c r="J1576" s="29" t="s">
        <v>6542</v>
      </c>
      <c r="K1576" s="26" t="s">
        <v>6543</v>
      </c>
      <c r="L1576" s="30">
        <v>373433590</v>
      </c>
      <c r="M1576" s="26" t="s">
        <v>94</v>
      </c>
      <c r="N1576" s="26" t="s">
        <v>200</v>
      </c>
      <c r="O1576" s="26" t="s">
        <v>91</v>
      </c>
      <c r="P1576" s="26" t="s">
        <v>6544</v>
      </c>
      <c r="Q1576" s="20">
        <v>7349</v>
      </c>
      <c r="R1576" s="26" t="s">
        <v>36</v>
      </c>
      <c r="S1576" s="58">
        <v>5000</v>
      </c>
      <c r="T1576" s="59">
        <v>44785</v>
      </c>
      <c r="U1576" s="58">
        <v>11779</v>
      </c>
      <c r="V1576" s="59">
        <v>44798</v>
      </c>
      <c r="W1576" s="124" t="s">
        <v>6545</v>
      </c>
      <c r="X1576" s="35">
        <v>0</v>
      </c>
      <c r="Y1576" s="22">
        <v>-9430</v>
      </c>
      <c r="Z1576" s="98" t="s">
        <v>118</v>
      </c>
      <c r="AA1576" s="19" t="s">
        <v>6541</v>
      </c>
      <c r="AB1576" s="26" t="s">
        <v>154</v>
      </c>
      <c r="AC1576" s="26" t="s">
        <v>53</v>
      </c>
      <c r="AD1576" s="14" t="s">
        <v>54</v>
      </c>
      <c r="AE1576" s="26">
        <v>510</v>
      </c>
      <c r="AF1576" s="17">
        <v>45265</v>
      </c>
      <c r="AG1576" s="40"/>
      <c r="AH1576" s="26">
        <v>1</v>
      </c>
      <c r="AI1576" s="40">
        <v>2</v>
      </c>
      <c r="AJ1576" s="26"/>
      <c r="AK1576" s="26"/>
      <c r="AL1576" s="35"/>
      <c r="AM1576" s="35"/>
      <c r="AN1576" s="35"/>
      <c r="AO1576" s="35"/>
      <c r="AP1576" s="35"/>
    </row>
    <row r="1577" spans="1:42" x14ac:dyDescent="0.2">
      <c r="A1577" s="97">
        <v>45282</v>
      </c>
      <c r="B1577" s="28" t="s">
        <v>37</v>
      </c>
      <c r="C1577" s="41" t="s">
        <v>118</v>
      </c>
      <c r="D1577" s="26" t="s">
        <v>36</v>
      </c>
      <c r="E1577" s="26" t="s">
        <v>139</v>
      </c>
      <c r="F1577" s="26" t="s">
        <v>4129</v>
      </c>
      <c r="G1577" s="71" t="s">
        <v>108</v>
      </c>
      <c r="H1577" s="26" t="s">
        <v>5100</v>
      </c>
      <c r="I1577" s="17">
        <f ca="1">IFERROR(__xludf.DUMMYFUNCTION("""COMPUTED_VALUE"""),45288)</f>
        <v>45288</v>
      </c>
      <c r="J1577" s="29" t="s">
        <v>6165</v>
      </c>
      <c r="K1577" s="26" t="s">
        <v>6546</v>
      </c>
      <c r="L1577" s="30">
        <v>961871926</v>
      </c>
      <c r="M1577" s="26" t="s">
        <v>123</v>
      </c>
      <c r="N1577" s="26" t="s">
        <v>850</v>
      </c>
      <c r="O1577" s="26" t="s">
        <v>1226</v>
      </c>
      <c r="P1577" s="26" t="s">
        <v>3487</v>
      </c>
      <c r="Q1577" s="20">
        <v>15936</v>
      </c>
      <c r="R1577" s="26" t="s">
        <v>36</v>
      </c>
      <c r="S1577" s="31">
        <v>200</v>
      </c>
      <c r="T1577" s="32">
        <v>45188</v>
      </c>
      <c r="U1577" s="31">
        <f>1768+13768+100</f>
        <v>15636</v>
      </c>
      <c r="V1577" s="26" t="s">
        <v>6167</v>
      </c>
      <c r="W1577" s="33" t="s">
        <v>6168</v>
      </c>
      <c r="X1577" s="26">
        <v>0</v>
      </c>
      <c r="Y1577" s="22">
        <v>100</v>
      </c>
      <c r="Z1577" s="98" t="s">
        <v>118</v>
      </c>
      <c r="AA1577" s="19" t="s">
        <v>6541</v>
      </c>
      <c r="AB1577" s="26" t="s">
        <v>104</v>
      </c>
      <c r="AC1577" s="26" t="s">
        <v>53</v>
      </c>
      <c r="AD1577" s="14" t="s">
        <v>138</v>
      </c>
      <c r="AE1577" s="26" t="s">
        <v>4129</v>
      </c>
      <c r="AF1577" s="17">
        <v>45288</v>
      </c>
      <c r="AG1577" s="40" t="s">
        <v>4996</v>
      </c>
      <c r="AH1577" s="26">
        <v>2</v>
      </c>
      <c r="AI1577" s="40" t="s">
        <v>147</v>
      </c>
      <c r="AJ1577" s="26"/>
      <c r="AK1577" s="26"/>
      <c r="AL1577" s="35"/>
      <c r="AM1577" s="35"/>
      <c r="AN1577" s="35"/>
      <c r="AO1577" s="35"/>
      <c r="AP1577" s="35"/>
    </row>
    <row r="1578" spans="1:42" x14ac:dyDescent="0.2">
      <c r="A1578" s="27">
        <v>45289.422702187498</v>
      </c>
      <c r="B1578" s="28" t="s">
        <v>37</v>
      </c>
      <c r="C1578" s="41" t="s">
        <v>118</v>
      </c>
      <c r="D1578" s="26" t="s">
        <v>36</v>
      </c>
      <c r="E1578" s="26" t="s">
        <v>119</v>
      </c>
      <c r="F1578" s="26" t="s">
        <v>2595</v>
      </c>
      <c r="G1578" s="125" t="s">
        <v>221</v>
      </c>
      <c r="H1578" s="26" t="s">
        <v>4275</v>
      </c>
      <c r="I1578" s="17">
        <f ca="1">IFERROR(__xludf.DUMMYFUNCTION("""COMPUTED_VALUE"""),45300)</f>
        <v>45300</v>
      </c>
      <c r="J1578" s="29" t="s">
        <v>2942</v>
      </c>
      <c r="K1578" s="26" t="s">
        <v>2766</v>
      </c>
      <c r="L1578" s="30">
        <v>971909764</v>
      </c>
      <c r="M1578" s="26" t="s">
        <v>112</v>
      </c>
      <c r="N1578" s="26" t="s">
        <v>113</v>
      </c>
      <c r="O1578" s="26" t="s">
        <v>36</v>
      </c>
      <c r="P1578" s="26" t="s">
        <v>5601</v>
      </c>
      <c r="Q1578" s="20">
        <v>13968</v>
      </c>
      <c r="R1578" s="26" t="s">
        <v>36</v>
      </c>
      <c r="S1578" s="31">
        <v>200</v>
      </c>
      <c r="T1578" s="32">
        <v>45187</v>
      </c>
      <c r="U1578" s="31">
        <v>13768</v>
      </c>
      <c r="V1578" s="32">
        <v>45189</v>
      </c>
      <c r="W1578" s="33" t="s">
        <v>2944</v>
      </c>
      <c r="X1578" s="26">
        <v>0</v>
      </c>
      <c r="Y1578" s="22">
        <v>0</v>
      </c>
      <c r="Z1578" s="98" t="s">
        <v>118</v>
      </c>
      <c r="AA1578" s="19" t="s">
        <v>6541</v>
      </c>
      <c r="AB1578" s="26"/>
      <c r="AC1578" s="26" t="s">
        <v>53</v>
      </c>
      <c r="AD1578" s="14" t="s">
        <v>138</v>
      </c>
      <c r="AE1578" s="26" t="s">
        <v>2595</v>
      </c>
      <c r="AF1578" s="17">
        <v>45300</v>
      </c>
      <c r="AG1578" s="40" t="s">
        <v>4279</v>
      </c>
      <c r="AH1578" s="26">
        <v>2</v>
      </c>
      <c r="AI1578" s="40">
        <v>4</v>
      </c>
      <c r="AJ1578" s="26"/>
      <c r="AK1578" s="26"/>
      <c r="AL1578" s="35"/>
      <c r="AM1578" s="35"/>
      <c r="AN1578" s="35"/>
      <c r="AO1578" s="35"/>
      <c r="AP1578" s="35"/>
    </row>
    <row r="1579" spans="1:42" x14ac:dyDescent="0.2">
      <c r="A1579" s="27">
        <v>45289.474308819445</v>
      </c>
      <c r="B1579" s="28" t="s">
        <v>37</v>
      </c>
      <c r="C1579" s="41" t="s">
        <v>118</v>
      </c>
      <c r="D1579" s="26" t="s">
        <v>36</v>
      </c>
      <c r="E1579" s="26" t="s">
        <v>148</v>
      </c>
      <c r="F1579" s="26" t="s">
        <v>6547</v>
      </c>
      <c r="G1579" s="71" t="s">
        <v>108</v>
      </c>
      <c r="H1579" s="26" t="s">
        <v>6106</v>
      </c>
      <c r="I1579" s="17">
        <f ca="1">IFERROR(__xludf.DUMMYFUNCTION("""COMPUTED_VALUE"""),45314)</f>
        <v>45314</v>
      </c>
      <c r="J1579" s="29" t="s">
        <v>6548</v>
      </c>
      <c r="K1579" s="26" t="s">
        <v>6549</v>
      </c>
      <c r="L1579" s="30">
        <v>971367599</v>
      </c>
      <c r="M1579" s="26" t="s">
        <v>94</v>
      </c>
      <c r="N1579" s="26" t="s">
        <v>3241</v>
      </c>
      <c r="O1579" s="26" t="s">
        <v>36</v>
      </c>
      <c r="P1579" s="26" t="s">
        <v>6550</v>
      </c>
      <c r="Q1579" s="20">
        <v>7349</v>
      </c>
      <c r="R1579" s="26" t="s">
        <v>36</v>
      </c>
      <c r="S1579" s="31">
        <v>10804</v>
      </c>
      <c r="T1579" s="32">
        <v>45121</v>
      </c>
      <c r="U1579" s="31"/>
      <c r="V1579" s="32"/>
      <c r="W1579" s="33" t="s">
        <v>6551</v>
      </c>
      <c r="X1579" s="26">
        <v>0</v>
      </c>
      <c r="Y1579" s="22">
        <v>-3455</v>
      </c>
      <c r="Z1579" s="98" t="s">
        <v>118</v>
      </c>
      <c r="AA1579" s="19" t="s">
        <v>6541</v>
      </c>
      <c r="AB1579" s="26"/>
      <c r="AC1579" s="26" t="s">
        <v>53</v>
      </c>
      <c r="AD1579" s="14" t="s">
        <v>54</v>
      </c>
      <c r="AE1579" s="26" t="s">
        <v>40</v>
      </c>
      <c r="AF1579" s="17">
        <v>44944</v>
      </c>
      <c r="AG1579" s="40" t="s">
        <v>6552</v>
      </c>
      <c r="AH1579" s="26">
        <v>1</v>
      </c>
      <c r="AI1579" s="40">
        <v>2</v>
      </c>
      <c r="AJ1579" s="26"/>
      <c r="AK1579" s="26"/>
      <c r="AL1579" s="35"/>
      <c r="AM1579" s="35"/>
      <c r="AN1579" s="35"/>
      <c r="AO1579" s="35"/>
      <c r="AP1579" s="35"/>
    </row>
    <row r="1580" spans="1:42" x14ac:dyDescent="0.2">
      <c r="A1580" s="14">
        <v>45293</v>
      </c>
      <c r="B1580" s="28" t="s">
        <v>37</v>
      </c>
      <c r="C1580" s="41" t="s">
        <v>118</v>
      </c>
      <c r="D1580" s="26" t="s">
        <v>36</v>
      </c>
      <c r="E1580" s="26" t="s">
        <v>56</v>
      </c>
      <c r="F1580" s="26" t="s">
        <v>413</v>
      </c>
      <c r="G1580" s="71" t="s">
        <v>108</v>
      </c>
      <c r="H1580" s="26" t="s">
        <v>5472</v>
      </c>
      <c r="I1580" s="17">
        <f ca="1">IFERROR(__xludf.DUMMYFUNCTION("""COMPUTED_VALUE"""),45299)</f>
        <v>45299</v>
      </c>
      <c r="J1580" s="29" t="s">
        <v>6224</v>
      </c>
      <c r="K1580" s="26" t="s">
        <v>6553</v>
      </c>
      <c r="L1580" s="30">
        <v>877765981</v>
      </c>
      <c r="M1580" s="26" t="s">
        <v>5558</v>
      </c>
      <c r="N1580" s="26" t="s">
        <v>5559</v>
      </c>
      <c r="O1580" s="26" t="s">
        <v>91</v>
      </c>
      <c r="P1580" s="26" t="s">
        <v>6226</v>
      </c>
      <c r="Q1580" s="20">
        <v>9317</v>
      </c>
      <c r="R1580" s="26" t="s">
        <v>36</v>
      </c>
      <c r="S1580" s="31">
        <v>2000</v>
      </c>
      <c r="T1580" s="32">
        <v>45235</v>
      </c>
      <c r="U1580" s="31">
        <v>7317</v>
      </c>
      <c r="V1580" s="32">
        <v>45266</v>
      </c>
      <c r="W1580" s="33" t="s">
        <v>6227</v>
      </c>
      <c r="X1580" s="26">
        <v>0</v>
      </c>
      <c r="Y1580" s="22">
        <v>0</v>
      </c>
      <c r="Z1580" s="98" t="s">
        <v>118</v>
      </c>
      <c r="AA1580" s="19" t="s">
        <v>6541</v>
      </c>
      <c r="AB1580" s="26" t="s">
        <v>104</v>
      </c>
      <c r="AC1580" s="26" t="s">
        <v>53</v>
      </c>
      <c r="AD1580" s="14" t="s">
        <v>54</v>
      </c>
      <c r="AE1580" s="26" t="s">
        <v>413</v>
      </c>
      <c r="AF1580" s="17">
        <v>45293</v>
      </c>
      <c r="AG1580" s="40"/>
      <c r="AH1580" s="26">
        <v>2</v>
      </c>
      <c r="AI1580" s="40" t="s">
        <v>64</v>
      </c>
      <c r="AJ1580" s="26"/>
      <c r="AK1580" s="26"/>
      <c r="AL1580" s="35"/>
      <c r="AM1580" s="35"/>
      <c r="AN1580" s="35"/>
      <c r="AO1580" s="35"/>
      <c r="AP1580" s="35"/>
    </row>
    <row r="1581" spans="1:42" x14ac:dyDescent="0.2">
      <c r="A1581" s="14">
        <v>45293</v>
      </c>
      <c r="B1581" s="28" t="s">
        <v>37</v>
      </c>
      <c r="C1581" s="41" t="s">
        <v>118</v>
      </c>
      <c r="D1581" s="26" t="s">
        <v>36</v>
      </c>
      <c r="E1581" s="26" t="s">
        <v>139</v>
      </c>
      <c r="F1581" s="26" t="s">
        <v>413</v>
      </c>
      <c r="G1581" s="71" t="s">
        <v>108</v>
      </c>
      <c r="H1581" s="26" t="s">
        <v>2434</v>
      </c>
      <c r="I1581" s="17">
        <f ca="1">IFERROR(__xludf.DUMMYFUNCTION("""COMPUTED_VALUE"""),45320)</f>
        <v>45320</v>
      </c>
      <c r="J1581" s="29" t="s">
        <v>6228</v>
      </c>
      <c r="K1581" s="26" t="s">
        <v>6554</v>
      </c>
      <c r="L1581" s="30">
        <v>914638012</v>
      </c>
      <c r="M1581" s="26" t="s">
        <v>5558</v>
      </c>
      <c r="N1581" s="26" t="s">
        <v>850</v>
      </c>
      <c r="O1581" s="26" t="s">
        <v>4503</v>
      </c>
      <c r="P1581" s="42" t="s">
        <v>6555</v>
      </c>
      <c r="Q1581" s="20">
        <v>15936</v>
      </c>
      <c r="R1581" s="26" t="s">
        <v>36</v>
      </c>
      <c r="S1581" s="31">
        <v>8000</v>
      </c>
      <c r="T1581" s="32">
        <v>45236</v>
      </c>
      <c r="U1581" s="31">
        <v>7936</v>
      </c>
      <c r="V1581" s="32">
        <v>45265</v>
      </c>
      <c r="W1581" s="33" t="s">
        <v>6231</v>
      </c>
      <c r="X1581" s="26">
        <v>0</v>
      </c>
      <c r="Y1581" s="22">
        <v>0</v>
      </c>
      <c r="Z1581" s="98" t="s">
        <v>118</v>
      </c>
      <c r="AA1581" s="19" t="s">
        <v>6541</v>
      </c>
      <c r="AB1581" s="26" t="s">
        <v>104</v>
      </c>
      <c r="AC1581" s="26" t="s">
        <v>53</v>
      </c>
      <c r="AD1581" s="14" t="s">
        <v>54</v>
      </c>
      <c r="AE1581" s="26" t="s">
        <v>413</v>
      </c>
      <c r="AF1581" s="17">
        <v>45293</v>
      </c>
      <c r="AG1581" s="40"/>
      <c r="AH1581" s="26">
        <v>2</v>
      </c>
      <c r="AI1581" s="40" t="s">
        <v>147</v>
      </c>
      <c r="AJ1581" s="26"/>
      <c r="AK1581" s="26"/>
      <c r="AL1581" s="35"/>
      <c r="AM1581" s="35"/>
      <c r="AN1581" s="35"/>
      <c r="AO1581" s="35"/>
      <c r="AP1581" s="35"/>
    </row>
    <row r="1582" spans="1:42" x14ac:dyDescent="0.2">
      <c r="A1582" s="14">
        <v>45293</v>
      </c>
      <c r="B1582" s="28" t="s">
        <v>37</v>
      </c>
      <c r="C1582" s="41" t="s">
        <v>118</v>
      </c>
      <c r="D1582" s="26" t="s">
        <v>36</v>
      </c>
      <c r="E1582" s="26" t="s">
        <v>56</v>
      </c>
      <c r="F1582" s="26" t="s">
        <v>413</v>
      </c>
      <c r="G1582" s="71" t="s">
        <v>108</v>
      </c>
      <c r="H1582" s="26" t="s">
        <v>5472</v>
      </c>
      <c r="I1582" s="17">
        <f ca="1">IFERROR(__xludf.DUMMYFUNCTION("""COMPUTED_VALUE"""),45299)</f>
        <v>45299</v>
      </c>
      <c r="J1582" s="29" t="s">
        <v>6215</v>
      </c>
      <c r="K1582" s="26" t="s">
        <v>6216</v>
      </c>
      <c r="L1582" s="30">
        <v>393587181</v>
      </c>
      <c r="M1582" s="26" t="s">
        <v>3288</v>
      </c>
      <c r="N1582" s="26" t="s">
        <v>200</v>
      </c>
      <c r="O1582" s="26" t="s">
        <v>6217</v>
      </c>
      <c r="P1582" s="42" t="s">
        <v>6218</v>
      </c>
      <c r="Q1582" s="20">
        <v>9317</v>
      </c>
      <c r="R1582" s="26" t="s">
        <v>36</v>
      </c>
      <c r="S1582" s="31">
        <v>2000</v>
      </c>
      <c r="T1582" s="32">
        <v>45233</v>
      </c>
      <c r="U1582" s="31">
        <v>7317</v>
      </c>
      <c r="V1582" s="32">
        <v>45282</v>
      </c>
      <c r="W1582" s="33" t="s">
        <v>6219</v>
      </c>
      <c r="X1582" s="26">
        <v>0</v>
      </c>
      <c r="Y1582" s="22">
        <v>0</v>
      </c>
      <c r="Z1582" s="98" t="s">
        <v>118</v>
      </c>
      <c r="AA1582" s="19" t="s">
        <v>6541</v>
      </c>
      <c r="AB1582" s="26" t="s">
        <v>104</v>
      </c>
      <c r="AC1582" s="26" t="s">
        <v>53</v>
      </c>
      <c r="AD1582" s="14" t="s">
        <v>54</v>
      </c>
      <c r="AE1582" s="26" t="s">
        <v>413</v>
      </c>
      <c r="AF1582" s="17">
        <v>45293</v>
      </c>
      <c r="AG1582" s="40"/>
      <c r="AH1582" s="26">
        <v>2</v>
      </c>
      <c r="AI1582" s="40" t="s">
        <v>64</v>
      </c>
      <c r="AJ1582" s="26"/>
      <c r="AK1582" s="26"/>
      <c r="AL1582" s="35"/>
      <c r="AM1582" s="35"/>
      <c r="AN1582" s="35"/>
      <c r="AO1582" s="35"/>
      <c r="AP1582" s="35"/>
    </row>
    <row r="1583" spans="1:42" x14ac:dyDescent="0.2">
      <c r="A1583" s="14">
        <v>45294</v>
      </c>
      <c r="B1583" s="28" t="s">
        <v>37</v>
      </c>
      <c r="C1583" s="41" t="s">
        <v>118</v>
      </c>
      <c r="D1583" s="26" t="s">
        <v>36</v>
      </c>
      <c r="E1583" s="26" t="s">
        <v>77</v>
      </c>
      <c r="F1583" s="26" t="s">
        <v>6556</v>
      </c>
      <c r="G1583" s="26" t="s">
        <v>41</v>
      </c>
      <c r="H1583" s="26" t="s">
        <v>6131</v>
      </c>
      <c r="I1583" s="17">
        <f ca="1">IFERROR(__xludf.DUMMYFUNCTION("""COMPUTED_VALUE"""),45306)</f>
        <v>45306</v>
      </c>
      <c r="J1583" s="29" t="s">
        <v>6557</v>
      </c>
      <c r="K1583" s="19" t="s">
        <v>6558</v>
      </c>
      <c r="L1583" s="30">
        <v>357852512</v>
      </c>
      <c r="M1583" s="26" t="s">
        <v>391</v>
      </c>
      <c r="N1583" s="26" t="s">
        <v>6559</v>
      </c>
      <c r="O1583" s="26" t="s">
        <v>36</v>
      </c>
      <c r="P1583" s="42" t="s">
        <v>6560</v>
      </c>
      <c r="Q1583" s="20">
        <v>1968</v>
      </c>
      <c r="R1583" s="26" t="s">
        <v>36</v>
      </c>
      <c r="S1583" s="31">
        <v>10804</v>
      </c>
      <c r="T1583" s="32">
        <v>44963</v>
      </c>
      <c r="U1583" s="31"/>
      <c r="V1583" s="32"/>
      <c r="W1583" s="33" t="s">
        <v>6561</v>
      </c>
      <c r="X1583" s="26">
        <v>0</v>
      </c>
      <c r="Y1583" s="22">
        <v>-8836</v>
      </c>
      <c r="Z1583" s="98" t="s">
        <v>118</v>
      </c>
      <c r="AA1583" s="19" t="s">
        <v>6541</v>
      </c>
      <c r="AB1583" s="26"/>
      <c r="AC1583" s="26" t="s">
        <v>53</v>
      </c>
      <c r="AD1583" s="14" t="s">
        <v>54</v>
      </c>
      <c r="AE1583" s="26"/>
      <c r="AF1583" s="17">
        <v>45299</v>
      </c>
      <c r="AG1583" s="40"/>
      <c r="AH1583" s="26">
        <v>1</v>
      </c>
      <c r="AI1583" s="40" t="s">
        <v>84</v>
      </c>
      <c r="AJ1583" s="26"/>
      <c r="AK1583" s="26"/>
      <c r="AL1583" s="35"/>
      <c r="AM1583" s="35"/>
      <c r="AN1583" s="35"/>
      <c r="AO1583" s="35"/>
      <c r="AP1583" s="35"/>
    </row>
    <row r="1584" spans="1:42" x14ac:dyDescent="0.2">
      <c r="A1584" s="27">
        <v>45294.961392106481</v>
      </c>
      <c r="B1584" s="28" t="s">
        <v>37</v>
      </c>
      <c r="C1584" s="41" t="s">
        <v>118</v>
      </c>
      <c r="D1584" s="26" t="s">
        <v>36</v>
      </c>
      <c r="E1584" s="26" t="s">
        <v>139</v>
      </c>
      <c r="F1584" s="26" t="s">
        <v>36</v>
      </c>
      <c r="G1584" s="26" t="s">
        <v>41</v>
      </c>
      <c r="H1584" s="26" t="s">
        <v>6131</v>
      </c>
      <c r="I1584" s="17">
        <f ca="1">IFERROR(__xludf.DUMMYFUNCTION("""COMPUTED_VALUE"""),45306)</f>
        <v>45306</v>
      </c>
      <c r="J1584" s="29" t="s">
        <v>6562</v>
      </c>
      <c r="K1584" s="26" t="s">
        <v>6563</v>
      </c>
      <c r="L1584" s="30">
        <v>974914851</v>
      </c>
      <c r="M1584" s="26" t="s">
        <v>3498</v>
      </c>
      <c r="N1584" s="26" t="s">
        <v>3668</v>
      </c>
      <c r="O1584" s="26" t="s">
        <v>6564</v>
      </c>
      <c r="P1584" s="42" t="s">
        <v>6565</v>
      </c>
      <c r="Q1584" s="20">
        <v>15936</v>
      </c>
      <c r="R1584" s="26" t="s">
        <v>36</v>
      </c>
      <c r="S1584" s="58">
        <v>4200</v>
      </c>
      <c r="T1584" s="32">
        <v>45248</v>
      </c>
      <c r="U1584" s="31">
        <v>11736</v>
      </c>
      <c r="V1584" s="32">
        <v>45295</v>
      </c>
      <c r="W1584" s="33" t="s">
        <v>6566</v>
      </c>
      <c r="X1584" s="26">
        <v>0</v>
      </c>
      <c r="Y1584" s="22">
        <v>0</v>
      </c>
      <c r="Z1584" s="98" t="s">
        <v>118</v>
      </c>
      <c r="AA1584" s="19" t="s">
        <v>6541</v>
      </c>
      <c r="AB1584" s="26" t="s">
        <v>104</v>
      </c>
      <c r="AC1584" s="26" t="s">
        <v>53</v>
      </c>
      <c r="AD1584" s="14" t="s">
        <v>138</v>
      </c>
      <c r="AE1584" s="26"/>
      <c r="AF1584" s="17">
        <v>45267</v>
      </c>
      <c r="AG1584" s="40" t="s">
        <v>6567</v>
      </c>
      <c r="AH1584" s="26">
        <v>2</v>
      </c>
      <c r="AI1584" s="40" t="s">
        <v>147</v>
      </c>
      <c r="AJ1584" s="26"/>
      <c r="AK1584" s="26"/>
      <c r="AL1584" s="35"/>
      <c r="AM1584" s="35"/>
      <c r="AN1584" s="35"/>
      <c r="AO1584" s="35"/>
      <c r="AP1584" s="35"/>
    </row>
    <row r="1585" spans="1:42" x14ac:dyDescent="0.2">
      <c r="A1585" s="14">
        <v>45302</v>
      </c>
      <c r="B1585" s="68" t="s">
        <v>37</v>
      </c>
      <c r="C1585" s="41" t="s">
        <v>118</v>
      </c>
      <c r="D1585" s="26" t="s">
        <v>36</v>
      </c>
      <c r="E1585" s="26" t="s">
        <v>139</v>
      </c>
      <c r="F1585" s="26" t="s">
        <v>4409</v>
      </c>
      <c r="G1585" s="71" t="s">
        <v>108</v>
      </c>
      <c r="H1585" s="26" t="s">
        <v>3366</v>
      </c>
      <c r="I1585" s="17">
        <f ca="1">IFERROR(__xludf.DUMMYFUNCTION("""COMPUTED_VALUE"""),45313)</f>
        <v>45313</v>
      </c>
      <c r="J1585" s="29" t="s">
        <v>5507</v>
      </c>
      <c r="K1585" s="26" t="s">
        <v>5508</v>
      </c>
      <c r="L1585" s="30">
        <v>978397153</v>
      </c>
      <c r="M1585" s="26" t="s">
        <v>59</v>
      </c>
      <c r="N1585" s="26" t="s">
        <v>68</v>
      </c>
      <c r="O1585" s="26" t="s">
        <v>5509</v>
      </c>
      <c r="P1585" s="42" t="s">
        <v>6568</v>
      </c>
      <c r="Q1585" s="20">
        <v>15936</v>
      </c>
      <c r="R1585" s="26" t="s">
        <v>36</v>
      </c>
      <c r="S1585" s="31">
        <v>7000</v>
      </c>
      <c r="T1585" s="32">
        <v>45232</v>
      </c>
      <c r="U1585" s="31">
        <v>8963</v>
      </c>
      <c r="V1585" s="32">
        <v>45260</v>
      </c>
      <c r="W1585" s="33" t="s">
        <v>5511</v>
      </c>
      <c r="X1585" s="26"/>
      <c r="Y1585" s="22">
        <v>-27</v>
      </c>
      <c r="Z1585" s="98" t="s">
        <v>118</v>
      </c>
      <c r="AA1585" s="19" t="s">
        <v>5112</v>
      </c>
      <c r="AB1585" s="26" t="s">
        <v>104</v>
      </c>
      <c r="AC1585" s="26" t="s">
        <v>53</v>
      </c>
      <c r="AD1585" s="19" t="s">
        <v>54</v>
      </c>
      <c r="AE1585" s="26" t="s">
        <v>4409</v>
      </c>
      <c r="AF1585" s="102">
        <v>45306</v>
      </c>
      <c r="AG1585" s="26"/>
      <c r="AH1585" s="26"/>
      <c r="AI1585" s="40" t="s">
        <v>147</v>
      </c>
      <c r="AJ1585" s="26"/>
      <c r="AK1585" s="26"/>
      <c r="AL1585" s="35"/>
      <c r="AM1585" s="35"/>
      <c r="AN1585" s="35"/>
      <c r="AO1585" s="35"/>
      <c r="AP1585" s="35"/>
    </row>
    <row r="1586" spans="1:42" x14ac:dyDescent="0.2">
      <c r="A1586" s="14">
        <v>45302</v>
      </c>
      <c r="B1586" s="68" t="s">
        <v>37</v>
      </c>
      <c r="C1586" s="41" t="s">
        <v>118</v>
      </c>
      <c r="D1586" s="26" t="s">
        <v>36</v>
      </c>
      <c r="E1586" s="26" t="s">
        <v>139</v>
      </c>
      <c r="F1586" s="26" t="s">
        <v>4409</v>
      </c>
      <c r="G1586" s="71" t="s">
        <v>108</v>
      </c>
      <c r="H1586" s="26" t="s">
        <v>3366</v>
      </c>
      <c r="I1586" s="17">
        <f ca="1">IFERROR(__xludf.DUMMYFUNCTION("""COMPUTED_VALUE"""),45313)</f>
        <v>45313</v>
      </c>
      <c r="J1586" s="29" t="s">
        <v>4510</v>
      </c>
      <c r="K1586" s="26" t="s">
        <v>4511</v>
      </c>
      <c r="L1586" s="30">
        <v>988467310</v>
      </c>
      <c r="M1586" s="26" t="s">
        <v>123</v>
      </c>
      <c r="N1586" s="26" t="s">
        <v>186</v>
      </c>
      <c r="O1586" s="26" t="s">
        <v>4503</v>
      </c>
      <c r="P1586" s="42" t="s">
        <v>6569</v>
      </c>
      <c r="Q1586" s="20">
        <v>15936</v>
      </c>
      <c r="R1586" s="26" t="s">
        <v>36</v>
      </c>
      <c r="S1586" s="31">
        <v>15936</v>
      </c>
      <c r="T1586" s="32">
        <v>45226</v>
      </c>
      <c r="U1586" s="31"/>
      <c r="V1586" s="26"/>
      <c r="W1586" s="33" t="s">
        <v>4513</v>
      </c>
      <c r="X1586" s="26"/>
      <c r="Y1586" s="22">
        <v>0</v>
      </c>
      <c r="Z1586" s="98" t="s">
        <v>118</v>
      </c>
      <c r="AA1586" s="19" t="s">
        <v>3454</v>
      </c>
      <c r="AB1586" s="26" t="s">
        <v>104</v>
      </c>
      <c r="AC1586" s="26" t="s">
        <v>53</v>
      </c>
      <c r="AD1586" s="19" t="s">
        <v>138</v>
      </c>
      <c r="AE1586" s="26" t="s">
        <v>4409</v>
      </c>
      <c r="AF1586" s="102">
        <v>45306</v>
      </c>
      <c r="AG1586" s="26"/>
      <c r="AH1586" s="26"/>
      <c r="AI1586" s="40"/>
      <c r="AJ1586" s="26"/>
      <c r="AK1586" s="26"/>
      <c r="AL1586" s="35"/>
      <c r="AM1586" s="35"/>
      <c r="AN1586" s="35"/>
      <c r="AO1586" s="35"/>
      <c r="AP1586" s="35"/>
    </row>
    <row r="1587" spans="1:42" x14ac:dyDescent="0.2">
      <c r="A1587" s="14">
        <v>45302</v>
      </c>
      <c r="B1587" s="28" t="s">
        <v>37</v>
      </c>
      <c r="C1587" s="41" t="s">
        <v>118</v>
      </c>
      <c r="D1587" s="26" t="s">
        <v>36</v>
      </c>
      <c r="E1587" s="26" t="s">
        <v>148</v>
      </c>
      <c r="F1587" s="26" t="s">
        <v>2424</v>
      </c>
      <c r="G1587" s="26" t="s">
        <v>221</v>
      </c>
      <c r="H1587" s="26" t="s">
        <v>6570</v>
      </c>
      <c r="I1587" s="17">
        <f ca="1">IFERROR(__xludf.DUMMYFUNCTION("""COMPUTED_VALUE"""),45314)</f>
        <v>45314</v>
      </c>
      <c r="J1587" s="29" t="s">
        <v>2914</v>
      </c>
      <c r="K1587" s="26" t="s">
        <v>2915</v>
      </c>
      <c r="L1587" s="94" t="s">
        <v>2916</v>
      </c>
      <c r="M1587" s="26" t="s">
        <v>112</v>
      </c>
      <c r="N1587" s="26" t="s">
        <v>2917</v>
      </c>
      <c r="O1587" s="26" t="s">
        <v>1274</v>
      </c>
      <c r="P1587" s="42" t="s">
        <v>6571</v>
      </c>
      <c r="Q1587" s="20">
        <v>7349</v>
      </c>
      <c r="R1587" s="26" t="s">
        <v>36</v>
      </c>
      <c r="S1587" s="31">
        <v>7349</v>
      </c>
      <c r="T1587" s="32">
        <v>45187</v>
      </c>
      <c r="U1587" s="31"/>
      <c r="V1587" s="26"/>
      <c r="W1587" s="33" t="s">
        <v>2919</v>
      </c>
      <c r="X1587" s="26"/>
      <c r="Y1587" s="22">
        <v>0</v>
      </c>
      <c r="Z1587" s="98" t="s">
        <v>118</v>
      </c>
      <c r="AA1587" s="19" t="s">
        <v>2449</v>
      </c>
      <c r="AB1587" s="26" t="s">
        <v>104</v>
      </c>
      <c r="AC1587" s="26" t="s">
        <v>53</v>
      </c>
      <c r="AD1587" s="19" t="s">
        <v>54</v>
      </c>
      <c r="AE1587" s="26" t="s">
        <v>2424</v>
      </c>
      <c r="AF1587" s="17">
        <v>44944</v>
      </c>
      <c r="AG1587" s="26"/>
      <c r="AH1587" s="26"/>
      <c r="AI1587" s="40"/>
      <c r="AJ1587" s="26"/>
      <c r="AK1587" s="26"/>
      <c r="AL1587" s="35"/>
      <c r="AM1587" s="35"/>
      <c r="AN1587" s="35"/>
      <c r="AO1587" s="35"/>
      <c r="AP1587" s="35"/>
    </row>
    <row r="1588" spans="1:42" x14ac:dyDescent="0.2">
      <c r="A1588" s="14">
        <v>45302</v>
      </c>
      <c r="B1588" s="68" t="s">
        <v>37</v>
      </c>
      <c r="C1588" s="41" t="s">
        <v>118</v>
      </c>
      <c r="D1588" s="26" t="s">
        <v>36</v>
      </c>
      <c r="E1588" s="26" t="s">
        <v>139</v>
      </c>
      <c r="F1588" s="26" t="s">
        <v>3090</v>
      </c>
      <c r="G1588" s="71" t="s">
        <v>108</v>
      </c>
      <c r="H1588" s="26" t="s">
        <v>4633</v>
      </c>
      <c r="I1588" s="17">
        <f ca="1">IFERROR(__xludf.DUMMYFUNCTION("""COMPUTED_VALUE"""),45365)</f>
        <v>45365</v>
      </c>
      <c r="J1588" s="29" t="s">
        <v>5267</v>
      </c>
      <c r="K1588" s="26" t="s">
        <v>6572</v>
      </c>
      <c r="L1588" s="30">
        <v>961017134</v>
      </c>
      <c r="M1588" s="26" t="s">
        <v>123</v>
      </c>
      <c r="N1588" s="26" t="s">
        <v>186</v>
      </c>
      <c r="O1588" s="26" t="s">
        <v>1226</v>
      </c>
      <c r="P1588" s="42" t="s">
        <v>6573</v>
      </c>
      <c r="Q1588" s="20">
        <v>15936</v>
      </c>
      <c r="R1588" s="26" t="s">
        <v>36</v>
      </c>
      <c r="S1588" s="31">
        <v>2000</v>
      </c>
      <c r="T1588" s="32">
        <v>45205</v>
      </c>
      <c r="U1588" s="31">
        <v>13936</v>
      </c>
      <c r="V1588" s="32">
        <v>45231</v>
      </c>
      <c r="W1588" s="33" t="s">
        <v>5270</v>
      </c>
      <c r="X1588" s="26"/>
      <c r="Y1588" s="22">
        <v>0</v>
      </c>
      <c r="Z1588" s="98" t="s">
        <v>118</v>
      </c>
      <c r="AA1588" s="19" t="s">
        <v>5112</v>
      </c>
      <c r="AB1588" s="26" t="s">
        <v>104</v>
      </c>
      <c r="AC1588" s="26" t="s">
        <v>53</v>
      </c>
      <c r="AD1588" s="19" t="s">
        <v>54</v>
      </c>
      <c r="AE1588" s="26" t="s">
        <v>3090</v>
      </c>
      <c r="AF1588" s="17">
        <v>45362</v>
      </c>
      <c r="AG1588" s="26"/>
      <c r="AH1588" s="26"/>
      <c r="AI1588" s="40" t="s">
        <v>147</v>
      </c>
      <c r="AJ1588" s="26"/>
      <c r="AK1588" s="26"/>
      <c r="AL1588" s="35"/>
      <c r="AM1588" s="35"/>
      <c r="AN1588" s="35"/>
      <c r="AO1588" s="35"/>
      <c r="AP1588" s="35"/>
    </row>
    <row r="1589" spans="1:42" x14ac:dyDescent="0.2">
      <c r="A1589" s="14">
        <v>45302</v>
      </c>
      <c r="B1589" s="28" t="s">
        <v>37</v>
      </c>
      <c r="C1589" s="41" t="s">
        <v>118</v>
      </c>
      <c r="D1589" s="26" t="s">
        <v>36</v>
      </c>
      <c r="E1589" s="26" t="s">
        <v>56</v>
      </c>
      <c r="F1589" s="26" t="s">
        <v>3264</v>
      </c>
      <c r="G1589" s="26" t="s">
        <v>221</v>
      </c>
      <c r="H1589" s="26" t="s">
        <v>5096</v>
      </c>
      <c r="I1589" s="17">
        <f ca="1">IFERROR(__xludf.DUMMYFUNCTION("""COMPUTED_VALUE"""),45384)</f>
        <v>45384</v>
      </c>
      <c r="J1589" s="29" t="s">
        <v>631</v>
      </c>
      <c r="K1589" s="26" t="s">
        <v>6574</v>
      </c>
      <c r="L1589" s="30">
        <v>352890423</v>
      </c>
      <c r="M1589" s="26" t="s">
        <v>633</v>
      </c>
      <c r="N1589" s="26" t="s">
        <v>634</v>
      </c>
      <c r="O1589" s="26" t="s">
        <v>635</v>
      </c>
      <c r="P1589" s="54" t="s">
        <v>6575</v>
      </c>
      <c r="Q1589" s="20">
        <v>9317</v>
      </c>
      <c r="R1589" s="26" t="s">
        <v>36</v>
      </c>
      <c r="S1589" s="31">
        <v>9317</v>
      </c>
      <c r="T1589" s="32">
        <v>45131</v>
      </c>
      <c r="U1589" s="31"/>
      <c r="V1589" s="26"/>
      <c r="W1589" s="33" t="s">
        <v>637</v>
      </c>
      <c r="X1589" s="26">
        <v>0</v>
      </c>
      <c r="Y1589" s="22">
        <v>0</v>
      </c>
      <c r="Z1589" s="98" t="s">
        <v>118</v>
      </c>
      <c r="AA1589" s="19" t="s">
        <v>51</v>
      </c>
      <c r="AB1589" s="26" t="s">
        <v>104</v>
      </c>
      <c r="AC1589" s="26" t="s">
        <v>53</v>
      </c>
      <c r="AD1589" s="19" t="s">
        <v>54</v>
      </c>
      <c r="AE1589" s="26" t="s">
        <v>3264</v>
      </c>
      <c r="AF1589" s="17">
        <v>44944</v>
      </c>
      <c r="AG1589" s="26"/>
      <c r="AH1589" s="26">
        <v>1</v>
      </c>
      <c r="AI1589" s="40" t="s">
        <v>64</v>
      </c>
      <c r="AJ1589" s="26"/>
      <c r="AK1589" s="26"/>
      <c r="AL1589" s="35"/>
      <c r="AM1589" s="35"/>
      <c r="AN1589" s="35"/>
      <c r="AO1589" s="35"/>
      <c r="AP1589" s="35"/>
    </row>
    <row r="1590" spans="1:42" x14ac:dyDescent="0.2">
      <c r="A1590" s="14">
        <v>45302</v>
      </c>
      <c r="B1590" s="28" t="s">
        <v>37</v>
      </c>
      <c r="C1590" s="41" t="s">
        <v>118</v>
      </c>
      <c r="D1590" s="26" t="s">
        <v>36</v>
      </c>
      <c r="E1590" s="26" t="s">
        <v>56</v>
      </c>
      <c r="F1590" s="26" t="s">
        <v>3302</v>
      </c>
      <c r="G1590" s="71" t="s">
        <v>108</v>
      </c>
      <c r="H1590" s="26" t="s">
        <v>6106</v>
      </c>
      <c r="I1590" s="17">
        <f ca="1">IFERROR(__xludf.DUMMYFUNCTION("""COMPUTED_VALUE"""),45314)</f>
        <v>45314</v>
      </c>
      <c r="J1590" s="29" t="s">
        <v>5182</v>
      </c>
      <c r="K1590" s="26" t="s">
        <v>6576</v>
      </c>
      <c r="L1590" s="30">
        <v>367934994</v>
      </c>
      <c r="M1590" s="26" t="s">
        <v>80</v>
      </c>
      <c r="N1590" s="26" t="s">
        <v>186</v>
      </c>
      <c r="O1590" s="26" t="s">
        <v>5184</v>
      </c>
      <c r="P1590" s="42" t="s">
        <v>6577</v>
      </c>
      <c r="Q1590" s="20">
        <v>9317</v>
      </c>
      <c r="R1590" s="26" t="s">
        <v>36</v>
      </c>
      <c r="S1590" s="31">
        <v>4000</v>
      </c>
      <c r="T1590" s="32">
        <v>45199</v>
      </c>
      <c r="U1590" s="31">
        <v>5317</v>
      </c>
      <c r="V1590" s="32">
        <v>45237</v>
      </c>
      <c r="W1590" s="33" t="s">
        <v>5186</v>
      </c>
      <c r="X1590" s="26"/>
      <c r="Y1590" s="22">
        <v>0</v>
      </c>
      <c r="Z1590" s="98" t="s">
        <v>118</v>
      </c>
      <c r="AA1590" s="19" t="s">
        <v>5112</v>
      </c>
      <c r="AB1590" s="26" t="s">
        <v>104</v>
      </c>
      <c r="AC1590" s="26" t="s">
        <v>53</v>
      </c>
      <c r="AD1590" s="19" t="s">
        <v>54</v>
      </c>
      <c r="AE1590" s="26" t="s">
        <v>3302</v>
      </c>
      <c r="AF1590" s="17">
        <v>44944</v>
      </c>
      <c r="AG1590" s="26"/>
      <c r="AH1590" s="26"/>
      <c r="AI1590" s="40" t="s">
        <v>64</v>
      </c>
      <c r="AJ1590" s="26"/>
      <c r="AK1590" s="26"/>
      <c r="AL1590" s="35"/>
      <c r="AM1590" s="35"/>
      <c r="AN1590" s="35"/>
      <c r="AO1590" s="35"/>
      <c r="AP1590" s="35"/>
    </row>
    <row r="1591" spans="1:42" x14ac:dyDescent="0.2">
      <c r="A1591" s="14">
        <v>45302</v>
      </c>
      <c r="B1591" s="28" t="s">
        <v>37</v>
      </c>
      <c r="C1591" s="41" t="s">
        <v>118</v>
      </c>
      <c r="D1591" s="26" t="s">
        <v>36</v>
      </c>
      <c r="E1591" s="26" t="s">
        <v>139</v>
      </c>
      <c r="F1591" s="26" t="s">
        <v>2424</v>
      </c>
      <c r="G1591" s="26" t="s">
        <v>221</v>
      </c>
      <c r="H1591" s="26" t="s">
        <v>6570</v>
      </c>
      <c r="I1591" s="17">
        <f ca="1">IFERROR(__xludf.DUMMYFUNCTION("""COMPUTED_VALUE"""),45314)</f>
        <v>45314</v>
      </c>
      <c r="J1591" s="29" t="s">
        <v>1264</v>
      </c>
      <c r="K1591" s="26" t="s">
        <v>4732</v>
      </c>
      <c r="L1591" s="30">
        <v>965227970</v>
      </c>
      <c r="M1591" s="26" t="s">
        <v>123</v>
      </c>
      <c r="N1591" s="26" t="s">
        <v>310</v>
      </c>
      <c r="O1591" s="26" t="s">
        <v>91</v>
      </c>
      <c r="P1591" s="42" t="s">
        <v>4733</v>
      </c>
      <c r="Q1591" s="20">
        <v>15936</v>
      </c>
      <c r="R1591" s="26" t="s">
        <v>36</v>
      </c>
      <c r="S1591" s="31">
        <v>2000</v>
      </c>
      <c r="T1591" s="32">
        <v>45141</v>
      </c>
      <c r="U1591" s="31">
        <v>13936</v>
      </c>
      <c r="V1591" s="32">
        <v>45164</v>
      </c>
      <c r="W1591" s="55" t="s">
        <v>1267</v>
      </c>
      <c r="X1591" s="26">
        <v>0</v>
      </c>
      <c r="Y1591" s="22">
        <v>0</v>
      </c>
      <c r="Z1591" s="26" t="s">
        <v>118</v>
      </c>
      <c r="AA1591" s="19" t="s">
        <v>4541</v>
      </c>
      <c r="AB1591" s="26" t="s">
        <v>104</v>
      </c>
      <c r="AC1591" s="26" t="s">
        <v>53</v>
      </c>
      <c r="AD1591" s="19" t="s">
        <v>54</v>
      </c>
      <c r="AE1591" s="26" t="s">
        <v>2424</v>
      </c>
      <c r="AF1591" s="17">
        <v>44944</v>
      </c>
      <c r="AG1591" s="26"/>
      <c r="AH1591" s="26"/>
      <c r="AI1591" s="40"/>
      <c r="AJ1591" s="26"/>
      <c r="AK1591" s="26"/>
      <c r="AL1591" s="35"/>
      <c r="AM1591" s="35"/>
      <c r="AN1591" s="35"/>
      <c r="AO1591" s="35"/>
      <c r="AP1591" s="35"/>
    </row>
    <row r="1592" spans="1:42" x14ac:dyDescent="0.2">
      <c r="A1592" s="14">
        <v>45302</v>
      </c>
      <c r="B1592" s="68" t="s">
        <v>37</v>
      </c>
      <c r="C1592" s="41" t="s">
        <v>118</v>
      </c>
      <c r="D1592" s="26" t="s">
        <v>36</v>
      </c>
      <c r="E1592" s="26" t="s">
        <v>56</v>
      </c>
      <c r="F1592" s="35" t="s">
        <v>3302</v>
      </c>
      <c r="G1592" s="71" t="s">
        <v>108</v>
      </c>
      <c r="H1592" s="26" t="s">
        <v>3366</v>
      </c>
      <c r="I1592" s="17">
        <f ca="1">IFERROR(__xludf.DUMMYFUNCTION("""COMPUTED_VALUE"""),45313)</f>
        <v>45313</v>
      </c>
      <c r="J1592" s="29" t="s">
        <v>3303</v>
      </c>
      <c r="K1592" s="26" t="s">
        <v>3304</v>
      </c>
      <c r="L1592" s="30">
        <v>373237882</v>
      </c>
      <c r="M1592" s="26" t="s">
        <v>1245</v>
      </c>
      <c r="N1592" s="26" t="s">
        <v>1750</v>
      </c>
      <c r="O1592" s="26" t="s">
        <v>91</v>
      </c>
      <c r="P1592" s="72" t="s">
        <v>6578</v>
      </c>
      <c r="Q1592" s="20">
        <v>16779</v>
      </c>
      <c r="R1592" s="26" t="s">
        <v>36</v>
      </c>
      <c r="S1592" s="31">
        <v>12000</v>
      </c>
      <c r="T1592" s="32">
        <v>44844</v>
      </c>
      <c r="U1592" s="31">
        <v>4779</v>
      </c>
      <c r="V1592" s="32">
        <v>44845</v>
      </c>
      <c r="W1592" s="33" t="s">
        <v>3306</v>
      </c>
      <c r="X1592" s="35"/>
      <c r="Y1592" s="20">
        <v>0</v>
      </c>
      <c r="Z1592" s="98" t="s">
        <v>118</v>
      </c>
      <c r="AA1592" s="19" t="s">
        <v>3307</v>
      </c>
      <c r="AB1592" s="26" t="s">
        <v>104</v>
      </c>
      <c r="AC1592" s="26" t="s">
        <v>53</v>
      </c>
      <c r="AD1592" s="19" t="s">
        <v>54</v>
      </c>
      <c r="AE1592" s="35" t="s">
        <v>3302</v>
      </c>
      <c r="AF1592" s="102">
        <v>45306</v>
      </c>
      <c r="AG1592" s="91"/>
      <c r="AH1592" s="92"/>
      <c r="AI1592" s="35"/>
      <c r="AJ1592" s="35"/>
      <c r="AK1592" s="35"/>
      <c r="AL1592" s="35"/>
      <c r="AM1592" s="35"/>
      <c r="AN1592" s="35"/>
      <c r="AO1592" s="35"/>
      <c r="AP1592" s="35"/>
    </row>
    <row r="1593" spans="1:42" x14ac:dyDescent="0.2">
      <c r="A1593" s="14">
        <v>45302</v>
      </c>
      <c r="B1593" s="68" t="s">
        <v>37</v>
      </c>
      <c r="C1593" s="41" t="s">
        <v>118</v>
      </c>
      <c r="D1593" s="26" t="s">
        <v>36</v>
      </c>
      <c r="E1593" s="26" t="s">
        <v>139</v>
      </c>
      <c r="F1593" s="26" t="s">
        <v>4261</v>
      </c>
      <c r="G1593" s="71" t="s">
        <v>108</v>
      </c>
      <c r="H1593" s="26" t="s">
        <v>3366</v>
      </c>
      <c r="I1593" s="17">
        <f ca="1">IFERROR(__xludf.DUMMYFUNCTION("""COMPUTED_VALUE"""),45313)</f>
        <v>45313</v>
      </c>
      <c r="J1593" s="29" t="s">
        <v>6265</v>
      </c>
      <c r="K1593" s="26" t="s">
        <v>6266</v>
      </c>
      <c r="L1593" s="30">
        <v>869671736</v>
      </c>
      <c r="M1593" s="26" t="s">
        <v>348</v>
      </c>
      <c r="N1593" s="26" t="s">
        <v>200</v>
      </c>
      <c r="O1593" s="26" t="s">
        <v>6267</v>
      </c>
      <c r="P1593" s="42" t="s">
        <v>6579</v>
      </c>
      <c r="Q1593" s="20">
        <v>15936</v>
      </c>
      <c r="R1593" s="26" t="s">
        <v>36</v>
      </c>
      <c r="S1593" s="31">
        <v>2000</v>
      </c>
      <c r="T1593" s="32">
        <v>45250</v>
      </c>
      <c r="U1593" s="31">
        <v>13936</v>
      </c>
      <c r="V1593" s="32">
        <v>45269</v>
      </c>
      <c r="W1593" s="33" t="s">
        <v>6269</v>
      </c>
      <c r="X1593" s="26"/>
      <c r="Y1593" s="22">
        <v>0</v>
      </c>
      <c r="Z1593" s="98" t="s">
        <v>118</v>
      </c>
      <c r="AA1593" s="19" t="s">
        <v>5961</v>
      </c>
      <c r="AB1593" s="26" t="s">
        <v>104</v>
      </c>
      <c r="AC1593" s="26" t="s">
        <v>53</v>
      </c>
      <c r="AD1593" s="19" t="s">
        <v>54</v>
      </c>
      <c r="AE1593" s="26" t="s">
        <v>4261</v>
      </c>
      <c r="AF1593" s="102">
        <v>45306</v>
      </c>
      <c r="AG1593" s="26"/>
      <c r="AH1593" s="26">
        <v>1</v>
      </c>
      <c r="AI1593" s="40"/>
      <c r="AJ1593" s="26"/>
      <c r="AK1593" s="26"/>
      <c r="AL1593" s="35"/>
      <c r="AM1593" s="35"/>
      <c r="AN1593" s="35"/>
      <c r="AO1593" s="35"/>
      <c r="AP1593" s="35"/>
    </row>
    <row r="1594" spans="1:42" x14ac:dyDescent="0.2">
      <c r="A1594" s="14">
        <v>45303</v>
      </c>
      <c r="B1594" s="28" t="s">
        <v>37</v>
      </c>
      <c r="C1594" s="41" t="s">
        <v>118</v>
      </c>
      <c r="D1594" s="26" t="s">
        <v>36</v>
      </c>
      <c r="E1594" s="26" t="s">
        <v>119</v>
      </c>
      <c r="F1594" s="26" t="s">
        <v>3013</v>
      </c>
      <c r="G1594" s="26" t="s">
        <v>221</v>
      </c>
      <c r="H1594" s="26" t="s">
        <v>6570</v>
      </c>
      <c r="I1594" s="17">
        <f ca="1">IFERROR(__xludf.DUMMYFUNCTION("""COMPUTED_VALUE"""),45314)</f>
        <v>45314</v>
      </c>
      <c r="J1594" s="29" t="s">
        <v>3936</v>
      </c>
      <c r="K1594" s="26" t="s">
        <v>3937</v>
      </c>
      <c r="L1594" s="30">
        <v>793427625</v>
      </c>
      <c r="M1594" s="26" t="s">
        <v>3498</v>
      </c>
      <c r="N1594" s="26" t="s">
        <v>3874</v>
      </c>
      <c r="O1594" s="26" t="s">
        <v>2144</v>
      </c>
      <c r="P1594" s="42" t="s">
        <v>6580</v>
      </c>
      <c r="Q1594" s="20">
        <v>13968</v>
      </c>
      <c r="R1594" s="26" t="s">
        <v>70</v>
      </c>
      <c r="S1594" s="31">
        <v>200</v>
      </c>
      <c r="T1594" s="32">
        <v>45197</v>
      </c>
      <c r="U1594" s="31">
        <f>9868+3800</f>
        <v>13668</v>
      </c>
      <c r="V1594" s="26" t="s">
        <v>3939</v>
      </c>
      <c r="W1594" s="33" t="s">
        <v>3940</v>
      </c>
      <c r="X1594" s="26"/>
      <c r="Y1594" s="22">
        <v>100</v>
      </c>
      <c r="Z1594" s="98" t="s">
        <v>118</v>
      </c>
      <c r="AA1594" s="19" t="s">
        <v>3454</v>
      </c>
      <c r="AB1594" s="26" t="s">
        <v>104</v>
      </c>
      <c r="AC1594" s="26" t="s">
        <v>53</v>
      </c>
      <c r="AD1594" s="19" t="s">
        <v>138</v>
      </c>
      <c r="AE1594" s="26" t="s">
        <v>3013</v>
      </c>
      <c r="AF1594" s="17">
        <v>44944</v>
      </c>
      <c r="AG1594" s="26"/>
      <c r="AH1594" s="26"/>
      <c r="AI1594" s="40"/>
      <c r="AJ1594" s="26"/>
      <c r="AK1594" s="26"/>
      <c r="AL1594" s="35"/>
      <c r="AM1594" s="35"/>
      <c r="AN1594" s="35"/>
      <c r="AO1594" s="35"/>
      <c r="AP1594" s="35"/>
    </row>
    <row r="1595" spans="1:42" x14ac:dyDescent="0.2">
      <c r="A1595" s="14">
        <v>45303</v>
      </c>
      <c r="B1595" s="28" t="s">
        <v>37</v>
      </c>
      <c r="C1595" s="41" t="s">
        <v>118</v>
      </c>
      <c r="D1595" s="26" t="s">
        <v>36</v>
      </c>
      <c r="E1595" s="26" t="s">
        <v>119</v>
      </c>
      <c r="F1595" s="26" t="s">
        <v>3264</v>
      </c>
      <c r="G1595" s="26" t="s">
        <v>221</v>
      </c>
      <c r="H1595" s="26" t="s">
        <v>6570</v>
      </c>
      <c r="I1595" s="17">
        <f ca="1">IFERROR(__xludf.DUMMYFUNCTION("""COMPUTED_VALUE"""),45314)</f>
        <v>45314</v>
      </c>
      <c r="J1595" s="29" t="s">
        <v>3941</v>
      </c>
      <c r="K1595" s="26" t="s">
        <v>6581</v>
      </c>
      <c r="L1595" s="30">
        <v>327557518</v>
      </c>
      <c r="M1595" s="26" t="s">
        <v>2755</v>
      </c>
      <c r="N1595" s="26" t="s">
        <v>3874</v>
      </c>
      <c r="O1595" s="26" t="s">
        <v>3943</v>
      </c>
      <c r="P1595" s="42" t="s">
        <v>6582</v>
      </c>
      <c r="Q1595" s="20">
        <v>13968</v>
      </c>
      <c r="R1595" s="26" t="s">
        <v>70</v>
      </c>
      <c r="S1595" s="31">
        <v>200</v>
      </c>
      <c r="T1595" s="32">
        <v>45198</v>
      </c>
      <c r="U1595" s="31">
        <f>4000+9668</f>
        <v>13668</v>
      </c>
      <c r="V1595" s="26" t="s">
        <v>3945</v>
      </c>
      <c r="W1595" s="33" t="s">
        <v>3946</v>
      </c>
      <c r="X1595" s="26"/>
      <c r="Y1595" s="22">
        <v>100</v>
      </c>
      <c r="Z1595" s="98" t="s">
        <v>118</v>
      </c>
      <c r="AA1595" s="19" t="s">
        <v>3454</v>
      </c>
      <c r="AB1595" s="26" t="s">
        <v>104</v>
      </c>
      <c r="AC1595" s="26" t="s">
        <v>53</v>
      </c>
      <c r="AD1595" s="19" t="s">
        <v>54</v>
      </c>
      <c r="AE1595" s="26" t="s">
        <v>3264</v>
      </c>
      <c r="AF1595" s="17">
        <v>44944</v>
      </c>
      <c r="AG1595" s="26"/>
      <c r="AH1595" s="26"/>
      <c r="AI1595" s="40"/>
      <c r="AJ1595" s="26"/>
      <c r="AK1595" s="26"/>
      <c r="AL1595" s="35"/>
      <c r="AM1595" s="35"/>
      <c r="AN1595" s="35"/>
      <c r="AO1595" s="35"/>
      <c r="AP1595" s="35"/>
    </row>
    <row r="1596" spans="1:42" x14ac:dyDescent="0.2">
      <c r="A1596" s="14">
        <v>45303</v>
      </c>
      <c r="B1596" s="28" t="s">
        <v>37</v>
      </c>
      <c r="C1596" s="41" t="s">
        <v>118</v>
      </c>
      <c r="D1596" s="26" t="s">
        <v>36</v>
      </c>
      <c r="E1596" s="26" t="s">
        <v>139</v>
      </c>
      <c r="F1596" s="26" t="s">
        <v>3302</v>
      </c>
      <c r="G1596" s="71" t="s">
        <v>108</v>
      </c>
      <c r="H1596" s="26" t="s">
        <v>3366</v>
      </c>
      <c r="I1596" s="17">
        <f ca="1">IFERROR(__xludf.DUMMYFUNCTION("""COMPUTED_VALUE"""),45313)</f>
        <v>45313</v>
      </c>
      <c r="J1596" s="29" t="s">
        <v>5367</v>
      </c>
      <c r="K1596" s="26" t="s">
        <v>6583</v>
      </c>
      <c r="L1596" s="30">
        <v>944615676</v>
      </c>
      <c r="M1596" s="26" t="s">
        <v>123</v>
      </c>
      <c r="N1596" s="26" t="s">
        <v>186</v>
      </c>
      <c r="O1596" s="26" t="s">
        <v>1226</v>
      </c>
      <c r="P1596" s="42" t="s">
        <v>6584</v>
      </c>
      <c r="Q1596" s="20">
        <v>15936</v>
      </c>
      <c r="R1596" s="26" t="s">
        <v>70</v>
      </c>
      <c r="S1596" s="31">
        <v>2000</v>
      </c>
      <c r="T1596" s="32">
        <v>45214</v>
      </c>
      <c r="U1596" s="58">
        <v>13936</v>
      </c>
      <c r="V1596" s="59">
        <v>45244</v>
      </c>
      <c r="W1596" s="33" t="s">
        <v>5369</v>
      </c>
      <c r="X1596" s="26"/>
      <c r="Y1596" s="22">
        <v>0</v>
      </c>
      <c r="Z1596" s="98" t="s">
        <v>118</v>
      </c>
      <c r="AA1596" s="19" t="s">
        <v>5112</v>
      </c>
      <c r="AB1596" s="26" t="s">
        <v>104</v>
      </c>
      <c r="AC1596" s="26" t="s">
        <v>53</v>
      </c>
      <c r="AD1596" s="19" t="s">
        <v>54</v>
      </c>
      <c r="AE1596" s="26" t="s">
        <v>3302</v>
      </c>
      <c r="AF1596" s="102">
        <v>45306</v>
      </c>
      <c r="AG1596" s="26"/>
      <c r="AH1596" s="26"/>
      <c r="AI1596" s="40" t="s">
        <v>147</v>
      </c>
      <c r="AJ1596" s="26"/>
      <c r="AK1596" s="26"/>
      <c r="AL1596" s="35"/>
      <c r="AM1596" s="35"/>
      <c r="AN1596" s="35"/>
      <c r="AO1596" s="35"/>
      <c r="AP1596" s="35"/>
    </row>
    <row r="1597" spans="1:42" x14ac:dyDescent="0.2">
      <c r="A1597" s="14">
        <v>45303</v>
      </c>
      <c r="B1597" s="28" t="s">
        <v>37</v>
      </c>
      <c r="C1597" s="41" t="s">
        <v>118</v>
      </c>
      <c r="D1597" s="26" t="s">
        <v>36</v>
      </c>
      <c r="E1597" s="26" t="s">
        <v>39</v>
      </c>
      <c r="F1597" s="26" t="s">
        <v>3302</v>
      </c>
      <c r="G1597" s="71" t="s">
        <v>108</v>
      </c>
      <c r="H1597" s="26" t="s">
        <v>6106</v>
      </c>
      <c r="I1597" s="17">
        <f ca="1">IFERROR(__xludf.DUMMYFUNCTION("""COMPUTED_VALUE"""),45314)</f>
        <v>45314</v>
      </c>
      <c r="J1597" s="29" t="s">
        <v>6186</v>
      </c>
      <c r="K1597" s="26" t="s">
        <v>6585</v>
      </c>
      <c r="L1597" s="30">
        <v>399596024</v>
      </c>
      <c r="M1597" s="26" t="s">
        <v>2755</v>
      </c>
      <c r="N1597" s="26" t="s">
        <v>2756</v>
      </c>
      <c r="O1597" s="26" t="s">
        <v>6188</v>
      </c>
      <c r="P1597" s="42" t="s">
        <v>6586</v>
      </c>
      <c r="Q1597" s="20">
        <v>5736</v>
      </c>
      <c r="R1597" s="26" t="s">
        <v>36</v>
      </c>
      <c r="S1597" s="31">
        <v>250</v>
      </c>
      <c r="T1597" s="32">
        <v>45215</v>
      </c>
      <c r="U1597" s="31">
        <f>1750+3736</f>
        <v>5486</v>
      </c>
      <c r="V1597" s="26" t="s">
        <v>6190</v>
      </c>
      <c r="W1597" s="33" t="s">
        <v>6191</v>
      </c>
      <c r="X1597" s="26"/>
      <c r="Y1597" s="22">
        <v>0</v>
      </c>
      <c r="Z1597" s="98" t="s">
        <v>118</v>
      </c>
      <c r="AA1597" s="19" t="s">
        <v>5961</v>
      </c>
      <c r="AB1597" s="26" t="s">
        <v>104</v>
      </c>
      <c r="AC1597" s="26" t="s">
        <v>53</v>
      </c>
      <c r="AD1597" s="19" t="s">
        <v>54</v>
      </c>
      <c r="AE1597" s="26" t="s">
        <v>3302</v>
      </c>
      <c r="AF1597" s="17">
        <v>44944</v>
      </c>
      <c r="AG1597" s="26"/>
      <c r="AH1597" s="26">
        <v>1</v>
      </c>
      <c r="AI1597" s="40"/>
      <c r="AJ1597" s="26"/>
      <c r="AK1597" s="26"/>
      <c r="AL1597" s="35"/>
      <c r="AM1597" s="35"/>
      <c r="AN1597" s="35"/>
      <c r="AO1597" s="35"/>
      <c r="AP1597" s="35"/>
    </row>
    <row r="1598" spans="1:42" x14ac:dyDescent="0.2">
      <c r="A1598" s="14">
        <v>45304</v>
      </c>
      <c r="B1598" s="28" t="s">
        <v>37</v>
      </c>
      <c r="C1598" s="41" t="s">
        <v>118</v>
      </c>
      <c r="D1598" s="26" t="s">
        <v>36</v>
      </c>
      <c r="E1598" s="26" t="s">
        <v>139</v>
      </c>
      <c r="F1598" s="26" t="s">
        <v>3302</v>
      </c>
      <c r="G1598" s="71" t="s">
        <v>108</v>
      </c>
      <c r="H1598" s="26" t="s">
        <v>6106</v>
      </c>
      <c r="I1598" s="17">
        <f ca="1">IFERROR(__xludf.DUMMYFUNCTION("""COMPUTED_VALUE"""),45314)</f>
        <v>45314</v>
      </c>
      <c r="J1598" s="29" t="s">
        <v>4237</v>
      </c>
      <c r="K1598" s="26" t="s">
        <v>4238</v>
      </c>
      <c r="L1598" s="30">
        <v>385246721</v>
      </c>
      <c r="M1598" s="26" t="s">
        <v>59</v>
      </c>
      <c r="N1598" s="26" t="s">
        <v>260</v>
      </c>
      <c r="O1598" s="26" t="s">
        <v>4239</v>
      </c>
      <c r="P1598" s="42" t="s">
        <v>6587</v>
      </c>
      <c r="Q1598" s="20">
        <v>15936</v>
      </c>
      <c r="R1598" s="26" t="s">
        <v>1989</v>
      </c>
      <c r="S1598" s="31">
        <v>15968</v>
      </c>
      <c r="T1598" s="32">
        <v>45211</v>
      </c>
      <c r="U1598" s="31"/>
      <c r="V1598" s="32">
        <v>45211</v>
      </c>
      <c r="W1598" s="33" t="s">
        <v>4240</v>
      </c>
      <c r="X1598" s="26"/>
      <c r="Y1598" s="22">
        <v>-32</v>
      </c>
      <c r="Z1598" s="98" t="s">
        <v>118</v>
      </c>
      <c r="AA1598" s="19" t="s">
        <v>3454</v>
      </c>
      <c r="AB1598" s="26" t="s">
        <v>104</v>
      </c>
      <c r="AC1598" s="26" t="s">
        <v>53</v>
      </c>
      <c r="AD1598" s="19" t="s">
        <v>54</v>
      </c>
      <c r="AE1598" s="26" t="s">
        <v>3302</v>
      </c>
      <c r="AF1598" s="17">
        <v>44944</v>
      </c>
      <c r="AG1598" s="26"/>
      <c r="AH1598" s="26"/>
      <c r="AI1598" s="40"/>
      <c r="AJ1598" s="26"/>
      <c r="AK1598" s="26"/>
      <c r="AL1598" s="35"/>
      <c r="AM1598" s="35"/>
      <c r="AN1598" s="35"/>
      <c r="AO1598" s="35"/>
      <c r="AP1598" s="35"/>
    </row>
    <row r="1599" spans="1:42" x14ac:dyDescent="0.2">
      <c r="A1599" s="14">
        <v>45304</v>
      </c>
      <c r="B1599" s="28" t="s">
        <v>37</v>
      </c>
      <c r="C1599" s="41" t="s">
        <v>118</v>
      </c>
      <c r="D1599" s="26" t="s">
        <v>36</v>
      </c>
      <c r="E1599" s="26" t="s">
        <v>56</v>
      </c>
      <c r="F1599" s="26" t="s">
        <v>3302</v>
      </c>
      <c r="G1599" s="71" t="s">
        <v>108</v>
      </c>
      <c r="H1599" s="26" t="s">
        <v>6106</v>
      </c>
      <c r="I1599" s="17">
        <f ca="1">IFERROR(__xludf.DUMMYFUNCTION("""COMPUTED_VALUE"""),45314)</f>
        <v>45314</v>
      </c>
      <c r="J1599" s="29" t="s">
        <v>5362</v>
      </c>
      <c r="K1599" s="26" t="s">
        <v>5363</v>
      </c>
      <c r="L1599" s="30">
        <v>862995083</v>
      </c>
      <c r="M1599" s="26" t="s">
        <v>123</v>
      </c>
      <c r="N1599" s="26" t="s">
        <v>327</v>
      </c>
      <c r="O1599" s="26" t="s">
        <v>1226</v>
      </c>
      <c r="P1599" s="42" t="s">
        <v>6588</v>
      </c>
      <c r="Q1599" s="20">
        <v>9317</v>
      </c>
      <c r="R1599" s="26" t="s">
        <v>36</v>
      </c>
      <c r="S1599" s="31">
        <v>200</v>
      </c>
      <c r="T1599" s="32">
        <v>45157</v>
      </c>
      <c r="U1599" s="31">
        <f>2000+7117</f>
        <v>9117</v>
      </c>
      <c r="V1599" s="26" t="s">
        <v>5365</v>
      </c>
      <c r="W1599" s="33" t="s">
        <v>5366</v>
      </c>
      <c r="X1599" s="26"/>
      <c r="Y1599" s="22">
        <v>0</v>
      </c>
      <c r="Z1599" s="98" t="s">
        <v>118</v>
      </c>
      <c r="AA1599" s="19" t="s">
        <v>5112</v>
      </c>
      <c r="AB1599" s="26" t="s">
        <v>104</v>
      </c>
      <c r="AC1599" s="26" t="s">
        <v>53</v>
      </c>
      <c r="AD1599" s="19" t="s">
        <v>54</v>
      </c>
      <c r="AE1599" s="26" t="s">
        <v>3302</v>
      </c>
      <c r="AF1599" s="17">
        <v>44944</v>
      </c>
      <c r="AG1599" s="26"/>
      <c r="AH1599" s="26"/>
      <c r="AI1599" s="40" t="s">
        <v>64</v>
      </c>
      <c r="AJ1599" s="26"/>
      <c r="AK1599" s="26"/>
      <c r="AL1599" s="35"/>
      <c r="AM1599" s="35"/>
      <c r="AN1599" s="35"/>
      <c r="AO1599" s="35"/>
      <c r="AP1599" s="35"/>
    </row>
    <row r="1600" spans="1:42" x14ac:dyDescent="0.2">
      <c r="A1600" s="14">
        <v>45305</v>
      </c>
      <c r="B1600" s="28" t="s">
        <v>37</v>
      </c>
      <c r="C1600" s="41" t="s">
        <v>118</v>
      </c>
      <c r="D1600" s="26" t="s">
        <v>36</v>
      </c>
      <c r="E1600" s="26" t="s">
        <v>56</v>
      </c>
      <c r="F1600" s="26" t="s">
        <v>1733</v>
      </c>
      <c r="G1600" s="26" t="s">
        <v>41</v>
      </c>
      <c r="H1600" s="26" t="s">
        <v>6412</v>
      </c>
      <c r="I1600" s="17">
        <f ca="1">IFERROR(__xludf.DUMMYFUNCTION("""COMPUTED_VALUE"""),45313)</f>
        <v>45313</v>
      </c>
      <c r="J1600" s="29" t="s">
        <v>6346</v>
      </c>
      <c r="K1600" s="26" t="s">
        <v>6589</v>
      </c>
      <c r="L1600" s="30">
        <v>355904612</v>
      </c>
      <c r="M1600" s="26" t="s">
        <v>45</v>
      </c>
      <c r="N1600" s="26" t="s">
        <v>3839</v>
      </c>
      <c r="O1600" s="26" t="s">
        <v>6348</v>
      </c>
      <c r="P1600" s="26" t="s">
        <v>6349</v>
      </c>
      <c r="Q1600" s="20">
        <v>9317</v>
      </c>
      <c r="R1600" s="26" t="s">
        <v>36</v>
      </c>
      <c r="S1600" s="31">
        <v>9317</v>
      </c>
      <c r="T1600" s="32">
        <v>45272</v>
      </c>
      <c r="U1600" s="31"/>
      <c r="V1600" s="32"/>
      <c r="W1600" s="33" t="s">
        <v>6350</v>
      </c>
      <c r="X1600" s="26"/>
      <c r="Y1600" s="22">
        <v>0</v>
      </c>
      <c r="Z1600" s="98" t="s">
        <v>118</v>
      </c>
      <c r="AA1600" s="19" t="s">
        <v>5961</v>
      </c>
      <c r="AB1600" s="26" t="s">
        <v>104</v>
      </c>
      <c r="AC1600" s="26" t="s">
        <v>53</v>
      </c>
      <c r="AD1600" s="19" t="s">
        <v>54</v>
      </c>
      <c r="AE1600" s="26">
        <v>0</v>
      </c>
      <c r="AF1600" s="43">
        <v>45273</v>
      </c>
      <c r="AG1600" s="26"/>
      <c r="AH1600" s="26">
        <v>1</v>
      </c>
      <c r="AI1600" s="40"/>
      <c r="AJ1600" s="26"/>
      <c r="AK1600" s="26"/>
      <c r="AL1600" s="35"/>
      <c r="AM1600" s="35"/>
      <c r="AN1600" s="35"/>
      <c r="AO1600" s="35"/>
      <c r="AP1600" s="35"/>
    </row>
    <row r="1601" spans="1:42" x14ac:dyDescent="0.2">
      <c r="A1601" s="14">
        <v>45306</v>
      </c>
      <c r="B1601" s="28" t="s">
        <v>37</v>
      </c>
      <c r="C1601" s="41" t="s">
        <v>118</v>
      </c>
      <c r="D1601" s="26" t="s">
        <v>36</v>
      </c>
      <c r="E1601" s="26" t="s">
        <v>119</v>
      </c>
      <c r="F1601" s="26" t="s">
        <v>3264</v>
      </c>
      <c r="G1601" s="26" t="s">
        <v>221</v>
      </c>
      <c r="H1601" s="26" t="s">
        <v>6123</v>
      </c>
      <c r="I1601" s="17">
        <f ca="1">IFERROR(__xludf.DUMMYFUNCTION("""COMPUTED_VALUE"""),45320)</f>
        <v>45320</v>
      </c>
      <c r="J1601" s="29" t="s">
        <v>3949</v>
      </c>
      <c r="K1601" s="26" t="s">
        <v>3950</v>
      </c>
      <c r="L1601" s="30">
        <v>365853705</v>
      </c>
      <c r="M1601" s="26" t="s">
        <v>3728</v>
      </c>
      <c r="N1601" s="26" t="s">
        <v>299</v>
      </c>
      <c r="O1601" s="26" t="s">
        <v>3951</v>
      </c>
      <c r="P1601" s="42" t="s">
        <v>6590</v>
      </c>
      <c r="Q1601" s="20">
        <v>13968</v>
      </c>
      <c r="R1601" s="26" t="s">
        <v>36</v>
      </c>
      <c r="S1601" s="31">
        <v>4000</v>
      </c>
      <c r="T1601" s="32">
        <v>45200</v>
      </c>
      <c r="U1601" s="31">
        <v>9968</v>
      </c>
      <c r="V1601" s="32">
        <v>45220</v>
      </c>
      <c r="W1601" s="33" t="s">
        <v>3953</v>
      </c>
      <c r="X1601" s="26"/>
      <c r="Y1601" s="22">
        <v>0</v>
      </c>
      <c r="Z1601" s="98" t="s">
        <v>118</v>
      </c>
      <c r="AA1601" s="19" t="s">
        <v>3454</v>
      </c>
      <c r="AB1601" s="26" t="s">
        <v>104</v>
      </c>
      <c r="AC1601" s="26" t="s">
        <v>53</v>
      </c>
      <c r="AD1601" s="19" t="s">
        <v>138</v>
      </c>
      <c r="AE1601" s="26" t="s">
        <v>3264</v>
      </c>
      <c r="AF1601" s="17">
        <v>45310</v>
      </c>
      <c r="AG1601" s="26"/>
      <c r="AH1601" s="26"/>
      <c r="AI1601" s="40"/>
      <c r="AJ1601" s="26"/>
      <c r="AK1601" s="26"/>
      <c r="AL1601" s="35"/>
      <c r="AM1601" s="35"/>
      <c r="AN1601" s="35"/>
      <c r="AO1601" s="35"/>
      <c r="AP1601" s="35"/>
    </row>
    <row r="1602" spans="1:42" x14ac:dyDescent="0.2">
      <c r="A1602" s="14">
        <v>45306</v>
      </c>
      <c r="B1602" s="28" t="s">
        <v>37</v>
      </c>
      <c r="C1602" s="41" t="s">
        <v>118</v>
      </c>
      <c r="D1602" s="26" t="s">
        <v>36</v>
      </c>
      <c r="E1602" s="26" t="s">
        <v>56</v>
      </c>
      <c r="F1602" s="26" t="s">
        <v>2421</v>
      </c>
      <c r="G1602" s="26" t="s">
        <v>221</v>
      </c>
      <c r="H1602" s="26" t="s">
        <v>6591</v>
      </c>
      <c r="I1602" s="17" t="str">
        <f ca="1">IFERROR(__xludf.DUMMYFUNCTION("""COMPUTED_VALUE""")," ")</f>
        <v xml:space="preserve"> </v>
      </c>
      <c r="J1602" s="29" t="s">
        <v>1130</v>
      </c>
      <c r="K1602" s="26" t="s">
        <v>6592</v>
      </c>
      <c r="L1602" s="30">
        <v>376281233</v>
      </c>
      <c r="M1602" s="26" t="s">
        <v>123</v>
      </c>
      <c r="N1602" s="26" t="s">
        <v>151</v>
      </c>
      <c r="O1602" s="26" t="s">
        <v>134</v>
      </c>
      <c r="P1602" s="42" t="s">
        <v>6593</v>
      </c>
      <c r="Q1602" s="20">
        <v>9317</v>
      </c>
      <c r="R1602" s="26" t="s">
        <v>70</v>
      </c>
      <c r="S1602" s="31">
        <v>2000</v>
      </c>
      <c r="T1602" s="32">
        <v>45133</v>
      </c>
      <c r="U1602" s="31">
        <v>7317</v>
      </c>
      <c r="V1602" s="32">
        <v>45153</v>
      </c>
      <c r="W1602" s="33" t="s">
        <v>1133</v>
      </c>
      <c r="X1602" s="26">
        <v>100</v>
      </c>
      <c r="Y1602" s="22">
        <v>-100</v>
      </c>
      <c r="Z1602" s="26" t="s">
        <v>118</v>
      </c>
      <c r="AA1602" s="19" t="s">
        <v>901</v>
      </c>
      <c r="AB1602" s="26" t="s">
        <v>104</v>
      </c>
      <c r="AC1602" s="26" t="s">
        <v>53</v>
      </c>
      <c r="AD1602" s="19" t="s">
        <v>54</v>
      </c>
      <c r="AE1602" s="26" t="s">
        <v>2421</v>
      </c>
      <c r="AF1602" s="17">
        <v>45310</v>
      </c>
      <c r="AG1602" s="26"/>
      <c r="AH1602" s="26">
        <v>1</v>
      </c>
      <c r="AI1602" s="40" t="s">
        <v>64</v>
      </c>
      <c r="AJ1602" s="26"/>
      <c r="AK1602" s="26"/>
      <c r="AL1602" s="35"/>
      <c r="AM1602" s="35"/>
      <c r="AN1602" s="35"/>
      <c r="AO1602" s="35"/>
      <c r="AP1602" s="35"/>
    </row>
    <row r="1603" spans="1:42" x14ac:dyDescent="0.2">
      <c r="A1603" s="14">
        <v>45306</v>
      </c>
      <c r="B1603" s="28" t="s">
        <v>37</v>
      </c>
      <c r="C1603" s="41" t="s">
        <v>118</v>
      </c>
      <c r="D1603" s="26" t="s">
        <v>36</v>
      </c>
      <c r="E1603" s="26" t="s">
        <v>139</v>
      </c>
      <c r="F1603" s="26" t="s">
        <v>2426</v>
      </c>
      <c r="G1603" s="26" t="s">
        <v>221</v>
      </c>
      <c r="H1603" s="26" t="s">
        <v>6123</v>
      </c>
      <c r="I1603" s="17">
        <f ca="1">IFERROR(__xludf.DUMMYFUNCTION("""COMPUTED_VALUE"""),45320)</f>
        <v>45320</v>
      </c>
      <c r="J1603" s="29" t="s">
        <v>2480</v>
      </c>
      <c r="K1603" s="26" t="s">
        <v>4803</v>
      </c>
      <c r="L1603" s="30">
        <v>889111445</v>
      </c>
      <c r="M1603" s="26" t="s">
        <v>123</v>
      </c>
      <c r="N1603" s="26" t="s">
        <v>310</v>
      </c>
      <c r="O1603" s="26" t="s">
        <v>1226</v>
      </c>
      <c r="P1603" s="42" t="s">
        <v>6594</v>
      </c>
      <c r="Q1603" s="20">
        <v>15936</v>
      </c>
      <c r="R1603" s="26" t="s">
        <v>36</v>
      </c>
      <c r="S1603" s="31">
        <v>2000</v>
      </c>
      <c r="T1603" s="32">
        <v>45152</v>
      </c>
      <c r="U1603" s="31">
        <v>13936</v>
      </c>
      <c r="V1603" s="32">
        <v>45176</v>
      </c>
      <c r="W1603" s="33" t="s">
        <v>2483</v>
      </c>
      <c r="X1603" s="26"/>
      <c r="Y1603" s="22">
        <v>0</v>
      </c>
      <c r="Z1603" s="26" t="s">
        <v>118</v>
      </c>
      <c r="AA1603" s="19" t="s">
        <v>4541</v>
      </c>
      <c r="AB1603" s="26" t="s">
        <v>104</v>
      </c>
      <c r="AC1603" s="26" t="s">
        <v>53</v>
      </c>
      <c r="AD1603" s="19" t="s">
        <v>54</v>
      </c>
      <c r="AE1603" s="26" t="s">
        <v>2426</v>
      </c>
      <c r="AF1603" s="17">
        <v>45310</v>
      </c>
      <c r="AG1603" s="26"/>
      <c r="AH1603" s="26"/>
      <c r="AI1603" s="40"/>
      <c r="AJ1603" s="26"/>
      <c r="AK1603" s="26"/>
      <c r="AL1603" s="35"/>
      <c r="AM1603" s="35"/>
      <c r="AN1603" s="35"/>
      <c r="AO1603" s="35"/>
      <c r="AP1603" s="35"/>
    </row>
    <row r="1604" spans="1:42" x14ac:dyDescent="0.2">
      <c r="A1604" s="14">
        <v>45306</v>
      </c>
      <c r="B1604" s="28" t="s">
        <v>37</v>
      </c>
      <c r="C1604" s="41" t="s">
        <v>118</v>
      </c>
      <c r="D1604" s="26" t="s">
        <v>36</v>
      </c>
      <c r="E1604" s="26" t="s">
        <v>139</v>
      </c>
      <c r="F1604" s="26" t="s">
        <v>4261</v>
      </c>
      <c r="G1604" s="71" t="s">
        <v>108</v>
      </c>
      <c r="H1604" s="26" t="s">
        <v>3366</v>
      </c>
      <c r="I1604" s="17">
        <f ca="1">IFERROR(__xludf.DUMMYFUNCTION("""COMPUTED_VALUE"""),45313)</f>
        <v>45313</v>
      </c>
      <c r="J1604" s="29" t="s">
        <v>6255</v>
      </c>
      <c r="K1604" s="26" t="s">
        <v>6256</v>
      </c>
      <c r="L1604" s="30">
        <v>966809024</v>
      </c>
      <c r="M1604" s="26" t="s">
        <v>348</v>
      </c>
      <c r="N1604" s="26" t="s">
        <v>200</v>
      </c>
      <c r="O1604" s="26" t="s">
        <v>6257</v>
      </c>
      <c r="P1604" s="26" t="s">
        <v>6258</v>
      </c>
      <c r="Q1604" s="20">
        <v>15936</v>
      </c>
      <c r="R1604" s="26" t="s">
        <v>36</v>
      </c>
      <c r="S1604" s="31">
        <v>2000</v>
      </c>
      <c r="T1604" s="32">
        <v>45241</v>
      </c>
      <c r="U1604" s="31">
        <v>13936</v>
      </c>
      <c r="V1604" s="32">
        <v>45265</v>
      </c>
      <c r="W1604" s="33" t="s">
        <v>6259</v>
      </c>
      <c r="X1604" s="26"/>
      <c r="Y1604" s="22">
        <v>0</v>
      </c>
      <c r="Z1604" s="26" t="s">
        <v>118</v>
      </c>
      <c r="AA1604" s="19" t="s">
        <v>5961</v>
      </c>
      <c r="AB1604" s="26" t="s">
        <v>104</v>
      </c>
      <c r="AC1604" s="26" t="s">
        <v>53</v>
      </c>
      <c r="AD1604" s="19" t="s">
        <v>54</v>
      </c>
      <c r="AE1604" s="26" t="s">
        <v>4261</v>
      </c>
      <c r="AF1604" s="17">
        <v>44944</v>
      </c>
      <c r="AG1604" s="26"/>
      <c r="AH1604" s="26">
        <v>1</v>
      </c>
      <c r="AI1604" s="40"/>
      <c r="AJ1604" s="26"/>
      <c r="AK1604" s="26"/>
      <c r="AL1604" s="35"/>
      <c r="AM1604" s="35"/>
      <c r="AN1604" s="35"/>
      <c r="AO1604" s="35"/>
      <c r="AP1604" s="35"/>
    </row>
    <row r="1605" spans="1:42" x14ac:dyDescent="0.2">
      <c r="A1605" s="14">
        <v>45308</v>
      </c>
      <c r="B1605" s="28" t="s">
        <v>37</v>
      </c>
      <c r="C1605" s="41" t="s">
        <v>118</v>
      </c>
      <c r="D1605" s="26" t="s">
        <v>36</v>
      </c>
      <c r="E1605" s="26" t="s">
        <v>39</v>
      </c>
      <c r="F1605" s="26" t="s">
        <v>4261</v>
      </c>
      <c r="G1605" s="71" t="s">
        <v>108</v>
      </c>
      <c r="H1605" s="26" t="s">
        <v>2434</v>
      </c>
      <c r="I1605" s="17">
        <f ca="1">IFERROR(__xludf.DUMMYFUNCTION("""COMPUTED_VALUE"""),45320)</f>
        <v>45320</v>
      </c>
      <c r="J1605" s="29" t="s">
        <v>5723</v>
      </c>
      <c r="K1605" s="26" t="s">
        <v>5724</v>
      </c>
      <c r="L1605" s="30">
        <v>362905047</v>
      </c>
      <c r="M1605" s="26" t="s">
        <v>2755</v>
      </c>
      <c r="N1605" s="26" t="s">
        <v>310</v>
      </c>
      <c r="O1605" s="26" t="s">
        <v>4503</v>
      </c>
      <c r="P1605" s="42" t="s">
        <v>6595</v>
      </c>
      <c r="Q1605" s="20">
        <v>5736</v>
      </c>
      <c r="R1605" s="26" t="s">
        <v>36</v>
      </c>
      <c r="S1605" s="31">
        <v>5317</v>
      </c>
      <c r="T1605" s="32">
        <v>45253</v>
      </c>
      <c r="U1605" s="58">
        <v>419</v>
      </c>
      <c r="V1605" s="59">
        <v>45257</v>
      </c>
      <c r="W1605" s="33" t="s">
        <v>5726</v>
      </c>
      <c r="X1605" s="26"/>
      <c r="Y1605" s="22">
        <v>0</v>
      </c>
      <c r="Z1605" s="26" t="s">
        <v>118</v>
      </c>
      <c r="AA1605" s="19" t="s">
        <v>5112</v>
      </c>
      <c r="AB1605" s="26" t="s">
        <v>104</v>
      </c>
      <c r="AC1605" s="26" t="s">
        <v>53</v>
      </c>
      <c r="AD1605" s="19" t="s">
        <v>54</v>
      </c>
      <c r="AE1605" s="26" t="s">
        <v>4261</v>
      </c>
      <c r="AF1605" s="17">
        <v>44944</v>
      </c>
      <c r="AG1605" s="26"/>
      <c r="AH1605" s="26"/>
      <c r="AI1605" s="40" t="s">
        <v>55</v>
      </c>
      <c r="AJ1605" s="26"/>
      <c r="AK1605" s="26"/>
      <c r="AL1605" s="35"/>
      <c r="AM1605" s="35"/>
      <c r="AN1605" s="35"/>
      <c r="AO1605" s="35"/>
      <c r="AP1605" s="35"/>
    </row>
    <row r="1606" spans="1:42" x14ac:dyDescent="0.2">
      <c r="A1606" s="14">
        <v>45309</v>
      </c>
      <c r="B1606" s="28" t="s">
        <v>37</v>
      </c>
      <c r="C1606" s="41" t="s">
        <v>118</v>
      </c>
      <c r="D1606" s="26" t="s">
        <v>36</v>
      </c>
      <c r="E1606" s="26" t="s">
        <v>139</v>
      </c>
      <c r="F1606" s="26" t="s">
        <v>3365</v>
      </c>
      <c r="G1606" s="71" t="s">
        <v>108</v>
      </c>
      <c r="H1606" s="26" t="s">
        <v>6596</v>
      </c>
      <c r="I1606" s="17">
        <f ca="1">IFERROR(__xludf.DUMMYFUNCTION("""COMPUTED_VALUE"""),45425)</f>
        <v>45425</v>
      </c>
      <c r="J1606" s="29" t="s">
        <v>6232</v>
      </c>
      <c r="K1606" s="26" t="s">
        <v>6597</v>
      </c>
      <c r="L1606" s="30">
        <v>962502759</v>
      </c>
      <c r="M1606" s="26" t="s">
        <v>2755</v>
      </c>
      <c r="N1606" s="26" t="s">
        <v>310</v>
      </c>
      <c r="O1606" s="26" t="s">
        <v>6234</v>
      </c>
      <c r="P1606" s="42" t="s">
        <v>6598</v>
      </c>
      <c r="Q1606" s="20">
        <v>15936</v>
      </c>
      <c r="R1606" s="26" t="s">
        <v>36</v>
      </c>
      <c r="S1606" s="31">
        <v>2000</v>
      </c>
      <c r="T1606" s="32">
        <v>45235</v>
      </c>
      <c r="U1606" s="31">
        <v>13936</v>
      </c>
      <c r="V1606" s="32">
        <v>45261</v>
      </c>
      <c r="W1606" s="33" t="s">
        <v>6236</v>
      </c>
      <c r="X1606" s="26"/>
      <c r="Y1606" s="22">
        <v>0</v>
      </c>
      <c r="Z1606" s="26" t="s">
        <v>118</v>
      </c>
      <c r="AA1606" s="19" t="s">
        <v>5961</v>
      </c>
      <c r="AB1606" s="26" t="s">
        <v>104</v>
      </c>
      <c r="AC1606" s="26" t="s">
        <v>53</v>
      </c>
      <c r="AD1606" s="19" t="s">
        <v>54</v>
      </c>
      <c r="AE1606" s="26" t="s">
        <v>3365</v>
      </c>
      <c r="AF1606" s="17">
        <v>44944</v>
      </c>
      <c r="AG1606" s="26"/>
      <c r="AH1606" s="26">
        <v>1</v>
      </c>
      <c r="AI1606" s="40"/>
      <c r="AJ1606" s="26"/>
      <c r="AK1606" s="26"/>
      <c r="AL1606" s="35"/>
      <c r="AM1606" s="35"/>
      <c r="AN1606" s="35"/>
      <c r="AO1606" s="35"/>
      <c r="AP1606" s="35"/>
    </row>
    <row r="1607" spans="1:42" x14ac:dyDescent="0.2">
      <c r="A1607" s="14">
        <v>45313</v>
      </c>
      <c r="B1607" s="28" t="s">
        <v>37</v>
      </c>
      <c r="C1607" s="41" t="s">
        <v>118</v>
      </c>
      <c r="D1607" s="26" t="s">
        <v>36</v>
      </c>
      <c r="E1607" s="26" t="s">
        <v>148</v>
      </c>
      <c r="F1607" s="26" t="s">
        <v>1208</v>
      </c>
      <c r="G1607" s="26" t="s">
        <v>221</v>
      </c>
      <c r="H1607" s="26" t="s">
        <v>6123</v>
      </c>
      <c r="I1607" s="17">
        <f ca="1">IFERROR(__xludf.DUMMYFUNCTION("""COMPUTED_VALUE"""),45320)</f>
        <v>45320</v>
      </c>
      <c r="J1607" s="29" t="s">
        <v>2097</v>
      </c>
      <c r="K1607" s="26" t="s">
        <v>2098</v>
      </c>
      <c r="L1607" s="30">
        <v>369819091</v>
      </c>
      <c r="M1607" s="26" t="s">
        <v>112</v>
      </c>
      <c r="N1607" s="26" t="s">
        <v>578</v>
      </c>
      <c r="O1607" s="26" t="s">
        <v>91</v>
      </c>
      <c r="P1607" s="42" t="s">
        <v>6599</v>
      </c>
      <c r="Q1607" s="20">
        <v>15936</v>
      </c>
      <c r="R1607" s="26" t="s">
        <v>36</v>
      </c>
      <c r="S1607" s="31">
        <v>13779</v>
      </c>
      <c r="T1607" s="32">
        <v>44787</v>
      </c>
      <c r="U1607" s="31">
        <v>3000</v>
      </c>
      <c r="V1607" s="32">
        <v>44787</v>
      </c>
      <c r="W1607" s="26" t="s">
        <v>2100</v>
      </c>
      <c r="X1607" s="26">
        <v>0</v>
      </c>
      <c r="Y1607" s="22">
        <v>-843</v>
      </c>
      <c r="Z1607" s="26" t="s">
        <v>118</v>
      </c>
      <c r="AA1607" s="19" t="s">
        <v>1871</v>
      </c>
      <c r="AB1607" s="26" t="s">
        <v>154</v>
      </c>
      <c r="AC1607" s="26" t="s">
        <v>53</v>
      </c>
      <c r="AD1607" s="19" t="s">
        <v>54</v>
      </c>
      <c r="AE1607" s="26" t="s">
        <v>1208</v>
      </c>
      <c r="AF1607" s="17">
        <v>45313</v>
      </c>
      <c r="AG1607" s="26"/>
      <c r="AH1607" s="26">
        <v>1</v>
      </c>
      <c r="AI1607" s="40" t="s">
        <v>147</v>
      </c>
      <c r="AJ1607" s="26"/>
      <c r="AK1607" s="26"/>
      <c r="AL1607" s="35"/>
      <c r="AM1607" s="35"/>
      <c r="AN1607" s="35"/>
      <c r="AO1607" s="35"/>
      <c r="AP1607" s="35"/>
    </row>
    <row r="1608" spans="1:42" x14ac:dyDescent="0.2">
      <c r="A1608" s="14">
        <v>45314</v>
      </c>
      <c r="B1608" s="28" t="s">
        <v>37</v>
      </c>
      <c r="C1608" s="41" t="s">
        <v>118</v>
      </c>
      <c r="D1608" s="26" t="s">
        <v>36</v>
      </c>
      <c r="E1608" s="26" t="s">
        <v>56</v>
      </c>
      <c r="F1608" s="26" t="s">
        <v>5650</v>
      </c>
      <c r="G1608" s="71" t="s">
        <v>108</v>
      </c>
      <c r="H1608" s="26" t="s">
        <v>6600</v>
      </c>
      <c r="I1608" s="17">
        <f ca="1">IFERROR(__xludf.DUMMYFUNCTION("""COMPUTED_VALUE"""),45382)</f>
        <v>45382</v>
      </c>
      <c r="J1608" s="29" t="s">
        <v>6284</v>
      </c>
      <c r="K1608" s="26" t="s">
        <v>6601</v>
      </c>
      <c r="L1608" s="30">
        <v>398308585</v>
      </c>
      <c r="M1608" s="26" t="s">
        <v>123</v>
      </c>
      <c r="N1608" s="26" t="s">
        <v>186</v>
      </c>
      <c r="O1608" s="26" t="s">
        <v>4503</v>
      </c>
      <c r="P1608" s="42" t="s">
        <v>6285</v>
      </c>
      <c r="Q1608" s="20">
        <v>9317</v>
      </c>
      <c r="R1608" s="26" t="s">
        <v>36</v>
      </c>
      <c r="S1608" s="31">
        <v>200</v>
      </c>
      <c r="T1608" s="32">
        <v>45250</v>
      </c>
      <c r="U1608" s="31">
        <f>2000+7117</f>
        <v>9117</v>
      </c>
      <c r="V1608" s="26" t="s">
        <v>6286</v>
      </c>
      <c r="W1608" s="33" t="s">
        <v>6287</v>
      </c>
      <c r="X1608" s="26"/>
      <c r="Y1608" s="22">
        <v>0</v>
      </c>
      <c r="Z1608" s="26" t="s">
        <v>118</v>
      </c>
      <c r="AA1608" s="19" t="s">
        <v>5961</v>
      </c>
      <c r="AB1608" s="26" t="s">
        <v>104</v>
      </c>
      <c r="AC1608" s="26" t="s">
        <v>53</v>
      </c>
      <c r="AD1608" s="19" t="s">
        <v>54</v>
      </c>
      <c r="AE1608" s="26" t="s">
        <v>5650</v>
      </c>
      <c r="AF1608" s="17">
        <v>45314</v>
      </c>
      <c r="AG1608" s="26"/>
      <c r="AH1608" s="26">
        <v>1</v>
      </c>
      <c r="AI1608" s="40"/>
      <c r="AJ1608" s="26"/>
      <c r="AK1608" s="26"/>
      <c r="AL1608" s="35"/>
      <c r="AM1608" s="35"/>
      <c r="AN1608" s="35"/>
      <c r="AO1608" s="35"/>
      <c r="AP1608" s="35"/>
    </row>
    <row r="1609" spans="1:42" x14ac:dyDescent="0.2">
      <c r="A1609" s="14">
        <v>45314</v>
      </c>
      <c r="B1609" s="28" t="s">
        <v>90</v>
      </c>
      <c r="C1609" s="41" t="s">
        <v>118</v>
      </c>
      <c r="D1609" s="26" t="s">
        <v>36</v>
      </c>
      <c r="E1609" s="26" t="s">
        <v>139</v>
      </c>
      <c r="F1609" s="26" t="s">
        <v>423</v>
      </c>
      <c r="G1609" s="71" t="s">
        <v>108</v>
      </c>
      <c r="H1609" s="26" t="s">
        <v>2434</v>
      </c>
      <c r="I1609" s="17">
        <f ca="1">IFERROR(__xludf.DUMMYFUNCTION("""COMPUTED_VALUE"""),45320)</f>
        <v>45320</v>
      </c>
      <c r="J1609" s="29" t="s">
        <v>4377</v>
      </c>
      <c r="K1609" s="26" t="s">
        <v>6602</v>
      </c>
      <c r="L1609" s="30">
        <v>966213792</v>
      </c>
      <c r="M1609" s="26" t="s">
        <v>910</v>
      </c>
      <c r="N1609" s="26" t="s">
        <v>3221</v>
      </c>
      <c r="O1609" s="26" t="s">
        <v>4379</v>
      </c>
      <c r="P1609" s="42" t="s">
        <v>6603</v>
      </c>
      <c r="Q1609" s="20">
        <v>15936</v>
      </c>
      <c r="R1609" s="26" t="s">
        <v>36</v>
      </c>
      <c r="S1609" s="31">
        <v>15936</v>
      </c>
      <c r="T1609" s="32">
        <v>45221</v>
      </c>
      <c r="U1609" s="31"/>
      <c r="V1609" s="26"/>
      <c r="W1609" s="33" t="s">
        <v>4381</v>
      </c>
      <c r="X1609" s="26"/>
      <c r="Y1609" s="22">
        <v>0</v>
      </c>
      <c r="Z1609" s="26" t="s">
        <v>118</v>
      </c>
      <c r="AA1609" s="19" t="s">
        <v>3454</v>
      </c>
      <c r="AB1609" s="26" t="s">
        <v>104</v>
      </c>
      <c r="AC1609" s="26" t="s">
        <v>53</v>
      </c>
      <c r="AD1609" s="19" t="s">
        <v>54</v>
      </c>
      <c r="AE1609" s="26" t="s">
        <v>423</v>
      </c>
      <c r="AF1609" s="17">
        <v>45316</v>
      </c>
      <c r="AG1609" s="26"/>
      <c r="AH1609" s="26"/>
      <c r="AI1609" s="40"/>
      <c r="AJ1609" s="26"/>
      <c r="AK1609" s="26"/>
      <c r="AL1609" s="35"/>
      <c r="AM1609" s="35"/>
      <c r="AN1609" s="35"/>
      <c r="AO1609" s="35"/>
      <c r="AP1609" s="35"/>
    </row>
    <row r="1610" spans="1:42" x14ac:dyDescent="0.2">
      <c r="A1610" s="14">
        <v>45315</v>
      </c>
      <c r="B1610" s="28" t="s">
        <v>37</v>
      </c>
      <c r="C1610" s="41" t="s">
        <v>118</v>
      </c>
      <c r="D1610" s="26" t="s">
        <v>36</v>
      </c>
      <c r="E1610" s="26" t="s">
        <v>219</v>
      </c>
      <c r="F1610" s="26" t="s">
        <v>1878</v>
      </c>
      <c r="G1610" s="26" t="s">
        <v>221</v>
      </c>
      <c r="H1610" s="26" t="s">
        <v>5084</v>
      </c>
      <c r="I1610" s="17">
        <f ca="1">IFERROR(__xludf.DUMMYFUNCTION("""COMPUTED_VALUE"""),45344)</f>
        <v>45344</v>
      </c>
      <c r="J1610" s="55" t="s">
        <v>6604</v>
      </c>
      <c r="K1610" s="35" t="s">
        <v>6605</v>
      </c>
      <c r="L1610" s="30">
        <v>971921855</v>
      </c>
      <c r="M1610" s="26" t="s">
        <v>80</v>
      </c>
      <c r="N1610" s="26" t="s">
        <v>6606</v>
      </c>
      <c r="O1610" s="26"/>
      <c r="P1610" s="42" t="s">
        <v>6607</v>
      </c>
      <c r="Q1610" s="20"/>
      <c r="R1610" s="26" t="s">
        <v>36</v>
      </c>
      <c r="S1610" s="26">
        <v>10804</v>
      </c>
      <c r="T1610" s="32">
        <v>45221</v>
      </c>
      <c r="U1610" s="31"/>
      <c r="V1610" s="26"/>
      <c r="W1610" s="55" t="s">
        <v>6608</v>
      </c>
      <c r="X1610" s="26"/>
      <c r="Y1610" s="22">
        <v>0</v>
      </c>
      <c r="Z1610" s="26" t="s">
        <v>118</v>
      </c>
      <c r="AA1610" s="19" t="s">
        <v>3327</v>
      </c>
      <c r="AB1610" s="26" t="s">
        <v>104</v>
      </c>
      <c r="AC1610" s="26" t="s">
        <v>53</v>
      </c>
      <c r="AD1610" s="19" t="s">
        <v>54</v>
      </c>
      <c r="AE1610" s="26">
        <v>660</v>
      </c>
      <c r="AF1610" s="17">
        <v>45316</v>
      </c>
      <c r="AG1610" s="91"/>
      <c r="AH1610" s="26"/>
      <c r="AI1610" s="92"/>
      <c r="AJ1610" s="35"/>
      <c r="AK1610" s="35"/>
      <c r="AL1610" s="35"/>
      <c r="AM1610" s="35"/>
      <c r="AN1610" s="26"/>
      <c r="AO1610" s="26"/>
      <c r="AP1610" s="35"/>
    </row>
    <row r="1611" spans="1:42" x14ac:dyDescent="0.2">
      <c r="A1611" s="14">
        <v>45315</v>
      </c>
      <c r="B1611" s="28" t="s">
        <v>37</v>
      </c>
      <c r="C1611" s="41" t="s">
        <v>118</v>
      </c>
      <c r="D1611" s="26" t="s">
        <v>36</v>
      </c>
      <c r="E1611" s="26" t="s">
        <v>139</v>
      </c>
      <c r="F1611" s="26" t="s">
        <v>5650</v>
      </c>
      <c r="G1611" s="71" t="s">
        <v>108</v>
      </c>
      <c r="H1611" s="26" t="s">
        <v>2434</v>
      </c>
      <c r="I1611" s="17">
        <f ca="1">IFERROR(__xludf.DUMMYFUNCTION("""COMPUTED_VALUE"""),45320)</f>
        <v>45320</v>
      </c>
      <c r="J1611" s="29" t="s">
        <v>6303</v>
      </c>
      <c r="K1611" s="26" t="s">
        <v>6304</v>
      </c>
      <c r="L1611" s="30">
        <v>763362688</v>
      </c>
      <c r="M1611" s="26" t="s">
        <v>123</v>
      </c>
      <c r="N1611" s="26" t="s">
        <v>310</v>
      </c>
      <c r="O1611" s="26" t="s">
        <v>4503</v>
      </c>
      <c r="P1611" s="26" t="s">
        <v>6305</v>
      </c>
      <c r="Q1611" s="20">
        <v>15936</v>
      </c>
      <c r="R1611" s="26" t="s">
        <v>70</v>
      </c>
      <c r="S1611" s="31">
        <v>4000</v>
      </c>
      <c r="T1611" s="32">
        <v>45256</v>
      </c>
      <c r="U1611" s="31">
        <v>11936</v>
      </c>
      <c r="V1611" s="32">
        <v>45281</v>
      </c>
      <c r="W1611" s="33" t="s">
        <v>6306</v>
      </c>
      <c r="X1611" s="26"/>
      <c r="Y1611" s="22">
        <v>0</v>
      </c>
      <c r="Z1611" s="26" t="s">
        <v>118</v>
      </c>
      <c r="AA1611" s="19" t="s">
        <v>5961</v>
      </c>
      <c r="AB1611" s="26" t="s">
        <v>104</v>
      </c>
      <c r="AC1611" s="26" t="s">
        <v>53</v>
      </c>
      <c r="AD1611" s="19" t="s">
        <v>54</v>
      </c>
      <c r="AE1611" s="26" t="s">
        <v>5650</v>
      </c>
      <c r="AF1611" s="17">
        <v>45316</v>
      </c>
      <c r="AG1611" s="26"/>
      <c r="AH1611" s="26">
        <v>1</v>
      </c>
      <c r="AI1611" s="40"/>
      <c r="AJ1611" s="26"/>
      <c r="AK1611" s="26"/>
      <c r="AL1611" s="35"/>
      <c r="AM1611" s="35"/>
      <c r="AN1611" s="35"/>
      <c r="AO1611" s="35"/>
      <c r="AP1611" s="35"/>
    </row>
    <row r="1612" spans="1:42" x14ac:dyDescent="0.2">
      <c r="A1612" s="14">
        <v>45315</v>
      </c>
      <c r="B1612" s="28" t="s">
        <v>37</v>
      </c>
      <c r="C1612" s="41" t="s">
        <v>118</v>
      </c>
      <c r="D1612" s="26" t="s">
        <v>36</v>
      </c>
      <c r="E1612" s="26" t="s">
        <v>39</v>
      </c>
      <c r="F1612" s="26" t="s">
        <v>4261</v>
      </c>
      <c r="G1612" s="71" t="s">
        <v>108</v>
      </c>
      <c r="H1612" s="26" t="s">
        <v>889</v>
      </c>
      <c r="I1612" s="17">
        <f ca="1">IFERROR(__xludf.DUMMYFUNCTION("""COMPUTED_VALUE"""),45342)</f>
        <v>45342</v>
      </c>
      <c r="J1612" s="29" t="s">
        <v>5662</v>
      </c>
      <c r="K1612" s="26" t="s">
        <v>6609</v>
      </c>
      <c r="L1612" s="30">
        <v>971741625</v>
      </c>
      <c r="M1612" s="26" t="s">
        <v>5558</v>
      </c>
      <c r="N1612" s="26" t="s">
        <v>850</v>
      </c>
      <c r="O1612" s="26" t="s">
        <v>91</v>
      </c>
      <c r="P1612" s="42" t="s">
        <v>6610</v>
      </c>
      <c r="Q1612" s="20">
        <v>5736</v>
      </c>
      <c r="R1612" s="26" t="s">
        <v>36</v>
      </c>
      <c r="S1612" s="31">
        <v>5736</v>
      </c>
      <c r="T1612" s="32">
        <v>45244</v>
      </c>
      <c r="U1612" s="31"/>
      <c r="V1612" s="32"/>
      <c r="W1612" s="33" t="s">
        <v>5665</v>
      </c>
      <c r="X1612" s="26"/>
      <c r="Y1612" s="22">
        <v>0</v>
      </c>
      <c r="Z1612" s="26" t="s">
        <v>118</v>
      </c>
      <c r="AA1612" s="19" t="s">
        <v>5112</v>
      </c>
      <c r="AB1612" s="26" t="s">
        <v>104</v>
      </c>
      <c r="AC1612" s="26" t="s">
        <v>53</v>
      </c>
      <c r="AD1612" s="19" t="s">
        <v>54</v>
      </c>
      <c r="AE1612" s="26" t="s">
        <v>4261</v>
      </c>
      <c r="AF1612" s="17">
        <v>45338</v>
      </c>
      <c r="AG1612" s="26"/>
      <c r="AH1612" s="26"/>
      <c r="AI1612" s="40" t="s">
        <v>55</v>
      </c>
      <c r="AJ1612" s="26"/>
      <c r="AK1612" s="26"/>
      <c r="AL1612" s="35"/>
      <c r="AM1612" s="35"/>
      <c r="AN1612" s="35"/>
      <c r="AO1612" s="35"/>
      <c r="AP1612" s="35"/>
    </row>
    <row r="1613" spans="1:42" x14ac:dyDescent="0.2">
      <c r="A1613" s="14">
        <v>45315</v>
      </c>
      <c r="B1613" s="28" t="s">
        <v>37</v>
      </c>
      <c r="C1613" s="41" t="s">
        <v>118</v>
      </c>
      <c r="D1613" s="26" t="s">
        <v>36</v>
      </c>
      <c r="E1613" s="26" t="s">
        <v>56</v>
      </c>
      <c r="F1613" s="26" t="s">
        <v>2424</v>
      </c>
      <c r="G1613" s="26" t="s">
        <v>221</v>
      </c>
      <c r="H1613" s="26" t="s">
        <v>5063</v>
      </c>
      <c r="I1613" s="17">
        <f ca="1">IFERROR(__xludf.DUMMYFUNCTION("""COMPUTED_VALUE"""),45345)</f>
        <v>45345</v>
      </c>
      <c r="J1613" s="29" t="s">
        <v>1092</v>
      </c>
      <c r="K1613" s="26" t="s">
        <v>4730</v>
      </c>
      <c r="L1613" s="30">
        <v>865501583</v>
      </c>
      <c r="M1613" s="26" t="s">
        <v>80</v>
      </c>
      <c r="N1613" s="26" t="s">
        <v>87</v>
      </c>
      <c r="O1613" s="26" t="s">
        <v>91</v>
      </c>
      <c r="P1613" s="42" t="s">
        <v>4731</v>
      </c>
      <c r="Q1613" s="20">
        <v>9317</v>
      </c>
      <c r="R1613" s="26" t="s">
        <v>36</v>
      </c>
      <c r="S1613" s="31">
        <v>2000</v>
      </c>
      <c r="T1613" s="32">
        <v>45128</v>
      </c>
      <c r="U1613" s="31">
        <v>7317</v>
      </c>
      <c r="V1613" s="32">
        <v>45160</v>
      </c>
      <c r="W1613" s="33" t="s">
        <v>1096</v>
      </c>
      <c r="X1613" s="26">
        <v>0</v>
      </c>
      <c r="Y1613" s="22">
        <v>0</v>
      </c>
      <c r="Z1613" s="26" t="s">
        <v>118</v>
      </c>
      <c r="AA1613" s="19" t="s">
        <v>901</v>
      </c>
      <c r="AB1613" s="26" t="s">
        <v>104</v>
      </c>
      <c r="AC1613" s="26" t="s">
        <v>53</v>
      </c>
      <c r="AD1613" s="19" t="s">
        <v>54</v>
      </c>
      <c r="AE1613" s="26" t="s">
        <v>2424</v>
      </c>
      <c r="AF1613" s="17">
        <v>45338</v>
      </c>
      <c r="AG1613" s="26"/>
      <c r="AH1613" s="26"/>
      <c r="AI1613" s="40"/>
      <c r="AJ1613" s="26"/>
      <c r="AK1613" s="26"/>
      <c r="AL1613" s="35"/>
      <c r="AM1613" s="35"/>
      <c r="AN1613" s="35"/>
      <c r="AO1613" s="35"/>
      <c r="AP1613" s="35"/>
    </row>
    <row r="1614" spans="1:42" x14ac:dyDescent="0.2">
      <c r="A1614" s="14">
        <v>45315</v>
      </c>
      <c r="B1614" s="28" t="s">
        <v>37</v>
      </c>
      <c r="C1614" s="41" t="s">
        <v>118</v>
      </c>
      <c r="D1614" s="26" t="s">
        <v>36</v>
      </c>
      <c r="E1614" s="26" t="s">
        <v>56</v>
      </c>
      <c r="F1614" s="26" t="s">
        <v>130</v>
      </c>
      <c r="G1614" s="26" t="s">
        <v>221</v>
      </c>
      <c r="H1614" s="26" t="s">
        <v>5063</v>
      </c>
      <c r="I1614" s="17">
        <f ca="1">IFERROR(__xludf.DUMMYFUNCTION("""COMPUTED_VALUE"""),45345)</f>
        <v>45345</v>
      </c>
      <c r="J1614" s="29" t="s">
        <v>131</v>
      </c>
      <c r="K1614" s="26" t="s">
        <v>132</v>
      </c>
      <c r="L1614" s="30">
        <v>393801311</v>
      </c>
      <c r="M1614" s="26" t="s">
        <v>123</v>
      </c>
      <c r="N1614" s="26" t="s">
        <v>133</v>
      </c>
      <c r="O1614" s="26" t="s">
        <v>134</v>
      </c>
      <c r="P1614" s="42" t="s">
        <v>6611</v>
      </c>
      <c r="Q1614" s="20">
        <v>9317</v>
      </c>
      <c r="R1614" s="26" t="s">
        <v>36</v>
      </c>
      <c r="S1614" s="31">
        <v>9317</v>
      </c>
      <c r="T1614" s="32">
        <v>45108</v>
      </c>
      <c r="U1614" s="31"/>
      <c r="V1614" s="26"/>
      <c r="W1614" s="33" t="s">
        <v>136</v>
      </c>
      <c r="X1614" s="26">
        <v>0</v>
      </c>
      <c r="Y1614" s="22">
        <v>0</v>
      </c>
      <c r="Z1614" s="26" t="s">
        <v>118</v>
      </c>
      <c r="AA1614" s="19" t="s">
        <v>51</v>
      </c>
      <c r="AB1614" s="26" t="s">
        <v>104</v>
      </c>
      <c r="AC1614" s="26" t="s">
        <v>53</v>
      </c>
      <c r="AD1614" s="19" t="s">
        <v>138</v>
      </c>
      <c r="AE1614" s="26" t="s">
        <v>130</v>
      </c>
      <c r="AF1614" s="17">
        <v>45338</v>
      </c>
      <c r="AG1614" s="26"/>
      <c r="AH1614" s="26">
        <v>1</v>
      </c>
      <c r="AI1614" s="40" t="s">
        <v>64</v>
      </c>
      <c r="AJ1614" s="26"/>
      <c r="AK1614" s="26"/>
      <c r="AL1614" s="35"/>
      <c r="AM1614" s="35"/>
      <c r="AN1614" s="35"/>
      <c r="AO1614" s="35"/>
      <c r="AP1614" s="35"/>
    </row>
    <row r="1615" spans="1:42" x14ac:dyDescent="0.2">
      <c r="A1615" s="14">
        <v>45315</v>
      </c>
      <c r="B1615" s="28" t="s">
        <v>37</v>
      </c>
      <c r="C1615" s="41" t="s">
        <v>118</v>
      </c>
      <c r="D1615" s="26" t="s">
        <v>36</v>
      </c>
      <c r="E1615" s="26" t="s">
        <v>56</v>
      </c>
      <c r="F1615" s="26" t="s">
        <v>130</v>
      </c>
      <c r="G1615" s="26" t="s">
        <v>221</v>
      </c>
      <c r="H1615" s="26" t="s">
        <v>5063</v>
      </c>
      <c r="I1615" s="17">
        <f ca="1">IFERROR(__xludf.DUMMYFUNCTION("""COMPUTED_VALUE"""),45345)</f>
        <v>45345</v>
      </c>
      <c r="J1615" s="29" t="s">
        <v>842</v>
      </c>
      <c r="K1615" s="26" t="s">
        <v>4805</v>
      </c>
      <c r="L1615" s="30">
        <v>983183436</v>
      </c>
      <c r="M1615" s="26" t="s">
        <v>112</v>
      </c>
      <c r="N1615" s="26" t="s">
        <v>3330</v>
      </c>
      <c r="O1615" s="26" t="s">
        <v>845</v>
      </c>
      <c r="P1615" s="42" t="s">
        <v>4806</v>
      </c>
      <c r="Q1615" s="20">
        <v>9317</v>
      </c>
      <c r="R1615" s="26" t="s">
        <v>36</v>
      </c>
      <c r="S1615" s="31">
        <v>9317</v>
      </c>
      <c r="T1615" s="32">
        <v>45138</v>
      </c>
      <c r="U1615" s="31"/>
      <c r="V1615" s="26"/>
      <c r="W1615" s="26" t="s">
        <v>847</v>
      </c>
      <c r="X1615" s="26">
        <v>0</v>
      </c>
      <c r="Y1615" s="22">
        <v>0</v>
      </c>
      <c r="Z1615" s="26" t="s">
        <v>118</v>
      </c>
      <c r="AA1615" s="19" t="s">
        <v>51</v>
      </c>
      <c r="AB1615" s="26" t="s">
        <v>104</v>
      </c>
      <c r="AC1615" s="26" t="s">
        <v>53</v>
      </c>
      <c r="AD1615" s="19" t="s">
        <v>54</v>
      </c>
      <c r="AE1615" s="26" t="s">
        <v>130</v>
      </c>
      <c r="AF1615" s="17">
        <v>45338</v>
      </c>
      <c r="AG1615" s="26"/>
      <c r="AH1615" s="26"/>
      <c r="AI1615" s="40"/>
      <c r="AJ1615" s="26"/>
      <c r="AK1615" s="26"/>
      <c r="AL1615" s="35"/>
      <c r="AM1615" s="35"/>
      <c r="AN1615" s="35"/>
      <c r="AO1615" s="35"/>
      <c r="AP1615" s="35"/>
    </row>
    <row r="1616" spans="1:42" x14ac:dyDescent="0.2">
      <c r="A1616" s="14">
        <v>45315</v>
      </c>
      <c r="B1616" s="28" t="s">
        <v>37</v>
      </c>
      <c r="C1616" s="41" t="s">
        <v>118</v>
      </c>
      <c r="D1616" s="26" t="s">
        <v>77</v>
      </c>
      <c r="E1616" s="26" t="s">
        <v>148</v>
      </c>
      <c r="F1616" s="26" t="s">
        <v>130</v>
      </c>
      <c r="G1616" s="26" t="s">
        <v>221</v>
      </c>
      <c r="H1616" s="26" t="s">
        <v>5063</v>
      </c>
      <c r="I1616" s="17">
        <f ca="1">IFERROR(__xludf.DUMMYFUNCTION("""COMPUTED_VALUE"""),45345)</f>
        <v>45345</v>
      </c>
      <c r="J1616" s="29" t="s">
        <v>1578</v>
      </c>
      <c r="K1616" s="26" t="s">
        <v>2364</v>
      </c>
      <c r="L1616" s="30">
        <v>966721308</v>
      </c>
      <c r="M1616" s="26" t="s">
        <v>80</v>
      </c>
      <c r="N1616" s="26" t="s">
        <v>186</v>
      </c>
      <c r="O1616" s="26" t="s">
        <v>1492</v>
      </c>
      <c r="P1616" s="42" t="s">
        <v>6612</v>
      </c>
      <c r="Q1616" s="20">
        <v>7349</v>
      </c>
      <c r="R1616" s="26" t="s">
        <v>36</v>
      </c>
      <c r="S1616" s="31">
        <v>7349</v>
      </c>
      <c r="T1616" s="32">
        <v>45197</v>
      </c>
      <c r="U1616" s="31"/>
      <c r="V1616" s="26"/>
      <c r="W1616" s="33" t="s">
        <v>3226</v>
      </c>
      <c r="X1616" s="26"/>
      <c r="Y1616" s="22">
        <v>0</v>
      </c>
      <c r="Z1616" s="26" t="s">
        <v>118</v>
      </c>
      <c r="AA1616" s="19" t="s">
        <v>2449</v>
      </c>
      <c r="AB1616" s="26" t="s">
        <v>104</v>
      </c>
      <c r="AC1616" s="26" t="s">
        <v>53</v>
      </c>
      <c r="AD1616" s="19" t="s">
        <v>54</v>
      </c>
      <c r="AE1616" s="26" t="s">
        <v>130</v>
      </c>
      <c r="AF1616" s="17">
        <v>45338</v>
      </c>
      <c r="AG1616" s="26"/>
      <c r="AH1616" s="26"/>
      <c r="AI1616" s="40"/>
      <c r="AJ1616" s="26"/>
      <c r="AK1616" s="26"/>
      <c r="AL1616" s="35"/>
      <c r="AM1616" s="35"/>
      <c r="AN1616" s="35"/>
      <c r="AO1616" s="35"/>
      <c r="AP1616" s="35"/>
    </row>
    <row r="1617" spans="1:42" x14ac:dyDescent="0.2">
      <c r="A1617" s="14">
        <v>45315</v>
      </c>
      <c r="B1617" s="28" t="s">
        <v>37</v>
      </c>
      <c r="C1617" s="41" t="s">
        <v>118</v>
      </c>
      <c r="D1617" s="26" t="s">
        <v>36</v>
      </c>
      <c r="E1617" s="26" t="s">
        <v>148</v>
      </c>
      <c r="F1617" s="26" t="s">
        <v>2088</v>
      </c>
      <c r="G1617" s="26" t="s">
        <v>221</v>
      </c>
      <c r="H1617" s="26" t="s">
        <v>5093</v>
      </c>
      <c r="I1617" s="17">
        <f ca="1">IFERROR(__xludf.DUMMYFUNCTION("""COMPUTED_VALUE"""),45348)</f>
        <v>45348</v>
      </c>
      <c r="J1617" s="29" t="s">
        <v>4817</v>
      </c>
      <c r="K1617" s="26" t="s">
        <v>6613</v>
      </c>
      <c r="L1617" s="30">
        <v>358591568</v>
      </c>
      <c r="M1617" s="26" t="s">
        <v>391</v>
      </c>
      <c r="N1617" s="26" t="s">
        <v>2143</v>
      </c>
      <c r="O1617" s="26" t="s">
        <v>2144</v>
      </c>
      <c r="P1617" s="42" t="s">
        <v>6614</v>
      </c>
      <c r="Q1617" s="20">
        <v>7349</v>
      </c>
      <c r="R1617" s="26" t="s">
        <v>36</v>
      </c>
      <c r="S1617" s="31">
        <v>3000</v>
      </c>
      <c r="T1617" s="32">
        <v>44962</v>
      </c>
      <c r="U1617" s="31">
        <v>12679</v>
      </c>
      <c r="V1617" s="32">
        <v>44985</v>
      </c>
      <c r="W1617" s="26"/>
      <c r="X1617" s="26"/>
      <c r="Y1617" s="22">
        <v>-8330</v>
      </c>
      <c r="Z1617" s="26" t="s">
        <v>118</v>
      </c>
      <c r="AA1617" s="19" t="s">
        <v>4541</v>
      </c>
      <c r="AB1617" s="26" t="s">
        <v>104</v>
      </c>
      <c r="AC1617" s="26" t="s">
        <v>53</v>
      </c>
      <c r="AD1617" s="19" t="s">
        <v>54</v>
      </c>
      <c r="AE1617" s="26" t="s">
        <v>2088</v>
      </c>
      <c r="AF1617" s="17">
        <v>45338</v>
      </c>
      <c r="AG1617" s="26"/>
      <c r="AH1617" s="26"/>
      <c r="AI1617" s="40"/>
      <c r="AJ1617" s="26"/>
      <c r="AK1617" s="26"/>
      <c r="AL1617" s="35"/>
      <c r="AM1617" s="35"/>
      <c r="AN1617" s="35"/>
      <c r="AO1617" s="35"/>
      <c r="AP1617" s="35"/>
    </row>
    <row r="1618" spans="1:42" x14ac:dyDescent="0.2">
      <c r="A1618" s="14">
        <v>45315</v>
      </c>
      <c r="B1618" s="28" t="s">
        <v>37</v>
      </c>
      <c r="C1618" s="41" t="s">
        <v>118</v>
      </c>
      <c r="D1618" s="26" t="s">
        <v>36</v>
      </c>
      <c r="E1618" s="26" t="s">
        <v>148</v>
      </c>
      <c r="F1618" s="26" t="s">
        <v>836</v>
      </c>
      <c r="G1618" s="26" t="s">
        <v>221</v>
      </c>
      <c r="H1618" s="26" t="s">
        <v>6615</v>
      </c>
      <c r="I1618" s="17">
        <f ca="1">IFERROR(__xludf.DUMMYFUNCTION("""COMPUTED_VALUE"""),45496)</f>
        <v>45496</v>
      </c>
      <c r="J1618" s="29" t="s">
        <v>2229</v>
      </c>
      <c r="K1618" s="26" t="s">
        <v>2230</v>
      </c>
      <c r="L1618" s="30">
        <v>562293072</v>
      </c>
      <c r="M1618" s="26" t="s">
        <v>391</v>
      </c>
      <c r="N1618" s="26" t="s">
        <v>2143</v>
      </c>
      <c r="O1618" s="26" t="s">
        <v>2144</v>
      </c>
      <c r="P1618" s="42" t="s">
        <v>6616</v>
      </c>
      <c r="Q1618" s="20">
        <v>7349</v>
      </c>
      <c r="R1618" s="26" t="s">
        <v>36</v>
      </c>
      <c r="S1618" s="31">
        <v>10564</v>
      </c>
      <c r="T1618" s="32">
        <v>44932</v>
      </c>
      <c r="U1618" s="31"/>
      <c r="V1618" s="26"/>
      <c r="W1618" s="33" t="s">
        <v>2232</v>
      </c>
      <c r="X1618" s="26">
        <v>0</v>
      </c>
      <c r="Y1618" s="22">
        <v>-3215</v>
      </c>
      <c r="Z1618" s="26" t="s">
        <v>118</v>
      </c>
      <c r="AA1618" s="19" t="s">
        <v>1871</v>
      </c>
      <c r="AB1618" s="26" t="s">
        <v>104</v>
      </c>
      <c r="AC1618" s="26" t="s">
        <v>53</v>
      </c>
      <c r="AD1618" s="19" t="s">
        <v>54</v>
      </c>
      <c r="AE1618" s="26" t="s">
        <v>836</v>
      </c>
      <c r="AF1618" s="17">
        <v>45495</v>
      </c>
      <c r="AG1618" s="26"/>
      <c r="AH1618" s="26">
        <v>1</v>
      </c>
      <c r="AI1618" s="40">
        <v>2</v>
      </c>
      <c r="AJ1618" s="26"/>
      <c r="AK1618" s="26"/>
      <c r="AL1618" s="35"/>
      <c r="AM1618" s="35"/>
      <c r="AN1618" s="35"/>
      <c r="AO1618" s="35"/>
      <c r="AP1618" s="35"/>
    </row>
    <row r="1619" spans="1:42" x14ac:dyDescent="0.2">
      <c r="A1619" s="14">
        <v>45316</v>
      </c>
      <c r="B1619" s="28" t="s">
        <v>37</v>
      </c>
      <c r="C1619" s="41" t="s">
        <v>118</v>
      </c>
      <c r="D1619" s="26" t="s">
        <v>36</v>
      </c>
      <c r="E1619" s="26" t="s">
        <v>148</v>
      </c>
      <c r="F1619" s="26" t="s">
        <v>836</v>
      </c>
      <c r="G1619" s="26" t="s">
        <v>221</v>
      </c>
      <c r="H1619" s="26" t="s">
        <v>5063</v>
      </c>
      <c r="I1619" s="17">
        <f ca="1">IFERROR(__xludf.DUMMYFUNCTION("""COMPUTED_VALUE"""),45345)</f>
        <v>45345</v>
      </c>
      <c r="J1619" s="29" t="s">
        <v>1615</v>
      </c>
      <c r="K1619" s="26" t="s">
        <v>1616</v>
      </c>
      <c r="L1619" s="30">
        <v>978794309</v>
      </c>
      <c r="M1619" s="26" t="s">
        <v>59</v>
      </c>
      <c r="N1619" s="26" t="s">
        <v>68</v>
      </c>
      <c r="O1619" s="26" t="s">
        <v>1617</v>
      </c>
      <c r="P1619" s="26" t="s">
        <v>1618</v>
      </c>
      <c r="Q1619" s="20">
        <v>7349</v>
      </c>
      <c r="R1619" s="26" t="s">
        <v>36</v>
      </c>
      <c r="S1619" s="31">
        <v>7349</v>
      </c>
      <c r="T1619" s="32">
        <v>45157</v>
      </c>
      <c r="U1619" s="31"/>
      <c r="V1619" s="26"/>
      <c r="W1619" s="33" t="s">
        <v>1619</v>
      </c>
      <c r="X1619" s="26">
        <v>0</v>
      </c>
      <c r="Y1619" s="22">
        <v>0</v>
      </c>
      <c r="Z1619" s="26" t="s">
        <v>118</v>
      </c>
      <c r="AA1619" s="19" t="s">
        <v>901</v>
      </c>
      <c r="AB1619" s="26" t="s">
        <v>104</v>
      </c>
      <c r="AC1619" s="26" t="s">
        <v>53</v>
      </c>
      <c r="AD1619" s="19" t="s">
        <v>54</v>
      </c>
      <c r="AE1619" s="26" t="s">
        <v>836</v>
      </c>
      <c r="AF1619" s="17">
        <v>45338</v>
      </c>
      <c r="AG1619" s="26"/>
      <c r="AH1619" s="26">
        <v>1</v>
      </c>
      <c r="AI1619" s="40">
        <v>2</v>
      </c>
      <c r="AJ1619" s="26"/>
      <c r="AK1619" s="26"/>
      <c r="AL1619" s="35"/>
      <c r="AM1619" s="35"/>
      <c r="AN1619" s="35"/>
      <c r="AO1619" s="35"/>
      <c r="AP1619" s="35"/>
    </row>
    <row r="1620" spans="1:42" x14ac:dyDescent="0.2">
      <c r="A1620" s="14">
        <v>45317</v>
      </c>
      <c r="B1620" s="28" t="s">
        <v>37</v>
      </c>
      <c r="C1620" s="41" t="s">
        <v>118</v>
      </c>
      <c r="D1620" s="26" t="s">
        <v>36</v>
      </c>
      <c r="E1620" s="26" t="s">
        <v>139</v>
      </c>
      <c r="F1620" s="26" t="s">
        <v>3414</v>
      </c>
      <c r="G1620" s="71" t="s">
        <v>108</v>
      </c>
      <c r="H1620" s="26" t="s">
        <v>889</v>
      </c>
      <c r="I1620" s="17">
        <f ca="1">IFERROR(__xludf.DUMMYFUNCTION("""COMPUTED_VALUE"""),45342)</f>
        <v>45342</v>
      </c>
      <c r="J1620" s="29" t="s">
        <v>5528</v>
      </c>
      <c r="K1620" s="26" t="s">
        <v>5529</v>
      </c>
      <c r="L1620" s="30">
        <v>374653416</v>
      </c>
      <c r="M1620" s="26" t="s">
        <v>5429</v>
      </c>
      <c r="N1620" s="26" t="s">
        <v>81</v>
      </c>
      <c r="O1620" s="26" t="s">
        <v>1492</v>
      </c>
      <c r="P1620" s="42" t="s">
        <v>6617</v>
      </c>
      <c r="Q1620" s="20">
        <v>15936</v>
      </c>
      <c r="R1620" s="26" t="s">
        <v>36</v>
      </c>
      <c r="S1620" s="31">
        <v>15936</v>
      </c>
      <c r="T1620" s="32">
        <v>45233</v>
      </c>
      <c r="U1620" s="31"/>
      <c r="V1620" s="26"/>
      <c r="W1620" s="33" t="s">
        <v>5530</v>
      </c>
      <c r="X1620" s="26"/>
      <c r="Y1620" s="22">
        <v>0</v>
      </c>
      <c r="Z1620" s="26" t="s">
        <v>118</v>
      </c>
      <c r="AA1620" s="19" t="s">
        <v>5112</v>
      </c>
      <c r="AB1620" s="26" t="s">
        <v>104</v>
      </c>
      <c r="AC1620" s="26" t="s">
        <v>53</v>
      </c>
      <c r="AD1620" s="19" t="s">
        <v>138</v>
      </c>
      <c r="AE1620" s="26" t="s">
        <v>3414</v>
      </c>
      <c r="AF1620" s="17">
        <v>45338</v>
      </c>
      <c r="AG1620" s="26"/>
      <c r="AH1620" s="26"/>
      <c r="AI1620" s="40" t="s">
        <v>147</v>
      </c>
      <c r="AJ1620" s="26"/>
      <c r="AK1620" s="26"/>
      <c r="AL1620" s="35"/>
      <c r="AM1620" s="35"/>
      <c r="AN1620" s="35"/>
      <c r="AO1620" s="35"/>
      <c r="AP1620" s="35"/>
    </row>
    <row r="1621" spans="1:42" x14ac:dyDescent="0.2">
      <c r="A1621" s="14">
        <v>45317</v>
      </c>
      <c r="B1621" s="28" t="s">
        <v>37</v>
      </c>
      <c r="C1621" s="41" t="s">
        <v>118</v>
      </c>
      <c r="D1621" s="26" t="s">
        <v>36</v>
      </c>
      <c r="E1621" s="26" t="s">
        <v>148</v>
      </c>
      <c r="F1621" s="26" t="s">
        <v>2426</v>
      </c>
      <c r="G1621" s="26" t="s">
        <v>221</v>
      </c>
      <c r="H1621" s="26" t="s">
        <v>6123</v>
      </c>
      <c r="I1621" s="17">
        <f ca="1">IFERROR(__xludf.DUMMYFUNCTION("""COMPUTED_VALUE"""),45320)</f>
        <v>45320</v>
      </c>
      <c r="J1621" s="29" t="s">
        <v>4791</v>
      </c>
      <c r="K1621" s="26" t="s">
        <v>4792</v>
      </c>
      <c r="L1621" s="30">
        <v>335418295</v>
      </c>
      <c r="M1621" s="26" t="s">
        <v>391</v>
      </c>
      <c r="N1621" s="26" t="s">
        <v>2143</v>
      </c>
      <c r="O1621" s="26" t="s">
        <v>2144</v>
      </c>
      <c r="P1621" s="42" t="s">
        <v>6618</v>
      </c>
      <c r="Q1621" s="20">
        <v>7349</v>
      </c>
      <c r="R1621" s="26" t="s">
        <v>36</v>
      </c>
      <c r="S1621" s="31">
        <v>16779</v>
      </c>
      <c r="T1621" s="32">
        <v>44906</v>
      </c>
      <c r="U1621" s="31"/>
      <c r="V1621" s="26"/>
      <c r="W1621" s="55" t="s">
        <v>4794</v>
      </c>
      <c r="X1621" s="26"/>
      <c r="Y1621" s="22">
        <v>-9430</v>
      </c>
      <c r="Z1621" s="26" t="s">
        <v>118</v>
      </c>
      <c r="AA1621" s="19" t="s">
        <v>4541</v>
      </c>
      <c r="AB1621" s="26" t="s">
        <v>104</v>
      </c>
      <c r="AC1621" s="26" t="s">
        <v>53</v>
      </c>
      <c r="AD1621" s="19" t="s">
        <v>54</v>
      </c>
      <c r="AE1621" s="26" t="s">
        <v>2426</v>
      </c>
      <c r="AF1621" s="17">
        <v>45317</v>
      </c>
      <c r="AG1621" s="26"/>
      <c r="AH1621" s="26"/>
      <c r="AI1621" s="40"/>
      <c r="AJ1621" s="26"/>
      <c r="AK1621" s="26"/>
      <c r="AL1621" s="35"/>
      <c r="AM1621" s="35"/>
      <c r="AN1621" s="35"/>
      <c r="AO1621" s="35"/>
      <c r="AP1621" s="35"/>
    </row>
    <row r="1622" spans="1:42" x14ac:dyDescent="0.2">
      <c r="A1622" s="14">
        <v>45320</v>
      </c>
      <c r="B1622" s="28" t="s">
        <v>37</v>
      </c>
      <c r="C1622" s="41" t="s">
        <v>118</v>
      </c>
      <c r="D1622" s="26" t="s">
        <v>36</v>
      </c>
      <c r="E1622" s="26" t="s">
        <v>139</v>
      </c>
      <c r="F1622" s="26" t="s">
        <v>3285</v>
      </c>
      <c r="G1622" s="26" t="s">
        <v>221</v>
      </c>
      <c r="H1622" s="26" t="s">
        <v>6128</v>
      </c>
      <c r="I1622" s="17">
        <f ca="1">IFERROR(__xludf.DUMMYFUNCTION("""COMPUTED_VALUE"""),45348)</f>
        <v>45348</v>
      </c>
      <c r="J1622" s="29" t="s">
        <v>2554</v>
      </c>
      <c r="K1622" s="26" t="s">
        <v>4871</v>
      </c>
      <c r="L1622" s="30">
        <v>973852521</v>
      </c>
      <c r="M1622" s="26" t="s">
        <v>123</v>
      </c>
      <c r="N1622" s="26" t="s">
        <v>850</v>
      </c>
      <c r="O1622" s="26" t="s">
        <v>125</v>
      </c>
      <c r="P1622" s="42" t="s">
        <v>6619</v>
      </c>
      <c r="Q1622" s="20">
        <v>15936</v>
      </c>
      <c r="R1622" s="26" t="s">
        <v>36</v>
      </c>
      <c r="S1622" s="31">
        <v>200</v>
      </c>
      <c r="T1622" s="32">
        <v>45155</v>
      </c>
      <c r="U1622" s="31">
        <f>4000+11736</f>
        <v>15736</v>
      </c>
      <c r="V1622" s="26" t="s">
        <v>2557</v>
      </c>
      <c r="W1622" s="26" t="s">
        <v>2558</v>
      </c>
      <c r="X1622" s="26"/>
      <c r="Y1622" s="22">
        <v>0</v>
      </c>
      <c r="Z1622" s="26" t="s">
        <v>118</v>
      </c>
      <c r="AA1622" s="19" t="s">
        <v>4541</v>
      </c>
      <c r="AB1622" s="26" t="s">
        <v>104</v>
      </c>
      <c r="AC1622" s="26" t="s">
        <v>53</v>
      </c>
      <c r="AD1622" s="19" t="s">
        <v>138</v>
      </c>
      <c r="AE1622" s="26" t="s">
        <v>3285</v>
      </c>
      <c r="AF1622" s="17">
        <v>45348</v>
      </c>
      <c r="AG1622" s="26"/>
      <c r="AH1622" s="26"/>
      <c r="AI1622" s="40"/>
      <c r="AJ1622" s="26"/>
      <c r="AK1622" s="26"/>
      <c r="AL1622" s="35"/>
      <c r="AM1622" s="35"/>
      <c r="AN1622" s="35"/>
      <c r="AO1622" s="35"/>
      <c r="AP1622" s="35"/>
    </row>
    <row r="1623" spans="1:42" x14ac:dyDescent="0.2">
      <c r="A1623" s="14">
        <v>45320</v>
      </c>
      <c r="B1623" s="28" t="s">
        <v>37</v>
      </c>
      <c r="C1623" s="41" t="s">
        <v>118</v>
      </c>
      <c r="D1623" s="26" t="s">
        <v>36</v>
      </c>
      <c r="E1623" s="26" t="s">
        <v>56</v>
      </c>
      <c r="F1623" s="26" t="s">
        <v>2595</v>
      </c>
      <c r="G1623" s="26" t="s">
        <v>221</v>
      </c>
      <c r="H1623" s="26" t="s">
        <v>6128</v>
      </c>
      <c r="I1623" s="17">
        <f ca="1">IFERROR(__xludf.DUMMYFUNCTION("""COMPUTED_VALUE"""),45348)</f>
        <v>45348</v>
      </c>
      <c r="J1623" s="29" t="s">
        <v>968</v>
      </c>
      <c r="K1623" s="26" t="s">
        <v>6620</v>
      </c>
      <c r="L1623" s="30">
        <v>964458478</v>
      </c>
      <c r="M1623" s="26" t="s">
        <v>123</v>
      </c>
      <c r="N1623" s="26" t="s">
        <v>4632</v>
      </c>
      <c r="O1623" s="26" t="s">
        <v>970</v>
      </c>
      <c r="P1623" s="42" t="s">
        <v>6621</v>
      </c>
      <c r="Q1623" s="20">
        <v>9317</v>
      </c>
      <c r="R1623" s="26" t="s">
        <v>36</v>
      </c>
      <c r="S1623" s="31">
        <v>2000</v>
      </c>
      <c r="T1623" s="32">
        <v>45117</v>
      </c>
      <c r="U1623" s="31">
        <v>7350</v>
      </c>
      <c r="V1623" s="32">
        <v>45148</v>
      </c>
      <c r="W1623" s="33" t="s">
        <v>972</v>
      </c>
      <c r="X1623" s="26">
        <v>0</v>
      </c>
      <c r="Y1623" s="22">
        <v>-33</v>
      </c>
      <c r="Z1623" s="34" t="s">
        <v>118</v>
      </c>
      <c r="AA1623" s="19" t="s">
        <v>4541</v>
      </c>
      <c r="AB1623" s="26" t="s">
        <v>104</v>
      </c>
      <c r="AC1623" s="26" t="s">
        <v>53</v>
      </c>
      <c r="AD1623" s="19" t="s">
        <v>54</v>
      </c>
      <c r="AE1623" s="26" t="s">
        <v>2595</v>
      </c>
      <c r="AF1623" s="17">
        <v>45348</v>
      </c>
      <c r="AG1623" s="26"/>
      <c r="AH1623" s="26"/>
      <c r="AI1623" s="40" t="s">
        <v>64</v>
      </c>
      <c r="AJ1623" s="26"/>
      <c r="AK1623" s="26"/>
      <c r="AL1623" s="35"/>
      <c r="AM1623" s="35"/>
      <c r="AN1623" s="35"/>
      <c r="AO1623" s="35"/>
      <c r="AP1623" s="35"/>
    </row>
    <row r="1624" spans="1:42" x14ac:dyDescent="0.2">
      <c r="A1624" s="14">
        <v>45320</v>
      </c>
      <c r="B1624" s="28" t="s">
        <v>37</v>
      </c>
      <c r="C1624" s="41" t="s">
        <v>118</v>
      </c>
      <c r="D1624" s="26" t="s">
        <v>36</v>
      </c>
      <c r="E1624" s="26" t="s">
        <v>139</v>
      </c>
      <c r="F1624" s="26" t="s">
        <v>3285</v>
      </c>
      <c r="G1624" s="26" t="s">
        <v>221</v>
      </c>
      <c r="H1624" s="26" t="s">
        <v>6128</v>
      </c>
      <c r="I1624" s="17">
        <f ca="1">IFERROR(__xludf.DUMMYFUNCTION("""COMPUTED_VALUE"""),45348)</f>
        <v>45348</v>
      </c>
      <c r="J1624" s="29" t="s">
        <v>2522</v>
      </c>
      <c r="K1624" s="26" t="s">
        <v>4895</v>
      </c>
      <c r="L1624" s="30">
        <v>904372750</v>
      </c>
      <c r="M1624" s="26" t="s">
        <v>80</v>
      </c>
      <c r="N1624" s="26" t="s">
        <v>299</v>
      </c>
      <c r="O1624" s="26" t="s">
        <v>2524</v>
      </c>
      <c r="P1624" s="42" t="s">
        <v>6622</v>
      </c>
      <c r="Q1624" s="20">
        <v>15936</v>
      </c>
      <c r="R1624" s="26" t="s">
        <v>36</v>
      </c>
      <c r="S1624" s="31">
        <v>2000</v>
      </c>
      <c r="T1624" s="32">
        <v>45160</v>
      </c>
      <c r="U1624" s="31">
        <v>13936</v>
      </c>
      <c r="V1624" s="32">
        <v>45190</v>
      </c>
      <c r="W1624" s="33" t="s">
        <v>2526</v>
      </c>
      <c r="X1624" s="26"/>
      <c r="Y1624" s="22">
        <v>0</v>
      </c>
      <c r="Z1624" s="26" t="s">
        <v>118</v>
      </c>
      <c r="AA1624" s="19" t="s">
        <v>4541</v>
      </c>
      <c r="AB1624" s="26" t="s">
        <v>104</v>
      </c>
      <c r="AC1624" s="26" t="s">
        <v>53</v>
      </c>
      <c r="AD1624" s="19" t="s">
        <v>138</v>
      </c>
      <c r="AE1624" s="26" t="s">
        <v>3285</v>
      </c>
      <c r="AF1624" s="17">
        <v>45348</v>
      </c>
      <c r="AG1624" s="26"/>
      <c r="AH1624" s="26"/>
      <c r="AI1624" s="40"/>
      <c r="AJ1624" s="26"/>
      <c r="AK1624" s="26"/>
      <c r="AL1624" s="35"/>
      <c r="AM1624" s="35"/>
      <c r="AN1624" s="35"/>
      <c r="AO1624" s="35"/>
      <c r="AP1624" s="35"/>
    </row>
    <row r="1625" spans="1:42" x14ac:dyDescent="0.2">
      <c r="A1625" s="14">
        <v>45320</v>
      </c>
      <c r="B1625" s="28" t="s">
        <v>37</v>
      </c>
      <c r="C1625" s="41" t="s">
        <v>118</v>
      </c>
      <c r="D1625" s="26" t="s">
        <v>36</v>
      </c>
      <c r="E1625" s="26" t="s">
        <v>139</v>
      </c>
      <c r="F1625" s="26" t="s">
        <v>4328</v>
      </c>
      <c r="G1625" s="26" t="s">
        <v>221</v>
      </c>
      <c r="H1625" s="26" t="s">
        <v>6128</v>
      </c>
      <c r="I1625" s="17">
        <f ca="1">IFERROR(__xludf.DUMMYFUNCTION("""COMPUTED_VALUE"""),45348)</f>
        <v>45348</v>
      </c>
      <c r="J1625" s="29" t="s">
        <v>3501</v>
      </c>
      <c r="K1625" s="26" t="s">
        <v>3502</v>
      </c>
      <c r="L1625" s="30">
        <v>789047895</v>
      </c>
      <c r="M1625" s="26" t="s">
        <v>80</v>
      </c>
      <c r="N1625" s="26" t="s">
        <v>81</v>
      </c>
      <c r="O1625" s="26" t="s">
        <v>3503</v>
      </c>
      <c r="P1625" s="26" t="s">
        <v>4922</v>
      </c>
      <c r="Q1625" s="20">
        <v>15936</v>
      </c>
      <c r="R1625" s="26" t="s">
        <v>36</v>
      </c>
      <c r="S1625" s="31">
        <v>2000</v>
      </c>
      <c r="T1625" s="32">
        <v>45178</v>
      </c>
      <c r="U1625" s="31">
        <v>13836</v>
      </c>
      <c r="V1625" s="32">
        <v>45201</v>
      </c>
      <c r="W1625" s="33" t="s">
        <v>3504</v>
      </c>
      <c r="X1625" s="26"/>
      <c r="Y1625" s="22">
        <v>100</v>
      </c>
      <c r="Z1625" s="26" t="s">
        <v>118</v>
      </c>
      <c r="AA1625" s="19" t="s">
        <v>4541</v>
      </c>
      <c r="AB1625" s="26" t="s">
        <v>104</v>
      </c>
      <c r="AC1625" s="26" t="s">
        <v>53</v>
      </c>
      <c r="AD1625" s="19" t="s">
        <v>138</v>
      </c>
      <c r="AE1625" s="26" t="s">
        <v>4328</v>
      </c>
      <c r="AF1625" s="17">
        <v>45348</v>
      </c>
      <c r="AG1625" s="26"/>
      <c r="AH1625" s="26"/>
      <c r="AI1625" s="40"/>
      <c r="AJ1625" s="26"/>
      <c r="AK1625" s="26"/>
      <c r="AL1625" s="35"/>
      <c r="AM1625" s="35"/>
      <c r="AN1625" s="35"/>
      <c r="AO1625" s="35"/>
      <c r="AP1625" s="35"/>
    </row>
    <row r="1626" spans="1:42" x14ac:dyDescent="0.2">
      <c r="A1626" s="14">
        <v>45320</v>
      </c>
      <c r="B1626" s="28" t="s">
        <v>37</v>
      </c>
      <c r="C1626" s="41" t="s">
        <v>118</v>
      </c>
      <c r="D1626" s="26" t="s">
        <v>36</v>
      </c>
      <c r="E1626" s="26" t="s">
        <v>139</v>
      </c>
      <c r="F1626" s="26" t="s">
        <v>4328</v>
      </c>
      <c r="G1626" s="26" t="s">
        <v>221</v>
      </c>
      <c r="H1626" s="26" t="s">
        <v>6128</v>
      </c>
      <c r="I1626" s="17">
        <f ca="1">IFERROR(__xludf.DUMMYFUNCTION("""COMPUTED_VALUE"""),45348)</f>
        <v>45348</v>
      </c>
      <c r="J1626" s="29" t="s">
        <v>3523</v>
      </c>
      <c r="K1626" s="26" t="s">
        <v>3524</v>
      </c>
      <c r="L1626" s="30">
        <v>392009475</v>
      </c>
      <c r="M1626" s="26" t="s">
        <v>910</v>
      </c>
      <c r="N1626" s="26" t="s">
        <v>3525</v>
      </c>
      <c r="O1626" s="26" t="s">
        <v>3526</v>
      </c>
      <c r="P1626" s="26" t="s">
        <v>4923</v>
      </c>
      <c r="Q1626" s="20">
        <v>15936</v>
      </c>
      <c r="R1626" s="26" t="s">
        <v>36</v>
      </c>
      <c r="S1626" s="31">
        <v>4000</v>
      </c>
      <c r="T1626" s="32">
        <v>45180</v>
      </c>
      <c r="U1626" s="31">
        <v>11936</v>
      </c>
      <c r="V1626" s="32">
        <v>45205</v>
      </c>
      <c r="W1626" s="33" t="s">
        <v>3528</v>
      </c>
      <c r="X1626" s="26"/>
      <c r="Y1626" s="22">
        <v>0</v>
      </c>
      <c r="Z1626" s="26" t="s">
        <v>118</v>
      </c>
      <c r="AA1626" s="19" t="s">
        <v>4541</v>
      </c>
      <c r="AB1626" s="26" t="s">
        <v>104</v>
      </c>
      <c r="AC1626" s="26" t="s">
        <v>53</v>
      </c>
      <c r="AD1626" s="19" t="s">
        <v>138</v>
      </c>
      <c r="AE1626" s="26" t="s">
        <v>4328</v>
      </c>
      <c r="AF1626" s="17">
        <v>45348</v>
      </c>
      <c r="AG1626" s="26"/>
      <c r="AH1626" s="26"/>
      <c r="AI1626" s="40"/>
      <c r="AJ1626" s="26"/>
      <c r="AK1626" s="26"/>
      <c r="AL1626" s="35"/>
      <c r="AM1626" s="35"/>
      <c r="AN1626" s="35"/>
      <c r="AO1626" s="35"/>
      <c r="AP1626" s="35"/>
    </row>
    <row r="1627" spans="1:42" x14ac:dyDescent="0.2">
      <c r="A1627" s="14">
        <v>45320</v>
      </c>
      <c r="B1627" s="28" t="s">
        <v>37</v>
      </c>
      <c r="C1627" s="41" t="s">
        <v>118</v>
      </c>
      <c r="D1627" s="26" t="s">
        <v>36</v>
      </c>
      <c r="E1627" s="26" t="s">
        <v>119</v>
      </c>
      <c r="F1627" s="26" t="s">
        <v>4328</v>
      </c>
      <c r="G1627" s="26" t="s">
        <v>221</v>
      </c>
      <c r="H1627" s="26" t="s">
        <v>6623</v>
      </c>
      <c r="I1627" s="17">
        <f ca="1">IFERROR(__xludf.DUMMYFUNCTION("""COMPUTED_VALUE"""),45461)</f>
        <v>45461</v>
      </c>
      <c r="J1627" s="29" t="s">
        <v>5209</v>
      </c>
      <c r="K1627" s="26" t="s">
        <v>6624</v>
      </c>
      <c r="L1627" s="30">
        <v>976315889</v>
      </c>
      <c r="M1627" s="26" t="s">
        <v>80</v>
      </c>
      <c r="N1627" s="26" t="s">
        <v>186</v>
      </c>
      <c r="O1627" s="26" t="s">
        <v>5211</v>
      </c>
      <c r="P1627" s="42" t="s">
        <v>5212</v>
      </c>
      <c r="Q1627" s="20">
        <v>13968</v>
      </c>
      <c r="R1627" s="26" t="s">
        <v>36</v>
      </c>
      <c r="S1627" s="31">
        <v>4000</v>
      </c>
      <c r="T1627" s="32">
        <v>45201</v>
      </c>
      <c r="U1627" s="31">
        <v>10000</v>
      </c>
      <c r="V1627" s="32">
        <v>45248</v>
      </c>
      <c r="W1627" s="33" t="s">
        <v>5213</v>
      </c>
      <c r="X1627" s="26"/>
      <c r="Y1627" s="22">
        <v>-32</v>
      </c>
      <c r="Z1627" s="26" t="s">
        <v>118</v>
      </c>
      <c r="AA1627" s="19" t="s">
        <v>5112</v>
      </c>
      <c r="AB1627" s="26" t="s">
        <v>104</v>
      </c>
      <c r="AC1627" s="26" t="s">
        <v>53</v>
      </c>
      <c r="AD1627" s="19" t="s">
        <v>138</v>
      </c>
      <c r="AE1627" s="26" t="s">
        <v>4328</v>
      </c>
      <c r="AF1627" s="17">
        <v>45348</v>
      </c>
      <c r="AG1627" s="26"/>
      <c r="AH1627" s="26"/>
      <c r="AI1627" s="40">
        <v>4</v>
      </c>
      <c r="AJ1627" s="26"/>
      <c r="AK1627" s="26"/>
      <c r="AL1627" s="35"/>
      <c r="AM1627" s="35"/>
      <c r="AN1627" s="35"/>
      <c r="AO1627" s="35"/>
      <c r="AP1627" s="35"/>
    </row>
    <row r="1628" spans="1:42" x14ac:dyDescent="0.2">
      <c r="A1628" s="14">
        <v>45320</v>
      </c>
      <c r="B1628" s="28" t="s">
        <v>37</v>
      </c>
      <c r="C1628" s="41" t="s">
        <v>118</v>
      </c>
      <c r="D1628" s="26" t="s">
        <v>36</v>
      </c>
      <c r="E1628" s="26" t="s">
        <v>119</v>
      </c>
      <c r="F1628" s="26" t="s">
        <v>4328</v>
      </c>
      <c r="G1628" s="26" t="s">
        <v>221</v>
      </c>
      <c r="H1628" s="26" t="s">
        <v>6128</v>
      </c>
      <c r="I1628" s="17">
        <f ca="1">IFERROR(__xludf.DUMMYFUNCTION("""COMPUTED_VALUE"""),45348)</f>
        <v>45348</v>
      </c>
      <c r="J1628" s="29" t="s">
        <v>5336</v>
      </c>
      <c r="K1628" s="26" t="s">
        <v>5337</v>
      </c>
      <c r="L1628" s="30">
        <v>367191406</v>
      </c>
      <c r="M1628" s="26" t="s">
        <v>80</v>
      </c>
      <c r="N1628" s="26" t="s">
        <v>186</v>
      </c>
      <c r="O1628" s="26" t="s">
        <v>5338</v>
      </c>
      <c r="P1628" s="26" t="s">
        <v>2641</v>
      </c>
      <c r="Q1628" s="20">
        <v>13968</v>
      </c>
      <c r="R1628" s="26" t="s">
        <v>36</v>
      </c>
      <c r="S1628" s="31">
        <v>4000</v>
      </c>
      <c r="T1628" s="32">
        <v>45214</v>
      </c>
      <c r="U1628" s="31">
        <v>10000</v>
      </c>
      <c r="V1628" s="32">
        <v>45249</v>
      </c>
      <c r="W1628" s="33" t="s">
        <v>5339</v>
      </c>
      <c r="X1628" s="26"/>
      <c r="Y1628" s="22">
        <v>-32</v>
      </c>
      <c r="Z1628" s="26" t="s">
        <v>118</v>
      </c>
      <c r="AA1628" s="19" t="s">
        <v>5112</v>
      </c>
      <c r="AB1628" s="26" t="s">
        <v>104</v>
      </c>
      <c r="AC1628" s="26" t="s">
        <v>53</v>
      </c>
      <c r="AD1628" s="19" t="s">
        <v>138</v>
      </c>
      <c r="AE1628" s="26" t="s">
        <v>4328</v>
      </c>
      <c r="AF1628" s="17">
        <v>45348</v>
      </c>
      <c r="AG1628" s="26"/>
      <c r="AH1628" s="26"/>
      <c r="AI1628" s="40">
        <v>4</v>
      </c>
      <c r="AJ1628" s="26"/>
      <c r="AK1628" s="26"/>
      <c r="AL1628" s="35"/>
      <c r="AM1628" s="35"/>
      <c r="AN1628" s="35"/>
      <c r="AO1628" s="35"/>
      <c r="AP1628" s="35"/>
    </row>
    <row r="1629" spans="1:42" x14ac:dyDescent="0.2">
      <c r="A1629" s="14">
        <v>45320</v>
      </c>
      <c r="B1629" s="28" t="s">
        <v>37</v>
      </c>
      <c r="C1629" s="41" t="s">
        <v>118</v>
      </c>
      <c r="D1629" s="26" t="s">
        <v>36</v>
      </c>
      <c r="E1629" s="26" t="s">
        <v>119</v>
      </c>
      <c r="F1629" s="26" t="s">
        <v>4328</v>
      </c>
      <c r="G1629" s="26" t="s">
        <v>221</v>
      </c>
      <c r="H1629" s="26" t="s">
        <v>6128</v>
      </c>
      <c r="I1629" s="17">
        <f ca="1">IFERROR(__xludf.DUMMYFUNCTION("""COMPUTED_VALUE"""),45348)</f>
        <v>45348</v>
      </c>
      <c r="J1629" s="29" t="s">
        <v>5427</v>
      </c>
      <c r="K1629" s="26" t="s">
        <v>6625</v>
      </c>
      <c r="L1629" s="30">
        <v>941603226</v>
      </c>
      <c r="M1629" s="26" t="s">
        <v>5429</v>
      </c>
      <c r="N1629" s="26" t="s">
        <v>81</v>
      </c>
      <c r="O1629" s="26" t="s">
        <v>5430</v>
      </c>
      <c r="P1629" s="26" t="s">
        <v>5431</v>
      </c>
      <c r="Q1629" s="20">
        <v>13968</v>
      </c>
      <c r="R1629" s="26" t="s">
        <v>36</v>
      </c>
      <c r="S1629" s="31">
        <v>4000</v>
      </c>
      <c r="T1629" s="32">
        <v>45222</v>
      </c>
      <c r="U1629" s="31">
        <v>9968</v>
      </c>
      <c r="V1629" s="32">
        <v>45251</v>
      </c>
      <c r="W1629" s="33" t="s">
        <v>5432</v>
      </c>
      <c r="X1629" s="26"/>
      <c r="Y1629" s="22">
        <v>0</v>
      </c>
      <c r="Z1629" s="26" t="s">
        <v>118</v>
      </c>
      <c r="AA1629" s="19" t="s">
        <v>5112</v>
      </c>
      <c r="AB1629" s="26" t="s">
        <v>104</v>
      </c>
      <c r="AC1629" s="26" t="s">
        <v>53</v>
      </c>
      <c r="AD1629" s="19" t="s">
        <v>138</v>
      </c>
      <c r="AE1629" s="26" t="s">
        <v>4328</v>
      </c>
      <c r="AF1629" s="17">
        <v>45348</v>
      </c>
      <c r="AG1629" s="26"/>
      <c r="AH1629" s="26"/>
      <c r="AI1629" s="40">
        <v>4</v>
      </c>
      <c r="AJ1629" s="26"/>
      <c r="AK1629" s="26"/>
      <c r="AL1629" s="35"/>
      <c r="AM1629" s="35"/>
      <c r="AN1629" s="35"/>
      <c r="AO1629" s="35"/>
      <c r="AP1629" s="35"/>
    </row>
    <row r="1630" spans="1:42" x14ac:dyDescent="0.2">
      <c r="A1630" s="14">
        <v>45320</v>
      </c>
      <c r="B1630" s="28" t="s">
        <v>37</v>
      </c>
      <c r="C1630" s="41" t="s">
        <v>118</v>
      </c>
      <c r="D1630" s="26" t="s">
        <v>36</v>
      </c>
      <c r="E1630" s="26" t="s">
        <v>139</v>
      </c>
      <c r="F1630" s="26" t="s">
        <v>4328</v>
      </c>
      <c r="G1630" s="26" t="s">
        <v>221</v>
      </c>
      <c r="H1630" s="26" t="s">
        <v>6128</v>
      </c>
      <c r="I1630" s="17">
        <f ca="1">IFERROR(__xludf.DUMMYFUNCTION("""COMPUTED_VALUE"""),45348)</f>
        <v>45348</v>
      </c>
      <c r="J1630" s="29" t="s">
        <v>3515</v>
      </c>
      <c r="K1630" s="26" t="s">
        <v>3516</v>
      </c>
      <c r="L1630" s="30">
        <v>865794177</v>
      </c>
      <c r="M1630" s="26" t="s">
        <v>80</v>
      </c>
      <c r="N1630" s="26" t="s">
        <v>186</v>
      </c>
      <c r="O1630" s="26" t="s">
        <v>3517</v>
      </c>
      <c r="P1630" s="26" t="s">
        <v>4946</v>
      </c>
      <c r="Q1630" s="20">
        <v>15936</v>
      </c>
      <c r="R1630" s="26" t="s">
        <v>36</v>
      </c>
      <c r="S1630" s="31">
        <v>8000</v>
      </c>
      <c r="T1630" s="32">
        <v>45180</v>
      </c>
      <c r="U1630" s="31">
        <v>7936</v>
      </c>
      <c r="V1630" s="32">
        <v>45200</v>
      </c>
      <c r="W1630" s="33" t="s">
        <v>3518</v>
      </c>
      <c r="X1630" s="26"/>
      <c r="Y1630" s="22">
        <v>0</v>
      </c>
      <c r="Z1630" s="26" t="s">
        <v>118</v>
      </c>
      <c r="AA1630" s="19" t="s">
        <v>4541</v>
      </c>
      <c r="AB1630" s="26" t="s">
        <v>104</v>
      </c>
      <c r="AC1630" s="26" t="s">
        <v>53</v>
      </c>
      <c r="AD1630" s="19" t="s">
        <v>138</v>
      </c>
      <c r="AE1630" s="26" t="s">
        <v>4328</v>
      </c>
      <c r="AF1630" s="17">
        <v>45348</v>
      </c>
      <c r="AG1630" s="26"/>
      <c r="AH1630" s="26"/>
      <c r="AI1630" s="40"/>
      <c r="AJ1630" s="26"/>
      <c r="AK1630" s="26"/>
      <c r="AL1630" s="35"/>
      <c r="AM1630" s="35"/>
      <c r="AN1630" s="35"/>
      <c r="AO1630" s="35"/>
      <c r="AP1630" s="35"/>
    </row>
    <row r="1631" spans="1:42" x14ac:dyDescent="0.2">
      <c r="A1631" s="14">
        <v>45320</v>
      </c>
      <c r="B1631" s="28" t="s">
        <v>37</v>
      </c>
      <c r="C1631" s="41" t="s">
        <v>118</v>
      </c>
      <c r="D1631" s="26" t="s">
        <v>36</v>
      </c>
      <c r="E1631" s="26" t="s">
        <v>56</v>
      </c>
      <c r="F1631" s="26" t="s">
        <v>4328</v>
      </c>
      <c r="G1631" s="26" t="s">
        <v>221</v>
      </c>
      <c r="H1631" s="26" t="s">
        <v>6128</v>
      </c>
      <c r="I1631" s="17">
        <f ca="1">IFERROR(__xludf.DUMMYFUNCTION("""COMPUTED_VALUE"""),45348)</f>
        <v>45348</v>
      </c>
      <c r="J1631" s="29" t="s">
        <v>1857</v>
      </c>
      <c r="K1631" s="26" t="s">
        <v>1858</v>
      </c>
      <c r="L1631" s="30">
        <v>355692620</v>
      </c>
      <c r="M1631" s="26" t="s">
        <v>80</v>
      </c>
      <c r="N1631" s="26" t="s">
        <v>299</v>
      </c>
      <c r="O1631" s="26" t="s">
        <v>125</v>
      </c>
      <c r="P1631" s="26" t="s">
        <v>2641</v>
      </c>
      <c r="Q1631" s="20">
        <v>9317</v>
      </c>
      <c r="R1631" s="26" t="s">
        <v>36</v>
      </c>
      <c r="S1631" s="31">
        <v>9317</v>
      </c>
      <c r="T1631" s="32">
        <v>45154</v>
      </c>
      <c r="U1631" s="31"/>
      <c r="V1631" s="32"/>
      <c r="W1631" s="33" t="s">
        <v>1860</v>
      </c>
      <c r="X1631" s="26">
        <v>0</v>
      </c>
      <c r="Y1631" s="22">
        <v>0</v>
      </c>
      <c r="Z1631" s="26" t="s">
        <v>118</v>
      </c>
      <c r="AA1631" s="19" t="s">
        <v>5785</v>
      </c>
      <c r="AB1631" s="26" t="s">
        <v>104</v>
      </c>
      <c r="AC1631" s="26" t="s">
        <v>53</v>
      </c>
      <c r="AD1631" s="19" t="s">
        <v>138</v>
      </c>
      <c r="AE1631" s="26" t="s">
        <v>4328</v>
      </c>
      <c r="AF1631" s="17">
        <v>45348</v>
      </c>
      <c r="AG1631" s="26"/>
      <c r="AH1631" s="26"/>
      <c r="AI1631" s="40" t="s">
        <v>64</v>
      </c>
      <c r="AJ1631" s="26"/>
      <c r="AK1631" s="26"/>
      <c r="AL1631" s="35"/>
      <c r="AM1631" s="35"/>
      <c r="AN1631" s="35"/>
      <c r="AO1631" s="35"/>
      <c r="AP1631" s="35"/>
    </row>
    <row r="1632" spans="1:42" x14ac:dyDescent="0.2">
      <c r="A1632" s="14">
        <v>45320</v>
      </c>
      <c r="B1632" s="28" t="s">
        <v>37</v>
      </c>
      <c r="C1632" s="41" t="s">
        <v>118</v>
      </c>
      <c r="D1632" s="26" t="s">
        <v>36</v>
      </c>
      <c r="E1632" s="26" t="s">
        <v>148</v>
      </c>
      <c r="F1632" s="26" t="s">
        <v>4328</v>
      </c>
      <c r="G1632" s="26" t="s">
        <v>221</v>
      </c>
      <c r="H1632" s="26" t="s">
        <v>6128</v>
      </c>
      <c r="I1632" s="17">
        <f ca="1">IFERROR(__xludf.DUMMYFUNCTION("""COMPUTED_VALUE"""),45348)</f>
        <v>45348</v>
      </c>
      <c r="J1632" s="29" t="s">
        <v>4329</v>
      </c>
      <c r="K1632" s="26" t="s">
        <v>4330</v>
      </c>
      <c r="L1632" s="30">
        <v>972086204</v>
      </c>
      <c r="M1632" s="26" t="s">
        <v>3288</v>
      </c>
      <c r="N1632" s="26" t="s">
        <v>200</v>
      </c>
      <c r="O1632" s="26" t="s">
        <v>4331</v>
      </c>
      <c r="P1632" s="26" t="s">
        <v>4332</v>
      </c>
      <c r="Q1632" s="20">
        <v>7349</v>
      </c>
      <c r="R1632" s="26" t="s">
        <v>36</v>
      </c>
      <c r="S1632" s="31">
        <v>7349</v>
      </c>
      <c r="T1632" s="32">
        <v>45217</v>
      </c>
      <c r="U1632" s="31"/>
      <c r="V1632" s="26"/>
      <c r="W1632" s="33" t="s">
        <v>4333</v>
      </c>
      <c r="X1632" s="26"/>
      <c r="Y1632" s="22">
        <v>0</v>
      </c>
      <c r="Z1632" s="26" t="s">
        <v>118</v>
      </c>
      <c r="AA1632" s="19" t="s">
        <v>3454</v>
      </c>
      <c r="AB1632" s="26" t="s">
        <v>104</v>
      </c>
      <c r="AC1632" s="26" t="s">
        <v>53</v>
      </c>
      <c r="AD1632" s="19" t="s">
        <v>138</v>
      </c>
      <c r="AE1632" s="26" t="s">
        <v>4328</v>
      </c>
      <c r="AF1632" s="17">
        <v>45348</v>
      </c>
      <c r="AG1632" s="26"/>
      <c r="AH1632" s="26"/>
      <c r="AI1632" s="40"/>
      <c r="AJ1632" s="26"/>
      <c r="AK1632" s="26"/>
      <c r="AL1632" s="35"/>
      <c r="AM1632" s="35"/>
      <c r="AN1632" s="35"/>
      <c r="AO1632" s="35"/>
      <c r="AP1632" s="35"/>
    </row>
    <row r="1633" spans="1:42" x14ac:dyDescent="0.2">
      <c r="A1633" s="14">
        <v>45320</v>
      </c>
      <c r="B1633" s="28" t="s">
        <v>37</v>
      </c>
      <c r="C1633" s="41" t="s">
        <v>118</v>
      </c>
      <c r="D1633" s="26" t="s">
        <v>36</v>
      </c>
      <c r="E1633" s="26" t="s">
        <v>148</v>
      </c>
      <c r="F1633" s="26" t="s">
        <v>3285</v>
      </c>
      <c r="G1633" s="26" t="s">
        <v>221</v>
      </c>
      <c r="H1633" s="26" t="s">
        <v>6128</v>
      </c>
      <c r="I1633" s="17">
        <f ca="1">IFERROR(__xludf.DUMMYFUNCTION("""COMPUTED_VALUE"""),45348)</f>
        <v>45348</v>
      </c>
      <c r="J1633" s="29" t="s">
        <v>5132</v>
      </c>
      <c r="K1633" s="26" t="s">
        <v>5133</v>
      </c>
      <c r="L1633" s="30">
        <v>969282301</v>
      </c>
      <c r="M1633" s="26" t="s">
        <v>80</v>
      </c>
      <c r="N1633" s="26" t="s">
        <v>299</v>
      </c>
      <c r="O1633" s="26" t="s">
        <v>5134</v>
      </c>
      <c r="P1633" s="26" t="s">
        <v>5135</v>
      </c>
      <c r="Q1633" s="20">
        <v>7349</v>
      </c>
      <c r="R1633" s="26" t="s">
        <v>36</v>
      </c>
      <c r="S1633" s="31">
        <v>4000</v>
      </c>
      <c r="T1633" s="32">
        <v>45188</v>
      </c>
      <c r="U1633" s="31">
        <v>3349</v>
      </c>
      <c r="V1633" s="32">
        <v>45232</v>
      </c>
      <c r="W1633" s="33" t="s">
        <v>5136</v>
      </c>
      <c r="X1633" s="26"/>
      <c r="Y1633" s="22">
        <v>0</v>
      </c>
      <c r="Z1633" s="26" t="s">
        <v>118</v>
      </c>
      <c r="AA1633" s="19" t="s">
        <v>5112</v>
      </c>
      <c r="AB1633" s="26" t="s">
        <v>104</v>
      </c>
      <c r="AC1633" s="26" t="s">
        <v>53</v>
      </c>
      <c r="AD1633" s="19" t="s">
        <v>54</v>
      </c>
      <c r="AE1633" s="26" t="s">
        <v>3285</v>
      </c>
      <c r="AF1633" s="17">
        <v>45348</v>
      </c>
      <c r="AG1633" s="26"/>
      <c r="AH1633" s="26"/>
      <c r="AI1633" s="40">
        <v>2</v>
      </c>
      <c r="AJ1633" s="26"/>
      <c r="AK1633" s="26"/>
      <c r="AL1633" s="35"/>
      <c r="AM1633" s="35"/>
      <c r="AN1633" s="35"/>
      <c r="AO1633" s="35"/>
      <c r="AP1633" s="35"/>
    </row>
    <row r="1634" spans="1:42" x14ac:dyDescent="0.2">
      <c r="A1634" s="14">
        <v>45320</v>
      </c>
      <c r="B1634" s="28" t="s">
        <v>37</v>
      </c>
      <c r="C1634" s="41" t="s">
        <v>118</v>
      </c>
      <c r="D1634" s="26" t="s">
        <v>36</v>
      </c>
      <c r="E1634" s="26" t="s">
        <v>139</v>
      </c>
      <c r="F1634" s="26" t="s">
        <v>4328</v>
      </c>
      <c r="G1634" s="26" t="s">
        <v>221</v>
      </c>
      <c r="H1634" s="26" t="s">
        <v>6128</v>
      </c>
      <c r="I1634" s="17">
        <f ca="1">IFERROR(__xludf.DUMMYFUNCTION("""COMPUTED_VALUE"""),45348)</f>
        <v>45348</v>
      </c>
      <c r="J1634" s="29" t="s">
        <v>2706</v>
      </c>
      <c r="K1634" s="26" t="s">
        <v>2707</v>
      </c>
      <c r="L1634" s="30">
        <v>877590645</v>
      </c>
      <c r="M1634" s="26" t="s">
        <v>80</v>
      </c>
      <c r="N1634" s="26" t="s">
        <v>299</v>
      </c>
      <c r="O1634" s="26" t="s">
        <v>125</v>
      </c>
      <c r="P1634" s="26" t="s">
        <v>4927</v>
      </c>
      <c r="Q1634" s="20">
        <v>15936</v>
      </c>
      <c r="R1634" s="26" t="s">
        <v>36</v>
      </c>
      <c r="S1634" s="31">
        <v>4000</v>
      </c>
      <c r="T1634" s="32">
        <v>45177</v>
      </c>
      <c r="U1634" s="31">
        <v>11936</v>
      </c>
      <c r="V1634" s="32">
        <v>45193</v>
      </c>
      <c r="W1634" s="33" t="s">
        <v>2708</v>
      </c>
      <c r="X1634" s="26"/>
      <c r="Y1634" s="22">
        <v>0</v>
      </c>
      <c r="Z1634" s="26" t="s">
        <v>118</v>
      </c>
      <c r="AA1634" s="19" t="s">
        <v>4541</v>
      </c>
      <c r="AB1634" s="26" t="s">
        <v>104</v>
      </c>
      <c r="AC1634" s="26" t="s">
        <v>53</v>
      </c>
      <c r="AD1634" s="19" t="s">
        <v>138</v>
      </c>
      <c r="AE1634" s="26" t="s">
        <v>4328</v>
      </c>
      <c r="AF1634" s="17">
        <v>45348</v>
      </c>
      <c r="AG1634" s="26"/>
      <c r="AH1634" s="26"/>
      <c r="AI1634" s="40"/>
      <c r="AJ1634" s="26"/>
      <c r="AK1634" s="26"/>
      <c r="AL1634" s="35"/>
      <c r="AM1634" s="35"/>
      <c r="AN1634" s="35"/>
      <c r="AO1634" s="35"/>
      <c r="AP1634" s="35"/>
    </row>
    <row r="1635" spans="1:42" x14ac:dyDescent="0.2">
      <c r="A1635" s="14">
        <v>45320</v>
      </c>
      <c r="B1635" s="28" t="s">
        <v>37</v>
      </c>
      <c r="C1635" s="41" t="s">
        <v>118</v>
      </c>
      <c r="D1635" s="26" t="s">
        <v>36</v>
      </c>
      <c r="E1635" s="26" t="s">
        <v>139</v>
      </c>
      <c r="F1635" s="26" t="s">
        <v>4328</v>
      </c>
      <c r="G1635" s="26" t="s">
        <v>221</v>
      </c>
      <c r="H1635" s="26" t="s">
        <v>6626</v>
      </c>
      <c r="I1635" s="17" t="str">
        <f ca="1">IFERROR(__xludf.DUMMYFUNCTION("""COMPUTED_VALUE""")," ")</f>
        <v xml:space="preserve"> </v>
      </c>
      <c r="J1635" s="29" t="s">
        <v>2638</v>
      </c>
      <c r="K1635" s="26" t="s">
        <v>6627</v>
      </c>
      <c r="L1635" s="30">
        <v>382622857</v>
      </c>
      <c r="M1635" s="26" t="s">
        <v>80</v>
      </c>
      <c r="N1635" s="26" t="s">
        <v>299</v>
      </c>
      <c r="O1635" s="26" t="s">
        <v>2640</v>
      </c>
      <c r="P1635" s="26" t="s">
        <v>4929</v>
      </c>
      <c r="Q1635" s="20">
        <v>15936</v>
      </c>
      <c r="R1635" s="26" t="s">
        <v>36</v>
      </c>
      <c r="S1635" s="31">
        <v>15936</v>
      </c>
      <c r="T1635" s="32">
        <v>45174</v>
      </c>
      <c r="U1635" s="31"/>
      <c r="V1635" s="26"/>
      <c r="W1635" s="33" t="s">
        <v>2642</v>
      </c>
      <c r="X1635" s="26"/>
      <c r="Y1635" s="22">
        <v>0</v>
      </c>
      <c r="Z1635" s="26" t="s">
        <v>118</v>
      </c>
      <c r="AA1635" s="19" t="s">
        <v>4541</v>
      </c>
      <c r="AB1635" s="26" t="s">
        <v>104</v>
      </c>
      <c r="AC1635" s="26" t="s">
        <v>53</v>
      </c>
      <c r="AD1635" s="19" t="s">
        <v>138</v>
      </c>
      <c r="AE1635" s="26" t="s">
        <v>4328</v>
      </c>
      <c r="AF1635" s="17">
        <v>45348</v>
      </c>
      <c r="AG1635" s="26"/>
      <c r="AH1635" s="26"/>
      <c r="AI1635" s="40"/>
      <c r="AJ1635" s="26"/>
      <c r="AK1635" s="26"/>
      <c r="AL1635" s="35"/>
      <c r="AM1635" s="35"/>
      <c r="AN1635" s="35"/>
      <c r="AO1635" s="35"/>
      <c r="AP1635" s="35"/>
    </row>
    <row r="1636" spans="1:42" x14ac:dyDescent="0.2">
      <c r="A1636" s="14">
        <v>45320</v>
      </c>
      <c r="B1636" s="28" t="s">
        <v>37</v>
      </c>
      <c r="C1636" s="41" t="s">
        <v>118</v>
      </c>
      <c r="D1636" s="26" t="s">
        <v>119</v>
      </c>
      <c r="E1636" s="26" t="s">
        <v>119</v>
      </c>
      <c r="F1636" s="26" t="s">
        <v>4328</v>
      </c>
      <c r="G1636" s="26" t="s">
        <v>221</v>
      </c>
      <c r="H1636" s="26" t="s">
        <v>5084</v>
      </c>
      <c r="I1636" s="17">
        <f ca="1">IFERROR(__xludf.DUMMYFUNCTION("""COMPUTED_VALUE"""),45344)</f>
        <v>45344</v>
      </c>
      <c r="J1636" s="29" t="s">
        <v>5443</v>
      </c>
      <c r="K1636" s="26" t="s">
        <v>6628</v>
      </c>
      <c r="L1636" s="30">
        <v>364140656</v>
      </c>
      <c r="M1636" s="26" t="s">
        <v>45</v>
      </c>
      <c r="N1636" s="26" t="s">
        <v>557</v>
      </c>
      <c r="O1636" s="26" t="s">
        <v>5445</v>
      </c>
      <c r="P1636" s="26" t="s">
        <v>5446</v>
      </c>
      <c r="Q1636" s="20">
        <v>13968</v>
      </c>
      <c r="R1636" s="26" t="s">
        <v>36</v>
      </c>
      <c r="S1636" s="31">
        <v>6984</v>
      </c>
      <c r="T1636" s="32">
        <v>45223</v>
      </c>
      <c r="U1636" s="31">
        <v>6984</v>
      </c>
      <c r="V1636" s="32">
        <v>45236</v>
      </c>
      <c r="W1636" s="33" t="s">
        <v>5447</v>
      </c>
      <c r="X1636" s="26"/>
      <c r="Y1636" s="22">
        <v>0</v>
      </c>
      <c r="Z1636" s="26" t="s">
        <v>118</v>
      </c>
      <c r="AA1636" s="19" t="s">
        <v>5112</v>
      </c>
      <c r="AB1636" s="26" t="s">
        <v>104</v>
      </c>
      <c r="AC1636" s="26" t="s">
        <v>53</v>
      </c>
      <c r="AD1636" s="19" t="s">
        <v>138</v>
      </c>
      <c r="AE1636" s="26" t="s">
        <v>4328</v>
      </c>
      <c r="AF1636" s="17">
        <v>45348</v>
      </c>
      <c r="AG1636" s="26"/>
      <c r="AH1636" s="26"/>
      <c r="AI1636" s="40">
        <v>4</v>
      </c>
      <c r="AJ1636" s="26"/>
      <c r="AK1636" s="26"/>
      <c r="AL1636" s="35"/>
      <c r="AM1636" s="35"/>
      <c r="AN1636" s="35"/>
      <c r="AO1636" s="35"/>
      <c r="AP1636" s="35"/>
    </row>
    <row r="1637" spans="1:42" x14ac:dyDescent="0.2">
      <c r="A1637" s="14">
        <v>45320</v>
      </c>
      <c r="B1637" s="28" t="s">
        <v>37</v>
      </c>
      <c r="C1637" s="41" t="s">
        <v>118</v>
      </c>
      <c r="D1637" s="26" t="s">
        <v>36</v>
      </c>
      <c r="E1637" s="26" t="s">
        <v>56</v>
      </c>
      <c r="F1637" s="26" t="s">
        <v>4328</v>
      </c>
      <c r="G1637" s="26" t="s">
        <v>221</v>
      </c>
      <c r="H1637" s="26" t="s">
        <v>6128</v>
      </c>
      <c r="I1637" s="17">
        <f ca="1">IFERROR(__xludf.DUMMYFUNCTION("""COMPUTED_VALUE"""),45348)</f>
        <v>45348</v>
      </c>
      <c r="J1637" s="29" t="s">
        <v>2740</v>
      </c>
      <c r="K1637" s="26" t="s">
        <v>2741</v>
      </c>
      <c r="L1637" s="30">
        <v>583291573</v>
      </c>
      <c r="M1637" s="26" t="s">
        <v>112</v>
      </c>
      <c r="N1637" s="26" t="s">
        <v>3330</v>
      </c>
      <c r="O1637" s="26" t="s">
        <v>2742</v>
      </c>
      <c r="P1637" s="26" t="s">
        <v>4926</v>
      </c>
      <c r="Q1637" s="20">
        <v>9317</v>
      </c>
      <c r="R1637" s="26" t="s">
        <v>36</v>
      </c>
      <c r="S1637" s="31">
        <v>9317</v>
      </c>
      <c r="T1637" s="32">
        <v>45177</v>
      </c>
      <c r="U1637" s="31"/>
      <c r="V1637" s="26"/>
      <c r="W1637" s="33" t="s">
        <v>2744</v>
      </c>
      <c r="X1637" s="26"/>
      <c r="Y1637" s="22">
        <v>0</v>
      </c>
      <c r="Z1637" s="26" t="s">
        <v>118</v>
      </c>
      <c r="AA1637" s="19" t="s">
        <v>4541</v>
      </c>
      <c r="AB1637" s="26" t="s">
        <v>104</v>
      </c>
      <c r="AC1637" s="26" t="s">
        <v>53</v>
      </c>
      <c r="AD1637" s="19" t="s">
        <v>138</v>
      </c>
      <c r="AE1637" s="26" t="s">
        <v>4328</v>
      </c>
      <c r="AF1637" s="17">
        <v>45348</v>
      </c>
      <c r="AG1637" s="26"/>
      <c r="AH1637" s="26"/>
      <c r="AI1637" s="40"/>
      <c r="AJ1637" s="26"/>
      <c r="AK1637" s="26"/>
      <c r="AL1637" s="35"/>
      <c r="AM1637" s="35"/>
      <c r="AN1637" s="35"/>
      <c r="AO1637" s="35"/>
      <c r="AP1637" s="35"/>
    </row>
    <row r="1638" spans="1:42" x14ac:dyDescent="0.2">
      <c r="A1638" s="14">
        <v>45320</v>
      </c>
      <c r="B1638" s="28" t="s">
        <v>37</v>
      </c>
      <c r="C1638" s="41" t="s">
        <v>118</v>
      </c>
      <c r="D1638" s="26" t="s">
        <v>36</v>
      </c>
      <c r="E1638" s="26" t="s">
        <v>139</v>
      </c>
      <c r="F1638" s="26" t="s">
        <v>3285</v>
      </c>
      <c r="G1638" s="26" t="s">
        <v>221</v>
      </c>
      <c r="H1638" s="26" t="s">
        <v>6128</v>
      </c>
      <c r="I1638" s="17">
        <f ca="1">IFERROR(__xludf.DUMMYFUNCTION("""COMPUTED_VALUE"""),45348)</f>
        <v>45348</v>
      </c>
      <c r="J1638" s="29" t="s">
        <v>2527</v>
      </c>
      <c r="K1638" s="26" t="s">
        <v>2528</v>
      </c>
      <c r="L1638" s="30">
        <v>375495946</v>
      </c>
      <c r="M1638" s="26" t="s">
        <v>80</v>
      </c>
      <c r="N1638" s="26" t="s">
        <v>299</v>
      </c>
      <c r="O1638" s="26" t="s">
        <v>2529</v>
      </c>
      <c r="P1638" s="26" t="s">
        <v>4894</v>
      </c>
      <c r="Q1638" s="20">
        <v>15936</v>
      </c>
      <c r="R1638" s="26" t="s">
        <v>36</v>
      </c>
      <c r="S1638" s="31">
        <v>2000</v>
      </c>
      <c r="T1638" s="32">
        <v>45160</v>
      </c>
      <c r="U1638" s="31">
        <v>13936</v>
      </c>
      <c r="V1638" s="32">
        <v>45190</v>
      </c>
      <c r="W1638" s="33" t="s">
        <v>2531</v>
      </c>
      <c r="X1638" s="26"/>
      <c r="Y1638" s="22">
        <v>0</v>
      </c>
      <c r="Z1638" s="26" t="s">
        <v>118</v>
      </c>
      <c r="AA1638" s="19" t="s">
        <v>4541</v>
      </c>
      <c r="AB1638" s="26" t="s">
        <v>104</v>
      </c>
      <c r="AC1638" s="26" t="s">
        <v>53</v>
      </c>
      <c r="AD1638" s="19" t="s">
        <v>138</v>
      </c>
      <c r="AE1638" s="26" t="s">
        <v>3285</v>
      </c>
      <c r="AF1638" s="17">
        <v>45348</v>
      </c>
      <c r="AG1638" s="26"/>
      <c r="AH1638" s="26"/>
      <c r="AI1638" s="40"/>
      <c r="AJ1638" s="26"/>
      <c r="AK1638" s="26"/>
      <c r="AL1638" s="35"/>
      <c r="AM1638" s="35"/>
      <c r="AN1638" s="35"/>
      <c r="AO1638" s="35"/>
      <c r="AP1638" s="35"/>
    </row>
    <row r="1639" spans="1:42" x14ac:dyDescent="0.2">
      <c r="A1639" s="14">
        <v>45320</v>
      </c>
      <c r="B1639" s="28" t="s">
        <v>37</v>
      </c>
      <c r="C1639" s="41" t="s">
        <v>118</v>
      </c>
      <c r="D1639" s="26" t="s">
        <v>36</v>
      </c>
      <c r="E1639" s="26" t="s">
        <v>119</v>
      </c>
      <c r="F1639" s="26" t="s">
        <v>3285</v>
      </c>
      <c r="G1639" s="26" t="s">
        <v>108</v>
      </c>
      <c r="H1639" s="26" t="s">
        <v>2440</v>
      </c>
      <c r="I1639" s="17">
        <f ca="1">IFERROR(__xludf.DUMMYFUNCTION("""COMPUTED_VALUE"""),45306)</f>
        <v>45306</v>
      </c>
      <c r="J1639" s="29" t="s">
        <v>5353</v>
      </c>
      <c r="K1639" s="26" t="s">
        <v>6629</v>
      </c>
      <c r="L1639" s="30">
        <v>867951661</v>
      </c>
      <c r="M1639" s="26" t="s">
        <v>80</v>
      </c>
      <c r="N1639" s="26" t="s">
        <v>81</v>
      </c>
      <c r="O1639" s="26" t="s">
        <v>1388</v>
      </c>
      <c r="P1639" s="26" t="s">
        <v>5354</v>
      </c>
      <c r="Q1639" s="20">
        <v>13968</v>
      </c>
      <c r="R1639" s="26" t="s">
        <v>36</v>
      </c>
      <c r="S1639" s="31">
        <v>3968</v>
      </c>
      <c r="T1639" s="32">
        <v>45213</v>
      </c>
      <c r="U1639" s="31">
        <f>4000+4000+2000</f>
        <v>10000</v>
      </c>
      <c r="V1639" s="26" t="s">
        <v>5355</v>
      </c>
      <c r="W1639" s="33" t="s">
        <v>5356</v>
      </c>
      <c r="X1639" s="26"/>
      <c r="Y1639" s="22">
        <v>0</v>
      </c>
      <c r="Z1639" s="26" t="s">
        <v>118</v>
      </c>
      <c r="AA1639" s="19" t="s">
        <v>5112</v>
      </c>
      <c r="AB1639" s="26" t="s">
        <v>104</v>
      </c>
      <c r="AC1639" s="26" t="s">
        <v>53</v>
      </c>
      <c r="AD1639" s="19" t="s">
        <v>138</v>
      </c>
      <c r="AE1639" s="26" t="s">
        <v>3285</v>
      </c>
      <c r="AF1639" s="17">
        <v>45229</v>
      </c>
      <c r="AG1639" s="114" t="s">
        <v>5357</v>
      </c>
      <c r="AH1639" s="26"/>
      <c r="AI1639" s="40">
        <v>4</v>
      </c>
      <c r="AJ1639" s="26"/>
      <c r="AK1639" s="26"/>
      <c r="AL1639" s="35"/>
      <c r="AM1639" s="35"/>
      <c r="AN1639" s="35"/>
      <c r="AO1639" s="35"/>
      <c r="AP1639" s="35"/>
    </row>
    <row r="1640" spans="1:42" x14ac:dyDescent="0.2">
      <c r="A1640" s="14">
        <v>45320</v>
      </c>
      <c r="B1640" s="28" t="s">
        <v>37</v>
      </c>
      <c r="C1640" s="41" t="s">
        <v>118</v>
      </c>
      <c r="D1640" s="26" t="s">
        <v>36</v>
      </c>
      <c r="E1640" s="26" t="s">
        <v>219</v>
      </c>
      <c r="F1640" s="26" t="s">
        <v>6630</v>
      </c>
      <c r="G1640" s="26" t="s">
        <v>221</v>
      </c>
      <c r="H1640" s="26" t="s">
        <v>6631</v>
      </c>
      <c r="I1640" s="17" t="str">
        <f ca="1">IFERROR(__xludf.DUMMYFUNCTION("""COMPUTED_VALUE""")," ")</f>
        <v xml:space="preserve"> </v>
      </c>
      <c r="J1640" s="29" t="s">
        <v>6632</v>
      </c>
      <c r="K1640" s="26" t="s">
        <v>6633</v>
      </c>
      <c r="L1640" s="30">
        <v>376225906</v>
      </c>
      <c r="M1640" s="26" t="s">
        <v>1245</v>
      </c>
      <c r="N1640" s="26" t="s">
        <v>6634</v>
      </c>
      <c r="O1640" s="26"/>
      <c r="P1640" s="42" t="s">
        <v>6635</v>
      </c>
      <c r="Q1640" s="20"/>
      <c r="R1640" s="26" t="s">
        <v>36</v>
      </c>
      <c r="S1640" s="31">
        <v>16779</v>
      </c>
      <c r="T1640" s="32">
        <v>44806</v>
      </c>
      <c r="U1640" s="31"/>
      <c r="V1640" s="26"/>
      <c r="W1640" s="33" t="s">
        <v>6636</v>
      </c>
      <c r="X1640" s="26">
        <v>0</v>
      </c>
      <c r="Y1640" s="22">
        <v>0</v>
      </c>
      <c r="Z1640" s="26" t="s">
        <v>118</v>
      </c>
      <c r="AA1640" s="19"/>
      <c r="AB1640" s="26" t="s">
        <v>104</v>
      </c>
      <c r="AC1640" s="26" t="s">
        <v>53</v>
      </c>
      <c r="AD1640" s="19" t="s">
        <v>54</v>
      </c>
      <c r="AE1640" s="26" t="s">
        <v>6630</v>
      </c>
      <c r="AF1640" s="17">
        <v>45338</v>
      </c>
      <c r="AG1640" s="91"/>
      <c r="AH1640" s="26"/>
      <c r="AI1640" s="92"/>
      <c r="AJ1640" s="35"/>
      <c r="AK1640" s="35"/>
      <c r="AL1640" s="35"/>
      <c r="AM1640" s="35"/>
      <c r="AN1640" s="26"/>
      <c r="AO1640" s="26"/>
      <c r="AP1640" s="26"/>
    </row>
    <row r="1641" spans="1:42" x14ac:dyDescent="0.2">
      <c r="A1641" s="14">
        <v>45321</v>
      </c>
      <c r="B1641" s="28" t="s">
        <v>90</v>
      </c>
      <c r="C1641" s="41" t="s">
        <v>118</v>
      </c>
      <c r="D1641" s="26" t="s">
        <v>36</v>
      </c>
      <c r="E1641" s="26" t="s">
        <v>56</v>
      </c>
      <c r="F1641" s="26" t="s">
        <v>2234</v>
      </c>
      <c r="G1641" s="26" t="s">
        <v>41</v>
      </c>
      <c r="H1641" s="26" t="s">
        <v>6637</v>
      </c>
      <c r="I1641" s="17">
        <f ca="1">IFERROR(__xludf.DUMMYFUNCTION("""COMPUTED_VALUE"""),45351)</f>
        <v>45351</v>
      </c>
      <c r="J1641" s="29" t="s">
        <v>6638</v>
      </c>
      <c r="K1641" s="26" t="s">
        <v>6639</v>
      </c>
      <c r="L1641" s="30">
        <v>949342263</v>
      </c>
      <c r="M1641" s="26" t="s">
        <v>1245</v>
      </c>
      <c r="N1641" s="26" t="s">
        <v>6634</v>
      </c>
      <c r="O1641" s="26"/>
      <c r="P1641" s="42" t="s">
        <v>6640</v>
      </c>
      <c r="Q1641" s="20"/>
      <c r="R1641" s="26" t="s">
        <v>36</v>
      </c>
      <c r="S1641" s="31">
        <v>10000</v>
      </c>
      <c r="T1641" s="32">
        <v>44867</v>
      </c>
      <c r="U1641" s="31">
        <v>6779</v>
      </c>
      <c r="V1641" s="32">
        <v>44873</v>
      </c>
      <c r="W1641" s="33" t="s">
        <v>6641</v>
      </c>
      <c r="X1641" s="26"/>
      <c r="Y1641" s="22">
        <v>0</v>
      </c>
      <c r="Z1641" s="26" t="s">
        <v>118</v>
      </c>
      <c r="AA1641" s="19"/>
      <c r="AB1641" s="26" t="s">
        <v>104</v>
      </c>
      <c r="AC1641" s="26" t="s">
        <v>53</v>
      </c>
      <c r="AD1641" s="19" t="s">
        <v>54</v>
      </c>
      <c r="AE1641" s="26" t="s">
        <v>6642</v>
      </c>
      <c r="AF1641" s="17">
        <v>45338</v>
      </c>
      <c r="AG1641" s="91"/>
      <c r="AH1641" s="26"/>
      <c r="AI1641" s="92"/>
      <c r="AJ1641" s="35"/>
      <c r="AK1641" s="35"/>
      <c r="AL1641" s="35"/>
      <c r="AM1641" s="35"/>
      <c r="AN1641" s="26"/>
      <c r="AO1641" s="26"/>
      <c r="AP1641" s="35"/>
    </row>
    <row r="1642" spans="1:42" x14ac:dyDescent="0.2">
      <c r="A1642" s="14">
        <v>45321</v>
      </c>
      <c r="B1642" s="28" t="s">
        <v>37</v>
      </c>
      <c r="C1642" s="41" t="s">
        <v>118</v>
      </c>
      <c r="D1642" s="26" t="s">
        <v>36</v>
      </c>
      <c r="E1642" s="26" t="s">
        <v>139</v>
      </c>
      <c r="F1642" s="26" t="s">
        <v>5650</v>
      </c>
      <c r="G1642" s="26" t="s">
        <v>108</v>
      </c>
      <c r="H1642" s="26" t="s">
        <v>889</v>
      </c>
      <c r="I1642" s="17">
        <f ca="1">IFERROR(__xludf.DUMMYFUNCTION("""COMPUTED_VALUE"""),45342)</f>
        <v>45342</v>
      </c>
      <c r="J1642" s="29" t="s">
        <v>5673</v>
      </c>
      <c r="K1642" s="26" t="s">
        <v>5674</v>
      </c>
      <c r="L1642" s="30">
        <v>962091946</v>
      </c>
      <c r="M1642" s="26" t="s">
        <v>292</v>
      </c>
      <c r="N1642" s="26" t="s">
        <v>5675</v>
      </c>
      <c r="O1642" s="26" t="s">
        <v>5676</v>
      </c>
      <c r="P1642" s="26" t="s">
        <v>5677</v>
      </c>
      <c r="Q1642" s="20">
        <v>15936</v>
      </c>
      <c r="R1642" s="26" t="s">
        <v>36</v>
      </c>
      <c r="S1642" s="31">
        <v>1000</v>
      </c>
      <c r="T1642" s="32">
        <v>45214</v>
      </c>
      <c r="U1642" s="31">
        <v>14936</v>
      </c>
      <c r="V1642" s="32">
        <v>45249</v>
      </c>
      <c r="W1642" s="33" t="s">
        <v>5678</v>
      </c>
      <c r="X1642" s="26">
        <v>0</v>
      </c>
      <c r="Y1642" s="22">
        <v>0</v>
      </c>
      <c r="Z1642" s="26" t="s">
        <v>118</v>
      </c>
      <c r="AA1642" s="19" t="s">
        <v>5112</v>
      </c>
      <c r="AB1642" s="26" t="s">
        <v>104</v>
      </c>
      <c r="AC1642" s="26" t="s">
        <v>53</v>
      </c>
      <c r="AD1642" s="19" t="s">
        <v>54</v>
      </c>
      <c r="AE1642" s="26" t="s">
        <v>5650</v>
      </c>
      <c r="AF1642" s="17">
        <v>45338</v>
      </c>
      <c r="AG1642" s="26" t="s">
        <v>5679</v>
      </c>
      <c r="AH1642" s="26"/>
      <c r="AI1642" s="40" t="s">
        <v>147</v>
      </c>
      <c r="AJ1642" s="26"/>
      <c r="AK1642" s="26"/>
      <c r="AL1642" s="35"/>
      <c r="AM1642" s="35"/>
      <c r="AN1642" s="35"/>
      <c r="AO1642" s="35"/>
      <c r="AP1642" s="35"/>
    </row>
    <row r="1643" spans="1:42" x14ac:dyDescent="0.2">
      <c r="A1643" s="14">
        <v>45321</v>
      </c>
      <c r="B1643" s="28" t="s">
        <v>37</v>
      </c>
      <c r="C1643" s="41" t="s">
        <v>118</v>
      </c>
      <c r="D1643" s="26" t="s">
        <v>36</v>
      </c>
      <c r="E1643" s="26" t="s">
        <v>119</v>
      </c>
      <c r="F1643" s="26" t="s">
        <v>1657</v>
      </c>
      <c r="G1643" s="26" t="s">
        <v>221</v>
      </c>
      <c r="H1643" s="26" t="s">
        <v>5084</v>
      </c>
      <c r="I1643" s="17">
        <f ca="1">IFERROR(__xludf.DUMMYFUNCTION("""COMPUTED_VALUE"""),45344)</f>
        <v>45344</v>
      </c>
      <c r="J1643" s="29" t="s">
        <v>2516</v>
      </c>
      <c r="K1643" s="26" t="s">
        <v>2517</v>
      </c>
      <c r="L1643" s="30">
        <v>986599773</v>
      </c>
      <c r="M1643" s="26" t="s">
        <v>80</v>
      </c>
      <c r="N1643" s="26" t="s">
        <v>299</v>
      </c>
      <c r="O1643" s="26" t="s">
        <v>2518</v>
      </c>
      <c r="P1643" s="42" t="s">
        <v>6643</v>
      </c>
      <c r="Q1643" s="20">
        <v>13968</v>
      </c>
      <c r="R1643" s="26" t="s">
        <v>36</v>
      </c>
      <c r="S1643" s="31">
        <v>3768</v>
      </c>
      <c r="T1643" s="32">
        <v>45160</v>
      </c>
      <c r="U1643" s="31">
        <v>10200</v>
      </c>
      <c r="V1643" s="32">
        <v>45190</v>
      </c>
      <c r="W1643" s="33" t="s">
        <v>2520</v>
      </c>
      <c r="X1643" s="26"/>
      <c r="Y1643" s="22">
        <v>0</v>
      </c>
      <c r="Z1643" s="26" t="s">
        <v>118</v>
      </c>
      <c r="AA1643" s="19" t="s">
        <v>2449</v>
      </c>
      <c r="AB1643" s="26" t="s">
        <v>104</v>
      </c>
      <c r="AC1643" s="26" t="s">
        <v>53</v>
      </c>
      <c r="AD1643" s="19" t="s">
        <v>54</v>
      </c>
      <c r="AE1643" s="26" t="s">
        <v>1657</v>
      </c>
      <c r="AF1643" s="17">
        <v>45338</v>
      </c>
      <c r="AG1643" s="26"/>
      <c r="AH1643" s="26"/>
      <c r="AI1643" s="40"/>
      <c r="AJ1643" s="26"/>
      <c r="AK1643" s="26"/>
      <c r="AL1643" s="35"/>
      <c r="AM1643" s="35"/>
      <c r="AN1643" s="35"/>
      <c r="AO1643" s="35"/>
      <c r="AP1643" s="35"/>
    </row>
    <row r="1644" spans="1:42" x14ac:dyDescent="0.2">
      <c r="A1644" s="14">
        <v>45321</v>
      </c>
      <c r="B1644" s="28" t="s">
        <v>37</v>
      </c>
      <c r="C1644" s="41" t="s">
        <v>118</v>
      </c>
      <c r="D1644" s="26" t="s">
        <v>36</v>
      </c>
      <c r="E1644" s="26" t="s">
        <v>139</v>
      </c>
      <c r="F1644" s="26" t="s">
        <v>2381</v>
      </c>
      <c r="G1644" s="26" t="s">
        <v>221</v>
      </c>
      <c r="H1644" s="26" t="s">
        <v>5084</v>
      </c>
      <c r="I1644" s="17">
        <f ca="1">IFERROR(__xludf.DUMMYFUNCTION("""COMPUTED_VALUE"""),45344)</f>
        <v>45344</v>
      </c>
      <c r="J1644" s="29" t="s">
        <v>2470</v>
      </c>
      <c r="K1644" s="26" t="s">
        <v>3277</v>
      </c>
      <c r="L1644" s="30">
        <v>846864818</v>
      </c>
      <c r="M1644" s="26" t="s">
        <v>123</v>
      </c>
      <c r="N1644" s="26" t="s">
        <v>2472</v>
      </c>
      <c r="O1644" s="26" t="s">
        <v>1226</v>
      </c>
      <c r="P1644" s="42" t="s">
        <v>3278</v>
      </c>
      <c r="Q1644" s="20">
        <v>15936</v>
      </c>
      <c r="R1644" s="26" t="s">
        <v>36</v>
      </c>
      <c r="S1644" s="31">
        <v>2000</v>
      </c>
      <c r="T1644" s="32">
        <v>45149</v>
      </c>
      <c r="U1644" s="31">
        <v>13936</v>
      </c>
      <c r="V1644" s="32">
        <v>45174</v>
      </c>
      <c r="W1644" s="33" t="s">
        <v>2474</v>
      </c>
      <c r="X1644" s="26"/>
      <c r="Y1644" s="22">
        <v>0</v>
      </c>
      <c r="Z1644" s="26" t="s">
        <v>118</v>
      </c>
      <c r="AA1644" s="19" t="s">
        <v>2449</v>
      </c>
      <c r="AB1644" s="26" t="s">
        <v>104</v>
      </c>
      <c r="AC1644" s="26" t="s">
        <v>53</v>
      </c>
      <c r="AD1644" s="19" t="s">
        <v>54</v>
      </c>
      <c r="AE1644" s="26" t="s">
        <v>2381</v>
      </c>
      <c r="AF1644" s="17">
        <v>45338</v>
      </c>
      <c r="AG1644" s="26"/>
      <c r="AH1644" s="26"/>
      <c r="AI1644" s="40"/>
      <c r="AJ1644" s="26"/>
      <c r="AK1644" s="26"/>
      <c r="AL1644" s="35"/>
      <c r="AM1644" s="35"/>
      <c r="AN1644" s="35"/>
      <c r="AO1644" s="35"/>
      <c r="AP1644" s="35"/>
    </row>
    <row r="1645" spans="1:42" x14ac:dyDescent="0.2">
      <c r="A1645" s="14">
        <v>45322</v>
      </c>
      <c r="B1645" s="28" t="s">
        <v>37</v>
      </c>
      <c r="C1645" s="41" t="s">
        <v>118</v>
      </c>
      <c r="D1645" s="26" t="s">
        <v>36</v>
      </c>
      <c r="E1645" s="26" t="s">
        <v>139</v>
      </c>
      <c r="F1645" s="26" t="s">
        <v>2426</v>
      </c>
      <c r="G1645" s="26" t="s">
        <v>221</v>
      </c>
      <c r="H1645" s="26" t="s">
        <v>5084</v>
      </c>
      <c r="I1645" s="17">
        <f ca="1">IFERROR(__xludf.DUMMYFUNCTION("""COMPUTED_VALUE"""),45344)</f>
        <v>45344</v>
      </c>
      <c r="J1645" s="29" t="s">
        <v>2484</v>
      </c>
      <c r="K1645" s="26" t="s">
        <v>4834</v>
      </c>
      <c r="L1645" s="30">
        <v>989920758</v>
      </c>
      <c r="M1645" s="26" t="s">
        <v>123</v>
      </c>
      <c r="N1645" s="26" t="s">
        <v>850</v>
      </c>
      <c r="O1645" s="26" t="s">
        <v>125</v>
      </c>
      <c r="P1645" s="42" t="s">
        <v>6644</v>
      </c>
      <c r="Q1645" s="20">
        <v>15936</v>
      </c>
      <c r="R1645" s="26" t="s">
        <v>36</v>
      </c>
      <c r="S1645" s="31">
        <v>500</v>
      </c>
      <c r="T1645" s="32">
        <v>45154</v>
      </c>
      <c r="U1645" s="21">
        <f>1500+13936</f>
        <v>15436</v>
      </c>
      <c r="V1645" s="26" t="s">
        <v>2487</v>
      </c>
      <c r="W1645" s="33" t="s">
        <v>2488</v>
      </c>
      <c r="X1645" s="26"/>
      <c r="Y1645" s="22">
        <v>0</v>
      </c>
      <c r="Z1645" s="26" t="s">
        <v>118</v>
      </c>
      <c r="AA1645" s="19" t="s">
        <v>4541</v>
      </c>
      <c r="AB1645" s="26" t="s">
        <v>104</v>
      </c>
      <c r="AC1645" s="26" t="s">
        <v>53</v>
      </c>
      <c r="AD1645" s="19" t="s">
        <v>54</v>
      </c>
      <c r="AE1645" s="26" t="s">
        <v>2426</v>
      </c>
      <c r="AF1645" s="17">
        <v>45338</v>
      </c>
      <c r="AG1645" s="26"/>
      <c r="AH1645" s="26"/>
      <c r="AI1645" s="40"/>
      <c r="AJ1645" s="26"/>
      <c r="AK1645" s="26"/>
      <c r="AL1645" s="35"/>
      <c r="AM1645" s="35"/>
      <c r="AN1645" s="35"/>
      <c r="AO1645" s="35"/>
      <c r="AP1645" s="35"/>
    </row>
    <row r="1646" spans="1:42" x14ac:dyDescent="0.2">
      <c r="A1646" s="14">
        <v>45322</v>
      </c>
      <c r="B1646" s="28" t="s">
        <v>37</v>
      </c>
      <c r="C1646" s="41" t="s">
        <v>118</v>
      </c>
      <c r="D1646" s="26" t="s">
        <v>36</v>
      </c>
      <c r="E1646" s="26" t="s">
        <v>139</v>
      </c>
      <c r="F1646" s="26" t="s">
        <v>2424</v>
      </c>
      <c r="G1646" s="26" t="s">
        <v>221</v>
      </c>
      <c r="H1646" s="26" t="s">
        <v>6645</v>
      </c>
      <c r="I1646" s="17">
        <f ca="1">IFERROR(__xludf.DUMMYFUNCTION("""COMPUTED_VALUE"""),45404)</f>
        <v>45404</v>
      </c>
      <c r="J1646" s="29" t="s">
        <v>962</v>
      </c>
      <c r="K1646" s="26" t="s">
        <v>6646</v>
      </c>
      <c r="L1646" s="30">
        <v>564104314</v>
      </c>
      <c r="M1646" s="26" t="s">
        <v>123</v>
      </c>
      <c r="N1646" s="26" t="s">
        <v>207</v>
      </c>
      <c r="O1646" s="26" t="s">
        <v>964</v>
      </c>
      <c r="P1646" s="42" t="s">
        <v>6647</v>
      </c>
      <c r="Q1646" s="20">
        <v>15936</v>
      </c>
      <c r="R1646" s="26" t="s">
        <v>36</v>
      </c>
      <c r="S1646" s="31">
        <v>5000</v>
      </c>
      <c r="T1646" s="32">
        <v>45117</v>
      </c>
      <c r="U1646" s="58">
        <f>10930+6</f>
        <v>10936</v>
      </c>
      <c r="V1646" s="26" t="s">
        <v>966</v>
      </c>
      <c r="W1646" s="33" t="s">
        <v>967</v>
      </c>
      <c r="X1646" s="26">
        <v>0</v>
      </c>
      <c r="Y1646" s="22">
        <v>0</v>
      </c>
      <c r="Z1646" s="26" t="s">
        <v>118</v>
      </c>
      <c r="AA1646" s="19" t="s">
        <v>901</v>
      </c>
      <c r="AB1646" s="26" t="s">
        <v>104</v>
      </c>
      <c r="AC1646" s="26" t="s">
        <v>53</v>
      </c>
      <c r="AD1646" s="19" t="s">
        <v>54</v>
      </c>
      <c r="AE1646" s="26" t="s">
        <v>2424</v>
      </c>
      <c r="AF1646" s="17">
        <v>45392</v>
      </c>
      <c r="AG1646" s="26"/>
      <c r="AH1646" s="26">
        <v>1</v>
      </c>
      <c r="AI1646" s="40" t="s">
        <v>147</v>
      </c>
      <c r="AJ1646" s="26"/>
      <c r="AK1646" s="26"/>
      <c r="AL1646" s="35"/>
      <c r="AM1646" s="35"/>
      <c r="AN1646" s="35"/>
      <c r="AO1646" s="35"/>
      <c r="AP1646" s="35"/>
    </row>
    <row r="1647" spans="1:42" x14ac:dyDescent="0.2">
      <c r="A1647" s="14">
        <v>45323</v>
      </c>
      <c r="B1647" s="28" t="s">
        <v>37</v>
      </c>
      <c r="C1647" s="41" t="s">
        <v>118</v>
      </c>
      <c r="D1647" s="26" t="s">
        <v>36</v>
      </c>
      <c r="E1647" s="26" t="s">
        <v>139</v>
      </c>
      <c r="F1647" s="26" t="s">
        <v>3311</v>
      </c>
      <c r="G1647" s="26" t="s">
        <v>108</v>
      </c>
      <c r="H1647" s="26" t="s">
        <v>889</v>
      </c>
      <c r="I1647" s="17">
        <f ca="1">IFERROR(__xludf.DUMMYFUNCTION("""COMPUTED_VALUE"""),45342)</f>
        <v>45342</v>
      </c>
      <c r="J1647" s="29" t="s">
        <v>2499</v>
      </c>
      <c r="K1647" s="26" t="s">
        <v>6648</v>
      </c>
      <c r="L1647" s="30">
        <v>334264836</v>
      </c>
      <c r="M1647" s="26" t="s">
        <v>80</v>
      </c>
      <c r="N1647" s="26" t="s">
        <v>299</v>
      </c>
      <c r="O1647" s="26" t="s">
        <v>2501</v>
      </c>
      <c r="P1647" s="42" t="s">
        <v>2502</v>
      </c>
      <c r="Q1647" s="20">
        <v>15936</v>
      </c>
      <c r="R1647" s="26" t="s">
        <v>36</v>
      </c>
      <c r="S1647" s="31">
        <v>2000</v>
      </c>
      <c r="T1647" s="32">
        <v>45156</v>
      </c>
      <c r="U1647" s="31">
        <v>13968</v>
      </c>
      <c r="V1647" s="32">
        <v>45184</v>
      </c>
      <c r="W1647" s="33" t="s">
        <v>2503</v>
      </c>
      <c r="X1647" s="26"/>
      <c r="Y1647" s="22">
        <v>-32</v>
      </c>
      <c r="Z1647" s="26" t="s">
        <v>118</v>
      </c>
      <c r="AA1647" s="19" t="s">
        <v>2449</v>
      </c>
      <c r="AB1647" s="26" t="s">
        <v>104</v>
      </c>
      <c r="AC1647" s="26" t="s">
        <v>53</v>
      </c>
      <c r="AD1647" s="19" t="s">
        <v>54</v>
      </c>
      <c r="AE1647" s="26" t="s">
        <v>2088</v>
      </c>
      <c r="AF1647" s="43">
        <v>45218</v>
      </c>
      <c r="AG1647" s="72" t="s">
        <v>6649</v>
      </c>
      <c r="AH1647" s="26"/>
      <c r="AI1647" s="40"/>
      <c r="AJ1647" s="26"/>
      <c r="AK1647" s="26"/>
      <c r="AL1647" s="35"/>
      <c r="AM1647" s="35"/>
      <c r="AN1647" s="35"/>
      <c r="AO1647" s="35"/>
      <c r="AP1647" s="35"/>
    </row>
    <row r="1648" spans="1:42" x14ac:dyDescent="0.2">
      <c r="A1648" s="14">
        <v>45327</v>
      </c>
      <c r="B1648" s="28" t="s">
        <v>37</v>
      </c>
      <c r="C1648" s="41" t="s">
        <v>118</v>
      </c>
      <c r="D1648" s="26" t="s">
        <v>36</v>
      </c>
      <c r="E1648" s="26" t="s">
        <v>139</v>
      </c>
      <c r="F1648" s="26" t="s">
        <v>2889</v>
      </c>
      <c r="G1648" s="26" t="s">
        <v>41</v>
      </c>
      <c r="H1648" s="26" t="s">
        <v>4087</v>
      </c>
      <c r="I1648" s="17">
        <f ca="1">IFERROR(__xludf.DUMMYFUNCTION("""COMPUTED_VALUE"""),45358)</f>
        <v>45358</v>
      </c>
      <c r="J1648" s="29" t="s">
        <v>3764</v>
      </c>
      <c r="K1648" s="26" t="s">
        <v>6650</v>
      </c>
      <c r="L1648" s="30">
        <v>913402962</v>
      </c>
      <c r="M1648" s="26" t="s">
        <v>2755</v>
      </c>
      <c r="N1648" s="26" t="s">
        <v>3512</v>
      </c>
      <c r="O1648" s="26" t="s">
        <v>91</v>
      </c>
      <c r="P1648" s="42" t="s">
        <v>6651</v>
      </c>
      <c r="Q1648" s="20">
        <v>15936</v>
      </c>
      <c r="R1648" s="26" t="s">
        <v>36</v>
      </c>
      <c r="S1648" s="31">
        <v>2000</v>
      </c>
      <c r="T1648" s="32">
        <v>45189</v>
      </c>
      <c r="U1648" s="58">
        <v>13936</v>
      </c>
      <c r="V1648" s="59">
        <v>45221</v>
      </c>
      <c r="W1648" s="33" t="s">
        <v>3767</v>
      </c>
      <c r="X1648" s="26"/>
      <c r="Y1648" s="22">
        <v>0</v>
      </c>
      <c r="Z1648" s="26" t="s">
        <v>118</v>
      </c>
      <c r="AA1648" s="19" t="s">
        <v>3454</v>
      </c>
      <c r="AB1648" s="26" t="s">
        <v>104</v>
      </c>
      <c r="AC1648" s="26" t="s">
        <v>53</v>
      </c>
      <c r="AD1648" s="19" t="s">
        <v>138</v>
      </c>
      <c r="AE1648" s="26" t="s">
        <v>2889</v>
      </c>
      <c r="AF1648" s="17">
        <v>45200</v>
      </c>
      <c r="AG1648" s="26" t="s">
        <v>2889</v>
      </c>
      <c r="AH1648" s="26"/>
      <c r="AI1648" s="40"/>
      <c r="AJ1648" s="26"/>
      <c r="AK1648" s="26"/>
      <c r="AL1648" s="35"/>
      <c r="AM1648" s="35"/>
      <c r="AN1648" s="35"/>
      <c r="AO1648" s="35"/>
      <c r="AP1648" s="35"/>
    </row>
    <row r="1649" spans="1:42" x14ac:dyDescent="0.2">
      <c r="A1649" s="14">
        <v>45337</v>
      </c>
      <c r="B1649" s="28" t="s">
        <v>37</v>
      </c>
      <c r="C1649" s="41" t="s">
        <v>118</v>
      </c>
      <c r="D1649" s="26" t="s">
        <v>36</v>
      </c>
      <c r="E1649" s="26" t="s">
        <v>139</v>
      </c>
      <c r="F1649" s="26" t="s">
        <v>3930</v>
      </c>
      <c r="G1649" s="26" t="s">
        <v>108</v>
      </c>
      <c r="H1649" s="26" t="s">
        <v>4931</v>
      </c>
      <c r="I1649" s="17">
        <f ca="1">IFERROR(__xludf.DUMMYFUNCTION("""COMPUTED_VALUE"""),45375)</f>
        <v>45375</v>
      </c>
      <c r="J1649" s="29" t="s">
        <v>5331</v>
      </c>
      <c r="K1649" s="26" t="s">
        <v>5332</v>
      </c>
      <c r="L1649" s="30">
        <v>336138599</v>
      </c>
      <c r="M1649" s="26" t="s">
        <v>80</v>
      </c>
      <c r="N1649" s="26" t="s">
        <v>186</v>
      </c>
      <c r="O1649" s="26" t="s">
        <v>5333</v>
      </c>
      <c r="P1649" s="26" t="s">
        <v>5334</v>
      </c>
      <c r="Q1649" s="20">
        <v>15936</v>
      </c>
      <c r="R1649" s="26" t="s">
        <v>36</v>
      </c>
      <c r="S1649" s="31">
        <v>4000</v>
      </c>
      <c r="T1649" s="32">
        <v>45214</v>
      </c>
      <c r="U1649" s="31">
        <v>11936</v>
      </c>
      <c r="V1649" s="32">
        <v>45239</v>
      </c>
      <c r="W1649" s="33" t="s">
        <v>5335</v>
      </c>
      <c r="X1649" s="26"/>
      <c r="Y1649" s="22">
        <v>0</v>
      </c>
      <c r="Z1649" s="26" t="s">
        <v>118</v>
      </c>
      <c r="AA1649" s="19" t="s">
        <v>5112</v>
      </c>
      <c r="AB1649" s="26" t="s">
        <v>104</v>
      </c>
      <c r="AC1649" s="26" t="s">
        <v>53</v>
      </c>
      <c r="AD1649" s="19" t="s">
        <v>138</v>
      </c>
      <c r="AE1649" s="26" t="s">
        <v>3930</v>
      </c>
      <c r="AF1649" s="17">
        <v>45375</v>
      </c>
      <c r="AG1649" s="26" t="s">
        <v>1362</v>
      </c>
      <c r="AH1649" s="26"/>
      <c r="AI1649" s="40" t="s">
        <v>147</v>
      </c>
      <c r="AJ1649" s="26"/>
      <c r="AK1649" s="26"/>
      <c r="AL1649" s="35"/>
      <c r="AM1649" s="35"/>
      <c r="AN1649" s="35"/>
      <c r="AO1649" s="35"/>
      <c r="AP1649" s="35"/>
    </row>
    <row r="1650" spans="1:42" x14ac:dyDescent="0.2">
      <c r="A1650" s="14">
        <v>45337</v>
      </c>
      <c r="B1650" s="28" t="s">
        <v>37</v>
      </c>
      <c r="C1650" s="41" t="s">
        <v>118</v>
      </c>
      <c r="D1650" s="26" t="s">
        <v>36</v>
      </c>
      <c r="E1650" s="26" t="s">
        <v>148</v>
      </c>
      <c r="F1650" s="26" t="s">
        <v>3264</v>
      </c>
      <c r="G1650" s="26" t="s">
        <v>221</v>
      </c>
      <c r="H1650" s="26" t="s">
        <v>5093</v>
      </c>
      <c r="I1650" s="17">
        <f ca="1">IFERROR(__xludf.DUMMYFUNCTION("""COMPUTED_VALUE"""),45348)</f>
        <v>45348</v>
      </c>
      <c r="J1650" s="29" t="s">
        <v>4761</v>
      </c>
      <c r="K1650" s="26" t="s">
        <v>4762</v>
      </c>
      <c r="L1650" s="30">
        <v>355730216</v>
      </c>
      <c r="M1650" s="26" t="s">
        <v>391</v>
      </c>
      <c r="N1650" s="26" t="s">
        <v>2143</v>
      </c>
      <c r="O1650" s="26" t="s">
        <v>2144</v>
      </c>
      <c r="P1650" s="42" t="s">
        <v>6652</v>
      </c>
      <c r="Q1650" s="20">
        <v>7349</v>
      </c>
      <c r="R1650" s="26" t="s">
        <v>36</v>
      </c>
      <c r="S1650" s="31">
        <v>16799</v>
      </c>
      <c r="T1650" s="32">
        <v>44985</v>
      </c>
      <c r="U1650" s="31"/>
      <c r="V1650" s="26"/>
      <c r="W1650" s="26"/>
      <c r="X1650" s="26"/>
      <c r="Y1650" s="22">
        <v>-9450</v>
      </c>
      <c r="Z1650" s="26" t="s">
        <v>118</v>
      </c>
      <c r="AA1650" s="19" t="s">
        <v>4541</v>
      </c>
      <c r="AB1650" s="26" t="s">
        <v>104</v>
      </c>
      <c r="AC1650" s="26" t="s">
        <v>53</v>
      </c>
      <c r="AD1650" s="19" t="s">
        <v>54</v>
      </c>
      <c r="AE1650" s="26" t="s">
        <v>3264</v>
      </c>
      <c r="AF1650" s="17">
        <v>45343</v>
      </c>
      <c r="AG1650" s="26"/>
      <c r="AH1650" s="26"/>
      <c r="AI1650" s="40"/>
      <c r="AJ1650" s="26"/>
      <c r="AK1650" s="26"/>
      <c r="AL1650" s="35"/>
      <c r="AM1650" s="35"/>
      <c r="AN1650" s="35"/>
      <c r="AO1650" s="35"/>
      <c r="AP1650" s="35"/>
    </row>
    <row r="1651" spans="1:42" x14ac:dyDescent="0.2">
      <c r="A1651" s="14">
        <v>45337</v>
      </c>
      <c r="B1651" s="28" t="s">
        <v>37</v>
      </c>
      <c r="C1651" s="41" t="s">
        <v>118</v>
      </c>
      <c r="D1651" s="26" t="s">
        <v>36</v>
      </c>
      <c r="E1651" s="26" t="s">
        <v>56</v>
      </c>
      <c r="F1651" s="26" t="s">
        <v>2973</v>
      </c>
      <c r="G1651" s="26" t="s">
        <v>108</v>
      </c>
      <c r="H1651" s="26" t="s">
        <v>6653</v>
      </c>
      <c r="I1651" s="17" t="str">
        <f ca="1">IFERROR(__xludf.DUMMYFUNCTION("""COMPUTED_VALUE""")," ")</f>
        <v xml:space="preserve"> </v>
      </c>
      <c r="J1651" s="29" t="s">
        <v>3037</v>
      </c>
      <c r="K1651" s="26" t="s">
        <v>6654</v>
      </c>
      <c r="L1651" s="30">
        <v>865297994</v>
      </c>
      <c r="M1651" s="26" t="s">
        <v>59</v>
      </c>
      <c r="N1651" s="26" t="s">
        <v>60</v>
      </c>
      <c r="O1651" s="26" t="s">
        <v>3039</v>
      </c>
      <c r="P1651" s="42" t="s">
        <v>6655</v>
      </c>
      <c r="Q1651" s="20">
        <v>9317</v>
      </c>
      <c r="R1651" s="26" t="s">
        <v>36</v>
      </c>
      <c r="S1651" s="31">
        <v>9317</v>
      </c>
      <c r="T1651" s="32">
        <v>45190</v>
      </c>
      <c r="U1651" s="31"/>
      <c r="V1651" s="26"/>
      <c r="W1651" s="33" t="s">
        <v>3041</v>
      </c>
      <c r="X1651" s="26"/>
      <c r="Y1651" s="22">
        <v>0</v>
      </c>
      <c r="Z1651" s="26" t="s">
        <v>118</v>
      </c>
      <c r="AA1651" s="19" t="s">
        <v>2449</v>
      </c>
      <c r="AB1651" s="26" t="s">
        <v>104</v>
      </c>
      <c r="AC1651" s="26" t="s">
        <v>53</v>
      </c>
      <c r="AD1651" s="19" t="s">
        <v>54</v>
      </c>
      <c r="AE1651" s="26" t="s">
        <v>2973</v>
      </c>
      <c r="AF1651" s="17">
        <v>45358</v>
      </c>
      <c r="AG1651" s="26"/>
      <c r="AH1651" s="26"/>
      <c r="AI1651" s="40"/>
      <c r="AJ1651" s="26"/>
      <c r="AK1651" s="26"/>
      <c r="AL1651" s="35"/>
      <c r="AM1651" s="35"/>
      <c r="AN1651" s="35"/>
      <c r="AO1651" s="35"/>
      <c r="AP1651" s="35"/>
    </row>
    <row r="1652" spans="1:42" x14ac:dyDescent="0.2">
      <c r="A1652" s="14">
        <v>45337</v>
      </c>
      <c r="B1652" s="28" t="s">
        <v>37</v>
      </c>
      <c r="C1652" s="41" t="s">
        <v>118</v>
      </c>
      <c r="D1652" s="26" t="s">
        <v>36</v>
      </c>
      <c r="E1652" s="26" t="s">
        <v>139</v>
      </c>
      <c r="F1652" s="26" t="s">
        <v>3314</v>
      </c>
      <c r="G1652" s="26" t="s">
        <v>221</v>
      </c>
      <c r="H1652" s="26" t="s">
        <v>5093</v>
      </c>
      <c r="I1652" s="17">
        <f ca="1">IFERROR(__xludf.DUMMYFUNCTION("""COMPUTED_VALUE"""),45348)</f>
        <v>45348</v>
      </c>
      <c r="J1652" s="29" t="s">
        <v>1862</v>
      </c>
      <c r="K1652" s="26" t="s">
        <v>6656</v>
      </c>
      <c r="L1652" s="30">
        <v>969495520</v>
      </c>
      <c r="M1652" s="26" t="s">
        <v>112</v>
      </c>
      <c r="N1652" s="26" t="s">
        <v>3330</v>
      </c>
      <c r="O1652" s="26" t="s">
        <v>1864</v>
      </c>
      <c r="P1652" s="42" t="s">
        <v>6657</v>
      </c>
      <c r="Q1652" s="20">
        <v>15936</v>
      </c>
      <c r="R1652" s="26" t="s">
        <v>36</v>
      </c>
      <c r="S1652" s="31">
        <v>15963</v>
      </c>
      <c r="T1652" s="32">
        <v>45166</v>
      </c>
      <c r="U1652" s="31"/>
      <c r="V1652" s="26"/>
      <c r="W1652" s="33" t="s">
        <v>1866</v>
      </c>
      <c r="X1652" s="26">
        <v>0</v>
      </c>
      <c r="Y1652" s="22">
        <v>-27</v>
      </c>
      <c r="Z1652" s="26" t="s">
        <v>118</v>
      </c>
      <c r="AA1652" s="19" t="s">
        <v>4541</v>
      </c>
      <c r="AB1652" s="26" t="s">
        <v>104</v>
      </c>
      <c r="AC1652" s="26" t="s">
        <v>53</v>
      </c>
      <c r="AD1652" s="19" t="s">
        <v>138</v>
      </c>
      <c r="AE1652" s="26" t="s">
        <v>3314</v>
      </c>
      <c r="AF1652" s="17">
        <v>45343</v>
      </c>
      <c r="AG1652" s="26"/>
      <c r="AH1652" s="26"/>
      <c r="AI1652" s="40"/>
      <c r="AJ1652" s="26"/>
      <c r="AK1652" s="26"/>
      <c r="AL1652" s="35"/>
      <c r="AM1652" s="35"/>
      <c r="AN1652" s="35"/>
      <c r="AO1652" s="35"/>
      <c r="AP1652" s="35"/>
    </row>
    <row r="1653" spans="1:42" x14ac:dyDescent="0.2">
      <c r="A1653" s="14">
        <v>45337</v>
      </c>
      <c r="B1653" s="28" t="s">
        <v>37</v>
      </c>
      <c r="C1653" s="41" t="s">
        <v>118</v>
      </c>
      <c r="D1653" s="26" t="s">
        <v>36</v>
      </c>
      <c r="E1653" s="26" t="s">
        <v>119</v>
      </c>
      <c r="F1653" s="26" t="s">
        <v>3264</v>
      </c>
      <c r="G1653" s="26" t="s">
        <v>221</v>
      </c>
      <c r="H1653" s="26" t="s">
        <v>5063</v>
      </c>
      <c r="I1653" s="17">
        <f ca="1">IFERROR(__xludf.DUMMYFUNCTION("""COMPUTED_VALUE"""),45345)</f>
        <v>45345</v>
      </c>
      <c r="J1653" s="29" t="s">
        <v>3924</v>
      </c>
      <c r="K1653" s="26" t="s">
        <v>6658</v>
      </c>
      <c r="L1653" s="30">
        <v>398766692</v>
      </c>
      <c r="M1653" s="26" t="s">
        <v>80</v>
      </c>
      <c r="N1653" s="26" t="s">
        <v>81</v>
      </c>
      <c r="O1653" s="26" t="s">
        <v>1492</v>
      </c>
      <c r="P1653" s="26" t="s">
        <v>3926</v>
      </c>
      <c r="Q1653" s="20">
        <v>13968</v>
      </c>
      <c r="R1653" s="26" t="s">
        <v>36</v>
      </c>
      <c r="S1653" s="31">
        <v>200</v>
      </c>
      <c r="T1653" s="32">
        <v>45196</v>
      </c>
      <c r="U1653" s="31">
        <f>3800 +9968</f>
        <v>13768</v>
      </c>
      <c r="V1653" s="26" t="s">
        <v>3927</v>
      </c>
      <c r="W1653" s="33" t="s">
        <v>3928</v>
      </c>
      <c r="X1653" s="26"/>
      <c r="Y1653" s="22">
        <v>0</v>
      </c>
      <c r="Z1653" s="26" t="s">
        <v>118</v>
      </c>
      <c r="AA1653" s="19" t="s">
        <v>3454</v>
      </c>
      <c r="AB1653" s="26" t="s">
        <v>104</v>
      </c>
      <c r="AC1653" s="26" t="s">
        <v>53</v>
      </c>
      <c r="AD1653" s="19" t="s">
        <v>54</v>
      </c>
      <c r="AE1653" s="26" t="s">
        <v>3264</v>
      </c>
      <c r="AF1653" s="17">
        <v>45343</v>
      </c>
      <c r="AG1653" s="26"/>
      <c r="AH1653" s="26"/>
      <c r="AI1653" s="40"/>
      <c r="AJ1653" s="26"/>
      <c r="AK1653" s="26"/>
      <c r="AL1653" s="35"/>
      <c r="AM1653" s="35"/>
      <c r="AN1653" s="35"/>
      <c r="AO1653" s="35"/>
      <c r="AP1653" s="35"/>
    </row>
    <row r="1654" spans="1:42" x14ac:dyDescent="0.2">
      <c r="A1654" s="14">
        <v>45337</v>
      </c>
      <c r="B1654" s="28" t="s">
        <v>37</v>
      </c>
      <c r="C1654" s="41" t="s">
        <v>118</v>
      </c>
      <c r="D1654" s="26" t="s">
        <v>36</v>
      </c>
      <c r="E1654" s="26" t="s">
        <v>148</v>
      </c>
      <c r="F1654" s="26" t="s">
        <v>2401</v>
      </c>
      <c r="G1654" s="26" t="s">
        <v>221</v>
      </c>
      <c r="H1654" s="26" t="s">
        <v>5093</v>
      </c>
      <c r="I1654" s="17">
        <f ca="1">IFERROR(__xludf.DUMMYFUNCTION("""COMPUTED_VALUE"""),45348)</f>
        <v>45348</v>
      </c>
      <c r="J1654" s="29" t="s">
        <v>3008</v>
      </c>
      <c r="K1654" s="26" t="s">
        <v>3009</v>
      </c>
      <c r="L1654" s="30">
        <v>334767711</v>
      </c>
      <c r="M1654" s="26" t="s">
        <v>348</v>
      </c>
      <c r="N1654" s="26" t="s">
        <v>68</v>
      </c>
      <c r="O1654" s="26" t="s">
        <v>3010</v>
      </c>
      <c r="P1654" s="42" t="s">
        <v>3011</v>
      </c>
      <c r="Q1654" s="20">
        <v>7349</v>
      </c>
      <c r="R1654" s="26" t="s">
        <v>36</v>
      </c>
      <c r="S1654" s="31">
        <v>7349</v>
      </c>
      <c r="T1654" s="32">
        <v>45189</v>
      </c>
      <c r="U1654" s="31"/>
      <c r="V1654" s="26"/>
      <c r="W1654" s="33" t="s">
        <v>3012</v>
      </c>
      <c r="X1654" s="26"/>
      <c r="Y1654" s="22">
        <v>0</v>
      </c>
      <c r="Z1654" s="26" t="s">
        <v>118</v>
      </c>
      <c r="AA1654" s="19" t="s">
        <v>2449</v>
      </c>
      <c r="AB1654" s="26" t="s">
        <v>104</v>
      </c>
      <c r="AC1654" s="26" t="s">
        <v>53</v>
      </c>
      <c r="AD1654" s="19" t="s">
        <v>54</v>
      </c>
      <c r="AE1654" s="26" t="s">
        <v>2401</v>
      </c>
      <c r="AF1654" s="17">
        <v>45343</v>
      </c>
      <c r="AG1654" s="26"/>
      <c r="AH1654" s="26"/>
      <c r="AI1654" s="40"/>
      <c r="AJ1654" s="26"/>
      <c r="AK1654" s="26"/>
      <c r="AL1654" s="35"/>
      <c r="AM1654" s="35"/>
      <c r="AN1654" s="35"/>
      <c r="AO1654" s="35"/>
      <c r="AP1654" s="35"/>
    </row>
    <row r="1655" spans="1:42" x14ac:dyDescent="0.2">
      <c r="A1655" s="14">
        <v>45337</v>
      </c>
      <c r="B1655" s="28" t="s">
        <v>37</v>
      </c>
      <c r="C1655" s="41" t="s">
        <v>118</v>
      </c>
      <c r="D1655" s="26" t="s">
        <v>36</v>
      </c>
      <c r="E1655" s="26" t="s">
        <v>139</v>
      </c>
      <c r="F1655" s="35" t="s">
        <v>3314</v>
      </c>
      <c r="G1655" s="26" t="s">
        <v>221</v>
      </c>
      <c r="H1655" s="26" t="s">
        <v>5093</v>
      </c>
      <c r="I1655" s="17">
        <f ca="1">IFERROR(__xludf.DUMMYFUNCTION("""COMPUTED_VALUE"""),45348)</f>
        <v>45348</v>
      </c>
      <c r="J1655" s="29" t="s">
        <v>1775</v>
      </c>
      <c r="K1655" s="26" t="s">
        <v>1776</v>
      </c>
      <c r="L1655" s="30">
        <v>362000460</v>
      </c>
      <c r="M1655" s="26" t="s">
        <v>80</v>
      </c>
      <c r="N1655" s="26" t="s">
        <v>299</v>
      </c>
      <c r="O1655" s="26" t="s">
        <v>1777</v>
      </c>
      <c r="P1655" s="42" t="s">
        <v>6659</v>
      </c>
      <c r="Q1655" s="20">
        <v>15936</v>
      </c>
      <c r="R1655" s="26" t="s">
        <v>36</v>
      </c>
      <c r="S1655" s="31">
        <v>15936</v>
      </c>
      <c r="T1655" s="32">
        <v>45164</v>
      </c>
      <c r="U1655" s="31"/>
      <c r="V1655" s="26"/>
      <c r="W1655" s="33" t="s">
        <v>1779</v>
      </c>
      <c r="X1655" s="26">
        <v>0</v>
      </c>
      <c r="Y1655" s="22">
        <v>0</v>
      </c>
      <c r="Z1655" s="26" t="s">
        <v>118</v>
      </c>
      <c r="AA1655" s="19" t="s">
        <v>901</v>
      </c>
      <c r="AB1655" s="26" t="s">
        <v>104</v>
      </c>
      <c r="AC1655" s="26" t="s">
        <v>53</v>
      </c>
      <c r="AD1655" s="19" t="s">
        <v>138</v>
      </c>
      <c r="AE1655" s="26" t="s">
        <v>3314</v>
      </c>
      <c r="AF1655" s="17">
        <v>45343</v>
      </c>
      <c r="AG1655" s="26"/>
      <c r="AH1655" s="26">
        <v>1</v>
      </c>
      <c r="AI1655" s="40" t="s">
        <v>147</v>
      </c>
      <c r="AJ1655" s="26"/>
      <c r="AK1655" s="26"/>
      <c r="AL1655" s="35"/>
      <c r="AM1655" s="35"/>
      <c r="AN1655" s="35"/>
      <c r="AO1655" s="35"/>
      <c r="AP1655" s="35"/>
    </row>
    <row r="1656" spans="1:42" x14ac:dyDescent="0.2">
      <c r="A1656" s="14">
        <v>45338</v>
      </c>
      <c r="B1656" s="28" t="s">
        <v>37</v>
      </c>
      <c r="C1656" s="41" t="s">
        <v>118</v>
      </c>
      <c r="D1656" s="26" t="s">
        <v>36</v>
      </c>
      <c r="E1656" s="26" t="s">
        <v>39</v>
      </c>
      <c r="F1656" s="26" t="s">
        <v>5650</v>
      </c>
      <c r="G1656" s="26" t="s">
        <v>108</v>
      </c>
      <c r="H1656" s="26" t="s">
        <v>6457</v>
      </c>
      <c r="I1656" s="17">
        <f ca="1">IFERROR(__xludf.DUMMYFUNCTION("""COMPUTED_VALUE"""),45349)</f>
        <v>45349</v>
      </c>
      <c r="J1656" s="29" t="s">
        <v>5651</v>
      </c>
      <c r="K1656" s="26" t="s">
        <v>6660</v>
      </c>
      <c r="L1656" s="30">
        <v>796920034</v>
      </c>
      <c r="M1656" s="26" t="s">
        <v>292</v>
      </c>
      <c r="N1656" s="26" t="s">
        <v>5653</v>
      </c>
      <c r="O1656" s="26" t="s">
        <v>5654</v>
      </c>
      <c r="P1656" s="42" t="s">
        <v>6661</v>
      </c>
      <c r="Q1656" s="20">
        <v>5736</v>
      </c>
      <c r="R1656" s="26" t="s">
        <v>36</v>
      </c>
      <c r="S1656" s="31">
        <v>2000</v>
      </c>
      <c r="T1656" s="32">
        <v>45243</v>
      </c>
      <c r="U1656" s="31">
        <v>3736</v>
      </c>
      <c r="V1656" s="32">
        <v>45255</v>
      </c>
      <c r="W1656" s="33" t="s">
        <v>5656</v>
      </c>
      <c r="X1656" s="26"/>
      <c r="Y1656" s="22">
        <v>0</v>
      </c>
      <c r="Z1656" s="26" t="s">
        <v>118</v>
      </c>
      <c r="AA1656" s="19" t="s">
        <v>5112</v>
      </c>
      <c r="AB1656" s="26" t="s">
        <v>104</v>
      </c>
      <c r="AC1656" s="26" t="s">
        <v>53</v>
      </c>
      <c r="AD1656" s="19" t="s">
        <v>54</v>
      </c>
      <c r="AE1656" s="26" t="s">
        <v>5650</v>
      </c>
      <c r="AF1656" s="17">
        <v>45343</v>
      </c>
      <c r="AG1656" s="26"/>
      <c r="AH1656" s="26"/>
      <c r="AI1656" s="40" t="s">
        <v>55</v>
      </c>
      <c r="AJ1656" s="26"/>
      <c r="AK1656" s="26"/>
      <c r="AL1656" s="35"/>
      <c r="AM1656" s="35"/>
      <c r="AN1656" s="35"/>
      <c r="AO1656" s="35"/>
      <c r="AP1656" s="35"/>
    </row>
    <row r="1657" spans="1:42" x14ac:dyDescent="0.2">
      <c r="A1657" s="14">
        <v>45338</v>
      </c>
      <c r="B1657" s="28" t="s">
        <v>37</v>
      </c>
      <c r="C1657" s="41" t="s">
        <v>118</v>
      </c>
      <c r="D1657" s="26" t="s">
        <v>36</v>
      </c>
      <c r="E1657" s="26" t="s">
        <v>148</v>
      </c>
      <c r="F1657" s="35" t="s">
        <v>740</v>
      </c>
      <c r="G1657" s="26" t="s">
        <v>221</v>
      </c>
      <c r="H1657" s="26" t="s">
        <v>5084</v>
      </c>
      <c r="I1657" s="17">
        <f ca="1">IFERROR(__xludf.DUMMYFUNCTION("""COMPUTED_VALUE"""),45344)</f>
        <v>45344</v>
      </c>
      <c r="J1657" s="29" t="s">
        <v>2179</v>
      </c>
      <c r="K1657" s="42" t="s">
        <v>6662</v>
      </c>
      <c r="L1657" s="30">
        <v>345593251</v>
      </c>
      <c r="M1657" s="26" t="s">
        <v>123</v>
      </c>
      <c r="N1657" s="26" t="s">
        <v>207</v>
      </c>
      <c r="O1657" s="35" t="s">
        <v>36</v>
      </c>
      <c r="P1657" s="54" t="s">
        <v>6663</v>
      </c>
      <c r="Q1657" s="20">
        <v>7349</v>
      </c>
      <c r="R1657" s="26" t="s">
        <v>36</v>
      </c>
      <c r="S1657" s="31">
        <v>7349</v>
      </c>
      <c r="T1657" s="32">
        <v>44985</v>
      </c>
      <c r="U1657" s="58"/>
      <c r="V1657" s="35"/>
      <c r="W1657" s="33" t="s">
        <v>2182</v>
      </c>
      <c r="X1657" s="35">
        <v>0</v>
      </c>
      <c r="Y1657" s="22">
        <v>0</v>
      </c>
      <c r="Z1657" s="35" t="s">
        <v>118</v>
      </c>
      <c r="AA1657" s="19" t="s">
        <v>1871</v>
      </c>
      <c r="AB1657" s="26" t="s">
        <v>104</v>
      </c>
      <c r="AC1657" s="26" t="s">
        <v>53</v>
      </c>
      <c r="AD1657" s="19" t="s">
        <v>54</v>
      </c>
      <c r="AE1657" s="19" t="s">
        <v>740</v>
      </c>
      <c r="AF1657" s="17">
        <v>45338</v>
      </c>
      <c r="AG1657" s="84" t="s">
        <v>2183</v>
      </c>
      <c r="AH1657" s="36">
        <v>1</v>
      </c>
      <c r="AI1657" s="37">
        <v>2</v>
      </c>
      <c r="AJ1657" s="35"/>
      <c r="AK1657" s="35"/>
      <c r="AL1657" s="35"/>
      <c r="AM1657" s="35"/>
      <c r="AN1657" s="35"/>
      <c r="AO1657" s="35"/>
      <c r="AP1657" s="35"/>
    </row>
    <row r="1658" spans="1:42" x14ac:dyDescent="0.2">
      <c r="A1658" s="14">
        <v>45340</v>
      </c>
      <c r="B1658" s="28" t="s">
        <v>37</v>
      </c>
      <c r="C1658" s="41" t="s">
        <v>118</v>
      </c>
      <c r="D1658" s="26" t="s">
        <v>36</v>
      </c>
      <c r="E1658" s="26" t="s">
        <v>148</v>
      </c>
      <c r="F1658" s="26" t="s">
        <v>1544</v>
      </c>
      <c r="G1658" s="26" t="s">
        <v>221</v>
      </c>
      <c r="H1658" s="26" t="s">
        <v>6664</v>
      </c>
      <c r="I1658" s="17" t="str">
        <f ca="1">IFERROR(__xludf.DUMMYFUNCTION("""COMPUTED_VALUE""")," ")</f>
        <v xml:space="preserve"> </v>
      </c>
      <c r="J1658" s="29" t="s">
        <v>2337</v>
      </c>
      <c r="K1658" s="26" t="s">
        <v>6665</v>
      </c>
      <c r="L1658" s="30">
        <v>332402035</v>
      </c>
      <c r="M1658" s="26" t="s">
        <v>94</v>
      </c>
      <c r="N1658" s="26" t="s">
        <v>1812</v>
      </c>
      <c r="O1658" s="26" t="s">
        <v>91</v>
      </c>
      <c r="P1658" s="42" t="s">
        <v>6666</v>
      </c>
      <c r="Q1658" s="20" t="e">
        <v>#N/A</v>
      </c>
      <c r="R1658" s="26" t="s">
        <v>36</v>
      </c>
      <c r="S1658" s="31">
        <v>16779</v>
      </c>
      <c r="T1658" s="32">
        <v>44869</v>
      </c>
      <c r="U1658" s="31"/>
      <c r="V1658" s="26"/>
      <c r="W1658" s="26"/>
      <c r="X1658" s="26">
        <v>0</v>
      </c>
      <c r="Y1658" s="22" t="s">
        <v>2340</v>
      </c>
      <c r="Z1658" s="26" t="s">
        <v>118</v>
      </c>
      <c r="AA1658" s="19" t="s">
        <v>1871</v>
      </c>
      <c r="AB1658" s="26" t="s">
        <v>104</v>
      </c>
      <c r="AC1658" s="26" t="s">
        <v>53</v>
      </c>
      <c r="AD1658" s="19" t="s">
        <v>54</v>
      </c>
      <c r="AE1658" s="26" t="s">
        <v>1544</v>
      </c>
      <c r="AF1658" s="17">
        <v>45343</v>
      </c>
      <c r="AG1658" s="26"/>
      <c r="AH1658" s="26">
        <v>1</v>
      </c>
      <c r="AI1658" s="40" t="e">
        <v>#N/A</v>
      </c>
      <c r="AJ1658" s="26"/>
      <c r="AK1658" s="26"/>
      <c r="AL1658" s="26"/>
      <c r="AM1658" s="35"/>
      <c r="AN1658" s="35"/>
      <c r="AO1658" s="35"/>
      <c r="AP1658" s="35"/>
    </row>
    <row r="1659" spans="1:42" x14ac:dyDescent="0.2">
      <c r="A1659" s="14">
        <v>45340</v>
      </c>
      <c r="B1659" s="28" t="s">
        <v>37</v>
      </c>
      <c r="C1659" s="41" t="s">
        <v>118</v>
      </c>
      <c r="D1659" s="26" t="s">
        <v>36</v>
      </c>
      <c r="E1659" s="26" t="s">
        <v>148</v>
      </c>
      <c r="F1659" s="26" t="s">
        <v>2088</v>
      </c>
      <c r="G1659" s="26" t="s">
        <v>221</v>
      </c>
      <c r="H1659" s="26" t="s">
        <v>6667</v>
      </c>
      <c r="I1659" s="17" t="str">
        <f ca="1">IFERROR(__xludf.DUMMYFUNCTION("""COMPUTED_VALUE""")," ")</f>
        <v xml:space="preserve"> </v>
      </c>
      <c r="J1659" s="29" t="s">
        <v>4840</v>
      </c>
      <c r="K1659" s="26" t="s">
        <v>6668</v>
      </c>
      <c r="L1659" s="30">
        <v>965856870</v>
      </c>
      <c r="M1659" s="26" t="s">
        <v>391</v>
      </c>
      <c r="N1659" s="26" t="s">
        <v>2143</v>
      </c>
      <c r="O1659" s="26" t="s">
        <v>2144</v>
      </c>
      <c r="P1659" s="42" t="s">
        <v>6669</v>
      </c>
      <c r="Q1659" s="20">
        <v>7349</v>
      </c>
      <c r="R1659" s="26" t="s">
        <v>36</v>
      </c>
      <c r="S1659" s="31">
        <v>7349</v>
      </c>
      <c r="T1659" s="32">
        <v>44861</v>
      </c>
      <c r="U1659" s="31">
        <v>9430</v>
      </c>
      <c r="V1659" s="32">
        <v>44861</v>
      </c>
      <c r="W1659" s="33" t="s">
        <v>4843</v>
      </c>
      <c r="X1659" s="26"/>
      <c r="Y1659" s="22">
        <v>-9430</v>
      </c>
      <c r="Z1659" s="26" t="s">
        <v>118</v>
      </c>
      <c r="AA1659" s="19" t="s">
        <v>4541</v>
      </c>
      <c r="AB1659" s="26" t="s">
        <v>104</v>
      </c>
      <c r="AC1659" s="26" t="s">
        <v>53</v>
      </c>
      <c r="AD1659" s="19" t="s">
        <v>54</v>
      </c>
      <c r="AE1659" s="26" t="s">
        <v>2088</v>
      </c>
      <c r="AF1659" s="17">
        <v>45343</v>
      </c>
      <c r="AG1659" s="26"/>
      <c r="AH1659" s="26"/>
      <c r="AI1659" s="40"/>
      <c r="AJ1659" s="26"/>
      <c r="AK1659" s="26"/>
      <c r="AL1659" s="35"/>
      <c r="AM1659" s="35"/>
      <c r="AN1659" s="35"/>
      <c r="AO1659" s="35"/>
      <c r="AP1659" s="35"/>
    </row>
    <row r="1660" spans="1:42" x14ac:dyDescent="0.2">
      <c r="A1660" s="126">
        <v>45225.776518125</v>
      </c>
      <c r="B1660" s="28" t="s">
        <v>37</v>
      </c>
      <c r="C1660" s="41" t="s">
        <v>118</v>
      </c>
      <c r="D1660" s="26" t="s">
        <v>36</v>
      </c>
      <c r="E1660" s="26" t="s">
        <v>119</v>
      </c>
      <c r="F1660" s="26" t="s">
        <v>36</v>
      </c>
      <c r="G1660" s="26" t="s">
        <v>108</v>
      </c>
      <c r="H1660" s="26" t="s">
        <v>4869</v>
      </c>
      <c r="I1660" s="17">
        <f ca="1">IFERROR(__xludf.DUMMYFUNCTION("""COMPUTED_VALUE"""),45300)</f>
        <v>45300</v>
      </c>
      <c r="J1660" s="29" t="s">
        <v>6670</v>
      </c>
      <c r="K1660" s="26" t="s">
        <v>6671</v>
      </c>
      <c r="L1660" s="30">
        <v>334709508</v>
      </c>
      <c r="M1660" s="26" t="s">
        <v>3728</v>
      </c>
      <c r="N1660" s="26" t="s">
        <v>5277</v>
      </c>
      <c r="O1660" s="26" t="s">
        <v>6672</v>
      </c>
      <c r="P1660" s="26" t="s">
        <v>4126</v>
      </c>
      <c r="Q1660" s="20">
        <v>13968</v>
      </c>
      <c r="R1660" s="26" t="s">
        <v>36</v>
      </c>
      <c r="S1660" s="31">
        <v>500</v>
      </c>
      <c r="T1660" s="32">
        <v>45225</v>
      </c>
      <c r="U1660" s="31">
        <f>3500+9968</f>
        <v>13468</v>
      </c>
      <c r="V1660" s="26" t="s">
        <v>6673</v>
      </c>
      <c r="W1660" s="33" t="s">
        <v>6674</v>
      </c>
      <c r="X1660" s="26">
        <v>0</v>
      </c>
      <c r="Y1660" s="22">
        <v>0</v>
      </c>
      <c r="Z1660" s="26" t="s">
        <v>50</v>
      </c>
      <c r="AA1660" s="19" t="s">
        <v>6079</v>
      </c>
      <c r="AB1660" s="26" t="s">
        <v>137</v>
      </c>
      <c r="AC1660" s="26" t="s">
        <v>53</v>
      </c>
      <c r="AD1660" s="19" t="s">
        <v>138</v>
      </c>
      <c r="AE1660" s="26">
        <v>700</v>
      </c>
      <c r="AF1660" s="17">
        <v>45300</v>
      </c>
      <c r="AG1660" s="26" t="s">
        <v>1362</v>
      </c>
      <c r="AH1660" s="26"/>
      <c r="AI1660" s="40">
        <v>4</v>
      </c>
      <c r="AJ1660" s="26"/>
      <c r="AK1660" s="26"/>
      <c r="AL1660" s="35"/>
      <c r="AM1660" s="35"/>
      <c r="AN1660" s="35"/>
      <c r="AO1660" s="35"/>
      <c r="AP1660" s="35"/>
    </row>
    <row r="1661" spans="1:42" x14ac:dyDescent="0.2">
      <c r="A1661" s="126">
        <v>45242.499929166668</v>
      </c>
      <c r="B1661" s="28" t="s">
        <v>1703</v>
      </c>
      <c r="C1661" s="41" t="s">
        <v>118</v>
      </c>
      <c r="D1661" s="26" t="s">
        <v>36</v>
      </c>
      <c r="E1661" s="26" t="s">
        <v>106</v>
      </c>
      <c r="F1661" s="26" t="s">
        <v>36</v>
      </c>
      <c r="G1661" s="26" t="s">
        <v>108</v>
      </c>
      <c r="H1661" s="26" t="s">
        <v>6675</v>
      </c>
      <c r="I1661" s="17" t="str">
        <f ca="1">IFERROR(__xludf.DUMMYFUNCTION("""COMPUTED_VALUE""")," ")</f>
        <v xml:space="preserve"> </v>
      </c>
      <c r="J1661" s="29" t="s">
        <v>6676</v>
      </c>
      <c r="K1661" s="19" t="s">
        <v>6677</v>
      </c>
      <c r="L1661" s="30">
        <v>395437008</v>
      </c>
      <c r="M1661" s="26" t="s">
        <v>80</v>
      </c>
      <c r="N1661" s="26" t="s">
        <v>1073</v>
      </c>
      <c r="O1661" s="26" t="s">
        <v>6678</v>
      </c>
      <c r="P1661" s="26" t="s">
        <v>2641</v>
      </c>
      <c r="Q1661" s="20">
        <v>3768</v>
      </c>
      <c r="R1661" s="26" t="s">
        <v>70</v>
      </c>
      <c r="S1661" s="31">
        <f>200+3800</f>
        <v>4000</v>
      </c>
      <c r="T1661" s="32">
        <v>45238</v>
      </c>
      <c r="U1661" s="31"/>
      <c r="V1661" s="32">
        <v>45270</v>
      </c>
      <c r="W1661" s="33" t="s">
        <v>6679</v>
      </c>
      <c r="X1661" s="26">
        <v>100</v>
      </c>
      <c r="Y1661" s="22">
        <v>-332</v>
      </c>
      <c r="Z1661" s="26" t="s">
        <v>50</v>
      </c>
      <c r="AA1661" s="19" t="s">
        <v>6079</v>
      </c>
      <c r="AB1661" s="26"/>
      <c r="AC1661" s="26" t="s">
        <v>53</v>
      </c>
      <c r="AD1661" s="19" t="s">
        <v>138</v>
      </c>
      <c r="AE1661" s="26">
        <v>500</v>
      </c>
      <c r="AF1661" s="60"/>
      <c r="AG1661" s="26" t="s">
        <v>6680</v>
      </c>
      <c r="AH1661" s="26"/>
      <c r="AI1661" s="40">
        <v>1</v>
      </c>
      <c r="AJ1661" s="26"/>
      <c r="AK1661" s="26"/>
      <c r="AL1661" s="35"/>
      <c r="AM1661" s="35"/>
      <c r="AN1661" s="35"/>
      <c r="AO1661" s="35"/>
      <c r="AP1661" s="35"/>
    </row>
    <row r="1662" spans="1:42" x14ac:dyDescent="0.2">
      <c r="A1662" s="126">
        <v>45248.457514525464</v>
      </c>
      <c r="B1662" s="28" t="s">
        <v>37</v>
      </c>
      <c r="C1662" s="41" t="s">
        <v>118</v>
      </c>
      <c r="D1662" s="26" t="s">
        <v>36</v>
      </c>
      <c r="E1662" s="26" t="s">
        <v>139</v>
      </c>
      <c r="F1662" s="26" t="s">
        <v>36</v>
      </c>
      <c r="G1662" s="26" t="s">
        <v>41</v>
      </c>
      <c r="H1662" s="26" t="s">
        <v>6681</v>
      </c>
      <c r="I1662" s="17" t="str">
        <f ca="1">IFERROR(__xludf.DUMMYFUNCTION("""COMPUTED_VALUE""")," ")</f>
        <v xml:space="preserve"> </v>
      </c>
      <c r="J1662" s="29" t="s">
        <v>6562</v>
      </c>
      <c r="K1662" s="26" t="s">
        <v>6563</v>
      </c>
      <c r="L1662" s="30">
        <v>974914851</v>
      </c>
      <c r="M1662" s="26" t="s">
        <v>3498</v>
      </c>
      <c r="N1662" s="26" t="s">
        <v>3668</v>
      </c>
      <c r="O1662" s="26" t="s">
        <v>6564</v>
      </c>
      <c r="P1662" s="42" t="s">
        <v>6565</v>
      </c>
      <c r="Q1662" s="20">
        <v>15936</v>
      </c>
      <c r="R1662" s="26" t="s">
        <v>36</v>
      </c>
      <c r="S1662" s="58">
        <v>4200</v>
      </c>
      <c r="T1662" s="32">
        <v>45248</v>
      </c>
      <c r="U1662" s="31">
        <v>11736</v>
      </c>
      <c r="V1662" s="32">
        <v>45295</v>
      </c>
      <c r="W1662" s="33" t="s">
        <v>6566</v>
      </c>
      <c r="X1662" s="26">
        <v>0</v>
      </c>
      <c r="Y1662" s="22">
        <v>0</v>
      </c>
      <c r="Z1662" s="26" t="s">
        <v>50</v>
      </c>
      <c r="AA1662" s="19" t="s">
        <v>6079</v>
      </c>
      <c r="AB1662" s="26" t="s">
        <v>104</v>
      </c>
      <c r="AC1662" s="26" t="s">
        <v>53</v>
      </c>
      <c r="AD1662" s="19" t="s">
        <v>138</v>
      </c>
      <c r="AE1662" s="26"/>
      <c r="AF1662" s="17">
        <v>45267</v>
      </c>
      <c r="AG1662" s="26"/>
      <c r="AH1662" s="26"/>
      <c r="AI1662" s="40" t="s">
        <v>147</v>
      </c>
      <c r="AJ1662" s="26"/>
      <c r="AK1662" s="26"/>
      <c r="AL1662" s="35"/>
      <c r="AM1662" s="35"/>
      <c r="AN1662" s="35"/>
      <c r="AO1662" s="35"/>
      <c r="AP1662" s="35"/>
    </row>
    <row r="1663" spans="1:42" x14ac:dyDescent="0.2">
      <c r="A1663" s="126">
        <v>45252.381740393517</v>
      </c>
      <c r="B1663" s="28" t="s">
        <v>37</v>
      </c>
      <c r="C1663" s="41" t="s">
        <v>118</v>
      </c>
      <c r="D1663" s="26" t="s">
        <v>36</v>
      </c>
      <c r="E1663" s="26" t="s">
        <v>119</v>
      </c>
      <c r="F1663" s="26" t="s">
        <v>36</v>
      </c>
      <c r="G1663" s="26" t="s">
        <v>108</v>
      </c>
      <c r="H1663" s="26" t="s">
        <v>4869</v>
      </c>
      <c r="I1663" s="17">
        <f ca="1">IFERROR(__xludf.DUMMYFUNCTION("""COMPUTED_VALUE"""),45300)</f>
        <v>45300</v>
      </c>
      <c r="J1663" s="29" t="s">
        <v>6682</v>
      </c>
      <c r="K1663" s="26" t="s">
        <v>6683</v>
      </c>
      <c r="L1663" s="30">
        <v>968591944</v>
      </c>
      <c r="M1663" s="26" t="s">
        <v>80</v>
      </c>
      <c r="N1663" s="26" t="s">
        <v>466</v>
      </c>
      <c r="O1663" s="26" t="s">
        <v>6684</v>
      </c>
      <c r="P1663" s="26" t="s">
        <v>6685</v>
      </c>
      <c r="Q1663" s="20">
        <v>13968</v>
      </c>
      <c r="R1663" s="26" t="s">
        <v>36</v>
      </c>
      <c r="S1663" s="31">
        <v>200</v>
      </c>
      <c r="T1663" s="32">
        <v>45250</v>
      </c>
      <c r="U1663" s="31">
        <f>3800 +9968</f>
        <v>13768</v>
      </c>
      <c r="V1663" s="26" t="s">
        <v>6686</v>
      </c>
      <c r="W1663" s="33" t="s">
        <v>6687</v>
      </c>
      <c r="X1663" s="26">
        <v>0</v>
      </c>
      <c r="Y1663" s="22">
        <v>0</v>
      </c>
      <c r="Z1663" s="26" t="s">
        <v>50</v>
      </c>
      <c r="AA1663" s="19" t="s">
        <v>6079</v>
      </c>
      <c r="AB1663" s="26" t="s">
        <v>128</v>
      </c>
      <c r="AC1663" s="26" t="s">
        <v>53</v>
      </c>
      <c r="AD1663" s="19" t="s">
        <v>138</v>
      </c>
      <c r="AE1663" s="26">
        <v>400</v>
      </c>
      <c r="AF1663" s="17">
        <v>45300</v>
      </c>
      <c r="AG1663" s="26" t="s">
        <v>1362</v>
      </c>
      <c r="AH1663" s="26"/>
      <c r="AI1663" s="40">
        <v>4</v>
      </c>
      <c r="AJ1663" s="26"/>
      <c r="AK1663" s="26"/>
      <c r="AL1663" s="35"/>
      <c r="AM1663" s="35"/>
      <c r="AN1663" s="35"/>
      <c r="AO1663" s="35"/>
      <c r="AP1663" s="35"/>
    </row>
    <row r="1664" spans="1:42" x14ac:dyDescent="0.2">
      <c r="A1664" s="126">
        <v>45287.004712581023</v>
      </c>
      <c r="B1664" s="28" t="s">
        <v>37</v>
      </c>
      <c r="C1664" s="41" t="s">
        <v>118</v>
      </c>
      <c r="D1664" s="26" t="s">
        <v>36</v>
      </c>
      <c r="E1664" s="26" t="s">
        <v>119</v>
      </c>
      <c r="F1664" s="26" t="s">
        <v>36</v>
      </c>
      <c r="G1664" s="26" t="s">
        <v>108</v>
      </c>
      <c r="H1664" s="26" t="s">
        <v>5106</v>
      </c>
      <c r="I1664" s="17">
        <f ca="1">IFERROR(__xludf.DUMMYFUNCTION("""COMPUTED_VALUE"""),45294)</f>
        <v>45294</v>
      </c>
      <c r="J1664" s="29" t="s">
        <v>6688</v>
      </c>
      <c r="K1664" s="26" t="s">
        <v>6689</v>
      </c>
      <c r="L1664" s="127">
        <v>977163202</v>
      </c>
      <c r="M1664" s="26" t="s">
        <v>5429</v>
      </c>
      <c r="N1664" s="26" t="s">
        <v>81</v>
      </c>
      <c r="O1664" s="26" t="s">
        <v>6690</v>
      </c>
      <c r="P1664" s="26" t="s">
        <v>6691</v>
      </c>
      <c r="Q1664" s="20">
        <v>13968</v>
      </c>
      <c r="R1664" s="26" t="s">
        <v>36</v>
      </c>
      <c r="S1664" s="31">
        <v>4000</v>
      </c>
      <c r="T1664" s="32">
        <v>45286</v>
      </c>
      <c r="U1664" s="31">
        <v>9968</v>
      </c>
      <c r="V1664" s="32">
        <v>45312</v>
      </c>
      <c r="W1664" s="33" t="s">
        <v>6692</v>
      </c>
      <c r="X1664" s="26">
        <v>0</v>
      </c>
      <c r="Y1664" s="22">
        <v>0</v>
      </c>
      <c r="Z1664" s="26" t="s">
        <v>50</v>
      </c>
      <c r="AA1664" s="19" t="s">
        <v>6079</v>
      </c>
      <c r="AB1664" s="26"/>
      <c r="AC1664" s="26" t="s">
        <v>53</v>
      </c>
      <c r="AD1664" s="19" t="s">
        <v>138</v>
      </c>
      <c r="AE1664" s="26">
        <v>440</v>
      </c>
      <c r="AF1664" s="17">
        <v>44929</v>
      </c>
      <c r="AG1664" s="26" t="s">
        <v>4092</v>
      </c>
      <c r="AH1664" s="26"/>
      <c r="AI1664" s="40">
        <v>4</v>
      </c>
      <c r="AJ1664" s="26"/>
      <c r="AK1664" s="26"/>
      <c r="AL1664" s="35"/>
      <c r="AM1664" s="35"/>
      <c r="AN1664" s="35"/>
      <c r="AO1664" s="35"/>
      <c r="AP1664" s="35"/>
    </row>
    <row r="1665" spans="1:42" x14ac:dyDescent="0.2">
      <c r="A1665" s="126">
        <v>45288.587431574073</v>
      </c>
      <c r="B1665" s="28" t="s">
        <v>37</v>
      </c>
      <c r="C1665" s="41" t="s">
        <v>118</v>
      </c>
      <c r="D1665" s="26" t="s">
        <v>36</v>
      </c>
      <c r="E1665" s="26" t="s">
        <v>139</v>
      </c>
      <c r="F1665" s="26" t="s">
        <v>36</v>
      </c>
      <c r="G1665" s="26" t="s">
        <v>41</v>
      </c>
      <c r="H1665" s="26" t="s">
        <v>2856</v>
      </c>
      <c r="I1665" s="17">
        <f ca="1">IFERROR(__xludf.DUMMYFUNCTION("""COMPUTED_VALUE"""),45293)</f>
        <v>45293</v>
      </c>
      <c r="J1665" s="29" t="s">
        <v>6693</v>
      </c>
      <c r="K1665" s="26" t="s">
        <v>6694</v>
      </c>
      <c r="L1665" s="30">
        <v>918464995</v>
      </c>
      <c r="M1665" s="26" t="s">
        <v>3728</v>
      </c>
      <c r="N1665" s="26" t="s">
        <v>5377</v>
      </c>
      <c r="O1665" s="26" t="s">
        <v>6695</v>
      </c>
      <c r="P1665" s="26" t="s">
        <v>6696</v>
      </c>
      <c r="Q1665" s="20">
        <v>15936</v>
      </c>
      <c r="R1665" s="26" t="s">
        <v>36</v>
      </c>
      <c r="S1665" s="31">
        <v>2000</v>
      </c>
      <c r="T1665" s="32">
        <v>45287</v>
      </c>
      <c r="U1665" s="31">
        <v>13936</v>
      </c>
      <c r="V1665" s="32">
        <v>45322</v>
      </c>
      <c r="W1665" s="33" t="s">
        <v>6697</v>
      </c>
      <c r="X1665" s="26">
        <v>0</v>
      </c>
      <c r="Y1665" s="22">
        <v>0</v>
      </c>
      <c r="Z1665" s="26" t="s">
        <v>50</v>
      </c>
      <c r="AA1665" s="19" t="s">
        <v>6079</v>
      </c>
      <c r="AB1665" s="26"/>
      <c r="AC1665" s="26" t="s">
        <v>53</v>
      </c>
      <c r="AD1665" s="19" t="s">
        <v>54</v>
      </c>
      <c r="AE1665" s="26">
        <v>0</v>
      </c>
      <c r="AF1665" s="17">
        <v>45288</v>
      </c>
      <c r="AG1665" s="26"/>
      <c r="AH1665" s="26"/>
      <c r="AI1665" s="40" t="s">
        <v>147</v>
      </c>
      <c r="AJ1665" s="26"/>
      <c r="AK1665" s="26"/>
      <c r="AL1665" s="35"/>
      <c r="AM1665" s="35"/>
      <c r="AN1665" s="35"/>
      <c r="AO1665" s="35"/>
      <c r="AP1665" s="35"/>
    </row>
    <row r="1666" spans="1:42" x14ac:dyDescent="0.2">
      <c r="A1666" s="126">
        <v>45292.824503124997</v>
      </c>
      <c r="B1666" s="28" t="s">
        <v>37</v>
      </c>
      <c r="C1666" s="41" t="s">
        <v>118</v>
      </c>
      <c r="D1666" s="26" t="s">
        <v>36</v>
      </c>
      <c r="E1666" s="26" t="s">
        <v>56</v>
      </c>
      <c r="F1666" s="26" t="s">
        <v>36</v>
      </c>
      <c r="G1666" s="26" t="s">
        <v>41</v>
      </c>
      <c r="H1666" s="26" t="s">
        <v>4489</v>
      </c>
      <c r="I1666" s="17">
        <f ca="1">IFERROR(__xludf.DUMMYFUNCTION("""COMPUTED_VALUE"""),45309)</f>
        <v>45309</v>
      </c>
      <c r="J1666" s="29" t="s">
        <v>6698</v>
      </c>
      <c r="K1666" s="26" t="s">
        <v>6699</v>
      </c>
      <c r="L1666" s="30">
        <v>354174902</v>
      </c>
      <c r="M1666" s="26" t="s">
        <v>348</v>
      </c>
      <c r="N1666" s="26" t="s">
        <v>200</v>
      </c>
      <c r="O1666" s="26" t="s">
        <v>6700</v>
      </c>
      <c r="P1666" s="26" t="s">
        <v>6701</v>
      </c>
      <c r="Q1666" s="20">
        <v>9317</v>
      </c>
      <c r="R1666" s="26" t="s">
        <v>36</v>
      </c>
      <c r="S1666" s="31">
        <v>1000</v>
      </c>
      <c r="T1666" s="32">
        <v>45290</v>
      </c>
      <c r="U1666" s="31">
        <v>8317</v>
      </c>
      <c r="V1666" s="32">
        <v>45302</v>
      </c>
      <c r="W1666" s="33" t="s">
        <v>6702</v>
      </c>
      <c r="X1666" s="26">
        <v>0</v>
      </c>
      <c r="Y1666" s="22">
        <v>0</v>
      </c>
      <c r="Z1666" s="26" t="s">
        <v>50</v>
      </c>
      <c r="AA1666" s="19" t="s">
        <v>6079</v>
      </c>
      <c r="AB1666" s="26"/>
      <c r="AC1666" s="26" t="s">
        <v>53</v>
      </c>
      <c r="AD1666" s="19" t="s">
        <v>138</v>
      </c>
      <c r="AE1666" s="26" t="s">
        <v>1327</v>
      </c>
      <c r="AF1666" s="17">
        <v>45309</v>
      </c>
      <c r="AG1666" s="26" t="s">
        <v>1362</v>
      </c>
      <c r="AH1666" s="26"/>
      <c r="AI1666" s="40" t="s">
        <v>64</v>
      </c>
      <c r="AJ1666" s="26"/>
      <c r="AK1666" s="26"/>
      <c r="AL1666" s="35"/>
      <c r="AM1666" s="35"/>
      <c r="AN1666" s="35"/>
      <c r="AO1666" s="35"/>
      <c r="AP1666" s="35"/>
    </row>
    <row r="1667" spans="1:42" x14ac:dyDescent="0.2">
      <c r="A1667" s="126">
        <v>45293.444023807868</v>
      </c>
      <c r="B1667" s="28" t="s">
        <v>37</v>
      </c>
      <c r="C1667" s="41" t="s">
        <v>118</v>
      </c>
      <c r="D1667" s="26" t="s">
        <v>36</v>
      </c>
      <c r="E1667" s="26" t="s">
        <v>77</v>
      </c>
      <c r="F1667" s="26" t="s">
        <v>36</v>
      </c>
      <c r="G1667" s="26" t="s">
        <v>41</v>
      </c>
      <c r="H1667" s="26" t="s">
        <v>6703</v>
      </c>
      <c r="I1667" s="17" t="str">
        <f ca="1">IFERROR(__xludf.DUMMYFUNCTION("""COMPUTED_VALUE""")," ")</f>
        <v xml:space="preserve"> </v>
      </c>
      <c r="J1667" s="29" t="s">
        <v>6704</v>
      </c>
      <c r="K1667" s="26" t="s">
        <v>6705</v>
      </c>
      <c r="L1667" s="30">
        <v>987728530</v>
      </c>
      <c r="M1667" s="26" t="s">
        <v>80</v>
      </c>
      <c r="N1667" s="26" t="s">
        <v>253</v>
      </c>
      <c r="O1667" s="26" t="s">
        <v>6706</v>
      </c>
      <c r="P1667" s="26" t="s">
        <v>6707</v>
      </c>
      <c r="Q1667" s="20">
        <v>1968</v>
      </c>
      <c r="R1667" s="26" t="s">
        <v>36</v>
      </c>
      <c r="S1667" s="31">
        <v>1968</v>
      </c>
      <c r="T1667" s="32">
        <v>44928</v>
      </c>
      <c r="U1667" s="31"/>
      <c r="V1667" s="32"/>
      <c r="W1667" s="33" t="s">
        <v>6708</v>
      </c>
      <c r="X1667" s="26">
        <v>0</v>
      </c>
      <c r="Y1667" s="22">
        <v>0</v>
      </c>
      <c r="Z1667" s="26" t="s">
        <v>50</v>
      </c>
      <c r="AA1667" s="19" t="s">
        <v>6079</v>
      </c>
      <c r="AB1667" s="26"/>
      <c r="AC1667" s="26" t="s">
        <v>53</v>
      </c>
      <c r="AD1667" s="19" t="s">
        <v>54</v>
      </c>
      <c r="AE1667" s="26">
        <v>0</v>
      </c>
      <c r="AF1667" s="17">
        <v>45293</v>
      </c>
      <c r="AG1667" s="26"/>
      <c r="AH1667" s="26"/>
      <c r="AI1667" s="40" t="s">
        <v>84</v>
      </c>
      <c r="AJ1667" s="26"/>
      <c r="AK1667" s="26"/>
      <c r="AL1667" s="35"/>
      <c r="AM1667" s="35"/>
      <c r="AN1667" s="35"/>
      <c r="AO1667" s="35"/>
      <c r="AP1667" s="35"/>
    </row>
    <row r="1668" spans="1:42" x14ac:dyDescent="0.2">
      <c r="A1668" s="126">
        <v>45293.949086678243</v>
      </c>
      <c r="B1668" s="28" t="s">
        <v>37</v>
      </c>
      <c r="C1668" s="41" t="s">
        <v>118</v>
      </c>
      <c r="D1668" s="26" t="s">
        <v>36</v>
      </c>
      <c r="E1668" s="26" t="s">
        <v>139</v>
      </c>
      <c r="F1668" s="26" t="s">
        <v>36</v>
      </c>
      <c r="G1668" s="26" t="s">
        <v>41</v>
      </c>
      <c r="H1668" s="26" t="s">
        <v>4489</v>
      </c>
      <c r="I1668" s="17">
        <f ca="1">IFERROR(__xludf.DUMMYFUNCTION("""COMPUTED_VALUE"""),45309)</f>
        <v>45309</v>
      </c>
      <c r="J1668" s="29" t="s">
        <v>6709</v>
      </c>
      <c r="K1668" s="26" t="s">
        <v>6710</v>
      </c>
      <c r="L1668" s="30">
        <v>339602132</v>
      </c>
      <c r="M1668" s="26" t="s">
        <v>5429</v>
      </c>
      <c r="N1668" s="26" t="s">
        <v>3065</v>
      </c>
      <c r="O1668" s="26" t="s">
        <v>6711</v>
      </c>
      <c r="P1668" s="26" t="s">
        <v>6368</v>
      </c>
      <c r="Q1668" s="20">
        <v>15936</v>
      </c>
      <c r="R1668" s="26" t="s">
        <v>70</v>
      </c>
      <c r="S1668" s="31">
        <v>15836</v>
      </c>
      <c r="T1668" s="32">
        <v>45293</v>
      </c>
      <c r="U1668" s="31"/>
      <c r="V1668" s="32"/>
      <c r="W1668" s="33" t="s">
        <v>6712</v>
      </c>
      <c r="X1668" s="26">
        <v>100</v>
      </c>
      <c r="Y1668" s="22">
        <v>0</v>
      </c>
      <c r="Z1668" s="26" t="s">
        <v>50</v>
      </c>
      <c r="AA1668" s="19" t="s">
        <v>6079</v>
      </c>
      <c r="AB1668" s="26"/>
      <c r="AC1668" s="26" t="s">
        <v>53</v>
      </c>
      <c r="AD1668" s="19" t="s">
        <v>138</v>
      </c>
      <c r="AE1668" s="26" t="s">
        <v>76</v>
      </c>
      <c r="AF1668" s="17">
        <v>45309</v>
      </c>
      <c r="AG1668" s="26" t="s">
        <v>1362</v>
      </c>
      <c r="AH1668" s="26"/>
      <c r="AI1668" s="40" t="s">
        <v>147</v>
      </c>
      <c r="AJ1668" s="26"/>
      <c r="AK1668" s="26"/>
      <c r="AL1668" s="35"/>
      <c r="AM1668" s="35"/>
      <c r="AN1668" s="35"/>
      <c r="AO1668" s="35"/>
      <c r="AP1668" s="35"/>
    </row>
    <row r="1669" spans="1:42" x14ac:dyDescent="0.2">
      <c r="A1669" s="126">
        <v>45293.952600509263</v>
      </c>
      <c r="B1669" s="28" t="s">
        <v>37</v>
      </c>
      <c r="C1669" s="41" t="s">
        <v>118</v>
      </c>
      <c r="D1669" s="26" t="s">
        <v>36</v>
      </c>
      <c r="E1669" s="26" t="s">
        <v>139</v>
      </c>
      <c r="F1669" s="26" t="s">
        <v>36</v>
      </c>
      <c r="G1669" s="26" t="s">
        <v>41</v>
      </c>
      <c r="H1669" s="26" t="s">
        <v>4489</v>
      </c>
      <c r="I1669" s="17">
        <f ca="1">IFERROR(__xludf.DUMMYFUNCTION("""COMPUTED_VALUE"""),45309)</f>
        <v>45309</v>
      </c>
      <c r="J1669" s="29" t="s">
        <v>6713</v>
      </c>
      <c r="K1669" s="26" t="s">
        <v>6714</v>
      </c>
      <c r="L1669" s="30">
        <v>388006938</v>
      </c>
      <c r="M1669" s="26" t="s">
        <v>5429</v>
      </c>
      <c r="N1669" s="26" t="s">
        <v>3065</v>
      </c>
      <c r="O1669" s="26" t="s">
        <v>6715</v>
      </c>
      <c r="P1669" s="26" t="s">
        <v>6691</v>
      </c>
      <c r="Q1669" s="20">
        <v>15936</v>
      </c>
      <c r="R1669" s="26" t="s">
        <v>70</v>
      </c>
      <c r="S1669" s="31">
        <v>15836</v>
      </c>
      <c r="T1669" s="32">
        <v>45293</v>
      </c>
      <c r="U1669" s="31"/>
      <c r="V1669" s="32"/>
      <c r="W1669" s="33" t="s">
        <v>6716</v>
      </c>
      <c r="X1669" s="26">
        <v>100</v>
      </c>
      <c r="Y1669" s="22">
        <v>0</v>
      </c>
      <c r="Z1669" s="26" t="s">
        <v>50</v>
      </c>
      <c r="AA1669" s="19" t="s">
        <v>6079</v>
      </c>
      <c r="AB1669" s="26"/>
      <c r="AC1669" s="26" t="s">
        <v>53</v>
      </c>
      <c r="AD1669" s="19" t="s">
        <v>138</v>
      </c>
      <c r="AE1669" s="26" t="s">
        <v>76</v>
      </c>
      <c r="AF1669" s="17">
        <v>45309</v>
      </c>
      <c r="AG1669" s="26" t="s">
        <v>1362</v>
      </c>
      <c r="AH1669" s="26"/>
      <c r="AI1669" s="40" t="s">
        <v>147</v>
      </c>
      <c r="AJ1669" s="26"/>
      <c r="AK1669" s="26"/>
      <c r="AL1669" s="35"/>
      <c r="AM1669" s="35"/>
      <c r="AN1669" s="35"/>
      <c r="AO1669" s="35"/>
      <c r="AP1669" s="35"/>
    </row>
    <row r="1670" spans="1:42" x14ac:dyDescent="0.2">
      <c r="A1670" s="126">
        <v>45294.759751689809</v>
      </c>
      <c r="B1670" s="28" t="s">
        <v>37</v>
      </c>
      <c r="C1670" s="41" t="s">
        <v>118</v>
      </c>
      <c r="D1670" s="26" t="s">
        <v>106</v>
      </c>
      <c r="E1670" s="26" t="s">
        <v>219</v>
      </c>
      <c r="F1670" s="26" t="s">
        <v>3013</v>
      </c>
      <c r="G1670" s="26" t="s">
        <v>221</v>
      </c>
      <c r="H1670" s="26" t="s">
        <v>4275</v>
      </c>
      <c r="I1670" s="17">
        <f ca="1">IFERROR(__xludf.DUMMYFUNCTION("""COMPUTED_VALUE"""),45300)</f>
        <v>45300</v>
      </c>
      <c r="J1670" s="29" t="s">
        <v>5171</v>
      </c>
      <c r="K1670" s="26" t="s">
        <v>6717</v>
      </c>
      <c r="L1670" s="30">
        <v>376462605</v>
      </c>
      <c r="M1670" s="26" t="s">
        <v>80</v>
      </c>
      <c r="N1670" s="26" t="s">
        <v>466</v>
      </c>
      <c r="O1670" s="26" t="s">
        <v>5173</v>
      </c>
      <c r="P1670" s="26" t="s">
        <v>2641</v>
      </c>
      <c r="Q1670" s="20">
        <v>3968</v>
      </c>
      <c r="R1670" s="26" t="s">
        <v>36</v>
      </c>
      <c r="S1670" s="31">
        <v>200</v>
      </c>
      <c r="T1670" s="32">
        <v>45293</v>
      </c>
      <c r="U1670" s="31">
        <v>3668</v>
      </c>
      <c r="V1670" s="32">
        <v>45295</v>
      </c>
      <c r="W1670" s="33" t="s">
        <v>6718</v>
      </c>
      <c r="X1670" s="26">
        <v>100</v>
      </c>
      <c r="Y1670" s="22">
        <v>0</v>
      </c>
      <c r="Z1670" s="26" t="s">
        <v>50</v>
      </c>
      <c r="AA1670" s="19" t="s">
        <v>6079</v>
      </c>
      <c r="AB1670" s="26"/>
      <c r="AC1670" s="26" t="s">
        <v>53</v>
      </c>
      <c r="AD1670" s="19" t="s">
        <v>138</v>
      </c>
      <c r="AE1670" s="26" t="s">
        <v>6719</v>
      </c>
      <c r="AF1670" s="17">
        <v>45300</v>
      </c>
      <c r="AG1670" s="26" t="s">
        <v>4279</v>
      </c>
      <c r="AH1670" s="26"/>
      <c r="AI1670" s="40">
        <v>1</v>
      </c>
      <c r="AJ1670" s="26"/>
      <c r="AK1670" s="26"/>
      <c r="AL1670" s="35"/>
      <c r="AM1670" s="35"/>
      <c r="AN1670" s="35"/>
      <c r="AO1670" s="35"/>
      <c r="AP1670" s="35"/>
    </row>
    <row r="1671" spans="1:42" x14ac:dyDescent="0.2">
      <c r="A1671" s="126">
        <v>45295.667250266204</v>
      </c>
      <c r="B1671" s="28" t="s">
        <v>37</v>
      </c>
      <c r="C1671" s="41" t="s">
        <v>118</v>
      </c>
      <c r="D1671" s="26" t="s">
        <v>106</v>
      </c>
      <c r="E1671" s="26" t="s">
        <v>219</v>
      </c>
      <c r="F1671" s="26" t="s">
        <v>3238</v>
      </c>
      <c r="G1671" s="26" t="s">
        <v>221</v>
      </c>
      <c r="H1671" s="26" t="s">
        <v>6083</v>
      </c>
      <c r="I1671" s="17">
        <f ca="1">IFERROR(__xludf.DUMMYFUNCTION("""COMPUTED_VALUE"""),45303)</f>
        <v>45303</v>
      </c>
      <c r="J1671" s="29" t="s">
        <v>4225</v>
      </c>
      <c r="K1671" s="26" t="s">
        <v>6720</v>
      </c>
      <c r="L1671" s="30">
        <v>566515888</v>
      </c>
      <c r="M1671" s="26" t="s">
        <v>5429</v>
      </c>
      <c r="N1671" s="26" t="s">
        <v>81</v>
      </c>
      <c r="O1671" s="26" t="s">
        <v>61</v>
      </c>
      <c r="P1671" s="26" t="s">
        <v>6368</v>
      </c>
      <c r="Q1671" s="20">
        <v>3968</v>
      </c>
      <c r="R1671" s="26" t="s">
        <v>36</v>
      </c>
      <c r="S1671" s="31">
        <v>3868</v>
      </c>
      <c r="T1671" s="32">
        <v>45295</v>
      </c>
      <c r="U1671" s="31"/>
      <c r="V1671" s="32"/>
      <c r="W1671" s="33" t="s">
        <v>6721</v>
      </c>
      <c r="X1671" s="26">
        <v>100</v>
      </c>
      <c r="Y1671" s="22">
        <v>0</v>
      </c>
      <c r="Z1671" s="26" t="s">
        <v>50</v>
      </c>
      <c r="AA1671" s="19" t="s">
        <v>6079</v>
      </c>
      <c r="AB1671" s="26"/>
      <c r="AC1671" s="26" t="s">
        <v>53</v>
      </c>
      <c r="AD1671" s="19" t="s">
        <v>138</v>
      </c>
      <c r="AE1671" s="26" t="s">
        <v>6722</v>
      </c>
      <c r="AF1671" s="17">
        <v>45303</v>
      </c>
      <c r="AG1671" s="26" t="s">
        <v>1362</v>
      </c>
      <c r="AH1671" s="26"/>
      <c r="AI1671" s="40">
        <v>1</v>
      </c>
      <c r="AJ1671" s="26"/>
      <c r="AK1671" s="26"/>
      <c r="AL1671" s="35"/>
      <c r="AM1671" s="35"/>
      <c r="AN1671" s="35"/>
      <c r="AO1671" s="35"/>
      <c r="AP1671" s="35"/>
    </row>
    <row r="1672" spans="1:42" x14ac:dyDescent="0.2">
      <c r="A1672" s="126">
        <v>45296.908126423616</v>
      </c>
      <c r="B1672" s="28" t="s">
        <v>37</v>
      </c>
      <c r="C1672" s="41" t="s">
        <v>118</v>
      </c>
      <c r="D1672" s="26" t="s">
        <v>36</v>
      </c>
      <c r="E1672" s="26" t="s">
        <v>106</v>
      </c>
      <c r="F1672" s="26" t="s">
        <v>36</v>
      </c>
      <c r="G1672" s="26" t="s">
        <v>108</v>
      </c>
      <c r="H1672" s="26" t="s">
        <v>6723</v>
      </c>
      <c r="I1672" s="17" t="str">
        <f ca="1">IFERROR(__xludf.DUMMYFUNCTION("""COMPUTED_VALUE""")," ")</f>
        <v xml:space="preserve"> </v>
      </c>
      <c r="J1672" s="29" t="s">
        <v>6724</v>
      </c>
      <c r="K1672" s="26" t="s">
        <v>6725</v>
      </c>
      <c r="L1672" s="30">
        <v>964982685</v>
      </c>
      <c r="M1672" s="26" t="s">
        <v>80</v>
      </c>
      <c r="N1672" s="26" t="s">
        <v>466</v>
      </c>
      <c r="O1672" s="26" t="s">
        <v>6726</v>
      </c>
      <c r="P1672" s="42" t="s">
        <v>6727</v>
      </c>
      <c r="Q1672" s="20">
        <v>3768</v>
      </c>
      <c r="R1672" s="26" t="s">
        <v>36</v>
      </c>
      <c r="S1672" s="31">
        <v>500</v>
      </c>
      <c r="T1672" s="32">
        <v>45296</v>
      </c>
      <c r="U1672" s="31">
        <v>3500</v>
      </c>
      <c r="V1672" s="32">
        <v>45300</v>
      </c>
      <c r="W1672" s="33" t="s">
        <v>6728</v>
      </c>
      <c r="X1672" s="26">
        <v>0</v>
      </c>
      <c r="Y1672" s="22">
        <v>-232</v>
      </c>
      <c r="Z1672" s="26" t="s">
        <v>50</v>
      </c>
      <c r="AA1672" s="19" t="s">
        <v>6079</v>
      </c>
      <c r="AB1672" s="26"/>
      <c r="AC1672" s="26" t="s">
        <v>53</v>
      </c>
      <c r="AD1672" s="19" t="s">
        <v>54</v>
      </c>
      <c r="AE1672" s="26">
        <v>400</v>
      </c>
      <c r="AF1672" s="17">
        <v>45299</v>
      </c>
      <c r="AG1672" s="26" t="s">
        <v>6680</v>
      </c>
      <c r="AH1672" s="26"/>
      <c r="AI1672" s="40">
        <v>1</v>
      </c>
      <c r="AJ1672" s="26"/>
      <c r="AK1672" s="26"/>
      <c r="AL1672" s="35"/>
      <c r="AM1672" s="35"/>
      <c r="AN1672" s="35"/>
      <c r="AO1672" s="35"/>
      <c r="AP1672" s="35"/>
    </row>
    <row r="1673" spans="1:42" x14ac:dyDescent="0.2">
      <c r="A1673" s="126">
        <v>45296.926277141203</v>
      </c>
      <c r="B1673" s="28" t="s">
        <v>37</v>
      </c>
      <c r="C1673" s="41" t="s">
        <v>118</v>
      </c>
      <c r="D1673" s="26" t="s">
        <v>36</v>
      </c>
      <c r="E1673" s="26" t="s">
        <v>119</v>
      </c>
      <c r="F1673" s="26" t="s">
        <v>36</v>
      </c>
      <c r="G1673" s="26" t="s">
        <v>108</v>
      </c>
      <c r="H1673" s="26" t="s">
        <v>2440</v>
      </c>
      <c r="I1673" s="17">
        <f ca="1">IFERROR(__xludf.DUMMYFUNCTION("""COMPUTED_VALUE"""),45306)</f>
        <v>45306</v>
      </c>
      <c r="J1673" s="29" t="s">
        <v>6729</v>
      </c>
      <c r="K1673" s="26" t="s">
        <v>6730</v>
      </c>
      <c r="L1673" s="30">
        <v>988790393</v>
      </c>
      <c r="M1673" s="26" t="s">
        <v>80</v>
      </c>
      <c r="N1673" s="26" t="s">
        <v>1073</v>
      </c>
      <c r="O1673" s="26" t="s">
        <v>6731</v>
      </c>
      <c r="P1673" s="26" t="s">
        <v>6732</v>
      </c>
      <c r="Q1673" s="20">
        <v>13968</v>
      </c>
      <c r="R1673" s="26" t="s">
        <v>36</v>
      </c>
      <c r="S1673" s="31">
        <v>4000</v>
      </c>
      <c r="T1673" s="32">
        <v>45296</v>
      </c>
      <c r="U1673" s="31">
        <v>9968</v>
      </c>
      <c r="V1673" s="32">
        <v>45319</v>
      </c>
      <c r="W1673" s="33" t="s">
        <v>6733</v>
      </c>
      <c r="X1673" s="26">
        <v>0</v>
      </c>
      <c r="Y1673" s="22">
        <v>0</v>
      </c>
      <c r="Z1673" s="26" t="s">
        <v>50</v>
      </c>
      <c r="AA1673" s="19" t="s">
        <v>6079</v>
      </c>
      <c r="AB1673" s="26"/>
      <c r="AC1673" s="26" t="s">
        <v>53</v>
      </c>
      <c r="AD1673" s="19" t="s">
        <v>54</v>
      </c>
      <c r="AE1673" s="26">
        <v>500</v>
      </c>
      <c r="AF1673" s="17">
        <v>45299</v>
      </c>
      <c r="AG1673" s="26"/>
      <c r="AH1673" s="26"/>
      <c r="AI1673" s="40">
        <v>4</v>
      </c>
      <c r="AJ1673" s="26"/>
      <c r="AK1673" s="26"/>
      <c r="AL1673" s="35"/>
      <c r="AM1673" s="35"/>
      <c r="AN1673" s="35"/>
      <c r="AO1673" s="35"/>
      <c r="AP1673" s="35"/>
    </row>
    <row r="1674" spans="1:42" x14ac:dyDescent="0.2">
      <c r="A1674" s="126">
        <v>45297.359344050928</v>
      </c>
      <c r="B1674" s="28" t="s">
        <v>37</v>
      </c>
      <c r="C1674" s="41" t="s">
        <v>118</v>
      </c>
      <c r="D1674" s="26" t="s">
        <v>36</v>
      </c>
      <c r="E1674" s="26" t="s">
        <v>219</v>
      </c>
      <c r="F1674" s="26" t="s">
        <v>3238</v>
      </c>
      <c r="G1674" s="26" t="s">
        <v>221</v>
      </c>
      <c r="H1674" s="26" t="s">
        <v>6083</v>
      </c>
      <c r="I1674" s="17">
        <f ca="1">IFERROR(__xludf.DUMMYFUNCTION("""COMPUTED_VALUE"""),45303)</f>
        <v>45303</v>
      </c>
      <c r="J1674" s="29" t="s">
        <v>4072</v>
      </c>
      <c r="K1674" s="26" t="s">
        <v>4073</v>
      </c>
      <c r="L1674" s="30">
        <v>386353687</v>
      </c>
      <c r="M1674" s="26" t="s">
        <v>80</v>
      </c>
      <c r="N1674" s="26" t="s">
        <v>253</v>
      </c>
      <c r="O1674" s="26" t="s">
        <v>4074</v>
      </c>
      <c r="P1674" s="26" t="s">
        <v>2641</v>
      </c>
      <c r="Q1674" s="20">
        <v>3968</v>
      </c>
      <c r="R1674" s="26" t="s">
        <v>36</v>
      </c>
      <c r="S1674" s="31">
        <v>3868</v>
      </c>
      <c r="T1674" s="32">
        <v>45296</v>
      </c>
      <c r="U1674" s="31"/>
      <c r="V1674" s="32"/>
      <c r="W1674" s="33" t="s">
        <v>6734</v>
      </c>
      <c r="X1674" s="26">
        <v>100</v>
      </c>
      <c r="Y1674" s="22">
        <v>0</v>
      </c>
      <c r="Z1674" s="26" t="s">
        <v>50</v>
      </c>
      <c r="AA1674" s="19" t="s">
        <v>6079</v>
      </c>
      <c r="AB1674" s="26"/>
      <c r="AC1674" s="26" t="s">
        <v>53</v>
      </c>
      <c r="AD1674" s="19" t="s">
        <v>54</v>
      </c>
      <c r="AE1674" s="26" t="s">
        <v>3238</v>
      </c>
      <c r="AF1674" s="17">
        <v>45303</v>
      </c>
      <c r="AG1674" s="26" t="s">
        <v>1362</v>
      </c>
      <c r="AH1674" s="26"/>
      <c r="AI1674" s="40">
        <v>1</v>
      </c>
      <c r="AJ1674" s="26"/>
      <c r="AK1674" s="26"/>
      <c r="AL1674" s="35"/>
      <c r="AM1674" s="35"/>
      <c r="AN1674" s="35"/>
      <c r="AO1674" s="35"/>
      <c r="AP1674" s="35"/>
    </row>
    <row r="1675" spans="1:42" x14ac:dyDescent="0.2">
      <c r="A1675" s="126">
        <v>45297.775890960649</v>
      </c>
      <c r="B1675" s="28" t="s">
        <v>37</v>
      </c>
      <c r="C1675" s="41" t="s">
        <v>118</v>
      </c>
      <c r="D1675" s="26" t="s">
        <v>219</v>
      </c>
      <c r="E1675" s="26" t="s">
        <v>219</v>
      </c>
      <c r="F1675" s="26" t="s">
        <v>1748</v>
      </c>
      <c r="G1675" s="26" t="s">
        <v>221</v>
      </c>
      <c r="H1675" s="26" t="s">
        <v>6570</v>
      </c>
      <c r="I1675" s="17">
        <f ca="1">IFERROR(__xludf.DUMMYFUNCTION("""COMPUTED_VALUE"""),45314)</f>
        <v>45314</v>
      </c>
      <c r="J1675" s="29" t="s">
        <v>6735</v>
      </c>
      <c r="K1675" s="26" t="s">
        <v>4635</v>
      </c>
      <c r="L1675" s="30">
        <v>384268008</v>
      </c>
      <c r="M1675" s="26" t="s">
        <v>5429</v>
      </c>
      <c r="N1675" s="26" t="s">
        <v>81</v>
      </c>
      <c r="O1675" s="26" t="s">
        <v>542</v>
      </c>
      <c r="P1675" s="26" t="s">
        <v>4636</v>
      </c>
      <c r="Q1675" s="20">
        <v>3968</v>
      </c>
      <c r="R1675" s="26" t="s">
        <v>36</v>
      </c>
      <c r="S1675" s="31">
        <v>3968</v>
      </c>
      <c r="T1675" s="32">
        <v>45297</v>
      </c>
      <c r="U1675" s="31"/>
      <c r="V1675" s="32"/>
      <c r="W1675" s="33" t="s">
        <v>6736</v>
      </c>
      <c r="X1675" s="26">
        <v>100</v>
      </c>
      <c r="Y1675" s="22">
        <v>-100</v>
      </c>
      <c r="Z1675" s="26" t="s">
        <v>50</v>
      </c>
      <c r="AA1675" s="19" t="s">
        <v>6079</v>
      </c>
      <c r="AB1675" s="26"/>
      <c r="AC1675" s="26" t="s">
        <v>53</v>
      </c>
      <c r="AD1675" s="19" t="s">
        <v>54</v>
      </c>
      <c r="AE1675" s="26" t="s">
        <v>1748</v>
      </c>
      <c r="AF1675" s="17">
        <v>45309</v>
      </c>
      <c r="AG1675" s="26"/>
      <c r="AH1675" s="26"/>
      <c r="AI1675" s="40">
        <v>1</v>
      </c>
      <c r="AJ1675" s="26"/>
      <c r="AK1675" s="26"/>
      <c r="AL1675" s="35"/>
      <c r="AM1675" s="35"/>
      <c r="AN1675" s="35"/>
      <c r="AO1675" s="35"/>
      <c r="AP1675" s="35"/>
    </row>
    <row r="1676" spans="1:42" x14ac:dyDescent="0.2">
      <c r="A1676" s="126">
        <v>45298.418219537038</v>
      </c>
      <c r="B1676" s="28" t="s">
        <v>37</v>
      </c>
      <c r="C1676" s="41" t="s">
        <v>118</v>
      </c>
      <c r="D1676" s="26" t="s">
        <v>36</v>
      </c>
      <c r="E1676" s="26" t="s">
        <v>148</v>
      </c>
      <c r="F1676" s="26" t="s">
        <v>36</v>
      </c>
      <c r="G1676" s="26" t="s">
        <v>108</v>
      </c>
      <c r="H1676" s="26" t="s">
        <v>2163</v>
      </c>
      <c r="I1676" s="17">
        <f ca="1">IFERROR(__xludf.DUMMYFUNCTION("""COMPUTED_VALUE"""),45440)</f>
        <v>45440</v>
      </c>
      <c r="J1676" s="29" t="s">
        <v>6737</v>
      </c>
      <c r="K1676" s="26" t="s">
        <v>6738</v>
      </c>
      <c r="L1676" s="30">
        <v>967102005</v>
      </c>
      <c r="M1676" s="26" t="s">
        <v>5429</v>
      </c>
      <c r="N1676" s="26" t="s">
        <v>81</v>
      </c>
      <c r="O1676" s="26" t="s">
        <v>6739</v>
      </c>
      <c r="P1676" s="26" t="s">
        <v>6740</v>
      </c>
      <c r="Q1676" s="20">
        <v>7349</v>
      </c>
      <c r="R1676" s="26" t="s">
        <v>36</v>
      </c>
      <c r="S1676" s="31">
        <v>7349</v>
      </c>
      <c r="T1676" s="32">
        <v>45298</v>
      </c>
      <c r="U1676" s="31"/>
      <c r="V1676" s="26" t="s">
        <v>6741</v>
      </c>
      <c r="W1676" s="33" t="s">
        <v>6742</v>
      </c>
      <c r="X1676" s="26">
        <v>0</v>
      </c>
      <c r="Y1676" s="22">
        <v>0</v>
      </c>
      <c r="Z1676" s="26" t="s">
        <v>50</v>
      </c>
      <c r="AA1676" s="19" t="s">
        <v>6079</v>
      </c>
      <c r="AB1676" s="26"/>
      <c r="AC1676" s="26" t="s">
        <v>53</v>
      </c>
      <c r="AD1676" s="19" t="s">
        <v>54</v>
      </c>
      <c r="AE1676" s="26">
        <v>390</v>
      </c>
      <c r="AF1676" s="17">
        <v>45299</v>
      </c>
      <c r="AG1676" s="26"/>
      <c r="AH1676" s="26"/>
      <c r="AI1676" s="40">
        <v>2</v>
      </c>
      <c r="AJ1676" s="26"/>
      <c r="AK1676" s="26"/>
      <c r="AL1676" s="35"/>
      <c r="AM1676" s="35"/>
      <c r="AN1676" s="35"/>
      <c r="AO1676" s="35"/>
      <c r="AP1676" s="35"/>
    </row>
    <row r="1677" spans="1:42" x14ac:dyDescent="0.2">
      <c r="A1677" s="126">
        <v>45300.91350678241</v>
      </c>
      <c r="B1677" s="28" t="s">
        <v>37</v>
      </c>
      <c r="C1677" s="41" t="s">
        <v>118</v>
      </c>
      <c r="D1677" s="26" t="s">
        <v>77</v>
      </c>
      <c r="E1677" s="26" t="s">
        <v>148</v>
      </c>
      <c r="F1677" s="26" t="s">
        <v>3365</v>
      </c>
      <c r="G1677" s="26" t="s">
        <v>108</v>
      </c>
      <c r="H1677" s="26" t="s">
        <v>4869</v>
      </c>
      <c r="I1677" s="17">
        <f ca="1">IFERROR(__xludf.DUMMYFUNCTION("""COMPUTED_VALUE"""),45300)</f>
        <v>45300</v>
      </c>
      <c r="J1677" s="29" t="s">
        <v>6743</v>
      </c>
      <c r="K1677" s="26" t="s">
        <v>6744</v>
      </c>
      <c r="L1677" s="30">
        <v>964054871</v>
      </c>
      <c r="M1677" s="26" t="s">
        <v>3728</v>
      </c>
      <c r="N1677" s="26" t="s">
        <v>299</v>
      </c>
      <c r="O1677" s="26" t="s">
        <v>6745</v>
      </c>
      <c r="P1677" s="42" t="s">
        <v>6746</v>
      </c>
      <c r="Q1677" s="20">
        <v>7349</v>
      </c>
      <c r="R1677" s="26" t="s">
        <v>36</v>
      </c>
      <c r="S1677" s="31">
        <f>7629-280</f>
        <v>7349</v>
      </c>
      <c r="T1677" s="32">
        <v>45300</v>
      </c>
      <c r="U1677" s="31"/>
      <c r="V1677" s="34" t="s">
        <v>6747</v>
      </c>
      <c r="W1677" s="33" t="s">
        <v>6748</v>
      </c>
      <c r="X1677" s="26">
        <v>100</v>
      </c>
      <c r="Y1677" s="22">
        <v>-100</v>
      </c>
      <c r="Z1677" s="26" t="s">
        <v>50</v>
      </c>
      <c r="AA1677" s="19" t="s">
        <v>6079</v>
      </c>
      <c r="AB1677" s="26"/>
      <c r="AC1677" s="26" t="s">
        <v>53</v>
      </c>
      <c r="AD1677" s="19" t="s">
        <v>138</v>
      </c>
      <c r="AE1677" s="34" t="s">
        <v>6747</v>
      </c>
      <c r="AF1677" s="17">
        <v>45301</v>
      </c>
      <c r="AG1677" s="26" t="s">
        <v>6749</v>
      </c>
      <c r="AH1677" s="26"/>
      <c r="AI1677" s="40">
        <v>2</v>
      </c>
      <c r="AJ1677" s="26"/>
      <c r="AK1677" s="26"/>
      <c r="AL1677" s="35"/>
      <c r="AM1677" s="35"/>
      <c r="AN1677" s="35"/>
      <c r="AO1677" s="35"/>
      <c r="AP1677" s="35"/>
    </row>
    <row r="1678" spans="1:42" x14ac:dyDescent="0.2">
      <c r="A1678" s="126">
        <v>45301.406768483794</v>
      </c>
      <c r="B1678" s="28" t="s">
        <v>37</v>
      </c>
      <c r="C1678" s="41" t="s">
        <v>118</v>
      </c>
      <c r="D1678" s="26" t="s">
        <v>36</v>
      </c>
      <c r="E1678" s="26" t="s">
        <v>77</v>
      </c>
      <c r="F1678" s="26" t="s">
        <v>36</v>
      </c>
      <c r="G1678" s="26" t="s">
        <v>41</v>
      </c>
      <c r="H1678" s="26" t="s">
        <v>6131</v>
      </c>
      <c r="I1678" s="17">
        <f ca="1">IFERROR(__xludf.DUMMYFUNCTION("""COMPUTED_VALUE"""),45306)</f>
        <v>45306</v>
      </c>
      <c r="J1678" s="29" t="s">
        <v>6750</v>
      </c>
      <c r="K1678" s="26" t="s">
        <v>6751</v>
      </c>
      <c r="L1678" s="30">
        <v>385913166</v>
      </c>
      <c r="M1678" s="26" t="s">
        <v>1245</v>
      </c>
      <c r="N1678" s="26" t="s">
        <v>1246</v>
      </c>
      <c r="O1678" s="26" t="s">
        <v>6752</v>
      </c>
      <c r="P1678" s="42" t="s">
        <v>6753</v>
      </c>
      <c r="Q1678" s="20">
        <v>1968</v>
      </c>
      <c r="R1678" s="26" t="s">
        <v>36</v>
      </c>
      <c r="S1678" s="31">
        <v>1968</v>
      </c>
      <c r="T1678" s="32">
        <v>45300</v>
      </c>
      <c r="U1678" s="31"/>
      <c r="V1678" s="32"/>
      <c r="W1678" s="33" t="s">
        <v>6754</v>
      </c>
      <c r="X1678" s="26">
        <v>0</v>
      </c>
      <c r="Y1678" s="22">
        <v>0</v>
      </c>
      <c r="Z1678" s="26" t="s">
        <v>50</v>
      </c>
      <c r="AA1678" s="19" t="s">
        <v>6079</v>
      </c>
      <c r="AB1678" s="26"/>
      <c r="AC1678" s="26" t="s">
        <v>53</v>
      </c>
      <c r="AD1678" s="19" t="s">
        <v>54</v>
      </c>
      <c r="AE1678" s="26">
        <v>0</v>
      </c>
      <c r="AF1678" s="17">
        <v>45302</v>
      </c>
      <c r="AG1678" s="26"/>
      <c r="AH1678" s="26"/>
      <c r="AI1678" s="40" t="s">
        <v>84</v>
      </c>
      <c r="AJ1678" s="26"/>
      <c r="AK1678" s="26"/>
      <c r="AL1678" s="35"/>
      <c r="AM1678" s="35"/>
      <c r="AN1678" s="35"/>
      <c r="AO1678" s="35"/>
      <c r="AP1678" s="35"/>
    </row>
    <row r="1679" spans="1:42" x14ac:dyDescent="0.2">
      <c r="A1679" s="126">
        <v>45301.445997662042</v>
      </c>
      <c r="B1679" s="28" t="s">
        <v>37</v>
      </c>
      <c r="C1679" s="41" t="s">
        <v>118</v>
      </c>
      <c r="D1679" s="26" t="s">
        <v>36</v>
      </c>
      <c r="E1679" s="26" t="s">
        <v>139</v>
      </c>
      <c r="F1679" s="26" t="s">
        <v>36</v>
      </c>
      <c r="G1679" s="26" t="s">
        <v>41</v>
      </c>
      <c r="H1679" s="26" t="s">
        <v>3279</v>
      </c>
      <c r="I1679" s="17">
        <f ca="1">IFERROR(__xludf.DUMMYFUNCTION("""COMPUTED_VALUE"""),45308)</f>
        <v>45308</v>
      </c>
      <c r="J1679" s="29" t="s">
        <v>6755</v>
      </c>
      <c r="K1679" s="26" t="s">
        <v>6756</v>
      </c>
      <c r="L1679" s="30">
        <v>347830908</v>
      </c>
      <c r="M1679" s="26" t="s">
        <v>292</v>
      </c>
      <c r="N1679" s="26" t="s">
        <v>1232</v>
      </c>
      <c r="O1679" s="67" t="s">
        <v>6757</v>
      </c>
      <c r="P1679" s="26" t="s">
        <v>6758</v>
      </c>
      <c r="Q1679" s="20">
        <v>15936</v>
      </c>
      <c r="R1679" s="26" t="s">
        <v>36</v>
      </c>
      <c r="S1679" s="31">
        <v>15936</v>
      </c>
      <c r="T1679" s="32">
        <v>45301</v>
      </c>
      <c r="U1679" s="31"/>
      <c r="V1679" s="32"/>
      <c r="W1679" s="33" t="s">
        <v>6759</v>
      </c>
      <c r="X1679" s="26">
        <v>0</v>
      </c>
      <c r="Y1679" s="22">
        <v>0</v>
      </c>
      <c r="Z1679" s="26" t="s">
        <v>50</v>
      </c>
      <c r="AA1679" s="19" t="s">
        <v>6079</v>
      </c>
      <c r="AB1679" s="26"/>
      <c r="AC1679" s="26" t="s">
        <v>53</v>
      </c>
      <c r="AD1679" s="19" t="s">
        <v>138</v>
      </c>
      <c r="AE1679" s="26">
        <v>100</v>
      </c>
      <c r="AF1679" s="17">
        <v>45308</v>
      </c>
      <c r="AG1679" s="26" t="s">
        <v>1362</v>
      </c>
      <c r="AH1679" s="26"/>
      <c r="AI1679" s="40" t="s">
        <v>147</v>
      </c>
      <c r="AJ1679" s="26"/>
      <c r="AK1679" s="26"/>
      <c r="AL1679" s="35"/>
      <c r="AM1679" s="35"/>
      <c r="AN1679" s="35"/>
      <c r="AO1679" s="35"/>
      <c r="AP1679" s="35"/>
    </row>
    <row r="1680" spans="1:42" x14ac:dyDescent="0.2">
      <c r="A1680" s="126">
        <v>45301.461599201386</v>
      </c>
      <c r="B1680" s="28" t="s">
        <v>37</v>
      </c>
      <c r="C1680" s="41" t="s">
        <v>118</v>
      </c>
      <c r="D1680" s="26" t="s">
        <v>36</v>
      </c>
      <c r="E1680" s="26" t="s">
        <v>139</v>
      </c>
      <c r="F1680" s="26" t="s">
        <v>36</v>
      </c>
      <c r="G1680" s="26" t="s">
        <v>41</v>
      </c>
      <c r="H1680" s="26" t="s">
        <v>6131</v>
      </c>
      <c r="I1680" s="17">
        <f ca="1">IFERROR(__xludf.DUMMYFUNCTION("""COMPUTED_VALUE"""),45306)</f>
        <v>45306</v>
      </c>
      <c r="J1680" s="29" t="s">
        <v>6760</v>
      </c>
      <c r="K1680" s="26" t="s">
        <v>6431</v>
      </c>
      <c r="L1680" s="30">
        <v>934231409</v>
      </c>
      <c r="M1680" s="26" t="s">
        <v>3728</v>
      </c>
      <c r="N1680" s="26" t="s">
        <v>5312</v>
      </c>
      <c r="O1680" s="26" t="s">
        <v>6761</v>
      </c>
      <c r="P1680" s="42" t="s">
        <v>6762</v>
      </c>
      <c r="Q1680" s="20">
        <v>15936</v>
      </c>
      <c r="R1680" s="26" t="s">
        <v>36</v>
      </c>
      <c r="S1680" s="31">
        <v>2000</v>
      </c>
      <c r="T1680" s="32">
        <v>45301</v>
      </c>
      <c r="U1680" s="31">
        <v>13936</v>
      </c>
      <c r="V1680" s="32">
        <v>45321</v>
      </c>
      <c r="W1680" s="33" t="s">
        <v>6763</v>
      </c>
      <c r="X1680" s="26">
        <v>0</v>
      </c>
      <c r="Y1680" s="22">
        <v>0</v>
      </c>
      <c r="Z1680" s="26" t="s">
        <v>50</v>
      </c>
      <c r="AA1680" s="19" t="s">
        <v>6079</v>
      </c>
      <c r="AB1680" s="26"/>
      <c r="AC1680" s="26" t="s">
        <v>53</v>
      </c>
      <c r="AD1680" s="19" t="s">
        <v>54</v>
      </c>
      <c r="AE1680" s="26">
        <v>0</v>
      </c>
      <c r="AF1680" s="17">
        <v>45302</v>
      </c>
      <c r="AG1680" s="26"/>
      <c r="AH1680" s="26"/>
      <c r="AI1680" s="40" t="s">
        <v>147</v>
      </c>
      <c r="AJ1680" s="26"/>
      <c r="AK1680" s="26"/>
      <c r="AL1680" s="35"/>
      <c r="AM1680" s="35"/>
      <c r="AN1680" s="35"/>
      <c r="AO1680" s="35"/>
      <c r="AP1680" s="35"/>
    </row>
    <row r="1681" spans="1:42" x14ac:dyDescent="0.2">
      <c r="A1681" s="126">
        <v>45301.678725740741</v>
      </c>
      <c r="B1681" s="28" t="s">
        <v>37</v>
      </c>
      <c r="C1681" s="41" t="s">
        <v>118</v>
      </c>
      <c r="D1681" s="26" t="s">
        <v>36</v>
      </c>
      <c r="E1681" s="26" t="s">
        <v>119</v>
      </c>
      <c r="F1681" s="26" t="s">
        <v>36</v>
      </c>
      <c r="G1681" s="26" t="s">
        <v>108</v>
      </c>
      <c r="H1681" s="26" t="s">
        <v>4869</v>
      </c>
      <c r="I1681" s="17">
        <f ca="1">IFERROR(__xludf.DUMMYFUNCTION("""COMPUTED_VALUE"""),45300)</f>
        <v>45300</v>
      </c>
      <c r="J1681" s="29" t="s">
        <v>6764</v>
      </c>
      <c r="K1681" s="26" t="s">
        <v>6765</v>
      </c>
      <c r="L1681" s="30">
        <v>378200105</v>
      </c>
      <c r="M1681" s="26" t="s">
        <v>3728</v>
      </c>
      <c r="N1681" s="26" t="s">
        <v>5277</v>
      </c>
      <c r="O1681" s="26" t="s">
        <v>6766</v>
      </c>
      <c r="P1681" s="26" t="s">
        <v>4126</v>
      </c>
      <c r="Q1681" s="20">
        <v>13968</v>
      </c>
      <c r="R1681" s="26" t="s">
        <v>36</v>
      </c>
      <c r="S1681" s="31">
        <v>4000</v>
      </c>
      <c r="T1681" s="32">
        <v>45301</v>
      </c>
      <c r="U1681" s="31">
        <v>9968</v>
      </c>
      <c r="V1681" s="32">
        <v>45314</v>
      </c>
      <c r="W1681" s="33" t="s">
        <v>6767</v>
      </c>
      <c r="X1681" s="26">
        <v>0</v>
      </c>
      <c r="Y1681" s="22">
        <v>0</v>
      </c>
      <c r="Z1681" s="26" t="s">
        <v>50</v>
      </c>
      <c r="AA1681" s="19" t="s">
        <v>6079</v>
      </c>
      <c r="AB1681" s="26"/>
      <c r="AC1681" s="26" t="s">
        <v>2218</v>
      </c>
      <c r="AD1681" s="19" t="s">
        <v>138</v>
      </c>
      <c r="AE1681" s="26">
        <v>560</v>
      </c>
      <c r="AF1681" s="17">
        <v>45301</v>
      </c>
      <c r="AG1681" s="26" t="s">
        <v>6768</v>
      </c>
      <c r="AH1681" s="26"/>
      <c r="AI1681" s="40">
        <v>4</v>
      </c>
      <c r="AJ1681" s="26"/>
      <c r="AK1681" s="26"/>
      <c r="AL1681" s="35"/>
      <c r="AM1681" s="35"/>
      <c r="AN1681" s="35"/>
      <c r="AO1681" s="35"/>
      <c r="AP1681" s="35"/>
    </row>
    <row r="1682" spans="1:42" x14ac:dyDescent="0.2">
      <c r="A1682" s="126">
        <v>45301.695833437501</v>
      </c>
      <c r="B1682" s="28" t="s">
        <v>37</v>
      </c>
      <c r="C1682" s="41" t="s">
        <v>118</v>
      </c>
      <c r="D1682" s="26" t="s">
        <v>36</v>
      </c>
      <c r="E1682" s="26" t="s">
        <v>139</v>
      </c>
      <c r="F1682" s="26" t="s">
        <v>40</v>
      </c>
      <c r="G1682" s="26" t="s">
        <v>41</v>
      </c>
      <c r="H1682" s="26" t="s">
        <v>6131</v>
      </c>
      <c r="I1682" s="17">
        <f ca="1">IFERROR(__xludf.DUMMYFUNCTION("""COMPUTED_VALUE"""),45306)</f>
        <v>45306</v>
      </c>
      <c r="J1682" s="29" t="s">
        <v>6769</v>
      </c>
      <c r="K1682" s="26" t="s">
        <v>6770</v>
      </c>
      <c r="L1682" s="30">
        <v>325596416</v>
      </c>
      <c r="M1682" s="26" t="s">
        <v>5518</v>
      </c>
      <c r="N1682" s="26" t="s">
        <v>5582</v>
      </c>
      <c r="O1682" s="26" t="s">
        <v>6771</v>
      </c>
      <c r="P1682" s="26" t="s">
        <v>6772</v>
      </c>
      <c r="Q1682" s="20">
        <v>15936</v>
      </c>
      <c r="R1682" s="26" t="s">
        <v>36</v>
      </c>
      <c r="S1682" s="31">
        <v>4000</v>
      </c>
      <c r="T1682" s="32">
        <v>45301</v>
      </c>
      <c r="U1682" s="31">
        <v>11936</v>
      </c>
      <c r="V1682" s="32">
        <v>45319</v>
      </c>
      <c r="W1682" s="33" t="s">
        <v>6773</v>
      </c>
      <c r="X1682" s="26">
        <v>0</v>
      </c>
      <c r="Y1682" s="22">
        <v>0</v>
      </c>
      <c r="Z1682" s="26" t="s">
        <v>50</v>
      </c>
      <c r="AA1682" s="19" t="s">
        <v>6079</v>
      </c>
      <c r="AB1682" s="26"/>
      <c r="AC1682" s="26" t="s">
        <v>53</v>
      </c>
      <c r="AD1682" s="19" t="s">
        <v>54</v>
      </c>
      <c r="AE1682" s="26">
        <v>0</v>
      </c>
      <c r="AF1682" s="17">
        <v>45302</v>
      </c>
      <c r="AG1682" s="26"/>
      <c r="AH1682" s="26"/>
      <c r="AI1682" s="40" t="s">
        <v>147</v>
      </c>
      <c r="AJ1682" s="26"/>
      <c r="AK1682" s="26"/>
      <c r="AL1682" s="35"/>
      <c r="AM1682" s="35"/>
      <c r="AN1682" s="35"/>
      <c r="AO1682" s="35"/>
      <c r="AP1682" s="35"/>
    </row>
    <row r="1683" spans="1:42" x14ac:dyDescent="0.2">
      <c r="A1683" s="126">
        <v>45301.884759155088</v>
      </c>
      <c r="B1683" s="28" t="s">
        <v>37</v>
      </c>
      <c r="C1683" s="41" t="s">
        <v>118</v>
      </c>
      <c r="D1683" s="26" t="s">
        <v>36</v>
      </c>
      <c r="E1683" s="26" t="s">
        <v>77</v>
      </c>
      <c r="F1683" s="26" t="s">
        <v>6774</v>
      </c>
      <c r="G1683" s="26" t="s">
        <v>41</v>
      </c>
      <c r="H1683" s="26" t="s">
        <v>6131</v>
      </c>
      <c r="I1683" s="17">
        <f ca="1">IFERROR(__xludf.DUMMYFUNCTION("""COMPUTED_VALUE"""),45306)</f>
        <v>45306</v>
      </c>
      <c r="J1683" s="29" t="s">
        <v>6775</v>
      </c>
      <c r="K1683" s="26" t="s">
        <v>6776</v>
      </c>
      <c r="L1683" s="30">
        <v>559528418</v>
      </c>
      <c r="M1683" s="26" t="s">
        <v>3288</v>
      </c>
      <c r="N1683" s="26" t="s">
        <v>200</v>
      </c>
      <c r="O1683" s="26" t="s">
        <v>6777</v>
      </c>
      <c r="P1683" s="26" t="s">
        <v>6778</v>
      </c>
      <c r="Q1683" s="20">
        <v>1968</v>
      </c>
      <c r="R1683" s="26" t="s">
        <v>36</v>
      </c>
      <c r="S1683" s="31">
        <v>1968</v>
      </c>
      <c r="T1683" s="32">
        <v>44936</v>
      </c>
      <c r="U1683" s="31"/>
      <c r="V1683" s="32"/>
      <c r="W1683" s="33" t="s">
        <v>6779</v>
      </c>
      <c r="X1683" s="26">
        <v>100</v>
      </c>
      <c r="Y1683" s="22">
        <v>-100</v>
      </c>
      <c r="Z1683" s="26" t="s">
        <v>50</v>
      </c>
      <c r="AA1683" s="19" t="s">
        <v>6079</v>
      </c>
      <c r="AB1683" s="26"/>
      <c r="AC1683" s="26" t="s">
        <v>53</v>
      </c>
      <c r="AD1683" s="19" t="s">
        <v>54</v>
      </c>
      <c r="AE1683" s="26">
        <v>0</v>
      </c>
      <c r="AF1683" s="17">
        <v>45302</v>
      </c>
      <c r="AG1683" s="26"/>
      <c r="AH1683" s="26"/>
      <c r="AI1683" s="40" t="s">
        <v>84</v>
      </c>
      <c r="AJ1683" s="26"/>
      <c r="AK1683" s="26"/>
      <c r="AL1683" s="35"/>
      <c r="AM1683" s="35"/>
      <c r="AN1683" s="35"/>
      <c r="AO1683" s="35"/>
      <c r="AP1683" s="35"/>
    </row>
    <row r="1684" spans="1:42" x14ac:dyDescent="0.2">
      <c r="A1684" s="126">
        <v>45301.932107083332</v>
      </c>
      <c r="B1684" s="28" t="s">
        <v>37</v>
      </c>
      <c r="C1684" s="41" t="s">
        <v>118</v>
      </c>
      <c r="D1684" s="26" t="s">
        <v>36</v>
      </c>
      <c r="E1684" s="26" t="s">
        <v>139</v>
      </c>
      <c r="F1684" s="26" t="s">
        <v>40</v>
      </c>
      <c r="G1684" s="26" t="s">
        <v>41</v>
      </c>
      <c r="H1684" s="26" t="s">
        <v>3279</v>
      </c>
      <c r="I1684" s="17">
        <f ca="1">IFERROR(__xludf.DUMMYFUNCTION("""COMPUTED_VALUE"""),45308)</f>
        <v>45308</v>
      </c>
      <c r="J1684" s="29" t="s">
        <v>6780</v>
      </c>
      <c r="K1684" s="26" t="s">
        <v>6781</v>
      </c>
      <c r="L1684" s="30">
        <v>865992562</v>
      </c>
      <c r="M1684" s="26" t="s">
        <v>59</v>
      </c>
      <c r="N1684" s="26" t="s">
        <v>68</v>
      </c>
      <c r="O1684" s="26" t="s">
        <v>6782</v>
      </c>
      <c r="P1684" s="26" t="s">
        <v>6783</v>
      </c>
      <c r="Q1684" s="20">
        <v>15936</v>
      </c>
      <c r="R1684" s="26" t="s">
        <v>36</v>
      </c>
      <c r="S1684" s="31">
        <v>5000</v>
      </c>
      <c r="T1684" s="32">
        <v>45296</v>
      </c>
      <c r="U1684" s="31">
        <v>10963</v>
      </c>
      <c r="V1684" s="32">
        <v>45322</v>
      </c>
      <c r="W1684" s="33" t="s">
        <v>6784</v>
      </c>
      <c r="X1684" s="26">
        <v>0</v>
      </c>
      <c r="Y1684" s="22">
        <v>-27</v>
      </c>
      <c r="Z1684" s="26" t="s">
        <v>50</v>
      </c>
      <c r="AA1684" s="19" t="s">
        <v>6079</v>
      </c>
      <c r="AB1684" s="26"/>
      <c r="AC1684" s="26" t="s">
        <v>53</v>
      </c>
      <c r="AD1684" s="19" t="s">
        <v>138</v>
      </c>
      <c r="AE1684" s="26" t="s">
        <v>76</v>
      </c>
      <c r="AF1684" s="17">
        <v>45308</v>
      </c>
      <c r="AG1684" s="26" t="s">
        <v>1362</v>
      </c>
      <c r="AH1684" s="26"/>
      <c r="AI1684" s="40" t="s">
        <v>147</v>
      </c>
      <c r="AJ1684" s="26"/>
      <c r="AK1684" s="26"/>
      <c r="AL1684" s="35"/>
      <c r="AM1684" s="35"/>
      <c r="AN1684" s="35"/>
      <c r="AO1684" s="35"/>
      <c r="AP1684" s="35"/>
    </row>
    <row r="1685" spans="1:42" x14ac:dyDescent="0.2">
      <c r="A1685" s="126">
        <v>45302.473394872686</v>
      </c>
      <c r="B1685" s="28" t="s">
        <v>37</v>
      </c>
      <c r="C1685" s="41" t="s">
        <v>118</v>
      </c>
      <c r="D1685" s="26" t="s">
        <v>36</v>
      </c>
      <c r="E1685" s="26" t="s">
        <v>77</v>
      </c>
      <c r="F1685" s="26" t="s">
        <v>36</v>
      </c>
      <c r="G1685" s="26" t="s">
        <v>41</v>
      </c>
      <c r="H1685" s="26" t="s">
        <v>3279</v>
      </c>
      <c r="I1685" s="17">
        <f ca="1">IFERROR(__xludf.DUMMYFUNCTION("""COMPUTED_VALUE"""),45308)</f>
        <v>45308</v>
      </c>
      <c r="J1685" s="29" t="s">
        <v>6785</v>
      </c>
      <c r="K1685" s="26" t="s">
        <v>6786</v>
      </c>
      <c r="L1685" s="30">
        <v>987712077</v>
      </c>
      <c r="M1685" s="26" t="s">
        <v>112</v>
      </c>
      <c r="N1685" s="26" t="s">
        <v>113</v>
      </c>
      <c r="O1685" s="26" t="s">
        <v>36</v>
      </c>
      <c r="P1685" s="26" t="s">
        <v>138</v>
      </c>
      <c r="Q1685" s="20">
        <v>1968</v>
      </c>
      <c r="R1685" s="26" t="s">
        <v>36</v>
      </c>
      <c r="S1685" s="31">
        <v>1968</v>
      </c>
      <c r="T1685" s="32">
        <v>45302</v>
      </c>
      <c r="U1685" s="31"/>
      <c r="V1685" s="32"/>
      <c r="W1685" s="33" t="s">
        <v>6787</v>
      </c>
      <c r="X1685" s="26">
        <v>0</v>
      </c>
      <c r="Y1685" s="22">
        <v>0</v>
      </c>
      <c r="Z1685" s="26" t="s">
        <v>50</v>
      </c>
      <c r="AA1685" s="19" t="s">
        <v>6079</v>
      </c>
      <c r="AB1685" s="26"/>
      <c r="AC1685" s="26" t="s">
        <v>53</v>
      </c>
      <c r="AD1685" s="19" t="s">
        <v>138</v>
      </c>
      <c r="AE1685" s="26" t="s">
        <v>72</v>
      </c>
      <c r="AF1685" s="17">
        <v>45308</v>
      </c>
      <c r="AG1685" s="26" t="s">
        <v>1362</v>
      </c>
      <c r="AH1685" s="26"/>
      <c r="AI1685" s="40" t="s">
        <v>84</v>
      </c>
      <c r="AJ1685" s="26"/>
      <c r="AK1685" s="26"/>
      <c r="AL1685" s="35"/>
      <c r="AM1685" s="35"/>
      <c r="AN1685" s="35"/>
      <c r="AO1685" s="35"/>
      <c r="AP1685" s="35"/>
    </row>
    <row r="1686" spans="1:42" x14ac:dyDescent="0.2">
      <c r="A1686" s="126">
        <v>45302.484286956023</v>
      </c>
      <c r="B1686" s="28" t="s">
        <v>37</v>
      </c>
      <c r="C1686" s="41" t="s">
        <v>118</v>
      </c>
      <c r="D1686" s="26" t="s">
        <v>106</v>
      </c>
      <c r="E1686" s="26" t="s">
        <v>219</v>
      </c>
      <c r="F1686" s="26" t="s">
        <v>36</v>
      </c>
      <c r="G1686" s="26" t="s">
        <v>221</v>
      </c>
      <c r="H1686" s="26" t="s">
        <v>6570</v>
      </c>
      <c r="I1686" s="17">
        <f ca="1">IFERROR(__xludf.DUMMYFUNCTION("""COMPUTED_VALUE"""),45314)</f>
        <v>45314</v>
      </c>
      <c r="J1686" s="29" t="s">
        <v>1561</v>
      </c>
      <c r="K1686" s="26" t="s">
        <v>1562</v>
      </c>
      <c r="L1686" s="30">
        <v>865820763</v>
      </c>
      <c r="M1686" s="26" t="s">
        <v>1245</v>
      </c>
      <c r="N1686" s="26" t="s">
        <v>1246</v>
      </c>
      <c r="O1686" s="26" t="s">
        <v>36</v>
      </c>
      <c r="P1686" s="42" t="s">
        <v>6788</v>
      </c>
      <c r="Q1686" s="20">
        <v>3968</v>
      </c>
      <c r="R1686" s="26" t="s">
        <v>36</v>
      </c>
      <c r="S1686" s="31">
        <v>1000</v>
      </c>
      <c r="T1686" s="32">
        <v>45302</v>
      </c>
      <c r="U1686" s="31">
        <v>2868</v>
      </c>
      <c r="V1686" s="32">
        <v>45306</v>
      </c>
      <c r="W1686" s="33" t="s">
        <v>6789</v>
      </c>
      <c r="X1686" s="26">
        <v>100</v>
      </c>
      <c r="Y1686" s="22">
        <v>0</v>
      </c>
      <c r="Z1686" s="26" t="s">
        <v>50</v>
      </c>
      <c r="AA1686" s="19" t="s">
        <v>6079</v>
      </c>
      <c r="AB1686" s="26"/>
      <c r="AC1686" s="26" t="s">
        <v>53</v>
      </c>
      <c r="AD1686" s="19" t="s">
        <v>54</v>
      </c>
      <c r="AE1686" s="26" t="s">
        <v>836</v>
      </c>
      <c r="AF1686" s="17">
        <v>45309</v>
      </c>
      <c r="AG1686" s="26"/>
      <c r="AH1686" s="26"/>
      <c r="AI1686" s="40">
        <v>1</v>
      </c>
      <c r="AJ1686" s="26"/>
      <c r="AK1686" s="26"/>
      <c r="AL1686" s="35"/>
      <c r="AM1686" s="35"/>
      <c r="AN1686" s="35"/>
      <c r="AO1686" s="35"/>
      <c r="AP1686" s="35"/>
    </row>
    <row r="1687" spans="1:42" x14ac:dyDescent="0.2">
      <c r="A1687" s="126">
        <v>45302.67469211806</v>
      </c>
      <c r="B1687" s="28" t="s">
        <v>37</v>
      </c>
      <c r="C1687" s="41" t="s">
        <v>118</v>
      </c>
      <c r="D1687" s="26" t="s">
        <v>36</v>
      </c>
      <c r="E1687" s="26" t="s">
        <v>77</v>
      </c>
      <c r="F1687" s="26" t="s">
        <v>36</v>
      </c>
      <c r="G1687" s="26" t="s">
        <v>41</v>
      </c>
      <c r="H1687" s="26" t="s">
        <v>6412</v>
      </c>
      <c r="I1687" s="17">
        <f ca="1">IFERROR(__xludf.DUMMYFUNCTION("""COMPUTED_VALUE"""),45313)</f>
        <v>45313</v>
      </c>
      <c r="J1687" s="29" t="s">
        <v>6790</v>
      </c>
      <c r="K1687" s="26" t="s">
        <v>3805</v>
      </c>
      <c r="L1687" s="30">
        <v>835558408</v>
      </c>
      <c r="M1687" s="26" t="s">
        <v>1245</v>
      </c>
      <c r="N1687" s="26" t="s">
        <v>1246</v>
      </c>
      <c r="O1687" s="26" t="s">
        <v>3806</v>
      </c>
      <c r="P1687" s="42" t="s">
        <v>6791</v>
      </c>
      <c r="Q1687" s="20">
        <v>1968</v>
      </c>
      <c r="R1687" s="26" t="s">
        <v>36</v>
      </c>
      <c r="S1687" s="31">
        <v>1968</v>
      </c>
      <c r="T1687" s="32">
        <v>45302</v>
      </c>
      <c r="U1687" s="31"/>
      <c r="V1687" s="32"/>
      <c r="W1687" s="33" t="s">
        <v>6792</v>
      </c>
      <c r="X1687" s="26">
        <v>0</v>
      </c>
      <c r="Y1687" s="22">
        <v>0</v>
      </c>
      <c r="Z1687" s="26" t="s">
        <v>50</v>
      </c>
      <c r="AA1687" s="19" t="s">
        <v>6079</v>
      </c>
      <c r="AB1687" s="26"/>
      <c r="AC1687" s="26" t="s">
        <v>53</v>
      </c>
      <c r="AD1687" s="19" t="s">
        <v>54</v>
      </c>
      <c r="AE1687" s="26">
        <v>0</v>
      </c>
      <c r="AF1687" s="17">
        <v>45306</v>
      </c>
      <c r="AG1687" s="26"/>
      <c r="AH1687" s="26"/>
      <c r="AI1687" s="40" t="s">
        <v>84</v>
      </c>
      <c r="AJ1687" s="26"/>
      <c r="AK1687" s="26"/>
      <c r="AL1687" s="35"/>
      <c r="AM1687" s="35"/>
      <c r="AN1687" s="35"/>
      <c r="AO1687" s="35"/>
      <c r="AP1687" s="35"/>
    </row>
    <row r="1688" spans="1:42" x14ac:dyDescent="0.2">
      <c r="A1688" s="126">
        <v>45302.712578402774</v>
      </c>
      <c r="B1688" s="28" t="s">
        <v>37</v>
      </c>
      <c r="C1688" s="41" t="s">
        <v>118</v>
      </c>
      <c r="D1688" s="26" t="s">
        <v>36</v>
      </c>
      <c r="E1688" s="26" t="s">
        <v>139</v>
      </c>
      <c r="F1688" s="26" t="s">
        <v>36</v>
      </c>
      <c r="G1688" s="26" t="s">
        <v>41</v>
      </c>
      <c r="H1688" s="26" t="s">
        <v>3279</v>
      </c>
      <c r="I1688" s="17">
        <f ca="1">IFERROR(__xludf.DUMMYFUNCTION("""COMPUTED_VALUE"""),45308)</f>
        <v>45308</v>
      </c>
      <c r="J1688" s="29" t="s">
        <v>6793</v>
      </c>
      <c r="K1688" s="26" t="s">
        <v>6794</v>
      </c>
      <c r="L1688" s="30">
        <v>373857615</v>
      </c>
      <c r="M1688" s="26" t="s">
        <v>292</v>
      </c>
      <c r="N1688" s="26" t="s">
        <v>1232</v>
      </c>
      <c r="O1688" s="67" t="s">
        <v>6795</v>
      </c>
      <c r="P1688" s="26" t="s">
        <v>6796</v>
      </c>
      <c r="Q1688" s="20">
        <v>15936</v>
      </c>
      <c r="R1688" s="26" t="s">
        <v>36</v>
      </c>
      <c r="S1688" s="31">
        <v>15936</v>
      </c>
      <c r="T1688" s="32">
        <v>45302</v>
      </c>
      <c r="U1688" s="31"/>
      <c r="V1688" s="32"/>
      <c r="W1688" s="33" t="s">
        <v>6797</v>
      </c>
      <c r="X1688" s="26">
        <v>0</v>
      </c>
      <c r="Y1688" s="22">
        <v>0</v>
      </c>
      <c r="Z1688" s="26" t="s">
        <v>50</v>
      </c>
      <c r="AA1688" s="19" t="s">
        <v>6079</v>
      </c>
      <c r="AB1688" s="26"/>
      <c r="AC1688" s="26" t="s">
        <v>53</v>
      </c>
      <c r="AD1688" s="19" t="s">
        <v>138</v>
      </c>
      <c r="AE1688" s="26">
        <v>100</v>
      </c>
      <c r="AF1688" s="17">
        <v>45308</v>
      </c>
      <c r="AG1688" s="26" t="s">
        <v>1362</v>
      </c>
      <c r="AH1688" s="26"/>
      <c r="AI1688" s="40" t="s">
        <v>147</v>
      </c>
      <c r="AJ1688" s="26"/>
      <c r="AK1688" s="26"/>
      <c r="AL1688" s="35"/>
      <c r="AM1688" s="35"/>
      <c r="AN1688" s="35"/>
      <c r="AO1688" s="35"/>
      <c r="AP1688" s="35"/>
    </row>
    <row r="1689" spans="1:42" x14ac:dyDescent="0.2">
      <c r="A1689" s="126">
        <v>45303.391969363423</v>
      </c>
      <c r="B1689" s="28" t="s">
        <v>37</v>
      </c>
      <c r="C1689" s="41" t="s">
        <v>118</v>
      </c>
      <c r="D1689" s="26" t="s">
        <v>106</v>
      </c>
      <c r="E1689" s="26" t="s">
        <v>219</v>
      </c>
      <c r="F1689" s="26" t="s">
        <v>524</v>
      </c>
      <c r="G1689" s="26" t="s">
        <v>221</v>
      </c>
      <c r="H1689" s="26" t="s">
        <v>6570</v>
      </c>
      <c r="I1689" s="17">
        <f ca="1">IFERROR(__xludf.DUMMYFUNCTION("""COMPUTED_VALUE"""),45314)</f>
        <v>45314</v>
      </c>
      <c r="J1689" s="29" t="s">
        <v>6798</v>
      </c>
      <c r="K1689" s="26" t="s">
        <v>6799</v>
      </c>
      <c r="L1689" s="30">
        <v>385154938</v>
      </c>
      <c r="M1689" s="26" t="s">
        <v>1245</v>
      </c>
      <c r="N1689" s="26" t="s">
        <v>1246</v>
      </c>
      <c r="O1689" s="26" t="s">
        <v>6800</v>
      </c>
      <c r="P1689" s="26" t="s">
        <v>6801</v>
      </c>
      <c r="Q1689" s="20">
        <v>3968</v>
      </c>
      <c r="R1689" s="26" t="s">
        <v>36</v>
      </c>
      <c r="S1689" s="31">
        <v>3968</v>
      </c>
      <c r="T1689" s="32">
        <v>45303</v>
      </c>
      <c r="U1689" s="31"/>
      <c r="V1689" s="32"/>
      <c r="W1689" s="33" t="s">
        <v>6802</v>
      </c>
      <c r="X1689" s="26">
        <v>0</v>
      </c>
      <c r="Y1689" s="22">
        <v>0</v>
      </c>
      <c r="Z1689" s="26" t="s">
        <v>50</v>
      </c>
      <c r="AA1689" s="19" t="s">
        <v>6079</v>
      </c>
      <c r="AB1689" s="26"/>
      <c r="AC1689" s="26" t="s">
        <v>53</v>
      </c>
      <c r="AD1689" s="19" t="s">
        <v>54</v>
      </c>
      <c r="AE1689" s="26" t="s">
        <v>524</v>
      </c>
      <c r="AF1689" s="17">
        <v>45309</v>
      </c>
      <c r="AG1689" s="26"/>
      <c r="AH1689" s="26"/>
      <c r="AI1689" s="40">
        <v>1</v>
      </c>
      <c r="AJ1689" s="26"/>
      <c r="AK1689" s="26"/>
      <c r="AL1689" s="35"/>
      <c r="AM1689" s="35"/>
      <c r="AN1689" s="35"/>
      <c r="AO1689" s="35"/>
      <c r="AP1689" s="35"/>
    </row>
    <row r="1690" spans="1:42" x14ac:dyDescent="0.2">
      <c r="A1690" s="126">
        <v>45305.601466446758</v>
      </c>
      <c r="B1690" s="28" t="s">
        <v>37</v>
      </c>
      <c r="C1690" s="41" t="s">
        <v>118</v>
      </c>
      <c r="D1690" s="26" t="s">
        <v>36</v>
      </c>
      <c r="E1690" s="26" t="s">
        <v>106</v>
      </c>
      <c r="F1690" s="26" t="s">
        <v>36</v>
      </c>
      <c r="G1690" s="26" t="s">
        <v>108</v>
      </c>
      <c r="H1690" s="26" t="s">
        <v>4931</v>
      </c>
      <c r="I1690" s="17">
        <f ca="1">IFERROR(__xludf.DUMMYFUNCTION("""COMPUTED_VALUE"""),45375)</f>
        <v>45375</v>
      </c>
      <c r="J1690" s="29" t="s">
        <v>6803</v>
      </c>
      <c r="K1690" s="26" t="s">
        <v>6804</v>
      </c>
      <c r="L1690" s="30">
        <v>868465902</v>
      </c>
      <c r="M1690" s="26" t="s">
        <v>548</v>
      </c>
      <c r="N1690" s="26" t="s">
        <v>621</v>
      </c>
      <c r="O1690" s="26" t="s">
        <v>6805</v>
      </c>
      <c r="P1690" s="26" t="s">
        <v>6806</v>
      </c>
      <c r="Q1690" s="20">
        <v>3768</v>
      </c>
      <c r="R1690" s="26" t="s">
        <v>36</v>
      </c>
      <c r="S1690" s="31">
        <v>3768</v>
      </c>
      <c r="T1690" s="32">
        <v>45305</v>
      </c>
      <c r="U1690" s="31"/>
      <c r="V1690" s="32"/>
      <c r="W1690" s="33" t="s">
        <v>6807</v>
      </c>
      <c r="X1690" s="26">
        <v>0</v>
      </c>
      <c r="Y1690" s="22">
        <v>0</v>
      </c>
      <c r="Z1690" s="26" t="s">
        <v>50</v>
      </c>
      <c r="AA1690" s="19" t="s">
        <v>6079</v>
      </c>
      <c r="AB1690" s="26"/>
      <c r="AC1690" s="26" t="s">
        <v>53</v>
      </c>
      <c r="AD1690" s="19" t="s">
        <v>138</v>
      </c>
      <c r="AE1690" s="26">
        <v>360</v>
      </c>
      <c r="AF1690" s="17">
        <v>45375</v>
      </c>
      <c r="AG1690" s="26"/>
      <c r="AH1690" s="26"/>
      <c r="AI1690" s="40">
        <v>1</v>
      </c>
      <c r="AJ1690" s="26"/>
      <c r="AK1690" s="26"/>
      <c r="AL1690" s="35"/>
      <c r="AM1690" s="35"/>
      <c r="AN1690" s="35"/>
      <c r="AO1690" s="35"/>
      <c r="AP1690" s="35"/>
    </row>
    <row r="1691" spans="1:42" x14ac:dyDescent="0.2">
      <c r="A1691" s="126">
        <v>45305.692682071764</v>
      </c>
      <c r="B1691" s="28" t="s">
        <v>37</v>
      </c>
      <c r="C1691" s="41" t="s">
        <v>118</v>
      </c>
      <c r="D1691" s="26" t="s">
        <v>36</v>
      </c>
      <c r="E1691" s="26" t="s">
        <v>106</v>
      </c>
      <c r="F1691" s="26" t="s">
        <v>36</v>
      </c>
      <c r="G1691" s="26" t="s">
        <v>108</v>
      </c>
      <c r="H1691" s="26" t="s">
        <v>2434</v>
      </c>
      <c r="I1691" s="17">
        <f ca="1">IFERROR(__xludf.DUMMYFUNCTION("""COMPUTED_VALUE"""),45320)</f>
        <v>45320</v>
      </c>
      <c r="J1691" s="29" t="s">
        <v>6808</v>
      </c>
      <c r="K1691" s="26" t="s">
        <v>6097</v>
      </c>
      <c r="L1691" s="30">
        <v>889986588</v>
      </c>
      <c r="M1691" s="26" t="s">
        <v>112</v>
      </c>
      <c r="N1691" s="26" t="s">
        <v>113</v>
      </c>
      <c r="O1691" s="26" t="s">
        <v>36</v>
      </c>
      <c r="P1691" s="26" t="s">
        <v>6809</v>
      </c>
      <c r="Q1691" s="20">
        <v>3768</v>
      </c>
      <c r="R1691" s="26" t="s">
        <v>36</v>
      </c>
      <c r="S1691" s="31">
        <v>3768</v>
      </c>
      <c r="T1691" s="32">
        <v>45305</v>
      </c>
      <c r="U1691" s="31"/>
      <c r="V1691" s="32"/>
      <c r="W1691" s="33" t="s">
        <v>6810</v>
      </c>
      <c r="X1691" s="26">
        <v>0</v>
      </c>
      <c r="Y1691" s="22">
        <v>0</v>
      </c>
      <c r="Z1691" s="26" t="s">
        <v>50</v>
      </c>
      <c r="AA1691" s="19" t="s">
        <v>6079</v>
      </c>
      <c r="AB1691" s="26"/>
      <c r="AC1691" s="26" t="s">
        <v>53</v>
      </c>
      <c r="AD1691" s="19" t="s">
        <v>54</v>
      </c>
      <c r="AE1691" s="26">
        <v>390</v>
      </c>
      <c r="AF1691" s="17">
        <v>45309</v>
      </c>
      <c r="AG1691" s="26"/>
      <c r="AH1691" s="26"/>
      <c r="AI1691" s="40">
        <v>1</v>
      </c>
      <c r="AJ1691" s="26"/>
      <c r="AK1691" s="26"/>
      <c r="AL1691" s="35"/>
      <c r="AM1691" s="35"/>
      <c r="AN1691" s="35"/>
      <c r="AO1691" s="35"/>
      <c r="AP1691" s="35"/>
    </row>
    <row r="1692" spans="1:42" x14ac:dyDescent="0.2">
      <c r="A1692" s="126">
        <v>45306.387043402778</v>
      </c>
      <c r="B1692" s="28" t="s">
        <v>37</v>
      </c>
      <c r="C1692" s="41" t="s">
        <v>118</v>
      </c>
      <c r="D1692" s="26" t="s">
        <v>106</v>
      </c>
      <c r="E1692" s="26" t="s">
        <v>219</v>
      </c>
      <c r="F1692" s="26" t="s">
        <v>1544</v>
      </c>
      <c r="G1692" s="26" t="s">
        <v>221</v>
      </c>
      <c r="H1692" s="26" t="s">
        <v>6123</v>
      </c>
      <c r="I1692" s="17">
        <f ca="1">IFERROR(__xludf.DUMMYFUNCTION("""COMPUTED_VALUE"""),45320)</f>
        <v>45320</v>
      </c>
      <c r="J1692" s="29" t="s">
        <v>6811</v>
      </c>
      <c r="K1692" s="26" t="s">
        <v>1694</v>
      </c>
      <c r="L1692" s="30">
        <v>812123425</v>
      </c>
      <c r="M1692" s="26" t="s">
        <v>5429</v>
      </c>
      <c r="N1692" s="26" t="s">
        <v>81</v>
      </c>
      <c r="O1692" s="26" t="s">
        <v>1695</v>
      </c>
      <c r="P1692" s="26" t="s">
        <v>6812</v>
      </c>
      <c r="Q1692" s="20">
        <v>3968</v>
      </c>
      <c r="R1692" s="26" t="s">
        <v>36</v>
      </c>
      <c r="S1692" s="31">
        <v>1000</v>
      </c>
      <c r="T1692" s="32">
        <v>45303</v>
      </c>
      <c r="U1692" s="31">
        <v>2968</v>
      </c>
      <c r="V1692" s="32">
        <v>45307</v>
      </c>
      <c r="W1692" s="33" t="s">
        <v>6813</v>
      </c>
      <c r="X1692" s="26">
        <v>100</v>
      </c>
      <c r="Y1692" s="22">
        <v>-100</v>
      </c>
      <c r="Z1692" s="26" t="s">
        <v>50</v>
      </c>
      <c r="AA1692" s="19" t="s">
        <v>6079</v>
      </c>
      <c r="AB1692" s="26"/>
      <c r="AC1692" s="26" t="s">
        <v>53</v>
      </c>
      <c r="AD1692" s="19" t="s">
        <v>54</v>
      </c>
      <c r="AE1692" s="26" t="s">
        <v>6722</v>
      </c>
      <c r="AF1692" s="17">
        <v>45310</v>
      </c>
      <c r="AG1692" s="26"/>
      <c r="AH1692" s="26"/>
      <c r="AI1692" s="40">
        <v>1</v>
      </c>
      <c r="AJ1692" s="26"/>
      <c r="AK1692" s="26"/>
      <c r="AL1692" s="35"/>
      <c r="AM1692" s="35"/>
      <c r="AN1692" s="35"/>
      <c r="AO1692" s="35"/>
      <c r="AP1692" s="35"/>
    </row>
    <row r="1693" spans="1:42" x14ac:dyDescent="0.2">
      <c r="A1693" s="126">
        <v>45307.397217152778</v>
      </c>
      <c r="B1693" s="28" t="s">
        <v>37</v>
      </c>
      <c r="C1693" s="41" t="s">
        <v>118</v>
      </c>
      <c r="D1693" s="26" t="s">
        <v>36</v>
      </c>
      <c r="E1693" s="26" t="s">
        <v>77</v>
      </c>
      <c r="F1693" s="26" t="s">
        <v>36</v>
      </c>
      <c r="G1693" s="26" t="s">
        <v>41</v>
      </c>
      <c r="H1693" s="26" t="s">
        <v>6814</v>
      </c>
      <c r="I1693" s="17">
        <f ca="1">IFERROR(__xludf.DUMMYFUNCTION("""COMPUTED_VALUE"""),45350)</f>
        <v>45350</v>
      </c>
      <c r="J1693" s="29" t="s">
        <v>6815</v>
      </c>
      <c r="K1693" s="26" t="s">
        <v>6816</v>
      </c>
      <c r="L1693" s="30">
        <v>377291529</v>
      </c>
      <c r="M1693" s="26" t="s">
        <v>80</v>
      </c>
      <c r="N1693" s="26" t="s">
        <v>253</v>
      </c>
      <c r="O1693" s="26" t="s">
        <v>6817</v>
      </c>
      <c r="P1693" s="26" t="s">
        <v>6818</v>
      </c>
      <c r="Q1693" s="20">
        <v>1968</v>
      </c>
      <c r="R1693" s="26" t="s">
        <v>36</v>
      </c>
      <c r="S1693" s="31">
        <v>1968</v>
      </c>
      <c r="T1693" s="32">
        <v>45307</v>
      </c>
      <c r="U1693" s="31"/>
      <c r="V1693" s="32"/>
      <c r="W1693" s="33" t="s">
        <v>6819</v>
      </c>
      <c r="X1693" s="26">
        <v>0</v>
      </c>
      <c r="Y1693" s="22">
        <v>0</v>
      </c>
      <c r="Z1693" s="26" t="s">
        <v>50</v>
      </c>
      <c r="AA1693" s="19" t="s">
        <v>6079</v>
      </c>
      <c r="AB1693" s="26"/>
      <c r="AC1693" s="26" t="s">
        <v>53</v>
      </c>
      <c r="AD1693" s="19" t="s">
        <v>54</v>
      </c>
      <c r="AE1693" s="26">
        <v>0</v>
      </c>
      <c r="AF1693" s="17">
        <v>45338</v>
      </c>
      <c r="AG1693" s="26"/>
      <c r="AH1693" s="26"/>
      <c r="AI1693" s="40" t="s">
        <v>84</v>
      </c>
      <c r="AJ1693" s="26"/>
      <c r="AK1693" s="26"/>
      <c r="AL1693" s="35"/>
      <c r="AM1693" s="35"/>
      <c r="AN1693" s="35"/>
      <c r="AO1693" s="35"/>
      <c r="AP1693" s="35"/>
    </row>
    <row r="1694" spans="1:42" x14ac:dyDescent="0.2">
      <c r="A1694" s="126">
        <v>45307.660838842596</v>
      </c>
      <c r="B1694" s="28" t="s">
        <v>37</v>
      </c>
      <c r="C1694" s="41" t="s">
        <v>118</v>
      </c>
      <c r="D1694" s="26" t="s">
        <v>36</v>
      </c>
      <c r="E1694" s="26" t="s">
        <v>106</v>
      </c>
      <c r="F1694" s="26" t="s">
        <v>36</v>
      </c>
      <c r="G1694" s="26" t="s">
        <v>108</v>
      </c>
      <c r="H1694" s="26" t="s">
        <v>4931</v>
      </c>
      <c r="I1694" s="17">
        <f ca="1">IFERROR(__xludf.DUMMYFUNCTION("""COMPUTED_VALUE"""),45375)</f>
        <v>45375</v>
      </c>
      <c r="J1694" s="29" t="s">
        <v>6820</v>
      </c>
      <c r="K1694" s="26" t="s">
        <v>6821</v>
      </c>
      <c r="L1694" s="30">
        <v>912776709</v>
      </c>
      <c r="M1694" s="26" t="s">
        <v>548</v>
      </c>
      <c r="N1694" s="26" t="s">
        <v>621</v>
      </c>
      <c r="O1694" s="26" t="s">
        <v>6822</v>
      </c>
      <c r="P1694" s="26" t="s">
        <v>6823</v>
      </c>
      <c r="Q1694" s="20">
        <v>3768</v>
      </c>
      <c r="R1694" s="26" t="s">
        <v>36</v>
      </c>
      <c r="S1694" s="31">
        <v>3768</v>
      </c>
      <c r="T1694" s="32">
        <v>45307</v>
      </c>
      <c r="U1694" s="31"/>
      <c r="V1694" s="32"/>
      <c r="W1694" s="33" t="s">
        <v>6824</v>
      </c>
      <c r="X1694" s="26">
        <v>0</v>
      </c>
      <c r="Y1694" s="22">
        <v>0</v>
      </c>
      <c r="Z1694" s="26" t="s">
        <v>50</v>
      </c>
      <c r="AA1694" s="19" t="s">
        <v>6079</v>
      </c>
      <c r="AB1694" s="26"/>
      <c r="AC1694" s="26" t="s">
        <v>53</v>
      </c>
      <c r="AD1694" s="19" t="s">
        <v>138</v>
      </c>
      <c r="AE1694" s="26">
        <v>460</v>
      </c>
      <c r="AF1694" s="17">
        <v>45375</v>
      </c>
      <c r="AG1694" s="26" t="s">
        <v>1362</v>
      </c>
      <c r="AH1694" s="26"/>
      <c r="AI1694" s="40">
        <v>1</v>
      </c>
      <c r="AJ1694" s="26"/>
      <c r="AK1694" s="26"/>
      <c r="AL1694" s="35"/>
      <c r="AM1694" s="35"/>
      <c r="AN1694" s="35"/>
      <c r="AO1694" s="35"/>
      <c r="AP1694" s="35"/>
    </row>
    <row r="1695" spans="1:42" x14ac:dyDescent="0.2">
      <c r="A1695" s="126">
        <v>45307.910854768517</v>
      </c>
      <c r="B1695" s="28" t="s">
        <v>90</v>
      </c>
      <c r="C1695" s="41" t="s">
        <v>118</v>
      </c>
      <c r="D1695" s="26" t="s">
        <v>36</v>
      </c>
      <c r="E1695" s="26" t="s">
        <v>915</v>
      </c>
      <c r="F1695" s="26" t="s">
        <v>40</v>
      </c>
      <c r="G1695" s="35" t="s">
        <v>221</v>
      </c>
      <c r="H1695" s="26" t="s">
        <v>6825</v>
      </c>
      <c r="I1695" s="17">
        <f ca="1">IFERROR(__xludf.DUMMYFUNCTION("""COMPUTED_VALUE"""),45351)</f>
        <v>45351</v>
      </c>
      <c r="J1695" s="29" t="s">
        <v>6826</v>
      </c>
      <c r="K1695" s="26" t="s">
        <v>6827</v>
      </c>
      <c r="L1695" s="30">
        <v>917852923</v>
      </c>
      <c r="M1695" s="26" t="s">
        <v>45</v>
      </c>
      <c r="N1695" s="26" t="s">
        <v>299</v>
      </c>
      <c r="O1695" s="26" t="s">
        <v>6828</v>
      </c>
      <c r="P1695" s="26" t="s">
        <v>6829</v>
      </c>
      <c r="Q1695" s="20">
        <v>10894</v>
      </c>
      <c r="R1695" s="26" t="s">
        <v>36</v>
      </c>
      <c r="S1695" s="31">
        <v>10894</v>
      </c>
      <c r="T1695" s="32">
        <v>44942</v>
      </c>
      <c r="U1695" s="31"/>
      <c r="V1695" s="32"/>
      <c r="W1695" s="33" t="s">
        <v>6830</v>
      </c>
      <c r="X1695" s="26">
        <v>0</v>
      </c>
      <c r="Y1695" s="22">
        <v>0</v>
      </c>
      <c r="Z1695" s="26" t="s">
        <v>50</v>
      </c>
      <c r="AA1695" s="19" t="s">
        <v>6079</v>
      </c>
      <c r="AB1695" s="26"/>
      <c r="AC1695" s="26" t="s">
        <v>53</v>
      </c>
      <c r="AD1695" s="19" t="s">
        <v>138</v>
      </c>
      <c r="AE1695" s="26">
        <v>580</v>
      </c>
      <c r="AF1695" s="17">
        <v>45351</v>
      </c>
      <c r="AG1695" s="26" t="s">
        <v>4092</v>
      </c>
      <c r="AH1695" s="26"/>
      <c r="AI1695" s="40">
        <v>3</v>
      </c>
      <c r="AJ1695" s="26"/>
      <c r="AK1695" s="26"/>
      <c r="AL1695" s="35"/>
      <c r="AM1695" s="35"/>
      <c r="AN1695" s="35"/>
      <c r="AO1695" s="35"/>
      <c r="AP1695" s="35"/>
    </row>
    <row r="1696" spans="1:42" x14ac:dyDescent="0.2">
      <c r="A1696" s="126">
        <v>45308.353586631943</v>
      </c>
      <c r="B1696" s="28" t="s">
        <v>37</v>
      </c>
      <c r="C1696" s="41" t="s">
        <v>118</v>
      </c>
      <c r="D1696" s="26" t="s">
        <v>36</v>
      </c>
      <c r="E1696" s="26" t="s">
        <v>39</v>
      </c>
      <c r="F1696" s="26" t="s">
        <v>36</v>
      </c>
      <c r="G1696" s="26" t="s">
        <v>41</v>
      </c>
      <c r="H1696" s="26" t="s">
        <v>6831</v>
      </c>
      <c r="I1696" s="17">
        <f ca="1">IFERROR(__xludf.DUMMYFUNCTION("""COMPUTED_VALUE"""),45342)</f>
        <v>45342</v>
      </c>
      <c r="J1696" s="29" t="s">
        <v>6832</v>
      </c>
      <c r="K1696" s="26" t="s">
        <v>6833</v>
      </c>
      <c r="L1696" s="30">
        <v>385523643</v>
      </c>
      <c r="M1696" s="26" t="s">
        <v>6309</v>
      </c>
      <c r="N1696" s="26" t="s">
        <v>207</v>
      </c>
      <c r="O1696" s="26" t="s">
        <v>91</v>
      </c>
      <c r="P1696" s="42" t="s">
        <v>6834</v>
      </c>
      <c r="Q1696" s="20">
        <v>5736</v>
      </c>
      <c r="R1696" s="26" t="s">
        <v>36</v>
      </c>
      <c r="S1696" s="31">
        <v>5736</v>
      </c>
      <c r="T1696" s="32">
        <v>45307</v>
      </c>
      <c r="U1696" s="31"/>
      <c r="V1696" s="32"/>
      <c r="W1696" s="33" t="s">
        <v>6835</v>
      </c>
      <c r="X1696" s="26">
        <v>0</v>
      </c>
      <c r="Y1696" s="22">
        <v>0</v>
      </c>
      <c r="Z1696" s="26" t="s">
        <v>50</v>
      </c>
      <c r="AA1696" s="19" t="s">
        <v>6079</v>
      </c>
      <c r="AB1696" s="26"/>
      <c r="AC1696" s="26" t="s">
        <v>53</v>
      </c>
      <c r="AD1696" s="19" t="s">
        <v>54</v>
      </c>
      <c r="AE1696" s="26"/>
      <c r="AF1696" s="17">
        <v>45338</v>
      </c>
      <c r="AG1696" s="26"/>
      <c r="AH1696" s="26"/>
      <c r="AI1696" s="40" t="s">
        <v>55</v>
      </c>
      <c r="AJ1696" s="26"/>
      <c r="AK1696" s="26"/>
      <c r="AL1696" s="35"/>
      <c r="AM1696" s="35"/>
      <c r="AN1696" s="35"/>
      <c r="AO1696" s="35"/>
      <c r="AP1696" s="35"/>
    </row>
    <row r="1697" spans="1:42" x14ac:dyDescent="0.2">
      <c r="A1697" s="126">
        <v>45311.622881886578</v>
      </c>
      <c r="B1697" s="28" t="s">
        <v>37</v>
      </c>
      <c r="C1697" s="41" t="s">
        <v>118</v>
      </c>
      <c r="D1697" s="26" t="s">
        <v>36</v>
      </c>
      <c r="E1697" s="26" t="s">
        <v>219</v>
      </c>
      <c r="F1697" s="26" t="s">
        <v>40</v>
      </c>
      <c r="G1697" s="26" t="s">
        <v>221</v>
      </c>
      <c r="H1697" s="26" t="s">
        <v>6123</v>
      </c>
      <c r="I1697" s="17">
        <f ca="1">IFERROR(__xludf.DUMMYFUNCTION("""COMPUTED_VALUE"""),45320)</f>
        <v>45320</v>
      </c>
      <c r="J1697" s="29" t="s">
        <v>6836</v>
      </c>
      <c r="K1697" s="26" t="s">
        <v>6837</v>
      </c>
      <c r="L1697" s="30">
        <v>947596199</v>
      </c>
      <c r="M1697" s="26" t="s">
        <v>348</v>
      </c>
      <c r="N1697" s="26" t="s">
        <v>4299</v>
      </c>
      <c r="O1697" s="26" t="s">
        <v>6838</v>
      </c>
      <c r="P1697" s="26" t="s">
        <v>6839</v>
      </c>
      <c r="Q1697" s="20">
        <v>3968</v>
      </c>
      <c r="R1697" s="26" t="s">
        <v>36</v>
      </c>
      <c r="S1697" s="31">
        <v>500</v>
      </c>
      <c r="T1697" s="32">
        <v>45310</v>
      </c>
      <c r="U1697" s="31">
        <v>3768</v>
      </c>
      <c r="V1697" s="32">
        <v>45320</v>
      </c>
      <c r="W1697" s="33" t="s">
        <v>6840</v>
      </c>
      <c r="X1697" s="26">
        <v>0</v>
      </c>
      <c r="Y1697" s="22">
        <v>-300</v>
      </c>
      <c r="Z1697" s="26" t="s">
        <v>50</v>
      </c>
      <c r="AA1697" s="19" t="s">
        <v>6079</v>
      </c>
      <c r="AB1697" s="26"/>
      <c r="AC1697" s="26" t="s">
        <v>53</v>
      </c>
      <c r="AD1697" s="19" t="s">
        <v>54</v>
      </c>
      <c r="AE1697" s="26" t="s">
        <v>3473</v>
      </c>
      <c r="AF1697" s="17">
        <v>45311</v>
      </c>
      <c r="AG1697" s="26" t="s">
        <v>6841</v>
      </c>
      <c r="AH1697" s="26"/>
      <c r="AI1697" s="40">
        <v>1</v>
      </c>
      <c r="AJ1697" s="26"/>
      <c r="AK1697" s="26"/>
      <c r="AL1697" s="35"/>
      <c r="AM1697" s="35"/>
      <c r="AN1697" s="35"/>
      <c r="AO1697" s="35"/>
      <c r="AP1697" s="35"/>
    </row>
    <row r="1698" spans="1:42" x14ac:dyDescent="0.2">
      <c r="A1698" s="126">
        <v>45313.345665312503</v>
      </c>
      <c r="B1698" s="28" t="s">
        <v>37</v>
      </c>
      <c r="C1698" s="41" t="s">
        <v>118</v>
      </c>
      <c r="D1698" s="26" t="s">
        <v>36</v>
      </c>
      <c r="E1698" s="26" t="s">
        <v>77</v>
      </c>
      <c r="F1698" s="26" t="s">
        <v>91</v>
      </c>
      <c r="G1698" s="26" t="s">
        <v>41</v>
      </c>
      <c r="H1698" s="26" t="s">
        <v>6842</v>
      </c>
      <c r="I1698" s="17">
        <f ca="1">IFERROR(__xludf.DUMMYFUNCTION("""COMPUTED_VALUE"""),45364)</f>
        <v>45364</v>
      </c>
      <c r="J1698" s="29" t="s">
        <v>6843</v>
      </c>
      <c r="K1698" s="26" t="s">
        <v>6844</v>
      </c>
      <c r="L1698" s="30">
        <v>865749483</v>
      </c>
      <c r="M1698" s="26" t="s">
        <v>6309</v>
      </c>
      <c r="N1698" s="26" t="s">
        <v>1400</v>
      </c>
      <c r="O1698" s="26" t="s">
        <v>91</v>
      </c>
      <c r="P1698" s="26" t="s">
        <v>6845</v>
      </c>
      <c r="Q1698" s="20">
        <v>1968</v>
      </c>
      <c r="R1698" s="26" t="s">
        <v>36</v>
      </c>
      <c r="S1698" s="31">
        <v>1968</v>
      </c>
      <c r="T1698" s="32">
        <v>45312</v>
      </c>
      <c r="U1698" s="31"/>
      <c r="V1698" s="32"/>
      <c r="W1698" s="33" t="s">
        <v>6846</v>
      </c>
      <c r="X1698" s="26">
        <v>0</v>
      </c>
      <c r="Y1698" s="22">
        <v>0</v>
      </c>
      <c r="Z1698" s="26" t="s">
        <v>50</v>
      </c>
      <c r="AA1698" s="19" t="s">
        <v>6079</v>
      </c>
      <c r="AB1698" s="26"/>
      <c r="AC1698" s="26" t="s">
        <v>53</v>
      </c>
      <c r="AD1698" s="19" t="s">
        <v>54</v>
      </c>
      <c r="AE1698" s="26"/>
      <c r="AF1698" s="17">
        <v>45371</v>
      </c>
      <c r="AG1698" s="26" t="s">
        <v>6847</v>
      </c>
      <c r="AH1698" s="26"/>
      <c r="AI1698" s="40" t="s">
        <v>84</v>
      </c>
      <c r="AJ1698" s="26"/>
      <c r="AK1698" s="26"/>
      <c r="AL1698" s="35"/>
      <c r="AM1698" s="35"/>
      <c r="AN1698" s="35"/>
      <c r="AO1698" s="35"/>
      <c r="AP1698" s="35"/>
    </row>
    <row r="1699" spans="1:42" x14ac:dyDescent="0.2">
      <c r="A1699" s="126">
        <v>45314.410321539355</v>
      </c>
      <c r="B1699" s="28" t="s">
        <v>37</v>
      </c>
      <c r="C1699" s="41" t="s">
        <v>118</v>
      </c>
      <c r="D1699" s="26" t="s">
        <v>36</v>
      </c>
      <c r="E1699" s="26" t="s">
        <v>77</v>
      </c>
      <c r="F1699" s="26" t="s">
        <v>36</v>
      </c>
      <c r="G1699" s="26" t="s">
        <v>41</v>
      </c>
      <c r="H1699" s="26" t="s">
        <v>6814</v>
      </c>
      <c r="I1699" s="17">
        <f ca="1">IFERROR(__xludf.DUMMYFUNCTION("""COMPUTED_VALUE"""),45350)</f>
        <v>45350</v>
      </c>
      <c r="J1699" s="29" t="s">
        <v>6848</v>
      </c>
      <c r="K1699" s="26" t="s">
        <v>6849</v>
      </c>
      <c r="L1699" s="30">
        <v>785581416</v>
      </c>
      <c r="M1699" s="26" t="s">
        <v>80</v>
      </c>
      <c r="N1699" s="26" t="s">
        <v>466</v>
      </c>
      <c r="O1699" s="26" t="s">
        <v>6850</v>
      </c>
      <c r="P1699" s="42" t="s">
        <v>6851</v>
      </c>
      <c r="Q1699" s="20">
        <v>1968</v>
      </c>
      <c r="R1699" s="26" t="s">
        <v>36</v>
      </c>
      <c r="S1699" s="31">
        <v>1968</v>
      </c>
      <c r="T1699" s="32">
        <v>44946</v>
      </c>
      <c r="U1699" s="31"/>
      <c r="V1699" s="32"/>
      <c r="W1699" s="33" t="s">
        <v>6852</v>
      </c>
      <c r="X1699" s="26">
        <v>0</v>
      </c>
      <c r="Y1699" s="22">
        <v>0</v>
      </c>
      <c r="Z1699" s="26" t="s">
        <v>50</v>
      </c>
      <c r="AA1699" s="19" t="s">
        <v>6079</v>
      </c>
      <c r="AB1699" s="26"/>
      <c r="AC1699" s="26" t="s">
        <v>53</v>
      </c>
      <c r="AD1699" s="19" t="s">
        <v>54</v>
      </c>
      <c r="AE1699" s="26">
        <v>0</v>
      </c>
      <c r="AF1699" s="17">
        <v>45320</v>
      </c>
      <c r="AG1699" s="26" t="s">
        <v>6853</v>
      </c>
      <c r="AH1699" s="26"/>
      <c r="AI1699" s="40" t="s">
        <v>84</v>
      </c>
      <c r="AJ1699" s="26"/>
      <c r="AK1699" s="26"/>
      <c r="AL1699" s="35"/>
      <c r="AM1699" s="35"/>
      <c r="AN1699" s="35"/>
      <c r="AO1699" s="35"/>
      <c r="AP1699" s="35"/>
    </row>
    <row r="1700" spans="1:42" x14ac:dyDescent="0.2">
      <c r="A1700" s="126">
        <v>45315.613323773148</v>
      </c>
      <c r="B1700" s="28" t="s">
        <v>37</v>
      </c>
      <c r="C1700" s="41" t="s">
        <v>118</v>
      </c>
      <c r="D1700" s="26" t="s">
        <v>36</v>
      </c>
      <c r="E1700" s="26" t="s">
        <v>219</v>
      </c>
      <c r="F1700" s="26" t="s">
        <v>36</v>
      </c>
      <c r="G1700" s="26" t="s">
        <v>221</v>
      </c>
      <c r="H1700" s="26" t="s">
        <v>5087</v>
      </c>
      <c r="I1700" s="17">
        <f ca="1">IFERROR(__xludf.DUMMYFUNCTION("""COMPUTED_VALUE"""),45356)</f>
        <v>45356</v>
      </c>
      <c r="J1700" s="29" t="s">
        <v>6854</v>
      </c>
      <c r="K1700" s="26" t="s">
        <v>6855</v>
      </c>
      <c r="L1700" s="30">
        <v>333470097</v>
      </c>
      <c r="M1700" s="26" t="s">
        <v>348</v>
      </c>
      <c r="N1700" s="26" t="s">
        <v>68</v>
      </c>
      <c r="O1700" s="26" t="s">
        <v>6856</v>
      </c>
      <c r="P1700" s="26" t="s">
        <v>6857</v>
      </c>
      <c r="Q1700" s="20">
        <v>3968</v>
      </c>
      <c r="R1700" s="26" t="s">
        <v>36</v>
      </c>
      <c r="S1700" s="31">
        <v>500</v>
      </c>
      <c r="T1700" s="32">
        <v>45314</v>
      </c>
      <c r="U1700" s="31">
        <v>3468</v>
      </c>
      <c r="V1700" s="32">
        <v>45322</v>
      </c>
      <c r="W1700" s="33" t="s">
        <v>6858</v>
      </c>
      <c r="X1700" s="26">
        <v>0</v>
      </c>
      <c r="Y1700" s="22">
        <v>0</v>
      </c>
      <c r="Z1700" s="26" t="s">
        <v>50</v>
      </c>
      <c r="AA1700" s="19" t="s">
        <v>6079</v>
      </c>
      <c r="AB1700" s="26"/>
      <c r="AC1700" s="26" t="s">
        <v>1828</v>
      </c>
      <c r="AD1700" s="19" t="s">
        <v>138</v>
      </c>
      <c r="AE1700" s="26" t="s">
        <v>3554</v>
      </c>
      <c r="AF1700" s="60" t="s">
        <v>1829</v>
      </c>
      <c r="AG1700" s="26" t="s">
        <v>3533</v>
      </c>
      <c r="AH1700" s="26"/>
      <c r="AI1700" s="40">
        <v>1</v>
      </c>
      <c r="AJ1700" s="26"/>
      <c r="AK1700" s="26"/>
      <c r="AL1700" s="35"/>
      <c r="AM1700" s="35"/>
      <c r="AN1700" s="35"/>
      <c r="AO1700" s="35"/>
      <c r="AP1700" s="35"/>
    </row>
    <row r="1701" spans="1:42" x14ac:dyDescent="0.2">
      <c r="A1701" s="126">
        <v>45316.475121863426</v>
      </c>
      <c r="B1701" s="28" t="s">
        <v>37</v>
      </c>
      <c r="C1701" s="41" t="s">
        <v>118</v>
      </c>
      <c r="D1701" s="26" t="s">
        <v>36</v>
      </c>
      <c r="E1701" s="26" t="s">
        <v>6528</v>
      </c>
      <c r="F1701" s="26" t="s">
        <v>91</v>
      </c>
      <c r="G1701" s="26" t="s">
        <v>1847</v>
      </c>
      <c r="H1701" s="26" t="s">
        <v>6859</v>
      </c>
      <c r="I1701" s="17">
        <f ca="1">IFERROR(__xludf.DUMMYFUNCTION("""COMPUTED_VALUE"""),45375)</f>
        <v>45375</v>
      </c>
      <c r="J1701" s="29" t="s">
        <v>6860</v>
      </c>
      <c r="K1701" s="26" t="s">
        <v>6861</v>
      </c>
      <c r="L1701" s="30">
        <v>335391783</v>
      </c>
      <c r="M1701" s="26" t="s">
        <v>391</v>
      </c>
      <c r="N1701" s="26" t="s">
        <v>327</v>
      </c>
      <c r="O1701" s="26" t="s">
        <v>6862</v>
      </c>
      <c r="P1701" s="26" t="s">
        <v>6863</v>
      </c>
      <c r="Q1701" s="20">
        <v>4268</v>
      </c>
      <c r="R1701" s="26" t="s">
        <v>36</v>
      </c>
      <c r="S1701" s="31">
        <v>4268</v>
      </c>
      <c r="T1701" s="32">
        <v>45316</v>
      </c>
      <c r="U1701" s="31"/>
      <c r="V1701" s="32"/>
      <c r="W1701" s="33" t="s">
        <v>6864</v>
      </c>
      <c r="X1701" s="26">
        <v>0</v>
      </c>
      <c r="Y1701" s="22">
        <v>0</v>
      </c>
      <c r="Z1701" s="26" t="s">
        <v>50</v>
      </c>
      <c r="AA1701" s="19" t="s">
        <v>6079</v>
      </c>
      <c r="AB1701" s="26"/>
      <c r="AC1701" s="26" t="s">
        <v>53</v>
      </c>
      <c r="AD1701" s="19" t="s">
        <v>54</v>
      </c>
      <c r="AE1701" s="26" t="s">
        <v>6865</v>
      </c>
      <c r="AF1701" s="17">
        <v>45370</v>
      </c>
      <c r="AG1701" s="26"/>
      <c r="AH1701" s="26"/>
      <c r="AI1701" s="40">
        <v>1</v>
      </c>
      <c r="AJ1701" s="26"/>
      <c r="AK1701" s="26"/>
      <c r="AL1701" s="35"/>
      <c r="AM1701" s="35"/>
      <c r="AN1701" s="35"/>
      <c r="AO1701" s="35"/>
      <c r="AP1701" s="35"/>
    </row>
    <row r="1702" spans="1:42" x14ac:dyDescent="0.2">
      <c r="A1702" s="126">
        <v>45317.570832361111</v>
      </c>
      <c r="B1702" s="28" t="s">
        <v>37</v>
      </c>
      <c r="C1702" s="41" t="s">
        <v>118</v>
      </c>
      <c r="D1702" s="26" t="s">
        <v>36</v>
      </c>
      <c r="E1702" s="26" t="s">
        <v>39</v>
      </c>
      <c r="F1702" s="26" t="s">
        <v>36</v>
      </c>
      <c r="G1702" s="26" t="s">
        <v>41</v>
      </c>
      <c r="H1702" s="26" t="s">
        <v>6831</v>
      </c>
      <c r="I1702" s="17">
        <f ca="1">IFERROR(__xludf.DUMMYFUNCTION("""COMPUTED_VALUE"""),45342)</f>
        <v>45342</v>
      </c>
      <c r="J1702" s="29" t="s">
        <v>6866</v>
      </c>
      <c r="K1702" s="26" t="s">
        <v>6867</v>
      </c>
      <c r="L1702" s="30">
        <v>977066794</v>
      </c>
      <c r="M1702" s="26" t="s">
        <v>391</v>
      </c>
      <c r="N1702" s="26" t="s">
        <v>355</v>
      </c>
      <c r="O1702" s="26" t="s">
        <v>6868</v>
      </c>
      <c r="P1702" s="26" t="s">
        <v>6869</v>
      </c>
      <c r="Q1702" s="20">
        <v>5736</v>
      </c>
      <c r="R1702" s="26" t="s">
        <v>36</v>
      </c>
      <c r="S1702" s="31">
        <v>5736</v>
      </c>
      <c r="T1702" s="32">
        <v>45316</v>
      </c>
      <c r="U1702" s="31"/>
      <c r="V1702" s="32"/>
      <c r="W1702" s="33" t="s">
        <v>6870</v>
      </c>
      <c r="X1702" s="26">
        <v>0</v>
      </c>
      <c r="Y1702" s="22">
        <v>0</v>
      </c>
      <c r="Z1702" s="26" t="s">
        <v>50</v>
      </c>
      <c r="AA1702" s="19" t="s">
        <v>6079</v>
      </c>
      <c r="AB1702" s="26"/>
      <c r="AC1702" s="26" t="s">
        <v>53</v>
      </c>
      <c r="AD1702" s="19" t="s">
        <v>54</v>
      </c>
      <c r="AE1702" s="26"/>
      <c r="AF1702" s="17">
        <v>45338</v>
      </c>
      <c r="AG1702" s="26"/>
      <c r="AH1702" s="26"/>
      <c r="AI1702" s="40" t="s">
        <v>55</v>
      </c>
      <c r="AJ1702" s="26"/>
      <c r="AK1702" s="26"/>
      <c r="AL1702" s="35"/>
      <c r="AM1702" s="35"/>
      <c r="AN1702" s="35"/>
      <c r="AO1702" s="35"/>
      <c r="AP1702" s="35"/>
    </row>
    <row r="1703" spans="1:42" x14ac:dyDescent="0.2">
      <c r="A1703" s="126">
        <v>45318.931487187496</v>
      </c>
      <c r="B1703" s="28" t="s">
        <v>37</v>
      </c>
      <c r="C1703" s="41" t="s">
        <v>118</v>
      </c>
      <c r="D1703" s="26" t="s">
        <v>106</v>
      </c>
      <c r="E1703" s="26" t="s">
        <v>219</v>
      </c>
      <c r="F1703" s="26" t="s">
        <v>1748</v>
      </c>
      <c r="G1703" s="26" t="s">
        <v>221</v>
      </c>
      <c r="H1703" s="26" t="s">
        <v>6123</v>
      </c>
      <c r="I1703" s="17">
        <f ca="1">IFERROR(__xludf.DUMMYFUNCTION("""COMPUTED_VALUE"""),45320)</f>
        <v>45320</v>
      </c>
      <c r="J1703" s="29" t="s">
        <v>2729</v>
      </c>
      <c r="K1703" s="26" t="s">
        <v>6871</v>
      </c>
      <c r="L1703" s="30">
        <v>342877879</v>
      </c>
      <c r="M1703" s="26" t="s">
        <v>5429</v>
      </c>
      <c r="N1703" s="26" t="s">
        <v>81</v>
      </c>
      <c r="O1703" s="26" t="s">
        <v>2730</v>
      </c>
      <c r="P1703" s="26" t="s">
        <v>6872</v>
      </c>
      <c r="Q1703" s="20">
        <v>3968</v>
      </c>
      <c r="R1703" s="26" t="s">
        <v>36</v>
      </c>
      <c r="S1703" s="31">
        <v>3968</v>
      </c>
      <c r="T1703" s="32">
        <v>45318</v>
      </c>
      <c r="U1703" s="31"/>
      <c r="V1703" s="32"/>
      <c r="W1703" s="33" t="s">
        <v>6873</v>
      </c>
      <c r="X1703" s="26">
        <v>100</v>
      </c>
      <c r="Y1703" s="22">
        <v>-100</v>
      </c>
      <c r="Z1703" s="26" t="s">
        <v>50</v>
      </c>
      <c r="AA1703" s="19" t="s">
        <v>6079</v>
      </c>
      <c r="AB1703" s="26"/>
      <c r="AC1703" s="26" t="s">
        <v>53</v>
      </c>
      <c r="AD1703" s="19" t="s">
        <v>54</v>
      </c>
      <c r="AE1703" s="26" t="s">
        <v>6722</v>
      </c>
      <c r="AF1703" s="17">
        <v>45320</v>
      </c>
      <c r="AG1703" s="26"/>
      <c r="AH1703" s="26"/>
      <c r="AI1703" s="40">
        <v>1</v>
      </c>
      <c r="AJ1703" s="26"/>
      <c r="AK1703" s="26"/>
      <c r="AL1703" s="35"/>
      <c r="AM1703" s="35"/>
      <c r="AN1703" s="35"/>
      <c r="AO1703" s="35"/>
      <c r="AP1703" s="35"/>
    </row>
    <row r="1704" spans="1:42" x14ac:dyDescent="0.2">
      <c r="A1704" s="126">
        <v>45318.934182094905</v>
      </c>
      <c r="B1704" s="28" t="s">
        <v>37</v>
      </c>
      <c r="C1704" s="41" t="s">
        <v>118</v>
      </c>
      <c r="D1704" s="26" t="s">
        <v>106</v>
      </c>
      <c r="E1704" s="26" t="s">
        <v>219</v>
      </c>
      <c r="F1704" s="26" t="s">
        <v>2388</v>
      </c>
      <c r="G1704" s="26" t="s">
        <v>221</v>
      </c>
      <c r="H1704" s="26" t="s">
        <v>6874</v>
      </c>
      <c r="I1704" s="17">
        <f ca="1">IFERROR(__xludf.DUMMYFUNCTION("""COMPUTED_VALUE"""),45378)</f>
        <v>45378</v>
      </c>
      <c r="J1704" s="29" t="s">
        <v>6875</v>
      </c>
      <c r="K1704" s="26" t="s">
        <v>6876</v>
      </c>
      <c r="L1704" s="30">
        <v>385578677</v>
      </c>
      <c r="M1704" s="26" t="s">
        <v>5429</v>
      </c>
      <c r="N1704" s="26" t="s">
        <v>81</v>
      </c>
      <c r="O1704" s="26" t="s">
        <v>2711</v>
      </c>
      <c r="P1704" s="26" t="s">
        <v>6877</v>
      </c>
      <c r="Q1704" s="20">
        <v>3968</v>
      </c>
      <c r="R1704" s="26" t="s">
        <v>36</v>
      </c>
      <c r="S1704" s="31">
        <v>3968</v>
      </c>
      <c r="T1704" s="32">
        <v>45316</v>
      </c>
      <c r="U1704" s="31"/>
      <c r="V1704" s="32"/>
      <c r="W1704" s="33" t="s">
        <v>6878</v>
      </c>
      <c r="X1704" s="26">
        <v>100</v>
      </c>
      <c r="Y1704" s="22">
        <v>-100</v>
      </c>
      <c r="Z1704" s="26" t="s">
        <v>50</v>
      </c>
      <c r="AA1704" s="19" t="s">
        <v>6079</v>
      </c>
      <c r="AB1704" s="26"/>
      <c r="AC1704" s="26" t="s">
        <v>53</v>
      </c>
      <c r="AD1704" s="19" t="s">
        <v>54</v>
      </c>
      <c r="AE1704" s="26" t="s">
        <v>6722</v>
      </c>
      <c r="AF1704" s="17">
        <v>45338</v>
      </c>
      <c r="AG1704" s="26"/>
      <c r="AH1704" s="26"/>
      <c r="AI1704" s="40">
        <v>1</v>
      </c>
      <c r="AJ1704" s="26"/>
      <c r="AK1704" s="26"/>
      <c r="AL1704" s="35"/>
      <c r="AM1704" s="35"/>
      <c r="AN1704" s="35"/>
      <c r="AO1704" s="35"/>
      <c r="AP1704" s="35"/>
    </row>
    <row r="1705" spans="1:42" x14ac:dyDescent="0.2">
      <c r="A1705" s="126">
        <v>45319.004009814817</v>
      </c>
      <c r="B1705" s="28" t="s">
        <v>37</v>
      </c>
      <c r="C1705" s="41" t="s">
        <v>118</v>
      </c>
      <c r="D1705" s="26" t="s">
        <v>106</v>
      </c>
      <c r="E1705" s="26" t="s">
        <v>219</v>
      </c>
      <c r="F1705" s="26" t="s">
        <v>2424</v>
      </c>
      <c r="G1705" s="26" t="s">
        <v>221</v>
      </c>
      <c r="H1705" s="26" t="s">
        <v>5084</v>
      </c>
      <c r="I1705" s="17">
        <f ca="1">IFERROR(__xludf.DUMMYFUNCTION("""COMPUTED_VALUE"""),45344)</f>
        <v>45344</v>
      </c>
      <c r="J1705" s="29" t="s">
        <v>6879</v>
      </c>
      <c r="K1705" s="26" t="s">
        <v>4721</v>
      </c>
      <c r="L1705" s="30">
        <v>328658106</v>
      </c>
      <c r="M1705" s="26" t="s">
        <v>5429</v>
      </c>
      <c r="N1705" s="26" t="s">
        <v>81</v>
      </c>
      <c r="O1705" s="26" t="s">
        <v>61</v>
      </c>
      <c r="P1705" s="42" t="s">
        <v>6880</v>
      </c>
      <c r="Q1705" s="20">
        <v>3968</v>
      </c>
      <c r="R1705" s="26" t="s">
        <v>36</v>
      </c>
      <c r="S1705" s="31">
        <v>3968</v>
      </c>
      <c r="T1705" s="32">
        <v>45318</v>
      </c>
      <c r="U1705" s="31"/>
      <c r="V1705" s="32"/>
      <c r="W1705" s="33" t="s">
        <v>6881</v>
      </c>
      <c r="X1705" s="26">
        <v>100</v>
      </c>
      <c r="Y1705" s="22">
        <v>-100</v>
      </c>
      <c r="Z1705" s="26" t="s">
        <v>50</v>
      </c>
      <c r="AA1705" s="19" t="s">
        <v>6079</v>
      </c>
      <c r="AB1705" s="26"/>
      <c r="AC1705" s="26" t="s">
        <v>53</v>
      </c>
      <c r="AD1705" s="19" t="s">
        <v>54</v>
      </c>
      <c r="AE1705" s="26" t="s">
        <v>6722</v>
      </c>
      <c r="AF1705" s="17">
        <v>45338</v>
      </c>
      <c r="AG1705" s="26"/>
      <c r="AH1705" s="26"/>
      <c r="AI1705" s="40">
        <v>1</v>
      </c>
      <c r="AJ1705" s="26"/>
      <c r="AK1705" s="26"/>
      <c r="AL1705" s="35"/>
      <c r="AM1705" s="35"/>
      <c r="AN1705" s="35"/>
      <c r="AO1705" s="35"/>
      <c r="AP1705" s="35"/>
    </row>
    <row r="1706" spans="1:42" x14ac:dyDescent="0.2">
      <c r="A1706" s="126">
        <v>45320.88779868056</v>
      </c>
      <c r="B1706" s="28" t="s">
        <v>37</v>
      </c>
      <c r="C1706" s="41" t="s">
        <v>118</v>
      </c>
      <c r="D1706" s="26" t="s">
        <v>36</v>
      </c>
      <c r="E1706" s="26" t="s">
        <v>219</v>
      </c>
      <c r="F1706" s="26" t="s">
        <v>824</v>
      </c>
      <c r="G1706" s="26" t="s">
        <v>221</v>
      </c>
      <c r="H1706" s="26" t="s">
        <v>6882</v>
      </c>
      <c r="I1706" s="17">
        <f ca="1">IFERROR(__xludf.DUMMYFUNCTION("""COMPUTED_VALUE"""),45442)</f>
        <v>45442</v>
      </c>
      <c r="J1706" s="29" t="s">
        <v>1782</v>
      </c>
      <c r="K1706" s="26" t="s">
        <v>6883</v>
      </c>
      <c r="L1706" s="30">
        <v>785735449</v>
      </c>
      <c r="M1706" s="26" t="s">
        <v>391</v>
      </c>
      <c r="N1706" s="26" t="s">
        <v>327</v>
      </c>
      <c r="O1706" s="26" t="s">
        <v>1784</v>
      </c>
      <c r="P1706" s="42" t="s">
        <v>6884</v>
      </c>
      <c r="Q1706" s="20">
        <v>3968</v>
      </c>
      <c r="R1706" s="26" t="s">
        <v>36</v>
      </c>
      <c r="S1706" s="31">
        <v>3968</v>
      </c>
      <c r="T1706" s="32">
        <v>45320</v>
      </c>
      <c r="U1706" s="31"/>
      <c r="V1706" s="32"/>
      <c r="W1706" s="33" t="s">
        <v>6885</v>
      </c>
      <c r="X1706" s="26">
        <v>100</v>
      </c>
      <c r="Y1706" s="22">
        <v>-100</v>
      </c>
      <c r="Z1706" s="26" t="s">
        <v>50</v>
      </c>
      <c r="AA1706" s="19" t="s">
        <v>6079</v>
      </c>
      <c r="AB1706" s="26"/>
      <c r="AC1706" s="26" t="s">
        <v>53</v>
      </c>
      <c r="AD1706" s="19" t="s">
        <v>54</v>
      </c>
      <c r="AE1706" s="26"/>
      <c r="AF1706" s="17">
        <v>45435</v>
      </c>
      <c r="AG1706" s="26"/>
      <c r="AH1706" s="26"/>
      <c r="AI1706" s="40">
        <v>1</v>
      </c>
      <c r="AJ1706" s="26"/>
      <c r="AK1706" s="26"/>
      <c r="AL1706" s="35"/>
      <c r="AM1706" s="35"/>
      <c r="AN1706" s="35"/>
      <c r="AO1706" s="35"/>
      <c r="AP1706" s="35"/>
    </row>
    <row r="1707" spans="1:42" x14ac:dyDescent="0.2">
      <c r="A1707" s="126">
        <v>45320.961818958334</v>
      </c>
      <c r="B1707" s="28" t="s">
        <v>37</v>
      </c>
      <c r="C1707" s="41" t="s">
        <v>118</v>
      </c>
      <c r="D1707" s="26" t="s">
        <v>36</v>
      </c>
      <c r="E1707" s="26" t="s">
        <v>77</v>
      </c>
      <c r="F1707" s="26" t="s">
        <v>40</v>
      </c>
      <c r="G1707" s="26" t="s">
        <v>41</v>
      </c>
      <c r="H1707" s="26" t="s">
        <v>6886</v>
      </c>
      <c r="I1707" s="17" t="str">
        <f ca="1">IFERROR(__xludf.DUMMYFUNCTION("""COMPUTED_VALUE""")," ")</f>
        <v xml:space="preserve"> </v>
      </c>
      <c r="J1707" s="29" t="s">
        <v>6887</v>
      </c>
      <c r="K1707" s="26" t="s">
        <v>6888</v>
      </c>
      <c r="L1707" s="30">
        <v>988874803</v>
      </c>
      <c r="M1707" s="26" t="s">
        <v>59</v>
      </c>
      <c r="N1707" s="26" t="s">
        <v>260</v>
      </c>
      <c r="O1707" s="26" t="s">
        <v>6889</v>
      </c>
      <c r="P1707" s="26" t="s">
        <v>6890</v>
      </c>
      <c r="Q1707" s="20">
        <v>1968</v>
      </c>
      <c r="R1707" s="26" t="s">
        <v>36</v>
      </c>
      <c r="S1707" s="31">
        <v>1000</v>
      </c>
      <c r="T1707" s="32">
        <v>45316</v>
      </c>
      <c r="U1707" s="31">
        <v>968</v>
      </c>
      <c r="V1707" s="32">
        <v>45320</v>
      </c>
      <c r="W1707" s="26" t="s">
        <v>6891</v>
      </c>
      <c r="X1707" s="26">
        <v>0</v>
      </c>
      <c r="Y1707" s="22">
        <v>0</v>
      </c>
      <c r="Z1707" s="26" t="s">
        <v>50</v>
      </c>
      <c r="AA1707" s="19" t="s">
        <v>6079</v>
      </c>
      <c r="AB1707" s="26"/>
      <c r="AC1707" s="26" t="s">
        <v>53</v>
      </c>
      <c r="AD1707" s="19" t="s">
        <v>138</v>
      </c>
      <c r="AE1707" s="26" t="s">
        <v>72</v>
      </c>
      <c r="AF1707" s="17">
        <v>45371</v>
      </c>
      <c r="AG1707" s="26" t="s">
        <v>6847</v>
      </c>
      <c r="AH1707" s="26"/>
      <c r="AI1707" s="40" t="s">
        <v>84</v>
      </c>
      <c r="AJ1707" s="26"/>
      <c r="AK1707" s="26"/>
      <c r="AL1707" s="35"/>
      <c r="AM1707" s="35"/>
      <c r="AN1707" s="35"/>
      <c r="AO1707" s="35"/>
      <c r="AP1707" s="35"/>
    </row>
    <row r="1708" spans="1:42" x14ac:dyDescent="0.2">
      <c r="A1708" s="126">
        <v>45321.616762962964</v>
      </c>
      <c r="B1708" s="28" t="s">
        <v>1703</v>
      </c>
      <c r="C1708" s="41" t="s">
        <v>118</v>
      </c>
      <c r="D1708" s="26" t="s">
        <v>36</v>
      </c>
      <c r="E1708" s="26" t="s">
        <v>106</v>
      </c>
      <c r="F1708" s="26" t="s">
        <v>36</v>
      </c>
      <c r="G1708" s="26" t="s">
        <v>108</v>
      </c>
      <c r="H1708" s="26" t="s">
        <v>865</v>
      </c>
      <c r="I1708" s="17" t="str">
        <f ca="1">IFERROR(__xludf.DUMMYFUNCTION("""COMPUTED_VALUE""")," ")</f>
        <v xml:space="preserve"> </v>
      </c>
      <c r="J1708" s="29" t="s">
        <v>6892</v>
      </c>
      <c r="K1708" s="19" t="s">
        <v>6893</v>
      </c>
      <c r="L1708" s="30">
        <v>989085976</v>
      </c>
      <c r="M1708" s="26" t="s">
        <v>292</v>
      </c>
      <c r="N1708" s="26" t="s">
        <v>1232</v>
      </c>
      <c r="O1708" s="26" t="s">
        <v>6894</v>
      </c>
      <c r="P1708" s="26" t="s">
        <v>6895</v>
      </c>
      <c r="Q1708" s="20">
        <v>3768</v>
      </c>
      <c r="R1708" s="26" t="s">
        <v>36</v>
      </c>
      <c r="S1708" s="31">
        <v>3768</v>
      </c>
      <c r="T1708" s="32">
        <v>45321</v>
      </c>
      <c r="U1708" s="31"/>
      <c r="V1708" s="32"/>
      <c r="W1708" s="33" t="s">
        <v>6896</v>
      </c>
      <c r="X1708" s="26">
        <v>0</v>
      </c>
      <c r="Y1708" s="22">
        <v>0</v>
      </c>
      <c r="Z1708" s="26" t="s">
        <v>50</v>
      </c>
      <c r="AA1708" s="19" t="s">
        <v>6079</v>
      </c>
      <c r="AB1708" s="26"/>
      <c r="AC1708" s="26" t="s">
        <v>53</v>
      </c>
      <c r="AD1708" s="19" t="s">
        <v>138</v>
      </c>
      <c r="AE1708" s="26">
        <v>455</v>
      </c>
      <c r="AF1708" s="60"/>
      <c r="AG1708" s="26"/>
      <c r="AH1708" s="26"/>
      <c r="AI1708" s="40">
        <v>1</v>
      </c>
      <c r="AJ1708" s="26"/>
      <c r="AK1708" s="26"/>
      <c r="AL1708" s="35"/>
      <c r="AM1708" s="35"/>
      <c r="AN1708" s="35"/>
      <c r="AO1708" s="35"/>
      <c r="AP1708" s="35"/>
    </row>
    <row r="1709" spans="1:42" x14ac:dyDescent="0.2">
      <c r="A1709" s="126">
        <v>45321.949784201388</v>
      </c>
      <c r="B1709" s="28" t="s">
        <v>37</v>
      </c>
      <c r="C1709" s="41" t="s">
        <v>118</v>
      </c>
      <c r="D1709" s="26" t="s">
        <v>36</v>
      </c>
      <c r="E1709" s="26" t="s">
        <v>148</v>
      </c>
      <c r="F1709" s="26" t="s">
        <v>36</v>
      </c>
      <c r="G1709" s="26" t="s">
        <v>108</v>
      </c>
      <c r="H1709" s="26" t="s">
        <v>6457</v>
      </c>
      <c r="I1709" s="17">
        <f ca="1">IFERROR(__xludf.DUMMYFUNCTION("""COMPUTED_VALUE"""),45349)</f>
        <v>45349</v>
      </c>
      <c r="J1709" s="29" t="s">
        <v>6897</v>
      </c>
      <c r="K1709" s="26" t="s">
        <v>6898</v>
      </c>
      <c r="L1709" s="30">
        <v>974900321</v>
      </c>
      <c r="M1709" s="26" t="s">
        <v>6309</v>
      </c>
      <c r="N1709" s="26" t="s">
        <v>6899</v>
      </c>
      <c r="O1709" s="26" t="s">
        <v>91</v>
      </c>
      <c r="P1709" s="42" t="s">
        <v>6900</v>
      </c>
      <c r="Q1709" s="20">
        <v>7349</v>
      </c>
      <c r="R1709" s="26" t="s">
        <v>36</v>
      </c>
      <c r="S1709" s="31">
        <v>7349</v>
      </c>
      <c r="T1709" s="32">
        <v>45321</v>
      </c>
      <c r="U1709" s="31"/>
      <c r="V1709" s="32"/>
      <c r="W1709" s="33" t="s">
        <v>6901</v>
      </c>
      <c r="X1709" s="26">
        <v>0</v>
      </c>
      <c r="Y1709" s="22">
        <v>0</v>
      </c>
      <c r="Z1709" s="26" t="s">
        <v>50</v>
      </c>
      <c r="AA1709" s="19" t="s">
        <v>6079</v>
      </c>
      <c r="AB1709" s="26"/>
      <c r="AC1709" s="26" t="s">
        <v>53</v>
      </c>
      <c r="AD1709" s="19" t="s">
        <v>54</v>
      </c>
      <c r="AE1709" s="26">
        <v>650</v>
      </c>
      <c r="AF1709" s="17">
        <v>45338</v>
      </c>
      <c r="AG1709" s="26"/>
      <c r="AH1709" s="26"/>
      <c r="AI1709" s="40">
        <v>2</v>
      </c>
      <c r="AJ1709" s="26"/>
      <c r="AK1709" s="26"/>
      <c r="AL1709" s="35"/>
      <c r="AM1709" s="35"/>
      <c r="AN1709" s="35"/>
      <c r="AO1709" s="35"/>
      <c r="AP1709" s="35"/>
    </row>
    <row r="1710" spans="1:42" x14ac:dyDescent="0.2">
      <c r="A1710" s="126">
        <v>45322.340181192129</v>
      </c>
      <c r="B1710" s="28" t="s">
        <v>37</v>
      </c>
      <c r="C1710" s="41" t="s">
        <v>118</v>
      </c>
      <c r="D1710" s="26" t="s">
        <v>36</v>
      </c>
      <c r="E1710" s="26" t="s">
        <v>77</v>
      </c>
      <c r="F1710" s="26" t="s">
        <v>36</v>
      </c>
      <c r="G1710" s="26" t="s">
        <v>41</v>
      </c>
      <c r="H1710" s="26" t="s">
        <v>6814</v>
      </c>
      <c r="I1710" s="17">
        <f ca="1">IFERROR(__xludf.DUMMYFUNCTION("""COMPUTED_VALUE"""),45350)</f>
        <v>45350</v>
      </c>
      <c r="J1710" s="29" t="s">
        <v>6902</v>
      </c>
      <c r="K1710" s="26" t="s">
        <v>6903</v>
      </c>
      <c r="L1710" s="30">
        <v>396387502</v>
      </c>
      <c r="M1710" s="26" t="s">
        <v>80</v>
      </c>
      <c r="N1710" s="26" t="s">
        <v>1073</v>
      </c>
      <c r="O1710" s="26" t="s">
        <v>6904</v>
      </c>
      <c r="P1710" s="42" t="s">
        <v>6905</v>
      </c>
      <c r="Q1710" s="20">
        <v>1968</v>
      </c>
      <c r="R1710" s="26" t="s">
        <v>36</v>
      </c>
      <c r="S1710" s="31">
        <v>1968</v>
      </c>
      <c r="T1710" s="32">
        <v>44956</v>
      </c>
      <c r="U1710" s="31"/>
      <c r="V1710" s="32"/>
      <c r="W1710" s="33" t="s">
        <v>6906</v>
      </c>
      <c r="X1710" s="26">
        <v>0</v>
      </c>
      <c r="Y1710" s="22">
        <v>0</v>
      </c>
      <c r="Z1710" s="26" t="s">
        <v>50</v>
      </c>
      <c r="AA1710" s="19" t="s">
        <v>6079</v>
      </c>
      <c r="AB1710" s="26"/>
      <c r="AC1710" s="26" t="s">
        <v>53</v>
      </c>
      <c r="AD1710" s="19" t="s">
        <v>54</v>
      </c>
      <c r="AE1710" s="26">
        <v>0</v>
      </c>
      <c r="AF1710" s="17">
        <v>45342</v>
      </c>
      <c r="AG1710" s="26"/>
      <c r="AH1710" s="26"/>
      <c r="AI1710" s="40" t="s">
        <v>84</v>
      </c>
      <c r="AJ1710" s="26"/>
      <c r="AK1710" s="26"/>
      <c r="AL1710" s="35"/>
      <c r="AM1710" s="35"/>
      <c r="AN1710" s="35"/>
      <c r="AO1710" s="35"/>
      <c r="AP1710" s="35"/>
    </row>
    <row r="1711" spans="1:42" x14ac:dyDescent="0.2">
      <c r="A1711" s="126">
        <v>45323.481457222224</v>
      </c>
      <c r="B1711" s="28" t="s">
        <v>37</v>
      </c>
      <c r="C1711" s="41" t="s">
        <v>118</v>
      </c>
      <c r="D1711" s="26" t="s">
        <v>36</v>
      </c>
      <c r="E1711" s="26" t="s">
        <v>106</v>
      </c>
      <c r="F1711" s="26" t="s">
        <v>91</v>
      </c>
      <c r="G1711" s="26" t="s">
        <v>108</v>
      </c>
      <c r="H1711" s="26" t="s">
        <v>6457</v>
      </c>
      <c r="I1711" s="17">
        <f ca="1">IFERROR(__xludf.DUMMYFUNCTION("""COMPUTED_VALUE"""),45349)</f>
        <v>45349</v>
      </c>
      <c r="J1711" s="29" t="s">
        <v>6907</v>
      </c>
      <c r="K1711" s="26" t="s">
        <v>6908</v>
      </c>
      <c r="L1711" s="30">
        <v>386458549</v>
      </c>
      <c r="M1711" s="26" t="s">
        <v>548</v>
      </c>
      <c r="N1711" s="26" t="s">
        <v>621</v>
      </c>
      <c r="O1711" s="26" t="s">
        <v>6909</v>
      </c>
      <c r="P1711" s="42" t="s">
        <v>6910</v>
      </c>
      <c r="Q1711" s="20">
        <v>3768</v>
      </c>
      <c r="R1711" s="26" t="s">
        <v>36</v>
      </c>
      <c r="S1711" s="31">
        <v>3768</v>
      </c>
      <c r="T1711" s="32">
        <v>45321</v>
      </c>
      <c r="U1711" s="31"/>
      <c r="V1711" s="32"/>
      <c r="W1711" s="33" t="s">
        <v>6911</v>
      </c>
      <c r="X1711" s="26">
        <v>0</v>
      </c>
      <c r="Y1711" s="22">
        <v>0</v>
      </c>
      <c r="Z1711" s="26" t="s">
        <v>50</v>
      </c>
      <c r="AA1711" s="19" t="s">
        <v>6079</v>
      </c>
      <c r="AB1711" s="26"/>
      <c r="AC1711" s="26" t="s">
        <v>53</v>
      </c>
      <c r="AD1711" s="19" t="s">
        <v>54</v>
      </c>
      <c r="AE1711" s="26">
        <v>350</v>
      </c>
      <c r="AF1711" s="17">
        <v>45343</v>
      </c>
      <c r="AG1711" s="26"/>
      <c r="AH1711" s="26"/>
      <c r="AI1711" s="40">
        <v>1</v>
      </c>
      <c r="AJ1711" s="26"/>
      <c r="AK1711" s="26"/>
      <c r="AL1711" s="35"/>
      <c r="AM1711" s="35"/>
      <c r="AN1711" s="35"/>
      <c r="AO1711" s="35"/>
      <c r="AP1711" s="35"/>
    </row>
    <row r="1712" spans="1:42" x14ac:dyDescent="0.2">
      <c r="A1712" s="14">
        <v>45341</v>
      </c>
      <c r="B1712" s="28" t="s">
        <v>90</v>
      </c>
      <c r="C1712" s="41" t="s">
        <v>118</v>
      </c>
      <c r="D1712" s="26" t="s">
        <v>36</v>
      </c>
      <c r="E1712" s="26" t="s">
        <v>139</v>
      </c>
      <c r="F1712" s="26" t="s">
        <v>1853</v>
      </c>
      <c r="G1712" s="35" t="s">
        <v>221</v>
      </c>
      <c r="H1712" s="26" t="s">
        <v>6825</v>
      </c>
      <c r="I1712" s="17">
        <f ca="1">IFERROR(__xludf.DUMMYFUNCTION("""COMPUTED_VALUE"""),45351)</f>
        <v>45351</v>
      </c>
      <c r="J1712" s="29" t="s">
        <v>760</v>
      </c>
      <c r="K1712" s="26" t="s">
        <v>2420</v>
      </c>
      <c r="L1712" s="30">
        <v>964065205</v>
      </c>
      <c r="M1712" s="26" t="s">
        <v>123</v>
      </c>
      <c r="N1712" s="26" t="s">
        <v>151</v>
      </c>
      <c r="O1712" s="26" t="s">
        <v>134</v>
      </c>
      <c r="P1712" s="42" t="s">
        <v>6912</v>
      </c>
      <c r="Q1712" s="20">
        <v>15936</v>
      </c>
      <c r="R1712" s="26" t="s">
        <v>36</v>
      </c>
      <c r="S1712" s="31">
        <v>15936</v>
      </c>
      <c r="T1712" s="32">
        <v>45134</v>
      </c>
      <c r="U1712" s="31"/>
      <c r="V1712" s="26"/>
      <c r="W1712" s="33" t="s">
        <v>763</v>
      </c>
      <c r="X1712" s="26">
        <v>0</v>
      </c>
      <c r="Y1712" s="22">
        <v>0</v>
      </c>
      <c r="Z1712" s="26" t="s">
        <v>118</v>
      </c>
      <c r="AA1712" s="19" t="s">
        <v>51</v>
      </c>
      <c r="AB1712" s="26" t="s">
        <v>104</v>
      </c>
      <c r="AC1712" s="26" t="s">
        <v>53</v>
      </c>
      <c r="AD1712" s="19" t="s">
        <v>54</v>
      </c>
      <c r="AE1712" s="26" t="s">
        <v>1853</v>
      </c>
      <c r="AF1712" s="17">
        <v>45351</v>
      </c>
      <c r="AG1712" s="26" t="s">
        <v>4092</v>
      </c>
      <c r="AH1712" s="26">
        <v>1</v>
      </c>
      <c r="AI1712" s="40" t="s">
        <v>147</v>
      </c>
      <c r="AJ1712" s="26"/>
      <c r="AK1712" s="26"/>
      <c r="AL1712" s="35"/>
      <c r="AM1712" s="35"/>
      <c r="AN1712" s="35"/>
      <c r="AO1712" s="35"/>
      <c r="AP1712" s="35"/>
    </row>
    <row r="1713" spans="1:42" x14ac:dyDescent="0.2">
      <c r="A1713" s="14">
        <v>45341</v>
      </c>
      <c r="B1713" s="28" t="s">
        <v>37</v>
      </c>
      <c r="C1713" s="41" t="s">
        <v>118</v>
      </c>
      <c r="D1713" s="26" t="s">
        <v>36</v>
      </c>
      <c r="E1713" s="26" t="s">
        <v>39</v>
      </c>
      <c r="F1713" s="26" t="s">
        <v>1733</v>
      </c>
      <c r="G1713" s="26" t="s">
        <v>108</v>
      </c>
      <c r="H1713" s="26" t="s">
        <v>4959</v>
      </c>
      <c r="I1713" s="17">
        <f ca="1">IFERROR(__xludf.DUMMYFUNCTION("""COMPUTED_VALUE"""),45352)</f>
        <v>45352</v>
      </c>
      <c r="J1713" s="29" t="s">
        <v>6321</v>
      </c>
      <c r="K1713" s="26" t="s">
        <v>6322</v>
      </c>
      <c r="L1713" s="30">
        <v>932306441</v>
      </c>
      <c r="M1713" s="26" t="s">
        <v>5558</v>
      </c>
      <c r="N1713" s="26" t="s">
        <v>850</v>
      </c>
      <c r="O1713" s="26" t="s">
        <v>4503</v>
      </c>
      <c r="P1713" s="42" t="s">
        <v>6913</v>
      </c>
      <c r="Q1713" s="20">
        <v>5736</v>
      </c>
      <c r="R1713" s="26" t="s">
        <v>36</v>
      </c>
      <c r="S1713" s="31">
        <v>5736</v>
      </c>
      <c r="T1713" s="32">
        <v>45268</v>
      </c>
      <c r="U1713" s="31"/>
      <c r="V1713" s="32"/>
      <c r="W1713" s="33" t="s">
        <v>6324</v>
      </c>
      <c r="X1713" s="26"/>
      <c r="Y1713" s="22">
        <v>0</v>
      </c>
      <c r="Z1713" s="26" t="s">
        <v>50</v>
      </c>
      <c r="AA1713" s="19" t="s">
        <v>5961</v>
      </c>
      <c r="AB1713" s="26" t="s">
        <v>104</v>
      </c>
      <c r="AC1713" s="26" t="s">
        <v>53</v>
      </c>
      <c r="AD1713" s="19" t="s">
        <v>54</v>
      </c>
      <c r="AE1713" s="26" t="s">
        <v>1733</v>
      </c>
      <c r="AF1713" s="17">
        <v>45350</v>
      </c>
      <c r="AG1713" s="26"/>
      <c r="AH1713" s="26">
        <v>1</v>
      </c>
      <c r="AI1713" s="40"/>
      <c r="AJ1713" s="26"/>
      <c r="AK1713" s="26"/>
      <c r="AL1713" s="35"/>
      <c r="AM1713" s="35"/>
      <c r="AN1713" s="35"/>
      <c r="AO1713" s="35"/>
      <c r="AP1713" s="35"/>
    </row>
    <row r="1714" spans="1:42" x14ac:dyDescent="0.2">
      <c r="A1714" s="14">
        <v>45341</v>
      </c>
      <c r="B1714" s="28" t="s">
        <v>37</v>
      </c>
      <c r="C1714" s="41" t="s">
        <v>118</v>
      </c>
      <c r="D1714" s="26" t="s">
        <v>36</v>
      </c>
      <c r="E1714" s="26" t="s">
        <v>139</v>
      </c>
      <c r="F1714" s="26" t="s">
        <v>1733</v>
      </c>
      <c r="G1714" s="26" t="s">
        <v>108</v>
      </c>
      <c r="H1714" s="26" t="s">
        <v>4959</v>
      </c>
      <c r="I1714" s="17">
        <f ca="1">IFERROR(__xludf.DUMMYFUNCTION("""COMPUTED_VALUE"""),45352)</f>
        <v>45352</v>
      </c>
      <c r="J1714" s="29" t="s">
        <v>5612</v>
      </c>
      <c r="K1714" s="26" t="s">
        <v>2142</v>
      </c>
      <c r="L1714" s="30">
        <v>919617050</v>
      </c>
      <c r="M1714" s="26" t="s">
        <v>3728</v>
      </c>
      <c r="N1714" s="26" t="s">
        <v>5377</v>
      </c>
      <c r="O1714" s="26" t="s">
        <v>5614</v>
      </c>
      <c r="P1714" s="42" t="s">
        <v>6914</v>
      </c>
      <c r="Q1714" s="20">
        <v>15936</v>
      </c>
      <c r="R1714" s="26" t="s">
        <v>36</v>
      </c>
      <c r="S1714" s="31">
        <v>200</v>
      </c>
      <c r="T1714" s="32">
        <v>45241</v>
      </c>
      <c r="U1714" s="31">
        <v>15736</v>
      </c>
      <c r="V1714" s="32">
        <v>45244</v>
      </c>
      <c r="W1714" s="33" t="s">
        <v>5616</v>
      </c>
      <c r="X1714" s="26"/>
      <c r="Y1714" s="22">
        <v>0</v>
      </c>
      <c r="Z1714" s="26" t="s">
        <v>50</v>
      </c>
      <c r="AA1714" s="19" t="s">
        <v>5112</v>
      </c>
      <c r="AB1714" s="26" t="s">
        <v>104</v>
      </c>
      <c r="AC1714" s="26" t="s">
        <v>53</v>
      </c>
      <c r="AD1714" s="19" t="s">
        <v>138</v>
      </c>
      <c r="AE1714" s="26" t="s">
        <v>1733</v>
      </c>
      <c r="AF1714" s="17">
        <v>45350</v>
      </c>
      <c r="AG1714" s="26"/>
      <c r="AH1714" s="26"/>
      <c r="AI1714" s="40" t="s">
        <v>147</v>
      </c>
      <c r="AJ1714" s="26"/>
      <c r="AK1714" s="26"/>
      <c r="AL1714" s="35"/>
      <c r="AM1714" s="35"/>
      <c r="AN1714" s="35"/>
      <c r="AO1714" s="35"/>
      <c r="AP1714" s="35"/>
    </row>
    <row r="1715" spans="1:42" x14ac:dyDescent="0.2">
      <c r="A1715" s="14">
        <v>45341</v>
      </c>
      <c r="B1715" s="28" t="s">
        <v>37</v>
      </c>
      <c r="C1715" s="41" t="s">
        <v>118</v>
      </c>
      <c r="D1715" s="26" t="s">
        <v>36</v>
      </c>
      <c r="E1715" s="26" t="s">
        <v>139</v>
      </c>
      <c r="F1715" s="26" t="s">
        <v>1733</v>
      </c>
      <c r="G1715" s="26" t="s">
        <v>108</v>
      </c>
      <c r="H1715" s="26" t="s">
        <v>4959</v>
      </c>
      <c r="I1715" s="17">
        <f ca="1">IFERROR(__xludf.DUMMYFUNCTION("""COMPUTED_VALUE"""),45352)</f>
        <v>45352</v>
      </c>
      <c r="J1715" s="29" t="s">
        <v>6281</v>
      </c>
      <c r="K1715" s="26" t="s">
        <v>5899</v>
      </c>
      <c r="L1715" s="30">
        <v>382959506</v>
      </c>
      <c r="M1715" s="26" t="s">
        <v>3288</v>
      </c>
      <c r="N1715" s="26" t="s">
        <v>200</v>
      </c>
      <c r="O1715" s="26" t="s">
        <v>91</v>
      </c>
      <c r="P1715" s="42" t="s">
        <v>6282</v>
      </c>
      <c r="Q1715" s="20">
        <v>15936</v>
      </c>
      <c r="R1715" s="26" t="s">
        <v>36</v>
      </c>
      <c r="S1715" s="31">
        <v>7000</v>
      </c>
      <c r="T1715" s="32">
        <v>45256</v>
      </c>
      <c r="U1715" s="31">
        <v>8936</v>
      </c>
      <c r="V1715" s="32">
        <v>45263</v>
      </c>
      <c r="W1715" s="33" t="s">
        <v>6283</v>
      </c>
      <c r="X1715" s="26"/>
      <c r="Y1715" s="22">
        <v>0</v>
      </c>
      <c r="Z1715" s="26" t="s">
        <v>50</v>
      </c>
      <c r="AA1715" s="19" t="s">
        <v>5961</v>
      </c>
      <c r="AB1715" s="26" t="s">
        <v>104</v>
      </c>
      <c r="AC1715" s="26" t="s">
        <v>53</v>
      </c>
      <c r="AD1715" s="19" t="s">
        <v>54</v>
      </c>
      <c r="AE1715" s="26" t="s">
        <v>1733</v>
      </c>
      <c r="AF1715" s="17">
        <v>45350</v>
      </c>
      <c r="AG1715" s="26"/>
      <c r="AH1715" s="26">
        <v>1</v>
      </c>
      <c r="AI1715" s="40"/>
      <c r="AJ1715" s="26"/>
      <c r="AK1715" s="26"/>
      <c r="AL1715" s="35"/>
      <c r="AM1715" s="35"/>
      <c r="AN1715" s="35"/>
      <c r="AO1715" s="35"/>
      <c r="AP1715" s="35"/>
    </row>
    <row r="1716" spans="1:42" x14ac:dyDescent="0.2">
      <c r="A1716" s="14">
        <v>45341</v>
      </c>
      <c r="B1716" s="28" t="s">
        <v>37</v>
      </c>
      <c r="C1716" s="41" t="s">
        <v>118</v>
      </c>
      <c r="D1716" s="26" t="s">
        <v>36</v>
      </c>
      <c r="E1716" s="26" t="s">
        <v>56</v>
      </c>
      <c r="F1716" s="26" t="s">
        <v>1733</v>
      </c>
      <c r="G1716" s="26" t="s">
        <v>108</v>
      </c>
      <c r="H1716" s="26" t="s">
        <v>4959</v>
      </c>
      <c r="I1716" s="17">
        <f ca="1">IFERROR(__xludf.DUMMYFUNCTION("""COMPUTED_VALUE"""),45352)</f>
        <v>45352</v>
      </c>
      <c r="J1716" s="29" t="s">
        <v>1734</v>
      </c>
      <c r="K1716" s="26" t="s">
        <v>6915</v>
      </c>
      <c r="L1716" s="30">
        <v>332536651</v>
      </c>
      <c r="M1716" s="26" t="s">
        <v>59</v>
      </c>
      <c r="N1716" s="26" t="s">
        <v>438</v>
      </c>
      <c r="O1716" s="26" t="s">
        <v>1736</v>
      </c>
      <c r="P1716" s="26" t="s">
        <v>1737</v>
      </c>
      <c r="Q1716" s="20">
        <v>9317</v>
      </c>
      <c r="R1716" s="26" t="s">
        <v>36</v>
      </c>
      <c r="S1716" s="31">
        <v>9317</v>
      </c>
      <c r="T1716" s="32">
        <v>45162</v>
      </c>
      <c r="U1716" s="31"/>
      <c r="V1716" s="26"/>
      <c r="W1716" s="55" t="s">
        <v>1738</v>
      </c>
      <c r="X1716" s="26">
        <v>0</v>
      </c>
      <c r="Y1716" s="22">
        <v>0</v>
      </c>
      <c r="Z1716" s="34" t="s">
        <v>50</v>
      </c>
      <c r="AA1716" s="19" t="s">
        <v>901</v>
      </c>
      <c r="AB1716" s="26" t="s">
        <v>104</v>
      </c>
      <c r="AC1716" s="26" t="s">
        <v>53</v>
      </c>
      <c r="AD1716" s="19" t="s">
        <v>54</v>
      </c>
      <c r="AE1716" s="26" t="s">
        <v>1733</v>
      </c>
      <c r="AF1716" s="17">
        <v>45350</v>
      </c>
      <c r="AG1716" s="42"/>
      <c r="AH1716" s="26">
        <v>1</v>
      </c>
      <c r="AI1716" s="40" t="s">
        <v>64</v>
      </c>
      <c r="AJ1716" s="26"/>
      <c r="AK1716" s="26"/>
      <c r="AL1716" s="35"/>
      <c r="AM1716" s="35"/>
      <c r="AN1716" s="35"/>
      <c r="AO1716" s="35"/>
      <c r="AP1716" s="35"/>
    </row>
    <row r="1717" spans="1:42" x14ac:dyDescent="0.2">
      <c r="A1717" s="14">
        <v>45342</v>
      </c>
      <c r="B1717" s="28" t="s">
        <v>37</v>
      </c>
      <c r="C1717" s="41" t="s">
        <v>118</v>
      </c>
      <c r="D1717" s="26" t="s">
        <v>36</v>
      </c>
      <c r="E1717" s="26" t="s">
        <v>56</v>
      </c>
      <c r="F1717" s="26" t="s">
        <v>2381</v>
      </c>
      <c r="G1717" s="35" t="s">
        <v>221</v>
      </c>
      <c r="H1717" s="26" t="s">
        <v>5087</v>
      </c>
      <c r="I1717" s="17">
        <f ca="1">IFERROR(__xludf.DUMMYFUNCTION("""COMPUTED_VALUE"""),45356)</f>
        <v>45356</v>
      </c>
      <c r="J1717" s="29" t="s">
        <v>1161</v>
      </c>
      <c r="K1717" s="26" t="s">
        <v>1849</v>
      </c>
      <c r="L1717" s="30">
        <v>865321398</v>
      </c>
      <c r="M1717" s="26" t="s">
        <v>123</v>
      </c>
      <c r="N1717" s="26" t="s">
        <v>2383</v>
      </c>
      <c r="O1717" s="26" t="s">
        <v>134</v>
      </c>
      <c r="P1717" s="42" t="s">
        <v>6916</v>
      </c>
      <c r="Q1717" s="20">
        <v>9317</v>
      </c>
      <c r="R1717" s="26" t="s">
        <v>36</v>
      </c>
      <c r="S1717" s="31">
        <v>300</v>
      </c>
      <c r="T1717" s="32">
        <v>45133</v>
      </c>
      <c r="U1717" s="31">
        <v>9317</v>
      </c>
      <c r="V1717" s="26" t="s">
        <v>2384</v>
      </c>
      <c r="W1717" s="33" t="s">
        <v>1164</v>
      </c>
      <c r="X1717" s="26">
        <v>0</v>
      </c>
      <c r="Y1717" s="22">
        <v>-300</v>
      </c>
      <c r="Z1717" s="26" t="s">
        <v>118</v>
      </c>
      <c r="AA1717" s="19" t="s">
        <v>1871</v>
      </c>
      <c r="AB1717" s="26" t="s">
        <v>104</v>
      </c>
      <c r="AC1717" s="26" t="s">
        <v>53</v>
      </c>
      <c r="AD1717" s="19" t="s">
        <v>54</v>
      </c>
      <c r="AE1717" s="26" t="s">
        <v>2381</v>
      </c>
      <c r="AF1717" s="17">
        <v>45350</v>
      </c>
      <c r="AG1717" s="72"/>
      <c r="AH1717" s="26">
        <v>3</v>
      </c>
      <c r="AI1717" s="40" t="s">
        <v>64</v>
      </c>
      <c r="AJ1717" s="26"/>
      <c r="AK1717" s="26"/>
      <c r="AL1717" s="35"/>
      <c r="AM1717" s="35"/>
      <c r="AN1717" s="35"/>
      <c r="AO1717" s="35"/>
      <c r="AP1717" s="35"/>
    </row>
    <row r="1718" spans="1:42" x14ac:dyDescent="0.2">
      <c r="A1718" s="14">
        <v>45342</v>
      </c>
      <c r="B1718" s="28" t="s">
        <v>37</v>
      </c>
      <c r="C1718" s="41" t="s">
        <v>118</v>
      </c>
      <c r="D1718" s="26" t="s">
        <v>36</v>
      </c>
      <c r="E1718" s="26" t="s">
        <v>39</v>
      </c>
      <c r="F1718" s="26" t="s">
        <v>1733</v>
      </c>
      <c r="G1718" s="26" t="s">
        <v>108</v>
      </c>
      <c r="H1718" s="26" t="s">
        <v>6917</v>
      </c>
      <c r="I1718" s="17" t="str">
        <f ca="1">IFERROR(__xludf.DUMMYFUNCTION("""COMPUTED_VALUE""")," ")</f>
        <v xml:space="preserve"> </v>
      </c>
      <c r="J1718" s="29" t="s">
        <v>6351</v>
      </c>
      <c r="K1718" s="26" t="s">
        <v>6352</v>
      </c>
      <c r="L1718" s="30">
        <v>869924205</v>
      </c>
      <c r="M1718" s="26" t="s">
        <v>2755</v>
      </c>
      <c r="N1718" s="26" t="s">
        <v>2756</v>
      </c>
      <c r="O1718" s="26" t="s">
        <v>4503</v>
      </c>
      <c r="P1718" s="42" t="s">
        <v>6918</v>
      </c>
      <c r="Q1718" s="20">
        <v>5736</v>
      </c>
      <c r="R1718" s="26" t="s">
        <v>36</v>
      </c>
      <c r="S1718" s="31">
        <v>4000</v>
      </c>
      <c r="T1718" s="32">
        <v>45270</v>
      </c>
      <c r="U1718" s="31">
        <v>1736</v>
      </c>
      <c r="V1718" s="32">
        <v>45285</v>
      </c>
      <c r="W1718" s="33" t="s">
        <v>6354</v>
      </c>
      <c r="X1718" s="26"/>
      <c r="Y1718" s="22">
        <v>0</v>
      </c>
      <c r="Z1718" s="26" t="s">
        <v>50</v>
      </c>
      <c r="AA1718" s="19" t="s">
        <v>5961</v>
      </c>
      <c r="AB1718" s="26" t="s">
        <v>104</v>
      </c>
      <c r="AC1718" s="26" t="s">
        <v>53</v>
      </c>
      <c r="AD1718" s="19" t="s">
        <v>54</v>
      </c>
      <c r="AE1718" s="26" t="s">
        <v>1733</v>
      </c>
      <c r="AF1718" s="17">
        <v>45350</v>
      </c>
      <c r="AG1718" s="26"/>
      <c r="AH1718" s="26">
        <v>1</v>
      </c>
      <c r="AI1718" s="40"/>
      <c r="AJ1718" s="26"/>
      <c r="AK1718" s="26"/>
      <c r="AL1718" s="35"/>
      <c r="AM1718" s="35"/>
      <c r="AN1718" s="35"/>
      <c r="AO1718" s="35"/>
      <c r="AP1718" s="35"/>
    </row>
    <row r="1719" spans="1:42" x14ac:dyDescent="0.2">
      <c r="A1719" s="14">
        <v>45342</v>
      </c>
      <c r="B1719" s="28" t="s">
        <v>37</v>
      </c>
      <c r="C1719" s="41" t="s">
        <v>118</v>
      </c>
      <c r="D1719" s="26" t="s">
        <v>36</v>
      </c>
      <c r="E1719" s="26" t="s">
        <v>139</v>
      </c>
      <c r="F1719" s="26" t="s">
        <v>4371</v>
      </c>
      <c r="G1719" s="26" t="s">
        <v>108</v>
      </c>
      <c r="H1719" s="26" t="s">
        <v>6919</v>
      </c>
      <c r="I1719" s="17">
        <f ca="1">IFERROR(__xludf.DUMMYFUNCTION("""COMPUTED_VALUE"""),45552)</f>
        <v>45552</v>
      </c>
      <c r="J1719" s="29" t="s">
        <v>6532</v>
      </c>
      <c r="K1719" s="26" t="s">
        <v>6920</v>
      </c>
      <c r="L1719" s="30">
        <v>368197813</v>
      </c>
      <c r="M1719" s="26" t="s">
        <v>80</v>
      </c>
      <c r="N1719" s="26" t="s">
        <v>81</v>
      </c>
      <c r="O1719" s="26" t="s">
        <v>6534</v>
      </c>
      <c r="P1719" s="42" t="s">
        <v>6535</v>
      </c>
      <c r="Q1719" s="20">
        <v>15936</v>
      </c>
      <c r="R1719" s="26" t="s">
        <v>36</v>
      </c>
      <c r="S1719" s="31">
        <v>2000</v>
      </c>
      <c r="T1719" s="32">
        <v>45223</v>
      </c>
      <c r="U1719" s="31">
        <v>13936</v>
      </c>
      <c r="V1719" s="32">
        <v>45261</v>
      </c>
      <c r="W1719" s="33" t="s">
        <v>6536</v>
      </c>
      <c r="X1719" s="26"/>
      <c r="Y1719" s="22">
        <v>0</v>
      </c>
      <c r="Z1719" s="26" t="s">
        <v>50</v>
      </c>
      <c r="AA1719" s="19" t="s">
        <v>5961</v>
      </c>
      <c r="AB1719" s="26" t="s">
        <v>104</v>
      </c>
      <c r="AC1719" s="26" t="s">
        <v>53</v>
      </c>
      <c r="AD1719" s="19" t="s">
        <v>54</v>
      </c>
      <c r="AE1719" s="26" t="s">
        <v>4371</v>
      </c>
      <c r="AF1719" s="17">
        <v>45350</v>
      </c>
      <c r="AG1719" s="26" t="s">
        <v>6921</v>
      </c>
      <c r="AH1719" s="26">
        <v>1</v>
      </c>
      <c r="AI1719" s="40" t="s">
        <v>147</v>
      </c>
      <c r="AJ1719" s="26"/>
      <c r="AK1719" s="26"/>
      <c r="AL1719" s="35"/>
      <c r="AM1719" s="35"/>
      <c r="AN1719" s="35"/>
      <c r="AO1719" s="35"/>
      <c r="AP1719" s="35"/>
    </row>
    <row r="1720" spans="1:42" x14ac:dyDescent="0.2">
      <c r="A1720" s="14">
        <v>45342</v>
      </c>
      <c r="B1720" s="28" t="s">
        <v>37</v>
      </c>
      <c r="C1720" s="41" t="s">
        <v>118</v>
      </c>
      <c r="D1720" s="26" t="s">
        <v>36</v>
      </c>
      <c r="E1720" s="26" t="s">
        <v>148</v>
      </c>
      <c r="F1720" s="26" t="s">
        <v>2377</v>
      </c>
      <c r="G1720" s="35" t="s">
        <v>221</v>
      </c>
      <c r="H1720" s="26" t="s">
        <v>5087</v>
      </c>
      <c r="I1720" s="17">
        <f ca="1">IFERROR(__xludf.DUMMYFUNCTION("""COMPUTED_VALUE"""),45356)</f>
        <v>45356</v>
      </c>
      <c r="J1720" s="29" t="s">
        <v>2799</v>
      </c>
      <c r="K1720" s="26" t="s">
        <v>6922</v>
      </c>
      <c r="L1720" s="30">
        <v>981419125</v>
      </c>
      <c r="M1720" s="26" t="s">
        <v>80</v>
      </c>
      <c r="N1720" s="26" t="s">
        <v>299</v>
      </c>
      <c r="O1720" s="26" t="s">
        <v>2801</v>
      </c>
      <c r="P1720" s="42" t="s">
        <v>2802</v>
      </c>
      <c r="Q1720" s="20">
        <v>7349</v>
      </c>
      <c r="R1720" s="26" t="s">
        <v>36</v>
      </c>
      <c r="S1720" s="31">
        <v>7349</v>
      </c>
      <c r="T1720" s="32">
        <v>45183</v>
      </c>
      <c r="U1720" s="31"/>
      <c r="V1720" s="26"/>
      <c r="W1720" s="33" t="s">
        <v>2803</v>
      </c>
      <c r="X1720" s="26"/>
      <c r="Y1720" s="22">
        <v>0</v>
      </c>
      <c r="Z1720" s="26" t="s">
        <v>50</v>
      </c>
      <c r="AA1720" s="19" t="s">
        <v>2449</v>
      </c>
      <c r="AB1720" s="26" t="s">
        <v>104</v>
      </c>
      <c r="AC1720" s="26" t="s">
        <v>53</v>
      </c>
      <c r="AD1720" s="19" t="s">
        <v>54</v>
      </c>
      <c r="AE1720" s="26" t="s">
        <v>2377</v>
      </c>
      <c r="AF1720" s="17">
        <v>45350</v>
      </c>
      <c r="AG1720" s="26" t="s">
        <v>2804</v>
      </c>
      <c r="AH1720" s="26"/>
      <c r="AI1720" s="40"/>
      <c r="AJ1720" s="26"/>
      <c r="AK1720" s="26"/>
      <c r="AL1720" s="35"/>
      <c r="AM1720" s="35"/>
      <c r="AN1720" s="35"/>
      <c r="AO1720" s="35"/>
      <c r="AP1720" s="35"/>
    </row>
    <row r="1721" spans="1:42" x14ac:dyDescent="0.2">
      <c r="A1721" s="14">
        <v>45342</v>
      </c>
      <c r="B1721" s="28" t="s">
        <v>37</v>
      </c>
      <c r="C1721" s="41" t="s">
        <v>118</v>
      </c>
      <c r="D1721" s="26" t="s">
        <v>36</v>
      </c>
      <c r="E1721" s="26" t="s">
        <v>56</v>
      </c>
      <c r="F1721" s="26" t="s">
        <v>2377</v>
      </c>
      <c r="G1721" s="35" t="s">
        <v>221</v>
      </c>
      <c r="H1721" s="26" t="s">
        <v>5087</v>
      </c>
      <c r="I1721" s="17">
        <f ca="1">IFERROR(__xludf.DUMMYFUNCTION("""COMPUTED_VALUE"""),45356)</f>
        <v>45356</v>
      </c>
      <c r="J1721" s="29" t="s">
        <v>986</v>
      </c>
      <c r="K1721" s="26" t="s">
        <v>4642</v>
      </c>
      <c r="L1721" s="30">
        <v>326120501</v>
      </c>
      <c r="M1721" s="26" t="s">
        <v>112</v>
      </c>
      <c r="N1721" s="26" t="s">
        <v>578</v>
      </c>
      <c r="O1721" s="26" t="s">
        <v>91</v>
      </c>
      <c r="P1721" s="42" t="s">
        <v>6923</v>
      </c>
      <c r="Q1721" s="20">
        <v>9317</v>
      </c>
      <c r="R1721" s="26" t="s">
        <v>36</v>
      </c>
      <c r="S1721" s="31">
        <v>2000</v>
      </c>
      <c r="T1721" s="32">
        <v>45119</v>
      </c>
      <c r="U1721" s="31">
        <v>7317</v>
      </c>
      <c r="V1721" s="32">
        <v>45147</v>
      </c>
      <c r="W1721" s="33" t="s">
        <v>990</v>
      </c>
      <c r="X1721" s="26">
        <v>0</v>
      </c>
      <c r="Y1721" s="22">
        <v>0</v>
      </c>
      <c r="Z1721" s="26" t="s">
        <v>118</v>
      </c>
      <c r="AA1721" s="19" t="s">
        <v>4541</v>
      </c>
      <c r="AB1721" s="26" t="s">
        <v>104</v>
      </c>
      <c r="AC1721" s="26" t="s">
        <v>53</v>
      </c>
      <c r="AD1721" s="19" t="s">
        <v>54</v>
      </c>
      <c r="AE1721" s="26" t="s">
        <v>2377</v>
      </c>
      <c r="AF1721" s="17">
        <v>45350</v>
      </c>
      <c r="AG1721" s="26"/>
      <c r="AH1721" s="26"/>
      <c r="AI1721" s="40"/>
      <c r="AJ1721" s="26"/>
      <c r="AK1721" s="26"/>
      <c r="AL1721" s="35"/>
      <c r="AM1721" s="35"/>
      <c r="AN1721" s="35"/>
      <c r="AO1721" s="35"/>
      <c r="AP1721" s="35"/>
    </row>
    <row r="1722" spans="1:42" x14ac:dyDescent="0.2">
      <c r="A1722" s="14">
        <v>45343</v>
      </c>
      <c r="B1722" s="28" t="s">
        <v>37</v>
      </c>
      <c r="C1722" s="41" t="s">
        <v>118</v>
      </c>
      <c r="D1722" s="26" t="s">
        <v>36</v>
      </c>
      <c r="E1722" s="26" t="s">
        <v>56</v>
      </c>
      <c r="F1722" s="26" t="s">
        <v>2401</v>
      </c>
      <c r="G1722" s="35" t="s">
        <v>221</v>
      </c>
      <c r="H1722" s="26" t="s">
        <v>6924</v>
      </c>
      <c r="I1722" s="17" t="str">
        <f ca="1">IFERROR(__xludf.DUMMYFUNCTION("""COMPUTED_VALUE""")," ")</f>
        <v xml:space="preserve"> </v>
      </c>
      <c r="J1722" s="29" t="s">
        <v>1043</v>
      </c>
      <c r="K1722" s="26" t="s">
        <v>6925</v>
      </c>
      <c r="L1722" s="30">
        <v>357707294</v>
      </c>
      <c r="M1722" s="26" t="s">
        <v>112</v>
      </c>
      <c r="N1722" s="26" t="s">
        <v>578</v>
      </c>
      <c r="O1722" s="26" t="s">
        <v>91</v>
      </c>
      <c r="P1722" s="42" t="s">
        <v>6926</v>
      </c>
      <c r="Q1722" s="20">
        <v>9317</v>
      </c>
      <c r="R1722" s="26" t="s">
        <v>36</v>
      </c>
      <c r="S1722" s="31">
        <v>1968</v>
      </c>
      <c r="T1722" s="32">
        <v>45123</v>
      </c>
      <c r="U1722" s="31">
        <v>7349</v>
      </c>
      <c r="V1722" s="32">
        <v>45149</v>
      </c>
      <c r="W1722" s="33" t="s">
        <v>1046</v>
      </c>
      <c r="X1722" s="26">
        <v>0</v>
      </c>
      <c r="Y1722" s="22">
        <v>0</v>
      </c>
      <c r="Z1722" s="26" t="s">
        <v>118</v>
      </c>
      <c r="AA1722" s="19" t="s">
        <v>4541</v>
      </c>
      <c r="AB1722" s="26" t="s">
        <v>104</v>
      </c>
      <c r="AC1722" s="26" t="s">
        <v>53</v>
      </c>
      <c r="AD1722" s="19" t="s">
        <v>54</v>
      </c>
      <c r="AE1722" s="26" t="s">
        <v>2401</v>
      </c>
      <c r="AF1722" s="17">
        <v>45358</v>
      </c>
      <c r="AG1722" s="26"/>
      <c r="AH1722" s="26"/>
      <c r="AI1722" s="40"/>
      <c r="AJ1722" s="26"/>
      <c r="AK1722" s="26"/>
      <c r="AL1722" s="35"/>
      <c r="AM1722" s="35"/>
      <c r="AN1722" s="35"/>
      <c r="AO1722" s="35"/>
      <c r="AP1722" s="35"/>
    </row>
    <row r="1723" spans="1:42" x14ac:dyDescent="0.2">
      <c r="A1723" s="14">
        <v>45343</v>
      </c>
      <c r="B1723" s="28" t="s">
        <v>90</v>
      </c>
      <c r="C1723" s="41" t="s">
        <v>118</v>
      </c>
      <c r="D1723" s="26" t="s">
        <v>36</v>
      </c>
      <c r="E1723" s="26" t="s">
        <v>119</v>
      </c>
      <c r="F1723" s="26" t="s">
        <v>1853</v>
      </c>
      <c r="G1723" s="35" t="s">
        <v>221</v>
      </c>
      <c r="H1723" s="26" t="s">
        <v>6825</v>
      </c>
      <c r="I1723" s="17">
        <f ca="1">IFERROR(__xludf.DUMMYFUNCTION("""COMPUTED_VALUE"""),45351)</f>
        <v>45351</v>
      </c>
      <c r="J1723" s="29" t="s">
        <v>5138</v>
      </c>
      <c r="K1723" s="26" t="s">
        <v>5139</v>
      </c>
      <c r="L1723" s="30">
        <v>968102600</v>
      </c>
      <c r="M1723" s="26" t="s">
        <v>123</v>
      </c>
      <c r="N1723" s="26" t="s">
        <v>327</v>
      </c>
      <c r="O1723" s="26" t="s">
        <v>1226</v>
      </c>
      <c r="P1723" s="42" t="s">
        <v>6927</v>
      </c>
      <c r="Q1723" s="20">
        <v>13968</v>
      </c>
      <c r="R1723" s="26" t="s">
        <v>36</v>
      </c>
      <c r="S1723" s="31">
        <v>200</v>
      </c>
      <c r="T1723" s="32">
        <v>45188</v>
      </c>
      <c r="U1723" s="58">
        <f>10168+3600</f>
        <v>13768</v>
      </c>
      <c r="V1723" s="35" t="s">
        <v>5140</v>
      </c>
      <c r="W1723" s="33" t="s">
        <v>5141</v>
      </c>
      <c r="X1723" s="26"/>
      <c r="Y1723" s="22">
        <v>0</v>
      </c>
      <c r="Z1723" s="26" t="s">
        <v>118</v>
      </c>
      <c r="AA1723" s="19" t="s">
        <v>5112</v>
      </c>
      <c r="AB1723" s="26" t="s">
        <v>104</v>
      </c>
      <c r="AC1723" s="26" t="s">
        <v>53</v>
      </c>
      <c r="AD1723" s="19" t="s">
        <v>138</v>
      </c>
      <c r="AE1723" s="26" t="s">
        <v>1853</v>
      </c>
      <c r="AF1723" s="17">
        <v>45351</v>
      </c>
      <c r="AG1723" s="26" t="s">
        <v>4092</v>
      </c>
      <c r="AH1723" s="26"/>
      <c r="AI1723" s="40">
        <v>4</v>
      </c>
      <c r="AJ1723" s="26"/>
      <c r="AK1723" s="26"/>
      <c r="AL1723" s="35"/>
      <c r="AM1723" s="35"/>
      <c r="AN1723" s="35"/>
      <c r="AO1723" s="35"/>
      <c r="AP1723" s="35"/>
    </row>
    <row r="1724" spans="1:42" x14ac:dyDescent="0.2">
      <c r="A1724" s="14">
        <v>45343</v>
      </c>
      <c r="B1724" s="28" t="s">
        <v>90</v>
      </c>
      <c r="C1724" s="41" t="s">
        <v>118</v>
      </c>
      <c r="D1724" s="26" t="s">
        <v>36</v>
      </c>
      <c r="E1724" s="26" t="s">
        <v>139</v>
      </c>
      <c r="F1724" s="26" t="s">
        <v>1853</v>
      </c>
      <c r="G1724" s="35" t="s">
        <v>221</v>
      </c>
      <c r="H1724" s="26" t="s">
        <v>6825</v>
      </c>
      <c r="I1724" s="17">
        <f ca="1">IFERROR(__xludf.DUMMYFUNCTION("""COMPUTED_VALUE"""),45351)</f>
        <v>45351</v>
      </c>
      <c r="J1724" s="29" t="s">
        <v>1151</v>
      </c>
      <c r="K1724" s="26" t="s">
        <v>6928</v>
      </c>
      <c r="L1724" s="30">
        <v>372180187</v>
      </c>
      <c r="M1724" s="26" t="s">
        <v>123</v>
      </c>
      <c r="N1724" s="26" t="s">
        <v>310</v>
      </c>
      <c r="O1724" s="26" t="s">
        <v>134</v>
      </c>
      <c r="P1724" s="42" t="s">
        <v>6929</v>
      </c>
      <c r="Q1724" s="20">
        <v>15936</v>
      </c>
      <c r="R1724" s="26" t="s">
        <v>36</v>
      </c>
      <c r="S1724" s="31">
        <v>1968</v>
      </c>
      <c r="T1724" s="32">
        <v>45135</v>
      </c>
      <c r="U1724" s="31">
        <v>13968</v>
      </c>
      <c r="V1724" s="32">
        <v>45163</v>
      </c>
      <c r="W1724" s="33" t="s">
        <v>1154</v>
      </c>
      <c r="X1724" s="26">
        <v>0</v>
      </c>
      <c r="Y1724" s="22">
        <v>0</v>
      </c>
      <c r="Z1724" s="26" t="s">
        <v>118</v>
      </c>
      <c r="AA1724" s="19" t="s">
        <v>901</v>
      </c>
      <c r="AB1724" s="26" t="s">
        <v>104</v>
      </c>
      <c r="AC1724" s="26" t="s">
        <v>53</v>
      </c>
      <c r="AD1724" s="19" t="s">
        <v>54</v>
      </c>
      <c r="AE1724" s="26" t="s">
        <v>1853</v>
      </c>
      <c r="AF1724" s="17">
        <v>45351</v>
      </c>
      <c r="AG1724" s="26" t="s">
        <v>4092</v>
      </c>
      <c r="AH1724" s="26">
        <v>1</v>
      </c>
      <c r="AI1724" s="40" t="s">
        <v>147</v>
      </c>
      <c r="AJ1724" s="26"/>
      <c r="AK1724" s="26"/>
      <c r="AL1724" s="35"/>
      <c r="AM1724" s="35"/>
      <c r="AN1724" s="35"/>
      <c r="AO1724" s="35"/>
      <c r="AP1724" s="35"/>
    </row>
    <row r="1725" spans="1:42" x14ac:dyDescent="0.2">
      <c r="A1725" s="14">
        <v>45343</v>
      </c>
      <c r="B1725" s="28" t="s">
        <v>37</v>
      </c>
      <c r="C1725" s="41" t="s">
        <v>118</v>
      </c>
      <c r="D1725" s="26" t="s">
        <v>36</v>
      </c>
      <c r="E1725" s="26" t="s">
        <v>119</v>
      </c>
      <c r="F1725" s="26" t="s">
        <v>1853</v>
      </c>
      <c r="G1725" s="35" t="s">
        <v>221</v>
      </c>
      <c r="H1725" s="26" t="s">
        <v>6825</v>
      </c>
      <c r="I1725" s="17">
        <f ca="1">IFERROR(__xludf.DUMMYFUNCTION("""COMPUTED_VALUE"""),45351)</f>
        <v>45351</v>
      </c>
      <c r="J1725" s="29" t="s">
        <v>6179</v>
      </c>
      <c r="K1725" s="26" t="s">
        <v>6180</v>
      </c>
      <c r="L1725" s="30">
        <v>963240098</v>
      </c>
      <c r="M1725" s="26" t="s">
        <v>123</v>
      </c>
      <c r="N1725" s="26" t="s">
        <v>186</v>
      </c>
      <c r="O1725" s="26" t="s">
        <v>2737</v>
      </c>
      <c r="P1725" s="42" t="s">
        <v>6930</v>
      </c>
      <c r="Q1725" s="20">
        <v>13968</v>
      </c>
      <c r="R1725" s="26" t="s">
        <v>36</v>
      </c>
      <c r="S1725" s="31">
        <v>4000</v>
      </c>
      <c r="T1725" s="32">
        <v>45210</v>
      </c>
      <c r="U1725" s="58">
        <f>9898+70</f>
        <v>9968</v>
      </c>
      <c r="V1725" s="35" t="s">
        <v>6181</v>
      </c>
      <c r="W1725" s="33" t="s">
        <v>6182</v>
      </c>
      <c r="X1725" s="26"/>
      <c r="Y1725" s="22">
        <v>0</v>
      </c>
      <c r="Z1725" s="26" t="s">
        <v>118</v>
      </c>
      <c r="AA1725" s="19" t="s">
        <v>5961</v>
      </c>
      <c r="AB1725" s="26" t="s">
        <v>104</v>
      </c>
      <c r="AC1725" s="26" t="s">
        <v>53</v>
      </c>
      <c r="AD1725" s="19" t="s">
        <v>138</v>
      </c>
      <c r="AE1725" s="26" t="s">
        <v>1853</v>
      </c>
      <c r="AF1725" s="17">
        <v>45351</v>
      </c>
      <c r="AG1725" s="26" t="s">
        <v>4092</v>
      </c>
      <c r="AH1725" s="26">
        <v>1</v>
      </c>
      <c r="AI1725" s="40"/>
      <c r="AJ1725" s="26"/>
      <c r="AK1725" s="26"/>
      <c r="AL1725" s="35"/>
      <c r="AM1725" s="35"/>
      <c r="AN1725" s="35"/>
      <c r="AO1725" s="35"/>
      <c r="AP1725" s="35"/>
    </row>
    <row r="1726" spans="1:42" x14ac:dyDescent="0.2">
      <c r="A1726" s="14">
        <v>45343</v>
      </c>
      <c r="B1726" s="28" t="s">
        <v>37</v>
      </c>
      <c r="C1726" s="41" t="s">
        <v>118</v>
      </c>
      <c r="D1726" s="26" t="s">
        <v>36</v>
      </c>
      <c r="E1726" s="26" t="s">
        <v>148</v>
      </c>
      <c r="F1726" s="26" t="s">
        <v>1853</v>
      </c>
      <c r="G1726" s="35" t="s">
        <v>221</v>
      </c>
      <c r="H1726" s="26" t="s">
        <v>6825</v>
      </c>
      <c r="I1726" s="17">
        <f ca="1">IFERROR(__xludf.DUMMYFUNCTION("""COMPUTED_VALUE"""),45351)</f>
        <v>45351</v>
      </c>
      <c r="J1726" s="29" t="s">
        <v>5187</v>
      </c>
      <c r="K1726" s="19" t="s">
        <v>5188</v>
      </c>
      <c r="L1726" s="30">
        <v>379180793</v>
      </c>
      <c r="M1726" s="26" t="s">
        <v>123</v>
      </c>
      <c r="N1726" s="26" t="s">
        <v>2847</v>
      </c>
      <c r="O1726" s="26" t="s">
        <v>5189</v>
      </c>
      <c r="P1726" s="42" t="s">
        <v>6931</v>
      </c>
      <c r="Q1726" s="20">
        <v>7349</v>
      </c>
      <c r="R1726" s="26" t="s">
        <v>36</v>
      </c>
      <c r="S1726" s="31">
        <v>2000</v>
      </c>
      <c r="T1726" s="32">
        <v>45199</v>
      </c>
      <c r="U1726" s="58">
        <v>5349</v>
      </c>
      <c r="V1726" s="59">
        <v>45252</v>
      </c>
      <c r="W1726" s="33" t="s">
        <v>5190</v>
      </c>
      <c r="X1726" s="26"/>
      <c r="Y1726" s="22">
        <v>0</v>
      </c>
      <c r="Z1726" s="26" t="s">
        <v>118</v>
      </c>
      <c r="AA1726" s="19" t="s">
        <v>5112</v>
      </c>
      <c r="AB1726" s="26" t="s">
        <v>104</v>
      </c>
      <c r="AC1726" s="26" t="s">
        <v>53</v>
      </c>
      <c r="AD1726" s="19" t="s">
        <v>138</v>
      </c>
      <c r="AE1726" s="26" t="s">
        <v>1853</v>
      </c>
      <c r="AF1726" s="17">
        <v>45351</v>
      </c>
      <c r="AG1726" s="26" t="s">
        <v>4092</v>
      </c>
      <c r="AH1726" s="26"/>
      <c r="AI1726" s="40">
        <v>2</v>
      </c>
      <c r="AJ1726" s="26" t="s">
        <v>5191</v>
      </c>
      <c r="AK1726" s="26"/>
      <c r="AL1726" s="35"/>
      <c r="AM1726" s="35"/>
      <c r="AN1726" s="35"/>
      <c r="AO1726" s="35"/>
      <c r="AP1726" s="35"/>
    </row>
    <row r="1727" spans="1:42" x14ac:dyDescent="0.2">
      <c r="A1727" s="14">
        <v>45343</v>
      </c>
      <c r="B1727" s="28" t="s">
        <v>37</v>
      </c>
      <c r="C1727" s="41" t="s">
        <v>118</v>
      </c>
      <c r="D1727" s="26" t="s">
        <v>36</v>
      </c>
      <c r="E1727" s="26" t="s">
        <v>119</v>
      </c>
      <c r="F1727" s="26" t="s">
        <v>1853</v>
      </c>
      <c r="G1727" s="35" t="s">
        <v>221</v>
      </c>
      <c r="H1727" s="26" t="s">
        <v>6825</v>
      </c>
      <c r="I1727" s="17">
        <f ca="1">IFERROR(__xludf.DUMMYFUNCTION("""COMPUTED_VALUE"""),45351)</f>
        <v>45351</v>
      </c>
      <c r="J1727" s="29" t="s">
        <v>5241</v>
      </c>
      <c r="K1727" s="19" t="s">
        <v>5242</v>
      </c>
      <c r="L1727" s="30">
        <v>973536255</v>
      </c>
      <c r="M1727" s="26" t="s">
        <v>123</v>
      </c>
      <c r="N1727" s="26" t="s">
        <v>186</v>
      </c>
      <c r="O1727" s="26" t="s">
        <v>1226</v>
      </c>
      <c r="P1727" s="42" t="s">
        <v>6932</v>
      </c>
      <c r="Q1727" s="20">
        <v>13968</v>
      </c>
      <c r="R1727" s="26" t="s">
        <v>36</v>
      </c>
      <c r="S1727" s="31">
        <v>4000</v>
      </c>
      <c r="T1727" s="32">
        <v>45204</v>
      </c>
      <c r="U1727" s="58">
        <v>9868</v>
      </c>
      <c r="V1727" s="59">
        <v>45247</v>
      </c>
      <c r="W1727" s="33" t="s">
        <v>5243</v>
      </c>
      <c r="X1727" s="26"/>
      <c r="Y1727" s="22">
        <v>100</v>
      </c>
      <c r="Z1727" s="26" t="s">
        <v>118</v>
      </c>
      <c r="AA1727" s="19" t="s">
        <v>5112</v>
      </c>
      <c r="AB1727" s="26" t="s">
        <v>104</v>
      </c>
      <c r="AC1727" s="26" t="s">
        <v>53</v>
      </c>
      <c r="AD1727" s="19" t="s">
        <v>138</v>
      </c>
      <c r="AE1727" s="26" t="s">
        <v>1853</v>
      </c>
      <c r="AF1727" s="17">
        <v>45351</v>
      </c>
      <c r="AG1727" s="26" t="s">
        <v>4092</v>
      </c>
      <c r="AH1727" s="26"/>
      <c r="AI1727" s="40">
        <v>4</v>
      </c>
      <c r="AJ1727" s="26"/>
      <c r="AK1727" s="26"/>
      <c r="AL1727" s="35"/>
      <c r="AM1727" s="35"/>
      <c r="AN1727" s="35"/>
      <c r="AO1727" s="35"/>
      <c r="AP1727" s="35"/>
    </row>
    <row r="1728" spans="1:42" x14ac:dyDescent="0.2">
      <c r="A1728" s="14">
        <v>45343</v>
      </c>
      <c r="B1728" s="28" t="s">
        <v>90</v>
      </c>
      <c r="C1728" s="41" t="s">
        <v>118</v>
      </c>
      <c r="D1728" s="26" t="s">
        <v>36</v>
      </c>
      <c r="E1728" s="26" t="s">
        <v>119</v>
      </c>
      <c r="F1728" s="26" t="s">
        <v>1853</v>
      </c>
      <c r="G1728" s="35" t="s">
        <v>221</v>
      </c>
      <c r="H1728" s="26" t="s">
        <v>6825</v>
      </c>
      <c r="I1728" s="17">
        <f ca="1">IFERROR(__xludf.DUMMYFUNCTION("""COMPUTED_VALUE"""),45351)</f>
        <v>45351</v>
      </c>
      <c r="J1728" s="29" t="s">
        <v>3768</v>
      </c>
      <c r="K1728" s="19" t="s">
        <v>3769</v>
      </c>
      <c r="L1728" s="30">
        <v>373665946</v>
      </c>
      <c r="M1728" s="26" t="s">
        <v>2755</v>
      </c>
      <c r="N1728" s="26" t="s">
        <v>3760</v>
      </c>
      <c r="O1728" s="26" t="s">
        <v>2819</v>
      </c>
      <c r="P1728" s="42" t="s">
        <v>6933</v>
      </c>
      <c r="Q1728" s="20">
        <v>13968</v>
      </c>
      <c r="R1728" s="26" t="s">
        <v>36</v>
      </c>
      <c r="S1728" s="31">
        <v>500</v>
      </c>
      <c r="T1728" s="32">
        <v>45189</v>
      </c>
      <c r="U1728" s="31">
        <v>13468</v>
      </c>
      <c r="V1728" s="32">
        <v>45202</v>
      </c>
      <c r="W1728" s="33" t="s">
        <v>3771</v>
      </c>
      <c r="X1728" s="26"/>
      <c r="Y1728" s="22">
        <v>0</v>
      </c>
      <c r="Z1728" s="26" t="s">
        <v>118</v>
      </c>
      <c r="AA1728" s="19" t="s">
        <v>3454</v>
      </c>
      <c r="AB1728" s="26" t="s">
        <v>104</v>
      </c>
      <c r="AC1728" s="26" t="s">
        <v>53</v>
      </c>
      <c r="AD1728" s="19" t="s">
        <v>138</v>
      </c>
      <c r="AE1728" s="26" t="s">
        <v>1853</v>
      </c>
      <c r="AF1728" s="17">
        <v>45351</v>
      </c>
      <c r="AG1728" s="26" t="s">
        <v>4092</v>
      </c>
      <c r="AH1728" s="26"/>
      <c r="AI1728" s="40"/>
      <c r="AJ1728" s="26"/>
      <c r="AK1728" s="26"/>
      <c r="AL1728" s="35"/>
      <c r="AM1728" s="35"/>
      <c r="AN1728" s="35"/>
      <c r="AO1728" s="35"/>
      <c r="AP1728" s="35"/>
    </row>
    <row r="1729" spans="1:42" x14ac:dyDescent="0.2">
      <c r="A1729" s="14">
        <v>45344</v>
      </c>
      <c r="B1729" s="28" t="s">
        <v>37</v>
      </c>
      <c r="C1729" s="41" t="s">
        <v>118</v>
      </c>
      <c r="D1729" s="26" t="s">
        <v>36</v>
      </c>
      <c r="E1729" s="26" t="s">
        <v>119</v>
      </c>
      <c r="F1729" s="26" t="s">
        <v>3238</v>
      </c>
      <c r="G1729" s="35" t="s">
        <v>221</v>
      </c>
      <c r="H1729" s="26" t="s">
        <v>6389</v>
      </c>
      <c r="I1729" s="17">
        <f ca="1">IFERROR(__xludf.DUMMYFUNCTION("""COMPUTED_VALUE"""),45356)</f>
        <v>45356</v>
      </c>
      <c r="J1729" s="29" t="s">
        <v>4022</v>
      </c>
      <c r="K1729" s="26" t="s">
        <v>4023</v>
      </c>
      <c r="L1729" s="30">
        <v>354489288</v>
      </c>
      <c r="M1729" s="26" t="s">
        <v>80</v>
      </c>
      <c r="N1729" s="26" t="s">
        <v>1073</v>
      </c>
      <c r="O1729" s="26" t="s">
        <v>4024</v>
      </c>
      <c r="P1729" s="26" t="s">
        <v>2641</v>
      </c>
      <c r="Q1729" s="20">
        <v>13968</v>
      </c>
      <c r="R1729" s="26" t="s">
        <v>36</v>
      </c>
      <c r="S1729" s="31">
        <v>200</v>
      </c>
      <c r="T1729" s="32">
        <v>45201</v>
      </c>
      <c r="U1729" s="31">
        <f>3800 +9968</f>
        <v>13768</v>
      </c>
      <c r="V1729" s="26" t="s">
        <v>4025</v>
      </c>
      <c r="W1729" s="33" t="s">
        <v>4026</v>
      </c>
      <c r="X1729" s="26"/>
      <c r="Y1729" s="22">
        <v>0</v>
      </c>
      <c r="Z1729" s="26" t="s">
        <v>118</v>
      </c>
      <c r="AA1729" s="19" t="s">
        <v>3454</v>
      </c>
      <c r="AB1729" s="26" t="s">
        <v>104</v>
      </c>
      <c r="AC1729" s="26" t="s">
        <v>53</v>
      </c>
      <c r="AD1729" s="19" t="s">
        <v>138</v>
      </c>
      <c r="AE1729" s="26" t="s">
        <v>3238</v>
      </c>
      <c r="AF1729" s="17">
        <v>45356</v>
      </c>
      <c r="AG1729" s="26" t="s">
        <v>1362</v>
      </c>
      <c r="AH1729" s="26"/>
      <c r="AI1729" s="40"/>
      <c r="AJ1729" s="26"/>
      <c r="AK1729" s="26"/>
      <c r="AL1729" s="35"/>
      <c r="AM1729" s="35"/>
      <c r="AN1729" s="35"/>
      <c r="AO1729" s="35"/>
      <c r="AP1729" s="35"/>
    </row>
    <row r="1730" spans="1:42" x14ac:dyDescent="0.2">
      <c r="A1730" s="14">
        <v>45344</v>
      </c>
      <c r="B1730" s="28" t="s">
        <v>37</v>
      </c>
      <c r="C1730" s="41" t="s">
        <v>118</v>
      </c>
      <c r="D1730" s="26" t="s">
        <v>36</v>
      </c>
      <c r="E1730" s="26" t="s">
        <v>148</v>
      </c>
      <c r="F1730" s="35" t="s">
        <v>2388</v>
      </c>
      <c r="G1730" s="35" t="s">
        <v>221</v>
      </c>
      <c r="H1730" s="26" t="s">
        <v>5087</v>
      </c>
      <c r="I1730" s="17">
        <f ca="1">IFERROR(__xludf.DUMMYFUNCTION("""COMPUTED_VALUE"""),45356)</f>
        <v>45356</v>
      </c>
      <c r="J1730" s="103" t="s">
        <v>4605</v>
      </c>
      <c r="K1730" s="26" t="s">
        <v>4606</v>
      </c>
      <c r="L1730" s="30">
        <v>377603846</v>
      </c>
      <c r="M1730" s="26" t="s">
        <v>80</v>
      </c>
      <c r="N1730" s="35" t="s">
        <v>4607</v>
      </c>
      <c r="O1730" s="35"/>
      <c r="P1730" s="72" t="s">
        <v>6934</v>
      </c>
      <c r="Q1730" s="20">
        <v>7349</v>
      </c>
      <c r="R1730" s="26" t="s">
        <v>36</v>
      </c>
      <c r="S1730" s="31">
        <v>6804</v>
      </c>
      <c r="T1730" s="32">
        <v>44979</v>
      </c>
      <c r="U1730" s="19">
        <v>400</v>
      </c>
      <c r="V1730" s="51">
        <v>154535</v>
      </c>
      <c r="W1730" s="108" t="s">
        <v>4609</v>
      </c>
      <c r="X1730" s="35"/>
      <c r="Y1730" s="22">
        <v>145</v>
      </c>
      <c r="Z1730" s="35" t="s">
        <v>118</v>
      </c>
      <c r="AA1730" s="19" t="s">
        <v>4541</v>
      </c>
      <c r="AB1730" s="26" t="s">
        <v>104</v>
      </c>
      <c r="AC1730" s="26" t="s">
        <v>53</v>
      </c>
      <c r="AD1730" s="19" t="s">
        <v>54</v>
      </c>
      <c r="AE1730" s="19" t="s">
        <v>2388</v>
      </c>
      <c r="AF1730" s="17">
        <v>45356</v>
      </c>
      <c r="AG1730" s="26">
        <v>377605846</v>
      </c>
      <c r="AH1730" s="36"/>
      <c r="AI1730" s="37"/>
      <c r="AJ1730" s="35"/>
      <c r="AK1730" s="35"/>
      <c r="AL1730" s="35"/>
      <c r="AM1730" s="35"/>
      <c r="AN1730" s="35"/>
      <c r="AO1730" s="35"/>
      <c r="AP1730" s="35"/>
    </row>
    <row r="1731" spans="1:42" x14ac:dyDescent="0.2">
      <c r="A1731" s="14">
        <v>45344</v>
      </c>
      <c r="B1731" s="28" t="s">
        <v>37</v>
      </c>
      <c r="C1731" s="41" t="s">
        <v>118</v>
      </c>
      <c r="D1731" s="26" t="s">
        <v>36</v>
      </c>
      <c r="E1731" s="26" t="s">
        <v>56</v>
      </c>
      <c r="F1731" s="26" t="s">
        <v>3295</v>
      </c>
      <c r="G1731" s="35" t="s">
        <v>221</v>
      </c>
      <c r="H1731" s="26" t="s">
        <v>6935</v>
      </c>
      <c r="I1731" s="17">
        <f ca="1">IFERROR(__xludf.DUMMYFUNCTION("""COMPUTED_VALUE"""),45671)</f>
        <v>45671</v>
      </c>
      <c r="J1731" s="29" t="s">
        <v>1455</v>
      </c>
      <c r="K1731" s="26" t="s">
        <v>6936</v>
      </c>
      <c r="L1731" s="30">
        <v>345840253</v>
      </c>
      <c r="M1731" s="26" t="s">
        <v>910</v>
      </c>
      <c r="N1731" s="26" t="s">
        <v>355</v>
      </c>
      <c r="O1731" s="26" t="s">
        <v>1457</v>
      </c>
      <c r="P1731" s="42" t="s">
        <v>6937</v>
      </c>
      <c r="Q1731" s="20">
        <v>9317</v>
      </c>
      <c r="R1731" s="26" t="s">
        <v>36</v>
      </c>
      <c r="S1731" s="31">
        <v>2000</v>
      </c>
      <c r="T1731" s="32">
        <v>45150</v>
      </c>
      <c r="U1731" s="31">
        <v>7317</v>
      </c>
      <c r="V1731" s="32">
        <v>45164</v>
      </c>
      <c r="W1731" s="33" t="s">
        <v>1459</v>
      </c>
      <c r="X1731" s="26">
        <v>0</v>
      </c>
      <c r="Y1731" s="22">
        <v>0</v>
      </c>
      <c r="Z1731" s="26" t="s">
        <v>118</v>
      </c>
      <c r="AA1731" s="19" t="s">
        <v>5785</v>
      </c>
      <c r="AB1731" s="26" t="s">
        <v>104</v>
      </c>
      <c r="AC1731" s="26" t="s">
        <v>53</v>
      </c>
      <c r="AD1731" s="19" t="s">
        <v>54</v>
      </c>
      <c r="AE1731" s="26" t="s">
        <v>3295</v>
      </c>
      <c r="AF1731" s="17">
        <v>45298</v>
      </c>
      <c r="AG1731" s="26"/>
      <c r="AH1731" s="26"/>
      <c r="AI1731" s="40" t="s">
        <v>64</v>
      </c>
      <c r="AJ1731" s="26"/>
      <c r="AK1731" s="26"/>
      <c r="AL1731" s="35"/>
      <c r="AM1731" s="35"/>
      <c r="AN1731" s="35"/>
      <c r="AO1731" s="35"/>
      <c r="AP1731" s="35"/>
    </row>
    <row r="1732" spans="1:42" x14ac:dyDescent="0.2">
      <c r="A1732" s="14">
        <v>45344</v>
      </c>
      <c r="B1732" s="28" t="s">
        <v>90</v>
      </c>
      <c r="C1732" s="41" t="s">
        <v>118</v>
      </c>
      <c r="D1732" s="26" t="s">
        <v>77</v>
      </c>
      <c r="E1732" s="26" t="s">
        <v>148</v>
      </c>
      <c r="F1732" s="26" t="s">
        <v>1853</v>
      </c>
      <c r="G1732" s="35" t="s">
        <v>221</v>
      </c>
      <c r="H1732" s="26" t="s">
        <v>6825</v>
      </c>
      <c r="I1732" s="17">
        <f ca="1">IFERROR(__xludf.DUMMYFUNCTION("""COMPUTED_VALUE"""),45351)</f>
        <v>45351</v>
      </c>
      <c r="J1732" s="29" t="s">
        <v>610</v>
      </c>
      <c r="K1732" s="35" t="s">
        <v>1854</v>
      </c>
      <c r="L1732" s="30">
        <v>394898440</v>
      </c>
      <c r="M1732" s="26" t="s">
        <v>123</v>
      </c>
      <c r="N1732" s="26" t="s">
        <v>850</v>
      </c>
      <c r="O1732" s="26" t="s">
        <v>1226</v>
      </c>
      <c r="P1732" s="26" t="s">
        <v>1855</v>
      </c>
      <c r="Q1732" s="20">
        <v>7349</v>
      </c>
      <c r="R1732" s="26" t="s">
        <v>36</v>
      </c>
      <c r="S1732" s="31">
        <v>7349</v>
      </c>
      <c r="T1732" s="32">
        <v>45169</v>
      </c>
      <c r="U1732" s="31"/>
      <c r="V1732" s="26"/>
      <c r="W1732" s="33" t="s">
        <v>1856</v>
      </c>
      <c r="X1732" s="26">
        <v>100</v>
      </c>
      <c r="Y1732" s="22">
        <v>-100</v>
      </c>
      <c r="Z1732" s="26" t="s">
        <v>118</v>
      </c>
      <c r="AA1732" s="19" t="s">
        <v>901</v>
      </c>
      <c r="AB1732" s="26" t="s">
        <v>104</v>
      </c>
      <c r="AC1732" s="26" t="s">
        <v>53</v>
      </c>
      <c r="AD1732" s="19" t="s">
        <v>138</v>
      </c>
      <c r="AE1732" s="26" t="s">
        <v>1853</v>
      </c>
      <c r="AF1732" s="17">
        <v>45351</v>
      </c>
      <c r="AG1732" s="26" t="s">
        <v>4092</v>
      </c>
      <c r="AH1732" s="26">
        <v>2</v>
      </c>
      <c r="AI1732" s="40">
        <v>2</v>
      </c>
      <c r="AJ1732" s="26"/>
      <c r="AK1732" s="26"/>
      <c r="AL1732" s="35"/>
      <c r="AM1732" s="35"/>
      <c r="AN1732" s="35"/>
      <c r="AO1732" s="35"/>
      <c r="AP1732" s="35"/>
    </row>
    <row r="1733" spans="1:42" x14ac:dyDescent="0.2">
      <c r="A1733" s="126">
        <v>45231.58844118056</v>
      </c>
      <c r="B1733" s="28" t="s">
        <v>37</v>
      </c>
      <c r="C1733" s="41" t="s">
        <v>118</v>
      </c>
      <c r="D1733" s="26" t="s">
        <v>36</v>
      </c>
      <c r="E1733" s="26" t="s">
        <v>106</v>
      </c>
      <c r="F1733" s="26" t="s">
        <v>1861</v>
      </c>
      <c r="G1733" s="26" t="s">
        <v>108</v>
      </c>
      <c r="H1733" s="26" t="s">
        <v>4328</v>
      </c>
      <c r="I1733" s="17">
        <f ca="1">IFERROR(__xludf.DUMMYFUNCTION("""COMPUTED_VALUE"""),45236)</f>
        <v>45236</v>
      </c>
      <c r="J1733" s="29" t="s">
        <v>2822</v>
      </c>
      <c r="K1733" s="26" t="s">
        <v>2823</v>
      </c>
      <c r="L1733" s="30">
        <v>395098077</v>
      </c>
      <c r="M1733" s="26" t="s">
        <v>112</v>
      </c>
      <c r="N1733" s="26" t="s">
        <v>193</v>
      </c>
      <c r="O1733" s="26" t="s">
        <v>36</v>
      </c>
      <c r="P1733" s="26" t="s">
        <v>2941</v>
      </c>
      <c r="Q1733" s="20">
        <v>3768</v>
      </c>
      <c r="R1733" s="26" t="s">
        <v>36</v>
      </c>
      <c r="S1733" s="21">
        <v>1000</v>
      </c>
      <c r="T1733" s="32">
        <v>45231</v>
      </c>
      <c r="U1733" s="31">
        <v>2668</v>
      </c>
      <c r="V1733" s="32">
        <v>45233</v>
      </c>
      <c r="W1733" s="26" t="s">
        <v>6938</v>
      </c>
      <c r="X1733" s="26">
        <v>100</v>
      </c>
      <c r="Y1733" s="22">
        <v>0</v>
      </c>
      <c r="Z1733" s="26" t="s">
        <v>118</v>
      </c>
      <c r="AA1733" s="19"/>
      <c r="AB1733" s="26" t="s">
        <v>104</v>
      </c>
      <c r="AC1733" s="26" t="s">
        <v>53</v>
      </c>
      <c r="AD1733" s="19" t="s">
        <v>138</v>
      </c>
      <c r="AE1733" s="26" t="s">
        <v>1861</v>
      </c>
      <c r="AF1733" s="17">
        <v>45236</v>
      </c>
      <c r="AG1733" s="26" t="s">
        <v>1362</v>
      </c>
      <c r="AH1733" s="26"/>
      <c r="AI1733" s="40">
        <v>1</v>
      </c>
      <c r="AJ1733" s="26"/>
      <c r="AK1733" s="26"/>
      <c r="AL1733" s="35"/>
      <c r="AM1733" s="35"/>
      <c r="AN1733" s="35"/>
      <c r="AO1733" s="35"/>
      <c r="AP1733" s="35"/>
    </row>
    <row r="1734" spans="1:42" x14ac:dyDescent="0.2">
      <c r="A1734" s="126">
        <v>45271.567795196759</v>
      </c>
      <c r="B1734" s="28" t="s">
        <v>37</v>
      </c>
      <c r="C1734" s="41" t="s">
        <v>118</v>
      </c>
      <c r="D1734" s="26" t="s">
        <v>36</v>
      </c>
      <c r="E1734" s="26" t="s">
        <v>148</v>
      </c>
      <c r="F1734" s="26" t="s">
        <v>6325</v>
      </c>
      <c r="G1734" s="26" t="s">
        <v>108</v>
      </c>
      <c r="H1734" s="26" t="s">
        <v>824</v>
      </c>
      <c r="I1734" s="17">
        <f ca="1">IFERROR(__xludf.DUMMYFUNCTION("""COMPUTED_VALUE"""),45275)</f>
        <v>45275</v>
      </c>
      <c r="J1734" s="29" t="s">
        <v>6939</v>
      </c>
      <c r="K1734" s="26" t="s">
        <v>6940</v>
      </c>
      <c r="L1734" s="30">
        <v>332575659</v>
      </c>
      <c r="M1734" s="26" t="s">
        <v>3288</v>
      </c>
      <c r="N1734" s="26" t="s">
        <v>200</v>
      </c>
      <c r="O1734" s="26" t="s">
        <v>6941</v>
      </c>
      <c r="P1734" s="26" t="s">
        <v>6942</v>
      </c>
      <c r="Q1734" s="20">
        <v>7349</v>
      </c>
      <c r="R1734" s="26" t="s">
        <v>36</v>
      </c>
      <c r="S1734" s="31">
        <v>16779</v>
      </c>
      <c r="T1734" s="32">
        <v>44885</v>
      </c>
      <c r="U1734" s="31"/>
      <c r="V1734" s="32"/>
      <c r="W1734" s="33" t="s">
        <v>6943</v>
      </c>
      <c r="X1734" s="26"/>
      <c r="Y1734" s="22">
        <v>-9430</v>
      </c>
      <c r="Z1734" s="26" t="s">
        <v>118</v>
      </c>
      <c r="AA1734" s="19"/>
      <c r="AB1734" s="26" t="s">
        <v>104</v>
      </c>
      <c r="AC1734" s="26" t="s">
        <v>53</v>
      </c>
      <c r="AD1734" s="19" t="s">
        <v>54</v>
      </c>
      <c r="AE1734" s="26">
        <v>500</v>
      </c>
      <c r="AF1734" s="43">
        <v>45271</v>
      </c>
      <c r="AG1734" s="26"/>
      <c r="AH1734" s="26"/>
      <c r="AI1734" s="40">
        <v>2</v>
      </c>
      <c r="AJ1734" s="26"/>
      <c r="AK1734" s="26"/>
      <c r="AL1734" s="35"/>
      <c r="AM1734" s="35"/>
      <c r="AN1734" s="35"/>
      <c r="AO1734" s="35"/>
      <c r="AP1734" s="35"/>
    </row>
    <row r="1735" spans="1:42" x14ac:dyDescent="0.2">
      <c r="A1735" s="126">
        <v>45305.745749537033</v>
      </c>
      <c r="B1735" s="28" t="s">
        <v>37</v>
      </c>
      <c r="C1735" s="41" t="s">
        <v>118</v>
      </c>
      <c r="D1735" s="26" t="s">
        <v>36</v>
      </c>
      <c r="E1735" s="26" t="s">
        <v>148</v>
      </c>
      <c r="F1735" s="26" t="s">
        <v>6944</v>
      </c>
      <c r="G1735" s="26" t="s">
        <v>108</v>
      </c>
      <c r="H1735" s="26" t="s">
        <v>6106</v>
      </c>
      <c r="I1735" s="17">
        <f ca="1">IFERROR(__xludf.DUMMYFUNCTION("""COMPUTED_VALUE"""),45314)</f>
        <v>45314</v>
      </c>
      <c r="J1735" s="29" t="s">
        <v>6945</v>
      </c>
      <c r="K1735" s="26" t="s">
        <v>6946</v>
      </c>
      <c r="L1735" s="30">
        <v>976365932</v>
      </c>
      <c r="M1735" s="26" t="s">
        <v>3288</v>
      </c>
      <c r="N1735" s="26" t="s">
        <v>200</v>
      </c>
      <c r="O1735" s="26" t="s">
        <v>6947</v>
      </c>
      <c r="P1735" s="26" t="s">
        <v>6948</v>
      </c>
      <c r="Q1735" s="20">
        <v>7349</v>
      </c>
      <c r="R1735" s="26" t="s">
        <v>36</v>
      </c>
      <c r="S1735" s="31">
        <v>1000</v>
      </c>
      <c r="T1735" s="32">
        <v>45237</v>
      </c>
      <c r="U1735" s="31">
        <v>15779</v>
      </c>
      <c r="V1735" s="32">
        <v>45252</v>
      </c>
      <c r="W1735" s="26" t="s">
        <v>6949</v>
      </c>
      <c r="X1735" s="26">
        <v>0</v>
      </c>
      <c r="Y1735" s="22">
        <v>-9430</v>
      </c>
      <c r="Z1735" s="26" t="s">
        <v>118</v>
      </c>
      <c r="AA1735" s="19"/>
      <c r="AB1735" s="26" t="s">
        <v>104</v>
      </c>
      <c r="AC1735" s="26" t="s">
        <v>53</v>
      </c>
      <c r="AD1735" s="19" t="s">
        <v>54</v>
      </c>
      <c r="AE1735" s="26">
        <v>420</v>
      </c>
      <c r="AF1735" s="17">
        <v>45307</v>
      </c>
      <c r="AG1735" s="26"/>
      <c r="AH1735" s="26"/>
      <c r="AI1735" s="40">
        <v>2</v>
      </c>
      <c r="AJ1735" s="26"/>
      <c r="AK1735" s="26"/>
      <c r="AL1735" s="35"/>
      <c r="AM1735" s="35"/>
      <c r="AN1735" s="35"/>
      <c r="AO1735" s="35"/>
      <c r="AP1735" s="35"/>
    </row>
    <row r="1736" spans="1:42" x14ac:dyDescent="0.2">
      <c r="A1736" s="14">
        <v>44942</v>
      </c>
      <c r="B1736" s="28" t="s">
        <v>37</v>
      </c>
      <c r="C1736" s="41" t="s">
        <v>118</v>
      </c>
      <c r="D1736" s="26" t="s">
        <v>36</v>
      </c>
      <c r="E1736" s="26" t="s">
        <v>77</v>
      </c>
      <c r="F1736" s="26" t="s">
        <v>36</v>
      </c>
      <c r="G1736" s="26" t="s">
        <v>41</v>
      </c>
      <c r="H1736" s="26" t="s">
        <v>3279</v>
      </c>
      <c r="I1736" s="17">
        <f ca="1">IFERROR(__xludf.DUMMYFUNCTION("""COMPUTED_VALUE"""),45308)</f>
        <v>45308</v>
      </c>
      <c r="J1736" s="44" t="s">
        <v>6251</v>
      </c>
      <c r="K1736" s="26" t="s">
        <v>6950</v>
      </c>
      <c r="L1736" s="121">
        <v>912243305</v>
      </c>
      <c r="M1736" s="26" t="s">
        <v>80</v>
      </c>
      <c r="N1736" s="26" t="s">
        <v>1073</v>
      </c>
      <c r="O1736" s="26" t="s">
        <v>36</v>
      </c>
      <c r="P1736" s="42" t="s">
        <v>6253</v>
      </c>
      <c r="Q1736" s="20">
        <v>1968</v>
      </c>
      <c r="R1736" s="26" t="s">
        <v>36</v>
      </c>
      <c r="S1736" s="31">
        <v>2268</v>
      </c>
      <c r="T1736" s="32">
        <v>44978</v>
      </c>
      <c r="U1736" s="31"/>
      <c r="V1736" s="26"/>
      <c r="W1736" s="55" t="s">
        <v>6951</v>
      </c>
      <c r="X1736" s="26">
        <v>0</v>
      </c>
      <c r="Y1736" s="22">
        <v>-300</v>
      </c>
      <c r="Z1736" s="26" t="s">
        <v>118</v>
      </c>
      <c r="AA1736" s="19"/>
      <c r="AB1736" s="26" t="s">
        <v>104</v>
      </c>
      <c r="AC1736" s="26" t="s">
        <v>53</v>
      </c>
      <c r="AD1736" s="19" t="s">
        <v>138</v>
      </c>
      <c r="AE1736" s="26" t="s">
        <v>6254</v>
      </c>
      <c r="AF1736" s="17">
        <v>45308</v>
      </c>
      <c r="AG1736" s="26" t="s">
        <v>1362</v>
      </c>
      <c r="AH1736" s="26">
        <v>1</v>
      </c>
      <c r="AI1736" s="40" t="s">
        <v>84</v>
      </c>
      <c r="AJ1736" s="26"/>
      <c r="AK1736" s="26"/>
      <c r="AL1736" s="35"/>
      <c r="AM1736" s="35"/>
      <c r="AN1736" s="35"/>
      <c r="AO1736" s="35"/>
      <c r="AP1736" s="35"/>
    </row>
    <row r="1737" spans="1:42" x14ac:dyDescent="0.2">
      <c r="A1737" s="126">
        <v>45318.36788056713</v>
      </c>
      <c r="B1737" s="28" t="s">
        <v>37</v>
      </c>
      <c r="C1737" s="41" t="s">
        <v>118</v>
      </c>
      <c r="D1737" s="26" t="s">
        <v>36</v>
      </c>
      <c r="E1737" s="26" t="s">
        <v>106</v>
      </c>
      <c r="F1737" s="26" t="s">
        <v>6952</v>
      </c>
      <c r="G1737" s="26" t="s">
        <v>108</v>
      </c>
      <c r="H1737" s="26" t="s">
        <v>889</v>
      </c>
      <c r="I1737" s="17">
        <f ca="1">IFERROR(__xludf.DUMMYFUNCTION("""COMPUTED_VALUE"""),45342)</f>
        <v>45342</v>
      </c>
      <c r="J1737" s="29" t="s">
        <v>6953</v>
      </c>
      <c r="K1737" s="26" t="s">
        <v>6954</v>
      </c>
      <c r="L1737" s="30">
        <v>989752723</v>
      </c>
      <c r="M1737" s="26" t="s">
        <v>94</v>
      </c>
      <c r="N1737" s="26" t="s">
        <v>200</v>
      </c>
      <c r="O1737" s="26" t="s">
        <v>6955</v>
      </c>
      <c r="P1737" s="26" t="s">
        <v>6956</v>
      </c>
      <c r="Q1737" s="20">
        <v>3768</v>
      </c>
      <c r="R1737" s="26" t="s">
        <v>36</v>
      </c>
      <c r="S1737" s="31">
        <v>3768</v>
      </c>
      <c r="T1737" s="32">
        <v>44907</v>
      </c>
      <c r="U1737" s="31"/>
      <c r="V1737" s="32"/>
      <c r="W1737" s="33" t="s">
        <v>6957</v>
      </c>
      <c r="X1737" s="26">
        <v>0</v>
      </c>
      <c r="Y1737" s="22">
        <v>0</v>
      </c>
      <c r="Z1737" s="26" t="s">
        <v>118</v>
      </c>
      <c r="AA1737" s="19"/>
      <c r="AB1737" s="26" t="s">
        <v>104</v>
      </c>
      <c r="AC1737" s="26" t="s">
        <v>53</v>
      </c>
      <c r="AD1737" s="19" t="s">
        <v>54</v>
      </c>
      <c r="AE1737" s="26">
        <v>390</v>
      </c>
      <c r="AF1737" s="17">
        <v>45338</v>
      </c>
      <c r="AG1737" s="26"/>
      <c r="AH1737" s="26"/>
      <c r="AI1737" s="40">
        <v>1</v>
      </c>
      <c r="AJ1737" s="26"/>
      <c r="AK1737" s="26"/>
      <c r="AL1737" s="35"/>
      <c r="AM1737" s="35"/>
      <c r="AN1737" s="35"/>
      <c r="AO1737" s="35"/>
      <c r="AP1737" s="35"/>
    </row>
    <row r="1738" spans="1:42" x14ac:dyDescent="0.2">
      <c r="A1738" s="14">
        <v>45345</v>
      </c>
      <c r="B1738" s="28" t="s">
        <v>37</v>
      </c>
      <c r="C1738" s="41" t="s">
        <v>118</v>
      </c>
      <c r="D1738" s="26" t="s">
        <v>36</v>
      </c>
      <c r="E1738" s="26" t="s">
        <v>56</v>
      </c>
      <c r="F1738" s="26" t="s">
        <v>3314</v>
      </c>
      <c r="G1738" s="35" t="s">
        <v>221</v>
      </c>
      <c r="H1738" s="26" t="s">
        <v>6389</v>
      </c>
      <c r="I1738" s="17">
        <f ca="1">IFERROR(__xludf.DUMMYFUNCTION("""COMPUTED_VALUE"""),45356)</f>
        <v>45356</v>
      </c>
      <c r="J1738" s="29" t="s">
        <v>2532</v>
      </c>
      <c r="K1738" s="26" t="s">
        <v>2533</v>
      </c>
      <c r="L1738" s="30">
        <v>862077155</v>
      </c>
      <c r="M1738" s="26" t="s">
        <v>112</v>
      </c>
      <c r="N1738" s="26" t="s">
        <v>3330</v>
      </c>
      <c r="O1738" s="26" t="s">
        <v>2534</v>
      </c>
      <c r="P1738" s="42" t="s">
        <v>6958</v>
      </c>
      <c r="Q1738" s="20">
        <v>9317</v>
      </c>
      <c r="R1738" s="26" t="s">
        <v>36</v>
      </c>
      <c r="S1738" s="31">
        <v>1968</v>
      </c>
      <c r="T1738" s="32">
        <v>45161</v>
      </c>
      <c r="U1738" s="31">
        <v>7349</v>
      </c>
      <c r="V1738" s="32">
        <v>45192</v>
      </c>
      <c r="W1738" s="33" t="s">
        <v>2536</v>
      </c>
      <c r="X1738" s="26"/>
      <c r="Y1738" s="22">
        <v>0</v>
      </c>
      <c r="Z1738" s="26" t="s">
        <v>118</v>
      </c>
      <c r="AA1738" s="19" t="s">
        <v>4541</v>
      </c>
      <c r="AB1738" s="26" t="s">
        <v>104</v>
      </c>
      <c r="AC1738" s="26" t="s">
        <v>53</v>
      </c>
      <c r="AD1738" s="19" t="s">
        <v>54</v>
      </c>
      <c r="AE1738" s="26" t="s">
        <v>3314</v>
      </c>
      <c r="AF1738" s="17">
        <v>45356</v>
      </c>
      <c r="AG1738" s="26" t="s">
        <v>1362</v>
      </c>
      <c r="AH1738" s="26"/>
      <c r="AI1738" s="40"/>
      <c r="AJ1738" s="26"/>
      <c r="AK1738" s="26"/>
      <c r="AL1738" s="35"/>
      <c r="AM1738" s="35"/>
      <c r="AN1738" s="35"/>
      <c r="AO1738" s="35"/>
      <c r="AP1738" s="35"/>
    </row>
    <row r="1739" spans="1:42" x14ac:dyDescent="0.2">
      <c r="A1739" s="14">
        <v>45345</v>
      </c>
      <c r="B1739" s="28" t="s">
        <v>37</v>
      </c>
      <c r="C1739" s="41" t="s">
        <v>118</v>
      </c>
      <c r="D1739" s="26" t="s">
        <v>36</v>
      </c>
      <c r="E1739" s="26" t="s">
        <v>119</v>
      </c>
      <c r="F1739" s="26" t="s">
        <v>3416</v>
      </c>
      <c r="G1739" s="35" t="s">
        <v>221</v>
      </c>
      <c r="H1739" s="26" t="s">
        <v>6389</v>
      </c>
      <c r="I1739" s="17">
        <f ca="1">IFERROR(__xludf.DUMMYFUNCTION("""COMPUTED_VALUE"""),45356)</f>
        <v>45356</v>
      </c>
      <c r="J1739" s="29" t="s">
        <v>6220</v>
      </c>
      <c r="K1739" s="26" t="s">
        <v>6221</v>
      </c>
      <c r="L1739" s="30">
        <v>336953363</v>
      </c>
      <c r="M1739" s="26" t="s">
        <v>3728</v>
      </c>
      <c r="N1739" s="26" t="s">
        <v>5377</v>
      </c>
      <c r="O1739" s="26" t="s">
        <v>6222</v>
      </c>
      <c r="P1739" s="26" t="s">
        <v>4126</v>
      </c>
      <c r="Q1739" s="20">
        <v>13968</v>
      </c>
      <c r="R1739" s="26" t="s">
        <v>36</v>
      </c>
      <c r="S1739" s="31">
        <v>4000</v>
      </c>
      <c r="T1739" s="32">
        <v>45235</v>
      </c>
      <c r="U1739" s="31">
        <v>9968</v>
      </c>
      <c r="V1739" s="32">
        <v>45272</v>
      </c>
      <c r="W1739" s="33" t="s">
        <v>6223</v>
      </c>
      <c r="X1739" s="26"/>
      <c r="Y1739" s="22">
        <v>0</v>
      </c>
      <c r="Z1739" s="26" t="s">
        <v>118</v>
      </c>
      <c r="AA1739" s="19" t="s">
        <v>5961</v>
      </c>
      <c r="AB1739" s="26" t="s">
        <v>104</v>
      </c>
      <c r="AC1739" s="26" t="s">
        <v>53</v>
      </c>
      <c r="AD1739" s="19" t="s">
        <v>138</v>
      </c>
      <c r="AE1739" s="26" t="s">
        <v>3416</v>
      </c>
      <c r="AF1739" s="17">
        <v>45356</v>
      </c>
      <c r="AG1739" s="26" t="s">
        <v>1362</v>
      </c>
      <c r="AH1739" s="26">
        <v>1</v>
      </c>
      <c r="AI1739" s="40"/>
      <c r="AJ1739" s="26"/>
      <c r="AK1739" s="26"/>
      <c r="AL1739" s="35"/>
      <c r="AM1739" s="35"/>
      <c r="AN1739" s="35"/>
      <c r="AO1739" s="35"/>
      <c r="AP1739" s="35"/>
    </row>
    <row r="1740" spans="1:42" x14ac:dyDescent="0.2">
      <c r="A1740" s="14">
        <v>45345</v>
      </c>
      <c r="B1740" s="28" t="s">
        <v>37</v>
      </c>
      <c r="C1740" s="41" t="s">
        <v>118</v>
      </c>
      <c r="D1740" s="26" t="s">
        <v>36</v>
      </c>
      <c r="E1740" s="26" t="s">
        <v>139</v>
      </c>
      <c r="F1740" s="26" t="s">
        <v>3416</v>
      </c>
      <c r="G1740" s="35" t="s">
        <v>221</v>
      </c>
      <c r="H1740" s="26" t="s">
        <v>6389</v>
      </c>
      <c r="I1740" s="17">
        <f ca="1">IFERROR(__xludf.DUMMYFUNCTION("""COMPUTED_VALUE"""),45356)</f>
        <v>45356</v>
      </c>
      <c r="J1740" s="29" t="s">
        <v>3618</v>
      </c>
      <c r="K1740" s="26" t="s">
        <v>3619</v>
      </c>
      <c r="L1740" s="30">
        <v>917441898</v>
      </c>
      <c r="M1740" s="26" t="s">
        <v>112</v>
      </c>
      <c r="N1740" s="26" t="s">
        <v>3330</v>
      </c>
      <c r="O1740" s="26" t="s">
        <v>125</v>
      </c>
      <c r="P1740" s="26" t="s">
        <v>2641</v>
      </c>
      <c r="Q1740" s="20">
        <v>15936</v>
      </c>
      <c r="R1740" s="26" t="s">
        <v>36</v>
      </c>
      <c r="S1740" s="31">
        <v>4000</v>
      </c>
      <c r="T1740" s="32">
        <v>45185</v>
      </c>
      <c r="U1740" s="31">
        <v>11936</v>
      </c>
      <c r="V1740" s="32">
        <v>45213</v>
      </c>
      <c r="W1740" s="33" t="s">
        <v>3622</v>
      </c>
      <c r="X1740" s="26"/>
      <c r="Y1740" s="22">
        <v>0</v>
      </c>
      <c r="Z1740" s="26" t="s">
        <v>118</v>
      </c>
      <c r="AA1740" s="19" t="s">
        <v>5785</v>
      </c>
      <c r="AB1740" s="26" t="s">
        <v>104</v>
      </c>
      <c r="AC1740" s="26" t="s">
        <v>53</v>
      </c>
      <c r="AD1740" s="19" t="s">
        <v>138</v>
      </c>
      <c r="AE1740" s="26" t="s">
        <v>3416</v>
      </c>
      <c r="AF1740" s="17">
        <v>45356</v>
      </c>
      <c r="AG1740" s="26" t="s">
        <v>1362</v>
      </c>
      <c r="AH1740" s="26"/>
      <c r="AI1740" s="40" t="s">
        <v>147</v>
      </c>
      <c r="AJ1740" s="26"/>
      <c r="AK1740" s="26"/>
      <c r="AL1740" s="35"/>
      <c r="AM1740" s="35"/>
      <c r="AN1740" s="35"/>
      <c r="AO1740" s="35"/>
      <c r="AP1740" s="35"/>
    </row>
    <row r="1741" spans="1:42" x14ac:dyDescent="0.2">
      <c r="A1741" s="14">
        <v>45345</v>
      </c>
      <c r="B1741" s="28" t="s">
        <v>37</v>
      </c>
      <c r="C1741" s="41" t="s">
        <v>118</v>
      </c>
      <c r="D1741" s="26" t="s">
        <v>36</v>
      </c>
      <c r="E1741" s="26" t="s">
        <v>56</v>
      </c>
      <c r="F1741" s="26" t="s">
        <v>3416</v>
      </c>
      <c r="G1741" s="35" t="s">
        <v>221</v>
      </c>
      <c r="H1741" s="26" t="s">
        <v>6959</v>
      </c>
      <c r="I1741" s="17">
        <f ca="1">IFERROR(__xludf.DUMMYFUNCTION("""COMPUTED_VALUE"""),45415)</f>
        <v>45415</v>
      </c>
      <c r="J1741" s="29" t="s">
        <v>3566</v>
      </c>
      <c r="K1741" s="26" t="s">
        <v>6960</v>
      </c>
      <c r="L1741" s="30">
        <v>392612303</v>
      </c>
      <c r="M1741" s="26" t="s">
        <v>80</v>
      </c>
      <c r="N1741" s="26" t="s">
        <v>81</v>
      </c>
      <c r="O1741" s="26" t="s">
        <v>3568</v>
      </c>
      <c r="P1741" s="26" t="s">
        <v>5794</v>
      </c>
      <c r="Q1741" s="20">
        <v>9317</v>
      </c>
      <c r="R1741" s="26" t="s">
        <v>36</v>
      </c>
      <c r="S1741" s="31">
        <v>2000</v>
      </c>
      <c r="T1741" s="32">
        <v>45182</v>
      </c>
      <c r="U1741" s="31">
        <v>7317</v>
      </c>
      <c r="V1741" s="32">
        <v>45215</v>
      </c>
      <c r="W1741" s="33" t="s">
        <v>3570</v>
      </c>
      <c r="X1741" s="26"/>
      <c r="Y1741" s="22">
        <v>0</v>
      </c>
      <c r="Z1741" s="26" t="s">
        <v>118</v>
      </c>
      <c r="AA1741" s="19" t="s">
        <v>5785</v>
      </c>
      <c r="AB1741" s="26" t="s">
        <v>104</v>
      </c>
      <c r="AC1741" s="26" t="s">
        <v>53</v>
      </c>
      <c r="AD1741" s="19" t="s">
        <v>138</v>
      </c>
      <c r="AE1741" s="26" t="s">
        <v>3416</v>
      </c>
      <c r="AF1741" s="17">
        <v>45356</v>
      </c>
      <c r="AG1741" s="26" t="s">
        <v>1362</v>
      </c>
      <c r="AH1741" s="26"/>
      <c r="AI1741" s="40" t="s">
        <v>64</v>
      </c>
      <c r="AJ1741" s="26"/>
      <c r="AK1741" s="26"/>
      <c r="AL1741" s="35"/>
      <c r="AM1741" s="35"/>
      <c r="AN1741" s="35"/>
      <c r="AO1741" s="35"/>
      <c r="AP1741" s="35"/>
    </row>
    <row r="1742" spans="1:42" x14ac:dyDescent="0.2">
      <c r="A1742" s="14">
        <v>45345</v>
      </c>
      <c r="B1742" s="28" t="s">
        <v>37</v>
      </c>
      <c r="C1742" s="41" t="s">
        <v>118</v>
      </c>
      <c r="D1742" s="26" t="s">
        <v>36</v>
      </c>
      <c r="E1742" s="26" t="s">
        <v>139</v>
      </c>
      <c r="F1742" s="26" t="s">
        <v>3416</v>
      </c>
      <c r="G1742" s="35" t="s">
        <v>221</v>
      </c>
      <c r="H1742" s="26" t="s">
        <v>6389</v>
      </c>
      <c r="I1742" s="17">
        <f ca="1">IFERROR(__xludf.DUMMYFUNCTION("""COMPUTED_VALUE"""),45356)</f>
        <v>45356</v>
      </c>
      <c r="J1742" s="29" t="s">
        <v>3609</v>
      </c>
      <c r="K1742" s="26" t="s">
        <v>3610</v>
      </c>
      <c r="L1742" s="30">
        <v>343294525</v>
      </c>
      <c r="M1742" s="26" t="s">
        <v>80</v>
      </c>
      <c r="N1742" s="26" t="s">
        <v>81</v>
      </c>
      <c r="O1742" s="26" t="s">
        <v>3611</v>
      </c>
      <c r="P1742" s="26" t="s">
        <v>2641</v>
      </c>
      <c r="Q1742" s="20">
        <v>15936</v>
      </c>
      <c r="R1742" s="26" t="s">
        <v>36</v>
      </c>
      <c r="S1742" s="31">
        <v>2000</v>
      </c>
      <c r="T1742" s="32">
        <v>45185</v>
      </c>
      <c r="U1742" s="31">
        <v>13936</v>
      </c>
      <c r="V1742" s="32">
        <v>45207</v>
      </c>
      <c r="W1742" s="33" t="s">
        <v>3613</v>
      </c>
      <c r="X1742" s="26"/>
      <c r="Y1742" s="22">
        <v>0</v>
      </c>
      <c r="Z1742" s="26" t="s">
        <v>118</v>
      </c>
      <c r="AA1742" s="19" t="s">
        <v>5785</v>
      </c>
      <c r="AB1742" s="26" t="s">
        <v>104</v>
      </c>
      <c r="AC1742" s="26" t="s">
        <v>53</v>
      </c>
      <c r="AD1742" s="19" t="s">
        <v>138</v>
      </c>
      <c r="AE1742" s="26" t="s">
        <v>3416</v>
      </c>
      <c r="AF1742" s="17">
        <v>45356</v>
      </c>
      <c r="AG1742" s="26" t="s">
        <v>1362</v>
      </c>
      <c r="AH1742" s="26"/>
      <c r="AI1742" s="40" t="s">
        <v>147</v>
      </c>
      <c r="AJ1742" s="26"/>
      <c r="AK1742" s="26"/>
      <c r="AL1742" s="35"/>
      <c r="AM1742" s="35"/>
      <c r="AN1742" s="35"/>
      <c r="AO1742" s="35"/>
      <c r="AP1742" s="35"/>
    </row>
    <row r="1743" spans="1:42" x14ac:dyDescent="0.2">
      <c r="A1743" s="14">
        <v>45345</v>
      </c>
      <c r="B1743" s="28" t="s">
        <v>37</v>
      </c>
      <c r="C1743" s="41" t="s">
        <v>118</v>
      </c>
      <c r="D1743" s="26" t="s">
        <v>36</v>
      </c>
      <c r="E1743" s="26" t="s">
        <v>139</v>
      </c>
      <c r="F1743" s="26" t="s">
        <v>3416</v>
      </c>
      <c r="G1743" s="35" t="s">
        <v>221</v>
      </c>
      <c r="H1743" s="26" t="s">
        <v>6389</v>
      </c>
      <c r="I1743" s="17">
        <f ca="1">IFERROR(__xludf.DUMMYFUNCTION("""COMPUTED_VALUE"""),45356)</f>
        <v>45356</v>
      </c>
      <c r="J1743" s="29" t="s">
        <v>3681</v>
      </c>
      <c r="K1743" s="26" t="s">
        <v>3682</v>
      </c>
      <c r="L1743" s="30">
        <v>369747482</v>
      </c>
      <c r="M1743" s="26" t="s">
        <v>80</v>
      </c>
      <c r="N1743" s="26" t="s">
        <v>299</v>
      </c>
      <c r="O1743" s="26" t="s">
        <v>3683</v>
      </c>
      <c r="P1743" s="26" t="s">
        <v>2641</v>
      </c>
      <c r="Q1743" s="20">
        <v>15936</v>
      </c>
      <c r="R1743" s="26" t="s">
        <v>36</v>
      </c>
      <c r="S1743" s="31">
        <v>2000</v>
      </c>
      <c r="T1743" s="32">
        <v>45187</v>
      </c>
      <c r="U1743" s="31">
        <v>13936</v>
      </c>
      <c r="V1743" s="32">
        <v>45211</v>
      </c>
      <c r="W1743" s="33" t="s">
        <v>3685</v>
      </c>
      <c r="X1743" s="26"/>
      <c r="Y1743" s="22">
        <v>0</v>
      </c>
      <c r="Z1743" s="26" t="s">
        <v>118</v>
      </c>
      <c r="AA1743" s="19" t="s">
        <v>5785</v>
      </c>
      <c r="AB1743" s="26" t="s">
        <v>104</v>
      </c>
      <c r="AC1743" s="26" t="s">
        <v>53</v>
      </c>
      <c r="AD1743" s="19" t="s">
        <v>138</v>
      </c>
      <c r="AE1743" s="26" t="s">
        <v>3416</v>
      </c>
      <c r="AF1743" s="17">
        <v>45356</v>
      </c>
      <c r="AG1743" s="26" t="s">
        <v>1362</v>
      </c>
      <c r="AH1743" s="26"/>
      <c r="AI1743" s="40" t="s">
        <v>147</v>
      </c>
      <c r="AJ1743" s="26"/>
      <c r="AK1743" s="26"/>
      <c r="AL1743" s="35"/>
      <c r="AM1743" s="35"/>
      <c r="AN1743" s="35"/>
      <c r="AO1743" s="35"/>
      <c r="AP1743" s="35"/>
    </row>
    <row r="1744" spans="1:42" x14ac:dyDescent="0.2">
      <c r="A1744" s="14">
        <v>45345</v>
      </c>
      <c r="B1744" s="28" t="s">
        <v>37</v>
      </c>
      <c r="C1744" s="41" t="s">
        <v>118</v>
      </c>
      <c r="D1744" s="26" t="s">
        <v>36</v>
      </c>
      <c r="E1744" s="26" t="s">
        <v>139</v>
      </c>
      <c r="F1744" s="26" t="s">
        <v>3416</v>
      </c>
      <c r="G1744" s="35" t="s">
        <v>221</v>
      </c>
      <c r="H1744" s="26" t="s">
        <v>6389</v>
      </c>
      <c r="I1744" s="17">
        <f ca="1">IFERROR(__xludf.DUMMYFUNCTION("""COMPUTED_VALUE"""),45356)</f>
        <v>45356</v>
      </c>
      <c r="J1744" s="29" t="s">
        <v>3666</v>
      </c>
      <c r="K1744" s="26" t="s">
        <v>3667</v>
      </c>
      <c r="L1744" s="30">
        <v>332925273</v>
      </c>
      <c r="M1744" s="26" t="s">
        <v>112</v>
      </c>
      <c r="N1744" s="26" t="s">
        <v>3330</v>
      </c>
      <c r="O1744" s="26" t="s">
        <v>125</v>
      </c>
      <c r="P1744" s="26" t="s">
        <v>5794</v>
      </c>
      <c r="Q1744" s="20">
        <v>15936</v>
      </c>
      <c r="R1744" s="26" t="s">
        <v>36</v>
      </c>
      <c r="S1744" s="31">
        <v>2000</v>
      </c>
      <c r="T1744" s="32">
        <v>45187</v>
      </c>
      <c r="U1744" s="31">
        <v>13936</v>
      </c>
      <c r="V1744" s="32">
        <v>45205</v>
      </c>
      <c r="W1744" s="33" t="s">
        <v>3670</v>
      </c>
      <c r="X1744" s="26"/>
      <c r="Y1744" s="22">
        <v>0</v>
      </c>
      <c r="Z1744" s="26" t="s">
        <v>118</v>
      </c>
      <c r="AA1744" s="19" t="s">
        <v>5785</v>
      </c>
      <c r="AB1744" s="26" t="s">
        <v>104</v>
      </c>
      <c r="AC1744" s="26" t="s">
        <v>53</v>
      </c>
      <c r="AD1744" s="19" t="s">
        <v>138</v>
      </c>
      <c r="AE1744" s="26" t="s">
        <v>3416</v>
      </c>
      <c r="AF1744" s="17">
        <v>45356</v>
      </c>
      <c r="AG1744" s="26" t="s">
        <v>1362</v>
      </c>
      <c r="AH1744" s="26"/>
      <c r="AI1744" s="40" t="s">
        <v>147</v>
      </c>
      <c r="AJ1744" s="26"/>
      <c r="AK1744" s="26"/>
      <c r="AL1744" s="35"/>
      <c r="AM1744" s="35"/>
      <c r="AN1744" s="35"/>
      <c r="AO1744" s="35"/>
      <c r="AP1744" s="35"/>
    </row>
    <row r="1745" spans="1:42" x14ac:dyDescent="0.2">
      <c r="A1745" s="14">
        <v>45345</v>
      </c>
      <c r="B1745" s="28" t="s">
        <v>37</v>
      </c>
      <c r="C1745" s="41" t="s">
        <v>118</v>
      </c>
      <c r="D1745" s="26" t="s">
        <v>36</v>
      </c>
      <c r="E1745" s="26" t="s">
        <v>139</v>
      </c>
      <c r="F1745" s="26" t="s">
        <v>3416</v>
      </c>
      <c r="G1745" s="35" t="s">
        <v>221</v>
      </c>
      <c r="H1745" s="26" t="s">
        <v>6389</v>
      </c>
      <c r="I1745" s="17">
        <f ca="1">IFERROR(__xludf.DUMMYFUNCTION("""COMPUTED_VALUE"""),45356)</f>
        <v>45356</v>
      </c>
      <c r="J1745" s="29" t="s">
        <v>3661</v>
      </c>
      <c r="K1745" s="26" t="s">
        <v>3662</v>
      </c>
      <c r="L1745" s="30">
        <v>327047878</v>
      </c>
      <c r="M1745" s="26" t="s">
        <v>123</v>
      </c>
      <c r="N1745" s="26" t="s">
        <v>3663</v>
      </c>
      <c r="O1745" s="26" t="s">
        <v>492</v>
      </c>
      <c r="P1745" s="26" t="s">
        <v>5794</v>
      </c>
      <c r="Q1745" s="20">
        <v>15936</v>
      </c>
      <c r="R1745" s="26" t="s">
        <v>36</v>
      </c>
      <c r="S1745" s="31">
        <v>200</v>
      </c>
      <c r="T1745" s="32">
        <v>45185</v>
      </c>
      <c r="U1745" s="31">
        <v>15736</v>
      </c>
      <c r="V1745" s="32">
        <v>45217</v>
      </c>
      <c r="W1745" s="26" t="s">
        <v>3665</v>
      </c>
      <c r="X1745" s="26"/>
      <c r="Y1745" s="22">
        <v>0</v>
      </c>
      <c r="Z1745" s="26" t="s">
        <v>118</v>
      </c>
      <c r="AA1745" s="19" t="s">
        <v>5785</v>
      </c>
      <c r="AB1745" s="26" t="s">
        <v>104</v>
      </c>
      <c r="AC1745" s="26" t="s">
        <v>53</v>
      </c>
      <c r="AD1745" s="19" t="s">
        <v>138</v>
      </c>
      <c r="AE1745" s="26" t="s">
        <v>3416</v>
      </c>
      <c r="AF1745" s="17">
        <v>45356</v>
      </c>
      <c r="AG1745" s="26" t="s">
        <v>1362</v>
      </c>
      <c r="AH1745" s="26"/>
      <c r="AI1745" s="40" t="s">
        <v>147</v>
      </c>
      <c r="AJ1745" s="26"/>
      <c r="AK1745" s="26"/>
      <c r="AL1745" s="35"/>
      <c r="AM1745" s="35"/>
      <c r="AN1745" s="35"/>
      <c r="AO1745" s="35"/>
      <c r="AP1745" s="35"/>
    </row>
    <row r="1746" spans="1:42" x14ac:dyDescent="0.2">
      <c r="A1746" s="14">
        <v>45345</v>
      </c>
      <c r="B1746" s="28" t="s">
        <v>37</v>
      </c>
      <c r="C1746" s="41" t="s">
        <v>118</v>
      </c>
      <c r="D1746" s="26" t="s">
        <v>36</v>
      </c>
      <c r="E1746" s="26" t="s">
        <v>139</v>
      </c>
      <c r="F1746" s="26" t="s">
        <v>3416</v>
      </c>
      <c r="G1746" s="35" t="s">
        <v>221</v>
      </c>
      <c r="H1746" s="26" t="s">
        <v>6961</v>
      </c>
      <c r="I1746" s="17" t="str">
        <f ca="1">IFERROR(__xludf.DUMMYFUNCTION("""COMPUTED_VALUE""")," ")</f>
        <v xml:space="preserve"> </v>
      </c>
      <c r="J1746" s="29" t="s">
        <v>3019</v>
      </c>
      <c r="K1746" s="26" t="s">
        <v>3020</v>
      </c>
      <c r="L1746" s="30">
        <v>565993520</v>
      </c>
      <c r="M1746" s="26" t="s">
        <v>80</v>
      </c>
      <c r="N1746" s="26" t="s">
        <v>299</v>
      </c>
      <c r="O1746" s="26" t="s">
        <v>3021</v>
      </c>
      <c r="P1746" s="26" t="s">
        <v>5794</v>
      </c>
      <c r="Q1746" s="20">
        <v>15936</v>
      </c>
      <c r="R1746" s="26" t="s">
        <v>36</v>
      </c>
      <c r="S1746" s="31">
        <v>500</v>
      </c>
      <c r="T1746" s="32">
        <v>45157</v>
      </c>
      <c r="U1746" s="31">
        <v>15436</v>
      </c>
      <c r="V1746" s="32">
        <v>45190</v>
      </c>
      <c r="W1746" s="33" t="s">
        <v>3022</v>
      </c>
      <c r="X1746" s="26"/>
      <c r="Y1746" s="22">
        <v>0</v>
      </c>
      <c r="Z1746" s="26" t="s">
        <v>118</v>
      </c>
      <c r="AA1746" s="19" t="s">
        <v>5785</v>
      </c>
      <c r="AB1746" s="26" t="s">
        <v>104</v>
      </c>
      <c r="AC1746" s="26" t="s">
        <v>53</v>
      </c>
      <c r="AD1746" s="19" t="s">
        <v>138</v>
      </c>
      <c r="AE1746" s="26" t="s">
        <v>3416</v>
      </c>
      <c r="AF1746" s="17">
        <v>45356</v>
      </c>
      <c r="AG1746" s="26" t="s">
        <v>1362</v>
      </c>
      <c r="AH1746" s="26"/>
      <c r="AI1746" s="40" t="s">
        <v>147</v>
      </c>
      <c r="AJ1746" s="26"/>
      <c r="AK1746" s="26"/>
      <c r="AL1746" s="35"/>
      <c r="AM1746" s="35"/>
      <c r="AN1746" s="35"/>
      <c r="AO1746" s="35"/>
      <c r="AP1746" s="35"/>
    </row>
    <row r="1747" spans="1:42" x14ac:dyDescent="0.2">
      <c r="A1747" s="14">
        <v>45345</v>
      </c>
      <c r="B1747" s="28" t="s">
        <v>37</v>
      </c>
      <c r="C1747" s="41" t="s">
        <v>118</v>
      </c>
      <c r="D1747" s="26" t="s">
        <v>36</v>
      </c>
      <c r="E1747" s="26" t="s">
        <v>119</v>
      </c>
      <c r="F1747" s="26" t="s">
        <v>3416</v>
      </c>
      <c r="G1747" s="35" t="s">
        <v>221</v>
      </c>
      <c r="H1747" s="26" t="s">
        <v>6389</v>
      </c>
      <c r="I1747" s="17">
        <f ca="1">IFERROR(__xludf.DUMMYFUNCTION("""COMPUTED_VALUE"""),45356)</f>
        <v>45356</v>
      </c>
      <c r="J1747" s="29" t="s">
        <v>5587</v>
      </c>
      <c r="K1747" s="26" t="s">
        <v>5588</v>
      </c>
      <c r="L1747" s="30">
        <v>822448005</v>
      </c>
      <c r="M1747" s="26" t="s">
        <v>5518</v>
      </c>
      <c r="N1747" s="26" t="s">
        <v>5582</v>
      </c>
      <c r="O1747" s="26" t="s">
        <v>5589</v>
      </c>
      <c r="P1747" s="26" t="s">
        <v>5590</v>
      </c>
      <c r="Q1747" s="20">
        <v>13968</v>
      </c>
      <c r="R1747" s="26" t="s">
        <v>36</v>
      </c>
      <c r="S1747" s="31">
        <v>4000</v>
      </c>
      <c r="T1747" s="32">
        <v>45238</v>
      </c>
      <c r="U1747" s="31">
        <v>9968</v>
      </c>
      <c r="V1747" s="32">
        <v>45258</v>
      </c>
      <c r="W1747" s="33" t="s">
        <v>5591</v>
      </c>
      <c r="X1747" s="26"/>
      <c r="Y1747" s="22">
        <v>0</v>
      </c>
      <c r="Z1747" s="26" t="s">
        <v>118</v>
      </c>
      <c r="AA1747" s="19" t="s">
        <v>5112</v>
      </c>
      <c r="AB1747" s="26" t="s">
        <v>104</v>
      </c>
      <c r="AC1747" s="26" t="s">
        <v>53</v>
      </c>
      <c r="AD1747" s="19" t="s">
        <v>54</v>
      </c>
      <c r="AE1747" s="26" t="s">
        <v>3416</v>
      </c>
      <c r="AF1747" s="17">
        <v>45356</v>
      </c>
      <c r="AG1747" s="26" t="s">
        <v>1362</v>
      </c>
      <c r="AH1747" s="26"/>
      <c r="AI1747" s="40">
        <v>4</v>
      </c>
      <c r="AJ1747" s="26"/>
      <c r="AK1747" s="26"/>
      <c r="AL1747" s="35"/>
      <c r="AM1747" s="35"/>
      <c r="AN1747" s="35"/>
      <c r="AO1747" s="35"/>
      <c r="AP1747" s="35"/>
    </row>
    <row r="1748" spans="1:42" x14ac:dyDescent="0.2">
      <c r="A1748" s="14">
        <v>45345</v>
      </c>
      <c r="B1748" s="28" t="s">
        <v>37</v>
      </c>
      <c r="C1748" s="41" t="s">
        <v>118</v>
      </c>
      <c r="D1748" s="26" t="s">
        <v>36</v>
      </c>
      <c r="E1748" s="26" t="s">
        <v>139</v>
      </c>
      <c r="F1748" s="26" t="s">
        <v>3416</v>
      </c>
      <c r="G1748" s="35" t="s">
        <v>221</v>
      </c>
      <c r="H1748" s="26" t="s">
        <v>6389</v>
      </c>
      <c r="I1748" s="17">
        <f ca="1">IFERROR(__xludf.DUMMYFUNCTION("""COMPUTED_VALUE"""),45356)</f>
        <v>45356</v>
      </c>
      <c r="J1748" s="29" t="s">
        <v>3623</v>
      </c>
      <c r="K1748" s="26" t="s">
        <v>3624</v>
      </c>
      <c r="L1748" s="30">
        <v>775270270</v>
      </c>
      <c r="M1748" s="26" t="s">
        <v>80</v>
      </c>
      <c r="N1748" s="26" t="s">
        <v>81</v>
      </c>
      <c r="O1748" s="26" t="s">
        <v>3625</v>
      </c>
      <c r="P1748" s="26" t="s">
        <v>2641</v>
      </c>
      <c r="Q1748" s="20">
        <v>15936</v>
      </c>
      <c r="R1748" s="26" t="s">
        <v>36</v>
      </c>
      <c r="S1748" s="31">
        <v>4000</v>
      </c>
      <c r="T1748" s="32">
        <v>45185</v>
      </c>
      <c r="U1748" s="31">
        <v>11936</v>
      </c>
      <c r="V1748" s="32">
        <v>45212</v>
      </c>
      <c r="W1748" s="33" t="s">
        <v>3626</v>
      </c>
      <c r="X1748" s="26"/>
      <c r="Y1748" s="22">
        <v>0</v>
      </c>
      <c r="Z1748" s="26" t="s">
        <v>118</v>
      </c>
      <c r="AA1748" s="19" t="s">
        <v>5785</v>
      </c>
      <c r="AB1748" s="26" t="s">
        <v>104</v>
      </c>
      <c r="AC1748" s="26" t="s">
        <v>53</v>
      </c>
      <c r="AD1748" s="19" t="s">
        <v>138</v>
      </c>
      <c r="AE1748" s="26" t="s">
        <v>3416</v>
      </c>
      <c r="AF1748" s="17">
        <v>45356</v>
      </c>
      <c r="AG1748" s="26" t="s">
        <v>1362</v>
      </c>
      <c r="AH1748" s="26"/>
      <c r="AI1748" s="40" t="s">
        <v>147</v>
      </c>
      <c r="AJ1748" s="26"/>
      <c r="AK1748" s="26"/>
      <c r="AL1748" s="35"/>
      <c r="AM1748" s="35"/>
      <c r="AN1748" s="35"/>
      <c r="AO1748" s="35"/>
      <c r="AP1748" s="35"/>
    </row>
    <row r="1749" spans="1:42" x14ac:dyDescent="0.2">
      <c r="A1749" s="14">
        <v>45346</v>
      </c>
      <c r="B1749" s="28" t="s">
        <v>37</v>
      </c>
      <c r="C1749" s="41" t="s">
        <v>118</v>
      </c>
      <c r="D1749" s="26" t="s">
        <v>36</v>
      </c>
      <c r="E1749" s="26" t="s">
        <v>39</v>
      </c>
      <c r="F1749" s="26" t="s">
        <v>3365</v>
      </c>
      <c r="G1749" s="26" t="s">
        <v>108</v>
      </c>
      <c r="H1749" s="26" t="s">
        <v>4633</v>
      </c>
      <c r="I1749" s="17">
        <f ca="1">IFERROR(__xludf.DUMMYFUNCTION("""COMPUTED_VALUE"""),45365)</f>
        <v>45365</v>
      </c>
      <c r="J1749" s="29" t="s">
        <v>5556</v>
      </c>
      <c r="K1749" s="26" t="s">
        <v>6962</v>
      </c>
      <c r="L1749" s="30">
        <v>394166110</v>
      </c>
      <c r="M1749" s="26" t="s">
        <v>5558</v>
      </c>
      <c r="N1749" s="26" t="s">
        <v>5559</v>
      </c>
      <c r="O1749" s="26" t="s">
        <v>91</v>
      </c>
      <c r="P1749" s="42" t="s">
        <v>6963</v>
      </c>
      <c r="Q1749" s="20">
        <v>5736</v>
      </c>
      <c r="R1749" s="26" t="s">
        <v>36</v>
      </c>
      <c r="S1749" s="31">
        <v>200</v>
      </c>
      <c r="T1749" s="32">
        <v>45236</v>
      </c>
      <c r="U1749" s="31">
        <v>5536</v>
      </c>
      <c r="V1749" s="32">
        <v>45236</v>
      </c>
      <c r="W1749" s="26" t="s">
        <v>5561</v>
      </c>
      <c r="X1749" s="26"/>
      <c r="Y1749" s="22">
        <v>0</v>
      </c>
      <c r="Z1749" s="26" t="s">
        <v>118</v>
      </c>
      <c r="AA1749" s="19" t="s">
        <v>5112</v>
      </c>
      <c r="AB1749" s="26" t="s">
        <v>104</v>
      </c>
      <c r="AC1749" s="26" t="s">
        <v>53</v>
      </c>
      <c r="AD1749" s="19" t="s">
        <v>54</v>
      </c>
      <c r="AE1749" s="26" t="s">
        <v>3365</v>
      </c>
      <c r="AF1749" s="17">
        <v>45351</v>
      </c>
      <c r="AG1749" s="26"/>
      <c r="AH1749" s="26"/>
      <c r="AI1749" s="40" t="s">
        <v>55</v>
      </c>
      <c r="AJ1749" s="26"/>
      <c r="AK1749" s="26"/>
      <c r="AL1749" s="35"/>
      <c r="AM1749" s="35"/>
      <c r="AN1749" s="35"/>
      <c r="AO1749" s="35"/>
      <c r="AP1749" s="35"/>
    </row>
    <row r="1750" spans="1:42" x14ac:dyDescent="0.2">
      <c r="A1750" s="14">
        <v>45346</v>
      </c>
      <c r="B1750" s="28" t="s">
        <v>37</v>
      </c>
      <c r="C1750" s="41" t="s">
        <v>118</v>
      </c>
      <c r="D1750" s="26" t="s">
        <v>36</v>
      </c>
      <c r="E1750" s="26" t="s">
        <v>148</v>
      </c>
      <c r="F1750" s="26" t="s">
        <v>1809</v>
      </c>
      <c r="G1750" s="35" t="s">
        <v>221</v>
      </c>
      <c r="H1750" s="26" t="s">
        <v>5087</v>
      </c>
      <c r="I1750" s="17">
        <f ca="1">IFERROR(__xludf.DUMMYFUNCTION("""COMPUTED_VALUE"""),45356)</f>
        <v>45356</v>
      </c>
      <c r="J1750" s="29" t="s">
        <v>4679</v>
      </c>
      <c r="K1750" s="26" t="s">
        <v>4680</v>
      </c>
      <c r="L1750" s="30">
        <v>867652570</v>
      </c>
      <c r="M1750" s="26" t="s">
        <v>94</v>
      </c>
      <c r="N1750" s="26" t="s">
        <v>4681</v>
      </c>
      <c r="O1750" s="26" t="s">
        <v>40</v>
      </c>
      <c r="P1750" s="42" t="s">
        <v>4682</v>
      </c>
      <c r="Q1750" s="20">
        <v>7349</v>
      </c>
      <c r="R1750" s="26" t="s">
        <v>36</v>
      </c>
      <c r="S1750" s="31">
        <v>1000</v>
      </c>
      <c r="T1750" s="32">
        <v>44924</v>
      </c>
      <c r="U1750" s="31">
        <v>9804</v>
      </c>
      <c r="V1750" s="32">
        <v>44940</v>
      </c>
      <c r="W1750" s="26" t="s">
        <v>4683</v>
      </c>
      <c r="X1750" s="26"/>
      <c r="Y1750" s="22">
        <v>0</v>
      </c>
      <c r="Z1750" s="26" t="s">
        <v>118</v>
      </c>
      <c r="AA1750" s="19" t="s">
        <v>4541</v>
      </c>
      <c r="AB1750" s="26" t="s">
        <v>116</v>
      </c>
      <c r="AC1750" s="26" t="s">
        <v>53</v>
      </c>
      <c r="AD1750" s="19" t="s">
        <v>54</v>
      </c>
      <c r="AE1750" s="26" t="s">
        <v>1809</v>
      </c>
      <c r="AF1750" s="17">
        <v>45350</v>
      </c>
      <c r="AG1750" s="26"/>
      <c r="AH1750" s="26"/>
      <c r="AI1750" s="40"/>
      <c r="AJ1750" s="26"/>
      <c r="AK1750" s="26"/>
      <c r="AL1750" s="35"/>
      <c r="AM1750" s="35"/>
      <c r="AN1750" s="35"/>
      <c r="AO1750" s="35"/>
      <c r="AP1750" s="35"/>
    </row>
    <row r="1751" spans="1:42" x14ac:dyDescent="0.2">
      <c r="A1751" s="14">
        <v>45346</v>
      </c>
      <c r="B1751" s="28" t="s">
        <v>37</v>
      </c>
      <c r="C1751" s="41" t="s">
        <v>118</v>
      </c>
      <c r="D1751" s="26" t="s">
        <v>36</v>
      </c>
      <c r="E1751" s="26" t="s">
        <v>119</v>
      </c>
      <c r="F1751" s="26" t="s">
        <v>3285</v>
      </c>
      <c r="G1751" s="35" t="s">
        <v>221</v>
      </c>
      <c r="H1751" s="26" t="s">
        <v>6389</v>
      </c>
      <c r="I1751" s="17">
        <f ca="1">IFERROR(__xludf.DUMMYFUNCTION("""COMPUTED_VALUE"""),45356)</f>
        <v>45356</v>
      </c>
      <c r="J1751" s="29" t="s">
        <v>5321</v>
      </c>
      <c r="K1751" s="26" t="s">
        <v>5322</v>
      </c>
      <c r="L1751" s="30">
        <v>904234619</v>
      </c>
      <c r="M1751" s="26" t="s">
        <v>80</v>
      </c>
      <c r="N1751" s="26" t="s">
        <v>1073</v>
      </c>
      <c r="O1751" s="26" t="s">
        <v>5323</v>
      </c>
      <c r="P1751" s="26" t="s">
        <v>5324</v>
      </c>
      <c r="Q1751" s="20">
        <v>13968</v>
      </c>
      <c r="R1751" s="26" t="s">
        <v>36</v>
      </c>
      <c r="S1751" s="31">
        <v>4000</v>
      </c>
      <c r="T1751" s="32">
        <v>45212</v>
      </c>
      <c r="U1751" s="31">
        <v>9968</v>
      </c>
      <c r="V1751" s="32">
        <v>45240</v>
      </c>
      <c r="W1751" s="26" t="s">
        <v>5325</v>
      </c>
      <c r="X1751" s="26"/>
      <c r="Y1751" s="22">
        <v>0</v>
      </c>
      <c r="Z1751" s="26" t="s">
        <v>118</v>
      </c>
      <c r="AA1751" s="19" t="s">
        <v>5112</v>
      </c>
      <c r="AB1751" s="26" t="s">
        <v>104</v>
      </c>
      <c r="AC1751" s="26" t="s">
        <v>53</v>
      </c>
      <c r="AD1751" s="19" t="s">
        <v>138</v>
      </c>
      <c r="AE1751" s="26" t="s">
        <v>3285</v>
      </c>
      <c r="AF1751" s="17">
        <v>45356</v>
      </c>
      <c r="AG1751" s="26" t="s">
        <v>1362</v>
      </c>
      <c r="AH1751" s="26"/>
      <c r="AI1751" s="40">
        <v>4</v>
      </c>
      <c r="AJ1751" s="26"/>
      <c r="AK1751" s="26"/>
      <c r="AL1751" s="35"/>
      <c r="AM1751" s="35"/>
      <c r="AN1751" s="35"/>
      <c r="AO1751" s="35"/>
      <c r="AP1751" s="35"/>
    </row>
    <row r="1752" spans="1:42" x14ac:dyDescent="0.2">
      <c r="A1752" s="14">
        <v>45348</v>
      </c>
      <c r="B1752" s="28" t="s">
        <v>37</v>
      </c>
      <c r="C1752" s="41" t="s">
        <v>118</v>
      </c>
      <c r="D1752" s="26" t="s">
        <v>36</v>
      </c>
      <c r="E1752" s="26" t="s">
        <v>139</v>
      </c>
      <c r="F1752" s="26" t="s">
        <v>3416</v>
      </c>
      <c r="G1752" s="35" t="s">
        <v>221</v>
      </c>
      <c r="H1752" s="26" t="s">
        <v>6389</v>
      </c>
      <c r="I1752" s="17">
        <f ca="1">IFERROR(__xludf.DUMMYFUNCTION("""COMPUTED_VALUE"""),45356)</f>
        <v>45356</v>
      </c>
      <c r="J1752" s="29" t="s">
        <v>3677</v>
      </c>
      <c r="K1752" s="26" t="s">
        <v>3678</v>
      </c>
      <c r="L1752" s="30">
        <v>988341325</v>
      </c>
      <c r="M1752" s="26" t="s">
        <v>80</v>
      </c>
      <c r="N1752" s="26" t="s">
        <v>186</v>
      </c>
      <c r="O1752" s="26" t="s">
        <v>125</v>
      </c>
      <c r="P1752" s="42" t="s">
        <v>3679</v>
      </c>
      <c r="Q1752" s="20">
        <v>15936</v>
      </c>
      <c r="R1752" s="26" t="s">
        <v>36</v>
      </c>
      <c r="S1752" s="31">
        <v>2000</v>
      </c>
      <c r="T1752" s="32">
        <v>45157</v>
      </c>
      <c r="U1752" s="31">
        <v>13968</v>
      </c>
      <c r="V1752" s="32">
        <v>45212</v>
      </c>
      <c r="W1752" s="33" t="s">
        <v>3680</v>
      </c>
      <c r="X1752" s="26"/>
      <c r="Y1752" s="22">
        <v>-32</v>
      </c>
      <c r="Z1752" s="26" t="s">
        <v>118</v>
      </c>
      <c r="AA1752" s="19" t="s">
        <v>5785</v>
      </c>
      <c r="AB1752" s="26" t="s">
        <v>104</v>
      </c>
      <c r="AC1752" s="26" t="s">
        <v>53</v>
      </c>
      <c r="AD1752" s="19" t="s">
        <v>138</v>
      </c>
      <c r="AE1752" s="26" t="s">
        <v>3416</v>
      </c>
      <c r="AF1752" s="17">
        <v>45356</v>
      </c>
      <c r="AG1752" s="26" t="s">
        <v>1362</v>
      </c>
      <c r="AH1752" s="26"/>
      <c r="AI1752" s="40" t="s">
        <v>147</v>
      </c>
      <c r="AJ1752" s="26"/>
      <c r="AK1752" s="26"/>
      <c r="AL1752" s="35"/>
      <c r="AM1752" s="35"/>
      <c r="AN1752" s="35"/>
      <c r="AO1752" s="35"/>
      <c r="AP1752" s="35"/>
    </row>
    <row r="1753" spans="1:42" x14ac:dyDescent="0.2">
      <c r="A1753" s="14">
        <v>45348</v>
      </c>
      <c r="B1753" s="28" t="s">
        <v>37</v>
      </c>
      <c r="C1753" s="41" t="s">
        <v>118</v>
      </c>
      <c r="D1753" s="26" t="s">
        <v>36</v>
      </c>
      <c r="E1753" s="26" t="s">
        <v>56</v>
      </c>
      <c r="F1753" s="26" t="s">
        <v>3090</v>
      </c>
      <c r="G1753" s="26" t="s">
        <v>108</v>
      </c>
      <c r="H1753" s="26" t="s">
        <v>6964</v>
      </c>
      <c r="I1753" s="17" t="str">
        <f ca="1">IFERROR(__xludf.DUMMYFUNCTION("""COMPUTED_VALUE""")," ")</f>
        <v xml:space="preserve"> </v>
      </c>
      <c r="J1753" s="29" t="s">
        <v>3091</v>
      </c>
      <c r="K1753" s="26" t="s">
        <v>3092</v>
      </c>
      <c r="L1753" s="30">
        <v>964541848</v>
      </c>
      <c r="M1753" s="26" t="s">
        <v>59</v>
      </c>
      <c r="N1753" s="26" t="s">
        <v>403</v>
      </c>
      <c r="O1753" s="26" t="s">
        <v>403</v>
      </c>
      <c r="P1753" s="42" t="s">
        <v>3093</v>
      </c>
      <c r="Q1753" s="20">
        <v>9317</v>
      </c>
      <c r="R1753" s="26" t="s">
        <v>36</v>
      </c>
      <c r="S1753" s="31">
        <v>9317</v>
      </c>
      <c r="T1753" s="32">
        <v>45190</v>
      </c>
      <c r="U1753" s="31"/>
      <c r="V1753" s="26"/>
      <c r="W1753" s="33" t="s">
        <v>3094</v>
      </c>
      <c r="X1753" s="26"/>
      <c r="Y1753" s="22">
        <v>0</v>
      </c>
      <c r="Z1753" s="26" t="s">
        <v>118</v>
      </c>
      <c r="AA1753" s="19" t="s">
        <v>2449</v>
      </c>
      <c r="AB1753" s="26" t="s">
        <v>104</v>
      </c>
      <c r="AC1753" s="26" t="s">
        <v>53</v>
      </c>
      <c r="AD1753" s="19" t="s">
        <v>54</v>
      </c>
      <c r="AE1753" s="26" t="s">
        <v>3090</v>
      </c>
      <c r="AF1753" s="17">
        <v>45351</v>
      </c>
      <c r="AG1753" s="26"/>
      <c r="AH1753" s="26"/>
      <c r="AI1753" s="40"/>
      <c r="AJ1753" s="26"/>
      <c r="AK1753" s="26"/>
      <c r="AL1753" s="35"/>
      <c r="AM1753" s="35"/>
      <c r="AN1753" s="35"/>
      <c r="AO1753" s="35"/>
      <c r="AP1753" s="35"/>
    </row>
    <row r="1754" spans="1:42" x14ac:dyDescent="0.2">
      <c r="A1754" s="14">
        <v>45349</v>
      </c>
      <c r="B1754" s="28" t="s">
        <v>37</v>
      </c>
      <c r="C1754" s="41" t="s">
        <v>118</v>
      </c>
      <c r="D1754" s="26" t="s">
        <v>36</v>
      </c>
      <c r="E1754" s="26" t="s">
        <v>915</v>
      </c>
      <c r="F1754" s="26" t="s">
        <v>2590</v>
      </c>
      <c r="G1754" s="26" t="s">
        <v>1847</v>
      </c>
      <c r="H1754" s="26" t="s">
        <v>6859</v>
      </c>
      <c r="I1754" s="17">
        <f ca="1">IFERROR(__xludf.DUMMYFUNCTION("""COMPUTED_VALUE"""),45375)</f>
        <v>45375</v>
      </c>
      <c r="J1754" s="29" t="s">
        <v>3545</v>
      </c>
      <c r="K1754" s="26" t="s">
        <v>3546</v>
      </c>
      <c r="L1754" s="30">
        <v>862100825</v>
      </c>
      <c r="M1754" s="26" t="s">
        <v>80</v>
      </c>
      <c r="N1754" s="26" t="s">
        <v>186</v>
      </c>
      <c r="O1754" s="26" t="s">
        <v>1492</v>
      </c>
      <c r="P1754" s="42" t="s">
        <v>3547</v>
      </c>
      <c r="Q1754" s="20">
        <v>10894</v>
      </c>
      <c r="R1754" s="26" t="s">
        <v>36</v>
      </c>
      <c r="S1754" s="31">
        <v>4000</v>
      </c>
      <c r="T1754" s="32">
        <v>45182</v>
      </c>
      <c r="U1754" s="31">
        <v>6894</v>
      </c>
      <c r="V1754" s="32">
        <v>45201</v>
      </c>
      <c r="W1754" s="33" t="s">
        <v>3548</v>
      </c>
      <c r="X1754" s="26"/>
      <c r="Y1754" s="22">
        <v>0</v>
      </c>
      <c r="Z1754" s="26" t="s">
        <v>118</v>
      </c>
      <c r="AA1754" s="19" t="s">
        <v>3454</v>
      </c>
      <c r="AB1754" s="26" t="s">
        <v>104</v>
      </c>
      <c r="AC1754" s="26" t="s">
        <v>53</v>
      </c>
      <c r="AD1754" s="19" t="s">
        <v>54</v>
      </c>
      <c r="AE1754" s="26" t="s">
        <v>2590</v>
      </c>
      <c r="AF1754" s="17">
        <v>45370</v>
      </c>
      <c r="AG1754" s="26"/>
      <c r="AH1754" s="26"/>
      <c r="AI1754" s="40"/>
      <c r="AJ1754" s="26"/>
      <c r="AK1754" s="26"/>
      <c r="AL1754" s="35"/>
      <c r="AM1754" s="35"/>
      <c r="AN1754" s="35"/>
      <c r="AO1754" s="35"/>
      <c r="AP1754" s="35"/>
    </row>
    <row r="1755" spans="1:42" x14ac:dyDescent="0.2">
      <c r="A1755" s="14">
        <v>45349</v>
      </c>
      <c r="B1755" s="28" t="s">
        <v>37</v>
      </c>
      <c r="C1755" s="41" t="s">
        <v>118</v>
      </c>
      <c r="D1755" s="26" t="s">
        <v>36</v>
      </c>
      <c r="E1755" s="26" t="s">
        <v>119</v>
      </c>
      <c r="F1755" s="26" t="s">
        <v>3308</v>
      </c>
      <c r="G1755" s="26" t="s">
        <v>1705</v>
      </c>
      <c r="H1755" s="26" t="s">
        <v>6965</v>
      </c>
      <c r="I1755" s="17">
        <f ca="1">IFERROR(__xludf.DUMMYFUNCTION("""COMPUTED_VALUE"""),45372)</f>
        <v>45372</v>
      </c>
      <c r="J1755" s="29" t="s">
        <v>896</v>
      </c>
      <c r="K1755" s="26" t="s">
        <v>897</v>
      </c>
      <c r="L1755" s="30">
        <v>936526160</v>
      </c>
      <c r="M1755" s="26" t="s">
        <v>123</v>
      </c>
      <c r="N1755" s="26" t="s">
        <v>898</v>
      </c>
      <c r="O1755" s="26" t="s">
        <v>125</v>
      </c>
      <c r="P1755" s="26" t="s">
        <v>4853</v>
      </c>
      <c r="Q1755" s="20">
        <v>13968</v>
      </c>
      <c r="R1755" s="26" t="s">
        <v>36</v>
      </c>
      <c r="S1755" s="31">
        <v>6000</v>
      </c>
      <c r="T1755" s="32">
        <v>45108</v>
      </c>
      <c r="U1755" s="31">
        <v>7968</v>
      </c>
      <c r="V1755" s="32">
        <v>45139</v>
      </c>
      <c r="W1755" s="33" t="s">
        <v>900</v>
      </c>
      <c r="X1755" s="26">
        <v>0</v>
      </c>
      <c r="Y1755" s="22">
        <v>0</v>
      </c>
      <c r="Z1755" s="26" t="s">
        <v>118</v>
      </c>
      <c r="AA1755" s="19" t="s">
        <v>4541</v>
      </c>
      <c r="AB1755" s="26" t="s">
        <v>104</v>
      </c>
      <c r="AC1755" s="26" t="s">
        <v>53</v>
      </c>
      <c r="AD1755" s="19" t="s">
        <v>54</v>
      </c>
      <c r="AE1755" s="26" t="s">
        <v>3308</v>
      </c>
      <c r="AF1755" s="17">
        <v>45370</v>
      </c>
      <c r="AG1755" s="26"/>
      <c r="AH1755" s="26"/>
      <c r="AI1755" s="40"/>
      <c r="AJ1755" s="26"/>
      <c r="AK1755" s="26"/>
      <c r="AL1755" s="35"/>
      <c r="AM1755" s="35"/>
      <c r="AN1755" s="35"/>
      <c r="AO1755" s="35"/>
      <c r="AP1755" s="35"/>
    </row>
    <row r="1756" spans="1:42" x14ac:dyDescent="0.2">
      <c r="A1756" s="14">
        <v>45349</v>
      </c>
      <c r="B1756" s="28" t="s">
        <v>37</v>
      </c>
      <c r="C1756" s="41" t="s">
        <v>118</v>
      </c>
      <c r="D1756" s="26" t="s">
        <v>36</v>
      </c>
      <c r="E1756" s="26" t="s">
        <v>915</v>
      </c>
      <c r="F1756" s="26" t="s">
        <v>222</v>
      </c>
      <c r="G1756" s="26" t="s">
        <v>1705</v>
      </c>
      <c r="H1756" s="26" t="s">
        <v>6965</v>
      </c>
      <c r="I1756" s="17">
        <f ca="1">IFERROR(__xludf.DUMMYFUNCTION("""COMPUTED_VALUE"""),45372)</f>
        <v>45372</v>
      </c>
      <c r="J1756" s="29" t="s">
        <v>1077</v>
      </c>
      <c r="K1756" s="26" t="s">
        <v>6966</v>
      </c>
      <c r="L1756" s="30">
        <v>812944568</v>
      </c>
      <c r="M1756" s="26" t="s">
        <v>123</v>
      </c>
      <c r="N1756" s="26" t="s">
        <v>207</v>
      </c>
      <c r="O1756" s="26" t="s">
        <v>134</v>
      </c>
      <c r="P1756" s="42" t="s">
        <v>6967</v>
      </c>
      <c r="Q1756" s="20">
        <v>10894</v>
      </c>
      <c r="R1756" s="26" t="s">
        <v>70</v>
      </c>
      <c r="S1756" s="31">
        <v>3968</v>
      </c>
      <c r="T1756" s="32">
        <v>45126</v>
      </c>
      <c r="U1756" s="31">
        <v>6926</v>
      </c>
      <c r="V1756" s="32">
        <v>45148</v>
      </c>
      <c r="W1756" s="33" t="s">
        <v>1080</v>
      </c>
      <c r="X1756" s="26">
        <v>100</v>
      </c>
      <c r="Y1756" s="22">
        <v>-100</v>
      </c>
      <c r="Z1756" s="26" t="s">
        <v>118</v>
      </c>
      <c r="AA1756" s="19" t="s">
        <v>901</v>
      </c>
      <c r="AB1756" s="26" t="s">
        <v>104</v>
      </c>
      <c r="AC1756" s="26" t="s">
        <v>53</v>
      </c>
      <c r="AD1756" s="19" t="s">
        <v>54</v>
      </c>
      <c r="AE1756" s="26" t="s">
        <v>222</v>
      </c>
      <c r="AF1756" s="17">
        <v>45370</v>
      </c>
      <c r="AG1756" s="26" t="s">
        <v>1081</v>
      </c>
      <c r="AH1756" s="26">
        <v>1</v>
      </c>
      <c r="AI1756" s="40">
        <v>3</v>
      </c>
      <c r="AJ1756" s="26"/>
      <c r="AK1756" s="26"/>
      <c r="AL1756" s="35"/>
      <c r="AM1756" s="35"/>
      <c r="AN1756" s="35"/>
      <c r="AO1756" s="35"/>
      <c r="AP1756" s="35"/>
    </row>
    <row r="1757" spans="1:42" x14ac:dyDescent="0.2">
      <c r="A1757" s="14">
        <v>45349</v>
      </c>
      <c r="B1757" s="28" t="s">
        <v>37</v>
      </c>
      <c r="C1757" s="41" t="s">
        <v>118</v>
      </c>
      <c r="D1757" s="26" t="s">
        <v>36</v>
      </c>
      <c r="E1757" s="26" t="s">
        <v>39</v>
      </c>
      <c r="F1757" s="26" t="s">
        <v>5650</v>
      </c>
      <c r="G1757" s="26" t="s">
        <v>108</v>
      </c>
      <c r="H1757" s="26" t="s">
        <v>2016</v>
      </c>
      <c r="I1757" s="17">
        <f ca="1">IFERROR(__xludf.DUMMYFUNCTION("""COMPUTED_VALUE"""),45365)</f>
        <v>45365</v>
      </c>
      <c r="J1757" s="29" t="s">
        <v>5756</v>
      </c>
      <c r="K1757" s="26" t="s">
        <v>5757</v>
      </c>
      <c r="L1757" s="30">
        <v>866515907</v>
      </c>
      <c r="M1757" s="26" t="s">
        <v>391</v>
      </c>
      <c r="N1757" s="26" t="s">
        <v>4282</v>
      </c>
      <c r="O1757" s="26" t="s">
        <v>5758</v>
      </c>
      <c r="P1757" s="42" t="s">
        <v>6968</v>
      </c>
      <c r="Q1757" s="20">
        <v>5736</v>
      </c>
      <c r="R1757" s="26" t="s">
        <v>36</v>
      </c>
      <c r="S1757" s="31">
        <v>5736</v>
      </c>
      <c r="T1757" s="32">
        <v>45257</v>
      </c>
      <c r="U1757" s="31"/>
      <c r="V1757" s="32"/>
      <c r="W1757" s="33" t="s">
        <v>5760</v>
      </c>
      <c r="X1757" s="26"/>
      <c r="Y1757" s="22">
        <v>0</v>
      </c>
      <c r="Z1757" s="26" t="s">
        <v>118</v>
      </c>
      <c r="AA1757" s="19" t="s">
        <v>5112</v>
      </c>
      <c r="AB1757" s="26" t="s">
        <v>104</v>
      </c>
      <c r="AC1757" s="26" t="s">
        <v>53</v>
      </c>
      <c r="AD1757" s="19" t="s">
        <v>54</v>
      </c>
      <c r="AE1757" s="26" t="s">
        <v>5650</v>
      </c>
      <c r="AF1757" s="17">
        <v>45358</v>
      </c>
      <c r="AG1757" s="26"/>
      <c r="AH1757" s="26"/>
      <c r="AI1757" s="40" t="s">
        <v>55</v>
      </c>
      <c r="AJ1757" s="26"/>
      <c r="AK1757" s="26"/>
      <c r="AL1757" s="35"/>
      <c r="AM1757" s="35"/>
      <c r="AN1757" s="35"/>
      <c r="AO1757" s="35"/>
      <c r="AP1757" s="35"/>
    </row>
    <row r="1758" spans="1:42" x14ac:dyDescent="0.2">
      <c r="A1758" s="14">
        <v>45349</v>
      </c>
      <c r="B1758" s="28" t="s">
        <v>37</v>
      </c>
      <c r="C1758" s="41" t="s">
        <v>118</v>
      </c>
      <c r="D1758" s="26" t="s">
        <v>36</v>
      </c>
      <c r="E1758" s="26" t="s">
        <v>915</v>
      </c>
      <c r="F1758" s="26" t="s">
        <v>2279</v>
      </c>
      <c r="G1758" s="26" t="s">
        <v>1705</v>
      </c>
      <c r="H1758" s="26" t="s">
        <v>6965</v>
      </c>
      <c r="I1758" s="17">
        <f ca="1">IFERROR(__xludf.DUMMYFUNCTION("""COMPUTED_VALUE"""),45372)</f>
        <v>45372</v>
      </c>
      <c r="J1758" s="29" t="s">
        <v>5205</v>
      </c>
      <c r="K1758" s="26" t="s">
        <v>5206</v>
      </c>
      <c r="L1758" s="30">
        <v>865522905</v>
      </c>
      <c r="M1758" s="26" t="s">
        <v>80</v>
      </c>
      <c r="N1758" s="26" t="s">
        <v>186</v>
      </c>
      <c r="O1758" s="26" t="s">
        <v>1492</v>
      </c>
      <c r="P1758" s="42" t="s">
        <v>6969</v>
      </c>
      <c r="Q1758" s="20">
        <v>10894</v>
      </c>
      <c r="R1758" s="26" t="s">
        <v>36</v>
      </c>
      <c r="S1758" s="31">
        <v>5000</v>
      </c>
      <c r="T1758" s="32">
        <v>45201</v>
      </c>
      <c r="U1758" s="31">
        <v>5894</v>
      </c>
      <c r="V1758" s="32">
        <v>45238</v>
      </c>
      <c r="W1758" s="33" t="s">
        <v>5208</v>
      </c>
      <c r="X1758" s="26"/>
      <c r="Y1758" s="22">
        <v>0</v>
      </c>
      <c r="Z1758" s="26" t="s">
        <v>118</v>
      </c>
      <c r="AA1758" s="19" t="s">
        <v>5112</v>
      </c>
      <c r="AB1758" s="26" t="s">
        <v>104</v>
      </c>
      <c r="AC1758" s="26" t="s">
        <v>53</v>
      </c>
      <c r="AD1758" s="19" t="s">
        <v>54</v>
      </c>
      <c r="AE1758" s="26" t="s">
        <v>2279</v>
      </c>
      <c r="AF1758" s="17">
        <v>45370</v>
      </c>
      <c r="AG1758" s="26"/>
      <c r="AH1758" s="26"/>
      <c r="AI1758" s="40">
        <v>3</v>
      </c>
      <c r="AJ1758" s="26"/>
      <c r="AK1758" s="26"/>
      <c r="AL1758" s="35"/>
      <c r="AM1758" s="35"/>
      <c r="AN1758" s="35"/>
      <c r="AO1758" s="35"/>
      <c r="AP1758" s="35"/>
    </row>
    <row r="1759" spans="1:42" x14ac:dyDescent="0.2">
      <c r="A1759" s="14">
        <v>45349</v>
      </c>
      <c r="B1759" s="28" t="s">
        <v>37</v>
      </c>
      <c r="C1759" s="41" t="s">
        <v>118</v>
      </c>
      <c r="D1759" s="26" t="s">
        <v>36</v>
      </c>
      <c r="E1759" s="26" t="s">
        <v>3353</v>
      </c>
      <c r="F1759" s="35" t="s">
        <v>3314</v>
      </c>
      <c r="G1759" s="35" t="s">
        <v>221</v>
      </c>
      <c r="H1759" s="35" t="s">
        <v>4646</v>
      </c>
      <c r="I1759" s="17">
        <f ca="1">IFERROR(__xludf.DUMMYFUNCTION("""COMPUTED_VALUE"""),45370)</f>
        <v>45370</v>
      </c>
      <c r="J1759" s="29" t="s">
        <v>3355</v>
      </c>
      <c r="K1759" s="26" t="s">
        <v>1729</v>
      </c>
      <c r="L1759" s="30">
        <v>587006178</v>
      </c>
      <c r="M1759" s="26" t="s">
        <v>123</v>
      </c>
      <c r="N1759" s="26" t="s">
        <v>3356</v>
      </c>
      <c r="O1759" s="26">
        <v>19304006459</v>
      </c>
      <c r="P1759" s="42" t="s">
        <v>6970</v>
      </c>
      <c r="Q1759" s="20">
        <v>13615</v>
      </c>
      <c r="R1759" s="26" t="s">
        <v>36</v>
      </c>
      <c r="S1759" s="31">
        <v>8390</v>
      </c>
      <c r="T1759" s="32">
        <v>44813</v>
      </c>
      <c r="U1759" s="31">
        <v>5225</v>
      </c>
      <c r="V1759" s="32">
        <v>44826</v>
      </c>
      <c r="W1759" s="33" t="s">
        <v>3358</v>
      </c>
      <c r="X1759" s="26">
        <v>0</v>
      </c>
      <c r="Y1759" s="22">
        <v>0</v>
      </c>
      <c r="Z1759" s="26" t="s">
        <v>118</v>
      </c>
      <c r="AA1759" s="19" t="s">
        <v>3359</v>
      </c>
      <c r="AB1759" s="26" t="s">
        <v>104</v>
      </c>
      <c r="AC1759" s="26" t="s">
        <v>53</v>
      </c>
      <c r="AD1759" s="19" t="s">
        <v>54</v>
      </c>
      <c r="AE1759" s="35" t="s">
        <v>3314</v>
      </c>
      <c r="AF1759" s="17">
        <v>45362</v>
      </c>
      <c r="AG1759" s="91"/>
      <c r="AH1759" s="35"/>
      <c r="AI1759" s="92"/>
      <c r="AJ1759" s="35"/>
      <c r="AK1759" s="35"/>
      <c r="AL1759" s="35"/>
      <c r="AM1759" s="35"/>
      <c r="AN1759" s="35"/>
      <c r="AO1759" s="35"/>
      <c r="AP1759" s="35"/>
    </row>
    <row r="1760" spans="1:42" x14ac:dyDescent="0.2">
      <c r="A1760" s="14">
        <v>45349</v>
      </c>
      <c r="B1760" s="28" t="s">
        <v>37</v>
      </c>
      <c r="C1760" s="41" t="s">
        <v>118</v>
      </c>
      <c r="D1760" s="26" t="s">
        <v>36</v>
      </c>
      <c r="E1760" s="26" t="s">
        <v>148</v>
      </c>
      <c r="F1760" s="26" t="s">
        <v>562</v>
      </c>
      <c r="G1760" s="35" t="s">
        <v>221</v>
      </c>
      <c r="H1760" s="35" t="s">
        <v>6971</v>
      </c>
      <c r="I1760" s="17">
        <f ca="1">IFERROR(__xludf.DUMMYFUNCTION("""COMPUTED_VALUE"""),45405)</f>
        <v>45405</v>
      </c>
      <c r="J1760" s="29" t="s">
        <v>1087</v>
      </c>
      <c r="K1760" s="26" t="s">
        <v>6972</v>
      </c>
      <c r="L1760" s="30">
        <v>878615082</v>
      </c>
      <c r="M1760" s="26" t="s">
        <v>80</v>
      </c>
      <c r="N1760" s="26" t="s">
        <v>466</v>
      </c>
      <c r="O1760" s="26" t="s">
        <v>1089</v>
      </c>
      <c r="P1760" s="42" t="s">
        <v>6973</v>
      </c>
      <c r="Q1760" s="20">
        <v>7349</v>
      </c>
      <c r="R1760" s="26" t="s">
        <v>36</v>
      </c>
      <c r="S1760" s="31">
        <v>4000</v>
      </c>
      <c r="T1760" s="32">
        <v>45127</v>
      </c>
      <c r="U1760" s="31">
        <v>3349</v>
      </c>
      <c r="V1760" s="38">
        <v>45168</v>
      </c>
      <c r="W1760" s="33" t="s">
        <v>1091</v>
      </c>
      <c r="X1760" s="26">
        <v>0</v>
      </c>
      <c r="Y1760" s="22">
        <v>0</v>
      </c>
      <c r="Z1760" s="26" t="s">
        <v>118</v>
      </c>
      <c r="AA1760" s="19" t="s">
        <v>901</v>
      </c>
      <c r="AB1760" s="26" t="s">
        <v>104</v>
      </c>
      <c r="AC1760" s="26" t="s">
        <v>53</v>
      </c>
      <c r="AD1760" s="19" t="s">
        <v>54</v>
      </c>
      <c r="AE1760" s="26" t="s">
        <v>562</v>
      </c>
      <c r="AF1760" s="17">
        <v>45362</v>
      </c>
      <c r="AG1760" s="26"/>
      <c r="AH1760" s="26">
        <v>1</v>
      </c>
      <c r="AI1760" s="40">
        <v>2</v>
      </c>
      <c r="AJ1760" s="26"/>
      <c r="AK1760" s="26"/>
      <c r="AL1760" s="35"/>
      <c r="AM1760" s="35"/>
      <c r="AN1760" s="35"/>
      <c r="AO1760" s="35"/>
      <c r="AP1760" s="35"/>
    </row>
    <row r="1761" spans="1:42" x14ac:dyDescent="0.2">
      <c r="A1761" s="14">
        <v>45349</v>
      </c>
      <c r="B1761" s="28" t="s">
        <v>37</v>
      </c>
      <c r="C1761" s="41" t="s">
        <v>118</v>
      </c>
      <c r="D1761" s="26" t="s">
        <v>36</v>
      </c>
      <c r="E1761" s="26" t="s">
        <v>3373</v>
      </c>
      <c r="F1761" s="35" t="s">
        <v>3314</v>
      </c>
      <c r="G1761" s="35" t="s">
        <v>221</v>
      </c>
      <c r="H1761" s="35" t="s">
        <v>6645</v>
      </c>
      <c r="I1761" s="17">
        <f ca="1">IFERROR(__xludf.DUMMYFUNCTION("""COMPUTED_VALUE"""),45404)</f>
        <v>45404</v>
      </c>
      <c r="J1761" s="29" t="s">
        <v>3375</v>
      </c>
      <c r="K1761" s="26" t="s">
        <v>6974</v>
      </c>
      <c r="L1761" s="30">
        <v>366283908</v>
      </c>
      <c r="M1761" s="26" t="s">
        <v>123</v>
      </c>
      <c r="N1761" s="35" t="s">
        <v>3369</v>
      </c>
      <c r="O1761" s="35"/>
      <c r="P1761" s="42" t="s">
        <v>3377</v>
      </c>
      <c r="Q1761" s="20">
        <v>16779</v>
      </c>
      <c r="R1761" s="26" t="s">
        <v>36</v>
      </c>
      <c r="S1761" s="31">
        <v>1500</v>
      </c>
      <c r="T1761" s="32">
        <v>44910</v>
      </c>
      <c r="U1761" s="31">
        <v>15279</v>
      </c>
      <c r="V1761" s="32" t="s">
        <v>3378</v>
      </c>
      <c r="W1761" s="33" t="s">
        <v>3379</v>
      </c>
      <c r="X1761" s="26">
        <v>0</v>
      </c>
      <c r="Y1761" s="22">
        <v>0</v>
      </c>
      <c r="Z1761" s="26" t="s">
        <v>118</v>
      </c>
      <c r="AA1761" s="19" t="s">
        <v>2051</v>
      </c>
      <c r="AB1761" s="26" t="s">
        <v>104</v>
      </c>
      <c r="AC1761" s="26" t="s">
        <v>53</v>
      </c>
      <c r="AD1761" s="19" t="s">
        <v>54</v>
      </c>
      <c r="AE1761" s="35" t="s">
        <v>3314</v>
      </c>
      <c r="AF1761" s="17">
        <v>45392</v>
      </c>
      <c r="AG1761" s="91"/>
      <c r="AH1761" s="92"/>
      <c r="AI1761" s="92"/>
      <c r="AJ1761" s="35"/>
      <c r="AK1761" s="35"/>
      <c r="AL1761" s="35"/>
      <c r="AM1761" s="35"/>
      <c r="AN1761" s="35"/>
      <c r="AO1761" s="35"/>
      <c r="AP1761" s="35"/>
    </row>
    <row r="1762" spans="1:42" x14ac:dyDescent="0.2">
      <c r="A1762" s="14">
        <v>45349</v>
      </c>
      <c r="B1762" s="28" t="s">
        <v>37</v>
      </c>
      <c r="C1762" s="41" t="s">
        <v>118</v>
      </c>
      <c r="D1762" s="26" t="s">
        <v>106</v>
      </c>
      <c r="E1762" s="26" t="s">
        <v>119</v>
      </c>
      <c r="F1762" s="26" t="s">
        <v>3308</v>
      </c>
      <c r="G1762" s="26" t="s">
        <v>1705</v>
      </c>
      <c r="H1762" s="26" t="s">
        <v>6965</v>
      </c>
      <c r="I1762" s="17">
        <f ca="1">IFERROR(__xludf.DUMMYFUNCTION("""COMPUTED_VALUE"""),45372)</f>
        <v>45372</v>
      </c>
      <c r="J1762" s="29" t="s">
        <v>121</v>
      </c>
      <c r="K1762" s="26" t="s">
        <v>122</v>
      </c>
      <c r="L1762" s="30">
        <v>335129217</v>
      </c>
      <c r="M1762" s="26" t="s">
        <v>123</v>
      </c>
      <c r="N1762" s="26" t="s">
        <v>124</v>
      </c>
      <c r="O1762" s="67" t="s">
        <v>4867</v>
      </c>
      <c r="P1762" s="42" t="s">
        <v>6975</v>
      </c>
      <c r="Q1762" s="20">
        <v>13968</v>
      </c>
      <c r="R1762" s="26" t="s">
        <v>36</v>
      </c>
      <c r="S1762" s="31">
        <v>1000</v>
      </c>
      <c r="T1762" s="32">
        <v>44925</v>
      </c>
      <c r="U1762" s="31">
        <v>12968</v>
      </c>
      <c r="V1762" s="32">
        <v>45108</v>
      </c>
      <c r="W1762" s="26" t="s">
        <v>127</v>
      </c>
      <c r="X1762" s="26">
        <v>0</v>
      </c>
      <c r="Y1762" s="22">
        <v>0</v>
      </c>
      <c r="Z1762" s="26" t="s">
        <v>118</v>
      </c>
      <c r="AA1762" s="19" t="s">
        <v>4541</v>
      </c>
      <c r="AB1762" s="26" t="s">
        <v>104</v>
      </c>
      <c r="AC1762" s="26" t="s">
        <v>53</v>
      </c>
      <c r="AD1762" s="19" t="s">
        <v>54</v>
      </c>
      <c r="AE1762" s="26" t="s">
        <v>3308</v>
      </c>
      <c r="AF1762" s="17">
        <v>45370</v>
      </c>
      <c r="AG1762" s="26"/>
      <c r="AH1762" s="26"/>
      <c r="AI1762" s="40"/>
      <c r="AJ1762" s="26"/>
      <c r="AK1762" s="26"/>
      <c r="AL1762" s="35"/>
      <c r="AM1762" s="35"/>
      <c r="AN1762" s="35"/>
      <c r="AO1762" s="35"/>
      <c r="AP1762" s="35"/>
    </row>
    <row r="1763" spans="1:42" x14ac:dyDescent="0.2">
      <c r="A1763" s="14">
        <v>45349</v>
      </c>
      <c r="B1763" s="28" t="s">
        <v>37</v>
      </c>
      <c r="C1763" s="41" t="s">
        <v>118</v>
      </c>
      <c r="D1763" s="26" t="s">
        <v>36</v>
      </c>
      <c r="E1763" s="26" t="s">
        <v>139</v>
      </c>
      <c r="F1763" s="26" t="s">
        <v>2388</v>
      </c>
      <c r="G1763" s="35" t="s">
        <v>221</v>
      </c>
      <c r="H1763" s="35" t="s">
        <v>6976</v>
      </c>
      <c r="I1763" s="17">
        <f ca="1">IFERROR(__xludf.DUMMYFUNCTION("""COMPUTED_VALUE"""),45489)</f>
        <v>45489</v>
      </c>
      <c r="J1763" s="29" t="s">
        <v>937</v>
      </c>
      <c r="K1763" s="26" t="s">
        <v>6977</v>
      </c>
      <c r="L1763" s="30">
        <v>389029369</v>
      </c>
      <c r="M1763" s="26" t="s">
        <v>123</v>
      </c>
      <c r="N1763" s="26" t="s">
        <v>2390</v>
      </c>
      <c r="O1763" s="26" t="s">
        <v>134</v>
      </c>
      <c r="P1763" s="42" t="s">
        <v>2391</v>
      </c>
      <c r="Q1763" s="20">
        <v>15936</v>
      </c>
      <c r="R1763" s="26" t="s">
        <v>36</v>
      </c>
      <c r="S1763" s="31">
        <v>2000</v>
      </c>
      <c r="T1763" s="32">
        <v>45116</v>
      </c>
      <c r="U1763" s="58">
        <v>13936</v>
      </c>
      <c r="V1763" s="59">
        <v>45136</v>
      </c>
      <c r="W1763" s="33" t="s">
        <v>940</v>
      </c>
      <c r="X1763" s="26">
        <v>0</v>
      </c>
      <c r="Y1763" s="22">
        <v>0</v>
      </c>
      <c r="Z1763" s="26" t="s">
        <v>118</v>
      </c>
      <c r="AA1763" s="19" t="s">
        <v>1871</v>
      </c>
      <c r="AB1763" s="26" t="s">
        <v>104</v>
      </c>
      <c r="AC1763" s="26" t="s">
        <v>53</v>
      </c>
      <c r="AD1763" s="19" t="s">
        <v>54</v>
      </c>
      <c r="AE1763" s="26" t="s">
        <v>2388</v>
      </c>
      <c r="AF1763" s="17">
        <v>45414</v>
      </c>
      <c r="AG1763" s="26"/>
      <c r="AH1763" s="26">
        <v>2</v>
      </c>
      <c r="AI1763" s="40" t="s">
        <v>147</v>
      </c>
      <c r="AJ1763" s="26"/>
      <c r="AK1763" s="26"/>
      <c r="AL1763" s="35"/>
      <c r="AM1763" s="35"/>
      <c r="AN1763" s="35"/>
      <c r="AO1763" s="35"/>
      <c r="AP1763" s="35"/>
    </row>
    <row r="1764" spans="1:42" x14ac:dyDescent="0.2">
      <c r="A1764" s="14">
        <v>45349</v>
      </c>
      <c r="B1764" s="28" t="s">
        <v>37</v>
      </c>
      <c r="C1764" s="41" t="s">
        <v>118</v>
      </c>
      <c r="D1764" s="26" t="s">
        <v>36</v>
      </c>
      <c r="E1764" s="26" t="s">
        <v>915</v>
      </c>
      <c r="F1764" s="35" t="s">
        <v>1281</v>
      </c>
      <c r="G1764" s="35" t="s">
        <v>1847</v>
      </c>
      <c r="H1764" s="35" t="s">
        <v>6859</v>
      </c>
      <c r="I1764" s="17">
        <f ca="1">IFERROR(__xludf.DUMMYFUNCTION("""COMPUTED_VALUE"""),45375)</f>
        <v>45375</v>
      </c>
      <c r="J1764" s="29" t="s">
        <v>2198</v>
      </c>
      <c r="K1764" s="26" t="s">
        <v>2199</v>
      </c>
      <c r="L1764" s="83">
        <v>336286212</v>
      </c>
      <c r="M1764" s="26" t="s">
        <v>80</v>
      </c>
      <c r="N1764" s="26" t="s">
        <v>438</v>
      </c>
      <c r="O1764" s="67" t="s">
        <v>2200</v>
      </c>
      <c r="P1764" s="35" t="s">
        <v>2201</v>
      </c>
      <c r="Q1764" s="20">
        <v>10894</v>
      </c>
      <c r="R1764" s="26" t="s">
        <v>36</v>
      </c>
      <c r="S1764" s="58">
        <v>6245</v>
      </c>
      <c r="T1764" s="32">
        <v>44865</v>
      </c>
      <c r="U1764" s="58"/>
      <c r="V1764" s="35"/>
      <c r="W1764" s="55" t="s">
        <v>2202</v>
      </c>
      <c r="X1764" s="35">
        <v>0</v>
      </c>
      <c r="Y1764" s="22">
        <v>0</v>
      </c>
      <c r="Z1764" s="35" t="s">
        <v>118</v>
      </c>
      <c r="AA1764" s="19" t="s">
        <v>1871</v>
      </c>
      <c r="AB1764" s="35"/>
      <c r="AC1764" s="26" t="s">
        <v>53</v>
      </c>
      <c r="AD1764" s="19" t="s">
        <v>54</v>
      </c>
      <c r="AE1764" s="19" t="s">
        <v>1281</v>
      </c>
      <c r="AF1764" s="17">
        <v>45370</v>
      </c>
      <c r="AG1764" s="35" t="s">
        <v>2203</v>
      </c>
      <c r="AH1764" s="36">
        <v>1</v>
      </c>
      <c r="AI1764" s="37">
        <v>3</v>
      </c>
      <c r="AJ1764" s="35"/>
      <c r="AK1764" s="35"/>
      <c r="AL1764" s="35"/>
      <c r="AM1764" s="35"/>
      <c r="AN1764" s="35"/>
      <c r="AO1764" s="35"/>
      <c r="AP1764" s="35"/>
    </row>
    <row r="1765" spans="1:42" x14ac:dyDescent="0.2">
      <c r="A1765" s="14">
        <v>45349</v>
      </c>
      <c r="B1765" s="28" t="s">
        <v>37</v>
      </c>
      <c r="C1765" s="41" t="s">
        <v>118</v>
      </c>
      <c r="D1765" s="26" t="s">
        <v>36</v>
      </c>
      <c r="E1765" s="26" t="s">
        <v>56</v>
      </c>
      <c r="F1765" s="26" t="s">
        <v>1853</v>
      </c>
      <c r="G1765" s="26" t="s">
        <v>221</v>
      </c>
      <c r="H1765" s="26" t="s">
        <v>6825</v>
      </c>
      <c r="I1765" s="17">
        <f ca="1">IFERROR(__xludf.DUMMYFUNCTION("""COMPUTED_VALUE"""),45351)</f>
        <v>45351</v>
      </c>
      <c r="J1765" s="44" t="s">
        <v>4704</v>
      </c>
      <c r="K1765" s="19" t="s">
        <v>1323</v>
      </c>
      <c r="L1765" s="30">
        <v>878775240</v>
      </c>
      <c r="M1765" s="26" t="s">
        <v>94</v>
      </c>
      <c r="N1765" s="26" t="s">
        <v>200</v>
      </c>
      <c r="O1765" s="26" t="s">
        <v>91</v>
      </c>
      <c r="P1765" s="26" t="s">
        <v>4705</v>
      </c>
      <c r="Q1765" s="20">
        <v>9317</v>
      </c>
      <c r="R1765" s="26" t="s">
        <v>36</v>
      </c>
      <c r="S1765" s="31">
        <v>9317</v>
      </c>
      <c r="T1765" s="32">
        <v>45144</v>
      </c>
      <c r="U1765" s="31"/>
      <c r="V1765" s="26"/>
      <c r="W1765" s="33" t="s">
        <v>1326</v>
      </c>
      <c r="X1765" s="26">
        <v>0</v>
      </c>
      <c r="Y1765" s="22">
        <v>0</v>
      </c>
      <c r="Z1765" s="26" t="s">
        <v>118</v>
      </c>
      <c r="AA1765" s="19" t="s">
        <v>4541</v>
      </c>
      <c r="AB1765" s="26" t="s">
        <v>104</v>
      </c>
      <c r="AC1765" s="26" t="s">
        <v>53</v>
      </c>
      <c r="AD1765" s="19" t="s">
        <v>54</v>
      </c>
      <c r="AE1765" s="26" t="s">
        <v>1853</v>
      </c>
      <c r="AF1765" s="17">
        <v>45351</v>
      </c>
      <c r="AG1765" s="26" t="s">
        <v>4092</v>
      </c>
      <c r="AH1765" s="26"/>
      <c r="AI1765" s="40"/>
      <c r="AJ1765" s="26"/>
      <c r="AK1765" s="26"/>
      <c r="AL1765" s="35"/>
      <c r="AM1765" s="35"/>
      <c r="AN1765" s="35"/>
      <c r="AO1765" s="35"/>
      <c r="AP1765" s="35"/>
    </row>
    <row r="1766" spans="1:42" x14ac:dyDescent="0.2">
      <c r="A1766" s="14">
        <v>45349</v>
      </c>
      <c r="B1766" s="28" t="s">
        <v>37</v>
      </c>
      <c r="C1766" s="41" t="s">
        <v>118</v>
      </c>
      <c r="D1766" s="26" t="s">
        <v>106</v>
      </c>
      <c r="E1766" s="26" t="s">
        <v>119</v>
      </c>
      <c r="F1766" s="26" t="s">
        <v>3308</v>
      </c>
      <c r="G1766" s="26" t="s">
        <v>1847</v>
      </c>
      <c r="H1766" s="26" t="s">
        <v>6859</v>
      </c>
      <c r="I1766" s="17">
        <f ca="1">IFERROR(__xludf.DUMMYFUNCTION("""COMPUTED_VALUE"""),45375)</f>
        <v>45375</v>
      </c>
      <c r="J1766" s="29" t="s">
        <v>121</v>
      </c>
      <c r="K1766" s="26" t="s">
        <v>122</v>
      </c>
      <c r="L1766" s="30">
        <v>335129217</v>
      </c>
      <c r="M1766" s="26" t="s">
        <v>123</v>
      </c>
      <c r="N1766" s="26" t="s">
        <v>124</v>
      </c>
      <c r="O1766" s="67" t="s">
        <v>4867</v>
      </c>
      <c r="P1766" s="42" t="s">
        <v>6975</v>
      </c>
      <c r="Q1766" s="20">
        <v>13968</v>
      </c>
      <c r="R1766" s="26" t="s">
        <v>36</v>
      </c>
      <c r="S1766" s="31">
        <v>1000</v>
      </c>
      <c r="T1766" s="32">
        <v>44925</v>
      </c>
      <c r="U1766" s="31">
        <v>12968</v>
      </c>
      <c r="V1766" s="32">
        <v>45108</v>
      </c>
      <c r="W1766" s="26" t="s">
        <v>127</v>
      </c>
      <c r="X1766" s="26">
        <v>0</v>
      </c>
      <c r="Y1766" s="22">
        <v>0</v>
      </c>
      <c r="Z1766" s="26" t="s">
        <v>118</v>
      </c>
      <c r="AA1766" s="19" t="s">
        <v>4541</v>
      </c>
      <c r="AB1766" s="26" t="s">
        <v>104</v>
      </c>
      <c r="AC1766" s="26" t="s">
        <v>53</v>
      </c>
      <c r="AD1766" s="19" t="s">
        <v>54</v>
      </c>
      <c r="AE1766" s="26" t="s">
        <v>3308</v>
      </c>
      <c r="AF1766" s="17">
        <v>45370</v>
      </c>
      <c r="AG1766" s="26"/>
      <c r="AH1766" s="26"/>
      <c r="AI1766" s="40"/>
      <c r="AJ1766" s="26"/>
      <c r="AK1766" s="26"/>
      <c r="AL1766" s="35"/>
      <c r="AM1766" s="35"/>
      <c r="AN1766" s="35"/>
      <c r="AO1766" s="35"/>
      <c r="AP1766" s="35"/>
    </row>
    <row r="1767" spans="1:42" x14ac:dyDescent="0.2">
      <c r="A1767" s="14">
        <v>45349</v>
      </c>
      <c r="B1767" s="28" t="s">
        <v>37</v>
      </c>
      <c r="C1767" s="41" t="s">
        <v>118</v>
      </c>
      <c r="D1767" s="26" t="s">
        <v>36</v>
      </c>
      <c r="E1767" s="26" t="s">
        <v>56</v>
      </c>
      <c r="F1767" s="26" t="s">
        <v>1788</v>
      </c>
      <c r="G1767" s="35" t="s">
        <v>221</v>
      </c>
      <c r="H1767" s="35" t="s">
        <v>6978</v>
      </c>
      <c r="I1767" s="17">
        <f ca="1">IFERROR(__xludf.DUMMYFUNCTION("""COMPUTED_VALUE"""),45456)</f>
        <v>45456</v>
      </c>
      <c r="J1767" s="29" t="s">
        <v>1134</v>
      </c>
      <c r="K1767" s="26" t="s">
        <v>6979</v>
      </c>
      <c r="L1767" s="30">
        <v>867843947</v>
      </c>
      <c r="M1767" s="26" t="s">
        <v>910</v>
      </c>
      <c r="N1767" s="26" t="s">
        <v>355</v>
      </c>
      <c r="O1767" s="26" t="s">
        <v>1136</v>
      </c>
      <c r="P1767" s="26" t="s">
        <v>4788</v>
      </c>
      <c r="Q1767" s="20">
        <v>9317</v>
      </c>
      <c r="R1767" s="26" t="s">
        <v>36</v>
      </c>
      <c r="S1767" s="31">
        <v>2000</v>
      </c>
      <c r="T1767" s="32" t="s">
        <v>4789</v>
      </c>
      <c r="U1767" s="31">
        <v>7317</v>
      </c>
      <c r="V1767" s="32">
        <v>45155</v>
      </c>
      <c r="W1767" s="26" t="s">
        <v>1138</v>
      </c>
      <c r="X1767" s="26">
        <v>0</v>
      </c>
      <c r="Y1767" s="22">
        <v>0</v>
      </c>
      <c r="Z1767" s="26" t="s">
        <v>118</v>
      </c>
      <c r="AA1767" s="19" t="s">
        <v>4541</v>
      </c>
      <c r="AB1767" s="26" t="s">
        <v>104</v>
      </c>
      <c r="AC1767" s="26" t="s">
        <v>53</v>
      </c>
      <c r="AD1767" s="19" t="s">
        <v>54</v>
      </c>
      <c r="AE1767" s="26" t="s">
        <v>1788</v>
      </c>
      <c r="AF1767" s="17">
        <v>45362</v>
      </c>
      <c r="AG1767" s="26"/>
      <c r="AH1767" s="26"/>
      <c r="AI1767" s="40"/>
      <c r="AJ1767" s="26"/>
      <c r="AK1767" s="26"/>
      <c r="AL1767" s="35"/>
      <c r="AM1767" s="35"/>
      <c r="AN1767" s="35"/>
      <c r="AO1767" s="35"/>
      <c r="AP1767" s="35"/>
    </row>
    <row r="1768" spans="1:42" x14ac:dyDescent="0.2">
      <c r="A1768" s="14">
        <v>45349</v>
      </c>
      <c r="B1768" s="28" t="s">
        <v>37</v>
      </c>
      <c r="C1768" s="41" t="s">
        <v>118</v>
      </c>
      <c r="D1768" s="26" t="s">
        <v>36</v>
      </c>
      <c r="E1768" s="26" t="s">
        <v>148</v>
      </c>
      <c r="F1768" s="35" t="s">
        <v>1853</v>
      </c>
      <c r="G1768" s="125" t="s">
        <v>221</v>
      </c>
      <c r="H1768" s="35" t="s">
        <v>6825</v>
      </c>
      <c r="I1768" s="17">
        <f ca="1">IFERROR(__xludf.DUMMYFUNCTION("""COMPUTED_VALUE"""),45351)</f>
        <v>45351</v>
      </c>
      <c r="J1768" s="29" t="s">
        <v>6980</v>
      </c>
      <c r="K1768" s="26" t="s">
        <v>6981</v>
      </c>
      <c r="L1768" s="30">
        <v>941963986</v>
      </c>
      <c r="M1768" s="26" t="s">
        <v>1993</v>
      </c>
      <c r="N1768" s="26" t="s">
        <v>6982</v>
      </c>
      <c r="O1768" s="26" t="s">
        <v>2359</v>
      </c>
      <c r="P1768" s="72" t="s">
        <v>6983</v>
      </c>
      <c r="Q1768" s="20">
        <v>7349</v>
      </c>
      <c r="R1768" s="26" t="s">
        <v>36</v>
      </c>
      <c r="S1768" s="31">
        <v>7349</v>
      </c>
      <c r="T1768" s="32">
        <v>44902</v>
      </c>
      <c r="U1768" s="31"/>
      <c r="V1768" s="32"/>
      <c r="W1768" s="33" t="s">
        <v>6984</v>
      </c>
      <c r="X1768" s="26">
        <v>100</v>
      </c>
      <c r="Y1768" s="22">
        <v>0</v>
      </c>
      <c r="Z1768" s="26" t="s">
        <v>118</v>
      </c>
      <c r="AA1768" s="19" t="s">
        <v>6985</v>
      </c>
      <c r="AB1768" s="26" t="s">
        <v>36</v>
      </c>
      <c r="AC1768" s="26" t="s">
        <v>53</v>
      </c>
      <c r="AD1768" s="14" t="s">
        <v>54</v>
      </c>
      <c r="AE1768" s="26" t="s">
        <v>1853</v>
      </c>
      <c r="AF1768" s="17">
        <v>45351</v>
      </c>
      <c r="AG1768" s="26" t="s">
        <v>4092</v>
      </c>
      <c r="AH1768" s="26"/>
      <c r="AI1768" s="92"/>
      <c r="AJ1768" s="35"/>
      <c r="AK1768" s="35"/>
      <c r="AL1768" s="35"/>
      <c r="AM1768" s="35"/>
      <c r="AN1768" s="26"/>
      <c r="AO1768" s="26"/>
      <c r="AP1768" s="35"/>
    </row>
    <row r="1769" spans="1:42" x14ac:dyDescent="0.2">
      <c r="A1769" s="14">
        <v>45349</v>
      </c>
      <c r="B1769" s="28" t="s">
        <v>37</v>
      </c>
      <c r="C1769" s="41" t="s">
        <v>118</v>
      </c>
      <c r="D1769" s="26" t="s">
        <v>36</v>
      </c>
      <c r="E1769" s="26" t="s">
        <v>119</v>
      </c>
      <c r="F1769" s="26" t="s">
        <v>6123</v>
      </c>
      <c r="G1769" s="26" t="s">
        <v>1847</v>
      </c>
      <c r="H1769" s="26" t="s">
        <v>6859</v>
      </c>
      <c r="I1769" s="17">
        <f ca="1">IFERROR(__xludf.DUMMYFUNCTION("""COMPUTED_VALUE"""),45375)</f>
        <v>45375</v>
      </c>
      <c r="J1769" s="29" t="s">
        <v>5258</v>
      </c>
      <c r="K1769" s="26" t="s">
        <v>5259</v>
      </c>
      <c r="L1769" s="30">
        <v>966620605</v>
      </c>
      <c r="M1769" s="26" t="s">
        <v>80</v>
      </c>
      <c r="N1769" s="26" t="s">
        <v>253</v>
      </c>
      <c r="O1769" s="26" t="s">
        <v>1492</v>
      </c>
      <c r="P1769" s="42" t="s">
        <v>6125</v>
      </c>
      <c r="Q1769" s="20">
        <v>13968</v>
      </c>
      <c r="R1769" s="26" t="s">
        <v>36</v>
      </c>
      <c r="S1769" s="31">
        <v>200</v>
      </c>
      <c r="T1769" s="32">
        <v>45202</v>
      </c>
      <c r="U1769" s="31">
        <f>3800 +9968</f>
        <v>13768</v>
      </c>
      <c r="V1769" s="26" t="s">
        <v>5260</v>
      </c>
      <c r="W1769" s="33" t="s">
        <v>5261</v>
      </c>
      <c r="X1769" s="26"/>
      <c r="Y1769" s="22">
        <v>0</v>
      </c>
      <c r="Z1769" s="26" t="s">
        <v>118</v>
      </c>
      <c r="AA1769" s="19" t="s">
        <v>5112</v>
      </c>
      <c r="AB1769" s="26" t="s">
        <v>104</v>
      </c>
      <c r="AC1769" s="26" t="s">
        <v>53</v>
      </c>
      <c r="AD1769" s="19" t="s">
        <v>138</v>
      </c>
      <c r="AE1769" s="26" t="s">
        <v>6123</v>
      </c>
      <c r="AF1769" s="17">
        <v>45370</v>
      </c>
      <c r="AG1769" s="26"/>
      <c r="AH1769" s="26"/>
      <c r="AI1769" s="40">
        <v>4</v>
      </c>
      <c r="AJ1769" s="26"/>
      <c r="AK1769" s="26"/>
      <c r="AL1769" s="35"/>
      <c r="AM1769" s="35"/>
      <c r="AN1769" s="35"/>
      <c r="AO1769" s="35"/>
      <c r="AP1769" s="35"/>
    </row>
    <row r="1770" spans="1:42" x14ac:dyDescent="0.2">
      <c r="A1770" s="14">
        <v>45349</v>
      </c>
      <c r="B1770" s="28" t="s">
        <v>37</v>
      </c>
      <c r="C1770" s="41" t="s">
        <v>118</v>
      </c>
      <c r="D1770" s="26" t="s">
        <v>36</v>
      </c>
      <c r="E1770" s="26" t="s">
        <v>915</v>
      </c>
      <c r="F1770" s="26" t="s">
        <v>1666</v>
      </c>
      <c r="G1770" s="26" t="s">
        <v>1847</v>
      </c>
      <c r="H1770" s="26" t="s">
        <v>6859</v>
      </c>
      <c r="I1770" s="17">
        <f ca="1">IFERROR(__xludf.DUMMYFUNCTION("""COMPUTED_VALUE"""),45375)</f>
        <v>45375</v>
      </c>
      <c r="J1770" s="29" t="s">
        <v>2457</v>
      </c>
      <c r="K1770" s="26" t="s">
        <v>6986</v>
      </c>
      <c r="L1770" s="30">
        <v>961014069</v>
      </c>
      <c r="M1770" s="26" t="s">
        <v>123</v>
      </c>
      <c r="N1770" s="26" t="s">
        <v>2459</v>
      </c>
      <c r="O1770" s="26" t="s">
        <v>2460</v>
      </c>
      <c r="P1770" s="42" t="s">
        <v>6987</v>
      </c>
      <c r="Q1770" s="20">
        <v>10894</v>
      </c>
      <c r="R1770" s="26" t="s">
        <v>36</v>
      </c>
      <c r="S1770" s="31">
        <v>5000</v>
      </c>
      <c r="T1770" s="32">
        <v>45138</v>
      </c>
      <c r="U1770" s="31">
        <v>5894</v>
      </c>
      <c r="V1770" s="32">
        <v>45194</v>
      </c>
      <c r="W1770" s="33" t="s">
        <v>2462</v>
      </c>
      <c r="X1770" s="26"/>
      <c r="Y1770" s="22">
        <v>0</v>
      </c>
      <c r="Z1770" s="26" t="s">
        <v>118</v>
      </c>
      <c r="AA1770" s="19" t="s">
        <v>2449</v>
      </c>
      <c r="AB1770" s="26" t="s">
        <v>104</v>
      </c>
      <c r="AC1770" s="26" t="s">
        <v>53</v>
      </c>
      <c r="AD1770" s="19" t="s">
        <v>54</v>
      </c>
      <c r="AE1770" s="26" t="s">
        <v>1666</v>
      </c>
      <c r="AF1770" s="17">
        <v>45370</v>
      </c>
      <c r="AG1770" s="26"/>
      <c r="AH1770" s="26"/>
      <c r="AI1770" s="40"/>
      <c r="AJ1770" s="26"/>
      <c r="AK1770" s="26"/>
      <c r="AL1770" s="35"/>
      <c r="AM1770" s="35"/>
      <c r="AN1770" s="35"/>
      <c r="AO1770" s="35"/>
      <c r="AP1770" s="35"/>
    </row>
    <row r="1771" spans="1:42" x14ac:dyDescent="0.2">
      <c r="A1771" s="14">
        <v>45349</v>
      </c>
      <c r="B1771" s="28" t="s">
        <v>37</v>
      </c>
      <c r="C1771" s="41" t="s">
        <v>118</v>
      </c>
      <c r="D1771" s="26" t="s">
        <v>36</v>
      </c>
      <c r="E1771" s="26" t="s">
        <v>139</v>
      </c>
      <c r="F1771" s="26" t="s">
        <v>6123</v>
      </c>
      <c r="G1771" s="26" t="s">
        <v>1847</v>
      </c>
      <c r="H1771" s="26" t="s">
        <v>6859</v>
      </c>
      <c r="I1771" s="17">
        <f ca="1">IFERROR(__xludf.DUMMYFUNCTION("""COMPUTED_VALUE"""),45375)</f>
        <v>45375</v>
      </c>
      <c r="J1771" s="29" t="s">
        <v>2480</v>
      </c>
      <c r="K1771" s="26" t="s">
        <v>4803</v>
      </c>
      <c r="L1771" s="30">
        <v>889111445</v>
      </c>
      <c r="M1771" s="26" t="s">
        <v>123</v>
      </c>
      <c r="N1771" s="26" t="s">
        <v>310</v>
      </c>
      <c r="O1771" s="26" t="s">
        <v>1226</v>
      </c>
      <c r="P1771" s="42" t="s">
        <v>6988</v>
      </c>
      <c r="Q1771" s="20">
        <v>15936</v>
      </c>
      <c r="R1771" s="26" t="s">
        <v>36</v>
      </c>
      <c r="S1771" s="31">
        <v>2000</v>
      </c>
      <c r="T1771" s="32">
        <v>45152</v>
      </c>
      <c r="U1771" s="31">
        <v>13936</v>
      </c>
      <c r="V1771" s="32">
        <v>45176</v>
      </c>
      <c r="W1771" s="33" t="s">
        <v>2483</v>
      </c>
      <c r="X1771" s="26"/>
      <c r="Y1771" s="22">
        <v>0</v>
      </c>
      <c r="Z1771" s="26" t="s">
        <v>118</v>
      </c>
      <c r="AA1771" s="19" t="s">
        <v>4541</v>
      </c>
      <c r="AB1771" s="26" t="s">
        <v>104</v>
      </c>
      <c r="AC1771" s="26" t="s">
        <v>53</v>
      </c>
      <c r="AD1771" s="19" t="s">
        <v>54</v>
      </c>
      <c r="AE1771" s="26" t="s">
        <v>6123</v>
      </c>
      <c r="AF1771" s="17">
        <v>45370</v>
      </c>
      <c r="AG1771" s="26"/>
      <c r="AH1771" s="26"/>
      <c r="AI1771" s="40"/>
      <c r="AJ1771" s="26"/>
      <c r="AK1771" s="26"/>
      <c r="AL1771" s="35"/>
      <c r="AM1771" s="35"/>
      <c r="AN1771" s="35"/>
      <c r="AO1771" s="35"/>
      <c r="AP1771" s="35"/>
    </row>
    <row r="1772" spans="1:42" x14ac:dyDescent="0.2">
      <c r="A1772" s="14">
        <v>45349</v>
      </c>
      <c r="B1772" s="28" t="s">
        <v>37</v>
      </c>
      <c r="C1772" s="41" t="s">
        <v>118</v>
      </c>
      <c r="D1772" s="26" t="s">
        <v>36</v>
      </c>
      <c r="E1772" s="26" t="s">
        <v>119</v>
      </c>
      <c r="F1772" s="26" t="s">
        <v>2121</v>
      </c>
      <c r="G1772" s="26" t="s">
        <v>1705</v>
      </c>
      <c r="H1772" s="26" t="s">
        <v>6989</v>
      </c>
      <c r="I1772" s="17">
        <f ca="1">IFERROR(__xludf.DUMMYFUNCTION("""COMPUTED_VALUE"""),45622)</f>
        <v>45622</v>
      </c>
      <c r="J1772" s="29" t="s">
        <v>4899</v>
      </c>
      <c r="K1772" s="26" t="s">
        <v>6990</v>
      </c>
      <c r="L1772" s="30">
        <v>869510201</v>
      </c>
      <c r="M1772" s="26" t="s">
        <v>112</v>
      </c>
      <c r="N1772" s="26" t="s">
        <v>379</v>
      </c>
      <c r="O1772" s="26" t="s">
        <v>4901</v>
      </c>
      <c r="P1772" s="26" t="s">
        <v>4902</v>
      </c>
      <c r="Q1772" s="20">
        <v>13968</v>
      </c>
      <c r="R1772" s="26" t="s">
        <v>36</v>
      </c>
      <c r="S1772" s="31">
        <v>4000</v>
      </c>
      <c r="T1772" s="32">
        <v>45116</v>
      </c>
      <c r="U1772" s="31">
        <v>9968</v>
      </c>
      <c r="V1772" s="32" t="s">
        <v>929</v>
      </c>
      <c r="W1772" s="33" t="s">
        <v>930</v>
      </c>
      <c r="X1772" s="26"/>
      <c r="Y1772" s="22">
        <v>0</v>
      </c>
      <c r="Z1772" s="26" t="s">
        <v>118</v>
      </c>
      <c r="AA1772" s="19" t="s">
        <v>4541</v>
      </c>
      <c r="AB1772" s="26" t="s">
        <v>104</v>
      </c>
      <c r="AC1772" s="26" t="s">
        <v>53</v>
      </c>
      <c r="AD1772" s="19" t="s">
        <v>54</v>
      </c>
      <c r="AE1772" s="26" t="s">
        <v>2121</v>
      </c>
      <c r="AF1772" s="17">
        <v>45370</v>
      </c>
      <c r="AG1772" s="26"/>
      <c r="AH1772" s="26"/>
      <c r="AI1772" s="40"/>
      <c r="AJ1772" s="26"/>
      <c r="AK1772" s="26"/>
      <c r="AL1772" s="35"/>
      <c r="AM1772" s="35"/>
      <c r="AN1772" s="35"/>
      <c r="AO1772" s="35"/>
      <c r="AP1772" s="35"/>
    </row>
    <row r="1773" spans="1:42" x14ac:dyDescent="0.2">
      <c r="A1773" s="14">
        <v>45350</v>
      </c>
      <c r="B1773" s="28" t="s">
        <v>37</v>
      </c>
      <c r="C1773" s="41" t="s">
        <v>118</v>
      </c>
      <c r="D1773" s="26" t="s">
        <v>36</v>
      </c>
      <c r="E1773" s="26" t="s">
        <v>148</v>
      </c>
      <c r="F1773" s="26" t="s">
        <v>324</v>
      </c>
      <c r="G1773" s="35" t="s">
        <v>221</v>
      </c>
      <c r="H1773" s="35" t="s">
        <v>5093</v>
      </c>
      <c r="I1773" s="17">
        <f ca="1">IFERROR(__xludf.DUMMYFUNCTION("""COMPUTED_VALUE"""),45348)</f>
        <v>45348</v>
      </c>
      <c r="J1773" s="29" t="s">
        <v>991</v>
      </c>
      <c r="K1773" s="26" t="s">
        <v>6991</v>
      </c>
      <c r="L1773" s="30">
        <v>379032845</v>
      </c>
      <c r="M1773" s="26" t="s">
        <v>80</v>
      </c>
      <c r="N1773" s="26" t="s">
        <v>466</v>
      </c>
      <c r="O1773" s="26" t="s">
        <v>993</v>
      </c>
      <c r="P1773" s="42" t="s">
        <v>6992</v>
      </c>
      <c r="Q1773" s="20">
        <v>7349</v>
      </c>
      <c r="R1773" s="26" t="s">
        <v>36</v>
      </c>
      <c r="S1773" s="31">
        <v>4000</v>
      </c>
      <c r="T1773" s="32">
        <v>45119</v>
      </c>
      <c r="U1773" s="31">
        <v>3349</v>
      </c>
      <c r="V1773" s="32">
        <v>45164</v>
      </c>
      <c r="W1773" s="33" t="s">
        <v>995</v>
      </c>
      <c r="X1773" s="26">
        <v>0</v>
      </c>
      <c r="Y1773" s="22">
        <v>0</v>
      </c>
      <c r="Z1773" s="26" t="s">
        <v>118</v>
      </c>
      <c r="AA1773" s="19" t="s">
        <v>901</v>
      </c>
      <c r="AB1773" s="26" t="s">
        <v>104</v>
      </c>
      <c r="AC1773" s="26" t="s">
        <v>53</v>
      </c>
      <c r="AD1773" s="19" t="s">
        <v>54</v>
      </c>
      <c r="AE1773" s="26" t="s">
        <v>324</v>
      </c>
      <c r="AF1773" s="17">
        <v>45350</v>
      </c>
      <c r="AG1773" s="26"/>
      <c r="AH1773" s="26">
        <v>1</v>
      </c>
      <c r="AI1773" s="40">
        <v>2</v>
      </c>
      <c r="AJ1773" s="26"/>
      <c r="AK1773" s="26"/>
      <c r="AL1773" s="35"/>
      <c r="AM1773" s="35"/>
      <c r="AN1773" s="35"/>
      <c r="AO1773" s="35"/>
      <c r="AP1773" s="35"/>
    </row>
    <row r="1774" spans="1:42" x14ac:dyDescent="0.2">
      <c r="A1774" s="14">
        <v>45350</v>
      </c>
      <c r="B1774" s="28" t="s">
        <v>37</v>
      </c>
      <c r="C1774" s="41" t="s">
        <v>118</v>
      </c>
      <c r="D1774" s="26" t="s">
        <v>36</v>
      </c>
      <c r="E1774" s="26" t="s">
        <v>139</v>
      </c>
      <c r="F1774" s="26" t="s">
        <v>2424</v>
      </c>
      <c r="G1774" s="35" t="s">
        <v>221</v>
      </c>
      <c r="H1774" s="35" t="s">
        <v>6993</v>
      </c>
      <c r="I1774" s="17">
        <f ca="1">IFERROR(__xludf.DUMMYFUNCTION("""COMPUTED_VALUE"""),45366)</f>
        <v>45366</v>
      </c>
      <c r="J1774" s="29" t="s">
        <v>1277</v>
      </c>
      <c r="K1774" s="26" t="s">
        <v>4728</v>
      </c>
      <c r="L1774" s="30">
        <v>916927480</v>
      </c>
      <c r="M1774" s="26" t="s">
        <v>123</v>
      </c>
      <c r="N1774" s="26" t="s">
        <v>310</v>
      </c>
      <c r="O1774" s="26" t="s">
        <v>91</v>
      </c>
      <c r="P1774" s="42" t="s">
        <v>6994</v>
      </c>
      <c r="Q1774" s="20">
        <v>15936</v>
      </c>
      <c r="R1774" s="26" t="s">
        <v>36</v>
      </c>
      <c r="S1774" s="31">
        <v>1968</v>
      </c>
      <c r="T1774" s="32">
        <v>45142</v>
      </c>
      <c r="U1774" s="31">
        <v>13968</v>
      </c>
      <c r="V1774" s="32">
        <v>45165</v>
      </c>
      <c r="W1774" s="33" t="s">
        <v>1280</v>
      </c>
      <c r="X1774" s="26">
        <v>0</v>
      </c>
      <c r="Y1774" s="22">
        <v>0</v>
      </c>
      <c r="Z1774" s="26" t="s">
        <v>118</v>
      </c>
      <c r="AA1774" s="19" t="s">
        <v>4541</v>
      </c>
      <c r="AB1774" s="26" t="s">
        <v>104</v>
      </c>
      <c r="AC1774" s="26" t="s">
        <v>53</v>
      </c>
      <c r="AD1774" s="19" t="s">
        <v>54</v>
      </c>
      <c r="AE1774" s="26" t="s">
        <v>3295</v>
      </c>
      <c r="AF1774" s="17">
        <v>45358</v>
      </c>
      <c r="AG1774" s="26"/>
      <c r="AH1774" s="26"/>
      <c r="AI1774" s="40"/>
      <c r="AJ1774" s="26"/>
      <c r="AK1774" s="26"/>
      <c r="AL1774" s="35"/>
      <c r="AM1774" s="35"/>
      <c r="AN1774" s="35"/>
      <c r="AO1774" s="35"/>
      <c r="AP1774" s="35"/>
    </row>
    <row r="1775" spans="1:42" x14ac:dyDescent="0.2">
      <c r="A1775" s="14">
        <v>45352</v>
      </c>
      <c r="B1775" s="28" t="s">
        <v>37</v>
      </c>
      <c r="C1775" s="41" t="s">
        <v>118</v>
      </c>
      <c r="D1775" s="26" t="s">
        <v>36</v>
      </c>
      <c r="E1775" s="26" t="s">
        <v>139</v>
      </c>
      <c r="F1775" s="26" t="s">
        <v>4362</v>
      </c>
      <c r="G1775" s="26" t="s">
        <v>221</v>
      </c>
      <c r="H1775" s="26" t="s">
        <v>4469</v>
      </c>
      <c r="I1775" s="17">
        <f ca="1">IFERROR(__xludf.DUMMYFUNCTION("""COMPUTED_VALUE"""),45358)</f>
        <v>45358</v>
      </c>
      <c r="J1775" s="29" t="s">
        <v>5167</v>
      </c>
      <c r="K1775" s="26" t="s">
        <v>5168</v>
      </c>
      <c r="L1775" s="30">
        <v>394526833</v>
      </c>
      <c r="M1775" s="26" t="s">
        <v>80</v>
      </c>
      <c r="N1775" s="26" t="s">
        <v>186</v>
      </c>
      <c r="O1775" s="26" t="s">
        <v>5169</v>
      </c>
      <c r="P1775" s="42" t="s">
        <v>6995</v>
      </c>
      <c r="Q1775" s="20">
        <v>15936</v>
      </c>
      <c r="R1775" s="26" t="s">
        <v>36</v>
      </c>
      <c r="S1775" s="31">
        <v>4000</v>
      </c>
      <c r="T1775" s="32">
        <v>45196</v>
      </c>
      <c r="U1775" s="31">
        <v>11936</v>
      </c>
      <c r="V1775" s="32">
        <v>45235</v>
      </c>
      <c r="W1775" s="33" t="s">
        <v>5170</v>
      </c>
      <c r="X1775" s="26"/>
      <c r="Y1775" s="22">
        <v>0</v>
      </c>
      <c r="Z1775" s="26" t="s">
        <v>118</v>
      </c>
      <c r="AA1775" s="19" t="s">
        <v>5785</v>
      </c>
      <c r="AB1775" s="26" t="s">
        <v>104</v>
      </c>
      <c r="AC1775" s="26" t="s">
        <v>53</v>
      </c>
      <c r="AD1775" s="19" t="s">
        <v>138</v>
      </c>
      <c r="AE1775" s="26" t="s">
        <v>4362</v>
      </c>
      <c r="AF1775" s="17">
        <v>45358</v>
      </c>
      <c r="AG1775" s="26" t="s">
        <v>3399</v>
      </c>
      <c r="AH1775" s="26"/>
      <c r="AI1775" s="40" t="s">
        <v>147</v>
      </c>
      <c r="AJ1775" s="26"/>
      <c r="AK1775" s="26"/>
      <c r="AL1775" s="35"/>
      <c r="AM1775" s="35"/>
      <c r="AN1775" s="35"/>
      <c r="AO1775" s="35"/>
      <c r="AP1775" s="35"/>
    </row>
    <row r="1776" spans="1:42" x14ac:dyDescent="0.2">
      <c r="A1776" s="14">
        <v>45352</v>
      </c>
      <c r="B1776" s="28" t="s">
        <v>37</v>
      </c>
      <c r="C1776" s="41" t="s">
        <v>118</v>
      </c>
      <c r="D1776" s="26" t="s">
        <v>36</v>
      </c>
      <c r="E1776" s="26" t="s">
        <v>148</v>
      </c>
      <c r="F1776" s="26" t="s">
        <v>4362</v>
      </c>
      <c r="G1776" s="26" t="s">
        <v>221</v>
      </c>
      <c r="H1776" s="26" t="s">
        <v>4469</v>
      </c>
      <c r="I1776" s="17">
        <f ca="1">IFERROR(__xludf.DUMMYFUNCTION("""COMPUTED_VALUE"""),45358)</f>
        <v>45358</v>
      </c>
      <c r="J1776" s="29" t="s">
        <v>5680</v>
      </c>
      <c r="K1776" s="26" t="s">
        <v>5681</v>
      </c>
      <c r="L1776" s="30">
        <v>865245112</v>
      </c>
      <c r="M1776" s="26" t="s">
        <v>292</v>
      </c>
      <c r="N1776" s="26" t="s">
        <v>438</v>
      </c>
      <c r="O1776" s="67" t="s">
        <v>5682</v>
      </c>
      <c r="P1776" s="42" t="s">
        <v>6996</v>
      </c>
      <c r="Q1776" s="20">
        <v>7349</v>
      </c>
      <c r="R1776" s="26" t="s">
        <v>36</v>
      </c>
      <c r="S1776" s="31">
        <v>7349</v>
      </c>
      <c r="T1776" s="32">
        <v>45250</v>
      </c>
      <c r="U1776" s="31"/>
      <c r="V1776" s="32"/>
      <c r="W1776" s="33" t="s">
        <v>5684</v>
      </c>
      <c r="X1776" s="26"/>
      <c r="Y1776" s="22">
        <v>0</v>
      </c>
      <c r="Z1776" s="26" t="s">
        <v>118</v>
      </c>
      <c r="AA1776" s="19" t="s">
        <v>5112</v>
      </c>
      <c r="AB1776" s="26" t="s">
        <v>104</v>
      </c>
      <c r="AC1776" s="26" t="s">
        <v>53</v>
      </c>
      <c r="AD1776" s="19" t="s">
        <v>138</v>
      </c>
      <c r="AE1776" s="26" t="s">
        <v>4362</v>
      </c>
      <c r="AF1776" s="17">
        <v>45358</v>
      </c>
      <c r="AG1776" s="26" t="s">
        <v>3399</v>
      </c>
      <c r="AH1776" s="26"/>
      <c r="AI1776" s="40">
        <v>2</v>
      </c>
      <c r="AJ1776" s="26"/>
      <c r="AK1776" s="26"/>
      <c r="AL1776" s="35"/>
      <c r="AM1776" s="35"/>
      <c r="AN1776" s="35"/>
      <c r="AO1776" s="35"/>
      <c r="AP1776" s="35"/>
    </row>
    <row r="1777" spans="1:42" x14ac:dyDescent="0.2">
      <c r="A1777" s="14">
        <v>45352</v>
      </c>
      <c r="B1777" s="28" t="s">
        <v>37</v>
      </c>
      <c r="C1777" s="41" t="s">
        <v>118</v>
      </c>
      <c r="D1777" s="26" t="s">
        <v>36</v>
      </c>
      <c r="E1777" s="26" t="s">
        <v>139</v>
      </c>
      <c r="F1777" s="26" t="s">
        <v>4362</v>
      </c>
      <c r="G1777" s="26" t="s">
        <v>221</v>
      </c>
      <c r="H1777" s="26" t="s">
        <v>4469</v>
      </c>
      <c r="I1777" s="17">
        <f ca="1">IFERROR(__xludf.DUMMYFUNCTION("""COMPUTED_VALUE"""),45358)</f>
        <v>45358</v>
      </c>
      <c r="J1777" s="29" t="s">
        <v>3233</v>
      </c>
      <c r="K1777" s="26" t="s">
        <v>5914</v>
      </c>
      <c r="L1777" s="30">
        <v>857005487</v>
      </c>
      <c r="M1777" s="26" t="s">
        <v>112</v>
      </c>
      <c r="N1777" s="26" t="s">
        <v>3330</v>
      </c>
      <c r="O1777" s="26" t="s">
        <v>3235</v>
      </c>
      <c r="P1777" s="42" t="s">
        <v>6997</v>
      </c>
      <c r="Q1777" s="20">
        <v>15936</v>
      </c>
      <c r="R1777" s="26" t="s">
        <v>70</v>
      </c>
      <c r="S1777" s="31">
        <v>15836</v>
      </c>
      <c r="T1777" s="32">
        <v>45198</v>
      </c>
      <c r="U1777" s="31"/>
      <c r="V1777" s="32"/>
      <c r="W1777" s="33" t="s">
        <v>3237</v>
      </c>
      <c r="X1777" s="26"/>
      <c r="Y1777" s="22">
        <v>100</v>
      </c>
      <c r="Z1777" s="26" t="s">
        <v>118</v>
      </c>
      <c r="AA1777" s="19" t="s">
        <v>5785</v>
      </c>
      <c r="AB1777" s="26" t="s">
        <v>104</v>
      </c>
      <c r="AC1777" s="26" t="s">
        <v>53</v>
      </c>
      <c r="AD1777" s="19" t="s">
        <v>138</v>
      </c>
      <c r="AE1777" s="26" t="s">
        <v>4362</v>
      </c>
      <c r="AF1777" s="17">
        <v>45358</v>
      </c>
      <c r="AG1777" s="26" t="s">
        <v>3399</v>
      </c>
      <c r="AH1777" s="26"/>
      <c r="AI1777" s="40" t="s">
        <v>147</v>
      </c>
      <c r="AJ1777" s="26"/>
      <c r="AK1777" s="26"/>
      <c r="AL1777" s="35"/>
      <c r="AM1777" s="35"/>
      <c r="AN1777" s="35"/>
      <c r="AO1777" s="35"/>
      <c r="AP1777" s="35"/>
    </row>
    <row r="1778" spans="1:42" x14ac:dyDescent="0.2">
      <c r="A1778" s="14">
        <v>45352</v>
      </c>
      <c r="B1778" s="28" t="s">
        <v>37</v>
      </c>
      <c r="C1778" s="41" t="s">
        <v>118</v>
      </c>
      <c r="D1778" s="26" t="s">
        <v>36</v>
      </c>
      <c r="E1778" s="26" t="s">
        <v>139</v>
      </c>
      <c r="F1778" s="26" t="s">
        <v>4362</v>
      </c>
      <c r="G1778" s="26" t="s">
        <v>221</v>
      </c>
      <c r="H1778" s="26" t="s">
        <v>4469</v>
      </c>
      <c r="I1778" s="17">
        <f ca="1">IFERROR(__xludf.DUMMYFUNCTION("""COMPUTED_VALUE"""),45358)</f>
        <v>45358</v>
      </c>
      <c r="J1778" s="29" t="s">
        <v>3911</v>
      </c>
      <c r="K1778" s="26" t="s">
        <v>3912</v>
      </c>
      <c r="L1778" s="30">
        <v>378138205</v>
      </c>
      <c r="M1778" s="26" t="s">
        <v>910</v>
      </c>
      <c r="N1778" s="26" t="s">
        <v>3525</v>
      </c>
      <c r="O1778" s="26" t="s">
        <v>134</v>
      </c>
      <c r="P1778" s="42" t="s">
        <v>6998</v>
      </c>
      <c r="Q1778" s="20">
        <v>15936</v>
      </c>
      <c r="R1778" s="26" t="s">
        <v>36</v>
      </c>
      <c r="S1778" s="31">
        <v>2000</v>
      </c>
      <c r="T1778" s="32">
        <v>45197</v>
      </c>
      <c r="U1778" s="31">
        <v>13936</v>
      </c>
      <c r="V1778" s="32">
        <v>45226</v>
      </c>
      <c r="W1778" s="33" t="s">
        <v>3914</v>
      </c>
      <c r="X1778" s="26"/>
      <c r="Y1778" s="22">
        <v>0</v>
      </c>
      <c r="Z1778" s="26" t="s">
        <v>118</v>
      </c>
      <c r="AA1778" s="19" t="s">
        <v>5785</v>
      </c>
      <c r="AB1778" s="26" t="s">
        <v>104</v>
      </c>
      <c r="AC1778" s="26" t="s">
        <v>53</v>
      </c>
      <c r="AD1778" s="19" t="s">
        <v>138</v>
      </c>
      <c r="AE1778" s="26" t="s">
        <v>4362</v>
      </c>
      <c r="AF1778" s="17">
        <v>45358</v>
      </c>
      <c r="AG1778" s="26" t="s">
        <v>3399</v>
      </c>
      <c r="AH1778" s="26"/>
      <c r="AI1778" s="40" t="s">
        <v>147</v>
      </c>
      <c r="AJ1778" s="26"/>
      <c r="AK1778" s="26"/>
      <c r="AL1778" s="35"/>
      <c r="AM1778" s="35"/>
      <c r="AN1778" s="35"/>
      <c r="AO1778" s="35"/>
      <c r="AP1778" s="35"/>
    </row>
    <row r="1779" spans="1:42" x14ac:dyDescent="0.2">
      <c r="A1779" s="14">
        <v>45352</v>
      </c>
      <c r="B1779" s="28" t="s">
        <v>37</v>
      </c>
      <c r="C1779" s="41" t="s">
        <v>118</v>
      </c>
      <c r="D1779" s="26" t="s">
        <v>36</v>
      </c>
      <c r="E1779" s="26" t="s">
        <v>139</v>
      </c>
      <c r="F1779" s="26" t="s">
        <v>4362</v>
      </c>
      <c r="G1779" s="26" t="s">
        <v>221</v>
      </c>
      <c r="H1779" s="26" t="s">
        <v>4469</v>
      </c>
      <c r="I1779" s="17">
        <f ca="1">IFERROR(__xludf.DUMMYFUNCTION("""COMPUTED_VALUE"""),45358)</f>
        <v>45358</v>
      </c>
      <c r="J1779" s="29" t="s">
        <v>3113</v>
      </c>
      <c r="K1779" s="26" t="s">
        <v>3114</v>
      </c>
      <c r="L1779" s="30">
        <v>988898521</v>
      </c>
      <c r="M1779" s="26" t="s">
        <v>112</v>
      </c>
      <c r="N1779" s="26" t="s">
        <v>3330</v>
      </c>
      <c r="O1779" s="26" t="s">
        <v>3116</v>
      </c>
      <c r="P1779" s="42" t="s">
        <v>6999</v>
      </c>
      <c r="Q1779" s="20">
        <v>15936</v>
      </c>
      <c r="R1779" s="26" t="s">
        <v>70</v>
      </c>
      <c r="S1779" s="31">
        <v>15836</v>
      </c>
      <c r="T1779" s="32">
        <v>45195</v>
      </c>
      <c r="U1779" s="31"/>
      <c r="V1779" s="32"/>
      <c r="W1779" s="33" t="s">
        <v>3118</v>
      </c>
      <c r="X1779" s="26"/>
      <c r="Y1779" s="22">
        <v>100</v>
      </c>
      <c r="Z1779" s="26" t="s">
        <v>118</v>
      </c>
      <c r="AA1779" s="19" t="s">
        <v>5785</v>
      </c>
      <c r="AB1779" s="26" t="s">
        <v>104</v>
      </c>
      <c r="AC1779" s="26" t="s">
        <v>53</v>
      </c>
      <c r="AD1779" s="19" t="s">
        <v>138</v>
      </c>
      <c r="AE1779" s="26" t="s">
        <v>4362</v>
      </c>
      <c r="AF1779" s="17">
        <v>45358</v>
      </c>
      <c r="AG1779" s="26" t="s">
        <v>3399</v>
      </c>
      <c r="AH1779" s="26"/>
      <c r="AI1779" s="40" t="s">
        <v>147</v>
      </c>
      <c r="AJ1779" s="26"/>
      <c r="AK1779" s="26"/>
      <c r="AL1779" s="35"/>
      <c r="AM1779" s="35"/>
      <c r="AN1779" s="35"/>
      <c r="AO1779" s="35"/>
      <c r="AP1779" s="35"/>
    </row>
    <row r="1780" spans="1:42" x14ac:dyDescent="0.2">
      <c r="A1780" s="14">
        <v>45352</v>
      </c>
      <c r="B1780" s="28" t="s">
        <v>37</v>
      </c>
      <c r="C1780" s="41" t="s">
        <v>118</v>
      </c>
      <c r="D1780" s="26" t="s">
        <v>36</v>
      </c>
      <c r="E1780" s="26" t="s">
        <v>139</v>
      </c>
      <c r="F1780" s="26" t="s">
        <v>3238</v>
      </c>
      <c r="G1780" s="26" t="s">
        <v>221</v>
      </c>
      <c r="H1780" s="26" t="s">
        <v>4469</v>
      </c>
      <c r="I1780" s="17">
        <f ca="1">IFERROR(__xludf.DUMMYFUNCTION("""COMPUTED_VALUE"""),45358)</f>
        <v>45358</v>
      </c>
      <c r="J1780" s="29" t="s">
        <v>782</v>
      </c>
      <c r="K1780" s="26" t="s">
        <v>4106</v>
      </c>
      <c r="L1780" s="30">
        <v>372995798</v>
      </c>
      <c r="M1780" s="26" t="s">
        <v>112</v>
      </c>
      <c r="N1780" s="26" t="s">
        <v>3330</v>
      </c>
      <c r="O1780" s="26" t="s">
        <v>785</v>
      </c>
      <c r="P1780" s="42" t="s">
        <v>7000</v>
      </c>
      <c r="Q1780" s="20">
        <v>15936</v>
      </c>
      <c r="R1780" s="26" t="s">
        <v>36</v>
      </c>
      <c r="S1780" s="31">
        <v>15936</v>
      </c>
      <c r="T1780" s="32">
        <v>45135</v>
      </c>
      <c r="U1780" s="31"/>
      <c r="V1780" s="26"/>
      <c r="W1780" s="33" t="s">
        <v>4769</v>
      </c>
      <c r="X1780" s="26"/>
      <c r="Y1780" s="22">
        <v>0</v>
      </c>
      <c r="Z1780" s="26" t="s">
        <v>118</v>
      </c>
      <c r="AA1780" s="19" t="s">
        <v>4541</v>
      </c>
      <c r="AB1780" s="26" t="s">
        <v>104</v>
      </c>
      <c r="AC1780" s="26" t="s">
        <v>53</v>
      </c>
      <c r="AD1780" s="19" t="s">
        <v>138</v>
      </c>
      <c r="AE1780" s="26" t="s">
        <v>3238</v>
      </c>
      <c r="AF1780" s="17">
        <v>45358</v>
      </c>
      <c r="AG1780" s="26" t="s">
        <v>1631</v>
      </c>
      <c r="AH1780" s="26"/>
      <c r="AI1780" s="40"/>
      <c r="AJ1780" s="26"/>
      <c r="AK1780" s="26"/>
      <c r="AL1780" s="35"/>
      <c r="AM1780" s="35"/>
      <c r="AN1780" s="35"/>
      <c r="AO1780" s="35"/>
      <c r="AP1780" s="35"/>
    </row>
    <row r="1781" spans="1:42" x14ac:dyDescent="0.2">
      <c r="A1781" s="14">
        <v>45352</v>
      </c>
      <c r="B1781" s="28" t="s">
        <v>37</v>
      </c>
      <c r="C1781" s="41" t="s">
        <v>118</v>
      </c>
      <c r="D1781" s="26" t="s">
        <v>36</v>
      </c>
      <c r="E1781" s="26" t="s">
        <v>139</v>
      </c>
      <c r="F1781" s="26" t="s">
        <v>4362</v>
      </c>
      <c r="G1781" s="26" t="s">
        <v>221</v>
      </c>
      <c r="H1781" s="26" t="s">
        <v>4469</v>
      </c>
      <c r="I1781" s="17">
        <f ca="1">IFERROR(__xludf.DUMMYFUNCTION("""COMPUTED_VALUE"""),45358)</f>
        <v>45358</v>
      </c>
      <c r="J1781" s="29" t="s">
        <v>3830</v>
      </c>
      <c r="K1781" s="26" t="s">
        <v>3831</v>
      </c>
      <c r="L1781" s="30">
        <v>936643943</v>
      </c>
      <c r="M1781" s="26" t="s">
        <v>80</v>
      </c>
      <c r="N1781" s="26" t="s">
        <v>186</v>
      </c>
      <c r="O1781" s="26" t="s">
        <v>3832</v>
      </c>
      <c r="P1781" s="42" t="s">
        <v>7001</v>
      </c>
      <c r="Q1781" s="20">
        <v>15936</v>
      </c>
      <c r="R1781" s="26" t="s">
        <v>3825</v>
      </c>
      <c r="S1781" s="31">
        <v>2000</v>
      </c>
      <c r="T1781" s="32">
        <v>45193</v>
      </c>
      <c r="U1781" s="31">
        <v>13736</v>
      </c>
      <c r="V1781" s="32">
        <v>45222</v>
      </c>
      <c r="W1781" s="33" t="s">
        <v>3833</v>
      </c>
      <c r="X1781" s="26"/>
      <c r="Y1781" s="22">
        <v>200</v>
      </c>
      <c r="Z1781" s="26" t="s">
        <v>118</v>
      </c>
      <c r="AA1781" s="19" t="s">
        <v>5785</v>
      </c>
      <c r="AB1781" s="26" t="s">
        <v>104</v>
      </c>
      <c r="AC1781" s="26" t="s">
        <v>53</v>
      </c>
      <c r="AD1781" s="19" t="s">
        <v>138</v>
      </c>
      <c r="AE1781" s="26" t="s">
        <v>4362</v>
      </c>
      <c r="AF1781" s="17">
        <v>45358</v>
      </c>
      <c r="AG1781" s="26" t="s">
        <v>3399</v>
      </c>
      <c r="AH1781" s="26"/>
      <c r="AI1781" s="40" t="s">
        <v>147</v>
      </c>
      <c r="AJ1781" s="26"/>
      <c r="AK1781" s="26"/>
      <c r="AL1781" s="35"/>
      <c r="AM1781" s="35"/>
      <c r="AN1781" s="35"/>
      <c r="AO1781" s="35"/>
      <c r="AP1781" s="35"/>
    </row>
    <row r="1782" spans="1:42" x14ac:dyDescent="0.2">
      <c r="A1782" s="14">
        <v>45352</v>
      </c>
      <c r="B1782" s="28" t="s">
        <v>37</v>
      </c>
      <c r="C1782" s="41" t="s">
        <v>118</v>
      </c>
      <c r="D1782" s="26" t="s">
        <v>36</v>
      </c>
      <c r="E1782" s="26" t="s">
        <v>139</v>
      </c>
      <c r="F1782" s="26" t="s">
        <v>4362</v>
      </c>
      <c r="G1782" s="26" t="s">
        <v>221</v>
      </c>
      <c r="H1782" s="26" t="s">
        <v>4469</v>
      </c>
      <c r="I1782" s="17">
        <f ca="1">IFERROR(__xludf.DUMMYFUNCTION("""COMPUTED_VALUE"""),45358)</f>
        <v>45358</v>
      </c>
      <c r="J1782" s="29" t="s">
        <v>3834</v>
      </c>
      <c r="K1782" s="26" t="s">
        <v>3835</v>
      </c>
      <c r="L1782" s="30">
        <v>777930784</v>
      </c>
      <c r="M1782" s="26" t="s">
        <v>80</v>
      </c>
      <c r="N1782" s="26" t="s">
        <v>186</v>
      </c>
      <c r="O1782" s="26" t="s">
        <v>3836</v>
      </c>
      <c r="P1782" s="42" t="s">
        <v>7002</v>
      </c>
      <c r="Q1782" s="20">
        <v>15936</v>
      </c>
      <c r="R1782" s="26" t="s">
        <v>3825</v>
      </c>
      <c r="S1782" s="31">
        <v>2000</v>
      </c>
      <c r="T1782" s="32">
        <v>45193</v>
      </c>
      <c r="U1782" s="31">
        <v>13736</v>
      </c>
      <c r="V1782" s="32">
        <v>45218</v>
      </c>
      <c r="W1782" s="33" t="s">
        <v>3837</v>
      </c>
      <c r="X1782" s="26"/>
      <c r="Y1782" s="22">
        <v>200</v>
      </c>
      <c r="Z1782" s="26" t="s">
        <v>118</v>
      </c>
      <c r="AA1782" s="19" t="s">
        <v>5785</v>
      </c>
      <c r="AB1782" s="26" t="s">
        <v>104</v>
      </c>
      <c r="AC1782" s="26" t="s">
        <v>53</v>
      </c>
      <c r="AD1782" s="19" t="s">
        <v>138</v>
      </c>
      <c r="AE1782" s="26" t="s">
        <v>4362</v>
      </c>
      <c r="AF1782" s="17">
        <v>45358</v>
      </c>
      <c r="AG1782" s="26" t="s">
        <v>3399</v>
      </c>
      <c r="AH1782" s="26"/>
      <c r="AI1782" s="40" t="s">
        <v>147</v>
      </c>
      <c r="AJ1782" s="26"/>
      <c r="AK1782" s="26"/>
      <c r="AL1782" s="35"/>
      <c r="AM1782" s="35"/>
      <c r="AN1782" s="35"/>
      <c r="AO1782" s="35"/>
      <c r="AP1782" s="35"/>
    </row>
    <row r="1783" spans="1:42" x14ac:dyDescent="0.2">
      <c r="A1783" s="14">
        <v>45352</v>
      </c>
      <c r="B1783" s="28" t="s">
        <v>37</v>
      </c>
      <c r="C1783" s="41" t="s">
        <v>118</v>
      </c>
      <c r="D1783" s="26" t="s">
        <v>36</v>
      </c>
      <c r="E1783" s="26" t="s">
        <v>139</v>
      </c>
      <c r="F1783" s="26" t="s">
        <v>4362</v>
      </c>
      <c r="G1783" s="26" t="s">
        <v>221</v>
      </c>
      <c r="H1783" s="26" t="s">
        <v>4469</v>
      </c>
      <c r="I1783" s="17">
        <f ca="1">IFERROR(__xludf.DUMMYFUNCTION("""COMPUTED_VALUE"""),45358)</f>
        <v>45358</v>
      </c>
      <c r="J1783" s="29" t="s">
        <v>3822</v>
      </c>
      <c r="K1783" s="26" t="s">
        <v>5903</v>
      </c>
      <c r="L1783" s="30">
        <v>325407382</v>
      </c>
      <c r="M1783" s="26" t="s">
        <v>80</v>
      </c>
      <c r="N1783" s="26" t="s">
        <v>186</v>
      </c>
      <c r="O1783" s="26" t="s">
        <v>3824</v>
      </c>
      <c r="P1783" s="42" t="s">
        <v>7003</v>
      </c>
      <c r="Q1783" s="20">
        <v>15936</v>
      </c>
      <c r="R1783" s="26" t="s">
        <v>3825</v>
      </c>
      <c r="S1783" s="31">
        <v>2000</v>
      </c>
      <c r="T1783" s="32">
        <v>45193</v>
      </c>
      <c r="U1783" s="31">
        <v>13736</v>
      </c>
      <c r="V1783" s="32">
        <v>45219</v>
      </c>
      <c r="W1783" s="33" t="s">
        <v>3826</v>
      </c>
      <c r="X1783" s="26"/>
      <c r="Y1783" s="22">
        <v>200</v>
      </c>
      <c r="Z1783" s="26" t="s">
        <v>118</v>
      </c>
      <c r="AA1783" s="19" t="s">
        <v>5785</v>
      </c>
      <c r="AB1783" s="26" t="s">
        <v>104</v>
      </c>
      <c r="AC1783" s="26" t="s">
        <v>53</v>
      </c>
      <c r="AD1783" s="19" t="s">
        <v>138</v>
      </c>
      <c r="AE1783" s="26" t="s">
        <v>4362</v>
      </c>
      <c r="AF1783" s="17">
        <v>45358</v>
      </c>
      <c r="AG1783" s="26" t="s">
        <v>3399</v>
      </c>
      <c r="AH1783" s="26"/>
      <c r="AI1783" s="40" t="s">
        <v>147</v>
      </c>
      <c r="AJ1783" s="26"/>
      <c r="AK1783" s="26"/>
      <c r="AL1783" s="35"/>
      <c r="AM1783" s="35"/>
      <c r="AN1783" s="35"/>
      <c r="AO1783" s="35"/>
      <c r="AP1783" s="35"/>
    </row>
    <row r="1784" spans="1:42" x14ac:dyDescent="0.2">
      <c r="A1784" s="14">
        <v>45352</v>
      </c>
      <c r="B1784" s="28" t="s">
        <v>37</v>
      </c>
      <c r="C1784" s="41" t="s">
        <v>118</v>
      </c>
      <c r="D1784" s="26" t="s">
        <v>36</v>
      </c>
      <c r="E1784" s="26" t="s">
        <v>139</v>
      </c>
      <c r="F1784" s="26" t="s">
        <v>4362</v>
      </c>
      <c r="G1784" s="26" t="s">
        <v>221</v>
      </c>
      <c r="H1784" s="26" t="s">
        <v>4469</v>
      </c>
      <c r="I1784" s="17">
        <f ca="1">IFERROR(__xludf.DUMMYFUNCTION("""COMPUTED_VALUE"""),45358)</f>
        <v>45358</v>
      </c>
      <c r="J1784" s="29" t="s">
        <v>3827</v>
      </c>
      <c r="K1784" s="26" t="s">
        <v>3828</v>
      </c>
      <c r="L1784" s="30">
        <v>865113566</v>
      </c>
      <c r="M1784" s="26" t="s">
        <v>80</v>
      </c>
      <c r="N1784" s="26" t="s">
        <v>186</v>
      </c>
      <c r="O1784" s="26" t="s">
        <v>143</v>
      </c>
      <c r="P1784" s="42" t="s">
        <v>7004</v>
      </c>
      <c r="Q1784" s="20">
        <v>15936</v>
      </c>
      <c r="R1784" s="26" t="s">
        <v>3825</v>
      </c>
      <c r="S1784" s="31">
        <v>2000</v>
      </c>
      <c r="T1784" s="32">
        <v>45193</v>
      </c>
      <c r="U1784" s="31">
        <v>13736</v>
      </c>
      <c r="V1784" s="32">
        <v>45221</v>
      </c>
      <c r="W1784" s="33" t="s">
        <v>3829</v>
      </c>
      <c r="X1784" s="26"/>
      <c r="Y1784" s="22">
        <v>200</v>
      </c>
      <c r="Z1784" s="26" t="s">
        <v>118</v>
      </c>
      <c r="AA1784" s="19" t="s">
        <v>5785</v>
      </c>
      <c r="AB1784" s="26" t="s">
        <v>104</v>
      </c>
      <c r="AC1784" s="26" t="s">
        <v>53</v>
      </c>
      <c r="AD1784" s="19" t="s">
        <v>138</v>
      </c>
      <c r="AE1784" s="26" t="s">
        <v>4362</v>
      </c>
      <c r="AF1784" s="17">
        <v>45358</v>
      </c>
      <c r="AG1784" s="26" t="s">
        <v>3399</v>
      </c>
      <c r="AH1784" s="26"/>
      <c r="AI1784" s="40" t="s">
        <v>147</v>
      </c>
      <c r="AJ1784" s="26"/>
      <c r="AK1784" s="26"/>
      <c r="AL1784" s="35"/>
      <c r="AM1784" s="35"/>
      <c r="AN1784" s="35"/>
      <c r="AO1784" s="35"/>
      <c r="AP1784" s="35"/>
    </row>
    <row r="1785" spans="1:42" x14ac:dyDescent="0.2">
      <c r="A1785" s="14">
        <v>45352</v>
      </c>
      <c r="B1785" s="28" t="s">
        <v>37</v>
      </c>
      <c r="C1785" s="41" t="s">
        <v>118</v>
      </c>
      <c r="D1785" s="26" t="s">
        <v>36</v>
      </c>
      <c r="E1785" s="26" t="s">
        <v>119</v>
      </c>
      <c r="F1785" s="26" t="s">
        <v>4362</v>
      </c>
      <c r="G1785" s="26" t="s">
        <v>221</v>
      </c>
      <c r="H1785" s="26" t="s">
        <v>4469</v>
      </c>
      <c r="I1785" s="17">
        <f ca="1">IFERROR(__xludf.DUMMYFUNCTION("""COMPUTED_VALUE"""),45358)</f>
        <v>45358</v>
      </c>
      <c r="J1785" s="29" t="s">
        <v>3176</v>
      </c>
      <c r="K1785" s="26" t="s">
        <v>4363</v>
      </c>
      <c r="L1785" s="30">
        <v>367221127</v>
      </c>
      <c r="M1785" s="26" t="s">
        <v>80</v>
      </c>
      <c r="N1785" s="26" t="s">
        <v>186</v>
      </c>
      <c r="O1785" s="26" t="s">
        <v>4364</v>
      </c>
      <c r="P1785" s="42" t="s">
        <v>4365</v>
      </c>
      <c r="Q1785" s="20">
        <v>13968</v>
      </c>
      <c r="R1785" s="26" t="s">
        <v>36</v>
      </c>
      <c r="S1785" s="31">
        <v>13968</v>
      </c>
      <c r="T1785" s="32">
        <v>45217</v>
      </c>
      <c r="U1785" s="31"/>
      <c r="V1785" s="26"/>
      <c r="W1785" s="26" t="s">
        <v>4366</v>
      </c>
      <c r="X1785" s="26"/>
      <c r="Y1785" s="22">
        <v>0</v>
      </c>
      <c r="Z1785" s="26" t="s">
        <v>118</v>
      </c>
      <c r="AA1785" s="19" t="s">
        <v>3454</v>
      </c>
      <c r="AB1785" s="26" t="s">
        <v>104</v>
      </c>
      <c r="AC1785" s="26" t="s">
        <v>53</v>
      </c>
      <c r="AD1785" s="19" t="s">
        <v>138</v>
      </c>
      <c r="AE1785" s="26" t="s">
        <v>4362</v>
      </c>
      <c r="AF1785" s="17">
        <v>45358</v>
      </c>
      <c r="AG1785" s="26" t="s">
        <v>3399</v>
      </c>
      <c r="AH1785" s="26"/>
      <c r="AI1785" s="40"/>
      <c r="AJ1785" s="26"/>
      <c r="AK1785" s="26"/>
      <c r="AL1785" s="35"/>
      <c r="AM1785" s="35"/>
      <c r="AN1785" s="35"/>
      <c r="AO1785" s="35"/>
      <c r="AP1785" s="35"/>
    </row>
    <row r="1786" spans="1:42" x14ac:dyDescent="0.2">
      <c r="A1786" s="14">
        <v>45352</v>
      </c>
      <c r="B1786" s="28" t="s">
        <v>37</v>
      </c>
      <c r="C1786" s="41" t="s">
        <v>118</v>
      </c>
      <c r="D1786" s="26" t="s">
        <v>36</v>
      </c>
      <c r="E1786" s="26" t="s">
        <v>139</v>
      </c>
      <c r="F1786" s="26" t="s">
        <v>4362</v>
      </c>
      <c r="G1786" s="26" t="s">
        <v>221</v>
      </c>
      <c r="H1786" s="26" t="s">
        <v>4469</v>
      </c>
      <c r="I1786" s="17">
        <f ca="1">IFERROR(__xludf.DUMMYFUNCTION("""COMPUTED_VALUE"""),45358)</f>
        <v>45358</v>
      </c>
      <c r="J1786" s="29" t="s">
        <v>3915</v>
      </c>
      <c r="K1786" s="26" t="s">
        <v>3916</v>
      </c>
      <c r="L1786" s="30">
        <v>384481624</v>
      </c>
      <c r="M1786" s="26" t="s">
        <v>80</v>
      </c>
      <c r="N1786" s="26" t="s">
        <v>186</v>
      </c>
      <c r="O1786" s="26" t="s">
        <v>134</v>
      </c>
      <c r="P1786" s="42" t="s">
        <v>7005</v>
      </c>
      <c r="Q1786" s="20">
        <v>15936</v>
      </c>
      <c r="R1786" s="26" t="s">
        <v>36</v>
      </c>
      <c r="S1786" s="31">
        <v>2000</v>
      </c>
      <c r="T1786" s="32">
        <v>45198</v>
      </c>
      <c r="U1786" s="31">
        <v>13936</v>
      </c>
      <c r="V1786" s="32">
        <v>45218</v>
      </c>
      <c r="W1786" s="33" t="s">
        <v>3917</v>
      </c>
      <c r="X1786" s="26"/>
      <c r="Y1786" s="22">
        <v>0</v>
      </c>
      <c r="Z1786" s="26" t="s">
        <v>118</v>
      </c>
      <c r="AA1786" s="19" t="s">
        <v>5785</v>
      </c>
      <c r="AB1786" s="26" t="s">
        <v>104</v>
      </c>
      <c r="AC1786" s="26" t="s">
        <v>53</v>
      </c>
      <c r="AD1786" s="19" t="s">
        <v>138</v>
      </c>
      <c r="AE1786" s="26" t="s">
        <v>4362</v>
      </c>
      <c r="AF1786" s="17">
        <v>45358</v>
      </c>
      <c r="AG1786" s="26" t="s">
        <v>3399</v>
      </c>
      <c r="AH1786" s="26"/>
      <c r="AI1786" s="40" t="s">
        <v>147</v>
      </c>
      <c r="AJ1786" s="26"/>
      <c r="AK1786" s="26"/>
      <c r="AL1786" s="35"/>
      <c r="AM1786" s="35"/>
      <c r="AN1786" s="35"/>
      <c r="AO1786" s="35"/>
      <c r="AP1786" s="35"/>
    </row>
    <row r="1787" spans="1:42" x14ac:dyDescent="0.2">
      <c r="A1787" s="14">
        <v>45352</v>
      </c>
      <c r="B1787" s="28" t="s">
        <v>37</v>
      </c>
      <c r="C1787" s="41" t="s">
        <v>118</v>
      </c>
      <c r="D1787" s="26" t="s">
        <v>36</v>
      </c>
      <c r="E1787" s="26" t="s">
        <v>139</v>
      </c>
      <c r="F1787" s="26" t="s">
        <v>4362</v>
      </c>
      <c r="G1787" s="26" t="s">
        <v>221</v>
      </c>
      <c r="H1787" s="26" t="s">
        <v>4469</v>
      </c>
      <c r="I1787" s="17">
        <f ca="1">IFERROR(__xludf.DUMMYFUNCTION("""COMPUTED_VALUE"""),45358)</f>
        <v>45358</v>
      </c>
      <c r="J1787" s="29" t="s">
        <v>4037</v>
      </c>
      <c r="K1787" s="26" t="s">
        <v>4038</v>
      </c>
      <c r="L1787" s="30">
        <v>878886183</v>
      </c>
      <c r="M1787" s="26" t="s">
        <v>910</v>
      </c>
      <c r="N1787" s="26" t="s">
        <v>3525</v>
      </c>
      <c r="O1787" s="26" t="s">
        <v>134</v>
      </c>
      <c r="P1787" s="42" t="s">
        <v>7006</v>
      </c>
      <c r="Q1787" s="20">
        <v>15936</v>
      </c>
      <c r="R1787" s="26" t="s">
        <v>70</v>
      </c>
      <c r="S1787" s="31">
        <v>2000</v>
      </c>
      <c r="T1787" s="32">
        <v>45202</v>
      </c>
      <c r="U1787" s="31">
        <v>13936</v>
      </c>
      <c r="V1787" s="32">
        <v>45223</v>
      </c>
      <c r="W1787" s="33" t="s">
        <v>4040</v>
      </c>
      <c r="X1787" s="26"/>
      <c r="Y1787" s="22">
        <v>0</v>
      </c>
      <c r="Z1787" s="26" t="s">
        <v>118</v>
      </c>
      <c r="AA1787" s="19" t="s">
        <v>5785</v>
      </c>
      <c r="AB1787" s="26" t="s">
        <v>104</v>
      </c>
      <c r="AC1787" s="26" t="s">
        <v>53</v>
      </c>
      <c r="AD1787" s="19" t="s">
        <v>138</v>
      </c>
      <c r="AE1787" s="26" t="s">
        <v>4362</v>
      </c>
      <c r="AF1787" s="17">
        <v>45358</v>
      </c>
      <c r="AG1787" s="26" t="s">
        <v>3399</v>
      </c>
      <c r="AH1787" s="26"/>
      <c r="AI1787" s="40" t="s">
        <v>147</v>
      </c>
      <c r="AJ1787" s="26"/>
      <c r="AK1787" s="26"/>
      <c r="AL1787" s="35"/>
      <c r="AM1787" s="35"/>
      <c r="AN1787" s="35"/>
      <c r="AO1787" s="35"/>
      <c r="AP1787" s="35"/>
    </row>
    <row r="1788" spans="1:42" x14ac:dyDescent="0.2">
      <c r="A1788" s="14">
        <v>45352</v>
      </c>
      <c r="B1788" s="28" t="s">
        <v>37</v>
      </c>
      <c r="C1788" s="41" t="s">
        <v>118</v>
      </c>
      <c r="D1788" s="26" t="s">
        <v>36</v>
      </c>
      <c r="E1788" s="26" t="s">
        <v>139</v>
      </c>
      <c r="F1788" s="26" t="s">
        <v>4362</v>
      </c>
      <c r="G1788" s="26" t="s">
        <v>221</v>
      </c>
      <c r="H1788" s="26" t="s">
        <v>4469</v>
      </c>
      <c r="I1788" s="17">
        <f ca="1">IFERROR(__xludf.DUMMYFUNCTION("""COMPUTED_VALUE"""),45358)</f>
        <v>45358</v>
      </c>
      <c r="J1788" s="29" t="s">
        <v>3812</v>
      </c>
      <c r="K1788" s="26" t="s">
        <v>5913</v>
      </c>
      <c r="L1788" s="30">
        <v>869261465</v>
      </c>
      <c r="M1788" s="26" t="s">
        <v>80</v>
      </c>
      <c r="N1788" s="26" t="s">
        <v>186</v>
      </c>
      <c r="O1788" s="26" t="s">
        <v>3814</v>
      </c>
      <c r="P1788" s="42" t="s">
        <v>3815</v>
      </c>
      <c r="Q1788" s="20">
        <v>15936</v>
      </c>
      <c r="R1788" s="26" t="s">
        <v>36</v>
      </c>
      <c r="S1788" s="31">
        <v>4000</v>
      </c>
      <c r="T1788" s="32">
        <v>45192</v>
      </c>
      <c r="U1788" s="31">
        <v>11936</v>
      </c>
      <c r="V1788" s="32">
        <v>45220</v>
      </c>
      <c r="W1788" s="33" t="s">
        <v>3816</v>
      </c>
      <c r="X1788" s="26"/>
      <c r="Y1788" s="22">
        <v>0</v>
      </c>
      <c r="Z1788" s="26" t="s">
        <v>118</v>
      </c>
      <c r="AA1788" s="19" t="s">
        <v>5785</v>
      </c>
      <c r="AB1788" s="26" t="s">
        <v>104</v>
      </c>
      <c r="AC1788" s="26" t="s">
        <v>53</v>
      </c>
      <c r="AD1788" s="19" t="s">
        <v>138</v>
      </c>
      <c r="AE1788" s="26" t="s">
        <v>4362</v>
      </c>
      <c r="AF1788" s="17">
        <v>45358</v>
      </c>
      <c r="AG1788" s="26" t="s">
        <v>3399</v>
      </c>
      <c r="AH1788" s="26"/>
      <c r="AI1788" s="40" t="s">
        <v>147</v>
      </c>
      <c r="AJ1788" s="26"/>
      <c r="AK1788" s="26"/>
      <c r="AL1788" s="35"/>
      <c r="AM1788" s="35"/>
      <c r="AN1788" s="35"/>
      <c r="AO1788" s="35"/>
      <c r="AP1788" s="35"/>
    </row>
    <row r="1789" spans="1:42" x14ac:dyDescent="0.2">
      <c r="A1789" s="14">
        <v>45352</v>
      </c>
      <c r="B1789" s="28" t="s">
        <v>37</v>
      </c>
      <c r="C1789" s="41" t="s">
        <v>118</v>
      </c>
      <c r="D1789" s="26" t="s">
        <v>36</v>
      </c>
      <c r="E1789" s="26" t="s">
        <v>77</v>
      </c>
      <c r="F1789" s="26" t="s">
        <v>7007</v>
      </c>
      <c r="G1789" s="26" t="s">
        <v>41</v>
      </c>
      <c r="H1789" s="26" t="s">
        <v>7008</v>
      </c>
      <c r="I1789" s="17">
        <f ca="1">IFERROR(__xludf.DUMMYFUNCTION("""COMPUTED_VALUE"""),45370)</f>
        <v>45370</v>
      </c>
      <c r="J1789" s="29" t="s">
        <v>7009</v>
      </c>
      <c r="K1789" s="26" t="s">
        <v>7010</v>
      </c>
      <c r="L1789" s="30">
        <v>373816596</v>
      </c>
      <c r="M1789" s="26" t="s">
        <v>1245</v>
      </c>
      <c r="N1789" s="26" t="s">
        <v>1246</v>
      </c>
      <c r="O1789" s="26"/>
      <c r="P1789" s="42" t="s">
        <v>7011</v>
      </c>
      <c r="Q1789" s="20"/>
      <c r="R1789" s="26" t="s">
        <v>36</v>
      </c>
      <c r="S1789" s="31">
        <v>4000</v>
      </c>
      <c r="T1789" s="32">
        <v>44795</v>
      </c>
      <c r="U1789" s="31">
        <v>6804</v>
      </c>
      <c r="V1789" s="32">
        <v>44804</v>
      </c>
      <c r="W1789" s="33" t="s">
        <v>7012</v>
      </c>
      <c r="X1789" s="26">
        <v>0</v>
      </c>
      <c r="Y1789" s="22">
        <v>0</v>
      </c>
      <c r="Z1789" s="26" t="s">
        <v>118</v>
      </c>
      <c r="AA1789" s="19"/>
      <c r="AB1789" s="26" t="s">
        <v>104</v>
      </c>
      <c r="AC1789" s="26" t="s">
        <v>53</v>
      </c>
      <c r="AD1789" s="19" t="s">
        <v>54</v>
      </c>
      <c r="AE1789" s="26" t="s">
        <v>6360</v>
      </c>
      <c r="AF1789" s="17">
        <v>45356</v>
      </c>
      <c r="AG1789" s="91"/>
      <c r="AH1789" s="26"/>
      <c r="AI1789" s="92"/>
      <c r="AJ1789" s="35"/>
      <c r="AK1789" s="35"/>
      <c r="AL1789" s="35"/>
      <c r="AM1789" s="35"/>
      <c r="AN1789" s="26"/>
      <c r="AO1789" s="26"/>
      <c r="AP1789" s="35"/>
    </row>
    <row r="1790" spans="1:42" x14ac:dyDescent="0.2">
      <c r="A1790" s="14">
        <v>45352</v>
      </c>
      <c r="B1790" s="28" t="s">
        <v>37</v>
      </c>
      <c r="C1790" s="41" t="s">
        <v>118</v>
      </c>
      <c r="D1790" s="26" t="s">
        <v>36</v>
      </c>
      <c r="E1790" s="26" t="s">
        <v>56</v>
      </c>
      <c r="F1790" s="26" t="s">
        <v>4984</v>
      </c>
      <c r="G1790" s="26" t="s">
        <v>221</v>
      </c>
      <c r="H1790" s="26" t="s">
        <v>7013</v>
      </c>
      <c r="I1790" s="17">
        <f ca="1">IFERROR(__xludf.DUMMYFUNCTION("""COMPUTED_VALUE"""),45369)</f>
        <v>45369</v>
      </c>
      <c r="J1790" s="44" t="s">
        <v>5917</v>
      </c>
      <c r="K1790" s="26" t="s">
        <v>5918</v>
      </c>
      <c r="L1790" s="30">
        <v>522684125</v>
      </c>
      <c r="M1790" s="26" t="s">
        <v>80</v>
      </c>
      <c r="N1790" s="26" t="s">
        <v>81</v>
      </c>
      <c r="O1790" s="26" t="s">
        <v>5264</v>
      </c>
      <c r="P1790" s="42" t="s">
        <v>7014</v>
      </c>
      <c r="Q1790" s="20">
        <v>9317</v>
      </c>
      <c r="R1790" s="26" t="s">
        <v>36</v>
      </c>
      <c r="S1790" s="31">
        <v>2000</v>
      </c>
      <c r="T1790" s="32">
        <v>45188</v>
      </c>
      <c r="U1790" s="31">
        <v>7317</v>
      </c>
      <c r="V1790" s="32">
        <v>45243</v>
      </c>
      <c r="W1790" s="33" t="s">
        <v>5265</v>
      </c>
      <c r="X1790" s="26"/>
      <c r="Y1790" s="22">
        <v>0</v>
      </c>
      <c r="Z1790" s="26" t="s">
        <v>118</v>
      </c>
      <c r="AA1790" s="19" t="s">
        <v>5785</v>
      </c>
      <c r="AB1790" s="26" t="s">
        <v>104</v>
      </c>
      <c r="AC1790" s="26" t="s">
        <v>53</v>
      </c>
      <c r="AD1790" s="19" t="s">
        <v>138</v>
      </c>
      <c r="AE1790" s="26" t="s">
        <v>4984</v>
      </c>
      <c r="AF1790" s="17">
        <v>45369</v>
      </c>
      <c r="AG1790" s="26" t="s">
        <v>1362</v>
      </c>
      <c r="AH1790" s="26"/>
      <c r="AI1790" s="40" t="s">
        <v>64</v>
      </c>
      <c r="AJ1790" s="26"/>
      <c r="AK1790" s="26"/>
      <c r="AL1790" s="35"/>
      <c r="AM1790" s="35"/>
      <c r="AN1790" s="35"/>
      <c r="AO1790" s="35"/>
      <c r="AP1790" s="35"/>
    </row>
    <row r="1791" spans="1:42" x14ac:dyDescent="0.2">
      <c r="A1791" s="14">
        <v>45352</v>
      </c>
      <c r="B1791" s="28" t="s">
        <v>37</v>
      </c>
      <c r="C1791" s="41" t="s">
        <v>118</v>
      </c>
      <c r="D1791" s="26" t="s">
        <v>36</v>
      </c>
      <c r="E1791" s="26" t="s">
        <v>139</v>
      </c>
      <c r="F1791" s="26" t="s">
        <v>4984</v>
      </c>
      <c r="G1791" s="26" t="s">
        <v>221</v>
      </c>
      <c r="H1791" s="26" t="s">
        <v>7013</v>
      </c>
      <c r="I1791" s="17">
        <f ca="1">IFERROR(__xludf.DUMMYFUNCTION("""COMPUTED_VALUE"""),45369)</f>
        <v>45369</v>
      </c>
      <c r="J1791" s="29" t="s">
        <v>5370</v>
      </c>
      <c r="K1791" s="26" t="s">
        <v>5371</v>
      </c>
      <c r="L1791" s="30">
        <v>862999040</v>
      </c>
      <c r="M1791" s="26" t="s">
        <v>80</v>
      </c>
      <c r="N1791" s="26" t="s">
        <v>466</v>
      </c>
      <c r="O1791" s="26" t="s">
        <v>5372</v>
      </c>
      <c r="P1791" s="42" t="s">
        <v>7015</v>
      </c>
      <c r="Q1791" s="20">
        <v>15936</v>
      </c>
      <c r="R1791" s="26" t="s">
        <v>36</v>
      </c>
      <c r="S1791" s="31">
        <v>4000</v>
      </c>
      <c r="T1791" s="32">
        <v>45207</v>
      </c>
      <c r="U1791" s="31">
        <v>11936</v>
      </c>
      <c r="V1791" s="32">
        <v>45232</v>
      </c>
      <c r="W1791" s="33" t="s">
        <v>5374</v>
      </c>
      <c r="X1791" s="26"/>
      <c r="Y1791" s="22">
        <v>0</v>
      </c>
      <c r="Z1791" s="26" t="s">
        <v>118</v>
      </c>
      <c r="AA1791" s="19" t="s">
        <v>5785</v>
      </c>
      <c r="AB1791" s="26" t="s">
        <v>104</v>
      </c>
      <c r="AC1791" s="26" t="s">
        <v>53</v>
      </c>
      <c r="AD1791" s="19" t="s">
        <v>138</v>
      </c>
      <c r="AE1791" s="26" t="s">
        <v>4984</v>
      </c>
      <c r="AF1791" s="17">
        <v>45369</v>
      </c>
      <c r="AG1791" s="26" t="s">
        <v>1362</v>
      </c>
      <c r="AH1791" s="26"/>
      <c r="AI1791" s="40" t="s">
        <v>147</v>
      </c>
      <c r="AJ1791" s="26"/>
      <c r="AK1791" s="26"/>
      <c r="AL1791" s="35"/>
      <c r="AM1791" s="35"/>
      <c r="AN1791" s="35"/>
      <c r="AO1791" s="35"/>
      <c r="AP1791" s="35"/>
    </row>
    <row r="1792" spans="1:42" x14ac:dyDescent="0.2">
      <c r="A1792" s="14">
        <v>45352</v>
      </c>
      <c r="B1792" s="28" t="s">
        <v>37</v>
      </c>
      <c r="C1792" s="41" t="s">
        <v>118</v>
      </c>
      <c r="D1792" s="26" t="s">
        <v>36</v>
      </c>
      <c r="E1792" s="26" t="s">
        <v>139</v>
      </c>
      <c r="F1792" s="26" t="s">
        <v>4984</v>
      </c>
      <c r="G1792" s="26" t="s">
        <v>221</v>
      </c>
      <c r="H1792" s="26" t="s">
        <v>7013</v>
      </c>
      <c r="I1792" s="17">
        <f ca="1">IFERROR(__xludf.DUMMYFUNCTION("""COMPUTED_VALUE"""),45369)</f>
        <v>45369</v>
      </c>
      <c r="J1792" s="29" t="s">
        <v>4013</v>
      </c>
      <c r="K1792" s="26" t="s">
        <v>4014</v>
      </c>
      <c r="L1792" s="30">
        <v>332965205</v>
      </c>
      <c r="M1792" s="26" t="s">
        <v>80</v>
      </c>
      <c r="N1792" s="26" t="s">
        <v>81</v>
      </c>
      <c r="O1792" s="26" t="s">
        <v>4015</v>
      </c>
      <c r="P1792" s="42" t="s">
        <v>4985</v>
      </c>
      <c r="Q1792" s="20">
        <v>15936</v>
      </c>
      <c r="R1792" s="26" t="s">
        <v>36</v>
      </c>
      <c r="S1792" s="31">
        <v>200</v>
      </c>
      <c r="T1792" s="32">
        <v>45199</v>
      </c>
      <c r="U1792" s="31">
        <f>3800+11936</f>
        <v>15736</v>
      </c>
      <c r="V1792" s="26" t="s">
        <v>4016</v>
      </c>
      <c r="W1792" s="33" t="s">
        <v>4017</v>
      </c>
      <c r="X1792" s="26"/>
      <c r="Y1792" s="22">
        <v>0</v>
      </c>
      <c r="Z1792" s="26" t="s">
        <v>118</v>
      </c>
      <c r="AA1792" s="19" t="s">
        <v>3454</v>
      </c>
      <c r="AB1792" s="26" t="s">
        <v>104</v>
      </c>
      <c r="AC1792" s="26" t="s">
        <v>53</v>
      </c>
      <c r="AD1792" s="19" t="s">
        <v>138</v>
      </c>
      <c r="AE1792" s="26" t="s">
        <v>4984</v>
      </c>
      <c r="AF1792" s="17">
        <v>45369</v>
      </c>
      <c r="AG1792" s="26" t="s">
        <v>1362</v>
      </c>
      <c r="AH1792" s="26"/>
      <c r="AI1792" s="40"/>
      <c r="AJ1792" s="26"/>
      <c r="AK1792" s="26"/>
      <c r="AL1792" s="35"/>
      <c r="AM1792" s="35"/>
      <c r="AN1792" s="35"/>
      <c r="AO1792" s="35"/>
      <c r="AP1792" s="35"/>
    </row>
    <row r="1793" spans="1:42" x14ac:dyDescent="0.2">
      <c r="A1793" s="14">
        <v>45352</v>
      </c>
      <c r="B1793" s="28" t="s">
        <v>37</v>
      </c>
      <c r="C1793" s="41" t="s">
        <v>118</v>
      </c>
      <c r="D1793" s="26" t="s">
        <v>36</v>
      </c>
      <c r="E1793" s="26" t="s">
        <v>56</v>
      </c>
      <c r="F1793" s="26" t="s">
        <v>4984</v>
      </c>
      <c r="G1793" s="26" t="s">
        <v>221</v>
      </c>
      <c r="H1793" s="26" t="s">
        <v>7013</v>
      </c>
      <c r="I1793" s="17">
        <f ca="1">IFERROR(__xludf.DUMMYFUNCTION("""COMPUTED_VALUE"""),45369)</f>
        <v>45369</v>
      </c>
      <c r="J1793" s="29" t="s">
        <v>4170</v>
      </c>
      <c r="K1793" s="26" t="s">
        <v>4171</v>
      </c>
      <c r="L1793" s="30">
        <v>961082248</v>
      </c>
      <c r="M1793" s="26" t="s">
        <v>123</v>
      </c>
      <c r="N1793" s="26" t="s">
        <v>850</v>
      </c>
      <c r="O1793" s="26" t="s">
        <v>1226</v>
      </c>
      <c r="P1793" s="42" t="s">
        <v>4987</v>
      </c>
      <c r="Q1793" s="20">
        <v>9317</v>
      </c>
      <c r="R1793" s="26" t="s">
        <v>36</v>
      </c>
      <c r="S1793" s="31">
        <v>2000</v>
      </c>
      <c r="T1793" s="32">
        <v>45209</v>
      </c>
      <c r="U1793" s="31">
        <v>7317</v>
      </c>
      <c r="V1793" s="32">
        <v>45230</v>
      </c>
      <c r="W1793" s="33" t="s">
        <v>4172</v>
      </c>
      <c r="X1793" s="26"/>
      <c r="Y1793" s="22">
        <v>0</v>
      </c>
      <c r="Z1793" s="26" t="s">
        <v>118</v>
      </c>
      <c r="AA1793" s="19" t="s">
        <v>3454</v>
      </c>
      <c r="AB1793" s="26" t="s">
        <v>104</v>
      </c>
      <c r="AC1793" s="26" t="s">
        <v>53</v>
      </c>
      <c r="AD1793" s="19" t="s">
        <v>138</v>
      </c>
      <c r="AE1793" s="26" t="s">
        <v>4984</v>
      </c>
      <c r="AF1793" s="17">
        <v>45369</v>
      </c>
      <c r="AG1793" s="26" t="s">
        <v>1362</v>
      </c>
      <c r="AH1793" s="26"/>
      <c r="AI1793" s="40"/>
      <c r="AJ1793" s="26"/>
      <c r="AK1793" s="26"/>
      <c r="AL1793" s="35"/>
      <c r="AM1793" s="35"/>
      <c r="AN1793" s="35"/>
      <c r="AO1793" s="35"/>
      <c r="AP1793" s="35"/>
    </row>
    <row r="1794" spans="1:42" x14ac:dyDescent="0.2">
      <c r="A1794" s="14">
        <v>45352</v>
      </c>
      <c r="B1794" s="28" t="s">
        <v>37</v>
      </c>
      <c r="C1794" s="41" t="s">
        <v>118</v>
      </c>
      <c r="D1794" s="26" t="s">
        <v>36</v>
      </c>
      <c r="E1794" s="26" t="s">
        <v>139</v>
      </c>
      <c r="F1794" s="26" t="s">
        <v>4984</v>
      </c>
      <c r="G1794" s="26" t="s">
        <v>221</v>
      </c>
      <c r="H1794" s="26" t="s">
        <v>7013</v>
      </c>
      <c r="I1794" s="17">
        <f ca="1">IFERROR(__xludf.DUMMYFUNCTION("""COMPUTED_VALUE"""),45369)</f>
        <v>45369</v>
      </c>
      <c r="J1794" s="29" t="s">
        <v>4122</v>
      </c>
      <c r="K1794" s="26" t="s">
        <v>4123</v>
      </c>
      <c r="L1794" s="30">
        <v>338703995</v>
      </c>
      <c r="M1794" s="26" t="s">
        <v>3728</v>
      </c>
      <c r="N1794" s="26" t="s">
        <v>4124</v>
      </c>
      <c r="O1794" s="26" t="s">
        <v>4125</v>
      </c>
      <c r="P1794" s="42" t="s">
        <v>4986</v>
      </c>
      <c r="Q1794" s="20">
        <v>15936</v>
      </c>
      <c r="R1794" s="26" t="s">
        <v>36</v>
      </c>
      <c r="S1794" s="31">
        <v>15936</v>
      </c>
      <c r="T1794" s="32">
        <v>45207</v>
      </c>
      <c r="U1794" s="31"/>
      <c r="V1794" s="26"/>
      <c r="W1794" s="33" t="s">
        <v>4127</v>
      </c>
      <c r="X1794" s="26"/>
      <c r="Y1794" s="22">
        <v>0</v>
      </c>
      <c r="Z1794" s="26" t="s">
        <v>118</v>
      </c>
      <c r="AA1794" s="19" t="s">
        <v>3454</v>
      </c>
      <c r="AB1794" s="26" t="s">
        <v>104</v>
      </c>
      <c r="AC1794" s="26" t="s">
        <v>53</v>
      </c>
      <c r="AD1794" s="19" t="s">
        <v>138</v>
      </c>
      <c r="AE1794" s="26" t="s">
        <v>4984</v>
      </c>
      <c r="AF1794" s="17">
        <v>45369</v>
      </c>
      <c r="AG1794" s="26" t="s">
        <v>1362</v>
      </c>
      <c r="AH1794" s="26"/>
      <c r="AI1794" s="40"/>
      <c r="AJ1794" s="26"/>
      <c r="AK1794" s="26"/>
      <c r="AL1794" s="35"/>
      <c r="AM1794" s="35"/>
      <c r="AN1794" s="35"/>
      <c r="AO1794" s="35"/>
      <c r="AP1794" s="35"/>
    </row>
    <row r="1795" spans="1:42" x14ac:dyDescent="0.2">
      <c r="A1795" s="14">
        <v>45352</v>
      </c>
      <c r="B1795" s="28" t="s">
        <v>37</v>
      </c>
      <c r="C1795" s="41" t="s">
        <v>118</v>
      </c>
      <c r="D1795" s="26" t="s">
        <v>36</v>
      </c>
      <c r="E1795" s="26" t="s">
        <v>139</v>
      </c>
      <c r="F1795" s="26" t="s">
        <v>4984</v>
      </c>
      <c r="G1795" s="26" t="s">
        <v>221</v>
      </c>
      <c r="H1795" s="26" t="s">
        <v>7013</v>
      </c>
      <c r="I1795" s="17">
        <f ca="1">IFERROR(__xludf.DUMMYFUNCTION("""COMPUTED_VALUE"""),45369)</f>
        <v>45369</v>
      </c>
      <c r="J1795" s="29" t="s">
        <v>5192</v>
      </c>
      <c r="K1795" s="26" t="s">
        <v>5193</v>
      </c>
      <c r="L1795" s="30">
        <v>373944787</v>
      </c>
      <c r="M1795" s="26" t="s">
        <v>2755</v>
      </c>
      <c r="N1795" s="26" t="s">
        <v>2756</v>
      </c>
      <c r="O1795" s="26" t="s">
        <v>134</v>
      </c>
      <c r="P1795" s="42" t="s">
        <v>5922</v>
      </c>
      <c r="Q1795" s="20">
        <v>15936</v>
      </c>
      <c r="R1795" s="26" t="s">
        <v>1106</v>
      </c>
      <c r="S1795" s="31">
        <v>2000</v>
      </c>
      <c r="T1795" s="32">
        <v>45201</v>
      </c>
      <c r="U1795" s="31">
        <v>13768</v>
      </c>
      <c r="V1795" s="32">
        <v>45232</v>
      </c>
      <c r="W1795" s="33" t="s">
        <v>5195</v>
      </c>
      <c r="X1795" s="26"/>
      <c r="Y1795" s="22">
        <v>168</v>
      </c>
      <c r="Z1795" s="26" t="s">
        <v>118</v>
      </c>
      <c r="AA1795" s="19" t="s">
        <v>5785</v>
      </c>
      <c r="AB1795" s="26" t="s">
        <v>104</v>
      </c>
      <c r="AC1795" s="26" t="s">
        <v>53</v>
      </c>
      <c r="AD1795" s="19" t="s">
        <v>138</v>
      </c>
      <c r="AE1795" s="26" t="s">
        <v>4984</v>
      </c>
      <c r="AF1795" s="17">
        <v>45369</v>
      </c>
      <c r="AG1795" s="26" t="s">
        <v>1362</v>
      </c>
      <c r="AH1795" s="26"/>
      <c r="AI1795" s="40" t="s">
        <v>147</v>
      </c>
      <c r="AJ1795" s="26"/>
      <c r="AK1795" s="26"/>
      <c r="AL1795" s="35"/>
      <c r="AM1795" s="35"/>
      <c r="AN1795" s="35"/>
      <c r="AO1795" s="35"/>
      <c r="AP1795" s="35"/>
    </row>
    <row r="1796" spans="1:42" x14ac:dyDescent="0.2">
      <c r="A1796" s="14">
        <v>45352</v>
      </c>
      <c r="B1796" s="28" t="s">
        <v>37</v>
      </c>
      <c r="C1796" s="41" t="s">
        <v>118</v>
      </c>
      <c r="D1796" s="26" t="s">
        <v>36</v>
      </c>
      <c r="E1796" s="26" t="s">
        <v>139</v>
      </c>
      <c r="F1796" s="26" t="s">
        <v>4984</v>
      </c>
      <c r="G1796" s="26" t="s">
        <v>221</v>
      </c>
      <c r="H1796" s="26" t="s">
        <v>7013</v>
      </c>
      <c r="I1796" s="17">
        <f ca="1">IFERROR(__xludf.DUMMYFUNCTION("""COMPUTED_VALUE"""),45369)</f>
        <v>45369</v>
      </c>
      <c r="J1796" s="29" t="s">
        <v>5142</v>
      </c>
      <c r="K1796" s="26" t="s">
        <v>5143</v>
      </c>
      <c r="L1796" s="30">
        <v>372919046</v>
      </c>
      <c r="M1796" s="26" t="s">
        <v>910</v>
      </c>
      <c r="N1796" s="26" t="s">
        <v>3525</v>
      </c>
      <c r="O1796" s="26" t="s">
        <v>3754</v>
      </c>
      <c r="P1796" s="42" t="s">
        <v>5920</v>
      </c>
      <c r="Q1796" s="20">
        <v>15936</v>
      </c>
      <c r="R1796" s="26" t="s">
        <v>36</v>
      </c>
      <c r="S1796" s="31">
        <v>4000</v>
      </c>
      <c r="T1796" s="32">
        <v>45191</v>
      </c>
      <c r="U1796" s="31">
        <v>11936</v>
      </c>
      <c r="V1796" s="32">
        <v>45246</v>
      </c>
      <c r="W1796" s="33" t="s">
        <v>5145</v>
      </c>
      <c r="X1796" s="26"/>
      <c r="Y1796" s="22">
        <v>0</v>
      </c>
      <c r="Z1796" s="26" t="s">
        <v>118</v>
      </c>
      <c r="AA1796" s="19" t="s">
        <v>5785</v>
      </c>
      <c r="AB1796" s="26" t="s">
        <v>104</v>
      </c>
      <c r="AC1796" s="26" t="s">
        <v>53</v>
      </c>
      <c r="AD1796" s="19" t="s">
        <v>138</v>
      </c>
      <c r="AE1796" s="26" t="s">
        <v>4984</v>
      </c>
      <c r="AF1796" s="17">
        <v>45369</v>
      </c>
      <c r="AG1796" s="26" t="s">
        <v>1362</v>
      </c>
      <c r="AH1796" s="26"/>
      <c r="AI1796" s="40" t="s">
        <v>147</v>
      </c>
      <c r="AJ1796" s="26"/>
      <c r="AK1796" s="26"/>
      <c r="AL1796" s="35"/>
      <c r="AM1796" s="35"/>
      <c r="AN1796" s="35"/>
      <c r="AO1796" s="35"/>
      <c r="AP1796" s="35"/>
    </row>
    <row r="1797" spans="1:42" x14ac:dyDescent="0.2">
      <c r="A1797" s="14">
        <v>45352</v>
      </c>
      <c r="B1797" s="28" t="s">
        <v>37</v>
      </c>
      <c r="C1797" s="41" t="s">
        <v>118</v>
      </c>
      <c r="D1797" s="26" t="s">
        <v>36</v>
      </c>
      <c r="E1797" s="26" t="s">
        <v>139</v>
      </c>
      <c r="F1797" s="26" t="s">
        <v>4984</v>
      </c>
      <c r="G1797" s="26" t="s">
        <v>221</v>
      </c>
      <c r="H1797" s="26" t="s">
        <v>7013</v>
      </c>
      <c r="I1797" s="17">
        <f ca="1">IFERROR(__xludf.DUMMYFUNCTION("""COMPUTED_VALUE"""),45369)</f>
        <v>45369</v>
      </c>
      <c r="J1797" s="29" t="s">
        <v>3900</v>
      </c>
      <c r="K1797" s="26" t="s">
        <v>3901</v>
      </c>
      <c r="L1797" s="30">
        <v>981151829</v>
      </c>
      <c r="M1797" s="26" t="s">
        <v>80</v>
      </c>
      <c r="N1797" s="26" t="s">
        <v>81</v>
      </c>
      <c r="O1797" s="26" t="s">
        <v>3902</v>
      </c>
      <c r="P1797" s="42" t="s">
        <v>4990</v>
      </c>
      <c r="Q1797" s="20">
        <v>15936</v>
      </c>
      <c r="R1797" s="26" t="s">
        <v>36</v>
      </c>
      <c r="S1797" s="31">
        <v>4000</v>
      </c>
      <c r="T1797" s="32">
        <v>45197</v>
      </c>
      <c r="U1797" s="31">
        <v>11936</v>
      </c>
      <c r="V1797" s="32">
        <v>45227</v>
      </c>
      <c r="W1797" s="33" t="s">
        <v>3903</v>
      </c>
      <c r="X1797" s="26"/>
      <c r="Y1797" s="22">
        <v>0</v>
      </c>
      <c r="Z1797" s="26" t="s">
        <v>118</v>
      </c>
      <c r="AA1797" s="19" t="s">
        <v>3454</v>
      </c>
      <c r="AB1797" s="26" t="s">
        <v>104</v>
      </c>
      <c r="AC1797" s="26" t="s">
        <v>53</v>
      </c>
      <c r="AD1797" s="19" t="s">
        <v>138</v>
      </c>
      <c r="AE1797" s="26" t="s">
        <v>4984</v>
      </c>
      <c r="AF1797" s="17">
        <v>45369</v>
      </c>
      <c r="AG1797" s="26" t="s">
        <v>1362</v>
      </c>
      <c r="AH1797" s="26"/>
      <c r="AI1797" s="40"/>
      <c r="AJ1797" s="26"/>
      <c r="AK1797" s="26"/>
      <c r="AL1797" s="35"/>
      <c r="AM1797" s="35"/>
      <c r="AN1797" s="35"/>
      <c r="AO1797" s="35"/>
      <c r="AP1797" s="35"/>
    </row>
    <row r="1798" spans="1:42" x14ac:dyDescent="0.2">
      <c r="A1798" s="14">
        <v>45352</v>
      </c>
      <c r="B1798" s="28" t="s">
        <v>37</v>
      </c>
      <c r="C1798" s="41" t="s">
        <v>118</v>
      </c>
      <c r="D1798" s="26" t="s">
        <v>36</v>
      </c>
      <c r="E1798" s="26" t="s">
        <v>139</v>
      </c>
      <c r="F1798" s="26" t="s">
        <v>4984</v>
      </c>
      <c r="G1798" s="26" t="s">
        <v>221</v>
      </c>
      <c r="H1798" s="26" t="s">
        <v>7016</v>
      </c>
      <c r="I1798" s="17">
        <f ca="1">IFERROR(__xludf.DUMMYFUNCTION("""COMPUTED_VALUE"""),45520)</f>
        <v>45520</v>
      </c>
      <c r="J1798" s="29" t="s">
        <v>5271</v>
      </c>
      <c r="K1798" s="26" t="s">
        <v>7017</v>
      </c>
      <c r="L1798" s="30">
        <v>926502995</v>
      </c>
      <c r="M1798" s="26" t="s">
        <v>123</v>
      </c>
      <c r="N1798" s="26" t="s">
        <v>850</v>
      </c>
      <c r="O1798" s="26" t="s">
        <v>1226</v>
      </c>
      <c r="P1798" s="42" t="s">
        <v>7018</v>
      </c>
      <c r="Q1798" s="20">
        <v>15936</v>
      </c>
      <c r="R1798" s="26" t="s">
        <v>36</v>
      </c>
      <c r="S1798" s="31">
        <v>2000</v>
      </c>
      <c r="T1798" s="32">
        <v>45205</v>
      </c>
      <c r="U1798" s="31">
        <v>13936</v>
      </c>
      <c r="V1798" s="38">
        <v>45231</v>
      </c>
      <c r="W1798" s="33" t="s">
        <v>5274</v>
      </c>
      <c r="X1798" s="26"/>
      <c r="Y1798" s="22">
        <v>0</v>
      </c>
      <c r="Z1798" s="26" t="s">
        <v>118</v>
      </c>
      <c r="AA1798" s="19" t="s">
        <v>5785</v>
      </c>
      <c r="AB1798" s="26" t="s">
        <v>104</v>
      </c>
      <c r="AC1798" s="26" t="s">
        <v>53</v>
      </c>
      <c r="AD1798" s="19" t="s">
        <v>138</v>
      </c>
      <c r="AE1798" s="26" t="s">
        <v>4984</v>
      </c>
      <c r="AF1798" s="17">
        <v>45513</v>
      </c>
      <c r="AG1798" s="26"/>
      <c r="AH1798" s="26"/>
      <c r="AI1798" s="40" t="s">
        <v>147</v>
      </c>
      <c r="AJ1798" s="26"/>
      <c r="AK1798" s="26"/>
      <c r="AL1798" s="35"/>
      <c r="AM1798" s="35"/>
      <c r="AN1798" s="35"/>
      <c r="AO1798" s="35"/>
      <c r="AP1798" s="35"/>
    </row>
    <row r="1799" spans="1:42" x14ac:dyDescent="0.2">
      <c r="A1799" s="14">
        <v>45352</v>
      </c>
      <c r="B1799" s="28" t="s">
        <v>37</v>
      </c>
      <c r="C1799" s="41" t="s">
        <v>118</v>
      </c>
      <c r="D1799" s="26" t="s">
        <v>36</v>
      </c>
      <c r="E1799" s="26" t="s">
        <v>139</v>
      </c>
      <c r="F1799" s="26" t="s">
        <v>4984</v>
      </c>
      <c r="G1799" s="26" t="s">
        <v>221</v>
      </c>
      <c r="H1799" s="26" t="s">
        <v>7013</v>
      </c>
      <c r="I1799" s="17">
        <f ca="1">IFERROR(__xludf.DUMMYFUNCTION("""COMPUTED_VALUE"""),45369)</f>
        <v>45369</v>
      </c>
      <c r="J1799" s="29" t="s">
        <v>4146</v>
      </c>
      <c r="K1799" s="26" t="s">
        <v>4147</v>
      </c>
      <c r="L1799" s="30">
        <v>865510229</v>
      </c>
      <c r="M1799" s="26" t="s">
        <v>59</v>
      </c>
      <c r="N1799" s="26" t="s">
        <v>260</v>
      </c>
      <c r="O1799" s="26" t="s">
        <v>4148</v>
      </c>
      <c r="P1799" s="42" t="s">
        <v>4149</v>
      </c>
      <c r="Q1799" s="20">
        <v>15936</v>
      </c>
      <c r="R1799" s="26" t="s">
        <v>36</v>
      </c>
      <c r="S1799" s="31">
        <v>15963</v>
      </c>
      <c r="T1799" s="32">
        <v>45200</v>
      </c>
      <c r="U1799" s="31"/>
      <c r="V1799" s="26"/>
      <c r="W1799" s="33" t="s">
        <v>4150</v>
      </c>
      <c r="X1799" s="26"/>
      <c r="Y1799" s="22">
        <v>-27</v>
      </c>
      <c r="Z1799" s="26" t="s">
        <v>118</v>
      </c>
      <c r="AA1799" s="19" t="s">
        <v>3454</v>
      </c>
      <c r="AB1799" s="26" t="s">
        <v>104</v>
      </c>
      <c r="AC1799" s="26" t="s">
        <v>53</v>
      </c>
      <c r="AD1799" s="19" t="s">
        <v>138</v>
      </c>
      <c r="AE1799" s="26" t="s">
        <v>4984</v>
      </c>
      <c r="AF1799" s="17">
        <v>45369</v>
      </c>
      <c r="AG1799" s="26" t="s">
        <v>1362</v>
      </c>
      <c r="AH1799" s="26"/>
      <c r="AI1799" s="40"/>
      <c r="AJ1799" s="26"/>
      <c r="AK1799" s="26"/>
      <c r="AL1799" s="35"/>
      <c r="AM1799" s="35"/>
      <c r="AN1799" s="35"/>
      <c r="AO1799" s="35"/>
      <c r="AP1799" s="35"/>
    </row>
    <row r="1800" spans="1:42" x14ac:dyDescent="0.2">
      <c r="A1800" s="14">
        <v>45352</v>
      </c>
      <c r="B1800" s="28" t="s">
        <v>37</v>
      </c>
      <c r="C1800" s="41" t="s">
        <v>118</v>
      </c>
      <c r="D1800" s="26" t="s">
        <v>36</v>
      </c>
      <c r="E1800" s="26" t="s">
        <v>139</v>
      </c>
      <c r="F1800" s="26" t="s">
        <v>4984</v>
      </c>
      <c r="G1800" s="26" t="s">
        <v>221</v>
      </c>
      <c r="H1800" s="26" t="s">
        <v>7013</v>
      </c>
      <c r="I1800" s="17">
        <f ca="1">IFERROR(__xludf.DUMMYFUNCTION("""COMPUTED_VALUE"""),45369)</f>
        <v>45369</v>
      </c>
      <c r="J1800" s="29" t="s">
        <v>5196</v>
      </c>
      <c r="K1800" s="26" t="s">
        <v>5197</v>
      </c>
      <c r="L1800" s="30">
        <v>977943642</v>
      </c>
      <c r="M1800" s="26" t="s">
        <v>2755</v>
      </c>
      <c r="N1800" s="26" t="s">
        <v>2756</v>
      </c>
      <c r="O1800" s="26" t="s">
        <v>2819</v>
      </c>
      <c r="P1800" s="42" t="s">
        <v>5198</v>
      </c>
      <c r="Q1800" s="20">
        <v>15936</v>
      </c>
      <c r="R1800" s="26" t="s">
        <v>1106</v>
      </c>
      <c r="S1800" s="31">
        <v>2000</v>
      </c>
      <c r="T1800" s="32">
        <v>45201</v>
      </c>
      <c r="U1800" s="31">
        <v>13768</v>
      </c>
      <c r="V1800" s="32">
        <v>45232</v>
      </c>
      <c r="W1800" s="33" t="s">
        <v>5199</v>
      </c>
      <c r="X1800" s="26"/>
      <c r="Y1800" s="22">
        <v>168</v>
      </c>
      <c r="Z1800" s="26" t="s">
        <v>118</v>
      </c>
      <c r="AA1800" s="19" t="s">
        <v>5785</v>
      </c>
      <c r="AB1800" s="26" t="s">
        <v>104</v>
      </c>
      <c r="AC1800" s="26" t="s">
        <v>53</v>
      </c>
      <c r="AD1800" s="19" t="s">
        <v>138</v>
      </c>
      <c r="AE1800" s="26" t="s">
        <v>4984</v>
      </c>
      <c r="AF1800" s="17">
        <v>45369</v>
      </c>
      <c r="AG1800" s="26" t="s">
        <v>1362</v>
      </c>
      <c r="AH1800" s="26"/>
      <c r="AI1800" s="40" t="s">
        <v>147</v>
      </c>
      <c r="AJ1800" s="26"/>
      <c r="AK1800" s="26"/>
      <c r="AL1800" s="35"/>
      <c r="AM1800" s="35"/>
      <c r="AN1800" s="35"/>
      <c r="AO1800" s="35"/>
      <c r="AP1800" s="35"/>
    </row>
    <row r="1801" spans="1:42" x14ac:dyDescent="0.2">
      <c r="A1801" s="14">
        <v>45352</v>
      </c>
      <c r="B1801" s="28" t="s">
        <v>37</v>
      </c>
      <c r="C1801" s="41" t="s">
        <v>118</v>
      </c>
      <c r="D1801" s="26" t="s">
        <v>36</v>
      </c>
      <c r="E1801" s="26" t="s">
        <v>139</v>
      </c>
      <c r="F1801" s="26" t="s">
        <v>4984</v>
      </c>
      <c r="G1801" s="26" t="s">
        <v>221</v>
      </c>
      <c r="H1801" s="26" t="s">
        <v>7013</v>
      </c>
      <c r="I1801" s="17">
        <f ca="1">IFERROR(__xludf.DUMMYFUNCTION("""COMPUTED_VALUE"""),45369)</f>
        <v>45369</v>
      </c>
      <c r="J1801" s="29" t="s">
        <v>5200</v>
      </c>
      <c r="K1801" s="26" t="s">
        <v>5201</v>
      </c>
      <c r="L1801" s="30">
        <v>563626888</v>
      </c>
      <c r="M1801" s="26" t="s">
        <v>2755</v>
      </c>
      <c r="N1801" s="26" t="s">
        <v>2756</v>
      </c>
      <c r="O1801" s="26" t="s">
        <v>2819</v>
      </c>
      <c r="P1801" s="26" t="s">
        <v>5202</v>
      </c>
      <c r="Q1801" s="20">
        <v>15936</v>
      </c>
      <c r="R1801" s="26" t="s">
        <v>1106</v>
      </c>
      <c r="S1801" s="31">
        <v>2000</v>
      </c>
      <c r="T1801" s="32">
        <v>45201</v>
      </c>
      <c r="U1801" s="31">
        <f>13768+18</f>
        <v>13786</v>
      </c>
      <c r="V1801" s="26" t="s">
        <v>5203</v>
      </c>
      <c r="W1801" s="33" t="s">
        <v>5204</v>
      </c>
      <c r="X1801" s="26"/>
      <c r="Y1801" s="22">
        <v>150</v>
      </c>
      <c r="Z1801" s="26" t="s">
        <v>118</v>
      </c>
      <c r="AA1801" s="19" t="s">
        <v>5112</v>
      </c>
      <c r="AB1801" s="26" t="s">
        <v>104</v>
      </c>
      <c r="AC1801" s="26" t="s">
        <v>53</v>
      </c>
      <c r="AD1801" s="19" t="s">
        <v>138</v>
      </c>
      <c r="AE1801" s="26" t="s">
        <v>4984</v>
      </c>
      <c r="AF1801" s="17">
        <v>45369</v>
      </c>
      <c r="AG1801" s="26" t="s">
        <v>1631</v>
      </c>
      <c r="AH1801" s="26"/>
      <c r="AI1801" s="40" t="s">
        <v>147</v>
      </c>
      <c r="AJ1801" s="26"/>
      <c r="AK1801" s="26"/>
      <c r="AL1801" s="35"/>
      <c r="AM1801" s="35"/>
      <c r="AN1801" s="35"/>
      <c r="AO1801" s="35"/>
      <c r="AP1801" s="35"/>
    </row>
    <row r="1802" spans="1:42" x14ac:dyDescent="0.2">
      <c r="A1802" s="14">
        <v>45352</v>
      </c>
      <c r="B1802" s="28" t="s">
        <v>37</v>
      </c>
      <c r="C1802" s="41" t="s">
        <v>118</v>
      </c>
      <c r="D1802" s="26" t="s">
        <v>36</v>
      </c>
      <c r="E1802" s="26" t="s">
        <v>2204</v>
      </c>
      <c r="F1802" s="26" t="s">
        <v>2426</v>
      </c>
      <c r="G1802" s="26" t="s">
        <v>221</v>
      </c>
      <c r="H1802" s="26" t="s">
        <v>6993</v>
      </c>
      <c r="I1802" s="17">
        <f ca="1">IFERROR(__xludf.DUMMYFUNCTION("""COMPUTED_VALUE"""),45366)</f>
        <v>45366</v>
      </c>
      <c r="J1802" s="44" t="s">
        <v>7019</v>
      </c>
      <c r="K1802" s="26" t="s">
        <v>2206</v>
      </c>
      <c r="L1802" s="30">
        <v>377878055</v>
      </c>
      <c r="M1802" s="26" t="s">
        <v>112</v>
      </c>
      <c r="N1802" s="26" t="s">
        <v>3330</v>
      </c>
      <c r="O1802" s="26" t="s">
        <v>2144</v>
      </c>
      <c r="P1802" s="42" t="s">
        <v>7020</v>
      </c>
      <c r="Q1802" s="20">
        <v>15936</v>
      </c>
      <c r="R1802" s="26" t="s">
        <v>36</v>
      </c>
      <c r="S1802" s="77">
        <v>5000</v>
      </c>
      <c r="T1802" s="78">
        <v>44943</v>
      </c>
      <c r="U1802" s="77">
        <v>11779</v>
      </c>
      <c r="V1802" s="78">
        <v>44973</v>
      </c>
      <c r="W1802" s="85" t="s">
        <v>2210</v>
      </c>
      <c r="X1802" s="86"/>
      <c r="Y1802" s="22">
        <v>0</v>
      </c>
      <c r="Z1802" s="26" t="s">
        <v>118</v>
      </c>
      <c r="AA1802" s="19" t="s">
        <v>4541</v>
      </c>
      <c r="AB1802" s="26"/>
      <c r="AC1802" s="26" t="s">
        <v>53</v>
      </c>
      <c r="AD1802" s="19" t="s">
        <v>54</v>
      </c>
      <c r="AE1802" s="26" t="s">
        <v>2426</v>
      </c>
      <c r="AF1802" s="17">
        <v>45358</v>
      </c>
      <c r="AG1802" s="35" t="s">
        <v>2211</v>
      </c>
      <c r="AH1802" s="26" t="s">
        <v>4800</v>
      </c>
      <c r="AI1802" s="40"/>
      <c r="AJ1802" s="26"/>
      <c r="AK1802" s="26"/>
      <c r="AL1802" s="35"/>
      <c r="AM1802" s="35"/>
      <c r="AN1802" s="35"/>
      <c r="AO1802" s="35"/>
      <c r="AP1802" s="35"/>
    </row>
    <row r="1803" spans="1:42" x14ac:dyDescent="0.2">
      <c r="A1803" s="14">
        <v>45352</v>
      </c>
      <c r="B1803" s="28" t="s">
        <v>37</v>
      </c>
      <c r="C1803" s="41" t="s">
        <v>118</v>
      </c>
      <c r="D1803" s="26" t="s">
        <v>36</v>
      </c>
      <c r="E1803" s="26" t="s">
        <v>2335</v>
      </c>
      <c r="F1803" s="26" t="s">
        <v>1544</v>
      </c>
      <c r="G1803" s="26" t="s">
        <v>221</v>
      </c>
      <c r="H1803" s="26" t="s">
        <v>6993</v>
      </c>
      <c r="I1803" s="17">
        <f ca="1">IFERROR(__xludf.DUMMYFUNCTION("""COMPUTED_VALUE"""),45366)</f>
        <v>45366</v>
      </c>
      <c r="J1803" s="29" t="s">
        <v>2342</v>
      </c>
      <c r="K1803" s="26" t="s">
        <v>7021</v>
      </c>
      <c r="L1803" s="30">
        <v>397160192</v>
      </c>
      <c r="M1803" s="26" t="s">
        <v>94</v>
      </c>
      <c r="N1803" s="26" t="s">
        <v>827</v>
      </c>
      <c r="O1803" s="26" t="s">
        <v>91</v>
      </c>
      <c r="P1803" s="42" t="s">
        <v>7022</v>
      </c>
      <c r="Q1803" s="20" t="e">
        <v>#N/A</v>
      </c>
      <c r="R1803" s="26" t="s">
        <v>36</v>
      </c>
      <c r="S1803" s="31">
        <v>6768</v>
      </c>
      <c r="T1803" s="38">
        <v>44761</v>
      </c>
      <c r="U1803" s="31">
        <v>10200</v>
      </c>
      <c r="V1803" s="32">
        <v>44772</v>
      </c>
      <c r="W1803" s="33" t="s">
        <v>2345</v>
      </c>
      <c r="X1803" s="26">
        <v>0</v>
      </c>
      <c r="Y1803" s="22" t="s">
        <v>2340</v>
      </c>
      <c r="Z1803" s="26" t="s">
        <v>118</v>
      </c>
      <c r="AA1803" s="19" t="s">
        <v>1871</v>
      </c>
      <c r="AB1803" s="26" t="s">
        <v>104</v>
      </c>
      <c r="AC1803" s="26" t="s">
        <v>53</v>
      </c>
      <c r="AD1803" s="19" t="s">
        <v>54</v>
      </c>
      <c r="AE1803" s="26" t="s">
        <v>1544</v>
      </c>
      <c r="AF1803" s="17">
        <v>45358</v>
      </c>
      <c r="AG1803" s="26"/>
      <c r="AH1803" s="26">
        <v>1</v>
      </c>
      <c r="AI1803" s="40" t="e">
        <v>#N/A</v>
      </c>
      <c r="AJ1803" s="26"/>
      <c r="AK1803" s="26"/>
      <c r="AL1803" s="26"/>
      <c r="AM1803" s="35"/>
      <c r="AN1803" s="35"/>
      <c r="AO1803" s="35"/>
      <c r="AP1803" s="35"/>
    </row>
    <row r="1804" spans="1:42" x14ac:dyDescent="0.2">
      <c r="A1804" s="14">
        <v>45352</v>
      </c>
      <c r="B1804" s="28" t="s">
        <v>37</v>
      </c>
      <c r="C1804" s="41" t="s">
        <v>118</v>
      </c>
      <c r="D1804" s="26" t="s">
        <v>36</v>
      </c>
      <c r="E1804" s="26" t="s">
        <v>139</v>
      </c>
      <c r="F1804" s="26" t="s">
        <v>4984</v>
      </c>
      <c r="G1804" s="26" t="s">
        <v>221</v>
      </c>
      <c r="H1804" s="26" t="s">
        <v>7013</v>
      </c>
      <c r="I1804" s="17">
        <f ca="1">IFERROR(__xludf.DUMMYFUNCTION("""COMPUTED_VALUE"""),45369)</f>
        <v>45369</v>
      </c>
      <c r="J1804" s="29" t="s">
        <v>5280</v>
      </c>
      <c r="K1804" s="26" t="s">
        <v>5281</v>
      </c>
      <c r="L1804" s="30">
        <v>379911659</v>
      </c>
      <c r="M1804" s="26" t="s">
        <v>3498</v>
      </c>
      <c r="N1804" s="26" t="s">
        <v>2756</v>
      </c>
      <c r="O1804" s="26" t="s">
        <v>143</v>
      </c>
      <c r="P1804" s="42" t="s">
        <v>5928</v>
      </c>
      <c r="Q1804" s="20">
        <v>15936</v>
      </c>
      <c r="R1804" s="26" t="s">
        <v>70</v>
      </c>
      <c r="S1804" s="31">
        <v>500</v>
      </c>
      <c r="T1804" s="32">
        <v>45207</v>
      </c>
      <c r="U1804" s="58">
        <f>1500+13936</f>
        <v>15436</v>
      </c>
      <c r="V1804" s="35" t="s">
        <v>5282</v>
      </c>
      <c r="W1804" s="33" t="s">
        <v>5283</v>
      </c>
      <c r="X1804" s="26"/>
      <c r="Y1804" s="22">
        <v>0</v>
      </c>
      <c r="Z1804" s="26" t="s">
        <v>118</v>
      </c>
      <c r="AA1804" s="19" t="s">
        <v>5785</v>
      </c>
      <c r="AB1804" s="26" t="s">
        <v>104</v>
      </c>
      <c r="AC1804" s="26" t="s">
        <v>53</v>
      </c>
      <c r="AD1804" s="19" t="s">
        <v>138</v>
      </c>
      <c r="AE1804" s="26" t="s">
        <v>4984</v>
      </c>
      <c r="AF1804" s="17">
        <v>45369</v>
      </c>
      <c r="AG1804" s="26" t="s">
        <v>1362</v>
      </c>
      <c r="AH1804" s="26"/>
      <c r="AI1804" s="40" t="s">
        <v>147</v>
      </c>
      <c r="AJ1804" s="26"/>
      <c r="AK1804" s="26"/>
      <c r="AL1804" s="35"/>
      <c r="AM1804" s="35"/>
      <c r="AN1804" s="35"/>
      <c r="AO1804" s="35"/>
      <c r="AP1804" s="35"/>
    </row>
    <row r="1805" spans="1:42" x14ac:dyDescent="0.2">
      <c r="A1805" s="14">
        <v>45352</v>
      </c>
      <c r="B1805" s="28" t="s">
        <v>37</v>
      </c>
      <c r="C1805" s="41" t="s">
        <v>118</v>
      </c>
      <c r="D1805" s="26" t="s">
        <v>36</v>
      </c>
      <c r="E1805" s="26" t="s">
        <v>148</v>
      </c>
      <c r="F1805" s="26" t="s">
        <v>2081</v>
      </c>
      <c r="G1805" s="26" t="s">
        <v>221</v>
      </c>
      <c r="H1805" s="26" t="s">
        <v>6993</v>
      </c>
      <c r="I1805" s="17">
        <f ca="1">IFERROR(__xludf.DUMMYFUNCTION("""COMPUTED_VALUE"""),45366)</f>
        <v>45366</v>
      </c>
      <c r="J1805" s="29" t="s">
        <v>2082</v>
      </c>
      <c r="K1805" s="26" t="s">
        <v>7023</v>
      </c>
      <c r="L1805" s="30">
        <v>397543799</v>
      </c>
      <c r="M1805" s="26" t="s">
        <v>749</v>
      </c>
      <c r="N1805" s="26" t="s">
        <v>2084</v>
      </c>
      <c r="O1805" s="26" t="s">
        <v>2085</v>
      </c>
      <c r="P1805" s="42" t="s">
        <v>2086</v>
      </c>
      <c r="Q1805" s="20">
        <v>7349</v>
      </c>
      <c r="R1805" s="26" t="s">
        <v>36</v>
      </c>
      <c r="S1805" s="31">
        <v>5000</v>
      </c>
      <c r="T1805" s="32">
        <v>44791</v>
      </c>
      <c r="U1805" s="31">
        <v>11779</v>
      </c>
      <c r="V1805" s="32">
        <v>44804</v>
      </c>
      <c r="W1805" s="33" t="s">
        <v>2087</v>
      </c>
      <c r="X1805" s="26">
        <v>0</v>
      </c>
      <c r="Y1805" s="22">
        <v>0</v>
      </c>
      <c r="Z1805" s="26" t="s">
        <v>118</v>
      </c>
      <c r="AA1805" s="19" t="s">
        <v>1871</v>
      </c>
      <c r="AB1805" s="26" t="s">
        <v>104</v>
      </c>
      <c r="AC1805" s="26" t="s">
        <v>53</v>
      </c>
      <c r="AD1805" s="19" t="s">
        <v>54</v>
      </c>
      <c r="AE1805" s="26" t="s">
        <v>2081</v>
      </c>
      <c r="AF1805" s="17">
        <v>45358</v>
      </c>
      <c r="AG1805" s="26"/>
      <c r="AH1805" s="26">
        <v>1</v>
      </c>
      <c r="AI1805" s="40">
        <v>1</v>
      </c>
      <c r="AJ1805" s="26"/>
      <c r="AK1805" s="26"/>
      <c r="AL1805" s="35"/>
      <c r="AM1805" s="35"/>
      <c r="AN1805" s="35"/>
      <c r="AO1805" s="35"/>
      <c r="AP1805" s="35"/>
    </row>
    <row r="1806" spans="1:42" x14ac:dyDescent="0.2">
      <c r="A1806" s="14">
        <v>45352</v>
      </c>
      <c r="B1806" s="28" t="s">
        <v>37</v>
      </c>
      <c r="C1806" s="41" t="s">
        <v>118</v>
      </c>
      <c r="D1806" s="26" t="s">
        <v>36</v>
      </c>
      <c r="E1806" s="26" t="s">
        <v>139</v>
      </c>
      <c r="F1806" s="26" t="s">
        <v>4984</v>
      </c>
      <c r="G1806" s="26" t="s">
        <v>221</v>
      </c>
      <c r="H1806" s="26" t="s">
        <v>7024</v>
      </c>
      <c r="I1806" s="17">
        <f ca="1">IFERROR(__xludf.DUMMYFUNCTION("""COMPUTED_VALUE"""),45557)</f>
        <v>45557</v>
      </c>
      <c r="J1806" s="29" t="s">
        <v>5228</v>
      </c>
      <c r="K1806" s="26" t="s">
        <v>7025</v>
      </c>
      <c r="L1806" s="30">
        <v>368685906</v>
      </c>
      <c r="M1806" s="26" t="s">
        <v>80</v>
      </c>
      <c r="N1806" s="26" t="s">
        <v>299</v>
      </c>
      <c r="O1806" s="26" t="s">
        <v>5230</v>
      </c>
      <c r="P1806" s="42" t="s">
        <v>5231</v>
      </c>
      <c r="Q1806" s="20">
        <v>15936</v>
      </c>
      <c r="R1806" s="26" t="s">
        <v>36</v>
      </c>
      <c r="S1806" s="31">
        <v>2000</v>
      </c>
      <c r="T1806" s="32">
        <v>45202</v>
      </c>
      <c r="U1806" s="31">
        <v>13936</v>
      </c>
      <c r="V1806" s="32">
        <v>45232</v>
      </c>
      <c r="W1806" s="33" t="s">
        <v>5232</v>
      </c>
      <c r="X1806" s="26"/>
      <c r="Y1806" s="22">
        <v>0</v>
      </c>
      <c r="Z1806" s="26" t="s">
        <v>118</v>
      </c>
      <c r="AA1806" s="19" t="s">
        <v>5785</v>
      </c>
      <c r="AB1806" s="26" t="s">
        <v>104</v>
      </c>
      <c r="AC1806" s="26" t="s">
        <v>53</v>
      </c>
      <c r="AD1806" s="19" t="s">
        <v>138</v>
      </c>
      <c r="AE1806" s="26" t="s">
        <v>4984</v>
      </c>
      <c r="AF1806" s="17">
        <v>45557</v>
      </c>
      <c r="AG1806" s="26" t="s">
        <v>1362</v>
      </c>
      <c r="AH1806" s="26"/>
      <c r="AI1806" s="40" t="s">
        <v>147</v>
      </c>
      <c r="AJ1806" s="26"/>
      <c r="AK1806" s="26"/>
      <c r="AL1806" s="35"/>
      <c r="AM1806" s="35"/>
      <c r="AN1806" s="35"/>
      <c r="AO1806" s="35"/>
      <c r="AP1806" s="35"/>
    </row>
    <row r="1807" spans="1:42" x14ac:dyDescent="0.2">
      <c r="A1807" s="14">
        <v>45354</v>
      </c>
      <c r="B1807" s="28" t="s">
        <v>37</v>
      </c>
      <c r="C1807" s="41" t="s">
        <v>118</v>
      </c>
      <c r="D1807" s="26" t="s">
        <v>36</v>
      </c>
      <c r="E1807" s="26" t="s">
        <v>148</v>
      </c>
      <c r="F1807" s="26" t="s">
        <v>4984</v>
      </c>
      <c r="G1807" s="26" t="s">
        <v>221</v>
      </c>
      <c r="H1807" s="26" t="s">
        <v>7013</v>
      </c>
      <c r="I1807" s="17">
        <f ca="1">IFERROR(__xludf.DUMMYFUNCTION("""COMPUTED_VALUE"""),45369)</f>
        <v>45369</v>
      </c>
      <c r="J1807" s="29" t="s">
        <v>5704</v>
      </c>
      <c r="K1807" s="26" t="s">
        <v>5705</v>
      </c>
      <c r="L1807" s="30">
        <v>865676526</v>
      </c>
      <c r="M1807" s="26" t="s">
        <v>112</v>
      </c>
      <c r="N1807" s="26" t="s">
        <v>5706</v>
      </c>
      <c r="O1807" s="26" t="s">
        <v>4158</v>
      </c>
      <c r="P1807" s="42" t="s">
        <v>5707</v>
      </c>
      <c r="Q1807" s="20">
        <v>7349</v>
      </c>
      <c r="R1807" s="26" t="s">
        <v>36</v>
      </c>
      <c r="S1807" s="31">
        <v>200</v>
      </c>
      <c r="T1807" s="32">
        <v>45252</v>
      </c>
      <c r="U1807" s="31">
        <v>7149</v>
      </c>
      <c r="V1807" s="32">
        <v>45255</v>
      </c>
      <c r="W1807" s="33" t="s">
        <v>5708</v>
      </c>
      <c r="X1807" s="26"/>
      <c r="Y1807" s="22">
        <v>0</v>
      </c>
      <c r="Z1807" s="26" t="s">
        <v>118</v>
      </c>
      <c r="AA1807" s="19" t="s">
        <v>5112</v>
      </c>
      <c r="AB1807" s="26" t="s">
        <v>104</v>
      </c>
      <c r="AC1807" s="26" t="s">
        <v>53</v>
      </c>
      <c r="AD1807" s="19" t="s">
        <v>138</v>
      </c>
      <c r="AE1807" s="26" t="s">
        <v>4984</v>
      </c>
      <c r="AF1807" s="17">
        <v>45369</v>
      </c>
      <c r="AG1807" s="26" t="s">
        <v>1362</v>
      </c>
      <c r="AH1807" s="26"/>
      <c r="AI1807" s="40">
        <v>2</v>
      </c>
      <c r="AJ1807" s="26"/>
      <c r="AK1807" s="26"/>
      <c r="AL1807" s="35"/>
      <c r="AM1807" s="35"/>
      <c r="AN1807" s="35"/>
      <c r="AO1807" s="35"/>
      <c r="AP1807" s="35"/>
    </row>
    <row r="1808" spans="1:42" x14ac:dyDescent="0.2">
      <c r="A1808" s="14">
        <v>45354</v>
      </c>
      <c r="B1808" s="28" t="s">
        <v>37</v>
      </c>
      <c r="C1808" s="41" t="s">
        <v>118</v>
      </c>
      <c r="D1808" s="26" t="s">
        <v>36</v>
      </c>
      <c r="E1808" s="26" t="s">
        <v>139</v>
      </c>
      <c r="F1808" s="26" t="s">
        <v>4362</v>
      </c>
      <c r="G1808" s="26" t="s">
        <v>221</v>
      </c>
      <c r="H1808" s="26" t="s">
        <v>4469</v>
      </c>
      <c r="I1808" s="17">
        <f ca="1">IFERROR(__xludf.DUMMYFUNCTION("""COMPUTED_VALUE"""),45358)</f>
        <v>45358</v>
      </c>
      <c r="J1808" s="29" t="s">
        <v>3872</v>
      </c>
      <c r="K1808" s="26" t="s">
        <v>3873</v>
      </c>
      <c r="L1808" s="30">
        <v>971764067</v>
      </c>
      <c r="M1808" s="26" t="s">
        <v>3498</v>
      </c>
      <c r="N1808" s="26" t="s">
        <v>3874</v>
      </c>
      <c r="O1808" s="26" t="s">
        <v>134</v>
      </c>
      <c r="P1808" s="42" t="s">
        <v>7026</v>
      </c>
      <c r="Q1808" s="20">
        <v>15936</v>
      </c>
      <c r="R1808" s="26" t="s">
        <v>36</v>
      </c>
      <c r="S1808" s="31">
        <v>2000</v>
      </c>
      <c r="T1808" s="32">
        <v>45195</v>
      </c>
      <c r="U1808" s="31">
        <v>13968</v>
      </c>
      <c r="V1808" s="32">
        <v>45225</v>
      </c>
      <c r="W1808" s="33" t="s">
        <v>3876</v>
      </c>
      <c r="X1808" s="26"/>
      <c r="Y1808" s="22">
        <v>-32</v>
      </c>
      <c r="Z1808" s="26" t="s">
        <v>118</v>
      </c>
      <c r="AA1808" s="19" t="s">
        <v>5785</v>
      </c>
      <c r="AB1808" s="26"/>
      <c r="AC1808" s="26" t="s">
        <v>53</v>
      </c>
      <c r="AD1808" s="19" t="s">
        <v>138</v>
      </c>
      <c r="AE1808" s="26" t="s">
        <v>4362</v>
      </c>
      <c r="AF1808" s="17">
        <v>45358</v>
      </c>
      <c r="AG1808" s="26" t="s">
        <v>3399</v>
      </c>
      <c r="AH1808" s="26"/>
      <c r="AI1808" s="40" t="s">
        <v>147</v>
      </c>
      <c r="AJ1808" s="26"/>
      <c r="AK1808" s="26"/>
      <c r="AL1808" s="35"/>
      <c r="AM1808" s="35"/>
      <c r="AN1808" s="35"/>
      <c r="AO1808" s="35"/>
      <c r="AP1808" s="35"/>
    </row>
    <row r="1809" spans="1:42" x14ac:dyDescent="0.2">
      <c r="A1809" s="14">
        <v>45354</v>
      </c>
      <c r="B1809" s="28" t="s">
        <v>37</v>
      </c>
      <c r="C1809" s="41" t="s">
        <v>118</v>
      </c>
      <c r="D1809" s="26" t="s">
        <v>36</v>
      </c>
      <c r="E1809" s="26" t="s">
        <v>139</v>
      </c>
      <c r="F1809" s="26" t="s">
        <v>3279</v>
      </c>
      <c r="G1809" s="26" t="s">
        <v>108</v>
      </c>
      <c r="H1809" s="26" t="s">
        <v>7027</v>
      </c>
      <c r="I1809" s="17">
        <f ca="1">IFERROR(__xludf.DUMMYFUNCTION("""COMPUTED_VALUE"""),45389)</f>
        <v>45389</v>
      </c>
      <c r="J1809" s="44" t="s">
        <v>7028</v>
      </c>
      <c r="K1809" s="26" t="s">
        <v>7029</v>
      </c>
      <c r="L1809" s="30">
        <v>347830908</v>
      </c>
      <c r="M1809" s="26" t="s">
        <v>292</v>
      </c>
      <c r="N1809" s="26" t="s">
        <v>1232</v>
      </c>
      <c r="O1809" s="67" t="s">
        <v>6757</v>
      </c>
      <c r="P1809" s="26" t="s">
        <v>6758</v>
      </c>
      <c r="Q1809" s="20">
        <v>15936</v>
      </c>
      <c r="R1809" s="26" t="s">
        <v>36</v>
      </c>
      <c r="S1809" s="31">
        <v>15936</v>
      </c>
      <c r="T1809" s="32">
        <v>45301</v>
      </c>
      <c r="U1809" s="31"/>
      <c r="V1809" s="32"/>
      <c r="W1809" s="33" t="s">
        <v>6759</v>
      </c>
      <c r="X1809" s="26">
        <v>0</v>
      </c>
      <c r="Y1809" s="22">
        <v>0</v>
      </c>
      <c r="Z1809" s="26" t="s">
        <v>118</v>
      </c>
      <c r="AA1809" s="19" t="s">
        <v>7030</v>
      </c>
      <c r="AB1809" s="26" t="s">
        <v>104</v>
      </c>
      <c r="AC1809" s="26" t="s">
        <v>53</v>
      </c>
      <c r="AD1809" s="19" t="s">
        <v>138</v>
      </c>
      <c r="AE1809" s="26" t="s">
        <v>3279</v>
      </c>
      <c r="AF1809" s="17">
        <v>45308</v>
      </c>
      <c r="AG1809" s="26" t="s">
        <v>1362</v>
      </c>
      <c r="AH1809" s="26"/>
      <c r="AI1809" s="40" t="s">
        <v>147</v>
      </c>
      <c r="AJ1809" s="26"/>
      <c r="AK1809" s="26"/>
      <c r="AL1809" s="35"/>
      <c r="AM1809" s="35"/>
      <c r="AN1809" s="35"/>
      <c r="AO1809" s="35"/>
      <c r="AP1809" s="35"/>
    </row>
    <row r="1810" spans="1:42" x14ac:dyDescent="0.2">
      <c r="A1810" s="14">
        <v>45354</v>
      </c>
      <c r="B1810" s="28" t="s">
        <v>37</v>
      </c>
      <c r="C1810" s="41" t="s">
        <v>118</v>
      </c>
      <c r="D1810" s="26" t="s">
        <v>36</v>
      </c>
      <c r="E1810" s="26" t="s">
        <v>56</v>
      </c>
      <c r="F1810" s="26" t="s">
        <v>3279</v>
      </c>
      <c r="G1810" s="26" t="s">
        <v>108</v>
      </c>
      <c r="H1810" s="26" t="s">
        <v>4931</v>
      </c>
      <c r="I1810" s="17">
        <f ca="1">IFERROR(__xludf.DUMMYFUNCTION("""COMPUTED_VALUE"""),45375)</f>
        <v>45375</v>
      </c>
      <c r="J1810" s="29" t="s">
        <v>4209</v>
      </c>
      <c r="K1810" s="26" t="s">
        <v>7031</v>
      </c>
      <c r="L1810" s="30">
        <v>964196492</v>
      </c>
      <c r="M1810" s="26" t="s">
        <v>633</v>
      </c>
      <c r="N1810" s="26" t="s">
        <v>2847</v>
      </c>
      <c r="O1810" s="26" t="s">
        <v>4211</v>
      </c>
      <c r="P1810" s="26" t="s">
        <v>4212</v>
      </c>
      <c r="Q1810" s="20">
        <v>9317</v>
      </c>
      <c r="R1810" s="26" t="s">
        <v>36</v>
      </c>
      <c r="S1810" s="31">
        <v>2000</v>
      </c>
      <c r="T1810" s="32">
        <v>45211</v>
      </c>
      <c r="U1810" s="31">
        <v>7317</v>
      </c>
      <c r="V1810" s="32">
        <v>45215</v>
      </c>
      <c r="W1810" s="33" t="s">
        <v>4213</v>
      </c>
      <c r="X1810" s="26">
        <v>0</v>
      </c>
      <c r="Y1810" s="22">
        <v>0</v>
      </c>
      <c r="Z1810" s="26" t="s">
        <v>118</v>
      </c>
      <c r="AA1810" s="19" t="s">
        <v>3454</v>
      </c>
      <c r="AB1810" s="26" t="s">
        <v>104</v>
      </c>
      <c r="AC1810" s="26" t="s">
        <v>53</v>
      </c>
      <c r="AD1810" s="19" t="s">
        <v>54</v>
      </c>
      <c r="AE1810" s="26" t="s">
        <v>3279</v>
      </c>
      <c r="AF1810" s="17">
        <v>45375</v>
      </c>
      <c r="AG1810" s="26" t="s">
        <v>1362</v>
      </c>
      <c r="AH1810" s="26"/>
      <c r="AI1810" s="40"/>
      <c r="AJ1810" s="26"/>
      <c r="AK1810" s="26"/>
      <c r="AL1810" s="35"/>
      <c r="AM1810" s="35"/>
      <c r="AN1810" s="35"/>
      <c r="AO1810" s="35"/>
      <c r="AP1810" s="35"/>
    </row>
    <row r="1811" spans="1:42" x14ac:dyDescent="0.2">
      <c r="A1811" s="14">
        <v>45354</v>
      </c>
      <c r="B1811" s="28" t="s">
        <v>37</v>
      </c>
      <c r="C1811" s="41" t="s">
        <v>118</v>
      </c>
      <c r="D1811" s="26" t="s">
        <v>36</v>
      </c>
      <c r="E1811" s="26" t="s">
        <v>139</v>
      </c>
      <c r="F1811" s="26" t="s">
        <v>7027</v>
      </c>
      <c r="G1811" s="26" t="s">
        <v>108</v>
      </c>
      <c r="H1811" s="26" t="s">
        <v>7032</v>
      </c>
      <c r="I1811" s="17" t="str">
        <f ca="1">IFERROR(__xludf.DUMMYFUNCTION("""COMPUTED_VALUE""")," ")</f>
        <v xml:space="preserve"> </v>
      </c>
      <c r="J1811" s="29" t="s">
        <v>6780</v>
      </c>
      <c r="K1811" s="26" t="s">
        <v>6781</v>
      </c>
      <c r="L1811" s="30">
        <v>865992562</v>
      </c>
      <c r="M1811" s="26" t="s">
        <v>59</v>
      </c>
      <c r="N1811" s="26" t="s">
        <v>68</v>
      </c>
      <c r="O1811" s="26" t="s">
        <v>6782</v>
      </c>
      <c r="P1811" s="26" t="s">
        <v>6783</v>
      </c>
      <c r="Q1811" s="20">
        <v>15936</v>
      </c>
      <c r="R1811" s="26" t="s">
        <v>36</v>
      </c>
      <c r="S1811" s="31">
        <v>5000</v>
      </c>
      <c r="T1811" s="32">
        <v>45296</v>
      </c>
      <c r="U1811" s="31">
        <v>10963</v>
      </c>
      <c r="V1811" s="32">
        <v>45322</v>
      </c>
      <c r="W1811" s="33" t="s">
        <v>6784</v>
      </c>
      <c r="X1811" s="26">
        <v>0</v>
      </c>
      <c r="Y1811" s="22">
        <v>-27</v>
      </c>
      <c r="Z1811" s="26" t="s">
        <v>118</v>
      </c>
      <c r="AA1811" s="19" t="s">
        <v>6079</v>
      </c>
      <c r="AB1811" s="26" t="s">
        <v>104</v>
      </c>
      <c r="AC1811" s="26" t="s">
        <v>53</v>
      </c>
      <c r="AD1811" s="19" t="s">
        <v>138</v>
      </c>
      <c r="AE1811" s="26" t="s">
        <v>3279</v>
      </c>
      <c r="AF1811" s="17">
        <v>45452</v>
      </c>
      <c r="AG1811" s="26" t="s">
        <v>1362</v>
      </c>
      <c r="AH1811" s="26"/>
      <c r="AI1811" s="40" t="s">
        <v>147</v>
      </c>
      <c r="AJ1811" s="26"/>
      <c r="AK1811" s="26"/>
      <c r="AL1811" s="35"/>
      <c r="AM1811" s="35"/>
      <c r="AN1811" s="35"/>
      <c r="AO1811" s="35"/>
      <c r="AP1811" s="35"/>
    </row>
    <row r="1812" spans="1:42" x14ac:dyDescent="0.2">
      <c r="A1812" s="14">
        <v>45354</v>
      </c>
      <c r="B1812" s="28" t="s">
        <v>37</v>
      </c>
      <c r="C1812" s="41" t="s">
        <v>118</v>
      </c>
      <c r="D1812" s="26" t="s">
        <v>36</v>
      </c>
      <c r="E1812" s="26" t="s">
        <v>148</v>
      </c>
      <c r="F1812" s="26" t="s">
        <v>2128</v>
      </c>
      <c r="G1812" s="125" t="s">
        <v>221</v>
      </c>
      <c r="H1812" s="26" t="s">
        <v>6993</v>
      </c>
      <c r="I1812" s="17">
        <f ca="1">IFERROR(__xludf.DUMMYFUNCTION("""COMPUTED_VALUE"""),45366)</f>
        <v>45366</v>
      </c>
      <c r="J1812" s="29" t="s">
        <v>2129</v>
      </c>
      <c r="K1812" s="26" t="s">
        <v>4863</v>
      </c>
      <c r="L1812" s="30">
        <v>392578488</v>
      </c>
      <c r="M1812" s="26" t="s">
        <v>112</v>
      </c>
      <c r="N1812" s="26" t="s">
        <v>310</v>
      </c>
      <c r="O1812" s="67" t="s">
        <v>7033</v>
      </c>
      <c r="P1812" s="42" t="s">
        <v>7034</v>
      </c>
      <c r="Q1812" s="20">
        <v>7349</v>
      </c>
      <c r="R1812" s="26" t="s">
        <v>36</v>
      </c>
      <c r="S1812" s="31">
        <v>7168</v>
      </c>
      <c r="T1812" s="32">
        <v>45077</v>
      </c>
      <c r="U1812" s="31"/>
      <c r="V1812" s="26"/>
      <c r="W1812" s="33" t="s">
        <v>7035</v>
      </c>
      <c r="X1812" s="26">
        <v>0</v>
      </c>
      <c r="Y1812" s="22"/>
      <c r="Z1812" s="26" t="s">
        <v>118</v>
      </c>
      <c r="AA1812" s="19" t="s">
        <v>7036</v>
      </c>
      <c r="AB1812" s="26" t="s">
        <v>36</v>
      </c>
      <c r="AC1812" s="26" t="s">
        <v>53</v>
      </c>
      <c r="AD1812" s="14" t="s">
        <v>2128</v>
      </c>
      <c r="AE1812" s="26" t="s">
        <v>2128</v>
      </c>
      <c r="AF1812" s="17">
        <v>45358</v>
      </c>
      <c r="AG1812" s="91"/>
      <c r="AH1812" s="26"/>
      <c r="AI1812" s="92"/>
      <c r="AJ1812" s="35"/>
      <c r="AK1812" s="35"/>
      <c r="AL1812" s="35"/>
      <c r="AM1812" s="35"/>
      <c r="AN1812" s="26"/>
      <c r="AO1812" s="26"/>
      <c r="AP1812" s="35"/>
    </row>
    <row r="1813" spans="1:42" x14ac:dyDescent="0.2">
      <c r="A1813" s="14">
        <v>45355</v>
      </c>
      <c r="B1813" s="28" t="s">
        <v>37</v>
      </c>
      <c r="C1813" s="41" t="s">
        <v>118</v>
      </c>
      <c r="D1813" s="26" t="s">
        <v>36</v>
      </c>
      <c r="E1813" s="26" t="s">
        <v>56</v>
      </c>
      <c r="F1813" s="26" t="s">
        <v>2401</v>
      </c>
      <c r="G1813" s="125" t="s">
        <v>221</v>
      </c>
      <c r="H1813" s="26" t="s">
        <v>6993</v>
      </c>
      <c r="I1813" s="17">
        <f ca="1">IFERROR(__xludf.DUMMYFUNCTION("""COMPUTED_VALUE"""),45366)</f>
        <v>45366</v>
      </c>
      <c r="J1813" s="29" t="s">
        <v>1039</v>
      </c>
      <c r="K1813" s="26" t="s">
        <v>4653</v>
      </c>
      <c r="L1813" s="30">
        <v>393908251</v>
      </c>
      <c r="M1813" s="26" t="s">
        <v>123</v>
      </c>
      <c r="N1813" s="26" t="s">
        <v>151</v>
      </c>
      <c r="O1813" s="26" t="s">
        <v>91</v>
      </c>
      <c r="P1813" s="26" t="s">
        <v>4654</v>
      </c>
      <c r="Q1813" s="20">
        <v>9317</v>
      </c>
      <c r="R1813" s="26" t="s">
        <v>36</v>
      </c>
      <c r="S1813" s="31">
        <v>1968</v>
      </c>
      <c r="T1813" s="32">
        <v>45122</v>
      </c>
      <c r="U1813" s="50">
        <v>7349</v>
      </c>
      <c r="V1813" s="51">
        <v>45147</v>
      </c>
      <c r="W1813" s="19" t="s">
        <v>1042</v>
      </c>
      <c r="X1813" s="26">
        <v>0</v>
      </c>
      <c r="Y1813" s="22">
        <v>0</v>
      </c>
      <c r="Z1813" s="26" t="s">
        <v>118</v>
      </c>
      <c r="AA1813" s="19" t="s">
        <v>4541</v>
      </c>
      <c r="AB1813" s="26" t="s">
        <v>104</v>
      </c>
      <c r="AC1813" s="26" t="s">
        <v>53</v>
      </c>
      <c r="AD1813" s="19" t="s">
        <v>54</v>
      </c>
      <c r="AE1813" s="26" t="s">
        <v>2401</v>
      </c>
      <c r="AF1813" s="17">
        <v>45358</v>
      </c>
      <c r="AG1813" s="26"/>
      <c r="AH1813" s="26"/>
      <c r="AI1813" s="40"/>
      <c r="AJ1813" s="26"/>
      <c r="AK1813" s="26"/>
      <c r="AL1813" s="35"/>
      <c r="AM1813" s="35"/>
      <c r="AN1813" s="35"/>
      <c r="AO1813" s="35"/>
      <c r="AP1813" s="35"/>
    </row>
    <row r="1814" spans="1:42" x14ac:dyDescent="0.2">
      <c r="A1814" s="14">
        <v>45355</v>
      </c>
      <c r="B1814" s="28" t="s">
        <v>37</v>
      </c>
      <c r="C1814" s="41" t="s">
        <v>118</v>
      </c>
      <c r="D1814" s="26" t="s">
        <v>36</v>
      </c>
      <c r="E1814" s="26" t="s">
        <v>139</v>
      </c>
      <c r="F1814" s="26" t="s">
        <v>3279</v>
      </c>
      <c r="G1814" s="26" t="s">
        <v>108</v>
      </c>
      <c r="H1814" s="26" t="s">
        <v>4931</v>
      </c>
      <c r="I1814" s="17">
        <f ca="1">IFERROR(__xludf.DUMMYFUNCTION("""COMPUTED_VALUE"""),45375)</f>
        <v>45375</v>
      </c>
      <c r="J1814" s="29" t="s">
        <v>6793</v>
      </c>
      <c r="K1814" s="26" t="s">
        <v>6794</v>
      </c>
      <c r="L1814" s="30">
        <v>373857615</v>
      </c>
      <c r="M1814" s="26" t="s">
        <v>292</v>
      </c>
      <c r="N1814" s="26" t="s">
        <v>1232</v>
      </c>
      <c r="O1814" s="67" t="s">
        <v>6795</v>
      </c>
      <c r="P1814" s="26" t="s">
        <v>6796</v>
      </c>
      <c r="Q1814" s="20">
        <v>15936</v>
      </c>
      <c r="R1814" s="26" t="s">
        <v>36</v>
      </c>
      <c r="S1814" s="31">
        <v>15936</v>
      </c>
      <c r="T1814" s="32">
        <v>45302</v>
      </c>
      <c r="U1814" s="31"/>
      <c r="V1814" s="32"/>
      <c r="W1814" s="33" t="s">
        <v>6797</v>
      </c>
      <c r="X1814" s="26">
        <v>0</v>
      </c>
      <c r="Y1814" s="22">
        <v>0</v>
      </c>
      <c r="Z1814" s="26" t="s">
        <v>118</v>
      </c>
      <c r="AA1814" s="19" t="s">
        <v>7030</v>
      </c>
      <c r="AB1814" s="26"/>
      <c r="AC1814" s="26" t="s">
        <v>53</v>
      </c>
      <c r="AD1814" s="19" t="s">
        <v>138</v>
      </c>
      <c r="AE1814" s="26" t="s">
        <v>3279</v>
      </c>
      <c r="AF1814" s="17">
        <v>45375</v>
      </c>
      <c r="AG1814" s="26" t="s">
        <v>1362</v>
      </c>
      <c r="AH1814" s="26"/>
      <c r="AI1814" s="40" t="s">
        <v>147</v>
      </c>
      <c r="AJ1814" s="26"/>
      <c r="AK1814" s="26"/>
      <c r="AL1814" s="35"/>
      <c r="AM1814" s="35"/>
      <c r="AN1814" s="35"/>
      <c r="AO1814" s="35"/>
      <c r="AP1814" s="35"/>
    </row>
    <row r="1815" spans="1:42" x14ac:dyDescent="0.2">
      <c r="A1815" s="14">
        <v>45355</v>
      </c>
      <c r="B1815" s="28" t="s">
        <v>37</v>
      </c>
      <c r="C1815" s="41" t="s">
        <v>118</v>
      </c>
      <c r="D1815" s="26" t="s">
        <v>36</v>
      </c>
      <c r="E1815" s="26" t="s">
        <v>39</v>
      </c>
      <c r="F1815" s="26" t="s">
        <v>3302</v>
      </c>
      <c r="G1815" s="26" t="s">
        <v>108</v>
      </c>
      <c r="H1815" s="26" t="s">
        <v>7037</v>
      </c>
      <c r="I1815" s="17" t="str">
        <f ca="1">IFERROR(__xludf.DUMMYFUNCTION("""COMPUTED_VALUE""")," ")</f>
        <v xml:space="preserve"> </v>
      </c>
      <c r="J1815" s="29" t="s">
        <v>4271</v>
      </c>
      <c r="K1815" s="26" t="s">
        <v>7038</v>
      </c>
      <c r="L1815" s="30">
        <v>367202418</v>
      </c>
      <c r="M1815" s="26" t="s">
        <v>123</v>
      </c>
      <c r="N1815" s="26" t="s">
        <v>3065</v>
      </c>
      <c r="O1815" s="26" t="s">
        <v>1226</v>
      </c>
      <c r="P1815" s="42" t="s">
        <v>7039</v>
      </c>
      <c r="Q1815" s="20">
        <v>5736</v>
      </c>
      <c r="R1815" s="26" t="s">
        <v>36</v>
      </c>
      <c r="S1815" s="31">
        <v>5736</v>
      </c>
      <c r="T1815" s="32">
        <v>45214</v>
      </c>
      <c r="U1815" s="31"/>
      <c r="V1815" s="26"/>
      <c r="W1815" s="33" t="s">
        <v>4274</v>
      </c>
      <c r="X1815" s="26"/>
      <c r="Y1815" s="22">
        <v>0</v>
      </c>
      <c r="Z1815" s="26" t="s">
        <v>118</v>
      </c>
      <c r="AA1815" s="19" t="s">
        <v>3454</v>
      </c>
      <c r="AB1815" s="26" t="s">
        <v>104</v>
      </c>
      <c r="AC1815" s="26" t="s">
        <v>53</v>
      </c>
      <c r="AD1815" s="19" t="s">
        <v>54</v>
      </c>
      <c r="AE1815" s="26" t="s">
        <v>3302</v>
      </c>
      <c r="AF1815" s="17">
        <v>45358</v>
      </c>
      <c r="AG1815" s="26"/>
      <c r="AH1815" s="26"/>
      <c r="AI1815" s="40"/>
      <c r="AJ1815" s="26"/>
      <c r="AK1815" s="26"/>
      <c r="AL1815" s="35"/>
      <c r="AM1815" s="35"/>
      <c r="AN1815" s="35"/>
      <c r="AO1815" s="35"/>
      <c r="AP1815" s="35"/>
    </row>
    <row r="1816" spans="1:42" x14ac:dyDescent="0.2">
      <c r="A1816" s="14">
        <v>45355</v>
      </c>
      <c r="B1816" s="28" t="s">
        <v>37</v>
      </c>
      <c r="C1816" s="41" t="s">
        <v>118</v>
      </c>
      <c r="D1816" s="26" t="s">
        <v>36</v>
      </c>
      <c r="E1816" s="26" t="s">
        <v>148</v>
      </c>
      <c r="F1816" s="26" t="s">
        <v>3264</v>
      </c>
      <c r="G1816" s="125" t="s">
        <v>221</v>
      </c>
      <c r="H1816" s="26" t="s">
        <v>6645</v>
      </c>
      <c r="I1816" s="17">
        <f ca="1">IFERROR(__xludf.DUMMYFUNCTION("""COMPUTED_VALUE"""),45404)</f>
        <v>45404</v>
      </c>
      <c r="J1816" s="29" t="s">
        <v>1254</v>
      </c>
      <c r="K1816" s="26" t="s">
        <v>7040</v>
      </c>
      <c r="L1816" s="30">
        <v>347327205</v>
      </c>
      <c r="M1816" s="26" t="s">
        <v>112</v>
      </c>
      <c r="N1816" s="26" t="s">
        <v>1742</v>
      </c>
      <c r="O1816" s="26" t="s">
        <v>1256</v>
      </c>
      <c r="P1816" s="42" t="s">
        <v>7041</v>
      </c>
      <c r="Q1816" s="20">
        <v>7349</v>
      </c>
      <c r="R1816" s="26" t="s">
        <v>36</v>
      </c>
      <c r="S1816" s="31">
        <v>5000</v>
      </c>
      <c r="T1816" s="32">
        <v>45199</v>
      </c>
      <c r="U1816" s="31">
        <v>2349</v>
      </c>
      <c r="V1816" s="32">
        <v>45219</v>
      </c>
      <c r="W1816" s="33" t="s">
        <v>3948</v>
      </c>
      <c r="X1816" s="26"/>
      <c r="Y1816" s="22">
        <v>0</v>
      </c>
      <c r="Z1816" s="26" t="s">
        <v>118</v>
      </c>
      <c r="AA1816" s="19" t="s">
        <v>3454</v>
      </c>
      <c r="AB1816" s="26" t="s">
        <v>104</v>
      </c>
      <c r="AC1816" s="26" t="s">
        <v>53</v>
      </c>
      <c r="AD1816" s="19" t="s">
        <v>54</v>
      </c>
      <c r="AE1816" s="26" t="s">
        <v>3264</v>
      </c>
      <c r="AF1816" s="17">
        <v>45392</v>
      </c>
      <c r="AG1816" s="26"/>
      <c r="AH1816" s="26"/>
      <c r="AI1816" s="40"/>
      <c r="AJ1816" s="26"/>
      <c r="AK1816" s="26"/>
      <c r="AL1816" s="35"/>
      <c r="AM1816" s="35"/>
      <c r="AN1816" s="35"/>
      <c r="AO1816" s="35"/>
      <c r="AP1816" s="35"/>
    </row>
    <row r="1817" spans="1:42" x14ac:dyDescent="0.2">
      <c r="A1817" s="14">
        <v>45355</v>
      </c>
      <c r="B1817" s="28" t="s">
        <v>37</v>
      </c>
      <c r="C1817" s="41" t="s">
        <v>118</v>
      </c>
      <c r="D1817" s="26" t="s">
        <v>36</v>
      </c>
      <c r="E1817" s="26" t="s">
        <v>56</v>
      </c>
      <c r="F1817" s="26" t="s">
        <v>2401</v>
      </c>
      <c r="G1817" s="125" t="s">
        <v>221</v>
      </c>
      <c r="H1817" s="26" t="s">
        <v>6993</v>
      </c>
      <c r="I1817" s="17">
        <f ca="1">IFERROR(__xludf.DUMMYFUNCTION("""COMPUTED_VALUE"""),45366)</f>
        <v>45366</v>
      </c>
      <c r="J1817" s="29" t="s">
        <v>1082</v>
      </c>
      <c r="K1817" s="26" t="s">
        <v>1083</v>
      </c>
      <c r="L1817" s="30">
        <v>967317306</v>
      </c>
      <c r="M1817" s="26" t="s">
        <v>80</v>
      </c>
      <c r="N1817" s="26" t="s">
        <v>299</v>
      </c>
      <c r="O1817" s="26" t="s">
        <v>91</v>
      </c>
      <c r="P1817" s="42" t="s">
        <v>7042</v>
      </c>
      <c r="Q1817" s="20">
        <v>9317</v>
      </c>
      <c r="R1817" s="26" t="s">
        <v>36</v>
      </c>
      <c r="S1817" s="31">
        <v>2000</v>
      </c>
      <c r="T1817" s="32">
        <v>45126</v>
      </c>
      <c r="U1817" s="31">
        <v>7317</v>
      </c>
      <c r="V1817" s="32">
        <v>45152</v>
      </c>
      <c r="W1817" s="33" t="s">
        <v>1086</v>
      </c>
      <c r="X1817" s="26">
        <v>0</v>
      </c>
      <c r="Y1817" s="22">
        <v>0</v>
      </c>
      <c r="Z1817" s="26" t="s">
        <v>118</v>
      </c>
      <c r="AA1817" s="19" t="s">
        <v>4541</v>
      </c>
      <c r="AB1817" s="26" t="s">
        <v>104</v>
      </c>
      <c r="AC1817" s="26" t="s">
        <v>53</v>
      </c>
      <c r="AD1817" s="19" t="s">
        <v>54</v>
      </c>
      <c r="AE1817" s="26" t="s">
        <v>2401</v>
      </c>
      <c r="AF1817" s="17">
        <v>45358</v>
      </c>
      <c r="AG1817" s="26"/>
      <c r="AH1817" s="26"/>
      <c r="AI1817" s="40"/>
      <c r="AJ1817" s="26"/>
      <c r="AK1817" s="26"/>
      <c r="AL1817" s="35"/>
      <c r="AM1817" s="35"/>
      <c r="AN1817" s="35"/>
      <c r="AO1817" s="35"/>
      <c r="AP1817" s="35"/>
    </row>
    <row r="1818" spans="1:42" x14ac:dyDescent="0.2">
      <c r="A1818" s="14">
        <v>45356</v>
      </c>
      <c r="B1818" s="28" t="s">
        <v>37</v>
      </c>
      <c r="C1818" s="41" t="s">
        <v>118</v>
      </c>
      <c r="D1818" s="26" t="s">
        <v>36</v>
      </c>
      <c r="E1818" s="26" t="s">
        <v>139</v>
      </c>
      <c r="F1818" s="26" t="s">
        <v>2595</v>
      </c>
      <c r="G1818" s="125" t="s">
        <v>221</v>
      </c>
      <c r="H1818" s="26" t="s">
        <v>6623</v>
      </c>
      <c r="I1818" s="17">
        <f ca="1">IFERROR(__xludf.DUMMYFUNCTION("""COMPUTED_VALUE"""),45461)</f>
        <v>45461</v>
      </c>
      <c r="J1818" s="29" t="s">
        <v>7043</v>
      </c>
      <c r="K1818" s="26" t="s">
        <v>7044</v>
      </c>
      <c r="L1818" s="30">
        <v>372627914</v>
      </c>
      <c r="M1818" s="26" t="s">
        <v>59</v>
      </c>
      <c r="N1818" s="26" t="s">
        <v>60</v>
      </c>
      <c r="O1818" s="26" t="s">
        <v>91</v>
      </c>
      <c r="P1818" s="42" t="s">
        <v>7045</v>
      </c>
      <c r="Q1818" s="20">
        <v>15936</v>
      </c>
      <c r="R1818" s="26" t="s">
        <v>36</v>
      </c>
      <c r="S1818" s="31">
        <v>7000</v>
      </c>
      <c r="T1818" s="32">
        <v>45118</v>
      </c>
      <c r="U1818" s="31">
        <v>8936</v>
      </c>
      <c r="V1818" s="32">
        <v>45152</v>
      </c>
      <c r="W1818" s="33" t="s">
        <v>1000</v>
      </c>
      <c r="X1818" s="26">
        <v>0</v>
      </c>
      <c r="Y1818" s="22">
        <v>0</v>
      </c>
      <c r="Z1818" s="26" t="s">
        <v>118</v>
      </c>
      <c r="AA1818" s="19" t="s">
        <v>4541</v>
      </c>
      <c r="AB1818" s="26" t="s">
        <v>104</v>
      </c>
      <c r="AC1818" s="26" t="s">
        <v>53</v>
      </c>
      <c r="AD1818" s="19" t="s">
        <v>138</v>
      </c>
      <c r="AE1818" s="26" t="s">
        <v>2595</v>
      </c>
      <c r="AF1818" s="17">
        <v>45362</v>
      </c>
      <c r="AG1818" s="29" t="s">
        <v>996</v>
      </c>
      <c r="AH1818" s="26"/>
      <c r="AI1818" s="40"/>
      <c r="AJ1818" s="26"/>
      <c r="AK1818" s="26"/>
      <c r="AL1818" s="35"/>
      <c r="AM1818" s="35"/>
      <c r="AN1818" s="35"/>
      <c r="AO1818" s="35"/>
      <c r="AP1818" s="35"/>
    </row>
    <row r="1819" spans="1:42" x14ac:dyDescent="0.2">
      <c r="A1819" s="14">
        <v>45356</v>
      </c>
      <c r="B1819" s="28" t="s">
        <v>37</v>
      </c>
      <c r="C1819" s="41" t="s">
        <v>118</v>
      </c>
      <c r="D1819" s="26" t="s">
        <v>36</v>
      </c>
      <c r="E1819" s="26" t="s">
        <v>7046</v>
      </c>
      <c r="F1819" s="26" t="s">
        <v>7047</v>
      </c>
      <c r="G1819" s="71" t="s">
        <v>108</v>
      </c>
      <c r="H1819" s="26" t="s">
        <v>7048</v>
      </c>
      <c r="I1819" s="17" t="str">
        <f ca="1">IFERROR(__xludf.DUMMYFUNCTION("""COMPUTED_VALUE""")," ")</f>
        <v xml:space="preserve"> </v>
      </c>
      <c r="J1819" s="29" t="s">
        <v>7049</v>
      </c>
      <c r="K1819" s="26" t="s">
        <v>7050</v>
      </c>
      <c r="L1819" s="30">
        <v>344310103</v>
      </c>
      <c r="M1819" s="26" t="s">
        <v>391</v>
      </c>
      <c r="N1819" s="26" t="s">
        <v>7051</v>
      </c>
      <c r="O1819" s="26" t="s">
        <v>6357</v>
      </c>
      <c r="P1819" s="42" t="s">
        <v>7052</v>
      </c>
      <c r="Q1819" s="20">
        <v>13879</v>
      </c>
      <c r="R1819" s="26" t="s">
        <v>36</v>
      </c>
      <c r="S1819" s="31">
        <v>13879</v>
      </c>
      <c r="T1819" s="32">
        <v>44981</v>
      </c>
      <c r="U1819" s="31"/>
      <c r="V1819" s="26"/>
      <c r="W1819" s="26" t="s">
        <v>7053</v>
      </c>
      <c r="X1819" s="26">
        <v>0</v>
      </c>
      <c r="Y1819" s="22">
        <v>0</v>
      </c>
      <c r="Z1819" s="26" t="s">
        <v>118</v>
      </c>
      <c r="AA1819" s="19"/>
      <c r="AB1819" s="26" t="s">
        <v>104</v>
      </c>
      <c r="AC1819" s="26" t="s">
        <v>53</v>
      </c>
      <c r="AD1819" s="19" t="s">
        <v>54</v>
      </c>
      <c r="AE1819" s="26" t="s">
        <v>7047</v>
      </c>
      <c r="AF1819" s="17">
        <v>45358</v>
      </c>
      <c r="AG1819" s="91"/>
      <c r="AH1819" s="26"/>
      <c r="AI1819" s="92"/>
      <c r="AJ1819" s="35"/>
      <c r="AK1819" s="35"/>
      <c r="AL1819" s="35"/>
      <c r="AM1819" s="35"/>
      <c r="AN1819" s="26"/>
      <c r="AO1819" s="26"/>
      <c r="AP1819" s="26"/>
    </row>
    <row r="1820" spans="1:42" x14ac:dyDescent="0.2">
      <c r="A1820" s="99">
        <v>45357</v>
      </c>
      <c r="B1820" s="28" t="s">
        <v>37</v>
      </c>
      <c r="C1820" s="41" t="s">
        <v>118</v>
      </c>
      <c r="D1820" s="39" t="s">
        <v>7054</v>
      </c>
      <c r="E1820" s="26" t="s">
        <v>2335</v>
      </c>
      <c r="F1820" s="26" t="s">
        <v>6547</v>
      </c>
      <c r="G1820" s="71" t="s">
        <v>108</v>
      </c>
      <c r="H1820" s="26" t="s">
        <v>4633</v>
      </c>
      <c r="I1820" s="17">
        <f ca="1">IFERROR(__xludf.DUMMYFUNCTION("""COMPUTED_VALUE"""),45365)</f>
        <v>45365</v>
      </c>
      <c r="J1820" s="29" t="s">
        <v>7055</v>
      </c>
      <c r="K1820" s="26" t="s">
        <v>7056</v>
      </c>
      <c r="L1820" s="30">
        <v>818943397</v>
      </c>
      <c r="M1820" s="26" t="s">
        <v>94</v>
      </c>
      <c r="N1820" s="26" t="s">
        <v>7057</v>
      </c>
      <c r="O1820" s="67" t="s">
        <v>7058</v>
      </c>
      <c r="P1820" s="26" t="s">
        <v>7059</v>
      </c>
      <c r="Q1820" s="20">
        <v>16779</v>
      </c>
      <c r="R1820" s="26" t="s">
        <v>36</v>
      </c>
      <c r="S1820" s="31">
        <v>16679</v>
      </c>
      <c r="T1820" s="32">
        <v>44925</v>
      </c>
      <c r="U1820" s="31">
        <v>100</v>
      </c>
      <c r="V1820" s="32">
        <v>44926</v>
      </c>
      <c r="W1820" s="33" t="s">
        <v>7060</v>
      </c>
      <c r="X1820" s="26"/>
      <c r="Y1820" s="22">
        <v>0</v>
      </c>
      <c r="Z1820" s="98" t="s">
        <v>118</v>
      </c>
      <c r="AA1820" s="19"/>
      <c r="AB1820" s="26" t="s">
        <v>104</v>
      </c>
      <c r="AC1820" s="26" t="s">
        <v>53</v>
      </c>
      <c r="AD1820" s="14" t="s">
        <v>54</v>
      </c>
      <c r="AE1820" s="26" t="s">
        <v>6547</v>
      </c>
      <c r="AF1820" s="17">
        <v>45358</v>
      </c>
      <c r="AG1820" s="91"/>
      <c r="AH1820" s="26"/>
      <c r="AI1820" s="92"/>
      <c r="AJ1820" s="35"/>
      <c r="AK1820" s="35"/>
      <c r="AL1820" s="35"/>
      <c r="AM1820" s="35"/>
      <c r="AN1820" s="26"/>
      <c r="AO1820" s="26"/>
      <c r="AP1820" s="35"/>
    </row>
    <row r="1821" spans="1:42" x14ac:dyDescent="0.2">
      <c r="A1821" s="99">
        <v>45357</v>
      </c>
      <c r="B1821" s="28" t="s">
        <v>37</v>
      </c>
      <c r="C1821" s="41" t="s">
        <v>118</v>
      </c>
      <c r="D1821" s="26" t="s">
        <v>36</v>
      </c>
      <c r="E1821" s="26" t="s">
        <v>148</v>
      </c>
      <c r="F1821" s="35" t="s">
        <v>338</v>
      </c>
      <c r="G1821" s="125" t="s">
        <v>221</v>
      </c>
      <c r="H1821" s="26" t="s">
        <v>6874</v>
      </c>
      <c r="I1821" s="17">
        <f ca="1">IFERROR(__xludf.DUMMYFUNCTION("""COMPUTED_VALUE"""),45378)</f>
        <v>45378</v>
      </c>
      <c r="J1821" s="55" t="s">
        <v>1941</v>
      </c>
      <c r="K1821" s="35" t="s">
        <v>7061</v>
      </c>
      <c r="L1821" s="30">
        <v>362473344</v>
      </c>
      <c r="M1821" s="26" t="s">
        <v>80</v>
      </c>
      <c r="N1821" s="26" t="s">
        <v>466</v>
      </c>
      <c r="O1821" s="26" t="s">
        <v>36</v>
      </c>
      <c r="P1821" s="72" t="s">
        <v>7062</v>
      </c>
      <c r="Q1821" s="20">
        <v>7349</v>
      </c>
      <c r="R1821" s="26" t="s">
        <v>36</v>
      </c>
      <c r="S1821" s="31">
        <v>13615</v>
      </c>
      <c r="T1821" s="32">
        <v>44857</v>
      </c>
      <c r="U1821" s="58"/>
      <c r="V1821" s="35"/>
      <c r="W1821" s="55" t="s">
        <v>1944</v>
      </c>
      <c r="X1821" s="35">
        <v>0</v>
      </c>
      <c r="Y1821" s="22">
        <v>-6266</v>
      </c>
      <c r="Z1821" s="35" t="s">
        <v>118</v>
      </c>
      <c r="AA1821" s="19" t="s">
        <v>1871</v>
      </c>
      <c r="AB1821" s="26" t="s">
        <v>104</v>
      </c>
      <c r="AC1821" s="26" t="s">
        <v>53</v>
      </c>
      <c r="AD1821" s="19" t="s">
        <v>54</v>
      </c>
      <c r="AE1821" s="19" t="s">
        <v>338</v>
      </c>
      <c r="AF1821" s="17">
        <v>45362</v>
      </c>
      <c r="AG1821" s="35"/>
      <c r="AH1821" s="36">
        <v>1</v>
      </c>
      <c r="AI1821" s="37">
        <v>2</v>
      </c>
      <c r="AJ1821" s="35"/>
      <c r="AK1821" s="35"/>
      <c r="AL1821" s="35"/>
      <c r="AM1821" s="35"/>
      <c r="AN1821" s="35"/>
      <c r="AO1821" s="35"/>
      <c r="AP1821" s="35"/>
    </row>
    <row r="1822" spans="1:42" x14ac:dyDescent="0.2">
      <c r="A1822" s="99">
        <v>45362</v>
      </c>
      <c r="B1822" s="28" t="s">
        <v>37</v>
      </c>
      <c r="C1822" s="41" t="s">
        <v>118</v>
      </c>
      <c r="D1822" s="26" t="s">
        <v>36</v>
      </c>
      <c r="E1822" s="26" t="s">
        <v>56</v>
      </c>
      <c r="F1822" s="26" t="s">
        <v>2424</v>
      </c>
      <c r="G1822" s="125" t="s">
        <v>221</v>
      </c>
      <c r="H1822" s="26" t="s">
        <v>6874</v>
      </c>
      <c r="I1822" s="17">
        <f ca="1">IFERROR(__xludf.DUMMYFUNCTION("""COMPUTED_VALUE"""),45378)</f>
        <v>45378</v>
      </c>
      <c r="J1822" s="29" t="s">
        <v>1259</v>
      </c>
      <c r="K1822" s="26" t="s">
        <v>4723</v>
      </c>
      <c r="L1822" s="30">
        <v>363128226</v>
      </c>
      <c r="M1822" s="26" t="s">
        <v>80</v>
      </c>
      <c r="N1822" s="26" t="s">
        <v>299</v>
      </c>
      <c r="O1822" s="26" t="s">
        <v>1261</v>
      </c>
      <c r="P1822" s="42" t="s">
        <v>4724</v>
      </c>
      <c r="Q1822" s="20">
        <v>9317</v>
      </c>
      <c r="R1822" s="26" t="s">
        <v>36</v>
      </c>
      <c r="S1822" s="31">
        <v>2000</v>
      </c>
      <c r="T1822" s="32">
        <v>45141</v>
      </c>
      <c r="U1822" s="31">
        <v>7317</v>
      </c>
      <c r="V1822" s="32">
        <v>45160</v>
      </c>
      <c r="W1822" s="33" t="s">
        <v>1263</v>
      </c>
      <c r="X1822" s="26">
        <v>0</v>
      </c>
      <c r="Y1822" s="22">
        <v>0</v>
      </c>
      <c r="Z1822" s="26" t="s">
        <v>118</v>
      </c>
      <c r="AA1822" s="19" t="s">
        <v>4541</v>
      </c>
      <c r="AB1822" s="26" t="s">
        <v>104</v>
      </c>
      <c r="AC1822" s="26" t="s">
        <v>53</v>
      </c>
      <c r="AD1822" s="19" t="s">
        <v>54</v>
      </c>
      <c r="AE1822" s="26" t="s">
        <v>2424</v>
      </c>
      <c r="AF1822" s="17">
        <v>45362</v>
      </c>
      <c r="AG1822" s="26"/>
      <c r="AH1822" s="26"/>
      <c r="AI1822" s="40"/>
      <c r="AJ1822" s="26"/>
      <c r="AK1822" s="26"/>
      <c r="AL1822" s="35"/>
      <c r="AM1822" s="35"/>
      <c r="AN1822" s="35"/>
      <c r="AO1822" s="35"/>
      <c r="AP1822" s="35"/>
    </row>
    <row r="1823" spans="1:42" x14ac:dyDescent="0.2">
      <c r="A1823" s="99">
        <v>44950</v>
      </c>
      <c r="B1823" s="69" t="s">
        <v>37</v>
      </c>
      <c r="C1823" s="41" t="s">
        <v>118</v>
      </c>
      <c r="D1823" s="26" t="s">
        <v>36</v>
      </c>
      <c r="E1823" s="26" t="s">
        <v>106</v>
      </c>
      <c r="F1823" s="26" t="s">
        <v>7063</v>
      </c>
      <c r="G1823" s="71" t="s">
        <v>108</v>
      </c>
      <c r="H1823" s="26" t="s">
        <v>4931</v>
      </c>
      <c r="I1823" s="17">
        <f ca="1">IFERROR(__xludf.DUMMYFUNCTION("""COMPUTED_VALUE"""),45375)</f>
        <v>45375</v>
      </c>
      <c r="J1823" s="29" t="s">
        <v>7064</v>
      </c>
      <c r="K1823" s="26" t="s">
        <v>7065</v>
      </c>
      <c r="L1823" s="30">
        <v>934496573</v>
      </c>
      <c r="M1823" s="26" t="s">
        <v>1993</v>
      </c>
      <c r="N1823" s="26" t="s">
        <v>2060</v>
      </c>
      <c r="O1823" s="26" t="s">
        <v>36</v>
      </c>
      <c r="P1823" s="42" t="s">
        <v>7066</v>
      </c>
      <c r="Q1823" s="20">
        <v>3768</v>
      </c>
      <c r="R1823" s="26" t="s">
        <v>36</v>
      </c>
      <c r="S1823" s="31">
        <v>3668</v>
      </c>
      <c r="T1823" s="32">
        <v>44950</v>
      </c>
      <c r="U1823" s="31"/>
      <c r="V1823" s="26"/>
      <c r="W1823" s="33" t="s">
        <v>7067</v>
      </c>
      <c r="X1823" s="26">
        <v>100</v>
      </c>
      <c r="Y1823" s="22">
        <v>0</v>
      </c>
      <c r="Z1823" s="26" t="s">
        <v>118</v>
      </c>
      <c r="AA1823" s="19" t="s">
        <v>5070</v>
      </c>
      <c r="AB1823" s="26" t="s">
        <v>104</v>
      </c>
      <c r="AC1823" s="26" t="s">
        <v>53</v>
      </c>
      <c r="AD1823" s="19" t="s">
        <v>54</v>
      </c>
      <c r="AE1823" s="26"/>
      <c r="AF1823" s="17">
        <v>45375</v>
      </c>
      <c r="AG1823" s="91"/>
      <c r="AH1823" s="91">
        <v>1</v>
      </c>
      <c r="AI1823" s="92"/>
      <c r="AJ1823" s="92">
        <v>44950.616177731485</v>
      </c>
      <c r="AK1823" s="35"/>
      <c r="AL1823" s="128" t="s">
        <v>7068</v>
      </c>
      <c r="AM1823" s="35"/>
      <c r="AN1823" s="26"/>
      <c r="AO1823" s="26"/>
      <c r="AP1823" s="35"/>
    </row>
    <row r="1824" spans="1:42" x14ac:dyDescent="0.2">
      <c r="A1824" s="14">
        <v>45363</v>
      </c>
      <c r="B1824" s="28" t="s">
        <v>37</v>
      </c>
      <c r="C1824" s="41" t="s">
        <v>118</v>
      </c>
      <c r="D1824" s="26" t="s">
        <v>36</v>
      </c>
      <c r="E1824" s="26" t="s">
        <v>56</v>
      </c>
      <c r="F1824" s="26" t="s">
        <v>3349</v>
      </c>
      <c r="G1824" s="26" t="s">
        <v>41</v>
      </c>
      <c r="H1824" s="26" t="s">
        <v>7008</v>
      </c>
      <c r="I1824" s="17">
        <f ca="1">IFERROR(__xludf.DUMMYFUNCTION("""COMPUTED_VALUE"""),45370)</f>
        <v>45370</v>
      </c>
      <c r="J1824" s="29" t="s">
        <v>3350</v>
      </c>
      <c r="K1824" s="35" t="s">
        <v>7069</v>
      </c>
      <c r="L1824" s="83">
        <v>985247463</v>
      </c>
      <c r="M1824" s="26" t="s">
        <v>80</v>
      </c>
      <c r="N1824" s="26" t="s">
        <v>299</v>
      </c>
      <c r="O1824" s="26" t="s">
        <v>36</v>
      </c>
      <c r="P1824" s="42" t="s">
        <v>7070</v>
      </c>
      <c r="Q1824" s="20">
        <v>16779</v>
      </c>
      <c r="R1824" s="26" t="s">
        <v>36</v>
      </c>
      <c r="S1824" s="31">
        <v>4000</v>
      </c>
      <c r="T1824" s="32">
        <v>44991</v>
      </c>
      <c r="U1824" s="31">
        <v>12779</v>
      </c>
      <c r="V1824" s="32">
        <v>45008</v>
      </c>
      <c r="W1824" s="33" t="s">
        <v>7071</v>
      </c>
      <c r="X1824" s="26">
        <v>0</v>
      </c>
      <c r="Y1824" s="22">
        <v>0</v>
      </c>
      <c r="Z1824" s="26" t="s">
        <v>118</v>
      </c>
      <c r="AA1824" s="19"/>
      <c r="AB1824" s="26" t="s">
        <v>104</v>
      </c>
      <c r="AC1824" s="26" t="s">
        <v>53</v>
      </c>
      <c r="AD1824" s="19" t="s">
        <v>54</v>
      </c>
      <c r="AE1824" s="26">
        <v>230</v>
      </c>
      <c r="AF1824" s="17">
        <v>45369</v>
      </c>
      <c r="AG1824" s="91"/>
      <c r="AH1824" s="26"/>
      <c r="AI1824" s="92"/>
      <c r="AJ1824" s="35"/>
      <c r="AK1824" s="35"/>
      <c r="AL1824" s="35"/>
      <c r="AM1824" s="35"/>
      <c r="AN1824" s="26"/>
      <c r="AO1824" s="26"/>
      <c r="AP1824" s="35"/>
    </row>
    <row r="1825" spans="1:42" x14ac:dyDescent="0.2">
      <c r="A1825" s="14">
        <v>45363</v>
      </c>
      <c r="B1825" s="28" t="s">
        <v>37</v>
      </c>
      <c r="C1825" s="41" t="s">
        <v>118</v>
      </c>
      <c r="D1825" s="26" t="s">
        <v>36</v>
      </c>
      <c r="E1825" s="26" t="s">
        <v>148</v>
      </c>
      <c r="F1825" s="35" t="s">
        <v>2401</v>
      </c>
      <c r="G1825" s="125" t="s">
        <v>221</v>
      </c>
      <c r="H1825" s="26" t="s">
        <v>6874</v>
      </c>
      <c r="I1825" s="17">
        <f ca="1">IFERROR(__xludf.DUMMYFUNCTION("""COMPUTED_VALUE"""),45378)</f>
        <v>45378</v>
      </c>
      <c r="J1825" s="29" t="s">
        <v>4663</v>
      </c>
      <c r="K1825" s="26" t="s">
        <v>4664</v>
      </c>
      <c r="L1825" s="57">
        <v>985054016</v>
      </c>
      <c r="M1825" s="35" t="s">
        <v>1245</v>
      </c>
      <c r="N1825" s="35" t="s">
        <v>6606</v>
      </c>
      <c r="O1825" s="26"/>
      <c r="P1825" s="72" t="s">
        <v>7072</v>
      </c>
      <c r="Q1825" s="20">
        <v>7349</v>
      </c>
      <c r="R1825" s="26" t="s">
        <v>36</v>
      </c>
      <c r="S1825" s="31">
        <v>10804</v>
      </c>
      <c r="T1825" s="32">
        <v>44938</v>
      </c>
      <c r="U1825" s="58"/>
      <c r="V1825" s="35"/>
      <c r="W1825" s="55" t="s">
        <v>4667</v>
      </c>
      <c r="X1825" s="35"/>
      <c r="Y1825" s="22">
        <v>-3455</v>
      </c>
      <c r="Z1825" s="35" t="s">
        <v>118</v>
      </c>
      <c r="AA1825" s="19" t="s">
        <v>4541</v>
      </c>
      <c r="AB1825" s="26" t="s">
        <v>104</v>
      </c>
      <c r="AC1825" s="26" t="s">
        <v>53</v>
      </c>
      <c r="AD1825" s="19" t="s">
        <v>54</v>
      </c>
      <c r="AE1825" s="19" t="s">
        <v>2401</v>
      </c>
      <c r="AF1825" s="17">
        <v>45364</v>
      </c>
      <c r="AG1825" s="35" t="s">
        <v>4668</v>
      </c>
      <c r="AH1825" s="36"/>
      <c r="AI1825" s="37"/>
      <c r="AJ1825" s="35"/>
      <c r="AK1825" s="35"/>
      <c r="AL1825" s="35"/>
      <c r="AM1825" s="35"/>
      <c r="AN1825" s="35"/>
      <c r="AO1825" s="35"/>
      <c r="AP1825" s="35"/>
    </row>
    <row r="1826" spans="1:42" x14ac:dyDescent="0.2">
      <c r="A1826" s="126">
        <v>45257.455201041666</v>
      </c>
      <c r="B1826" s="28" t="s">
        <v>37</v>
      </c>
      <c r="C1826" s="41" t="s">
        <v>118</v>
      </c>
      <c r="D1826" s="26" t="s">
        <v>36</v>
      </c>
      <c r="E1826" s="26" t="s">
        <v>77</v>
      </c>
      <c r="F1826" s="26" t="s">
        <v>36</v>
      </c>
      <c r="G1826" s="26" t="s">
        <v>41</v>
      </c>
      <c r="H1826" s="26" t="s">
        <v>4489</v>
      </c>
      <c r="I1826" s="17">
        <f ca="1">IFERROR(__xludf.DUMMYFUNCTION("""COMPUTED_VALUE"""),45309)</f>
        <v>45309</v>
      </c>
      <c r="J1826" s="29" t="s">
        <v>7073</v>
      </c>
      <c r="K1826" s="26" t="s">
        <v>7074</v>
      </c>
      <c r="L1826" s="30">
        <v>325370126</v>
      </c>
      <c r="M1826" s="26" t="s">
        <v>3728</v>
      </c>
      <c r="N1826" s="26" t="s">
        <v>5377</v>
      </c>
      <c r="O1826" s="26" t="s">
        <v>7075</v>
      </c>
      <c r="P1826" s="26" t="s">
        <v>138</v>
      </c>
      <c r="Q1826" s="20">
        <v>1968</v>
      </c>
      <c r="R1826" s="26" t="s">
        <v>36</v>
      </c>
      <c r="S1826" s="31">
        <v>2000</v>
      </c>
      <c r="T1826" s="32">
        <v>45256</v>
      </c>
      <c r="U1826" s="31"/>
      <c r="V1826" s="32"/>
      <c r="W1826" s="33" t="s">
        <v>7076</v>
      </c>
      <c r="X1826" s="26"/>
      <c r="Y1826" s="22">
        <v>-32</v>
      </c>
      <c r="Z1826" s="26" t="s">
        <v>50</v>
      </c>
      <c r="AA1826" s="19" t="s">
        <v>7077</v>
      </c>
      <c r="AB1826" s="26" t="s">
        <v>104</v>
      </c>
      <c r="AC1826" s="26" t="s">
        <v>53</v>
      </c>
      <c r="AD1826" s="19" t="s">
        <v>138</v>
      </c>
      <c r="AE1826" s="26"/>
      <c r="AF1826" s="17">
        <v>45309</v>
      </c>
      <c r="AG1826" s="26" t="s">
        <v>7078</v>
      </c>
      <c r="AH1826" s="26" t="s">
        <v>7079</v>
      </c>
      <c r="AI1826" s="40" t="s">
        <v>84</v>
      </c>
      <c r="AJ1826" s="26"/>
      <c r="AK1826" s="26"/>
      <c r="AL1826" s="35"/>
      <c r="AM1826" s="35"/>
      <c r="AN1826" s="35"/>
      <c r="AO1826" s="35"/>
      <c r="AP1826" s="35"/>
    </row>
    <row r="1827" spans="1:42" x14ac:dyDescent="0.2">
      <c r="A1827" s="126">
        <v>45267.005599293982</v>
      </c>
      <c r="B1827" s="28" t="s">
        <v>37</v>
      </c>
      <c r="C1827" s="41" t="s">
        <v>118</v>
      </c>
      <c r="D1827" s="26" t="s">
        <v>36</v>
      </c>
      <c r="E1827" s="26" t="s">
        <v>77</v>
      </c>
      <c r="F1827" s="26" t="s">
        <v>40</v>
      </c>
      <c r="G1827" s="26" t="s">
        <v>41</v>
      </c>
      <c r="H1827" s="26" t="s">
        <v>4489</v>
      </c>
      <c r="I1827" s="17">
        <f ca="1">IFERROR(__xludf.DUMMYFUNCTION("""COMPUTED_VALUE"""),45309)</f>
        <v>45309</v>
      </c>
      <c r="J1827" s="29" t="s">
        <v>7080</v>
      </c>
      <c r="K1827" s="26" t="s">
        <v>4537</v>
      </c>
      <c r="L1827" s="30">
        <v>339609688</v>
      </c>
      <c r="M1827" s="26" t="s">
        <v>59</v>
      </c>
      <c r="N1827" s="26" t="s">
        <v>260</v>
      </c>
      <c r="O1827" s="26" t="s">
        <v>7081</v>
      </c>
      <c r="P1827" s="26" t="s">
        <v>7082</v>
      </c>
      <c r="Q1827" s="20">
        <v>1968</v>
      </c>
      <c r="R1827" s="26" t="s">
        <v>36</v>
      </c>
      <c r="S1827" s="31">
        <v>2000</v>
      </c>
      <c r="T1827" s="32">
        <v>45264</v>
      </c>
      <c r="U1827" s="31"/>
      <c r="V1827" s="32"/>
      <c r="W1827" s="33" t="s">
        <v>7083</v>
      </c>
      <c r="X1827" s="26"/>
      <c r="Y1827" s="22">
        <v>-32</v>
      </c>
      <c r="Z1827" s="26" t="s">
        <v>50</v>
      </c>
      <c r="AA1827" s="19" t="s">
        <v>7077</v>
      </c>
      <c r="AB1827" s="26" t="s">
        <v>104</v>
      </c>
      <c r="AC1827" s="26" t="s">
        <v>53</v>
      </c>
      <c r="AD1827" s="19" t="s">
        <v>138</v>
      </c>
      <c r="AE1827" s="26"/>
      <c r="AF1827" s="17">
        <v>45309</v>
      </c>
      <c r="AG1827" s="26" t="s">
        <v>7084</v>
      </c>
      <c r="AH1827" s="26"/>
      <c r="AI1827" s="40" t="s">
        <v>84</v>
      </c>
      <c r="AJ1827" s="26"/>
      <c r="AK1827" s="26"/>
      <c r="AL1827" s="35"/>
      <c r="AM1827" s="35"/>
      <c r="AN1827" s="35"/>
      <c r="AO1827" s="35"/>
      <c r="AP1827" s="35"/>
    </row>
    <row r="1828" spans="1:42" x14ac:dyDescent="0.2">
      <c r="A1828" s="126">
        <v>45294.762981597218</v>
      </c>
      <c r="B1828" s="28" t="s">
        <v>37</v>
      </c>
      <c r="C1828" s="41" t="s">
        <v>118</v>
      </c>
      <c r="D1828" s="26" t="s">
        <v>36</v>
      </c>
      <c r="E1828" s="26" t="s">
        <v>139</v>
      </c>
      <c r="F1828" s="26" t="s">
        <v>36</v>
      </c>
      <c r="G1828" s="26" t="s">
        <v>41</v>
      </c>
      <c r="H1828" s="26" t="s">
        <v>6412</v>
      </c>
      <c r="I1828" s="17">
        <f ca="1">IFERROR(__xludf.DUMMYFUNCTION("""COMPUTED_VALUE"""),45313)</f>
        <v>45313</v>
      </c>
      <c r="J1828" s="29" t="s">
        <v>7085</v>
      </c>
      <c r="K1828" s="26" t="s">
        <v>7086</v>
      </c>
      <c r="L1828" s="30">
        <v>962212489</v>
      </c>
      <c r="M1828" s="26" t="s">
        <v>80</v>
      </c>
      <c r="N1828" s="26" t="s">
        <v>466</v>
      </c>
      <c r="O1828" s="26" t="s">
        <v>7087</v>
      </c>
      <c r="P1828" s="26" t="s">
        <v>7088</v>
      </c>
      <c r="Q1828" s="20">
        <v>15936</v>
      </c>
      <c r="R1828" s="26" t="s">
        <v>36</v>
      </c>
      <c r="S1828" s="31">
        <v>200</v>
      </c>
      <c r="T1828" s="32">
        <v>45291</v>
      </c>
      <c r="U1828" s="31">
        <f>3800+11936</f>
        <v>15736</v>
      </c>
      <c r="V1828" s="26" t="s">
        <v>7089</v>
      </c>
      <c r="W1828" s="26" t="s">
        <v>7090</v>
      </c>
      <c r="X1828" s="26"/>
      <c r="Y1828" s="22">
        <v>0</v>
      </c>
      <c r="Z1828" s="26" t="s">
        <v>50</v>
      </c>
      <c r="AA1828" s="19" t="s">
        <v>7077</v>
      </c>
      <c r="AB1828" s="26" t="s">
        <v>104</v>
      </c>
      <c r="AC1828" s="26" t="s">
        <v>53</v>
      </c>
      <c r="AD1828" s="19" t="s">
        <v>54</v>
      </c>
      <c r="AE1828" s="26">
        <v>0</v>
      </c>
      <c r="AF1828" s="17">
        <v>45295</v>
      </c>
      <c r="AG1828" s="26"/>
      <c r="AH1828" s="26"/>
      <c r="AI1828" s="40" t="s">
        <v>147</v>
      </c>
      <c r="AJ1828" s="26"/>
      <c r="AK1828" s="26"/>
      <c r="AL1828" s="35"/>
      <c r="AM1828" s="35"/>
      <c r="AN1828" s="35"/>
      <c r="AO1828" s="35"/>
      <c r="AP1828" s="35"/>
    </row>
    <row r="1829" spans="1:42" x14ac:dyDescent="0.2">
      <c r="A1829" s="126">
        <v>45295.444308414357</v>
      </c>
      <c r="B1829" s="28" t="s">
        <v>37</v>
      </c>
      <c r="C1829" s="41" t="s">
        <v>118</v>
      </c>
      <c r="D1829" s="26" t="s">
        <v>36</v>
      </c>
      <c r="E1829" s="26" t="s">
        <v>139</v>
      </c>
      <c r="F1829" s="26" t="s">
        <v>91</v>
      </c>
      <c r="G1829" s="19" t="s">
        <v>41</v>
      </c>
      <c r="H1829" s="19" t="s">
        <v>4489</v>
      </c>
      <c r="I1829" s="17">
        <f ca="1">IFERROR(__xludf.DUMMYFUNCTION("""COMPUTED_VALUE"""),45309)</f>
        <v>45309</v>
      </c>
      <c r="J1829" s="49" t="s">
        <v>7091</v>
      </c>
      <c r="K1829" s="19" t="s">
        <v>7092</v>
      </c>
      <c r="L1829" s="47">
        <v>965849002</v>
      </c>
      <c r="M1829" s="19" t="s">
        <v>123</v>
      </c>
      <c r="N1829" s="19" t="s">
        <v>186</v>
      </c>
      <c r="O1829" s="26" t="s">
        <v>4503</v>
      </c>
      <c r="P1829" s="26" t="s">
        <v>3056</v>
      </c>
      <c r="Q1829" s="20">
        <v>15936</v>
      </c>
      <c r="R1829" s="26" t="s">
        <v>36</v>
      </c>
      <c r="S1829" s="31">
        <f>200+5000+10236</f>
        <v>15436</v>
      </c>
      <c r="T1829" s="26" t="s">
        <v>7093</v>
      </c>
      <c r="U1829" s="31"/>
      <c r="V1829" s="32"/>
      <c r="W1829" s="33" t="s">
        <v>7094</v>
      </c>
      <c r="X1829" s="26"/>
      <c r="Y1829" s="22">
        <v>500</v>
      </c>
      <c r="Z1829" s="26" t="s">
        <v>50</v>
      </c>
      <c r="AA1829" s="19" t="s">
        <v>7077</v>
      </c>
      <c r="AB1829" s="26" t="s">
        <v>104</v>
      </c>
      <c r="AC1829" s="26" t="s">
        <v>53</v>
      </c>
      <c r="AD1829" s="19" t="s">
        <v>138</v>
      </c>
      <c r="AE1829" s="26"/>
      <c r="AF1829" s="17">
        <v>45309</v>
      </c>
      <c r="AG1829" s="26" t="s">
        <v>1362</v>
      </c>
      <c r="AH1829" s="26"/>
      <c r="AI1829" s="40" t="s">
        <v>147</v>
      </c>
      <c r="AJ1829" s="26"/>
      <c r="AK1829" s="26"/>
      <c r="AL1829" s="35"/>
      <c r="AM1829" s="35"/>
      <c r="AN1829" s="35"/>
      <c r="AO1829" s="35"/>
      <c r="AP1829" s="35"/>
    </row>
    <row r="1830" spans="1:42" x14ac:dyDescent="0.2">
      <c r="A1830" s="126">
        <v>45296.930744351848</v>
      </c>
      <c r="B1830" s="28" t="s">
        <v>37</v>
      </c>
      <c r="C1830" s="41" t="s">
        <v>118</v>
      </c>
      <c r="D1830" s="26" t="s">
        <v>36</v>
      </c>
      <c r="E1830" s="26" t="s">
        <v>139</v>
      </c>
      <c r="F1830" s="26" t="s">
        <v>36</v>
      </c>
      <c r="G1830" s="26" t="s">
        <v>41</v>
      </c>
      <c r="H1830" s="26" t="s">
        <v>4489</v>
      </c>
      <c r="I1830" s="17">
        <f ca="1">IFERROR(__xludf.DUMMYFUNCTION("""COMPUTED_VALUE"""),45309)</f>
        <v>45309</v>
      </c>
      <c r="J1830" s="29" t="s">
        <v>7095</v>
      </c>
      <c r="K1830" s="26" t="s">
        <v>7096</v>
      </c>
      <c r="L1830" s="30">
        <v>912552802</v>
      </c>
      <c r="M1830" s="26" t="s">
        <v>2755</v>
      </c>
      <c r="N1830" s="26" t="s">
        <v>2756</v>
      </c>
      <c r="O1830" s="26" t="s">
        <v>4503</v>
      </c>
      <c r="P1830" s="26" t="s">
        <v>7097</v>
      </c>
      <c r="Q1830" s="20">
        <v>15936</v>
      </c>
      <c r="R1830" s="26" t="s">
        <v>36</v>
      </c>
      <c r="S1830" s="31">
        <v>400</v>
      </c>
      <c r="T1830" s="32">
        <v>45293</v>
      </c>
      <c r="U1830" s="31">
        <f>11336+3600</f>
        <v>14936</v>
      </c>
      <c r="V1830" s="26" t="s">
        <v>7098</v>
      </c>
      <c r="W1830" s="33" t="s">
        <v>7099</v>
      </c>
      <c r="X1830" s="26"/>
      <c r="Y1830" s="22">
        <v>600</v>
      </c>
      <c r="Z1830" s="26" t="s">
        <v>50</v>
      </c>
      <c r="AA1830" s="19" t="s">
        <v>7077</v>
      </c>
      <c r="AB1830" s="26" t="s">
        <v>104</v>
      </c>
      <c r="AC1830" s="26" t="s">
        <v>53</v>
      </c>
      <c r="AD1830" s="19" t="s">
        <v>138</v>
      </c>
      <c r="AE1830" s="26"/>
      <c r="AF1830" s="17">
        <v>45309</v>
      </c>
      <c r="AG1830" s="26" t="s">
        <v>1362</v>
      </c>
      <c r="AH1830" s="26"/>
      <c r="AI1830" s="40" t="s">
        <v>147</v>
      </c>
      <c r="AJ1830" s="26"/>
      <c r="AK1830" s="26"/>
      <c r="AL1830" s="35"/>
      <c r="AM1830" s="35"/>
      <c r="AN1830" s="35"/>
      <c r="AO1830" s="35"/>
      <c r="AP1830" s="35"/>
    </row>
    <row r="1831" spans="1:42" x14ac:dyDescent="0.2">
      <c r="A1831" s="126">
        <v>45296.93514987269</v>
      </c>
      <c r="B1831" s="28" t="s">
        <v>37</v>
      </c>
      <c r="C1831" s="41" t="s">
        <v>118</v>
      </c>
      <c r="D1831" s="26" t="s">
        <v>36</v>
      </c>
      <c r="E1831" s="26" t="s">
        <v>77</v>
      </c>
      <c r="F1831" s="26" t="s">
        <v>91</v>
      </c>
      <c r="G1831" s="26" t="s">
        <v>41</v>
      </c>
      <c r="H1831" s="26" t="s">
        <v>3279</v>
      </c>
      <c r="I1831" s="17">
        <f ca="1">IFERROR(__xludf.DUMMYFUNCTION("""COMPUTED_VALUE"""),45308)</f>
        <v>45308</v>
      </c>
      <c r="J1831" s="29" t="s">
        <v>7100</v>
      </c>
      <c r="K1831" s="26" t="s">
        <v>7101</v>
      </c>
      <c r="L1831" s="30">
        <v>396703136</v>
      </c>
      <c r="M1831" s="26" t="s">
        <v>2755</v>
      </c>
      <c r="N1831" s="26" t="s">
        <v>3512</v>
      </c>
      <c r="O1831" s="26" t="s">
        <v>4503</v>
      </c>
      <c r="P1831" s="26" t="s">
        <v>3117</v>
      </c>
      <c r="Q1831" s="20">
        <v>1968</v>
      </c>
      <c r="R1831" s="26" t="s">
        <v>36</v>
      </c>
      <c r="S1831" s="31">
        <v>200</v>
      </c>
      <c r="T1831" s="32">
        <v>45239</v>
      </c>
      <c r="U1831" s="31">
        <v>1800</v>
      </c>
      <c r="V1831" s="32">
        <v>45244</v>
      </c>
      <c r="W1831" s="26" t="s">
        <v>7102</v>
      </c>
      <c r="X1831" s="26"/>
      <c r="Y1831" s="22">
        <v>-32</v>
      </c>
      <c r="Z1831" s="26" t="s">
        <v>50</v>
      </c>
      <c r="AA1831" s="19" t="s">
        <v>7077</v>
      </c>
      <c r="AB1831" s="26" t="s">
        <v>104</v>
      </c>
      <c r="AC1831" s="26" t="s">
        <v>53</v>
      </c>
      <c r="AD1831" s="19" t="s">
        <v>138</v>
      </c>
      <c r="AE1831" s="26"/>
      <c r="AF1831" s="17">
        <v>45308</v>
      </c>
      <c r="AG1831" s="26" t="s">
        <v>1362</v>
      </c>
      <c r="AH1831" s="26"/>
      <c r="AI1831" s="40" t="s">
        <v>84</v>
      </c>
      <c r="AJ1831" s="26"/>
      <c r="AK1831" s="26"/>
      <c r="AL1831" s="35"/>
      <c r="AM1831" s="35"/>
      <c r="AN1831" s="35"/>
      <c r="AO1831" s="35"/>
      <c r="AP1831" s="35"/>
    </row>
    <row r="1832" spans="1:42" x14ac:dyDescent="0.2">
      <c r="A1832" s="126">
        <v>45300.468416134259</v>
      </c>
      <c r="B1832" s="28" t="s">
        <v>37</v>
      </c>
      <c r="C1832" s="41" t="s">
        <v>118</v>
      </c>
      <c r="D1832" s="26" t="s">
        <v>36</v>
      </c>
      <c r="E1832" s="26" t="s">
        <v>139</v>
      </c>
      <c r="F1832" s="26" t="s">
        <v>36</v>
      </c>
      <c r="G1832" s="26" t="s">
        <v>41</v>
      </c>
      <c r="H1832" s="26" t="s">
        <v>7103</v>
      </c>
      <c r="I1832" s="17">
        <f ca="1">IFERROR(__xludf.DUMMYFUNCTION("""COMPUTED_VALUE"""),45372)</f>
        <v>45372</v>
      </c>
      <c r="J1832" s="29" t="s">
        <v>7104</v>
      </c>
      <c r="K1832" s="26" t="s">
        <v>7105</v>
      </c>
      <c r="L1832" s="30">
        <v>328703762</v>
      </c>
      <c r="M1832" s="26" t="s">
        <v>5429</v>
      </c>
      <c r="N1832" s="26" t="s">
        <v>81</v>
      </c>
      <c r="O1832" s="26" t="s">
        <v>7106</v>
      </c>
      <c r="P1832" s="26" t="s">
        <v>7107</v>
      </c>
      <c r="Q1832" s="20">
        <v>15936</v>
      </c>
      <c r="R1832" s="26" t="s">
        <v>70</v>
      </c>
      <c r="S1832" s="31">
        <v>2000</v>
      </c>
      <c r="T1832" s="32">
        <v>45299</v>
      </c>
      <c r="U1832" s="31">
        <v>13236</v>
      </c>
      <c r="V1832" s="32">
        <v>45333</v>
      </c>
      <c r="W1832" s="33" t="s">
        <v>7108</v>
      </c>
      <c r="X1832" s="26"/>
      <c r="Y1832" s="22">
        <v>700</v>
      </c>
      <c r="Z1832" s="26" t="s">
        <v>50</v>
      </c>
      <c r="AA1832" s="19" t="s">
        <v>7077</v>
      </c>
      <c r="AB1832" s="26" t="s">
        <v>104</v>
      </c>
      <c r="AC1832" s="26" t="s">
        <v>53</v>
      </c>
      <c r="AD1832" s="19" t="s">
        <v>138</v>
      </c>
      <c r="AE1832" s="26" t="s">
        <v>76</v>
      </c>
      <c r="AF1832" s="17">
        <v>45308</v>
      </c>
      <c r="AG1832" s="26" t="s">
        <v>1362</v>
      </c>
      <c r="AH1832" s="26"/>
      <c r="AI1832" s="40" t="s">
        <v>147</v>
      </c>
      <c r="AJ1832" s="26"/>
      <c r="AK1832" s="26"/>
      <c r="AL1832" s="35"/>
      <c r="AM1832" s="35"/>
      <c r="AN1832" s="35"/>
      <c r="AO1832" s="35"/>
      <c r="AP1832" s="35"/>
    </row>
    <row r="1833" spans="1:42" x14ac:dyDescent="0.2">
      <c r="A1833" s="126">
        <v>45300.470788773149</v>
      </c>
      <c r="B1833" s="28" t="s">
        <v>37</v>
      </c>
      <c r="C1833" s="41" t="s">
        <v>118</v>
      </c>
      <c r="D1833" s="26" t="s">
        <v>36</v>
      </c>
      <c r="E1833" s="26" t="s">
        <v>139</v>
      </c>
      <c r="F1833" s="26" t="s">
        <v>36</v>
      </c>
      <c r="G1833" s="26" t="s">
        <v>41</v>
      </c>
      <c r="H1833" s="26" t="s">
        <v>3279</v>
      </c>
      <c r="I1833" s="17">
        <f ca="1">IFERROR(__xludf.DUMMYFUNCTION("""COMPUTED_VALUE"""),45308)</f>
        <v>45308</v>
      </c>
      <c r="J1833" s="29" t="s">
        <v>7109</v>
      </c>
      <c r="K1833" s="26" t="s">
        <v>206</v>
      </c>
      <c r="L1833" s="30">
        <v>398242362</v>
      </c>
      <c r="M1833" s="26" t="s">
        <v>5429</v>
      </c>
      <c r="N1833" s="26" t="s">
        <v>81</v>
      </c>
      <c r="O1833" s="26" t="s">
        <v>7110</v>
      </c>
      <c r="P1833" s="26" t="s">
        <v>6368</v>
      </c>
      <c r="Q1833" s="20">
        <v>15936</v>
      </c>
      <c r="R1833" s="26" t="s">
        <v>70</v>
      </c>
      <c r="S1833" s="31">
        <v>2000</v>
      </c>
      <c r="T1833" s="32">
        <v>45299</v>
      </c>
      <c r="U1833" s="31">
        <v>13236</v>
      </c>
      <c r="V1833" s="32">
        <v>45333</v>
      </c>
      <c r="W1833" s="33" t="s">
        <v>7111</v>
      </c>
      <c r="X1833" s="26"/>
      <c r="Y1833" s="22">
        <v>700</v>
      </c>
      <c r="Z1833" s="26" t="s">
        <v>50</v>
      </c>
      <c r="AA1833" s="19" t="s">
        <v>7077</v>
      </c>
      <c r="AB1833" s="26" t="s">
        <v>104</v>
      </c>
      <c r="AC1833" s="26" t="s">
        <v>53</v>
      </c>
      <c r="AD1833" s="19" t="s">
        <v>138</v>
      </c>
      <c r="AE1833" s="26" t="s">
        <v>76</v>
      </c>
      <c r="AF1833" s="17">
        <v>45308</v>
      </c>
      <c r="AG1833" s="26" t="s">
        <v>1362</v>
      </c>
      <c r="AH1833" s="26"/>
      <c r="AI1833" s="40" t="s">
        <v>147</v>
      </c>
      <c r="AJ1833" s="26"/>
      <c r="AK1833" s="26"/>
      <c r="AL1833" s="35"/>
      <c r="AM1833" s="35"/>
      <c r="AN1833" s="35"/>
      <c r="AO1833" s="35"/>
      <c r="AP1833" s="35"/>
    </row>
    <row r="1834" spans="1:42" x14ac:dyDescent="0.2">
      <c r="A1834" s="126">
        <v>45302.725186527779</v>
      </c>
      <c r="B1834" s="28" t="s">
        <v>37</v>
      </c>
      <c r="C1834" s="41" t="s">
        <v>118</v>
      </c>
      <c r="D1834" s="26" t="s">
        <v>36</v>
      </c>
      <c r="E1834" s="26" t="s">
        <v>56</v>
      </c>
      <c r="F1834" s="26" t="s">
        <v>91</v>
      </c>
      <c r="G1834" s="26" t="s">
        <v>41</v>
      </c>
      <c r="H1834" s="26" t="s">
        <v>7112</v>
      </c>
      <c r="I1834" s="17">
        <f ca="1">IFERROR(__xludf.DUMMYFUNCTION("""COMPUTED_VALUE"""),45383)</f>
        <v>45383</v>
      </c>
      <c r="J1834" s="29" t="s">
        <v>7113</v>
      </c>
      <c r="K1834" s="26" t="s">
        <v>7114</v>
      </c>
      <c r="L1834" s="30">
        <v>582724590</v>
      </c>
      <c r="M1834" s="26" t="s">
        <v>910</v>
      </c>
      <c r="N1834" s="26" t="s">
        <v>3221</v>
      </c>
      <c r="O1834" s="26" t="s">
        <v>3754</v>
      </c>
      <c r="P1834" s="26" t="s">
        <v>7115</v>
      </c>
      <c r="Q1834" s="20">
        <v>9317</v>
      </c>
      <c r="R1834" s="26" t="s">
        <v>36</v>
      </c>
      <c r="S1834" s="31">
        <v>2000</v>
      </c>
      <c r="T1834" s="32">
        <v>45302</v>
      </c>
      <c r="U1834" s="31">
        <v>7317</v>
      </c>
      <c r="V1834" s="32">
        <v>45341</v>
      </c>
      <c r="W1834" s="33" t="s">
        <v>7116</v>
      </c>
      <c r="X1834" s="26"/>
      <c r="Y1834" s="22">
        <v>0</v>
      </c>
      <c r="Z1834" s="26" t="s">
        <v>50</v>
      </c>
      <c r="AA1834" s="19" t="s">
        <v>7077</v>
      </c>
      <c r="AB1834" s="26" t="s">
        <v>104</v>
      </c>
      <c r="AC1834" s="26" t="s">
        <v>53</v>
      </c>
      <c r="AD1834" s="19" t="s">
        <v>54</v>
      </c>
      <c r="AE1834" s="26"/>
      <c r="AF1834" s="17">
        <v>45306</v>
      </c>
      <c r="AG1834" s="26"/>
      <c r="AH1834" s="26"/>
      <c r="AI1834" s="40" t="s">
        <v>64</v>
      </c>
      <c r="AJ1834" s="26"/>
      <c r="AK1834" s="26"/>
      <c r="AL1834" s="35"/>
      <c r="AM1834" s="35"/>
      <c r="AN1834" s="35"/>
      <c r="AO1834" s="35"/>
      <c r="AP1834" s="35"/>
    </row>
    <row r="1835" spans="1:42" x14ac:dyDescent="0.2">
      <c r="A1835" s="126">
        <v>45310.906868310187</v>
      </c>
      <c r="B1835" s="28" t="s">
        <v>37</v>
      </c>
      <c r="C1835" s="41" t="s">
        <v>118</v>
      </c>
      <c r="D1835" s="26" t="s">
        <v>36</v>
      </c>
      <c r="E1835" s="26" t="s">
        <v>77</v>
      </c>
      <c r="F1835" s="26" t="s">
        <v>36</v>
      </c>
      <c r="G1835" s="26" t="s">
        <v>41</v>
      </c>
      <c r="H1835" s="26" t="s">
        <v>6412</v>
      </c>
      <c r="I1835" s="17">
        <f ca="1">IFERROR(__xludf.DUMMYFUNCTION("""COMPUTED_VALUE"""),45313)</f>
        <v>45313</v>
      </c>
      <c r="J1835" s="29" t="s">
        <v>7117</v>
      </c>
      <c r="K1835" s="26" t="s">
        <v>7118</v>
      </c>
      <c r="L1835" s="30">
        <v>389849897</v>
      </c>
      <c r="M1835" s="26" t="s">
        <v>348</v>
      </c>
      <c r="N1835" s="26" t="s">
        <v>200</v>
      </c>
      <c r="O1835" s="26" t="s">
        <v>7119</v>
      </c>
      <c r="P1835" s="26" t="s">
        <v>7120</v>
      </c>
      <c r="Q1835" s="20">
        <v>1968</v>
      </c>
      <c r="R1835" s="26" t="s">
        <v>36</v>
      </c>
      <c r="S1835" s="31">
        <v>2000</v>
      </c>
      <c r="T1835" s="32">
        <v>45310</v>
      </c>
      <c r="U1835" s="31"/>
      <c r="V1835" s="32"/>
      <c r="W1835" s="33" t="s">
        <v>7121</v>
      </c>
      <c r="X1835" s="26"/>
      <c r="Y1835" s="22">
        <v>-32</v>
      </c>
      <c r="Z1835" s="26" t="s">
        <v>50</v>
      </c>
      <c r="AA1835" s="19" t="s">
        <v>7077</v>
      </c>
      <c r="AB1835" s="26" t="s">
        <v>104</v>
      </c>
      <c r="AC1835" s="26" t="s">
        <v>53</v>
      </c>
      <c r="AD1835" s="19" t="s">
        <v>54</v>
      </c>
      <c r="AE1835" s="26" t="s">
        <v>1327</v>
      </c>
      <c r="AF1835" s="17">
        <v>45313</v>
      </c>
      <c r="AG1835" s="26"/>
      <c r="AH1835" s="26"/>
      <c r="AI1835" s="40" t="s">
        <v>84</v>
      </c>
      <c r="AJ1835" s="26"/>
      <c r="AK1835" s="26"/>
      <c r="AL1835" s="35"/>
      <c r="AM1835" s="35"/>
      <c r="AN1835" s="35"/>
      <c r="AO1835" s="35"/>
      <c r="AP1835" s="35"/>
    </row>
    <row r="1836" spans="1:42" x14ac:dyDescent="0.2">
      <c r="A1836" s="126">
        <v>45311.395437615742</v>
      </c>
      <c r="B1836" s="28" t="s">
        <v>37</v>
      </c>
      <c r="C1836" s="41" t="s">
        <v>118</v>
      </c>
      <c r="D1836" s="26" t="s">
        <v>36</v>
      </c>
      <c r="E1836" s="26" t="s">
        <v>56</v>
      </c>
      <c r="F1836" s="26" t="s">
        <v>91</v>
      </c>
      <c r="G1836" s="26" t="s">
        <v>41</v>
      </c>
      <c r="H1836" s="26" t="s">
        <v>6412</v>
      </c>
      <c r="I1836" s="17">
        <f ca="1">IFERROR(__xludf.DUMMYFUNCTION("""COMPUTED_VALUE"""),45313)</f>
        <v>45313</v>
      </c>
      <c r="J1836" s="29" t="s">
        <v>7122</v>
      </c>
      <c r="K1836" s="26" t="s">
        <v>7123</v>
      </c>
      <c r="L1836" s="30">
        <v>392119674</v>
      </c>
      <c r="M1836" s="26" t="s">
        <v>910</v>
      </c>
      <c r="N1836" s="26" t="s">
        <v>3221</v>
      </c>
      <c r="O1836" s="26" t="s">
        <v>7124</v>
      </c>
      <c r="P1836" s="26" t="s">
        <v>7125</v>
      </c>
      <c r="Q1836" s="20">
        <v>9317</v>
      </c>
      <c r="R1836" s="26" t="s">
        <v>36</v>
      </c>
      <c r="S1836" s="31">
        <v>2000</v>
      </c>
      <c r="T1836" s="32">
        <v>45311</v>
      </c>
      <c r="U1836" s="31">
        <v>7317</v>
      </c>
      <c r="V1836" s="32">
        <v>45340</v>
      </c>
      <c r="W1836" s="33" t="s">
        <v>7126</v>
      </c>
      <c r="X1836" s="26"/>
      <c r="Y1836" s="22">
        <v>0</v>
      </c>
      <c r="Z1836" s="26" t="s">
        <v>50</v>
      </c>
      <c r="AA1836" s="19" t="s">
        <v>7077</v>
      </c>
      <c r="AB1836" s="26" t="s">
        <v>104</v>
      </c>
      <c r="AC1836" s="26" t="s">
        <v>53</v>
      </c>
      <c r="AD1836" s="19" t="s">
        <v>54</v>
      </c>
      <c r="AE1836" s="26"/>
      <c r="AF1836" s="17">
        <v>45313</v>
      </c>
      <c r="AG1836" s="26"/>
      <c r="AH1836" s="26"/>
      <c r="AI1836" s="40" t="s">
        <v>64</v>
      </c>
      <c r="AJ1836" s="26"/>
      <c r="AK1836" s="26"/>
      <c r="AL1836" s="35"/>
      <c r="AM1836" s="35"/>
      <c r="AN1836" s="35"/>
      <c r="AO1836" s="35"/>
      <c r="AP1836" s="35"/>
    </row>
    <row r="1837" spans="1:42" x14ac:dyDescent="0.2">
      <c r="A1837" s="38">
        <v>45327</v>
      </c>
      <c r="B1837" s="28" t="s">
        <v>37</v>
      </c>
      <c r="C1837" s="41" t="s">
        <v>118</v>
      </c>
      <c r="D1837" s="26" t="s">
        <v>36</v>
      </c>
      <c r="E1837" s="26" t="s">
        <v>106</v>
      </c>
      <c r="F1837" s="26" t="s">
        <v>4409</v>
      </c>
      <c r="G1837" s="26" t="s">
        <v>108</v>
      </c>
      <c r="H1837" s="26" t="s">
        <v>889</v>
      </c>
      <c r="I1837" s="17">
        <f ca="1">IFERROR(__xludf.DUMMYFUNCTION("""COMPUTED_VALUE"""),45342)</f>
        <v>45342</v>
      </c>
      <c r="J1837" s="29" t="s">
        <v>4438</v>
      </c>
      <c r="K1837" s="26" t="s">
        <v>4439</v>
      </c>
      <c r="L1837" s="30">
        <v>326940276</v>
      </c>
      <c r="M1837" s="26" t="s">
        <v>59</v>
      </c>
      <c r="N1837" s="26" t="s">
        <v>1246</v>
      </c>
      <c r="O1837" s="26" t="s">
        <v>7127</v>
      </c>
      <c r="P1837" s="42" t="s">
        <v>7128</v>
      </c>
      <c r="Q1837" s="20">
        <v>3768</v>
      </c>
      <c r="R1837" s="26" t="s">
        <v>36</v>
      </c>
      <c r="S1837" s="31">
        <v>3668</v>
      </c>
      <c r="T1837" s="32">
        <v>45340</v>
      </c>
      <c r="U1837" s="129" t="s">
        <v>7129</v>
      </c>
      <c r="V1837" s="26"/>
      <c r="W1837" s="33"/>
      <c r="X1837" s="26"/>
      <c r="Y1837" s="22" t="s">
        <v>2340</v>
      </c>
      <c r="Z1837" s="26" t="s">
        <v>50</v>
      </c>
      <c r="AA1837" s="19" t="s">
        <v>7077</v>
      </c>
      <c r="AB1837" s="26" t="s">
        <v>104</v>
      </c>
      <c r="AC1837" s="26" t="s">
        <v>53</v>
      </c>
      <c r="AD1837" s="19" t="s">
        <v>54</v>
      </c>
      <c r="AE1837" s="26" t="s">
        <v>4409</v>
      </c>
      <c r="AF1837" s="17">
        <v>45342</v>
      </c>
      <c r="AG1837" s="26"/>
      <c r="AH1837" s="26"/>
      <c r="AI1837" s="40">
        <v>1</v>
      </c>
      <c r="AJ1837" s="26"/>
      <c r="AK1837" s="26"/>
      <c r="AL1837" s="35"/>
      <c r="AM1837" s="35"/>
      <c r="AN1837" s="35"/>
      <c r="AO1837" s="35"/>
      <c r="AP1837" s="35"/>
    </row>
    <row r="1838" spans="1:42" x14ac:dyDescent="0.2">
      <c r="A1838" s="126">
        <v>45328.617640138888</v>
      </c>
      <c r="B1838" s="28" t="s">
        <v>37</v>
      </c>
      <c r="C1838" s="41" t="s">
        <v>118</v>
      </c>
      <c r="D1838" s="26" t="s">
        <v>36</v>
      </c>
      <c r="E1838" s="26" t="s">
        <v>77</v>
      </c>
      <c r="F1838" s="26" t="s">
        <v>36</v>
      </c>
      <c r="G1838" s="26" t="s">
        <v>41</v>
      </c>
      <c r="H1838" s="26" t="s">
        <v>6842</v>
      </c>
      <c r="I1838" s="17">
        <f ca="1">IFERROR(__xludf.DUMMYFUNCTION("""COMPUTED_VALUE"""),45364)</f>
        <v>45364</v>
      </c>
      <c r="J1838" s="44" t="s">
        <v>7130</v>
      </c>
      <c r="K1838" s="26" t="s">
        <v>7131</v>
      </c>
      <c r="L1838" s="30">
        <v>344997804</v>
      </c>
      <c r="M1838" s="26" t="s">
        <v>112</v>
      </c>
      <c r="N1838" s="26" t="s">
        <v>113</v>
      </c>
      <c r="O1838" s="26" t="s">
        <v>36</v>
      </c>
      <c r="P1838" s="26" t="s">
        <v>138</v>
      </c>
      <c r="Q1838" s="20">
        <v>1968</v>
      </c>
      <c r="R1838" s="26" t="s">
        <v>36</v>
      </c>
      <c r="S1838" s="31">
        <v>1968</v>
      </c>
      <c r="T1838" s="32">
        <v>44963</v>
      </c>
      <c r="U1838" s="31"/>
      <c r="V1838" s="32"/>
      <c r="W1838" s="26"/>
      <c r="X1838" s="26"/>
      <c r="Y1838" s="22">
        <v>0</v>
      </c>
      <c r="Z1838" s="26" t="s">
        <v>50</v>
      </c>
      <c r="AA1838" s="19" t="s">
        <v>7077</v>
      </c>
      <c r="AB1838" s="26" t="s">
        <v>104</v>
      </c>
      <c r="AC1838" s="26" t="s">
        <v>53</v>
      </c>
      <c r="AD1838" s="19" t="s">
        <v>138</v>
      </c>
      <c r="AE1838" s="26" t="s">
        <v>72</v>
      </c>
      <c r="AF1838" s="17">
        <v>45364</v>
      </c>
      <c r="AG1838" s="26" t="s">
        <v>7132</v>
      </c>
      <c r="AH1838" s="26"/>
      <c r="AI1838" s="40" t="s">
        <v>84</v>
      </c>
      <c r="AJ1838" s="26"/>
      <c r="AK1838" s="26"/>
      <c r="AL1838" s="35"/>
      <c r="AM1838" s="35"/>
      <c r="AN1838" s="35"/>
      <c r="AO1838" s="35"/>
      <c r="AP1838" s="35"/>
    </row>
    <row r="1839" spans="1:42" x14ac:dyDescent="0.2">
      <c r="A1839" s="126">
        <v>45331.459673680554</v>
      </c>
      <c r="B1839" s="28" t="s">
        <v>37</v>
      </c>
      <c r="C1839" s="41" t="s">
        <v>118</v>
      </c>
      <c r="D1839" s="26" t="s">
        <v>36</v>
      </c>
      <c r="E1839" s="26" t="s">
        <v>77</v>
      </c>
      <c r="F1839" s="26" t="s">
        <v>36</v>
      </c>
      <c r="G1839" s="26" t="s">
        <v>41</v>
      </c>
      <c r="H1839" s="26" t="s">
        <v>6831</v>
      </c>
      <c r="I1839" s="17">
        <f ca="1">IFERROR(__xludf.DUMMYFUNCTION("""COMPUTED_VALUE"""),45342)</f>
        <v>45342</v>
      </c>
      <c r="J1839" s="29" t="s">
        <v>7133</v>
      </c>
      <c r="K1839" s="26" t="s">
        <v>7134</v>
      </c>
      <c r="L1839" s="30">
        <v>977630266</v>
      </c>
      <c r="M1839" s="26" t="s">
        <v>112</v>
      </c>
      <c r="N1839" s="26" t="s">
        <v>113</v>
      </c>
      <c r="O1839" s="26" t="s">
        <v>36</v>
      </c>
      <c r="P1839" s="26" t="s">
        <v>7135</v>
      </c>
      <c r="Q1839" s="20">
        <v>1968</v>
      </c>
      <c r="R1839" s="26" t="s">
        <v>36</v>
      </c>
      <c r="S1839" s="31">
        <v>1968</v>
      </c>
      <c r="T1839" s="32">
        <v>45331</v>
      </c>
      <c r="U1839" s="31"/>
      <c r="V1839" s="32"/>
      <c r="W1839" s="33" t="s">
        <v>7136</v>
      </c>
      <c r="X1839" s="26"/>
      <c r="Y1839" s="22">
        <v>0</v>
      </c>
      <c r="Z1839" s="26" t="s">
        <v>50</v>
      </c>
      <c r="AA1839" s="19" t="s">
        <v>7077</v>
      </c>
      <c r="AB1839" s="26" t="s">
        <v>104</v>
      </c>
      <c r="AC1839" s="26" t="s">
        <v>53</v>
      </c>
      <c r="AD1839" s="19"/>
      <c r="AE1839" s="26" t="s">
        <v>72</v>
      </c>
      <c r="AF1839" s="17">
        <v>45338</v>
      </c>
      <c r="AG1839" s="26"/>
      <c r="AH1839" s="26"/>
      <c r="AI1839" s="40" t="s">
        <v>84</v>
      </c>
      <c r="AJ1839" s="26"/>
      <c r="AK1839" s="26"/>
      <c r="AL1839" s="35"/>
      <c r="AM1839" s="35"/>
      <c r="AN1839" s="35"/>
      <c r="AO1839" s="35"/>
      <c r="AP1839" s="35"/>
    </row>
    <row r="1840" spans="1:42" x14ac:dyDescent="0.2">
      <c r="A1840" s="126">
        <v>45337.578018935186</v>
      </c>
      <c r="B1840" s="28" t="s">
        <v>37</v>
      </c>
      <c r="C1840" s="41" t="s">
        <v>118</v>
      </c>
      <c r="D1840" s="26" t="s">
        <v>36</v>
      </c>
      <c r="E1840" s="26" t="s">
        <v>915</v>
      </c>
      <c r="F1840" s="26" t="s">
        <v>36</v>
      </c>
      <c r="G1840" s="26" t="s">
        <v>221</v>
      </c>
      <c r="H1840" s="26" t="s">
        <v>5093</v>
      </c>
      <c r="I1840" s="17">
        <f ca="1">IFERROR(__xludf.DUMMYFUNCTION("""COMPUTED_VALUE"""),45348)</f>
        <v>45348</v>
      </c>
      <c r="J1840" s="29" t="s">
        <v>7137</v>
      </c>
      <c r="K1840" s="26" t="s">
        <v>7138</v>
      </c>
      <c r="L1840" s="30">
        <v>362772271</v>
      </c>
      <c r="M1840" s="26" t="s">
        <v>112</v>
      </c>
      <c r="N1840" s="26" t="s">
        <v>113</v>
      </c>
      <c r="O1840" s="26" t="s">
        <v>36</v>
      </c>
      <c r="P1840" s="26" t="s">
        <v>7139</v>
      </c>
      <c r="Q1840" s="20">
        <v>10894</v>
      </c>
      <c r="R1840" s="26" t="s">
        <v>36</v>
      </c>
      <c r="S1840" s="31">
        <v>10499</v>
      </c>
      <c r="T1840" s="32">
        <v>45333</v>
      </c>
      <c r="U1840" s="31"/>
      <c r="V1840" s="32"/>
      <c r="W1840" s="33" t="s">
        <v>7140</v>
      </c>
      <c r="X1840" s="26"/>
      <c r="Y1840" s="22">
        <v>395</v>
      </c>
      <c r="Z1840" s="26" t="s">
        <v>50</v>
      </c>
      <c r="AA1840" s="19" t="s">
        <v>7077</v>
      </c>
      <c r="AB1840" s="26" t="s">
        <v>104</v>
      </c>
      <c r="AC1840" s="26" t="s">
        <v>53</v>
      </c>
      <c r="AD1840" s="19" t="s">
        <v>54</v>
      </c>
      <c r="AE1840" s="26">
        <v>500</v>
      </c>
      <c r="AF1840" s="17">
        <v>45343</v>
      </c>
      <c r="AG1840" s="26"/>
      <c r="AH1840" s="26"/>
      <c r="AI1840" s="40">
        <v>3</v>
      </c>
      <c r="AJ1840" s="26"/>
      <c r="AK1840" s="26"/>
      <c r="AL1840" s="35"/>
      <c r="AM1840" s="35"/>
      <c r="AN1840" s="35"/>
      <c r="AO1840" s="35"/>
      <c r="AP1840" s="35"/>
    </row>
    <row r="1841" spans="1:42" x14ac:dyDescent="0.2">
      <c r="A1841" s="126">
        <v>45337.838995162034</v>
      </c>
      <c r="B1841" s="28" t="s">
        <v>37</v>
      </c>
      <c r="C1841" s="41" t="s">
        <v>118</v>
      </c>
      <c r="D1841" s="26" t="s">
        <v>36</v>
      </c>
      <c r="E1841" s="26" t="s">
        <v>77</v>
      </c>
      <c r="F1841" s="26" t="s">
        <v>91</v>
      </c>
      <c r="G1841" s="26" t="s">
        <v>6516</v>
      </c>
      <c r="H1841" s="26" t="s">
        <v>4087</v>
      </c>
      <c r="I1841" s="17">
        <f ca="1">IFERROR(__xludf.DUMMYFUNCTION("""COMPUTED_VALUE"""),45358)</f>
        <v>45358</v>
      </c>
      <c r="J1841" s="29" t="s">
        <v>7141</v>
      </c>
      <c r="K1841" s="26" t="s">
        <v>7142</v>
      </c>
      <c r="L1841" s="30">
        <v>828652199</v>
      </c>
      <c r="M1841" s="26" t="s">
        <v>348</v>
      </c>
      <c r="N1841" s="26" t="s">
        <v>200</v>
      </c>
      <c r="O1841" s="26" t="s">
        <v>7143</v>
      </c>
      <c r="P1841" s="26" t="s">
        <v>7144</v>
      </c>
      <c r="Q1841" s="20">
        <v>1968</v>
      </c>
      <c r="R1841" s="26" t="s">
        <v>36</v>
      </c>
      <c r="S1841" s="31">
        <v>1968</v>
      </c>
      <c r="T1841" s="32">
        <v>45337</v>
      </c>
      <c r="U1841" s="31"/>
      <c r="V1841" s="32"/>
      <c r="W1841" s="33" t="s">
        <v>7145</v>
      </c>
      <c r="X1841" s="26"/>
      <c r="Y1841" s="22">
        <v>0</v>
      </c>
      <c r="Z1841" s="26" t="s">
        <v>50</v>
      </c>
      <c r="AA1841" s="19" t="s">
        <v>7077</v>
      </c>
      <c r="AB1841" s="26" t="s">
        <v>104</v>
      </c>
      <c r="AC1841" s="26" t="s">
        <v>53</v>
      </c>
      <c r="AD1841" s="19" t="s">
        <v>138</v>
      </c>
      <c r="AE1841" s="26" t="s">
        <v>1327</v>
      </c>
      <c r="AF1841" s="17">
        <v>45358</v>
      </c>
      <c r="AG1841" s="26" t="s">
        <v>3415</v>
      </c>
      <c r="AH1841" s="26"/>
      <c r="AI1841" s="40" t="s">
        <v>84</v>
      </c>
      <c r="AJ1841" s="26"/>
      <c r="AK1841" s="26"/>
      <c r="AL1841" s="35"/>
      <c r="AM1841" s="35"/>
      <c r="AN1841" s="35"/>
      <c r="AO1841" s="35"/>
      <c r="AP1841" s="35"/>
    </row>
    <row r="1842" spans="1:42" x14ac:dyDescent="0.2">
      <c r="A1842" s="126">
        <v>45338.46156653935</v>
      </c>
      <c r="B1842" s="28" t="s">
        <v>37</v>
      </c>
      <c r="C1842" s="41" t="s">
        <v>118</v>
      </c>
      <c r="D1842" s="26" t="s">
        <v>36</v>
      </c>
      <c r="E1842" s="26" t="s">
        <v>148</v>
      </c>
      <c r="F1842" s="26" t="s">
        <v>36</v>
      </c>
      <c r="G1842" s="26" t="s">
        <v>108</v>
      </c>
      <c r="H1842" s="26" t="s">
        <v>4959</v>
      </c>
      <c r="I1842" s="17">
        <f ca="1">IFERROR(__xludf.DUMMYFUNCTION("""COMPUTED_VALUE"""),45352)</f>
        <v>45352</v>
      </c>
      <c r="J1842" s="29" t="s">
        <v>4474</v>
      </c>
      <c r="K1842" s="26" t="s">
        <v>4475</v>
      </c>
      <c r="L1842" s="30">
        <v>346633240</v>
      </c>
      <c r="M1842" s="26" t="s">
        <v>910</v>
      </c>
      <c r="N1842" s="26" t="s">
        <v>3525</v>
      </c>
      <c r="O1842" s="26" t="s">
        <v>4476</v>
      </c>
      <c r="P1842" s="26" t="s">
        <v>4477</v>
      </c>
      <c r="Q1842" s="20">
        <v>7349</v>
      </c>
      <c r="R1842" s="26" t="s">
        <v>36</v>
      </c>
      <c r="S1842" s="31">
        <v>7049</v>
      </c>
      <c r="T1842" s="32">
        <v>45334</v>
      </c>
      <c r="U1842" s="31"/>
      <c r="V1842" s="32"/>
      <c r="W1842" s="33" t="s">
        <v>7146</v>
      </c>
      <c r="X1842" s="26"/>
      <c r="Y1842" s="22">
        <v>300</v>
      </c>
      <c r="Z1842" s="26" t="s">
        <v>50</v>
      </c>
      <c r="AA1842" s="19" t="s">
        <v>7077</v>
      </c>
      <c r="AB1842" s="26" t="s">
        <v>104</v>
      </c>
      <c r="AC1842" s="26" t="s">
        <v>53</v>
      </c>
      <c r="AD1842" s="19" t="s">
        <v>54</v>
      </c>
      <c r="AE1842" s="26"/>
      <c r="AF1842" s="17">
        <v>45350</v>
      </c>
      <c r="AG1842" s="26"/>
      <c r="AH1842" s="26"/>
      <c r="AI1842" s="40">
        <v>2</v>
      </c>
      <c r="AJ1842" s="26"/>
      <c r="AK1842" s="26"/>
      <c r="AL1842" s="35"/>
      <c r="AM1842" s="35"/>
      <c r="AN1842" s="35"/>
      <c r="AO1842" s="35"/>
      <c r="AP1842" s="35"/>
    </row>
    <row r="1843" spans="1:42" x14ac:dyDescent="0.2">
      <c r="A1843" s="126">
        <v>45339.505224189816</v>
      </c>
      <c r="B1843" s="28" t="s">
        <v>37</v>
      </c>
      <c r="C1843" s="41" t="s">
        <v>118</v>
      </c>
      <c r="D1843" s="26" t="s">
        <v>106</v>
      </c>
      <c r="E1843" s="26" t="s">
        <v>219</v>
      </c>
      <c r="F1843" s="26" t="s">
        <v>2381</v>
      </c>
      <c r="G1843" s="26" t="s">
        <v>221</v>
      </c>
      <c r="H1843" s="26" t="s">
        <v>5063</v>
      </c>
      <c r="I1843" s="17">
        <f ca="1">IFERROR(__xludf.DUMMYFUNCTION("""COMPUTED_VALUE"""),45345)</f>
        <v>45345</v>
      </c>
      <c r="J1843" s="29" t="s">
        <v>7147</v>
      </c>
      <c r="K1843" s="26" t="s">
        <v>2215</v>
      </c>
      <c r="L1843" s="30">
        <v>353071178</v>
      </c>
      <c r="M1843" s="26" t="s">
        <v>59</v>
      </c>
      <c r="N1843" s="26" t="s">
        <v>68</v>
      </c>
      <c r="O1843" s="26" t="s">
        <v>7148</v>
      </c>
      <c r="P1843" s="26" t="s">
        <v>7149</v>
      </c>
      <c r="Q1843" s="20">
        <v>3968</v>
      </c>
      <c r="R1843" s="26" t="s">
        <v>36</v>
      </c>
      <c r="S1843" s="31">
        <v>3968</v>
      </c>
      <c r="T1843" s="32">
        <v>45338</v>
      </c>
      <c r="U1843" s="31"/>
      <c r="V1843" s="32"/>
      <c r="W1843" s="33" t="s">
        <v>7150</v>
      </c>
      <c r="X1843" s="26"/>
      <c r="Y1843" s="22">
        <v>0</v>
      </c>
      <c r="Z1843" s="26" t="s">
        <v>50</v>
      </c>
      <c r="AA1843" s="19" t="s">
        <v>7077</v>
      </c>
      <c r="AB1843" s="26" t="s">
        <v>104</v>
      </c>
      <c r="AC1843" s="26" t="s">
        <v>53</v>
      </c>
      <c r="AD1843" s="19" t="s">
        <v>54</v>
      </c>
      <c r="AE1843" s="26" t="s">
        <v>3554</v>
      </c>
      <c r="AF1843" s="17">
        <v>45342</v>
      </c>
      <c r="AG1843" s="26"/>
      <c r="AH1843" s="26"/>
      <c r="AI1843" s="40">
        <v>1</v>
      </c>
      <c r="AJ1843" s="26"/>
      <c r="AK1843" s="26"/>
      <c r="AL1843" s="35"/>
      <c r="AM1843" s="35"/>
      <c r="AN1843" s="35"/>
      <c r="AO1843" s="35"/>
      <c r="AP1843" s="35"/>
    </row>
    <row r="1844" spans="1:42" x14ac:dyDescent="0.2">
      <c r="A1844" s="126">
        <v>45341.428304965273</v>
      </c>
      <c r="B1844" s="28" t="s">
        <v>37</v>
      </c>
      <c r="C1844" s="41" t="s">
        <v>118</v>
      </c>
      <c r="D1844" s="26" t="s">
        <v>36</v>
      </c>
      <c r="E1844" s="26" t="s">
        <v>77</v>
      </c>
      <c r="F1844" s="26" t="s">
        <v>91</v>
      </c>
      <c r="G1844" s="26" t="s">
        <v>41</v>
      </c>
      <c r="H1844" s="26" t="s">
        <v>6831</v>
      </c>
      <c r="I1844" s="17">
        <f ca="1">IFERROR(__xludf.DUMMYFUNCTION("""COMPUTED_VALUE"""),45342)</f>
        <v>45342</v>
      </c>
      <c r="J1844" s="29" t="s">
        <v>7151</v>
      </c>
      <c r="K1844" s="26" t="s">
        <v>7152</v>
      </c>
      <c r="L1844" s="83">
        <v>336466909</v>
      </c>
      <c r="M1844" s="26" t="s">
        <v>2755</v>
      </c>
      <c r="N1844" s="26" t="s">
        <v>7153</v>
      </c>
      <c r="O1844" s="26" t="s">
        <v>61</v>
      </c>
      <c r="P1844" s="26" t="s">
        <v>7154</v>
      </c>
      <c r="Q1844" s="20">
        <v>1968</v>
      </c>
      <c r="R1844" s="26" t="s">
        <v>36</v>
      </c>
      <c r="S1844" s="31">
        <v>200</v>
      </c>
      <c r="T1844" s="32">
        <v>45265</v>
      </c>
      <c r="U1844" s="31">
        <v>1768</v>
      </c>
      <c r="V1844" s="32">
        <v>45338</v>
      </c>
      <c r="W1844" s="26" t="s">
        <v>7155</v>
      </c>
      <c r="X1844" s="26"/>
      <c r="Y1844" s="22">
        <v>0</v>
      </c>
      <c r="Z1844" s="26" t="s">
        <v>50</v>
      </c>
      <c r="AA1844" s="19" t="s">
        <v>7077</v>
      </c>
      <c r="AB1844" s="26" t="s">
        <v>104</v>
      </c>
      <c r="AC1844" s="26" t="s">
        <v>53</v>
      </c>
      <c r="AD1844" s="19" t="s">
        <v>54</v>
      </c>
      <c r="AE1844" s="26" t="s">
        <v>4503</v>
      </c>
      <c r="AF1844" s="17">
        <v>45342</v>
      </c>
      <c r="AG1844" s="26"/>
      <c r="AH1844" s="26"/>
      <c r="AI1844" s="40" t="s">
        <v>84</v>
      </c>
      <c r="AJ1844" s="26"/>
      <c r="AK1844" s="26"/>
      <c r="AL1844" s="35"/>
      <c r="AM1844" s="35"/>
      <c r="AN1844" s="35"/>
      <c r="AO1844" s="35"/>
      <c r="AP1844" s="35"/>
    </row>
    <row r="1845" spans="1:42" x14ac:dyDescent="0.2">
      <c r="A1845" s="126">
        <v>45341.43226825232</v>
      </c>
      <c r="B1845" s="28" t="s">
        <v>37</v>
      </c>
      <c r="C1845" s="41" t="s">
        <v>118</v>
      </c>
      <c r="D1845" s="26" t="s">
        <v>36</v>
      </c>
      <c r="E1845" s="26" t="s">
        <v>56</v>
      </c>
      <c r="F1845" s="26" t="s">
        <v>91</v>
      </c>
      <c r="G1845" s="26" t="s">
        <v>41</v>
      </c>
      <c r="H1845" s="26" t="s">
        <v>4087</v>
      </c>
      <c r="I1845" s="17">
        <f ca="1">IFERROR(__xludf.DUMMYFUNCTION("""COMPUTED_VALUE"""),45358)</f>
        <v>45358</v>
      </c>
      <c r="J1845" s="29" t="s">
        <v>7156</v>
      </c>
      <c r="K1845" s="26" t="s">
        <v>7157</v>
      </c>
      <c r="L1845" s="30">
        <v>337433420</v>
      </c>
      <c r="M1845" s="26" t="s">
        <v>2755</v>
      </c>
      <c r="N1845" s="26" t="s">
        <v>2756</v>
      </c>
      <c r="O1845" s="26" t="s">
        <v>4503</v>
      </c>
      <c r="P1845" s="26" t="s">
        <v>3117</v>
      </c>
      <c r="Q1845" s="20">
        <v>9317</v>
      </c>
      <c r="R1845" s="26" t="s">
        <v>36</v>
      </c>
      <c r="S1845" s="31">
        <v>300</v>
      </c>
      <c r="T1845" s="32">
        <v>45322</v>
      </c>
      <c r="U1845" s="31">
        <v>8717</v>
      </c>
      <c r="V1845" s="32">
        <v>45332</v>
      </c>
      <c r="W1845" s="26" t="s">
        <v>7158</v>
      </c>
      <c r="X1845" s="26"/>
      <c r="Y1845" s="22">
        <v>300</v>
      </c>
      <c r="Z1845" s="26" t="s">
        <v>50</v>
      </c>
      <c r="AA1845" s="19" t="s">
        <v>7077</v>
      </c>
      <c r="AB1845" s="26" t="s">
        <v>104</v>
      </c>
      <c r="AC1845" s="26" t="s">
        <v>53</v>
      </c>
      <c r="AD1845" s="19" t="s">
        <v>138</v>
      </c>
      <c r="AE1845" s="26"/>
      <c r="AF1845" s="17">
        <v>45358</v>
      </c>
      <c r="AG1845" s="26" t="s">
        <v>3415</v>
      </c>
      <c r="AH1845" s="26"/>
      <c r="AI1845" s="40" t="s">
        <v>64</v>
      </c>
      <c r="AJ1845" s="26"/>
      <c r="AK1845" s="26"/>
      <c r="AL1845" s="35"/>
      <c r="AM1845" s="35"/>
      <c r="AN1845" s="35"/>
      <c r="AO1845" s="35"/>
      <c r="AP1845" s="35"/>
    </row>
    <row r="1846" spans="1:42" x14ac:dyDescent="0.2">
      <c r="A1846" s="126">
        <v>45341.435132222221</v>
      </c>
      <c r="B1846" s="28" t="s">
        <v>37</v>
      </c>
      <c r="C1846" s="41" t="s">
        <v>118</v>
      </c>
      <c r="D1846" s="26" t="s">
        <v>36</v>
      </c>
      <c r="E1846" s="26" t="s">
        <v>56</v>
      </c>
      <c r="F1846" s="26" t="s">
        <v>36</v>
      </c>
      <c r="G1846" s="26" t="s">
        <v>41</v>
      </c>
      <c r="H1846" s="26" t="s">
        <v>4087</v>
      </c>
      <c r="I1846" s="17">
        <f ca="1">IFERROR(__xludf.DUMMYFUNCTION("""COMPUTED_VALUE"""),45358)</f>
        <v>45358</v>
      </c>
      <c r="J1846" s="29" t="s">
        <v>7159</v>
      </c>
      <c r="K1846" s="26" t="s">
        <v>7160</v>
      </c>
      <c r="L1846" s="30">
        <v>364828366</v>
      </c>
      <c r="M1846" s="26" t="s">
        <v>3498</v>
      </c>
      <c r="N1846" s="26" t="s">
        <v>2756</v>
      </c>
      <c r="O1846" s="26" t="s">
        <v>4503</v>
      </c>
      <c r="P1846" s="26" t="s">
        <v>3117</v>
      </c>
      <c r="Q1846" s="20">
        <v>9317</v>
      </c>
      <c r="R1846" s="26" t="s">
        <v>36</v>
      </c>
      <c r="S1846" s="31">
        <v>200</v>
      </c>
      <c r="T1846" s="32">
        <v>45325</v>
      </c>
      <c r="U1846" s="31">
        <v>9117</v>
      </c>
      <c r="V1846" s="32">
        <v>45351</v>
      </c>
      <c r="W1846" s="33" t="s">
        <v>7161</v>
      </c>
      <c r="X1846" s="26"/>
      <c r="Y1846" s="22">
        <v>0</v>
      </c>
      <c r="Z1846" s="26" t="s">
        <v>50</v>
      </c>
      <c r="AA1846" s="19" t="s">
        <v>7077</v>
      </c>
      <c r="AB1846" s="26" t="s">
        <v>104</v>
      </c>
      <c r="AC1846" s="26" t="s">
        <v>53</v>
      </c>
      <c r="AD1846" s="19" t="s">
        <v>138</v>
      </c>
      <c r="AE1846" s="26"/>
      <c r="AF1846" s="17">
        <v>45358</v>
      </c>
      <c r="AG1846" s="26" t="s">
        <v>3415</v>
      </c>
      <c r="AH1846" s="26"/>
      <c r="AI1846" s="40" t="s">
        <v>64</v>
      </c>
      <c r="AJ1846" s="26"/>
      <c r="AK1846" s="26"/>
      <c r="AL1846" s="35"/>
      <c r="AM1846" s="35"/>
      <c r="AN1846" s="35"/>
      <c r="AO1846" s="35"/>
      <c r="AP1846" s="35"/>
    </row>
    <row r="1847" spans="1:42" x14ac:dyDescent="0.2">
      <c r="A1847" s="126">
        <v>45341.442140810184</v>
      </c>
      <c r="B1847" s="28" t="s">
        <v>37</v>
      </c>
      <c r="C1847" s="41" t="s">
        <v>118</v>
      </c>
      <c r="D1847" s="26" t="s">
        <v>36</v>
      </c>
      <c r="E1847" s="26" t="s">
        <v>77</v>
      </c>
      <c r="F1847" s="26" t="s">
        <v>36</v>
      </c>
      <c r="G1847" s="26" t="s">
        <v>41</v>
      </c>
      <c r="H1847" s="26" t="s">
        <v>6814</v>
      </c>
      <c r="I1847" s="17">
        <f ca="1">IFERROR(__xludf.DUMMYFUNCTION("""COMPUTED_VALUE"""),45350)</f>
        <v>45350</v>
      </c>
      <c r="J1847" s="29" t="s">
        <v>7162</v>
      </c>
      <c r="K1847" s="26" t="s">
        <v>7163</v>
      </c>
      <c r="L1847" s="30">
        <v>847310705</v>
      </c>
      <c r="M1847" s="26" t="s">
        <v>123</v>
      </c>
      <c r="N1847" s="26" t="s">
        <v>186</v>
      </c>
      <c r="O1847" s="26" t="s">
        <v>4503</v>
      </c>
      <c r="P1847" s="42" t="s">
        <v>7164</v>
      </c>
      <c r="Q1847" s="20">
        <v>1968</v>
      </c>
      <c r="R1847" s="26" t="s">
        <v>36</v>
      </c>
      <c r="S1847" s="31">
        <v>200</v>
      </c>
      <c r="T1847" s="32">
        <v>45330</v>
      </c>
      <c r="U1847" s="31">
        <v>1768</v>
      </c>
      <c r="V1847" s="32">
        <v>45340</v>
      </c>
      <c r="W1847" s="33" t="s">
        <v>7165</v>
      </c>
      <c r="X1847" s="26"/>
      <c r="Y1847" s="22">
        <v>0</v>
      </c>
      <c r="Z1847" s="26" t="s">
        <v>50</v>
      </c>
      <c r="AA1847" s="19" t="s">
        <v>7077</v>
      </c>
      <c r="AB1847" s="26" t="s">
        <v>104</v>
      </c>
      <c r="AC1847" s="26" t="s">
        <v>53</v>
      </c>
      <c r="AD1847" s="19" t="s">
        <v>54</v>
      </c>
      <c r="AE1847" s="26"/>
      <c r="AF1847" s="17">
        <v>45342</v>
      </c>
      <c r="AG1847" s="26"/>
      <c r="AH1847" s="26"/>
      <c r="AI1847" s="40" t="s">
        <v>84</v>
      </c>
      <c r="AJ1847" s="26"/>
      <c r="AK1847" s="26"/>
      <c r="AL1847" s="35"/>
      <c r="AM1847" s="35"/>
      <c r="AN1847" s="35"/>
      <c r="AO1847" s="35"/>
      <c r="AP1847" s="35"/>
    </row>
    <row r="1848" spans="1:42" x14ac:dyDescent="0.2">
      <c r="A1848" s="126">
        <v>45341.889888634258</v>
      </c>
      <c r="B1848" s="28" t="s">
        <v>37</v>
      </c>
      <c r="C1848" s="41" t="s">
        <v>118</v>
      </c>
      <c r="D1848" s="26" t="s">
        <v>36</v>
      </c>
      <c r="E1848" s="26" t="s">
        <v>139</v>
      </c>
      <c r="F1848" s="26" t="s">
        <v>40</v>
      </c>
      <c r="G1848" s="26" t="s">
        <v>41</v>
      </c>
      <c r="H1848" s="26" t="s">
        <v>6831</v>
      </c>
      <c r="I1848" s="17">
        <f ca="1">IFERROR(__xludf.DUMMYFUNCTION("""COMPUTED_VALUE"""),45342)</f>
        <v>45342</v>
      </c>
      <c r="J1848" s="29" t="s">
        <v>7166</v>
      </c>
      <c r="K1848" s="26" t="s">
        <v>7167</v>
      </c>
      <c r="L1848" s="30">
        <v>338547674</v>
      </c>
      <c r="M1848" s="26" t="s">
        <v>59</v>
      </c>
      <c r="N1848" s="26" t="s">
        <v>68</v>
      </c>
      <c r="O1848" s="26" t="s">
        <v>7168</v>
      </c>
      <c r="P1848" s="42" t="s">
        <v>7169</v>
      </c>
      <c r="Q1848" s="20">
        <v>15936</v>
      </c>
      <c r="R1848" s="26" t="s">
        <v>36</v>
      </c>
      <c r="S1848" s="31">
        <v>15963</v>
      </c>
      <c r="T1848" s="32">
        <v>45341</v>
      </c>
      <c r="U1848" s="31"/>
      <c r="V1848" s="32"/>
      <c r="W1848" s="33" t="s">
        <v>7170</v>
      </c>
      <c r="X1848" s="26"/>
      <c r="Y1848" s="22">
        <v>-27</v>
      </c>
      <c r="Z1848" s="26" t="s">
        <v>50</v>
      </c>
      <c r="AA1848" s="19" t="s">
        <v>7077</v>
      </c>
      <c r="AB1848" s="26" t="s">
        <v>104</v>
      </c>
      <c r="AC1848" s="26" t="s">
        <v>53</v>
      </c>
      <c r="AD1848" s="19" t="s">
        <v>54</v>
      </c>
      <c r="AE1848" s="26" t="s">
        <v>430</v>
      </c>
      <c r="AF1848" s="17">
        <v>45342</v>
      </c>
      <c r="AG1848" s="26"/>
      <c r="AH1848" s="26"/>
      <c r="AI1848" s="40" t="s">
        <v>147</v>
      </c>
      <c r="AJ1848" s="26"/>
      <c r="AK1848" s="26"/>
      <c r="AL1848" s="35"/>
      <c r="AM1848" s="35"/>
      <c r="AN1848" s="35"/>
      <c r="AO1848" s="35"/>
      <c r="AP1848" s="35"/>
    </row>
    <row r="1849" spans="1:42" x14ac:dyDescent="0.2">
      <c r="A1849" s="126">
        <v>45341.895251203707</v>
      </c>
      <c r="B1849" s="28" t="s">
        <v>37</v>
      </c>
      <c r="C1849" s="41" t="s">
        <v>118</v>
      </c>
      <c r="D1849" s="26" t="s">
        <v>36</v>
      </c>
      <c r="E1849" s="26" t="s">
        <v>56</v>
      </c>
      <c r="F1849" s="26" t="s">
        <v>40</v>
      </c>
      <c r="G1849" s="26" t="s">
        <v>41</v>
      </c>
      <c r="H1849" s="26" t="s">
        <v>6814</v>
      </c>
      <c r="I1849" s="17">
        <f ca="1">IFERROR(__xludf.DUMMYFUNCTION("""COMPUTED_VALUE"""),45350)</f>
        <v>45350</v>
      </c>
      <c r="J1849" s="29" t="s">
        <v>7171</v>
      </c>
      <c r="K1849" s="26" t="s">
        <v>7172</v>
      </c>
      <c r="L1849" s="30">
        <v>773256798</v>
      </c>
      <c r="M1849" s="26" t="s">
        <v>59</v>
      </c>
      <c r="N1849" s="26" t="s">
        <v>68</v>
      </c>
      <c r="O1849" s="26" t="s">
        <v>7173</v>
      </c>
      <c r="P1849" s="26" t="s">
        <v>7174</v>
      </c>
      <c r="Q1849" s="20">
        <v>9317</v>
      </c>
      <c r="R1849" s="26" t="s">
        <v>36</v>
      </c>
      <c r="S1849" s="31">
        <v>9317</v>
      </c>
      <c r="T1849" s="32">
        <v>45340</v>
      </c>
      <c r="U1849" s="31"/>
      <c r="V1849" s="32"/>
      <c r="W1849" s="33" t="s">
        <v>7175</v>
      </c>
      <c r="X1849" s="26"/>
      <c r="Y1849" s="22">
        <v>0</v>
      </c>
      <c r="Z1849" s="26" t="s">
        <v>50</v>
      </c>
      <c r="AA1849" s="19" t="s">
        <v>7077</v>
      </c>
      <c r="AB1849" s="26" t="s">
        <v>104</v>
      </c>
      <c r="AC1849" s="26" t="s">
        <v>53</v>
      </c>
      <c r="AD1849" s="19" t="s">
        <v>54</v>
      </c>
      <c r="AE1849" s="26" t="s">
        <v>72</v>
      </c>
      <c r="AF1849" s="17">
        <v>45342</v>
      </c>
      <c r="AG1849" s="26"/>
      <c r="AH1849" s="26"/>
      <c r="AI1849" s="40" t="s">
        <v>64</v>
      </c>
      <c r="AJ1849" s="26"/>
      <c r="AK1849" s="26"/>
      <c r="AL1849" s="35"/>
      <c r="AM1849" s="35"/>
      <c r="AN1849" s="35"/>
      <c r="AO1849" s="35"/>
      <c r="AP1849" s="35"/>
    </row>
    <row r="1850" spans="1:42" x14ac:dyDescent="0.2">
      <c r="A1850" s="126">
        <v>45342.708158981477</v>
      </c>
      <c r="B1850" s="28" t="s">
        <v>90</v>
      </c>
      <c r="C1850" s="41" t="s">
        <v>118</v>
      </c>
      <c r="D1850" s="26" t="s">
        <v>36</v>
      </c>
      <c r="E1850" s="26" t="s">
        <v>77</v>
      </c>
      <c r="F1850" s="26" t="s">
        <v>36</v>
      </c>
      <c r="G1850" s="26" t="s">
        <v>41</v>
      </c>
      <c r="H1850" s="26" t="s">
        <v>6637</v>
      </c>
      <c r="I1850" s="17">
        <f ca="1">IFERROR(__xludf.DUMMYFUNCTION("""COMPUTED_VALUE"""),45351)</f>
        <v>45351</v>
      </c>
      <c r="J1850" s="29" t="s">
        <v>7176</v>
      </c>
      <c r="K1850" s="26" t="s">
        <v>7177</v>
      </c>
      <c r="L1850" s="30">
        <v>842926393</v>
      </c>
      <c r="M1850" s="26" t="s">
        <v>2755</v>
      </c>
      <c r="N1850" s="26" t="s">
        <v>310</v>
      </c>
      <c r="O1850" s="26" t="s">
        <v>4503</v>
      </c>
      <c r="P1850" s="26" t="s">
        <v>7178</v>
      </c>
      <c r="Q1850" s="20">
        <v>1968</v>
      </c>
      <c r="R1850" s="26" t="s">
        <v>36</v>
      </c>
      <c r="S1850" s="31">
        <v>1968</v>
      </c>
      <c r="T1850" s="32">
        <v>45341</v>
      </c>
      <c r="U1850" s="31"/>
      <c r="V1850" s="32"/>
      <c r="W1850" s="33" t="s">
        <v>7179</v>
      </c>
      <c r="X1850" s="26"/>
      <c r="Y1850" s="22">
        <v>0</v>
      </c>
      <c r="Z1850" s="26" t="s">
        <v>50</v>
      </c>
      <c r="AA1850" s="19" t="s">
        <v>7077</v>
      </c>
      <c r="AB1850" s="26" t="s">
        <v>104</v>
      </c>
      <c r="AC1850" s="26" t="s">
        <v>53</v>
      </c>
      <c r="AD1850" s="19" t="s">
        <v>54</v>
      </c>
      <c r="AE1850" s="26"/>
      <c r="AF1850" s="17">
        <v>45343</v>
      </c>
      <c r="AG1850" s="26"/>
      <c r="AH1850" s="26"/>
      <c r="AI1850" s="40" t="s">
        <v>84</v>
      </c>
      <c r="AJ1850" s="26"/>
      <c r="AK1850" s="26"/>
      <c r="AL1850" s="35"/>
      <c r="AM1850" s="35"/>
      <c r="AN1850" s="35"/>
      <c r="AO1850" s="35"/>
      <c r="AP1850" s="35"/>
    </row>
    <row r="1851" spans="1:42" x14ac:dyDescent="0.2">
      <c r="A1851" s="126">
        <v>45342.710590601855</v>
      </c>
      <c r="B1851" s="28" t="s">
        <v>37</v>
      </c>
      <c r="C1851" s="41" t="s">
        <v>118</v>
      </c>
      <c r="D1851" s="26" t="s">
        <v>36</v>
      </c>
      <c r="E1851" s="26" t="s">
        <v>77</v>
      </c>
      <c r="F1851" s="26" t="s">
        <v>91</v>
      </c>
      <c r="G1851" s="26" t="s">
        <v>41</v>
      </c>
      <c r="H1851" s="26" t="s">
        <v>6637</v>
      </c>
      <c r="I1851" s="17">
        <f ca="1">IFERROR(__xludf.DUMMYFUNCTION("""COMPUTED_VALUE"""),45351)</f>
        <v>45351</v>
      </c>
      <c r="J1851" s="29" t="s">
        <v>7180</v>
      </c>
      <c r="K1851" s="26" t="s">
        <v>7181</v>
      </c>
      <c r="L1851" s="30">
        <v>338662936</v>
      </c>
      <c r="M1851" s="26" t="s">
        <v>2755</v>
      </c>
      <c r="N1851" s="26" t="s">
        <v>310</v>
      </c>
      <c r="O1851" s="26" t="s">
        <v>4503</v>
      </c>
      <c r="P1851" s="26" t="s">
        <v>7182</v>
      </c>
      <c r="Q1851" s="20">
        <v>1968</v>
      </c>
      <c r="R1851" s="26" t="s">
        <v>36</v>
      </c>
      <c r="S1851" s="31">
        <v>1968</v>
      </c>
      <c r="T1851" s="32">
        <v>45341</v>
      </c>
      <c r="U1851" s="31"/>
      <c r="V1851" s="32"/>
      <c r="W1851" s="33" t="s">
        <v>7183</v>
      </c>
      <c r="X1851" s="26"/>
      <c r="Y1851" s="22">
        <v>0</v>
      </c>
      <c r="Z1851" s="26" t="s">
        <v>50</v>
      </c>
      <c r="AA1851" s="19" t="s">
        <v>7077</v>
      </c>
      <c r="AB1851" s="26" t="s">
        <v>104</v>
      </c>
      <c r="AC1851" s="26" t="s">
        <v>53</v>
      </c>
      <c r="AD1851" s="19" t="s">
        <v>54</v>
      </c>
      <c r="AE1851" s="26"/>
      <c r="AF1851" s="17">
        <v>45343</v>
      </c>
      <c r="AG1851" s="26"/>
      <c r="AH1851" s="26"/>
      <c r="AI1851" s="40" t="s">
        <v>84</v>
      </c>
      <c r="AJ1851" s="26"/>
      <c r="AK1851" s="26"/>
      <c r="AL1851" s="35"/>
      <c r="AM1851" s="35"/>
      <c r="AN1851" s="35"/>
      <c r="AO1851" s="35"/>
      <c r="AP1851" s="35"/>
    </row>
    <row r="1852" spans="1:42" x14ac:dyDescent="0.2">
      <c r="A1852" s="126">
        <v>45342.921596006941</v>
      </c>
      <c r="B1852" s="28" t="s">
        <v>37</v>
      </c>
      <c r="C1852" s="41" t="s">
        <v>118</v>
      </c>
      <c r="D1852" s="26" t="s">
        <v>36</v>
      </c>
      <c r="E1852" s="26" t="s">
        <v>77</v>
      </c>
      <c r="F1852" s="26" t="s">
        <v>6814</v>
      </c>
      <c r="G1852" s="26" t="s">
        <v>41</v>
      </c>
      <c r="H1852" s="26" t="s">
        <v>6814</v>
      </c>
      <c r="I1852" s="17">
        <f ca="1">IFERROR(__xludf.DUMMYFUNCTION("""COMPUTED_VALUE"""),45350)</f>
        <v>45350</v>
      </c>
      <c r="J1852" s="29" t="s">
        <v>7184</v>
      </c>
      <c r="K1852" s="26" t="s">
        <v>7185</v>
      </c>
      <c r="L1852" s="30">
        <v>969527211</v>
      </c>
      <c r="M1852" s="26" t="s">
        <v>112</v>
      </c>
      <c r="N1852" s="26" t="s">
        <v>113</v>
      </c>
      <c r="O1852" s="26" t="s">
        <v>36</v>
      </c>
      <c r="P1852" s="26" t="s">
        <v>7186</v>
      </c>
      <c r="Q1852" s="20">
        <v>1968</v>
      </c>
      <c r="R1852" s="26" t="s">
        <v>36</v>
      </c>
      <c r="S1852" s="31">
        <v>1968</v>
      </c>
      <c r="T1852" s="32">
        <v>45342</v>
      </c>
      <c r="U1852" s="31"/>
      <c r="V1852" s="32"/>
      <c r="W1852" s="33" t="s">
        <v>7187</v>
      </c>
      <c r="X1852" s="26"/>
      <c r="Y1852" s="22">
        <v>0</v>
      </c>
      <c r="Z1852" s="26" t="s">
        <v>50</v>
      </c>
      <c r="AA1852" s="19" t="s">
        <v>7077</v>
      </c>
      <c r="AB1852" s="26" t="s">
        <v>104</v>
      </c>
      <c r="AC1852" s="26" t="s">
        <v>53</v>
      </c>
      <c r="AD1852" s="19" t="s">
        <v>54</v>
      </c>
      <c r="AE1852" s="26" t="s">
        <v>72</v>
      </c>
      <c r="AF1852" s="17">
        <v>45343</v>
      </c>
      <c r="AG1852" s="26"/>
      <c r="AH1852" s="26"/>
      <c r="AI1852" s="40" t="s">
        <v>84</v>
      </c>
      <c r="AJ1852" s="26"/>
      <c r="AK1852" s="26"/>
      <c r="AL1852" s="35"/>
      <c r="AM1852" s="35"/>
      <c r="AN1852" s="35"/>
      <c r="AO1852" s="35"/>
      <c r="AP1852" s="35"/>
    </row>
    <row r="1853" spans="1:42" x14ac:dyDescent="0.2">
      <c r="A1853" s="126">
        <v>45343.363743101851</v>
      </c>
      <c r="B1853" s="28" t="s">
        <v>37</v>
      </c>
      <c r="C1853" s="41" t="s">
        <v>118</v>
      </c>
      <c r="D1853" s="26" t="s">
        <v>36</v>
      </c>
      <c r="E1853" s="26" t="s">
        <v>106</v>
      </c>
      <c r="F1853" s="26" t="s">
        <v>7188</v>
      </c>
      <c r="G1853" s="26" t="s">
        <v>108</v>
      </c>
      <c r="H1853" s="26" t="s">
        <v>6457</v>
      </c>
      <c r="I1853" s="17">
        <f ca="1">IFERROR(__xludf.DUMMYFUNCTION("""COMPUTED_VALUE"""),45349)</f>
        <v>45349</v>
      </c>
      <c r="J1853" s="29" t="s">
        <v>7189</v>
      </c>
      <c r="K1853" s="26" t="s">
        <v>7190</v>
      </c>
      <c r="L1853" s="30">
        <v>976631468</v>
      </c>
      <c r="M1853" s="26" t="s">
        <v>3288</v>
      </c>
      <c r="N1853" s="26" t="s">
        <v>200</v>
      </c>
      <c r="O1853" s="26" t="s">
        <v>91</v>
      </c>
      <c r="P1853" s="26" t="s">
        <v>7191</v>
      </c>
      <c r="Q1853" s="20">
        <v>3768</v>
      </c>
      <c r="R1853" s="26" t="s">
        <v>36</v>
      </c>
      <c r="S1853" s="31">
        <v>3768</v>
      </c>
      <c r="T1853" s="32">
        <v>45342</v>
      </c>
      <c r="U1853" s="31"/>
      <c r="V1853" s="32"/>
      <c r="W1853" s="33" t="s">
        <v>7192</v>
      </c>
      <c r="X1853" s="26"/>
      <c r="Y1853" s="22">
        <v>0</v>
      </c>
      <c r="Z1853" s="26" t="s">
        <v>50</v>
      </c>
      <c r="AA1853" s="19" t="s">
        <v>7077</v>
      </c>
      <c r="AB1853" s="26" t="s">
        <v>104</v>
      </c>
      <c r="AC1853" s="26" t="s">
        <v>53</v>
      </c>
      <c r="AD1853" s="19" t="s">
        <v>54</v>
      </c>
      <c r="AE1853" s="26">
        <v>640</v>
      </c>
      <c r="AF1853" s="17">
        <v>45343</v>
      </c>
      <c r="AG1853" s="26"/>
      <c r="AH1853" s="26"/>
      <c r="AI1853" s="40">
        <v>1</v>
      </c>
      <c r="AJ1853" s="26"/>
      <c r="AK1853" s="26"/>
      <c r="AL1853" s="35"/>
      <c r="AM1853" s="35"/>
      <c r="AN1853" s="35"/>
      <c r="AO1853" s="35"/>
      <c r="AP1853" s="35"/>
    </row>
    <row r="1854" spans="1:42" x14ac:dyDescent="0.2">
      <c r="A1854" s="126">
        <v>45343.467250486108</v>
      </c>
      <c r="B1854" s="28" t="s">
        <v>37</v>
      </c>
      <c r="C1854" s="41" t="s">
        <v>118</v>
      </c>
      <c r="D1854" s="26" t="s">
        <v>36</v>
      </c>
      <c r="E1854" s="26" t="s">
        <v>219</v>
      </c>
      <c r="F1854" s="26" t="s">
        <v>36</v>
      </c>
      <c r="G1854" s="26" t="s">
        <v>221</v>
      </c>
      <c r="H1854" s="26" t="s">
        <v>6874</v>
      </c>
      <c r="I1854" s="17">
        <f ca="1">IFERROR(__xludf.DUMMYFUNCTION("""COMPUTED_VALUE"""),45378)</f>
        <v>45378</v>
      </c>
      <c r="J1854" s="29" t="s">
        <v>7193</v>
      </c>
      <c r="K1854" s="26" t="s">
        <v>7194</v>
      </c>
      <c r="L1854" s="30">
        <v>363237626</v>
      </c>
      <c r="M1854" s="26" t="s">
        <v>45</v>
      </c>
      <c r="N1854" s="26" t="s">
        <v>571</v>
      </c>
      <c r="O1854" s="26" t="s">
        <v>7195</v>
      </c>
      <c r="P1854" s="42" t="s">
        <v>7196</v>
      </c>
      <c r="Q1854" s="20">
        <v>3968</v>
      </c>
      <c r="R1854" s="26" t="s">
        <v>36</v>
      </c>
      <c r="S1854" s="31">
        <v>3968</v>
      </c>
      <c r="T1854" s="32">
        <v>45311</v>
      </c>
      <c r="U1854" s="31"/>
      <c r="V1854" s="32"/>
      <c r="W1854" s="33" t="s">
        <v>7197</v>
      </c>
      <c r="X1854" s="26"/>
      <c r="Y1854" s="22">
        <v>0</v>
      </c>
      <c r="Z1854" s="26" t="s">
        <v>50</v>
      </c>
      <c r="AA1854" s="19" t="s">
        <v>7077</v>
      </c>
      <c r="AB1854" s="26" t="s">
        <v>104</v>
      </c>
      <c r="AC1854" s="26" t="s">
        <v>53</v>
      </c>
      <c r="AD1854" s="19" t="s">
        <v>54</v>
      </c>
      <c r="AE1854" s="26">
        <v>535</v>
      </c>
      <c r="AF1854" s="17">
        <v>45377</v>
      </c>
      <c r="AG1854" s="26"/>
      <c r="AH1854" s="26"/>
      <c r="AI1854" s="40">
        <v>1</v>
      </c>
      <c r="AJ1854" s="26"/>
      <c r="AK1854" s="26"/>
      <c r="AL1854" s="35"/>
      <c r="AM1854" s="35"/>
      <c r="AN1854" s="35"/>
      <c r="AO1854" s="35"/>
      <c r="AP1854" s="35"/>
    </row>
    <row r="1855" spans="1:42" x14ac:dyDescent="0.2">
      <c r="A1855" s="126">
        <v>45344.353178402773</v>
      </c>
      <c r="B1855" s="28" t="s">
        <v>37</v>
      </c>
      <c r="C1855" s="41" t="s">
        <v>118</v>
      </c>
      <c r="D1855" s="26" t="s">
        <v>36</v>
      </c>
      <c r="E1855" s="26" t="s">
        <v>77</v>
      </c>
      <c r="F1855" s="26" t="s">
        <v>36</v>
      </c>
      <c r="G1855" s="26" t="s">
        <v>41</v>
      </c>
      <c r="H1855" s="26" t="s">
        <v>4087</v>
      </c>
      <c r="I1855" s="17">
        <f ca="1">IFERROR(__xludf.DUMMYFUNCTION("""COMPUTED_VALUE"""),45358)</f>
        <v>45358</v>
      </c>
      <c r="J1855" s="29" t="s">
        <v>7198</v>
      </c>
      <c r="K1855" s="26" t="s">
        <v>7199</v>
      </c>
      <c r="L1855" s="30">
        <v>976947446</v>
      </c>
      <c r="M1855" s="26" t="s">
        <v>1245</v>
      </c>
      <c r="N1855" s="26" t="s">
        <v>1246</v>
      </c>
      <c r="O1855" s="26" t="s">
        <v>7200</v>
      </c>
      <c r="P1855" s="26" t="s">
        <v>7201</v>
      </c>
      <c r="Q1855" s="20">
        <v>1968</v>
      </c>
      <c r="R1855" s="26" t="s">
        <v>36</v>
      </c>
      <c r="S1855" s="31">
        <v>1968</v>
      </c>
      <c r="T1855" s="32">
        <v>45344</v>
      </c>
      <c r="U1855" s="31"/>
      <c r="V1855" s="32"/>
      <c r="W1855" s="33" t="s">
        <v>7202</v>
      </c>
      <c r="X1855" s="26"/>
      <c r="Y1855" s="22">
        <v>0</v>
      </c>
      <c r="Z1855" s="26" t="s">
        <v>50</v>
      </c>
      <c r="AA1855" s="19" t="s">
        <v>7077</v>
      </c>
      <c r="AB1855" s="26" t="s">
        <v>104</v>
      </c>
      <c r="AC1855" s="26" t="s">
        <v>53</v>
      </c>
      <c r="AD1855" s="19" t="s">
        <v>138</v>
      </c>
      <c r="AE1855" s="26" t="s">
        <v>4219</v>
      </c>
      <c r="AF1855" s="17">
        <v>45358</v>
      </c>
      <c r="AG1855" s="26" t="s">
        <v>3415</v>
      </c>
      <c r="AH1855" s="26"/>
      <c r="AI1855" s="40" t="s">
        <v>84</v>
      </c>
      <c r="AJ1855" s="26"/>
      <c r="AK1855" s="26"/>
      <c r="AL1855" s="35"/>
      <c r="AM1855" s="35"/>
      <c r="AN1855" s="35"/>
      <c r="AO1855" s="35"/>
      <c r="AP1855" s="35"/>
    </row>
    <row r="1856" spans="1:42" x14ac:dyDescent="0.2">
      <c r="A1856" s="126">
        <v>45344.595087650465</v>
      </c>
      <c r="B1856" s="28" t="s">
        <v>37</v>
      </c>
      <c r="C1856" s="41" t="s">
        <v>118</v>
      </c>
      <c r="D1856" s="26" t="s">
        <v>36</v>
      </c>
      <c r="E1856" s="26" t="s">
        <v>148</v>
      </c>
      <c r="F1856" s="26" t="s">
        <v>7203</v>
      </c>
      <c r="G1856" s="26" t="s">
        <v>108</v>
      </c>
      <c r="H1856" s="26" t="s">
        <v>7204</v>
      </c>
      <c r="I1856" s="17">
        <f ca="1">IFERROR(__xludf.DUMMYFUNCTION("""COMPUTED_VALUE"""),45555)</f>
        <v>45555</v>
      </c>
      <c r="J1856" s="29" t="s">
        <v>7205</v>
      </c>
      <c r="K1856" s="26" t="s">
        <v>7206</v>
      </c>
      <c r="L1856" s="30">
        <v>972185582</v>
      </c>
      <c r="M1856" s="26" t="s">
        <v>292</v>
      </c>
      <c r="N1856" s="26" t="s">
        <v>438</v>
      </c>
      <c r="O1856" s="67" t="s">
        <v>7207</v>
      </c>
      <c r="P1856" s="42" t="s">
        <v>7208</v>
      </c>
      <c r="Q1856" s="20">
        <v>7349</v>
      </c>
      <c r="R1856" s="26" t="s">
        <v>36</v>
      </c>
      <c r="S1856" s="31">
        <v>6536</v>
      </c>
      <c r="T1856" s="32">
        <v>45342</v>
      </c>
      <c r="U1856" s="31">
        <v>713</v>
      </c>
      <c r="V1856" s="32">
        <v>45349</v>
      </c>
      <c r="W1856" s="33" t="s">
        <v>7209</v>
      </c>
      <c r="X1856" s="26"/>
      <c r="Y1856" s="22">
        <v>100</v>
      </c>
      <c r="Z1856" s="26" t="s">
        <v>50</v>
      </c>
      <c r="AA1856" s="19" t="s">
        <v>7077</v>
      </c>
      <c r="AB1856" s="26" t="s">
        <v>104</v>
      </c>
      <c r="AC1856" s="26" t="s">
        <v>53</v>
      </c>
      <c r="AD1856" s="19" t="s">
        <v>138</v>
      </c>
      <c r="AE1856" s="26">
        <v>350</v>
      </c>
      <c r="AF1856" s="17">
        <v>45551</v>
      </c>
      <c r="AG1856" s="26"/>
      <c r="AH1856" s="26"/>
      <c r="AI1856" s="40">
        <v>2</v>
      </c>
      <c r="AJ1856" s="26"/>
      <c r="AK1856" s="26"/>
      <c r="AL1856" s="35"/>
      <c r="AM1856" s="35"/>
      <c r="AN1856" s="35"/>
      <c r="AO1856" s="35"/>
      <c r="AP1856" s="35"/>
    </row>
    <row r="1857" spans="1:42" x14ac:dyDescent="0.2">
      <c r="A1857" s="126">
        <v>45345.683825474538</v>
      </c>
      <c r="B1857" s="28" t="s">
        <v>37</v>
      </c>
      <c r="C1857" s="41" t="s">
        <v>118</v>
      </c>
      <c r="D1857" s="26" t="s">
        <v>106</v>
      </c>
      <c r="E1857" s="26" t="s">
        <v>219</v>
      </c>
      <c r="F1857" s="26" t="s">
        <v>3416</v>
      </c>
      <c r="G1857" s="26" t="s">
        <v>221</v>
      </c>
      <c r="H1857" s="26" t="s">
        <v>6389</v>
      </c>
      <c r="I1857" s="17">
        <f ca="1">IFERROR(__xludf.DUMMYFUNCTION("""COMPUTED_VALUE"""),45356)</f>
        <v>45356</v>
      </c>
      <c r="J1857" s="29" t="s">
        <v>4429</v>
      </c>
      <c r="K1857" s="26" t="s">
        <v>4430</v>
      </c>
      <c r="L1857" s="30">
        <v>961481636</v>
      </c>
      <c r="M1857" s="26" t="s">
        <v>5429</v>
      </c>
      <c r="N1857" s="26" t="s">
        <v>7210</v>
      </c>
      <c r="O1857" s="26" t="s">
        <v>4431</v>
      </c>
      <c r="P1857" s="26" t="s">
        <v>6368</v>
      </c>
      <c r="Q1857" s="20">
        <v>3968</v>
      </c>
      <c r="R1857" s="26" t="s">
        <v>36</v>
      </c>
      <c r="S1857" s="31">
        <v>3868</v>
      </c>
      <c r="T1857" s="32">
        <v>45345</v>
      </c>
      <c r="U1857" s="26"/>
      <c r="V1857" s="32"/>
      <c r="W1857" s="33" t="s">
        <v>7211</v>
      </c>
      <c r="X1857" s="26"/>
      <c r="Y1857" s="22">
        <v>100</v>
      </c>
      <c r="Z1857" s="26" t="s">
        <v>50</v>
      </c>
      <c r="AA1857" s="19" t="s">
        <v>7077</v>
      </c>
      <c r="AB1857" s="26" t="s">
        <v>104</v>
      </c>
      <c r="AC1857" s="26" t="s">
        <v>53</v>
      </c>
      <c r="AD1857" s="19" t="s">
        <v>138</v>
      </c>
      <c r="AE1857" s="26" t="s">
        <v>7212</v>
      </c>
      <c r="AF1857" s="17">
        <v>45356</v>
      </c>
      <c r="AG1857" s="26" t="s">
        <v>3415</v>
      </c>
      <c r="AH1857" s="26"/>
      <c r="AI1857" s="40">
        <v>1</v>
      </c>
      <c r="AJ1857" s="26"/>
      <c r="AK1857" s="26"/>
      <c r="AL1857" s="35"/>
      <c r="AM1857" s="35"/>
      <c r="AN1857" s="35"/>
      <c r="AO1857" s="35"/>
      <c r="AP1857" s="35"/>
    </row>
    <row r="1858" spans="1:42" x14ac:dyDescent="0.2">
      <c r="A1858" s="126">
        <v>45345.927616944449</v>
      </c>
      <c r="B1858" s="28" t="s">
        <v>90</v>
      </c>
      <c r="C1858" s="41" t="s">
        <v>118</v>
      </c>
      <c r="D1858" s="26" t="s">
        <v>36</v>
      </c>
      <c r="E1858" s="26" t="s">
        <v>77</v>
      </c>
      <c r="F1858" s="26" t="s">
        <v>7213</v>
      </c>
      <c r="G1858" s="26" t="s">
        <v>41</v>
      </c>
      <c r="H1858" s="26" t="s">
        <v>6637</v>
      </c>
      <c r="I1858" s="17">
        <f ca="1">IFERROR(__xludf.DUMMYFUNCTION("""COMPUTED_VALUE"""),45351)</f>
        <v>45351</v>
      </c>
      <c r="J1858" s="29" t="s">
        <v>7214</v>
      </c>
      <c r="K1858" s="26" t="s">
        <v>7215</v>
      </c>
      <c r="L1858" s="30">
        <v>869364128</v>
      </c>
      <c r="M1858" s="26" t="s">
        <v>45</v>
      </c>
      <c r="N1858" s="26" t="s">
        <v>299</v>
      </c>
      <c r="O1858" s="26" t="s">
        <v>7216</v>
      </c>
      <c r="P1858" s="26" t="s">
        <v>7217</v>
      </c>
      <c r="Q1858" s="20">
        <v>1968</v>
      </c>
      <c r="R1858" s="26" t="s">
        <v>36</v>
      </c>
      <c r="S1858" s="31">
        <v>1968</v>
      </c>
      <c r="T1858" s="32">
        <v>45345</v>
      </c>
      <c r="U1858" s="31"/>
      <c r="V1858" s="32"/>
      <c r="W1858" s="33" t="s">
        <v>7218</v>
      </c>
      <c r="X1858" s="26"/>
      <c r="Y1858" s="22">
        <v>0</v>
      </c>
      <c r="Z1858" s="26" t="s">
        <v>50</v>
      </c>
      <c r="AA1858" s="19" t="s">
        <v>7077</v>
      </c>
      <c r="AB1858" s="26" t="s">
        <v>104</v>
      </c>
      <c r="AC1858" s="26" t="s">
        <v>53</v>
      </c>
      <c r="AD1858" s="19" t="s">
        <v>54</v>
      </c>
      <c r="AE1858" s="26" t="s">
        <v>1327</v>
      </c>
      <c r="AF1858" s="17">
        <v>45348</v>
      </c>
      <c r="AG1858" s="26"/>
      <c r="AH1858" s="26"/>
      <c r="AI1858" s="40" t="s">
        <v>84</v>
      </c>
      <c r="AJ1858" s="26"/>
      <c r="AK1858" s="26"/>
      <c r="AL1858" s="35"/>
      <c r="AM1858" s="35"/>
      <c r="AN1858" s="35"/>
      <c r="AO1858" s="35"/>
      <c r="AP1858" s="35"/>
    </row>
    <row r="1859" spans="1:42" x14ac:dyDescent="0.2">
      <c r="A1859" s="126">
        <v>45346.681585752318</v>
      </c>
      <c r="B1859" s="28" t="s">
        <v>37</v>
      </c>
      <c r="C1859" s="41" t="s">
        <v>118</v>
      </c>
      <c r="D1859" s="26" t="s">
        <v>36</v>
      </c>
      <c r="E1859" s="26" t="s">
        <v>219</v>
      </c>
      <c r="F1859" s="26" t="s">
        <v>36</v>
      </c>
      <c r="G1859" s="26" t="s">
        <v>221</v>
      </c>
      <c r="H1859" s="26" t="s">
        <v>5087</v>
      </c>
      <c r="I1859" s="17">
        <f ca="1">IFERROR(__xludf.DUMMYFUNCTION("""COMPUTED_VALUE"""),45356)</f>
        <v>45356</v>
      </c>
      <c r="J1859" s="29" t="s">
        <v>7219</v>
      </c>
      <c r="K1859" s="26" t="s">
        <v>7220</v>
      </c>
      <c r="L1859" s="30">
        <v>393312305</v>
      </c>
      <c r="M1859" s="26" t="s">
        <v>112</v>
      </c>
      <c r="N1859" s="26" t="s">
        <v>113</v>
      </c>
      <c r="O1859" s="26" t="s">
        <v>36</v>
      </c>
      <c r="P1859" s="26" t="s">
        <v>7221</v>
      </c>
      <c r="Q1859" s="20">
        <v>3968</v>
      </c>
      <c r="R1859" s="26" t="s">
        <v>36</v>
      </c>
      <c r="S1859" s="31">
        <v>3868</v>
      </c>
      <c r="T1859" s="32">
        <v>45346</v>
      </c>
      <c r="U1859" s="31"/>
      <c r="V1859" s="32"/>
      <c r="W1859" s="33" t="s">
        <v>7222</v>
      </c>
      <c r="X1859" s="26"/>
      <c r="Y1859" s="22">
        <v>100</v>
      </c>
      <c r="Z1859" s="26" t="s">
        <v>50</v>
      </c>
      <c r="AA1859" s="19" t="s">
        <v>7077</v>
      </c>
      <c r="AB1859" s="26" t="s">
        <v>104</v>
      </c>
      <c r="AC1859" s="26" t="s">
        <v>53</v>
      </c>
      <c r="AD1859" s="19" t="s">
        <v>54</v>
      </c>
      <c r="AE1859" s="26">
        <v>570</v>
      </c>
      <c r="AF1859" s="17">
        <v>45350</v>
      </c>
      <c r="AG1859" s="26"/>
      <c r="AH1859" s="26"/>
      <c r="AI1859" s="40">
        <v>1</v>
      </c>
      <c r="AJ1859" s="26"/>
      <c r="AK1859" s="26"/>
      <c r="AL1859" s="35"/>
      <c r="AM1859" s="35"/>
      <c r="AN1859" s="35"/>
      <c r="AO1859" s="35"/>
      <c r="AP1859" s="35"/>
    </row>
    <row r="1860" spans="1:42" x14ac:dyDescent="0.2">
      <c r="A1860" s="126">
        <v>45346.683078043978</v>
      </c>
      <c r="B1860" s="28" t="s">
        <v>37</v>
      </c>
      <c r="C1860" s="41" t="s">
        <v>118</v>
      </c>
      <c r="D1860" s="26" t="s">
        <v>36</v>
      </c>
      <c r="E1860" s="26" t="s">
        <v>219</v>
      </c>
      <c r="F1860" s="26" t="s">
        <v>36</v>
      </c>
      <c r="G1860" s="26" t="s">
        <v>221</v>
      </c>
      <c r="H1860" s="26" t="s">
        <v>5087</v>
      </c>
      <c r="I1860" s="17">
        <f ca="1">IFERROR(__xludf.DUMMYFUNCTION("""COMPUTED_VALUE"""),45356)</f>
        <v>45356</v>
      </c>
      <c r="J1860" s="29" t="s">
        <v>7223</v>
      </c>
      <c r="K1860" s="26" t="s">
        <v>7224</v>
      </c>
      <c r="L1860" s="30">
        <v>971318900</v>
      </c>
      <c r="M1860" s="26" t="s">
        <v>112</v>
      </c>
      <c r="N1860" s="26" t="s">
        <v>113</v>
      </c>
      <c r="O1860" s="26" t="s">
        <v>36</v>
      </c>
      <c r="P1860" s="26" t="s">
        <v>7221</v>
      </c>
      <c r="Q1860" s="20">
        <v>3968</v>
      </c>
      <c r="R1860" s="26" t="s">
        <v>70</v>
      </c>
      <c r="S1860" s="31">
        <v>3868</v>
      </c>
      <c r="T1860" s="32">
        <v>45346</v>
      </c>
      <c r="U1860" s="31"/>
      <c r="V1860" s="32"/>
      <c r="W1860" s="33" t="s">
        <v>7225</v>
      </c>
      <c r="X1860" s="26"/>
      <c r="Y1860" s="22">
        <v>100</v>
      </c>
      <c r="Z1860" s="26" t="s">
        <v>50</v>
      </c>
      <c r="AA1860" s="19" t="s">
        <v>7077</v>
      </c>
      <c r="AB1860" s="26" t="s">
        <v>104</v>
      </c>
      <c r="AC1860" s="26" t="s">
        <v>53</v>
      </c>
      <c r="AD1860" s="19" t="s">
        <v>54</v>
      </c>
      <c r="AE1860" s="26">
        <v>550</v>
      </c>
      <c r="AF1860" s="17">
        <v>45350</v>
      </c>
      <c r="AG1860" s="26"/>
      <c r="AH1860" s="26"/>
      <c r="AI1860" s="40">
        <v>1</v>
      </c>
      <c r="AJ1860" s="26"/>
      <c r="AK1860" s="26"/>
      <c r="AL1860" s="35"/>
      <c r="AM1860" s="35"/>
      <c r="AN1860" s="35"/>
      <c r="AO1860" s="35"/>
      <c r="AP1860" s="35"/>
    </row>
    <row r="1861" spans="1:42" x14ac:dyDescent="0.2">
      <c r="A1861" s="126">
        <v>45346.92211417824</v>
      </c>
      <c r="B1861" s="28" t="s">
        <v>37</v>
      </c>
      <c r="C1861" s="41" t="s">
        <v>118</v>
      </c>
      <c r="D1861" s="26" t="s">
        <v>36</v>
      </c>
      <c r="E1861" s="26" t="s">
        <v>56</v>
      </c>
      <c r="F1861" s="26" t="s">
        <v>7226</v>
      </c>
      <c r="G1861" s="26" t="s">
        <v>41</v>
      </c>
      <c r="H1861" s="26" t="s">
        <v>4087</v>
      </c>
      <c r="I1861" s="17">
        <f ca="1">IFERROR(__xludf.DUMMYFUNCTION("""COMPUTED_VALUE"""),45358)</f>
        <v>45358</v>
      </c>
      <c r="J1861" s="49" t="s">
        <v>7227</v>
      </c>
      <c r="K1861" s="26" t="s">
        <v>7228</v>
      </c>
      <c r="L1861" s="30">
        <v>394612470</v>
      </c>
      <c r="M1861" s="26" t="s">
        <v>3288</v>
      </c>
      <c r="N1861" s="26" t="s">
        <v>200</v>
      </c>
      <c r="O1861" s="26" t="s">
        <v>7229</v>
      </c>
      <c r="P1861" s="26" t="s">
        <v>7230</v>
      </c>
      <c r="Q1861" s="20">
        <v>9317</v>
      </c>
      <c r="R1861" s="26" t="s">
        <v>36</v>
      </c>
      <c r="S1861" s="31">
        <v>9317</v>
      </c>
      <c r="T1861" s="32">
        <v>45346</v>
      </c>
      <c r="U1861" s="31"/>
      <c r="V1861" s="32"/>
      <c r="W1861" s="33" t="s">
        <v>7231</v>
      </c>
      <c r="X1861" s="26"/>
      <c r="Y1861" s="22">
        <v>0</v>
      </c>
      <c r="Z1861" s="26" t="s">
        <v>50</v>
      </c>
      <c r="AA1861" s="19" t="s">
        <v>7077</v>
      </c>
      <c r="AB1861" s="26" t="s">
        <v>104</v>
      </c>
      <c r="AC1861" s="26" t="s">
        <v>53</v>
      </c>
      <c r="AD1861" s="19" t="s">
        <v>54</v>
      </c>
      <c r="AE1861" s="26" t="s">
        <v>7232</v>
      </c>
      <c r="AF1861" s="17">
        <v>45358</v>
      </c>
      <c r="AG1861" s="26" t="s">
        <v>3415</v>
      </c>
      <c r="AH1861" s="26"/>
      <c r="AI1861" s="40" t="s">
        <v>64</v>
      </c>
      <c r="AJ1861" s="26"/>
      <c r="AK1861" s="26"/>
      <c r="AL1861" s="35"/>
      <c r="AM1861" s="35"/>
      <c r="AN1861" s="35"/>
      <c r="AO1861" s="35"/>
      <c r="AP1861" s="35"/>
    </row>
    <row r="1862" spans="1:42" x14ac:dyDescent="0.2">
      <c r="A1862" s="126">
        <v>45346.923811631947</v>
      </c>
      <c r="B1862" s="28" t="s">
        <v>37</v>
      </c>
      <c r="C1862" s="41" t="s">
        <v>118</v>
      </c>
      <c r="D1862" s="26" t="s">
        <v>36</v>
      </c>
      <c r="E1862" s="26" t="s">
        <v>39</v>
      </c>
      <c r="F1862" s="26" t="s">
        <v>40</v>
      </c>
      <c r="G1862" s="26" t="s">
        <v>41</v>
      </c>
      <c r="H1862" s="26" t="s">
        <v>4087</v>
      </c>
      <c r="I1862" s="17">
        <f ca="1">IFERROR(__xludf.DUMMYFUNCTION("""COMPUTED_VALUE"""),45358)</f>
        <v>45358</v>
      </c>
      <c r="J1862" s="49" t="s">
        <v>7233</v>
      </c>
      <c r="K1862" s="26" t="s">
        <v>7234</v>
      </c>
      <c r="L1862" s="47">
        <v>329908305</v>
      </c>
      <c r="M1862" s="19" t="s">
        <v>59</v>
      </c>
      <c r="N1862" s="26" t="s">
        <v>403</v>
      </c>
      <c r="O1862" s="26" t="s">
        <v>7235</v>
      </c>
      <c r="P1862" s="26" t="s">
        <v>7236</v>
      </c>
      <c r="Q1862" s="20">
        <v>5736</v>
      </c>
      <c r="R1862" s="26" t="s">
        <v>36</v>
      </c>
      <c r="S1862" s="31">
        <v>5736</v>
      </c>
      <c r="T1862" s="32">
        <v>45346</v>
      </c>
      <c r="U1862" s="31"/>
      <c r="V1862" s="32"/>
      <c r="W1862" s="33" t="s">
        <v>7237</v>
      </c>
      <c r="X1862" s="26">
        <v>0</v>
      </c>
      <c r="Y1862" s="22">
        <v>0</v>
      </c>
      <c r="Z1862" s="26" t="s">
        <v>50</v>
      </c>
      <c r="AA1862" s="19" t="s">
        <v>7077</v>
      </c>
      <c r="AB1862" s="26" t="s">
        <v>104</v>
      </c>
      <c r="AC1862" s="26" t="s">
        <v>53</v>
      </c>
      <c r="AD1862" s="19" t="s">
        <v>138</v>
      </c>
      <c r="AE1862" s="26" t="s">
        <v>72</v>
      </c>
      <c r="AF1862" s="17">
        <v>45358</v>
      </c>
      <c r="AG1862" s="26" t="s">
        <v>3415</v>
      </c>
      <c r="AH1862" s="40">
        <v>1.5</v>
      </c>
      <c r="AI1862" s="40" t="s">
        <v>55</v>
      </c>
      <c r="AJ1862" s="26"/>
      <c r="AK1862" s="26"/>
      <c r="AL1862" s="35"/>
      <c r="AM1862" s="35"/>
      <c r="AN1862" s="35"/>
      <c r="AO1862" s="35"/>
      <c r="AP1862" s="35"/>
    </row>
    <row r="1863" spans="1:42" x14ac:dyDescent="0.2">
      <c r="A1863" s="126">
        <v>45348.914922430558</v>
      </c>
      <c r="B1863" s="28" t="s">
        <v>37</v>
      </c>
      <c r="C1863" s="41" t="s">
        <v>118</v>
      </c>
      <c r="D1863" s="26" t="s">
        <v>36</v>
      </c>
      <c r="E1863" s="26" t="s">
        <v>39</v>
      </c>
      <c r="F1863" s="26" t="s">
        <v>40</v>
      </c>
      <c r="G1863" s="26" t="s">
        <v>41</v>
      </c>
      <c r="H1863" s="26" t="s">
        <v>6814</v>
      </c>
      <c r="I1863" s="17">
        <f ca="1">IFERROR(__xludf.DUMMYFUNCTION("""COMPUTED_VALUE"""),45350)</f>
        <v>45350</v>
      </c>
      <c r="J1863" s="29" t="s">
        <v>7238</v>
      </c>
      <c r="K1863" s="26" t="s">
        <v>7239</v>
      </c>
      <c r="L1863" s="30">
        <v>355460634</v>
      </c>
      <c r="M1863" s="26" t="s">
        <v>45</v>
      </c>
      <c r="N1863" s="26" t="s">
        <v>3839</v>
      </c>
      <c r="O1863" s="26" t="s">
        <v>7240</v>
      </c>
      <c r="P1863" s="26" t="s">
        <v>7241</v>
      </c>
      <c r="Q1863" s="20">
        <v>5736</v>
      </c>
      <c r="R1863" s="26" t="s">
        <v>36</v>
      </c>
      <c r="S1863" s="31">
        <v>5736</v>
      </c>
      <c r="T1863" s="32">
        <v>45348</v>
      </c>
      <c r="U1863" s="31"/>
      <c r="V1863" s="32"/>
      <c r="W1863" s="33" t="s">
        <v>7242</v>
      </c>
      <c r="X1863" s="26"/>
      <c r="Y1863" s="22">
        <v>0</v>
      </c>
      <c r="Z1863" s="26" t="s">
        <v>50</v>
      </c>
      <c r="AA1863" s="19" t="s">
        <v>7077</v>
      </c>
      <c r="AB1863" s="26" t="s">
        <v>104</v>
      </c>
      <c r="AC1863" s="26" t="s">
        <v>53</v>
      </c>
      <c r="AD1863" s="19" t="s">
        <v>54</v>
      </c>
      <c r="AE1863" s="26">
        <v>0</v>
      </c>
      <c r="AF1863" s="17">
        <v>45350</v>
      </c>
      <c r="AG1863" s="26"/>
      <c r="AH1863" s="26"/>
      <c r="AI1863" s="40" t="s">
        <v>55</v>
      </c>
      <c r="AJ1863" s="26"/>
      <c r="AK1863" s="26"/>
      <c r="AL1863" s="35"/>
      <c r="AM1863" s="35"/>
      <c r="AN1863" s="35"/>
      <c r="AO1863" s="35"/>
      <c r="AP1863" s="35"/>
    </row>
    <row r="1864" spans="1:42" x14ac:dyDescent="0.2">
      <c r="A1864" s="126">
        <v>45349.661593703699</v>
      </c>
      <c r="B1864" s="28" t="s">
        <v>37</v>
      </c>
      <c r="C1864" s="41" t="s">
        <v>118</v>
      </c>
      <c r="D1864" s="26" t="s">
        <v>77</v>
      </c>
      <c r="E1864" s="26" t="s">
        <v>106</v>
      </c>
      <c r="F1864" s="26" t="s">
        <v>2717</v>
      </c>
      <c r="G1864" s="26" t="s">
        <v>108</v>
      </c>
      <c r="H1864" s="26" t="s">
        <v>2017</v>
      </c>
      <c r="I1864" s="17">
        <f ca="1">IFERROR(__xludf.DUMMYFUNCTION("""COMPUTED_VALUE"""),45485)</f>
        <v>45485</v>
      </c>
      <c r="J1864" s="29" t="s">
        <v>2718</v>
      </c>
      <c r="K1864" s="26" t="s">
        <v>7243</v>
      </c>
      <c r="L1864" s="30">
        <v>974078517</v>
      </c>
      <c r="M1864" s="26" t="s">
        <v>5518</v>
      </c>
      <c r="N1864" s="26" t="s">
        <v>253</v>
      </c>
      <c r="O1864" s="26" t="s">
        <v>7244</v>
      </c>
      <c r="P1864" s="26" t="s">
        <v>7245</v>
      </c>
      <c r="Q1864" s="20">
        <v>3768</v>
      </c>
      <c r="R1864" s="26" t="s">
        <v>36</v>
      </c>
      <c r="S1864" s="31">
        <v>3668</v>
      </c>
      <c r="T1864" s="32">
        <v>45347</v>
      </c>
      <c r="U1864" s="31"/>
      <c r="V1864" s="32"/>
      <c r="W1864" s="33" t="s">
        <v>7246</v>
      </c>
      <c r="X1864" s="26"/>
      <c r="Y1864" s="22">
        <v>100</v>
      </c>
      <c r="Z1864" s="26" t="s">
        <v>50</v>
      </c>
      <c r="AA1864" s="19" t="s">
        <v>7077</v>
      </c>
      <c r="AB1864" s="26" t="s">
        <v>104</v>
      </c>
      <c r="AC1864" s="26" t="s">
        <v>53</v>
      </c>
      <c r="AD1864" s="19" t="s">
        <v>54</v>
      </c>
      <c r="AE1864" s="26"/>
      <c r="AF1864" s="17">
        <v>45350</v>
      </c>
      <c r="AG1864" s="26"/>
      <c r="AH1864" s="26"/>
      <c r="AI1864" s="40">
        <v>1</v>
      </c>
      <c r="AJ1864" s="26"/>
      <c r="AK1864" s="26"/>
      <c r="AL1864" s="35"/>
      <c r="AM1864" s="35"/>
      <c r="AN1864" s="35"/>
      <c r="AO1864" s="35"/>
      <c r="AP1864" s="35"/>
    </row>
    <row r="1865" spans="1:42" x14ac:dyDescent="0.2">
      <c r="A1865" s="126">
        <v>45349.916066030091</v>
      </c>
      <c r="B1865" s="28" t="s">
        <v>37</v>
      </c>
      <c r="C1865" s="41" t="s">
        <v>118</v>
      </c>
      <c r="D1865" s="26" t="s">
        <v>36</v>
      </c>
      <c r="E1865" s="26" t="s">
        <v>139</v>
      </c>
      <c r="F1865" s="26" t="s">
        <v>36</v>
      </c>
      <c r="G1865" s="26" t="s">
        <v>41</v>
      </c>
      <c r="H1865" s="26" t="s">
        <v>4087</v>
      </c>
      <c r="I1865" s="17">
        <f ca="1">IFERROR(__xludf.DUMMYFUNCTION("""COMPUTED_VALUE"""),45358)</f>
        <v>45358</v>
      </c>
      <c r="J1865" s="49" t="s">
        <v>7247</v>
      </c>
      <c r="K1865" s="26" t="s">
        <v>7248</v>
      </c>
      <c r="L1865" s="30">
        <v>777994752</v>
      </c>
      <c r="M1865" s="26" t="s">
        <v>5429</v>
      </c>
      <c r="N1865" s="26" t="s">
        <v>81</v>
      </c>
      <c r="O1865" s="26" t="s">
        <v>7249</v>
      </c>
      <c r="P1865" s="26" t="s">
        <v>7250</v>
      </c>
      <c r="Q1865" s="20">
        <v>15936</v>
      </c>
      <c r="R1865" s="26" t="s">
        <v>36</v>
      </c>
      <c r="S1865" s="31">
        <v>500</v>
      </c>
      <c r="T1865" s="32">
        <v>45320</v>
      </c>
      <c r="U1865" s="31">
        <v>15436</v>
      </c>
      <c r="V1865" s="26" t="s">
        <v>7251</v>
      </c>
      <c r="W1865" s="26" t="s">
        <v>7252</v>
      </c>
      <c r="X1865" s="26"/>
      <c r="Y1865" s="22">
        <v>0</v>
      </c>
      <c r="Z1865" s="26" t="s">
        <v>50</v>
      </c>
      <c r="AA1865" s="19" t="s">
        <v>7077</v>
      </c>
      <c r="AB1865" s="26" t="s">
        <v>104</v>
      </c>
      <c r="AC1865" s="26" t="s">
        <v>53</v>
      </c>
      <c r="AD1865" s="19" t="s">
        <v>138</v>
      </c>
      <c r="AE1865" s="26">
        <v>0</v>
      </c>
      <c r="AF1865" s="17">
        <v>45358</v>
      </c>
      <c r="AG1865" s="26" t="s">
        <v>3415</v>
      </c>
      <c r="AH1865" s="26"/>
      <c r="AI1865" s="40" t="s">
        <v>147</v>
      </c>
      <c r="AJ1865" s="26"/>
      <c r="AK1865" s="26"/>
      <c r="AL1865" s="35"/>
      <c r="AM1865" s="35"/>
      <c r="AN1865" s="35"/>
      <c r="AO1865" s="35"/>
      <c r="AP1865" s="35"/>
    </row>
    <row r="1866" spans="1:42" x14ac:dyDescent="0.2">
      <c r="A1866" s="126">
        <v>45350.412308587962</v>
      </c>
      <c r="B1866" s="28" t="s">
        <v>37</v>
      </c>
      <c r="C1866" s="41" t="s">
        <v>118</v>
      </c>
      <c r="D1866" s="26" t="s">
        <v>106</v>
      </c>
      <c r="E1866" s="26" t="s">
        <v>219</v>
      </c>
      <c r="F1866" s="26" t="s">
        <v>7253</v>
      </c>
      <c r="G1866" s="26" t="s">
        <v>221</v>
      </c>
      <c r="H1866" s="26" t="s">
        <v>4646</v>
      </c>
      <c r="I1866" s="17">
        <f ca="1">IFERROR(__xludf.DUMMYFUNCTION("""COMPUTED_VALUE"""),45370)</f>
        <v>45370</v>
      </c>
      <c r="J1866" s="29" t="s">
        <v>7254</v>
      </c>
      <c r="K1866" s="26" t="s">
        <v>7255</v>
      </c>
      <c r="L1866" s="30">
        <v>934359733</v>
      </c>
      <c r="M1866" s="26" t="s">
        <v>1245</v>
      </c>
      <c r="N1866" s="26" t="s">
        <v>1246</v>
      </c>
      <c r="O1866" s="26" t="s">
        <v>36</v>
      </c>
      <c r="P1866" s="42" t="s">
        <v>7256</v>
      </c>
      <c r="Q1866" s="20">
        <v>3968</v>
      </c>
      <c r="R1866" s="26" t="s">
        <v>36</v>
      </c>
      <c r="S1866" s="31">
        <v>3968</v>
      </c>
      <c r="T1866" s="32">
        <v>45350</v>
      </c>
      <c r="U1866" s="31"/>
      <c r="V1866" s="32"/>
      <c r="W1866" s="33" t="s">
        <v>7257</v>
      </c>
      <c r="X1866" s="26"/>
      <c r="Y1866" s="22">
        <v>0</v>
      </c>
      <c r="Z1866" s="26" t="s">
        <v>50</v>
      </c>
      <c r="AA1866" s="19" t="s">
        <v>7077</v>
      </c>
      <c r="AB1866" s="26" t="s">
        <v>104</v>
      </c>
      <c r="AC1866" s="26" t="s">
        <v>53</v>
      </c>
      <c r="AD1866" s="19" t="s">
        <v>54</v>
      </c>
      <c r="AE1866" s="26" t="s">
        <v>7253</v>
      </c>
      <c r="AF1866" s="17">
        <v>45362</v>
      </c>
      <c r="AG1866" s="26"/>
      <c r="AH1866" s="26"/>
      <c r="AI1866" s="40">
        <v>1</v>
      </c>
      <c r="AJ1866" s="26"/>
      <c r="AK1866" s="26"/>
      <c r="AL1866" s="35"/>
      <c r="AM1866" s="35"/>
      <c r="AN1866" s="35"/>
      <c r="AO1866" s="35"/>
      <c r="AP1866" s="35"/>
    </row>
    <row r="1867" spans="1:42" x14ac:dyDescent="0.2">
      <c r="A1867" s="126">
        <v>45350.450029861109</v>
      </c>
      <c r="B1867" s="28" t="s">
        <v>37</v>
      </c>
      <c r="C1867" s="41" t="s">
        <v>118</v>
      </c>
      <c r="D1867" s="26" t="s">
        <v>36</v>
      </c>
      <c r="E1867" s="26" t="s">
        <v>77</v>
      </c>
      <c r="F1867" s="26" t="s">
        <v>40</v>
      </c>
      <c r="G1867" s="26" t="s">
        <v>6516</v>
      </c>
      <c r="H1867" s="26" t="s">
        <v>4087</v>
      </c>
      <c r="I1867" s="17">
        <f ca="1">IFERROR(__xludf.DUMMYFUNCTION("""COMPUTED_VALUE"""),45358)</f>
        <v>45358</v>
      </c>
      <c r="J1867" s="49" t="s">
        <v>7258</v>
      </c>
      <c r="K1867" s="26" t="s">
        <v>7259</v>
      </c>
      <c r="L1867" s="30">
        <v>357315133</v>
      </c>
      <c r="M1867" s="26" t="s">
        <v>59</v>
      </c>
      <c r="N1867" s="26" t="s">
        <v>4299</v>
      </c>
      <c r="O1867" s="26" t="s">
        <v>7260</v>
      </c>
      <c r="P1867" s="26" t="s">
        <v>7261</v>
      </c>
      <c r="Q1867" s="20">
        <v>1968</v>
      </c>
      <c r="R1867" s="26" t="s">
        <v>36</v>
      </c>
      <c r="S1867" s="31">
        <v>1968</v>
      </c>
      <c r="T1867" s="32">
        <v>45349</v>
      </c>
      <c r="U1867" s="31"/>
      <c r="V1867" s="32"/>
      <c r="W1867" s="33" t="s">
        <v>7262</v>
      </c>
      <c r="X1867" s="26"/>
      <c r="Y1867" s="22">
        <v>0</v>
      </c>
      <c r="Z1867" s="26" t="s">
        <v>50</v>
      </c>
      <c r="AA1867" s="19" t="s">
        <v>7077</v>
      </c>
      <c r="AB1867" s="26" t="s">
        <v>104</v>
      </c>
      <c r="AC1867" s="26" t="s">
        <v>53</v>
      </c>
      <c r="AD1867" s="19" t="s">
        <v>138</v>
      </c>
      <c r="AE1867" s="26" t="s">
        <v>430</v>
      </c>
      <c r="AF1867" s="17">
        <v>45358</v>
      </c>
      <c r="AG1867" s="26" t="s">
        <v>3415</v>
      </c>
      <c r="AH1867" s="26"/>
      <c r="AI1867" s="40" t="s">
        <v>84</v>
      </c>
      <c r="AJ1867" s="26"/>
      <c r="AK1867" s="26"/>
      <c r="AL1867" s="35"/>
      <c r="AM1867" s="35"/>
      <c r="AN1867" s="35"/>
      <c r="AO1867" s="35"/>
      <c r="AP1867" s="35"/>
    </row>
    <row r="1868" spans="1:42" x14ac:dyDescent="0.2">
      <c r="A1868" s="126">
        <v>45350.455451550923</v>
      </c>
      <c r="B1868" s="28" t="s">
        <v>37</v>
      </c>
      <c r="C1868" s="41" t="s">
        <v>118</v>
      </c>
      <c r="D1868" s="26" t="s">
        <v>36</v>
      </c>
      <c r="E1868" s="26" t="s">
        <v>77</v>
      </c>
      <c r="F1868" s="26" t="s">
        <v>40</v>
      </c>
      <c r="G1868" s="26" t="s">
        <v>6516</v>
      </c>
      <c r="H1868" s="26" t="s">
        <v>4087</v>
      </c>
      <c r="I1868" s="17">
        <f ca="1">IFERROR(__xludf.DUMMYFUNCTION("""COMPUTED_VALUE"""),45358)</f>
        <v>45358</v>
      </c>
      <c r="J1868" s="49" t="s">
        <v>7263</v>
      </c>
      <c r="K1868" s="26" t="s">
        <v>7264</v>
      </c>
      <c r="L1868" s="30">
        <v>814993034</v>
      </c>
      <c r="M1868" s="26" t="s">
        <v>59</v>
      </c>
      <c r="N1868" s="26" t="s">
        <v>68</v>
      </c>
      <c r="O1868" s="26" t="s">
        <v>7265</v>
      </c>
      <c r="P1868" s="26" t="s">
        <v>7266</v>
      </c>
      <c r="Q1868" s="20">
        <v>1968</v>
      </c>
      <c r="R1868" s="26" t="s">
        <v>36</v>
      </c>
      <c r="S1868" s="31">
        <v>1968</v>
      </c>
      <c r="T1868" s="32">
        <v>45349</v>
      </c>
      <c r="U1868" s="31"/>
      <c r="V1868" s="32"/>
      <c r="W1868" s="33" t="s">
        <v>7267</v>
      </c>
      <c r="X1868" s="26"/>
      <c r="Y1868" s="22">
        <v>0</v>
      </c>
      <c r="Z1868" s="26" t="s">
        <v>50</v>
      </c>
      <c r="AA1868" s="19" t="s">
        <v>7077</v>
      </c>
      <c r="AB1868" s="26" t="s">
        <v>104</v>
      </c>
      <c r="AC1868" s="26" t="s">
        <v>53</v>
      </c>
      <c r="AD1868" s="19" t="s">
        <v>138</v>
      </c>
      <c r="AE1868" s="26" t="s">
        <v>3170</v>
      </c>
      <c r="AF1868" s="17">
        <v>45358</v>
      </c>
      <c r="AG1868" s="26" t="s">
        <v>3415</v>
      </c>
      <c r="AH1868" s="26"/>
      <c r="AI1868" s="40" t="s">
        <v>84</v>
      </c>
      <c r="AJ1868" s="26"/>
      <c r="AK1868" s="26"/>
      <c r="AL1868" s="35"/>
      <c r="AM1868" s="35"/>
      <c r="AN1868" s="35"/>
      <c r="AO1868" s="35"/>
      <c r="AP1868" s="35"/>
    </row>
    <row r="1869" spans="1:42" x14ac:dyDescent="0.2">
      <c r="A1869" s="126">
        <v>45351.346287245367</v>
      </c>
      <c r="B1869" s="28" t="s">
        <v>37</v>
      </c>
      <c r="C1869" s="41" t="s">
        <v>118</v>
      </c>
      <c r="D1869" s="26" t="s">
        <v>36</v>
      </c>
      <c r="E1869" s="26" t="s">
        <v>77</v>
      </c>
      <c r="F1869" s="26" t="s">
        <v>36</v>
      </c>
      <c r="G1869" s="26" t="s">
        <v>41</v>
      </c>
      <c r="H1869" s="26" t="s">
        <v>7008</v>
      </c>
      <c r="I1869" s="17">
        <f ca="1">IFERROR(__xludf.DUMMYFUNCTION("""COMPUTED_VALUE"""),45370)</f>
        <v>45370</v>
      </c>
      <c r="J1869" s="29" t="s">
        <v>7268</v>
      </c>
      <c r="K1869" s="26" t="s">
        <v>7269</v>
      </c>
      <c r="L1869" s="30">
        <v>984154709</v>
      </c>
      <c r="M1869" s="26" t="s">
        <v>391</v>
      </c>
      <c r="N1869" s="26" t="s">
        <v>5574</v>
      </c>
      <c r="O1869" s="26" t="s">
        <v>7270</v>
      </c>
      <c r="P1869" s="26" t="s">
        <v>7271</v>
      </c>
      <c r="Q1869" s="20">
        <v>1968</v>
      </c>
      <c r="R1869" s="26" t="s">
        <v>36</v>
      </c>
      <c r="S1869" s="31">
        <v>1968</v>
      </c>
      <c r="T1869" s="32">
        <v>45350</v>
      </c>
      <c r="U1869" s="31"/>
      <c r="V1869" s="32"/>
      <c r="W1869" s="33" t="s">
        <v>7272</v>
      </c>
      <c r="X1869" s="26"/>
      <c r="Y1869" s="22">
        <v>0</v>
      </c>
      <c r="Z1869" s="26" t="s">
        <v>50</v>
      </c>
      <c r="AA1869" s="19" t="s">
        <v>7077</v>
      </c>
      <c r="AB1869" s="26" t="s">
        <v>104</v>
      </c>
      <c r="AC1869" s="26" t="s">
        <v>53</v>
      </c>
      <c r="AD1869" s="19" t="s">
        <v>54</v>
      </c>
      <c r="AE1869" s="26"/>
      <c r="AF1869" s="17">
        <v>45356</v>
      </c>
      <c r="AG1869" s="26"/>
      <c r="AH1869" s="26"/>
      <c r="AI1869" s="40" t="s">
        <v>84</v>
      </c>
      <c r="AJ1869" s="26"/>
      <c r="AK1869" s="26"/>
      <c r="AL1869" s="35"/>
      <c r="AM1869" s="35"/>
      <c r="AN1869" s="35"/>
      <c r="AO1869" s="35"/>
      <c r="AP1869" s="35"/>
    </row>
    <row r="1870" spans="1:42" x14ac:dyDescent="0.2">
      <c r="A1870" s="126">
        <v>45351.355981053246</v>
      </c>
      <c r="B1870" s="28" t="s">
        <v>37</v>
      </c>
      <c r="C1870" s="41" t="s">
        <v>118</v>
      </c>
      <c r="D1870" s="26" t="s">
        <v>36</v>
      </c>
      <c r="E1870" s="26" t="s">
        <v>77</v>
      </c>
      <c r="F1870" s="26" t="s">
        <v>36</v>
      </c>
      <c r="G1870" s="26" t="s">
        <v>41</v>
      </c>
      <c r="H1870" s="26" t="s">
        <v>7273</v>
      </c>
      <c r="I1870" s="17">
        <f ca="1">IFERROR(__xludf.DUMMYFUNCTION("""COMPUTED_VALUE"""),45373)</f>
        <v>45373</v>
      </c>
      <c r="J1870" s="29" t="s">
        <v>7274</v>
      </c>
      <c r="K1870" s="26" t="s">
        <v>7275</v>
      </c>
      <c r="L1870" s="30">
        <v>327794328</v>
      </c>
      <c r="M1870" s="26" t="s">
        <v>1245</v>
      </c>
      <c r="N1870" s="26" t="s">
        <v>1246</v>
      </c>
      <c r="O1870" s="26" t="s">
        <v>7276</v>
      </c>
      <c r="P1870" s="26" t="s">
        <v>7277</v>
      </c>
      <c r="Q1870" s="20">
        <v>1968</v>
      </c>
      <c r="R1870" s="26" t="s">
        <v>36</v>
      </c>
      <c r="S1870" s="31">
        <v>1968</v>
      </c>
      <c r="T1870" s="32">
        <v>45351</v>
      </c>
      <c r="U1870" s="31"/>
      <c r="V1870" s="32"/>
      <c r="W1870" s="33" t="s">
        <v>7278</v>
      </c>
      <c r="X1870" s="26"/>
      <c r="Y1870" s="22">
        <v>0</v>
      </c>
      <c r="Z1870" s="26" t="s">
        <v>50</v>
      </c>
      <c r="AA1870" s="19" t="s">
        <v>7077</v>
      </c>
      <c r="AB1870" s="26" t="s">
        <v>104</v>
      </c>
      <c r="AC1870" s="26" t="s">
        <v>53</v>
      </c>
      <c r="AD1870" s="19" t="s">
        <v>54</v>
      </c>
      <c r="AE1870" s="26" t="s">
        <v>36</v>
      </c>
      <c r="AF1870" s="17">
        <v>45356</v>
      </c>
      <c r="AG1870" s="26"/>
      <c r="AH1870" s="26"/>
      <c r="AI1870" s="40" t="s">
        <v>84</v>
      </c>
      <c r="AJ1870" s="26"/>
      <c r="AK1870" s="26"/>
      <c r="AL1870" s="35"/>
      <c r="AM1870" s="35"/>
      <c r="AN1870" s="35"/>
      <c r="AO1870" s="35"/>
      <c r="AP1870" s="35"/>
    </row>
    <row r="1871" spans="1:42" x14ac:dyDescent="0.2">
      <c r="A1871" s="126">
        <v>45351.444603668977</v>
      </c>
      <c r="B1871" s="28" t="s">
        <v>37</v>
      </c>
      <c r="C1871" s="41" t="s">
        <v>118</v>
      </c>
      <c r="D1871" s="26" t="s">
        <v>36</v>
      </c>
      <c r="E1871" s="26" t="s">
        <v>106</v>
      </c>
      <c r="F1871" s="26" t="s">
        <v>36</v>
      </c>
      <c r="G1871" s="26" t="s">
        <v>108</v>
      </c>
      <c r="H1871" s="26" t="s">
        <v>4959</v>
      </c>
      <c r="I1871" s="17">
        <f ca="1">IFERROR(__xludf.DUMMYFUNCTION("""COMPUTED_VALUE"""),45352)</f>
        <v>45352</v>
      </c>
      <c r="J1871" s="29" t="s">
        <v>7279</v>
      </c>
      <c r="K1871" s="26" t="s">
        <v>7280</v>
      </c>
      <c r="L1871" s="30">
        <v>989161572</v>
      </c>
      <c r="M1871" s="26" t="s">
        <v>45</v>
      </c>
      <c r="N1871" s="26" t="s">
        <v>299</v>
      </c>
      <c r="O1871" s="26" t="s">
        <v>7281</v>
      </c>
      <c r="P1871" s="26" t="s">
        <v>7282</v>
      </c>
      <c r="Q1871" s="20">
        <v>3768</v>
      </c>
      <c r="R1871" s="26" t="s">
        <v>36</v>
      </c>
      <c r="S1871" s="31">
        <v>3768</v>
      </c>
      <c r="T1871" s="32">
        <v>45351</v>
      </c>
      <c r="U1871" s="31"/>
      <c r="V1871" s="32"/>
      <c r="W1871" s="33" t="s">
        <v>7283</v>
      </c>
      <c r="X1871" s="26"/>
      <c r="Y1871" s="22">
        <v>0</v>
      </c>
      <c r="Z1871" s="26" t="s">
        <v>50</v>
      </c>
      <c r="AA1871" s="19" t="s">
        <v>7077</v>
      </c>
      <c r="AB1871" s="26" t="s">
        <v>104</v>
      </c>
      <c r="AC1871" s="26" t="s">
        <v>53</v>
      </c>
      <c r="AD1871" s="19" t="s">
        <v>54</v>
      </c>
      <c r="AE1871" s="26">
        <v>600</v>
      </c>
      <c r="AF1871" s="17">
        <v>45351</v>
      </c>
      <c r="AG1871" s="26"/>
      <c r="AH1871" s="26"/>
      <c r="AI1871" s="40">
        <v>1</v>
      </c>
      <c r="AJ1871" s="26"/>
      <c r="AK1871" s="26"/>
      <c r="AL1871" s="35"/>
      <c r="AM1871" s="35"/>
      <c r="AN1871" s="35"/>
      <c r="AO1871" s="35"/>
      <c r="AP1871" s="35"/>
    </row>
    <row r="1872" spans="1:42" x14ac:dyDescent="0.2">
      <c r="A1872" s="126">
        <v>45351.842612592591</v>
      </c>
      <c r="B1872" s="28" t="s">
        <v>37</v>
      </c>
      <c r="C1872" s="41" t="s">
        <v>118</v>
      </c>
      <c r="D1872" s="26" t="s">
        <v>36</v>
      </c>
      <c r="E1872" s="26" t="s">
        <v>106</v>
      </c>
      <c r="F1872" s="26" t="s">
        <v>36</v>
      </c>
      <c r="G1872" s="26" t="s">
        <v>108</v>
      </c>
      <c r="H1872" s="26" t="s">
        <v>4633</v>
      </c>
      <c r="I1872" s="17">
        <f ca="1">IFERROR(__xludf.DUMMYFUNCTION("""COMPUTED_VALUE"""),45365)</f>
        <v>45365</v>
      </c>
      <c r="J1872" s="29" t="s">
        <v>7284</v>
      </c>
      <c r="K1872" s="26" t="s">
        <v>7285</v>
      </c>
      <c r="L1872" s="30">
        <v>384967847</v>
      </c>
      <c r="M1872" s="26" t="s">
        <v>2755</v>
      </c>
      <c r="N1872" s="26" t="s">
        <v>310</v>
      </c>
      <c r="O1872" s="26" t="s">
        <v>4503</v>
      </c>
      <c r="P1872" s="26" t="s">
        <v>7286</v>
      </c>
      <c r="Q1872" s="20">
        <v>3768</v>
      </c>
      <c r="R1872" s="26" t="s">
        <v>70</v>
      </c>
      <c r="S1872" s="31">
        <v>3668</v>
      </c>
      <c r="T1872" s="32">
        <v>45350</v>
      </c>
      <c r="U1872" s="31"/>
      <c r="V1872" s="32"/>
      <c r="W1872" s="33" t="s">
        <v>7287</v>
      </c>
      <c r="X1872" s="26"/>
      <c r="Y1872" s="22">
        <v>100</v>
      </c>
      <c r="Z1872" s="26" t="s">
        <v>50</v>
      </c>
      <c r="AA1872" s="19" t="s">
        <v>7077</v>
      </c>
      <c r="AB1872" s="26" t="s">
        <v>104</v>
      </c>
      <c r="AC1872" s="26" t="s">
        <v>53</v>
      </c>
      <c r="AD1872" s="19" t="s">
        <v>54</v>
      </c>
      <c r="AE1872" s="26"/>
      <c r="AF1872" s="17">
        <v>45362</v>
      </c>
      <c r="AG1872" s="26"/>
      <c r="AH1872" s="26"/>
      <c r="AI1872" s="40">
        <v>1</v>
      </c>
      <c r="AJ1872" s="26"/>
      <c r="AK1872" s="26"/>
      <c r="AL1872" s="35"/>
      <c r="AM1872" s="35"/>
      <c r="AN1872" s="35"/>
      <c r="AO1872" s="35"/>
      <c r="AP1872" s="35"/>
    </row>
    <row r="1873" spans="1:42" x14ac:dyDescent="0.2">
      <c r="A1873" s="126">
        <v>45351.846560798615</v>
      </c>
      <c r="B1873" s="28" t="s">
        <v>37</v>
      </c>
      <c r="C1873" s="41" t="s">
        <v>118</v>
      </c>
      <c r="D1873" s="26" t="s">
        <v>36</v>
      </c>
      <c r="E1873" s="26" t="s">
        <v>39</v>
      </c>
      <c r="F1873" s="26" t="s">
        <v>36</v>
      </c>
      <c r="G1873" s="26" t="s">
        <v>41</v>
      </c>
      <c r="H1873" s="26" t="s">
        <v>7273</v>
      </c>
      <c r="I1873" s="17">
        <f ca="1">IFERROR(__xludf.DUMMYFUNCTION("""COMPUTED_VALUE"""),45373)</f>
        <v>45373</v>
      </c>
      <c r="J1873" s="29" t="s">
        <v>7288</v>
      </c>
      <c r="K1873" s="26" t="s">
        <v>7289</v>
      </c>
      <c r="L1873" s="30">
        <v>976824143</v>
      </c>
      <c r="M1873" s="26" t="s">
        <v>2755</v>
      </c>
      <c r="N1873" s="26" t="s">
        <v>310</v>
      </c>
      <c r="O1873" s="26" t="s">
        <v>4503</v>
      </c>
      <c r="P1873" s="26" t="s">
        <v>7290</v>
      </c>
      <c r="Q1873" s="20">
        <v>5736</v>
      </c>
      <c r="R1873" s="26" t="s">
        <v>70</v>
      </c>
      <c r="S1873" s="31">
        <v>5636</v>
      </c>
      <c r="T1873" s="32">
        <v>45351</v>
      </c>
      <c r="U1873" s="31"/>
      <c r="V1873" s="32"/>
      <c r="W1873" s="33" t="s">
        <v>7291</v>
      </c>
      <c r="X1873" s="26"/>
      <c r="Y1873" s="22">
        <v>100</v>
      </c>
      <c r="Z1873" s="26" t="s">
        <v>50</v>
      </c>
      <c r="AA1873" s="19" t="s">
        <v>7077</v>
      </c>
      <c r="AB1873" s="26" t="s">
        <v>104</v>
      </c>
      <c r="AC1873" s="26" t="s">
        <v>53</v>
      </c>
      <c r="AD1873" s="19" t="s">
        <v>54</v>
      </c>
      <c r="AE1873" s="26"/>
      <c r="AF1873" s="17">
        <v>45358</v>
      </c>
      <c r="AG1873" s="26"/>
      <c r="AH1873" s="26"/>
      <c r="AI1873" s="40" t="s">
        <v>55</v>
      </c>
      <c r="AJ1873" s="26"/>
      <c r="AK1873" s="26"/>
      <c r="AL1873" s="35"/>
      <c r="AM1873" s="35"/>
      <c r="AN1873" s="35"/>
      <c r="AO1873" s="35"/>
      <c r="AP1873" s="35"/>
    </row>
    <row r="1874" spans="1:42" x14ac:dyDescent="0.2">
      <c r="A1874" s="126">
        <v>45351.851753009258</v>
      </c>
      <c r="B1874" s="28" t="s">
        <v>37</v>
      </c>
      <c r="C1874" s="41" t="s">
        <v>118</v>
      </c>
      <c r="D1874" s="26" t="s">
        <v>36</v>
      </c>
      <c r="E1874" s="26" t="s">
        <v>56</v>
      </c>
      <c r="F1874" s="26" t="s">
        <v>40</v>
      </c>
      <c r="G1874" s="26" t="s">
        <v>41</v>
      </c>
      <c r="H1874" s="26" t="s">
        <v>7103</v>
      </c>
      <c r="I1874" s="17">
        <f ca="1">IFERROR(__xludf.DUMMYFUNCTION("""COMPUTED_VALUE"""),45372)</f>
        <v>45372</v>
      </c>
      <c r="J1874" s="33" t="s">
        <v>7292</v>
      </c>
      <c r="K1874" s="26" t="s">
        <v>7293</v>
      </c>
      <c r="L1874" s="30">
        <v>812088688</v>
      </c>
      <c r="M1874" s="26" t="s">
        <v>59</v>
      </c>
      <c r="N1874" s="26" t="s">
        <v>403</v>
      </c>
      <c r="O1874" s="26" t="s">
        <v>7294</v>
      </c>
      <c r="P1874" s="26"/>
      <c r="Q1874" s="20">
        <v>9317</v>
      </c>
      <c r="R1874" s="26" t="s">
        <v>36</v>
      </c>
      <c r="S1874" s="31">
        <v>9317</v>
      </c>
      <c r="T1874" s="32">
        <v>45349</v>
      </c>
      <c r="U1874" s="31"/>
      <c r="V1874" s="32"/>
      <c r="W1874" s="33" t="s">
        <v>7295</v>
      </c>
      <c r="X1874" s="26"/>
      <c r="Y1874" s="22">
        <v>0</v>
      </c>
      <c r="Z1874" s="26" t="s">
        <v>50</v>
      </c>
      <c r="AA1874" s="19" t="s">
        <v>7077</v>
      </c>
      <c r="AB1874" s="26" t="s">
        <v>104</v>
      </c>
      <c r="AC1874" s="26" t="s">
        <v>53</v>
      </c>
      <c r="AD1874" s="19" t="s">
        <v>138</v>
      </c>
      <c r="AE1874" s="26" t="s">
        <v>72</v>
      </c>
      <c r="AF1874" s="17">
        <v>45372</v>
      </c>
      <c r="AG1874" s="26" t="s">
        <v>4279</v>
      </c>
      <c r="AH1874" s="26"/>
      <c r="AI1874" s="40" t="s">
        <v>64</v>
      </c>
      <c r="AJ1874" s="26"/>
      <c r="AK1874" s="26"/>
      <c r="AL1874" s="35"/>
      <c r="AM1874" s="35"/>
      <c r="AN1874" s="35"/>
      <c r="AO1874" s="35"/>
      <c r="AP1874" s="35"/>
    </row>
    <row r="1875" spans="1:42" x14ac:dyDescent="0.2">
      <c r="A1875" s="126">
        <v>45352.034227673612</v>
      </c>
      <c r="B1875" s="28" t="s">
        <v>37</v>
      </c>
      <c r="C1875" s="41" t="s">
        <v>118</v>
      </c>
      <c r="D1875" s="26" t="s">
        <v>77</v>
      </c>
      <c r="E1875" s="26" t="s">
        <v>106</v>
      </c>
      <c r="F1875" s="26" t="s">
        <v>4409</v>
      </c>
      <c r="G1875" s="26" t="s">
        <v>108</v>
      </c>
      <c r="H1875" s="26" t="s">
        <v>7296</v>
      </c>
      <c r="I1875" s="17" t="str">
        <f ca="1">IFERROR(__xludf.DUMMYFUNCTION("""COMPUTED_VALUE""")," ")</f>
        <v xml:space="preserve"> </v>
      </c>
      <c r="J1875" s="29" t="s">
        <v>4434</v>
      </c>
      <c r="K1875" s="26" t="s">
        <v>7297</v>
      </c>
      <c r="L1875" s="30">
        <v>356253495</v>
      </c>
      <c r="M1875" s="26" t="s">
        <v>59</v>
      </c>
      <c r="N1875" s="26" t="s">
        <v>7298</v>
      </c>
      <c r="O1875" s="26" t="s">
        <v>7299</v>
      </c>
      <c r="P1875" s="42" t="s">
        <v>7300</v>
      </c>
      <c r="Q1875" s="20">
        <v>3768</v>
      </c>
      <c r="R1875" s="26" t="s">
        <v>36</v>
      </c>
      <c r="S1875" s="31">
        <v>3668</v>
      </c>
      <c r="T1875" s="32">
        <v>45350</v>
      </c>
      <c r="U1875" s="31"/>
      <c r="V1875" s="32"/>
      <c r="W1875" s="33" t="s">
        <v>7301</v>
      </c>
      <c r="X1875" s="26"/>
      <c r="Y1875" s="22">
        <v>100</v>
      </c>
      <c r="Z1875" s="26" t="s">
        <v>50</v>
      </c>
      <c r="AA1875" s="19" t="s">
        <v>7077</v>
      </c>
      <c r="AB1875" s="26" t="s">
        <v>104</v>
      </c>
      <c r="AC1875" s="26" t="s">
        <v>53</v>
      </c>
      <c r="AD1875" s="19" t="s">
        <v>54</v>
      </c>
      <c r="AE1875" s="26" t="s">
        <v>2752</v>
      </c>
      <c r="AF1875" s="17">
        <v>45377</v>
      </c>
      <c r="AG1875" s="29" t="s">
        <v>7302</v>
      </c>
      <c r="AH1875" s="26"/>
      <c r="AI1875" s="40">
        <v>1</v>
      </c>
      <c r="AJ1875" s="26"/>
      <c r="AK1875" s="26"/>
      <c r="AL1875" s="35"/>
      <c r="AM1875" s="35"/>
      <c r="AN1875" s="35"/>
      <c r="AO1875" s="35"/>
      <c r="AP1875" s="35"/>
    </row>
    <row r="1876" spans="1:42" x14ac:dyDescent="0.2">
      <c r="A1876" s="126">
        <v>45352.036889166666</v>
      </c>
      <c r="B1876" s="28" t="s">
        <v>37</v>
      </c>
      <c r="C1876" s="41" t="s">
        <v>118</v>
      </c>
      <c r="D1876" s="26" t="s">
        <v>36</v>
      </c>
      <c r="E1876" s="26" t="s">
        <v>77</v>
      </c>
      <c r="F1876" s="26" t="s">
        <v>40</v>
      </c>
      <c r="G1876" s="26" t="s">
        <v>41</v>
      </c>
      <c r="H1876" s="26" t="s">
        <v>7103</v>
      </c>
      <c r="I1876" s="17">
        <f ca="1">IFERROR(__xludf.DUMMYFUNCTION("""COMPUTED_VALUE"""),45372)</f>
        <v>45372</v>
      </c>
      <c r="J1876" s="29" t="s">
        <v>7303</v>
      </c>
      <c r="K1876" s="26" t="s">
        <v>133</v>
      </c>
      <c r="L1876" s="30">
        <v>367038347</v>
      </c>
      <c r="M1876" s="26" t="s">
        <v>59</v>
      </c>
      <c r="N1876" s="26" t="s">
        <v>7304</v>
      </c>
      <c r="O1876" s="26" t="s">
        <v>7305</v>
      </c>
      <c r="P1876" s="26" t="s">
        <v>7306</v>
      </c>
      <c r="Q1876" s="20">
        <v>1968</v>
      </c>
      <c r="R1876" s="26" t="s">
        <v>36</v>
      </c>
      <c r="S1876" s="31">
        <v>1968</v>
      </c>
      <c r="T1876" s="32">
        <v>45351</v>
      </c>
      <c r="U1876" s="31"/>
      <c r="V1876" s="32"/>
      <c r="W1876" s="33" t="s">
        <v>7307</v>
      </c>
      <c r="X1876" s="26"/>
      <c r="Y1876" s="22">
        <v>0</v>
      </c>
      <c r="Z1876" s="26" t="s">
        <v>50</v>
      </c>
      <c r="AA1876" s="19" t="s">
        <v>7077</v>
      </c>
      <c r="AB1876" s="26" t="s">
        <v>104</v>
      </c>
      <c r="AC1876" s="26" t="s">
        <v>53</v>
      </c>
      <c r="AD1876" s="19" t="s">
        <v>138</v>
      </c>
      <c r="AE1876" s="26" t="s">
        <v>72</v>
      </c>
      <c r="AF1876" s="17">
        <v>45372</v>
      </c>
      <c r="AG1876" s="26" t="s">
        <v>4279</v>
      </c>
      <c r="AH1876" s="26"/>
      <c r="AI1876" s="40" t="s">
        <v>84</v>
      </c>
      <c r="AJ1876" s="26"/>
      <c r="AK1876" s="26"/>
      <c r="AL1876" s="35"/>
      <c r="AM1876" s="35"/>
      <c r="AN1876" s="35"/>
      <c r="AO1876" s="35"/>
      <c r="AP1876" s="35"/>
    </row>
    <row r="1877" spans="1:42" x14ac:dyDescent="0.2">
      <c r="A1877" s="126">
        <v>45352.051847499999</v>
      </c>
      <c r="B1877" s="28" t="s">
        <v>37</v>
      </c>
      <c r="C1877" s="41" t="s">
        <v>118</v>
      </c>
      <c r="D1877" s="26" t="s">
        <v>36</v>
      </c>
      <c r="E1877" s="26" t="s">
        <v>77</v>
      </c>
      <c r="F1877" s="26" t="s">
        <v>36</v>
      </c>
      <c r="G1877" s="26" t="s">
        <v>41</v>
      </c>
      <c r="H1877" s="26" t="s">
        <v>7103</v>
      </c>
      <c r="I1877" s="17">
        <f ca="1">IFERROR(__xludf.DUMMYFUNCTION("""COMPUTED_VALUE"""),45372)</f>
        <v>45372</v>
      </c>
      <c r="J1877" s="29" t="s">
        <v>7308</v>
      </c>
      <c r="K1877" s="26" t="s">
        <v>7309</v>
      </c>
      <c r="L1877" s="30">
        <v>379438727</v>
      </c>
      <c r="M1877" s="26" t="s">
        <v>348</v>
      </c>
      <c r="N1877" s="26" t="s">
        <v>68</v>
      </c>
      <c r="O1877" s="26" t="s">
        <v>7310</v>
      </c>
      <c r="P1877" s="26" t="s">
        <v>7311</v>
      </c>
      <c r="Q1877" s="20">
        <v>1968</v>
      </c>
      <c r="R1877" s="26" t="s">
        <v>36</v>
      </c>
      <c r="S1877" s="31">
        <v>1968</v>
      </c>
      <c r="T1877" s="32">
        <v>45351</v>
      </c>
      <c r="U1877" s="31"/>
      <c r="V1877" s="32"/>
      <c r="W1877" s="33" t="s">
        <v>7312</v>
      </c>
      <c r="X1877" s="26"/>
      <c r="Y1877" s="22">
        <v>0</v>
      </c>
      <c r="Z1877" s="26" t="s">
        <v>50</v>
      </c>
      <c r="AA1877" s="19" t="s">
        <v>7077</v>
      </c>
      <c r="AB1877" s="26" t="s">
        <v>104</v>
      </c>
      <c r="AC1877" s="26" t="s">
        <v>53</v>
      </c>
      <c r="AD1877" s="19" t="s">
        <v>138</v>
      </c>
      <c r="AE1877" s="26" t="s">
        <v>72</v>
      </c>
      <c r="AF1877" s="17">
        <v>45372</v>
      </c>
      <c r="AG1877" s="26" t="s">
        <v>4279</v>
      </c>
      <c r="AH1877" s="26"/>
      <c r="AI1877" s="40" t="s">
        <v>84</v>
      </c>
      <c r="AJ1877" s="26"/>
      <c r="AK1877" s="26"/>
      <c r="AL1877" s="35"/>
      <c r="AM1877" s="35"/>
      <c r="AN1877" s="35"/>
      <c r="AO1877" s="35"/>
      <c r="AP1877" s="35"/>
    </row>
    <row r="1878" spans="1:42" x14ac:dyDescent="0.2">
      <c r="A1878" s="126">
        <v>45352.058115601852</v>
      </c>
      <c r="B1878" s="28" t="s">
        <v>37</v>
      </c>
      <c r="C1878" s="41" t="s">
        <v>118</v>
      </c>
      <c r="D1878" s="26" t="s">
        <v>36</v>
      </c>
      <c r="E1878" s="26" t="s">
        <v>39</v>
      </c>
      <c r="F1878" s="26" t="s">
        <v>36</v>
      </c>
      <c r="G1878" s="26" t="s">
        <v>41</v>
      </c>
      <c r="H1878" s="26" t="s">
        <v>7313</v>
      </c>
      <c r="I1878" s="17">
        <f ca="1">IFERROR(__xludf.DUMMYFUNCTION("""COMPUTED_VALUE"""),45394)</f>
        <v>45394</v>
      </c>
      <c r="J1878" s="29" t="s">
        <v>7314</v>
      </c>
      <c r="K1878" s="26" t="s">
        <v>7315</v>
      </c>
      <c r="L1878" s="30">
        <v>345737869</v>
      </c>
      <c r="M1878" s="26" t="s">
        <v>59</v>
      </c>
      <c r="N1878" s="26" t="s">
        <v>7316</v>
      </c>
      <c r="O1878" s="26" t="s">
        <v>7317</v>
      </c>
      <c r="P1878" s="42" t="s">
        <v>7318</v>
      </c>
      <c r="Q1878" s="20">
        <v>5736</v>
      </c>
      <c r="R1878" s="26" t="s">
        <v>70</v>
      </c>
      <c r="S1878" s="31">
        <v>5736</v>
      </c>
      <c r="T1878" s="32">
        <v>45351</v>
      </c>
      <c r="U1878" s="31"/>
      <c r="V1878" s="32"/>
      <c r="W1878" s="33" t="s">
        <v>7319</v>
      </c>
      <c r="X1878" s="26"/>
      <c r="Y1878" s="22">
        <v>0</v>
      </c>
      <c r="Z1878" s="26" t="s">
        <v>50</v>
      </c>
      <c r="AA1878" s="19" t="s">
        <v>7077</v>
      </c>
      <c r="AB1878" s="26" t="s">
        <v>104</v>
      </c>
      <c r="AC1878" s="26" t="s">
        <v>53</v>
      </c>
      <c r="AD1878" s="19" t="s">
        <v>54</v>
      </c>
      <c r="AE1878" s="26" t="s">
        <v>72</v>
      </c>
      <c r="AF1878" s="17">
        <v>45377</v>
      </c>
      <c r="AG1878" s="26"/>
      <c r="AH1878" s="26"/>
      <c r="AI1878" s="40" t="s">
        <v>55</v>
      </c>
      <c r="AJ1878" s="26"/>
      <c r="AK1878" s="26"/>
      <c r="AL1878" s="35"/>
      <c r="AM1878" s="35"/>
      <c r="AN1878" s="35"/>
      <c r="AO1878" s="35"/>
      <c r="AP1878" s="35"/>
    </row>
    <row r="1879" spans="1:42" x14ac:dyDescent="0.2">
      <c r="A1879" s="126">
        <v>45352.060723148148</v>
      </c>
      <c r="B1879" s="28" t="s">
        <v>37</v>
      </c>
      <c r="C1879" s="41" t="s">
        <v>118</v>
      </c>
      <c r="D1879" s="26" t="s">
        <v>36</v>
      </c>
      <c r="E1879" s="26" t="s">
        <v>56</v>
      </c>
      <c r="F1879" s="26" t="s">
        <v>36</v>
      </c>
      <c r="G1879" s="26" t="s">
        <v>41</v>
      </c>
      <c r="H1879" s="26" t="s">
        <v>7313</v>
      </c>
      <c r="I1879" s="17">
        <f ca="1">IFERROR(__xludf.DUMMYFUNCTION("""COMPUTED_VALUE"""),45394)</f>
        <v>45394</v>
      </c>
      <c r="J1879" s="29" t="s">
        <v>7320</v>
      </c>
      <c r="K1879" s="26" t="s">
        <v>7321</v>
      </c>
      <c r="L1879" s="30">
        <v>354020390</v>
      </c>
      <c r="M1879" s="26" t="s">
        <v>59</v>
      </c>
      <c r="N1879" s="26" t="s">
        <v>7316</v>
      </c>
      <c r="O1879" s="26" t="s">
        <v>7322</v>
      </c>
      <c r="P1879" s="26" t="s">
        <v>7323</v>
      </c>
      <c r="Q1879" s="20">
        <v>15936</v>
      </c>
      <c r="R1879" s="26" t="s">
        <v>70</v>
      </c>
      <c r="S1879" s="31">
        <v>9317</v>
      </c>
      <c r="T1879" s="32">
        <v>45351</v>
      </c>
      <c r="U1879" s="31">
        <v>6646</v>
      </c>
      <c r="V1879" s="32">
        <v>45351</v>
      </c>
      <c r="W1879" s="26" t="s">
        <v>7324</v>
      </c>
      <c r="X1879" s="26"/>
      <c r="Y1879" s="22">
        <v>-27</v>
      </c>
      <c r="Z1879" s="26" t="s">
        <v>50</v>
      </c>
      <c r="AA1879" s="19" t="s">
        <v>7077</v>
      </c>
      <c r="AB1879" s="26" t="s">
        <v>104</v>
      </c>
      <c r="AC1879" s="26" t="s">
        <v>53</v>
      </c>
      <c r="AD1879" s="19" t="s">
        <v>54</v>
      </c>
      <c r="AE1879" s="26" t="s">
        <v>76</v>
      </c>
      <c r="AF1879" s="17">
        <v>45377</v>
      </c>
      <c r="AG1879" s="26"/>
      <c r="AH1879" s="26"/>
      <c r="AI1879" s="40" t="s">
        <v>147</v>
      </c>
      <c r="AJ1879" s="26"/>
      <c r="AK1879" s="26"/>
      <c r="AL1879" s="35"/>
      <c r="AM1879" s="35"/>
      <c r="AN1879" s="35"/>
      <c r="AO1879" s="35"/>
      <c r="AP1879" s="35"/>
    </row>
    <row r="1880" spans="1:42" x14ac:dyDescent="0.2">
      <c r="A1880" s="126">
        <v>45352.073485740737</v>
      </c>
      <c r="B1880" s="28" t="s">
        <v>37</v>
      </c>
      <c r="C1880" s="41" t="s">
        <v>118</v>
      </c>
      <c r="D1880" s="26" t="s">
        <v>36</v>
      </c>
      <c r="E1880" s="26" t="s">
        <v>139</v>
      </c>
      <c r="F1880" s="26" t="s">
        <v>36</v>
      </c>
      <c r="G1880" s="26" t="s">
        <v>41</v>
      </c>
      <c r="H1880" s="26" t="s">
        <v>7112</v>
      </c>
      <c r="I1880" s="17">
        <f ca="1">IFERROR(__xludf.DUMMYFUNCTION("""COMPUTED_VALUE"""),45383)</f>
        <v>45383</v>
      </c>
      <c r="J1880" s="29" t="s">
        <v>7325</v>
      </c>
      <c r="K1880" s="26" t="s">
        <v>7326</v>
      </c>
      <c r="L1880" s="30">
        <v>961517034</v>
      </c>
      <c r="M1880" s="26" t="s">
        <v>59</v>
      </c>
      <c r="N1880" s="26" t="s">
        <v>68</v>
      </c>
      <c r="O1880" s="26" t="s">
        <v>7327</v>
      </c>
      <c r="P1880" s="42" t="s">
        <v>7328</v>
      </c>
      <c r="Q1880" s="20">
        <v>15936</v>
      </c>
      <c r="R1880" s="26" t="s">
        <v>36</v>
      </c>
      <c r="S1880" s="31">
        <v>15963</v>
      </c>
      <c r="T1880" s="32">
        <v>45351</v>
      </c>
      <c r="U1880" s="31"/>
      <c r="V1880" s="32"/>
      <c r="W1880" s="33" t="s">
        <v>7329</v>
      </c>
      <c r="X1880" s="26"/>
      <c r="Y1880" s="22">
        <v>-27</v>
      </c>
      <c r="Z1880" s="26" t="s">
        <v>50</v>
      </c>
      <c r="AA1880" s="19" t="s">
        <v>7077</v>
      </c>
      <c r="AB1880" s="26" t="s">
        <v>104</v>
      </c>
      <c r="AC1880" s="26" t="s">
        <v>53</v>
      </c>
      <c r="AD1880" s="19" t="s">
        <v>54</v>
      </c>
      <c r="AE1880" s="26" t="s">
        <v>72</v>
      </c>
      <c r="AF1880" s="17">
        <v>45377</v>
      </c>
      <c r="AG1880" s="26"/>
      <c r="AH1880" s="26"/>
      <c r="AI1880" s="40" t="s">
        <v>147</v>
      </c>
      <c r="AJ1880" s="26"/>
      <c r="AK1880" s="26"/>
      <c r="AL1880" s="35"/>
      <c r="AM1880" s="35"/>
      <c r="AN1880" s="35"/>
      <c r="AO1880" s="35"/>
      <c r="AP1880" s="35"/>
    </row>
    <row r="1881" spans="1:42" x14ac:dyDescent="0.2">
      <c r="A1881" s="126">
        <v>45352.076355474535</v>
      </c>
      <c r="B1881" s="28" t="s">
        <v>37</v>
      </c>
      <c r="C1881" s="41" t="s">
        <v>118</v>
      </c>
      <c r="D1881" s="26" t="s">
        <v>36</v>
      </c>
      <c r="E1881" s="26" t="s">
        <v>77</v>
      </c>
      <c r="F1881" s="26" t="s">
        <v>40</v>
      </c>
      <c r="G1881" s="26" t="s">
        <v>41</v>
      </c>
      <c r="H1881" s="26" t="s">
        <v>7330</v>
      </c>
      <c r="I1881" s="17">
        <f ca="1">IFERROR(__xludf.DUMMYFUNCTION("""COMPUTED_VALUE"""),45509)</f>
        <v>45509</v>
      </c>
      <c r="J1881" s="44" t="s">
        <v>7331</v>
      </c>
      <c r="K1881" s="26" t="s">
        <v>7332</v>
      </c>
      <c r="L1881" s="30">
        <v>988166140</v>
      </c>
      <c r="M1881" s="26" t="s">
        <v>348</v>
      </c>
      <c r="N1881" s="26" t="s">
        <v>68</v>
      </c>
      <c r="O1881" s="26" t="s">
        <v>7333</v>
      </c>
      <c r="P1881" s="26" t="s">
        <v>7334</v>
      </c>
      <c r="Q1881" s="20">
        <v>1968</v>
      </c>
      <c r="R1881" s="26" t="s">
        <v>70</v>
      </c>
      <c r="S1881" s="31">
        <v>1968</v>
      </c>
      <c r="T1881" s="32">
        <v>45348</v>
      </c>
      <c r="U1881" s="31"/>
      <c r="V1881" s="32"/>
      <c r="W1881" s="33" t="s">
        <v>7335</v>
      </c>
      <c r="X1881" s="26"/>
      <c r="Y1881" s="22">
        <v>0</v>
      </c>
      <c r="Z1881" s="26" t="s">
        <v>50</v>
      </c>
      <c r="AA1881" s="19" t="s">
        <v>7077</v>
      </c>
      <c r="AB1881" s="26" t="s">
        <v>104</v>
      </c>
      <c r="AC1881" s="26" t="s">
        <v>53</v>
      </c>
      <c r="AD1881" s="19" t="s">
        <v>138</v>
      </c>
      <c r="AE1881" s="26" t="s">
        <v>72</v>
      </c>
      <c r="AF1881" s="17">
        <v>45509</v>
      </c>
      <c r="AG1881" s="26" t="s">
        <v>4092</v>
      </c>
      <c r="AH1881" s="26"/>
      <c r="AI1881" s="40" t="s">
        <v>84</v>
      </c>
      <c r="AJ1881" s="26"/>
      <c r="AK1881" s="26"/>
      <c r="AL1881" s="35"/>
      <c r="AM1881" s="35"/>
      <c r="AN1881" s="35"/>
      <c r="AO1881" s="35"/>
      <c r="AP1881" s="35"/>
    </row>
    <row r="1882" spans="1:42" x14ac:dyDescent="0.2">
      <c r="A1882" s="126">
        <v>45352.078938993058</v>
      </c>
      <c r="B1882" s="28" t="s">
        <v>37</v>
      </c>
      <c r="C1882" s="41" t="s">
        <v>118</v>
      </c>
      <c r="D1882" s="26" t="s">
        <v>36</v>
      </c>
      <c r="E1882" s="26" t="s">
        <v>77</v>
      </c>
      <c r="F1882" s="26" t="s">
        <v>36</v>
      </c>
      <c r="G1882" s="26" t="s">
        <v>41</v>
      </c>
      <c r="H1882" s="26" t="s">
        <v>7330</v>
      </c>
      <c r="I1882" s="17">
        <f ca="1">IFERROR(__xludf.DUMMYFUNCTION("""COMPUTED_VALUE"""),45509)</f>
        <v>45509</v>
      </c>
      <c r="J1882" s="29" t="s">
        <v>7336</v>
      </c>
      <c r="K1882" s="26" t="s">
        <v>7337</v>
      </c>
      <c r="L1882" s="30">
        <v>339202758</v>
      </c>
      <c r="M1882" s="26" t="s">
        <v>348</v>
      </c>
      <c r="N1882" s="26" t="s">
        <v>68</v>
      </c>
      <c r="O1882" s="26" t="s">
        <v>7338</v>
      </c>
      <c r="P1882" s="26" t="s">
        <v>7339</v>
      </c>
      <c r="Q1882" s="20">
        <v>1968</v>
      </c>
      <c r="R1882" s="26" t="s">
        <v>36</v>
      </c>
      <c r="S1882" s="31">
        <v>1000</v>
      </c>
      <c r="T1882" s="32">
        <v>45348</v>
      </c>
      <c r="U1882" s="31">
        <v>968</v>
      </c>
      <c r="V1882" s="32">
        <v>45350</v>
      </c>
      <c r="W1882" s="55" t="s">
        <v>7340</v>
      </c>
      <c r="X1882" s="26"/>
      <c r="Y1882" s="22">
        <v>0</v>
      </c>
      <c r="Z1882" s="26" t="s">
        <v>50</v>
      </c>
      <c r="AA1882" s="19" t="s">
        <v>7077</v>
      </c>
      <c r="AB1882" s="26" t="s">
        <v>104</v>
      </c>
      <c r="AC1882" s="26" t="s">
        <v>53</v>
      </c>
      <c r="AD1882" s="19" t="s">
        <v>138</v>
      </c>
      <c r="AE1882" s="26" t="s">
        <v>72</v>
      </c>
      <c r="AF1882" s="17">
        <v>45509</v>
      </c>
      <c r="AG1882" s="26" t="s">
        <v>4092</v>
      </c>
      <c r="AH1882" s="26"/>
      <c r="AI1882" s="40" t="s">
        <v>84</v>
      </c>
      <c r="AJ1882" s="26"/>
      <c r="AK1882" s="26"/>
      <c r="AL1882" s="35"/>
      <c r="AM1882" s="35"/>
      <c r="AN1882" s="35"/>
      <c r="AO1882" s="35"/>
      <c r="AP1882" s="35"/>
    </row>
    <row r="1883" spans="1:42" x14ac:dyDescent="0.2">
      <c r="A1883" s="27">
        <v>45198.588038865739</v>
      </c>
      <c r="B1883" s="28" t="s">
        <v>37</v>
      </c>
      <c r="C1883" s="41" t="s">
        <v>118</v>
      </c>
      <c r="D1883" s="26" t="s">
        <v>36</v>
      </c>
      <c r="E1883" s="26" t="s">
        <v>106</v>
      </c>
      <c r="F1883" s="26" t="s">
        <v>36</v>
      </c>
      <c r="G1883" s="26" t="s">
        <v>108</v>
      </c>
      <c r="H1883" s="26" t="s">
        <v>3013</v>
      </c>
      <c r="I1883" s="17">
        <f ca="1">IFERROR(__xludf.DUMMYFUNCTION("""COMPUTED_VALUE"""),45207)</f>
        <v>45207</v>
      </c>
      <c r="J1883" s="29" t="s">
        <v>6075</v>
      </c>
      <c r="K1883" s="26" t="s">
        <v>7341</v>
      </c>
      <c r="L1883" s="30">
        <v>375647532</v>
      </c>
      <c r="M1883" s="26" t="s">
        <v>80</v>
      </c>
      <c r="N1883" s="26" t="s">
        <v>186</v>
      </c>
      <c r="O1883" s="26" t="s">
        <v>6077</v>
      </c>
      <c r="P1883" s="26" t="s">
        <v>2641</v>
      </c>
      <c r="Q1883" s="20">
        <v>3768</v>
      </c>
      <c r="R1883" s="26" t="s">
        <v>36</v>
      </c>
      <c r="S1883" s="31">
        <v>500</v>
      </c>
      <c r="T1883" s="32">
        <v>45198</v>
      </c>
      <c r="U1883" s="31">
        <v>3500</v>
      </c>
      <c r="V1883" s="32">
        <v>45207</v>
      </c>
      <c r="W1883" s="33" t="s">
        <v>7342</v>
      </c>
      <c r="X1883" s="26"/>
      <c r="Y1883" s="22">
        <v>-232</v>
      </c>
      <c r="Z1883" s="26" t="s">
        <v>50</v>
      </c>
      <c r="AA1883" s="19" t="s">
        <v>7077</v>
      </c>
      <c r="AB1883" s="26" t="s">
        <v>104</v>
      </c>
      <c r="AC1883" s="26" t="s">
        <v>53</v>
      </c>
      <c r="AD1883" s="19" t="s">
        <v>138</v>
      </c>
      <c r="AE1883" s="26">
        <v>400</v>
      </c>
      <c r="AF1883" s="17">
        <v>45207</v>
      </c>
      <c r="AG1883" s="26" t="s">
        <v>1631</v>
      </c>
      <c r="AH1883" s="26"/>
      <c r="AI1883" s="40">
        <v>1</v>
      </c>
      <c r="AJ1883" s="26"/>
      <c r="AK1883" s="26"/>
      <c r="AL1883" s="35"/>
      <c r="AM1883" s="35"/>
      <c r="AN1883" s="35"/>
      <c r="AO1883" s="35"/>
      <c r="AP1883" s="35"/>
    </row>
    <row r="1884" spans="1:42" x14ac:dyDescent="0.2">
      <c r="A1884" s="126">
        <v>45355.437274675925</v>
      </c>
      <c r="B1884" s="28" t="s">
        <v>37</v>
      </c>
      <c r="C1884" s="41" t="s">
        <v>118</v>
      </c>
      <c r="D1884" s="26" t="s">
        <v>36</v>
      </c>
      <c r="E1884" s="26" t="s">
        <v>77</v>
      </c>
      <c r="F1884" s="26" t="s">
        <v>36</v>
      </c>
      <c r="G1884" s="26" t="s">
        <v>41</v>
      </c>
      <c r="H1884" s="26" t="s">
        <v>7343</v>
      </c>
      <c r="I1884" s="17" t="str">
        <f ca="1">IFERROR(__xludf.DUMMYFUNCTION("""COMPUTED_VALUE""")," ")</f>
        <v xml:space="preserve"> </v>
      </c>
      <c r="J1884" s="29" t="s">
        <v>6251</v>
      </c>
      <c r="K1884" s="26" t="s">
        <v>7344</v>
      </c>
      <c r="L1884" s="30">
        <v>912243305</v>
      </c>
      <c r="M1884" s="26" t="s">
        <v>80</v>
      </c>
      <c r="N1884" s="26" t="s">
        <v>1073</v>
      </c>
      <c r="O1884" s="26" t="s">
        <v>36</v>
      </c>
      <c r="P1884" s="26" t="s">
        <v>2641</v>
      </c>
      <c r="Q1884" s="20">
        <v>1968</v>
      </c>
      <c r="R1884" s="26" t="s">
        <v>36</v>
      </c>
      <c r="S1884" s="31">
        <v>1968</v>
      </c>
      <c r="T1884" s="32">
        <v>45343</v>
      </c>
      <c r="U1884" s="31"/>
      <c r="V1884" s="32"/>
      <c r="W1884" s="33" t="s">
        <v>7345</v>
      </c>
      <c r="X1884" s="26"/>
      <c r="Y1884" s="22">
        <v>0</v>
      </c>
      <c r="Z1884" s="26" t="s">
        <v>50</v>
      </c>
      <c r="AA1884" s="19" t="s">
        <v>7077</v>
      </c>
      <c r="AB1884" s="26" t="s">
        <v>104</v>
      </c>
      <c r="AC1884" s="26" t="s">
        <v>53</v>
      </c>
      <c r="AD1884" s="19" t="s">
        <v>138</v>
      </c>
      <c r="AE1884" s="26">
        <v>0</v>
      </c>
      <c r="AF1884" s="17">
        <v>45308</v>
      </c>
      <c r="AG1884" s="26"/>
      <c r="AH1884" s="26"/>
      <c r="AI1884" s="40" t="s">
        <v>84</v>
      </c>
      <c r="AJ1884" s="26"/>
      <c r="AK1884" s="26"/>
      <c r="AL1884" s="35"/>
      <c r="AM1884" s="35"/>
      <c r="AN1884" s="35"/>
      <c r="AO1884" s="35"/>
      <c r="AP1884" s="35"/>
    </row>
    <row r="1885" spans="1:42" x14ac:dyDescent="0.2">
      <c r="A1885" s="126">
        <v>45183.949887893519</v>
      </c>
      <c r="B1885" s="28" t="s">
        <v>37</v>
      </c>
      <c r="C1885" s="41" t="s">
        <v>118</v>
      </c>
      <c r="D1885" s="26" t="s">
        <v>36</v>
      </c>
      <c r="E1885" s="26" t="s">
        <v>39</v>
      </c>
      <c r="F1885" s="26" t="s">
        <v>40</v>
      </c>
      <c r="G1885" s="26" t="s">
        <v>41</v>
      </c>
      <c r="H1885" s="26" t="s">
        <v>2573</v>
      </c>
      <c r="I1885" s="17">
        <f ca="1">IFERROR(__xludf.DUMMYFUNCTION("""COMPUTED_VALUE"""),45195)</f>
        <v>45195</v>
      </c>
      <c r="J1885" s="29" t="s">
        <v>5984</v>
      </c>
      <c r="K1885" s="26" t="s">
        <v>7346</v>
      </c>
      <c r="L1885" s="30">
        <v>814283199</v>
      </c>
      <c r="M1885" s="26" t="s">
        <v>80</v>
      </c>
      <c r="N1885" s="26" t="s">
        <v>186</v>
      </c>
      <c r="O1885" s="26" t="s">
        <v>5986</v>
      </c>
      <c r="P1885" s="26" t="s">
        <v>7347</v>
      </c>
      <c r="Q1885" s="20">
        <v>5736</v>
      </c>
      <c r="R1885" s="26" t="s">
        <v>36</v>
      </c>
      <c r="S1885" s="31">
        <v>2000</v>
      </c>
      <c r="T1885" s="32">
        <v>45183</v>
      </c>
      <c r="U1885" s="31">
        <v>3736</v>
      </c>
      <c r="V1885" s="32">
        <v>45230</v>
      </c>
      <c r="W1885" s="33" t="s">
        <v>5988</v>
      </c>
      <c r="X1885" s="26"/>
      <c r="Y1885" s="22">
        <v>0</v>
      </c>
      <c r="Z1885" s="26" t="s">
        <v>118</v>
      </c>
      <c r="AA1885" s="19" t="s">
        <v>7348</v>
      </c>
      <c r="AB1885" s="26" t="s">
        <v>104</v>
      </c>
      <c r="AC1885" s="26" t="s">
        <v>53</v>
      </c>
      <c r="AD1885" s="19" t="s">
        <v>54</v>
      </c>
      <c r="AE1885" s="26" t="s">
        <v>5989</v>
      </c>
      <c r="AF1885" s="17">
        <v>45195</v>
      </c>
      <c r="AG1885" s="26" t="s">
        <v>1631</v>
      </c>
      <c r="AH1885" s="26"/>
      <c r="AI1885" s="40" t="s">
        <v>55</v>
      </c>
      <c r="AJ1885" s="26"/>
      <c r="AK1885" s="26"/>
      <c r="AL1885" s="35"/>
      <c r="AM1885" s="35"/>
      <c r="AN1885" s="35"/>
      <c r="AO1885" s="35"/>
      <c r="AP1885" s="35"/>
    </row>
    <row r="1886" spans="1:42" x14ac:dyDescent="0.2">
      <c r="A1886" s="126">
        <v>45349.90455126157</v>
      </c>
      <c r="B1886" s="28" t="s">
        <v>37</v>
      </c>
      <c r="C1886" s="41" t="s">
        <v>118</v>
      </c>
      <c r="D1886" s="26" t="s">
        <v>36</v>
      </c>
      <c r="E1886" s="26" t="s">
        <v>148</v>
      </c>
      <c r="F1886" s="26" t="s">
        <v>7349</v>
      </c>
      <c r="G1886" s="26" t="s">
        <v>108</v>
      </c>
      <c r="H1886" s="26" t="s">
        <v>2016</v>
      </c>
      <c r="I1886" s="17">
        <f ca="1">IFERROR(__xludf.DUMMYFUNCTION("""COMPUTED_VALUE"""),45365)</f>
        <v>45365</v>
      </c>
      <c r="J1886" s="29" t="s">
        <v>7350</v>
      </c>
      <c r="K1886" s="26" t="s">
        <v>7351</v>
      </c>
      <c r="L1886" s="30">
        <v>869926204</v>
      </c>
      <c r="M1886" s="26" t="s">
        <v>3288</v>
      </c>
      <c r="N1886" s="26" t="s">
        <v>200</v>
      </c>
      <c r="O1886" s="26" t="s">
        <v>7352</v>
      </c>
      <c r="P1886" s="26" t="s">
        <v>7353</v>
      </c>
      <c r="Q1886" s="20">
        <v>7349</v>
      </c>
      <c r="R1886" s="26" t="s">
        <v>36</v>
      </c>
      <c r="S1886" s="31">
        <v>16779</v>
      </c>
      <c r="T1886" s="32">
        <v>44909</v>
      </c>
      <c r="U1886" s="31"/>
      <c r="V1886" s="32"/>
      <c r="W1886" s="33" t="s">
        <v>7354</v>
      </c>
      <c r="X1886" s="26"/>
      <c r="Y1886" s="22">
        <v>-9430</v>
      </c>
      <c r="Z1886" s="26" t="s">
        <v>118</v>
      </c>
      <c r="AA1886" s="19" t="s">
        <v>7348</v>
      </c>
      <c r="AB1886" s="26" t="s">
        <v>104</v>
      </c>
      <c r="AC1886" s="26" t="s">
        <v>53</v>
      </c>
      <c r="AD1886" s="19" t="s">
        <v>54</v>
      </c>
      <c r="AE1886" s="26">
        <v>440</v>
      </c>
      <c r="AF1886" s="17">
        <v>45358</v>
      </c>
      <c r="AG1886" s="26"/>
      <c r="AH1886" s="26"/>
      <c r="AI1886" s="40">
        <v>2</v>
      </c>
      <c r="AJ1886" s="26"/>
      <c r="AK1886" s="26"/>
      <c r="AL1886" s="35"/>
      <c r="AM1886" s="35"/>
      <c r="AN1886" s="35"/>
      <c r="AO1886" s="35"/>
      <c r="AP1886" s="35"/>
    </row>
    <row r="1887" spans="1:42" x14ac:dyDescent="0.2">
      <c r="A1887" s="38">
        <v>45354</v>
      </c>
      <c r="B1887" s="28" t="s">
        <v>37</v>
      </c>
      <c r="C1887" s="41" t="s">
        <v>118</v>
      </c>
      <c r="D1887" s="26" t="s">
        <v>36</v>
      </c>
      <c r="E1887" s="26" t="s">
        <v>139</v>
      </c>
      <c r="F1887" s="26" t="s">
        <v>3279</v>
      </c>
      <c r="G1887" s="26" t="s">
        <v>108</v>
      </c>
      <c r="H1887" s="26" t="s">
        <v>4931</v>
      </c>
      <c r="I1887" s="17">
        <f ca="1">IFERROR(__xludf.DUMMYFUNCTION("""COMPUTED_VALUE"""),45375)</f>
        <v>45375</v>
      </c>
      <c r="J1887" s="29" t="s">
        <v>7109</v>
      </c>
      <c r="K1887" s="26" t="s">
        <v>206</v>
      </c>
      <c r="L1887" s="30">
        <v>398242362</v>
      </c>
      <c r="M1887" s="26" t="s">
        <v>5429</v>
      </c>
      <c r="N1887" s="26" t="s">
        <v>81</v>
      </c>
      <c r="O1887" s="26" t="s">
        <v>7110</v>
      </c>
      <c r="P1887" s="26" t="s">
        <v>6368</v>
      </c>
      <c r="Q1887" s="20">
        <v>15936</v>
      </c>
      <c r="R1887" s="26" t="s">
        <v>70</v>
      </c>
      <c r="S1887" s="31">
        <v>2000</v>
      </c>
      <c r="T1887" s="32">
        <v>45299</v>
      </c>
      <c r="U1887" s="31">
        <v>13236</v>
      </c>
      <c r="V1887" s="32">
        <v>45333</v>
      </c>
      <c r="W1887" s="33" t="s">
        <v>7111</v>
      </c>
      <c r="X1887" s="26"/>
      <c r="Y1887" s="22">
        <v>700</v>
      </c>
      <c r="Z1887" s="26" t="s">
        <v>118</v>
      </c>
      <c r="AA1887" s="19" t="s">
        <v>7348</v>
      </c>
      <c r="AB1887" s="26" t="s">
        <v>104</v>
      </c>
      <c r="AC1887" s="26" t="s">
        <v>53</v>
      </c>
      <c r="AD1887" s="19" t="s">
        <v>138</v>
      </c>
      <c r="AE1887" s="26" t="s">
        <v>3279</v>
      </c>
      <c r="AF1887" s="17">
        <v>45375</v>
      </c>
      <c r="AG1887" s="26" t="s">
        <v>1362</v>
      </c>
      <c r="AH1887" s="26"/>
      <c r="AI1887" s="40" t="s">
        <v>147</v>
      </c>
      <c r="AJ1887" s="26"/>
      <c r="AK1887" s="26"/>
      <c r="AL1887" s="35"/>
      <c r="AM1887" s="35"/>
      <c r="AN1887" s="35"/>
      <c r="AO1887" s="35"/>
      <c r="AP1887" s="35"/>
    </row>
    <row r="1888" spans="1:42" x14ac:dyDescent="0.2">
      <c r="A1888" s="38">
        <v>45354</v>
      </c>
      <c r="B1888" s="28" t="s">
        <v>37</v>
      </c>
      <c r="C1888" s="41" t="s">
        <v>118</v>
      </c>
      <c r="D1888" s="26" t="s">
        <v>36</v>
      </c>
      <c r="E1888" s="26" t="s">
        <v>139</v>
      </c>
      <c r="F1888" s="26" t="s">
        <v>3279</v>
      </c>
      <c r="G1888" s="26" t="s">
        <v>108</v>
      </c>
      <c r="H1888" s="26" t="s">
        <v>7355</v>
      </c>
      <c r="I1888" s="17">
        <f ca="1">IFERROR(__xludf.DUMMYFUNCTION("""COMPUTED_VALUE"""),45452)</f>
        <v>45452</v>
      </c>
      <c r="J1888" s="29" t="s">
        <v>7356</v>
      </c>
      <c r="K1888" s="26" t="s">
        <v>7357</v>
      </c>
      <c r="L1888" s="30">
        <v>965295107</v>
      </c>
      <c r="M1888" s="26" t="s">
        <v>123</v>
      </c>
      <c r="N1888" s="26" t="s">
        <v>186</v>
      </c>
      <c r="O1888" s="26" t="s">
        <v>4503</v>
      </c>
      <c r="P1888" s="26" t="s">
        <v>3153</v>
      </c>
      <c r="Q1888" s="20">
        <v>15936</v>
      </c>
      <c r="R1888" s="26" t="s">
        <v>36</v>
      </c>
      <c r="S1888" s="31">
        <f>70+5000</f>
        <v>5070</v>
      </c>
      <c r="T1888" s="26" t="s">
        <v>7358</v>
      </c>
      <c r="U1888" s="31">
        <f>10766+100</f>
        <v>10866</v>
      </c>
      <c r="V1888" s="26" t="s">
        <v>7359</v>
      </c>
      <c r="W1888" s="33" t="s">
        <v>7360</v>
      </c>
      <c r="X1888" s="26"/>
      <c r="Y1888" s="22">
        <v>0</v>
      </c>
      <c r="Z1888" s="26" t="s">
        <v>50</v>
      </c>
      <c r="AA1888" s="19" t="s">
        <v>7361</v>
      </c>
      <c r="AB1888" s="26" t="s">
        <v>4503</v>
      </c>
      <c r="AC1888" s="26" t="s">
        <v>53</v>
      </c>
      <c r="AD1888" s="19" t="s">
        <v>138</v>
      </c>
      <c r="AE1888" s="26"/>
      <c r="AF1888" s="17">
        <v>45375</v>
      </c>
      <c r="AG1888" s="26" t="s">
        <v>1362</v>
      </c>
      <c r="AH1888" s="26"/>
      <c r="AI1888" s="40" t="s">
        <v>147</v>
      </c>
      <c r="AJ1888" s="26"/>
      <c r="AK1888" s="26"/>
      <c r="AL1888" s="35"/>
      <c r="AM1888" s="35"/>
      <c r="AN1888" s="35"/>
      <c r="AO1888" s="35"/>
      <c r="AP1888" s="35"/>
    </row>
    <row r="1889" spans="1:42" x14ac:dyDescent="0.2">
      <c r="A1889" s="38">
        <v>45365</v>
      </c>
      <c r="B1889" s="28" t="s">
        <v>37</v>
      </c>
      <c r="C1889" s="41" t="s">
        <v>118</v>
      </c>
      <c r="D1889" s="26" t="s">
        <v>36</v>
      </c>
      <c r="E1889" s="26" t="s">
        <v>119</v>
      </c>
      <c r="F1889" s="26" t="s">
        <v>4982</v>
      </c>
      <c r="G1889" s="26" t="s">
        <v>1705</v>
      </c>
      <c r="H1889" s="26" t="s">
        <v>6965</v>
      </c>
      <c r="I1889" s="17">
        <f ca="1">IFERROR(__xludf.DUMMYFUNCTION("""COMPUTED_VALUE"""),45372)</f>
        <v>45372</v>
      </c>
      <c r="J1889" s="29" t="s">
        <v>1034</v>
      </c>
      <c r="K1889" s="26" t="s">
        <v>4983</v>
      </c>
      <c r="L1889" s="30">
        <v>964458529</v>
      </c>
      <c r="M1889" s="26" t="s">
        <v>80</v>
      </c>
      <c r="N1889" s="26" t="s">
        <v>87</v>
      </c>
      <c r="O1889" s="26" t="s">
        <v>1036</v>
      </c>
      <c r="P1889" s="26" t="s">
        <v>1037</v>
      </c>
      <c r="Q1889" s="20">
        <v>13968</v>
      </c>
      <c r="R1889" s="26" t="s">
        <v>36</v>
      </c>
      <c r="S1889" s="31">
        <v>4000</v>
      </c>
      <c r="T1889" s="32">
        <v>45121</v>
      </c>
      <c r="U1889" s="31">
        <v>9968</v>
      </c>
      <c r="V1889" s="38">
        <v>45153</v>
      </c>
      <c r="W1889" s="33" t="s">
        <v>1038</v>
      </c>
      <c r="X1889" s="26">
        <v>0</v>
      </c>
      <c r="Y1889" s="22">
        <v>0</v>
      </c>
      <c r="Z1889" s="26" t="s">
        <v>118</v>
      </c>
      <c r="AA1889" s="19" t="s">
        <v>901</v>
      </c>
      <c r="AB1889" s="26" t="s">
        <v>104</v>
      </c>
      <c r="AC1889" s="26" t="s">
        <v>53</v>
      </c>
      <c r="AD1889" s="19" t="s">
        <v>54</v>
      </c>
      <c r="AE1889" s="26" t="s">
        <v>4982</v>
      </c>
      <c r="AF1889" s="17">
        <v>45370</v>
      </c>
      <c r="AG1889" s="26"/>
      <c r="AH1889" s="26">
        <v>1</v>
      </c>
      <c r="AI1889" s="40">
        <v>4</v>
      </c>
      <c r="AJ1889" s="26"/>
      <c r="AK1889" s="26"/>
      <c r="AL1889" s="35"/>
      <c r="AM1889" s="35"/>
      <c r="AN1889" s="35"/>
      <c r="AO1889" s="35"/>
      <c r="AP1889" s="35"/>
    </row>
    <row r="1890" spans="1:42" x14ac:dyDescent="0.2">
      <c r="A1890" s="38">
        <v>45365</v>
      </c>
      <c r="B1890" s="28" t="s">
        <v>37</v>
      </c>
      <c r="C1890" s="41" t="s">
        <v>118</v>
      </c>
      <c r="D1890" s="26" t="s">
        <v>36</v>
      </c>
      <c r="E1890" s="26" t="s">
        <v>139</v>
      </c>
      <c r="F1890" s="26" t="s">
        <v>3397</v>
      </c>
      <c r="G1890" s="26" t="s">
        <v>221</v>
      </c>
      <c r="H1890" s="26" t="s">
        <v>7013</v>
      </c>
      <c r="I1890" s="17">
        <f ca="1">IFERROR(__xludf.DUMMYFUNCTION("""COMPUTED_VALUE"""),45369)</f>
        <v>45369</v>
      </c>
      <c r="J1890" s="29" t="s">
        <v>3591</v>
      </c>
      <c r="K1890" s="26" t="s">
        <v>3592</v>
      </c>
      <c r="L1890" s="30">
        <v>858104695</v>
      </c>
      <c r="M1890" s="26" t="s">
        <v>910</v>
      </c>
      <c r="N1890" s="26" t="s">
        <v>2841</v>
      </c>
      <c r="O1890" s="26" t="s">
        <v>125</v>
      </c>
      <c r="P1890" s="42" t="s">
        <v>4967</v>
      </c>
      <c r="Q1890" s="20">
        <v>15936</v>
      </c>
      <c r="R1890" s="26" t="s">
        <v>36</v>
      </c>
      <c r="S1890" s="31">
        <v>2000</v>
      </c>
      <c r="T1890" s="32">
        <v>45184</v>
      </c>
      <c r="U1890" s="31">
        <v>13936</v>
      </c>
      <c r="V1890" s="32">
        <v>45213</v>
      </c>
      <c r="W1890" s="33" t="s">
        <v>3594</v>
      </c>
      <c r="X1890" s="26"/>
      <c r="Y1890" s="22">
        <v>0</v>
      </c>
      <c r="Z1890" s="26" t="s">
        <v>118</v>
      </c>
      <c r="AA1890" s="19" t="s">
        <v>4541</v>
      </c>
      <c r="AB1890" s="26" t="s">
        <v>104</v>
      </c>
      <c r="AC1890" s="26" t="s">
        <v>53</v>
      </c>
      <c r="AD1890" s="19" t="s">
        <v>138</v>
      </c>
      <c r="AE1890" s="26" t="s">
        <v>3397</v>
      </c>
      <c r="AF1890" s="17">
        <v>45369</v>
      </c>
      <c r="AG1890" s="26" t="s">
        <v>1362</v>
      </c>
      <c r="AH1890" s="26"/>
      <c r="AI1890" s="40"/>
      <c r="AJ1890" s="26"/>
      <c r="AK1890" s="26"/>
      <c r="AL1890" s="35"/>
      <c r="AM1890" s="35"/>
      <c r="AN1890" s="35"/>
      <c r="AO1890" s="35"/>
      <c r="AP1890" s="35"/>
    </row>
    <row r="1891" spans="1:42" x14ac:dyDescent="0.2">
      <c r="A1891" s="38">
        <v>45365</v>
      </c>
      <c r="B1891" s="28" t="s">
        <v>37</v>
      </c>
      <c r="C1891" s="41" t="s">
        <v>118</v>
      </c>
      <c r="D1891" s="26" t="s">
        <v>36</v>
      </c>
      <c r="E1891" s="26" t="s">
        <v>915</v>
      </c>
      <c r="F1891" s="26" t="s">
        <v>2616</v>
      </c>
      <c r="G1891" s="26" t="s">
        <v>1847</v>
      </c>
      <c r="H1891" s="26" t="s">
        <v>6859</v>
      </c>
      <c r="I1891" s="17">
        <f ca="1">IFERROR(__xludf.DUMMYFUNCTION("""COMPUTED_VALUE"""),45375)</f>
        <v>45375</v>
      </c>
      <c r="J1891" s="29" t="s">
        <v>2957</v>
      </c>
      <c r="K1891" s="26" t="s">
        <v>7362</v>
      </c>
      <c r="L1891" s="30">
        <v>906190905</v>
      </c>
      <c r="M1891" s="26" t="s">
        <v>80</v>
      </c>
      <c r="N1891" s="26" t="s">
        <v>81</v>
      </c>
      <c r="O1891" s="26" t="s">
        <v>2959</v>
      </c>
      <c r="P1891" s="42" t="s">
        <v>2960</v>
      </c>
      <c r="Q1891" s="20">
        <v>10894</v>
      </c>
      <c r="R1891" s="26" t="s">
        <v>36</v>
      </c>
      <c r="S1891" s="31">
        <v>2000</v>
      </c>
      <c r="T1891" s="32">
        <v>45187</v>
      </c>
      <c r="U1891" s="31">
        <v>8894</v>
      </c>
      <c r="V1891" s="32">
        <v>45197</v>
      </c>
      <c r="W1891" s="33" t="s">
        <v>2961</v>
      </c>
      <c r="X1891" s="26"/>
      <c r="Y1891" s="22">
        <v>0</v>
      </c>
      <c r="Z1891" s="26" t="s">
        <v>118</v>
      </c>
      <c r="AA1891" s="19" t="s">
        <v>2449</v>
      </c>
      <c r="AB1891" s="26" t="s">
        <v>104</v>
      </c>
      <c r="AC1891" s="26" t="s">
        <v>53</v>
      </c>
      <c r="AD1891" s="19" t="s">
        <v>54</v>
      </c>
      <c r="AE1891" s="26" t="s">
        <v>2616</v>
      </c>
      <c r="AF1891" s="17">
        <v>45370</v>
      </c>
      <c r="AG1891" s="26"/>
      <c r="AH1891" s="26"/>
      <c r="AI1891" s="40"/>
      <c r="AJ1891" s="26"/>
      <c r="AK1891" s="26"/>
      <c r="AL1891" s="35"/>
      <c r="AM1891" s="35"/>
      <c r="AN1891" s="35"/>
      <c r="AO1891" s="35"/>
      <c r="AP1891" s="35"/>
    </row>
    <row r="1892" spans="1:42" x14ac:dyDescent="0.2">
      <c r="A1892" s="38">
        <v>45365</v>
      </c>
      <c r="B1892" s="28" t="s">
        <v>37</v>
      </c>
      <c r="C1892" s="41" t="s">
        <v>118</v>
      </c>
      <c r="D1892" s="26" t="s">
        <v>36</v>
      </c>
      <c r="E1892" s="26" t="s">
        <v>139</v>
      </c>
      <c r="F1892" s="26" t="s">
        <v>723</v>
      </c>
      <c r="G1892" s="26" t="s">
        <v>108</v>
      </c>
      <c r="H1892" s="26" t="s">
        <v>4931</v>
      </c>
      <c r="I1892" s="17">
        <f ca="1">IFERROR(__xludf.DUMMYFUNCTION("""COMPUTED_VALUE"""),45375)</f>
        <v>45375</v>
      </c>
      <c r="J1892" s="29" t="s">
        <v>2559</v>
      </c>
      <c r="K1892" s="26" t="s">
        <v>2560</v>
      </c>
      <c r="L1892" s="30">
        <v>325434516</v>
      </c>
      <c r="M1892" s="26" t="s">
        <v>80</v>
      </c>
      <c r="N1892" s="26" t="s">
        <v>299</v>
      </c>
      <c r="O1892" s="26" t="s">
        <v>2561</v>
      </c>
      <c r="P1892" s="42" t="s">
        <v>7363</v>
      </c>
      <c r="Q1892" s="20">
        <v>15936</v>
      </c>
      <c r="R1892" s="26" t="s">
        <v>36</v>
      </c>
      <c r="S1892" s="31">
        <v>4000</v>
      </c>
      <c r="T1892" s="32">
        <v>45164</v>
      </c>
      <c r="U1892" s="31">
        <v>11936</v>
      </c>
      <c r="V1892" s="32">
        <v>45196</v>
      </c>
      <c r="W1892" s="33" t="s">
        <v>2563</v>
      </c>
      <c r="X1892" s="26"/>
      <c r="Y1892" s="22">
        <v>0</v>
      </c>
      <c r="Z1892" s="26" t="s">
        <v>118</v>
      </c>
      <c r="AA1892" s="19" t="s">
        <v>2449</v>
      </c>
      <c r="AB1892" s="26" t="s">
        <v>104</v>
      </c>
      <c r="AC1892" s="26" t="s">
        <v>53</v>
      </c>
      <c r="AD1892" s="19" t="s">
        <v>138</v>
      </c>
      <c r="AE1892" s="26" t="s">
        <v>723</v>
      </c>
      <c r="AF1892" s="17">
        <v>45375</v>
      </c>
      <c r="AG1892" s="26" t="s">
        <v>1391</v>
      </c>
      <c r="AH1892" s="26"/>
      <c r="AI1892" s="40"/>
      <c r="AJ1892" s="26"/>
      <c r="AK1892" s="26"/>
      <c r="AL1892" s="35"/>
      <c r="AM1892" s="35"/>
      <c r="AN1892" s="35"/>
      <c r="AO1892" s="35"/>
      <c r="AP1892" s="35"/>
    </row>
    <row r="1893" spans="1:42" x14ac:dyDescent="0.2">
      <c r="A1893" s="38">
        <v>45365</v>
      </c>
      <c r="B1893" s="28" t="s">
        <v>37</v>
      </c>
      <c r="C1893" s="41" t="s">
        <v>118</v>
      </c>
      <c r="D1893" s="26" t="s">
        <v>36</v>
      </c>
      <c r="E1893" s="26" t="s">
        <v>139</v>
      </c>
      <c r="F1893" s="26" t="s">
        <v>3414</v>
      </c>
      <c r="G1893" s="26" t="s">
        <v>108</v>
      </c>
      <c r="H1893" s="26" t="s">
        <v>4931</v>
      </c>
      <c r="I1893" s="17">
        <f ca="1">IFERROR(__xludf.DUMMYFUNCTION("""COMPUTED_VALUE"""),45375)</f>
        <v>45375</v>
      </c>
      <c r="J1893" s="29" t="s">
        <v>5478</v>
      </c>
      <c r="K1893" s="26" t="s">
        <v>5479</v>
      </c>
      <c r="L1893" s="30">
        <v>377762634</v>
      </c>
      <c r="M1893" s="26" t="s">
        <v>123</v>
      </c>
      <c r="N1893" s="26" t="s">
        <v>186</v>
      </c>
      <c r="O1893" s="26" t="s">
        <v>1226</v>
      </c>
      <c r="P1893" s="42" t="s">
        <v>7364</v>
      </c>
      <c r="Q1893" s="20">
        <v>15936</v>
      </c>
      <c r="R1893" s="26" t="s">
        <v>70</v>
      </c>
      <c r="S1893" s="31">
        <v>5000</v>
      </c>
      <c r="T1893" s="32">
        <v>45225</v>
      </c>
      <c r="U1893" s="58">
        <v>10836</v>
      </c>
      <c r="V1893" s="59">
        <v>45259</v>
      </c>
      <c r="W1893" s="33" t="s">
        <v>5480</v>
      </c>
      <c r="X1893" s="26"/>
      <c r="Y1893" s="22">
        <v>100</v>
      </c>
      <c r="Z1893" s="26" t="s">
        <v>118</v>
      </c>
      <c r="AA1893" s="19" t="s">
        <v>5112</v>
      </c>
      <c r="AB1893" s="26" t="s">
        <v>104</v>
      </c>
      <c r="AC1893" s="26" t="s">
        <v>53</v>
      </c>
      <c r="AD1893" s="19" t="s">
        <v>138</v>
      </c>
      <c r="AE1893" s="26" t="s">
        <v>3414</v>
      </c>
      <c r="AF1893" s="17">
        <v>45375</v>
      </c>
      <c r="AG1893" s="26" t="s">
        <v>1362</v>
      </c>
      <c r="AH1893" s="26"/>
      <c r="AI1893" s="40" t="s">
        <v>147</v>
      </c>
      <c r="AJ1893" s="26"/>
      <c r="AK1893" s="26"/>
      <c r="AL1893" s="35"/>
      <c r="AM1893" s="35"/>
      <c r="AN1893" s="35"/>
      <c r="AO1893" s="35"/>
      <c r="AP1893" s="35"/>
    </row>
    <row r="1894" spans="1:42" x14ac:dyDescent="0.2">
      <c r="A1894" s="38">
        <v>45366</v>
      </c>
      <c r="B1894" s="28" t="s">
        <v>37</v>
      </c>
      <c r="C1894" s="41" t="s">
        <v>118</v>
      </c>
      <c r="D1894" s="26" t="s">
        <v>36</v>
      </c>
      <c r="E1894" s="26" t="s">
        <v>139</v>
      </c>
      <c r="F1894" s="26" t="s">
        <v>6131</v>
      </c>
      <c r="G1894" s="26" t="s">
        <v>108</v>
      </c>
      <c r="H1894" s="26" t="s">
        <v>7365</v>
      </c>
      <c r="I1894" s="17">
        <f ca="1">IFERROR(__xludf.DUMMYFUNCTION("""COMPUTED_VALUE"""),45468)</f>
        <v>45468</v>
      </c>
      <c r="J1894" s="29" t="s">
        <v>6760</v>
      </c>
      <c r="K1894" s="26" t="s">
        <v>7366</v>
      </c>
      <c r="L1894" s="30">
        <v>934231409</v>
      </c>
      <c r="M1894" s="26" t="s">
        <v>3728</v>
      </c>
      <c r="N1894" s="26" t="s">
        <v>5312</v>
      </c>
      <c r="O1894" s="26" t="s">
        <v>6761</v>
      </c>
      <c r="P1894" s="42" t="s">
        <v>6762</v>
      </c>
      <c r="Q1894" s="20">
        <v>15936</v>
      </c>
      <c r="R1894" s="26" t="s">
        <v>36</v>
      </c>
      <c r="S1894" s="31">
        <v>2000</v>
      </c>
      <c r="T1894" s="32">
        <v>45301</v>
      </c>
      <c r="U1894" s="31">
        <v>13936</v>
      </c>
      <c r="V1894" s="32">
        <v>45321</v>
      </c>
      <c r="W1894" s="33" t="s">
        <v>6763</v>
      </c>
      <c r="X1894" s="26">
        <v>0</v>
      </c>
      <c r="Y1894" s="22">
        <v>0</v>
      </c>
      <c r="Z1894" s="26" t="s">
        <v>118</v>
      </c>
      <c r="AA1894" s="19" t="s">
        <v>6079</v>
      </c>
      <c r="AB1894" s="26" t="s">
        <v>104</v>
      </c>
      <c r="AC1894" s="26" t="s">
        <v>53</v>
      </c>
      <c r="AD1894" s="19" t="s">
        <v>54</v>
      </c>
      <c r="AE1894" s="26" t="s">
        <v>6131</v>
      </c>
      <c r="AF1894" s="17">
        <v>45376</v>
      </c>
      <c r="AG1894" s="26" t="s">
        <v>1362</v>
      </c>
      <c r="AH1894" s="26"/>
      <c r="AI1894" s="40" t="s">
        <v>147</v>
      </c>
      <c r="AJ1894" s="26"/>
      <c r="AK1894" s="26"/>
      <c r="AL1894" s="35"/>
      <c r="AM1894" s="35"/>
      <c r="AN1894" s="35"/>
      <c r="AO1894" s="35"/>
      <c r="AP1894" s="35"/>
    </row>
    <row r="1895" spans="1:42" x14ac:dyDescent="0.2">
      <c r="A1895" s="38">
        <v>45366</v>
      </c>
      <c r="B1895" s="28" t="s">
        <v>37</v>
      </c>
      <c r="C1895" s="41" t="s">
        <v>118</v>
      </c>
      <c r="D1895" s="26" t="s">
        <v>36</v>
      </c>
      <c r="E1895" s="26" t="s">
        <v>139</v>
      </c>
      <c r="F1895" s="26" t="s">
        <v>3418</v>
      </c>
      <c r="G1895" s="26" t="s">
        <v>221</v>
      </c>
      <c r="H1895" s="26" t="s">
        <v>7367</v>
      </c>
      <c r="I1895" s="17">
        <f ca="1">IFERROR(__xludf.DUMMYFUNCTION("""COMPUTED_VALUE"""),45370)</f>
        <v>45370</v>
      </c>
      <c r="J1895" s="29" t="s">
        <v>3632</v>
      </c>
      <c r="K1895" s="26" t="s">
        <v>5834</v>
      </c>
      <c r="L1895" s="30">
        <v>869367198</v>
      </c>
      <c r="M1895" s="26" t="s">
        <v>112</v>
      </c>
      <c r="N1895" s="26" t="s">
        <v>3330</v>
      </c>
      <c r="O1895" s="33" t="s">
        <v>3632</v>
      </c>
      <c r="P1895" s="26" t="s">
        <v>2641</v>
      </c>
      <c r="Q1895" s="20">
        <v>15936</v>
      </c>
      <c r="R1895" s="26" t="s">
        <v>36</v>
      </c>
      <c r="S1895" s="31">
        <v>200</v>
      </c>
      <c r="T1895" s="32">
        <v>45197</v>
      </c>
      <c r="U1895" s="31">
        <v>15736</v>
      </c>
      <c r="V1895" s="32"/>
      <c r="W1895" s="26"/>
      <c r="X1895" s="26"/>
      <c r="Y1895" s="22">
        <v>0</v>
      </c>
      <c r="Z1895" s="26" t="s">
        <v>118</v>
      </c>
      <c r="AA1895" s="19" t="s">
        <v>5785</v>
      </c>
      <c r="AB1895" s="26" t="s">
        <v>104</v>
      </c>
      <c r="AC1895" s="26" t="s">
        <v>53</v>
      </c>
      <c r="AD1895" s="19" t="s">
        <v>138</v>
      </c>
      <c r="AE1895" s="26" t="s">
        <v>3418</v>
      </c>
      <c r="AF1895" s="17">
        <v>45370</v>
      </c>
      <c r="AG1895" s="26" t="s">
        <v>3399</v>
      </c>
      <c r="AH1895" s="26"/>
      <c r="AI1895" s="40" t="s">
        <v>147</v>
      </c>
      <c r="AJ1895" s="26"/>
      <c r="AK1895" s="26"/>
      <c r="AL1895" s="35"/>
      <c r="AM1895" s="35"/>
      <c r="AN1895" s="35"/>
      <c r="AO1895" s="35"/>
      <c r="AP1895" s="35"/>
    </row>
    <row r="1896" spans="1:42" x14ac:dyDescent="0.2">
      <c r="A1896" s="38">
        <v>45366</v>
      </c>
      <c r="B1896" s="28" t="s">
        <v>37</v>
      </c>
      <c r="C1896" s="41" t="s">
        <v>118</v>
      </c>
      <c r="D1896" s="26" t="s">
        <v>36</v>
      </c>
      <c r="E1896" s="26" t="s">
        <v>139</v>
      </c>
      <c r="F1896" s="26" t="s">
        <v>3418</v>
      </c>
      <c r="G1896" s="26" t="s">
        <v>221</v>
      </c>
      <c r="H1896" s="26" t="s">
        <v>7367</v>
      </c>
      <c r="I1896" s="17">
        <f ca="1">IFERROR(__xludf.DUMMYFUNCTION("""COMPUTED_VALUE"""),45370)</f>
        <v>45370</v>
      </c>
      <c r="J1896" s="29" t="s">
        <v>2657</v>
      </c>
      <c r="K1896" s="26" t="s">
        <v>2658</v>
      </c>
      <c r="L1896" s="30">
        <v>399319960</v>
      </c>
      <c r="M1896" s="26" t="s">
        <v>123</v>
      </c>
      <c r="N1896" s="26" t="s">
        <v>850</v>
      </c>
      <c r="O1896" s="26" t="s">
        <v>1226</v>
      </c>
      <c r="P1896" s="26" t="s">
        <v>2659</v>
      </c>
      <c r="Q1896" s="20">
        <v>15936</v>
      </c>
      <c r="R1896" s="26" t="s">
        <v>36</v>
      </c>
      <c r="S1896" s="31">
        <v>200</v>
      </c>
      <c r="T1896" s="32">
        <v>45170</v>
      </c>
      <c r="U1896" s="31">
        <v>15736</v>
      </c>
      <c r="V1896" s="32">
        <v>45185</v>
      </c>
      <c r="W1896" s="33" t="s">
        <v>2660</v>
      </c>
      <c r="X1896" s="26"/>
      <c r="Y1896" s="22">
        <v>0</v>
      </c>
      <c r="Z1896" s="26" t="s">
        <v>118</v>
      </c>
      <c r="AA1896" s="19" t="s">
        <v>2449</v>
      </c>
      <c r="AB1896" s="26" t="s">
        <v>104</v>
      </c>
      <c r="AC1896" s="26" t="s">
        <v>53</v>
      </c>
      <c r="AD1896" s="19" t="s">
        <v>138</v>
      </c>
      <c r="AE1896" s="26" t="s">
        <v>3418</v>
      </c>
      <c r="AF1896" s="17">
        <v>45370</v>
      </c>
      <c r="AG1896" s="26" t="s">
        <v>3399</v>
      </c>
      <c r="AH1896" s="26"/>
      <c r="AI1896" s="40"/>
      <c r="AJ1896" s="26"/>
      <c r="AK1896" s="26"/>
      <c r="AL1896" s="35"/>
      <c r="AM1896" s="35"/>
      <c r="AN1896" s="35"/>
      <c r="AO1896" s="35"/>
      <c r="AP1896" s="35"/>
    </row>
    <row r="1897" spans="1:42" x14ac:dyDescent="0.2">
      <c r="A1897" s="38">
        <v>45366</v>
      </c>
      <c r="B1897" s="28" t="s">
        <v>37</v>
      </c>
      <c r="C1897" s="41" t="s">
        <v>118</v>
      </c>
      <c r="D1897" s="26" t="s">
        <v>36</v>
      </c>
      <c r="E1897" s="26" t="s">
        <v>139</v>
      </c>
      <c r="F1897" s="26" t="s">
        <v>3418</v>
      </c>
      <c r="G1897" s="26" t="s">
        <v>221</v>
      </c>
      <c r="H1897" s="26" t="s">
        <v>7367</v>
      </c>
      <c r="I1897" s="17">
        <f ca="1">IFERROR(__xludf.DUMMYFUNCTION("""COMPUTED_VALUE"""),45370)</f>
        <v>45370</v>
      </c>
      <c r="J1897" s="29" t="s">
        <v>3737</v>
      </c>
      <c r="K1897" s="26" t="s">
        <v>3738</v>
      </c>
      <c r="L1897" s="30">
        <v>823523934</v>
      </c>
      <c r="M1897" s="26" t="s">
        <v>123</v>
      </c>
      <c r="N1897" s="26" t="s">
        <v>850</v>
      </c>
      <c r="O1897" s="26" t="s">
        <v>2737</v>
      </c>
      <c r="P1897" s="26" t="s">
        <v>3056</v>
      </c>
      <c r="Q1897" s="20">
        <v>15936</v>
      </c>
      <c r="R1897" s="26" t="s">
        <v>36</v>
      </c>
      <c r="S1897" s="31">
        <v>2000</v>
      </c>
      <c r="T1897" s="32">
        <v>45188</v>
      </c>
      <c r="U1897" s="31">
        <v>13968</v>
      </c>
      <c r="V1897" s="32">
        <v>45207</v>
      </c>
      <c r="W1897" s="26" t="s">
        <v>3739</v>
      </c>
      <c r="X1897" s="26"/>
      <c r="Y1897" s="22">
        <v>-32</v>
      </c>
      <c r="Z1897" s="26" t="s">
        <v>118</v>
      </c>
      <c r="AA1897" s="19" t="s">
        <v>4541</v>
      </c>
      <c r="AB1897" s="26" t="s">
        <v>104</v>
      </c>
      <c r="AC1897" s="26" t="s">
        <v>53</v>
      </c>
      <c r="AD1897" s="19" t="s">
        <v>138</v>
      </c>
      <c r="AE1897" s="26" t="s">
        <v>3418</v>
      </c>
      <c r="AF1897" s="17">
        <v>45370</v>
      </c>
      <c r="AG1897" s="26" t="s">
        <v>3399</v>
      </c>
      <c r="AH1897" s="26"/>
      <c r="AI1897" s="40"/>
      <c r="AJ1897" s="26"/>
      <c r="AK1897" s="26"/>
      <c r="AL1897" s="35"/>
      <c r="AM1897" s="35"/>
      <c r="AN1897" s="35"/>
      <c r="AO1897" s="35"/>
      <c r="AP1897" s="35"/>
    </row>
    <row r="1898" spans="1:42" x14ac:dyDescent="0.2">
      <c r="A1898" s="38">
        <v>45366</v>
      </c>
      <c r="B1898" s="28" t="s">
        <v>37</v>
      </c>
      <c r="C1898" s="41" t="s">
        <v>118</v>
      </c>
      <c r="D1898" s="26" t="s">
        <v>36</v>
      </c>
      <c r="E1898" s="26" t="s">
        <v>139</v>
      </c>
      <c r="F1898" s="26" t="s">
        <v>3418</v>
      </c>
      <c r="G1898" s="26" t="s">
        <v>221</v>
      </c>
      <c r="H1898" s="26" t="s">
        <v>7367</v>
      </c>
      <c r="I1898" s="17">
        <f ca="1">IFERROR(__xludf.DUMMYFUNCTION("""COMPUTED_VALUE"""),45370)</f>
        <v>45370</v>
      </c>
      <c r="J1898" s="29" t="s">
        <v>3636</v>
      </c>
      <c r="K1898" s="26" t="s">
        <v>3637</v>
      </c>
      <c r="L1898" s="30">
        <v>825802607</v>
      </c>
      <c r="M1898" s="26" t="s">
        <v>123</v>
      </c>
      <c r="N1898" s="26" t="s">
        <v>186</v>
      </c>
      <c r="O1898" s="26" t="s">
        <v>1226</v>
      </c>
      <c r="P1898" s="26" t="s">
        <v>3638</v>
      </c>
      <c r="Q1898" s="20">
        <v>15936</v>
      </c>
      <c r="R1898" s="26" t="s">
        <v>36</v>
      </c>
      <c r="S1898" s="31">
        <v>500</v>
      </c>
      <c r="T1898" s="32">
        <v>45166</v>
      </c>
      <c r="U1898" s="31">
        <f>1500+13936</f>
        <v>15436</v>
      </c>
      <c r="V1898" s="16" t="s">
        <v>3639</v>
      </c>
      <c r="W1898" s="33" t="s">
        <v>3640</v>
      </c>
      <c r="X1898" s="26"/>
      <c r="Y1898" s="22">
        <v>0</v>
      </c>
      <c r="Z1898" s="26" t="s">
        <v>118</v>
      </c>
      <c r="AA1898" s="19" t="s">
        <v>4541</v>
      </c>
      <c r="AB1898" s="26" t="s">
        <v>104</v>
      </c>
      <c r="AC1898" s="26" t="s">
        <v>53</v>
      </c>
      <c r="AD1898" s="19" t="s">
        <v>138</v>
      </c>
      <c r="AE1898" s="26" t="s">
        <v>3418</v>
      </c>
      <c r="AF1898" s="17">
        <v>45370</v>
      </c>
      <c r="AG1898" s="26" t="s">
        <v>3399</v>
      </c>
      <c r="AH1898" s="26"/>
      <c r="AI1898" s="40"/>
      <c r="AJ1898" s="26"/>
      <c r="AK1898" s="26"/>
      <c r="AL1898" s="35"/>
      <c r="AM1898" s="35"/>
      <c r="AN1898" s="35"/>
      <c r="AO1898" s="35"/>
      <c r="AP1898" s="35"/>
    </row>
    <row r="1899" spans="1:42" x14ac:dyDescent="0.2">
      <c r="A1899" s="38">
        <v>45366</v>
      </c>
      <c r="B1899" s="28" t="s">
        <v>37</v>
      </c>
      <c r="C1899" s="41" t="s">
        <v>118</v>
      </c>
      <c r="D1899" s="26" t="s">
        <v>36</v>
      </c>
      <c r="E1899" s="26" t="s">
        <v>139</v>
      </c>
      <c r="F1899" s="26" t="s">
        <v>3418</v>
      </c>
      <c r="G1899" s="26" t="s">
        <v>221</v>
      </c>
      <c r="H1899" s="26" t="s">
        <v>7367</v>
      </c>
      <c r="I1899" s="17">
        <f ca="1">IFERROR(__xludf.DUMMYFUNCTION("""COMPUTED_VALUE"""),45370)</f>
        <v>45370</v>
      </c>
      <c r="J1899" s="29" t="s">
        <v>3649</v>
      </c>
      <c r="K1899" s="26" t="s">
        <v>3650</v>
      </c>
      <c r="L1899" s="30">
        <v>368025125</v>
      </c>
      <c r="M1899" s="26" t="s">
        <v>123</v>
      </c>
      <c r="N1899" s="26" t="s">
        <v>186</v>
      </c>
      <c r="O1899" s="26" t="s">
        <v>134</v>
      </c>
      <c r="P1899" s="26" t="s">
        <v>2641</v>
      </c>
      <c r="Q1899" s="20">
        <v>15936</v>
      </c>
      <c r="R1899" s="26" t="s">
        <v>36</v>
      </c>
      <c r="S1899" s="31">
        <v>200</v>
      </c>
      <c r="T1899" s="32">
        <v>45187</v>
      </c>
      <c r="U1899" s="31">
        <f>4000+11736</f>
        <v>15736</v>
      </c>
      <c r="V1899" s="16" t="s">
        <v>3651</v>
      </c>
      <c r="W1899" s="33" t="s">
        <v>3652</v>
      </c>
      <c r="X1899" s="26"/>
      <c r="Y1899" s="22">
        <v>0</v>
      </c>
      <c r="Z1899" s="26" t="s">
        <v>118</v>
      </c>
      <c r="AA1899" s="19" t="s">
        <v>5785</v>
      </c>
      <c r="AB1899" s="26" t="s">
        <v>104</v>
      </c>
      <c r="AC1899" s="26" t="s">
        <v>53</v>
      </c>
      <c r="AD1899" s="19" t="s">
        <v>138</v>
      </c>
      <c r="AE1899" s="26" t="s">
        <v>3418</v>
      </c>
      <c r="AF1899" s="17">
        <v>45370</v>
      </c>
      <c r="AG1899" s="26" t="s">
        <v>3399</v>
      </c>
      <c r="AH1899" s="26"/>
      <c r="AI1899" s="40" t="s">
        <v>147</v>
      </c>
      <c r="AJ1899" s="26"/>
      <c r="AK1899" s="26"/>
      <c r="AL1899" s="35"/>
      <c r="AM1899" s="35"/>
      <c r="AN1899" s="35"/>
      <c r="AO1899" s="35"/>
      <c r="AP1899" s="35"/>
    </row>
    <row r="1900" spans="1:42" x14ac:dyDescent="0.2">
      <c r="A1900" s="38">
        <v>45366</v>
      </c>
      <c r="B1900" s="28" t="s">
        <v>37</v>
      </c>
      <c r="C1900" s="41" t="s">
        <v>118</v>
      </c>
      <c r="D1900" s="26" t="s">
        <v>36</v>
      </c>
      <c r="E1900" s="26" t="s">
        <v>139</v>
      </c>
      <c r="F1900" s="26" t="s">
        <v>3418</v>
      </c>
      <c r="G1900" s="26" t="s">
        <v>221</v>
      </c>
      <c r="H1900" s="26" t="s">
        <v>7367</v>
      </c>
      <c r="I1900" s="17">
        <f ca="1">IFERROR(__xludf.DUMMYFUNCTION("""COMPUTED_VALUE"""),45370)</f>
        <v>45370</v>
      </c>
      <c r="J1900" s="29" t="s">
        <v>3717</v>
      </c>
      <c r="K1900" s="26" t="s">
        <v>3718</v>
      </c>
      <c r="L1900" s="30">
        <v>334077376</v>
      </c>
      <c r="M1900" s="26" t="s">
        <v>123</v>
      </c>
      <c r="N1900" s="26" t="s">
        <v>327</v>
      </c>
      <c r="O1900" s="26" t="s">
        <v>134</v>
      </c>
      <c r="P1900" s="26" t="s">
        <v>2641</v>
      </c>
      <c r="Q1900" s="20">
        <v>15936</v>
      </c>
      <c r="R1900" s="26" t="s">
        <v>36</v>
      </c>
      <c r="S1900" s="31">
        <v>200</v>
      </c>
      <c r="T1900" s="32">
        <v>45188</v>
      </c>
      <c r="U1900" s="31">
        <f>1768+13968</f>
        <v>15736</v>
      </c>
      <c r="V1900" s="16" t="s">
        <v>3719</v>
      </c>
      <c r="W1900" s="33" t="s">
        <v>3720</v>
      </c>
      <c r="X1900" s="26"/>
      <c r="Y1900" s="22">
        <v>0</v>
      </c>
      <c r="Z1900" s="26" t="s">
        <v>118</v>
      </c>
      <c r="AA1900" s="19" t="s">
        <v>5785</v>
      </c>
      <c r="AB1900" s="26" t="s">
        <v>104</v>
      </c>
      <c r="AC1900" s="26" t="s">
        <v>53</v>
      </c>
      <c r="AD1900" s="19" t="s">
        <v>138</v>
      </c>
      <c r="AE1900" s="26" t="s">
        <v>3418</v>
      </c>
      <c r="AF1900" s="17">
        <v>45370</v>
      </c>
      <c r="AG1900" s="26" t="s">
        <v>3399</v>
      </c>
      <c r="AH1900" s="26"/>
      <c r="AI1900" s="40" t="s">
        <v>147</v>
      </c>
      <c r="AJ1900" s="26"/>
      <c r="AK1900" s="26"/>
      <c r="AL1900" s="35"/>
      <c r="AM1900" s="35"/>
      <c r="AN1900" s="35"/>
      <c r="AO1900" s="35"/>
      <c r="AP1900" s="35"/>
    </row>
    <row r="1901" spans="1:42" x14ac:dyDescent="0.2">
      <c r="A1901" s="38">
        <v>45366</v>
      </c>
      <c r="B1901" s="28" t="s">
        <v>37</v>
      </c>
      <c r="C1901" s="41" t="s">
        <v>118</v>
      </c>
      <c r="D1901" s="26" t="s">
        <v>36</v>
      </c>
      <c r="E1901" s="26" t="s">
        <v>119</v>
      </c>
      <c r="F1901" s="26" t="s">
        <v>3418</v>
      </c>
      <c r="G1901" s="26" t="s">
        <v>221</v>
      </c>
      <c r="H1901" s="26" t="s">
        <v>7367</v>
      </c>
      <c r="I1901" s="17">
        <f ca="1">IFERROR(__xludf.DUMMYFUNCTION("""COMPUTED_VALUE"""),45370)</f>
        <v>45370</v>
      </c>
      <c r="J1901" s="29" t="s">
        <v>5580</v>
      </c>
      <c r="K1901" s="26" t="s">
        <v>7368</v>
      </c>
      <c r="L1901" s="30">
        <v>915300201</v>
      </c>
      <c r="M1901" s="26" t="s">
        <v>5518</v>
      </c>
      <c r="N1901" s="26" t="s">
        <v>5582</v>
      </c>
      <c r="O1901" s="26" t="s">
        <v>5583</v>
      </c>
      <c r="P1901" s="26" t="s">
        <v>5584</v>
      </c>
      <c r="Q1901" s="20">
        <v>13968</v>
      </c>
      <c r="R1901" s="26" t="s">
        <v>36</v>
      </c>
      <c r="S1901" s="31">
        <v>4000</v>
      </c>
      <c r="T1901" s="32">
        <v>45238</v>
      </c>
      <c r="U1901" s="31">
        <v>9968</v>
      </c>
      <c r="V1901" s="32">
        <v>45260</v>
      </c>
      <c r="W1901" s="33" t="s">
        <v>5585</v>
      </c>
      <c r="X1901" s="26"/>
      <c r="Y1901" s="22">
        <v>0</v>
      </c>
      <c r="Z1901" s="26" t="s">
        <v>118</v>
      </c>
      <c r="AA1901" s="19" t="s">
        <v>5112</v>
      </c>
      <c r="AB1901" s="26" t="s">
        <v>104</v>
      </c>
      <c r="AC1901" s="26" t="s">
        <v>53</v>
      </c>
      <c r="AD1901" s="19" t="s">
        <v>54</v>
      </c>
      <c r="AE1901" s="26" t="s">
        <v>3418</v>
      </c>
      <c r="AF1901" s="17">
        <v>45370</v>
      </c>
      <c r="AG1901" s="26" t="s">
        <v>3399</v>
      </c>
      <c r="AH1901" s="26"/>
      <c r="AI1901" s="40">
        <v>4</v>
      </c>
      <c r="AJ1901" s="26"/>
      <c r="AK1901" s="26"/>
      <c r="AL1901" s="35"/>
      <c r="AM1901" s="35"/>
      <c r="AN1901" s="35"/>
      <c r="AO1901" s="35"/>
      <c r="AP1901" s="35"/>
    </row>
    <row r="1902" spans="1:42" x14ac:dyDescent="0.2">
      <c r="A1902" s="38">
        <v>45366</v>
      </c>
      <c r="B1902" s="28" t="s">
        <v>37</v>
      </c>
      <c r="C1902" s="41" t="s">
        <v>118</v>
      </c>
      <c r="D1902" s="26" t="s">
        <v>36</v>
      </c>
      <c r="E1902" s="26" t="s">
        <v>139</v>
      </c>
      <c r="F1902" s="26" t="s">
        <v>3418</v>
      </c>
      <c r="G1902" s="26" t="s">
        <v>221</v>
      </c>
      <c r="H1902" s="26" t="s">
        <v>7367</v>
      </c>
      <c r="I1902" s="17">
        <f ca="1">IFERROR(__xludf.DUMMYFUNCTION("""COMPUTED_VALUE"""),45370)</f>
        <v>45370</v>
      </c>
      <c r="J1902" s="29" t="s">
        <v>3485</v>
      </c>
      <c r="K1902" s="26" t="s">
        <v>5839</v>
      </c>
      <c r="L1902" s="30">
        <v>949862005</v>
      </c>
      <c r="M1902" s="26" t="s">
        <v>112</v>
      </c>
      <c r="N1902" s="26" t="s">
        <v>4913</v>
      </c>
      <c r="O1902" s="26" t="s">
        <v>134</v>
      </c>
      <c r="P1902" s="26" t="s">
        <v>2641</v>
      </c>
      <c r="Q1902" s="20">
        <v>15936</v>
      </c>
      <c r="R1902" s="26" t="s">
        <v>36</v>
      </c>
      <c r="S1902" s="31">
        <v>200</v>
      </c>
      <c r="T1902" s="32">
        <v>45169</v>
      </c>
      <c r="U1902" s="31">
        <v>15736</v>
      </c>
      <c r="V1902" s="32">
        <v>45189</v>
      </c>
      <c r="W1902" s="26"/>
      <c r="X1902" s="26"/>
      <c r="Y1902" s="22">
        <v>0</v>
      </c>
      <c r="Z1902" s="26" t="s">
        <v>118</v>
      </c>
      <c r="AA1902" s="19" t="s">
        <v>5785</v>
      </c>
      <c r="AB1902" s="26" t="s">
        <v>104</v>
      </c>
      <c r="AC1902" s="26" t="s">
        <v>53</v>
      </c>
      <c r="AD1902" s="19" t="s">
        <v>138</v>
      </c>
      <c r="AE1902" s="26" t="s">
        <v>3418</v>
      </c>
      <c r="AF1902" s="17">
        <v>45370</v>
      </c>
      <c r="AG1902" s="26" t="s">
        <v>3399</v>
      </c>
      <c r="AH1902" s="26"/>
      <c r="AI1902" s="40" t="s">
        <v>147</v>
      </c>
      <c r="AJ1902" s="26"/>
      <c r="AK1902" s="26"/>
      <c r="AL1902" s="35"/>
      <c r="AM1902" s="35"/>
      <c r="AN1902" s="35"/>
      <c r="AO1902" s="35"/>
      <c r="AP1902" s="35"/>
    </row>
    <row r="1903" spans="1:42" x14ac:dyDescent="0.2">
      <c r="A1903" s="38">
        <v>45367</v>
      </c>
      <c r="B1903" s="28" t="s">
        <v>37</v>
      </c>
      <c r="C1903" s="41" t="s">
        <v>118</v>
      </c>
      <c r="D1903" s="26" t="s">
        <v>36</v>
      </c>
      <c r="E1903" s="26" t="s">
        <v>139</v>
      </c>
      <c r="F1903" s="26" t="s">
        <v>5025</v>
      </c>
      <c r="G1903" s="26" t="s">
        <v>221</v>
      </c>
      <c r="H1903" s="26" t="s">
        <v>7367</v>
      </c>
      <c r="I1903" s="17">
        <f ca="1">IFERROR(__xludf.DUMMYFUNCTION("""COMPUTED_VALUE"""),45370)</f>
        <v>45370</v>
      </c>
      <c r="J1903" s="29" t="s">
        <v>3854</v>
      </c>
      <c r="K1903" s="26" t="s">
        <v>3855</v>
      </c>
      <c r="L1903" s="30">
        <v>362802427</v>
      </c>
      <c r="M1903" s="26" t="s">
        <v>123</v>
      </c>
      <c r="N1903" s="26" t="s">
        <v>2847</v>
      </c>
      <c r="O1903" s="26" t="s">
        <v>1226</v>
      </c>
      <c r="P1903" s="42" t="s">
        <v>5034</v>
      </c>
      <c r="Q1903" s="20">
        <v>15936</v>
      </c>
      <c r="R1903" s="26" t="s">
        <v>36</v>
      </c>
      <c r="S1903" s="31">
        <v>5000</v>
      </c>
      <c r="T1903" s="32">
        <v>45195</v>
      </c>
      <c r="U1903" s="31">
        <v>10936</v>
      </c>
      <c r="V1903" s="32">
        <v>45224</v>
      </c>
      <c r="W1903" s="33" t="s">
        <v>3856</v>
      </c>
      <c r="X1903" s="26"/>
      <c r="Y1903" s="22">
        <v>0</v>
      </c>
      <c r="Z1903" s="26" t="s">
        <v>118</v>
      </c>
      <c r="AA1903" s="19" t="s">
        <v>3454</v>
      </c>
      <c r="AB1903" s="26" t="s">
        <v>104</v>
      </c>
      <c r="AC1903" s="26" t="s">
        <v>53</v>
      </c>
      <c r="AD1903" s="19" t="s">
        <v>138</v>
      </c>
      <c r="AE1903" s="26" t="s">
        <v>5025</v>
      </c>
      <c r="AF1903" s="17">
        <v>45370</v>
      </c>
      <c r="AG1903" s="26" t="s">
        <v>3399</v>
      </c>
      <c r="AH1903" s="26"/>
      <c r="AI1903" s="40"/>
      <c r="AJ1903" s="26"/>
      <c r="AK1903" s="26"/>
      <c r="AL1903" s="35"/>
      <c r="AM1903" s="35"/>
      <c r="AN1903" s="35"/>
      <c r="AO1903" s="35"/>
      <c r="AP1903" s="35"/>
    </row>
    <row r="1904" spans="1:42" x14ac:dyDescent="0.2">
      <c r="A1904" s="38">
        <v>45367</v>
      </c>
      <c r="B1904" s="28" t="s">
        <v>37</v>
      </c>
      <c r="C1904" s="41" t="s">
        <v>118</v>
      </c>
      <c r="D1904" s="26" t="s">
        <v>36</v>
      </c>
      <c r="E1904" s="26" t="s">
        <v>139</v>
      </c>
      <c r="F1904" s="26" t="s">
        <v>5025</v>
      </c>
      <c r="G1904" s="26" t="s">
        <v>221</v>
      </c>
      <c r="H1904" s="26" t="s">
        <v>7367</v>
      </c>
      <c r="I1904" s="17">
        <f ca="1">IFERROR(__xludf.DUMMYFUNCTION("""COMPUTED_VALUE"""),45370)</f>
        <v>45370</v>
      </c>
      <c r="J1904" s="29" t="s">
        <v>4033</v>
      </c>
      <c r="K1904" s="26" t="s">
        <v>4034</v>
      </c>
      <c r="L1904" s="30">
        <v>396530205</v>
      </c>
      <c r="M1904" s="26" t="s">
        <v>1245</v>
      </c>
      <c r="N1904" s="26" t="s">
        <v>4957</v>
      </c>
      <c r="O1904" s="26" t="s">
        <v>91</v>
      </c>
      <c r="P1904" s="42" t="s">
        <v>4035</v>
      </c>
      <c r="Q1904" s="20">
        <v>15936</v>
      </c>
      <c r="R1904" s="26" t="s">
        <v>36</v>
      </c>
      <c r="S1904" s="31">
        <v>2000</v>
      </c>
      <c r="T1904" s="32">
        <v>45202</v>
      </c>
      <c r="U1904" s="31">
        <v>13836</v>
      </c>
      <c r="V1904" s="32">
        <v>45223</v>
      </c>
      <c r="W1904" s="33" t="s">
        <v>4036</v>
      </c>
      <c r="X1904" s="26"/>
      <c r="Y1904" s="22">
        <v>100</v>
      </c>
      <c r="Z1904" s="26" t="s">
        <v>118</v>
      </c>
      <c r="AA1904" s="19" t="s">
        <v>3454</v>
      </c>
      <c r="AB1904" s="26" t="s">
        <v>104</v>
      </c>
      <c r="AC1904" s="26" t="s">
        <v>53</v>
      </c>
      <c r="AD1904" s="19" t="s">
        <v>138</v>
      </c>
      <c r="AE1904" s="26" t="s">
        <v>5025</v>
      </c>
      <c r="AF1904" s="17">
        <v>45370</v>
      </c>
      <c r="AG1904" s="26" t="s">
        <v>3399</v>
      </c>
      <c r="AH1904" s="26"/>
      <c r="AI1904" s="40"/>
      <c r="AJ1904" s="26"/>
      <c r="AK1904" s="26"/>
      <c r="AL1904" s="35"/>
      <c r="AM1904" s="35"/>
      <c r="AN1904" s="35"/>
      <c r="AO1904" s="35"/>
      <c r="AP1904" s="35"/>
    </row>
    <row r="1905" spans="1:42" x14ac:dyDescent="0.2">
      <c r="A1905" s="38">
        <v>45367</v>
      </c>
      <c r="B1905" s="28" t="s">
        <v>37</v>
      </c>
      <c r="C1905" s="41" t="s">
        <v>118</v>
      </c>
      <c r="D1905" s="26" t="s">
        <v>36</v>
      </c>
      <c r="E1905" s="26" t="s">
        <v>139</v>
      </c>
      <c r="F1905" s="26" t="s">
        <v>5025</v>
      </c>
      <c r="G1905" s="26" t="s">
        <v>221</v>
      </c>
      <c r="H1905" s="26" t="s">
        <v>7367</v>
      </c>
      <c r="I1905" s="17">
        <f ca="1">IFERROR(__xludf.DUMMYFUNCTION("""COMPUTED_VALUE"""),45370)</f>
        <v>45370</v>
      </c>
      <c r="J1905" s="29" t="s">
        <v>3860</v>
      </c>
      <c r="K1905" s="26" t="s">
        <v>3861</v>
      </c>
      <c r="L1905" s="30">
        <v>363143009</v>
      </c>
      <c r="M1905" s="26" t="s">
        <v>1245</v>
      </c>
      <c r="N1905" s="26" t="s">
        <v>4957</v>
      </c>
      <c r="O1905" s="26" t="s">
        <v>1226</v>
      </c>
      <c r="P1905" s="42" t="s">
        <v>5029</v>
      </c>
      <c r="Q1905" s="20">
        <v>15936</v>
      </c>
      <c r="R1905" s="26" t="s">
        <v>36</v>
      </c>
      <c r="S1905" s="31">
        <v>2000</v>
      </c>
      <c r="T1905" s="32">
        <v>45191</v>
      </c>
      <c r="U1905" s="31">
        <v>13936</v>
      </c>
      <c r="V1905" s="32">
        <v>45224</v>
      </c>
      <c r="W1905" s="33" t="s">
        <v>3862</v>
      </c>
      <c r="X1905" s="26"/>
      <c r="Y1905" s="22">
        <v>0</v>
      </c>
      <c r="Z1905" s="26" t="s">
        <v>118</v>
      </c>
      <c r="AA1905" s="19" t="s">
        <v>3454</v>
      </c>
      <c r="AB1905" s="26" t="s">
        <v>104</v>
      </c>
      <c r="AC1905" s="26" t="s">
        <v>53</v>
      </c>
      <c r="AD1905" s="19" t="s">
        <v>138</v>
      </c>
      <c r="AE1905" s="26" t="s">
        <v>5025</v>
      </c>
      <c r="AF1905" s="17">
        <v>45370</v>
      </c>
      <c r="AG1905" s="26" t="s">
        <v>3399</v>
      </c>
      <c r="AH1905" s="26"/>
      <c r="AI1905" s="40"/>
      <c r="AJ1905" s="26"/>
      <c r="AK1905" s="26"/>
      <c r="AL1905" s="35"/>
      <c r="AM1905" s="35"/>
      <c r="AN1905" s="35"/>
      <c r="AO1905" s="35"/>
      <c r="AP1905" s="35"/>
    </row>
    <row r="1906" spans="1:42" x14ac:dyDescent="0.2">
      <c r="A1906" s="38">
        <v>45367</v>
      </c>
      <c r="B1906" s="28" t="s">
        <v>37</v>
      </c>
      <c r="C1906" s="41" t="s">
        <v>118</v>
      </c>
      <c r="D1906" s="26" t="s">
        <v>36</v>
      </c>
      <c r="E1906" s="26" t="s">
        <v>119</v>
      </c>
      <c r="F1906" s="26" t="s">
        <v>5025</v>
      </c>
      <c r="G1906" s="26" t="s">
        <v>221</v>
      </c>
      <c r="H1906" s="26" t="s">
        <v>7367</v>
      </c>
      <c r="I1906" s="17">
        <f ca="1">IFERROR(__xludf.DUMMYFUNCTION("""COMPUTED_VALUE"""),45370)</f>
        <v>45370</v>
      </c>
      <c r="J1906" s="29" t="s">
        <v>5781</v>
      </c>
      <c r="K1906" s="26" t="s">
        <v>7369</v>
      </c>
      <c r="L1906" s="30">
        <v>967651627</v>
      </c>
      <c r="M1906" s="26" t="s">
        <v>5558</v>
      </c>
      <c r="N1906" s="26" t="s">
        <v>850</v>
      </c>
      <c r="O1906" s="26" t="s">
        <v>4503</v>
      </c>
      <c r="P1906" s="42" t="s">
        <v>5783</v>
      </c>
      <c r="Q1906" s="20">
        <v>13968</v>
      </c>
      <c r="R1906" s="26" t="s">
        <v>36</v>
      </c>
      <c r="S1906" s="31">
        <v>200</v>
      </c>
      <c r="T1906" s="32">
        <v>45244</v>
      </c>
      <c r="U1906" s="31">
        <v>13768</v>
      </c>
      <c r="V1906" s="32">
        <v>45245</v>
      </c>
      <c r="W1906" s="26" t="s">
        <v>5784</v>
      </c>
      <c r="X1906" s="26"/>
      <c r="Y1906" s="22">
        <v>0</v>
      </c>
      <c r="Z1906" s="26" t="s">
        <v>118</v>
      </c>
      <c r="AA1906" s="19" t="s">
        <v>5112</v>
      </c>
      <c r="AB1906" s="26" t="s">
        <v>104</v>
      </c>
      <c r="AC1906" s="26" t="s">
        <v>53</v>
      </c>
      <c r="AD1906" s="19" t="s">
        <v>138</v>
      </c>
      <c r="AE1906" s="26" t="s">
        <v>5025</v>
      </c>
      <c r="AF1906" s="17">
        <v>45370</v>
      </c>
      <c r="AG1906" s="26" t="s">
        <v>3399</v>
      </c>
      <c r="AH1906" s="26"/>
      <c r="AI1906" s="40">
        <v>4</v>
      </c>
      <c r="AJ1906" s="26"/>
      <c r="AK1906" s="26"/>
      <c r="AL1906" s="35"/>
      <c r="AM1906" s="35"/>
      <c r="AN1906" s="35"/>
      <c r="AO1906" s="35"/>
      <c r="AP1906" s="35"/>
    </row>
    <row r="1907" spans="1:42" x14ac:dyDescent="0.2">
      <c r="A1907" s="38">
        <v>45367</v>
      </c>
      <c r="B1907" s="28" t="s">
        <v>37</v>
      </c>
      <c r="C1907" s="41" t="s">
        <v>118</v>
      </c>
      <c r="D1907" s="26" t="s">
        <v>36</v>
      </c>
      <c r="E1907" s="26" t="s">
        <v>139</v>
      </c>
      <c r="F1907" s="26" t="s">
        <v>3418</v>
      </c>
      <c r="G1907" s="26" t="s">
        <v>221</v>
      </c>
      <c r="H1907" s="26" t="s">
        <v>7367</v>
      </c>
      <c r="I1907" s="17">
        <f ca="1">IFERROR(__xludf.DUMMYFUNCTION("""COMPUTED_VALUE"""),45370)</f>
        <v>45370</v>
      </c>
      <c r="J1907" s="29" t="s">
        <v>2648</v>
      </c>
      <c r="K1907" s="26" t="s">
        <v>2649</v>
      </c>
      <c r="L1907" s="30">
        <v>936932818</v>
      </c>
      <c r="M1907" s="26" t="s">
        <v>123</v>
      </c>
      <c r="N1907" s="26" t="s">
        <v>850</v>
      </c>
      <c r="O1907" s="26" t="s">
        <v>1226</v>
      </c>
      <c r="P1907" s="26" t="s">
        <v>2650</v>
      </c>
      <c r="Q1907" s="20">
        <v>15936</v>
      </c>
      <c r="R1907" s="26" t="s">
        <v>36</v>
      </c>
      <c r="S1907" s="31">
        <v>200</v>
      </c>
      <c r="T1907" s="32">
        <v>45174</v>
      </c>
      <c r="U1907" s="31">
        <v>15736</v>
      </c>
      <c r="V1907" s="32">
        <v>45185</v>
      </c>
      <c r="W1907" s="33" t="s">
        <v>2651</v>
      </c>
      <c r="X1907" s="26"/>
      <c r="Y1907" s="22">
        <v>0</v>
      </c>
      <c r="Z1907" s="26" t="s">
        <v>118</v>
      </c>
      <c r="AA1907" s="19" t="s">
        <v>2449</v>
      </c>
      <c r="AB1907" s="26" t="s">
        <v>104</v>
      </c>
      <c r="AC1907" s="26" t="s">
        <v>53</v>
      </c>
      <c r="AD1907" s="19" t="s">
        <v>138</v>
      </c>
      <c r="AE1907" s="26" t="s">
        <v>3418</v>
      </c>
      <c r="AF1907" s="17">
        <v>45370</v>
      </c>
      <c r="AG1907" s="26" t="s">
        <v>3399</v>
      </c>
      <c r="AH1907" s="26"/>
      <c r="AI1907" s="40"/>
      <c r="AJ1907" s="26"/>
      <c r="AK1907" s="26"/>
      <c r="AL1907" s="35"/>
      <c r="AM1907" s="35"/>
      <c r="AN1907" s="35"/>
      <c r="AO1907" s="35"/>
      <c r="AP1907" s="35"/>
    </row>
    <row r="1908" spans="1:42" x14ac:dyDescent="0.2">
      <c r="A1908" s="38">
        <v>45368</v>
      </c>
      <c r="B1908" s="28" t="s">
        <v>37</v>
      </c>
      <c r="C1908" s="41" t="s">
        <v>118</v>
      </c>
      <c r="D1908" s="26" t="s">
        <v>36</v>
      </c>
      <c r="E1908" s="26" t="s">
        <v>139</v>
      </c>
      <c r="F1908" s="26" t="s">
        <v>6131</v>
      </c>
      <c r="G1908" s="26" t="s">
        <v>108</v>
      </c>
      <c r="H1908" s="26" t="s">
        <v>5037</v>
      </c>
      <c r="I1908" s="17">
        <f ca="1">IFERROR(__xludf.DUMMYFUNCTION("""COMPUTED_VALUE"""),45391)</f>
        <v>45391</v>
      </c>
      <c r="J1908" s="29" t="s">
        <v>6769</v>
      </c>
      <c r="K1908" s="26" t="s">
        <v>6770</v>
      </c>
      <c r="L1908" s="30">
        <v>325596416</v>
      </c>
      <c r="M1908" s="26" t="s">
        <v>5518</v>
      </c>
      <c r="N1908" s="26" t="s">
        <v>5582</v>
      </c>
      <c r="O1908" s="26" t="s">
        <v>6771</v>
      </c>
      <c r="P1908" s="42" t="s">
        <v>7370</v>
      </c>
      <c r="Q1908" s="20">
        <v>15936</v>
      </c>
      <c r="R1908" s="26" t="s">
        <v>36</v>
      </c>
      <c r="S1908" s="31">
        <v>4000</v>
      </c>
      <c r="T1908" s="32">
        <v>45301</v>
      </c>
      <c r="U1908" s="31">
        <v>11936</v>
      </c>
      <c r="V1908" s="32">
        <v>45319</v>
      </c>
      <c r="W1908" s="33" t="s">
        <v>6773</v>
      </c>
      <c r="X1908" s="26">
        <v>0</v>
      </c>
      <c r="Y1908" s="22">
        <v>0</v>
      </c>
      <c r="Z1908" s="26" t="s">
        <v>118</v>
      </c>
      <c r="AA1908" s="19" t="s">
        <v>6079</v>
      </c>
      <c r="AB1908" s="26" t="s">
        <v>104</v>
      </c>
      <c r="AC1908" s="26" t="s">
        <v>53</v>
      </c>
      <c r="AD1908" s="19" t="s">
        <v>54</v>
      </c>
      <c r="AE1908" s="26" t="s">
        <v>6131</v>
      </c>
      <c r="AF1908" s="17">
        <v>45377</v>
      </c>
      <c r="AG1908" s="26"/>
      <c r="AH1908" s="26"/>
      <c r="AI1908" s="40" t="s">
        <v>147</v>
      </c>
      <c r="AJ1908" s="26"/>
      <c r="AK1908" s="26"/>
      <c r="AL1908" s="35"/>
      <c r="AM1908" s="35"/>
      <c r="AN1908" s="35"/>
      <c r="AO1908" s="35"/>
      <c r="AP1908" s="35"/>
    </row>
    <row r="1909" spans="1:42" x14ac:dyDescent="0.2">
      <c r="A1909" s="38">
        <v>45368</v>
      </c>
      <c r="B1909" s="28" t="s">
        <v>37</v>
      </c>
      <c r="C1909" s="41" t="s">
        <v>118</v>
      </c>
      <c r="D1909" s="26" t="s">
        <v>36</v>
      </c>
      <c r="E1909" s="26" t="s">
        <v>39</v>
      </c>
      <c r="F1909" s="26" t="s">
        <v>2856</v>
      </c>
      <c r="G1909" s="26" t="s">
        <v>108</v>
      </c>
      <c r="H1909" s="26" t="s">
        <v>6600</v>
      </c>
      <c r="I1909" s="17">
        <f ca="1">IFERROR(__xludf.DUMMYFUNCTION("""COMPUTED_VALUE"""),45382)</f>
        <v>45382</v>
      </c>
      <c r="J1909" s="29" t="s">
        <v>6438</v>
      </c>
      <c r="K1909" s="26" t="s">
        <v>5465</v>
      </c>
      <c r="L1909" s="30">
        <v>332313548</v>
      </c>
      <c r="M1909" s="26" t="s">
        <v>2755</v>
      </c>
      <c r="N1909" s="26" t="s">
        <v>2756</v>
      </c>
      <c r="O1909" s="26" t="s">
        <v>4503</v>
      </c>
      <c r="P1909" s="42" t="s">
        <v>7371</v>
      </c>
      <c r="Q1909" s="20">
        <v>5736</v>
      </c>
      <c r="R1909" s="26" t="s">
        <v>36</v>
      </c>
      <c r="S1909" s="31">
        <v>300</v>
      </c>
      <c r="T1909" s="32">
        <v>45281</v>
      </c>
      <c r="U1909" s="31">
        <v>5436</v>
      </c>
      <c r="V1909" s="32">
        <v>45287</v>
      </c>
      <c r="W1909" s="26" t="s">
        <v>6440</v>
      </c>
      <c r="X1909" s="26"/>
      <c r="Y1909" s="22">
        <v>0</v>
      </c>
      <c r="Z1909" s="26" t="s">
        <v>118</v>
      </c>
      <c r="AA1909" s="19" t="s">
        <v>5961</v>
      </c>
      <c r="AB1909" s="26" t="s">
        <v>104</v>
      </c>
      <c r="AC1909" s="26" t="s">
        <v>53</v>
      </c>
      <c r="AD1909" s="19" t="s">
        <v>54</v>
      </c>
      <c r="AE1909" s="26" t="s">
        <v>2856</v>
      </c>
      <c r="AF1909" s="17">
        <v>45377</v>
      </c>
      <c r="AG1909" s="26"/>
      <c r="AH1909" s="26">
        <v>1</v>
      </c>
      <c r="AI1909" s="40"/>
      <c r="AJ1909" s="26"/>
      <c r="AK1909" s="26"/>
      <c r="AL1909" s="35"/>
      <c r="AM1909" s="35"/>
      <c r="AN1909" s="35"/>
      <c r="AO1909" s="35"/>
      <c r="AP1909" s="35"/>
    </row>
    <row r="1910" spans="1:42" x14ac:dyDescent="0.2">
      <c r="A1910" s="38">
        <v>45369</v>
      </c>
      <c r="B1910" s="28" t="s">
        <v>37</v>
      </c>
      <c r="C1910" s="41" t="s">
        <v>118</v>
      </c>
      <c r="D1910" s="26" t="s">
        <v>36</v>
      </c>
      <c r="E1910" s="26" t="s">
        <v>56</v>
      </c>
      <c r="F1910" s="26" t="s">
        <v>2128</v>
      </c>
      <c r="G1910" s="26" t="s">
        <v>221</v>
      </c>
      <c r="H1910" s="26" t="s">
        <v>6874</v>
      </c>
      <c r="I1910" s="17">
        <f ca="1">IFERROR(__xludf.DUMMYFUNCTION("""COMPUTED_VALUE"""),45378)</f>
        <v>45378</v>
      </c>
      <c r="J1910" s="29" t="s">
        <v>2494</v>
      </c>
      <c r="K1910" s="26" t="s">
        <v>2495</v>
      </c>
      <c r="L1910" s="30">
        <v>368088294</v>
      </c>
      <c r="M1910" s="26" t="s">
        <v>112</v>
      </c>
      <c r="N1910" s="26" t="s">
        <v>3330</v>
      </c>
      <c r="O1910" s="26" t="s">
        <v>2496</v>
      </c>
      <c r="P1910" s="26" t="s">
        <v>4874</v>
      </c>
      <c r="Q1910" s="20">
        <v>9317</v>
      </c>
      <c r="R1910" s="26" t="s">
        <v>36</v>
      </c>
      <c r="S1910" s="31">
        <v>2500</v>
      </c>
      <c r="T1910" s="32">
        <v>45156</v>
      </c>
      <c r="U1910" s="31">
        <v>6817</v>
      </c>
      <c r="V1910" s="32">
        <v>45180</v>
      </c>
      <c r="W1910" s="33" t="s">
        <v>2498</v>
      </c>
      <c r="X1910" s="26"/>
      <c r="Y1910" s="22">
        <v>0</v>
      </c>
      <c r="Z1910" s="26" t="s">
        <v>118</v>
      </c>
      <c r="AA1910" s="19" t="s">
        <v>4541</v>
      </c>
      <c r="AB1910" s="26" t="s">
        <v>104</v>
      </c>
      <c r="AC1910" s="26" t="s">
        <v>53</v>
      </c>
      <c r="AD1910" s="19" t="s">
        <v>138</v>
      </c>
      <c r="AE1910" s="26" t="s">
        <v>2128</v>
      </c>
      <c r="AF1910" s="17">
        <v>45377</v>
      </c>
      <c r="AG1910" s="26"/>
      <c r="AH1910" s="26"/>
      <c r="AI1910" s="40"/>
      <c r="AJ1910" s="26"/>
      <c r="AK1910" s="26"/>
      <c r="AL1910" s="35"/>
      <c r="AM1910" s="35"/>
      <c r="AN1910" s="35"/>
      <c r="AO1910" s="35"/>
      <c r="AP1910" s="35"/>
    </row>
    <row r="1911" spans="1:42" x14ac:dyDescent="0.2">
      <c r="A1911" s="38">
        <v>45369</v>
      </c>
      <c r="B1911" s="28" t="s">
        <v>37</v>
      </c>
      <c r="C1911" s="41" t="s">
        <v>118</v>
      </c>
      <c r="D1911" s="26" t="s">
        <v>36</v>
      </c>
      <c r="E1911" s="26" t="s">
        <v>148</v>
      </c>
      <c r="F1911" s="26" t="s">
        <v>1808</v>
      </c>
      <c r="G1911" s="26" t="s">
        <v>108</v>
      </c>
      <c r="H1911" s="26" t="s">
        <v>1565</v>
      </c>
      <c r="I1911" s="17">
        <f ca="1">IFERROR(__xludf.DUMMYFUNCTION("""COMPUTED_VALUE"""),45502)</f>
        <v>45502</v>
      </c>
      <c r="J1911" s="29" t="s">
        <v>7372</v>
      </c>
      <c r="K1911" s="26" t="s">
        <v>7373</v>
      </c>
      <c r="L1911" s="30">
        <v>335310098</v>
      </c>
      <c r="M1911" s="26" t="s">
        <v>94</v>
      </c>
      <c r="N1911" s="26" t="s">
        <v>1812</v>
      </c>
      <c r="O1911" s="26" t="s">
        <v>91</v>
      </c>
      <c r="P1911" s="26" t="s">
        <v>7374</v>
      </c>
      <c r="Q1911" s="95">
        <v>16779</v>
      </c>
      <c r="R1911" s="26" t="s">
        <v>36</v>
      </c>
      <c r="S1911" s="31">
        <v>16777</v>
      </c>
      <c r="T1911" s="32">
        <v>44864</v>
      </c>
      <c r="U1911" s="31"/>
      <c r="V1911" s="26"/>
      <c r="W1911" s="33" t="s">
        <v>7375</v>
      </c>
      <c r="X1911" s="26">
        <v>0</v>
      </c>
      <c r="Y1911" s="22">
        <v>0</v>
      </c>
      <c r="Z1911" s="26" t="s">
        <v>118</v>
      </c>
      <c r="AA1911" s="19" t="s">
        <v>2051</v>
      </c>
      <c r="AB1911" s="26" t="s">
        <v>36</v>
      </c>
      <c r="AC1911" s="26" t="s">
        <v>53</v>
      </c>
      <c r="AD1911" s="19" t="s">
        <v>138</v>
      </c>
      <c r="AE1911" s="26">
        <v>650</v>
      </c>
      <c r="AF1911" s="17">
        <v>45421</v>
      </c>
      <c r="AG1911" s="26" t="s">
        <v>3415</v>
      </c>
      <c r="AH1911" s="26"/>
      <c r="AI1911" s="92"/>
      <c r="AJ1911" s="35"/>
      <c r="AK1911" s="35"/>
      <c r="AL1911" s="35"/>
      <c r="AM1911" s="35"/>
      <c r="AN1911" s="26"/>
      <c r="AO1911" s="26"/>
      <c r="AP1911" s="35"/>
    </row>
    <row r="1912" spans="1:42" x14ac:dyDescent="0.2">
      <c r="A1912" s="38">
        <v>45369</v>
      </c>
      <c r="B1912" s="28" t="s">
        <v>37</v>
      </c>
      <c r="C1912" s="41" t="s">
        <v>118</v>
      </c>
      <c r="D1912" s="26" t="s">
        <v>36</v>
      </c>
      <c r="E1912" s="26" t="s">
        <v>56</v>
      </c>
      <c r="F1912" s="26" t="s">
        <v>881</v>
      </c>
      <c r="G1912" s="26" t="s">
        <v>41</v>
      </c>
      <c r="H1912" s="26" t="s">
        <v>7112</v>
      </c>
      <c r="I1912" s="17">
        <f ca="1">IFERROR(__xludf.DUMMYFUNCTION("""COMPUTED_VALUE"""),45383)</f>
        <v>45383</v>
      </c>
      <c r="J1912" s="29" t="s">
        <v>7376</v>
      </c>
      <c r="K1912" s="26" t="s">
        <v>7377</v>
      </c>
      <c r="L1912" s="30">
        <v>869363242</v>
      </c>
      <c r="M1912" s="26" t="s">
        <v>1993</v>
      </c>
      <c r="N1912" s="26" t="s">
        <v>2272</v>
      </c>
      <c r="O1912" s="26" t="s">
        <v>91</v>
      </c>
      <c r="P1912" s="35" t="s">
        <v>7378</v>
      </c>
      <c r="Q1912" s="20">
        <v>16779</v>
      </c>
      <c r="R1912" s="26" t="s">
        <v>36</v>
      </c>
      <c r="S1912" s="31">
        <v>16779</v>
      </c>
      <c r="T1912" s="32">
        <v>44791</v>
      </c>
      <c r="U1912" s="31"/>
      <c r="V1912" s="32"/>
      <c r="W1912" s="33" t="s">
        <v>7379</v>
      </c>
      <c r="X1912" s="26">
        <v>0</v>
      </c>
      <c r="Y1912" s="22">
        <v>0</v>
      </c>
      <c r="Z1912" s="26" t="s">
        <v>118</v>
      </c>
      <c r="AA1912" s="19"/>
      <c r="AB1912" s="26" t="s">
        <v>104</v>
      </c>
      <c r="AC1912" s="26" t="s">
        <v>53</v>
      </c>
      <c r="AD1912" s="19" t="s">
        <v>54</v>
      </c>
      <c r="AE1912" s="26" t="s">
        <v>881</v>
      </c>
      <c r="AF1912" s="17">
        <v>45383</v>
      </c>
      <c r="AG1912" s="91"/>
      <c r="AH1912" s="26"/>
      <c r="AI1912" s="92"/>
      <c r="AJ1912" s="35"/>
      <c r="AK1912" s="35"/>
      <c r="AL1912" s="35"/>
      <c r="AM1912" s="35"/>
      <c r="AN1912" s="26"/>
      <c r="AO1912" s="26"/>
      <c r="AP1912" s="35"/>
    </row>
    <row r="1913" spans="1:42" x14ac:dyDescent="0.2">
      <c r="A1913" s="38">
        <v>45369</v>
      </c>
      <c r="B1913" s="28" t="s">
        <v>37</v>
      </c>
      <c r="C1913" s="41" t="s">
        <v>118</v>
      </c>
      <c r="D1913" s="26" t="s">
        <v>36</v>
      </c>
      <c r="E1913" s="26" t="s">
        <v>139</v>
      </c>
      <c r="F1913" s="26" t="s">
        <v>2856</v>
      </c>
      <c r="G1913" s="26" t="s">
        <v>108</v>
      </c>
      <c r="H1913" s="26" t="s">
        <v>5037</v>
      </c>
      <c r="I1913" s="17">
        <f ca="1">IFERROR(__xludf.DUMMYFUNCTION("""COMPUTED_VALUE"""),45391)</f>
        <v>45391</v>
      </c>
      <c r="J1913" s="29" t="s">
        <v>6489</v>
      </c>
      <c r="K1913" s="26" t="s">
        <v>7380</v>
      </c>
      <c r="L1913" s="127">
        <v>394045592</v>
      </c>
      <c r="M1913" s="26" t="s">
        <v>2755</v>
      </c>
      <c r="N1913" s="26" t="s">
        <v>2756</v>
      </c>
      <c r="O1913" s="26" t="s">
        <v>4503</v>
      </c>
      <c r="P1913" s="42" t="s">
        <v>7381</v>
      </c>
      <c r="Q1913" s="20">
        <v>15936</v>
      </c>
      <c r="R1913" s="26" t="s">
        <v>36</v>
      </c>
      <c r="S1913" s="31">
        <v>15968</v>
      </c>
      <c r="T1913" s="32">
        <v>45285</v>
      </c>
      <c r="U1913" s="31"/>
      <c r="V1913" s="32"/>
      <c r="W1913" s="33" t="s">
        <v>6492</v>
      </c>
      <c r="X1913" s="26"/>
      <c r="Y1913" s="22">
        <v>-32</v>
      </c>
      <c r="Z1913" s="26" t="s">
        <v>118</v>
      </c>
      <c r="AA1913" s="19" t="s">
        <v>5961</v>
      </c>
      <c r="AB1913" s="26" t="s">
        <v>104</v>
      </c>
      <c r="AC1913" s="26" t="s">
        <v>53</v>
      </c>
      <c r="AD1913" s="19" t="s">
        <v>54</v>
      </c>
      <c r="AE1913" s="26" t="s">
        <v>2856</v>
      </c>
      <c r="AF1913" s="17">
        <v>45377</v>
      </c>
      <c r="AG1913" s="26"/>
      <c r="AH1913" s="26">
        <v>1</v>
      </c>
      <c r="AI1913" s="40"/>
      <c r="AJ1913" s="26"/>
      <c r="AK1913" s="26"/>
      <c r="AL1913" s="35"/>
      <c r="AM1913" s="35"/>
      <c r="AN1913" s="35"/>
      <c r="AO1913" s="35"/>
      <c r="AP1913" s="35"/>
    </row>
    <row r="1914" spans="1:42" x14ac:dyDescent="0.2">
      <c r="A1914" s="38">
        <v>45369</v>
      </c>
      <c r="B1914" s="28" t="s">
        <v>37</v>
      </c>
      <c r="C1914" s="41" t="s">
        <v>118</v>
      </c>
      <c r="D1914" s="26" t="s">
        <v>36</v>
      </c>
      <c r="E1914" s="26" t="s">
        <v>148</v>
      </c>
      <c r="F1914" s="35" t="s">
        <v>1176</v>
      </c>
      <c r="G1914" s="26" t="s">
        <v>221</v>
      </c>
      <c r="H1914" s="26" t="s">
        <v>6874</v>
      </c>
      <c r="I1914" s="17">
        <f ca="1">IFERROR(__xludf.DUMMYFUNCTION("""COMPUTED_VALUE"""),45378)</f>
        <v>45378</v>
      </c>
      <c r="J1914" s="29" t="s">
        <v>2185</v>
      </c>
      <c r="K1914" s="26" t="s">
        <v>2186</v>
      </c>
      <c r="L1914" s="30">
        <v>366117635</v>
      </c>
      <c r="M1914" s="26" t="s">
        <v>112</v>
      </c>
      <c r="N1914" s="26" t="s">
        <v>5090</v>
      </c>
      <c r="O1914" s="26" t="s">
        <v>2187</v>
      </c>
      <c r="P1914" s="54" t="s">
        <v>7382</v>
      </c>
      <c r="Q1914" s="20">
        <v>7349</v>
      </c>
      <c r="R1914" s="26" t="s">
        <v>36</v>
      </c>
      <c r="S1914" s="58">
        <v>7349</v>
      </c>
      <c r="T1914" s="32">
        <v>44963</v>
      </c>
      <c r="U1914" s="58"/>
      <c r="V1914" s="35"/>
      <c r="W1914" s="33" t="s">
        <v>2189</v>
      </c>
      <c r="X1914" s="35">
        <v>0</v>
      </c>
      <c r="Y1914" s="22">
        <v>0</v>
      </c>
      <c r="Z1914" s="35" t="s">
        <v>118</v>
      </c>
      <c r="AA1914" s="19" t="s">
        <v>1871</v>
      </c>
      <c r="AB1914" s="26" t="s">
        <v>104</v>
      </c>
      <c r="AC1914" s="26" t="s">
        <v>53</v>
      </c>
      <c r="AD1914" s="19" t="s">
        <v>54</v>
      </c>
      <c r="AE1914" s="19" t="s">
        <v>1176</v>
      </c>
      <c r="AF1914" s="17">
        <v>45377</v>
      </c>
      <c r="AG1914" s="35"/>
      <c r="AH1914" s="36">
        <v>1</v>
      </c>
      <c r="AI1914" s="37">
        <v>2</v>
      </c>
      <c r="AJ1914" s="35"/>
      <c r="AK1914" s="35"/>
      <c r="AL1914" s="35"/>
      <c r="AM1914" s="35"/>
      <c r="AN1914" s="35"/>
      <c r="AO1914" s="35"/>
      <c r="AP1914" s="35"/>
    </row>
    <row r="1915" spans="1:42" x14ac:dyDescent="0.2">
      <c r="A1915" s="38">
        <v>45370</v>
      </c>
      <c r="B1915" s="28" t="s">
        <v>37</v>
      </c>
      <c r="C1915" s="41" t="s">
        <v>118</v>
      </c>
      <c r="D1915" s="26" t="s">
        <v>36</v>
      </c>
      <c r="E1915" s="26" t="s">
        <v>139</v>
      </c>
      <c r="F1915" s="26" t="s">
        <v>5025</v>
      </c>
      <c r="G1915" s="26" t="s">
        <v>221</v>
      </c>
      <c r="H1915" s="26" t="s">
        <v>7367</v>
      </c>
      <c r="I1915" s="17">
        <f ca="1">IFERROR(__xludf.DUMMYFUNCTION("""COMPUTED_VALUE"""),45370)</f>
        <v>45370</v>
      </c>
      <c r="J1915" s="29" t="s">
        <v>4065</v>
      </c>
      <c r="K1915" s="26" t="s">
        <v>4066</v>
      </c>
      <c r="L1915" s="30">
        <v>335529925</v>
      </c>
      <c r="M1915" s="26" t="s">
        <v>123</v>
      </c>
      <c r="N1915" s="26" t="s">
        <v>327</v>
      </c>
      <c r="O1915" s="26" t="s">
        <v>1226</v>
      </c>
      <c r="P1915" s="42" t="s">
        <v>7383</v>
      </c>
      <c r="Q1915" s="20">
        <v>15936</v>
      </c>
      <c r="R1915" s="26" t="s">
        <v>36</v>
      </c>
      <c r="S1915" s="31">
        <v>2000</v>
      </c>
      <c r="T1915" s="32">
        <v>45202</v>
      </c>
      <c r="U1915" s="31">
        <v>13936</v>
      </c>
      <c r="V1915" s="32">
        <v>45225</v>
      </c>
      <c r="W1915" s="33" t="s">
        <v>4067</v>
      </c>
      <c r="X1915" s="26"/>
      <c r="Y1915" s="22">
        <v>0</v>
      </c>
      <c r="Z1915" s="26" t="s">
        <v>118</v>
      </c>
      <c r="AA1915" s="19" t="s">
        <v>3454</v>
      </c>
      <c r="AB1915" s="26" t="s">
        <v>104</v>
      </c>
      <c r="AC1915" s="26" t="s">
        <v>53</v>
      </c>
      <c r="AD1915" s="19" t="s">
        <v>138</v>
      </c>
      <c r="AE1915" s="26" t="s">
        <v>5025</v>
      </c>
      <c r="AF1915" s="17">
        <v>45370</v>
      </c>
      <c r="AG1915" s="26" t="s">
        <v>3399</v>
      </c>
      <c r="AH1915" s="26"/>
      <c r="AI1915" s="40"/>
      <c r="AJ1915" s="26"/>
      <c r="AK1915" s="26"/>
      <c r="AL1915" s="35"/>
      <c r="AM1915" s="35"/>
      <c r="AN1915" s="35"/>
      <c r="AO1915" s="35"/>
      <c r="AP1915" s="35"/>
    </row>
    <row r="1916" spans="1:42" x14ac:dyDescent="0.2">
      <c r="A1916" s="38">
        <v>45370</v>
      </c>
      <c r="B1916" s="28" t="s">
        <v>37</v>
      </c>
      <c r="C1916" s="41" t="s">
        <v>118</v>
      </c>
      <c r="D1916" s="26" t="s">
        <v>36</v>
      </c>
      <c r="E1916" s="26" t="s">
        <v>219</v>
      </c>
      <c r="F1916" s="26" t="s">
        <v>1657</v>
      </c>
      <c r="G1916" s="26" t="s">
        <v>221</v>
      </c>
      <c r="H1916" s="26" t="s">
        <v>6978</v>
      </c>
      <c r="I1916" s="17">
        <f ca="1">IFERROR(__xludf.DUMMYFUNCTION("""COMPUTED_VALUE"""),45456)</f>
        <v>45456</v>
      </c>
      <c r="J1916" s="29" t="s">
        <v>1658</v>
      </c>
      <c r="K1916" s="26" t="s">
        <v>1659</v>
      </c>
      <c r="L1916" s="30">
        <v>396112630</v>
      </c>
      <c r="M1916" s="26" t="s">
        <v>94</v>
      </c>
      <c r="N1916" s="26" t="s">
        <v>672</v>
      </c>
      <c r="O1916" s="26" t="s">
        <v>91</v>
      </c>
      <c r="P1916" s="42" t="s">
        <v>7384</v>
      </c>
      <c r="Q1916" s="20">
        <v>3768</v>
      </c>
      <c r="R1916" s="26" t="s">
        <v>36</v>
      </c>
      <c r="S1916" s="31">
        <v>3768</v>
      </c>
      <c r="T1916" s="32">
        <v>45157</v>
      </c>
      <c r="U1916" s="31"/>
      <c r="V1916" s="26"/>
      <c r="W1916" s="33" t="s">
        <v>1661</v>
      </c>
      <c r="X1916" s="26">
        <v>100</v>
      </c>
      <c r="Y1916" s="22">
        <v>-100</v>
      </c>
      <c r="Z1916" s="26" t="s">
        <v>118</v>
      </c>
      <c r="AA1916" s="19" t="s">
        <v>901</v>
      </c>
      <c r="AB1916" s="26" t="s">
        <v>104</v>
      </c>
      <c r="AC1916" s="26" t="s">
        <v>53</v>
      </c>
      <c r="AD1916" s="19" t="s">
        <v>54</v>
      </c>
      <c r="AE1916" s="26" t="s">
        <v>1657</v>
      </c>
      <c r="AF1916" s="17">
        <v>45455</v>
      </c>
      <c r="AG1916" s="26"/>
      <c r="AH1916" s="26">
        <v>1</v>
      </c>
      <c r="AI1916" s="40">
        <v>1</v>
      </c>
      <c r="AJ1916" s="26"/>
      <c r="AK1916" s="26"/>
      <c r="AL1916" s="35"/>
      <c r="AM1916" s="35"/>
      <c r="AN1916" s="35"/>
      <c r="AO1916" s="35"/>
      <c r="AP1916" s="35"/>
    </row>
    <row r="1917" spans="1:42" x14ac:dyDescent="0.2">
      <c r="A1917" s="38">
        <v>45369</v>
      </c>
      <c r="B1917" s="28" t="s">
        <v>37</v>
      </c>
      <c r="C1917" s="41" t="s">
        <v>118</v>
      </c>
      <c r="D1917" s="26" t="s">
        <v>36</v>
      </c>
      <c r="E1917" s="26" t="s">
        <v>148</v>
      </c>
      <c r="F1917" s="35" t="s">
        <v>3119</v>
      </c>
      <c r="G1917" s="26" t="s">
        <v>221</v>
      </c>
      <c r="H1917" s="26" t="s">
        <v>6874</v>
      </c>
      <c r="I1917" s="17">
        <f ca="1">IFERROR(__xludf.DUMMYFUNCTION("""COMPUTED_VALUE"""),45378)</f>
        <v>45378</v>
      </c>
      <c r="J1917" s="29" t="s">
        <v>7385</v>
      </c>
      <c r="K1917" s="26" t="s">
        <v>7386</v>
      </c>
      <c r="L1917" s="30">
        <v>336742261</v>
      </c>
      <c r="M1917" s="26" t="s">
        <v>94</v>
      </c>
      <c r="N1917" s="26" t="s">
        <v>7387</v>
      </c>
      <c r="O1917" s="26" t="s">
        <v>91</v>
      </c>
      <c r="P1917" s="28" t="s">
        <v>7388</v>
      </c>
      <c r="Q1917" s="20">
        <v>7349</v>
      </c>
      <c r="R1917" s="26" t="s">
        <v>36</v>
      </c>
      <c r="S1917" s="58">
        <v>7349</v>
      </c>
      <c r="T1917" s="32">
        <v>44930</v>
      </c>
      <c r="U1917" s="58"/>
      <c r="V1917" s="35"/>
      <c r="W1917" s="33" t="s">
        <v>7389</v>
      </c>
      <c r="X1917" s="35"/>
      <c r="Y1917" s="22">
        <v>0</v>
      </c>
      <c r="Z1917" s="35" t="s">
        <v>118</v>
      </c>
      <c r="AA1917" s="19"/>
      <c r="AB1917" s="26" t="s">
        <v>104</v>
      </c>
      <c r="AC1917" s="26" t="s">
        <v>53</v>
      </c>
      <c r="AD1917" s="19" t="s">
        <v>54</v>
      </c>
      <c r="AE1917" s="26" t="s">
        <v>3119</v>
      </c>
      <c r="AF1917" s="17">
        <v>45377</v>
      </c>
      <c r="AG1917" s="26" t="s">
        <v>2075</v>
      </c>
      <c r="AH1917" s="36"/>
      <c r="AI1917" s="37"/>
      <c r="AJ1917" s="35">
        <v>45053.282257152779</v>
      </c>
      <c r="AK1917" s="35"/>
      <c r="AL1917" s="128" t="s">
        <v>7390</v>
      </c>
      <c r="AM1917" s="35"/>
      <c r="AN1917" s="35"/>
      <c r="AO1917" s="35"/>
      <c r="AP1917" s="35"/>
    </row>
    <row r="1918" spans="1:42" x14ac:dyDescent="0.2">
      <c r="A1918" s="99">
        <v>45313</v>
      </c>
      <c r="B1918" s="28" t="s">
        <v>37</v>
      </c>
      <c r="C1918" s="41" t="s">
        <v>118</v>
      </c>
      <c r="D1918" s="26" t="s">
        <v>36</v>
      </c>
      <c r="E1918" s="26" t="s">
        <v>7391</v>
      </c>
      <c r="F1918" s="26" t="s">
        <v>7392</v>
      </c>
      <c r="G1918" s="130" t="s">
        <v>108</v>
      </c>
      <c r="H1918" s="26" t="s">
        <v>6600</v>
      </c>
      <c r="I1918" s="17">
        <f ca="1">IFERROR(__xludf.DUMMYFUNCTION("""COMPUTED_VALUE"""),45382)</f>
        <v>45382</v>
      </c>
      <c r="J1918" s="29" t="s">
        <v>7393</v>
      </c>
      <c r="K1918" s="26" t="s">
        <v>7394</v>
      </c>
      <c r="L1918" s="30">
        <v>355561538</v>
      </c>
      <c r="M1918" s="26" t="s">
        <v>1245</v>
      </c>
      <c r="N1918" s="26" t="s">
        <v>7395</v>
      </c>
      <c r="O1918" s="26" t="s">
        <v>2359</v>
      </c>
      <c r="P1918" s="42" t="s">
        <v>7396</v>
      </c>
      <c r="Q1918" s="20">
        <v>10804</v>
      </c>
      <c r="R1918" s="26" t="s">
        <v>36</v>
      </c>
      <c r="S1918" s="31">
        <v>10804</v>
      </c>
      <c r="T1918" s="32">
        <v>44873</v>
      </c>
      <c r="U1918" s="31"/>
      <c r="V1918" s="32"/>
      <c r="W1918" s="33" t="s">
        <v>7397</v>
      </c>
      <c r="X1918" s="35"/>
      <c r="Y1918" s="22">
        <v>0</v>
      </c>
      <c r="Z1918" s="98" t="s">
        <v>118</v>
      </c>
      <c r="AA1918" s="19"/>
      <c r="AB1918" s="26" t="s">
        <v>104</v>
      </c>
      <c r="AC1918" s="26" t="s">
        <v>53</v>
      </c>
      <c r="AD1918" s="19" t="s">
        <v>54</v>
      </c>
      <c r="AE1918" s="26" t="s">
        <v>7398</v>
      </c>
      <c r="AF1918" s="17">
        <v>45377</v>
      </c>
      <c r="AG1918" s="91"/>
      <c r="AH1918" s="91"/>
      <c r="AI1918" s="92"/>
      <c r="AJ1918" s="35"/>
      <c r="AK1918" s="35"/>
      <c r="AL1918" s="35"/>
      <c r="AM1918" s="35"/>
      <c r="AN1918" s="35"/>
      <c r="AO1918" s="35"/>
      <c r="AP1918" s="35"/>
    </row>
    <row r="1919" spans="1:42" x14ac:dyDescent="0.2">
      <c r="A1919" s="38">
        <v>45370</v>
      </c>
      <c r="B1919" s="28" t="s">
        <v>37</v>
      </c>
      <c r="C1919" s="41" t="s">
        <v>118</v>
      </c>
      <c r="D1919" s="26" t="s">
        <v>36</v>
      </c>
      <c r="E1919" s="26" t="s">
        <v>139</v>
      </c>
      <c r="F1919" s="26" t="s">
        <v>4489</v>
      </c>
      <c r="G1919" s="130" t="s">
        <v>108</v>
      </c>
      <c r="H1919" s="26" t="s">
        <v>7355</v>
      </c>
      <c r="I1919" s="17">
        <f ca="1">IFERROR(__xludf.DUMMYFUNCTION("""COMPUTED_VALUE"""),45452)</f>
        <v>45452</v>
      </c>
      <c r="J1919" s="29" t="s">
        <v>7399</v>
      </c>
      <c r="K1919" s="26" t="s">
        <v>7400</v>
      </c>
      <c r="L1919" s="30">
        <v>394776593</v>
      </c>
      <c r="M1919" s="26" t="s">
        <v>5518</v>
      </c>
      <c r="N1919" s="26" t="s">
        <v>186</v>
      </c>
      <c r="O1919" s="26" t="s">
        <v>7401</v>
      </c>
      <c r="P1919" s="26" t="s">
        <v>6199</v>
      </c>
      <c r="Q1919" s="20">
        <v>15936</v>
      </c>
      <c r="R1919" s="26" t="s">
        <v>36</v>
      </c>
      <c r="S1919" s="31">
        <v>4000</v>
      </c>
      <c r="T1919" s="32">
        <v>45244</v>
      </c>
      <c r="U1919" s="31">
        <v>11836</v>
      </c>
      <c r="V1919" s="32">
        <v>45352</v>
      </c>
      <c r="W1919" s="33" t="s">
        <v>7402</v>
      </c>
      <c r="X1919" s="26"/>
      <c r="Y1919" s="22">
        <v>100</v>
      </c>
      <c r="Z1919" s="26" t="s">
        <v>118</v>
      </c>
      <c r="AA1919" s="19"/>
      <c r="AB1919" s="26" t="s">
        <v>104</v>
      </c>
      <c r="AC1919" s="26" t="s">
        <v>53</v>
      </c>
      <c r="AD1919" s="19" t="s">
        <v>138</v>
      </c>
      <c r="AE1919" s="26" t="s">
        <v>4489</v>
      </c>
      <c r="AF1919" s="17">
        <v>45376</v>
      </c>
      <c r="AG1919" s="26" t="s">
        <v>1362</v>
      </c>
      <c r="AH1919" s="26"/>
      <c r="AI1919" s="40"/>
      <c r="AJ1919" s="26"/>
      <c r="AK1919" s="26"/>
      <c r="AL1919" s="35"/>
      <c r="AM1919" s="35"/>
      <c r="AN1919" s="35"/>
      <c r="AO1919" s="35"/>
      <c r="AP1919" s="35"/>
    </row>
    <row r="1920" spans="1:42" x14ac:dyDescent="0.2">
      <c r="A1920" s="38">
        <v>45370</v>
      </c>
      <c r="B1920" s="28" t="s">
        <v>37</v>
      </c>
      <c r="C1920" s="41" t="s">
        <v>118</v>
      </c>
      <c r="D1920" s="26" t="s">
        <v>36</v>
      </c>
      <c r="E1920" s="26" t="s">
        <v>106</v>
      </c>
      <c r="F1920" s="26" t="s">
        <v>4489</v>
      </c>
      <c r="G1920" s="130" t="s">
        <v>108</v>
      </c>
      <c r="H1920" s="26" t="s">
        <v>7403</v>
      </c>
      <c r="I1920" s="17">
        <f ca="1">IFERROR(__xludf.DUMMYFUNCTION("""COMPUTED_VALUE"""),45376)</f>
        <v>45376</v>
      </c>
      <c r="J1920" s="29" t="s">
        <v>7404</v>
      </c>
      <c r="K1920" s="26" t="s">
        <v>7405</v>
      </c>
      <c r="L1920" s="30">
        <v>366012196</v>
      </c>
      <c r="M1920" s="26" t="s">
        <v>94</v>
      </c>
      <c r="N1920" s="26" t="s">
        <v>7406</v>
      </c>
      <c r="O1920" s="67" t="s">
        <v>7407</v>
      </c>
      <c r="P1920" s="26" t="s">
        <v>7408</v>
      </c>
      <c r="Q1920" s="20">
        <v>10804</v>
      </c>
      <c r="R1920" s="26" t="s">
        <v>36</v>
      </c>
      <c r="S1920" s="31">
        <v>10804</v>
      </c>
      <c r="T1920" s="32">
        <v>44968</v>
      </c>
      <c r="U1920" s="31"/>
      <c r="V1920" s="26"/>
      <c r="W1920" s="33" t="s">
        <v>7409</v>
      </c>
      <c r="X1920" s="26">
        <v>0</v>
      </c>
      <c r="Y1920" s="22">
        <v>0</v>
      </c>
      <c r="Z1920" s="98" t="s">
        <v>118</v>
      </c>
      <c r="AA1920" s="19" t="s">
        <v>2051</v>
      </c>
      <c r="AB1920" s="26" t="s">
        <v>104</v>
      </c>
      <c r="AC1920" s="26" t="s">
        <v>53</v>
      </c>
      <c r="AD1920" s="19" t="s">
        <v>138</v>
      </c>
      <c r="AE1920" s="26" t="s">
        <v>4489</v>
      </c>
      <c r="AF1920" s="17">
        <v>45376</v>
      </c>
      <c r="AG1920" s="26" t="s">
        <v>1362</v>
      </c>
      <c r="AH1920" s="40"/>
      <c r="AI1920" s="126"/>
      <c r="AJ1920" s="26"/>
      <c r="AK1920" s="26"/>
      <c r="AL1920" s="26"/>
      <c r="AM1920" s="26"/>
      <c r="AN1920" s="26"/>
      <c r="AO1920" s="26"/>
      <c r="AP1920" s="35"/>
    </row>
    <row r="1921" spans="1:42" x14ac:dyDescent="0.2">
      <c r="A1921" s="38">
        <v>45370</v>
      </c>
      <c r="B1921" s="28" t="s">
        <v>37</v>
      </c>
      <c r="C1921" s="41" t="s">
        <v>118</v>
      </c>
      <c r="D1921" s="26" t="s">
        <v>36</v>
      </c>
      <c r="E1921" s="26" t="s">
        <v>56</v>
      </c>
      <c r="F1921" s="26" t="s">
        <v>4489</v>
      </c>
      <c r="G1921" s="130" t="s">
        <v>108</v>
      </c>
      <c r="H1921" s="26" t="s">
        <v>7403</v>
      </c>
      <c r="I1921" s="17">
        <f ca="1">IFERROR(__xludf.DUMMYFUNCTION("""COMPUTED_VALUE"""),45376)</f>
        <v>45376</v>
      </c>
      <c r="J1921" s="29" t="s">
        <v>6441</v>
      </c>
      <c r="K1921" s="26" t="s">
        <v>6442</v>
      </c>
      <c r="L1921" s="30">
        <v>355666131</v>
      </c>
      <c r="M1921" s="26" t="s">
        <v>292</v>
      </c>
      <c r="N1921" s="26" t="s">
        <v>1232</v>
      </c>
      <c r="O1921" s="67" t="s">
        <v>6443</v>
      </c>
      <c r="P1921" s="26" t="s">
        <v>6444</v>
      </c>
      <c r="Q1921" s="20">
        <v>9317</v>
      </c>
      <c r="R1921" s="26" t="s">
        <v>36</v>
      </c>
      <c r="S1921" s="31">
        <v>9317</v>
      </c>
      <c r="T1921" s="32">
        <v>45287</v>
      </c>
      <c r="U1921" s="31"/>
      <c r="V1921" s="32"/>
      <c r="W1921" s="33" t="s">
        <v>6445</v>
      </c>
      <c r="X1921" s="26"/>
      <c r="Y1921" s="22">
        <v>0</v>
      </c>
      <c r="Z1921" s="98" t="s">
        <v>118</v>
      </c>
      <c r="AA1921" s="19" t="s">
        <v>5961</v>
      </c>
      <c r="AB1921" s="26" t="s">
        <v>104</v>
      </c>
      <c r="AC1921" s="26" t="s">
        <v>53</v>
      </c>
      <c r="AD1921" s="19" t="s">
        <v>138</v>
      </c>
      <c r="AE1921" s="26" t="s">
        <v>4489</v>
      </c>
      <c r="AF1921" s="17">
        <v>45376</v>
      </c>
      <c r="AG1921" s="26" t="s">
        <v>1362</v>
      </c>
      <c r="AH1921" s="26">
        <v>1</v>
      </c>
      <c r="AI1921" s="40"/>
      <c r="AJ1921" s="26"/>
      <c r="AK1921" s="26"/>
      <c r="AL1921" s="35"/>
      <c r="AM1921" s="35"/>
      <c r="AN1921" s="35"/>
      <c r="AO1921" s="35"/>
      <c r="AP1921" s="35"/>
    </row>
    <row r="1922" spans="1:42" x14ac:dyDescent="0.2">
      <c r="A1922" s="38">
        <v>45370</v>
      </c>
      <c r="B1922" s="28" t="s">
        <v>37</v>
      </c>
      <c r="C1922" s="41" t="s">
        <v>118</v>
      </c>
      <c r="D1922" s="26" t="s">
        <v>36</v>
      </c>
      <c r="E1922" s="26" t="s">
        <v>139</v>
      </c>
      <c r="F1922" s="26" t="s">
        <v>4489</v>
      </c>
      <c r="G1922" s="130" t="s">
        <v>108</v>
      </c>
      <c r="H1922" s="26" t="s">
        <v>6250</v>
      </c>
      <c r="I1922" s="17">
        <f ca="1">IFERROR(__xludf.DUMMYFUNCTION("""COMPUTED_VALUE"""),45495)</f>
        <v>45495</v>
      </c>
      <c r="J1922" s="49" t="s">
        <v>7091</v>
      </c>
      <c r="K1922" s="19" t="s">
        <v>7410</v>
      </c>
      <c r="L1922" s="47">
        <v>965849002</v>
      </c>
      <c r="M1922" s="19" t="s">
        <v>123</v>
      </c>
      <c r="N1922" s="19" t="s">
        <v>186</v>
      </c>
      <c r="O1922" s="26" t="s">
        <v>4503</v>
      </c>
      <c r="P1922" s="26" t="s">
        <v>3056</v>
      </c>
      <c r="Q1922" s="20">
        <v>15936</v>
      </c>
      <c r="R1922" s="26" t="s">
        <v>36</v>
      </c>
      <c r="S1922" s="31">
        <f>200+5000+10236</f>
        <v>15436</v>
      </c>
      <c r="T1922" s="26" t="s">
        <v>7093</v>
      </c>
      <c r="U1922" s="31"/>
      <c r="V1922" s="32"/>
      <c r="W1922" s="33" t="s">
        <v>7094</v>
      </c>
      <c r="X1922" s="26"/>
      <c r="Y1922" s="22">
        <v>500</v>
      </c>
      <c r="Z1922" s="98" t="s">
        <v>118</v>
      </c>
      <c r="AA1922" s="19" t="s">
        <v>7077</v>
      </c>
      <c r="AB1922" s="26" t="s">
        <v>104</v>
      </c>
      <c r="AC1922" s="26" t="s">
        <v>53</v>
      </c>
      <c r="AD1922" s="19" t="s">
        <v>138</v>
      </c>
      <c r="AE1922" s="26" t="s">
        <v>4489</v>
      </c>
      <c r="AF1922" s="17">
        <v>45376</v>
      </c>
      <c r="AG1922" s="26" t="s">
        <v>1362</v>
      </c>
      <c r="AH1922" s="26"/>
      <c r="AI1922" s="40" t="s">
        <v>147</v>
      </c>
      <c r="AJ1922" s="26"/>
      <c r="AK1922" s="26"/>
      <c r="AL1922" s="35"/>
      <c r="AM1922" s="35"/>
      <c r="AN1922" s="35"/>
      <c r="AO1922" s="35"/>
      <c r="AP1922" s="35"/>
    </row>
    <row r="1923" spans="1:42" x14ac:dyDescent="0.2">
      <c r="A1923" s="38">
        <v>45370</v>
      </c>
      <c r="B1923" s="28" t="s">
        <v>37</v>
      </c>
      <c r="C1923" s="41" t="s">
        <v>118</v>
      </c>
      <c r="D1923" s="26" t="s">
        <v>36</v>
      </c>
      <c r="E1923" s="26" t="s">
        <v>56</v>
      </c>
      <c r="F1923" s="26" t="s">
        <v>4489</v>
      </c>
      <c r="G1923" s="130" t="s">
        <v>108</v>
      </c>
      <c r="H1923" s="26" t="s">
        <v>7403</v>
      </c>
      <c r="I1923" s="17">
        <f ca="1">IFERROR(__xludf.DUMMYFUNCTION("""COMPUTED_VALUE"""),45376)</f>
        <v>45376</v>
      </c>
      <c r="J1923" s="29" t="s">
        <v>5771</v>
      </c>
      <c r="K1923" s="26" t="s">
        <v>5772</v>
      </c>
      <c r="L1923" s="30">
        <v>325474825</v>
      </c>
      <c r="M1923" s="26" t="s">
        <v>59</v>
      </c>
      <c r="N1923" s="26" t="s">
        <v>68</v>
      </c>
      <c r="O1923" s="26" t="s">
        <v>5773</v>
      </c>
      <c r="P1923" s="26" t="s">
        <v>5774</v>
      </c>
      <c r="Q1923" s="20">
        <v>9317</v>
      </c>
      <c r="R1923" s="26" t="s">
        <v>36</v>
      </c>
      <c r="S1923" s="31">
        <v>9317</v>
      </c>
      <c r="T1923" s="32">
        <v>45257</v>
      </c>
      <c r="U1923" s="31"/>
      <c r="V1923" s="32"/>
      <c r="W1923" s="33" t="s">
        <v>5775</v>
      </c>
      <c r="X1923" s="26"/>
      <c r="Y1923" s="22">
        <v>0</v>
      </c>
      <c r="Z1923" s="98" t="s">
        <v>118</v>
      </c>
      <c r="AA1923" s="19" t="s">
        <v>5112</v>
      </c>
      <c r="AB1923" s="26" t="s">
        <v>104</v>
      </c>
      <c r="AC1923" s="26" t="s">
        <v>53</v>
      </c>
      <c r="AD1923" s="19" t="s">
        <v>138</v>
      </c>
      <c r="AE1923" s="26" t="s">
        <v>4489</v>
      </c>
      <c r="AF1923" s="17">
        <v>45376</v>
      </c>
      <c r="AG1923" s="26" t="s">
        <v>1362</v>
      </c>
      <c r="AH1923" s="26"/>
      <c r="AI1923" s="40" t="s">
        <v>64</v>
      </c>
      <c r="AJ1923" s="26"/>
      <c r="AK1923" s="26"/>
      <c r="AL1923" s="35"/>
      <c r="AM1923" s="35"/>
      <c r="AN1923" s="35"/>
      <c r="AO1923" s="35"/>
      <c r="AP1923" s="35"/>
    </row>
    <row r="1924" spans="1:42" x14ac:dyDescent="0.2">
      <c r="A1924" s="38">
        <v>45370</v>
      </c>
      <c r="B1924" s="28" t="s">
        <v>37</v>
      </c>
      <c r="C1924" s="41" t="s">
        <v>118</v>
      </c>
      <c r="D1924" s="26" t="s">
        <v>36</v>
      </c>
      <c r="E1924" s="26" t="s">
        <v>56</v>
      </c>
      <c r="F1924" s="26" t="s">
        <v>4489</v>
      </c>
      <c r="G1924" s="130" t="s">
        <v>108</v>
      </c>
      <c r="H1924" s="26" t="s">
        <v>7403</v>
      </c>
      <c r="I1924" s="17">
        <f ca="1">IFERROR(__xludf.DUMMYFUNCTION("""COMPUTED_VALUE"""),45376)</f>
        <v>45376</v>
      </c>
      <c r="J1924" s="29" t="s">
        <v>6698</v>
      </c>
      <c r="K1924" s="26" t="s">
        <v>6699</v>
      </c>
      <c r="L1924" s="30">
        <v>354174902</v>
      </c>
      <c r="M1924" s="26" t="s">
        <v>348</v>
      </c>
      <c r="N1924" s="26" t="s">
        <v>200</v>
      </c>
      <c r="O1924" s="26" t="s">
        <v>6700</v>
      </c>
      <c r="P1924" s="26" t="s">
        <v>6701</v>
      </c>
      <c r="Q1924" s="20">
        <v>9317</v>
      </c>
      <c r="R1924" s="26" t="s">
        <v>36</v>
      </c>
      <c r="S1924" s="31">
        <v>1000</v>
      </c>
      <c r="T1924" s="32">
        <v>45290</v>
      </c>
      <c r="U1924" s="31">
        <v>8317</v>
      </c>
      <c r="V1924" s="32">
        <v>45302</v>
      </c>
      <c r="W1924" s="33" t="s">
        <v>6702</v>
      </c>
      <c r="X1924" s="26">
        <v>0</v>
      </c>
      <c r="Y1924" s="22">
        <v>0</v>
      </c>
      <c r="Z1924" s="98" t="s">
        <v>118</v>
      </c>
      <c r="AA1924" s="19" t="s">
        <v>6079</v>
      </c>
      <c r="AB1924" s="26" t="s">
        <v>104</v>
      </c>
      <c r="AC1924" s="26" t="s">
        <v>53</v>
      </c>
      <c r="AD1924" s="19" t="s">
        <v>138</v>
      </c>
      <c r="AE1924" s="26" t="s">
        <v>4489</v>
      </c>
      <c r="AF1924" s="17">
        <v>45376</v>
      </c>
      <c r="AG1924" s="26" t="s">
        <v>1362</v>
      </c>
      <c r="AH1924" s="26"/>
      <c r="AI1924" s="40" t="s">
        <v>64</v>
      </c>
      <c r="AJ1924" s="26"/>
      <c r="AK1924" s="26"/>
      <c r="AL1924" s="35"/>
      <c r="AM1924" s="35"/>
      <c r="AN1924" s="35"/>
      <c r="AO1924" s="35"/>
      <c r="AP1924" s="35"/>
    </row>
    <row r="1925" spans="1:42" x14ac:dyDescent="0.2">
      <c r="A1925" s="38">
        <v>45370</v>
      </c>
      <c r="B1925" s="28" t="s">
        <v>37</v>
      </c>
      <c r="C1925" s="41" t="s">
        <v>118</v>
      </c>
      <c r="D1925" s="26" t="s">
        <v>36</v>
      </c>
      <c r="E1925" s="26" t="s">
        <v>139</v>
      </c>
      <c r="F1925" s="26" t="s">
        <v>4489</v>
      </c>
      <c r="G1925" s="130" t="s">
        <v>108</v>
      </c>
      <c r="H1925" s="26" t="s">
        <v>1565</v>
      </c>
      <c r="I1925" s="17">
        <f ca="1">IFERROR(__xludf.DUMMYFUNCTION("""COMPUTED_VALUE"""),45502)</f>
        <v>45502</v>
      </c>
      <c r="J1925" s="29" t="s">
        <v>6709</v>
      </c>
      <c r="K1925" s="26" t="s">
        <v>7411</v>
      </c>
      <c r="L1925" s="30">
        <v>339602132</v>
      </c>
      <c r="M1925" s="26" t="s">
        <v>5429</v>
      </c>
      <c r="N1925" s="26" t="s">
        <v>3065</v>
      </c>
      <c r="O1925" s="26" t="s">
        <v>6711</v>
      </c>
      <c r="P1925" s="26" t="s">
        <v>6368</v>
      </c>
      <c r="Q1925" s="20">
        <v>15936</v>
      </c>
      <c r="R1925" s="26" t="s">
        <v>70</v>
      </c>
      <c r="S1925" s="31">
        <v>15836</v>
      </c>
      <c r="T1925" s="32">
        <v>45293</v>
      </c>
      <c r="U1925" s="31"/>
      <c r="V1925" s="32"/>
      <c r="W1925" s="33" t="s">
        <v>6712</v>
      </c>
      <c r="X1925" s="26">
        <v>100</v>
      </c>
      <c r="Y1925" s="22">
        <v>0</v>
      </c>
      <c r="Z1925" s="98" t="s">
        <v>118</v>
      </c>
      <c r="AA1925" s="19" t="s">
        <v>6079</v>
      </c>
      <c r="AB1925" s="26" t="s">
        <v>104</v>
      </c>
      <c r="AC1925" s="26" t="s">
        <v>53</v>
      </c>
      <c r="AD1925" s="19" t="s">
        <v>138</v>
      </c>
      <c r="AE1925" s="26" t="s">
        <v>4489</v>
      </c>
      <c r="AF1925" s="17">
        <v>45376</v>
      </c>
      <c r="AG1925" s="26" t="s">
        <v>1362</v>
      </c>
      <c r="AH1925" s="26"/>
      <c r="AI1925" s="40" t="s">
        <v>147</v>
      </c>
      <c r="AJ1925" s="26"/>
      <c r="AK1925" s="26"/>
      <c r="AL1925" s="35"/>
      <c r="AM1925" s="35"/>
      <c r="AN1925" s="35"/>
      <c r="AO1925" s="35"/>
      <c r="AP1925" s="35"/>
    </row>
    <row r="1926" spans="1:42" x14ac:dyDescent="0.2">
      <c r="A1926" s="38">
        <v>45370</v>
      </c>
      <c r="B1926" s="28" t="s">
        <v>37</v>
      </c>
      <c r="C1926" s="41" t="s">
        <v>118</v>
      </c>
      <c r="D1926" s="26" t="s">
        <v>36</v>
      </c>
      <c r="E1926" s="26" t="s">
        <v>139</v>
      </c>
      <c r="F1926" s="26" t="s">
        <v>4489</v>
      </c>
      <c r="G1926" s="130" t="s">
        <v>108</v>
      </c>
      <c r="H1926" s="26" t="s">
        <v>1565</v>
      </c>
      <c r="I1926" s="17">
        <f ca="1">IFERROR(__xludf.DUMMYFUNCTION("""COMPUTED_VALUE"""),45502)</f>
        <v>45502</v>
      </c>
      <c r="J1926" s="29" t="s">
        <v>6713</v>
      </c>
      <c r="K1926" s="26" t="s">
        <v>7412</v>
      </c>
      <c r="L1926" s="30">
        <v>388006938</v>
      </c>
      <c r="M1926" s="26" t="s">
        <v>5429</v>
      </c>
      <c r="N1926" s="26" t="s">
        <v>3065</v>
      </c>
      <c r="O1926" s="26" t="s">
        <v>6715</v>
      </c>
      <c r="P1926" s="26" t="s">
        <v>6691</v>
      </c>
      <c r="Q1926" s="20">
        <v>15936</v>
      </c>
      <c r="R1926" s="26" t="s">
        <v>70</v>
      </c>
      <c r="S1926" s="31">
        <v>15836</v>
      </c>
      <c r="T1926" s="32">
        <v>45293</v>
      </c>
      <c r="U1926" s="31"/>
      <c r="V1926" s="32"/>
      <c r="W1926" s="33" t="s">
        <v>6716</v>
      </c>
      <c r="X1926" s="26">
        <v>100</v>
      </c>
      <c r="Y1926" s="22">
        <v>0</v>
      </c>
      <c r="Z1926" s="98" t="s">
        <v>118</v>
      </c>
      <c r="AA1926" s="19" t="s">
        <v>6079</v>
      </c>
      <c r="AB1926" s="26" t="s">
        <v>104</v>
      </c>
      <c r="AC1926" s="26" t="s">
        <v>53</v>
      </c>
      <c r="AD1926" s="19" t="s">
        <v>138</v>
      </c>
      <c r="AE1926" s="26" t="s">
        <v>4489</v>
      </c>
      <c r="AF1926" s="17">
        <v>45376</v>
      </c>
      <c r="AG1926" s="26" t="s">
        <v>1362</v>
      </c>
      <c r="AH1926" s="26"/>
      <c r="AI1926" s="40" t="s">
        <v>147</v>
      </c>
      <c r="AJ1926" s="26"/>
      <c r="AK1926" s="26"/>
      <c r="AL1926" s="35"/>
      <c r="AM1926" s="35"/>
      <c r="AN1926" s="35"/>
      <c r="AO1926" s="35"/>
      <c r="AP1926" s="35"/>
    </row>
    <row r="1927" spans="1:42" x14ac:dyDescent="0.2">
      <c r="A1927" s="38">
        <v>45370</v>
      </c>
      <c r="B1927" s="28" t="s">
        <v>37</v>
      </c>
      <c r="C1927" s="41" t="s">
        <v>118</v>
      </c>
      <c r="D1927" s="26" t="s">
        <v>36</v>
      </c>
      <c r="E1927" s="26" t="s">
        <v>39</v>
      </c>
      <c r="F1927" s="26" t="s">
        <v>4489</v>
      </c>
      <c r="G1927" s="130" t="s">
        <v>108</v>
      </c>
      <c r="H1927" s="26" t="s">
        <v>7403</v>
      </c>
      <c r="I1927" s="17">
        <f ca="1">IFERROR(__xludf.DUMMYFUNCTION("""COMPUTED_VALUE"""),45376)</f>
        <v>45376</v>
      </c>
      <c r="J1927" s="44" t="s">
        <v>6355</v>
      </c>
      <c r="K1927" s="26" t="s">
        <v>6356</v>
      </c>
      <c r="L1927" s="30">
        <v>984512903</v>
      </c>
      <c r="M1927" s="26" t="s">
        <v>391</v>
      </c>
      <c r="N1927" s="26" t="s">
        <v>584</v>
      </c>
      <c r="O1927" s="26" t="s">
        <v>6357</v>
      </c>
      <c r="P1927" s="26" t="s">
        <v>6358</v>
      </c>
      <c r="Q1927" s="20">
        <v>5736</v>
      </c>
      <c r="R1927" s="26" t="s">
        <v>36</v>
      </c>
      <c r="S1927" s="31">
        <v>5736</v>
      </c>
      <c r="T1927" s="32">
        <v>45273</v>
      </c>
      <c r="U1927" s="31"/>
      <c r="V1927" s="32"/>
      <c r="W1927" s="33" t="s">
        <v>6359</v>
      </c>
      <c r="X1927" s="26"/>
      <c r="Y1927" s="22">
        <v>0</v>
      </c>
      <c r="Z1927" s="98" t="s">
        <v>118</v>
      </c>
      <c r="AA1927" s="19" t="s">
        <v>5961</v>
      </c>
      <c r="AB1927" s="26" t="s">
        <v>104</v>
      </c>
      <c r="AC1927" s="26" t="s">
        <v>53</v>
      </c>
      <c r="AD1927" s="19" t="s">
        <v>138</v>
      </c>
      <c r="AE1927" s="26" t="s">
        <v>4489</v>
      </c>
      <c r="AF1927" s="17">
        <v>45376</v>
      </c>
      <c r="AG1927" s="26" t="s">
        <v>1362</v>
      </c>
      <c r="AH1927" s="26">
        <v>1</v>
      </c>
      <c r="AI1927" s="40"/>
      <c r="AJ1927" s="26"/>
      <c r="AK1927" s="26"/>
      <c r="AL1927" s="35"/>
      <c r="AM1927" s="35"/>
      <c r="AN1927" s="35"/>
      <c r="AO1927" s="35"/>
      <c r="AP1927" s="35"/>
    </row>
    <row r="1928" spans="1:42" x14ac:dyDescent="0.2">
      <c r="A1928" s="38">
        <v>45370</v>
      </c>
      <c r="B1928" s="28" t="s">
        <v>37</v>
      </c>
      <c r="C1928" s="41" t="s">
        <v>118</v>
      </c>
      <c r="D1928" s="26" t="s">
        <v>36</v>
      </c>
      <c r="E1928" s="26" t="s">
        <v>56</v>
      </c>
      <c r="F1928" s="26" t="s">
        <v>1626</v>
      </c>
      <c r="G1928" s="26" t="s">
        <v>221</v>
      </c>
      <c r="H1928" s="26" t="s">
        <v>7413</v>
      </c>
      <c r="I1928" s="17">
        <f ca="1">IFERROR(__xludf.DUMMYFUNCTION("""COMPUTED_VALUE"""),45373)</f>
        <v>45373</v>
      </c>
      <c r="J1928" s="44" t="s">
        <v>5300</v>
      </c>
      <c r="K1928" s="26" t="s">
        <v>5301</v>
      </c>
      <c r="L1928" s="30">
        <v>347205331</v>
      </c>
      <c r="M1928" s="26" t="s">
        <v>80</v>
      </c>
      <c r="N1928" s="26" t="s">
        <v>1073</v>
      </c>
      <c r="O1928" s="26" t="s">
        <v>5302</v>
      </c>
      <c r="P1928" s="42" t="s">
        <v>5941</v>
      </c>
      <c r="Q1928" s="20">
        <v>9317</v>
      </c>
      <c r="R1928" s="26" t="s">
        <v>36</v>
      </c>
      <c r="S1928" s="31">
        <v>200</v>
      </c>
      <c r="T1928" s="32">
        <v>45206</v>
      </c>
      <c r="U1928" s="26">
        <f>1800+7317</f>
        <v>9117</v>
      </c>
      <c r="V1928" s="26" t="s">
        <v>5303</v>
      </c>
      <c r="W1928" s="33" t="s">
        <v>5304</v>
      </c>
      <c r="X1928" s="26"/>
      <c r="Y1928" s="22">
        <v>0</v>
      </c>
      <c r="Z1928" s="26" t="s">
        <v>118</v>
      </c>
      <c r="AA1928" s="19" t="s">
        <v>5785</v>
      </c>
      <c r="AB1928" s="26" t="s">
        <v>104</v>
      </c>
      <c r="AC1928" s="26" t="s">
        <v>53</v>
      </c>
      <c r="AD1928" s="19" t="s">
        <v>138</v>
      </c>
      <c r="AE1928" s="26" t="s">
        <v>1626</v>
      </c>
      <c r="AF1928" s="43">
        <v>45373</v>
      </c>
      <c r="AG1928" s="26" t="s">
        <v>1362</v>
      </c>
      <c r="AH1928" s="26"/>
      <c r="AI1928" s="40" t="s">
        <v>64</v>
      </c>
      <c r="AJ1928" s="26"/>
      <c r="AK1928" s="26"/>
      <c r="AL1928" s="35"/>
      <c r="AM1928" s="35"/>
      <c r="AN1928" s="35"/>
      <c r="AO1928" s="35"/>
      <c r="AP1928" s="35"/>
    </row>
    <row r="1929" spans="1:42" x14ac:dyDescent="0.2">
      <c r="A1929" s="38">
        <v>45370</v>
      </c>
      <c r="B1929" s="28" t="s">
        <v>37</v>
      </c>
      <c r="C1929" s="41" t="s">
        <v>118</v>
      </c>
      <c r="D1929" s="26" t="s">
        <v>36</v>
      </c>
      <c r="E1929" s="26" t="s">
        <v>56</v>
      </c>
      <c r="F1929" s="26" t="s">
        <v>1626</v>
      </c>
      <c r="G1929" s="26" t="s">
        <v>221</v>
      </c>
      <c r="H1929" s="26" t="s">
        <v>7413</v>
      </c>
      <c r="I1929" s="17">
        <f ca="1">IFERROR(__xludf.DUMMYFUNCTION("""COMPUTED_VALUE"""),45373)</f>
        <v>45373</v>
      </c>
      <c r="J1929" s="29" t="s">
        <v>4308</v>
      </c>
      <c r="K1929" s="26" t="s">
        <v>2662</v>
      </c>
      <c r="L1929" s="30">
        <v>964193208</v>
      </c>
      <c r="M1929" s="26" t="s">
        <v>59</v>
      </c>
      <c r="N1929" s="26" t="s">
        <v>260</v>
      </c>
      <c r="O1929" s="26" t="s">
        <v>4309</v>
      </c>
      <c r="P1929" s="42" t="s">
        <v>4997</v>
      </c>
      <c r="Q1929" s="20">
        <v>9317</v>
      </c>
      <c r="R1929" s="26" t="s">
        <v>70</v>
      </c>
      <c r="S1929" s="31">
        <v>9217</v>
      </c>
      <c r="T1929" s="32">
        <v>45216</v>
      </c>
      <c r="U1929" s="31"/>
      <c r="V1929" s="26"/>
      <c r="W1929" s="33" t="s">
        <v>4311</v>
      </c>
      <c r="X1929" s="26"/>
      <c r="Y1929" s="22">
        <v>100</v>
      </c>
      <c r="Z1929" s="26" t="s">
        <v>118</v>
      </c>
      <c r="AA1929" s="19" t="s">
        <v>3454</v>
      </c>
      <c r="AB1929" s="26" t="s">
        <v>104</v>
      </c>
      <c r="AC1929" s="26" t="s">
        <v>53</v>
      </c>
      <c r="AD1929" s="19" t="s">
        <v>138</v>
      </c>
      <c r="AE1929" s="26" t="s">
        <v>1626</v>
      </c>
      <c r="AF1929" s="43">
        <v>45373</v>
      </c>
      <c r="AG1929" s="26" t="s">
        <v>1362</v>
      </c>
      <c r="AH1929" s="26"/>
      <c r="AI1929" s="40"/>
      <c r="AJ1929" s="26"/>
      <c r="AK1929" s="26"/>
      <c r="AL1929" s="35"/>
      <c r="AM1929" s="35"/>
      <c r="AN1929" s="35"/>
      <c r="AO1929" s="35"/>
      <c r="AP1929" s="35"/>
    </row>
    <row r="1930" spans="1:42" x14ac:dyDescent="0.2">
      <c r="A1930" s="38">
        <v>45370</v>
      </c>
      <c r="B1930" s="28" t="s">
        <v>37</v>
      </c>
      <c r="C1930" s="41" t="s">
        <v>118</v>
      </c>
      <c r="D1930" s="26" t="s">
        <v>36</v>
      </c>
      <c r="E1930" s="26" t="s">
        <v>119</v>
      </c>
      <c r="F1930" s="26" t="s">
        <v>1626</v>
      </c>
      <c r="G1930" s="26" t="s">
        <v>221</v>
      </c>
      <c r="H1930" s="26" t="s">
        <v>7413</v>
      </c>
      <c r="I1930" s="17">
        <f ca="1">IFERROR(__xludf.DUMMYFUNCTION("""COMPUTED_VALUE"""),45373)</f>
        <v>45373</v>
      </c>
      <c r="J1930" s="29" t="s">
        <v>6275</v>
      </c>
      <c r="K1930" s="26" t="s">
        <v>6276</v>
      </c>
      <c r="L1930" s="30">
        <v>343880005</v>
      </c>
      <c r="M1930" s="26" t="s">
        <v>5429</v>
      </c>
      <c r="N1930" s="26" t="s">
        <v>81</v>
      </c>
      <c r="O1930" s="26" t="s">
        <v>6277</v>
      </c>
      <c r="P1930" s="26" t="s">
        <v>6278</v>
      </c>
      <c r="Q1930" s="20">
        <v>13968</v>
      </c>
      <c r="R1930" s="26" t="s">
        <v>36</v>
      </c>
      <c r="S1930" s="31">
        <v>4000</v>
      </c>
      <c r="T1930" s="32">
        <v>45254</v>
      </c>
      <c r="U1930" s="31">
        <v>9968</v>
      </c>
      <c r="V1930" s="32">
        <v>45287</v>
      </c>
      <c r="W1930" s="33" t="s">
        <v>6279</v>
      </c>
      <c r="X1930" s="26"/>
      <c r="Y1930" s="22">
        <v>0</v>
      </c>
      <c r="Z1930" s="26" t="s">
        <v>118</v>
      </c>
      <c r="AA1930" s="19" t="s">
        <v>5961</v>
      </c>
      <c r="AB1930" s="26" t="s">
        <v>104</v>
      </c>
      <c r="AC1930" s="26" t="s">
        <v>53</v>
      </c>
      <c r="AD1930" s="19" t="s">
        <v>138</v>
      </c>
      <c r="AE1930" s="26" t="s">
        <v>1626</v>
      </c>
      <c r="AF1930" s="43">
        <v>45373</v>
      </c>
      <c r="AG1930" s="26" t="s">
        <v>1362</v>
      </c>
      <c r="AH1930" s="26">
        <v>1</v>
      </c>
      <c r="AI1930" s="40"/>
      <c r="AJ1930" s="26"/>
      <c r="AK1930" s="26"/>
      <c r="AL1930" s="35"/>
      <c r="AM1930" s="35"/>
      <c r="AN1930" s="35"/>
      <c r="AO1930" s="35"/>
      <c r="AP1930" s="35"/>
    </row>
    <row r="1931" spans="1:42" x14ac:dyDescent="0.2">
      <c r="A1931" s="38">
        <v>45370</v>
      </c>
      <c r="B1931" s="28" t="s">
        <v>37</v>
      </c>
      <c r="C1931" s="41" t="s">
        <v>118</v>
      </c>
      <c r="D1931" s="26" t="s">
        <v>36</v>
      </c>
      <c r="E1931" s="26" t="s">
        <v>139</v>
      </c>
      <c r="F1931" s="26" t="s">
        <v>1626</v>
      </c>
      <c r="G1931" s="26" t="s">
        <v>221</v>
      </c>
      <c r="H1931" s="26" t="s">
        <v>7413</v>
      </c>
      <c r="I1931" s="17">
        <f ca="1">IFERROR(__xludf.DUMMYFUNCTION("""COMPUTED_VALUE"""),45373)</f>
        <v>45373</v>
      </c>
      <c r="J1931" s="29" t="s">
        <v>3721</v>
      </c>
      <c r="K1931" s="26" t="s">
        <v>3722</v>
      </c>
      <c r="L1931" s="30">
        <v>336358727</v>
      </c>
      <c r="M1931" s="26" t="s">
        <v>80</v>
      </c>
      <c r="N1931" s="26" t="s">
        <v>81</v>
      </c>
      <c r="O1931" s="26" t="s">
        <v>3723</v>
      </c>
      <c r="P1931" s="26" t="s">
        <v>3724</v>
      </c>
      <c r="Q1931" s="20">
        <v>15936</v>
      </c>
      <c r="R1931" s="26" t="s">
        <v>36</v>
      </c>
      <c r="S1931" s="31">
        <v>2000</v>
      </c>
      <c r="T1931" s="32">
        <v>45188</v>
      </c>
      <c r="U1931" s="31">
        <v>13936</v>
      </c>
      <c r="V1931" s="32">
        <v>45214</v>
      </c>
      <c r="W1931" s="33" t="s">
        <v>3725</v>
      </c>
      <c r="X1931" s="26"/>
      <c r="Y1931" s="22">
        <v>0</v>
      </c>
      <c r="Z1931" s="26" t="s">
        <v>118</v>
      </c>
      <c r="AA1931" s="19" t="s">
        <v>3454</v>
      </c>
      <c r="AB1931" s="26" t="s">
        <v>104</v>
      </c>
      <c r="AC1931" s="26" t="s">
        <v>53</v>
      </c>
      <c r="AD1931" s="19" t="s">
        <v>138</v>
      </c>
      <c r="AE1931" s="26" t="s">
        <v>1626</v>
      </c>
      <c r="AF1931" s="43">
        <v>45373</v>
      </c>
      <c r="AG1931" s="26" t="s">
        <v>1362</v>
      </c>
      <c r="AH1931" s="26"/>
      <c r="AI1931" s="40"/>
      <c r="AJ1931" s="26"/>
      <c r="AK1931" s="26"/>
      <c r="AL1931" s="35"/>
      <c r="AM1931" s="35"/>
      <c r="AN1931" s="35"/>
      <c r="AO1931" s="35"/>
      <c r="AP1931" s="35"/>
    </row>
    <row r="1932" spans="1:42" x14ac:dyDescent="0.2">
      <c r="A1932" s="38">
        <v>45370</v>
      </c>
      <c r="B1932" s="28" t="s">
        <v>37</v>
      </c>
      <c r="C1932" s="41" t="s">
        <v>118</v>
      </c>
      <c r="D1932" s="26" t="s">
        <v>36</v>
      </c>
      <c r="E1932" s="26" t="s">
        <v>139</v>
      </c>
      <c r="F1932" s="26" t="s">
        <v>5025</v>
      </c>
      <c r="G1932" s="26" t="s">
        <v>221</v>
      </c>
      <c r="H1932" s="26" t="s">
        <v>7367</v>
      </c>
      <c r="I1932" s="17">
        <f ca="1">IFERROR(__xludf.DUMMYFUNCTION("""COMPUTED_VALUE"""),45370)</f>
        <v>45370</v>
      </c>
      <c r="J1932" s="29" t="s">
        <v>3921</v>
      </c>
      <c r="K1932" s="26" t="s">
        <v>3922</v>
      </c>
      <c r="L1932" s="30">
        <v>865630283</v>
      </c>
      <c r="M1932" s="26" t="s">
        <v>1245</v>
      </c>
      <c r="N1932" s="26" t="s">
        <v>4957</v>
      </c>
      <c r="O1932" s="26" t="s">
        <v>1226</v>
      </c>
      <c r="P1932" s="42" t="s">
        <v>5030</v>
      </c>
      <c r="Q1932" s="20">
        <v>15936</v>
      </c>
      <c r="R1932" s="26" t="s">
        <v>36</v>
      </c>
      <c r="S1932" s="31">
        <v>7000</v>
      </c>
      <c r="T1932" s="32">
        <v>45197</v>
      </c>
      <c r="U1932" s="31">
        <v>8936</v>
      </c>
      <c r="V1932" s="32">
        <v>45223</v>
      </c>
      <c r="W1932" s="33" t="s">
        <v>3923</v>
      </c>
      <c r="X1932" s="26"/>
      <c r="Y1932" s="22">
        <v>0</v>
      </c>
      <c r="Z1932" s="26" t="s">
        <v>118</v>
      </c>
      <c r="AA1932" s="19" t="s">
        <v>3454</v>
      </c>
      <c r="AB1932" s="26" t="s">
        <v>104</v>
      </c>
      <c r="AC1932" s="26" t="s">
        <v>53</v>
      </c>
      <c r="AD1932" s="19" t="s">
        <v>138</v>
      </c>
      <c r="AE1932" s="26" t="s">
        <v>1626</v>
      </c>
      <c r="AF1932" s="17">
        <v>45370</v>
      </c>
      <c r="AG1932" s="26" t="s">
        <v>3399</v>
      </c>
      <c r="AH1932" s="26"/>
      <c r="AI1932" s="40"/>
      <c r="AJ1932" s="26"/>
      <c r="AK1932" s="26"/>
      <c r="AL1932" s="35"/>
      <c r="AM1932" s="35"/>
      <c r="AN1932" s="35"/>
      <c r="AO1932" s="35"/>
      <c r="AP1932" s="35"/>
    </row>
    <row r="1933" spans="1:42" x14ac:dyDescent="0.2">
      <c r="A1933" s="38">
        <v>45370</v>
      </c>
      <c r="B1933" s="28" t="s">
        <v>37</v>
      </c>
      <c r="C1933" s="41" t="s">
        <v>118</v>
      </c>
      <c r="D1933" s="26" t="s">
        <v>36</v>
      </c>
      <c r="E1933" s="26" t="s">
        <v>56</v>
      </c>
      <c r="F1933" s="26" t="s">
        <v>1626</v>
      </c>
      <c r="G1933" s="26" t="s">
        <v>221</v>
      </c>
      <c r="H1933" s="26" t="s">
        <v>7413</v>
      </c>
      <c r="I1933" s="17">
        <f ca="1">IFERROR(__xludf.DUMMYFUNCTION("""COMPUTED_VALUE"""),45373)</f>
        <v>45373</v>
      </c>
      <c r="J1933" s="29" t="s">
        <v>5358</v>
      </c>
      <c r="K1933" s="26" t="s">
        <v>5942</v>
      </c>
      <c r="L1933" s="30">
        <v>389630618</v>
      </c>
      <c r="M1933" s="26" t="s">
        <v>123</v>
      </c>
      <c r="N1933" s="26" t="s">
        <v>2847</v>
      </c>
      <c r="O1933" s="26" t="s">
        <v>5360</v>
      </c>
      <c r="P1933" s="26" t="s">
        <v>5943</v>
      </c>
      <c r="Q1933" s="20">
        <v>9317</v>
      </c>
      <c r="R1933" s="26" t="s">
        <v>70</v>
      </c>
      <c r="S1933" s="31">
        <v>100</v>
      </c>
      <c r="T1933" s="32">
        <v>45210</v>
      </c>
      <c r="U1933" s="31">
        <f>400+2000+6717</f>
        <v>9117</v>
      </c>
      <c r="V1933" s="26" t="s">
        <v>5351</v>
      </c>
      <c r="W1933" s="33" t="s">
        <v>5361</v>
      </c>
      <c r="X1933" s="26"/>
      <c r="Y1933" s="22">
        <v>100</v>
      </c>
      <c r="Z1933" s="26" t="s">
        <v>118</v>
      </c>
      <c r="AA1933" s="19" t="s">
        <v>5785</v>
      </c>
      <c r="AB1933" s="26" t="s">
        <v>104</v>
      </c>
      <c r="AC1933" s="26" t="s">
        <v>53</v>
      </c>
      <c r="AD1933" s="19" t="s">
        <v>138</v>
      </c>
      <c r="AE1933" s="26" t="s">
        <v>1626</v>
      </c>
      <c r="AF1933" s="43">
        <v>45373</v>
      </c>
      <c r="AG1933" s="26" t="s">
        <v>4996</v>
      </c>
      <c r="AH1933" s="26"/>
      <c r="AI1933" s="40" t="s">
        <v>64</v>
      </c>
      <c r="AJ1933" s="26"/>
      <c r="AK1933" s="26"/>
      <c r="AL1933" s="35"/>
      <c r="AM1933" s="35"/>
      <c r="AN1933" s="35"/>
      <c r="AO1933" s="35"/>
      <c r="AP1933" s="35"/>
    </row>
    <row r="1934" spans="1:42" x14ac:dyDescent="0.2">
      <c r="A1934" s="38">
        <v>45370</v>
      </c>
      <c r="B1934" s="28" t="s">
        <v>37</v>
      </c>
      <c r="C1934" s="41" t="s">
        <v>118</v>
      </c>
      <c r="D1934" s="26" t="s">
        <v>36</v>
      </c>
      <c r="E1934" s="26" t="s">
        <v>56</v>
      </c>
      <c r="F1934" s="26" t="s">
        <v>1626</v>
      </c>
      <c r="G1934" s="26" t="s">
        <v>221</v>
      </c>
      <c r="H1934" s="26" t="s">
        <v>7413</v>
      </c>
      <c r="I1934" s="17">
        <f ca="1">IFERROR(__xludf.DUMMYFUNCTION("""COMPUTED_VALUE"""),45373)</f>
        <v>45373</v>
      </c>
      <c r="J1934" s="29" t="s">
        <v>4303</v>
      </c>
      <c r="K1934" s="26" t="s">
        <v>4304</v>
      </c>
      <c r="L1934" s="30">
        <v>395476207</v>
      </c>
      <c r="M1934" s="26" t="s">
        <v>59</v>
      </c>
      <c r="N1934" s="26" t="s">
        <v>60</v>
      </c>
      <c r="O1934" s="26" t="s">
        <v>4305</v>
      </c>
      <c r="P1934" s="42" t="s">
        <v>4306</v>
      </c>
      <c r="Q1934" s="20">
        <v>9317</v>
      </c>
      <c r="R1934" s="26" t="s">
        <v>70</v>
      </c>
      <c r="S1934" s="31">
        <v>9217</v>
      </c>
      <c r="T1934" s="32">
        <v>45216</v>
      </c>
      <c r="U1934" s="31"/>
      <c r="V1934" s="26"/>
      <c r="W1934" s="33" t="s">
        <v>4307</v>
      </c>
      <c r="X1934" s="26"/>
      <c r="Y1934" s="22">
        <v>100</v>
      </c>
      <c r="Z1934" s="26" t="s">
        <v>118</v>
      </c>
      <c r="AA1934" s="19" t="s">
        <v>3454</v>
      </c>
      <c r="AB1934" s="26" t="s">
        <v>104</v>
      </c>
      <c r="AC1934" s="26" t="s">
        <v>53</v>
      </c>
      <c r="AD1934" s="19" t="s">
        <v>138</v>
      </c>
      <c r="AE1934" s="26" t="s">
        <v>1626</v>
      </c>
      <c r="AF1934" s="43">
        <v>45373</v>
      </c>
      <c r="AG1934" s="26" t="s">
        <v>4996</v>
      </c>
      <c r="AH1934" s="26"/>
      <c r="AI1934" s="40"/>
      <c r="AJ1934" s="26"/>
      <c r="AK1934" s="26"/>
      <c r="AL1934" s="35"/>
      <c r="AM1934" s="35"/>
      <c r="AN1934" s="35"/>
      <c r="AO1934" s="35"/>
      <c r="AP1934" s="35"/>
    </row>
    <row r="1935" spans="1:42" x14ac:dyDescent="0.2">
      <c r="A1935" s="38">
        <v>45370</v>
      </c>
      <c r="B1935" s="28" t="s">
        <v>37</v>
      </c>
      <c r="C1935" s="41" t="s">
        <v>118</v>
      </c>
      <c r="D1935" s="26" t="s">
        <v>36</v>
      </c>
      <c r="E1935" s="26" t="s">
        <v>139</v>
      </c>
      <c r="F1935" s="26" t="s">
        <v>1626</v>
      </c>
      <c r="G1935" s="26" t="s">
        <v>221</v>
      </c>
      <c r="H1935" s="26" t="s">
        <v>7413</v>
      </c>
      <c r="I1935" s="17">
        <f ca="1">IFERROR(__xludf.DUMMYFUNCTION("""COMPUTED_VALUE"""),45373)</f>
        <v>45373</v>
      </c>
      <c r="J1935" s="29" t="s">
        <v>5957</v>
      </c>
      <c r="K1935" s="26" t="s">
        <v>5958</v>
      </c>
      <c r="L1935" s="30">
        <v>837161555</v>
      </c>
      <c r="M1935" s="26" t="s">
        <v>123</v>
      </c>
      <c r="N1935" s="26" t="s">
        <v>1881</v>
      </c>
      <c r="O1935" s="26" t="s">
        <v>1226</v>
      </c>
      <c r="P1935" s="42" t="s">
        <v>5959</v>
      </c>
      <c r="Q1935" s="20">
        <v>15936</v>
      </c>
      <c r="R1935" s="26" t="s">
        <v>36</v>
      </c>
      <c r="S1935" s="31">
        <v>7000</v>
      </c>
      <c r="T1935" s="32">
        <v>45214</v>
      </c>
      <c r="U1935" s="31">
        <v>8936</v>
      </c>
      <c r="V1935" s="32">
        <v>45260</v>
      </c>
      <c r="W1935" s="33" t="s">
        <v>5960</v>
      </c>
      <c r="X1935" s="26"/>
      <c r="Y1935" s="22">
        <v>0</v>
      </c>
      <c r="Z1935" s="26" t="s">
        <v>50</v>
      </c>
      <c r="AA1935" s="19" t="s">
        <v>5961</v>
      </c>
      <c r="AB1935" s="26" t="s">
        <v>104</v>
      </c>
      <c r="AC1935" s="26" t="s">
        <v>53</v>
      </c>
      <c r="AD1935" s="19" t="s">
        <v>138</v>
      </c>
      <c r="AE1935" s="26" t="s">
        <v>1626</v>
      </c>
      <c r="AF1935" s="43">
        <v>45373</v>
      </c>
      <c r="AG1935" s="26" t="s">
        <v>4996</v>
      </c>
      <c r="AH1935" s="26"/>
      <c r="AI1935" s="40" t="s">
        <v>147</v>
      </c>
      <c r="AJ1935" s="26"/>
      <c r="AK1935" s="26"/>
      <c r="AL1935" s="35"/>
      <c r="AM1935" s="35"/>
      <c r="AN1935" s="35"/>
      <c r="AO1935" s="35"/>
      <c r="AP1935" s="35"/>
    </row>
    <row r="1936" spans="1:42" x14ac:dyDescent="0.2">
      <c r="A1936" s="38">
        <v>45370</v>
      </c>
      <c r="B1936" s="28" t="s">
        <v>37</v>
      </c>
      <c r="C1936" s="41" t="s">
        <v>118</v>
      </c>
      <c r="D1936" s="26" t="s">
        <v>36</v>
      </c>
      <c r="E1936" s="26" t="s">
        <v>106</v>
      </c>
      <c r="F1936" s="26" t="s">
        <v>4489</v>
      </c>
      <c r="G1936" s="71" t="s">
        <v>108</v>
      </c>
      <c r="H1936" s="26" t="s">
        <v>7403</v>
      </c>
      <c r="I1936" s="17">
        <f ca="1">IFERROR(__xludf.DUMMYFUNCTION("""COMPUTED_VALUE"""),45376)</f>
        <v>45376</v>
      </c>
      <c r="J1936" s="29" t="s">
        <v>4241</v>
      </c>
      <c r="K1936" s="26" t="s">
        <v>4242</v>
      </c>
      <c r="L1936" s="30">
        <v>349287614</v>
      </c>
      <c r="M1936" s="26" t="s">
        <v>7414</v>
      </c>
      <c r="N1936" s="26" t="s">
        <v>7415</v>
      </c>
      <c r="O1936" s="35"/>
      <c r="P1936" s="42" t="s">
        <v>7416</v>
      </c>
      <c r="Q1936" s="20"/>
      <c r="R1936" s="35"/>
      <c r="S1936" s="31">
        <v>3568</v>
      </c>
      <c r="T1936" s="38">
        <v>44769</v>
      </c>
      <c r="U1936" s="31"/>
      <c r="V1936" s="32"/>
      <c r="W1936" s="33" t="s">
        <v>7417</v>
      </c>
      <c r="X1936" s="26">
        <v>100</v>
      </c>
      <c r="Y1936" s="22">
        <v>0</v>
      </c>
      <c r="Z1936" s="26" t="s">
        <v>118</v>
      </c>
      <c r="AA1936" s="19" t="s">
        <v>3386</v>
      </c>
      <c r="AB1936" s="26" t="s">
        <v>104</v>
      </c>
      <c r="AC1936" s="26" t="s">
        <v>53</v>
      </c>
      <c r="AD1936" s="14" t="s">
        <v>138</v>
      </c>
      <c r="AE1936" s="26" t="s">
        <v>4489</v>
      </c>
      <c r="AF1936" s="17">
        <v>45376</v>
      </c>
      <c r="AG1936" s="26" t="s">
        <v>4996</v>
      </c>
      <c r="AH1936" s="29" t="s">
        <v>7418</v>
      </c>
      <c r="AI1936" s="92" t="s">
        <v>3716</v>
      </c>
      <c r="AJ1936" s="35"/>
      <c r="AK1936" s="35"/>
      <c r="AL1936" s="35"/>
      <c r="AM1936" s="35"/>
      <c r="AN1936" s="35"/>
      <c r="AO1936" s="35"/>
      <c r="AP1936" s="35"/>
    </row>
    <row r="1937" spans="1:42" x14ac:dyDescent="0.2">
      <c r="A1937" s="38">
        <v>45370</v>
      </c>
      <c r="B1937" s="28" t="s">
        <v>37</v>
      </c>
      <c r="C1937" s="41" t="s">
        <v>118</v>
      </c>
      <c r="D1937" s="26" t="s">
        <v>36</v>
      </c>
      <c r="E1937" s="26" t="s">
        <v>56</v>
      </c>
      <c r="F1937" s="26" t="s">
        <v>4489</v>
      </c>
      <c r="G1937" s="71" t="s">
        <v>108</v>
      </c>
      <c r="H1937" s="26" t="s">
        <v>7403</v>
      </c>
      <c r="I1937" s="17">
        <f ca="1">IFERROR(__xludf.DUMMYFUNCTION("""COMPUTED_VALUE"""),45376)</f>
        <v>45376</v>
      </c>
      <c r="J1937" s="29" t="s">
        <v>4490</v>
      </c>
      <c r="K1937" s="26" t="s">
        <v>4491</v>
      </c>
      <c r="L1937" s="127">
        <v>588688885</v>
      </c>
      <c r="M1937" s="26" t="s">
        <v>59</v>
      </c>
      <c r="N1937" s="26" t="s">
        <v>4299</v>
      </c>
      <c r="O1937" s="26" t="s">
        <v>4492</v>
      </c>
      <c r="P1937" s="26" t="s">
        <v>4493</v>
      </c>
      <c r="Q1937" s="20">
        <v>9317</v>
      </c>
      <c r="R1937" s="26" t="s">
        <v>36</v>
      </c>
      <c r="S1937" s="31">
        <v>9317</v>
      </c>
      <c r="T1937" s="32">
        <v>45225</v>
      </c>
      <c r="U1937" s="31"/>
      <c r="V1937" s="26"/>
      <c r="W1937" s="33" t="s">
        <v>4494</v>
      </c>
      <c r="X1937" s="26"/>
      <c r="Y1937" s="22">
        <v>0</v>
      </c>
      <c r="Z1937" s="26" t="s">
        <v>118</v>
      </c>
      <c r="AA1937" s="19" t="s">
        <v>3454</v>
      </c>
      <c r="AB1937" s="26" t="s">
        <v>104</v>
      </c>
      <c r="AC1937" s="26" t="s">
        <v>53</v>
      </c>
      <c r="AD1937" s="19" t="s">
        <v>138</v>
      </c>
      <c r="AE1937" s="26" t="s">
        <v>4489</v>
      </c>
      <c r="AF1937" s="17">
        <v>45376</v>
      </c>
      <c r="AG1937" s="26" t="s">
        <v>4996</v>
      </c>
      <c r="AH1937" s="26"/>
      <c r="AI1937" s="40"/>
      <c r="AJ1937" s="26"/>
      <c r="AK1937" s="26"/>
      <c r="AL1937" s="35"/>
      <c r="AM1937" s="35"/>
      <c r="AN1937" s="35"/>
      <c r="AO1937" s="35"/>
      <c r="AP1937" s="35"/>
    </row>
    <row r="1938" spans="1:42" x14ac:dyDescent="0.2">
      <c r="A1938" s="38">
        <v>45370</v>
      </c>
      <c r="B1938" s="28" t="s">
        <v>37</v>
      </c>
      <c r="C1938" s="41" t="s">
        <v>118</v>
      </c>
      <c r="D1938" s="26" t="s">
        <v>36</v>
      </c>
      <c r="E1938" s="26" t="s">
        <v>139</v>
      </c>
      <c r="F1938" s="26" t="s">
        <v>5025</v>
      </c>
      <c r="G1938" s="26" t="s">
        <v>221</v>
      </c>
      <c r="H1938" s="26" t="s">
        <v>7367</v>
      </c>
      <c r="I1938" s="17">
        <f ca="1">IFERROR(__xludf.DUMMYFUNCTION("""COMPUTED_VALUE"""),45370)</f>
        <v>45370</v>
      </c>
      <c r="J1938" s="29" t="s">
        <v>3918</v>
      </c>
      <c r="K1938" s="26" t="s">
        <v>3919</v>
      </c>
      <c r="L1938" s="30">
        <v>942247485</v>
      </c>
      <c r="M1938" s="26" t="s">
        <v>1245</v>
      </c>
      <c r="N1938" s="26" t="s">
        <v>4957</v>
      </c>
      <c r="O1938" s="26" t="s">
        <v>1226</v>
      </c>
      <c r="P1938" s="42" t="s">
        <v>5036</v>
      </c>
      <c r="Q1938" s="20">
        <v>15936</v>
      </c>
      <c r="R1938" s="26" t="s">
        <v>36</v>
      </c>
      <c r="S1938" s="31">
        <v>2000</v>
      </c>
      <c r="T1938" s="32">
        <v>45197</v>
      </c>
      <c r="U1938" s="31">
        <v>13936</v>
      </c>
      <c r="V1938" s="32">
        <v>45226</v>
      </c>
      <c r="W1938" s="33" t="s">
        <v>3920</v>
      </c>
      <c r="X1938" s="26"/>
      <c r="Y1938" s="22">
        <v>0</v>
      </c>
      <c r="Z1938" s="26" t="s">
        <v>118</v>
      </c>
      <c r="AA1938" s="19" t="s">
        <v>3454</v>
      </c>
      <c r="AB1938" s="26" t="s">
        <v>104</v>
      </c>
      <c r="AC1938" s="26" t="s">
        <v>53</v>
      </c>
      <c r="AD1938" s="19" t="s">
        <v>138</v>
      </c>
      <c r="AE1938" s="26" t="s">
        <v>5025</v>
      </c>
      <c r="AF1938" s="17">
        <v>45370</v>
      </c>
      <c r="AG1938" s="26" t="s">
        <v>3399</v>
      </c>
      <c r="AH1938" s="26"/>
      <c r="AI1938" s="40"/>
      <c r="AJ1938" s="26"/>
      <c r="AK1938" s="26"/>
      <c r="AL1938" s="35"/>
      <c r="AM1938" s="35"/>
      <c r="AN1938" s="35"/>
      <c r="AO1938" s="35"/>
      <c r="AP1938" s="35"/>
    </row>
    <row r="1939" spans="1:42" x14ac:dyDescent="0.2">
      <c r="A1939" s="38">
        <v>45370</v>
      </c>
      <c r="B1939" s="28" t="s">
        <v>37</v>
      </c>
      <c r="C1939" s="41" t="s">
        <v>118</v>
      </c>
      <c r="D1939" s="26" t="s">
        <v>36</v>
      </c>
      <c r="E1939" s="26" t="s">
        <v>39</v>
      </c>
      <c r="F1939" s="26" t="s">
        <v>4489</v>
      </c>
      <c r="G1939" s="71" t="s">
        <v>108</v>
      </c>
      <c r="H1939" s="26" t="s">
        <v>7403</v>
      </c>
      <c r="I1939" s="17">
        <f ca="1">IFERROR(__xludf.DUMMYFUNCTION("""COMPUTED_VALUE"""),45376)</f>
        <v>45376</v>
      </c>
      <c r="J1939" s="29" t="s">
        <v>6297</v>
      </c>
      <c r="K1939" s="26" t="s">
        <v>6298</v>
      </c>
      <c r="L1939" s="30">
        <v>921597128</v>
      </c>
      <c r="M1939" s="26" t="s">
        <v>45</v>
      </c>
      <c r="N1939" s="26" t="s">
        <v>6299</v>
      </c>
      <c r="O1939" s="26" t="s">
        <v>6300</v>
      </c>
      <c r="P1939" s="26" t="s">
        <v>6301</v>
      </c>
      <c r="Q1939" s="20">
        <v>5736</v>
      </c>
      <c r="R1939" s="26" t="s">
        <v>36</v>
      </c>
      <c r="S1939" s="31">
        <v>5736</v>
      </c>
      <c r="T1939" s="32">
        <v>45262</v>
      </c>
      <c r="U1939" s="31"/>
      <c r="V1939" s="32"/>
      <c r="W1939" s="33" t="s">
        <v>6302</v>
      </c>
      <c r="X1939" s="26"/>
      <c r="Y1939" s="22">
        <v>0</v>
      </c>
      <c r="Z1939" s="26" t="s">
        <v>118</v>
      </c>
      <c r="AA1939" s="19" t="s">
        <v>5961</v>
      </c>
      <c r="AB1939" s="26" t="s">
        <v>104</v>
      </c>
      <c r="AC1939" s="26" t="s">
        <v>53</v>
      </c>
      <c r="AD1939" s="19" t="s">
        <v>138</v>
      </c>
      <c r="AE1939" s="26" t="s">
        <v>4489</v>
      </c>
      <c r="AF1939" s="17">
        <v>45376</v>
      </c>
      <c r="AG1939" s="26" t="s">
        <v>1362</v>
      </c>
      <c r="AH1939" s="26">
        <v>1</v>
      </c>
      <c r="AI1939" s="40"/>
      <c r="AJ1939" s="26"/>
      <c r="AK1939" s="26"/>
      <c r="AL1939" s="35"/>
      <c r="AM1939" s="35"/>
      <c r="AN1939" s="35"/>
      <c r="AO1939" s="35"/>
      <c r="AP1939" s="35"/>
    </row>
    <row r="1940" spans="1:42" x14ac:dyDescent="0.2">
      <c r="A1940" s="99">
        <v>44964</v>
      </c>
      <c r="B1940" s="28" t="s">
        <v>37</v>
      </c>
      <c r="C1940" s="41" t="s">
        <v>118</v>
      </c>
      <c r="D1940" s="26" t="s">
        <v>36</v>
      </c>
      <c r="E1940" s="26" t="s">
        <v>106</v>
      </c>
      <c r="F1940" s="26" t="s">
        <v>91</v>
      </c>
      <c r="G1940" s="71" t="s">
        <v>108</v>
      </c>
      <c r="H1940" s="26" t="s">
        <v>7419</v>
      </c>
      <c r="I1940" s="17" t="str">
        <f ca="1">IFERROR(__xludf.DUMMYFUNCTION("""COMPUTED_VALUE""")," ")</f>
        <v xml:space="preserve"> </v>
      </c>
      <c r="J1940" s="29" t="s">
        <v>7420</v>
      </c>
      <c r="K1940" s="26" t="s">
        <v>7421</v>
      </c>
      <c r="L1940" s="30">
        <v>936966491</v>
      </c>
      <c r="M1940" s="26" t="s">
        <v>7422</v>
      </c>
      <c r="N1940" s="26" t="s">
        <v>341</v>
      </c>
      <c r="O1940" s="26" t="s">
        <v>91</v>
      </c>
      <c r="P1940" s="42" t="s">
        <v>7423</v>
      </c>
      <c r="Q1940" s="20">
        <v>3768</v>
      </c>
      <c r="R1940" s="26" t="s">
        <v>36</v>
      </c>
      <c r="S1940" s="31">
        <v>3768</v>
      </c>
      <c r="T1940" s="32">
        <v>44963</v>
      </c>
      <c r="U1940" s="31"/>
      <c r="V1940" s="26"/>
      <c r="W1940" s="33" t="s">
        <v>7424</v>
      </c>
      <c r="X1940" s="26">
        <v>0</v>
      </c>
      <c r="Y1940" s="22">
        <v>0</v>
      </c>
      <c r="Z1940" s="34" t="s">
        <v>50</v>
      </c>
      <c r="AA1940" s="19" t="s">
        <v>2051</v>
      </c>
      <c r="AB1940" s="26" t="s">
        <v>104</v>
      </c>
      <c r="AC1940" s="26" t="s">
        <v>53</v>
      </c>
      <c r="AD1940" s="19" t="s">
        <v>54</v>
      </c>
      <c r="AE1940" s="26"/>
      <c r="AF1940" s="17">
        <v>45338</v>
      </c>
      <c r="AG1940" s="38" t="s">
        <v>7425</v>
      </c>
      <c r="AH1940" s="131">
        <v>1</v>
      </c>
      <c r="AI1940" s="132"/>
      <c r="AJ1940" s="132">
        <v>44964.684295717598</v>
      </c>
      <c r="AK1940" s="96"/>
      <c r="AL1940" s="133" t="s">
        <v>7426</v>
      </c>
      <c r="AM1940" s="96"/>
      <c r="AN1940" s="96"/>
      <c r="AO1940" s="26"/>
      <c r="AP1940" s="26"/>
    </row>
    <row r="1941" spans="1:42" x14ac:dyDescent="0.2">
      <c r="A1941" s="38">
        <v>45371</v>
      </c>
      <c r="B1941" s="28" t="s">
        <v>37</v>
      </c>
      <c r="C1941" s="41" t="s">
        <v>118</v>
      </c>
      <c r="D1941" s="26" t="s">
        <v>36</v>
      </c>
      <c r="E1941" s="26" t="s">
        <v>56</v>
      </c>
      <c r="F1941" s="26" t="s">
        <v>109</v>
      </c>
      <c r="G1941" s="71" t="s">
        <v>221</v>
      </c>
      <c r="H1941" s="26" t="s">
        <v>2071</v>
      </c>
      <c r="I1941" s="17">
        <f ca="1">IFERROR(__xludf.DUMMYFUNCTION("""COMPUTED_VALUE"""),45392)</f>
        <v>45392</v>
      </c>
      <c r="J1941" s="29" t="s">
        <v>1867</v>
      </c>
      <c r="K1941" s="26" t="s">
        <v>1868</v>
      </c>
      <c r="L1941" s="30">
        <v>827433766</v>
      </c>
      <c r="M1941" s="26" t="s">
        <v>112</v>
      </c>
      <c r="N1941" s="26" t="s">
        <v>113</v>
      </c>
      <c r="O1941" s="26" t="s">
        <v>36</v>
      </c>
      <c r="P1941" s="42" t="s">
        <v>7427</v>
      </c>
      <c r="Q1941" s="20">
        <v>9317</v>
      </c>
      <c r="R1941" s="26" t="s">
        <v>36</v>
      </c>
      <c r="S1941" s="31">
        <v>9217</v>
      </c>
      <c r="T1941" s="32">
        <v>45026</v>
      </c>
      <c r="U1941" s="31"/>
      <c r="V1941" s="26"/>
      <c r="W1941" s="33" t="s">
        <v>1870</v>
      </c>
      <c r="X1941" s="26">
        <v>0</v>
      </c>
      <c r="Y1941" s="22">
        <v>100</v>
      </c>
      <c r="Z1941" s="26" t="s">
        <v>118</v>
      </c>
      <c r="AA1941" s="19" t="s">
        <v>1871</v>
      </c>
      <c r="AB1941" s="26" t="s">
        <v>104</v>
      </c>
      <c r="AC1941" s="26" t="s">
        <v>53</v>
      </c>
      <c r="AD1941" s="19" t="s">
        <v>54</v>
      </c>
      <c r="AE1941" s="123" t="s">
        <v>109</v>
      </c>
      <c r="AF1941" s="17">
        <v>45383</v>
      </c>
      <c r="AG1941" s="40"/>
      <c r="AH1941" s="26">
        <v>1</v>
      </c>
      <c r="AI1941" s="40" t="s">
        <v>64</v>
      </c>
      <c r="AJ1941" s="26"/>
      <c r="AK1941" s="26"/>
      <c r="AL1941" s="35"/>
      <c r="AM1941" s="35"/>
      <c r="AN1941" s="35"/>
      <c r="AO1941" s="35"/>
      <c r="AP1941" s="35"/>
    </row>
    <row r="1942" spans="1:42" x14ac:dyDescent="0.2">
      <c r="A1942" s="38">
        <v>45371</v>
      </c>
      <c r="B1942" s="28" t="s">
        <v>37</v>
      </c>
      <c r="C1942" s="41" t="s">
        <v>118</v>
      </c>
      <c r="D1942" s="26" t="s">
        <v>36</v>
      </c>
      <c r="E1942" s="26" t="s">
        <v>56</v>
      </c>
      <c r="F1942" s="26" t="s">
        <v>2081</v>
      </c>
      <c r="G1942" s="71" t="s">
        <v>221</v>
      </c>
      <c r="H1942" s="26" t="s">
        <v>6645</v>
      </c>
      <c r="I1942" s="17">
        <f ca="1">IFERROR(__xludf.DUMMYFUNCTION("""COMPUTED_VALUE"""),45404)</f>
        <v>45404</v>
      </c>
      <c r="J1942" s="29" t="s">
        <v>2681</v>
      </c>
      <c r="K1942" s="26" t="s">
        <v>7428</v>
      </c>
      <c r="L1942" s="30">
        <v>963871330</v>
      </c>
      <c r="M1942" s="26" t="s">
        <v>80</v>
      </c>
      <c r="N1942" s="26" t="s">
        <v>299</v>
      </c>
      <c r="O1942" s="26" t="s">
        <v>2683</v>
      </c>
      <c r="P1942" s="42" t="s">
        <v>2684</v>
      </c>
      <c r="Q1942" s="20">
        <v>9317</v>
      </c>
      <c r="R1942" s="26" t="s">
        <v>36</v>
      </c>
      <c r="S1942" s="31">
        <v>2000</v>
      </c>
      <c r="T1942" s="32">
        <v>45176</v>
      </c>
      <c r="U1942" s="31">
        <v>7317</v>
      </c>
      <c r="V1942" s="32">
        <v>45192</v>
      </c>
      <c r="W1942" s="33" t="s">
        <v>2685</v>
      </c>
      <c r="X1942" s="26"/>
      <c r="Y1942" s="22">
        <v>0</v>
      </c>
      <c r="Z1942" s="26" t="s">
        <v>118</v>
      </c>
      <c r="AA1942" s="19" t="s">
        <v>5785</v>
      </c>
      <c r="AB1942" s="26" t="s">
        <v>104</v>
      </c>
      <c r="AC1942" s="26" t="s">
        <v>53</v>
      </c>
      <c r="AD1942" s="19" t="s">
        <v>54</v>
      </c>
      <c r="AE1942" s="26" t="s">
        <v>2081</v>
      </c>
      <c r="AF1942" s="17">
        <v>45392</v>
      </c>
      <c r="AG1942" s="26"/>
      <c r="AH1942" s="26"/>
      <c r="AI1942" s="40" t="s">
        <v>64</v>
      </c>
      <c r="AJ1942" s="26"/>
      <c r="AK1942" s="26"/>
      <c r="AL1942" s="35"/>
      <c r="AM1942" s="35"/>
      <c r="AN1942" s="35"/>
      <c r="AO1942" s="35"/>
      <c r="AP1942" s="35"/>
    </row>
    <row r="1943" spans="1:42" x14ac:dyDescent="0.2">
      <c r="A1943" s="38">
        <v>45371</v>
      </c>
      <c r="B1943" s="28" t="s">
        <v>37</v>
      </c>
      <c r="C1943" s="41" t="s">
        <v>118</v>
      </c>
      <c r="D1943" s="26" t="s">
        <v>36</v>
      </c>
      <c r="E1943" s="26" t="s">
        <v>56</v>
      </c>
      <c r="F1943" s="26" t="s">
        <v>2081</v>
      </c>
      <c r="G1943" s="71" t="s">
        <v>221</v>
      </c>
      <c r="H1943" s="26" t="s">
        <v>6645</v>
      </c>
      <c r="I1943" s="17">
        <f ca="1">IFERROR(__xludf.DUMMYFUNCTION("""COMPUTED_VALUE"""),45404)</f>
        <v>45404</v>
      </c>
      <c r="J1943" s="29" t="s">
        <v>1816</v>
      </c>
      <c r="K1943" s="26" t="s">
        <v>7429</v>
      </c>
      <c r="L1943" s="30">
        <v>918543199</v>
      </c>
      <c r="M1943" s="26" t="s">
        <v>112</v>
      </c>
      <c r="N1943" s="26" t="s">
        <v>3330</v>
      </c>
      <c r="O1943" s="26" t="s">
        <v>134</v>
      </c>
      <c r="P1943" s="42" t="s">
        <v>7430</v>
      </c>
      <c r="Q1943" s="20">
        <v>9317</v>
      </c>
      <c r="R1943" s="26" t="s">
        <v>36</v>
      </c>
      <c r="S1943" s="31">
        <v>9317</v>
      </c>
      <c r="T1943" s="32">
        <v>45165</v>
      </c>
      <c r="U1943" s="31"/>
      <c r="V1943" s="32"/>
      <c r="W1943" s="33" t="s">
        <v>1821</v>
      </c>
      <c r="X1943" s="26">
        <v>0</v>
      </c>
      <c r="Y1943" s="22">
        <v>0</v>
      </c>
      <c r="Z1943" s="26" t="s">
        <v>118</v>
      </c>
      <c r="AA1943" s="19" t="s">
        <v>5785</v>
      </c>
      <c r="AB1943" s="26" t="s">
        <v>104</v>
      </c>
      <c r="AC1943" s="26" t="s">
        <v>53</v>
      </c>
      <c r="AD1943" s="19" t="s">
        <v>54</v>
      </c>
      <c r="AE1943" s="26" t="s">
        <v>2081</v>
      </c>
      <c r="AF1943" s="17">
        <v>45392</v>
      </c>
      <c r="AG1943" s="26"/>
      <c r="AH1943" s="26"/>
      <c r="AI1943" s="40" t="s">
        <v>64</v>
      </c>
      <c r="AJ1943" s="26"/>
      <c r="AK1943" s="26"/>
      <c r="AL1943" s="35"/>
      <c r="AM1943" s="35"/>
      <c r="AN1943" s="35"/>
      <c r="AO1943" s="35"/>
      <c r="AP1943" s="35"/>
    </row>
    <row r="1944" spans="1:42" x14ac:dyDescent="0.2">
      <c r="A1944" s="38">
        <v>45371</v>
      </c>
      <c r="B1944" s="28" t="s">
        <v>37</v>
      </c>
      <c r="C1944" s="41" t="s">
        <v>118</v>
      </c>
      <c r="D1944" s="26" t="s">
        <v>36</v>
      </c>
      <c r="E1944" s="26" t="s">
        <v>139</v>
      </c>
      <c r="F1944" s="26" t="s">
        <v>2424</v>
      </c>
      <c r="G1944" s="71" t="s">
        <v>221</v>
      </c>
      <c r="H1944" s="26" t="s">
        <v>6057</v>
      </c>
      <c r="I1944" s="17">
        <f ca="1">IFERROR(__xludf.DUMMYFUNCTION("""COMPUTED_VALUE"""),45391)</f>
        <v>45391</v>
      </c>
      <c r="J1944" s="29" t="s">
        <v>1071</v>
      </c>
      <c r="K1944" s="26" t="s">
        <v>4734</v>
      </c>
      <c r="L1944" s="30">
        <v>395183401</v>
      </c>
      <c r="M1944" s="26" t="s">
        <v>80</v>
      </c>
      <c r="N1944" s="26" t="s">
        <v>1073</v>
      </c>
      <c r="O1944" s="26" t="s">
        <v>91</v>
      </c>
      <c r="P1944" s="42" t="s">
        <v>7431</v>
      </c>
      <c r="Q1944" s="20">
        <v>15936</v>
      </c>
      <c r="R1944" s="26" t="s">
        <v>36</v>
      </c>
      <c r="S1944" s="31">
        <v>4000</v>
      </c>
      <c r="T1944" s="32">
        <v>45126</v>
      </c>
      <c r="U1944" s="31">
        <v>11936</v>
      </c>
      <c r="V1944" s="32">
        <v>45151</v>
      </c>
      <c r="W1944" s="33" t="s">
        <v>1076</v>
      </c>
      <c r="X1944" s="26">
        <v>0</v>
      </c>
      <c r="Y1944" s="22">
        <v>0</v>
      </c>
      <c r="Z1944" s="26" t="s">
        <v>118</v>
      </c>
      <c r="AA1944" s="19" t="s">
        <v>4541</v>
      </c>
      <c r="AB1944" s="26" t="s">
        <v>104</v>
      </c>
      <c r="AC1944" s="26" t="s">
        <v>53</v>
      </c>
      <c r="AD1944" s="19" t="s">
        <v>54</v>
      </c>
      <c r="AE1944" s="26" t="s">
        <v>2424</v>
      </c>
      <c r="AF1944" s="17">
        <v>45379</v>
      </c>
      <c r="AG1944" s="26"/>
      <c r="AH1944" s="26"/>
      <c r="AI1944" s="40"/>
      <c r="AJ1944" s="26"/>
      <c r="AK1944" s="26"/>
      <c r="AL1944" s="35"/>
      <c r="AM1944" s="35"/>
      <c r="AN1944" s="35"/>
      <c r="AO1944" s="35"/>
      <c r="AP1944" s="35"/>
    </row>
    <row r="1945" spans="1:42" x14ac:dyDescent="0.2">
      <c r="A1945" s="38">
        <v>45371</v>
      </c>
      <c r="B1945" s="28" t="s">
        <v>37</v>
      </c>
      <c r="C1945" s="41" t="s">
        <v>118</v>
      </c>
      <c r="D1945" s="26" t="s">
        <v>36</v>
      </c>
      <c r="E1945" s="26" t="s">
        <v>139</v>
      </c>
      <c r="F1945" s="26" t="s">
        <v>4489</v>
      </c>
      <c r="G1945" s="71" t="s">
        <v>108</v>
      </c>
      <c r="H1945" s="26" t="s">
        <v>7403</v>
      </c>
      <c r="I1945" s="17">
        <f ca="1">IFERROR(__xludf.DUMMYFUNCTION("""COMPUTED_VALUE"""),45376)</f>
        <v>45376</v>
      </c>
      <c r="J1945" s="29" t="s">
        <v>7095</v>
      </c>
      <c r="K1945" s="26" t="s">
        <v>7096</v>
      </c>
      <c r="L1945" s="30">
        <v>912552802</v>
      </c>
      <c r="M1945" s="26" t="s">
        <v>2755</v>
      </c>
      <c r="N1945" s="26" t="s">
        <v>2756</v>
      </c>
      <c r="O1945" s="26" t="s">
        <v>4503</v>
      </c>
      <c r="P1945" s="26" t="s">
        <v>7097</v>
      </c>
      <c r="Q1945" s="20">
        <v>15936</v>
      </c>
      <c r="R1945" s="26" t="s">
        <v>36</v>
      </c>
      <c r="S1945" s="31">
        <v>400</v>
      </c>
      <c r="T1945" s="32">
        <v>45293</v>
      </c>
      <c r="U1945" s="31">
        <f>11336+3600</f>
        <v>14936</v>
      </c>
      <c r="V1945" s="26" t="s">
        <v>7098</v>
      </c>
      <c r="W1945" s="33" t="s">
        <v>7099</v>
      </c>
      <c r="X1945" s="26"/>
      <c r="Y1945" s="22">
        <v>600</v>
      </c>
      <c r="Z1945" s="26" t="s">
        <v>118</v>
      </c>
      <c r="AA1945" s="19" t="s">
        <v>7348</v>
      </c>
      <c r="AB1945" s="26" t="s">
        <v>104</v>
      </c>
      <c r="AC1945" s="26" t="s">
        <v>53</v>
      </c>
      <c r="AD1945" s="19" t="s">
        <v>138</v>
      </c>
      <c r="AE1945" s="26" t="s">
        <v>4489</v>
      </c>
      <c r="AF1945" s="17">
        <v>45376</v>
      </c>
      <c r="AG1945" s="26" t="s">
        <v>1362</v>
      </c>
      <c r="AH1945" s="26"/>
      <c r="AI1945" s="40" t="s">
        <v>147</v>
      </c>
      <c r="AJ1945" s="26"/>
      <c r="AK1945" s="26"/>
      <c r="AL1945" s="35"/>
      <c r="AM1945" s="35"/>
      <c r="AN1945" s="35"/>
      <c r="AO1945" s="35"/>
      <c r="AP1945" s="35"/>
    </row>
    <row r="1946" spans="1:42" x14ac:dyDescent="0.2">
      <c r="A1946" s="38">
        <v>45371</v>
      </c>
      <c r="B1946" s="28" t="s">
        <v>37</v>
      </c>
      <c r="C1946" s="41" t="s">
        <v>118</v>
      </c>
      <c r="D1946" s="26" t="s">
        <v>36</v>
      </c>
      <c r="E1946" s="26" t="s">
        <v>39</v>
      </c>
      <c r="F1946" s="26" t="s">
        <v>4489</v>
      </c>
      <c r="G1946" s="71" t="s">
        <v>108</v>
      </c>
      <c r="H1946" s="26" t="s">
        <v>7403</v>
      </c>
      <c r="I1946" s="17">
        <f ca="1">IFERROR(__xludf.DUMMYFUNCTION("""COMPUTED_VALUE"""),45376)</f>
        <v>45376</v>
      </c>
      <c r="J1946" s="29" t="s">
        <v>6157</v>
      </c>
      <c r="K1946" s="26" t="s">
        <v>7432</v>
      </c>
      <c r="L1946" s="30">
        <v>921187019</v>
      </c>
      <c r="M1946" s="19" t="s">
        <v>80</v>
      </c>
      <c r="N1946" s="19" t="s">
        <v>186</v>
      </c>
      <c r="O1946" s="26" t="s">
        <v>6159</v>
      </c>
      <c r="P1946" s="26" t="s">
        <v>6160</v>
      </c>
      <c r="Q1946" s="20">
        <v>5736</v>
      </c>
      <c r="R1946" s="26" t="s">
        <v>36</v>
      </c>
      <c r="S1946" s="31">
        <v>200</v>
      </c>
      <c r="T1946" s="32">
        <v>45190</v>
      </c>
      <c r="U1946" s="31">
        <f>3800+1736</f>
        <v>5536</v>
      </c>
      <c r="V1946" s="26" t="s">
        <v>6161</v>
      </c>
      <c r="W1946" s="26" t="s">
        <v>6162</v>
      </c>
      <c r="X1946" s="26"/>
      <c r="Y1946" s="22">
        <v>0</v>
      </c>
      <c r="Z1946" s="26" t="s">
        <v>118</v>
      </c>
      <c r="AA1946" s="19" t="s">
        <v>5961</v>
      </c>
      <c r="AB1946" s="26" t="s">
        <v>104</v>
      </c>
      <c r="AC1946" s="26" t="s">
        <v>53</v>
      </c>
      <c r="AD1946" s="19" t="s">
        <v>138</v>
      </c>
      <c r="AE1946" s="26" t="s">
        <v>4489</v>
      </c>
      <c r="AF1946" s="17">
        <v>45376</v>
      </c>
      <c r="AG1946" s="26" t="s">
        <v>6164</v>
      </c>
      <c r="AH1946" s="26">
        <v>1</v>
      </c>
      <c r="AI1946" s="40"/>
      <c r="AJ1946" s="26"/>
      <c r="AK1946" s="26"/>
      <c r="AL1946" s="35"/>
      <c r="AM1946" s="35"/>
      <c r="AN1946" s="35"/>
      <c r="AO1946" s="35"/>
      <c r="AP1946" s="35"/>
    </row>
    <row r="1947" spans="1:42" x14ac:dyDescent="0.2">
      <c r="A1947" s="38">
        <v>45371</v>
      </c>
      <c r="B1947" s="28" t="s">
        <v>37</v>
      </c>
      <c r="C1947" s="41" t="s">
        <v>118</v>
      </c>
      <c r="D1947" s="26" t="s">
        <v>36</v>
      </c>
      <c r="E1947" s="26" t="s">
        <v>139</v>
      </c>
      <c r="F1947" s="26" t="s">
        <v>3397</v>
      </c>
      <c r="G1947" s="26" t="s">
        <v>221</v>
      </c>
      <c r="H1947" s="26" t="s">
        <v>7367</v>
      </c>
      <c r="I1947" s="17">
        <f ca="1">IFERROR(__xludf.DUMMYFUNCTION("""COMPUTED_VALUE"""),45370)</f>
        <v>45370</v>
      </c>
      <c r="J1947" s="29" t="s">
        <v>3744</v>
      </c>
      <c r="K1947" s="26" t="s">
        <v>3745</v>
      </c>
      <c r="L1947" s="30">
        <v>395688205</v>
      </c>
      <c r="M1947" s="26" t="s">
        <v>123</v>
      </c>
      <c r="N1947" s="26" t="s">
        <v>850</v>
      </c>
      <c r="O1947" s="26" t="s">
        <v>2737</v>
      </c>
      <c r="P1947" s="42" t="s">
        <v>4962</v>
      </c>
      <c r="Q1947" s="20">
        <v>15936</v>
      </c>
      <c r="R1947" s="26" t="s">
        <v>36</v>
      </c>
      <c r="S1947" s="31">
        <v>2000</v>
      </c>
      <c r="T1947" s="32">
        <v>45188</v>
      </c>
      <c r="U1947" s="31">
        <v>13936</v>
      </c>
      <c r="V1947" s="32">
        <v>45217</v>
      </c>
      <c r="W1947" s="33" t="s">
        <v>3746</v>
      </c>
      <c r="X1947" s="26"/>
      <c r="Y1947" s="22">
        <v>0</v>
      </c>
      <c r="Z1947" s="26" t="s">
        <v>118</v>
      </c>
      <c r="AA1947" s="19" t="s">
        <v>4541</v>
      </c>
      <c r="AB1947" s="26" t="s">
        <v>104</v>
      </c>
      <c r="AC1947" s="26" t="s">
        <v>53</v>
      </c>
      <c r="AD1947" s="19" t="s">
        <v>138</v>
      </c>
      <c r="AE1947" s="26" t="s">
        <v>3397</v>
      </c>
      <c r="AF1947" s="17">
        <v>45370</v>
      </c>
      <c r="AG1947" s="26" t="s">
        <v>3399</v>
      </c>
      <c r="AH1947" s="26"/>
      <c r="AI1947" s="40"/>
      <c r="AJ1947" s="26"/>
      <c r="AK1947" s="26"/>
      <c r="AL1947" s="35"/>
      <c r="AM1947" s="35"/>
      <c r="AN1947" s="35"/>
      <c r="AO1947" s="35"/>
      <c r="AP1947" s="35"/>
    </row>
    <row r="1948" spans="1:42" x14ac:dyDescent="0.2">
      <c r="A1948" s="38">
        <v>45371</v>
      </c>
      <c r="B1948" s="28" t="s">
        <v>90</v>
      </c>
      <c r="C1948" s="41" t="s">
        <v>118</v>
      </c>
      <c r="D1948" s="26" t="s">
        <v>36</v>
      </c>
      <c r="E1948" s="26" t="s">
        <v>139</v>
      </c>
      <c r="F1948" s="26" t="s">
        <v>1626</v>
      </c>
      <c r="G1948" s="26" t="s">
        <v>221</v>
      </c>
      <c r="H1948" s="26" t="s">
        <v>7413</v>
      </c>
      <c r="I1948" s="17">
        <f ca="1">IFERROR(__xludf.DUMMYFUNCTION("""COMPUTED_VALUE"""),45373)</f>
        <v>45373</v>
      </c>
      <c r="J1948" s="29" t="s">
        <v>5215</v>
      </c>
      <c r="K1948" s="26" t="s">
        <v>5216</v>
      </c>
      <c r="L1948" s="30">
        <v>912200120</v>
      </c>
      <c r="M1948" s="26" t="s">
        <v>80</v>
      </c>
      <c r="N1948" s="26" t="s">
        <v>81</v>
      </c>
      <c r="O1948" s="26" t="s">
        <v>5217</v>
      </c>
      <c r="P1948" s="42" t="s">
        <v>5956</v>
      </c>
      <c r="Q1948" s="20">
        <v>15936</v>
      </c>
      <c r="R1948" s="26" t="s">
        <v>36</v>
      </c>
      <c r="S1948" s="31">
        <v>200</v>
      </c>
      <c r="T1948" s="32">
        <v>45199</v>
      </c>
      <c r="U1948" s="31">
        <f>3800+11936</f>
        <v>15736</v>
      </c>
      <c r="V1948" s="26" t="s">
        <v>5218</v>
      </c>
      <c r="W1948" s="33" t="s">
        <v>5219</v>
      </c>
      <c r="X1948" s="26"/>
      <c r="Y1948" s="22">
        <v>0</v>
      </c>
      <c r="Z1948" s="26" t="s">
        <v>118</v>
      </c>
      <c r="AA1948" s="19" t="s">
        <v>5785</v>
      </c>
      <c r="AB1948" s="26" t="s">
        <v>104</v>
      </c>
      <c r="AC1948" s="26" t="s">
        <v>53</v>
      </c>
      <c r="AD1948" s="19" t="s">
        <v>138</v>
      </c>
      <c r="AE1948" s="26" t="s">
        <v>1626</v>
      </c>
      <c r="AF1948" s="43">
        <v>45373</v>
      </c>
      <c r="AG1948" s="26" t="s">
        <v>4996</v>
      </c>
      <c r="AH1948" s="26"/>
      <c r="AI1948" s="40" t="s">
        <v>147</v>
      </c>
      <c r="AJ1948" s="26"/>
      <c r="AK1948" s="26"/>
      <c r="AL1948" s="35"/>
      <c r="AM1948" s="35"/>
      <c r="AN1948" s="35"/>
      <c r="AO1948" s="35"/>
      <c r="AP1948" s="35"/>
    </row>
    <row r="1949" spans="1:42" x14ac:dyDescent="0.2">
      <c r="A1949" s="38">
        <v>45371</v>
      </c>
      <c r="B1949" s="28" t="s">
        <v>37</v>
      </c>
      <c r="C1949" s="41" t="s">
        <v>118</v>
      </c>
      <c r="D1949" s="26" t="s">
        <v>36</v>
      </c>
      <c r="E1949" s="26" t="s">
        <v>56</v>
      </c>
      <c r="F1949" s="26" t="s">
        <v>1626</v>
      </c>
      <c r="G1949" s="26" t="s">
        <v>221</v>
      </c>
      <c r="H1949" s="26" t="s">
        <v>7413</v>
      </c>
      <c r="I1949" s="17">
        <f ca="1">IFERROR(__xludf.DUMMYFUNCTION("""COMPUTED_VALUE"""),45373)</f>
        <v>45373</v>
      </c>
      <c r="J1949" s="29" t="s">
        <v>5348</v>
      </c>
      <c r="K1949" s="26" t="s">
        <v>5944</v>
      </c>
      <c r="L1949" s="30">
        <v>762347599</v>
      </c>
      <c r="M1949" s="26" t="s">
        <v>123</v>
      </c>
      <c r="N1949" s="26" t="s">
        <v>2847</v>
      </c>
      <c r="O1949" s="26" t="s">
        <v>5350</v>
      </c>
      <c r="P1949" s="26" t="s">
        <v>5943</v>
      </c>
      <c r="Q1949" s="20">
        <v>9317</v>
      </c>
      <c r="R1949" s="26" t="s">
        <v>70</v>
      </c>
      <c r="S1949" s="31">
        <v>100</v>
      </c>
      <c r="T1949" s="32">
        <v>45210</v>
      </c>
      <c r="U1949" s="31">
        <f>400+2000+6717</f>
        <v>9117</v>
      </c>
      <c r="V1949" s="26" t="s">
        <v>5351</v>
      </c>
      <c r="W1949" s="33" t="s">
        <v>5352</v>
      </c>
      <c r="X1949" s="26"/>
      <c r="Y1949" s="22">
        <v>100</v>
      </c>
      <c r="Z1949" s="26" t="s">
        <v>118</v>
      </c>
      <c r="AA1949" s="19" t="s">
        <v>5785</v>
      </c>
      <c r="AB1949" s="26" t="s">
        <v>104</v>
      </c>
      <c r="AC1949" s="26" t="s">
        <v>53</v>
      </c>
      <c r="AD1949" s="19" t="s">
        <v>138</v>
      </c>
      <c r="AE1949" s="26" t="s">
        <v>1626</v>
      </c>
      <c r="AF1949" s="43">
        <v>45373</v>
      </c>
      <c r="AG1949" s="26" t="s">
        <v>4996</v>
      </c>
      <c r="AH1949" s="26"/>
      <c r="AI1949" s="40" t="s">
        <v>64</v>
      </c>
      <c r="AJ1949" s="26"/>
      <c r="AK1949" s="26"/>
      <c r="AL1949" s="35"/>
      <c r="AM1949" s="35"/>
      <c r="AN1949" s="35"/>
      <c r="AO1949" s="35"/>
      <c r="AP1949" s="35"/>
    </row>
    <row r="1950" spans="1:42" x14ac:dyDescent="0.2">
      <c r="A1950" s="38">
        <v>45371</v>
      </c>
      <c r="B1950" s="28" t="s">
        <v>37</v>
      </c>
      <c r="C1950" s="41" t="s">
        <v>118</v>
      </c>
      <c r="D1950" s="26" t="s">
        <v>36</v>
      </c>
      <c r="E1950" s="26" t="s">
        <v>119</v>
      </c>
      <c r="F1950" s="26" t="s">
        <v>1626</v>
      </c>
      <c r="G1950" s="26" t="s">
        <v>221</v>
      </c>
      <c r="H1950" s="26" t="s">
        <v>7413</v>
      </c>
      <c r="I1950" s="17">
        <f ca="1">IFERROR(__xludf.DUMMYFUNCTION("""COMPUTED_VALUE"""),45373)</f>
        <v>45373</v>
      </c>
      <c r="J1950" s="29" t="s">
        <v>297</v>
      </c>
      <c r="K1950" s="26" t="s">
        <v>298</v>
      </c>
      <c r="L1950" s="30">
        <v>862932804</v>
      </c>
      <c r="M1950" s="26" t="s">
        <v>80</v>
      </c>
      <c r="N1950" s="26" t="s">
        <v>299</v>
      </c>
      <c r="O1950" s="26" t="s">
        <v>300</v>
      </c>
      <c r="P1950" s="26" t="s">
        <v>1628</v>
      </c>
      <c r="Q1950" s="20">
        <v>13968</v>
      </c>
      <c r="R1950" s="26" t="s">
        <v>36</v>
      </c>
      <c r="S1950" s="31">
        <v>13968</v>
      </c>
      <c r="T1950" s="32">
        <v>45158</v>
      </c>
      <c r="U1950" s="31"/>
      <c r="V1950" s="26"/>
      <c r="W1950" s="33" t="s">
        <v>1629</v>
      </c>
      <c r="X1950" s="26">
        <v>0</v>
      </c>
      <c r="Y1950" s="22">
        <v>0</v>
      </c>
      <c r="Z1950" s="26" t="s">
        <v>118</v>
      </c>
      <c r="AA1950" s="19" t="s">
        <v>901</v>
      </c>
      <c r="AB1950" s="26" t="s">
        <v>104</v>
      </c>
      <c r="AC1950" s="26" t="s">
        <v>53</v>
      </c>
      <c r="AD1950" s="19" t="s">
        <v>54</v>
      </c>
      <c r="AE1950" s="26" t="s">
        <v>1626</v>
      </c>
      <c r="AF1950" s="43">
        <v>45373</v>
      </c>
      <c r="AG1950" s="26" t="s">
        <v>1631</v>
      </c>
      <c r="AH1950" s="26">
        <v>2</v>
      </c>
      <c r="AI1950" s="40">
        <v>4</v>
      </c>
      <c r="AJ1950" s="26"/>
      <c r="AK1950" s="26"/>
      <c r="AL1950" s="35"/>
      <c r="AM1950" s="35"/>
      <c r="AN1950" s="35"/>
      <c r="AO1950" s="35"/>
      <c r="AP1950" s="35"/>
    </row>
    <row r="1951" spans="1:42" x14ac:dyDescent="0.2">
      <c r="A1951" s="38">
        <v>45371</v>
      </c>
      <c r="B1951" s="28" t="s">
        <v>37</v>
      </c>
      <c r="C1951" s="41" t="s">
        <v>118</v>
      </c>
      <c r="D1951" s="26" t="s">
        <v>36</v>
      </c>
      <c r="E1951" s="26" t="s">
        <v>139</v>
      </c>
      <c r="F1951" s="26" t="s">
        <v>3181</v>
      </c>
      <c r="G1951" s="71" t="s">
        <v>221</v>
      </c>
      <c r="H1951" s="26" t="s">
        <v>6057</v>
      </c>
      <c r="I1951" s="17">
        <f ca="1">IFERROR(__xludf.DUMMYFUNCTION("""COMPUTED_VALUE"""),45391)</f>
        <v>45391</v>
      </c>
      <c r="J1951" s="29" t="s">
        <v>3595</v>
      </c>
      <c r="K1951" s="26" t="s">
        <v>3596</v>
      </c>
      <c r="L1951" s="30">
        <v>367487978</v>
      </c>
      <c r="M1951" s="26" t="s">
        <v>2755</v>
      </c>
      <c r="N1951" s="26" t="s">
        <v>2756</v>
      </c>
      <c r="O1951" s="26" t="s">
        <v>2819</v>
      </c>
      <c r="P1951" s="42" t="s">
        <v>7433</v>
      </c>
      <c r="Q1951" s="20">
        <v>15936</v>
      </c>
      <c r="R1951" s="26" t="s">
        <v>70</v>
      </c>
      <c r="S1951" s="31">
        <v>200</v>
      </c>
      <c r="T1951" s="32">
        <v>45269</v>
      </c>
      <c r="U1951" s="31">
        <f>1800+13936</f>
        <v>15736</v>
      </c>
      <c r="V1951" s="26" t="s">
        <v>3598</v>
      </c>
      <c r="W1951" s="33" t="s">
        <v>3599</v>
      </c>
      <c r="X1951" s="26"/>
      <c r="Y1951" s="22">
        <v>0</v>
      </c>
      <c r="Z1951" s="26" t="s">
        <v>118</v>
      </c>
      <c r="AA1951" s="19" t="s">
        <v>4541</v>
      </c>
      <c r="AB1951" s="26" t="s">
        <v>104</v>
      </c>
      <c r="AC1951" s="26" t="s">
        <v>53</v>
      </c>
      <c r="AD1951" s="19" t="s">
        <v>54</v>
      </c>
      <c r="AE1951" s="26" t="s">
        <v>3181</v>
      </c>
      <c r="AF1951" s="17">
        <v>45379</v>
      </c>
      <c r="AG1951" s="26"/>
      <c r="AH1951" s="26"/>
      <c r="AI1951" s="40"/>
      <c r="AJ1951" s="26"/>
      <c r="AK1951" s="26"/>
      <c r="AL1951" s="35"/>
      <c r="AM1951" s="35"/>
      <c r="AN1951" s="35"/>
      <c r="AO1951" s="35"/>
      <c r="AP1951" s="35"/>
    </row>
    <row r="1952" spans="1:42" x14ac:dyDescent="0.2">
      <c r="A1952" s="38">
        <v>45371</v>
      </c>
      <c r="B1952" s="28" t="s">
        <v>37</v>
      </c>
      <c r="C1952" s="41" t="s">
        <v>118</v>
      </c>
      <c r="D1952" s="26" t="s">
        <v>36</v>
      </c>
      <c r="E1952" s="26" t="s">
        <v>139</v>
      </c>
      <c r="F1952" s="26" t="s">
        <v>1626</v>
      </c>
      <c r="G1952" s="26" t="s">
        <v>221</v>
      </c>
      <c r="H1952" s="26" t="s">
        <v>6971</v>
      </c>
      <c r="I1952" s="17">
        <f ca="1">IFERROR(__xludf.DUMMYFUNCTION("""COMPUTED_VALUE"""),45405)</f>
        <v>45405</v>
      </c>
      <c r="J1952" s="29" t="s">
        <v>5375</v>
      </c>
      <c r="K1952" s="26" t="s">
        <v>7434</v>
      </c>
      <c r="L1952" s="30">
        <v>329863371</v>
      </c>
      <c r="M1952" s="26" t="s">
        <v>3728</v>
      </c>
      <c r="N1952" s="26" t="s">
        <v>5377</v>
      </c>
      <c r="O1952" s="33" t="s">
        <v>5378</v>
      </c>
      <c r="P1952" s="26" t="s">
        <v>5945</v>
      </c>
      <c r="Q1952" s="20">
        <v>15936</v>
      </c>
      <c r="R1952" s="26" t="s">
        <v>36</v>
      </c>
      <c r="S1952" s="31">
        <v>2000</v>
      </c>
      <c r="T1952" s="32">
        <v>45216</v>
      </c>
      <c r="U1952" s="31">
        <v>14000</v>
      </c>
      <c r="V1952" s="32">
        <v>45243</v>
      </c>
      <c r="W1952" s="33" t="s">
        <v>5379</v>
      </c>
      <c r="X1952" s="26"/>
      <c r="Y1952" s="22">
        <v>-64</v>
      </c>
      <c r="Z1952" s="26" t="s">
        <v>118</v>
      </c>
      <c r="AA1952" s="19" t="s">
        <v>5785</v>
      </c>
      <c r="AB1952" s="26" t="s">
        <v>104</v>
      </c>
      <c r="AC1952" s="26" t="s">
        <v>53</v>
      </c>
      <c r="AD1952" s="19" t="s">
        <v>138</v>
      </c>
      <c r="AE1952" s="26" t="s">
        <v>1626</v>
      </c>
      <c r="AF1952" s="43">
        <v>45373</v>
      </c>
      <c r="AG1952" s="26" t="s">
        <v>4996</v>
      </c>
      <c r="AH1952" s="26"/>
      <c r="AI1952" s="40" t="s">
        <v>147</v>
      </c>
      <c r="AJ1952" s="26"/>
      <c r="AK1952" s="26"/>
      <c r="AL1952" s="35"/>
      <c r="AM1952" s="35"/>
      <c r="AN1952" s="35"/>
      <c r="AO1952" s="35"/>
      <c r="AP1952" s="35"/>
    </row>
    <row r="1953" spans="1:42" x14ac:dyDescent="0.2">
      <c r="A1953" s="38">
        <v>45371</v>
      </c>
      <c r="B1953" s="28" t="s">
        <v>37</v>
      </c>
      <c r="C1953" s="41" t="s">
        <v>118</v>
      </c>
      <c r="D1953" s="26" t="s">
        <v>36</v>
      </c>
      <c r="E1953" s="26" t="s">
        <v>139</v>
      </c>
      <c r="F1953" s="26" t="s">
        <v>1176</v>
      </c>
      <c r="G1953" s="71" t="s">
        <v>221</v>
      </c>
      <c r="H1953" s="26" t="s">
        <v>5096</v>
      </c>
      <c r="I1953" s="17">
        <f ca="1">IFERROR(__xludf.DUMMYFUNCTION("""COMPUTED_VALUE"""),45384)</f>
        <v>45384</v>
      </c>
      <c r="J1953" s="29" t="s">
        <v>2990</v>
      </c>
      <c r="K1953" s="26" t="s">
        <v>7435</v>
      </c>
      <c r="L1953" s="30">
        <v>353115382</v>
      </c>
      <c r="M1953" s="26" t="s">
        <v>123</v>
      </c>
      <c r="N1953" s="26" t="s">
        <v>850</v>
      </c>
      <c r="O1953" s="26" t="s">
        <v>1226</v>
      </c>
      <c r="P1953" s="42" t="s">
        <v>3431</v>
      </c>
      <c r="Q1953" s="20">
        <v>15936</v>
      </c>
      <c r="R1953" s="26" t="s">
        <v>36</v>
      </c>
      <c r="S1953" s="31">
        <v>15936</v>
      </c>
      <c r="T1953" s="32">
        <v>45189</v>
      </c>
      <c r="U1953" s="31"/>
      <c r="V1953" s="26"/>
      <c r="W1953" s="33" t="s">
        <v>2992</v>
      </c>
      <c r="X1953" s="26"/>
      <c r="Y1953" s="22">
        <v>0</v>
      </c>
      <c r="Z1953" s="26" t="s">
        <v>118</v>
      </c>
      <c r="AA1953" s="19" t="s">
        <v>2449</v>
      </c>
      <c r="AB1953" s="26" t="s">
        <v>104</v>
      </c>
      <c r="AC1953" s="26" t="s">
        <v>53</v>
      </c>
      <c r="AD1953" s="19" t="s">
        <v>138</v>
      </c>
      <c r="AE1953" s="26" t="s">
        <v>1176</v>
      </c>
      <c r="AF1953" s="17">
        <v>45379</v>
      </c>
      <c r="AG1953" s="26"/>
      <c r="AH1953" s="26"/>
      <c r="AI1953" s="40"/>
      <c r="AJ1953" s="26"/>
      <c r="AK1953" s="26"/>
      <c r="AL1953" s="35"/>
      <c r="AM1953" s="35"/>
      <c r="AN1953" s="35"/>
      <c r="AO1953" s="35"/>
      <c r="AP1953" s="35"/>
    </row>
    <row r="1954" spans="1:42" x14ac:dyDescent="0.2">
      <c r="A1954" s="38">
        <v>45371</v>
      </c>
      <c r="B1954" s="28" t="s">
        <v>37</v>
      </c>
      <c r="C1954" s="41" t="s">
        <v>118</v>
      </c>
      <c r="D1954" s="26" t="s">
        <v>36</v>
      </c>
      <c r="E1954" s="26" t="s">
        <v>56</v>
      </c>
      <c r="F1954" s="26" t="s">
        <v>2081</v>
      </c>
      <c r="G1954" s="71" t="s">
        <v>221</v>
      </c>
      <c r="H1954" s="26" t="s">
        <v>6645</v>
      </c>
      <c r="I1954" s="17">
        <f ca="1">IFERROR(__xludf.DUMMYFUNCTION("""COMPUTED_VALUE"""),45404)</f>
        <v>45404</v>
      </c>
      <c r="J1954" s="29" t="s">
        <v>5821</v>
      </c>
      <c r="K1954" s="26" t="s">
        <v>7436</v>
      </c>
      <c r="L1954" s="30">
        <v>904357647</v>
      </c>
      <c r="M1954" s="26" t="s">
        <v>112</v>
      </c>
      <c r="N1954" s="26" t="s">
        <v>3330</v>
      </c>
      <c r="O1954" s="67" t="s">
        <v>5823</v>
      </c>
      <c r="P1954" s="42" t="s">
        <v>7437</v>
      </c>
      <c r="Q1954" s="20">
        <v>9317</v>
      </c>
      <c r="R1954" s="26" t="s">
        <v>36</v>
      </c>
      <c r="S1954" s="31">
        <v>9217</v>
      </c>
      <c r="T1954" s="32">
        <v>45075</v>
      </c>
      <c r="U1954" s="31"/>
      <c r="V1954" s="32"/>
      <c r="W1954" s="33" t="s">
        <v>5825</v>
      </c>
      <c r="X1954" s="26"/>
      <c r="Y1954" s="22">
        <v>100</v>
      </c>
      <c r="Z1954" s="26" t="s">
        <v>118</v>
      </c>
      <c r="AA1954" s="19" t="s">
        <v>5785</v>
      </c>
      <c r="AB1954" s="26" t="s">
        <v>104</v>
      </c>
      <c r="AC1954" s="26" t="s">
        <v>53</v>
      </c>
      <c r="AD1954" s="19" t="s">
        <v>54</v>
      </c>
      <c r="AE1954" s="26" t="s">
        <v>2081</v>
      </c>
      <c r="AF1954" s="17">
        <v>45398</v>
      </c>
      <c r="AG1954" s="26"/>
      <c r="AH1954" s="26"/>
      <c r="AI1954" s="40" t="s">
        <v>64</v>
      </c>
      <c r="AJ1954" s="26"/>
      <c r="AK1954" s="26"/>
      <c r="AL1954" s="35"/>
      <c r="AM1954" s="35"/>
      <c r="AN1954" s="35"/>
      <c r="AO1954" s="35"/>
      <c r="AP1954" s="35"/>
    </row>
    <row r="1955" spans="1:42" x14ac:dyDescent="0.2">
      <c r="A1955" s="38">
        <v>45371</v>
      </c>
      <c r="B1955" s="28" t="s">
        <v>37</v>
      </c>
      <c r="C1955" s="41" t="s">
        <v>118</v>
      </c>
      <c r="D1955" s="26" t="s">
        <v>36</v>
      </c>
      <c r="E1955" s="26" t="s">
        <v>148</v>
      </c>
      <c r="F1955" s="26" t="s">
        <v>7438</v>
      </c>
      <c r="G1955" s="71" t="s">
        <v>108</v>
      </c>
      <c r="H1955" s="26" t="s">
        <v>6600</v>
      </c>
      <c r="I1955" s="17">
        <f ca="1">IFERROR(__xludf.DUMMYFUNCTION("""COMPUTED_VALUE"""),45382)</f>
        <v>45382</v>
      </c>
      <c r="J1955" s="29" t="s">
        <v>7439</v>
      </c>
      <c r="K1955" s="26" t="s">
        <v>7440</v>
      </c>
      <c r="L1955" s="30">
        <v>817868681</v>
      </c>
      <c r="M1955" s="26" t="s">
        <v>94</v>
      </c>
      <c r="N1955" s="26" t="s">
        <v>200</v>
      </c>
      <c r="O1955" s="26" t="s">
        <v>91</v>
      </c>
      <c r="P1955" s="42" t="s">
        <v>7441</v>
      </c>
      <c r="Q1955" s="20">
        <v>7349</v>
      </c>
      <c r="R1955" s="26" t="s">
        <v>36</v>
      </c>
      <c r="S1955" s="31">
        <v>7349</v>
      </c>
      <c r="T1955" s="32">
        <v>45098</v>
      </c>
      <c r="U1955" s="31"/>
      <c r="V1955" s="26"/>
      <c r="W1955" s="33" t="s">
        <v>7442</v>
      </c>
      <c r="X1955" s="26"/>
      <c r="Y1955" s="22">
        <v>0</v>
      </c>
      <c r="Z1955" s="26" t="s">
        <v>118</v>
      </c>
      <c r="AA1955" s="19" t="s">
        <v>3372</v>
      </c>
      <c r="AB1955" s="26" t="s">
        <v>36</v>
      </c>
      <c r="AC1955" s="26" t="s">
        <v>53</v>
      </c>
      <c r="AD1955" s="19" t="s">
        <v>54</v>
      </c>
      <c r="AE1955" s="26" t="s">
        <v>7438</v>
      </c>
      <c r="AF1955" s="17">
        <v>45377</v>
      </c>
      <c r="AG1955" s="40"/>
      <c r="AH1955" s="40"/>
      <c r="AI1955" s="126"/>
      <c r="AJ1955" s="26"/>
      <c r="AK1955" s="26"/>
      <c r="AL1955" s="26"/>
      <c r="AM1955" s="26"/>
      <c r="AN1955" s="26"/>
      <c r="AO1955" s="26"/>
      <c r="AP1955" s="35"/>
    </row>
    <row r="1956" spans="1:42" x14ac:dyDescent="0.2">
      <c r="A1956" s="38">
        <v>45372</v>
      </c>
      <c r="B1956" s="28" t="s">
        <v>37</v>
      </c>
      <c r="C1956" s="41" t="s">
        <v>118</v>
      </c>
      <c r="D1956" s="26" t="s">
        <v>36</v>
      </c>
      <c r="E1956" s="26" t="s">
        <v>56</v>
      </c>
      <c r="F1956" s="26" t="s">
        <v>2415</v>
      </c>
      <c r="G1956" s="71" t="s">
        <v>221</v>
      </c>
      <c r="H1956" s="26" t="s">
        <v>6971</v>
      </c>
      <c r="I1956" s="17">
        <f ca="1">IFERROR(__xludf.DUMMYFUNCTION("""COMPUTED_VALUE"""),45405)</f>
        <v>45405</v>
      </c>
      <c r="J1956" s="29" t="s">
        <v>2833</v>
      </c>
      <c r="K1956" s="26" t="s">
        <v>7443</v>
      </c>
      <c r="L1956" s="30">
        <v>397167205</v>
      </c>
      <c r="M1956" s="26" t="s">
        <v>112</v>
      </c>
      <c r="N1956" s="26" t="s">
        <v>3330</v>
      </c>
      <c r="O1956" s="26" t="s">
        <v>2836</v>
      </c>
      <c r="P1956" s="42" t="s">
        <v>7444</v>
      </c>
      <c r="Q1956" s="20">
        <v>9317</v>
      </c>
      <c r="R1956" s="26" t="s">
        <v>36</v>
      </c>
      <c r="S1956" s="31">
        <v>9317</v>
      </c>
      <c r="T1956" s="32">
        <v>45184</v>
      </c>
      <c r="U1956" s="31"/>
      <c r="V1956" s="32"/>
      <c r="W1956" s="33" t="s">
        <v>2838</v>
      </c>
      <c r="X1956" s="26"/>
      <c r="Y1956" s="22">
        <v>0</v>
      </c>
      <c r="Z1956" s="26" t="s">
        <v>118</v>
      </c>
      <c r="AA1956" s="19" t="s">
        <v>5785</v>
      </c>
      <c r="AB1956" s="26" t="s">
        <v>36</v>
      </c>
      <c r="AC1956" s="26" t="s">
        <v>53</v>
      </c>
      <c r="AD1956" s="19" t="s">
        <v>54</v>
      </c>
      <c r="AE1956" s="26" t="s">
        <v>2415</v>
      </c>
      <c r="AF1956" s="17">
        <v>45379</v>
      </c>
      <c r="AG1956" s="26"/>
      <c r="AH1956" s="26"/>
      <c r="AI1956" s="40" t="s">
        <v>64</v>
      </c>
      <c r="AJ1956" s="26"/>
      <c r="AK1956" s="26"/>
      <c r="AL1956" s="35"/>
      <c r="AM1956" s="35"/>
      <c r="AN1956" s="35"/>
      <c r="AO1956" s="35"/>
      <c r="AP1956" s="35"/>
    </row>
    <row r="1957" spans="1:42" x14ac:dyDescent="0.2">
      <c r="A1957" s="38">
        <v>45372</v>
      </c>
      <c r="B1957" s="28" t="s">
        <v>37</v>
      </c>
      <c r="C1957" s="41" t="s">
        <v>118</v>
      </c>
      <c r="D1957" s="26" t="s">
        <v>36</v>
      </c>
      <c r="E1957" s="26" t="s">
        <v>148</v>
      </c>
      <c r="F1957" s="26" t="s">
        <v>2377</v>
      </c>
      <c r="G1957" s="71" t="s">
        <v>221</v>
      </c>
      <c r="H1957" s="26" t="s">
        <v>6645</v>
      </c>
      <c r="I1957" s="17">
        <f ca="1">IFERROR(__xludf.DUMMYFUNCTION("""COMPUTED_VALUE"""),45404)</f>
        <v>45404</v>
      </c>
      <c r="J1957" s="29" t="s">
        <v>7445</v>
      </c>
      <c r="K1957" s="26" t="s">
        <v>7446</v>
      </c>
      <c r="L1957" s="30">
        <v>919187618</v>
      </c>
      <c r="M1957" s="26" t="s">
        <v>59</v>
      </c>
      <c r="N1957" s="26" t="s">
        <v>7447</v>
      </c>
      <c r="O1957" s="26">
        <v>34304006408</v>
      </c>
      <c r="P1957" s="72" t="s">
        <v>7448</v>
      </c>
      <c r="Q1957" s="20">
        <v>13615</v>
      </c>
      <c r="R1957" s="26" t="s">
        <v>36</v>
      </c>
      <c r="S1957" s="31">
        <v>13615</v>
      </c>
      <c r="T1957" s="32">
        <v>44874</v>
      </c>
      <c r="U1957" s="31"/>
      <c r="V1957" s="32"/>
      <c r="W1957" s="33" t="s">
        <v>7449</v>
      </c>
      <c r="X1957" s="26">
        <v>0</v>
      </c>
      <c r="Y1957" s="22">
        <v>0</v>
      </c>
      <c r="Z1957" s="98" t="s">
        <v>118</v>
      </c>
      <c r="AA1957" s="19" t="s">
        <v>7450</v>
      </c>
      <c r="AB1957" s="26" t="s">
        <v>36</v>
      </c>
      <c r="AC1957" s="26" t="s">
        <v>53</v>
      </c>
      <c r="AD1957" s="19" t="s">
        <v>54</v>
      </c>
      <c r="AE1957" s="26" t="s">
        <v>2377</v>
      </c>
      <c r="AF1957" s="17">
        <v>45392</v>
      </c>
      <c r="AG1957" s="131"/>
      <c r="AH1957" s="91">
        <v>4</v>
      </c>
      <c r="AI1957" s="132"/>
      <c r="AJ1957" s="132">
        <v>44881.463696979168</v>
      </c>
      <c r="AK1957" s="96"/>
      <c r="AL1957" s="133" t="s">
        <v>7451</v>
      </c>
      <c r="AM1957" s="96"/>
      <c r="AN1957" s="26"/>
      <c r="AO1957" s="26"/>
      <c r="AP1957" s="35"/>
    </row>
    <row r="1958" spans="1:42" x14ac:dyDescent="0.2">
      <c r="A1958" s="38">
        <v>45372</v>
      </c>
      <c r="B1958" s="28" t="s">
        <v>37</v>
      </c>
      <c r="C1958" s="41" t="s">
        <v>118</v>
      </c>
      <c r="D1958" s="26" t="s">
        <v>36</v>
      </c>
      <c r="E1958" s="26" t="s">
        <v>56</v>
      </c>
      <c r="F1958" s="26" t="s">
        <v>2381</v>
      </c>
      <c r="G1958" s="71" t="s">
        <v>221</v>
      </c>
      <c r="H1958" s="26" t="s">
        <v>7452</v>
      </c>
      <c r="I1958" s="17" t="str">
        <f ca="1">IFERROR(__xludf.DUMMYFUNCTION("""COMPUTED_VALUE""")," ")</f>
        <v xml:space="preserve"> </v>
      </c>
      <c r="J1958" s="29" t="s">
        <v>1485</v>
      </c>
      <c r="K1958" s="26" t="s">
        <v>1486</v>
      </c>
      <c r="L1958" s="30">
        <v>813375896</v>
      </c>
      <c r="M1958" s="26" t="s">
        <v>80</v>
      </c>
      <c r="N1958" s="26" t="s">
        <v>299</v>
      </c>
      <c r="O1958" s="26" t="s">
        <v>4811</v>
      </c>
      <c r="P1958" s="42" t="s">
        <v>7453</v>
      </c>
      <c r="Q1958" s="20">
        <v>9317</v>
      </c>
      <c r="R1958" s="26" t="s">
        <v>36</v>
      </c>
      <c r="S1958" s="31">
        <v>2000</v>
      </c>
      <c r="T1958" s="32">
        <v>45150</v>
      </c>
      <c r="U1958" s="31">
        <v>7317</v>
      </c>
      <c r="V1958" s="32">
        <v>45169</v>
      </c>
      <c r="W1958" s="33" t="s">
        <v>1489</v>
      </c>
      <c r="X1958" s="26">
        <v>0</v>
      </c>
      <c r="Y1958" s="22">
        <v>0</v>
      </c>
      <c r="Z1958" s="26" t="s">
        <v>118</v>
      </c>
      <c r="AA1958" s="19" t="s">
        <v>4541</v>
      </c>
      <c r="AB1958" s="26" t="s">
        <v>36</v>
      </c>
      <c r="AC1958" s="26" t="s">
        <v>53</v>
      </c>
      <c r="AD1958" s="19" t="s">
        <v>54</v>
      </c>
      <c r="AE1958" s="26" t="s">
        <v>2381</v>
      </c>
      <c r="AF1958" s="17">
        <v>45392</v>
      </c>
      <c r="AG1958" s="26"/>
      <c r="AH1958" s="26"/>
      <c r="AI1958" s="40"/>
      <c r="AJ1958" s="26"/>
      <c r="AK1958" s="26"/>
      <c r="AL1958" s="35"/>
      <c r="AM1958" s="35"/>
      <c r="AN1958" s="35"/>
      <c r="AO1958" s="35"/>
      <c r="AP1958" s="35"/>
    </row>
    <row r="1959" spans="1:42" x14ac:dyDescent="0.2">
      <c r="A1959" s="38">
        <v>45372</v>
      </c>
      <c r="B1959" s="28" t="s">
        <v>37</v>
      </c>
      <c r="C1959" s="41" t="s">
        <v>118</v>
      </c>
      <c r="D1959" s="26" t="s">
        <v>36</v>
      </c>
      <c r="E1959" s="26" t="s">
        <v>139</v>
      </c>
      <c r="F1959" s="26" t="s">
        <v>2415</v>
      </c>
      <c r="G1959" s="71" t="s">
        <v>221</v>
      </c>
      <c r="H1959" s="26" t="s">
        <v>7454</v>
      </c>
      <c r="I1959" s="17">
        <f ca="1">IFERROR(__xludf.DUMMYFUNCTION("""COMPUTED_VALUE"""),45418)</f>
        <v>45418</v>
      </c>
      <c r="J1959" s="44" t="s">
        <v>7455</v>
      </c>
      <c r="K1959" s="26" t="s">
        <v>7456</v>
      </c>
      <c r="L1959" s="30">
        <v>973088950</v>
      </c>
      <c r="M1959" s="26" t="s">
        <v>3498</v>
      </c>
      <c r="N1959" s="26" t="s">
        <v>2756</v>
      </c>
      <c r="O1959" s="26" t="s">
        <v>134</v>
      </c>
      <c r="P1959" s="42" t="s">
        <v>7457</v>
      </c>
      <c r="Q1959" s="20">
        <v>15936</v>
      </c>
      <c r="R1959" s="26" t="s">
        <v>36</v>
      </c>
      <c r="S1959" s="31">
        <v>2000</v>
      </c>
      <c r="T1959" s="32">
        <v>45178</v>
      </c>
      <c r="U1959" s="31">
        <v>13936</v>
      </c>
      <c r="V1959" s="32">
        <v>45209</v>
      </c>
      <c r="W1959" s="33" t="s">
        <v>3500</v>
      </c>
      <c r="X1959" s="26"/>
      <c r="Y1959" s="22">
        <v>0</v>
      </c>
      <c r="Z1959" s="26" t="s">
        <v>118</v>
      </c>
      <c r="AA1959" s="19" t="s">
        <v>5785</v>
      </c>
      <c r="AB1959" s="26" t="s">
        <v>36</v>
      </c>
      <c r="AC1959" s="26" t="s">
        <v>53</v>
      </c>
      <c r="AD1959" s="19" t="s">
        <v>54</v>
      </c>
      <c r="AE1959" s="26" t="s">
        <v>2415</v>
      </c>
      <c r="AF1959" s="17">
        <v>45379</v>
      </c>
      <c r="AG1959" s="61"/>
      <c r="AH1959" s="26"/>
      <c r="AI1959" s="40" t="s">
        <v>147</v>
      </c>
      <c r="AJ1959" s="26"/>
      <c r="AK1959" s="26"/>
      <c r="AL1959" s="35"/>
      <c r="AM1959" s="35"/>
      <c r="AN1959" s="35"/>
      <c r="AO1959" s="35"/>
      <c r="AP1959" s="35"/>
    </row>
    <row r="1960" spans="1:42" x14ac:dyDescent="0.2">
      <c r="A1960" s="38">
        <v>45372</v>
      </c>
      <c r="B1960" s="28" t="s">
        <v>37</v>
      </c>
      <c r="C1960" s="41" t="s">
        <v>118</v>
      </c>
      <c r="D1960" s="26" t="s">
        <v>36</v>
      </c>
      <c r="E1960" s="26" t="s">
        <v>148</v>
      </c>
      <c r="F1960" s="26" t="s">
        <v>1176</v>
      </c>
      <c r="G1960" s="71" t="s">
        <v>221</v>
      </c>
      <c r="H1960" s="26" t="s">
        <v>5096</v>
      </c>
      <c r="I1960" s="17">
        <f ca="1">IFERROR(__xludf.DUMMYFUNCTION("""COMPUTED_VALUE"""),45384)</f>
        <v>45384</v>
      </c>
      <c r="J1960" s="29" t="s">
        <v>1177</v>
      </c>
      <c r="K1960" s="26" t="s">
        <v>7458</v>
      </c>
      <c r="L1960" s="30">
        <v>384873689</v>
      </c>
      <c r="M1960" s="26" t="s">
        <v>80</v>
      </c>
      <c r="N1960" s="26" t="s">
        <v>466</v>
      </c>
      <c r="O1960" s="26" t="s">
        <v>1179</v>
      </c>
      <c r="P1960" s="42" t="s">
        <v>7459</v>
      </c>
      <c r="Q1960" s="20">
        <v>7349</v>
      </c>
      <c r="R1960" s="26" t="s">
        <v>36</v>
      </c>
      <c r="S1960" s="31">
        <v>4000</v>
      </c>
      <c r="T1960" s="32">
        <v>45137</v>
      </c>
      <c r="U1960" s="31">
        <v>3349</v>
      </c>
      <c r="V1960" s="32">
        <v>45165</v>
      </c>
      <c r="W1960" s="33" t="s">
        <v>1181</v>
      </c>
      <c r="X1960" s="26">
        <v>0</v>
      </c>
      <c r="Y1960" s="22">
        <v>0</v>
      </c>
      <c r="Z1960" s="26" t="s">
        <v>118</v>
      </c>
      <c r="AA1960" s="19" t="s">
        <v>901</v>
      </c>
      <c r="AB1960" s="26" t="s">
        <v>36</v>
      </c>
      <c r="AC1960" s="26" t="s">
        <v>53</v>
      </c>
      <c r="AD1960" s="19" t="s">
        <v>54</v>
      </c>
      <c r="AE1960" s="26" t="s">
        <v>1176</v>
      </c>
      <c r="AF1960" s="17">
        <v>45379</v>
      </c>
      <c r="AG1960" s="26"/>
      <c r="AH1960" s="26">
        <v>1</v>
      </c>
      <c r="AI1960" s="40">
        <v>2</v>
      </c>
      <c r="AJ1960" s="26"/>
      <c r="AK1960" s="26"/>
      <c r="AL1960" s="35"/>
      <c r="AM1960" s="35"/>
      <c r="AN1960" s="35"/>
      <c r="AO1960" s="35"/>
      <c r="AP1960" s="35"/>
    </row>
    <row r="1961" spans="1:42" x14ac:dyDescent="0.2">
      <c r="A1961" s="38">
        <v>45372</v>
      </c>
      <c r="B1961" s="28" t="s">
        <v>37</v>
      </c>
      <c r="C1961" s="41" t="s">
        <v>118</v>
      </c>
      <c r="D1961" s="26" t="s">
        <v>36</v>
      </c>
      <c r="E1961" s="26" t="s">
        <v>56</v>
      </c>
      <c r="F1961" s="26" t="s">
        <v>2415</v>
      </c>
      <c r="G1961" s="71" t="s">
        <v>221</v>
      </c>
      <c r="H1961" s="26" t="s">
        <v>7460</v>
      </c>
      <c r="I1961" s="17" t="str">
        <f ca="1">IFERROR(__xludf.DUMMYFUNCTION("""COMPUTED_VALUE""")," ")</f>
        <v xml:space="preserve"> </v>
      </c>
      <c r="J1961" s="29" t="s">
        <v>858</v>
      </c>
      <c r="K1961" s="26" t="s">
        <v>7461</v>
      </c>
      <c r="L1961" s="30">
        <v>965917843</v>
      </c>
      <c r="M1961" s="26" t="s">
        <v>59</v>
      </c>
      <c r="N1961" s="26" t="s">
        <v>68</v>
      </c>
      <c r="O1961" s="26" t="s">
        <v>860</v>
      </c>
      <c r="P1961" s="42" t="s">
        <v>7462</v>
      </c>
      <c r="Q1961" s="20">
        <v>9317</v>
      </c>
      <c r="R1961" s="26" t="s">
        <v>36</v>
      </c>
      <c r="S1961" s="31">
        <v>9317</v>
      </c>
      <c r="T1961" s="32">
        <v>45138</v>
      </c>
      <c r="U1961" s="31"/>
      <c r="V1961" s="32"/>
      <c r="W1961" s="33" t="s">
        <v>862</v>
      </c>
      <c r="X1961" s="26">
        <v>0</v>
      </c>
      <c r="Y1961" s="22">
        <v>0</v>
      </c>
      <c r="Z1961" s="26" t="s">
        <v>118</v>
      </c>
      <c r="AA1961" s="19" t="s">
        <v>5785</v>
      </c>
      <c r="AB1961" s="26" t="s">
        <v>36</v>
      </c>
      <c r="AC1961" s="26" t="s">
        <v>53</v>
      </c>
      <c r="AD1961" s="19" t="s">
        <v>54</v>
      </c>
      <c r="AE1961" s="26" t="s">
        <v>2415</v>
      </c>
      <c r="AF1961" s="17">
        <v>45379</v>
      </c>
      <c r="AG1961" s="26"/>
      <c r="AH1961" s="26"/>
      <c r="AI1961" s="40" t="s">
        <v>64</v>
      </c>
      <c r="AJ1961" s="26"/>
      <c r="AK1961" s="26"/>
      <c r="AL1961" s="35"/>
      <c r="AM1961" s="35"/>
      <c r="AN1961" s="35"/>
      <c r="AO1961" s="35"/>
      <c r="AP1961" s="35"/>
    </row>
    <row r="1962" spans="1:42" x14ac:dyDescent="0.2">
      <c r="A1962" s="38">
        <v>45373</v>
      </c>
      <c r="B1962" s="28" t="s">
        <v>90</v>
      </c>
      <c r="C1962" s="41" t="s">
        <v>118</v>
      </c>
      <c r="D1962" s="26" t="s">
        <v>36</v>
      </c>
      <c r="E1962" s="26" t="s">
        <v>39</v>
      </c>
      <c r="F1962" s="26" t="s">
        <v>1229</v>
      </c>
      <c r="G1962" s="71" t="s">
        <v>108</v>
      </c>
      <c r="H1962" s="26" t="s">
        <v>6600</v>
      </c>
      <c r="I1962" s="17">
        <f ca="1">IFERROR(__xludf.DUMMYFUNCTION("""COMPUTED_VALUE"""),45382)</f>
        <v>45382</v>
      </c>
      <c r="J1962" s="29" t="s">
        <v>1716</v>
      </c>
      <c r="K1962" s="26" t="s">
        <v>1717</v>
      </c>
      <c r="L1962" s="30">
        <v>386723964</v>
      </c>
      <c r="M1962" s="26" t="s">
        <v>59</v>
      </c>
      <c r="N1962" s="26" t="s">
        <v>60</v>
      </c>
      <c r="O1962" s="26" t="s">
        <v>1718</v>
      </c>
      <c r="P1962" s="26" t="s">
        <v>1719</v>
      </c>
      <c r="Q1962" s="20">
        <v>5736</v>
      </c>
      <c r="R1962" s="26" t="s">
        <v>36</v>
      </c>
      <c r="S1962" s="31">
        <v>5736</v>
      </c>
      <c r="T1962" s="32">
        <v>45161</v>
      </c>
      <c r="U1962" s="31"/>
      <c r="V1962" s="26"/>
      <c r="W1962" s="33" t="s">
        <v>1720</v>
      </c>
      <c r="X1962" s="26">
        <v>0</v>
      </c>
      <c r="Y1962" s="22">
        <v>0</v>
      </c>
      <c r="Z1962" s="26" t="s">
        <v>118</v>
      </c>
      <c r="AA1962" s="19" t="s">
        <v>901</v>
      </c>
      <c r="AB1962" s="26" t="s">
        <v>36</v>
      </c>
      <c r="AC1962" s="26" t="s">
        <v>53</v>
      </c>
      <c r="AD1962" s="19" t="s">
        <v>54</v>
      </c>
      <c r="AE1962" s="26" t="s">
        <v>1229</v>
      </c>
      <c r="AF1962" s="17">
        <v>45377</v>
      </c>
      <c r="AG1962" s="26"/>
      <c r="AH1962" s="26">
        <v>1</v>
      </c>
      <c r="AI1962" s="40" t="s">
        <v>55</v>
      </c>
      <c r="AJ1962" s="26"/>
      <c r="AK1962" s="26"/>
      <c r="AL1962" s="35"/>
      <c r="AM1962" s="35"/>
      <c r="AN1962" s="35"/>
      <c r="AO1962" s="35"/>
      <c r="AP1962" s="35"/>
    </row>
    <row r="1963" spans="1:42" x14ac:dyDescent="0.2">
      <c r="A1963" s="38">
        <v>45373</v>
      </c>
      <c r="B1963" s="28" t="s">
        <v>37</v>
      </c>
      <c r="C1963" s="41" t="s">
        <v>118</v>
      </c>
      <c r="D1963" s="26" t="s">
        <v>36</v>
      </c>
      <c r="E1963" s="26" t="s">
        <v>139</v>
      </c>
      <c r="F1963" s="26" t="s">
        <v>2415</v>
      </c>
      <c r="G1963" s="71" t="s">
        <v>221</v>
      </c>
      <c r="H1963" s="26" t="s">
        <v>5096</v>
      </c>
      <c r="I1963" s="17">
        <f ca="1">IFERROR(__xludf.DUMMYFUNCTION("""COMPUTED_VALUE"""),45384)</f>
        <v>45384</v>
      </c>
      <c r="J1963" s="29" t="s">
        <v>3555</v>
      </c>
      <c r="K1963" s="26" t="s">
        <v>5857</v>
      </c>
      <c r="L1963" s="30">
        <v>378860205</v>
      </c>
      <c r="M1963" s="26" t="s">
        <v>80</v>
      </c>
      <c r="N1963" s="26" t="s">
        <v>81</v>
      </c>
      <c r="O1963" s="26" t="s">
        <v>134</v>
      </c>
      <c r="P1963" s="42" t="s">
        <v>5858</v>
      </c>
      <c r="Q1963" s="20">
        <v>15936</v>
      </c>
      <c r="R1963" s="26" t="s">
        <v>36</v>
      </c>
      <c r="S1963" s="31">
        <v>2000</v>
      </c>
      <c r="T1963" s="32">
        <v>45182</v>
      </c>
      <c r="U1963" s="31">
        <v>13936</v>
      </c>
      <c r="V1963" s="32">
        <v>45211</v>
      </c>
      <c r="W1963" s="33" t="s">
        <v>3559</v>
      </c>
      <c r="X1963" s="26"/>
      <c r="Y1963" s="22">
        <v>0</v>
      </c>
      <c r="Z1963" s="26" t="s">
        <v>118</v>
      </c>
      <c r="AA1963" s="19" t="s">
        <v>5785</v>
      </c>
      <c r="AB1963" s="26" t="s">
        <v>36</v>
      </c>
      <c r="AC1963" s="26" t="s">
        <v>53</v>
      </c>
      <c r="AD1963" s="19" t="s">
        <v>54</v>
      </c>
      <c r="AE1963" s="26" t="s">
        <v>2415</v>
      </c>
      <c r="AF1963" s="17">
        <v>45379</v>
      </c>
      <c r="AG1963" s="26"/>
      <c r="AH1963" s="26"/>
      <c r="AI1963" s="40" t="s">
        <v>147</v>
      </c>
      <c r="AJ1963" s="26"/>
      <c r="AK1963" s="26"/>
      <c r="AL1963" s="35"/>
      <c r="AM1963" s="35"/>
      <c r="AN1963" s="35"/>
      <c r="AO1963" s="35"/>
      <c r="AP1963" s="35"/>
    </row>
    <row r="1964" spans="1:42" x14ac:dyDescent="0.2">
      <c r="A1964" s="38">
        <v>45373</v>
      </c>
      <c r="B1964" s="28" t="s">
        <v>37</v>
      </c>
      <c r="C1964" s="41" t="s">
        <v>118</v>
      </c>
      <c r="D1964" s="26" t="s">
        <v>36</v>
      </c>
      <c r="E1964" s="26" t="s">
        <v>56</v>
      </c>
      <c r="F1964" s="26" t="s">
        <v>4988</v>
      </c>
      <c r="G1964" s="71" t="s">
        <v>221</v>
      </c>
      <c r="H1964" s="26" t="s">
        <v>6057</v>
      </c>
      <c r="I1964" s="17">
        <f ca="1">IFERROR(__xludf.DUMMYFUNCTION("""COMPUTED_VALUE"""),45391)</f>
        <v>45391</v>
      </c>
      <c r="J1964" s="29" t="s">
        <v>3101</v>
      </c>
      <c r="K1964" s="26" t="s">
        <v>3102</v>
      </c>
      <c r="L1964" s="30">
        <v>868331408</v>
      </c>
      <c r="M1964" s="26" t="s">
        <v>59</v>
      </c>
      <c r="N1964" s="26" t="s">
        <v>438</v>
      </c>
      <c r="O1964" s="26" t="s">
        <v>3103</v>
      </c>
      <c r="P1964" s="42" t="s">
        <v>7463</v>
      </c>
      <c r="Q1964" s="20">
        <v>9317</v>
      </c>
      <c r="R1964" s="26" t="s">
        <v>36</v>
      </c>
      <c r="S1964" s="31">
        <v>9317</v>
      </c>
      <c r="T1964" s="32">
        <v>45194</v>
      </c>
      <c r="U1964" s="31"/>
      <c r="V1964" s="26"/>
      <c r="W1964" s="33" t="s">
        <v>3105</v>
      </c>
      <c r="X1964" s="26"/>
      <c r="Y1964" s="22">
        <v>0</v>
      </c>
      <c r="Z1964" s="26" t="s">
        <v>118</v>
      </c>
      <c r="AA1964" s="19" t="s">
        <v>2449</v>
      </c>
      <c r="AB1964" s="26" t="s">
        <v>36</v>
      </c>
      <c r="AC1964" s="26" t="s">
        <v>53</v>
      </c>
      <c r="AD1964" s="19" t="s">
        <v>54</v>
      </c>
      <c r="AE1964" s="26" t="s">
        <v>4988</v>
      </c>
      <c r="AF1964" s="17">
        <v>45379</v>
      </c>
      <c r="AG1964" s="26"/>
      <c r="AH1964" s="26"/>
      <c r="AI1964" s="40"/>
      <c r="AJ1964" s="26"/>
      <c r="AK1964" s="26"/>
      <c r="AL1964" s="35"/>
      <c r="AM1964" s="35"/>
      <c r="AN1964" s="35"/>
      <c r="AO1964" s="35"/>
      <c r="AP1964" s="35"/>
    </row>
    <row r="1965" spans="1:42" x14ac:dyDescent="0.2">
      <c r="A1965" s="38">
        <v>45373</v>
      </c>
      <c r="B1965" s="28" t="s">
        <v>37</v>
      </c>
      <c r="C1965" s="41" t="s">
        <v>118</v>
      </c>
      <c r="D1965" s="26" t="s">
        <v>36</v>
      </c>
      <c r="E1965" s="26" t="s">
        <v>148</v>
      </c>
      <c r="F1965" s="26" t="s">
        <v>4988</v>
      </c>
      <c r="G1965" s="71" t="s">
        <v>221</v>
      </c>
      <c r="H1965" s="26" t="s">
        <v>7464</v>
      </c>
      <c r="I1965" s="17" t="str">
        <f ca="1">IFERROR(__xludf.DUMMYFUNCTION("""COMPUTED_VALUE""")," ")</f>
        <v xml:space="preserve"> </v>
      </c>
      <c r="J1965" s="29" t="s">
        <v>5932</v>
      </c>
      <c r="K1965" s="26" t="s">
        <v>5933</v>
      </c>
      <c r="L1965" s="30">
        <v>868956664</v>
      </c>
      <c r="M1965" s="26" t="s">
        <v>94</v>
      </c>
      <c r="N1965" s="26" t="s">
        <v>1358</v>
      </c>
      <c r="O1965" s="26" t="s">
        <v>91</v>
      </c>
      <c r="P1965" s="42" t="s">
        <v>5934</v>
      </c>
      <c r="Q1965" s="20">
        <v>7349</v>
      </c>
      <c r="R1965" s="26" t="s">
        <v>36</v>
      </c>
      <c r="S1965" s="31">
        <v>200</v>
      </c>
      <c r="T1965" s="32">
        <v>44891</v>
      </c>
      <c r="U1965" s="31">
        <v>16579</v>
      </c>
      <c r="V1965" s="32">
        <v>44892</v>
      </c>
      <c r="W1965" s="26" t="s">
        <v>5935</v>
      </c>
      <c r="X1965" s="26">
        <v>0</v>
      </c>
      <c r="Y1965" s="22">
        <v>-9430</v>
      </c>
      <c r="Z1965" s="26" t="s">
        <v>118</v>
      </c>
      <c r="AA1965" s="19" t="s">
        <v>5785</v>
      </c>
      <c r="AB1965" s="26" t="s">
        <v>36</v>
      </c>
      <c r="AC1965" s="26" t="s">
        <v>53</v>
      </c>
      <c r="AD1965" s="19" t="s">
        <v>54</v>
      </c>
      <c r="AE1965" s="26" t="s">
        <v>4988</v>
      </c>
      <c r="AF1965" s="17">
        <v>45379</v>
      </c>
      <c r="AG1965" s="26"/>
      <c r="AH1965" s="26"/>
      <c r="AI1965" s="40">
        <v>2</v>
      </c>
      <c r="AJ1965" s="26"/>
      <c r="AK1965" s="26"/>
      <c r="AL1965" s="35"/>
      <c r="AM1965" s="35"/>
      <c r="AN1965" s="35"/>
      <c r="AO1965" s="35"/>
      <c r="AP1965" s="35"/>
    </row>
    <row r="1966" spans="1:42" x14ac:dyDescent="0.2">
      <c r="A1966" s="38">
        <v>45373</v>
      </c>
      <c r="B1966" s="28" t="s">
        <v>37</v>
      </c>
      <c r="C1966" s="41" t="s">
        <v>118</v>
      </c>
      <c r="D1966" s="26" t="s">
        <v>36</v>
      </c>
      <c r="E1966" s="26" t="s">
        <v>148</v>
      </c>
      <c r="F1966" s="26" t="s">
        <v>836</v>
      </c>
      <c r="G1966" s="26" t="s">
        <v>221</v>
      </c>
      <c r="H1966" s="26" t="s">
        <v>6512</v>
      </c>
      <c r="I1966" s="17">
        <f ca="1">IFERROR(__xludf.DUMMYFUNCTION("""COMPUTED_VALUE"""),45431)</f>
        <v>45431</v>
      </c>
      <c r="J1966" s="29" t="s">
        <v>1333</v>
      </c>
      <c r="K1966" s="26" t="s">
        <v>7465</v>
      </c>
      <c r="L1966" s="30">
        <v>567431332</v>
      </c>
      <c r="M1966" s="26" t="s">
        <v>391</v>
      </c>
      <c r="N1966" s="26" t="s">
        <v>1335</v>
      </c>
      <c r="O1966" s="26" t="s">
        <v>1336</v>
      </c>
      <c r="P1966" s="54" t="s">
        <v>7466</v>
      </c>
      <c r="Q1966" s="20">
        <v>7349</v>
      </c>
      <c r="R1966" s="26" t="s">
        <v>36</v>
      </c>
      <c r="S1966" s="31">
        <v>7369</v>
      </c>
      <c r="T1966" s="32">
        <v>45145</v>
      </c>
      <c r="U1966" s="31"/>
      <c r="V1966" s="26"/>
      <c r="W1966" s="33" t="s">
        <v>1338</v>
      </c>
      <c r="X1966" s="26">
        <v>100</v>
      </c>
      <c r="Y1966" s="22">
        <v>-120</v>
      </c>
      <c r="Z1966" s="26" t="s">
        <v>118</v>
      </c>
      <c r="AA1966" s="19" t="s">
        <v>901</v>
      </c>
      <c r="AB1966" s="26" t="s">
        <v>36</v>
      </c>
      <c r="AC1966" s="26" t="s">
        <v>53</v>
      </c>
      <c r="AD1966" s="19" t="s">
        <v>54</v>
      </c>
      <c r="AE1966" s="26" t="s">
        <v>836</v>
      </c>
      <c r="AF1966" s="17">
        <v>45379</v>
      </c>
      <c r="AG1966" s="26"/>
      <c r="AH1966" s="26">
        <v>1</v>
      </c>
      <c r="AI1966" s="40">
        <v>2</v>
      </c>
      <c r="AJ1966" s="26"/>
      <c r="AK1966" s="26"/>
      <c r="AL1966" s="35"/>
      <c r="AM1966" s="35"/>
      <c r="AN1966" s="35"/>
      <c r="AO1966" s="35"/>
      <c r="AP1966" s="35"/>
    </row>
    <row r="1967" spans="1:42" x14ac:dyDescent="0.2">
      <c r="A1967" s="38">
        <v>45373</v>
      </c>
      <c r="B1967" s="28" t="s">
        <v>37</v>
      </c>
      <c r="C1967" s="41" t="s">
        <v>118</v>
      </c>
      <c r="D1967" s="26" t="s">
        <v>36</v>
      </c>
      <c r="E1967" s="26" t="s">
        <v>219</v>
      </c>
      <c r="F1967" s="26" t="s">
        <v>3181</v>
      </c>
      <c r="G1967" s="26" t="s">
        <v>221</v>
      </c>
      <c r="H1967" s="26" t="s">
        <v>7467</v>
      </c>
      <c r="I1967" s="17" t="str">
        <f ca="1">IFERROR(__xludf.DUMMYFUNCTION("""COMPUTED_VALUE""")," ")</f>
        <v xml:space="preserve"> </v>
      </c>
      <c r="J1967" s="55" t="s">
        <v>7468</v>
      </c>
      <c r="K1967" s="26" t="s">
        <v>7469</v>
      </c>
      <c r="L1967" s="83">
        <v>865489236</v>
      </c>
      <c r="M1967" s="26" t="s">
        <v>80</v>
      </c>
      <c r="N1967" s="26" t="s">
        <v>253</v>
      </c>
      <c r="O1967" s="26" t="s">
        <v>3606</v>
      </c>
      <c r="P1967" s="42" t="s">
        <v>4780</v>
      </c>
      <c r="Q1967" s="20">
        <v>9317</v>
      </c>
      <c r="R1967" s="26" t="s">
        <v>36</v>
      </c>
      <c r="S1967" s="31">
        <v>2000</v>
      </c>
      <c r="T1967" s="32">
        <v>45133</v>
      </c>
      <c r="U1967" s="31">
        <v>7317</v>
      </c>
      <c r="V1967" s="32">
        <v>45174</v>
      </c>
      <c r="W1967" s="33" t="s">
        <v>2448</v>
      </c>
      <c r="X1967" s="26"/>
      <c r="Y1967" s="22">
        <v>0</v>
      </c>
      <c r="Z1967" s="26" t="s">
        <v>118</v>
      </c>
      <c r="AA1967" s="19" t="s">
        <v>4541</v>
      </c>
      <c r="AB1967" s="26" t="s">
        <v>36</v>
      </c>
      <c r="AC1967" s="26" t="s">
        <v>53</v>
      </c>
      <c r="AD1967" s="19" t="s">
        <v>54</v>
      </c>
      <c r="AE1967" s="26" t="s">
        <v>3181</v>
      </c>
      <c r="AF1967" s="17">
        <v>45379</v>
      </c>
      <c r="AG1967" s="33" t="s">
        <v>4778</v>
      </c>
      <c r="AH1967" s="26" t="s">
        <v>7470</v>
      </c>
      <c r="AI1967" s="26" t="s">
        <v>7471</v>
      </c>
      <c r="AJ1967" s="26"/>
      <c r="AK1967" s="26"/>
      <c r="AL1967" s="35"/>
      <c r="AM1967" s="35"/>
      <c r="AN1967" s="35"/>
      <c r="AO1967" s="35"/>
      <c r="AP1967" s="35"/>
    </row>
    <row r="1968" spans="1:42" x14ac:dyDescent="0.2">
      <c r="A1968" s="38">
        <v>45375</v>
      </c>
      <c r="B1968" s="28" t="s">
        <v>37</v>
      </c>
      <c r="C1968" s="41" t="s">
        <v>118</v>
      </c>
      <c r="D1968" s="26" t="s">
        <v>36</v>
      </c>
      <c r="E1968" s="26" t="s">
        <v>56</v>
      </c>
      <c r="F1968" s="26" t="s">
        <v>3295</v>
      </c>
      <c r="G1968" s="26" t="s">
        <v>221</v>
      </c>
      <c r="H1968" s="26" t="s">
        <v>2071</v>
      </c>
      <c r="I1968" s="17">
        <f ca="1">IFERROR(__xludf.DUMMYFUNCTION("""COMPUTED_VALUE"""),45392)</f>
        <v>45392</v>
      </c>
      <c r="J1968" s="29" t="s">
        <v>2564</v>
      </c>
      <c r="K1968" s="26" t="s">
        <v>2565</v>
      </c>
      <c r="L1968" s="30">
        <v>866505937</v>
      </c>
      <c r="M1968" s="26" t="s">
        <v>123</v>
      </c>
      <c r="N1968" s="26" t="s">
        <v>850</v>
      </c>
      <c r="O1968" s="26" t="s">
        <v>125</v>
      </c>
      <c r="P1968" s="42" t="s">
        <v>5814</v>
      </c>
      <c r="Q1968" s="20">
        <v>9317</v>
      </c>
      <c r="R1968" s="26" t="s">
        <v>36</v>
      </c>
      <c r="S1968" s="31">
        <v>5000</v>
      </c>
      <c r="T1968" s="32">
        <v>45166</v>
      </c>
      <c r="U1968" s="31">
        <v>4317</v>
      </c>
      <c r="V1968" s="32">
        <v>45187</v>
      </c>
      <c r="W1968" s="33" t="s">
        <v>2567</v>
      </c>
      <c r="X1968" s="26"/>
      <c r="Y1968" s="22">
        <v>0</v>
      </c>
      <c r="Z1968" s="26" t="s">
        <v>118</v>
      </c>
      <c r="AA1968" s="19" t="s">
        <v>2449</v>
      </c>
      <c r="AB1968" s="26" t="s">
        <v>36</v>
      </c>
      <c r="AC1968" s="26" t="s">
        <v>53</v>
      </c>
      <c r="AD1968" s="19" t="s">
        <v>54</v>
      </c>
      <c r="AE1968" s="26" t="s">
        <v>3295</v>
      </c>
      <c r="AF1968" s="17">
        <v>45383</v>
      </c>
      <c r="AG1968" s="26"/>
      <c r="AH1968" s="26"/>
      <c r="AI1968" s="40" t="s">
        <v>64</v>
      </c>
      <c r="AJ1968" s="26"/>
      <c r="AK1968" s="26"/>
      <c r="AL1968" s="35"/>
      <c r="AM1968" s="35"/>
      <c r="AN1968" s="35"/>
      <c r="AO1968" s="35"/>
      <c r="AP1968" s="35"/>
    </row>
    <row r="1969" spans="1:42" x14ac:dyDescent="0.2">
      <c r="A1969" s="38">
        <v>45375</v>
      </c>
      <c r="B1969" s="28" t="s">
        <v>37</v>
      </c>
      <c r="C1969" s="41" t="s">
        <v>118</v>
      </c>
      <c r="D1969" s="26" t="s">
        <v>36</v>
      </c>
      <c r="E1969" s="26" t="s">
        <v>139</v>
      </c>
      <c r="F1969" s="26" t="s">
        <v>3295</v>
      </c>
      <c r="G1969" s="26" t="s">
        <v>221</v>
      </c>
      <c r="H1969" s="26" t="s">
        <v>2071</v>
      </c>
      <c r="I1969" s="17">
        <f ca="1">IFERROR(__xludf.DUMMYFUNCTION("""COMPUTED_VALUE"""),45392)</f>
        <v>45392</v>
      </c>
      <c r="J1969" s="29" t="s">
        <v>2568</v>
      </c>
      <c r="K1969" s="26" t="s">
        <v>5819</v>
      </c>
      <c r="L1969" s="30">
        <v>376179475</v>
      </c>
      <c r="M1969" s="26" t="s">
        <v>80</v>
      </c>
      <c r="N1969" s="26" t="s">
        <v>299</v>
      </c>
      <c r="O1969" s="26" t="s">
        <v>2570</v>
      </c>
      <c r="P1969" s="42" t="s">
        <v>5820</v>
      </c>
      <c r="Q1969" s="20">
        <v>15936</v>
      </c>
      <c r="R1969" s="26" t="s">
        <v>36</v>
      </c>
      <c r="S1969" s="31">
        <v>2000</v>
      </c>
      <c r="T1969" s="32">
        <v>45167</v>
      </c>
      <c r="U1969" s="31">
        <v>13968</v>
      </c>
      <c r="V1969" s="32">
        <v>45196</v>
      </c>
      <c r="W1969" s="33" t="s">
        <v>2572</v>
      </c>
      <c r="X1969" s="26"/>
      <c r="Y1969" s="22">
        <v>0</v>
      </c>
      <c r="Z1969" s="26" t="s">
        <v>118</v>
      </c>
      <c r="AA1969" s="19" t="s">
        <v>2449</v>
      </c>
      <c r="AB1969" s="26" t="s">
        <v>36</v>
      </c>
      <c r="AC1969" s="26" t="s">
        <v>53</v>
      </c>
      <c r="AD1969" s="19" t="s">
        <v>54</v>
      </c>
      <c r="AE1969" s="26" t="s">
        <v>3295</v>
      </c>
      <c r="AF1969" s="17">
        <v>45383</v>
      </c>
      <c r="AG1969" s="26"/>
      <c r="AH1969" s="26"/>
      <c r="AI1969" s="40" t="s">
        <v>147</v>
      </c>
      <c r="AJ1969" s="26"/>
      <c r="AK1969" s="26"/>
      <c r="AL1969" s="35"/>
      <c r="AM1969" s="35"/>
      <c r="AN1969" s="35"/>
      <c r="AO1969" s="35"/>
      <c r="AP1969" s="35"/>
    </row>
    <row r="1970" spans="1:42" x14ac:dyDescent="0.2">
      <c r="A1970" s="38">
        <v>45375</v>
      </c>
      <c r="B1970" s="28" t="s">
        <v>37</v>
      </c>
      <c r="C1970" s="41" t="s">
        <v>118</v>
      </c>
      <c r="D1970" s="26" t="s">
        <v>36</v>
      </c>
      <c r="E1970" s="26" t="s">
        <v>148</v>
      </c>
      <c r="F1970" s="26" t="s">
        <v>2191</v>
      </c>
      <c r="G1970" s="26" t="s">
        <v>221</v>
      </c>
      <c r="H1970" s="26" t="s">
        <v>2071</v>
      </c>
      <c r="I1970" s="17">
        <f ca="1">IFERROR(__xludf.DUMMYFUNCTION("""COMPUTED_VALUE"""),45392)</f>
        <v>45392</v>
      </c>
      <c r="J1970" s="29" t="s">
        <v>3042</v>
      </c>
      <c r="K1970" s="26" t="s">
        <v>7472</v>
      </c>
      <c r="L1970" s="30">
        <v>394290102</v>
      </c>
      <c r="M1970" s="26" t="s">
        <v>548</v>
      </c>
      <c r="N1970" s="26" t="s">
        <v>3044</v>
      </c>
      <c r="O1970" s="26" t="s">
        <v>3045</v>
      </c>
      <c r="P1970" s="42" t="s">
        <v>7473</v>
      </c>
      <c r="Q1970" s="20">
        <v>7349</v>
      </c>
      <c r="R1970" s="26" t="s">
        <v>36</v>
      </c>
      <c r="S1970" s="31">
        <v>7349</v>
      </c>
      <c r="T1970" s="32">
        <v>45191</v>
      </c>
      <c r="U1970" s="31"/>
      <c r="V1970" s="26"/>
      <c r="W1970" s="33" t="s">
        <v>3047</v>
      </c>
      <c r="X1970" s="26"/>
      <c r="Y1970" s="22">
        <v>0</v>
      </c>
      <c r="Z1970" s="26" t="s">
        <v>118</v>
      </c>
      <c r="AA1970" s="19" t="s">
        <v>2449</v>
      </c>
      <c r="AB1970" s="26" t="s">
        <v>36</v>
      </c>
      <c r="AC1970" s="26" t="s">
        <v>53</v>
      </c>
      <c r="AD1970" s="19" t="s">
        <v>54</v>
      </c>
      <c r="AE1970" s="26" t="s">
        <v>2191</v>
      </c>
      <c r="AF1970" s="17">
        <v>45383</v>
      </c>
      <c r="AG1970" s="26"/>
      <c r="AH1970" s="26"/>
      <c r="AI1970" s="40"/>
      <c r="AJ1970" s="26"/>
      <c r="AK1970" s="26"/>
      <c r="AL1970" s="35"/>
      <c r="AM1970" s="35"/>
      <c r="AN1970" s="35"/>
      <c r="AO1970" s="35"/>
      <c r="AP1970" s="35"/>
    </row>
    <row r="1971" spans="1:42" x14ac:dyDescent="0.2">
      <c r="A1971" s="38">
        <v>45375</v>
      </c>
      <c r="B1971" s="28" t="s">
        <v>37</v>
      </c>
      <c r="C1971" s="41" t="s">
        <v>118</v>
      </c>
      <c r="D1971" s="26" t="s">
        <v>36</v>
      </c>
      <c r="E1971" s="26" t="s">
        <v>139</v>
      </c>
      <c r="F1971" s="26" t="s">
        <v>6412</v>
      </c>
      <c r="G1971" s="26" t="s">
        <v>108</v>
      </c>
      <c r="H1971" s="26" t="s">
        <v>6600</v>
      </c>
      <c r="I1971" s="17">
        <f ca="1">IFERROR(__xludf.DUMMYFUNCTION("""COMPUTED_VALUE"""),45382)</f>
        <v>45382</v>
      </c>
      <c r="J1971" s="29" t="s">
        <v>7085</v>
      </c>
      <c r="K1971" s="26" t="s">
        <v>7086</v>
      </c>
      <c r="L1971" s="30">
        <v>962212489</v>
      </c>
      <c r="M1971" s="26" t="s">
        <v>80</v>
      </c>
      <c r="N1971" s="26" t="s">
        <v>466</v>
      </c>
      <c r="O1971" s="26" t="s">
        <v>7087</v>
      </c>
      <c r="P1971" s="26" t="s">
        <v>7088</v>
      </c>
      <c r="Q1971" s="20">
        <v>15936</v>
      </c>
      <c r="R1971" s="26" t="s">
        <v>36</v>
      </c>
      <c r="S1971" s="31">
        <v>200</v>
      </c>
      <c r="T1971" s="32">
        <v>45291</v>
      </c>
      <c r="U1971" s="31">
        <f>3800+11936</f>
        <v>15736</v>
      </c>
      <c r="V1971" s="26" t="s">
        <v>7089</v>
      </c>
      <c r="W1971" s="26" t="s">
        <v>7090</v>
      </c>
      <c r="X1971" s="26"/>
      <c r="Y1971" s="22">
        <v>0</v>
      </c>
      <c r="Z1971" s="26" t="s">
        <v>118</v>
      </c>
      <c r="AA1971" s="19" t="s">
        <v>7077</v>
      </c>
      <c r="AB1971" s="26" t="s">
        <v>36</v>
      </c>
      <c r="AC1971" s="26" t="s">
        <v>53</v>
      </c>
      <c r="AD1971" s="19" t="s">
        <v>54</v>
      </c>
      <c r="AE1971" s="26" t="s">
        <v>6412</v>
      </c>
      <c r="AF1971" s="17">
        <v>45377</v>
      </c>
      <c r="AG1971" s="26"/>
      <c r="AH1971" s="26"/>
      <c r="AI1971" s="40" t="s">
        <v>147</v>
      </c>
      <c r="AJ1971" s="26"/>
      <c r="AK1971" s="26"/>
      <c r="AL1971" s="35"/>
      <c r="AM1971" s="35"/>
      <c r="AN1971" s="35"/>
      <c r="AO1971" s="35"/>
      <c r="AP1971" s="35"/>
    </row>
    <row r="1972" spans="1:42" x14ac:dyDescent="0.2">
      <c r="A1972" s="38">
        <v>45375</v>
      </c>
      <c r="B1972" s="28" t="s">
        <v>37</v>
      </c>
      <c r="C1972" s="41" t="s">
        <v>118</v>
      </c>
      <c r="D1972" s="26" t="s">
        <v>36</v>
      </c>
      <c r="E1972" s="26" t="s">
        <v>219</v>
      </c>
      <c r="F1972" s="26" t="s">
        <v>3295</v>
      </c>
      <c r="G1972" s="26" t="s">
        <v>221</v>
      </c>
      <c r="H1972" s="26" t="s">
        <v>7474</v>
      </c>
      <c r="I1972" s="17" t="str">
        <f ca="1">IFERROR(__xludf.DUMMYFUNCTION("""COMPUTED_VALUE""")," ")</f>
        <v xml:space="preserve"> </v>
      </c>
      <c r="J1972" s="29" t="s">
        <v>5545</v>
      </c>
      <c r="K1972" s="26" t="s">
        <v>5899</v>
      </c>
      <c r="L1972" s="30">
        <v>868819333</v>
      </c>
      <c r="M1972" s="26" t="s">
        <v>1245</v>
      </c>
      <c r="N1972" s="26" t="s">
        <v>1750</v>
      </c>
      <c r="O1972" s="26" t="s">
        <v>2828</v>
      </c>
      <c r="P1972" s="42" t="s">
        <v>7475</v>
      </c>
      <c r="Q1972" s="20">
        <v>3768</v>
      </c>
      <c r="R1972" s="26" t="s">
        <v>36</v>
      </c>
      <c r="S1972" s="31">
        <v>3768</v>
      </c>
      <c r="T1972" s="32">
        <v>45236</v>
      </c>
      <c r="U1972" s="31"/>
      <c r="V1972" s="32"/>
      <c r="W1972" s="33" t="s">
        <v>5547</v>
      </c>
      <c r="X1972" s="26"/>
      <c r="Y1972" s="22">
        <v>0</v>
      </c>
      <c r="Z1972" s="26" t="s">
        <v>50</v>
      </c>
      <c r="AA1972" s="19" t="s">
        <v>5112</v>
      </c>
      <c r="AB1972" s="26" t="s">
        <v>36</v>
      </c>
      <c r="AC1972" s="26" t="s">
        <v>53</v>
      </c>
      <c r="AD1972" s="19" t="s">
        <v>54</v>
      </c>
      <c r="AE1972" s="26" t="s">
        <v>3295</v>
      </c>
      <c r="AF1972" s="17">
        <v>45379</v>
      </c>
      <c r="AG1972" s="26"/>
      <c r="AH1972" s="26"/>
      <c r="AI1972" s="40">
        <v>1</v>
      </c>
      <c r="AJ1972" s="26"/>
      <c r="AK1972" s="26"/>
      <c r="AL1972" s="35"/>
      <c r="AM1972" s="35"/>
      <c r="AN1972" s="35"/>
      <c r="AO1972" s="35"/>
      <c r="AP1972" s="35"/>
    </row>
    <row r="1973" spans="1:42" x14ac:dyDescent="0.2">
      <c r="A1973" s="38">
        <v>45375</v>
      </c>
      <c r="B1973" s="28" t="s">
        <v>37</v>
      </c>
      <c r="C1973" s="41" t="s">
        <v>118</v>
      </c>
      <c r="D1973" s="26" t="s">
        <v>36</v>
      </c>
      <c r="E1973" s="26" t="s">
        <v>56</v>
      </c>
      <c r="F1973" s="26" t="s">
        <v>2258</v>
      </c>
      <c r="G1973" s="26" t="s">
        <v>221</v>
      </c>
      <c r="H1973" s="26" t="s">
        <v>2071</v>
      </c>
      <c r="I1973" s="17">
        <f ca="1">IFERROR(__xludf.DUMMYFUNCTION("""COMPUTED_VALUE"""),45392)</f>
        <v>45392</v>
      </c>
      <c r="J1973" s="29" t="s">
        <v>3199</v>
      </c>
      <c r="K1973" s="26" t="s">
        <v>5979</v>
      </c>
      <c r="L1973" s="30">
        <v>975329707</v>
      </c>
      <c r="M1973" s="26" t="s">
        <v>59</v>
      </c>
      <c r="N1973" s="26" t="s">
        <v>68</v>
      </c>
      <c r="O1973" s="26" t="s">
        <v>3201</v>
      </c>
      <c r="P1973" s="42" t="s">
        <v>7476</v>
      </c>
      <c r="Q1973" s="20">
        <v>9317</v>
      </c>
      <c r="R1973" s="26" t="s">
        <v>36</v>
      </c>
      <c r="S1973" s="31">
        <v>9317</v>
      </c>
      <c r="T1973" s="32">
        <v>45196</v>
      </c>
      <c r="U1973" s="31"/>
      <c r="V1973" s="32"/>
      <c r="W1973" s="33" t="s">
        <v>3203</v>
      </c>
      <c r="X1973" s="26"/>
      <c r="Y1973" s="22">
        <v>0</v>
      </c>
      <c r="Z1973" s="26" t="s">
        <v>118</v>
      </c>
      <c r="AA1973" s="19" t="s">
        <v>5785</v>
      </c>
      <c r="AB1973" s="26" t="s">
        <v>36</v>
      </c>
      <c r="AC1973" s="26" t="s">
        <v>53</v>
      </c>
      <c r="AD1973" s="19" t="s">
        <v>54</v>
      </c>
      <c r="AE1973" s="26" t="s">
        <v>2258</v>
      </c>
      <c r="AF1973" s="17">
        <v>45383</v>
      </c>
      <c r="AG1973" s="26"/>
      <c r="AH1973" s="26"/>
      <c r="AI1973" s="40" t="s">
        <v>64</v>
      </c>
      <c r="AJ1973" s="26"/>
      <c r="AK1973" s="26"/>
      <c r="AL1973" s="35"/>
      <c r="AM1973" s="35"/>
      <c r="AN1973" s="35"/>
      <c r="AO1973" s="35"/>
      <c r="AP1973" s="35"/>
    </row>
    <row r="1974" spans="1:42" x14ac:dyDescent="0.2">
      <c r="A1974" s="38">
        <v>45375</v>
      </c>
      <c r="B1974" s="28" t="s">
        <v>37</v>
      </c>
      <c r="C1974" s="41" t="s">
        <v>118</v>
      </c>
      <c r="D1974" s="26" t="s">
        <v>36</v>
      </c>
      <c r="E1974" s="26" t="s">
        <v>139</v>
      </c>
      <c r="F1974" s="26" t="s">
        <v>2258</v>
      </c>
      <c r="G1974" s="26" t="s">
        <v>221</v>
      </c>
      <c r="H1974" s="26" t="s">
        <v>7477</v>
      </c>
      <c r="I1974" s="17">
        <f ca="1">IFERROR(__xludf.DUMMYFUNCTION("""COMPUTED_VALUE"""),45513)</f>
        <v>45513</v>
      </c>
      <c r="J1974" s="44" t="s">
        <v>4141</v>
      </c>
      <c r="K1974" s="26" t="s">
        <v>7478</v>
      </c>
      <c r="L1974" s="30">
        <v>946286958</v>
      </c>
      <c r="M1974" s="26" t="s">
        <v>80</v>
      </c>
      <c r="N1974" s="26" t="s">
        <v>186</v>
      </c>
      <c r="O1974" s="26" t="s">
        <v>1492</v>
      </c>
      <c r="P1974" s="34" t="s">
        <v>7479</v>
      </c>
      <c r="Q1974" s="20">
        <v>15936</v>
      </c>
      <c r="R1974" s="26" t="s">
        <v>36</v>
      </c>
      <c r="S1974" s="31">
        <v>2000</v>
      </c>
      <c r="T1974" s="32">
        <v>45208</v>
      </c>
      <c r="U1974" s="31">
        <v>13936</v>
      </c>
      <c r="V1974" s="32">
        <v>45230</v>
      </c>
      <c r="W1974" s="33" t="s">
        <v>4144</v>
      </c>
      <c r="X1974" s="26"/>
      <c r="Y1974" s="22">
        <v>0</v>
      </c>
      <c r="Z1974" s="26" t="s">
        <v>118</v>
      </c>
      <c r="AA1974" s="19" t="s">
        <v>3454</v>
      </c>
      <c r="AB1974" s="26" t="s">
        <v>36</v>
      </c>
      <c r="AC1974" s="26" t="s">
        <v>53</v>
      </c>
      <c r="AD1974" s="19" t="s">
        <v>54</v>
      </c>
      <c r="AE1974" s="26" t="s">
        <v>2258</v>
      </c>
      <c r="AF1974" s="17">
        <v>45377</v>
      </c>
      <c r="AG1974" s="26" t="s">
        <v>5011</v>
      </c>
      <c r="AH1974" s="26"/>
      <c r="AI1974" s="40"/>
      <c r="AJ1974" s="26"/>
      <c r="AK1974" s="26"/>
      <c r="AL1974" s="35"/>
      <c r="AM1974" s="35"/>
      <c r="AN1974" s="35"/>
      <c r="AO1974" s="35"/>
      <c r="AP1974" s="35"/>
    </row>
    <row r="1975" spans="1:42" x14ac:dyDescent="0.2">
      <c r="A1975" s="38">
        <v>45378</v>
      </c>
      <c r="B1975" s="28" t="s">
        <v>37</v>
      </c>
      <c r="C1975" s="41" t="s">
        <v>118</v>
      </c>
      <c r="D1975" s="26" t="s">
        <v>36</v>
      </c>
      <c r="E1975" s="26" t="s">
        <v>56</v>
      </c>
      <c r="F1975" s="19" t="s">
        <v>4525</v>
      </c>
      <c r="G1975" s="26" t="s">
        <v>221</v>
      </c>
      <c r="H1975" s="19" t="s">
        <v>2071</v>
      </c>
      <c r="I1975" s="17">
        <f ca="1">IFERROR(__xludf.DUMMYFUNCTION("""COMPUTED_VALUE"""),45392)</f>
        <v>45392</v>
      </c>
      <c r="J1975" s="49" t="s">
        <v>4027</v>
      </c>
      <c r="K1975" s="19" t="s">
        <v>4028</v>
      </c>
      <c r="L1975" s="47">
        <v>378313441</v>
      </c>
      <c r="M1975" s="26" t="s">
        <v>1245</v>
      </c>
      <c r="N1975" s="26" t="s">
        <v>4957</v>
      </c>
      <c r="O1975" s="19" t="s">
        <v>4029</v>
      </c>
      <c r="P1975" s="62" t="s">
        <v>7480</v>
      </c>
      <c r="Q1975" s="20">
        <v>9317</v>
      </c>
      <c r="R1975" s="26" t="s">
        <v>36</v>
      </c>
      <c r="S1975" s="31">
        <v>200</v>
      </c>
      <c r="T1975" s="32">
        <v>45202</v>
      </c>
      <c r="U1975" s="21">
        <f>7317+1800</f>
        <v>9117</v>
      </c>
      <c r="V1975" s="26" t="s">
        <v>4031</v>
      </c>
      <c r="W1975" s="33" t="s">
        <v>4032</v>
      </c>
      <c r="X1975" s="26"/>
      <c r="Y1975" s="22">
        <v>0</v>
      </c>
      <c r="Z1975" s="26" t="s">
        <v>118</v>
      </c>
      <c r="AA1975" s="19" t="s">
        <v>3454</v>
      </c>
      <c r="AB1975" s="26" t="s">
        <v>36</v>
      </c>
      <c r="AC1975" s="26" t="s">
        <v>53</v>
      </c>
      <c r="AD1975" s="19" t="s">
        <v>54</v>
      </c>
      <c r="AE1975" s="26" t="s">
        <v>4525</v>
      </c>
      <c r="AF1975" s="17">
        <v>45383</v>
      </c>
      <c r="AG1975" s="26"/>
      <c r="AH1975" s="26"/>
      <c r="AI1975" s="40"/>
      <c r="AJ1975" s="26"/>
      <c r="AK1975" s="26"/>
      <c r="AL1975" s="35"/>
      <c r="AM1975" s="35"/>
      <c r="AN1975" s="35"/>
      <c r="AO1975" s="35"/>
      <c r="AP1975" s="35"/>
    </row>
    <row r="1976" spans="1:42" x14ac:dyDescent="0.2">
      <c r="A1976" s="38">
        <v>45378</v>
      </c>
      <c r="B1976" s="28" t="s">
        <v>37</v>
      </c>
      <c r="C1976" s="41" t="s">
        <v>118</v>
      </c>
      <c r="D1976" s="26" t="s">
        <v>36</v>
      </c>
      <c r="E1976" s="26" t="s">
        <v>119</v>
      </c>
      <c r="F1976" s="26" t="s">
        <v>3295</v>
      </c>
      <c r="G1976" s="26" t="s">
        <v>221</v>
      </c>
      <c r="H1976" s="19" t="s">
        <v>7481</v>
      </c>
      <c r="I1976" s="17">
        <f ca="1">IFERROR(__xludf.DUMMYFUNCTION("""COMPUTED_VALUE"""),45646)</f>
        <v>45646</v>
      </c>
      <c r="J1976" s="29" t="s">
        <v>5630</v>
      </c>
      <c r="K1976" s="26" t="s">
        <v>7482</v>
      </c>
      <c r="L1976" s="30">
        <v>358101104</v>
      </c>
      <c r="M1976" s="26" t="s">
        <v>5558</v>
      </c>
      <c r="N1976" s="26" t="s">
        <v>850</v>
      </c>
      <c r="O1976" s="26" t="s">
        <v>4503</v>
      </c>
      <c r="P1976" s="26" t="s">
        <v>5632</v>
      </c>
      <c r="Q1976" s="20">
        <v>13968</v>
      </c>
      <c r="R1976" s="26" t="s">
        <v>36</v>
      </c>
      <c r="S1976" s="31">
        <v>100</v>
      </c>
      <c r="T1976" s="32">
        <v>45241</v>
      </c>
      <c r="U1976" s="31">
        <v>13868</v>
      </c>
      <c r="V1976" s="32">
        <v>45242</v>
      </c>
      <c r="W1976" s="33" t="s">
        <v>5633</v>
      </c>
      <c r="X1976" s="26"/>
      <c r="Y1976" s="22">
        <v>0</v>
      </c>
      <c r="Z1976" s="26" t="s">
        <v>118</v>
      </c>
      <c r="AA1976" s="19" t="s">
        <v>5112</v>
      </c>
      <c r="AB1976" s="26" t="s">
        <v>36</v>
      </c>
      <c r="AC1976" s="26" t="s">
        <v>53</v>
      </c>
      <c r="AD1976" s="19" t="s">
        <v>54</v>
      </c>
      <c r="AE1976" s="26" t="s">
        <v>3295</v>
      </c>
      <c r="AF1976" s="17">
        <v>45379</v>
      </c>
      <c r="AG1976" s="26"/>
      <c r="AH1976" s="26"/>
      <c r="AI1976" s="40">
        <v>4</v>
      </c>
      <c r="AJ1976" s="26"/>
      <c r="AK1976" s="26"/>
      <c r="AL1976" s="35"/>
      <c r="AM1976" s="35"/>
      <c r="AN1976" s="35"/>
      <c r="AO1976" s="35"/>
      <c r="AP1976" s="35"/>
    </row>
    <row r="1977" spans="1:42" x14ac:dyDescent="0.2">
      <c r="A1977" s="38">
        <v>45379</v>
      </c>
      <c r="B1977" s="28" t="s">
        <v>37</v>
      </c>
      <c r="C1977" s="41" t="s">
        <v>118</v>
      </c>
      <c r="D1977" s="26" t="s">
        <v>36</v>
      </c>
      <c r="E1977" s="26" t="s">
        <v>39</v>
      </c>
      <c r="F1977" s="26" t="s">
        <v>65</v>
      </c>
      <c r="G1977" s="26" t="s">
        <v>108</v>
      </c>
      <c r="H1977" s="26" t="s">
        <v>7483</v>
      </c>
      <c r="I1977" s="17" t="str">
        <f ca="1">IFERROR(__xludf.DUMMYFUNCTION("""COMPUTED_VALUE""")," ")</f>
        <v xml:space="preserve"> </v>
      </c>
      <c r="J1977" s="29" t="s">
        <v>167</v>
      </c>
      <c r="K1977" s="26" t="s">
        <v>7484</v>
      </c>
      <c r="L1977" s="30">
        <v>911089376</v>
      </c>
      <c r="M1977" s="26" t="s">
        <v>80</v>
      </c>
      <c r="N1977" s="26" t="s">
        <v>81</v>
      </c>
      <c r="O1977" s="26" t="s">
        <v>169</v>
      </c>
      <c r="P1977" s="42" t="s">
        <v>7485</v>
      </c>
      <c r="Q1977" s="20">
        <v>5736</v>
      </c>
      <c r="R1977" s="26" t="s">
        <v>36</v>
      </c>
      <c r="S1977" s="31">
        <v>5736</v>
      </c>
      <c r="T1977" s="32">
        <v>45112</v>
      </c>
      <c r="U1977" s="31"/>
      <c r="V1977" s="26"/>
      <c r="W1977" s="33" t="s">
        <v>171</v>
      </c>
      <c r="X1977" s="26">
        <v>0</v>
      </c>
      <c r="Y1977" s="22">
        <v>0</v>
      </c>
      <c r="Z1977" s="26" t="s">
        <v>118</v>
      </c>
      <c r="AA1977" s="19" t="s">
        <v>51</v>
      </c>
      <c r="AB1977" s="26" t="s">
        <v>36</v>
      </c>
      <c r="AC1977" s="26" t="s">
        <v>53</v>
      </c>
      <c r="AD1977" s="19" t="s">
        <v>54</v>
      </c>
      <c r="AE1977" s="26" t="s">
        <v>65</v>
      </c>
      <c r="AF1977" s="17">
        <v>45386</v>
      </c>
      <c r="AG1977" s="26"/>
      <c r="AH1977" s="26">
        <v>1</v>
      </c>
      <c r="AI1977" s="40" t="s">
        <v>55</v>
      </c>
      <c r="AJ1977" s="26"/>
      <c r="AK1977" s="26"/>
      <c r="AL1977" s="35"/>
      <c r="AM1977" s="35"/>
      <c r="AN1977" s="35"/>
      <c r="AO1977" s="35"/>
      <c r="AP1977" s="35"/>
    </row>
    <row r="1978" spans="1:42" x14ac:dyDescent="0.2">
      <c r="A1978" s="38">
        <v>45380</v>
      </c>
      <c r="B1978" s="28" t="s">
        <v>37</v>
      </c>
      <c r="C1978" s="41" t="s">
        <v>118</v>
      </c>
      <c r="D1978" s="26" t="s">
        <v>36</v>
      </c>
      <c r="E1978" s="26" t="s">
        <v>106</v>
      </c>
      <c r="F1978" s="26" t="s">
        <v>3198</v>
      </c>
      <c r="G1978" s="88" t="s">
        <v>108</v>
      </c>
      <c r="H1978" s="26" t="s">
        <v>7486</v>
      </c>
      <c r="I1978" s="17">
        <f ca="1">IFERROR(__xludf.DUMMYFUNCTION("""COMPUTED_VALUE"""),45800)</f>
        <v>45800</v>
      </c>
      <c r="J1978" s="29" t="s">
        <v>7487</v>
      </c>
      <c r="K1978" s="26" t="s">
        <v>7488</v>
      </c>
      <c r="L1978" s="30">
        <v>868429010</v>
      </c>
      <c r="M1978" s="26" t="s">
        <v>1245</v>
      </c>
      <c r="N1978" s="26" t="s">
        <v>1246</v>
      </c>
      <c r="O1978" s="26" t="s">
        <v>91</v>
      </c>
      <c r="P1978" s="42" t="s">
        <v>7489</v>
      </c>
      <c r="Q1978" s="20">
        <v>10804</v>
      </c>
      <c r="R1978" s="26" t="s">
        <v>36</v>
      </c>
      <c r="S1978" s="31">
        <v>1000</v>
      </c>
      <c r="T1978" s="32">
        <v>44965</v>
      </c>
      <c r="U1978" s="31">
        <v>9804</v>
      </c>
      <c r="V1978" s="32">
        <v>44973</v>
      </c>
      <c r="W1978" s="26" t="s">
        <v>7490</v>
      </c>
      <c r="X1978" s="26">
        <v>0</v>
      </c>
      <c r="Y1978" s="22">
        <v>0</v>
      </c>
      <c r="Z1978" s="98" t="s">
        <v>118</v>
      </c>
      <c r="AA1978" s="19"/>
      <c r="AB1978" s="26" t="s">
        <v>36</v>
      </c>
      <c r="AC1978" s="26" t="s">
        <v>53</v>
      </c>
      <c r="AD1978" s="19" t="s">
        <v>54</v>
      </c>
      <c r="AE1978" s="26" t="s">
        <v>3198</v>
      </c>
      <c r="AF1978" s="17">
        <v>45796</v>
      </c>
      <c r="AG1978" s="26"/>
      <c r="AH1978" s="91"/>
      <c r="AI1978" s="92"/>
      <c r="AJ1978" s="92"/>
      <c r="AK1978" s="35"/>
      <c r="AL1978" s="35"/>
      <c r="AM1978" s="35"/>
      <c r="AN1978" s="35"/>
      <c r="AO1978" s="26"/>
      <c r="AP1978" s="26"/>
    </row>
    <row r="1979" spans="1:42" x14ac:dyDescent="0.2">
      <c r="A1979" s="38">
        <v>45380</v>
      </c>
      <c r="B1979" s="28" t="s">
        <v>37</v>
      </c>
      <c r="C1979" s="41" t="s">
        <v>118</v>
      </c>
      <c r="D1979" s="26" t="s">
        <v>36</v>
      </c>
      <c r="E1979" s="26" t="s">
        <v>56</v>
      </c>
      <c r="F1979" s="26" t="s">
        <v>7491</v>
      </c>
      <c r="G1979" s="26" t="s">
        <v>108</v>
      </c>
      <c r="H1979" s="26" t="s">
        <v>1710</v>
      </c>
      <c r="I1979" s="17">
        <f ca="1">IFERROR(__xludf.DUMMYFUNCTION("""COMPUTED_VALUE"""),45293)</f>
        <v>45293</v>
      </c>
      <c r="J1979" s="29" t="s">
        <v>2895</v>
      </c>
      <c r="K1979" s="26" t="s">
        <v>7492</v>
      </c>
      <c r="L1979" s="30">
        <v>353373576</v>
      </c>
      <c r="M1979" s="26" t="s">
        <v>59</v>
      </c>
      <c r="N1979" s="26" t="s">
        <v>68</v>
      </c>
      <c r="O1979" s="26" t="s">
        <v>2897</v>
      </c>
      <c r="P1979" s="42" t="s">
        <v>2898</v>
      </c>
      <c r="Q1979" s="20">
        <v>9317</v>
      </c>
      <c r="R1979" s="26" t="s">
        <v>70</v>
      </c>
      <c r="S1979" s="31">
        <v>9217</v>
      </c>
      <c r="T1979" s="32">
        <v>45185</v>
      </c>
      <c r="U1979" s="31"/>
      <c r="V1979" s="26"/>
      <c r="W1979" s="33" t="s">
        <v>2899</v>
      </c>
      <c r="X1979" s="26"/>
      <c r="Y1979" s="22">
        <v>100</v>
      </c>
      <c r="Z1979" s="26" t="s">
        <v>118</v>
      </c>
      <c r="AA1979" s="19" t="s">
        <v>2449</v>
      </c>
      <c r="AB1979" s="26" t="s">
        <v>36</v>
      </c>
      <c r="AC1979" s="26" t="s">
        <v>53</v>
      </c>
      <c r="AD1979" s="19" t="s">
        <v>138</v>
      </c>
      <c r="AE1979" s="26" t="s">
        <v>3438</v>
      </c>
      <c r="AF1979" s="17">
        <v>45256</v>
      </c>
      <c r="AG1979" s="26" t="s">
        <v>3399</v>
      </c>
      <c r="AH1979" s="26"/>
      <c r="AI1979" s="40"/>
      <c r="AJ1979" s="26"/>
      <c r="AK1979" s="26"/>
      <c r="AL1979" s="35"/>
      <c r="AM1979" s="35"/>
      <c r="AN1979" s="35"/>
      <c r="AO1979" s="35"/>
      <c r="AP1979" s="35"/>
    </row>
    <row r="1980" spans="1:42" x14ac:dyDescent="0.2">
      <c r="A1980" s="38">
        <v>45373</v>
      </c>
      <c r="B1980" s="28" t="s">
        <v>37</v>
      </c>
      <c r="C1980" s="41" t="s">
        <v>118</v>
      </c>
      <c r="D1980" s="26" t="s">
        <v>36</v>
      </c>
      <c r="E1980" s="26" t="s">
        <v>219</v>
      </c>
      <c r="F1980" s="26" t="s">
        <v>3181</v>
      </c>
      <c r="G1980" s="26" t="s">
        <v>221</v>
      </c>
      <c r="H1980" s="26" t="s">
        <v>6057</v>
      </c>
      <c r="I1980" s="17">
        <f ca="1">IFERROR(__xludf.DUMMYFUNCTION("""COMPUTED_VALUE"""),45391)</f>
        <v>45391</v>
      </c>
      <c r="J1980" s="55" t="s">
        <v>7468</v>
      </c>
      <c r="K1980" s="26" t="s">
        <v>7469</v>
      </c>
      <c r="L1980" s="83">
        <v>865489236</v>
      </c>
      <c r="M1980" s="26" t="s">
        <v>80</v>
      </c>
      <c r="N1980" s="26" t="s">
        <v>253</v>
      </c>
      <c r="O1980" s="26" t="s">
        <v>3606</v>
      </c>
      <c r="P1980" s="42" t="s">
        <v>7493</v>
      </c>
      <c r="Q1980" s="20">
        <v>9317</v>
      </c>
      <c r="R1980" s="26" t="s">
        <v>36</v>
      </c>
      <c r="S1980" s="31">
        <v>2000</v>
      </c>
      <c r="T1980" s="32">
        <v>45133</v>
      </c>
      <c r="U1980" s="31">
        <v>7317</v>
      </c>
      <c r="V1980" s="32">
        <v>45174</v>
      </c>
      <c r="W1980" s="33" t="s">
        <v>2448</v>
      </c>
      <c r="X1980" s="26"/>
      <c r="Y1980" s="22">
        <v>0</v>
      </c>
      <c r="Z1980" s="26" t="s">
        <v>118</v>
      </c>
      <c r="AA1980" s="19" t="s">
        <v>4541</v>
      </c>
      <c r="AB1980" s="26" t="s">
        <v>36</v>
      </c>
      <c r="AC1980" s="26" t="s">
        <v>53</v>
      </c>
      <c r="AD1980" s="19" t="s">
        <v>54</v>
      </c>
      <c r="AE1980" s="26" t="s">
        <v>3181</v>
      </c>
      <c r="AF1980" s="17">
        <v>45383</v>
      </c>
      <c r="AG1980" s="33" t="s">
        <v>4778</v>
      </c>
      <c r="AH1980" s="26" t="s">
        <v>7470</v>
      </c>
      <c r="AI1980" s="26" t="s">
        <v>7471</v>
      </c>
      <c r="AJ1980" s="26"/>
      <c r="AK1980" s="26"/>
      <c r="AL1980" s="35"/>
      <c r="AM1980" s="35"/>
      <c r="AN1980" s="35"/>
      <c r="AO1980" s="35"/>
      <c r="AP1980" s="35"/>
    </row>
    <row r="1981" spans="1:42" x14ac:dyDescent="0.2">
      <c r="A1981" s="38">
        <v>45384</v>
      </c>
      <c r="B1981" s="28" t="s">
        <v>37</v>
      </c>
      <c r="C1981" s="41" t="s">
        <v>118</v>
      </c>
      <c r="D1981" s="26" t="s">
        <v>36</v>
      </c>
      <c r="E1981" s="26" t="s">
        <v>106</v>
      </c>
      <c r="F1981" s="26" t="s">
        <v>36</v>
      </c>
      <c r="G1981" s="26" t="s">
        <v>108</v>
      </c>
      <c r="H1981" s="26" t="s">
        <v>5037</v>
      </c>
      <c r="I1981" s="17">
        <f ca="1">IFERROR(__xludf.DUMMYFUNCTION("""COMPUTED_VALUE"""),45391)</f>
        <v>45391</v>
      </c>
      <c r="J1981" s="29" t="s">
        <v>7494</v>
      </c>
      <c r="K1981" s="26" t="s">
        <v>7495</v>
      </c>
      <c r="L1981" s="30">
        <v>969705315</v>
      </c>
      <c r="M1981" s="26" t="s">
        <v>1245</v>
      </c>
      <c r="N1981" s="26" t="s">
        <v>1246</v>
      </c>
      <c r="O1981" s="26" t="s">
        <v>91</v>
      </c>
      <c r="P1981" s="42" t="s">
        <v>7496</v>
      </c>
      <c r="Q1981" s="20">
        <v>7349</v>
      </c>
      <c r="R1981" s="26" t="s">
        <v>70</v>
      </c>
      <c r="S1981" s="31">
        <v>5000</v>
      </c>
      <c r="T1981" s="32">
        <v>44860</v>
      </c>
      <c r="U1981" s="31">
        <v>11679</v>
      </c>
      <c r="V1981" s="32">
        <v>44883</v>
      </c>
      <c r="W1981" s="33" t="s">
        <v>4720</v>
      </c>
      <c r="X1981" s="26"/>
      <c r="Y1981" s="22">
        <v>-9330</v>
      </c>
      <c r="Z1981" s="26" t="s">
        <v>118</v>
      </c>
      <c r="AA1981" s="19" t="s">
        <v>4541</v>
      </c>
      <c r="AB1981" s="26" t="s">
        <v>36</v>
      </c>
      <c r="AC1981" s="26" t="s">
        <v>53</v>
      </c>
      <c r="AD1981" s="19" t="s">
        <v>54</v>
      </c>
      <c r="AE1981" s="26">
        <v>550</v>
      </c>
      <c r="AF1981" s="17">
        <v>45386</v>
      </c>
      <c r="AG1981" s="26"/>
      <c r="AH1981" s="26"/>
      <c r="AI1981" s="40"/>
      <c r="AJ1981" s="26"/>
      <c r="AK1981" s="26"/>
      <c r="AL1981" s="35"/>
      <c r="AM1981" s="35"/>
      <c r="AN1981" s="35"/>
      <c r="AO1981" s="35"/>
      <c r="AP1981" s="35"/>
    </row>
    <row r="1982" spans="1:42" x14ac:dyDescent="0.2">
      <c r="A1982" s="38">
        <v>45384</v>
      </c>
      <c r="B1982" s="28"/>
      <c r="C1982" s="41" t="s">
        <v>118</v>
      </c>
      <c r="D1982" s="26" t="s">
        <v>36</v>
      </c>
      <c r="E1982" s="26" t="s">
        <v>148</v>
      </c>
      <c r="F1982" s="26" t="s">
        <v>7497</v>
      </c>
      <c r="G1982" s="26" t="s">
        <v>108</v>
      </c>
      <c r="H1982" s="26" t="s">
        <v>7498</v>
      </c>
      <c r="I1982" s="17" t="str">
        <f ca="1">IFERROR(__xludf.DUMMYFUNCTION("""COMPUTED_VALUE""")," ")</f>
        <v xml:space="preserve"> </v>
      </c>
      <c r="J1982" s="29" t="s">
        <v>7499</v>
      </c>
      <c r="K1982" s="19" t="s">
        <v>7500</v>
      </c>
      <c r="L1982" s="30">
        <v>569619730</v>
      </c>
      <c r="M1982" s="26" t="s">
        <v>1245</v>
      </c>
      <c r="N1982" s="26" t="s">
        <v>1246</v>
      </c>
      <c r="O1982" s="67" t="s">
        <v>7501</v>
      </c>
      <c r="P1982" s="42" t="s">
        <v>7502</v>
      </c>
      <c r="Q1982" s="20">
        <v>14055</v>
      </c>
      <c r="R1982" s="26" t="s">
        <v>36</v>
      </c>
      <c r="S1982" s="31">
        <v>14055</v>
      </c>
      <c r="T1982" s="32">
        <v>44912</v>
      </c>
      <c r="U1982" s="31"/>
      <c r="V1982" s="26"/>
      <c r="W1982" s="33" t="s">
        <v>7503</v>
      </c>
      <c r="X1982" s="26">
        <v>100</v>
      </c>
      <c r="Y1982" s="22">
        <v>-100</v>
      </c>
      <c r="Z1982" s="98" t="s">
        <v>118</v>
      </c>
      <c r="AA1982" s="19" t="s">
        <v>6985</v>
      </c>
      <c r="AB1982" s="26" t="s">
        <v>36</v>
      </c>
      <c r="AC1982" s="26" t="s">
        <v>53</v>
      </c>
      <c r="AD1982" s="19" t="s">
        <v>54</v>
      </c>
      <c r="AE1982" s="26" t="s">
        <v>7497</v>
      </c>
      <c r="AF1982" s="17">
        <v>45796</v>
      </c>
      <c r="AG1982" s="60" t="s">
        <v>7504</v>
      </c>
      <c r="AH1982" s="26"/>
      <c r="AI1982" s="40"/>
      <c r="AJ1982" s="26"/>
      <c r="AK1982" s="26"/>
      <c r="AL1982" s="35"/>
      <c r="AM1982" s="35"/>
      <c r="AN1982" s="35"/>
      <c r="AO1982" s="35"/>
      <c r="AP1982" s="35"/>
    </row>
    <row r="1983" spans="1:42" x14ac:dyDescent="0.2">
      <c r="A1983" s="38">
        <v>45385</v>
      </c>
      <c r="B1983" s="28" t="s">
        <v>37</v>
      </c>
      <c r="C1983" s="41" t="s">
        <v>118</v>
      </c>
      <c r="D1983" s="26" t="s">
        <v>36</v>
      </c>
      <c r="E1983" s="26" t="s">
        <v>56</v>
      </c>
      <c r="F1983" s="26" t="s">
        <v>3181</v>
      </c>
      <c r="G1983" s="26" t="s">
        <v>108</v>
      </c>
      <c r="H1983" s="26" t="s">
        <v>5037</v>
      </c>
      <c r="I1983" s="17">
        <f ca="1">IFERROR(__xludf.DUMMYFUNCTION("""COMPUTED_VALUE"""),45391)</f>
        <v>45391</v>
      </c>
      <c r="J1983" s="44" t="s">
        <v>3136</v>
      </c>
      <c r="K1983" s="26" t="s">
        <v>7505</v>
      </c>
      <c r="L1983" s="30">
        <v>896575146</v>
      </c>
      <c r="M1983" s="26" t="s">
        <v>59</v>
      </c>
      <c r="N1983" s="26" t="s">
        <v>260</v>
      </c>
      <c r="O1983" s="26" t="s">
        <v>3138</v>
      </c>
      <c r="P1983" s="42" t="s">
        <v>3139</v>
      </c>
      <c r="Q1983" s="20">
        <v>9317</v>
      </c>
      <c r="R1983" s="26" t="s">
        <v>36</v>
      </c>
      <c r="S1983" s="31">
        <v>9317</v>
      </c>
      <c r="T1983" s="32">
        <v>45187</v>
      </c>
      <c r="U1983" s="31"/>
      <c r="V1983" s="26"/>
      <c r="W1983" s="33" t="s">
        <v>3140</v>
      </c>
      <c r="X1983" s="26"/>
      <c r="Y1983" s="22">
        <v>0</v>
      </c>
      <c r="Z1983" s="26" t="s">
        <v>118</v>
      </c>
      <c r="AA1983" s="19" t="s">
        <v>2449</v>
      </c>
      <c r="AB1983" s="26" t="s">
        <v>36</v>
      </c>
      <c r="AC1983" s="26" t="s">
        <v>53</v>
      </c>
      <c r="AD1983" s="19" t="s">
        <v>54</v>
      </c>
      <c r="AE1983" s="26" t="s">
        <v>3181</v>
      </c>
      <c r="AF1983" s="17">
        <v>45196</v>
      </c>
      <c r="AG1983" s="26" t="s">
        <v>3141</v>
      </c>
      <c r="AH1983" s="26"/>
      <c r="AI1983" s="40"/>
      <c r="AJ1983" s="26"/>
      <c r="AK1983" s="26"/>
      <c r="AL1983" s="35"/>
      <c r="AM1983" s="35"/>
      <c r="AN1983" s="35"/>
      <c r="AO1983" s="35"/>
      <c r="AP1983" s="35"/>
    </row>
    <row r="1984" spans="1:42" x14ac:dyDescent="0.2">
      <c r="A1984" s="38">
        <v>45386</v>
      </c>
      <c r="B1984" s="28" t="s">
        <v>37</v>
      </c>
      <c r="C1984" s="41" t="s">
        <v>118</v>
      </c>
      <c r="D1984" s="26" t="s">
        <v>36</v>
      </c>
      <c r="E1984" s="26" t="s">
        <v>77</v>
      </c>
      <c r="F1984" s="26" t="s">
        <v>4645</v>
      </c>
      <c r="G1984" s="26" t="s">
        <v>41</v>
      </c>
      <c r="H1984" s="26" t="s">
        <v>7506</v>
      </c>
      <c r="I1984" s="17">
        <f ca="1">IFERROR(__xludf.DUMMYFUNCTION("""COMPUTED_VALUE"""),45407)</f>
        <v>45407</v>
      </c>
      <c r="J1984" s="44" t="s">
        <v>7507</v>
      </c>
      <c r="K1984" s="19" t="s">
        <v>7508</v>
      </c>
      <c r="L1984" s="30">
        <v>359142630</v>
      </c>
      <c r="M1984" s="26" t="s">
        <v>3288</v>
      </c>
      <c r="N1984" s="26" t="s">
        <v>7509</v>
      </c>
      <c r="O1984" s="67" t="s">
        <v>7510</v>
      </c>
      <c r="P1984" s="42" t="s">
        <v>7511</v>
      </c>
      <c r="Q1984" s="20"/>
      <c r="R1984" s="26" t="s">
        <v>36</v>
      </c>
      <c r="S1984" s="31">
        <v>3568</v>
      </c>
      <c r="T1984" s="32">
        <v>44773</v>
      </c>
      <c r="U1984" s="31"/>
      <c r="V1984" s="26"/>
      <c r="W1984" s="33" t="s">
        <v>7512</v>
      </c>
      <c r="X1984" s="26">
        <v>0</v>
      </c>
      <c r="Y1984" s="22"/>
      <c r="Z1984" s="26" t="s">
        <v>118</v>
      </c>
      <c r="AA1984" s="19" t="s">
        <v>3386</v>
      </c>
      <c r="AB1984" s="26" t="s">
        <v>36</v>
      </c>
      <c r="AC1984" s="26" t="s">
        <v>53</v>
      </c>
      <c r="AD1984" s="19" t="s">
        <v>54</v>
      </c>
      <c r="AE1984" s="26"/>
      <c r="AF1984" s="17">
        <v>45404</v>
      </c>
      <c r="AG1984" s="26"/>
      <c r="AH1984" s="26"/>
      <c r="AI1984" s="40"/>
      <c r="AJ1984" s="26"/>
      <c r="AK1984" s="26"/>
      <c r="AL1984" s="35"/>
      <c r="AM1984" s="35"/>
      <c r="AN1984" s="35"/>
      <c r="AO1984" s="35"/>
      <c r="AP1984" s="35"/>
    </row>
    <row r="1985" spans="1:42" x14ac:dyDescent="0.2">
      <c r="A1985" s="38">
        <v>45386</v>
      </c>
      <c r="B1985" s="28" t="s">
        <v>37</v>
      </c>
      <c r="C1985" s="41" t="s">
        <v>118</v>
      </c>
      <c r="D1985" s="26" t="s">
        <v>36</v>
      </c>
      <c r="E1985" s="26" t="s">
        <v>56</v>
      </c>
      <c r="F1985" s="26" t="s">
        <v>1809</v>
      </c>
      <c r="G1985" s="26" t="s">
        <v>221</v>
      </c>
      <c r="H1985" s="19" t="s">
        <v>7513</v>
      </c>
      <c r="I1985" s="17" t="str">
        <f ca="1">IFERROR(__xludf.DUMMYFUNCTION("""COMPUTED_VALUE""")," ")</f>
        <v xml:space="preserve"> </v>
      </c>
      <c r="J1985" s="29" t="s">
        <v>1156</v>
      </c>
      <c r="K1985" s="26" t="s">
        <v>4688</v>
      </c>
      <c r="L1985" s="30">
        <v>363565334</v>
      </c>
      <c r="M1985" s="26" t="s">
        <v>80</v>
      </c>
      <c r="N1985" s="26" t="s">
        <v>466</v>
      </c>
      <c r="O1985" s="26" t="s">
        <v>91</v>
      </c>
      <c r="P1985" s="42" t="s">
        <v>7514</v>
      </c>
      <c r="Q1985" s="20">
        <v>9317</v>
      </c>
      <c r="R1985" s="26" t="s">
        <v>36</v>
      </c>
      <c r="S1985" s="31">
        <v>4000</v>
      </c>
      <c r="T1985" s="32">
        <v>45135</v>
      </c>
      <c r="U1985" s="31">
        <v>5317</v>
      </c>
      <c r="V1985" s="32">
        <v>45166</v>
      </c>
      <c r="W1985" s="33" t="s">
        <v>1160</v>
      </c>
      <c r="X1985" s="26">
        <v>0</v>
      </c>
      <c r="Y1985" s="22">
        <v>0</v>
      </c>
      <c r="Z1985" s="26" t="s">
        <v>118</v>
      </c>
      <c r="AA1985" s="19" t="s">
        <v>4541</v>
      </c>
      <c r="AB1985" s="26" t="s">
        <v>36</v>
      </c>
      <c r="AC1985" s="26" t="s">
        <v>53</v>
      </c>
      <c r="AD1985" s="19" t="s">
        <v>54</v>
      </c>
      <c r="AE1985" s="26" t="s">
        <v>1809</v>
      </c>
      <c r="AF1985" s="17">
        <v>45387</v>
      </c>
      <c r="AG1985" s="26" t="s">
        <v>7515</v>
      </c>
      <c r="AH1985" s="26"/>
      <c r="AI1985" s="40"/>
      <c r="AJ1985" s="26"/>
      <c r="AK1985" s="26"/>
      <c r="AL1985" s="35"/>
      <c r="AM1985" s="35"/>
      <c r="AN1985" s="35"/>
      <c r="AO1985" s="35"/>
      <c r="AP1985" s="35"/>
    </row>
    <row r="1986" spans="1:42" x14ac:dyDescent="0.2">
      <c r="A1986" s="14">
        <v>45024</v>
      </c>
      <c r="B1986" s="28" t="s">
        <v>37</v>
      </c>
      <c r="C1986" s="41" t="s">
        <v>118</v>
      </c>
      <c r="D1986" s="26" t="s">
        <v>36</v>
      </c>
      <c r="E1986" s="26" t="s">
        <v>39</v>
      </c>
      <c r="F1986" s="26" t="s">
        <v>2081</v>
      </c>
      <c r="G1986" s="26" t="s">
        <v>108</v>
      </c>
      <c r="H1986" s="26" t="s">
        <v>5037</v>
      </c>
      <c r="I1986" s="17">
        <f ca="1">IFERROR(__xludf.DUMMYFUNCTION("""COMPUTED_VALUE"""),45391)</f>
        <v>45391</v>
      </c>
      <c r="J1986" s="29" t="s">
        <v>2789</v>
      </c>
      <c r="K1986" s="26" t="s">
        <v>7516</v>
      </c>
      <c r="L1986" s="30">
        <v>967838216</v>
      </c>
      <c r="M1986" s="26" t="s">
        <v>112</v>
      </c>
      <c r="N1986" s="26" t="s">
        <v>310</v>
      </c>
      <c r="O1986" s="26" t="s">
        <v>2791</v>
      </c>
      <c r="P1986" s="26" t="s">
        <v>5829</v>
      </c>
      <c r="Q1986" s="20">
        <v>5736</v>
      </c>
      <c r="R1986" s="26" t="s">
        <v>36</v>
      </c>
      <c r="S1986" s="31">
        <v>5736</v>
      </c>
      <c r="T1986" s="32">
        <v>45180</v>
      </c>
      <c r="U1986" s="31"/>
      <c r="V1986" s="32"/>
      <c r="W1986" s="33" t="s">
        <v>2793</v>
      </c>
      <c r="X1986" s="26"/>
      <c r="Y1986" s="22">
        <v>0</v>
      </c>
      <c r="Z1986" s="26" t="s">
        <v>118</v>
      </c>
      <c r="AA1986" s="19" t="s">
        <v>5785</v>
      </c>
      <c r="AB1986" s="26" t="s">
        <v>36</v>
      </c>
      <c r="AC1986" s="26" t="s">
        <v>53</v>
      </c>
      <c r="AD1986" s="19" t="s">
        <v>54</v>
      </c>
      <c r="AE1986" s="26" t="s">
        <v>2081</v>
      </c>
      <c r="AF1986" s="17">
        <v>45238</v>
      </c>
      <c r="AG1986" s="26"/>
      <c r="AH1986" s="26"/>
      <c r="AI1986" s="40" t="s">
        <v>55</v>
      </c>
      <c r="AJ1986" s="26"/>
      <c r="AK1986" s="26"/>
      <c r="AL1986" s="35"/>
      <c r="AM1986" s="35"/>
      <c r="AN1986" s="35"/>
      <c r="AO1986" s="35"/>
      <c r="AP1986" s="35"/>
    </row>
    <row r="1987" spans="1:42" x14ac:dyDescent="0.2">
      <c r="A1987" s="14">
        <v>45024</v>
      </c>
      <c r="B1987" s="28" t="s">
        <v>90</v>
      </c>
      <c r="C1987" s="41" t="s">
        <v>118</v>
      </c>
      <c r="D1987" s="26" t="s">
        <v>36</v>
      </c>
      <c r="E1987" s="26" t="s">
        <v>139</v>
      </c>
      <c r="F1987" s="26" t="s">
        <v>3279</v>
      </c>
      <c r="G1987" s="26" t="s">
        <v>41</v>
      </c>
      <c r="H1987" s="26" t="s">
        <v>7027</v>
      </c>
      <c r="I1987" s="17">
        <f ca="1">IFERROR(__xludf.DUMMYFUNCTION("""COMPUTED_VALUE"""),45389)</f>
        <v>45389</v>
      </c>
      <c r="J1987" s="29" t="s">
        <v>6780</v>
      </c>
      <c r="K1987" s="26" t="s">
        <v>7517</v>
      </c>
      <c r="L1987" s="30">
        <v>865992562</v>
      </c>
      <c r="M1987" s="26" t="s">
        <v>59</v>
      </c>
      <c r="N1987" s="26" t="s">
        <v>68</v>
      </c>
      <c r="O1987" s="26" t="s">
        <v>6782</v>
      </c>
      <c r="P1987" s="26" t="s">
        <v>6783</v>
      </c>
      <c r="Q1987" s="20">
        <v>15936</v>
      </c>
      <c r="R1987" s="26" t="s">
        <v>36</v>
      </c>
      <c r="S1987" s="31">
        <v>5000</v>
      </c>
      <c r="T1987" s="32">
        <v>45296</v>
      </c>
      <c r="U1987" s="31">
        <v>10963</v>
      </c>
      <c r="V1987" s="32">
        <v>45322</v>
      </c>
      <c r="W1987" s="33" t="s">
        <v>6784</v>
      </c>
      <c r="X1987" s="26">
        <v>0</v>
      </c>
      <c r="Y1987" s="22">
        <v>-27</v>
      </c>
      <c r="Z1987" s="26" t="s">
        <v>118</v>
      </c>
      <c r="AA1987" s="19" t="s">
        <v>6079</v>
      </c>
      <c r="AB1987" s="26" t="s">
        <v>36</v>
      </c>
      <c r="AC1987" s="26" t="s">
        <v>53</v>
      </c>
      <c r="AD1987" s="19" t="s">
        <v>54</v>
      </c>
      <c r="AE1987" s="26" t="s">
        <v>3279</v>
      </c>
      <c r="AF1987" s="17">
        <v>45308</v>
      </c>
      <c r="AG1987" s="26" t="s">
        <v>1362</v>
      </c>
      <c r="AH1987" s="26"/>
      <c r="AI1987" s="40" t="s">
        <v>147</v>
      </c>
      <c r="AJ1987" s="26"/>
      <c r="AK1987" s="26"/>
      <c r="AL1987" s="35"/>
      <c r="AM1987" s="35"/>
      <c r="AN1987" s="35"/>
      <c r="AO1987" s="35"/>
      <c r="AP1987" s="35"/>
    </row>
    <row r="1988" spans="1:42" x14ac:dyDescent="0.2">
      <c r="A1988" s="14">
        <v>45024</v>
      </c>
      <c r="B1988" s="28" t="s">
        <v>37</v>
      </c>
      <c r="C1988" s="41" t="s">
        <v>118</v>
      </c>
      <c r="D1988" s="26" t="s">
        <v>36</v>
      </c>
      <c r="E1988" s="26" t="s">
        <v>106</v>
      </c>
      <c r="F1988" s="26" t="s">
        <v>7518</v>
      </c>
      <c r="G1988" s="26" t="s">
        <v>108</v>
      </c>
      <c r="H1988" s="26" t="s">
        <v>7519</v>
      </c>
      <c r="I1988" s="17">
        <f ca="1">IFERROR(__xludf.DUMMYFUNCTION("""COMPUTED_VALUE"""),45543)</f>
        <v>45543</v>
      </c>
      <c r="J1988" s="29" t="s">
        <v>7520</v>
      </c>
      <c r="K1988" s="26" t="s">
        <v>7521</v>
      </c>
      <c r="L1988" s="30">
        <v>388849542</v>
      </c>
      <c r="M1988" s="26" t="s">
        <v>3288</v>
      </c>
      <c r="N1988" s="26" t="s">
        <v>7509</v>
      </c>
      <c r="O1988" s="26" t="s">
        <v>91</v>
      </c>
      <c r="P1988" s="42" t="s">
        <v>7522</v>
      </c>
      <c r="Q1988" s="20">
        <v>10804</v>
      </c>
      <c r="R1988" s="26" t="s">
        <v>36</v>
      </c>
      <c r="S1988" s="31">
        <v>10804</v>
      </c>
      <c r="T1988" s="32">
        <v>45160</v>
      </c>
      <c r="U1988" s="31"/>
      <c r="V1988" s="26"/>
      <c r="W1988" s="33" t="s">
        <v>7523</v>
      </c>
      <c r="X1988" s="26"/>
      <c r="Y1988" s="22">
        <v>0</v>
      </c>
      <c r="Z1988" s="26" t="s">
        <v>118</v>
      </c>
      <c r="AA1988" s="19" t="s">
        <v>901</v>
      </c>
      <c r="AB1988" s="26" t="s">
        <v>36</v>
      </c>
      <c r="AC1988" s="26" t="s">
        <v>53</v>
      </c>
      <c r="AD1988" s="19" t="s">
        <v>54</v>
      </c>
      <c r="AE1988" s="26">
        <v>470</v>
      </c>
      <c r="AF1988" s="17">
        <v>45538</v>
      </c>
      <c r="AG1988" s="40"/>
      <c r="AH1988" s="40"/>
      <c r="AI1988" s="126"/>
      <c r="AJ1988" s="26"/>
      <c r="AK1988" s="26"/>
      <c r="AL1988" s="26"/>
      <c r="AM1988" s="35"/>
      <c r="AN1988" s="35"/>
      <c r="AO1988" s="35"/>
      <c r="AP1988" s="35"/>
    </row>
    <row r="1989" spans="1:42" x14ac:dyDescent="0.2">
      <c r="A1989" s="14">
        <v>45024</v>
      </c>
      <c r="B1989" s="28" t="s">
        <v>37</v>
      </c>
      <c r="C1989" s="41" t="s">
        <v>118</v>
      </c>
      <c r="D1989" s="26" t="s">
        <v>36</v>
      </c>
      <c r="E1989" s="26" t="s">
        <v>106</v>
      </c>
      <c r="F1989" s="26" t="s">
        <v>7518</v>
      </c>
      <c r="G1989" s="26" t="s">
        <v>108</v>
      </c>
      <c r="H1989" s="26" t="s">
        <v>7524</v>
      </c>
      <c r="I1989" s="17">
        <f ca="1">IFERROR(__xludf.DUMMYFUNCTION("""COMPUTED_VALUE"""),45509)</f>
        <v>45509</v>
      </c>
      <c r="J1989" s="29" t="s">
        <v>7525</v>
      </c>
      <c r="K1989" s="26" t="s">
        <v>7526</v>
      </c>
      <c r="L1989" s="30">
        <v>705180557</v>
      </c>
      <c r="M1989" s="26" t="s">
        <v>3288</v>
      </c>
      <c r="N1989" s="26" t="s">
        <v>7509</v>
      </c>
      <c r="O1989" s="26" t="s">
        <v>7527</v>
      </c>
      <c r="P1989" s="42" t="s">
        <v>7528</v>
      </c>
      <c r="Q1989" s="20">
        <v>7824</v>
      </c>
      <c r="R1989" s="26" t="s">
        <v>36</v>
      </c>
      <c r="S1989" s="31">
        <v>7824</v>
      </c>
      <c r="T1989" s="32">
        <v>45289</v>
      </c>
      <c r="U1989" s="31"/>
      <c r="V1989" s="26"/>
      <c r="W1989" s="33" t="s">
        <v>7529</v>
      </c>
      <c r="X1989" s="26">
        <v>0</v>
      </c>
      <c r="Y1989" s="22">
        <v>0</v>
      </c>
      <c r="Z1989" s="26" t="s">
        <v>118</v>
      </c>
      <c r="AA1989" s="19" t="s">
        <v>5961</v>
      </c>
      <c r="AB1989" s="26" t="s">
        <v>36</v>
      </c>
      <c r="AC1989" s="26" t="s">
        <v>53</v>
      </c>
      <c r="AD1989" s="19" t="s">
        <v>54</v>
      </c>
      <c r="AE1989" s="26">
        <v>530</v>
      </c>
      <c r="AF1989" s="17">
        <v>45506</v>
      </c>
      <c r="AG1989" s="40"/>
      <c r="AH1989" s="40">
        <v>2</v>
      </c>
      <c r="AI1989" s="126"/>
      <c r="AJ1989" s="26"/>
      <c r="AK1989" s="26"/>
      <c r="AL1989" s="26"/>
      <c r="AM1989" s="35"/>
      <c r="AN1989" s="35"/>
      <c r="AO1989" s="35"/>
      <c r="AP1989" s="35"/>
    </row>
    <row r="1990" spans="1:42" x14ac:dyDescent="0.2">
      <c r="A1990" s="126">
        <v>45237.702398310183</v>
      </c>
      <c r="B1990" s="28" t="s">
        <v>37</v>
      </c>
      <c r="C1990" s="41" t="s">
        <v>118</v>
      </c>
      <c r="D1990" s="26" t="s">
        <v>36</v>
      </c>
      <c r="E1990" s="26" t="s">
        <v>139</v>
      </c>
      <c r="F1990" s="26" t="s">
        <v>36</v>
      </c>
      <c r="G1990" s="26" t="s">
        <v>41</v>
      </c>
      <c r="H1990" s="26" t="s">
        <v>4087</v>
      </c>
      <c r="I1990" s="17">
        <f ca="1">IFERROR(__xludf.DUMMYFUNCTION("""COMPUTED_VALUE"""),45358)</f>
        <v>45358</v>
      </c>
      <c r="J1990" s="29" t="s">
        <v>7530</v>
      </c>
      <c r="K1990" s="26" t="s">
        <v>7531</v>
      </c>
      <c r="L1990" s="30">
        <v>978896921</v>
      </c>
      <c r="M1990" s="26" t="s">
        <v>910</v>
      </c>
      <c r="N1990" s="26" t="s">
        <v>3525</v>
      </c>
      <c r="O1990" s="26" t="s">
        <v>3754</v>
      </c>
      <c r="P1990" s="42" t="s">
        <v>7532</v>
      </c>
      <c r="Q1990" s="20">
        <v>15936</v>
      </c>
      <c r="R1990" s="26" t="s">
        <v>36</v>
      </c>
      <c r="S1990" s="31">
        <v>2000</v>
      </c>
      <c r="T1990" s="32">
        <v>45236</v>
      </c>
      <c r="U1990" s="31">
        <v>13936</v>
      </c>
      <c r="V1990" s="32">
        <v>45370</v>
      </c>
      <c r="W1990" s="33" t="s">
        <v>7533</v>
      </c>
      <c r="X1990" s="26"/>
      <c r="Y1990" s="22">
        <v>0</v>
      </c>
      <c r="Z1990" s="26" t="s">
        <v>50</v>
      </c>
      <c r="AA1990" s="19" t="s">
        <v>7361</v>
      </c>
      <c r="AB1990" s="26" t="s">
        <v>104</v>
      </c>
      <c r="AC1990" s="26" t="s">
        <v>53</v>
      </c>
      <c r="AD1990" s="19" t="s">
        <v>138</v>
      </c>
      <c r="AE1990" s="26"/>
      <c r="AF1990" s="17">
        <v>45358</v>
      </c>
      <c r="AG1990" s="26" t="s">
        <v>7534</v>
      </c>
      <c r="AH1990" s="26"/>
      <c r="AI1990" s="40"/>
      <c r="AJ1990" s="26"/>
      <c r="AK1990" s="26"/>
      <c r="AL1990" s="35"/>
      <c r="AM1990" s="35"/>
      <c r="AN1990" s="35"/>
      <c r="AO1990" s="35"/>
      <c r="AP1990" s="35"/>
    </row>
    <row r="1991" spans="1:42" x14ac:dyDescent="0.2">
      <c r="A1991" s="126">
        <v>45245.481675428236</v>
      </c>
      <c r="B1991" s="28" t="s">
        <v>37</v>
      </c>
      <c r="C1991" s="41" t="s">
        <v>118</v>
      </c>
      <c r="D1991" s="26" t="s">
        <v>36</v>
      </c>
      <c r="E1991" s="26" t="s">
        <v>119</v>
      </c>
      <c r="F1991" s="26" t="s">
        <v>36</v>
      </c>
      <c r="G1991" s="26" t="s">
        <v>108</v>
      </c>
      <c r="H1991" s="26" t="s">
        <v>2393</v>
      </c>
      <c r="I1991" s="17">
        <f ca="1">IFERROR(__xludf.DUMMYFUNCTION("""COMPUTED_VALUE"""),45257)</f>
        <v>45257</v>
      </c>
      <c r="J1991" s="29" t="s">
        <v>7535</v>
      </c>
      <c r="K1991" s="26" t="s">
        <v>7536</v>
      </c>
      <c r="L1991" s="30">
        <v>389346206</v>
      </c>
      <c r="M1991" s="26" t="s">
        <v>3728</v>
      </c>
      <c r="N1991" s="26" t="s">
        <v>5377</v>
      </c>
      <c r="O1991" s="26" t="s">
        <v>7537</v>
      </c>
      <c r="P1991" s="26" t="s">
        <v>7538</v>
      </c>
      <c r="Q1991" s="20">
        <v>13968</v>
      </c>
      <c r="R1991" s="26" t="s">
        <v>36</v>
      </c>
      <c r="S1991" s="31">
        <v>200</v>
      </c>
      <c r="T1991" s="32">
        <v>45245</v>
      </c>
      <c r="U1991" s="31">
        <f>3800+5000+4968</f>
        <v>13768</v>
      </c>
      <c r="V1991" s="26" t="s">
        <v>7539</v>
      </c>
      <c r="W1991" s="33" t="s">
        <v>7540</v>
      </c>
      <c r="X1991" s="26"/>
      <c r="Y1991" s="22">
        <v>0</v>
      </c>
      <c r="Z1991" s="26" t="s">
        <v>50</v>
      </c>
      <c r="AA1991" s="19" t="s">
        <v>7361</v>
      </c>
      <c r="AB1991" s="26" t="s">
        <v>137</v>
      </c>
      <c r="AC1991" s="26" t="s">
        <v>53</v>
      </c>
      <c r="AD1991" s="19" t="s">
        <v>54</v>
      </c>
      <c r="AE1991" s="26">
        <v>450</v>
      </c>
      <c r="AF1991" s="17">
        <v>45247</v>
      </c>
      <c r="AG1991" s="26"/>
      <c r="AH1991" s="26"/>
      <c r="AI1991" s="40"/>
      <c r="AJ1991" s="26"/>
      <c r="AK1991" s="26"/>
      <c r="AL1991" s="35"/>
      <c r="AM1991" s="35"/>
      <c r="AN1991" s="35"/>
      <c r="AO1991" s="35"/>
      <c r="AP1991" s="35"/>
    </row>
    <row r="1992" spans="1:42" x14ac:dyDescent="0.2">
      <c r="A1992" s="126">
        <v>45245.597329988421</v>
      </c>
      <c r="B1992" s="28" t="s">
        <v>37</v>
      </c>
      <c r="C1992" s="41" t="s">
        <v>118</v>
      </c>
      <c r="D1992" s="26" t="s">
        <v>36</v>
      </c>
      <c r="E1992" s="26" t="s">
        <v>139</v>
      </c>
      <c r="F1992" s="26" t="s">
        <v>36</v>
      </c>
      <c r="G1992" s="26" t="s">
        <v>41</v>
      </c>
      <c r="H1992" s="26" t="s">
        <v>4489</v>
      </c>
      <c r="I1992" s="17">
        <f ca="1">IFERROR(__xludf.DUMMYFUNCTION("""COMPUTED_VALUE"""),45309)</f>
        <v>45309</v>
      </c>
      <c r="J1992" s="29" t="s">
        <v>7399</v>
      </c>
      <c r="K1992" s="26" t="s">
        <v>7541</v>
      </c>
      <c r="L1992" s="30">
        <v>394776593</v>
      </c>
      <c r="M1992" s="26" t="s">
        <v>5518</v>
      </c>
      <c r="N1992" s="26" t="s">
        <v>186</v>
      </c>
      <c r="O1992" s="26" t="s">
        <v>7401</v>
      </c>
      <c r="P1992" s="26" t="s">
        <v>6199</v>
      </c>
      <c r="Q1992" s="20">
        <v>15936</v>
      </c>
      <c r="R1992" s="26" t="s">
        <v>36</v>
      </c>
      <c r="S1992" s="31">
        <v>4000</v>
      </c>
      <c r="T1992" s="32">
        <v>45244</v>
      </c>
      <c r="U1992" s="31">
        <v>11836</v>
      </c>
      <c r="V1992" s="32">
        <v>45352</v>
      </c>
      <c r="W1992" s="33" t="s">
        <v>7402</v>
      </c>
      <c r="X1992" s="26"/>
      <c r="Y1992" s="22">
        <v>100</v>
      </c>
      <c r="Z1992" s="26" t="s">
        <v>50</v>
      </c>
      <c r="AA1992" s="19" t="s">
        <v>7361</v>
      </c>
      <c r="AB1992" s="26" t="s">
        <v>104</v>
      </c>
      <c r="AC1992" s="26" t="s">
        <v>53</v>
      </c>
      <c r="AD1992" s="19" t="s">
        <v>138</v>
      </c>
      <c r="AE1992" s="26">
        <v>0</v>
      </c>
      <c r="AF1992" s="17">
        <v>45309</v>
      </c>
      <c r="AG1992" s="26" t="s">
        <v>7542</v>
      </c>
      <c r="AH1992" s="26"/>
      <c r="AI1992" s="40"/>
      <c r="AJ1992" s="26"/>
      <c r="AK1992" s="26"/>
      <c r="AL1992" s="35"/>
      <c r="AM1992" s="35"/>
      <c r="AN1992" s="35"/>
      <c r="AO1992" s="35"/>
      <c r="AP1992" s="35"/>
    </row>
    <row r="1993" spans="1:42" x14ac:dyDescent="0.2">
      <c r="A1993" s="126">
        <v>45293.980462685184</v>
      </c>
      <c r="B1993" s="28" t="s">
        <v>37</v>
      </c>
      <c r="C1993" s="41" t="s">
        <v>118</v>
      </c>
      <c r="D1993" s="26" t="s">
        <v>36</v>
      </c>
      <c r="E1993" s="26" t="s">
        <v>39</v>
      </c>
      <c r="F1993" s="26" t="s">
        <v>91</v>
      </c>
      <c r="G1993" s="26" t="s">
        <v>41</v>
      </c>
      <c r="H1993" s="26" t="s">
        <v>4489</v>
      </c>
      <c r="I1993" s="17">
        <f ca="1">IFERROR(__xludf.DUMMYFUNCTION("""COMPUTED_VALUE"""),45309)</f>
        <v>45309</v>
      </c>
      <c r="J1993" s="29" t="s">
        <v>7543</v>
      </c>
      <c r="K1993" s="26" t="s">
        <v>7544</v>
      </c>
      <c r="L1993" s="30">
        <v>352443308</v>
      </c>
      <c r="M1993" s="26" t="s">
        <v>5558</v>
      </c>
      <c r="N1993" s="26" t="s">
        <v>5559</v>
      </c>
      <c r="O1993" s="26" t="s">
        <v>4503</v>
      </c>
      <c r="P1993" s="26" t="s">
        <v>7545</v>
      </c>
      <c r="Q1993" s="20">
        <v>5736</v>
      </c>
      <c r="R1993" s="26" t="s">
        <v>36</v>
      </c>
      <c r="S1993" s="58">
        <v>2000</v>
      </c>
      <c r="T1993" s="59">
        <v>45323</v>
      </c>
      <c r="U1993" s="31">
        <v>3736</v>
      </c>
      <c r="V1993" s="32">
        <v>45345</v>
      </c>
      <c r="W1993" s="26" t="s">
        <v>7546</v>
      </c>
      <c r="X1993" s="26"/>
      <c r="Y1993" s="22">
        <v>0</v>
      </c>
      <c r="Z1993" s="26" t="s">
        <v>50</v>
      </c>
      <c r="AA1993" s="19" t="s">
        <v>7361</v>
      </c>
      <c r="AB1993" s="26"/>
      <c r="AC1993" s="26"/>
      <c r="AD1993" s="19" t="s">
        <v>138</v>
      </c>
      <c r="AE1993" s="26"/>
      <c r="AF1993" s="17">
        <v>45309</v>
      </c>
      <c r="AG1993" s="26" t="s">
        <v>1362</v>
      </c>
      <c r="AH1993" s="26"/>
      <c r="AI1993" s="40"/>
      <c r="AJ1993" s="26"/>
      <c r="AK1993" s="26"/>
      <c r="AL1993" s="35"/>
      <c r="AM1993" s="35"/>
      <c r="AN1993" s="35"/>
      <c r="AO1993" s="35"/>
      <c r="AP1993" s="35"/>
    </row>
    <row r="1994" spans="1:42" x14ac:dyDescent="0.2">
      <c r="A1994" s="126">
        <v>45295.445642256949</v>
      </c>
      <c r="B1994" s="28" t="s">
        <v>37</v>
      </c>
      <c r="C1994" s="41" t="s">
        <v>118</v>
      </c>
      <c r="D1994" s="26" t="s">
        <v>36</v>
      </c>
      <c r="E1994" s="26" t="s">
        <v>139</v>
      </c>
      <c r="F1994" s="26" t="s">
        <v>91</v>
      </c>
      <c r="G1994" s="26" t="s">
        <v>41</v>
      </c>
      <c r="H1994" s="26" t="s">
        <v>3279</v>
      </c>
      <c r="I1994" s="17">
        <f ca="1">IFERROR(__xludf.DUMMYFUNCTION("""COMPUTED_VALUE"""),45308)</f>
        <v>45308</v>
      </c>
      <c r="J1994" s="29" t="s">
        <v>7356</v>
      </c>
      <c r="K1994" s="26" t="s">
        <v>7547</v>
      </c>
      <c r="L1994" s="30">
        <v>965295107</v>
      </c>
      <c r="M1994" s="26" t="s">
        <v>123</v>
      </c>
      <c r="N1994" s="26" t="s">
        <v>186</v>
      </c>
      <c r="O1994" s="26" t="s">
        <v>4503</v>
      </c>
      <c r="P1994" s="26" t="s">
        <v>3153</v>
      </c>
      <c r="Q1994" s="20">
        <v>15936</v>
      </c>
      <c r="R1994" s="26" t="s">
        <v>36</v>
      </c>
      <c r="S1994" s="31">
        <f>70+5000</f>
        <v>5070</v>
      </c>
      <c r="T1994" s="26" t="s">
        <v>7358</v>
      </c>
      <c r="U1994" s="31">
        <f>10766+100</f>
        <v>10866</v>
      </c>
      <c r="V1994" s="26" t="s">
        <v>7359</v>
      </c>
      <c r="W1994" s="33" t="s">
        <v>7360</v>
      </c>
      <c r="X1994" s="26"/>
      <c r="Y1994" s="22">
        <v>0</v>
      </c>
      <c r="Z1994" s="26" t="s">
        <v>50</v>
      </c>
      <c r="AA1994" s="19" t="s">
        <v>7361</v>
      </c>
      <c r="AB1994" s="26" t="s">
        <v>4503</v>
      </c>
      <c r="AC1994" s="26" t="s">
        <v>53</v>
      </c>
      <c r="AD1994" s="19" t="s">
        <v>138</v>
      </c>
      <c r="AE1994" s="26"/>
      <c r="AF1994" s="17">
        <v>45308</v>
      </c>
      <c r="AG1994" s="26" t="s">
        <v>1362</v>
      </c>
      <c r="AH1994" s="26"/>
      <c r="AI1994" s="40"/>
      <c r="AJ1994" s="26"/>
      <c r="AK1994" s="26"/>
      <c r="AL1994" s="35"/>
      <c r="AM1994" s="35"/>
      <c r="AN1994" s="35"/>
      <c r="AO1994" s="35"/>
      <c r="AP1994" s="35"/>
    </row>
    <row r="1995" spans="1:42" x14ac:dyDescent="0.2">
      <c r="A1995" s="126">
        <v>45299.891935879627</v>
      </c>
      <c r="B1995" s="28" t="s">
        <v>37</v>
      </c>
      <c r="C1995" s="41" t="s">
        <v>118</v>
      </c>
      <c r="D1995" s="26" t="s">
        <v>36</v>
      </c>
      <c r="E1995" s="26" t="s">
        <v>139</v>
      </c>
      <c r="F1995" s="26" t="s">
        <v>36</v>
      </c>
      <c r="G1995" s="26" t="s">
        <v>41</v>
      </c>
      <c r="H1995" s="26" t="s">
        <v>4087</v>
      </c>
      <c r="I1995" s="17">
        <f ca="1">IFERROR(__xludf.DUMMYFUNCTION("""COMPUTED_VALUE"""),45358)</f>
        <v>45358</v>
      </c>
      <c r="J1995" s="29" t="s">
        <v>7548</v>
      </c>
      <c r="K1995" s="26" t="s">
        <v>7549</v>
      </c>
      <c r="L1995" s="30">
        <v>383599674</v>
      </c>
      <c r="M1995" s="26" t="s">
        <v>3728</v>
      </c>
      <c r="N1995" s="26" t="s">
        <v>7550</v>
      </c>
      <c r="O1995" s="26" t="s">
        <v>7551</v>
      </c>
      <c r="P1995" s="26" t="s">
        <v>7552</v>
      </c>
      <c r="Q1995" s="20">
        <v>15936</v>
      </c>
      <c r="R1995" s="26" t="s">
        <v>36</v>
      </c>
      <c r="S1995" s="31">
        <v>300</v>
      </c>
      <c r="T1995" s="32">
        <v>44931</v>
      </c>
      <c r="U1995" s="31">
        <f>1700+13936</f>
        <v>15636</v>
      </c>
      <c r="V1995" s="26" t="s">
        <v>7553</v>
      </c>
      <c r="W1995" s="33" t="s">
        <v>7554</v>
      </c>
      <c r="X1995" s="26"/>
      <c r="Y1995" s="22">
        <v>0</v>
      </c>
      <c r="Z1995" s="26" t="s">
        <v>50</v>
      </c>
      <c r="AA1995" s="19" t="s">
        <v>7361</v>
      </c>
      <c r="AB1995" s="26"/>
      <c r="AC1995" s="26" t="s">
        <v>53</v>
      </c>
      <c r="AD1995" s="19" t="s">
        <v>138</v>
      </c>
      <c r="AE1995" s="26">
        <v>0</v>
      </c>
      <c r="AF1995" s="17">
        <v>45358</v>
      </c>
      <c r="AG1995" s="26" t="s">
        <v>3415</v>
      </c>
      <c r="AH1995" s="26"/>
      <c r="AI1995" s="40"/>
      <c r="AJ1995" s="26"/>
      <c r="AK1995" s="26"/>
      <c r="AL1995" s="35"/>
      <c r="AM1995" s="35"/>
      <c r="AN1995" s="35"/>
      <c r="AO1995" s="35"/>
      <c r="AP1995" s="35"/>
    </row>
    <row r="1996" spans="1:42" x14ac:dyDescent="0.2">
      <c r="A1996" s="126">
        <v>45306.562941747688</v>
      </c>
      <c r="B1996" s="28" t="s">
        <v>37</v>
      </c>
      <c r="C1996" s="41" t="s">
        <v>118</v>
      </c>
      <c r="D1996" s="26" t="s">
        <v>36</v>
      </c>
      <c r="E1996" s="26" t="s">
        <v>77</v>
      </c>
      <c r="F1996" s="26" t="s">
        <v>91</v>
      </c>
      <c r="G1996" s="26" t="s">
        <v>41</v>
      </c>
      <c r="H1996" s="26" t="s">
        <v>3279</v>
      </c>
      <c r="I1996" s="17">
        <f ca="1">IFERROR(__xludf.DUMMYFUNCTION("""COMPUTED_VALUE"""),45308)</f>
        <v>45308</v>
      </c>
      <c r="J1996" s="29" t="s">
        <v>7555</v>
      </c>
      <c r="K1996" s="26" t="s">
        <v>7556</v>
      </c>
      <c r="L1996" s="30">
        <v>858501118</v>
      </c>
      <c r="M1996" s="26" t="s">
        <v>123</v>
      </c>
      <c r="N1996" s="26" t="s">
        <v>186</v>
      </c>
      <c r="O1996" s="26" t="s">
        <v>4503</v>
      </c>
      <c r="P1996" s="26" t="s">
        <v>3153</v>
      </c>
      <c r="Q1996" s="20">
        <v>1968</v>
      </c>
      <c r="R1996" s="26" t="s">
        <v>70</v>
      </c>
      <c r="S1996" s="31">
        <v>200</v>
      </c>
      <c r="T1996" s="32">
        <v>45301</v>
      </c>
      <c r="U1996" s="31">
        <v>1768</v>
      </c>
      <c r="V1996" s="32">
        <v>45307</v>
      </c>
      <c r="W1996" s="33" t="s">
        <v>7557</v>
      </c>
      <c r="X1996" s="26"/>
      <c r="Y1996" s="22">
        <v>0</v>
      </c>
      <c r="Z1996" s="26" t="s">
        <v>50</v>
      </c>
      <c r="AA1996" s="19" t="s">
        <v>7361</v>
      </c>
      <c r="AB1996" s="26" t="s">
        <v>4503</v>
      </c>
      <c r="AC1996" s="26" t="s">
        <v>53</v>
      </c>
      <c r="AD1996" s="19" t="s">
        <v>138</v>
      </c>
      <c r="AE1996" s="26"/>
      <c r="AF1996" s="17">
        <v>45308</v>
      </c>
      <c r="AG1996" s="26" t="s">
        <v>1362</v>
      </c>
      <c r="AH1996" s="26"/>
      <c r="AI1996" s="40"/>
      <c r="AJ1996" s="26"/>
      <c r="AK1996" s="26"/>
      <c r="AL1996" s="35"/>
      <c r="AM1996" s="35"/>
      <c r="AN1996" s="35"/>
      <c r="AO1996" s="35"/>
      <c r="AP1996" s="35"/>
    </row>
    <row r="1997" spans="1:42" x14ac:dyDescent="0.2">
      <c r="A1997" s="126">
        <v>45306.565042372684</v>
      </c>
      <c r="B1997" s="28" t="s">
        <v>37</v>
      </c>
      <c r="C1997" s="41" t="s">
        <v>118</v>
      </c>
      <c r="D1997" s="26" t="s">
        <v>36</v>
      </c>
      <c r="E1997" s="26" t="s">
        <v>77</v>
      </c>
      <c r="F1997" s="26" t="s">
        <v>91</v>
      </c>
      <c r="G1997" s="26" t="s">
        <v>41</v>
      </c>
      <c r="H1997" s="26" t="s">
        <v>3279</v>
      </c>
      <c r="I1997" s="17">
        <f ca="1">IFERROR(__xludf.DUMMYFUNCTION("""COMPUTED_VALUE"""),45308)</f>
        <v>45308</v>
      </c>
      <c r="J1997" s="29" t="s">
        <v>7558</v>
      </c>
      <c r="K1997" s="26" t="s">
        <v>7559</v>
      </c>
      <c r="L1997" s="30">
        <v>787296094</v>
      </c>
      <c r="M1997" s="26" t="s">
        <v>123</v>
      </c>
      <c r="N1997" s="26" t="s">
        <v>186</v>
      </c>
      <c r="O1997" s="26" t="s">
        <v>4503</v>
      </c>
      <c r="P1997" s="26" t="s">
        <v>2772</v>
      </c>
      <c r="Q1997" s="20">
        <v>1968</v>
      </c>
      <c r="R1997" s="26" t="s">
        <v>36</v>
      </c>
      <c r="S1997" s="31">
        <v>200</v>
      </c>
      <c r="T1997" s="32">
        <v>45301</v>
      </c>
      <c r="U1997" s="31">
        <v>1768</v>
      </c>
      <c r="V1997" s="32">
        <v>45307</v>
      </c>
      <c r="W1997" s="33" t="s">
        <v>7560</v>
      </c>
      <c r="X1997" s="26"/>
      <c r="Y1997" s="22">
        <v>0</v>
      </c>
      <c r="Z1997" s="26" t="s">
        <v>50</v>
      </c>
      <c r="AA1997" s="19" t="s">
        <v>7361</v>
      </c>
      <c r="AB1997" s="26" t="s">
        <v>4503</v>
      </c>
      <c r="AC1997" s="26" t="s">
        <v>53</v>
      </c>
      <c r="AD1997" s="19" t="s">
        <v>138</v>
      </c>
      <c r="AE1997" s="26"/>
      <c r="AF1997" s="17">
        <v>45308</v>
      </c>
      <c r="AG1997" s="26" t="s">
        <v>1362</v>
      </c>
      <c r="AH1997" s="26"/>
      <c r="AI1997" s="40"/>
      <c r="AJ1997" s="26"/>
      <c r="AK1997" s="26"/>
      <c r="AL1997" s="35"/>
      <c r="AM1997" s="35"/>
      <c r="AN1997" s="35"/>
      <c r="AO1997" s="35"/>
      <c r="AP1997" s="35"/>
    </row>
    <row r="1998" spans="1:42" x14ac:dyDescent="0.2">
      <c r="A1998" s="126">
        <v>45306.574540520829</v>
      </c>
      <c r="B1998" s="28" t="s">
        <v>37</v>
      </c>
      <c r="C1998" s="41" t="s">
        <v>118</v>
      </c>
      <c r="D1998" s="26" t="s">
        <v>36</v>
      </c>
      <c r="E1998" s="26" t="s">
        <v>77</v>
      </c>
      <c r="F1998" s="26" t="s">
        <v>36</v>
      </c>
      <c r="G1998" s="26" t="s">
        <v>41</v>
      </c>
      <c r="H1998" s="26" t="s">
        <v>3279</v>
      </c>
      <c r="I1998" s="17">
        <f ca="1">IFERROR(__xludf.DUMMYFUNCTION("""COMPUTED_VALUE"""),45308)</f>
        <v>45308</v>
      </c>
      <c r="J1998" s="29" t="s">
        <v>7561</v>
      </c>
      <c r="K1998" s="26" t="s">
        <v>7562</v>
      </c>
      <c r="L1998" s="30">
        <v>963119182</v>
      </c>
      <c r="M1998" s="26" t="s">
        <v>2755</v>
      </c>
      <c r="N1998" s="26" t="s">
        <v>310</v>
      </c>
      <c r="O1998" s="26" t="s">
        <v>4503</v>
      </c>
      <c r="P1998" s="26" t="s">
        <v>3117</v>
      </c>
      <c r="Q1998" s="20">
        <v>1968</v>
      </c>
      <c r="R1998" s="26" t="s">
        <v>36</v>
      </c>
      <c r="S1998" s="31">
        <v>3000</v>
      </c>
      <c r="T1998" s="32">
        <v>45302</v>
      </c>
      <c r="U1998" s="31"/>
      <c r="V1998" s="32"/>
      <c r="W1998" s="33" t="s">
        <v>7563</v>
      </c>
      <c r="X1998" s="26"/>
      <c r="Y1998" s="22">
        <v>-1032</v>
      </c>
      <c r="Z1998" s="26" t="s">
        <v>50</v>
      </c>
      <c r="AA1998" s="19" t="s">
        <v>7361</v>
      </c>
      <c r="AB1998" s="26"/>
      <c r="AC1998" s="26" t="s">
        <v>53</v>
      </c>
      <c r="AD1998" s="19" t="s">
        <v>138</v>
      </c>
      <c r="AE1998" s="26"/>
      <c r="AF1998" s="17">
        <v>45308</v>
      </c>
      <c r="AG1998" s="26" t="s">
        <v>7078</v>
      </c>
      <c r="AH1998" s="26" t="s">
        <v>7564</v>
      </c>
      <c r="AI1998" s="40"/>
      <c r="AJ1998" s="26"/>
      <c r="AK1998" s="26"/>
      <c r="AL1998" s="35"/>
      <c r="AM1998" s="35"/>
      <c r="AN1998" s="35"/>
      <c r="AO1998" s="35"/>
      <c r="AP1998" s="35"/>
    </row>
    <row r="1999" spans="1:42" x14ac:dyDescent="0.2">
      <c r="A1999" s="126">
        <v>45306.923926388889</v>
      </c>
      <c r="B1999" s="28" t="s">
        <v>37</v>
      </c>
      <c r="C1999" s="41" t="s">
        <v>118</v>
      </c>
      <c r="D1999" s="26" t="s">
        <v>36</v>
      </c>
      <c r="E1999" s="26" t="s">
        <v>139</v>
      </c>
      <c r="F1999" s="26" t="s">
        <v>36</v>
      </c>
      <c r="G1999" s="26" t="s">
        <v>41</v>
      </c>
      <c r="H1999" s="26" t="s">
        <v>6637</v>
      </c>
      <c r="I1999" s="17">
        <f ca="1">IFERROR(__xludf.DUMMYFUNCTION("""COMPUTED_VALUE"""),45351)</f>
        <v>45351</v>
      </c>
      <c r="J1999" s="29" t="s">
        <v>7565</v>
      </c>
      <c r="K1999" s="26" t="s">
        <v>7566</v>
      </c>
      <c r="L1999" s="30">
        <v>382868493</v>
      </c>
      <c r="M1999" s="26" t="s">
        <v>3728</v>
      </c>
      <c r="N1999" s="26" t="s">
        <v>5312</v>
      </c>
      <c r="O1999" s="26" t="s">
        <v>7567</v>
      </c>
      <c r="P1999" s="26" t="s">
        <v>7568</v>
      </c>
      <c r="Q1999" s="20">
        <v>15936</v>
      </c>
      <c r="R1999" s="26" t="s">
        <v>36</v>
      </c>
      <c r="S1999" s="31">
        <v>500</v>
      </c>
      <c r="T1999" s="32">
        <v>45306</v>
      </c>
      <c r="U1999" s="31">
        <f>1500+13936</f>
        <v>15436</v>
      </c>
      <c r="V1999" s="26" t="s">
        <v>7569</v>
      </c>
      <c r="W1999" s="33" t="s">
        <v>7570</v>
      </c>
      <c r="X1999" s="26"/>
      <c r="Y1999" s="22">
        <v>0</v>
      </c>
      <c r="Z1999" s="26" t="s">
        <v>50</v>
      </c>
      <c r="AA1999" s="19" t="s">
        <v>7361</v>
      </c>
      <c r="AB1999" s="26"/>
      <c r="AC1999" s="26" t="s">
        <v>53</v>
      </c>
      <c r="AD1999" s="19" t="s">
        <v>138</v>
      </c>
      <c r="AE1999" s="26">
        <v>0</v>
      </c>
      <c r="AF1999" s="17">
        <v>45348</v>
      </c>
      <c r="AG1999" s="26"/>
      <c r="AH1999" s="26"/>
      <c r="AI1999" s="40"/>
      <c r="AJ1999" s="26"/>
      <c r="AK1999" s="26"/>
      <c r="AL1999" s="35"/>
      <c r="AM1999" s="35"/>
      <c r="AN1999" s="35"/>
      <c r="AO1999" s="35"/>
      <c r="AP1999" s="35"/>
    </row>
    <row r="2000" spans="1:42" x14ac:dyDescent="0.2">
      <c r="A2000" s="126">
        <v>45307.657774467589</v>
      </c>
      <c r="B2000" s="28" t="s">
        <v>37</v>
      </c>
      <c r="C2000" s="41" t="s">
        <v>118</v>
      </c>
      <c r="D2000" s="26" t="s">
        <v>36</v>
      </c>
      <c r="E2000" s="26" t="s">
        <v>77</v>
      </c>
      <c r="F2000" s="26" t="s">
        <v>91</v>
      </c>
      <c r="G2000" s="26" t="s">
        <v>41</v>
      </c>
      <c r="H2000" s="26" t="s">
        <v>6412</v>
      </c>
      <c r="I2000" s="17">
        <f ca="1">IFERROR(__xludf.DUMMYFUNCTION("""COMPUTED_VALUE"""),45313)</f>
        <v>45313</v>
      </c>
      <c r="J2000" s="29" t="s">
        <v>7571</v>
      </c>
      <c r="K2000" s="26" t="s">
        <v>7572</v>
      </c>
      <c r="L2000" s="30">
        <v>969985904</v>
      </c>
      <c r="M2000" s="26" t="s">
        <v>123</v>
      </c>
      <c r="N2000" s="26" t="s">
        <v>186</v>
      </c>
      <c r="O2000" s="26" t="s">
        <v>4503</v>
      </c>
      <c r="P2000" s="26" t="s">
        <v>7573</v>
      </c>
      <c r="Q2000" s="20">
        <v>1968</v>
      </c>
      <c r="R2000" s="26" t="s">
        <v>36</v>
      </c>
      <c r="S2000" s="58">
        <v>500</v>
      </c>
      <c r="T2000" s="59">
        <v>45305</v>
      </c>
      <c r="U2000" s="31">
        <v>1468</v>
      </c>
      <c r="V2000" s="32">
        <v>45312</v>
      </c>
      <c r="W2000" s="33" t="s">
        <v>7574</v>
      </c>
      <c r="X2000" s="26"/>
      <c r="Y2000" s="22">
        <v>0</v>
      </c>
      <c r="Z2000" s="26" t="s">
        <v>50</v>
      </c>
      <c r="AA2000" s="19" t="s">
        <v>7361</v>
      </c>
      <c r="AB2000" s="26" t="s">
        <v>4503</v>
      </c>
      <c r="AC2000" s="26" t="s">
        <v>2218</v>
      </c>
      <c r="AD2000" s="19" t="s">
        <v>54</v>
      </c>
      <c r="AE2000" s="26"/>
      <c r="AF2000" s="17">
        <v>45307</v>
      </c>
      <c r="AG2000" s="26" t="s">
        <v>7575</v>
      </c>
      <c r="AH2000" s="26"/>
      <c r="AI2000" s="40"/>
      <c r="AJ2000" s="26"/>
      <c r="AK2000" s="26"/>
      <c r="AL2000" s="35"/>
      <c r="AM2000" s="35"/>
      <c r="AN2000" s="35"/>
      <c r="AO2000" s="35"/>
      <c r="AP2000" s="35"/>
    </row>
    <row r="2001" spans="1:42" x14ac:dyDescent="0.2">
      <c r="A2001" s="126">
        <v>45310.815131944444</v>
      </c>
      <c r="B2001" s="28" t="s">
        <v>37</v>
      </c>
      <c r="C2001" s="41" t="s">
        <v>118</v>
      </c>
      <c r="D2001" s="26" t="s">
        <v>36</v>
      </c>
      <c r="E2001" s="26" t="s">
        <v>119</v>
      </c>
      <c r="F2001" s="26" t="s">
        <v>91</v>
      </c>
      <c r="G2001" s="26" t="s">
        <v>108</v>
      </c>
      <c r="H2001" s="26" t="s">
        <v>6106</v>
      </c>
      <c r="I2001" s="17">
        <f ca="1">IFERROR(__xludf.DUMMYFUNCTION("""COMPUTED_VALUE"""),45314)</f>
        <v>45314</v>
      </c>
      <c r="J2001" s="29" t="s">
        <v>7576</v>
      </c>
      <c r="K2001" s="26" t="s">
        <v>7577</v>
      </c>
      <c r="L2001" s="30">
        <v>967537581</v>
      </c>
      <c r="M2001" s="26" t="s">
        <v>5558</v>
      </c>
      <c r="N2001" s="26" t="s">
        <v>850</v>
      </c>
      <c r="O2001" s="26" t="s">
        <v>4503</v>
      </c>
      <c r="P2001" s="26" t="s">
        <v>7578</v>
      </c>
      <c r="Q2001" s="20">
        <v>13968</v>
      </c>
      <c r="R2001" s="26" t="s">
        <v>36</v>
      </c>
      <c r="S2001" s="31">
        <v>4000</v>
      </c>
      <c r="T2001" s="32">
        <v>45310</v>
      </c>
      <c r="U2001" s="31">
        <v>9968</v>
      </c>
      <c r="V2001" s="32">
        <v>45353</v>
      </c>
      <c r="W2001" s="33" t="s">
        <v>7579</v>
      </c>
      <c r="X2001" s="26"/>
      <c r="Y2001" s="22">
        <v>0</v>
      </c>
      <c r="Z2001" s="26" t="s">
        <v>50</v>
      </c>
      <c r="AA2001" s="19" t="s">
        <v>7361</v>
      </c>
      <c r="AB2001" s="26"/>
      <c r="AC2001" s="26" t="s">
        <v>53</v>
      </c>
      <c r="AD2001" s="19" t="s">
        <v>54</v>
      </c>
      <c r="AE2001" s="26"/>
      <c r="AF2001" s="17">
        <v>45313</v>
      </c>
      <c r="AG2001" s="26"/>
      <c r="AH2001" s="26"/>
      <c r="AI2001" s="40"/>
      <c r="AJ2001" s="26"/>
      <c r="AK2001" s="26"/>
      <c r="AL2001" s="35"/>
      <c r="AM2001" s="35"/>
      <c r="AN2001" s="35"/>
      <c r="AO2001" s="35"/>
      <c r="AP2001" s="35"/>
    </row>
    <row r="2002" spans="1:42" x14ac:dyDescent="0.2">
      <c r="A2002" s="126">
        <v>45311.518518819445</v>
      </c>
      <c r="B2002" s="28" t="s">
        <v>37</v>
      </c>
      <c r="C2002" s="41" t="s">
        <v>118</v>
      </c>
      <c r="D2002" s="26" t="s">
        <v>36</v>
      </c>
      <c r="E2002" s="26" t="s">
        <v>39</v>
      </c>
      <c r="F2002" s="26" t="s">
        <v>91</v>
      </c>
      <c r="G2002" s="26" t="s">
        <v>41</v>
      </c>
      <c r="H2002" s="26" t="s">
        <v>6412</v>
      </c>
      <c r="I2002" s="17">
        <f ca="1">IFERROR(__xludf.DUMMYFUNCTION("""COMPUTED_VALUE"""),45313)</f>
        <v>45313</v>
      </c>
      <c r="J2002" s="29" t="s">
        <v>7580</v>
      </c>
      <c r="K2002" s="26" t="s">
        <v>7581</v>
      </c>
      <c r="L2002" s="30">
        <v>338631050</v>
      </c>
      <c r="M2002" s="26" t="s">
        <v>910</v>
      </c>
      <c r="N2002" s="26" t="s">
        <v>260</v>
      </c>
      <c r="O2002" s="26" t="s">
        <v>7582</v>
      </c>
      <c r="P2002" s="26" t="s">
        <v>7583</v>
      </c>
      <c r="Q2002" s="20">
        <v>5736</v>
      </c>
      <c r="R2002" s="26" t="s">
        <v>70</v>
      </c>
      <c r="S2002" s="31">
        <v>200</v>
      </c>
      <c r="T2002" s="32">
        <v>45305</v>
      </c>
      <c r="U2002" s="31">
        <f>2000+3536</f>
        <v>5536</v>
      </c>
      <c r="V2002" s="26" t="s">
        <v>7584</v>
      </c>
      <c r="W2002" s="26" t="s">
        <v>7585</v>
      </c>
      <c r="X2002" s="26"/>
      <c r="Y2002" s="22">
        <v>0</v>
      </c>
      <c r="Z2002" s="26" t="s">
        <v>50</v>
      </c>
      <c r="AA2002" s="19" t="s">
        <v>7361</v>
      </c>
      <c r="AB2002" s="26"/>
      <c r="AC2002" s="26" t="s">
        <v>53</v>
      </c>
      <c r="AD2002" s="19" t="s">
        <v>54</v>
      </c>
      <c r="AE2002" s="26"/>
      <c r="AF2002" s="17">
        <v>45313</v>
      </c>
      <c r="AG2002" s="26"/>
      <c r="AH2002" s="26"/>
      <c r="AI2002" s="40"/>
      <c r="AJ2002" s="26"/>
      <c r="AK2002" s="26"/>
      <c r="AL2002" s="35"/>
      <c r="AM2002" s="35"/>
      <c r="AN2002" s="35"/>
      <c r="AO2002" s="35"/>
      <c r="AP2002" s="35"/>
    </row>
    <row r="2003" spans="1:42" x14ac:dyDescent="0.2">
      <c r="A2003" s="126">
        <v>45317.672901597223</v>
      </c>
      <c r="B2003" s="28" t="s">
        <v>37</v>
      </c>
      <c r="C2003" s="41" t="s">
        <v>118</v>
      </c>
      <c r="D2003" s="26" t="s">
        <v>36</v>
      </c>
      <c r="E2003" s="26" t="s">
        <v>915</v>
      </c>
      <c r="F2003" s="26" t="s">
        <v>36</v>
      </c>
      <c r="G2003" s="26" t="s">
        <v>7586</v>
      </c>
      <c r="H2003" s="26" t="s">
        <v>6128</v>
      </c>
      <c r="I2003" s="17">
        <f ca="1">IFERROR(__xludf.DUMMYFUNCTION("""COMPUTED_VALUE"""),45348)</f>
        <v>45348</v>
      </c>
      <c r="J2003" s="29" t="s">
        <v>7587</v>
      </c>
      <c r="K2003" s="26" t="s">
        <v>7588</v>
      </c>
      <c r="L2003" s="30">
        <v>903474275</v>
      </c>
      <c r="M2003" s="26" t="s">
        <v>3728</v>
      </c>
      <c r="N2003" s="26" t="s">
        <v>5312</v>
      </c>
      <c r="O2003" s="26" t="s">
        <v>7589</v>
      </c>
      <c r="P2003" s="26" t="s">
        <v>7590</v>
      </c>
      <c r="Q2003" s="20">
        <v>10894</v>
      </c>
      <c r="R2003" s="26" t="s">
        <v>36</v>
      </c>
      <c r="S2003" s="31">
        <v>4000</v>
      </c>
      <c r="T2003" s="32">
        <v>45317</v>
      </c>
      <c r="U2003" s="31">
        <v>6894</v>
      </c>
      <c r="V2003" s="32">
        <v>45364</v>
      </c>
      <c r="W2003" s="33" t="s">
        <v>7591</v>
      </c>
      <c r="X2003" s="26"/>
      <c r="Y2003" s="22">
        <v>0</v>
      </c>
      <c r="Z2003" s="26" t="s">
        <v>50</v>
      </c>
      <c r="AA2003" s="19" t="s">
        <v>7361</v>
      </c>
      <c r="AB2003" s="26"/>
      <c r="AC2003" s="26" t="s">
        <v>53</v>
      </c>
      <c r="AD2003" s="19" t="s">
        <v>138</v>
      </c>
      <c r="AE2003" s="26"/>
      <c r="AF2003" s="17">
        <v>45348</v>
      </c>
      <c r="AG2003" s="26" t="s">
        <v>7592</v>
      </c>
      <c r="AH2003" s="26"/>
      <c r="AI2003" s="40"/>
      <c r="AJ2003" s="26"/>
      <c r="AK2003" s="26"/>
      <c r="AL2003" s="35"/>
      <c r="AM2003" s="35"/>
      <c r="AN2003" s="35"/>
      <c r="AO2003" s="35"/>
      <c r="AP2003" s="35"/>
    </row>
    <row r="2004" spans="1:42" x14ac:dyDescent="0.2">
      <c r="A2004" s="126">
        <v>45317.757132465282</v>
      </c>
      <c r="B2004" s="28" t="s">
        <v>37</v>
      </c>
      <c r="C2004" s="41" t="s">
        <v>118</v>
      </c>
      <c r="D2004" s="26" t="s">
        <v>36</v>
      </c>
      <c r="E2004" s="26" t="s">
        <v>77</v>
      </c>
      <c r="F2004" s="26" t="s">
        <v>36</v>
      </c>
      <c r="G2004" s="26" t="s">
        <v>41</v>
      </c>
      <c r="H2004" s="26" t="s">
        <v>6831</v>
      </c>
      <c r="I2004" s="17">
        <f ca="1">IFERROR(__xludf.DUMMYFUNCTION("""COMPUTED_VALUE"""),45342)</f>
        <v>45342</v>
      </c>
      <c r="J2004" s="29" t="s">
        <v>7593</v>
      </c>
      <c r="K2004" s="26" t="s">
        <v>7594</v>
      </c>
      <c r="L2004" s="30">
        <v>853263702</v>
      </c>
      <c r="M2004" s="26" t="s">
        <v>123</v>
      </c>
      <c r="N2004" s="26" t="s">
        <v>7595</v>
      </c>
      <c r="O2004" s="26" t="s">
        <v>4503</v>
      </c>
      <c r="P2004" s="26" t="s">
        <v>7596</v>
      </c>
      <c r="Q2004" s="20">
        <v>1968</v>
      </c>
      <c r="R2004" s="26" t="s">
        <v>36</v>
      </c>
      <c r="S2004" s="31">
        <v>200</v>
      </c>
      <c r="T2004" s="32">
        <v>45315</v>
      </c>
      <c r="U2004" s="31">
        <v>1768</v>
      </c>
      <c r="V2004" s="32">
        <v>45340</v>
      </c>
      <c r="W2004" s="33" t="s">
        <v>7597</v>
      </c>
      <c r="X2004" s="26"/>
      <c r="Y2004" s="22">
        <v>0</v>
      </c>
      <c r="Z2004" s="26" t="s">
        <v>50</v>
      </c>
      <c r="AA2004" s="19" t="s">
        <v>7361</v>
      </c>
      <c r="AB2004" s="26" t="s">
        <v>104</v>
      </c>
      <c r="AC2004" s="26" t="s">
        <v>53</v>
      </c>
      <c r="AD2004" s="19" t="s">
        <v>54</v>
      </c>
      <c r="AE2004" s="26"/>
      <c r="AF2004" s="17">
        <v>45342</v>
      </c>
      <c r="AG2004" s="26" t="s">
        <v>7598</v>
      </c>
      <c r="AH2004" s="26"/>
      <c r="AI2004" s="40"/>
      <c r="AJ2004" s="26"/>
      <c r="AK2004" s="26"/>
      <c r="AL2004" s="35"/>
      <c r="AM2004" s="35"/>
      <c r="AN2004" s="35"/>
      <c r="AO2004" s="35"/>
      <c r="AP2004" s="35"/>
    </row>
    <row r="2005" spans="1:42" x14ac:dyDescent="0.2">
      <c r="A2005" s="126">
        <v>45317.986571030095</v>
      </c>
      <c r="B2005" s="28" t="s">
        <v>37</v>
      </c>
      <c r="C2005" s="41" t="s">
        <v>118</v>
      </c>
      <c r="D2005" s="26" t="s">
        <v>36</v>
      </c>
      <c r="E2005" s="26" t="s">
        <v>139</v>
      </c>
      <c r="F2005" s="26" t="s">
        <v>36</v>
      </c>
      <c r="G2005" s="26" t="s">
        <v>41</v>
      </c>
      <c r="H2005" s="26" t="s">
        <v>6831</v>
      </c>
      <c r="I2005" s="17">
        <f ca="1">IFERROR(__xludf.DUMMYFUNCTION("""COMPUTED_VALUE"""),45342)</f>
        <v>45342</v>
      </c>
      <c r="J2005" s="29" t="s">
        <v>7599</v>
      </c>
      <c r="K2005" s="26" t="s">
        <v>7600</v>
      </c>
      <c r="L2005" s="30">
        <v>349926599</v>
      </c>
      <c r="M2005" s="26" t="s">
        <v>5558</v>
      </c>
      <c r="N2005" s="26" t="s">
        <v>5559</v>
      </c>
      <c r="O2005" s="26" t="s">
        <v>4503</v>
      </c>
      <c r="P2005" s="26" t="s">
        <v>7601</v>
      </c>
      <c r="Q2005" s="20">
        <v>15936</v>
      </c>
      <c r="R2005" s="26" t="s">
        <v>36</v>
      </c>
      <c r="S2005" s="31">
        <v>2000</v>
      </c>
      <c r="T2005" s="32">
        <v>45317</v>
      </c>
      <c r="U2005" s="31">
        <v>13936</v>
      </c>
      <c r="V2005" s="32">
        <v>45355</v>
      </c>
      <c r="W2005" s="33" t="s">
        <v>7602</v>
      </c>
      <c r="X2005" s="26"/>
      <c r="Y2005" s="22">
        <v>0</v>
      </c>
      <c r="Z2005" s="26" t="s">
        <v>50</v>
      </c>
      <c r="AA2005" s="19" t="s">
        <v>7361</v>
      </c>
      <c r="AB2005" s="26"/>
      <c r="AC2005" s="26" t="s">
        <v>53</v>
      </c>
      <c r="AD2005" s="19" t="s">
        <v>54</v>
      </c>
      <c r="AE2005" s="26"/>
      <c r="AF2005" s="17">
        <v>45338</v>
      </c>
      <c r="AG2005" s="26"/>
      <c r="AH2005" s="26"/>
      <c r="AI2005" s="40"/>
      <c r="AJ2005" s="26"/>
      <c r="AK2005" s="26"/>
      <c r="AL2005" s="35"/>
      <c r="AM2005" s="35"/>
      <c r="AN2005" s="35"/>
      <c r="AO2005" s="35"/>
      <c r="AP2005" s="35"/>
    </row>
    <row r="2006" spans="1:42" x14ac:dyDescent="0.2">
      <c r="A2006" s="126">
        <v>45340.806146331015</v>
      </c>
      <c r="B2006" s="28" t="s">
        <v>37</v>
      </c>
      <c r="C2006" s="41" t="s">
        <v>118</v>
      </c>
      <c r="D2006" s="26" t="s">
        <v>36</v>
      </c>
      <c r="E2006" s="26" t="s">
        <v>139</v>
      </c>
      <c r="F2006" s="26" t="s">
        <v>91</v>
      </c>
      <c r="G2006" s="26" t="s">
        <v>41</v>
      </c>
      <c r="H2006" s="26" t="s">
        <v>6831</v>
      </c>
      <c r="I2006" s="17">
        <f ca="1">IFERROR(__xludf.DUMMYFUNCTION("""COMPUTED_VALUE"""),45342)</f>
        <v>45342</v>
      </c>
      <c r="J2006" s="29" t="s">
        <v>7603</v>
      </c>
      <c r="K2006" s="26" t="s">
        <v>7604</v>
      </c>
      <c r="L2006" s="30">
        <v>986252650</v>
      </c>
      <c r="M2006" s="26" t="s">
        <v>910</v>
      </c>
      <c r="N2006" s="26" t="s">
        <v>260</v>
      </c>
      <c r="O2006" s="26" t="s">
        <v>7605</v>
      </c>
      <c r="P2006" s="26" t="s">
        <v>7606</v>
      </c>
      <c r="Q2006" s="20">
        <v>15936</v>
      </c>
      <c r="R2006" s="26" t="s">
        <v>36</v>
      </c>
      <c r="S2006" s="31">
        <v>100</v>
      </c>
      <c r="T2006" s="32">
        <v>45325</v>
      </c>
      <c r="U2006" s="31">
        <f>2000+13836</f>
        <v>15836</v>
      </c>
      <c r="V2006" s="26" t="s">
        <v>7607</v>
      </c>
      <c r="W2006" s="26" t="s">
        <v>7608</v>
      </c>
      <c r="X2006" s="26"/>
      <c r="Y2006" s="22">
        <v>0</v>
      </c>
      <c r="Z2006" s="26" t="s">
        <v>50</v>
      </c>
      <c r="AA2006" s="19" t="s">
        <v>7361</v>
      </c>
      <c r="AB2006" s="26" t="s">
        <v>104</v>
      </c>
      <c r="AC2006" s="26" t="s">
        <v>53</v>
      </c>
      <c r="AD2006" s="19" t="s">
        <v>54</v>
      </c>
      <c r="AE2006" s="26"/>
      <c r="AF2006" s="17">
        <v>45342</v>
      </c>
      <c r="AG2006" s="26"/>
      <c r="AH2006" s="26"/>
      <c r="AI2006" s="40"/>
      <c r="AJ2006" s="26"/>
      <c r="AK2006" s="26"/>
      <c r="AL2006" s="35"/>
      <c r="AM2006" s="35"/>
      <c r="AN2006" s="35"/>
      <c r="AO2006" s="35"/>
      <c r="AP2006" s="35"/>
    </row>
    <row r="2007" spans="1:42" x14ac:dyDescent="0.2">
      <c r="A2007" s="126">
        <v>45340.849012025465</v>
      </c>
      <c r="B2007" s="28" t="s">
        <v>37</v>
      </c>
      <c r="C2007" s="41" t="s">
        <v>118</v>
      </c>
      <c r="D2007" s="26" t="s">
        <v>36</v>
      </c>
      <c r="E2007" s="26" t="s">
        <v>39</v>
      </c>
      <c r="F2007" s="26" t="s">
        <v>40</v>
      </c>
      <c r="G2007" s="26" t="s">
        <v>41</v>
      </c>
      <c r="H2007" s="26" t="s">
        <v>6814</v>
      </c>
      <c r="I2007" s="17">
        <f ca="1">IFERROR(__xludf.DUMMYFUNCTION("""COMPUTED_VALUE"""),45350)</f>
        <v>45350</v>
      </c>
      <c r="J2007" s="29" t="s">
        <v>7609</v>
      </c>
      <c r="K2007" s="26" t="s">
        <v>7610</v>
      </c>
      <c r="L2007" s="30">
        <v>912536851</v>
      </c>
      <c r="M2007" s="26" t="s">
        <v>45</v>
      </c>
      <c r="N2007" s="26" t="s">
        <v>3839</v>
      </c>
      <c r="O2007" s="26" t="s">
        <v>7611</v>
      </c>
      <c r="P2007" s="26" t="s">
        <v>7612</v>
      </c>
      <c r="Q2007" s="20">
        <v>5736</v>
      </c>
      <c r="R2007" s="26" t="s">
        <v>36</v>
      </c>
      <c r="S2007" s="31">
        <v>2000</v>
      </c>
      <c r="T2007" s="32">
        <v>45339</v>
      </c>
      <c r="U2007" s="31">
        <v>3736</v>
      </c>
      <c r="V2007" s="32">
        <v>45366</v>
      </c>
      <c r="W2007" s="33" t="s">
        <v>7613</v>
      </c>
      <c r="X2007" s="26"/>
      <c r="Y2007" s="22">
        <v>0</v>
      </c>
      <c r="Z2007" s="26" t="s">
        <v>50</v>
      </c>
      <c r="AA2007" s="19" t="s">
        <v>7361</v>
      </c>
      <c r="AB2007" s="26" t="s">
        <v>104</v>
      </c>
      <c r="AC2007" s="26" t="s">
        <v>53</v>
      </c>
      <c r="AD2007" s="19" t="s">
        <v>54</v>
      </c>
      <c r="AE2007" s="26">
        <v>0</v>
      </c>
      <c r="AF2007" s="17">
        <v>45342</v>
      </c>
      <c r="AG2007" s="26"/>
      <c r="AH2007" s="26"/>
      <c r="AI2007" s="40"/>
      <c r="AJ2007" s="26"/>
      <c r="AK2007" s="26"/>
      <c r="AL2007" s="35"/>
      <c r="AM2007" s="35"/>
      <c r="AN2007" s="35"/>
      <c r="AO2007" s="35"/>
      <c r="AP2007" s="35"/>
    </row>
    <row r="2008" spans="1:42" x14ac:dyDescent="0.2">
      <c r="A2008" s="126">
        <v>45341.430304293986</v>
      </c>
      <c r="B2008" s="28" t="s">
        <v>37</v>
      </c>
      <c r="C2008" s="41" t="s">
        <v>118</v>
      </c>
      <c r="D2008" s="26" t="s">
        <v>36</v>
      </c>
      <c r="E2008" s="26" t="s">
        <v>56</v>
      </c>
      <c r="F2008" s="26" t="s">
        <v>91</v>
      </c>
      <c r="G2008" s="26" t="s">
        <v>41</v>
      </c>
      <c r="H2008" s="26" t="s">
        <v>6831</v>
      </c>
      <c r="I2008" s="17">
        <f ca="1">IFERROR(__xludf.DUMMYFUNCTION("""COMPUTED_VALUE"""),45342)</f>
        <v>45342</v>
      </c>
      <c r="J2008" s="29" t="s">
        <v>7614</v>
      </c>
      <c r="K2008" s="26" t="s">
        <v>7615</v>
      </c>
      <c r="L2008" s="30">
        <v>965821042</v>
      </c>
      <c r="M2008" s="26" t="s">
        <v>2755</v>
      </c>
      <c r="N2008" s="26" t="s">
        <v>7153</v>
      </c>
      <c r="O2008" s="26" t="s">
        <v>4503</v>
      </c>
      <c r="P2008" s="26" t="s">
        <v>7616</v>
      </c>
      <c r="Q2008" s="20">
        <v>9317</v>
      </c>
      <c r="R2008" s="26" t="s">
        <v>36</v>
      </c>
      <c r="S2008" s="31">
        <v>500</v>
      </c>
      <c r="T2008" s="32">
        <v>45321</v>
      </c>
      <c r="U2008" s="31">
        <f>1500+7317</f>
        <v>8817</v>
      </c>
      <c r="V2008" s="26" t="s">
        <v>7617</v>
      </c>
      <c r="W2008" s="26" t="s">
        <v>7618</v>
      </c>
      <c r="X2008" s="26"/>
      <c r="Y2008" s="22">
        <v>0</v>
      </c>
      <c r="Z2008" s="26" t="s">
        <v>50</v>
      </c>
      <c r="AA2008" s="19" t="s">
        <v>7361</v>
      </c>
      <c r="AB2008" s="26" t="s">
        <v>104</v>
      </c>
      <c r="AC2008" s="26" t="s">
        <v>53</v>
      </c>
      <c r="AD2008" s="19" t="s">
        <v>54</v>
      </c>
      <c r="AE2008" s="26"/>
      <c r="AF2008" s="17">
        <v>45342</v>
      </c>
      <c r="AG2008" s="26"/>
      <c r="AH2008" s="26"/>
      <c r="AI2008" s="40"/>
      <c r="AJ2008" s="26"/>
      <c r="AK2008" s="26"/>
      <c r="AL2008" s="35"/>
      <c r="AM2008" s="35"/>
      <c r="AN2008" s="35"/>
      <c r="AO2008" s="35"/>
      <c r="AP2008" s="35"/>
    </row>
    <row r="2009" spans="1:42" x14ac:dyDescent="0.2">
      <c r="A2009" s="126">
        <v>45341.562498090279</v>
      </c>
      <c r="B2009" s="28" t="s">
        <v>37</v>
      </c>
      <c r="C2009" s="41" t="s">
        <v>118</v>
      </c>
      <c r="D2009" s="26" t="s">
        <v>36</v>
      </c>
      <c r="E2009" s="26" t="s">
        <v>119</v>
      </c>
      <c r="F2009" s="26" t="s">
        <v>36</v>
      </c>
      <c r="G2009" s="26" t="s">
        <v>108</v>
      </c>
      <c r="H2009" s="26" t="s">
        <v>6457</v>
      </c>
      <c r="I2009" s="17">
        <f ca="1">IFERROR(__xludf.DUMMYFUNCTION("""COMPUTED_VALUE"""),45349)</f>
        <v>45349</v>
      </c>
      <c r="J2009" s="29" t="s">
        <v>7619</v>
      </c>
      <c r="K2009" s="26" t="s">
        <v>7620</v>
      </c>
      <c r="L2009" s="30">
        <v>349604185</v>
      </c>
      <c r="M2009" s="26" t="s">
        <v>80</v>
      </c>
      <c r="N2009" s="26" t="s">
        <v>466</v>
      </c>
      <c r="O2009" s="26" t="s">
        <v>7621</v>
      </c>
      <c r="P2009" s="26" t="s">
        <v>7622</v>
      </c>
      <c r="Q2009" s="20">
        <v>13968</v>
      </c>
      <c r="R2009" s="26" t="s">
        <v>36</v>
      </c>
      <c r="S2009" s="31">
        <v>500</v>
      </c>
      <c r="T2009" s="32">
        <v>45300</v>
      </c>
      <c r="U2009" s="31">
        <f>3500+9968</f>
        <v>13468</v>
      </c>
      <c r="V2009" s="26" t="s">
        <v>7623</v>
      </c>
      <c r="W2009" s="33" t="s">
        <v>7624</v>
      </c>
      <c r="X2009" s="26"/>
      <c r="Y2009" s="22">
        <v>0</v>
      </c>
      <c r="Z2009" s="26" t="s">
        <v>50</v>
      </c>
      <c r="AA2009" s="19" t="s">
        <v>7361</v>
      </c>
      <c r="AB2009" s="26"/>
      <c r="AC2009" s="26" t="s">
        <v>53</v>
      </c>
      <c r="AD2009" s="19" t="s">
        <v>54</v>
      </c>
      <c r="AE2009" s="26">
        <v>400</v>
      </c>
      <c r="AF2009" s="17">
        <v>45345</v>
      </c>
      <c r="AG2009" s="26"/>
      <c r="AH2009" s="26"/>
      <c r="AI2009" s="40"/>
      <c r="AJ2009" s="26"/>
      <c r="AK2009" s="26"/>
      <c r="AL2009" s="35"/>
      <c r="AM2009" s="35"/>
      <c r="AN2009" s="35"/>
      <c r="AO2009" s="35"/>
      <c r="AP2009" s="35"/>
    </row>
    <row r="2010" spans="1:42" x14ac:dyDescent="0.2">
      <c r="A2010" s="126">
        <v>45341.778685069439</v>
      </c>
      <c r="B2010" s="28" t="s">
        <v>37</v>
      </c>
      <c r="C2010" s="41" t="s">
        <v>118</v>
      </c>
      <c r="D2010" s="26" t="s">
        <v>36</v>
      </c>
      <c r="E2010" s="26" t="s">
        <v>148</v>
      </c>
      <c r="F2010" s="26" t="s">
        <v>91</v>
      </c>
      <c r="G2010" s="26" t="s">
        <v>108</v>
      </c>
      <c r="H2010" s="26" t="s">
        <v>4931</v>
      </c>
      <c r="I2010" s="17">
        <f ca="1">IFERROR(__xludf.DUMMYFUNCTION("""COMPUTED_VALUE"""),45375)</f>
        <v>45375</v>
      </c>
      <c r="J2010" s="29" t="s">
        <v>7625</v>
      </c>
      <c r="K2010" s="26" t="s">
        <v>7626</v>
      </c>
      <c r="L2010" s="30">
        <v>868739913</v>
      </c>
      <c r="M2010" s="26" t="s">
        <v>6309</v>
      </c>
      <c r="N2010" s="26" t="s">
        <v>1400</v>
      </c>
      <c r="O2010" s="26" t="s">
        <v>7627</v>
      </c>
      <c r="P2010" s="26" t="s">
        <v>3117</v>
      </c>
      <c r="Q2010" s="20">
        <v>7349</v>
      </c>
      <c r="R2010" s="26" t="s">
        <v>36</v>
      </c>
      <c r="S2010" s="31">
        <v>1000</v>
      </c>
      <c r="T2010" s="32">
        <v>45340</v>
      </c>
      <c r="U2010" s="31">
        <v>6349</v>
      </c>
      <c r="V2010" s="32">
        <v>45352</v>
      </c>
      <c r="W2010" s="33" t="s">
        <v>7628</v>
      </c>
      <c r="X2010" s="26"/>
      <c r="Y2010" s="22">
        <v>0</v>
      </c>
      <c r="Z2010" s="26" t="s">
        <v>50</v>
      </c>
      <c r="AA2010" s="19" t="s">
        <v>7361</v>
      </c>
      <c r="AB2010" s="26"/>
      <c r="AC2010" s="26" t="s">
        <v>53</v>
      </c>
      <c r="AD2010" s="19" t="s">
        <v>138</v>
      </c>
      <c r="AE2010" s="26">
        <v>400</v>
      </c>
      <c r="AF2010" s="17">
        <v>45375</v>
      </c>
      <c r="AG2010" s="26" t="s">
        <v>1362</v>
      </c>
      <c r="AH2010" s="26"/>
      <c r="AI2010" s="40"/>
      <c r="AJ2010" s="26"/>
      <c r="AK2010" s="26"/>
      <c r="AL2010" s="35"/>
      <c r="AM2010" s="35"/>
      <c r="AN2010" s="35"/>
      <c r="AO2010" s="35"/>
      <c r="AP2010" s="35"/>
    </row>
    <row r="2011" spans="1:42" x14ac:dyDescent="0.2">
      <c r="A2011" s="126">
        <v>45343.652317743057</v>
      </c>
      <c r="B2011" s="28" t="s">
        <v>90</v>
      </c>
      <c r="C2011" s="41" t="s">
        <v>118</v>
      </c>
      <c r="D2011" s="26" t="s">
        <v>36</v>
      </c>
      <c r="E2011" s="26" t="s">
        <v>119</v>
      </c>
      <c r="F2011" s="26" t="s">
        <v>36</v>
      </c>
      <c r="G2011" s="26" t="s">
        <v>7629</v>
      </c>
      <c r="H2011" s="26" t="s">
        <v>6457</v>
      </c>
      <c r="I2011" s="17">
        <f ca="1">IFERROR(__xludf.DUMMYFUNCTION("""COMPUTED_VALUE"""),45349)</f>
        <v>45349</v>
      </c>
      <c r="J2011" s="29" t="s">
        <v>7630</v>
      </c>
      <c r="K2011" s="26" t="s">
        <v>7631</v>
      </c>
      <c r="L2011" s="30">
        <v>375111308</v>
      </c>
      <c r="M2011" s="26" t="s">
        <v>5429</v>
      </c>
      <c r="N2011" s="26" t="s">
        <v>81</v>
      </c>
      <c r="O2011" s="26" t="s">
        <v>7632</v>
      </c>
      <c r="P2011" s="26" t="s">
        <v>7633</v>
      </c>
      <c r="Q2011" s="20">
        <v>13968</v>
      </c>
      <c r="R2011" s="26" t="s">
        <v>36</v>
      </c>
      <c r="S2011" s="31">
        <v>4000</v>
      </c>
      <c r="T2011" s="32">
        <v>45343</v>
      </c>
      <c r="U2011" s="31">
        <v>9968</v>
      </c>
      <c r="V2011" s="32">
        <v>45367</v>
      </c>
      <c r="W2011" s="33" t="s">
        <v>7634</v>
      </c>
      <c r="X2011" s="26"/>
      <c r="Y2011" s="22">
        <v>0</v>
      </c>
      <c r="Z2011" s="26" t="s">
        <v>50</v>
      </c>
      <c r="AA2011" s="19" t="s">
        <v>7361</v>
      </c>
      <c r="AB2011" s="26"/>
      <c r="AC2011" s="26" t="s">
        <v>53</v>
      </c>
      <c r="AD2011" s="19" t="s">
        <v>138</v>
      </c>
      <c r="AE2011" s="26">
        <v>410</v>
      </c>
      <c r="AF2011" s="17">
        <v>45348</v>
      </c>
      <c r="AG2011" s="26"/>
      <c r="AH2011" s="26"/>
      <c r="AI2011" s="40"/>
      <c r="AJ2011" s="26"/>
      <c r="AK2011" s="26"/>
      <c r="AL2011" s="35"/>
      <c r="AM2011" s="35"/>
      <c r="AN2011" s="35"/>
      <c r="AO2011" s="35"/>
      <c r="AP2011" s="35"/>
    </row>
    <row r="2012" spans="1:42" x14ac:dyDescent="0.2">
      <c r="A2012" s="126">
        <v>45343.653457766202</v>
      </c>
      <c r="B2012" s="28" t="s">
        <v>37</v>
      </c>
      <c r="C2012" s="41" t="s">
        <v>118</v>
      </c>
      <c r="D2012" s="26" t="s">
        <v>36</v>
      </c>
      <c r="E2012" s="26" t="s">
        <v>139</v>
      </c>
      <c r="F2012" s="26" t="s">
        <v>91</v>
      </c>
      <c r="G2012" s="26" t="s">
        <v>41</v>
      </c>
      <c r="H2012" s="26" t="s">
        <v>4087</v>
      </c>
      <c r="I2012" s="17">
        <f ca="1">IFERROR(__xludf.DUMMYFUNCTION("""COMPUTED_VALUE"""),45358)</f>
        <v>45358</v>
      </c>
      <c r="J2012" s="29" t="s">
        <v>7635</v>
      </c>
      <c r="K2012" s="26" t="s">
        <v>7636</v>
      </c>
      <c r="L2012" s="30">
        <v>971400552</v>
      </c>
      <c r="M2012" s="26" t="s">
        <v>5518</v>
      </c>
      <c r="N2012" s="26" t="s">
        <v>253</v>
      </c>
      <c r="O2012" s="26" t="s">
        <v>7637</v>
      </c>
      <c r="P2012" s="26" t="s">
        <v>3117</v>
      </c>
      <c r="Q2012" s="20">
        <v>15936</v>
      </c>
      <c r="R2012" s="26" t="s">
        <v>36</v>
      </c>
      <c r="S2012" s="31">
        <v>2000</v>
      </c>
      <c r="T2012" s="32">
        <v>45342</v>
      </c>
      <c r="U2012" s="31">
        <v>13936</v>
      </c>
      <c r="V2012" s="32">
        <v>45377</v>
      </c>
      <c r="W2012" s="33" t="s">
        <v>7638</v>
      </c>
      <c r="X2012" s="26"/>
      <c r="Y2012" s="22">
        <v>0</v>
      </c>
      <c r="Z2012" s="26" t="s">
        <v>50</v>
      </c>
      <c r="AA2012" s="19" t="s">
        <v>7361</v>
      </c>
      <c r="AB2012" s="26"/>
      <c r="AC2012" s="26" t="s">
        <v>53</v>
      </c>
      <c r="AD2012" s="19" t="s">
        <v>138</v>
      </c>
      <c r="AE2012" s="26"/>
      <c r="AF2012" s="17">
        <v>45358</v>
      </c>
      <c r="AG2012" s="26" t="s">
        <v>3415</v>
      </c>
      <c r="AH2012" s="26"/>
      <c r="AI2012" s="40"/>
      <c r="AJ2012" s="26"/>
      <c r="AK2012" s="26"/>
      <c r="AL2012" s="35"/>
      <c r="AM2012" s="35"/>
      <c r="AN2012" s="35"/>
      <c r="AO2012" s="35"/>
      <c r="AP2012" s="35"/>
    </row>
    <row r="2013" spans="1:42" x14ac:dyDescent="0.2">
      <c r="A2013" s="126">
        <v>45343.657520729168</v>
      </c>
      <c r="B2013" s="28" t="s">
        <v>90</v>
      </c>
      <c r="C2013" s="41" t="s">
        <v>118</v>
      </c>
      <c r="D2013" s="26" t="s">
        <v>36</v>
      </c>
      <c r="E2013" s="26" t="s">
        <v>56</v>
      </c>
      <c r="F2013" s="26" t="s">
        <v>4911</v>
      </c>
      <c r="G2013" s="26" t="s">
        <v>41</v>
      </c>
      <c r="H2013" s="26" t="s">
        <v>6637</v>
      </c>
      <c r="I2013" s="17">
        <f ca="1">IFERROR(__xludf.DUMMYFUNCTION("""COMPUTED_VALUE"""),45351)</f>
        <v>45351</v>
      </c>
      <c r="J2013" s="29" t="s">
        <v>7639</v>
      </c>
      <c r="K2013" s="26" t="s">
        <v>7640</v>
      </c>
      <c r="L2013" s="30">
        <v>986009542</v>
      </c>
      <c r="M2013" s="26" t="s">
        <v>5518</v>
      </c>
      <c r="N2013" s="26" t="s">
        <v>186</v>
      </c>
      <c r="O2013" s="26" t="s">
        <v>7641</v>
      </c>
      <c r="P2013" s="26" t="s">
        <v>7642</v>
      </c>
      <c r="Q2013" s="20">
        <v>9317</v>
      </c>
      <c r="R2013" s="26" t="s">
        <v>36</v>
      </c>
      <c r="S2013" s="31">
        <v>4000</v>
      </c>
      <c r="T2013" s="32">
        <v>45343</v>
      </c>
      <c r="U2013" s="31">
        <v>5317</v>
      </c>
      <c r="V2013" s="32">
        <v>45374</v>
      </c>
      <c r="W2013" s="33" t="s">
        <v>7643</v>
      </c>
      <c r="X2013" s="26"/>
      <c r="Y2013" s="22">
        <v>0</v>
      </c>
      <c r="Z2013" s="26" t="s">
        <v>50</v>
      </c>
      <c r="AA2013" s="19" t="s">
        <v>7361</v>
      </c>
      <c r="AB2013" s="26"/>
      <c r="AC2013" s="26" t="s">
        <v>53</v>
      </c>
      <c r="AD2013" s="19" t="s">
        <v>54</v>
      </c>
      <c r="AE2013" s="26">
        <v>0</v>
      </c>
      <c r="AF2013" s="17">
        <v>45345</v>
      </c>
      <c r="AG2013" s="26"/>
      <c r="AH2013" s="26"/>
      <c r="AI2013" s="40"/>
      <c r="AJ2013" s="26"/>
      <c r="AK2013" s="26"/>
      <c r="AL2013" s="35"/>
      <c r="AM2013" s="35"/>
      <c r="AN2013" s="35"/>
      <c r="AO2013" s="35"/>
      <c r="AP2013" s="35"/>
    </row>
    <row r="2014" spans="1:42" x14ac:dyDescent="0.2">
      <c r="A2014" s="126">
        <v>45343.981040196755</v>
      </c>
      <c r="B2014" s="28" t="s">
        <v>37</v>
      </c>
      <c r="C2014" s="41" t="s">
        <v>118</v>
      </c>
      <c r="D2014" s="26" t="s">
        <v>36</v>
      </c>
      <c r="E2014" s="26" t="s">
        <v>119</v>
      </c>
      <c r="F2014" s="26" t="s">
        <v>91</v>
      </c>
      <c r="G2014" s="26" t="s">
        <v>108</v>
      </c>
      <c r="H2014" s="26" t="s">
        <v>6457</v>
      </c>
      <c r="I2014" s="17">
        <f ca="1">IFERROR(__xludf.DUMMYFUNCTION("""COMPUTED_VALUE"""),45349)</f>
        <v>45349</v>
      </c>
      <c r="J2014" s="29" t="s">
        <v>7644</v>
      </c>
      <c r="K2014" s="26" t="s">
        <v>7645</v>
      </c>
      <c r="L2014" s="30">
        <v>968449834</v>
      </c>
      <c r="M2014" s="26" t="s">
        <v>2755</v>
      </c>
      <c r="N2014" s="26" t="s">
        <v>3760</v>
      </c>
      <c r="O2014" s="26" t="s">
        <v>4503</v>
      </c>
      <c r="P2014" s="26" t="s">
        <v>7646</v>
      </c>
      <c r="Q2014" s="20">
        <v>13968</v>
      </c>
      <c r="R2014" s="26" t="s">
        <v>36</v>
      </c>
      <c r="S2014" s="31">
        <v>8000</v>
      </c>
      <c r="T2014" s="32">
        <v>45342</v>
      </c>
      <c r="U2014" s="31">
        <v>5968</v>
      </c>
      <c r="V2014" s="32">
        <v>45361</v>
      </c>
      <c r="W2014" s="33" t="s">
        <v>7647</v>
      </c>
      <c r="X2014" s="26"/>
      <c r="Y2014" s="22">
        <v>0</v>
      </c>
      <c r="Z2014" s="26" t="s">
        <v>50</v>
      </c>
      <c r="AA2014" s="19" t="s">
        <v>7361</v>
      </c>
      <c r="AB2014" s="26"/>
      <c r="AC2014" s="26" t="s">
        <v>53</v>
      </c>
      <c r="AD2014" s="19" t="s">
        <v>54</v>
      </c>
      <c r="AE2014" s="26">
        <v>430</v>
      </c>
      <c r="AF2014" s="17">
        <v>45345</v>
      </c>
      <c r="AG2014" s="26"/>
      <c r="AH2014" s="26"/>
      <c r="AI2014" s="40"/>
      <c r="AJ2014" s="26"/>
      <c r="AK2014" s="26"/>
      <c r="AL2014" s="35"/>
      <c r="AM2014" s="35"/>
      <c r="AN2014" s="35"/>
      <c r="AO2014" s="35"/>
      <c r="AP2014" s="35"/>
    </row>
    <row r="2015" spans="1:42" x14ac:dyDescent="0.2">
      <c r="A2015" s="126">
        <v>45343.984406493051</v>
      </c>
      <c r="B2015" s="28" t="s">
        <v>37</v>
      </c>
      <c r="C2015" s="41" t="s">
        <v>118</v>
      </c>
      <c r="D2015" s="26" t="s">
        <v>36</v>
      </c>
      <c r="E2015" s="26" t="s">
        <v>39</v>
      </c>
      <c r="F2015" s="26" t="s">
        <v>36</v>
      </c>
      <c r="G2015" s="26" t="s">
        <v>41</v>
      </c>
      <c r="H2015" s="26" t="s">
        <v>4087</v>
      </c>
      <c r="I2015" s="17">
        <f ca="1">IFERROR(__xludf.DUMMYFUNCTION("""COMPUTED_VALUE"""),45358)</f>
        <v>45358</v>
      </c>
      <c r="J2015" s="29" t="s">
        <v>7648</v>
      </c>
      <c r="K2015" s="26" t="s">
        <v>2249</v>
      </c>
      <c r="L2015" s="30">
        <v>773362690</v>
      </c>
      <c r="M2015" s="26" t="s">
        <v>3498</v>
      </c>
      <c r="N2015" s="26" t="s">
        <v>2756</v>
      </c>
      <c r="O2015" s="26" t="s">
        <v>4503</v>
      </c>
      <c r="P2015" s="26" t="s">
        <v>7649</v>
      </c>
      <c r="Q2015" s="20">
        <v>5736</v>
      </c>
      <c r="R2015" s="26" t="s">
        <v>36</v>
      </c>
      <c r="S2015" s="31">
        <v>200</v>
      </c>
      <c r="T2015" s="32">
        <v>45330</v>
      </c>
      <c r="U2015" s="31">
        <v>5536</v>
      </c>
      <c r="V2015" s="32">
        <v>45354</v>
      </c>
      <c r="W2015" s="33" t="s">
        <v>7650</v>
      </c>
      <c r="X2015" s="26"/>
      <c r="Y2015" s="22">
        <v>0</v>
      </c>
      <c r="Z2015" s="26" t="s">
        <v>50</v>
      </c>
      <c r="AA2015" s="19" t="s">
        <v>7361</v>
      </c>
      <c r="AB2015" s="26"/>
      <c r="AC2015" s="26" t="s">
        <v>53</v>
      </c>
      <c r="AD2015" s="19" t="s">
        <v>138</v>
      </c>
      <c r="AE2015" s="26"/>
      <c r="AF2015" s="17">
        <v>45358</v>
      </c>
      <c r="AG2015" s="26" t="s">
        <v>7078</v>
      </c>
      <c r="AH2015" s="26" t="s">
        <v>7564</v>
      </c>
      <c r="AI2015" s="40"/>
      <c r="AJ2015" s="26"/>
      <c r="AK2015" s="26"/>
      <c r="AL2015" s="35"/>
      <c r="AM2015" s="35"/>
      <c r="AN2015" s="35"/>
      <c r="AO2015" s="35"/>
      <c r="AP2015" s="35"/>
    </row>
    <row r="2016" spans="1:42" x14ac:dyDescent="0.2">
      <c r="A2016" s="126">
        <v>45347.463877592592</v>
      </c>
      <c r="B2016" s="28" t="s">
        <v>90</v>
      </c>
      <c r="C2016" s="41" t="s">
        <v>118</v>
      </c>
      <c r="D2016" s="26" t="s">
        <v>36</v>
      </c>
      <c r="E2016" s="26" t="s">
        <v>39</v>
      </c>
      <c r="F2016" s="26" t="s">
        <v>36</v>
      </c>
      <c r="G2016" s="26" t="s">
        <v>41</v>
      </c>
      <c r="H2016" s="26" t="s">
        <v>6637</v>
      </c>
      <c r="I2016" s="17">
        <f ca="1">IFERROR(__xludf.DUMMYFUNCTION("""COMPUTED_VALUE"""),45351)</f>
        <v>45351</v>
      </c>
      <c r="J2016" s="29" t="s">
        <v>7651</v>
      </c>
      <c r="K2016" s="26" t="s">
        <v>7652</v>
      </c>
      <c r="L2016" s="30">
        <v>963594680</v>
      </c>
      <c r="M2016" s="26" t="s">
        <v>910</v>
      </c>
      <c r="N2016" s="26" t="s">
        <v>260</v>
      </c>
      <c r="O2016" s="26" t="s">
        <v>7653</v>
      </c>
      <c r="P2016" s="26" t="s">
        <v>7654</v>
      </c>
      <c r="Q2016" s="20">
        <v>5736</v>
      </c>
      <c r="R2016" s="26" t="s">
        <v>36</v>
      </c>
      <c r="S2016" s="31">
        <v>2000</v>
      </c>
      <c r="T2016" s="32">
        <v>45347</v>
      </c>
      <c r="U2016" s="31">
        <v>3736</v>
      </c>
      <c r="V2016" s="32">
        <v>45357</v>
      </c>
      <c r="W2016" s="33" t="s">
        <v>7655</v>
      </c>
      <c r="X2016" s="26">
        <v>0</v>
      </c>
      <c r="Y2016" s="22">
        <v>0</v>
      </c>
      <c r="Z2016" s="26" t="s">
        <v>50</v>
      </c>
      <c r="AA2016" s="19" t="s">
        <v>7361</v>
      </c>
      <c r="AB2016" s="26"/>
      <c r="AC2016" s="26" t="s">
        <v>53</v>
      </c>
      <c r="AD2016" s="19" t="s">
        <v>54</v>
      </c>
      <c r="AE2016" s="26"/>
      <c r="AF2016" s="17">
        <v>45348</v>
      </c>
      <c r="AG2016" s="26"/>
      <c r="AH2016" s="40">
        <v>1.5</v>
      </c>
      <c r="AI2016" s="40"/>
      <c r="AJ2016" s="26"/>
      <c r="AK2016" s="26"/>
      <c r="AL2016" s="35"/>
      <c r="AM2016" s="35"/>
      <c r="AN2016" s="35"/>
      <c r="AO2016" s="35"/>
      <c r="AP2016" s="35"/>
    </row>
    <row r="2017" spans="1:42" x14ac:dyDescent="0.2">
      <c r="A2017" s="126">
        <v>45347.661544537041</v>
      </c>
      <c r="B2017" s="28" t="s">
        <v>37</v>
      </c>
      <c r="C2017" s="41" t="s">
        <v>118</v>
      </c>
      <c r="D2017" s="26" t="s">
        <v>36</v>
      </c>
      <c r="E2017" s="26" t="s">
        <v>56</v>
      </c>
      <c r="F2017" s="26" t="s">
        <v>36</v>
      </c>
      <c r="G2017" s="26" t="s">
        <v>41</v>
      </c>
      <c r="H2017" s="26" t="s">
        <v>6637</v>
      </c>
      <c r="I2017" s="17">
        <f ca="1">IFERROR(__xludf.DUMMYFUNCTION("""COMPUTED_VALUE"""),45351)</f>
        <v>45351</v>
      </c>
      <c r="J2017" s="29" t="s">
        <v>7656</v>
      </c>
      <c r="K2017" s="26" t="s">
        <v>7657</v>
      </c>
      <c r="L2017" s="30">
        <v>961713659</v>
      </c>
      <c r="M2017" s="26" t="s">
        <v>2755</v>
      </c>
      <c r="N2017" s="26" t="s">
        <v>2756</v>
      </c>
      <c r="O2017" s="26" t="s">
        <v>4503</v>
      </c>
      <c r="P2017" s="26" t="s">
        <v>7658</v>
      </c>
      <c r="Q2017" s="20">
        <v>9317</v>
      </c>
      <c r="R2017" s="26" t="s">
        <v>36</v>
      </c>
      <c r="S2017" s="31">
        <v>3000</v>
      </c>
      <c r="T2017" s="32">
        <v>45347</v>
      </c>
      <c r="U2017" s="31">
        <v>6330</v>
      </c>
      <c r="V2017" s="32">
        <v>45369</v>
      </c>
      <c r="W2017" s="33" t="s">
        <v>7659</v>
      </c>
      <c r="X2017" s="26">
        <v>0</v>
      </c>
      <c r="Y2017" s="22">
        <v>-13</v>
      </c>
      <c r="Z2017" s="26" t="s">
        <v>50</v>
      </c>
      <c r="AA2017" s="19" t="s">
        <v>7361</v>
      </c>
      <c r="AB2017" s="26" t="s">
        <v>4503</v>
      </c>
      <c r="AC2017" s="26" t="s">
        <v>53</v>
      </c>
      <c r="AD2017" s="19" t="s">
        <v>54</v>
      </c>
      <c r="AE2017" s="26"/>
      <c r="AF2017" s="17">
        <v>45348</v>
      </c>
      <c r="AG2017" s="26"/>
      <c r="AH2017" s="40">
        <v>2.5</v>
      </c>
      <c r="AI2017" s="40"/>
      <c r="AJ2017" s="26"/>
      <c r="AK2017" s="26"/>
      <c r="AL2017" s="35"/>
      <c r="AM2017" s="35"/>
      <c r="AN2017" s="35"/>
      <c r="AO2017" s="35"/>
      <c r="AP2017" s="35"/>
    </row>
    <row r="2018" spans="1:42" x14ac:dyDescent="0.2">
      <c r="A2018" s="126">
        <v>45347.806054421293</v>
      </c>
      <c r="B2018" s="28" t="s">
        <v>37</v>
      </c>
      <c r="C2018" s="41" t="s">
        <v>118</v>
      </c>
      <c r="D2018" s="26" t="s">
        <v>36</v>
      </c>
      <c r="E2018" s="26" t="s">
        <v>139</v>
      </c>
      <c r="F2018" s="26" t="s">
        <v>36</v>
      </c>
      <c r="G2018" s="26" t="s">
        <v>41</v>
      </c>
      <c r="H2018" s="26" t="s">
        <v>6637</v>
      </c>
      <c r="I2018" s="17">
        <f ca="1">IFERROR(__xludf.DUMMYFUNCTION("""COMPUTED_VALUE"""),45351)</f>
        <v>45351</v>
      </c>
      <c r="J2018" s="29" t="s">
        <v>7660</v>
      </c>
      <c r="K2018" s="26" t="s">
        <v>7661</v>
      </c>
      <c r="L2018" s="30">
        <v>969631105</v>
      </c>
      <c r="M2018" s="26" t="s">
        <v>5518</v>
      </c>
      <c r="N2018" s="26" t="s">
        <v>5524</v>
      </c>
      <c r="O2018" s="26" t="s">
        <v>7662</v>
      </c>
      <c r="P2018" s="26" t="s">
        <v>7663</v>
      </c>
      <c r="Q2018" s="20">
        <v>15936</v>
      </c>
      <c r="R2018" s="26" t="s">
        <v>36</v>
      </c>
      <c r="S2018" s="31">
        <v>2000</v>
      </c>
      <c r="T2018" s="32">
        <v>45347</v>
      </c>
      <c r="U2018" s="31">
        <v>13936</v>
      </c>
      <c r="V2018" s="32">
        <v>45380</v>
      </c>
      <c r="W2018" s="33" t="s">
        <v>7664</v>
      </c>
      <c r="X2018" s="26">
        <v>0</v>
      </c>
      <c r="Y2018" s="22">
        <v>0</v>
      </c>
      <c r="Z2018" s="26" t="s">
        <v>50</v>
      </c>
      <c r="AA2018" s="19" t="s">
        <v>7361</v>
      </c>
      <c r="AB2018" s="26"/>
      <c r="AC2018" s="26" t="s">
        <v>53</v>
      </c>
      <c r="AD2018" s="19" t="s">
        <v>54</v>
      </c>
      <c r="AE2018" s="26">
        <v>0</v>
      </c>
      <c r="AF2018" s="17">
        <v>45348</v>
      </c>
      <c r="AG2018" s="26"/>
      <c r="AH2018" s="40" t="e">
        <v>#N/A</v>
      </c>
      <c r="AI2018" s="40"/>
      <c r="AJ2018" s="26"/>
      <c r="AK2018" s="26"/>
      <c r="AL2018" s="35"/>
      <c r="AM2018" s="35"/>
      <c r="AN2018" s="35"/>
      <c r="AO2018" s="35"/>
      <c r="AP2018" s="35"/>
    </row>
    <row r="2019" spans="1:42" x14ac:dyDescent="0.2">
      <c r="A2019" s="126">
        <v>45347.900618125001</v>
      </c>
      <c r="B2019" s="28" t="s">
        <v>37</v>
      </c>
      <c r="C2019" s="41" t="s">
        <v>118</v>
      </c>
      <c r="D2019" s="26" t="s">
        <v>36</v>
      </c>
      <c r="E2019" s="26" t="s">
        <v>56</v>
      </c>
      <c r="F2019" s="26" t="s">
        <v>36</v>
      </c>
      <c r="G2019" s="26" t="s">
        <v>41</v>
      </c>
      <c r="H2019" s="26" t="s">
        <v>4087</v>
      </c>
      <c r="I2019" s="17">
        <f ca="1">IFERROR(__xludf.DUMMYFUNCTION("""COMPUTED_VALUE"""),45358)</f>
        <v>45358</v>
      </c>
      <c r="J2019" s="49" t="s">
        <v>7665</v>
      </c>
      <c r="K2019" s="26" t="s">
        <v>7666</v>
      </c>
      <c r="L2019" s="30">
        <v>389165406</v>
      </c>
      <c r="M2019" s="26" t="s">
        <v>5558</v>
      </c>
      <c r="N2019" s="26" t="s">
        <v>850</v>
      </c>
      <c r="O2019" s="26" t="s">
        <v>4503</v>
      </c>
      <c r="P2019" s="26" t="s">
        <v>7667</v>
      </c>
      <c r="Q2019" s="20">
        <v>9317</v>
      </c>
      <c r="R2019" s="26" t="s">
        <v>36</v>
      </c>
      <c r="S2019" s="31">
        <v>200</v>
      </c>
      <c r="T2019" s="32">
        <v>45326</v>
      </c>
      <c r="U2019" s="31">
        <f t="shared" ref="U2019:U2020" si="2">1800+7317</f>
        <v>9117</v>
      </c>
      <c r="V2019" s="26" t="s">
        <v>7668</v>
      </c>
      <c r="W2019" s="55" t="s">
        <v>7669</v>
      </c>
      <c r="X2019" s="26">
        <v>0</v>
      </c>
      <c r="Y2019" s="22">
        <v>0</v>
      </c>
      <c r="Z2019" s="26" t="s">
        <v>50</v>
      </c>
      <c r="AA2019" s="19" t="s">
        <v>7361</v>
      </c>
      <c r="AB2019" s="26"/>
      <c r="AC2019" s="26" t="s">
        <v>1828</v>
      </c>
      <c r="AD2019" s="19" t="s">
        <v>138</v>
      </c>
      <c r="AE2019" s="26"/>
      <c r="AF2019" s="17">
        <v>45358</v>
      </c>
      <c r="AG2019" s="26" t="s">
        <v>3415</v>
      </c>
      <c r="AH2019" s="40">
        <v>2.5</v>
      </c>
      <c r="AI2019" s="40"/>
      <c r="AJ2019" s="26"/>
      <c r="AK2019" s="26"/>
      <c r="AL2019" s="35"/>
      <c r="AM2019" s="35"/>
      <c r="AN2019" s="35"/>
      <c r="AO2019" s="35"/>
      <c r="AP2019" s="35"/>
    </row>
    <row r="2020" spans="1:42" x14ac:dyDescent="0.2">
      <c r="A2020" s="126">
        <v>45348.577937881942</v>
      </c>
      <c r="B2020" s="28" t="s">
        <v>37</v>
      </c>
      <c r="C2020" s="41" t="s">
        <v>118</v>
      </c>
      <c r="D2020" s="26" t="s">
        <v>36</v>
      </c>
      <c r="E2020" s="26" t="s">
        <v>56</v>
      </c>
      <c r="F2020" s="26" t="s">
        <v>91</v>
      </c>
      <c r="G2020" s="26" t="s">
        <v>41</v>
      </c>
      <c r="H2020" s="26" t="s">
        <v>4087</v>
      </c>
      <c r="I2020" s="17">
        <f ca="1">IFERROR(__xludf.DUMMYFUNCTION("""COMPUTED_VALUE"""),45358)</f>
        <v>45358</v>
      </c>
      <c r="J2020" s="49" t="s">
        <v>7670</v>
      </c>
      <c r="K2020" s="26" t="s">
        <v>7671</v>
      </c>
      <c r="L2020" s="30">
        <v>978329358</v>
      </c>
      <c r="M2020" s="26" t="s">
        <v>5558</v>
      </c>
      <c r="N2020" s="26" t="s">
        <v>850</v>
      </c>
      <c r="O2020" s="26" t="s">
        <v>4503</v>
      </c>
      <c r="P2020" s="26" t="s">
        <v>4503</v>
      </c>
      <c r="Q2020" s="20">
        <v>9317</v>
      </c>
      <c r="R2020" s="26" t="s">
        <v>36</v>
      </c>
      <c r="S2020" s="31">
        <v>200</v>
      </c>
      <c r="T2020" s="32">
        <v>45326</v>
      </c>
      <c r="U2020" s="31">
        <f t="shared" si="2"/>
        <v>9117</v>
      </c>
      <c r="V2020" s="26" t="s">
        <v>7672</v>
      </c>
      <c r="W2020" s="26" t="s">
        <v>7673</v>
      </c>
      <c r="X2020" s="26"/>
      <c r="Y2020" s="22">
        <v>0</v>
      </c>
      <c r="Z2020" s="26" t="s">
        <v>50</v>
      </c>
      <c r="AA2020" s="19" t="s">
        <v>7361</v>
      </c>
      <c r="AB2020" s="26"/>
      <c r="AC2020" s="26" t="s">
        <v>1828</v>
      </c>
      <c r="AD2020" s="19" t="s">
        <v>138</v>
      </c>
      <c r="AE2020" s="26"/>
      <c r="AF2020" s="17">
        <v>45358</v>
      </c>
      <c r="AG2020" s="26" t="s">
        <v>3415</v>
      </c>
      <c r="AH2020" s="26"/>
      <c r="AI2020" s="40"/>
      <c r="AJ2020" s="26"/>
      <c r="AK2020" s="26"/>
      <c r="AL2020" s="35"/>
      <c r="AM2020" s="35"/>
      <c r="AN2020" s="35"/>
      <c r="AO2020" s="35"/>
      <c r="AP2020" s="35"/>
    </row>
    <row r="2021" spans="1:42" x14ac:dyDescent="0.2">
      <c r="A2021" s="126">
        <v>45348.916661041665</v>
      </c>
      <c r="B2021" s="28" t="s">
        <v>37</v>
      </c>
      <c r="C2021" s="41" t="s">
        <v>118</v>
      </c>
      <c r="D2021" s="26" t="s">
        <v>36</v>
      </c>
      <c r="E2021" s="26" t="s">
        <v>148</v>
      </c>
      <c r="F2021" s="26" t="s">
        <v>40</v>
      </c>
      <c r="G2021" s="26" t="s">
        <v>108</v>
      </c>
      <c r="H2021" s="26" t="s">
        <v>4931</v>
      </c>
      <c r="I2021" s="17">
        <f ca="1">IFERROR(__xludf.DUMMYFUNCTION("""COMPUTED_VALUE"""),45375)</f>
        <v>45375</v>
      </c>
      <c r="J2021" s="29" t="s">
        <v>7674</v>
      </c>
      <c r="K2021" s="26" t="s">
        <v>7675</v>
      </c>
      <c r="L2021" s="30">
        <v>963570856</v>
      </c>
      <c r="M2021" s="26" t="s">
        <v>45</v>
      </c>
      <c r="N2021" s="26" t="s">
        <v>3839</v>
      </c>
      <c r="O2021" s="26" t="s">
        <v>7676</v>
      </c>
      <c r="P2021" s="26" t="s">
        <v>7677</v>
      </c>
      <c r="Q2021" s="20">
        <v>7349</v>
      </c>
      <c r="R2021" s="26" t="s">
        <v>36</v>
      </c>
      <c r="S2021" s="31">
        <v>1000</v>
      </c>
      <c r="T2021" s="32">
        <v>45134</v>
      </c>
      <c r="U2021" s="31">
        <v>6349</v>
      </c>
      <c r="V2021" s="32">
        <v>45364</v>
      </c>
      <c r="W2021" s="33" t="s">
        <v>7678</v>
      </c>
      <c r="X2021" s="26"/>
      <c r="Y2021" s="22">
        <v>0</v>
      </c>
      <c r="Z2021" s="26" t="s">
        <v>50</v>
      </c>
      <c r="AA2021" s="19" t="s">
        <v>7361</v>
      </c>
      <c r="AB2021" s="26"/>
      <c r="AC2021" s="26" t="s">
        <v>53</v>
      </c>
      <c r="AD2021" s="19" t="s">
        <v>138</v>
      </c>
      <c r="AE2021" s="26">
        <v>430</v>
      </c>
      <c r="AF2021" s="17">
        <v>45375</v>
      </c>
      <c r="AG2021" s="26" t="s">
        <v>1362</v>
      </c>
      <c r="AH2021" s="26"/>
      <c r="AI2021" s="40"/>
      <c r="AJ2021" s="26"/>
      <c r="AK2021" s="26"/>
      <c r="AL2021" s="35"/>
      <c r="AM2021" s="35"/>
      <c r="AN2021" s="35"/>
      <c r="AO2021" s="35"/>
      <c r="AP2021" s="35"/>
    </row>
    <row r="2022" spans="1:42" x14ac:dyDescent="0.2">
      <c r="A2022" s="126">
        <v>45349.726767789354</v>
      </c>
      <c r="B2022" s="28" t="s">
        <v>37</v>
      </c>
      <c r="C2022" s="41" t="s">
        <v>118</v>
      </c>
      <c r="D2022" s="26" t="s">
        <v>36</v>
      </c>
      <c r="E2022" s="26" t="s">
        <v>139</v>
      </c>
      <c r="F2022" s="26" t="s">
        <v>36</v>
      </c>
      <c r="G2022" s="26" t="s">
        <v>41</v>
      </c>
      <c r="H2022" s="19" t="s">
        <v>4087</v>
      </c>
      <c r="I2022" s="17">
        <f ca="1">IFERROR(__xludf.DUMMYFUNCTION("""COMPUTED_VALUE"""),45358)</f>
        <v>45358</v>
      </c>
      <c r="J2022" s="49" t="s">
        <v>7679</v>
      </c>
      <c r="K2022" s="19" t="s">
        <v>7680</v>
      </c>
      <c r="L2022" s="30">
        <v>342521142</v>
      </c>
      <c r="M2022" s="26" t="s">
        <v>3728</v>
      </c>
      <c r="N2022" s="26" t="s">
        <v>5377</v>
      </c>
      <c r="O2022" s="26" t="s">
        <v>134</v>
      </c>
      <c r="P2022" s="26" t="s">
        <v>4126</v>
      </c>
      <c r="Q2022" s="20">
        <v>15936</v>
      </c>
      <c r="R2022" s="26" t="s">
        <v>36</v>
      </c>
      <c r="S2022" s="31">
        <v>3000</v>
      </c>
      <c r="T2022" s="32">
        <v>45349</v>
      </c>
      <c r="U2022" s="31">
        <v>12936</v>
      </c>
      <c r="V2022" s="32">
        <v>45382</v>
      </c>
      <c r="W2022" s="33" t="s">
        <v>7681</v>
      </c>
      <c r="X2022" s="26"/>
      <c r="Y2022" s="22">
        <v>0</v>
      </c>
      <c r="Z2022" s="26" t="s">
        <v>50</v>
      </c>
      <c r="AA2022" s="19" t="s">
        <v>7361</v>
      </c>
      <c r="AB2022" s="26"/>
      <c r="AC2022" s="26" t="s">
        <v>53</v>
      </c>
      <c r="AD2022" s="19" t="s">
        <v>138</v>
      </c>
      <c r="AE2022" s="26"/>
      <c r="AF2022" s="17">
        <v>45358</v>
      </c>
      <c r="AG2022" s="26" t="s">
        <v>3415</v>
      </c>
      <c r="AH2022" s="26"/>
      <c r="AI2022" s="40"/>
      <c r="AJ2022" s="26"/>
      <c r="AK2022" s="26"/>
      <c r="AL2022" s="35"/>
      <c r="AM2022" s="35"/>
      <c r="AN2022" s="35"/>
      <c r="AO2022" s="35"/>
      <c r="AP2022" s="35"/>
    </row>
    <row r="2023" spans="1:42" x14ac:dyDescent="0.2">
      <c r="A2023" s="126">
        <v>45352.397326099541</v>
      </c>
      <c r="B2023" s="28" t="s">
        <v>37</v>
      </c>
      <c r="C2023" s="41" t="s">
        <v>118</v>
      </c>
      <c r="D2023" s="26" t="s">
        <v>36</v>
      </c>
      <c r="E2023" s="26" t="s">
        <v>219</v>
      </c>
      <c r="F2023" s="26" t="s">
        <v>1500</v>
      </c>
      <c r="G2023" s="26" t="s">
        <v>221</v>
      </c>
      <c r="H2023" s="26" t="s">
        <v>6993</v>
      </c>
      <c r="I2023" s="17">
        <f ca="1">IFERROR(__xludf.DUMMYFUNCTION("""COMPUTED_VALUE"""),45366)</f>
        <v>45366</v>
      </c>
      <c r="J2023" s="29" t="s">
        <v>1671</v>
      </c>
      <c r="K2023" s="26" t="s">
        <v>1672</v>
      </c>
      <c r="L2023" s="30">
        <v>862437655</v>
      </c>
      <c r="M2023" s="26" t="s">
        <v>292</v>
      </c>
      <c r="N2023" s="26" t="s">
        <v>1232</v>
      </c>
      <c r="O2023" s="26" t="s">
        <v>36</v>
      </c>
      <c r="P2023" s="26" t="s">
        <v>1674</v>
      </c>
      <c r="Q2023" s="20">
        <v>3968</v>
      </c>
      <c r="R2023" s="26" t="s">
        <v>36</v>
      </c>
      <c r="S2023" s="31">
        <v>3968</v>
      </c>
      <c r="T2023" s="32">
        <v>45352</v>
      </c>
      <c r="U2023" s="31"/>
      <c r="V2023" s="32"/>
      <c r="W2023" s="33" t="s">
        <v>7682</v>
      </c>
      <c r="X2023" s="26"/>
      <c r="Y2023" s="22">
        <v>0</v>
      </c>
      <c r="Z2023" s="26" t="s">
        <v>50</v>
      </c>
      <c r="AA2023" s="19" t="s">
        <v>7361</v>
      </c>
      <c r="AB2023" s="26" t="s">
        <v>4503</v>
      </c>
      <c r="AC2023" s="26" t="s">
        <v>53</v>
      </c>
      <c r="AD2023" s="19" t="s">
        <v>54</v>
      </c>
      <c r="AE2023" s="26">
        <v>500</v>
      </c>
      <c r="AF2023" s="17">
        <v>45358</v>
      </c>
      <c r="AG2023" s="26"/>
      <c r="AH2023" s="26"/>
      <c r="AI2023" s="40"/>
      <c r="AJ2023" s="26"/>
      <c r="AK2023" s="26"/>
      <c r="AL2023" s="35"/>
      <c r="AM2023" s="35"/>
      <c r="AN2023" s="35"/>
      <c r="AO2023" s="35"/>
      <c r="AP2023" s="35"/>
    </row>
    <row r="2024" spans="1:42" x14ac:dyDescent="0.2">
      <c r="A2024" s="126">
        <v>45352.403885219908</v>
      </c>
      <c r="B2024" s="28" t="s">
        <v>37</v>
      </c>
      <c r="C2024" s="41" t="s">
        <v>118</v>
      </c>
      <c r="D2024" s="26" t="s">
        <v>36</v>
      </c>
      <c r="E2024" s="26" t="s">
        <v>219</v>
      </c>
      <c r="F2024" s="26" t="s">
        <v>36</v>
      </c>
      <c r="G2024" s="26" t="s">
        <v>221</v>
      </c>
      <c r="H2024" s="26" t="s">
        <v>4646</v>
      </c>
      <c r="I2024" s="17">
        <f ca="1">IFERROR(__xludf.DUMMYFUNCTION("""COMPUTED_VALUE"""),45370)</f>
        <v>45370</v>
      </c>
      <c r="J2024" s="29" t="s">
        <v>7683</v>
      </c>
      <c r="K2024" s="26" t="s">
        <v>7684</v>
      </c>
      <c r="L2024" s="30">
        <v>843584569</v>
      </c>
      <c r="M2024" s="26" t="s">
        <v>391</v>
      </c>
      <c r="N2024" s="26" t="s">
        <v>4538</v>
      </c>
      <c r="O2024" s="26" t="s">
        <v>2238</v>
      </c>
      <c r="P2024" s="26" t="s">
        <v>7685</v>
      </c>
      <c r="Q2024" s="20">
        <v>3968</v>
      </c>
      <c r="R2024" s="26" t="s">
        <v>36</v>
      </c>
      <c r="S2024" s="31">
        <v>3968</v>
      </c>
      <c r="T2024" s="32">
        <v>45352</v>
      </c>
      <c r="U2024" s="31"/>
      <c r="V2024" s="32"/>
      <c r="W2024" s="33" t="s">
        <v>7686</v>
      </c>
      <c r="X2024" s="26"/>
      <c r="Y2024" s="22">
        <v>0</v>
      </c>
      <c r="Z2024" s="26" t="s">
        <v>50</v>
      </c>
      <c r="AA2024" s="19" t="s">
        <v>7361</v>
      </c>
      <c r="AB2024" s="26"/>
      <c r="AC2024" s="26" t="s">
        <v>53</v>
      </c>
      <c r="AD2024" s="19" t="s">
        <v>54</v>
      </c>
      <c r="AE2024" s="26"/>
      <c r="AF2024" s="17">
        <v>45362</v>
      </c>
      <c r="AG2024" s="26"/>
      <c r="AH2024" s="26"/>
      <c r="AI2024" s="40"/>
      <c r="AJ2024" s="26"/>
      <c r="AK2024" s="26"/>
      <c r="AL2024" s="35"/>
      <c r="AM2024" s="35"/>
      <c r="AN2024" s="35"/>
      <c r="AO2024" s="35"/>
      <c r="AP2024" s="35"/>
    </row>
    <row r="2025" spans="1:42" x14ac:dyDescent="0.2">
      <c r="A2025" s="126">
        <v>45353.455199571763</v>
      </c>
      <c r="B2025" s="28" t="s">
        <v>37</v>
      </c>
      <c r="C2025" s="41" t="s">
        <v>118</v>
      </c>
      <c r="D2025" s="26" t="s">
        <v>36</v>
      </c>
      <c r="E2025" s="26" t="s">
        <v>139</v>
      </c>
      <c r="F2025" s="26" t="s">
        <v>36</v>
      </c>
      <c r="G2025" s="26" t="s">
        <v>41</v>
      </c>
      <c r="H2025" s="26" t="s">
        <v>6842</v>
      </c>
      <c r="I2025" s="17">
        <f ca="1">IFERROR(__xludf.DUMMYFUNCTION("""COMPUTED_VALUE"""),45364)</f>
        <v>45364</v>
      </c>
      <c r="J2025" s="29" t="s">
        <v>7687</v>
      </c>
      <c r="K2025" s="26" t="s">
        <v>7688</v>
      </c>
      <c r="L2025" s="30">
        <v>825946086</v>
      </c>
      <c r="M2025" s="26" t="s">
        <v>123</v>
      </c>
      <c r="N2025" s="26" t="s">
        <v>186</v>
      </c>
      <c r="O2025" s="26" t="s">
        <v>4503</v>
      </c>
      <c r="P2025" s="26" t="s">
        <v>3487</v>
      </c>
      <c r="Q2025" s="20">
        <v>15936</v>
      </c>
      <c r="R2025" s="26" t="s">
        <v>70</v>
      </c>
      <c r="S2025" s="31">
        <v>200</v>
      </c>
      <c r="T2025" s="32">
        <v>45330</v>
      </c>
      <c r="U2025" s="31">
        <f>5000+10736</f>
        <v>15736</v>
      </c>
      <c r="V2025" s="26" t="s">
        <v>7689</v>
      </c>
      <c r="W2025" s="26" t="s">
        <v>7690</v>
      </c>
      <c r="X2025" s="26"/>
      <c r="Y2025" s="22">
        <v>0</v>
      </c>
      <c r="Z2025" s="26" t="s">
        <v>50</v>
      </c>
      <c r="AA2025" s="19" t="s">
        <v>7361</v>
      </c>
      <c r="AB2025" s="26" t="s">
        <v>4503</v>
      </c>
      <c r="AC2025" s="26" t="s">
        <v>53</v>
      </c>
      <c r="AD2025" s="19" t="s">
        <v>138</v>
      </c>
      <c r="AE2025" s="26"/>
      <c r="AF2025" s="17">
        <v>45364</v>
      </c>
      <c r="AG2025" s="26" t="s">
        <v>7132</v>
      </c>
      <c r="AH2025" s="26"/>
      <c r="AI2025" s="40"/>
      <c r="AJ2025" s="26"/>
      <c r="AK2025" s="26"/>
      <c r="AL2025" s="35"/>
      <c r="AM2025" s="35"/>
      <c r="AN2025" s="35"/>
      <c r="AO2025" s="35"/>
      <c r="AP2025" s="35"/>
    </row>
    <row r="2026" spans="1:42" x14ac:dyDescent="0.2">
      <c r="A2026" s="126">
        <v>45353.715881215277</v>
      </c>
      <c r="B2026" s="28" t="s">
        <v>37</v>
      </c>
      <c r="C2026" s="41" t="s">
        <v>118</v>
      </c>
      <c r="D2026" s="26" t="s">
        <v>36</v>
      </c>
      <c r="E2026" s="26" t="s">
        <v>139</v>
      </c>
      <c r="F2026" s="26" t="s">
        <v>36</v>
      </c>
      <c r="G2026" s="26" t="s">
        <v>41</v>
      </c>
      <c r="H2026" s="26" t="s">
        <v>7103</v>
      </c>
      <c r="I2026" s="17">
        <f ca="1">IFERROR(__xludf.DUMMYFUNCTION("""COMPUTED_VALUE"""),45372)</f>
        <v>45372</v>
      </c>
      <c r="J2026" s="29" t="s">
        <v>7691</v>
      </c>
      <c r="K2026" s="26" t="s">
        <v>7692</v>
      </c>
      <c r="L2026" s="30">
        <v>394525016</v>
      </c>
      <c r="M2026" s="26" t="s">
        <v>5429</v>
      </c>
      <c r="N2026" s="26" t="s">
        <v>81</v>
      </c>
      <c r="O2026" s="26" t="s">
        <v>61</v>
      </c>
      <c r="P2026" s="26" t="s">
        <v>7693</v>
      </c>
      <c r="Q2026" s="20">
        <v>15936</v>
      </c>
      <c r="R2026" s="26" t="s">
        <v>36</v>
      </c>
      <c r="S2026" s="31">
        <v>15936</v>
      </c>
      <c r="T2026" s="32">
        <v>45353</v>
      </c>
      <c r="U2026" s="31"/>
      <c r="V2026" s="32"/>
      <c r="W2026" s="33" t="s">
        <v>7694</v>
      </c>
      <c r="X2026" s="26"/>
      <c r="Y2026" s="22">
        <v>0</v>
      </c>
      <c r="Z2026" s="26" t="s">
        <v>50</v>
      </c>
      <c r="AA2026" s="19" t="s">
        <v>7361</v>
      </c>
      <c r="AB2026" s="26"/>
      <c r="AC2026" s="26" t="s">
        <v>53</v>
      </c>
      <c r="AD2026" s="19" t="s">
        <v>138</v>
      </c>
      <c r="AE2026" s="26" t="s">
        <v>72</v>
      </c>
      <c r="AF2026" s="17">
        <v>45372</v>
      </c>
      <c r="AG2026" s="26"/>
      <c r="AH2026" s="26"/>
      <c r="AI2026" s="40"/>
      <c r="AJ2026" s="26"/>
      <c r="AK2026" s="26"/>
      <c r="AL2026" s="35"/>
      <c r="AM2026" s="35"/>
      <c r="AN2026" s="35"/>
      <c r="AO2026" s="35"/>
      <c r="AP2026" s="35"/>
    </row>
    <row r="2027" spans="1:42" x14ac:dyDescent="0.2">
      <c r="A2027" s="126">
        <v>45353.725133715277</v>
      </c>
      <c r="B2027" s="28" t="s">
        <v>37</v>
      </c>
      <c r="C2027" s="41" t="s">
        <v>118</v>
      </c>
      <c r="D2027" s="26" t="s">
        <v>36</v>
      </c>
      <c r="E2027" s="26" t="s">
        <v>119</v>
      </c>
      <c r="F2027" s="26" t="s">
        <v>36</v>
      </c>
      <c r="G2027" s="26" t="s">
        <v>108</v>
      </c>
      <c r="H2027" s="26" t="s">
        <v>4931</v>
      </c>
      <c r="I2027" s="17">
        <f ca="1">IFERROR(__xludf.DUMMYFUNCTION("""COMPUTED_VALUE"""),45375)</f>
        <v>45375</v>
      </c>
      <c r="J2027" s="29" t="s">
        <v>7695</v>
      </c>
      <c r="K2027" s="26" t="s">
        <v>7696</v>
      </c>
      <c r="L2027" s="30">
        <v>942263874</v>
      </c>
      <c r="M2027" s="26" t="s">
        <v>80</v>
      </c>
      <c r="N2027" s="26" t="s">
        <v>466</v>
      </c>
      <c r="O2027" s="26" t="s">
        <v>7697</v>
      </c>
      <c r="P2027" s="26" t="s">
        <v>7698</v>
      </c>
      <c r="Q2027" s="20">
        <v>13968</v>
      </c>
      <c r="R2027" s="26" t="s">
        <v>70</v>
      </c>
      <c r="S2027" s="31">
        <v>500</v>
      </c>
      <c r="T2027" s="32">
        <v>45313</v>
      </c>
      <c r="U2027" s="31">
        <v>13368</v>
      </c>
      <c r="V2027" s="26" t="s">
        <v>7699</v>
      </c>
      <c r="W2027" s="26" t="s">
        <v>7700</v>
      </c>
      <c r="X2027" s="26"/>
      <c r="Y2027" s="22">
        <v>100</v>
      </c>
      <c r="Z2027" s="26" t="s">
        <v>50</v>
      </c>
      <c r="AA2027" s="19" t="s">
        <v>7361</v>
      </c>
      <c r="AB2027" s="26"/>
      <c r="AC2027" s="26" t="s">
        <v>53</v>
      </c>
      <c r="AD2027" s="19" t="s">
        <v>138</v>
      </c>
      <c r="AE2027" s="26">
        <v>400</v>
      </c>
      <c r="AF2027" s="17">
        <v>45375</v>
      </c>
      <c r="AG2027" s="26" t="s">
        <v>1362</v>
      </c>
      <c r="AH2027" s="26"/>
      <c r="AI2027" s="40"/>
      <c r="AJ2027" s="26"/>
      <c r="AK2027" s="26"/>
      <c r="AL2027" s="35"/>
      <c r="AM2027" s="35"/>
      <c r="AN2027" s="35"/>
      <c r="AO2027" s="35"/>
      <c r="AP2027" s="35"/>
    </row>
    <row r="2028" spans="1:42" x14ac:dyDescent="0.2">
      <c r="A2028" s="126">
        <v>45353.726759652782</v>
      </c>
      <c r="B2028" s="28" t="s">
        <v>37</v>
      </c>
      <c r="C2028" s="41" t="s">
        <v>118</v>
      </c>
      <c r="D2028" s="26" t="s">
        <v>36</v>
      </c>
      <c r="E2028" s="26" t="s">
        <v>119</v>
      </c>
      <c r="F2028" s="26" t="s">
        <v>36</v>
      </c>
      <c r="G2028" s="26" t="s">
        <v>108</v>
      </c>
      <c r="H2028" s="26" t="s">
        <v>3439</v>
      </c>
      <c r="I2028" s="17">
        <f ca="1">IFERROR(__xludf.DUMMYFUNCTION("""COMPUTED_VALUE"""),45432)</f>
        <v>45432</v>
      </c>
      <c r="J2028" s="29" t="s">
        <v>7701</v>
      </c>
      <c r="K2028" s="26" t="s">
        <v>7702</v>
      </c>
      <c r="L2028" s="30">
        <v>889739828</v>
      </c>
      <c r="M2028" s="26" t="s">
        <v>80</v>
      </c>
      <c r="N2028" s="26" t="s">
        <v>466</v>
      </c>
      <c r="O2028" s="26" t="s">
        <v>7703</v>
      </c>
      <c r="P2028" s="26" t="s">
        <v>7704</v>
      </c>
      <c r="Q2028" s="20">
        <v>13968</v>
      </c>
      <c r="R2028" s="26" t="s">
        <v>36</v>
      </c>
      <c r="S2028" s="31">
        <v>500</v>
      </c>
      <c r="T2028" s="32">
        <v>45313</v>
      </c>
      <c r="U2028" s="31">
        <v>13368</v>
      </c>
      <c r="V2028" s="26" t="s">
        <v>7699</v>
      </c>
      <c r="W2028" s="26" t="s">
        <v>7705</v>
      </c>
      <c r="X2028" s="26"/>
      <c r="Y2028" s="22">
        <v>100</v>
      </c>
      <c r="Z2028" s="26" t="s">
        <v>50</v>
      </c>
      <c r="AA2028" s="19" t="s">
        <v>7361</v>
      </c>
      <c r="AB2028" s="26"/>
      <c r="AC2028" s="26" t="s">
        <v>53</v>
      </c>
      <c r="AD2028" s="19" t="s">
        <v>138</v>
      </c>
      <c r="AE2028" s="26">
        <v>430</v>
      </c>
      <c r="AF2028" s="17">
        <v>45375</v>
      </c>
      <c r="AG2028" s="26" t="s">
        <v>1362</v>
      </c>
      <c r="AH2028" s="26"/>
      <c r="AI2028" s="40"/>
      <c r="AJ2028" s="26"/>
      <c r="AK2028" s="26"/>
      <c r="AL2028" s="35"/>
      <c r="AM2028" s="35"/>
      <c r="AN2028" s="35"/>
      <c r="AO2028" s="35"/>
      <c r="AP2028" s="35"/>
    </row>
    <row r="2029" spans="1:42" x14ac:dyDescent="0.2">
      <c r="A2029" s="126">
        <v>45354.724500763885</v>
      </c>
      <c r="B2029" s="28" t="s">
        <v>37</v>
      </c>
      <c r="C2029" s="41" t="s">
        <v>118</v>
      </c>
      <c r="D2029" s="26" t="s">
        <v>36</v>
      </c>
      <c r="E2029" s="26" t="s">
        <v>148</v>
      </c>
      <c r="F2029" s="26" t="s">
        <v>4824</v>
      </c>
      <c r="G2029" s="26" t="s">
        <v>108</v>
      </c>
      <c r="H2029" s="26" t="s">
        <v>2016</v>
      </c>
      <c r="I2029" s="17">
        <f ca="1">IFERROR(__xludf.DUMMYFUNCTION("""COMPUTED_VALUE"""),45365)</f>
        <v>45365</v>
      </c>
      <c r="J2029" s="29" t="s">
        <v>7706</v>
      </c>
      <c r="K2029" s="26" t="s">
        <v>7707</v>
      </c>
      <c r="L2029" s="30">
        <v>342425480</v>
      </c>
      <c r="M2029" s="26" t="s">
        <v>3288</v>
      </c>
      <c r="N2029" s="26" t="s">
        <v>200</v>
      </c>
      <c r="O2029" s="26" t="s">
        <v>7708</v>
      </c>
      <c r="P2029" s="26" t="s">
        <v>7709</v>
      </c>
      <c r="Q2029" s="20">
        <v>7349</v>
      </c>
      <c r="R2029" s="26" t="s">
        <v>36</v>
      </c>
      <c r="S2029" s="31">
        <v>7349</v>
      </c>
      <c r="T2029" s="32">
        <v>45354</v>
      </c>
      <c r="U2029" s="31"/>
      <c r="V2029" s="32"/>
      <c r="W2029" s="33" t="s">
        <v>7710</v>
      </c>
      <c r="X2029" s="26"/>
      <c r="Y2029" s="22">
        <v>0</v>
      </c>
      <c r="Z2029" s="26" t="s">
        <v>50</v>
      </c>
      <c r="AA2029" s="19" t="s">
        <v>7361</v>
      </c>
      <c r="AB2029" s="26"/>
      <c r="AC2029" s="26" t="s">
        <v>53</v>
      </c>
      <c r="AD2029" s="19" t="s">
        <v>54</v>
      </c>
      <c r="AE2029" s="26">
        <v>430</v>
      </c>
      <c r="AF2029" s="17">
        <v>45358</v>
      </c>
      <c r="AG2029" s="26"/>
      <c r="AH2029" s="26"/>
      <c r="AI2029" s="40"/>
      <c r="AJ2029" s="26"/>
      <c r="AK2029" s="26"/>
      <c r="AL2029" s="35"/>
      <c r="AM2029" s="35"/>
      <c r="AN2029" s="35"/>
      <c r="AO2029" s="35"/>
      <c r="AP2029" s="35"/>
    </row>
    <row r="2030" spans="1:42" x14ac:dyDescent="0.2">
      <c r="A2030" s="126">
        <v>45355.396787881946</v>
      </c>
      <c r="B2030" s="28" t="s">
        <v>37</v>
      </c>
      <c r="C2030" s="41" t="s">
        <v>118</v>
      </c>
      <c r="D2030" s="26" t="s">
        <v>36</v>
      </c>
      <c r="E2030" s="26" t="s">
        <v>39</v>
      </c>
      <c r="F2030" s="26" t="s">
        <v>36</v>
      </c>
      <c r="G2030" s="26" t="s">
        <v>41</v>
      </c>
      <c r="H2030" s="26" t="s">
        <v>7273</v>
      </c>
      <c r="I2030" s="17">
        <f ca="1">IFERROR(__xludf.DUMMYFUNCTION("""COMPUTED_VALUE"""),45373)</f>
        <v>45373</v>
      </c>
      <c r="J2030" s="29" t="s">
        <v>7711</v>
      </c>
      <c r="K2030" s="26" t="s">
        <v>7712</v>
      </c>
      <c r="L2030" s="30">
        <v>394917062</v>
      </c>
      <c r="M2030" s="26" t="s">
        <v>1245</v>
      </c>
      <c r="N2030" s="26" t="s">
        <v>1246</v>
      </c>
      <c r="O2030" s="26" t="s">
        <v>7713</v>
      </c>
      <c r="P2030" s="26" t="s">
        <v>7714</v>
      </c>
      <c r="Q2030" s="20">
        <v>5736</v>
      </c>
      <c r="R2030" s="26" t="s">
        <v>36</v>
      </c>
      <c r="S2030" s="31">
        <v>5736</v>
      </c>
      <c r="T2030" s="32">
        <v>45354</v>
      </c>
      <c r="U2030" s="31"/>
      <c r="V2030" s="32"/>
      <c r="W2030" s="33" t="s">
        <v>7715</v>
      </c>
      <c r="X2030" s="26"/>
      <c r="Y2030" s="22">
        <v>0</v>
      </c>
      <c r="Z2030" s="26" t="s">
        <v>50</v>
      </c>
      <c r="AA2030" s="19" t="s">
        <v>7361</v>
      </c>
      <c r="AB2030" s="26"/>
      <c r="AC2030" s="26" t="s">
        <v>53</v>
      </c>
      <c r="AD2030" s="19" t="s">
        <v>54</v>
      </c>
      <c r="AE2030" s="26" t="s">
        <v>72</v>
      </c>
      <c r="AF2030" s="17">
        <v>45356</v>
      </c>
      <c r="AG2030" s="26"/>
      <c r="AH2030" s="26"/>
      <c r="AI2030" s="40"/>
      <c r="AJ2030" s="26"/>
      <c r="AK2030" s="26"/>
      <c r="AL2030" s="35"/>
      <c r="AM2030" s="35"/>
      <c r="AN2030" s="35"/>
      <c r="AO2030" s="35"/>
      <c r="AP2030" s="35"/>
    </row>
    <row r="2031" spans="1:42" x14ac:dyDescent="0.2">
      <c r="A2031" s="126">
        <v>45355.406962129629</v>
      </c>
      <c r="B2031" s="28" t="s">
        <v>37</v>
      </c>
      <c r="C2031" s="41" t="s">
        <v>118</v>
      </c>
      <c r="D2031" s="26" t="s">
        <v>36</v>
      </c>
      <c r="E2031" s="26" t="s">
        <v>119</v>
      </c>
      <c r="F2031" s="26" t="s">
        <v>36</v>
      </c>
      <c r="G2031" s="26" t="s">
        <v>108</v>
      </c>
      <c r="H2031" s="26" t="s">
        <v>7716</v>
      </c>
      <c r="I2031" s="17">
        <f ca="1">IFERROR(__xludf.DUMMYFUNCTION("""COMPUTED_VALUE"""),45404)</f>
        <v>45404</v>
      </c>
      <c r="J2031" s="29" t="s">
        <v>7717</v>
      </c>
      <c r="K2031" s="26" t="s">
        <v>7269</v>
      </c>
      <c r="L2031" s="30">
        <v>978662398</v>
      </c>
      <c r="M2031" s="26" t="s">
        <v>1245</v>
      </c>
      <c r="N2031" s="26" t="s">
        <v>1246</v>
      </c>
      <c r="O2031" s="26" t="s">
        <v>36</v>
      </c>
      <c r="P2031" s="26" t="s">
        <v>7718</v>
      </c>
      <c r="Q2031" s="20">
        <v>13968</v>
      </c>
      <c r="R2031" s="26" t="s">
        <v>36</v>
      </c>
      <c r="S2031" s="31">
        <v>13968</v>
      </c>
      <c r="T2031" s="32">
        <v>45352</v>
      </c>
      <c r="U2031" s="31"/>
      <c r="V2031" s="32"/>
      <c r="W2031" s="33" t="s">
        <v>7719</v>
      </c>
      <c r="X2031" s="26"/>
      <c r="Y2031" s="22">
        <v>0</v>
      </c>
      <c r="Z2031" s="26" t="s">
        <v>50</v>
      </c>
      <c r="AA2031" s="19" t="s">
        <v>7361</v>
      </c>
      <c r="AB2031" s="26"/>
      <c r="AC2031" s="26" t="s">
        <v>2218</v>
      </c>
      <c r="AD2031" s="19" t="s">
        <v>54</v>
      </c>
      <c r="AE2031" s="26">
        <v>360</v>
      </c>
      <c r="AF2031" s="17">
        <v>45352</v>
      </c>
      <c r="AG2031" s="26" t="s">
        <v>7720</v>
      </c>
      <c r="AH2031" s="26"/>
      <c r="AI2031" s="40"/>
      <c r="AJ2031" s="26"/>
      <c r="AK2031" s="26"/>
      <c r="AL2031" s="35"/>
      <c r="AM2031" s="35"/>
      <c r="AN2031" s="35"/>
      <c r="AO2031" s="35"/>
      <c r="AP2031" s="35"/>
    </row>
    <row r="2032" spans="1:42" x14ac:dyDescent="0.2">
      <c r="A2032" s="126">
        <v>45355.876281759258</v>
      </c>
      <c r="B2032" s="28" t="s">
        <v>37</v>
      </c>
      <c r="C2032" s="41" t="s">
        <v>118</v>
      </c>
      <c r="D2032" s="26" t="s">
        <v>36</v>
      </c>
      <c r="E2032" s="26" t="s">
        <v>219</v>
      </c>
      <c r="F2032" s="26" t="s">
        <v>91</v>
      </c>
      <c r="G2032" s="26" t="s">
        <v>7586</v>
      </c>
      <c r="H2032" s="26" t="s">
        <v>6389</v>
      </c>
      <c r="I2032" s="17">
        <f ca="1">IFERROR(__xludf.DUMMYFUNCTION("""COMPUTED_VALUE"""),45356)</f>
        <v>45356</v>
      </c>
      <c r="J2032" s="29" t="s">
        <v>7721</v>
      </c>
      <c r="K2032" s="26" t="s">
        <v>7722</v>
      </c>
      <c r="L2032" s="30">
        <v>865051855</v>
      </c>
      <c r="M2032" s="26" t="s">
        <v>3288</v>
      </c>
      <c r="N2032" s="26" t="s">
        <v>200</v>
      </c>
      <c r="O2032" s="26" t="s">
        <v>91</v>
      </c>
      <c r="P2032" s="26" t="s">
        <v>3117</v>
      </c>
      <c r="Q2032" s="20">
        <v>3968</v>
      </c>
      <c r="R2032" s="26" t="s">
        <v>36</v>
      </c>
      <c r="S2032" s="31">
        <v>3968</v>
      </c>
      <c r="T2032" s="32">
        <v>45355</v>
      </c>
      <c r="U2032" s="31"/>
      <c r="V2032" s="32"/>
      <c r="W2032" s="33" t="s">
        <v>7723</v>
      </c>
      <c r="X2032" s="26"/>
      <c r="Y2032" s="22">
        <v>0</v>
      </c>
      <c r="Z2032" s="26" t="s">
        <v>50</v>
      </c>
      <c r="AA2032" s="19" t="s">
        <v>7361</v>
      </c>
      <c r="AB2032" s="26"/>
      <c r="AC2032" s="26" t="s">
        <v>53</v>
      </c>
      <c r="AD2032" s="19" t="s">
        <v>138</v>
      </c>
      <c r="AE2032" s="26">
        <v>770</v>
      </c>
      <c r="AF2032" s="17">
        <v>45356</v>
      </c>
      <c r="AG2032" s="26" t="s">
        <v>3415</v>
      </c>
      <c r="AH2032" s="26"/>
      <c r="AI2032" s="40"/>
      <c r="AJ2032" s="26"/>
      <c r="AK2032" s="26"/>
      <c r="AL2032" s="35"/>
      <c r="AM2032" s="35"/>
      <c r="AN2032" s="35"/>
      <c r="AO2032" s="35"/>
      <c r="AP2032" s="35"/>
    </row>
    <row r="2033" spans="1:42" x14ac:dyDescent="0.2">
      <c r="A2033" s="126">
        <v>45357.928081168982</v>
      </c>
      <c r="B2033" s="28" t="s">
        <v>37</v>
      </c>
      <c r="C2033" s="41" t="s">
        <v>118</v>
      </c>
      <c r="D2033" s="26" t="s">
        <v>36</v>
      </c>
      <c r="E2033" s="26" t="s">
        <v>56</v>
      </c>
      <c r="F2033" s="26" t="s">
        <v>91</v>
      </c>
      <c r="G2033" s="26" t="s">
        <v>41</v>
      </c>
      <c r="H2033" s="26" t="s">
        <v>7008</v>
      </c>
      <c r="I2033" s="17">
        <f ca="1">IFERROR(__xludf.DUMMYFUNCTION("""COMPUTED_VALUE"""),45370)</f>
        <v>45370</v>
      </c>
      <c r="J2033" s="29" t="s">
        <v>7724</v>
      </c>
      <c r="K2033" s="26" t="s">
        <v>7725</v>
      </c>
      <c r="L2033" s="30">
        <v>963662981</v>
      </c>
      <c r="M2033" s="26" t="s">
        <v>391</v>
      </c>
      <c r="N2033" s="26" t="s">
        <v>7051</v>
      </c>
      <c r="O2033" s="26" t="s">
        <v>7726</v>
      </c>
      <c r="P2033" s="26" t="s">
        <v>7727</v>
      </c>
      <c r="Q2033" s="20">
        <v>9317</v>
      </c>
      <c r="R2033" s="26" t="s">
        <v>36</v>
      </c>
      <c r="S2033" s="31">
        <v>9317</v>
      </c>
      <c r="T2033" s="32">
        <v>45355</v>
      </c>
      <c r="U2033" s="31"/>
      <c r="V2033" s="32"/>
      <c r="W2033" s="26" t="s">
        <v>7728</v>
      </c>
      <c r="X2033" s="26"/>
      <c r="Y2033" s="22">
        <v>0</v>
      </c>
      <c r="Z2033" s="26" t="s">
        <v>50</v>
      </c>
      <c r="AA2033" s="19" t="s">
        <v>7361</v>
      </c>
      <c r="AB2033" s="26"/>
      <c r="AC2033" s="26" t="s">
        <v>53</v>
      </c>
      <c r="AD2033" s="19" t="s">
        <v>54</v>
      </c>
      <c r="AE2033" s="26" t="s">
        <v>91</v>
      </c>
      <c r="AF2033" s="17">
        <v>45358</v>
      </c>
      <c r="AG2033" s="26"/>
      <c r="AH2033" s="26"/>
      <c r="AI2033" s="40"/>
      <c r="AJ2033" s="26"/>
      <c r="AK2033" s="26"/>
      <c r="AL2033" s="35"/>
      <c r="AM2033" s="35"/>
      <c r="AN2033" s="35"/>
      <c r="AO2033" s="35"/>
      <c r="AP2033" s="35"/>
    </row>
    <row r="2034" spans="1:42" x14ac:dyDescent="0.2">
      <c r="A2034" s="126">
        <v>45359.391281574077</v>
      </c>
      <c r="B2034" s="28" t="s">
        <v>37</v>
      </c>
      <c r="C2034" s="41" t="s">
        <v>118</v>
      </c>
      <c r="D2034" s="26" t="s">
        <v>36</v>
      </c>
      <c r="E2034" s="26" t="s">
        <v>56</v>
      </c>
      <c r="F2034" s="26" t="s">
        <v>36</v>
      </c>
      <c r="G2034" s="26" t="s">
        <v>41</v>
      </c>
      <c r="H2034" s="26" t="s">
        <v>7103</v>
      </c>
      <c r="I2034" s="17">
        <f ca="1">IFERROR(__xludf.DUMMYFUNCTION("""COMPUTED_VALUE"""),45372)</f>
        <v>45372</v>
      </c>
      <c r="J2034" s="29" t="s">
        <v>7729</v>
      </c>
      <c r="K2034" s="26" t="s">
        <v>7730</v>
      </c>
      <c r="L2034" s="30">
        <v>362936884</v>
      </c>
      <c r="M2034" s="26" t="s">
        <v>3288</v>
      </c>
      <c r="N2034" s="26" t="s">
        <v>200</v>
      </c>
      <c r="O2034" s="26" t="s">
        <v>7731</v>
      </c>
      <c r="P2034" s="26" t="s">
        <v>3117</v>
      </c>
      <c r="Q2034" s="20">
        <v>9317</v>
      </c>
      <c r="R2034" s="26" t="s">
        <v>36</v>
      </c>
      <c r="S2034" s="31">
        <v>1968</v>
      </c>
      <c r="T2034" s="32">
        <v>45359</v>
      </c>
      <c r="U2034" s="31">
        <v>7349</v>
      </c>
      <c r="V2034" s="32">
        <v>45370</v>
      </c>
      <c r="W2034" s="33" t="s">
        <v>7732</v>
      </c>
      <c r="X2034" s="26"/>
      <c r="Y2034" s="22">
        <v>0</v>
      </c>
      <c r="Z2034" s="26" t="s">
        <v>50</v>
      </c>
      <c r="AA2034" s="19" t="s">
        <v>7361</v>
      </c>
      <c r="AB2034" s="26"/>
      <c r="AC2034" s="26" t="s">
        <v>53</v>
      </c>
      <c r="AD2034" s="19" t="s">
        <v>138</v>
      </c>
      <c r="AE2034" s="26" t="s">
        <v>1327</v>
      </c>
      <c r="AF2034" s="17">
        <v>45372</v>
      </c>
      <c r="AG2034" s="26"/>
      <c r="AH2034" s="26"/>
      <c r="AI2034" s="40"/>
      <c r="AJ2034" s="26"/>
      <c r="AK2034" s="26"/>
      <c r="AL2034" s="35"/>
      <c r="AM2034" s="35"/>
      <c r="AN2034" s="35"/>
      <c r="AO2034" s="35"/>
      <c r="AP2034" s="35"/>
    </row>
    <row r="2035" spans="1:42" x14ac:dyDescent="0.2">
      <c r="A2035" s="126">
        <v>45359.976855289351</v>
      </c>
      <c r="B2035" s="28" t="s">
        <v>37</v>
      </c>
      <c r="C2035" s="41" t="s">
        <v>118</v>
      </c>
      <c r="D2035" s="26" t="s">
        <v>36</v>
      </c>
      <c r="E2035" s="26" t="s">
        <v>77</v>
      </c>
      <c r="F2035" s="26" t="s">
        <v>36</v>
      </c>
      <c r="G2035" s="26" t="s">
        <v>41</v>
      </c>
      <c r="H2035" s="26" t="s">
        <v>6842</v>
      </c>
      <c r="I2035" s="17">
        <f ca="1">IFERROR(__xludf.DUMMYFUNCTION("""COMPUTED_VALUE"""),45364)</f>
        <v>45364</v>
      </c>
      <c r="J2035" s="29" t="s">
        <v>7733</v>
      </c>
      <c r="K2035" s="26" t="s">
        <v>1939</v>
      </c>
      <c r="L2035" s="30">
        <v>383294297</v>
      </c>
      <c r="M2035" s="26" t="s">
        <v>123</v>
      </c>
      <c r="N2035" s="26" t="s">
        <v>186</v>
      </c>
      <c r="O2035" s="26" t="s">
        <v>4503</v>
      </c>
      <c r="P2035" s="26" t="s">
        <v>3487</v>
      </c>
      <c r="Q2035" s="20">
        <v>1968</v>
      </c>
      <c r="R2035" s="26" t="s">
        <v>36</v>
      </c>
      <c r="S2035" s="31">
        <v>500</v>
      </c>
      <c r="T2035" s="32">
        <v>45301</v>
      </c>
      <c r="U2035" s="31">
        <v>1468</v>
      </c>
      <c r="V2035" s="32">
        <v>45356</v>
      </c>
      <c r="W2035" s="26" t="s">
        <v>7734</v>
      </c>
      <c r="X2035" s="26"/>
      <c r="Y2035" s="22">
        <v>0</v>
      </c>
      <c r="Z2035" s="26" t="s">
        <v>50</v>
      </c>
      <c r="AA2035" s="19" t="s">
        <v>7361</v>
      </c>
      <c r="AB2035" s="26" t="s">
        <v>4503</v>
      </c>
      <c r="AC2035" s="26" t="s">
        <v>53</v>
      </c>
      <c r="AD2035" s="19" t="s">
        <v>138</v>
      </c>
      <c r="AE2035" s="26"/>
      <c r="AF2035" s="17">
        <v>45364</v>
      </c>
      <c r="AG2035" s="26" t="s">
        <v>7132</v>
      </c>
      <c r="AH2035" s="26"/>
      <c r="AI2035" s="40"/>
      <c r="AJ2035" s="26"/>
      <c r="AK2035" s="26"/>
      <c r="AL2035" s="35"/>
      <c r="AM2035" s="35"/>
      <c r="AN2035" s="35"/>
      <c r="AO2035" s="35"/>
      <c r="AP2035" s="35"/>
    </row>
    <row r="2036" spans="1:42" x14ac:dyDescent="0.2">
      <c r="A2036" s="126">
        <v>45360.37613193287</v>
      </c>
      <c r="B2036" s="28" t="s">
        <v>37</v>
      </c>
      <c r="C2036" s="41" t="s">
        <v>118</v>
      </c>
      <c r="D2036" s="26" t="s">
        <v>36</v>
      </c>
      <c r="E2036" s="26" t="s">
        <v>77</v>
      </c>
      <c r="F2036" s="26" t="s">
        <v>91</v>
      </c>
      <c r="G2036" s="26" t="s">
        <v>41</v>
      </c>
      <c r="H2036" s="26" t="s">
        <v>7273</v>
      </c>
      <c r="I2036" s="17">
        <f ca="1">IFERROR(__xludf.DUMMYFUNCTION("""COMPUTED_VALUE"""),45373)</f>
        <v>45373</v>
      </c>
      <c r="J2036" s="44" t="s">
        <v>7735</v>
      </c>
      <c r="K2036" s="26" t="s">
        <v>7736</v>
      </c>
      <c r="L2036" s="30">
        <v>986431202</v>
      </c>
      <c r="M2036" s="26" t="s">
        <v>3288</v>
      </c>
      <c r="N2036" s="26" t="s">
        <v>200</v>
      </c>
      <c r="O2036" s="26" t="s">
        <v>7737</v>
      </c>
      <c r="P2036" s="26" t="s">
        <v>7738</v>
      </c>
      <c r="Q2036" s="20">
        <v>1968</v>
      </c>
      <c r="R2036" s="26" t="s">
        <v>36</v>
      </c>
      <c r="S2036" s="31">
        <v>1768</v>
      </c>
      <c r="T2036" s="32">
        <v>45359</v>
      </c>
      <c r="U2036" s="31"/>
      <c r="V2036" s="32"/>
      <c r="W2036" s="33" t="s">
        <v>7739</v>
      </c>
      <c r="X2036" s="26"/>
      <c r="Y2036" s="22">
        <v>200</v>
      </c>
      <c r="Z2036" s="26" t="s">
        <v>50</v>
      </c>
      <c r="AA2036" s="19" t="s">
        <v>7361</v>
      </c>
      <c r="AB2036" s="26"/>
      <c r="AC2036" s="26" t="s">
        <v>53</v>
      </c>
      <c r="AD2036" s="19" t="s">
        <v>54</v>
      </c>
      <c r="AE2036" s="26">
        <v>250</v>
      </c>
      <c r="AF2036" s="17">
        <v>45369</v>
      </c>
      <c r="AG2036" s="26"/>
      <c r="AH2036" s="26"/>
      <c r="AI2036" s="40"/>
      <c r="AJ2036" s="26"/>
      <c r="AK2036" s="26"/>
      <c r="AL2036" s="35"/>
      <c r="AM2036" s="35"/>
      <c r="AN2036" s="35"/>
      <c r="AO2036" s="35"/>
      <c r="AP2036" s="35"/>
    </row>
    <row r="2037" spans="1:42" x14ac:dyDescent="0.2">
      <c r="A2037" s="126">
        <v>45362.40605957176</v>
      </c>
      <c r="B2037" s="28" t="s">
        <v>37</v>
      </c>
      <c r="C2037" s="41" t="s">
        <v>118</v>
      </c>
      <c r="D2037" s="26" t="s">
        <v>36</v>
      </c>
      <c r="E2037" s="26" t="s">
        <v>39</v>
      </c>
      <c r="F2037" s="26" t="s">
        <v>36</v>
      </c>
      <c r="G2037" s="26" t="s">
        <v>41</v>
      </c>
      <c r="H2037" s="26" t="s">
        <v>7330</v>
      </c>
      <c r="I2037" s="17">
        <f ca="1">IFERROR(__xludf.DUMMYFUNCTION("""COMPUTED_VALUE"""),45509)</f>
        <v>45509</v>
      </c>
      <c r="J2037" s="44" t="s">
        <v>7740</v>
      </c>
      <c r="K2037" s="26" t="s">
        <v>7741</v>
      </c>
      <c r="L2037" s="30">
        <v>867789005</v>
      </c>
      <c r="M2037" s="26" t="s">
        <v>45</v>
      </c>
      <c r="N2037" s="26" t="s">
        <v>1472</v>
      </c>
      <c r="O2037" s="33" t="s">
        <v>7742</v>
      </c>
      <c r="P2037" s="26" t="s">
        <v>7743</v>
      </c>
      <c r="Q2037" s="20">
        <v>5736</v>
      </c>
      <c r="R2037" s="26" t="s">
        <v>36</v>
      </c>
      <c r="S2037" s="31">
        <v>5736</v>
      </c>
      <c r="T2037" s="32">
        <v>45352</v>
      </c>
      <c r="U2037" s="31"/>
      <c r="V2037" s="32"/>
      <c r="W2037" s="33" t="s">
        <v>7744</v>
      </c>
      <c r="X2037" s="26"/>
      <c r="Y2037" s="22">
        <v>0</v>
      </c>
      <c r="Z2037" s="26" t="s">
        <v>50</v>
      </c>
      <c r="AA2037" s="19" t="s">
        <v>7361</v>
      </c>
      <c r="AB2037" s="26"/>
      <c r="AC2037" s="26" t="s">
        <v>53</v>
      </c>
      <c r="AD2037" s="19" t="s">
        <v>138</v>
      </c>
      <c r="AE2037" s="26">
        <v>0</v>
      </c>
      <c r="AF2037" s="17">
        <v>45509</v>
      </c>
      <c r="AG2037" s="26" t="s">
        <v>4092</v>
      </c>
      <c r="AH2037" s="26"/>
      <c r="AI2037" s="40"/>
      <c r="AJ2037" s="26"/>
      <c r="AK2037" s="26"/>
      <c r="AL2037" s="35"/>
      <c r="AM2037" s="35"/>
      <c r="AN2037" s="35"/>
      <c r="AO2037" s="35"/>
      <c r="AP2037" s="35"/>
    </row>
    <row r="2038" spans="1:42" x14ac:dyDescent="0.2">
      <c r="A2038" s="126">
        <v>45362.407584942128</v>
      </c>
      <c r="B2038" s="28" t="s">
        <v>37</v>
      </c>
      <c r="C2038" s="41" t="s">
        <v>118</v>
      </c>
      <c r="D2038" s="26" t="s">
        <v>36</v>
      </c>
      <c r="E2038" s="26" t="s">
        <v>39</v>
      </c>
      <c r="F2038" s="26" t="s">
        <v>36</v>
      </c>
      <c r="G2038" s="26" t="s">
        <v>41</v>
      </c>
      <c r="H2038" s="26" t="s">
        <v>7330</v>
      </c>
      <c r="I2038" s="17">
        <f ca="1">IFERROR(__xludf.DUMMYFUNCTION("""COMPUTED_VALUE"""),45509)</f>
        <v>45509</v>
      </c>
      <c r="J2038" s="44" t="s">
        <v>7745</v>
      </c>
      <c r="K2038" s="26" t="s">
        <v>7746</v>
      </c>
      <c r="L2038" s="30">
        <v>354563589</v>
      </c>
      <c r="M2038" s="26" t="s">
        <v>45</v>
      </c>
      <c r="N2038" s="26" t="s">
        <v>1472</v>
      </c>
      <c r="O2038" s="26" t="s">
        <v>7747</v>
      </c>
      <c r="P2038" s="26" t="s">
        <v>7743</v>
      </c>
      <c r="Q2038" s="20">
        <v>5736</v>
      </c>
      <c r="R2038" s="26" t="s">
        <v>36</v>
      </c>
      <c r="S2038" s="31">
        <v>5736</v>
      </c>
      <c r="T2038" s="32">
        <v>45355</v>
      </c>
      <c r="U2038" s="31"/>
      <c r="V2038" s="32"/>
      <c r="W2038" s="33" t="s">
        <v>7748</v>
      </c>
      <c r="X2038" s="26"/>
      <c r="Y2038" s="22">
        <v>0</v>
      </c>
      <c r="Z2038" s="26" t="s">
        <v>50</v>
      </c>
      <c r="AA2038" s="19" t="s">
        <v>7361</v>
      </c>
      <c r="AB2038" s="26"/>
      <c r="AC2038" s="26" t="s">
        <v>53</v>
      </c>
      <c r="AD2038" s="19" t="s">
        <v>138</v>
      </c>
      <c r="AE2038" s="26">
        <v>0</v>
      </c>
      <c r="AF2038" s="17">
        <v>45509</v>
      </c>
      <c r="AG2038" s="26" t="s">
        <v>4092</v>
      </c>
      <c r="AH2038" s="26"/>
      <c r="AI2038" s="40"/>
      <c r="AJ2038" s="26"/>
      <c r="AK2038" s="26"/>
      <c r="AL2038" s="35"/>
      <c r="AM2038" s="35"/>
      <c r="AN2038" s="35"/>
      <c r="AO2038" s="35"/>
      <c r="AP2038" s="35"/>
    </row>
    <row r="2039" spans="1:42" x14ac:dyDescent="0.2">
      <c r="A2039" s="126">
        <v>45362.790255416665</v>
      </c>
      <c r="B2039" s="28" t="s">
        <v>37</v>
      </c>
      <c r="C2039" s="41" t="s">
        <v>118</v>
      </c>
      <c r="D2039" s="26" t="s">
        <v>36</v>
      </c>
      <c r="E2039" s="26" t="s">
        <v>139</v>
      </c>
      <c r="F2039" s="26" t="s">
        <v>91</v>
      </c>
      <c r="G2039" s="26" t="s">
        <v>41</v>
      </c>
      <c r="H2039" s="26" t="s">
        <v>7273</v>
      </c>
      <c r="I2039" s="17">
        <f ca="1">IFERROR(__xludf.DUMMYFUNCTION("""COMPUTED_VALUE"""),45373)</f>
        <v>45373</v>
      </c>
      <c r="J2039" s="29" t="s">
        <v>7749</v>
      </c>
      <c r="K2039" s="26" t="s">
        <v>7750</v>
      </c>
      <c r="L2039" s="30">
        <v>707452004</v>
      </c>
      <c r="M2039" s="26" t="s">
        <v>3288</v>
      </c>
      <c r="N2039" s="26" t="s">
        <v>200</v>
      </c>
      <c r="O2039" s="26" t="s">
        <v>7751</v>
      </c>
      <c r="P2039" s="26" t="s">
        <v>7752</v>
      </c>
      <c r="Q2039" s="20">
        <v>15936</v>
      </c>
      <c r="R2039" s="26" t="s">
        <v>36</v>
      </c>
      <c r="S2039" s="31">
        <v>15936</v>
      </c>
      <c r="T2039" s="32">
        <v>45362</v>
      </c>
      <c r="U2039" s="31"/>
      <c r="V2039" s="32"/>
      <c r="W2039" s="33" t="s">
        <v>7753</v>
      </c>
      <c r="X2039" s="26"/>
      <c r="Y2039" s="22">
        <v>0</v>
      </c>
      <c r="Z2039" s="26" t="s">
        <v>50</v>
      </c>
      <c r="AA2039" s="19" t="s">
        <v>7361</v>
      </c>
      <c r="AB2039" s="26"/>
      <c r="AC2039" s="26" t="s">
        <v>53</v>
      </c>
      <c r="AD2039" s="19" t="s">
        <v>54</v>
      </c>
      <c r="AE2039" s="26" t="s">
        <v>91</v>
      </c>
      <c r="AF2039" s="17">
        <v>45369</v>
      </c>
      <c r="AG2039" s="26"/>
      <c r="AH2039" s="26"/>
      <c r="AI2039" s="40"/>
      <c r="AJ2039" s="26"/>
      <c r="AK2039" s="26"/>
      <c r="AL2039" s="35"/>
      <c r="AM2039" s="35"/>
      <c r="AN2039" s="35"/>
      <c r="AO2039" s="35"/>
      <c r="AP2039" s="35"/>
    </row>
    <row r="2040" spans="1:42" x14ac:dyDescent="0.2">
      <c r="A2040" s="126">
        <v>45362.865478043983</v>
      </c>
      <c r="B2040" s="28" t="s">
        <v>37</v>
      </c>
      <c r="C2040" s="41" t="s">
        <v>118</v>
      </c>
      <c r="D2040" s="26" t="s">
        <v>219</v>
      </c>
      <c r="E2040" s="26" t="s">
        <v>56</v>
      </c>
      <c r="F2040" s="26" t="s">
        <v>91</v>
      </c>
      <c r="G2040" s="26" t="s">
        <v>41</v>
      </c>
      <c r="H2040" s="26" t="s">
        <v>6842</v>
      </c>
      <c r="I2040" s="17">
        <f ca="1">IFERROR(__xludf.DUMMYFUNCTION("""COMPUTED_VALUE"""),45364)</f>
        <v>45364</v>
      </c>
      <c r="J2040" s="29" t="s">
        <v>7754</v>
      </c>
      <c r="K2040" s="26" t="s">
        <v>7755</v>
      </c>
      <c r="L2040" s="30">
        <v>977280105</v>
      </c>
      <c r="M2040" s="26" t="s">
        <v>910</v>
      </c>
      <c r="N2040" s="26" t="s">
        <v>3221</v>
      </c>
      <c r="O2040" s="26" t="s">
        <v>3754</v>
      </c>
      <c r="P2040" s="67" t="s">
        <v>7756</v>
      </c>
      <c r="Q2040" s="20">
        <v>9317</v>
      </c>
      <c r="R2040" s="26" t="s">
        <v>36</v>
      </c>
      <c r="S2040" s="31">
        <v>9317</v>
      </c>
      <c r="T2040" s="32">
        <v>45362</v>
      </c>
      <c r="U2040" s="31"/>
      <c r="V2040" s="32"/>
      <c r="W2040" s="33" t="s">
        <v>7757</v>
      </c>
      <c r="X2040" s="26"/>
      <c r="Y2040" s="22">
        <v>0</v>
      </c>
      <c r="Z2040" s="26" t="s">
        <v>50</v>
      </c>
      <c r="AA2040" s="19" t="s">
        <v>7361</v>
      </c>
      <c r="AB2040" s="26"/>
      <c r="AC2040" s="26" t="s">
        <v>53</v>
      </c>
      <c r="AD2040" s="19" t="s">
        <v>138</v>
      </c>
      <c r="AE2040" s="26"/>
      <c r="AF2040" s="17">
        <v>45364</v>
      </c>
      <c r="AG2040" s="26" t="s">
        <v>7132</v>
      </c>
      <c r="AH2040" s="26"/>
      <c r="AI2040" s="40"/>
      <c r="AJ2040" s="26"/>
      <c r="AK2040" s="26"/>
      <c r="AL2040" s="35"/>
      <c r="AM2040" s="35"/>
      <c r="AN2040" s="35"/>
      <c r="AO2040" s="35"/>
      <c r="AP2040" s="35"/>
    </row>
    <row r="2041" spans="1:42" x14ac:dyDescent="0.2">
      <c r="A2041" s="126">
        <v>45364.43690450232</v>
      </c>
      <c r="B2041" s="28" t="s">
        <v>37</v>
      </c>
      <c r="C2041" s="41" t="s">
        <v>118</v>
      </c>
      <c r="D2041" s="26" t="s">
        <v>36</v>
      </c>
      <c r="E2041" s="26" t="s">
        <v>77</v>
      </c>
      <c r="F2041" s="26" t="s">
        <v>36</v>
      </c>
      <c r="G2041" s="26" t="s">
        <v>41</v>
      </c>
      <c r="H2041" s="26" t="s">
        <v>7273</v>
      </c>
      <c r="I2041" s="17">
        <f ca="1">IFERROR(__xludf.DUMMYFUNCTION("""COMPUTED_VALUE"""),45373)</f>
        <v>45373</v>
      </c>
      <c r="J2041" s="29" t="s">
        <v>7758</v>
      </c>
      <c r="K2041" s="26" t="s">
        <v>7759</v>
      </c>
      <c r="L2041" s="30">
        <v>353658981</v>
      </c>
      <c r="M2041" s="26" t="s">
        <v>3288</v>
      </c>
      <c r="N2041" s="26" t="s">
        <v>200</v>
      </c>
      <c r="O2041" s="26" t="s">
        <v>7760</v>
      </c>
      <c r="P2041" s="26" t="s">
        <v>7761</v>
      </c>
      <c r="Q2041" s="20">
        <v>1968</v>
      </c>
      <c r="R2041" s="26" t="s">
        <v>36</v>
      </c>
      <c r="S2041" s="31">
        <v>1968</v>
      </c>
      <c r="T2041" s="32">
        <v>45363</v>
      </c>
      <c r="U2041" s="31"/>
      <c r="V2041" s="32"/>
      <c r="W2041" s="33" t="s">
        <v>7762</v>
      </c>
      <c r="X2041" s="26"/>
      <c r="Y2041" s="22">
        <v>0</v>
      </c>
      <c r="Z2041" s="26" t="s">
        <v>50</v>
      </c>
      <c r="AA2041" s="19" t="s">
        <v>7361</v>
      </c>
      <c r="AB2041" s="26"/>
      <c r="AC2041" s="26" t="s">
        <v>53</v>
      </c>
      <c r="AD2041" s="19" t="s">
        <v>54</v>
      </c>
      <c r="AE2041" s="26" t="s">
        <v>91</v>
      </c>
      <c r="AF2041" s="17">
        <v>45369</v>
      </c>
      <c r="AG2041" s="26"/>
      <c r="AH2041" s="26"/>
      <c r="AI2041" s="40"/>
      <c r="AJ2041" s="26"/>
      <c r="AK2041" s="26"/>
      <c r="AL2041" s="35"/>
      <c r="AM2041" s="35"/>
      <c r="AN2041" s="35"/>
      <c r="AO2041" s="35"/>
      <c r="AP2041" s="35"/>
    </row>
    <row r="2042" spans="1:42" x14ac:dyDescent="0.2">
      <c r="A2042" s="126">
        <v>45364.705938125</v>
      </c>
      <c r="B2042" s="28" t="s">
        <v>37</v>
      </c>
      <c r="C2042" s="41" t="s">
        <v>118</v>
      </c>
      <c r="D2042" s="26" t="s">
        <v>36</v>
      </c>
      <c r="E2042" s="26" t="s">
        <v>106</v>
      </c>
      <c r="F2042" s="26" t="s">
        <v>3279</v>
      </c>
      <c r="G2042" s="26" t="s">
        <v>108</v>
      </c>
      <c r="H2042" s="26" t="s">
        <v>6250</v>
      </c>
      <c r="I2042" s="17">
        <f ca="1">IFERROR(__xludf.DUMMYFUNCTION("""COMPUTED_VALUE"""),45495)</f>
        <v>45495</v>
      </c>
      <c r="J2042" s="29" t="s">
        <v>6785</v>
      </c>
      <c r="K2042" s="26" t="s">
        <v>7763</v>
      </c>
      <c r="L2042" s="30">
        <v>987712077</v>
      </c>
      <c r="M2042" s="26" t="s">
        <v>112</v>
      </c>
      <c r="N2042" s="26" t="s">
        <v>113</v>
      </c>
      <c r="O2042" s="26" t="s">
        <v>36</v>
      </c>
      <c r="P2042" s="26" t="s">
        <v>138</v>
      </c>
      <c r="Q2042" s="20">
        <v>3768</v>
      </c>
      <c r="R2042" s="26" t="s">
        <v>36</v>
      </c>
      <c r="S2042" s="31">
        <v>3668</v>
      </c>
      <c r="T2042" s="32">
        <v>44998</v>
      </c>
      <c r="U2042" s="31"/>
      <c r="V2042" s="32"/>
      <c r="W2042" s="33" t="s">
        <v>7764</v>
      </c>
      <c r="X2042" s="26"/>
      <c r="Y2042" s="22">
        <v>100</v>
      </c>
      <c r="Z2042" s="26" t="s">
        <v>50</v>
      </c>
      <c r="AA2042" s="19" t="s">
        <v>7361</v>
      </c>
      <c r="AB2042" s="26"/>
      <c r="AC2042" s="26" t="s">
        <v>53</v>
      </c>
      <c r="AD2042" s="19" t="s">
        <v>138</v>
      </c>
      <c r="AE2042" s="26" t="s">
        <v>3279</v>
      </c>
      <c r="AF2042" s="17">
        <v>45375</v>
      </c>
      <c r="AG2042" s="26" t="s">
        <v>1362</v>
      </c>
      <c r="AH2042" s="26"/>
      <c r="AI2042" s="40"/>
      <c r="AJ2042" s="26"/>
      <c r="AK2042" s="26"/>
      <c r="AL2042" s="35"/>
      <c r="AM2042" s="35"/>
      <c r="AN2042" s="35"/>
      <c r="AO2042" s="35"/>
      <c r="AP2042" s="35"/>
    </row>
    <row r="2043" spans="1:42" x14ac:dyDescent="0.2">
      <c r="A2043" s="126">
        <v>45365.338187395835</v>
      </c>
      <c r="B2043" s="28" t="s">
        <v>37</v>
      </c>
      <c r="C2043" s="41" t="s">
        <v>118</v>
      </c>
      <c r="D2043" s="26" t="s">
        <v>36</v>
      </c>
      <c r="E2043" s="26" t="s">
        <v>56</v>
      </c>
      <c r="F2043" s="26" t="s">
        <v>36</v>
      </c>
      <c r="G2043" s="26" t="s">
        <v>41</v>
      </c>
      <c r="H2043" s="26" t="s">
        <v>7008</v>
      </c>
      <c r="I2043" s="17">
        <f ca="1">IFERROR(__xludf.DUMMYFUNCTION("""COMPUTED_VALUE"""),45370)</f>
        <v>45370</v>
      </c>
      <c r="J2043" s="29" t="s">
        <v>7765</v>
      </c>
      <c r="K2043" s="26" t="s">
        <v>7766</v>
      </c>
      <c r="L2043" s="30">
        <v>342721583</v>
      </c>
      <c r="M2043" s="26" t="s">
        <v>59</v>
      </c>
      <c r="N2043" s="26" t="s">
        <v>68</v>
      </c>
      <c r="O2043" s="26" t="s">
        <v>7767</v>
      </c>
      <c r="P2043" s="26" t="s">
        <v>7768</v>
      </c>
      <c r="Q2043" s="20">
        <v>9317</v>
      </c>
      <c r="R2043" s="26" t="s">
        <v>36</v>
      </c>
      <c r="S2043" s="31">
        <v>9317</v>
      </c>
      <c r="T2043" s="32">
        <v>45359</v>
      </c>
      <c r="U2043" s="31"/>
      <c r="V2043" s="32"/>
      <c r="W2043" s="33" t="s">
        <v>7769</v>
      </c>
      <c r="X2043" s="26"/>
      <c r="Y2043" s="22">
        <v>0</v>
      </c>
      <c r="Z2043" s="26" t="s">
        <v>50</v>
      </c>
      <c r="AA2043" s="19" t="s">
        <v>7361</v>
      </c>
      <c r="AB2043" s="26"/>
      <c r="AC2043" s="26" t="s">
        <v>53</v>
      </c>
      <c r="AD2043" s="19" t="s">
        <v>54</v>
      </c>
      <c r="AE2043" s="26" t="s">
        <v>72</v>
      </c>
      <c r="AF2043" s="17">
        <v>45369</v>
      </c>
      <c r="AG2043" s="26"/>
      <c r="AH2043" s="26"/>
      <c r="AI2043" s="40"/>
      <c r="AJ2043" s="26"/>
      <c r="AK2043" s="26"/>
      <c r="AL2043" s="35"/>
      <c r="AM2043" s="35"/>
      <c r="AN2043" s="35"/>
      <c r="AO2043" s="35"/>
      <c r="AP2043" s="35"/>
    </row>
    <row r="2044" spans="1:42" x14ac:dyDescent="0.2">
      <c r="A2044" s="126">
        <v>45365.342565219908</v>
      </c>
      <c r="B2044" s="28" t="s">
        <v>37</v>
      </c>
      <c r="C2044" s="41" t="s">
        <v>118</v>
      </c>
      <c r="D2044" s="26" t="s">
        <v>36</v>
      </c>
      <c r="E2044" s="26" t="s">
        <v>39</v>
      </c>
      <c r="F2044" s="26" t="s">
        <v>40</v>
      </c>
      <c r="G2044" s="26" t="s">
        <v>41</v>
      </c>
      <c r="H2044" s="26" t="s">
        <v>7273</v>
      </c>
      <c r="I2044" s="17">
        <f ca="1">IFERROR(__xludf.DUMMYFUNCTION("""COMPUTED_VALUE"""),45373)</f>
        <v>45373</v>
      </c>
      <c r="J2044" s="29" t="s">
        <v>7770</v>
      </c>
      <c r="K2044" s="26" t="s">
        <v>7771</v>
      </c>
      <c r="L2044" s="30">
        <v>389835638</v>
      </c>
      <c r="M2044" s="26" t="s">
        <v>59</v>
      </c>
      <c r="N2044" s="26" t="s">
        <v>68</v>
      </c>
      <c r="O2044" s="26" t="s">
        <v>7772</v>
      </c>
      <c r="P2044" s="26" t="s">
        <v>7773</v>
      </c>
      <c r="Q2044" s="20">
        <v>5736</v>
      </c>
      <c r="R2044" s="26" t="s">
        <v>36</v>
      </c>
      <c r="S2044" s="31">
        <v>5736</v>
      </c>
      <c r="T2044" s="32">
        <v>45364</v>
      </c>
      <c r="U2044" s="31"/>
      <c r="V2044" s="32"/>
      <c r="W2044" s="33" t="s">
        <v>7774</v>
      </c>
      <c r="X2044" s="26"/>
      <c r="Y2044" s="22">
        <v>0</v>
      </c>
      <c r="Z2044" s="26" t="s">
        <v>50</v>
      </c>
      <c r="AA2044" s="19" t="s">
        <v>7361</v>
      </c>
      <c r="AB2044" s="26"/>
      <c r="AC2044" s="26" t="s">
        <v>53</v>
      </c>
      <c r="AD2044" s="19" t="s">
        <v>54</v>
      </c>
      <c r="AE2044" s="26" t="s">
        <v>72</v>
      </c>
      <c r="AF2044" s="17">
        <v>45369</v>
      </c>
      <c r="AG2044" s="26"/>
      <c r="AH2044" s="26"/>
      <c r="AI2044" s="40"/>
      <c r="AJ2044" s="26"/>
      <c r="AK2044" s="26"/>
      <c r="AL2044" s="35"/>
      <c r="AM2044" s="35"/>
      <c r="AN2044" s="35"/>
      <c r="AO2044" s="35"/>
      <c r="AP2044" s="35"/>
    </row>
    <row r="2045" spans="1:42" x14ac:dyDescent="0.2">
      <c r="A2045" s="126">
        <v>45365.346969386577</v>
      </c>
      <c r="B2045" s="28" t="s">
        <v>37</v>
      </c>
      <c r="C2045" s="41" t="s">
        <v>118</v>
      </c>
      <c r="D2045" s="26" t="s">
        <v>36</v>
      </c>
      <c r="E2045" s="26" t="s">
        <v>119</v>
      </c>
      <c r="F2045" s="26" t="s">
        <v>36</v>
      </c>
      <c r="G2045" s="26" t="s">
        <v>108</v>
      </c>
      <c r="H2045" s="26" t="s">
        <v>7403</v>
      </c>
      <c r="I2045" s="17">
        <f ca="1">IFERROR(__xludf.DUMMYFUNCTION("""COMPUTED_VALUE"""),45376)</f>
        <v>45376</v>
      </c>
      <c r="J2045" s="29" t="s">
        <v>7775</v>
      </c>
      <c r="K2045" s="26" t="s">
        <v>7776</v>
      </c>
      <c r="L2045" s="30">
        <v>375542694</v>
      </c>
      <c r="M2045" s="26" t="s">
        <v>59</v>
      </c>
      <c r="N2045" s="26" t="s">
        <v>403</v>
      </c>
      <c r="O2045" s="26" t="s">
        <v>7777</v>
      </c>
      <c r="P2045" s="26" t="s">
        <v>7778</v>
      </c>
      <c r="Q2045" s="20">
        <v>13968</v>
      </c>
      <c r="R2045" s="26" t="s">
        <v>36</v>
      </c>
      <c r="S2045" s="31">
        <v>13968</v>
      </c>
      <c r="T2045" s="32">
        <v>45356</v>
      </c>
      <c r="U2045" s="31"/>
      <c r="V2045" s="32"/>
      <c r="W2045" s="33" t="s">
        <v>7779</v>
      </c>
      <c r="X2045" s="26"/>
      <c r="Y2045" s="22">
        <v>0</v>
      </c>
      <c r="Z2045" s="26" t="s">
        <v>50</v>
      </c>
      <c r="AA2045" s="19" t="s">
        <v>7361</v>
      </c>
      <c r="AB2045" s="26"/>
      <c r="AC2045" s="26" t="s">
        <v>53</v>
      </c>
      <c r="AD2045" s="19" t="s">
        <v>138</v>
      </c>
      <c r="AE2045" s="26" t="s">
        <v>2752</v>
      </c>
      <c r="AF2045" s="17">
        <v>45376</v>
      </c>
      <c r="AG2045" s="26" t="s">
        <v>1362</v>
      </c>
      <c r="AH2045" s="26"/>
      <c r="AI2045" s="40"/>
      <c r="AJ2045" s="26"/>
      <c r="AK2045" s="26"/>
      <c r="AL2045" s="35"/>
      <c r="AM2045" s="35"/>
      <c r="AN2045" s="35"/>
      <c r="AO2045" s="35"/>
      <c r="AP2045" s="35"/>
    </row>
    <row r="2046" spans="1:42" x14ac:dyDescent="0.2">
      <c r="A2046" s="126">
        <v>45365.651809733798</v>
      </c>
      <c r="B2046" s="28" t="s">
        <v>37</v>
      </c>
      <c r="C2046" s="41" t="s">
        <v>118</v>
      </c>
      <c r="D2046" s="26" t="s">
        <v>36</v>
      </c>
      <c r="E2046" s="26" t="s">
        <v>106</v>
      </c>
      <c r="F2046" s="26" t="s">
        <v>91</v>
      </c>
      <c r="G2046" s="26" t="s">
        <v>108</v>
      </c>
      <c r="H2046" s="26" t="s">
        <v>4633</v>
      </c>
      <c r="I2046" s="17">
        <f ca="1">IFERROR(__xludf.DUMMYFUNCTION("""COMPUTED_VALUE"""),45365)</f>
        <v>45365</v>
      </c>
      <c r="J2046" s="29" t="s">
        <v>7780</v>
      </c>
      <c r="K2046" s="26" t="s">
        <v>7781</v>
      </c>
      <c r="L2046" s="30">
        <v>354895441</v>
      </c>
      <c r="M2046" s="26" t="s">
        <v>348</v>
      </c>
      <c r="N2046" s="26" t="s">
        <v>200</v>
      </c>
      <c r="O2046" s="26" t="s">
        <v>7782</v>
      </c>
      <c r="P2046" s="26" t="s">
        <v>7783</v>
      </c>
      <c r="Q2046" s="20">
        <v>3768</v>
      </c>
      <c r="R2046" s="26" t="s">
        <v>36</v>
      </c>
      <c r="S2046" s="31">
        <v>3768</v>
      </c>
      <c r="T2046" s="32">
        <v>45365</v>
      </c>
      <c r="U2046" s="31"/>
      <c r="V2046" s="32"/>
      <c r="W2046" s="33" t="s">
        <v>7784</v>
      </c>
      <c r="X2046" s="26"/>
      <c r="Y2046" s="22">
        <v>0</v>
      </c>
      <c r="Z2046" s="26" t="s">
        <v>50</v>
      </c>
      <c r="AA2046" s="19" t="s">
        <v>7361</v>
      </c>
      <c r="AB2046" s="26"/>
      <c r="AC2046" s="26" t="s">
        <v>53</v>
      </c>
      <c r="AD2046" s="19" t="s">
        <v>54</v>
      </c>
      <c r="AE2046" s="26">
        <v>430</v>
      </c>
      <c r="AF2046" s="17">
        <v>45369</v>
      </c>
      <c r="AG2046" s="26"/>
      <c r="AH2046" s="26"/>
      <c r="AI2046" s="40"/>
      <c r="AJ2046" s="26"/>
      <c r="AK2046" s="26"/>
      <c r="AL2046" s="35"/>
      <c r="AM2046" s="35"/>
      <c r="AN2046" s="35"/>
      <c r="AO2046" s="35"/>
      <c r="AP2046" s="35"/>
    </row>
    <row r="2047" spans="1:42" x14ac:dyDescent="0.2">
      <c r="A2047" s="126">
        <v>45365.673586909717</v>
      </c>
      <c r="B2047" s="28" t="s">
        <v>37</v>
      </c>
      <c r="C2047" s="41" t="s">
        <v>118</v>
      </c>
      <c r="D2047" s="26" t="s">
        <v>36</v>
      </c>
      <c r="E2047" s="26" t="s">
        <v>139</v>
      </c>
      <c r="F2047" s="26" t="s">
        <v>40</v>
      </c>
      <c r="G2047" s="26" t="s">
        <v>41</v>
      </c>
      <c r="H2047" s="26" t="s">
        <v>7273</v>
      </c>
      <c r="I2047" s="17">
        <f ca="1">IFERROR(__xludf.DUMMYFUNCTION("""COMPUTED_VALUE"""),45373)</f>
        <v>45373</v>
      </c>
      <c r="J2047" s="29" t="s">
        <v>7785</v>
      </c>
      <c r="K2047" s="26" t="s">
        <v>7786</v>
      </c>
      <c r="L2047" s="30">
        <v>849188626</v>
      </c>
      <c r="M2047" s="26" t="s">
        <v>45</v>
      </c>
      <c r="N2047" s="26" t="s">
        <v>565</v>
      </c>
      <c r="O2047" s="26" t="s">
        <v>7787</v>
      </c>
      <c r="P2047" s="26" t="s">
        <v>7788</v>
      </c>
      <c r="Q2047" s="20">
        <v>15936</v>
      </c>
      <c r="R2047" s="26" t="s">
        <v>36</v>
      </c>
      <c r="S2047" s="31">
        <v>2000</v>
      </c>
      <c r="T2047" s="32">
        <v>44999</v>
      </c>
      <c r="U2047" s="31">
        <v>13936</v>
      </c>
      <c r="V2047" s="32">
        <v>45378</v>
      </c>
      <c r="W2047" s="33" t="s">
        <v>7789</v>
      </c>
      <c r="X2047" s="26"/>
      <c r="Y2047" s="22">
        <v>0</v>
      </c>
      <c r="Z2047" s="26" t="s">
        <v>50</v>
      </c>
      <c r="AA2047" s="19" t="s">
        <v>7361</v>
      </c>
      <c r="AB2047" s="26"/>
      <c r="AC2047" s="26" t="s">
        <v>53</v>
      </c>
      <c r="AD2047" s="19" t="s">
        <v>54</v>
      </c>
      <c r="AE2047" s="26">
        <v>0</v>
      </c>
      <c r="AF2047" s="17">
        <v>45369</v>
      </c>
      <c r="AG2047" s="26"/>
      <c r="AH2047" s="26"/>
      <c r="AI2047" s="40"/>
      <c r="AJ2047" s="26"/>
      <c r="AK2047" s="26"/>
      <c r="AL2047" s="35"/>
      <c r="AM2047" s="35"/>
      <c r="AN2047" s="35"/>
      <c r="AO2047" s="35"/>
      <c r="AP2047" s="35"/>
    </row>
    <row r="2048" spans="1:42" x14ac:dyDescent="0.2">
      <c r="A2048" s="126">
        <v>45366.374284224541</v>
      </c>
      <c r="B2048" s="28" t="s">
        <v>37</v>
      </c>
      <c r="C2048" s="41" t="s">
        <v>118</v>
      </c>
      <c r="D2048" s="26" t="s">
        <v>36</v>
      </c>
      <c r="E2048" s="26" t="s">
        <v>148</v>
      </c>
      <c r="F2048" s="26" t="s">
        <v>7103</v>
      </c>
      <c r="G2048" s="26" t="s">
        <v>108</v>
      </c>
      <c r="H2048" s="26" t="s">
        <v>3439</v>
      </c>
      <c r="I2048" s="17">
        <f ca="1">IFERROR(__xludf.DUMMYFUNCTION("""COMPUTED_VALUE"""),45432)</f>
        <v>45432</v>
      </c>
      <c r="J2048" s="29" t="s">
        <v>7303</v>
      </c>
      <c r="K2048" s="26" t="s">
        <v>133</v>
      </c>
      <c r="L2048" s="30">
        <v>367038347</v>
      </c>
      <c r="M2048" s="26" t="s">
        <v>59</v>
      </c>
      <c r="N2048" s="26" t="s">
        <v>7298</v>
      </c>
      <c r="O2048" s="26" t="s">
        <v>7790</v>
      </c>
      <c r="P2048" s="26" t="s">
        <v>7791</v>
      </c>
      <c r="Q2048" s="20">
        <v>7349</v>
      </c>
      <c r="R2048" s="26" t="s">
        <v>36</v>
      </c>
      <c r="S2048" s="31">
        <v>7349</v>
      </c>
      <c r="T2048" s="32">
        <v>45364</v>
      </c>
      <c r="U2048" s="31"/>
      <c r="V2048" s="32"/>
      <c r="W2048" s="33" t="s">
        <v>7792</v>
      </c>
      <c r="X2048" s="26"/>
      <c r="Y2048" s="22">
        <v>0</v>
      </c>
      <c r="Z2048" s="26" t="s">
        <v>50</v>
      </c>
      <c r="AA2048" s="19" t="s">
        <v>7361</v>
      </c>
      <c r="AB2048" s="26"/>
      <c r="AC2048" s="26" t="s">
        <v>53</v>
      </c>
      <c r="AD2048" s="19" t="s">
        <v>54</v>
      </c>
      <c r="AE2048" s="26"/>
      <c r="AF2048" s="17">
        <v>45432</v>
      </c>
      <c r="AG2048" s="26" t="s">
        <v>1362</v>
      </c>
      <c r="AH2048" s="26"/>
      <c r="AI2048" s="40"/>
      <c r="AJ2048" s="26"/>
      <c r="AK2048" s="26"/>
      <c r="AL2048" s="35"/>
      <c r="AM2048" s="35"/>
      <c r="AN2048" s="35"/>
      <c r="AO2048" s="35"/>
      <c r="AP2048" s="35"/>
    </row>
    <row r="2049" spans="1:42" x14ac:dyDescent="0.2">
      <c r="A2049" s="126">
        <v>45366.381476875002</v>
      </c>
      <c r="B2049" s="28" t="s">
        <v>37</v>
      </c>
      <c r="C2049" s="41" t="s">
        <v>118</v>
      </c>
      <c r="D2049" s="26" t="s">
        <v>77</v>
      </c>
      <c r="E2049" s="26" t="s">
        <v>106</v>
      </c>
      <c r="F2049" s="26" t="s">
        <v>7103</v>
      </c>
      <c r="G2049" s="26" t="s">
        <v>108</v>
      </c>
      <c r="H2049" s="26" t="s">
        <v>3439</v>
      </c>
      <c r="I2049" s="17">
        <f ca="1">IFERROR(__xludf.DUMMYFUNCTION("""COMPUTED_VALUE"""),45432)</f>
        <v>45432</v>
      </c>
      <c r="J2049" s="29" t="s">
        <v>7308</v>
      </c>
      <c r="K2049" s="26" t="s">
        <v>7309</v>
      </c>
      <c r="L2049" s="30">
        <v>379438727</v>
      </c>
      <c r="M2049" s="26" t="s">
        <v>59</v>
      </c>
      <c r="N2049" s="26" t="s">
        <v>4299</v>
      </c>
      <c r="O2049" s="26" t="s">
        <v>7793</v>
      </c>
      <c r="P2049" s="26" t="s">
        <v>7794</v>
      </c>
      <c r="Q2049" s="20">
        <v>3768</v>
      </c>
      <c r="R2049" s="26" t="s">
        <v>36</v>
      </c>
      <c r="S2049" s="58">
        <v>3768</v>
      </c>
      <c r="T2049" s="59">
        <v>45362</v>
      </c>
      <c r="U2049" s="31"/>
      <c r="V2049" s="32"/>
      <c r="W2049" s="33" t="s">
        <v>7795</v>
      </c>
      <c r="X2049" s="26"/>
      <c r="Y2049" s="22">
        <v>0</v>
      </c>
      <c r="Z2049" s="26" t="s">
        <v>50</v>
      </c>
      <c r="AA2049" s="19" t="s">
        <v>7361</v>
      </c>
      <c r="AB2049" s="26"/>
      <c r="AC2049" s="26" t="s">
        <v>53</v>
      </c>
      <c r="AD2049" s="19" t="s">
        <v>138</v>
      </c>
      <c r="AE2049" s="26"/>
      <c r="AF2049" s="17">
        <v>45432</v>
      </c>
      <c r="AG2049" s="26" t="s">
        <v>1362</v>
      </c>
      <c r="AH2049" s="26"/>
      <c r="AI2049" s="40"/>
      <c r="AJ2049" s="26"/>
      <c r="AK2049" s="26"/>
      <c r="AL2049" s="35"/>
      <c r="AM2049" s="35"/>
      <c r="AN2049" s="35"/>
      <c r="AO2049" s="35"/>
      <c r="AP2049" s="35"/>
    </row>
    <row r="2050" spans="1:42" x14ac:dyDescent="0.2">
      <c r="A2050" s="126">
        <v>45367.678218668982</v>
      </c>
      <c r="B2050" s="28" t="s">
        <v>37</v>
      </c>
      <c r="C2050" s="41" t="s">
        <v>118</v>
      </c>
      <c r="D2050" s="26" t="s">
        <v>36</v>
      </c>
      <c r="E2050" s="26" t="s">
        <v>77</v>
      </c>
      <c r="F2050" s="26" t="s">
        <v>36</v>
      </c>
      <c r="G2050" s="26" t="s">
        <v>41</v>
      </c>
      <c r="H2050" s="26" t="s">
        <v>7103</v>
      </c>
      <c r="I2050" s="17">
        <f ca="1">IFERROR(__xludf.DUMMYFUNCTION("""COMPUTED_VALUE"""),45372)</f>
        <v>45372</v>
      </c>
      <c r="J2050" s="29" t="s">
        <v>7796</v>
      </c>
      <c r="K2050" s="26" t="s">
        <v>7797</v>
      </c>
      <c r="L2050" s="30">
        <v>388946394</v>
      </c>
      <c r="M2050" s="26" t="s">
        <v>80</v>
      </c>
      <c r="N2050" s="26" t="s">
        <v>87</v>
      </c>
      <c r="O2050" s="26" t="s">
        <v>1492</v>
      </c>
      <c r="P2050" s="26" t="s">
        <v>7798</v>
      </c>
      <c r="Q2050" s="20">
        <v>1968</v>
      </c>
      <c r="R2050" s="26" t="s">
        <v>36</v>
      </c>
      <c r="S2050" s="31">
        <v>1800</v>
      </c>
      <c r="T2050" s="32">
        <v>44993</v>
      </c>
      <c r="U2050" s="31"/>
      <c r="V2050" s="26" t="s">
        <v>7799</v>
      </c>
      <c r="W2050" s="33" t="s">
        <v>7800</v>
      </c>
      <c r="X2050" s="26"/>
      <c r="Y2050" s="22">
        <v>168</v>
      </c>
      <c r="Z2050" s="26" t="s">
        <v>50</v>
      </c>
      <c r="AA2050" s="19" t="s">
        <v>7361</v>
      </c>
      <c r="AB2050" s="26"/>
      <c r="AC2050" s="26" t="s">
        <v>53</v>
      </c>
      <c r="AD2050" s="19" t="s">
        <v>138</v>
      </c>
      <c r="AE2050" s="26">
        <v>0</v>
      </c>
      <c r="AF2050" s="17">
        <v>45372</v>
      </c>
      <c r="AG2050" s="26" t="s">
        <v>7801</v>
      </c>
      <c r="AH2050" s="26"/>
      <c r="AI2050" s="40"/>
      <c r="AJ2050" s="26"/>
      <c r="AK2050" s="26"/>
      <c r="AL2050" s="35"/>
      <c r="AM2050" s="35"/>
      <c r="AN2050" s="35"/>
      <c r="AO2050" s="35"/>
      <c r="AP2050" s="35"/>
    </row>
    <row r="2051" spans="1:42" x14ac:dyDescent="0.2">
      <c r="A2051" s="126">
        <v>45367.682930740746</v>
      </c>
      <c r="B2051" s="28" t="s">
        <v>37</v>
      </c>
      <c r="C2051" s="41" t="s">
        <v>118</v>
      </c>
      <c r="D2051" s="26" t="s">
        <v>36</v>
      </c>
      <c r="E2051" s="26" t="s">
        <v>106</v>
      </c>
      <c r="F2051" s="26" t="s">
        <v>36</v>
      </c>
      <c r="G2051" s="26" t="s">
        <v>108</v>
      </c>
      <c r="H2051" s="26" t="s">
        <v>7365</v>
      </c>
      <c r="I2051" s="17">
        <f ca="1">IFERROR(__xludf.DUMMYFUNCTION("""COMPUTED_VALUE"""),45468)</f>
        <v>45468</v>
      </c>
      <c r="J2051" s="29" t="s">
        <v>7802</v>
      </c>
      <c r="K2051" s="26" t="s">
        <v>7803</v>
      </c>
      <c r="L2051" s="30">
        <v>961698551</v>
      </c>
      <c r="M2051" s="26" t="s">
        <v>80</v>
      </c>
      <c r="N2051" s="26" t="s">
        <v>1073</v>
      </c>
      <c r="O2051" s="26" t="s">
        <v>7804</v>
      </c>
      <c r="P2051" s="26" t="s">
        <v>7805</v>
      </c>
      <c r="Q2051" s="20">
        <v>3768</v>
      </c>
      <c r="R2051" s="26" t="s">
        <v>36</v>
      </c>
      <c r="S2051" s="31">
        <v>300</v>
      </c>
      <c r="T2051" s="32">
        <v>45367</v>
      </c>
      <c r="U2051" s="31">
        <v>3468</v>
      </c>
      <c r="V2051" s="32">
        <v>45373</v>
      </c>
      <c r="W2051" s="33" t="s">
        <v>7806</v>
      </c>
      <c r="X2051" s="26"/>
      <c r="Y2051" s="22">
        <v>0</v>
      </c>
      <c r="Z2051" s="26" t="s">
        <v>50</v>
      </c>
      <c r="AA2051" s="19" t="s">
        <v>7361</v>
      </c>
      <c r="AB2051" s="26"/>
      <c r="AC2051" s="26" t="s">
        <v>53</v>
      </c>
      <c r="AD2051" s="19" t="s">
        <v>54</v>
      </c>
      <c r="AE2051" s="26">
        <v>360</v>
      </c>
      <c r="AF2051" s="17">
        <v>45377</v>
      </c>
      <c r="AG2051" s="26"/>
      <c r="AH2051" s="26"/>
      <c r="AI2051" s="40"/>
      <c r="AJ2051" s="26"/>
      <c r="AK2051" s="26"/>
      <c r="AL2051" s="35"/>
      <c r="AM2051" s="35"/>
      <c r="AN2051" s="35"/>
      <c r="AO2051" s="35"/>
      <c r="AP2051" s="35"/>
    </row>
    <row r="2052" spans="1:42" x14ac:dyDescent="0.2">
      <c r="A2052" s="126">
        <v>45367.685479374995</v>
      </c>
      <c r="B2052" s="28" t="s">
        <v>37</v>
      </c>
      <c r="C2052" s="41" t="s">
        <v>118</v>
      </c>
      <c r="D2052" s="26" t="s">
        <v>36</v>
      </c>
      <c r="E2052" s="26" t="s">
        <v>106</v>
      </c>
      <c r="F2052" s="26" t="s">
        <v>2553</v>
      </c>
      <c r="G2052" s="26" t="s">
        <v>108</v>
      </c>
      <c r="H2052" s="26" t="s">
        <v>7365</v>
      </c>
      <c r="I2052" s="17">
        <f ca="1">IFERROR(__xludf.DUMMYFUNCTION("""COMPUTED_VALUE"""),45468)</f>
        <v>45468</v>
      </c>
      <c r="J2052" s="29" t="s">
        <v>7807</v>
      </c>
      <c r="K2052" s="26" t="s">
        <v>7808</v>
      </c>
      <c r="L2052" s="30">
        <v>986773700</v>
      </c>
      <c r="M2052" s="26" t="s">
        <v>80</v>
      </c>
      <c r="N2052" s="26" t="s">
        <v>1073</v>
      </c>
      <c r="O2052" s="26" t="s">
        <v>7809</v>
      </c>
      <c r="P2052" s="26" t="s">
        <v>7810</v>
      </c>
      <c r="Q2052" s="20">
        <v>3768</v>
      </c>
      <c r="R2052" s="26" t="s">
        <v>70</v>
      </c>
      <c r="S2052" s="31">
        <v>200</v>
      </c>
      <c r="T2052" s="32">
        <v>45001</v>
      </c>
      <c r="U2052" s="31">
        <v>3568</v>
      </c>
      <c r="V2052" s="32">
        <v>45374</v>
      </c>
      <c r="W2052" s="33" t="s">
        <v>7811</v>
      </c>
      <c r="X2052" s="26"/>
      <c r="Y2052" s="22">
        <v>0</v>
      </c>
      <c r="Z2052" s="26" t="s">
        <v>50</v>
      </c>
      <c r="AA2052" s="19" t="s">
        <v>7361</v>
      </c>
      <c r="AB2052" s="26"/>
      <c r="AC2052" s="26" t="s">
        <v>53</v>
      </c>
      <c r="AD2052" s="19" t="s">
        <v>54</v>
      </c>
      <c r="AE2052" s="26">
        <v>400</v>
      </c>
      <c r="AF2052" s="17">
        <v>45377</v>
      </c>
      <c r="AG2052" s="26"/>
      <c r="AH2052" s="26"/>
      <c r="AI2052" s="40"/>
      <c r="AJ2052" s="26"/>
      <c r="AK2052" s="26"/>
      <c r="AL2052" s="35"/>
      <c r="AM2052" s="35"/>
      <c r="AN2052" s="35"/>
      <c r="AO2052" s="35"/>
      <c r="AP2052" s="35"/>
    </row>
    <row r="2053" spans="1:42" x14ac:dyDescent="0.2">
      <c r="A2053" s="126">
        <v>45368.649154652783</v>
      </c>
      <c r="B2053" s="28" t="s">
        <v>37</v>
      </c>
      <c r="C2053" s="41" t="s">
        <v>118</v>
      </c>
      <c r="D2053" s="26" t="s">
        <v>36</v>
      </c>
      <c r="E2053" s="26" t="s">
        <v>39</v>
      </c>
      <c r="F2053" s="26" t="s">
        <v>36</v>
      </c>
      <c r="G2053" s="26" t="s">
        <v>41</v>
      </c>
      <c r="H2053" s="26" t="s">
        <v>7103</v>
      </c>
      <c r="I2053" s="17">
        <f ca="1">IFERROR(__xludf.DUMMYFUNCTION("""COMPUTED_VALUE"""),45372)</f>
        <v>45372</v>
      </c>
      <c r="J2053" s="29" t="s">
        <v>7812</v>
      </c>
      <c r="K2053" s="26" t="s">
        <v>7813</v>
      </c>
      <c r="L2053" s="30">
        <v>399661021</v>
      </c>
      <c r="M2053" s="26" t="s">
        <v>45</v>
      </c>
      <c r="N2053" s="26" t="s">
        <v>7814</v>
      </c>
      <c r="O2053" s="26" t="s">
        <v>7815</v>
      </c>
      <c r="P2053" s="26" t="s">
        <v>7816</v>
      </c>
      <c r="Q2053" s="20">
        <v>5736</v>
      </c>
      <c r="R2053" s="26" t="s">
        <v>36</v>
      </c>
      <c r="S2053" s="31">
        <v>5736</v>
      </c>
      <c r="T2053" s="32">
        <v>45366</v>
      </c>
      <c r="U2053" s="31"/>
      <c r="V2053" s="32"/>
      <c r="W2053" s="33" t="s">
        <v>7817</v>
      </c>
      <c r="X2053" s="26"/>
      <c r="Y2053" s="22">
        <v>0</v>
      </c>
      <c r="Z2053" s="26" t="s">
        <v>50</v>
      </c>
      <c r="AA2053" s="19" t="s">
        <v>7361</v>
      </c>
      <c r="AB2053" s="26"/>
      <c r="AC2053" s="26" t="s">
        <v>53</v>
      </c>
      <c r="AD2053" s="19" t="s">
        <v>138</v>
      </c>
      <c r="AE2053" s="26">
        <v>0</v>
      </c>
      <c r="AF2053" s="17">
        <v>45372</v>
      </c>
      <c r="AG2053" s="26"/>
      <c r="AH2053" s="26"/>
      <c r="AI2053" s="40"/>
      <c r="AJ2053" s="26"/>
      <c r="AK2053" s="26"/>
      <c r="AL2053" s="35"/>
      <c r="AM2053" s="35"/>
      <c r="AN2053" s="35"/>
      <c r="AO2053" s="35"/>
      <c r="AP2053" s="35"/>
    </row>
    <row r="2054" spans="1:42" x14ac:dyDescent="0.2">
      <c r="A2054" s="126">
        <v>45368.650569131947</v>
      </c>
      <c r="B2054" s="28" t="s">
        <v>37</v>
      </c>
      <c r="C2054" s="41" t="s">
        <v>118</v>
      </c>
      <c r="D2054" s="26" t="s">
        <v>36</v>
      </c>
      <c r="E2054" s="26" t="s">
        <v>39</v>
      </c>
      <c r="F2054" s="26" t="s">
        <v>36</v>
      </c>
      <c r="G2054" s="26" t="s">
        <v>41</v>
      </c>
      <c r="H2054" s="26" t="s">
        <v>7103</v>
      </c>
      <c r="I2054" s="17">
        <f ca="1">IFERROR(__xludf.DUMMYFUNCTION("""COMPUTED_VALUE"""),45372)</f>
        <v>45372</v>
      </c>
      <c r="J2054" s="29" t="s">
        <v>7818</v>
      </c>
      <c r="K2054" s="26" t="s">
        <v>7819</v>
      </c>
      <c r="L2054" s="30">
        <v>382259690</v>
      </c>
      <c r="M2054" s="26" t="s">
        <v>45</v>
      </c>
      <c r="N2054" s="26" t="s">
        <v>7814</v>
      </c>
      <c r="O2054" s="26" t="s">
        <v>7820</v>
      </c>
      <c r="P2054" s="26" t="s">
        <v>7816</v>
      </c>
      <c r="Q2054" s="20">
        <v>5736</v>
      </c>
      <c r="R2054" s="26" t="s">
        <v>36</v>
      </c>
      <c r="S2054" s="31">
        <v>1968</v>
      </c>
      <c r="T2054" s="32">
        <v>45366</v>
      </c>
      <c r="U2054" s="31">
        <v>3768</v>
      </c>
      <c r="V2054" s="32">
        <v>45380</v>
      </c>
      <c r="W2054" s="33" t="s">
        <v>7821</v>
      </c>
      <c r="X2054" s="26"/>
      <c r="Y2054" s="22">
        <v>0</v>
      </c>
      <c r="Z2054" s="26" t="s">
        <v>50</v>
      </c>
      <c r="AA2054" s="19" t="s">
        <v>7361</v>
      </c>
      <c r="AB2054" s="26"/>
      <c r="AC2054" s="26" t="s">
        <v>53</v>
      </c>
      <c r="AD2054" s="19" t="s">
        <v>138</v>
      </c>
      <c r="AE2054" s="26">
        <v>0</v>
      </c>
      <c r="AF2054" s="17">
        <v>45372</v>
      </c>
      <c r="AG2054" s="26"/>
      <c r="AH2054" s="26"/>
      <c r="AI2054" s="40"/>
      <c r="AJ2054" s="26"/>
      <c r="AK2054" s="26"/>
      <c r="AL2054" s="35"/>
      <c r="AM2054" s="35"/>
      <c r="AN2054" s="35"/>
      <c r="AO2054" s="35"/>
      <c r="AP2054" s="35"/>
    </row>
    <row r="2055" spans="1:42" x14ac:dyDescent="0.2">
      <c r="A2055" s="126">
        <v>45368.652669224539</v>
      </c>
      <c r="B2055" s="28" t="s">
        <v>37</v>
      </c>
      <c r="C2055" s="41" t="s">
        <v>118</v>
      </c>
      <c r="D2055" s="26" t="s">
        <v>36</v>
      </c>
      <c r="E2055" s="26" t="s">
        <v>139</v>
      </c>
      <c r="F2055" s="26" t="s">
        <v>36</v>
      </c>
      <c r="G2055" s="26" t="s">
        <v>41</v>
      </c>
      <c r="H2055" s="26" t="s">
        <v>7273</v>
      </c>
      <c r="I2055" s="17">
        <f ca="1">IFERROR(__xludf.DUMMYFUNCTION("""COMPUTED_VALUE"""),45373)</f>
        <v>45373</v>
      </c>
      <c r="J2055" s="29" t="s">
        <v>7822</v>
      </c>
      <c r="K2055" s="26" t="s">
        <v>7823</v>
      </c>
      <c r="L2055" s="127">
        <v>867039636</v>
      </c>
      <c r="M2055" s="26" t="s">
        <v>45</v>
      </c>
      <c r="N2055" s="26" t="s">
        <v>571</v>
      </c>
      <c r="O2055" s="26" t="s">
        <v>7824</v>
      </c>
      <c r="P2055" s="26" t="s">
        <v>7825</v>
      </c>
      <c r="Q2055" s="20">
        <v>15936</v>
      </c>
      <c r="R2055" s="26" t="s">
        <v>36</v>
      </c>
      <c r="S2055" s="31">
        <v>1000</v>
      </c>
      <c r="T2055" s="32">
        <v>45366</v>
      </c>
      <c r="U2055" s="31">
        <f>8317+6619</f>
        <v>14936</v>
      </c>
      <c r="V2055" s="26" t="s">
        <v>7826</v>
      </c>
      <c r="W2055" s="33" t="s">
        <v>7827</v>
      </c>
      <c r="X2055" s="26"/>
      <c r="Y2055" s="22">
        <v>0</v>
      </c>
      <c r="Z2055" s="26" t="s">
        <v>50</v>
      </c>
      <c r="AA2055" s="19" t="s">
        <v>7361</v>
      </c>
      <c r="AB2055" s="26"/>
      <c r="AC2055" s="26" t="s">
        <v>53</v>
      </c>
      <c r="AD2055" s="19" t="s">
        <v>54</v>
      </c>
      <c r="AE2055" s="26">
        <v>0</v>
      </c>
      <c r="AF2055" s="17">
        <v>45369</v>
      </c>
      <c r="AG2055" s="26"/>
      <c r="AH2055" s="26"/>
      <c r="AI2055" s="40"/>
      <c r="AJ2055" s="26"/>
      <c r="AK2055" s="26"/>
      <c r="AL2055" s="35"/>
      <c r="AM2055" s="35"/>
      <c r="AN2055" s="35"/>
      <c r="AO2055" s="35"/>
      <c r="AP2055" s="35"/>
    </row>
    <row r="2056" spans="1:42" x14ac:dyDescent="0.2">
      <c r="A2056" s="126">
        <v>45369.517413738431</v>
      </c>
      <c r="B2056" s="28" t="s">
        <v>37</v>
      </c>
      <c r="C2056" s="41" t="s">
        <v>118</v>
      </c>
      <c r="D2056" s="26" t="s">
        <v>36</v>
      </c>
      <c r="E2056" s="26" t="s">
        <v>77</v>
      </c>
      <c r="F2056" s="26" t="s">
        <v>91</v>
      </c>
      <c r="G2056" s="26" t="s">
        <v>41</v>
      </c>
      <c r="H2056" s="26" t="s">
        <v>7112</v>
      </c>
      <c r="I2056" s="17">
        <f ca="1">IFERROR(__xludf.DUMMYFUNCTION("""COMPUTED_VALUE"""),45383)</f>
        <v>45383</v>
      </c>
      <c r="J2056" s="29" t="s">
        <v>7828</v>
      </c>
      <c r="K2056" s="26" t="s">
        <v>7829</v>
      </c>
      <c r="L2056" s="30">
        <v>373559591</v>
      </c>
      <c r="M2056" s="26" t="s">
        <v>348</v>
      </c>
      <c r="N2056" s="26" t="s">
        <v>200</v>
      </c>
      <c r="O2056" s="26" t="s">
        <v>7830</v>
      </c>
      <c r="P2056" s="26" t="s">
        <v>7831</v>
      </c>
      <c r="Q2056" s="20">
        <v>1968</v>
      </c>
      <c r="R2056" s="26" t="s">
        <v>36</v>
      </c>
      <c r="S2056" s="31">
        <v>1000</v>
      </c>
      <c r="T2056" s="32">
        <v>45367</v>
      </c>
      <c r="U2056" s="31">
        <v>968</v>
      </c>
      <c r="V2056" s="32">
        <v>45381</v>
      </c>
      <c r="W2056" s="33" t="s">
        <v>7832</v>
      </c>
      <c r="X2056" s="26"/>
      <c r="Y2056" s="22">
        <v>0</v>
      </c>
      <c r="Z2056" s="26" t="s">
        <v>50</v>
      </c>
      <c r="AA2056" s="19" t="s">
        <v>7361</v>
      </c>
      <c r="AB2056" s="26"/>
      <c r="AC2056" s="26" t="s">
        <v>53</v>
      </c>
      <c r="AD2056" s="19" t="s">
        <v>54</v>
      </c>
      <c r="AE2056" s="26" t="s">
        <v>7833</v>
      </c>
      <c r="AF2056" s="17">
        <v>45377</v>
      </c>
      <c r="AG2056" s="35"/>
      <c r="AH2056" s="26"/>
      <c r="AI2056" s="40"/>
      <c r="AJ2056" s="26"/>
      <c r="AK2056" s="26"/>
      <c r="AL2056" s="35"/>
      <c r="AM2056" s="35"/>
      <c r="AN2056" s="35"/>
      <c r="AO2056" s="35"/>
      <c r="AP2056" s="35"/>
    </row>
    <row r="2057" spans="1:42" x14ac:dyDescent="0.2">
      <c r="A2057" s="14">
        <v>45369</v>
      </c>
      <c r="B2057" s="28" t="s">
        <v>37</v>
      </c>
      <c r="C2057" s="41" t="s">
        <v>118</v>
      </c>
      <c r="D2057" s="26" t="s">
        <v>36</v>
      </c>
      <c r="E2057" s="26" t="s">
        <v>219</v>
      </c>
      <c r="F2057" s="26" t="s">
        <v>4869</v>
      </c>
      <c r="G2057" s="26" t="s">
        <v>221</v>
      </c>
      <c r="H2057" s="19" t="s">
        <v>7367</v>
      </c>
      <c r="I2057" s="17">
        <f ca="1">IFERROR(__xludf.DUMMYFUNCTION("""COMPUTED_VALUE"""),45370)</f>
        <v>45370</v>
      </c>
      <c r="J2057" s="29" t="s">
        <v>724</v>
      </c>
      <c r="K2057" s="26" t="s">
        <v>7834</v>
      </c>
      <c r="L2057" s="30">
        <v>395598817</v>
      </c>
      <c r="M2057" s="26" t="s">
        <v>1245</v>
      </c>
      <c r="N2057" s="26" t="s">
        <v>1246</v>
      </c>
      <c r="O2057" s="26" t="s">
        <v>726</v>
      </c>
      <c r="P2057" s="26" t="s">
        <v>727</v>
      </c>
      <c r="Q2057" s="20">
        <v>3968</v>
      </c>
      <c r="R2057" s="26" t="s">
        <v>70</v>
      </c>
      <c r="S2057" s="31">
        <v>3868</v>
      </c>
      <c r="T2057" s="32">
        <v>45369</v>
      </c>
      <c r="U2057" s="31"/>
      <c r="V2057" s="26"/>
      <c r="W2057" s="26"/>
      <c r="X2057" s="26">
        <v>100</v>
      </c>
      <c r="Y2057" s="22">
        <v>0</v>
      </c>
      <c r="Z2057" s="26" t="s">
        <v>50</v>
      </c>
      <c r="AA2057" s="19" t="s">
        <v>7361</v>
      </c>
      <c r="AB2057" s="26"/>
      <c r="AC2057" s="26" t="s">
        <v>53</v>
      </c>
      <c r="AD2057" s="19" t="s">
        <v>138</v>
      </c>
      <c r="AE2057" s="26" t="s">
        <v>4869</v>
      </c>
      <c r="AF2057" s="17">
        <v>45370</v>
      </c>
      <c r="AG2057" s="96" t="s">
        <v>7835</v>
      </c>
      <c r="AH2057" s="26">
        <v>1</v>
      </c>
      <c r="AI2057" s="40" t="s">
        <v>55</v>
      </c>
      <c r="AJ2057" s="26"/>
      <c r="AK2057" s="26"/>
      <c r="AL2057" s="35"/>
      <c r="AM2057" s="35"/>
      <c r="AN2057" s="35"/>
      <c r="AO2057" s="35"/>
      <c r="AP2057" s="35"/>
    </row>
    <row r="2058" spans="1:42" x14ac:dyDescent="0.2">
      <c r="A2058" s="14">
        <v>45369</v>
      </c>
      <c r="B2058" s="28" t="s">
        <v>37</v>
      </c>
      <c r="C2058" s="41" t="s">
        <v>118</v>
      </c>
      <c r="D2058" s="26" t="s">
        <v>36</v>
      </c>
      <c r="E2058" s="26" t="s">
        <v>219</v>
      </c>
      <c r="F2058" s="26" t="s">
        <v>4869</v>
      </c>
      <c r="G2058" s="26" t="s">
        <v>221</v>
      </c>
      <c r="H2058" s="19" t="s">
        <v>7367</v>
      </c>
      <c r="I2058" s="17">
        <f ca="1">IFERROR(__xludf.DUMMYFUNCTION("""COMPUTED_VALUE"""),45370)</f>
        <v>45370</v>
      </c>
      <c r="J2058" s="29" t="s">
        <v>729</v>
      </c>
      <c r="K2058" s="26" t="s">
        <v>7836</v>
      </c>
      <c r="L2058" s="30">
        <v>387537249</v>
      </c>
      <c r="M2058" s="26" t="s">
        <v>1245</v>
      </c>
      <c r="N2058" s="26" t="s">
        <v>1246</v>
      </c>
      <c r="O2058" s="26" t="s">
        <v>731</v>
      </c>
      <c r="P2058" s="26" t="s">
        <v>732</v>
      </c>
      <c r="Q2058" s="20">
        <v>3968</v>
      </c>
      <c r="R2058" s="26" t="s">
        <v>70</v>
      </c>
      <c r="S2058" s="31">
        <v>3868</v>
      </c>
      <c r="T2058" s="32">
        <v>45369</v>
      </c>
      <c r="U2058" s="31"/>
      <c r="V2058" s="26"/>
      <c r="W2058" s="33"/>
      <c r="X2058" s="26">
        <v>100</v>
      </c>
      <c r="Y2058" s="22">
        <v>0</v>
      </c>
      <c r="Z2058" s="26" t="s">
        <v>50</v>
      </c>
      <c r="AA2058" s="19" t="s">
        <v>7361</v>
      </c>
      <c r="AB2058" s="26"/>
      <c r="AC2058" s="26" t="s">
        <v>53</v>
      </c>
      <c r="AD2058" s="19" t="s">
        <v>138</v>
      </c>
      <c r="AE2058" s="26" t="s">
        <v>4869</v>
      </c>
      <c r="AF2058" s="17">
        <v>45370</v>
      </c>
      <c r="AG2058" s="35" t="s">
        <v>7835</v>
      </c>
      <c r="AH2058" s="26">
        <v>1</v>
      </c>
      <c r="AI2058" s="40" t="s">
        <v>55</v>
      </c>
      <c r="AJ2058" s="26"/>
      <c r="AK2058" s="26"/>
      <c r="AL2058" s="35"/>
      <c r="AM2058" s="35"/>
      <c r="AN2058" s="35"/>
      <c r="AO2058" s="35"/>
      <c r="AP2058" s="35"/>
    </row>
    <row r="2059" spans="1:42" x14ac:dyDescent="0.2">
      <c r="A2059" s="126">
        <v>45370.331135312503</v>
      </c>
      <c r="B2059" s="28" t="s">
        <v>37</v>
      </c>
      <c r="C2059" s="41" t="s">
        <v>118</v>
      </c>
      <c r="D2059" s="26" t="s">
        <v>36</v>
      </c>
      <c r="E2059" s="26" t="s">
        <v>915</v>
      </c>
      <c r="F2059" s="26" t="s">
        <v>36</v>
      </c>
      <c r="G2059" s="26" t="s">
        <v>221</v>
      </c>
      <c r="H2059" s="26" t="s">
        <v>7367</v>
      </c>
      <c r="I2059" s="17">
        <f ca="1">IFERROR(__xludf.DUMMYFUNCTION("""COMPUTED_VALUE"""),45370)</f>
        <v>45370</v>
      </c>
      <c r="J2059" s="29" t="s">
        <v>7837</v>
      </c>
      <c r="K2059" s="26" t="s">
        <v>7838</v>
      </c>
      <c r="L2059" s="30">
        <v>843240205</v>
      </c>
      <c r="M2059" s="26" t="s">
        <v>123</v>
      </c>
      <c r="N2059" s="26" t="s">
        <v>2847</v>
      </c>
      <c r="O2059" s="26" t="s">
        <v>4503</v>
      </c>
      <c r="P2059" s="26" t="s">
        <v>3487</v>
      </c>
      <c r="Q2059" s="20">
        <v>10894</v>
      </c>
      <c r="R2059" s="26" t="s">
        <v>36</v>
      </c>
      <c r="S2059" s="31">
        <v>10694</v>
      </c>
      <c r="T2059" s="32">
        <v>45366</v>
      </c>
      <c r="U2059" s="31">
        <v>200</v>
      </c>
      <c r="V2059" s="32">
        <v>45317</v>
      </c>
      <c r="W2059" s="33" t="s">
        <v>7839</v>
      </c>
      <c r="X2059" s="26"/>
      <c r="Y2059" s="22">
        <v>0</v>
      </c>
      <c r="Z2059" s="26" t="s">
        <v>50</v>
      </c>
      <c r="AA2059" s="19" t="s">
        <v>7361</v>
      </c>
      <c r="AB2059" s="26" t="s">
        <v>4503</v>
      </c>
      <c r="AC2059" s="26" t="s">
        <v>53</v>
      </c>
      <c r="AD2059" s="19" t="s">
        <v>138</v>
      </c>
      <c r="AE2059" s="26"/>
      <c r="AF2059" s="17">
        <v>45370</v>
      </c>
      <c r="AG2059" s="26" t="s">
        <v>7840</v>
      </c>
      <c r="AH2059" s="26"/>
      <c r="AI2059" s="40"/>
      <c r="AJ2059" s="26"/>
      <c r="AK2059" s="26"/>
      <c r="AL2059" s="35"/>
      <c r="AM2059" s="35"/>
      <c r="AN2059" s="35"/>
      <c r="AO2059" s="35"/>
      <c r="AP2059" s="35"/>
    </row>
    <row r="2060" spans="1:42" x14ac:dyDescent="0.2">
      <c r="A2060" s="14">
        <v>45370</v>
      </c>
      <c r="B2060" s="28" t="s">
        <v>37</v>
      </c>
      <c r="C2060" s="41" t="s">
        <v>118</v>
      </c>
      <c r="D2060" s="26" t="s">
        <v>36</v>
      </c>
      <c r="E2060" s="26" t="s">
        <v>219</v>
      </c>
      <c r="F2060" s="26" t="s">
        <v>1626</v>
      </c>
      <c r="G2060" s="26" t="s">
        <v>221</v>
      </c>
      <c r="H2060" s="26" t="s">
        <v>7413</v>
      </c>
      <c r="I2060" s="17">
        <f ca="1">IFERROR(__xludf.DUMMYFUNCTION("""COMPUTED_VALUE"""),45373)</f>
        <v>45373</v>
      </c>
      <c r="J2060" s="29" t="s">
        <v>4280</v>
      </c>
      <c r="K2060" s="26" t="s">
        <v>4281</v>
      </c>
      <c r="L2060" s="30">
        <v>559663023</v>
      </c>
      <c r="M2060" s="26" t="s">
        <v>1245</v>
      </c>
      <c r="N2060" s="26" t="s">
        <v>1246</v>
      </c>
      <c r="O2060" s="26" t="s">
        <v>4283</v>
      </c>
      <c r="P2060" s="42" t="s">
        <v>4995</v>
      </c>
      <c r="Q2060" s="20">
        <v>3968</v>
      </c>
      <c r="R2060" s="26" t="s">
        <v>36</v>
      </c>
      <c r="S2060" s="31">
        <v>3868</v>
      </c>
      <c r="T2060" s="32">
        <v>45372</v>
      </c>
      <c r="U2060" s="26"/>
      <c r="V2060" s="26"/>
      <c r="W2060" s="108" t="s">
        <v>7841</v>
      </c>
      <c r="X2060" s="26"/>
      <c r="Y2060" s="22">
        <v>100</v>
      </c>
      <c r="Z2060" s="26" t="s">
        <v>50</v>
      </c>
      <c r="AA2060" s="19" t="s">
        <v>7361</v>
      </c>
      <c r="AB2060" s="26" t="s">
        <v>104</v>
      </c>
      <c r="AC2060" s="26" t="s">
        <v>53</v>
      </c>
      <c r="AD2060" s="19" t="s">
        <v>138</v>
      </c>
      <c r="AE2060" s="26"/>
      <c r="AF2060" s="17">
        <v>45373</v>
      </c>
      <c r="AG2060" s="26" t="s">
        <v>4996</v>
      </c>
      <c r="AH2060" s="26"/>
      <c r="AI2060" s="40"/>
      <c r="AJ2060" s="26"/>
      <c r="AK2060" s="26"/>
      <c r="AL2060" s="35"/>
      <c r="AM2060" s="35"/>
      <c r="AN2060" s="35"/>
      <c r="AO2060" s="35"/>
      <c r="AP2060" s="35"/>
    </row>
    <row r="2061" spans="1:42" x14ac:dyDescent="0.2">
      <c r="A2061" s="126">
        <v>45371.408872384258</v>
      </c>
      <c r="B2061" s="28" t="s">
        <v>1703</v>
      </c>
      <c r="C2061" s="41" t="s">
        <v>118</v>
      </c>
      <c r="D2061" s="26" t="s">
        <v>36</v>
      </c>
      <c r="E2061" s="26" t="s">
        <v>106</v>
      </c>
      <c r="F2061" s="26" t="s">
        <v>4087</v>
      </c>
      <c r="G2061" s="26" t="s">
        <v>108</v>
      </c>
      <c r="H2061" s="26" t="s">
        <v>865</v>
      </c>
      <c r="I2061" s="17" t="str">
        <f ca="1">IFERROR(__xludf.DUMMYFUNCTION("""COMPUTED_VALUE""")," ")</f>
        <v xml:space="preserve"> </v>
      </c>
      <c r="J2061" s="29" t="s">
        <v>7198</v>
      </c>
      <c r="K2061" s="19" t="s">
        <v>7199</v>
      </c>
      <c r="L2061" s="30">
        <v>976947446</v>
      </c>
      <c r="M2061" s="26" t="s">
        <v>1245</v>
      </c>
      <c r="N2061" s="26" t="s">
        <v>1246</v>
      </c>
      <c r="O2061" s="26" t="s">
        <v>7842</v>
      </c>
      <c r="P2061" s="26" t="s">
        <v>7843</v>
      </c>
      <c r="Q2061" s="20">
        <v>3768</v>
      </c>
      <c r="R2061" s="26" t="s">
        <v>36</v>
      </c>
      <c r="S2061" s="31">
        <v>3768</v>
      </c>
      <c r="T2061" s="32">
        <v>45370</v>
      </c>
      <c r="U2061" s="31"/>
      <c r="V2061" s="32"/>
      <c r="W2061" s="33" t="s">
        <v>7844</v>
      </c>
      <c r="X2061" s="26"/>
      <c r="Y2061" s="22">
        <v>0</v>
      </c>
      <c r="Z2061" s="26" t="s">
        <v>50</v>
      </c>
      <c r="AA2061" s="19" t="s">
        <v>7361</v>
      </c>
      <c r="AB2061" s="26"/>
      <c r="AC2061" s="26" t="s">
        <v>53</v>
      </c>
      <c r="AD2061" s="19" t="s">
        <v>54</v>
      </c>
      <c r="AE2061" s="26" t="s">
        <v>4087</v>
      </c>
      <c r="AF2061" s="60"/>
      <c r="AG2061" s="26"/>
      <c r="AH2061" s="26"/>
      <c r="AI2061" s="40"/>
      <c r="AJ2061" s="26"/>
      <c r="AK2061" s="26"/>
      <c r="AL2061" s="35"/>
      <c r="AM2061" s="35"/>
      <c r="AN2061" s="35"/>
      <c r="AO2061" s="35"/>
      <c r="AP2061" s="35"/>
    </row>
    <row r="2062" spans="1:42" x14ac:dyDescent="0.2">
      <c r="A2062" s="126">
        <v>45371.433116979169</v>
      </c>
      <c r="B2062" s="28" t="s">
        <v>37</v>
      </c>
      <c r="C2062" s="41" t="s">
        <v>118</v>
      </c>
      <c r="D2062" s="26" t="s">
        <v>36</v>
      </c>
      <c r="E2062" s="26" t="s">
        <v>56</v>
      </c>
      <c r="F2062" s="26" t="s">
        <v>36</v>
      </c>
      <c r="G2062" s="35" t="s">
        <v>41</v>
      </c>
      <c r="H2062" s="26" t="s">
        <v>7103</v>
      </c>
      <c r="I2062" s="17">
        <f ca="1">IFERROR(__xludf.DUMMYFUNCTION("""COMPUTED_VALUE"""),45372)</f>
        <v>45372</v>
      </c>
      <c r="J2062" s="29" t="s">
        <v>7845</v>
      </c>
      <c r="K2062" s="26" t="s">
        <v>7846</v>
      </c>
      <c r="L2062" s="30">
        <v>969181241</v>
      </c>
      <c r="M2062" s="26" t="s">
        <v>2755</v>
      </c>
      <c r="N2062" s="26" t="s">
        <v>2756</v>
      </c>
      <c r="O2062" s="26" t="s">
        <v>4503</v>
      </c>
      <c r="P2062" s="26" t="s">
        <v>7847</v>
      </c>
      <c r="Q2062" s="20">
        <v>9317</v>
      </c>
      <c r="R2062" s="26" t="s">
        <v>1106</v>
      </c>
      <c r="S2062" s="31">
        <v>4000</v>
      </c>
      <c r="T2062" s="26" t="s">
        <v>7848</v>
      </c>
      <c r="U2062" s="31">
        <v>5167</v>
      </c>
      <c r="V2062" s="32">
        <v>45382</v>
      </c>
      <c r="W2062" s="26" t="s">
        <v>7849</v>
      </c>
      <c r="X2062" s="26"/>
      <c r="Y2062" s="22">
        <v>150</v>
      </c>
      <c r="Z2062" s="26" t="s">
        <v>50</v>
      </c>
      <c r="AA2062" s="19" t="s">
        <v>7361</v>
      </c>
      <c r="AB2062" s="26"/>
      <c r="AC2062" s="26" t="s">
        <v>53</v>
      </c>
      <c r="AD2062" s="19" t="s">
        <v>138</v>
      </c>
      <c r="AE2062" s="26"/>
      <c r="AF2062" s="17">
        <v>45372</v>
      </c>
      <c r="AG2062" s="26"/>
      <c r="AH2062" s="26"/>
      <c r="AI2062" s="40"/>
      <c r="AJ2062" s="26"/>
      <c r="AK2062" s="26"/>
      <c r="AL2062" s="35"/>
      <c r="AM2062" s="35"/>
      <c r="AN2062" s="35"/>
      <c r="AO2062" s="35"/>
      <c r="AP2062" s="35"/>
    </row>
    <row r="2063" spans="1:42" x14ac:dyDescent="0.2">
      <c r="A2063" s="126">
        <v>45372.572360555554</v>
      </c>
      <c r="B2063" s="28" t="s">
        <v>37</v>
      </c>
      <c r="C2063" s="41" t="s">
        <v>118</v>
      </c>
      <c r="D2063" s="26" t="s">
        <v>36</v>
      </c>
      <c r="E2063" s="26" t="s">
        <v>219</v>
      </c>
      <c r="F2063" s="26" t="s">
        <v>3397</v>
      </c>
      <c r="G2063" s="26" t="s">
        <v>221</v>
      </c>
      <c r="H2063" s="26" t="s">
        <v>6057</v>
      </c>
      <c r="I2063" s="17">
        <f ca="1">IFERROR(__xludf.DUMMYFUNCTION("""COMPUTED_VALUE"""),45391)</f>
        <v>45391</v>
      </c>
      <c r="J2063" s="29" t="s">
        <v>4950</v>
      </c>
      <c r="K2063" s="19" t="s">
        <v>7850</v>
      </c>
      <c r="L2063" s="30">
        <v>964972106</v>
      </c>
      <c r="M2063" s="26" t="s">
        <v>1245</v>
      </c>
      <c r="N2063" s="26" t="s">
        <v>1246</v>
      </c>
      <c r="O2063" s="26" t="s">
        <v>36</v>
      </c>
      <c r="P2063" s="42" t="s">
        <v>7851</v>
      </c>
      <c r="Q2063" s="20">
        <v>3968</v>
      </c>
      <c r="R2063" s="26" t="s">
        <v>36</v>
      </c>
      <c r="S2063" s="31">
        <v>3868</v>
      </c>
      <c r="T2063" s="32">
        <v>45372</v>
      </c>
      <c r="U2063" s="31"/>
      <c r="V2063" s="32"/>
      <c r="W2063" s="55" t="s">
        <v>7852</v>
      </c>
      <c r="X2063" s="26"/>
      <c r="Y2063" s="22">
        <v>100</v>
      </c>
      <c r="Z2063" s="26" t="s">
        <v>50</v>
      </c>
      <c r="AA2063" s="19" t="s">
        <v>7361</v>
      </c>
      <c r="AB2063" s="26"/>
      <c r="AC2063" s="26" t="s">
        <v>53</v>
      </c>
      <c r="AD2063" s="19" t="s">
        <v>54</v>
      </c>
      <c r="AE2063" s="26" t="s">
        <v>3397</v>
      </c>
      <c r="AF2063" s="17">
        <v>45378</v>
      </c>
      <c r="AG2063" s="26"/>
      <c r="AH2063" s="26"/>
      <c r="AI2063" s="40"/>
      <c r="AJ2063" s="26"/>
      <c r="AK2063" s="26"/>
      <c r="AL2063" s="35"/>
      <c r="AM2063" s="35"/>
      <c r="AN2063" s="35"/>
      <c r="AO2063" s="35"/>
      <c r="AP2063" s="35"/>
    </row>
    <row r="2064" spans="1:42" x14ac:dyDescent="0.2">
      <c r="A2064" s="126">
        <v>45373.409738842594</v>
      </c>
      <c r="B2064" s="28" t="s">
        <v>37</v>
      </c>
      <c r="C2064" s="41" t="s">
        <v>118</v>
      </c>
      <c r="D2064" s="26" t="s">
        <v>36</v>
      </c>
      <c r="E2064" s="26" t="s">
        <v>106</v>
      </c>
      <c r="F2064" s="26" t="s">
        <v>4489</v>
      </c>
      <c r="G2064" s="26" t="s">
        <v>108</v>
      </c>
      <c r="H2064" s="26" t="s">
        <v>7403</v>
      </c>
      <c r="I2064" s="17">
        <f ca="1">IFERROR(__xludf.DUMMYFUNCTION("""COMPUTED_VALUE"""),45376)</f>
        <v>45376</v>
      </c>
      <c r="J2064" s="29" t="s">
        <v>7080</v>
      </c>
      <c r="K2064" s="26" t="s">
        <v>4537</v>
      </c>
      <c r="L2064" s="30">
        <v>339609688</v>
      </c>
      <c r="M2064" s="26" t="s">
        <v>59</v>
      </c>
      <c r="N2064" s="26" t="s">
        <v>260</v>
      </c>
      <c r="O2064" s="26" t="s">
        <v>7081</v>
      </c>
      <c r="P2064" s="26" t="s">
        <v>7082</v>
      </c>
      <c r="Q2064" s="20">
        <v>3768</v>
      </c>
      <c r="R2064" s="26" t="s">
        <v>36</v>
      </c>
      <c r="S2064" s="31">
        <v>3636</v>
      </c>
      <c r="T2064" s="32">
        <v>45373</v>
      </c>
      <c r="U2064" s="31"/>
      <c r="V2064" s="26" t="s">
        <v>7853</v>
      </c>
      <c r="W2064" s="55" t="s">
        <v>7854</v>
      </c>
      <c r="X2064" s="26"/>
      <c r="Y2064" s="22">
        <v>132</v>
      </c>
      <c r="Z2064" s="26" t="s">
        <v>50</v>
      </c>
      <c r="AA2064" s="19" t="s">
        <v>7361</v>
      </c>
      <c r="AB2064" s="26"/>
      <c r="AC2064" s="26" t="s">
        <v>53</v>
      </c>
      <c r="AD2064" s="19" t="s">
        <v>138</v>
      </c>
      <c r="AE2064" s="26" t="s">
        <v>4489</v>
      </c>
      <c r="AF2064" s="17">
        <v>45376</v>
      </c>
      <c r="AG2064" s="26" t="s">
        <v>1362</v>
      </c>
      <c r="AH2064" s="26" t="s">
        <v>7855</v>
      </c>
      <c r="AI2064" s="40" t="s">
        <v>84</v>
      </c>
      <c r="AJ2064" s="26"/>
      <c r="AK2064" s="26"/>
      <c r="AL2064" s="35"/>
      <c r="AM2064" s="35"/>
      <c r="AN2064" s="35"/>
      <c r="AO2064" s="35"/>
      <c r="AP2064" s="35"/>
    </row>
    <row r="2065" spans="1:42" x14ac:dyDescent="0.2">
      <c r="A2065" s="126">
        <v>45372.340607430553</v>
      </c>
      <c r="B2065" s="28" t="s">
        <v>37</v>
      </c>
      <c r="C2065" s="41" t="s">
        <v>118</v>
      </c>
      <c r="D2065" s="26" t="s">
        <v>36</v>
      </c>
      <c r="E2065" s="26" t="s">
        <v>1704</v>
      </c>
      <c r="F2065" s="26" t="s">
        <v>36</v>
      </c>
      <c r="G2065" s="26" t="s">
        <v>1705</v>
      </c>
      <c r="H2065" s="26" t="s">
        <v>6965</v>
      </c>
      <c r="I2065" s="17">
        <f ca="1">IFERROR(__xludf.DUMMYFUNCTION("""COMPUTED_VALUE"""),45372)</f>
        <v>45372</v>
      </c>
      <c r="J2065" s="29" t="s">
        <v>7856</v>
      </c>
      <c r="K2065" s="26" t="s">
        <v>7857</v>
      </c>
      <c r="L2065" s="30">
        <v>394539370</v>
      </c>
      <c r="M2065" s="26" t="s">
        <v>112</v>
      </c>
      <c r="N2065" s="26" t="s">
        <v>113</v>
      </c>
      <c r="O2065" s="26" t="s">
        <v>36</v>
      </c>
      <c r="P2065" s="26" t="s">
        <v>7858</v>
      </c>
      <c r="Q2065" s="20">
        <v>7729</v>
      </c>
      <c r="R2065" s="26" t="s">
        <v>36</v>
      </c>
      <c r="S2065" s="31">
        <v>7729</v>
      </c>
      <c r="T2065" s="32">
        <v>45372</v>
      </c>
      <c r="U2065" s="31"/>
      <c r="V2065" s="32"/>
      <c r="W2065" s="33" t="s">
        <v>7859</v>
      </c>
      <c r="X2065" s="26"/>
      <c r="Y2065" s="22">
        <v>0</v>
      </c>
      <c r="Z2065" s="26" t="s">
        <v>50</v>
      </c>
      <c r="AA2065" s="19" t="s">
        <v>7361</v>
      </c>
      <c r="AB2065" s="26"/>
      <c r="AC2065" s="26" t="s">
        <v>53</v>
      </c>
      <c r="AD2065" s="19" t="s">
        <v>54</v>
      </c>
      <c r="AE2065" s="26">
        <v>600</v>
      </c>
      <c r="AF2065" s="17">
        <v>45372</v>
      </c>
      <c r="AG2065" s="26"/>
      <c r="AH2065" s="26"/>
      <c r="AI2065" s="40"/>
      <c r="AJ2065" s="26"/>
      <c r="AK2065" s="26"/>
      <c r="AL2065" s="35"/>
      <c r="AM2065" s="35"/>
      <c r="AN2065" s="35"/>
      <c r="AO2065" s="35"/>
      <c r="AP2065" s="35"/>
    </row>
    <row r="2066" spans="1:42" x14ac:dyDescent="0.2">
      <c r="A2066" s="126">
        <v>45373.620386226852</v>
      </c>
      <c r="B2066" s="28" t="s">
        <v>37</v>
      </c>
      <c r="C2066" s="41" t="s">
        <v>118</v>
      </c>
      <c r="D2066" s="26" t="s">
        <v>36</v>
      </c>
      <c r="E2066" s="26" t="s">
        <v>219</v>
      </c>
      <c r="F2066" s="26" t="s">
        <v>7860</v>
      </c>
      <c r="G2066" s="26" t="s">
        <v>221</v>
      </c>
      <c r="H2066" s="26" t="s">
        <v>7861</v>
      </c>
      <c r="I2066" s="17" t="str">
        <f ca="1">IFERROR(__xludf.DUMMYFUNCTION("""COMPUTED_VALUE""")," ")</f>
        <v xml:space="preserve"> </v>
      </c>
      <c r="J2066" s="29" t="s">
        <v>7862</v>
      </c>
      <c r="K2066" s="26" t="s">
        <v>7863</v>
      </c>
      <c r="L2066" s="30">
        <v>858590459</v>
      </c>
      <c r="M2066" s="26" t="s">
        <v>3288</v>
      </c>
      <c r="N2066" s="26" t="s">
        <v>200</v>
      </c>
      <c r="O2066" s="26" t="s">
        <v>7864</v>
      </c>
      <c r="P2066" s="26" t="s">
        <v>7865</v>
      </c>
      <c r="Q2066" s="20">
        <v>3968</v>
      </c>
      <c r="R2066" s="26" t="s">
        <v>36</v>
      </c>
      <c r="S2066" s="31">
        <v>3868</v>
      </c>
      <c r="T2066" s="32">
        <v>45370</v>
      </c>
      <c r="U2066" s="31"/>
      <c r="V2066" s="32"/>
      <c r="W2066" s="33" t="s">
        <v>7866</v>
      </c>
      <c r="X2066" s="26"/>
      <c r="Y2066" s="22">
        <v>100</v>
      </c>
      <c r="Z2066" s="26" t="s">
        <v>50</v>
      </c>
      <c r="AA2066" s="19" t="s">
        <v>7361</v>
      </c>
      <c r="AB2066" s="26"/>
      <c r="AC2066" s="26" t="s">
        <v>53</v>
      </c>
      <c r="AD2066" s="19" t="s">
        <v>54</v>
      </c>
      <c r="AE2066" s="26">
        <v>650</v>
      </c>
      <c r="AF2066" s="17">
        <v>45386</v>
      </c>
      <c r="AG2066" s="26"/>
      <c r="AH2066" s="26"/>
      <c r="AI2066" s="40"/>
      <c r="AJ2066" s="26"/>
      <c r="AK2066" s="26"/>
      <c r="AL2066" s="35"/>
      <c r="AM2066" s="35"/>
      <c r="AN2066" s="35"/>
      <c r="AO2066" s="35"/>
      <c r="AP2066" s="35"/>
    </row>
    <row r="2067" spans="1:42" x14ac:dyDescent="0.2">
      <c r="A2067" s="126">
        <v>45373.893207835645</v>
      </c>
      <c r="B2067" s="28" t="s">
        <v>37</v>
      </c>
      <c r="C2067" s="41" t="s">
        <v>118</v>
      </c>
      <c r="D2067" s="26" t="s">
        <v>36</v>
      </c>
      <c r="E2067" s="26" t="s">
        <v>219</v>
      </c>
      <c r="F2067" s="26" t="s">
        <v>36</v>
      </c>
      <c r="G2067" s="26" t="s">
        <v>221</v>
      </c>
      <c r="H2067" s="26" t="s">
        <v>6645</v>
      </c>
      <c r="I2067" s="17">
        <f ca="1">IFERROR(__xludf.DUMMYFUNCTION("""COMPUTED_VALUE"""),45404)</f>
        <v>45404</v>
      </c>
      <c r="J2067" s="29" t="s">
        <v>7867</v>
      </c>
      <c r="K2067" s="26" t="s">
        <v>7868</v>
      </c>
      <c r="L2067" s="30">
        <v>967810899</v>
      </c>
      <c r="M2067" s="26" t="s">
        <v>112</v>
      </c>
      <c r="N2067" s="26" t="s">
        <v>113</v>
      </c>
      <c r="O2067" s="26" t="s">
        <v>36</v>
      </c>
      <c r="P2067" s="26" t="s">
        <v>7869</v>
      </c>
      <c r="Q2067" s="20">
        <v>3968</v>
      </c>
      <c r="R2067" s="26" t="s">
        <v>36</v>
      </c>
      <c r="S2067" s="31">
        <v>3968</v>
      </c>
      <c r="T2067" s="32">
        <v>45373</v>
      </c>
      <c r="U2067" s="31"/>
      <c r="V2067" s="32"/>
      <c r="W2067" s="33" t="s">
        <v>7870</v>
      </c>
      <c r="X2067" s="26"/>
      <c r="Y2067" s="22">
        <v>0</v>
      </c>
      <c r="Z2067" s="26" t="s">
        <v>50</v>
      </c>
      <c r="AA2067" s="19" t="s">
        <v>7361</v>
      </c>
      <c r="AB2067" s="26"/>
      <c r="AC2067" s="26" t="s">
        <v>53</v>
      </c>
      <c r="AD2067" s="19" t="s">
        <v>54</v>
      </c>
      <c r="AE2067" s="26">
        <v>500</v>
      </c>
      <c r="AF2067" s="17">
        <v>45392</v>
      </c>
      <c r="AG2067" s="26"/>
      <c r="AH2067" s="26"/>
      <c r="AI2067" s="40"/>
      <c r="AJ2067" s="26"/>
      <c r="AK2067" s="26"/>
      <c r="AL2067" s="35"/>
      <c r="AM2067" s="35"/>
      <c r="AN2067" s="35"/>
      <c r="AO2067" s="35"/>
      <c r="AP2067" s="35"/>
    </row>
    <row r="2068" spans="1:42" x14ac:dyDescent="0.2">
      <c r="A2068" s="126">
        <v>45375.960708981482</v>
      </c>
      <c r="B2068" s="28" t="s">
        <v>37</v>
      </c>
      <c r="C2068" s="41" t="s">
        <v>118</v>
      </c>
      <c r="D2068" s="26" t="s">
        <v>77</v>
      </c>
      <c r="E2068" s="26" t="s">
        <v>148</v>
      </c>
      <c r="F2068" s="26" t="s">
        <v>4087</v>
      </c>
      <c r="G2068" s="26" t="s">
        <v>108</v>
      </c>
      <c r="H2068" s="26" t="s">
        <v>7871</v>
      </c>
      <c r="I2068" s="17">
        <f ca="1">IFERROR(__xludf.DUMMYFUNCTION("""COMPUTED_VALUE"""),45421)</f>
        <v>45421</v>
      </c>
      <c r="J2068" s="29" t="s">
        <v>7258</v>
      </c>
      <c r="K2068" s="26" t="s">
        <v>7259</v>
      </c>
      <c r="L2068" s="30">
        <v>357315133</v>
      </c>
      <c r="M2068" s="26" t="s">
        <v>59</v>
      </c>
      <c r="N2068" s="26" t="s">
        <v>68</v>
      </c>
      <c r="O2068" s="26" t="s">
        <v>7260</v>
      </c>
      <c r="P2068" s="26" t="s">
        <v>7872</v>
      </c>
      <c r="Q2068" s="20">
        <v>7349</v>
      </c>
      <c r="R2068" s="26" t="s">
        <v>36</v>
      </c>
      <c r="S2068" s="31">
        <v>7349</v>
      </c>
      <c r="T2068" s="32">
        <v>45375</v>
      </c>
      <c r="U2068" s="31"/>
      <c r="V2068" s="32"/>
      <c r="W2068" s="33" t="s">
        <v>7873</v>
      </c>
      <c r="X2068" s="26"/>
      <c r="Y2068" s="22">
        <v>0</v>
      </c>
      <c r="Z2068" s="26" t="s">
        <v>118</v>
      </c>
      <c r="AA2068" s="19" t="s">
        <v>7361</v>
      </c>
      <c r="AB2068" s="26" t="s">
        <v>36</v>
      </c>
      <c r="AC2068" s="26" t="s">
        <v>53</v>
      </c>
      <c r="AD2068" s="19" t="s">
        <v>138</v>
      </c>
      <c r="AE2068" s="26" t="s">
        <v>7874</v>
      </c>
      <c r="AF2068" s="17">
        <v>45421</v>
      </c>
      <c r="AG2068" s="26" t="s">
        <v>3415</v>
      </c>
      <c r="AH2068" s="26"/>
      <c r="AI2068" s="40"/>
      <c r="AJ2068" s="26"/>
      <c r="AK2068" s="26"/>
      <c r="AL2068" s="35"/>
      <c r="AM2068" s="35"/>
      <c r="AN2068" s="35"/>
      <c r="AO2068" s="35"/>
      <c r="AP2068" s="35"/>
    </row>
    <row r="2069" spans="1:42" x14ac:dyDescent="0.2">
      <c r="A2069" s="126">
        <v>45375.968083773143</v>
      </c>
      <c r="B2069" s="28" t="s">
        <v>37</v>
      </c>
      <c r="C2069" s="41" t="s">
        <v>118</v>
      </c>
      <c r="D2069" s="26" t="s">
        <v>36</v>
      </c>
      <c r="E2069" s="26" t="s">
        <v>56</v>
      </c>
      <c r="F2069" s="26" t="s">
        <v>40</v>
      </c>
      <c r="G2069" s="26" t="s">
        <v>41</v>
      </c>
      <c r="H2069" s="26" t="s">
        <v>7027</v>
      </c>
      <c r="I2069" s="17">
        <f ca="1">IFERROR(__xludf.DUMMYFUNCTION("""COMPUTED_VALUE"""),45389)</f>
        <v>45389</v>
      </c>
      <c r="J2069" s="29" t="s">
        <v>7875</v>
      </c>
      <c r="K2069" s="26" t="s">
        <v>7876</v>
      </c>
      <c r="L2069" s="30">
        <v>866993690</v>
      </c>
      <c r="M2069" s="26" t="s">
        <v>59</v>
      </c>
      <c r="N2069" s="26" t="s">
        <v>403</v>
      </c>
      <c r="O2069" s="26" t="s">
        <v>7877</v>
      </c>
      <c r="P2069" s="26" t="s">
        <v>7878</v>
      </c>
      <c r="Q2069" s="20">
        <v>9317</v>
      </c>
      <c r="R2069" s="26" t="s">
        <v>36</v>
      </c>
      <c r="S2069" s="31">
        <v>9317</v>
      </c>
      <c r="T2069" s="32">
        <v>45372</v>
      </c>
      <c r="U2069" s="31"/>
      <c r="V2069" s="32"/>
      <c r="W2069" s="33" t="s">
        <v>7879</v>
      </c>
      <c r="X2069" s="26"/>
      <c r="Y2069" s="22">
        <v>0</v>
      </c>
      <c r="Z2069" s="26" t="s">
        <v>50</v>
      </c>
      <c r="AA2069" s="19" t="s">
        <v>7361</v>
      </c>
      <c r="AB2069" s="26"/>
      <c r="AC2069" s="26" t="s">
        <v>53</v>
      </c>
      <c r="AD2069" s="19" t="s">
        <v>138</v>
      </c>
      <c r="AE2069" s="26" t="s">
        <v>7880</v>
      </c>
      <c r="AF2069" s="17">
        <v>45389</v>
      </c>
      <c r="AG2069" s="26" t="s">
        <v>4092</v>
      </c>
      <c r="AH2069" s="26"/>
      <c r="AI2069" s="40"/>
      <c r="AJ2069" s="26"/>
      <c r="AK2069" s="26"/>
      <c r="AL2069" s="35"/>
      <c r="AM2069" s="35"/>
      <c r="AN2069" s="35"/>
      <c r="AO2069" s="35"/>
      <c r="AP2069" s="35"/>
    </row>
    <row r="2070" spans="1:42" x14ac:dyDescent="0.2">
      <c r="A2070" s="126">
        <v>45376.441905324071</v>
      </c>
      <c r="B2070" s="28" t="s">
        <v>37</v>
      </c>
      <c r="C2070" s="41" t="s">
        <v>118</v>
      </c>
      <c r="D2070" s="26" t="s">
        <v>36</v>
      </c>
      <c r="E2070" s="26" t="s">
        <v>39</v>
      </c>
      <c r="F2070" s="26" t="s">
        <v>40</v>
      </c>
      <c r="G2070" s="26" t="s">
        <v>41</v>
      </c>
      <c r="H2070" s="26" t="s">
        <v>7027</v>
      </c>
      <c r="I2070" s="17">
        <f ca="1">IFERROR(__xludf.DUMMYFUNCTION("""COMPUTED_VALUE"""),45389)</f>
        <v>45389</v>
      </c>
      <c r="J2070" s="29" t="s">
        <v>7881</v>
      </c>
      <c r="K2070" s="26" t="s">
        <v>7882</v>
      </c>
      <c r="L2070" s="30">
        <v>973610869</v>
      </c>
      <c r="M2070" s="26" t="s">
        <v>45</v>
      </c>
      <c r="N2070" s="26" t="s">
        <v>7814</v>
      </c>
      <c r="O2070" s="26" t="s">
        <v>7883</v>
      </c>
      <c r="P2070" s="26" t="s">
        <v>7743</v>
      </c>
      <c r="Q2070" s="20">
        <v>5736</v>
      </c>
      <c r="R2070" s="26" t="s">
        <v>36</v>
      </c>
      <c r="S2070" s="31">
        <v>5736</v>
      </c>
      <c r="T2070" s="32">
        <v>45371</v>
      </c>
      <c r="U2070" s="31"/>
      <c r="V2070" s="32"/>
      <c r="W2070" s="33" t="s">
        <v>7884</v>
      </c>
      <c r="X2070" s="26"/>
      <c r="Y2070" s="22">
        <v>0</v>
      </c>
      <c r="Z2070" s="26" t="s">
        <v>50</v>
      </c>
      <c r="AA2070" s="19" t="s">
        <v>7361</v>
      </c>
      <c r="AB2070" s="26"/>
      <c r="AC2070" s="26" t="s">
        <v>53</v>
      </c>
      <c r="AD2070" s="19" t="s">
        <v>138</v>
      </c>
      <c r="AE2070" s="26">
        <v>0</v>
      </c>
      <c r="AF2070" s="17">
        <v>45389</v>
      </c>
      <c r="AG2070" s="26" t="s">
        <v>4092</v>
      </c>
      <c r="AH2070" s="26"/>
      <c r="AI2070" s="40"/>
      <c r="AJ2070" s="26"/>
      <c r="AK2070" s="26"/>
      <c r="AL2070" s="35"/>
      <c r="AM2070" s="35"/>
      <c r="AN2070" s="35"/>
      <c r="AO2070" s="35"/>
      <c r="AP2070" s="35"/>
    </row>
    <row r="2071" spans="1:42" x14ac:dyDescent="0.2">
      <c r="A2071" s="126">
        <v>45376.443325995366</v>
      </c>
      <c r="B2071" s="28" t="s">
        <v>37</v>
      </c>
      <c r="C2071" s="41" t="s">
        <v>118</v>
      </c>
      <c r="D2071" s="26" t="s">
        <v>36</v>
      </c>
      <c r="E2071" s="26" t="s">
        <v>39</v>
      </c>
      <c r="F2071" s="26" t="s">
        <v>36</v>
      </c>
      <c r="G2071" s="26" t="s">
        <v>41</v>
      </c>
      <c r="H2071" s="26" t="s">
        <v>7027</v>
      </c>
      <c r="I2071" s="17">
        <f ca="1">IFERROR(__xludf.DUMMYFUNCTION("""COMPUTED_VALUE"""),45389)</f>
        <v>45389</v>
      </c>
      <c r="J2071" s="29" t="s">
        <v>7885</v>
      </c>
      <c r="K2071" s="26" t="s">
        <v>1679</v>
      </c>
      <c r="L2071" s="30">
        <v>334760089</v>
      </c>
      <c r="M2071" s="26" t="s">
        <v>45</v>
      </c>
      <c r="N2071" s="26" t="s">
        <v>7814</v>
      </c>
      <c r="O2071" s="26" t="s">
        <v>7886</v>
      </c>
      <c r="P2071" s="26" t="s">
        <v>7743</v>
      </c>
      <c r="Q2071" s="20">
        <v>5736</v>
      </c>
      <c r="R2071" s="26" t="s">
        <v>36</v>
      </c>
      <c r="S2071" s="31">
        <v>5736</v>
      </c>
      <c r="T2071" s="32">
        <v>45371</v>
      </c>
      <c r="U2071" s="31"/>
      <c r="V2071" s="32"/>
      <c r="W2071" s="33" t="s">
        <v>7887</v>
      </c>
      <c r="X2071" s="26"/>
      <c r="Y2071" s="22">
        <v>0</v>
      </c>
      <c r="Z2071" s="26" t="s">
        <v>50</v>
      </c>
      <c r="AA2071" s="19" t="s">
        <v>7361</v>
      </c>
      <c r="AB2071" s="26"/>
      <c r="AC2071" s="26" t="s">
        <v>53</v>
      </c>
      <c r="AD2071" s="19" t="s">
        <v>138</v>
      </c>
      <c r="AE2071" s="26">
        <v>0</v>
      </c>
      <c r="AF2071" s="17">
        <v>45389</v>
      </c>
      <c r="AG2071" s="26" t="s">
        <v>4092</v>
      </c>
      <c r="AH2071" s="26"/>
      <c r="AI2071" s="40"/>
      <c r="AJ2071" s="26"/>
      <c r="AK2071" s="26"/>
      <c r="AL2071" s="35"/>
      <c r="AM2071" s="35"/>
      <c r="AN2071" s="35"/>
      <c r="AO2071" s="35"/>
      <c r="AP2071" s="35"/>
    </row>
    <row r="2072" spans="1:42" x14ac:dyDescent="0.2">
      <c r="A2072" s="126">
        <v>45376.444678310188</v>
      </c>
      <c r="B2072" s="28" t="s">
        <v>37</v>
      </c>
      <c r="C2072" s="41" t="s">
        <v>118</v>
      </c>
      <c r="D2072" s="26" t="s">
        <v>36</v>
      </c>
      <c r="E2072" s="26" t="s">
        <v>39</v>
      </c>
      <c r="F2072" s="26" t="s">
        <v>40</v>
      </c>
      <c r="G2072" s="26" t="s">
        <v>41</v>
      </c>
      <c r="H2072" s="26" t="s">
        <v>7027</v>
      </c>
      <c r="I2072" s="17">
        <f ca="1">IFERROR(__xludf.DUMMYFUNCTION("""COMPUTED_VALUE"""),45389)</f>
        <v>45389</v>
      </c>
      <c r="J2072" s="29" t="s">
        <v>7888</v>
      </c>
      <c r="K2072" s="26" t="s">
        <v>7889</v>
      </c>
      <c r="L2072" s="30">
        <v>823113168</v>
      </c>
      <c r="M2072" s="26" t="s">
        <v>45</v>
      </c>
      <c r="N2072" s="26" t="s">
        <v>7814</v>
      </c>
      <c r="O2072" s="26" t="s">
        <v>7890</v>
      </c>
      <c r="P2072" s="26" t="s">
        <v>3694</v>
      </c>
      <c r="Q2072" s="20">
        <v>5736</v>
      </c>
      <c r="R2072" s="26" t="s">
        <v>36</v>
      </c>
      <c r="S2072" s="31">
        <v>5736</v>
      </c>
      <c r="T2072" s="32">
        <v>45371</v>
      </c>
      <c r="U2072" s="31"/>
      <c r="V2072" s="32"/>
      <c r="W2072" s="33" t="s">
        <v>7891</v>
      </c>
      <c r="X2072" s="26"/>
      <c r="Y2072" s="22">
        <v>0</v>
      </c>
      <c r="Z2072" s="26" t="s">
        <v>50</v>
      </c>
      <c r="AA2072" s="19" t="s">
        <v>7361</v>
      </c>
      <c r="AB2072" s="26"/>
      <c r="AC2072" s="26" t="s">
        <v>53</v>
      </c>
      <c r="AD2072" s="19" t="s">
        <v>138</v>
      </c>
      <c r="AE2072" s="26">
        <v>0</v>
      </c>
      <c r="AF2072" s="17">
        <v>45389</v>
      </c>
      <c r="AG2072" s="26" t="s">
        <v>4092</v>
      </c>
      <c r="AH2072" s="26"/>
      <c r="AI2072" s="40"/>
      <c r="AJ2072" s="26"/>
      <c r="AK2072" s="26"/>
      <c r="AL2072" s="35"/>
      <c r="AM2072" s="35"/>
      <c r="AN2072" s="35"/>
      <c r="AO2072" s="35"/>
      <c r="AP2072" s="35"/>
    </row>
    <row r="2073" spans="1:42" x14ac:dyDescent="0.2">
      <c r="A2073" s="126">
        <v>45376.446012858796</v>
      </c>
      <c r="B2073" s="28" t="s">
        <v>37</v>
      </c>
      <c r="C2073" s="41" t="s">
        <v>118</v>
      </c>
      <c r="D2073" s="26" t="s">
        <v>36</v>
      </c>
      <c r="E2073" s="26" t="s">
        <v>39</v>
      </c>
      <c r="F2073" s="26" t="s">
        <v>40</v>
      </c>
      <c r="G2073" s="26" t="s">
        <v>41</v>
      </c>
      <c r="H2073" s="26" t="s">
        <v>7027</v>
      </c>
      <c r="I2073" s="17">
        <f ca="1">IFERROR(__xludf.DUMMYFUNCTION("""COMPUTED_VALUE"""),45389)</f>
        <v>45389</v>
      </c>
      <c r="J2073" s="29" t="s">
        <v>7892</v>
      </c>
      <c r="K2073" s="26" t="s">
        <v>7893</v>
      </c>
      <c r="L2073" s="30">
        <v>867355128</v>
      </c>
      <c r="M2073" s="26" t="s">
        <v>45</v>
      </c>
      <c r="N2073" s="26" t="s">
        <v>7814</v>
      </c>
      <c r="O2073" s="26" t="s">
        <v>7894</v>
      </c>
      <c r="P2073" s="26" t="s">
        <v>7743</v>
      </c>
      <c r="Q2073" s="20">
        <v>5736</v>
      </c>
      <c r="R2073" s="26" t="s">
        <v>36</v>
      </c>
      <c r="S2073" s="31">
        <v>5736</v>
      </c>
      <c r="T2073" s="32">
        <v>45371</v>
      </c>
      <c r="U2073" s="31"/>
      <c r="V2073" s="32"/>
      <c r="W2073" s="33" t="s">
        <v>7895</v>
      </c>
      <c r="X2073" s="26"/>
      <c r="Y2073" s="22">
        <v>0</v>
      </c>
      <c r="Z2073" s="26" t="s">
        <v>50</v>
      </c>
      <c r="AA2073" s="19" t="s">
        <v>7361</v>
      </c>
      <c r="AB2073" s="26"/>
      <c r="AC2073" s="26" t="s">
        <v>53</v>
      </c>
      <c r="AD2073" s="19" t="s">
        <v>138</v>
      </c>
      <c r="AE2073" s="26">
        <v>0</v>
      </c>
      <c r="AF2073" s="17">
        <v>45389</v>
      </c>
      <c r="AG2073" s="26" t="s">
        <v>4092</v>
      </c>
      <c r="AH2073" s="26"/>
      <c r="AI2073" s="40"/>
      <c r="AJ2073" s="26"/>
      <c r="AK2073" s="26"/>
      <c r="AL2073" s="35"/>
      <c r="AM2073" s="35"/>
      <c r="AN2073" s="35"/>
      <c r="AO2073" s="35"/>
      <c r="AP2073" s="35"/>
    </row>
    <row r="2074" spans="1:42" x14ac:dyDescent="0.2">
      <c r="A2074" s="126">
        <v>45376.765326620371</v>
      </c>
      <c r="B2074" s="28" t="s">
        <v>37</v>
      </c>
      <c r="C2074" s="41" t="s">
        <v>118</v>
      </c>
      <c r="D2074" s="26" t="s">
        <v>36</v>
      </c>
      <c r="E2074" s="26" t="s">
        <v>106</v>
      </c>
      <c r="F2074" s="26" t="s">
        <v>91</v>
      </c>
      <c r="G2074" s="26" t="s">
        <v>108</v>
      </c>
      <c r="H2074" s="26" t="s">
        <v>5037</v>
      </c>
      <c r="I2074" s="17">
        <f ca="1">IFERROR(__xludf.DUMMYFUNCTION("""COMPUTED_VALUE"""),45391)</f>
        <v>45391</v>
      </c>
      <c r="J2074" s="29" t="s">
        <v>7896</v>
      </c>
      <c r="K2074" s="26" t="s">
        <v>7897</v>
      </c>
      <c r="L2074" s="30">
        <v>984585411</v>
      </c>
      <c r="M2074" s="26" t="s">
        <v>391</v>
      </c>
      <c r="N2074" s="26" t="s">
        <v>3115</v>
      </c>
      <c r="O2074" s="26" t="s">
        <v>7898</v>
      </c>
      <c r="P2074" s="26" t="s">
        <v>7899</v>
      </c>
      <c r="Q2074" s="20">
        <v>3768</v>
      </c>
      <c r="R2074" s="26" t="s">
        <v>36</v>
      </c>
      <c r="S2074" s="31">
        <v>3668</v>
      </c>
      <c r="T2074" s="32">
        <v>45370</v>
      </c>
      <c r="U2074" s="31">
        <v>100</v>
      </c>
      <c r="V2074" s="32">
        <v>45372</v>
      </c>
      <c r="W2074" s="26" t="s">
        <v>7900</v>
      </c>
      <c r="X2074" s="26"/>
      <c r="Y2074" s="22">
        <v>0</v>
      </c>
      <c r="Z2074" s="26" t="s">
        <v>50</v>
      </c>
      <c r="AA2074" s="19" t="s">
        <v>7361</v>
      </c>
      <c r="AB2074" s="26"/>
      <c r="AC2074" s="26" t="s">
        <v>53</v>
      </c>
      <c r="AD2074" s="19" t="s">
        <v>54</v>
      </c>
      <c r="AE2074" s="26" t="s">
        <v>7901</v>
      </c>
      <c r="AF2074" s="17">
        <v>45377</v>
      </c>
      <c r="AG2074" s="26"/>
      <c r="AH2074" s="26"/>
      <c r="AI2074" s="40"/>
      <c r="AJ2074" s="26"/>
      <c r="AK2074" s="26"/>
      <c r="AL2074" s="35"/>
      <c r="AM2074" s="35"/>
      <c r="AN2074" s="35"/>
      <c r="AO2074" s="35"/>
      <c r="AP2074" s="35"/>
    </row>
    <row r="2075" spans="1:42" x14ac:dyDescent="0.2">
      <c r="A2075" s="126">
        <v>45377.441807731477</v>
      </c>
      <c r="B2075" s="28" t="s">
        <v>37</v>
      </c>
      <c r="C2075" s="41" t="s">
        <v>118</v>
      </c>
      <c r="D2075" s="26" t="s">
        <v>36</v>
      </c>
      <c r="E2075" s="26" t="s">
        <v>139</v>
      </c>
      <c r="F2075" s="26" t="s">
        <v>36</v>
      </c>
      <c r="G2075" s="26" t="s">
        <v>41</v>
      </c>
      <c r="H2075" s="26" t="s">
        <v>7112</v>
      </c>
      <c r="I2075" s="17">
        <f ca="1">IFERROR(__xludf.DUMMYFUNCTION("""COMPUTED_VALUE"""),45383)</f>
        <v>45383</v>
      </c>
      <c r="J2075" s="29" t="s">
        <v>7902</v>
      </c>
      <c r="K2075" s="26" t="s">
        <v>7903</v>
      </c>
      <c r="L2075" s="30">
        <v>858062005</v>
      </c>
      <c r="M2075" s="26" t="s">
        <v>348</v>
      </c>
      <c r="N2075" s="26" t="s">
        <v>68</v>
      </c>
      <c r="O2075" s="26" t="s">
        <v>7904</v>
      </c>
      <c r="P2075" s="26" t="s">
        <v>7905</v>
      </c>
      <c r="Q2075" s="20">
        <v>15936</v>
      </c>
      <c r="R2075" s="26" t="s">
        <v>36</v>
      </c>
      <c r="S2075" s="31">
        <v>15963</v>
      </c>
      <c r="T2075" s="32">
        <v>45372</v>
      </c>
      <c r="U2075" s="31"/>
      <c r="V2075" s="32"/>
      <c r="W2075" s="33" t="s">
        <v>7906</v>
      </c>
      <c r="X2075" s="26"/>
      <c r="Y2075" s="22">
        <v>-27</v>
      </c>
      <c r="Z2075" s="26" t="s">
        <v>50</v>
      </c>
      <c r="AA2075" s="19" t="s">
        <v>7361</v>
      </c>
      <c r="AB2075" s="26"/>
      <c r="AC2075" s="26" t="s">
        <v>53</v>
      </c>
      <c r="AD2075" s="19" t="s">
        <v>54</v>
      </c>
      <c r="AE2075" s="26" t="s">
        <v>430</v>
      </c>
      <c r="AF2075" s="17">
        <v>45377</v>
      </c>
      <c r="AG2075" s="26"/>
      <c r="AH2075" s="26"/>
      <c r="AI2075" s="40"/>
      <c r="AJ2075" s="26"/>
      <c r="AK2075" s="26"/>
      <c r="AL2075" s="35"/>
      <c r="AM2075" s="35"/>
      <c r="AN2075" s="35"/>
      <c r="AO2075" s="35"/>
      <c r="AP2075" s="35"/>
    </row>
    <row r="2076" spans="1:42" x14ac:dyDescent="0.2">
      <c r="A2076" s="126">
        <v>45378.380857696757</v>
      </c>
      <c r="B2076" s="28" t="s">
        <v>37</v>
      </c>
      <c r="C2076" s="41" t="s">
        <v>118</v>
      </c>
      <c r="D2076" s="26" t="s">
        <v>36</v>
      </c>
      <c r="E2076" s="26" t="s">
        <v>106</v>
      </c>
      <c r="F2076" s="26" t="s">
        <v>6131</v>
      </c>
      <c r="G2076" s="26" t="s">
        <v>108</v>
      </c>
      <c r="H2076" s="26" t="s">
        <v>2057</v>
      </c>
      <c r="I2076" s="17">
        <f ca="1">IFERROR(__xludf.DUMMYFUNCTION("""COMPUTED_VALUE"""),45391)</f>
        <v>45391</v>
      </c>
      <c r="J2076" s="29" t="s">
        <v>6775</v>
      </c>
      <c r="K2076" s="26" t="s">
        <v>7907</v>
      </c>
      <c r="L2076" s="30">
        <v>559528418</v>
      </c>
      <c r="M2076" s="26" t="s">
        <v>3288</v>
      </c>
      <c r="N2076" s="26" t="s">
        <v>200</v>
      </c>
      <c r="O2076" s="26" t="s">
        <v>91</v>
      </c>
      <c r="P2076" s="26" t="s">
        <v>7908</v>
      </c>
      <c r="Q2076" s="20">
        <v>3768</v>
      </c>
      <c r="R2076" s="26" t="s">
        <v>36</v>
      </c>
      <c r="S2076" s="31">
        <v>3668</v>
      </c>
      <c r="T2076" s="32">
        <v>45377</v>
      </c>
      <c r="U2076" s="31"/>
      <c r="V2076" s="16" t="s">
        <v>7909</v>
      </c>
      <c r="W2076" s="33" t="s">
        <v>7910</v>
      </c>
      <c r="X2076" s="26"/>
      <c r="Y2076" s="22">
        <v>100</v>
      </c>
      <c r="Z2076" s="26" t="s">
        <v>50</v>
      </c>
      <c r="AA2076" s="19" t="s">
        <v>7361</v>
      </c>
      <c r="AB2076" s="26"/>
      <c r="AC2076" s="26" t="s">
        <v>53</v>
      </c>
      <c r="AD2076" s="19" t="s">
        <v>54</v>
      </c>
      <c r="AE2076" s="26" t="s">
        <v>7911</v>
      </c>
      <c r="AF2076" s="17">
        <v>45386</v>
      </c>
      <c r="AG2076" s="26"/>
      <c r="AH2076" s="26"/>
      <c r="AI2076" s="40"/>
      <c r="AJ2076" s="26"/>
      <c r="AK2076" s="26"/>
      <c r="AL2076" s="35"/>
      <c r="AM2076" s="35"/>
      <c r="AN2076" s="35"/>
      <c r="AO2076" s="35"/>
      <c r="AP2076" s="35"/>
    </row>
    <row r="2077" spans="1:42" x14ac:dyDescent="0.2">
      <c r="A2077" s="126">
        <v>45378.393130046301</v>
      </c>
      <c r="B2077" s="28" t="s">
        <v>37</v>
      </c>
      <c r="C2077" s="41" t="s">
        <v>118</v>
      </c>
      <c r="D2077" s="26" t="s">
        <v>106</v>
      </c>
      <c r="E2077" s="26" t="s">
        <v>219</v>
      </c>
      <c r="F2077" s="26" t="s">
        <v>1176</v>
      </c>
      <c r="G2077" s="26" t="s">
        <v>221</v>
      </c>
      <c r="H2077" s="26" t="s">
        <v>5096</v>
      </c>
      <c r="I2077" s="17">
        <f ca="1">IFERROR(__xludf.DUMMYFUNCTION("""COMPUTED_VALUE"""),45384)</f>
        <v>45384</v>
      </c>
      <c r="J2077" s="29" t="s">
        <v>3131</v>
      </c>
      <c r="K2077" s="26" t="s">
        <v>5893</v>
      </c>
      <c r="L2077" s="30">
        <v>338831493</v>
      </c>
      <c r="M2077" s="26" t="s">
        <v>1245</v>
      </c>
      <c r="N2077" s="26" t="s">
        <v>1246</v>
      </c>
      <c r="O2077" s="26" t="s">
        <v>3133</v>
      </c>
      <c r="P2077" s="26" t="s">
        <v>5894</v>
      </c>
      <c r="Q2077" s="20">
        <v>3968</v>
      </c>
      <c r="R2077" s="26" t="s">
        <v>36</v>
      </c>
      <c r="S2077" s="31">
        <v>3868</v>
      </c>
      <c r="T2077" s="32">
        <v>45378</v>
      </c>
      <c r="U2077" s="31"/>
      <c r="V2077" s="32"/>
      <c r="W2077" s="33" t="s">
        <v>7912</v>
      </c>
      <c r="X2077" s="26"/>
      <c r="Y2077" s="22">
        <v>100</v>
      </c>
      <c r="Z2077" s="26" t="s">
        <v>50</v>
      </c>
      <c r="AA2077" s="19" t="s">
        <v>7361</v>
      </c>
      <c r="AB2077" s="26"/>
      <c r="AC2077" s="26" t="s">
        <v>53</v>
      </c>
      <c r="AD2077" s="19" t="s">
        <v>54</v>
      </c>
      <c r="AE2077" s="26" t="s">
        <v>1176</v>
      </c>
      <c r="AF2077" s="17">
        <v>45379</v>
      </c>
      <c r="AG2077" s="26"/>
      <c r="AH2077" s="26"/>
      <c r="AI2077" s="40"/>
      <c r="AJ2077" s="26"/>
      <c r="AK2077" s="26"/>
      <c r="AL2077" s="35"/>
      <c r="AM2077" s="35"/>
      <c r="AN2077" s="35"/>
      <c r="AO2077" s="35"/>
      <c r="AP2077" s="35"/>
    </row>
    <row r="2078" spans="1:42" x14ac:dyDescent="0.2">
      <c r="A2078" s="126">
        <v>45381.935395416665</v>
      </c>
      <c r="B2078" s="28" t="s">
        <v>37</v>
      </c>
      <c r="C2078" s="41" t="s">
        <v>118</v>
      </c>
      <c r="D2078" s="26" t="s">
        <v>36</v>
      </c>
      <c r="E2078" s="26" t="s">
        <v>77</v>
      </c>
      <c r="F2078" s="26" t="s">
        <v>36</v>
      </c>
      <c r="G2078" s="26" t="s">
        <v>41</v>
      </c>
      <c r="H2078" s="26" t="s">
        <v>7313</v>
      </c>
      <c r="I2078" s="17">
        <f ca="1">IFERROR(__xludf.DUMMYFUNCTION("""COMPUTED_VALUE"""),45394)</f>
        <v>45394</v>
      </c>
      <c r="J2078" s="29" t="s">
        <v>7913</v>
      </c>
      <c r="K2078" s="26" t="s">
        <v>7914</v>
      </c>
      <c r="L2078" s="30">
        <v>384541909</v>
      </c>
      <c r="M2078" s="26" t="s">
        <v>59</v>
      </c>
      <c r="N2078" s="26" t="s">
        <v>4299</v>
      </c>
      <c r="O2078" s="26" t="s">
        <v>7915</v>
      </c>
      <c r="P2078" s="26" t="s">
        <v>7916</v>
      </c>
      <c r="Q2078" s="20">
        <v>1968</v>
      </c>
      <c r="R2078" s="26" t="s">
        <v>36</v>
      </c>
      <c r="S2078" s="31">
        <v>1968</v>
      </c>
      <c r="T2078" s="32">
        <v>45381</v>
      </c>
      <c r="U2078" s="31"/>
      <c r="V2078" s="32"/>
      <c r="W2078" s="33" t="s">
        <v>7917</v>
      </c>
      <c r="X2078" s="26"/>
      <c r="Y2078" s="22">
        <v>0</v>
      </c>
      <c r="Z2078" s="26" t="s">
        <v>50</v>
      </c>
      <c r="AA2078" s="19" t="s">
        <v>7361</v>
      </c>
      <c r="AB2078" s="26"/>
      <c r="AC2078" s="26" t="s">
        <v>53</v>
      </c>
      <c r="AD2078" s="19" t="s">
        <v>54</v>
      </c>
      <c r="AE2078" s="26" t="s">
        <v>72</v>
      </c>
      <c r="AF2078" s="17">
        <v>45387</v>
      </c>
      <c r="AG2078" s="26"/>
      <c r="AH2078" s="26"/>
      <c r="AI2078" s="40"/>
      <c r="AJ2078" s="26"/>
      <c r="AK2078" s="26"/>
      <c r="AL2078" s="35"/>
      <c r="AM2078" s="35"/>
      <c r="AN2078" s="35"/>
      <c r="AO2078" s="35"/>
      <c r="AP2078" s="35"/>
    </row>
    <row r="2079" spans="1:42" x14ac:dyDescent="0.2">
      <c r="A2079" s="126">
        <v>45381.947310439813</v>
      </c>
      <c r="B2079" s="28" t="s">
        <v>37</v>
      </c>
      <c r="C2079" s="41" t="s">
        <v>118</v>
      </c>
      <c r="D2079" s="26" t="s">
        <v>36</v>
      </c>
      <c r="E2079" s="26" t="s">
        <v>148</v>
      </c>
      <c r="F2079" s="26" t="s">
        <v>40</v>
      </c>
      <c r="G2079" s="26" t="s">
        <v>108</v>
      </c>
      <c r="H2079" s="26" t="s">
        <v>7918</v>
      </c>
      <c r="I2079" s="17">
        <f ca="1">IFERROR(__xludf.DUMMYFUNCTION("""COMPUTED_VALUE"""),45405)</f>
        <v>45405</v>
      </c>
      <c r="J2079" s="29" t="s">
        <v>7919</v>
      </c>
      <c r="K2079" s="26" t="s">
        <v>7920</v>
      </c>
      <c r="L2079" s="30">
        <v>377493093</v>
      </c>
      <c r="M2079" s="26" t="s">
        <v>59</v>
      </c>
      <c r="N2079" s="26" t="s">
        <v>68</v>
      </c>
      <c r="O2079" s="26" t="s">
        <v>7921</v>
      </c>
      <c r="P2079" s="26" t="s">
        <v>7922</v>
      </c>
      <c r="Q2079" s="20">
        <v>7349</v>
      </c>
      <c r="R2079" s="26" t="s">
        <v>36</v>
      </c>
      <c r="S2079" s="31">
        <v>7549</v>
      </c>
      <c r="T2079" s="32">
        <v>45381</v>
      </c>
      <c r="U2079" s="31"/>
      <c r="V2079" s="32"/>
      <c r="W2079" s="33" t="s">
        <v>7923</v>
      </c>
      <c r="X2079" s="26"/>
      <c r="Y2079" s="22">
        <v>-200</v>
      </c>
      <c r="Z2079" s="26" t="s">
        <v>50</v>
      </c>
      <c r="AA2079" s="19" t="s">
        <v>7361</v>
      </c>
      <c r="AB2079" s="26"/>
      <c r="AC2079" s="26" t="s">
        <v>53</v>
      </c>
      <c r="AD2079" s="19" t="s">
        <v>54</v>
      </c>
      <c r="AE2079" s="26">
        <v>410</v>
      </c>
      <c r="AF2079" s="17">
        <v>45398</v>
      </c>
      <c r="AG2079" s="26"/>
      <c r="AH2079" s="26"/>
      <c r="AI2079" s="40"/>
      <c r="AJ2079" s="26"/>
      <c r="AK2079" s="26"/>
      <c r="AL2079" s="35"/>
      <c r="AM2079" s="35"/>
      <c r="AN2079" s="35"/>
      <c r="AO2079" s="35"/>
      <c r="AP2079" s="35"/>
    </row>
    <row r="2080" spans="1:42" x14ac:dyDescent="0.2">
      <c r="A2080" s="126">
        <v>45383.329006874999</v>
      </c>
      <c r="B2080" s="28" t="s">
        <v>37</v>
      </c>
      <c r="C2080" s="41" t="s">
        <v>118</v>
      </c>
      <c r="D2080" s="26" t="s">
        <v>36</v>
      </c>
      <c r="E2080" s="26" t="s">
        <v>77</v>
      </c>
      <c r="F2080" s="26" t="s">
        <v>36</v>
      </c>
      <c r="G2080" s="26" t="s">
        <v>6516</v>
      </c>
      <c r="H2080" s="26" t="s">
        <v>6842</v>
      </c>
      <c r="I2080" s="17">
        <f ca="1">IFERROR(__xludf.DUMMYFUNCTION("""COMPUTED_VALUE"""),45364)</f>
        <v>45364</v>
      </c>
      <c r="J2080" s="29" t="s">
        <v>7924</v>
      </c>
      <c r="K2080" s="26" t="s">
        <v>7925</v>
      </c>
      <c r="L2080" s="30">
        <v>969461375</v>
      </c>
      <c r="M2080" s="26" t="s">
        <v>2755</v>
      </c>
      <c r="N2080" s="26" t="s">
        <v>310</v>
      </c>
      <c r="O2080" s="26" t="s">
        <v>4503</v>
      </c>
      <c r="P2080" s="26" t="s">
        <v>7926</v>
      </c>
      <c r="Q2080" s="20">
        <v>1968</v>
      </c>
      <c r="R2080" s="26" t="s">
        <v>36</v>
      </c>
      <c r="S2080" s="31">
        <v>1968</v>
      </c>
      <c r="T2080" s="32">
        <v>45381</v>
      </c>
      <c r="U2080" s="31"/>
      <c r="V2080" s="32"/>
      <c r="W2080" s="33" t="s">
        <v>7927</v>
      </c>
      <c r="X2080" s="26"/>
      <c r="Y2080" s="22">
        <v>0</v>
      </c>
      <c r="Z2080" s="26" t="s">
        <v>50</v>
      </c>
      <c r="AA2080" s="19" t="s">
        <v>7361</v>
      </c>
      <c r="AB2080" s="26"/>
      <c r="AC2080" s="26" t="s">
        <v>53</v>
      </c>
      <c r="AD2080" s="19" t="s">
        <v>138</v>
      </c>
      <c r="AE2080" s="26"/>
      <c r="AF2080" s="17">
        <v>45383</v>
      </c>
      <c r="AG2080" s="26" t="s">
        <v>4092</v>
      </c>
      <c r="AH2080" s="26"/>
      <c r="AI2080" s="40"/>
      <c r="AJ2080" s="26"/>
      <c r="AK2080" s="26"/>
      <c r="AL2080" s="35"/>
      <c r="AM2080" s="35"/>
      <c r="AN2080" s="35"/>
      <c r="AO2080" s="35"/>
      <c r="AP2080" s="35"/>
    </row>
    <row r="2081" spans="1:42" x14ac:dyDescent="0.2">
      <c r="A2081" s="38">
        <v>45370</v>
      </c>
      <c r="B2081" s="28" t="s">
        <v>37</v>
      </c>
      <c r="C2081" s="41" t="s">
        <v>118</v>
      </c>
      <c r="D2081" s="26" t="s">
        <v>36</v>
      </c>
      <c r="E2081" s="26" t="s">
        <v>119</v>
      </c>
      <c r="F2081" s="26" t="s">
        <v>2393</v>
      </c>
      <c r="G2081" s="26" t="s">
        <v>221</v>
      </c>
      <c r="H2081" s="26" t="s">
        <v>6874</v>
      </c>
      <c r="I2081" s="17">
        <f ca="1">IFERROR(__xludf.DUMMYFUNCTION("""COMPUTED_VALUE"""),45378)</f>
        <v>45378</v>
      </c>
      <c r="J2081" s="29" t="s">
        <v>7535</v>
      </c>
      <c r="K2081" s="26" t="s">
        <v>7536</v>
      </c>
      <c r="L2081" s="30">
        <v>389346206</v>
      </c>
      <c r="M2081" s="26" t="s">
        <v>3728</v>
      </c>
      <c r="N2081" s="26" t="s">
        <v>5377</v>
      </c>
      <c r="O2081" s="26" t="s">
        <v>7537</v>
      </c>
      <c r="P2081" s="26" t="s">
        <v>7538</v>
      </c>
      <c r="Q2081" s="20">
        <v>13968</v>
      </c>
      <c r="R2081" s="26" t="s">
        <v>36</v>
      </c>
      <c r="S2081" s="31">
        <v>200</v>
      </c>
      <c r="T2081" s="32">
        <v>45245</v>
      </c>
      <c r="U2081" s="31">
        <f>3800+5000+4968</f>
        <v>13768</v>
      </c>
      <c r="V2081" s="26" t="s">
        <v>7539</v>
      </c>
      <c r="W2081" s="33" t="s">
        <v>7540</v>
      </c>
      <c r="X2081" s="26">
        <v>0</v>
      </c>
      <c r="Y2081" s="22">
        <v>0</v>
      </c>
      <c r="Z2081" s="26" t="s">
        <v>118</v>
      </c>
      <c r="AA2081" s="19" t="s">
        <v>7928</v>
      </c>
      <c r="AB2081" s="26"/>
      <c r="AC2081" s="26" t="s">
        <v>53</v>
      </c>
      <c r="AD2081" s="19" t="s">
        <v>54</v>
      </c>
      <c r="AE2081" s="26" t="s">
        <v>2393</v>
      </c>
      <c r="AF2081" s="17">
        <v>45377</v>
      </c>
      <c r="AG2081" s="26"/>
      <c r="AH2081" s="26"/>
      <c r="AI2081" s="40">
        <v>4</v>
      </c>
      <c r="AJ2081" s="26"/>
      <c r="AK2081" s="26"/>
      <c r="AL2081" s="35"/>
      <c r="AM2081" s="35"/>
      <c r="AN2081" s="35"/>
      <c r="AO2081" s="35"/>
      <c r="AP2081" s="35"/>
    </row>
    <row r="2082" spans="1:42" x14ac:dyDescent="0.2">
      <c r="A2082" s="126">
        <v>45372.342337083333</v>
      </c>
      <c r="B2082" s="28" t="s">
        <v>37</v>
      </c>
      <c r="C2082" s="41" t="s">
        <v>118</v>
      </c>
      <c r="D2082" s="26" t="s">
        <v>36</v>
      </c>
      <c r="E2082" s="26" t="s">
        <v>1704</v>
      </c>
      <c r="F2082" s="26" t="s">
        <v>36</v>
      </c>
      <c r="G2082" s="26" t="s">
        <v>1847</v>
      </c>
      <c r="H2082" s="26" t="s">
        <v>6859</v>
      </c>
      <c r="I2082" s="17">
        <f ca="1">IFERROR(__xludf.DUMMYFUNCTION("""COMPUTED_VALUE"""),45375)</f>
        <v>45375</v>
      </c>
      <c r="J2082" s="29" t="s">
        <v>7856</v>
      </c>
      <c r="K2082" s="26" t="s">
        <v>7857</v>
      </c>
      <c r="L2082" s="30">
        <v>394539370</v>
      </c>
      <c r="M2082" s="26" t="s">
        <v>112</v>
      </c>
      <c r="N2082" s="26" t="s">
        <v>113</v>
      </c>
      <c r="O2082" s="26" t="s">
        <v>36</v>
      </c>
      <c r="P2082" s="26" t="s">
        <v>7858</v>
      </c>
      <c r="Q2082" s="20">
        <v>7729</v>
      </c>
      <c r="R2082" s="26" t="s">
        <v>36</v>
      </c>
      <c r="S2082" s="31">
        <v>7729</v>
      </c>
      <c r="T2082" s="32">
        <v>45372</v>
      </c>
      <c r="U2082" s="31"/>
      <c r="V2082" s="32"/>
      <c r="W2082" s="33" t="s">
        <v>7929</v>
      </c>
      <c r="X2082" s="26">
        <v>0</v>
      </c>
      <c r="Y2082" s="22">
        <v>0</v>
      </c>
      <c r="Z2082" s="26" t="s">
        <v>118</v>
      </c>
      <c r="AA2082" s="19" t="s">
        <v>7928</v>
      </c>
      <c r="AB2082" s="26"/>
      <c r="AC2082" s="26" t="s">
        <v>53</v>
      </c>
      <c r="AD2082" s="19" t="s">
        <v>54</v>
      </c>
      <c r="AE2082" s="26">
        <v>600</v>
      </c>
      <c r="AF2082" s="17">
        <v>45372</v>
      </c>
      <c r="AG2082" s="26"/>
      <c r="AH2082" s="26"/>
      <c r="AI2082" s="40">
        <v>2</v>
      </c>
      <c r="AJ2082" s="26"/>
      <c r="AK2082" s="26"/>
      <c r="AL2082" s="35"/>
      <c r="AM2082" s="35"/>
      <c r="AN2082" s="35"/>
      <c r="AO2082" s="35"/>
      <c r="AP2082" s="35"/>
    </row>
    <row r="2083" spans="1:42" x14ac:dyDescent="0.2">
      <c r="A2083" s="126">
        <v>45293.397043634264</v>
      </c>
      <c r="B2083" s="28" t="s">
        <v>37</v>
      </c>
      <c r="C2083" s="41" t="s">
        <v>118</v>
      </c>
      <c r="D2083" s="26" t="s">
        <v>36</v>
      </c>
      <c r="E2083" s="26" t="s">
        <v>106</v>
      </c>
      <c r="F2083" s="26" t="s">
        <v>413</v>
      </c>
      <c r="G2083" s="26" t="s">
        <v>108</v>
      </c>
      <c r="H2083" s="26" t="s">
        <v>5472</v>
      </c>
      <c r="I2083" s="17">
        <f ca="1">IFERROR(__xludf.DUMMYFUNCTION("""COMPUTED_VALUE"""),45299)</f>
        <v>45299</v>
      </c>
      <c r="J2083" s="29" t="s">
        <v>7930</v>
      </c>
      <c r="K2083" s="26" t="s">
        <v>3424</v>
      </c>
      <c r="L2083" s="30">
        <v>877840326</v>
      </c>
      <c r="M2083" s="26" t="s">
        <v>6309</v>
      </c>
      <c r="N2083" s="26" t="s">
        <v>2157</v>
      </c>
      <c r="O2083" s="26" t="s">
        <v>36</v>
      </c>
      <c r="P2083" s="26" t="s">
        <v>7931</v>
      </c>
      <c r="Q2083" s="20">
        <v>3768</v>
      </c>
      <c r="R2083" s="26" t="s">
        <v>36</v>
      </c>
      <c r="S2083" s="109">
        <v>1968</v>
      </c>
      <c r="T2083" s="134">
        <v>44927</v>
      </c>
      <c r="U2083" s="31"/>
      <c r="V2083" s="32"/>
      <c r="W2083" s="33" t="s">
        <v>7932</v>
      </c>
      <c r="X2083" s="26">
        <v>100</v>
      </c>
      <c r="Y2083" s="22">
        <v>1700</v>
      </c>
      <c r="Z2083" s="26" t="s">
        <v>118</v>
      </c>
      <c r="AA2083" s="50" t="s">
        <v>7933</v>
      </c>
      <c r="AB2083" s="26"/>
      <c r="AC2083" s="26" t="s">
        <v>53</v>
      </c>
      <c r="AD2083" s="19" t="s">
        <v>54</v>
      </c>
      <c r="AE2083" s="26" t="s">
        <v>413</v>
      </c>
      <c r="AF2083" s="17">
        <v>44934</v>
      </c>
      <c r="AG2083" s="26" t="s">
        <v>2075</v>
      </c>
      <c r="AH2083" s="26"/>
      <c r="AI2083" s="40">
        <v>1</v>
      </c>
      <c r="AJ2083" s="26"/>
      <c r="AK2083" s="26"/>
      <c r="AL2083" s="35"/>
      <c r="AM2083" s="35"/>
      <c r="AN2083" s="35"/>
      <c r="AO2083" s="35"/>
      <c r="AP2083" s="35"/>
    </row>
    <row r="2084" spans="1:42" x14ac:dyDescent="0.2">
      <c r="A2084" s="126">
        <v>45371.472980729166</v>
      </c>
      <c r="B2084" s="28" t="s">
        <v>37</v>
      </c>
      <c r="C2084" s="41" t="s">
        <v>118</v>
      </c>
      <c r="D2084" s="26" t="s">
        <v>36</v>
      </c>
      <c r="E2084" s="26" t="s">
        <v>106</v>
      </c>
      <c r="F2084" s="26" t="s">
        <v>4984</v>
      </c>
      <c r="G2084" s="26" t="s">
        <v>108</v>
      </c>
      <c r="H2084" s="26" t="s">
        <v>7403</v>
      </c>
      <c r="I2084" s="17">
        <f ca="1">IFERROR(__xludf.DUMMYFUNCTION("""COMPUTED_VALUE"""),45376)</f>
        <v>45376</v>
      </c>
      <c r="J2084" s="29" t="s">
        <v>5228</v>
      </c>
      <c r="K2084" s="26" t="s">
        <v>7934</v>
      </c>
      <c r="L2084" s="30">
        <v>368685906</v>
      </c>
      <c r="M2084" s="26" t="s">
        <v>1245</v>
      </c>
      <c r="N2084" s="26" t="s">
        <v>1246</v>
      </c>
      <c r="O2084" s="26" t="s">
        <v>36</v>
      </c>
      <c r="P2084" s="26" t="s">
        <v>2772</v>
      </c>
      <c r="Q2084" s="20">
        <v>3768</v>
      </c>
      <c r="R2084" s="26" t="s">
        <v>36</v>
      </c>
      <c r="S2084" s="31">
        <v>1884</v>
      </c>
      <c r="T2084" s="32">
        <v>45369</v>
      </c>
      <c r="U2084" s="31"/>
      <c r="V2084" s="32"/>
      <c r="W2084" s="55" t="s">
        <v>7935</v>
      </c>
      <c r="X2084" s="26">
        <v>100</v>
      </c>
      <c r="Y2084" s="22">
        <v>1784</v>
      </c>
      <c r="Z2084" s="26" t="s">
        <v>118</v>
      </c>
      <c r="AA2084" s="19" t="s">
        <v>7936</v>
      </c>
      <c r="AB2084" s="26"/>
      <c r="AC2084" s="26" t="s">
        <v>53</v>
      </c>
      <c r="AD2084" s="19" t="s">
        <v>138</v>
      </c>
      <c r="AE2084" s="26" t="s">
        <v>4984</v>
      </c>
      <c r="AF2084" s="17">
        <v>45376</v>
      </c>
      <c r="AG2084" s="35" t="s">
        <v>7936</v>
      </c>
      <c r="AH2084" s="26"/>
      <c r="AI2084" s="40">
        <v>1</v>
      </c>
      <c r="AJ2084" s="26"/>
      <c r="AK2084" s="26"/>
      <c r="AL2084" s="35"/>
      <c r="AM2084" s="35"/>
      <c r="AN2084" s="35"/>
      <c r="AO2084" s="35"/>
      <c r="AP2084" s="35"/>
    </row>
    <row r="2085" spans="1:42" x14ac:dyDescent="0.2">
      <c r="A2085" s="38">
        <v>45370</v>
      </c>
      <c r="B2085" s="28" t="s">
        <v>37</v>
      </c>
      <c r="C2085" s="41" t="s">
        <v>118</v>
      </c>
      <c r="D2085" s="26" t="s">
        <v>36</v>
      </c>
      <c r="E2085" s="26" t="s">
        <v>106</v>
      </c>
      <c r="F2085" s="26" t="s">
        <v>4984</v>
      </c>
      <c r="G2085" s="26" t="s">
        <v>108</v>
      </c>
      <c r="H2085" s="26" t="s">
        <v>7403</v>
      </c>
      <c r="I2085" s="17">
        <f ca="1">IFERROR(__xludf.DUMMYFUNCTION("""COMPUTED_VALUE"""),45376)</f>
        <v>45376</v>
      </c>
      <c r="J2085" s="29" t="s">
        <v>5271</v>
      </c>
      <c r="K2085" s="26" t="s">
        <v>7937</v>
      </c>
      <c r="L2085" s="30">
        <v>926502995</v>
      </c>
      <c r="M2085" s="26" t="s">
        <v>123</v>
      </c>
      <c r="N2085" s="26" t="s">
        <v>850</v>
      </c>
      <c r="O2085" s="26" t="s">
        <v>1226</v>
      </c>
      <c r="P2085" s="26" t="s">
        <v>2772</v>
      </c>
      <c r="Q2085" s="20">
        <v>3768</v>
      </c>
      <c r="R2085" s="26" t="s">
        <v>36</v>
      </c>
      <c r="S2085" s="31">
        <v>1884</v>
      </c>
      <c r="T2085" s="32">
        <v>45370</v>
      </c>
      <c r="U2085" s="31"/>
      <c r="V2085" s="32"/>
      <c r="W2085" s="55" t="s">
        <v>7938</v>
      </c>
      <c r="X2085" s="26">
        <v>100</v>
      </c>
      <c r="Y2085" s="22">
        <v>1784</v>
      </c>
      <c r="Z2085" s="26" t="s">
        <v>118</v>
      </c>
      <c r="AA2085" s="19" t="s">
        <v>7936</v>
      </c>
      <c r="AB2085" s="26"/>
      <c r="AC2085" s="26" t="s">
        <v>53</v>
      </c>
      <c r="AD2085" s="19" t="s">
        <v>138</v>
      </c>
      <c r="AE2085" s="26" t="s">
        <v>4984</v>
      </c>
      <c r="AF2085" s="17">
        <v>45376</v>
      </c>
      <c r="AG2085" s="96" t="s">
        <v>7936</v>
      </c>
      <c r="AH2085" s="26"/>
      <c r="AI2085" s="40">
        <v>1</v>
      </c>
      <c r="AJ2085" s="26"/>
      <c r="AK2085" s="26"/>
      <c r="AL2085" s="35"/>
      <c r="AM2085" s="35"/>
      <c r="AN2085" s="35"/>
      <c r="AO2085" s="35"/>
      <c r="AP2085" s="35"/>
    </row>
    <row r="2086" spans="1:42" x14ac:dyDescent="0.2">
      <c r="A2086" s="14">
        <v>45392</v>
      </c>
      <c r="B2086" s="28" t="s">
        <v>37</v>
      </c>
      <c r="C2086" s="41" t="s">
        <v>118</v>
      </c>
      <c r="D2086" s="26" t="s">
        <v>36</v>
      </c>
      <c r="E2086" s="26" t="s">
        <v>39</v>
      </c>
      <c r="F2086" s="26" t="s">
        <v>6412</v>
      </c>
      <c r="G2086" s="26" t="s">
        <v>108</v>
      </c>
      <c r="H2086" s="26" t="s">
        <v>7918</v>
      </c>
      <c r="I2086" s="17">
        <f ca="1">IFERROR(__xludf.DUMMYFUNCTION("""COMPUTED_VALUE"""),45405)</f>
        <v>45405</v>
      </c>
      <c r="J2086" s="29" t="s">
        <v>6413</v>
      </c>
      <c r="K2086" s="26" t="s">
        <v>6414</v>
      </c>
      <c r="L2086" s="30">
        <v>362284532</v>
      </c>
      <c r="M2086" s="26" t="s">
        <v>3498</v>
      </c>
      <c r="N2086" s="26" t="s">
        <v>2756</v>
      </c>
      <c r="O2086" s="26" t="s">
        <v>4503</v>
      </c>
      <c r="P2086" s="42" t="s">
        <v>7939</v>
      </c>
      <c r="Q2086" s="20">
        <v>5736</v>
      </c>
      <c r="R2086" s="26" t="s">
        <v>36</v>
      </c>
      <c r="S2086" s="31">
        <v>300</v>
      </c>
      <c r="T2086" s="32">
        <v>45270</v>
      </c>
      <c r="U2086" s="31">
        <v>5436</v>
      </c>
      <c r="V2086" s="32">
        <v>45289</v>
      </c>
      <c r="W2086" s="33" t="s">
        <v>6416</v>
      </c>
      <c r="X2086" s="26"/>
      <c r="Y2086" s="22">
        <v>0</v>
      </c>
      <c r="Z2086" s="26" t="s">
        <v>118</v>
      </c>
      <c r="AA2086" s="19" t="s">
        <v>5961</v>
      </c>
      <c r="AB2086" s="26"/>
      <c r="AC2086" s="26" t="s">
        <v>53</v>
      </c>
      <c r="AD2086" s="19" t="s">
        <v>54</v>
      </c>
      <c r="AE2086" s="26" t="s">
        <v>6412</v>
      </c>
      <c r="AF2086" s="17">
        <v>45398</v>
      </c>
      <c r="AG2086" s="26"/>
      <c r="AH2086" s="26">
        <v>1</v>
      </c>
      <c r="AI2086" s="40"/>
      <c r="AJ2086" s="26"/>
      <c r="AK2086" s="26"/>
      <c r="AL2086" s="35"/>
      <c r="AM2086" s="35"/>
      <c r="AN2086" s="35"/>
      <c r="AO2086" s="35"/>
      <c r="AP2086" s="35"/>
    </row>
    <row r="2087" spans="1:42" x14ac:dyDescent="0.2">
      <c r="A2087" s="14">
        <v>45392</v>
      </c>
      <c r="B2087" s="28" t="s">
        <v>37</v>
      </c>
      <c r="C2087" s="41" t="s">
        <v>118</v>
      </c>
      <c r="D2087" s="26" t="s">
        <v>36</v>
      </c>
      <c r="E2087" s="26" t="s">
        <v>139</v>
      </c>
      <c r="F2087" s="26" t="s">
        <v>4371</v>
      </c>
      <c r="G2087" s="26" t="s">
        <v>108</v>
      </c>
      <c r="H2087" s="26" t="s">
        <v>7918</v>
      </c>
      <c r="I2087" s="17">
        <f ca="1">IFERROR(__xludf.DUMMYFUNCTION("""COMPUTED_VALUE"""),45405)</f>
        <v>45405</v>
      </c>
      <c r="J2087" s="29" t="s">
        <v>5433</v>
      </c>
      <c r="K2087" s="26" t="s">
        <v>7940</v>
      </c>
      <c r="L2087" s="30">
        <v>393409293</v>
      </c>
      <c r="M2087" s="26" t="s">
        <v>123</v>
      </c>
      <c r="N2087" s="26" t="s">
        <v>186</v>
      </c>
      <c r="O2087" s="26" t="s">
        <v>1226</v>
      </c>
      <c r="P2087" s="42" t="s">
        <v>7941</v>
      </c>
      <c r="Q2087" s="20">
        <v>15936</v>
      </c>
      <c r="R2087" s="26" t="s">
        <v>36</v>
      </c>
      <c r="S2087" s="31">
        <v>5000</v>
      </c>
      <c r="T2087" s="32">
        <v>45222</v>
      </c>
      <c r="U2087" s="58">
        <v>10936</v>
      </c>
      <c r="V2087" s="59">
        <v>45246</v>
      </c>
      <c r="W2087" s="33" t="s">
        <v>5436</v>
      </c>
      <c r="X2087" s="26"/>
      <c r="Y2087" s="22">
        <v>0</v>
      </c>
      <c r="Z2087" s="26" t="s">
        <v>118</v>
      </c>
      <c r="AA2087" s="19" t="s">
        <v>5112</v>
      </c>
      <c r="AB2087" s="26" t="s">
        <v>36</v>
      </c>
      <c r="AC2087" s="26" t="s">
        <v>53</v>
      </c>
      <c r="AD2087" s="19" t="s">
        <v>54</v>
      </c>
      <c r="AE2087" s="26" t="s">
        <v>4371</v>
      </c>
      <c r="AF2087" s="17">
        <v>45398</v>
      </c>
      <c r="AG2087" s="26"/>
      <c r="AH2087" s="26"/>
      <c r="AI2087" s="40" t="s">
        <v>147</v>
      </c>
      <c r="AJ2087" s="26"/>
      <c r="AK2087" s="26"/>
      <c r="AL2087" s="35"/>
      <c r="AM2087" s="35"/>
      <c r="AN2087" s="35"/>
      <c r="AO2087" s="35"/>
      <c r="AP2087" s="35"/>
    </row>
    <row r="2088" spans="1:42" x14ac:dyDescent="0.2">
      <c r="A2088" s="14">
        <v>45393</v>
      </c>
      <c r="B2088" s="28" t="s">
        <v>37</v>
      </c>
      <c r="C2088" s="41" t="s">
        <v>118</v>
      </c>
      <c r="D2088" s="26" t="s">
        <v>36</v>
      </c>
      <c r="E2088" s="26" t="s">
        <v>56</v>
      </c>
      <c r="F2088" s="26" t="s">
        <v>6412</v>
      </c>
      <c r="G2088" s="26" t="s">
        <v>108</v>
      </c>
      <c r="H2088" s="26" t="s">
        <v>7918</v>
      </c>
      <c r="I2088" s="17">
        <f ca="1">IFERROR(__xludf.DUMMYFUNCTION("""COMPUTED_VALUE"""),45405)</f>
        <v>45405</v>
      </c>
      <c r="J2088" s="29" t="s">
        <v>7122</v>
      </c>
      <c r="K2088" s="26" t="s">
        <v>7942</v>
      </c>
      <c r="L2088" s="30">
        <v>392119674</v>
      </c>
      <c r="M2088" s="26" t="s">
        <v>910</v>
      </c>
      <c r="N2088" s="26" t="s">
        <v>3221</v>
      </c>
      <c r="O2088" s="26" t="s">
        <v>7124</v>
      </c>
      <c r="P2088" s="42" t="s">
        <v>7943</v>
      </c>
      <c r="Q2088" s="20">
        <v>9317</v>
      </c>
      <c r="R2088" s="26" t="s">
        <v>36</v>
      </c>
      <c r="S2088" s="31">
        <v>2000</v>
      </c>
      <c r="T2088" s="32">
        <v>45311</v>
      </c>
      <c r="U2088" s="31">
        <v>7317</v>
      </c>
      <c r="V2088" s="32">
        <v>45340</v>
      </c>
      <c r="W2088" s="33" t="s">
        <v>7126</v>
      </c>
      <c r="X2088" s="26"/>
      <c r="Y2088" s="22">
        <v>0</v>
      </c>
      <c r="Z2088" s="26" t="s">
        <v>118</v>
      </c>
      <c r="AA2088" s="19" t="s">
        <v>7077</v>
      </c>
      <c r="AB2088" s="26" t="s">
        <v>36</v>
      </c>
      <c r="AC2088" s="26" t="s">
        <v>53</v>
      </c>
      <c r="AD2088" s="19" t="s">
        <v>54</v>
      </c>
      <c r="AE2088" s="26" t="s">
        <v>6412</v>
      </c>
      <c r="AF2088" s="17">
        <v>45398</v>
      </c>
      <c r="AG2088" s="26"/>
      <c r="AH2088" s="26"/>
      <c r="AI2088" s="40" t="s">
        <v>64</v>
      </c>
      <c r="AJ2088" s="26"/>
      <c r="AK2088" s="26"/>
      <c r="AL2088" s="35"/>
      <c r="AM2088" s="35"/>
      <c r="AN2088" s="35"/>
      <c r="AO2088" s="35"/>
      <c r="AP2088" s="35"/>
    </row>
    <row r="2089" spans="1:42" x14ac:dyDescent="0.2">
      <c r="A2089" s="14">
        <v>45393</v>
      </c>
      <c r="B2089" s="28" t="s">
        <v>37</v>
      </c>
      <c r="C2089" s="41" t="s">
        <v>118</v>
      </c>
      <c r="D2089" s="26" t="s">
        <v>36</v>
      </c>
      <c r="E2089" s="26" t="s">
        <v>56</v>
      </c>
      <c r="F2089" s="26" t="s">
        <v>1710</v>
      </c>
      <c r="G2089" s="26" t="s">
        <v>221</v>
      </c>
      <c r="H2089" s="26" t="s">
        <v>7944</v>
      </c>
      <c r="I2089" s="17">
        <f ca="1">IFERROR(__xludf.DUMMYFUNCTION("""COMPUTED_VALUE"""),45405)</f>
        <v>45405</v>
      </c>
      <c r="J2089" s="29" t="s">
        <v>2895</v>
      </c>
      <c r="K2089" s="26" t="s">
        <v>7945</v>
      </c>
      <c r="L2089" s="30">
        <v>353373576</v>
      </c>
      <c r="M2089" s="26" t="s">
        <v>59</v>
      </c>
      <c r="N2089" s="26" t="s">
        <v>68</v>
      </c>
      <c r="O2089" s="26" t="s">
        <v>2897</v>
      </c>
      <c r="P2089" s="42" t="s">
        <v>7946</v>
      </c>
      <c r="Q2089" s="20">
        <v>9317</v>
      </c>
      <c r="R2089" s="26" t="s">
        <v>70</v>
      </c>
      <c r="S2089" s="31">
        <v>9217</v>
      </c>
      <c r="T2089" s="32">
        <v>45185</v>
      </c>
      <c r="U2089" s="31"/>
      <c r="V2089" s="26"/>
      <c r="W2089" s="33" t="s">
        <v>2899</v>
      </c>
      <c r="X2089" s="26"/>
      <c r="Y2089" s="22">
        <v>100</v>
      </c>
      <c r="Z2089" s="26" t="s">
        <v>118</v>
      </c>
      <c r="AA2089" s="19" t="s">
        <v>2449</v>
      </c>
      <c r="AB2089" s="26" t="s">
        <v>36</v>
      </c>
      <c r="AC2089" s="26" t="s">
        <v>53</v>
      </c>
      <c r="AD2089" s="19" t="s">
        <v>138</v>
      </c>
      <c r="AE2089" s="26" t="s">
        <v>1710</v>
      </c>
      <c r="AF2089" s="17">
        <v>45398</v>
      </c>
      <c r="AG2089" s="26"/>
      <c r="AH2089" s="26"/>
      <c r="AI2089" s="40"/>
      <c r="AJ2089" s="26"/>
      <c r="AK2089" s="26"/>
      <c r="AL2089" s="35"/>
      <c r="AM2089" s="35"/>
      <c r="AN2089" s="35"/>
      <c r="AO2089" s="35"/>
      <c r="AP2089" s="35"/>
    </row>
    <row r="2090" spans="1:42" x14ac:dyDescent="0.2">
      <c r="A2090" s="14">
        <v>45393</v>
      </c>
      <c r="B2090" s="28" t="s">
        <v>37</v>
      </c>
      <c r="C2090" s="41" t="s">
        <v>118</v>
      </c>
      <c r="D2090" s="26" t="s">
        <v>36</v>
      </c>
      <c r="E2090" s="26" t="s">
        <v>56</v>
      </c>
      <c r="F2090" s="26" t="s">
        <v>2393</v>
      </c>
      <c r="G2090" s="26" t="s">
        <v>221</v>
      </c>
      <c r="H2090" s="26" t="s">
        <v>6976</v>
      </c>
      <c r="I2090" s="17">
        <f ca="1">IFERROR(__xludf.DUMMYFUNCTION("""COMPUTED_VALUE"""),45489)</f>
        <v>45489</v>
      </c>
      <c r="J2090" s="29" t="s">
        <v>3571</v>
      </c>
      <c r="K2090" s="26" t="s">
        <v>7947</v>
      </c>
      <c r="L2090" s="30">
        <v>852598596</v>
      </c>
      <c r="M2090" s="26" t="s">
        <v>80</v>
      </c>
      <c r="N2090" s="26" t="s">
        <v>81</v>
      </c>
      <c r="O2090" s="26" t="s">
        <v>3573</v>
      </c>
      <c r="P2090" s="42" t="s">
        <v>7948</v>
      </c>
      <c r="Q2090" s="20">
        <v>9317</v>
      </c>
      <c r="R2090" s="26" t="s">
        <v>36</v>
      </c>
      <c r="S2090" s="31">
        <v>2000</v>
      </c>
      <c r="T2090" s="32">
        <v>45183</v>
      </c>
      <c r="U2090" s="31">
        <v>7704</v>
      </c>
      <c r="V2090" s="32">
        <v>45226</v>
      </c>
      <c r="W2090" s="33" t="s">
        <v>3574</v>
      </c>
      <c r="X2090" s="26"/>
      <c r="Y2090" s="22">
        <v>-387</v>
      </c>
      <c r="Z2090" s="26" t="s">
        <v>118</v>
      </c>
      <c r="AA2090" s="19" t="s">
        <v>5785</v>
      </c>
      <c r="AB2090" s="26" t="s">
        <v>36</v>
      </c>
      <c r="AC2090" s="26" t="s">
        <v>53</v>
      </c>
      <c r="AD2090" s="19" t="s">
        <v>138</v>
      </c>
      <c r="AE2090" s="26" t="s">
        <v>2393</v>
      </c>
      <c r="AF2090" s="17">
        <v>45398</v>
      </c>
      <c r="AG2090" s="26"/>
      <c r="AH2090" s="26"/>
      <c r="AI2090" s="40" t="s">
        <v>64</v>
      </c>
      <c r="AJ2090" s="26"/>
      <c r="AK2090" s="26"/>
      <c r="AL2090" s="35"/>
      <c r="AM2090" s="35"/>
      <c r="AN2090" s="35"/>
      <c r="AO2090" s="35"/>
      <c r="AP2090" s="35"/>
    </row>
    <row r="2091" spans="1:42" x14ac:dyDescent="0.2">
      <c r="A2091" s="14">
        <v>45393</v>
      </c>
      <c r="B2091" s="28" t="s">
        <v>37</v>
      </c>
      <c r="C2091" s="41" t="s">
        <v>118</v>
      </c>
      <c r="D2091" s="26" t="s">
        <v>36</v>
      </c>
      <c r="E2091" s="26" t="s">
        <v>139</v>
      </c>
      <c r="F2091" s="26" t="s">
        <v>3418</v>
      </c>
      <c r="G2091" s="26" t="s">
        <v>221</v>
      </c>
      <c r="H2091" s="26" t="s">
        <v>7944</v>
      </c>
      <c r="I2091" s="17">
        <f ca="1">IFERROR(__xludf.DUMMYFUNCTION("""COMPUTED_VALUE"""),45405)</f>
        <v>45405</v>
      </c>
      <c r="J2091" s="29" t="s">
        <v>2653</v>
      </c>
      <c r="K2091" s="26" t="s">
        <v>5835</v>
      </c>
      <c r="L2091" s="30">
        <v>813938859</v>
      </c>
      <c r="M2091" s="26" t="s">
        <v>123</v>
      </c>
      <c r="N2091" s="26" t="s">
        <v>850</v>
      </c>
      <c r="O2091" s="26" t="s">
        <v>134</v>
      </c>
      <c r="P2091" s="42" t="s">
        <v>7949</v>
      </c>
      <c r="Q2091" s="20">
        <v>15936</v>
      </c>
      <c r="R2091" s="26" t="s">
        <v>36</v>
      </c>
      <c r="S2091" s="31">
        <v>200</v>
      </c>
      <c r="T2091" s="32">
        <v>45170</v>
      </c>
      <c r="U2091" s="21">
        <v>15736</v>
      </c>
      <c r="V2091" s="46">
        <v>45188</v>
      </c>
      <c r="W2091" s="55" t="s">
        <v>2656</v>
      </c>
      <c r="X2091" s="26"/>
      <c r="Y2091" s="22">
        <v>0</v>
      </c>
      <c r="Z2091" s="26" t="s">
        <v>118</v>
      </c>
      <c r="AA2091" s="19" t="s">
        <v>5785</v>
      </c>
      <c r="AB2091" s="26" t="s">
        <v>36</v>
      </c>
      <c r="AC2091" s="26" t="s">
        <v>53</v>
      </c>
      <c r="AD2091" s="19" t="s">
        <v>138</v>
      </c>
      <c r="AE2091" s="26" t="s">
        <v>3418</v>
      </c>
      <c r="AF2091" s="17">
        <v>45398</v>
      </c>
      <c r="AG2091" s="26"/>
      <c r="AH2091" s="26"/>
      <c r="AI2091" s="40" t="s">
        <v>147</v>
      </c>
      <c r="AJ2091" s="26"/>
      <c r="AK2091" s="26"/>
      <c r="AL2091" s="35"/>
      <c r="AM2091" s="35"/>
      <c r="AN2091" s="35"/>
      <c r="AO2091" s="35"/>
      <c r="AP2091" s="35"/>
    </row>
    <row r="2092" spans="1:42" x14ac:dyDescent="0.2">
      <c r="A2092" s="14">
        <v>45393</v>
      </c>
      <c r="B2092" s="28" t="s">
        <v>37</v>
      </c>
      <c r="C2092" s="41" t="s">
        <v>118</v>
      </c>
      <c r="D2092" s="26" t="s">
        <v>36</v>
      </c>
      <c r="E2092" s="26" t="s">
        <v>139</v>
      </c>
      <c r="F2092" s="26" t="s">
        <v>3418</v>
      </c>
      <c r="G2092" s="26" t="s">
        <v>221</v>
      </c>
      <c r="H2092" s="26" t="s">
        <v>7944</v>
      </c>
      <c r="I2092" s="17">
        <f ca="1">IFERROR(__xludf.DUMMYFUNCTION("""COMPUTED_VALUE"""),45405)</f>
        <v>45405</v>
      </c>
      <c r="J2092" s="29" t="s">
        <v>3645</v>
      </c>
      <c r="K2092" s="26" t="s">
        <v>7950</v>
      </c>
      <c r="L2092" s="30">
        <v>325898466</v>
      </c>
      <c r="M2092" s="26" t="s">
        <v>123</v>
      </c>
      <c r="N2092" s="26" t="s">
        <v>2847</v>
      </c>
      <c r="O2092" s="26" t="s">
        <v>1226</v>
      </c>
      <c r="P2092" s="42" t="s">
        <v>7951</v>
      </c>
      <c r="Q2092" s="20">
        <v>15936</v>
      </c>
      <c r="R2092" s="26" t="s">
        <v>36</v>
      </c>
      <c r="S2092" s="31">
        <v>200</v>
      </c>
      <c r="T2092" s="32">
        <v>45176</v>
      </c>
      <c r="U2092" s="31">
        <f>1800+13936</f>
        <v>15736</v>
      </c>
      <c r="V2092" s="16" t="s">
        <v>3647</v>
      </c>
      <c r="W2092" s="33" t="s">
        <v>3648</v>
      </c>
      <c r="X2092" s="26"/>
      <c r="Y2092" s="22">
        <v>0</v>
      </c>
      <c r="Z2092" s="26" t="s">
        <v>118</v>
      </c>
      <c r="AA2092" s="19" t="s">
        <v>4541</v>
      </c>
      <c r="AB2092" s="26" t="s">
        <v>36</v>
      </c>
      <c r="AC2092" s="26" t="s">
        <v>53</v>
      </c>
      <c r="AD2092" s="19" t="s">
        <v>138</v>
      </c>
      <c r="AE2092" s="26" t="s">
        <v>3418</v>
      </c>
      <c r="AF2092" s="17">
        <v>45398</v>
      </c>
      <c r="AG2092" s="26"/>
      <c r="AH2092" s="26" t="s">
        <v>2652</v>
      </c>
      <c r="AI2092" s="40"/>
      <c r="AJ2092" s="26"/>
      <c r="AK2092" s="26"/>
      <c r="AL2092" s="35"/>
      <c r="AM2092" s="35"/>
      <c r="AN2092" s="35"/>
      <c r="AO2092" s="35"/>
      <c r="AP2092" s="35"/>
    </row>
    <row r="2093" spans="1:42" x14ac:dyDescent="0.2">
      <c r="A2093" s="14">
        <v>45393</v>
      </c>
      <c r="B2093" s="28" t="s">
        <v>37</v>
      </c>
      <c r="C2093" s="41" t="s">
        <v>118</v>
      </c>
      <c r="D2093" s="26" t="s">
        <v>36</v>
      </c>
      <c r="E2093" s="26" t="s">
        <v>56</v>
      </c>
      <c r="F2093" s="26" t="s">
        <v>1710</v>
      </c>
      <c r="G2093" s="26" t="s">
        <v>221</v>
      </c>
      <c r="H2093" s="26" t="s">
        <v>7944</v>
      </c>
      <c r="I2093" s="17">
        <f ca="1">IFERROR(__xludf.DUMMYFUNCTION("""COMPUTED_VALUE"""),45405)</f>
        <v>45405</v>
      </c>
      <c r="J2093" s="29" t="s">
        <v>3084</v>
      </c>
      <c r="K2093" s="26" t="s">
        <v>3085</v>
      </c>
      <c r="L2093" s="30">
        <v>865874096</v>
      </c>
      <c r="M2093" s="26" t="s">
        <v>59</v>
      </c>
      <c r="N2093" s="26" t="s">
        <v>438</v>
      </c>
      <c r="O2093" s="26" t="s">
        <v>3086</v>
      </c>
      <c r="P2093" s="42" t="s">
        <v>7952</v>
      </c>
      <c r="Q2093" s="20">
        <v>9317</v>
      </c>
      <c r="R2093" s="26" t="s">
        <v>1989</v>
      </c>
      <c r="S2093" s="31">
        <v>9317</v>
      </c>
      <c r="T2093" s="32">
        <v>45190</v>
      </c>
      <c r="U2093" s="31"/>
      <c r="V2093" s="26"/>
      <c r="W2093" s="33" t="s">
        <v>3088</v>
      </c>
      <c r="X2093" s="26"/>
      <c r="Y2093" s="22">
        <v>0</v>
      </c>
      <c r="Z2093" s="26" t="s">
        <v>118</v>
      </c>
      <c r="AA2093" s="19" t="s">
        <v>2449</v>
      </c>
      <c r="AB2093" s="26" t="s">
        <v>36</v>
      </c>
      <c r="AC2093" s="26" t="s">
        <v>53</v>
      </c>
      <c r="AD2093" s="19" t="s">
        <v>54</v>
      </c>
      <c r="AE2093" s="26" t="s">
        <v>1710</v>
      </c>
      <c r="AF2093" s="17">
        <v>45398</v>
      </c>
      <c r="AG2093" s="26"/>
      <c r="AH2093" s="26"/>
      <c r="AI2093" s="40"/>
      <c r="AJ2093" s="26"/>
      <c r="AK2093" s="26"/>
      <c r="AL2093" s="35"/>
      <c r="AM2093" s="35"/>
      <c r="AN2093" s="35"/>
      <c r="AO2093" s="35"/>
      <c r="AP2093" s="35"/>
    </row>
    <row r="2094" spans="1:42" x14ac:dyDescent="0.2">
      <c r="A2094" s="14">
        <v>45393</v>
      </c>
      <c r="B2094" s="28" t="s">
        <v>37</v>
      </c>
      <c r="C2094" s="41" t="s">
        <v>118</v>
      </c>
      <c r="D2094" s="26" t="s">
        <v>36</v>
      </c>
      <c r="E2094" s="26" t="s">
        <v>106</v>
      </c>
      <c r="F2094" s="26" t="s">
        <v>1710</v>
      </c>
      <c r="G2094" s="26" t="s">
        <v>221</v>
      </c>
      <c r="H2094" s="26" t="s">
        <v>7944</v>
      </c>
      <c r="I2094" s="17">
        <f ca="1">IFERROR(__xludf.DUMMYFUNCTION("""COMPUTED_VALUE"""),45405)</f>
        <v>45405</v>
      </c>
      <c r="J2094" s="29" t="s">
        <v>6408</v>
      </c>
      <c r="K2094" s="26" t="s">
        <v>6409</v>
      </c>
      <c r="L2094" s="30">
        <v>868104913</v>
      </c>
      <c r="M2094" s="26" t="s">
        <v>391</v>
      </c>
      <c r="N2094" s="26" t="s">
        <v>584</v>
      </c>
      <c r="O2094" s="26" t="s">
        <v>134</v>
      </c>
      <c r="P2094" s="42" t="s">
        <v>7953</v>
      </c>
      <c r="Q2094" s="20">
        <v>3768</v>
      </c>
      <c r="R2094" s="26" t="s">
        <v>36</v>
      </c>
      <c r="S2094" s="31">
        <v>1500</v>
      </c>
      <c r="T2094" s="32">
        <v>45281</v>
      </c>
      <c r="U2094" s="31">
        <v>2268</v>
      </c>
      <c r="V2094" s="32">
        <v>45285</v>
      </c>
      <c r="W2094" s="33" t="s">
        <v>6411</v>
      </c>
      <c r="X2094" s="26"/>
      <c r="Y2094" s="22">
        <v>0</v>
      </c>
      <c r="Z2094" s="26" t="s">
        <v>118</v>
      </c>
      <c r="AA2094" s="19" t="s">
        <v>5961</v>
      </c>
      <c r="AB2094" s="26" t="s">
        <v>36</v>
      </c>
      <c r="AC2094" s="26" t="s">
        <v>53</v>
      </c>
      <c r="AD2094" s="19" t="s">
        <v>54</v>
      </c>
      <c r="AE2094" s="26" t="s">
        <v>1710</v>
      </c>
      <c r="AF2094" s="17">
        <v>45398</v>
      </c>
      <c r="AG2094" s="26"/>
      <c r="AH2094" s="26">
        <v>1</v>
      </c>
      <c r="AI2094" s="40"/>
      <c r="AJ2094" s="26"/>
      <c r="AK2094" s="26"/>
      <c r="AL2094" s="35"/>
      <c r="AM2094" s="35"/>
      <c r="AN2094" s="35"/>
      <c r="AO2094" s="35"/>
      <c r="AP2094" s="35"/>
    </row>
    <row r="2095" spans="1:42" x14ac:dyDescent="0.2">
      <c r="A2095" s="14">
        <v>45393</v>
      </c>
      <c r="B2095" s="28" t="s">
        <v>37</v>
      </c>
      <c r="C2095" s="41" t="s">
        <v>118</v>
      </c>
      <c r="D2095" s="26" t="s">
        <v>36</v>
      </c>
      <c r="E2095" s="26" t="s">
        <v>139</v>
      </c>
      <c r="F2095" s="26" t="s">
        <v>1710</v>
      </c>
      <c r="G2095" s="26" t="s">
        <v>221</v>
      </c>
      <c r="H2095" s="26" t="s">
        <v>7944</v>
      </c>
      <c r="I2095" s="17">
        <f ca="1">IFERROR(__xludf.DUMMYFUNCTION("""COMPUTED_VALUE"""),45405)</f>
        <v>45405</v>
      </c>
      <c r="J2095" s="29" t="s">
        <v>5238</v>
      </c>
      <c r="K2095" s="26" t="s">
        <v>5239</v>
      </c>
      <c r="L2095" s="30">
        <v>965991652</v>
      </c>
      <c r="M2095" s="26" t="s">
        <v>123</v>
      </c>
      <c r="N2095" s="26" t="s">
        <v>850</v>
      </c>
      <c r="O2095" s="26" t="s">
        <v>1226</v>
      </c>
      <c r="P2095" s="42" t="s">
        <v>6001</v>
      </c>
      <c r="Q2095" s="20">
        <v>15936</v>
      </c>
      <c r="R2095" s="26" t="s">
        <v>36</v>
      </c>
      <c r="S2095" s="31">
        <v>4000</v>
      </c>
      <c r="T2095" s="32">
        <v>45204</v>
      </c>
      <c r="U2095" s="31">
        <v>11936</v>
      </c>
      <c r="V2095" s="32">
        <v>45231</v>
      </c>
      <c r="W2095" s="33" t="s">
        <v>5240</v>
      </c>
      <c r="X2095" s="26"/>
      <c r="Y2095" s="22">
        <v>0</v>
      </c>
      <c r="Z2095" s="26" t="s">
        <v>118</v>
      </c>
      <c r="AA2095" s="19" t="s">
        <v>5785</v>
      </c>
      <c r="AB2095" s="26" t="s">
        <v>36</v>
      </c>
      <c r="AC2095" s="26" t="s">
        <v>53</v>
      </c>
      <c r="AD2095" s="19" t="s">
        <v>138</v>
      </c>
      <c r="AE2095" s="26" t="s">
        <v>1710</v>
      </c>
      <c r="AF2095" s="17">
        <v>45398</v>
      </c>
      <c r="AG2095" s="26"/>
      <c r="AH2095" s="26"/>
      <c r="AI2095" s="40" t="s">
        <v>147</v>
      </c>
      <c r="AJ2095" s="26"/>
      <c r="AK2095" s="26"/>
      <c r="AL2095" s="35"/>
      <c r="AM2095" s="35"/>
      <c r="AN2095" s="35"/>
      <c r="AO2095" s="35"/>
      <c r="AP2095" s="35"/>
    </row>
    <row r="2096" spans="1:42" x14ac:dyDescent="0.2">
      <c r="A2096" s="14">
        <v>45393</v>
      </c>
      <c r="B2096" s="28" t="s">
        <v>37</v>
      </c>
      <c r="C2096" s="41" t="s">
        <v>118</v>
      </c>
      <c r="D2096" s="26" t="s">
        <v>36</v>
      </c>
      <c r="E2096" s="26" t="s">
        <v>119</v>
      </c>
      <c r="F2096" s="26" t="s">
        <v>1710</v>
      </c>
      <c r="G2096" s="26" t="s">
        <v>221</v>
      </c>
      <c r="H2096" s="26" t="s">
        <v>7944</v>
      </c>
      <c r="I2096" s="17">
        <f ca="1">IFERROR(__xludf.DUMMYFUNCTION("""COMPUTED_VALUE"""),45405)</f>
        <v>45405</v>
      </c>
      <c r="J2096" s="29" t="s">
        <v>5990</v>
      </c>
      <c r="K2096" s="26" t="s">
        <v>5991</v>
      </c>
      <c r="L2096" s="30">
        <v>816308200</v>
      </c>
      <c r="M2096" s="26" t="s">
        <v>1245</v>
      </c>
      <c r="N2096" s="26" t="s">
        <v>5992</v>
      </c>
      <c r="O2096" s="26" t="s">
        <v>5993</v>
      </c>
      <c r="P2096" s="42" t="s">
        <v>5994</v>
      </c>
      <c r="Q2096" s="20">
        <v>13968</v>
      </c>
      <c r="R2096" s="26" t="s">
        <v>36</v>
      </c>
      <c r="S2096" s="31">
        <v>13968</v>
      </c>
      <c r="T2096" s="32">
        <v>45184</v>
      </c>
      <c r="U2096" s="31"/>
      <c r="V2096" s="26"/>
      <c r="W2096" s="33" t="s">
        <v>2844</v>
      </c>
      <c r="X2096" s="26"/>
      <c r="Y2096" s="22">
        <v>0</v>
      </c>
      <c r="Z2096" s="26" t="s">
        <v>118</v>
      </c>
      <c r="AA2096" s="19" t="s">
        <v>5785</v>
      </c>
      <c r="AB2096" s="26" t="s">
        <v>36</v>
      </c>
      <c r="AC2096" s="26" t="s">
        <v>53</v>
      </c>
      <c r="AD2096" s="19" t="s">
        <v>138</v>
      </c>
      <c r="AE2096" s="26" t="s">
        <v>1710</v>
      </c>
      <c r="AF2096" s="17">
        <v>45398</v>
      </c>
      <c r="AG2096" s="26"/>
      <c r="AH2096" s="26" t="s">
        <v>5995</v>
      </c>
      <c r="AI2096" s="40">
        <v>4</v>
      </c>
      <c r="AJ2096" s="26"/>
      <c r="AK2096" s="26"/>
      <c r="AL2096" s="35"/>
      <c r="AM2096" s="35"/>
      <c r="AN2096" s="35"/>
      <c r="AO2096" s="35"/>
      <c r="AP2096" s="35"/>
    </row>
    <row r="2097" spans="1:42" x14ac:dyDescent="0.2">
      <c r="A2097" s="14">
        <v>45393</v>
      </c>
      <c r="B2097" s="28" t="s">
        <v>1703</v>
      </c>
      <c r="C2097" s="41" t="s">
        <v>118</v>
      </c>
      <c r="D2097" s="26" t="s">
        <v>36</v>
      </c>
      <c r="E2097" s="26" t="s">
        <v>148</v>
      </c>
      <c r="F2097" s="26" t="s">
        <v>1886</v>
      </c>
      <c r="G2097" s="26" t="s">
        <v>221</v>
      </c>
      <c r="H2097" s="26" t="s">
        <v>865</v>
      </c>
      <c r="I2097" s="17" t="str">
        <f ca="1">IFERROR(__xludf.DUMMYFUNCTION("""COMPUTED_VALUE""")," ")</f>
        <v xml:space="preserve"> </v>
      </c>
      <c r="J2097" s="29" t="s">
        <v>1887</v>
      </c>
      <c r="K2097" s="19" t="s">
        <v>1888</v>
      </c>
      <c r="L2097" s="30">
        <v>968106223</v>
      </c>
      <c r="M2097" s="26" t="s">
        <v>1245</v>
      </c>
      <c r="N2097" s="26" t="s">
        <v>7954</v>
      </c>
      <c r="O2097" s="26" t="s">
        <v>91</v>
      </c>
      <c r="P2097" s="26" t="s">
        <v>1889</v>
      </c>
      <c r="Q2097" s="20">
        <v>7349</v>
      </c>
      <c r="R2097" s="26" t="s">
        <v>36</v>
      </c>
      <c r="S2097" s="31">
        <v>2000</v>
      </c>
      <c r="T2097" s="32">
        <v>44938</v>
      </c>
      <c r="U2097" s="50">
        <v>4336</v>
      </c>
      <c r="V2097" s="32" t="s">
        <v>1890</v>
      </c>
      <c r="W2097" s="26" t="s">
        <v>1891</v>
      </c>
      <c r="X2097" s="26">
        <v>100</v>
      </c>
      <c r="Y2097" s="22">
        <v>813</v>
      </c>
      <c r="Z2097" s="26" t="s">
        <v>118</v>
      </c>
      <c r="AA2097" s="19" t="s">
        <v>1871</v>
      </c>
      <c r="AB2097" s="26"/>
      <c r="AC2097" s="26" t="s">
        <v>53</v>
      </c>
      <c r="AD2097" s="19" t="s">
        <v>54</v>
      </c>
      <c r="AE2097" s="26" t="s">
        <v>1886</v>
      </c>
      <c r="AF2097" s="17"/>
      <c r="AG2097" s="26"/>
      <c r="AH2097" s="26">
        <v>1</v>
      </c>
      <c r="AI2097" s="40">
        <v>2</v>
      </c>
      <c r="AJ2097" s="26"/>
      <c r="AK2097" s="26"/>
      <c r="AL2097" s="35"/>
      <c r="AM2097" s="35"/>
      <c r="AN2097" s="35"/>
      <c r="AO2097" s="35"/>
      <c r="AP2097" s="35"/>
    </row>
    <row r="2098" spans="1:42" x14ac:dyDescent="0.2">
      <c r="A2098" s="14">
        <v>45393</v>
      </c>
      <c r="B2098" s="28" t="s">
        <v>37</v>
      </c>
      <c r="C2098" s="41" t="s">
        <v>118</v>
      </c>
      <c r="D2098" s="26" t="s">
        <v>36</v>
      </c>
      <c r="E2098" s="26" t="s">
        <v>139</v>
      </c>
      <c r="F2098" s="26" t="s">
        <v>2128</v>
      </c>
      <c r="G2098" s="26" t="s">
        <v>221</v>
      </c>
      <c r="H2098" s="26" t="s">
        <v>6971</v>
      </c>
      <c r="I2098" s="17">
        <f ca="1">IFERROR(__xludf.DUMMYFUNCTION("""COMPUTED_VALUE"""),45405)</f>
        <v>45405</v>
      </c>
      <c r="J2098" s="29" t="s">
        <v>2538</v>
      </c>
      <c r="K2098" s="26" t="s">
        <v>5805</v>
      </c>
      <c r="L2098" s="30">
        <v>327096128</v>
      </c>
      <c r="M2098" s="26" t="s">
        <v>80</v>
      </c>
      <c r="N2098" s="26" t="s">
        <v>299</v>
      </c>
      <c r="O2098" s="26" t="s">
        <v>2540</v>
      </c>
      <c r="P2098" s="42" t="s">
        <v>5806</v>
      </c>
      <c r="Q2098" s="20">
        <v>15936</v>
      </c>
      <c r="R2098" s="26" t="s">
        <v>36</v>
      </c>
      <c r="S2098" s="31">
        <v>4000</v>
      </c>
      <c r="T2098" s="32">
        <v>45161</v>
      </c>
      <c r="U2098" s="31">
        <v>11936</v>
      </c>
      <c r="V2098" s="32">
        <v>45187</v>
      </c>
      <c r="W2098" s="33" t="s">
        <v>2542</v>
      </c>
      <c r="X2098" s="26"/>
      <c r="Y2098" s="22">
        <v>0</v>
      </c>
      <c r="Z2098" s="26" t="s">
        <v>118</v>
      </c>
      <c r="AA2098" s="19" t="s">
        <v>5785</v>
      </c>
      <c r="AB2098" s="26" t="s">
        <v>36</v>
      </c>
      <c r="AC2098" s="26" t="s">
        <v>53</v>
      </c>
      <c r="AD2098" s="19" t="s">
        <v>54</v>
      </c>
      <c r="AE2098" s="26" t="s">
        <v>2128</v>
      </c>
      <c r="AF2098" s="17">
        <v>45398</v>
      </c>
      <c r="AG2098" s="26"/>
      <c r="AH2098" s="26"/>
      <c r="AI2098" s="40" t="s">
        <v>147</v>
      </c>
      <c r="AJ2098" s="26"/>
      <c r="AK2098" s="26"/>
      <c r="AL2098" s="35"/>
      <c r="AM2098" s="35"/>
      <c r="AN2098" s="35"/>
      <c r="AO2098" s="35"/>
      <c r="AP2098" s="35"/>
    </row>
    <row r="2099" spans="1:42" x14ac:dyDescent="0.2">
      <c r="A2099" s="14">
        <v>45393</v>
      </c>
      <c r="B2099" s="28" t="s">
        <v>37</v>
      </c>
      <c r="C2099" s="41" t="s">
        <v>118</v>
      </c>
      <c r="D2099" s="26" t="s">
        <v>36</v>
      </c>
      <c r="E2099" s="26" t="s">
        <v>56</v>
      </c>
      <c r="F2099" s="26" t="s">
        <v>413</v>
      </c>
      <c r="G2099" s="26" t="s">
        <v>108</v>
      </c>
      <c r="H2099" s="26" t="s">
        <v>7716</v>
      </c>
      <c r="I2099" s="17">
        <f ca="1">IFERROR(__xludf.DUMMYFUNCTION("""COMPUTED_VALUE"""),45404)</f>
        <v>45404</v>
      </c>
      <c r="J2099" s="29" t="s">
        <v>5640</v>
      </c>
      <c r="K2099" s="26" t="s">
        <v>7955</v>
      </c>
      <c r="L2099" s="30">
        <v>394272046</v>
      </c>
      <c r="M2099" s="26" t="s">
        <v>910</v>
      </c>
      <c r="N2099" s="26" t="s">
        <v>3221</v>
      </c>
      <c r="O2099" s="26" t="s">
        <v>5642</v>
      </c>
      <c r="P2099" s="42" t="s">
        <v>7956</v>
      </c>
      <c r="Q2099" s="20">
        <v>9317</v>
      </c>
      <c r="R2099" s="26" t="s">
        <v>36</v>
      </c>
      <c r="S2099" s="31">
        <v>9317</v>
      </c>
      <c r="T2099" s="32">
        <v>45243</v>
      </c>
      <c r="U2099" s="31"/>
      <c r="V2099" s="32"/>
      <c r="W2099" s="33" t="s">
        <v>5644</v>
      </c>
      <c r="X2099" s="26"/>
      <c r="Y2099" s="22">
        <v>0</v>
      </c>
      <c r="Z2099" s="26" t="s">
        <v>118</v>
      </c>
      <c r="AA2099" s="19" t="s">
        <v>5112</v>
      </c>
      <c r="AB2099" s="26" t="s">
        <v>36</v>
      </c>
      <c r="AC2099" s="26" t="s">
        <v>53</v>
      </c>
      <c r="AD2099" s="19" t="s">
        <v>54</v>
      </c>
      <c r="AE2099" s="26" t="s">
        <v>413</v>
      </c>
      <c r="AF2099" s="17">
        <v>45398</v>
      </c>
      <c r="AG2099" s="26"/>
      <c r="AH2099" s="26"/>
      <c r="AI2099" s="40" t="s">
        <v>64</v>
      </c>
      <c r="AJ2099" s="26"/>
      <c r="AK2099" s="26"/>
      <c r="AL2099" s="35"/>
      <c r="AM2099" s="35"/>
      <c r="AN2099" s="35"/>
      <c r="AO2099" s="35"/>
      <c r="AP2099" s="35"/>
    </row>
    <row r="2100" spans="1:42" x14ac:dyDescent="0.2">
      <c r="A2100" s="14">
        <v>45393</v>
      </c>
      <c r="B2100" s="28" t="s">
        <v>37</v>
      </c>
      <c r="C2100" s="41" t="s">
        <v>118</v>
      </c>
      <c r="D2100" s="26" t="s">
        <v>36</v>
      </c>
      <c r="E2100" s="26" t="s">
        <v>139</v>
      </c>
      <c r="F2100" s="26" t="s">
        <v>3418</v>
      </c>
      <c r="G2100" s="26" t="s">
        <v>221</v>
      </c>
      <c r="H2100" s="26" t="s">
        <v>6512</v>
      </c>
      <c r="I2100" s="17">
        <f ca="1">IFERROR(__xludf.DUMMYFUNCTION("""COMPUTED_VALUE"""),45431)</f>
        <v>45431</v>
      </c>
      <c r="J2100" s="29" t="s">
        <v>3657</v>
      </c>
      <c r="K2100" s="26" t="s">
        <v>7957</v>
      </c>
      <c r="L2100" s="30">
        <v>376549099</v>
      </c>
      <c r="M2100" s="26" t="s">
        <v>123</v>
      </c>
      <c r="N2100" s="26" t="s">
        <v>850</v>
      </c>
      <c r="O2100" s="26" t="s">
        <v>134</v>
      </c>
      <c r="P2100" s="42" t="s">
        <v>7958</v>
      </c>
      <c r="Q2100" s="20">
        <v>15936</v>
      </c>
      <c r="R2100" s="26" t="s">
        <v>36</v>
      </c>
      <c r="S2100" s="31">
        <v>100</v>
      </c>
      <c r="T2100" s="32">
        <v>45178</v>
      </c>
      <c r="U2100" s="31">
        <v>15836</v>
      </c>
      <c r="V2100" s="32">
        <v>45189</v>
      </c>
      <c r="W2100" s="33" t="s">
        <v>3660</v>
      </c>
      <c r="X2100" s="26"/>
      <c r="Y2100" s="22">
        <v>0</v>
      </c>
      <c r="Z2100" s="26" t="s">
        <v>118</v>
      </c>
      <c r="AA2100" s="19" t="s">
        <v>5785</v>
      </c>
      <c r="AB2100" s="26" t="s">
        <v>36</v>
      </c>
      <c r="AC2100" s="26" t="s">
        <v>53</v>
      </c>
      <c r="AD2100" s="19" t="s">
        <v>138</v>
      </c>
      <c r="AE2100" s="26" t="s">
        <v>3418</v>
      </c>
      <c r="AF2100" s="17">
        <v>45404</v>
      </c>
      <c r="AG2100" s="26"/>
      <c r="AH2100" s="26"/>
      <c r="AI2100" s="40" t="s">
        <v>147</v>
      </c>
      <c r="AJ2100" s="26"/>
      <c r="AK2100" s="26"/>
      <c r="AL2100" s="35"/>
      <c r="AM2100" s="35"/>
      <c r="AN2100" s="35"/>
      <c r="AO2100" s="35"/>
      <c r="AP2100" s="35"/>
    </row>
    <row r="2101" spans="1:42" x14ac:dyDescent="0.2">
      <c r="A2101" s="14">
        <v>45393</v>
      </c>
      <c r="B2101" s="28" t="s">
        <v>37</v>
      </c>
      <c r="C2101" s="41" t="s">
        <v>118</v>
      </c>
      <c r="D2101" s="26" t="s">
        <v>36</v>
      </c>
      <c r="E2101" s="26" t="s">
        <v>148</v>
      </c>
      <c r="F2101" s="26" t="s">
        <v>824</v>
      </c>
      <c r="G2101" s="26" t="s">
        <v>221</v>
      </c>
      <c r="H2101" s="26" t="s">
        <v>6971</v>
      </c>
      <c r="I2101" s="17">
        <f ca="1">IFERROR(__xludf.DUMMYFUNCTION("""COMPUTED_VALUE"""),45405)</f>
        <v>45405</v>
      </c>
      <c r="J2101" s="29" t="s">
        <v>6939</v>
      </c>
      <c r="K2101" s="26" t="s">
        <v>6940</v>
      </c>
      <c r="L2101" s="30">
        <v>332575659</v>
      </c>
      <c r="M2101" s="26" t="s">
        <v>3288</v>
      </c>
      <c r="N2101" s="26" t="s">
        <v>200</v>
      </c>
      <c r="O2101" s="26" t="s">
        <v>6941</v>
      </c>
      <c r="P2101" s="42" t="s">
        <v>6942</v>
      </c>
      <c r="Q2101" s="20">
        <v>7349</v>
      </c>
      <c r="R2101" s="26" t="s">
        <v>36</v>
      </c>
      <c r="S2101" s="31">
        <v>16779</v>
      </c>
      <c r="T2101" s="32">
        <v>44885</v>
      </c>
      <c r="U2101" s="31"/>
      <c r="V2101" s="32"/>
      <c r="W2101" s="33" t="s">
        <v>6943</v>
      </c>
      <c r="X2101" s="26"/>
      <c r="Y2101" s="22">
        <v>-9430</v>
      </c>
      <c r="Z2101" s="26" t="s">
        <v>118</v>
      </c>
      <c r="AA2101" s="19"/>
      <c r="AB2101" s="26" t="s">
        <v>36</v>
      </c>
      <c r="AC2101" s="26" t="s">
        <v>53</v>
      </c>
      <c r="AD2101" s="19" t="s">
        <v>54</v>
      </c>
      <c r="AE2101" s="26" t="s">
        <v>824</v>
      </c>
      <c r="AF2101" s="17">
        <v>45398</v>
      </c>
      <c r="AG2101" s="26"/>
      <c r="AH2101" s="26"/>
      <c r="AI2101" s="40">
        <v>2</v>
      </c>
      <c r="AJ2101" s="26"/>
      <c r="AK2101" s="26"/>
      <c r="AL2101" s="35"/>
      <c r="AM2101" s="35"/>
      <c r="AN2101" s="35"/>
      <c r="AO2101" s="35"/>
      <c r="AP2101" s="35"/>
    </row>
    <row r="2102" spans="1:42" x14ac:dyDescent="0.2">
      <c r="A2102" s="14">
        <v>45393</v>
      </c>
      <c r="B2102" s="28" t="s">
        <v>37</v>
      </c>
      <c r="C2102" s="41" t="s">
        <v>118</v>
      </c>
      <c r="D2102" s="26" t="s">
        <v>36</v>
      </c>
      <c r="E2102" s="26" t="s">
        <v>148</v>
      </c>
      <c r="F2102" s="26" t="s">
        <v>824</v>
      </c>
      <c r="G2102" s="26" t="s">
        <v>221</v>
      </c>
      <c r="H2102" s="26" t="s">
        <v>6971</v>
      </c>
      <c r="I2102" s="17">
        <f ca="1">IFERROR(__xludf.DUMMYFUNCTION("""COMPUTED_VALUE"""),45405)</f>
        <v>45405</v>
      </c>
      <c r="J2102" s="29" t="s">
        <v>6326</v>
      </c>
      <c r="K2102" s="26" t="s">
        <v>7959</v>
      </c>
      <c r="L2102" s="30">
        <v>981189756</v>
      </c>
      <c r="M2102" s="26" t="s">
        <v>3288</v>
      </c>
      <c r="N2102" s="26" t="s">
        <v>200</v>
      </c>
      <c r="O2102" s="26" t="s">
        <v>6328</v>
      </c>
      <c r="P2102" s="42" t="s">
        <v>7960</v>
      </c>
      <c r="Q2102" s="20">
        <v>7349</v>
      </c>
      <c r="R2102" s="26" t="s">
        <v>36</v>
      </c>
      <c r="S2102" s="31">
        <v>5852</v>
      </c>
      <c r="T2102" s="32">
        <v>45268</v>
      </c>
      <c r="U2102" s="31"/>
      <c r="V2102" s="16" t="s">
        <v>4447</v>
      </c>
      <c r="W2102" s="33" t="s">
        <v>6330</v>
      </c>
      <c r="X2102" s="26"/>
      <c r="Y2102" s="22">
        <v>1497</v>
      </c>
      <c r="Z2102" s="98" t="s">
        <v>118</v>
      </c>
      <c r="AA2102" s="19" t="s">
        <v>5961</v>
      </c>
      <c r="AB2102" s="26" t="s">
        <v>36</v>
      </c>
      <c r="AC2102" s="26" t="s">
        <v>53</v>
      </c>
      <c r="AD2102" s="19" t="s">
        <v>54</v>
      </c>
      <c r="AE2102" s="61" t="s">
        <v>824</v>
      </c>
      <c r="AF2102" s="17">
        <v>45398</v>
      </c>
      <c r="AG2102" s="26"/>
      <c r="AH2102" s="26">
        <v>1</v>
      </c>
      <c r="AI2102" s="40"/>
      <c r="AJ2102" s="26"/>
      <c r="AK2102" s="26"/>
      <c r="AL2102" s="35"/>
      <c r="AM2102" s="35"/>
      <c r="AN2102" s="35"/>
      <c r="AO2102" s="35"/>
      <c r="AP2102" s="35"/>
    </row>
    <row r="2103" spans="1:42" x14ac:dyDescent="0.2">
      <c r="A2103" s="14">
        <v>45393</v>
      </c>
      <c r="B2103" s="28" t="s">
        <v>37</v>
      </c>
      <c r="C2103" s="41" t="s">
        <v>118</v>
      </c>
      <c r="D2103" s="26" t="s">
        <v>36</v>
      </c>
      <c r="E2103" s="26" t="s">
        <v>148</v>
      </c>
      <c r="F2103" s="26" t="s">
        <v>824</v>
      </c>
      <c r="G2103" s="26" t="s">
        <v>221</v>
      </c>
      <c r="H2103" s="26" t="s">
        <v>7961</v>
      </c>
      <c r="I2103" s="17" t="str">
        <f ca="1">IFERROR(__xludf.DUMMYFUNCTION("""COMPUTED_VALUE""")," ")</f>
        <v xml:space="preserve"> </v>
      </c>
      <c r="J2103" s="29" t="s">
        <v>4764</v>
      </c>
      <c r="K2103" s="26" t="s">
        <v>4765</v>
      </c>
      <c r="L2103" s="30">
        <v>984340562</v>
      </c>
      <c r="M2103" s="26" t="s">
        <v>94</v>
      </c>
      <c r="N2103" s="26" t="s">
        <v>827</v>
      </c>
      <c r="O2103" s="26" t="s">
        <v>40</v>
      </c>
      <c r="P2103" s="42" t="s">
        <v>7962</v>
      </c>
      <c r="Q2103" s="20">
        <v>7349</v>
      </c>
      <c r="R2103" s="26" t="s">
        <v>36</v>
      </c>
      <c r="S2103" s="31">
        <v>14055</v>
      </c>
      <c r="T2103" s="32">
        <v>44891</v>
      </c>
      <c r="U2103" s="31"/>
      <c r="V2103" s="26"/>
      <c r="W2103" s="33" t="s">
        <v>4767</v>
      </c>
      <c r="X2103" s="26"/>
      <c r="Y2103" s="22">
        <v>-19</v>
      </c>
      <c r="Z2103" s="26" t="s">
        <v>118</v>
      </c>
      <c r="AA2103" s="19" t="s">
        <v>4541</v>
      </c>
      <c r="AB2103" s="26" t="s">
        <v>36</v>
      </c>
      <c r="AC2103" s="26" t="s">
        <v>53</v>
      </c>
      <c r="AD2103" s="19" t="s">
        <v>54</v>
      </c>
      <c r="AE2103" s="61" t="s">
        <v>824</v>
      </c>
      <c r="AF2103" s="17">
        <v>45398</v>
      </c>
      <c r="AG2103" s="26"/>
      <c r="AH2103" s="26"/>
      <c r="AI2103" s="40"/>
      <c r="AJ2103" s="26"/>
      <c r="AK2103" s="26"/>
      <c r="AL2103" s="35"/>
      <c r="AM2103" s="35"/>
      <c r="AN2103" s="35"/>
      <c r="AO2103" s="35"/>
      <c r="AP2103" s="35"/>
    </row>
    <row r="2104" spans="1:42" x14ac:dyDescent="0.2">
      <c r="A2104" s="14">
        <v>45393</v>
      </c>
      <c r="B2104" s="28" t="s">
        <v>37</v>
      </c>
      <c r="C2104" s="41" t="s">
        <v>118</v>
      </c>
      <c r="D2104" s="26" t="s">
        <v>36</v>
      </c>
      <c r="E2104" s="26" t="s">
        <v>56</v>
      </c>
      <c r="F2104" s="26" t="s">
        <v>6971</v>
      </c>
      <c r="G2104" s="26" t="s">
        <v>221</v>
      </c>
      <c r="H2104" s="26" t="s">
        <v>6050</v>
      </c>
      <c r="I2104" s="17">
        <f ca="1">IFERROR(__xludf.DUMMYFUNCTION("""COMPUTED_VALUE"""),45539)</f>
        <v>45539</v>
      </c>
      <c r="J2104" s="44" t="s">
        <v>4968</v>
      </c>
      <c r="K2104" s="26" t="s">
        <v>7963</v>
      </c>
      <c r="L2104" s="30">
        <v>963789993</v>
      </c>
      <c r="M2104" s="26" t="s">
        <v>80</v>
      </c>
      <c r="N2104" s="26" t="s">
        <v>81</v>
      </c>
      <c r="O2104" s="26" t="s">
        <v>4970</v>
      </c>
      <c r="P2104" s="42" t="s">
        <v>7964</v>
      </c>
      <c r="Q2104" s="20">
        <v>9317</v>
      </c>
      <c r="R2104" s="26" t="s">
        <v>36</v>
      </c>
      <c r="S2104" s="31">
        <v>2000</v>
      </c>
      <c r="T2104" s="32">
        <v>45188</v>
      </c>
      <c r="U2104" s="31">
        <v>7317</v>
      </c>
      <c r="V2104" s="32">
        <v>45217</v>
      </c>
      <c r="W2104" s="33" t="s">
        <v>4972</v>
      </c>
      <c r="X2104" s="26"/>
      <c r="Y2104" s="22">
        <v>0</v>
      </c>
      <c r="Z2104" s="26" t="s">
        <v>118</v>
      </c>
      <c r="AA2104" s="19" t="s">
        <v>4541</v>
      </c>
      <c r="AB2104" s="26" t="s">
        <v>36</v>
      </c>
      <c r="AC2104" s="26" t="s">
        <v>53</v>
      </c>
      <c r="AD2104" s="19" t="s">
        <v>138</v>
      </c>
      <c r="AE2104" s="26" t="s">
        <v>3181</v>
      </c>
      <c r="AF2104" s="17">
        <v>45398</v>
      </c>
      <c r="AG2104" s="26"/>
      <c r="AH2104" s="26"/>
      <c r="AI2104" s="40"/>
      <c r="AJ2104" s="26"/>
      <c r="AK2104" s="26"/>
      <c r="AL2104" s="35"/>
      <c r="AM2104" s="35"/>
      <c r="AN2104" s="35"/>
      <c r="AO2104" s="35"/>
      <c r="AP2104" s="35"/>
    </row>
    <row r="2105" spans="1:42" x14ac:dyDescent="0.2">
      <c r="A2105" s="14">
        <v>45393</v>
      </c>
      <c r="B2105" s="28" t="s">
        <v>37</v>
      </c>
      <c r="C2105" s="41" t="s">
        <v>118</v>
      </c>
      <c r="D2105" s="26" t="s">
        <v>36</v>
      </c>
      <c r="E2105" s="26" t="s">
        <v>7965</v>
      </c>
      <c r="F2105" s="26" t="s">
        <v>1710</v>
      </c>
      <c r="G2105" s="26" t="s">
        <v>221</v>
      </c>
      <c r="H2105" s="26" t="s">
        <v>6971</v>
      </c>
      <c r="I2105" s="17">
        <f ca="1">IFERROR(__xludf.DUMMYFUNCTION("""COMPUTED_VALUE"""),45405)</f>
        <v>45405</v>
      </c>
      <c r="J2105" s="29" t="s">
        <v>7966</v>
      </c>
      <c r="K2105" s="26" t="s">
        <v>7967</v>
      </c>
      <c r="L2105" s="30">
        <v>367931056</v>
      </c>
      <c r="M2105" s="26" t="s">
        <v>1245</v>
      </c>
      <c r="N2105" s="26" t="s">
        <v>7968</v>
      </c>
      <c r="O2105" s="26" t="s">
        <v>7969</v>
      </c>
      <c r="P2105" s="54" t="s">
        <v>7970</v>
      </c>
      <c r="Q2105" s="20">
        <v>10804</v>
      </c>
      <c r="R2105" s="26" t="s">
        <v>70</v>
      </c>
      <c r="S2105" s="31">
        <v>16779</v>
      </c>
      <c r="T2105" s="74">
        <v>44858</v>
      </c>
      <c r="U2105" s="31"/>
      <c r="V2105" s="26"/>
      <c r="W2105" s="26" t="s">
        <v>7971</v>
      </c>
      <c r="X2105" s="26"/>
      <c r="Y2105" s="20">
        <v>-5975</v>
      </c>
      <c r="Z2105" s="98" t="s">
        <v>118</v>
      </c>
      <c r="AA2105" s="19"/>
      <c r="AB2105" s="26" t="s">
        <v>36</v>
      </c>
      <c r="AC2105" s="26" t="s">
        <v>53</v>
      </c>
      <c r="AD2105" s="14" t="s">
        <v>54</v>
      </c>
      <c r="AE2105" s="26" t="s">
        <v>1710</v>
      </c>
      <c r="AF2105" s="17">
        <v>45398</v>
      </c>
      <c r="AG2105" s="40"/>
      <c r="AH2105" s="40"/>
      <c r="AI2105" s="126"/>
      <c r="AJ2105" s="26"/>
      <c r="AK2105" s="26"/>
      <c r="AL2105" s="26"/>
      <c r="AM2105" s="35"/>
      <c r="AN2105" s="35"/>
      <c r="AO2105" s="35"/>
      <c r="AP2105" s="35"/>
    </row>
    <row r="2106" spans="1:42" x14ac:dyDescent="0.2">
      <c r="A2106" s="14">
        <v>45397</v>
      </c>
      <c r="B2106" s="28" t="s">
        <v>37</v>
      </c>
      <c r="C2106" s="41" t="s">
        <v>118</v>
      </c>
      <c r="D2106" s="26" t="s">
        <v>36</v>
      </c>
      <c r="E2106" s="26" t="s">
        <v>77</v>
      </c>
      <c r="F2106" s="26" t="s">
        <v>6842</v>
      </c>
      <c r="G2106" s="26" t="s">
        <v>41</v>
      </c>
      <c r="H2106" s="26" t="s">
        <v>7506</v>
      </c>
      <c r="I2106" s="17">
        <f ca="1">IFERROR(__xludf.DUMMYFUNCTION("""COMPUTED_VALUE"""),45407)</f>
        <v>45407</v>
      </c>
      <c r="J2106" s="29" t="s">
        <v>6887</v>
      </c>
      <c r="K2106" s="26" t="s">
        <v>7972</v>
      </c>
      <c r="L2106" s="30">
        <v>988874803</v>
      </c>
      <c r="M2106" s="26" t="s">
        <v>59</v>
      </c>
      <c r="N2106" s="26" t="s">
        <v>260</v>
      </c>
      <c r="O2106" s="26" t="s">
        <v>6889</v>
      </c>
      <c r="P2106" s="26" t="s">
        <v>6890</v>
      </c>
      <c r="Q2106" s="20">
        <v>1968</v>
      </c>
      <c r="R2106" s="26" t="s">
        <v>36</v>
      </c>
      <c r="S2106" s="31">
        <v>1000</v>
      </c>
      <c r="T2106" s="32">
        <v>45316</v>
      </c>
      <c r="U2106" s="31">
        <v>968</v>
      </c>
      <c r="V2106" s="32">
        <v>45320</v>
      </c>
      <c r="W2106" s="26" t="s">
        <v>6891</v>
      </c>
      <c r="X2106" s="26">
        <v>0</v>
      </c>
      <c r="Y2106" s="22">
        <v>0</v>
      </c>
      <c r="Z2106" s="98" t="s">
        <v>118</v>
      </c>
      <c r="AA2106" s="19" t="s">
        <v>6079</v>
      </c>
      <c r="AB2106" s="26" t="s">
        <v>36</v>
      </c>
      <c r="AC2106" s="26" t="s">
        <v>53</v>
      </c>
      <c r="AD2106" s="19" t="s">
        <v>138</v>
      </c>
      <c r="AE2106" s="26" t="s">
        <v>6842</v>
      </c>
      <c r="AF2106" s="17">
        <v>45371</v>
      </c>
      <c r="AG2106" s="26" t="s">
        <v>6847</v>
      </c>
      <c r="AH2106" s="26"/>
      <c r="AI2106" s="40" t="s">
        <v>84</v>
      </c>
      <c r="AJ2106" s="26"/>
      <c r="AK2106" s="26"/>
      <c r="AL2106" s="35"/>
      <c r="AM2106" s="35"/>
      <c r="AN2106" s="35"/>
      <c r="AO2106" s="35"/>
      <c r="AP2106" s="35"/>
    </row>
    <row r="2107" spans="1:42" x14ac:dyDescent="0.2">
      <c r="A2107" s="14">
        <v>45397</v>
      </c>
      <c r="B2107" s="28" t="s">
        <v>37</v>
      </c>
      <c r="C2107" s="41" t="s">
        <v>118</v>
      </c>
      <c r="D2107" s="26" t="s">
        <v>36</v>
      </c>
      <c r="E2107" s="26" t="s">
        <v>56</v>
      </c>
      <c r="F2107" s="26" t="s">
        <v>6814</v>
      </c>
      <c r="G2107" s="26" t="s">
        <v>108</v>
      </c>
      <c r="H2107" s="26" t="s">
        <v>7973</v>
      </c>
      <c r="I2107" s="17" t="str">
        <f ca="1">IFERROR(__xludf.DUMMYFUNCTION("""COMPUTED_VALUE""")," ")</f>
        <v xml:space="preserve"> </v>
      </c>
      <c r="J2107" s="29" t="s">
        <v>7171</v>
      </c>
      <c r="K2107" s="26" t="s">
        <v>7172</v>
      </c>
      <c r="L2107" s="30">
        <v>773256798</v>
      </c>
      <c r="M2107" s="26" t="s">
        <v>59</v>
      </c>
      <c r="N2107" s="26" t="s">
        <v>68</v>
      </c>
      <c r="O2107" s="26" t="s">
        <v>7173</v>
      </c>
      <c r="P2107" s="42" t="s">
        <v>7174</v>
      </c>
      <c r="Q2107" s="20">
        <v>9317</v>
      </c>
      <c r="R2107" s="26" t="s">
        <v>36</v>
      </c>
      <c r="S2107" s="31">
        <v>9317</v>
      </c>
      <c r="T2107" s="32">
        <v>45340</v>
      </c>
      <c r="U2107" s="31"/>
      <c r="V2107" s="32"/>
      <c r="W2107" s="33" t="s">
        <v>7175</v>
      </c>
      <c r="X2107" s="26"/>
      <c r="Y2107" s="22">
        <v>0</v>
      </c>
      <c r="Z2107" s="98" t="s">
        <v>118</v>
      </c>
      <c r="AA2107" s="19" t="s">
        <v>7077</v>
      </c>
      <c r="AB2107" s="26" t="s">
        <v>36</v>
      </c>
      <c r="AC2107" s="26" t="s">
        <v>53</v>
      </c>
      <c r="AD2107" s="19" t="s">
        <v>54</v>
      </c>
      <c r="AE2107" s="26" t="s">
        <v>6814</v>
      </c>
      <c r="AF2107" s="17">
        <v>45398</v>
      </c>
      <c r="AG2107" s="26"/>
      <c r="AH2107" s="26"/>
      <c r="AI2107" s="40" t="s">
        <v>64</v>
      </c>
      <c r="AJ2107" s="26"/>
      <c r="AK2107" s="26"/>
      <c r="AL2107" s="35"/>
      <c r="AM2107" s="35"/>
      <c r="AN2107" s="35"/>
      <c r="AO2107" s="35"/>
      <c r="AP2107" s="35"/>
    </row>
    <row r="2108" spans="1:42" x14ac:dyDescent="0.2">
      <c r="A2108" s="14">
        <v>45397</v>
      </c>
      <c r="B2108" s="28" t="s">
        <v>37</v>
      </c>
      <c r="C2108" s="41" t="s">
        <v>118</v>
      </c>
      <c r="D2108" s="26" t="s">
        <v>36</v>
      </c>
      <c r="E2108" s="26" t="s">
        <v>139</v>
      </c>
      <c r="F2108" s="26" t="s">
        <v>6637</v>
      </c>
      <c r="G2108" s="26" t="s">
        <v>108</v>
      </c>
      <c r="H2108" s="26" t="s">
        <v>7716</v>
      </c>
      <c r="I2108" s="17">
        <f ca="1">IFERROR(__xludf.DUMMYFUNCTION("""COMPUTED_VALUE"""),45404)</f>
        <v>45404</v>
      </c>
      <c r="J2108" s="29" t="s">
        <v>7565</v>
      </c>
      <c r="K2108" s="26" t="s">
        <v>7566</v>
      </c>
      <c r="L2108" s="30">
        <v>382868493</v>
      </c>
      <c r="M2108" s="26" t="s">
        <v>3728</v>
      </c>
      <c r="N2108" s="26" t="s">
        <v>5312</v>
      </c>
      <c r="O2108" s="26" t="s">
        <v>7567</v>
      </c>
      <c r="P2108" s="42" t="s">
        <v>7568</v>
      </c>
      <c r="Q2108" s="20">
        <v>15936</v>
      </c>
      <c r="R2108" s="26" t="s">
        <v>36</v>
      </c>
      <c r="S2108" s="31">
        <v>500</v>
      </c>
      <c r="T2108" s="32">
        <v>45306</v>
      </c>
      <c r="U2108" s="31">
        <f>1500+13936</f>
        <v>15436</v>
      </c>
      <c r="V2108" s="26" t="s">
        <v>7569</v>
      </c>
      <c r="W2108" s="33" t="s">
        <v>7570</v>
      </c>
      <c r="X2108" s="26"/>
      <c r="Y2108" s="22">
        <v>0</v>
      </c>
      <c r="Z2108" s="98" t="s">
        <v>118</v>
      </c>
      <c r="AA2108" s="19" t="s">
        <v>7361</v>
      </c>
      <c r="AB2108" s="26" t="s">
        <v>36</v>
      </c>
      <c r="AC2108" s="26" t="s">
        <v>53</v>
      </c>
      <c r="AD2108" s="19" t="s">
        <v>138</v>
      </c>
      <c r="AE2108" s="26" t="s">
        <v>6637</v>
      </c>
      <c r="AF2108" s="17">
        <v>45398</v>
      </c>
      <c r="AG2108" s="26"/>
      <c r="AH2108" s="26"/>
      <c r="AI2108" s="40"/>
      <c r="AJ2108" s="26"/>
      <c r="AK2108" s="26"/>
      <c r="AL2108" s="35"/>
      <c r="AM2108" s="35"/>
      <c r="AN2108" s="35"/>
      <c r="AO2108" s="35"/>
      <c r="AP2108" s="35"/>
    </row>
    <row r="2109" spans="1:42" x14ac:dyDescent="0.2">
      <c r="A2109" s="14">
        <v>45397</v>
      </c>
      <c r="B2109" s="28" t="s">
        <v>37</v>
      </c>
      <c r="C2109" s="41" t="s">
        <v>118</v>
      </c>
      <c r="D2109" s="26" t="s">
        <v>36</v>
      </c>
      <c r="E2109" s="26" t="s">
        <v>56</v>
      </c>
      <c r="F2109" s="26" t="s">
        <v>6412</v>
      </c>
      <c r="G2109" s="26" t="s">
        <v>108</v>
      </c>
      <c r="H2109" s="26" t="s">
        <v>7716</v>
      </c>
      <c r="I2109" s="17">
        <f ca="1">IFERROR(__xludf.DUMMYFUNCTION("""COMPUTED_VALUE"""),45404)</f>
        <v>45404</v>
      </c>
      <c r="J2109" s="29" t="s">
        <v>6346</v>
      </c>
      <c r="K2109" s="26" t="s">
        <v>7974</v>
      </c>
      <c r="L2109" s="30">
        <v>355904612</v>
      </c>
      <c r="M2109" s="26" t="s">
        <v>45</v>
      </c>
      <c r="N2109" s="26" t="s">
        <v>3839</v>
      </c>
      <c r="O2109" s="26" t="s">
        <v>6348</v>
      </c>
      <c r="P2109" s="42" t="s">
        <v>7975</v>
      </c>
      <c r="Q2109" s="20">
        <v>9317</v>
      </c>
      <c r="R2109" s="26" t="s">
        <v>36</v>
      </c>
      <c r="S2109" s="31">
        <v>9317</v>
      </c>
      <c r="T2109" s="32">
        <v>45272</v>
      </c>
      <c r="U2109" s="31"/>
      <c r="V2109" s="32"/>
      <c r="W2109" s="33" t="s">
        <v>6350</v>
      </c>
      <c r="X2109" s="26"/>
      <c r="Y2109" s="22">
        <v>0</v>
      </c>
      <c r="Z2109" s="98" t="s">
        <v>118</v>
      </c>
      <c r="AA2109" s="19" t="s">
        <v>5961</v>
      </c>
      <c r="AB2109" s="26" t="s">
        <v>36</v>
      </c>
      <c r="AC2109" s="26" t="s">
        <v>53</v>
      </c>
      <c r="AD2109" s="19" t="s">
        <v>54</v>
      </c>
      <c r="AE2109" s="26" t="s">
        <v>6412</v>
      </c>
      <c r="AF2109" s="17">
        <v>45398</v>
      </c>
      <c r="AG2109" s="26"/>
      <c r="AH2109" s="26">
        <v>1</v>
      </c>
      <c r="AI2109" s="40"/>
      <c r="AJ2109" s="26"/>
      <c r="AK2109" s="26"/>
      <c r="AL2109" s="35"/>
      <c r="AM2109" s="35"/>
      <c r="AN2109" s="35"/>
      <c r="AO2109" s="35"/>
      <c r="AP2109" s="35"/>
    </row>
    <row r="2110" spans="1:42" x14ac:dyDescent="0.2">
      <c r="A2110" s="14">
        <v>45398</v>
      </c>
      <c r="B2110" s="28" t="s">
        <v>37</v>
      </c>
      <c r="C2110" s="41" t="s">
        <v>118</v>
      </c>
      <c r="D2110" s="26" t="s">
        <v>36</v>
      </c>
      <c r="E2110" s="26" t="s">
        <v>139</v>
      </c>
      <c r="F2110" s="26" t="s">
        <v>2967</v>
      </c>
      <c r="G2110" s="26" t="s">
        <v>108</v>
      </c>
      <c r="H2110" s="26" t="s">
        <v>7918</v>
      </c>
      <c r="I2110" s="17">
        <f ca="1">IFERROR(__xludf.DUMMYFUNCTION("""COMPUTED_VALUE"""),45405)</f>
        <v>45405</v>
      </c>
      <c r="J2110" s="29" t="s">
        <v>4062</v>
      </c>
      <c r="K2110" s="26" t="s">
        <v>4063</v>
      </c>
      <c r="L2110" s="30">
        <v>978185540</v>
      </c>
      <c r="M2110" s="26" t="s">
        <v>123</v>
      </c>
      <c r="N2110" s="26" t="s">
        <v>327</v>
      </c>
      <c r="O2110" s="26" t="s">
        <v>1226</v>
      </c>
      <c r="P2110" s="42" t="s">
        <v>7976</v>
      </c>
      <c r="Q2110" s="20">
        <v>15936</v>
      </c>
      <c r="R2110" s="26" t="s">
        <v>36</v>
      </c>
      <c r="S2110" s="31">
        <v>2000</v>
      </c>
      <c r="T2110" s="32">
        <v>45203</v>
      </c>
      <c r="U2110" s="31">
        <v>13936</v>
      </c>
      <c r="V2110" s="32">
        <v>45224</v>
      </c>
      <c r="W2110" s="33" t="s">
        <v>4064</v>
      </c>
      <c r="X2110" s="26"/>
      <c r="Y2110" s="22">
        <v>0</v>
      </c>
      <c r="Z2110" s="98" t="s">
        <v>118</v>
      </c>
      <c r="AA2110" s="19" t="s">
        <v>3454</v>
      </c>
      <c r="AB2110" s="26" t="s">
        <v>36</v>
      </c>
      <c r="AC2110" s="26" t="s">
        <v>53</v>
      </c>
      <c r="AD2110" s="19" t="s">
        <v>138</v>
      </c>
      <c r="AE2110" s="26" t="s">
        <v>2967</v>
      </c>
      <c r="AF2110" s="17">
        <v>45404</v>
      </c>
      <c r="AG2110" s="26"/>
      <c r="AH2110" s="26"/>
      <c r="AI2110" s="40"/>
      <c r="AJ2110" s="26"/>
      <c r="AK2110" s="26"/>
      <c r="AL2110" s="35"/>
      <c r="AM2110" s="35"/>
      <c r="AN2110" s="35"/>
      <c r="AO2110" s="35"/>
      <c r="AP2110" s="35"/>
    </row>
    <row r="2111" spans="1:42" x14ac:dyDescent="0.2">
      <c r="A2111" s="14">
        <v>45398</v>
      </c>
      <c r="B2111" s="28" t="s">
        <v>37</v>
      </c>
      <c r="C2111" s="41" t="s">
        <v>118</v>
      </c>
      <c r="D2111" s="26" t="s">
        <v>36</v>
      </c>
      <c r="E2111" s="26" t="s">
        <v>106</v>
      </c>
      <c r="F2111" s="26" t="s">
        <v>7977</v>
      </c>
      <c r="G2111" s="71" t="s">
        <v>108</v>
      </c>
      <c r="H2111" s="26" t="s">
        <v>7716</v>
      </c>
      <c r="I2111" s="17">
        <f ca="1">IFERROR(__xludf.DUMMYFUNCTION("""COMPUTED_VALUE"""),45404)</f>
        <v>45404</v>
      </c>
      <c r="J2111" s="29" t="s">
        <v>7978</v>
      </c>
      <c r="K2111" s="26" t="s">
        <v>7979</v>
      </c>
      <c r="L2111" s="30">
        <v>383843723</v>
      </c>
      <c r="M2111" s="26" t="s">
        <v>1993</v>
      </c>
      <c r="N2111" s="26" t="s">
        <v>4878</v>
      </c>
      <c r="O2111" s="26" t="s">
        <v>36</v>
      </c>
      <c r="P2111" s="42" t="s">
        <v>7980</v>
      </c>
      <c r="Q2111" s="20">
        <v>3968</v>
      </c>
      <c r="R2111" s="26" t="s">
        <v>36</v>
      </c>
      <c r="S2111" s="58">
        <v>1000</v>
      </c>
      <c r="T2111" s="59">
        <v>44898</v>
      </c>
      <c r="U2111" s="31">
        <v>9804</v>
      </c>
      <c r="V2111" s="26" t="s">
        <v>7981</v>
      </c>
      <c r="W2111" s="33" t="s">
        <v>7982</v>
      </c>
      <c r="X2111" s="26">
        <v>0</v>
      </c>
      <c r="Y2111" s="22">
        <v>0</v>
      </c>
      <c r="Z2111" s="98" t="s">
        <v>118</v>
      </c>
      <c r="AA2111" s="19" t="s">
        <v>2051</v>
      </c>
      <c r="AB2111" s="26" t="s">
        <v>36</v>
      </c>
      <c r="AC2111" s="26" t="s">
        <v>53</v>
      </c>
      <c r="AD2111" s="14"/>
      <c r="AE2111" s="26"/>
      <c r="AF2111" s="17">
        <v>45398</v>
      </c>
      <c r="AG2111" s="91"/>
      <c r="AH2111" s="91">
        <v>1</v>
      </c>
      <c r="AI2111" s="92"/>
      <c r="AJ2111" s="92">
        <v>44901.037555972223</v>
      </c>
      <c r="AK2111" s="35"/>
      <c r="AL2111" s="128" t="s">
        <v>7983</v>
      </c>
      <c r="AM2111" s="35"/>
      <c r="AN2111" s="26"/>
      <c r="AO2111" s="26"/>
      <c r="AP2111" s="35"/>
    </row>
    <row r="2112" spans="1:42" x14ac:dyDescent="0.2">
      <c r="A2112" s="14">
        <v>45398</v>
      </c>
      <c r="B2112" s="28" t="s">
        <v>37</v>
      </c>
      <c r="C2112" s="41" t="s">
        <v>118</v>
      </c>
      <c r="D2112" s="26" t="s">
        <v>36</v>
      </c>
      <c r="E2112" s="26" t="s">
        <v>139</v>
      </c>
      <c r="F2112" s="26" t="s">
        <v>2393</v>
      </c>
      <c r="G2112" s="26" t="s">
        <v>221</v>
      </c>
      <c r="H2112" s="26" t="s">
        <v>7984</v>
      </c>
      <c r="I2112" s="17" t="str">
        <f ca="1">IFERROR(__xludf.DUMMYFUNCTION("""COMPUTED_VALUE""")," ")</f>
        <v xml:space="preserve"> </v>
      </c>
      <c r="J2112" s="29" t="s">
        <v>3600</v>
      </c>
      <c r="K2112" s="26" t="s">
        <v>3601</v>
      </c>
      <c r="L2112" s="30">
        <v>981920551</v>
      </c>
      <c r="M2112" s="26" t="s">
        <v>123</v>
      </c>
      <c r="N2112" s="26" t="s">
        <v>186</v>
      </c>
      <c r="O2112" s="26" t="s">
        <v>1226</v>
      </c>
      <c r="P2112" s="42" t="s">
        <v>4977</v>
      </c>
      <c r="Q2112" s="20">
        <v>15936</v>
      </c>
      <c r="R2112" s="26" t="s">
        <v>36</v>
      </c>
      <c r="S2112" s="31">
        <v>1968</v>
      </c>
      <c r="T2112" s="32">
        <v>45185</v>
      </c>
      <c r="U2112" s="31">
        <v>13968</v>
      </c>
      <c r="V2112" s="32">
        <v>45209</v>
      </c>
      <c r="W2112" s="33" t="s">
        <v>3603</v>
      </c>
      <c r="X2112" s="26"/>
      <c r="Y2112" s="22">
        <v>0</v>
      </c>
      <c r="Z2112" s="26" t="s">
        <v>118</v>
      </c>
      <c r="AA2112" s="19" t="s">
        <v>3454</v>
      </c>
      <c r="AB2112" s="26" t="s">
        <v>36</v>
      </c>
      <c r="AC2112" s="26" t="s">
        <v>53</v>
      </c>
      <c r="AD2112" s="19" t="s">
        <v>54</v>
      </c>
      <c r="AE2112" s="26" t="s">
        <v>2393</v>
      </c>
      <c r="AF2112" s="17">
        <v>45414</v>
      </c>
      <c r="AG2112" s="26"/>
      <c r="AH2112" s="26"/>
      <c r="AI2112" s="40"/>
      <c r="AJ2112" s="26"/>
      <c r="AK2112" s="26"/>
      <c r="AL2112" s="35"/>
      <c r="AM2112" s="35"/>
      <c r="AN2112" s="35"/>
      <c r="AO2112" s="35"/>
      <c r="AP2112" s="35"/>
    </row>
    <row r="2113" spans="1:42" x14ac:dyDescent="0.2">
      <c r="A2113" s="14">
        <v>45398</v>
      </c>
      <c r="B2113" s="28" t="s">
        <v>37</v>
      </c>
      <c r="C2113" s="41" t="s">
        <v>118</v>
      </c>
      <c r="D2113" s="26" t="s">
        <v>36</v>
      </c>
      <c r="E2113" s="26" t="s">
        <v>39</v>
      </c>
      <c r="F2113" s="26" t="s">
        <v>6814</v>
      </c>
      <c r="G2113" s="26" t="s">
        <v>108</v>
      </c>
      <c r="H2113" s="26" t="s">
        <v>7918</v>
      </c>
      <c r="I2113" s="17">
        <f ca="1">IFERROR(__xludf.DUMMYFUNCTION("""COMPUTED_VALUE"""),45405)</f>
        <v>45405</v>
      </c>
      <c r="J2113" s="29" t="s">
        <v>7238</v>
      </c>
      <c r="K2113" s="26" t="s">
        <v>7239</v>
      </c>
      <c r="L2113" s="30">
        <v>355460634</v>
      </c>
      <c r="M2113" s="26" t="s">
        <v>45</v>
      </c>
      <c r="N2113" s="26" t="s">
        <v>3839</v>
      </c>
      <c r="O2113" s="26" t="s">
        <v>7240</v>
      </c>
      <c r="P2113" s="42" t="s">
        <v>7985</v>
      </c>
      <c r="Q2113" s="20">
        <v>5736</v>
      </c>
      <c r="R2113" s="26" t="s">
        <v>36</v>
      </c>
      <c r="S2113" s="31">
        <v>5736</v>
      </c>
      <c r="T2113" s="32">
        <v>45348</v>
      </c>
      <c r="U2113" s="31"/>
      <c r="V2113" s="32"/>
      <c r="W2113" s="33" t="s">
        <v>7242</v>
      </c>
      <c r="X2113" s="26"/>
      <c r="Y2113" s="22">
        <v>0</v>
      </c>
      <c r="Z2113" s="26" t="s">
        <v>118</v>
      </c>
      <c r="AA2113" s="19" t="s">
        <v>7077</v>
      </c>
      <c r="AB2113" s="26" t="s">
        <v>36</v>
      </c>
      <c r="AC2113" s="26" t="s">
        <v>53</v>
      </c>
      <c r="AD2113" s="19" t="s">
        <v>54</v>
      </c>
      <c r="AE2113" s="26" t="s">
        <v>6814</v>
      </c>
      <c r="AF2113" s="17">
        <v>45404</v>
      </c>
      <c r="AG2113" s="26"/>
      <c r="AH2113" s="26"/>
      <c r="AI2113" s="40" t="s">
        <v>55</v>
      </c>
      <c r="AJ2113" s="26"/>
      <c r="AK2113" s="26"/>
      <c r="AL2113" s="35"/>
      <c r="AM2113" s="35"/>
      <c r="AN2113" s="35"/>
      <c r="AO2113" s="35"/>
      <c r="AP2113" s="35"/>
    </row>
    <row r="2114" spans="1:42" x14ac:dyDescent="0.2">
      <c r="A2114" s="14">
        <v>45398</v>
      </c>
      <c r="B2114" s="28" t="s">
        <v>37</v>
      </c>
      <c r="C2114" s="41" t="s">
        <v>118</v>
      </c>
      <c r="D2114" s="26" t="s">
        <v>36</v>
      </c>
      <c r="E2114" s="26" t="s">
        <v>148</v>
      </c>
      <c r="F2114" s="26" t="s">
        <v>3336</v>
      </c>
      <c r="G2114" s="26" t="s">
        <v>221</v>
      </c>
      <c r="H2114" s="26" t="s">
        <v>7454</v>
      </c>
      <c r="I2114" s="17">
        <f ca="1">IFERROR(__xludf.DUMMYFUNCTION("""COMPUTED_VALUE"""),45418)</f>
        <v>45418</v>
      </c>
      <c r="J2114" s="29" t="s">
        <v>4862</v>
      </c>
      <c r="K2114" s="26" t="s">
        <v>7986</v>
      </c>
      <c r="L2114" s="30">
        <v>833508618</v>
      </c>
      <c r="M2114" s="26" t="s">
        <v>391</v>
      </c>
      <c r="N2114" s="26" t="s">
        <v>327</v>
      </c>
      <c r="O2114" s="26" t="s">
        <v>134</v>
      </c>
      <c r="P2114" s="42" t="s">
        <v>4865</v>
      </c>
      <c r="Q2114" s="20">
        <v>7349</v>
      </c>
      <c r="R2114" s="26" t="s">
        <v>36</v>
      </c>
      <c r="S2114" s="31">
        <v>1000</v>
      </c>
      <c r="T2114" s="32">
        <v>44768</v>
      </c>
      <c r="U2114" s="31">
        <v>15968</v>
      </c>
      <c r="V2114" s="32">
        <v>44770</v>
      </c>
      <c r="W2114" s="33" t="s">
        <v>4866</v>
      </c>
      <c r="X2114" s="26"/>
      <c r="Y2114" s="22">
        <v>-9619</v>
      </c>
      <c r="Z2114" s="26" t="s">
        <v>118</v>
      </c>
      <c r="AA2114" s="19" t="s">
        <v>4541</v>
      </c>
      <c r="AB2114" s="26" t="s">
        <v>36</v>
      </c>
      <c r="AC2114" s="26" t="s">
        <v>53</v>
      </c>
      <c r="AD2114" s="19" t="s">
        <v>54</v>
      </c>
      <c r="AE2114" s="26" t="s">
        <v>3336</v>
      </c>
      <c r="AF2114" s="17">
        <v>45414</v>
      </c>
      <c r="AG2114" s="26"/>
      <c r="AH2114" s="26"/>
      <c r="AI2114" s="40"/>
      <c r="AJ2114" s="26"/>
      <c r="AK2114" s="26"/>
      <c r="AL2114" s="35"/>
      <c r="AM2114" s="35"/>
      <c r="AN2114" s="35"/>
      <c r="AO2114" s="35"/>
      <c r="AP2114" s="35"/>
    </row>
    <row r="2115" spans="1:42" x14ac:dyDescent="0.2">
      <c r="A2115" s="14">
        <v>45401</v>
      </c>
      <c r="B2115" s="28" t="s">
        <v>37</v>
      </c>
      <c r="C2115" s="41" t="s">
        <v>118</v>
      </c>
      <c r="D2115" s="26" t="s">
        <v>36</v>
      </c>
      <c r="E2115" s="26" t="s">
        <v>56</v>
      </c>
      <c r="F2115" s="26" t="s">
        <v>1436</v>
      </c>
      <c r="G2115" s="26" t="s">
        <v>41</v>
      </c>
      <c r="H2115" s="26" t="s">
        <v>7506</v>
      </c>
      <c r="I2115" s="17">
        <f ca="1">IFERROR(__xludf.DUMMYFUNCTION("""COMPUTED_VALUE"""),45407)</f>
        <v>45407</v>
      </c>
      <c r="J2115" s="29" t="s">
        <v>1437</v>
      </c>
      <c r="K2115" s="26" t="s">
        <v>7987</v>
      </c>
      <c r="L2115" s="30">
        <v>334486906</v>
      </c>
      <c r="M2115" s="26" t="s">
        <v>94</v>
      </c>
      <c r="N2115" s="26" t="s">
        <v>672</v>
      </c>
      <c r="O2115" s="26" t="s">
        <v>36</v>
      </c>
      <c r="P2115" s="26" t="s">
        <v>1439</v>
      </c>
      <c r="Q2115" s="20">
        <v>9317</v>
      </c>
      <c r="R2115" s="26" t="s">
        <v>36</v>
      </c>
      <c r="S2115" s="31">
        <v>9317</v>
      </c>
      <c r="T2115" s="32">
        <v>45148</v>
      </c>
      <c r="U2115" s="31"/>
      <c r="V2115" s="26"/>
      <c r="W2115" s="55" t="s">
        <v>1440</v>
      </c>
      <c r="X2115" s="26">
        <v>100</v>
      </c>
      <c r="Y2115" s="22">
        <v>-100</v>
      </c>
      <c r="Z2115" s="26" t="s">
        <v>118</v>
      </c>
      <c r="AA2115" s="19" t="s">
        <v>901</v>
      </c>
      <c r="AB2115" s="26" t="s">
        <v>104</v>
      </c>
      <c r="AC2115" s="26" t="s">
        <v>53</v>
      </c>
      <c r="AD2115" s="19" t="s">
        <v>54</v>
      </c>
      <c r="AE2115" s="26" t="s">
        <v>1436</v>
      </c>
      <c r="AF2115" s="17">
        <v>45169</v>
      </c>
      <c r="AG2115" s="26"/>
      <c r="AH2115" s="26">
        <v>1</v>
      </c>
      <c r="AI2115" s="40" t="s">
        <v>64</v>
      </c>
      <c r="AJ2115" s="26"/>
      <c r="AK2115" s="26"/>
      <c r="AL2115" s="35"/>
      <c r="AM2115" s="35"/>
      <c r="AN2115" s="35"/>
      <c r="AO2115" s="35"/>
      <c r="AP2115" s="35"/>
    </row>
    <row r="2116" spans="1:42" x14ac:dyDescent="0.2">
      <c r="A2116" s="14">
        <v>45403</v>
      </c>
      <c r="B2116" s="28" t="s">
        <v>37</v>
      </c>
      <c r="C2116" s="41" t="s">
        <v>118</v>
      </c>
      <c r="D2116" s="26" t="s">
        <v>36</v>
      </c>
      <c r="E2116" s="26" t="s">
        <v>56</v>
      </c>
      <c r="F2116" s="26" t="s">
        <v>3295</v>
      </c>
      <c r="G2116" s="26" t="s">
        <v>221</v>
      </c>
      <c r="H2116" s="26" t="s">
        <v>7988</v>
      </c>
      <c r="I2116" s="17" t="str">
        <f ca="1">IFERROR(__xludf.DUMMYFUNCTION("""COMPUTED_VALUE""")," ")</f>
        <v xml:space="preserve"> </v>
      </c>
      <c r="J2116" s="29" t="s">
        <v>1368</v>
      </c>
      <c r="K2116" s="26" t="s">
        <v>3419</v>
      </c>
      <c r="L2116" s="66">
        <v>333601190</v>
      </c>
      <c r="M2116" s="26" t="s">
        <v>80</v>
      </c>
      <c r="N2116" s="26" t="s">
        <v>299</v>
      </c>
      <c r="O2116" s="26" t="s">
        <v>1370</v>
      </c>
      <c r="P2116" s="42" t="s">
        <v>7989</v>
      </c>
      <c r="Q2116" s="20">
        <v>9317</v>
      </c>
      <c r="R2116" s="26" t="s">
        <v>36</v>
      </c>
      <c r="S2116" s="31">
        <v>2000</v>
      </c>
      <c r="T2116" s="32">
        <v>45146</v>
      </c>
      <c r="U2116" s="31">
        <v>7317</v>
      </c>
      <c r="V2116" s="32">
        <v>45169</v>
      </c>
      <c r="W2116" s="33" t="s">
        <v>1372</v>
      </c>
      <c r="X2116" s="26">
        <v>0</v>
      </c>
      <c r="Y2116" s="22">
        <v>0</v>
      </c>
      <c r="Z2116" s="26" t="s">
        <v>118</v>
      </c>
      <c r="AA2116" s="19" t="s">
        <v>901</v>
      </c>
      <c r="AB2116" s="26" t="s">
        <v>3421</v>
      </c>
      <c r="AC2116" s="26" t="s">
        <v>53</v>
      </c>
      <c r="AD2116" s="19" t="s">
        <v>54</v>
      </c>
      <c r="AE2116" s="26" t="s">
        <v>3295</v>
      </c>
      <c r="AF2116" s="17">
        <v>45414</v>
      </c>
      <c r="AG2116" s="26"/>
      <c r="AH2116" s="26">
        <v>1</v>
      </c>
      <c r="AI2116" s="40" t="s">
        <v>64</v>
      </c>
      <c r="AJ2116" s="26"/>
      <c r="AK2116" s="26"/>
      <c r="AL2116" s="35"/>
      <c r="AM2116" s="35"/>
      <c r="AN2116" s="35"/>
      <c r="AO2116" s="35"/>
      <c r="AP2116" s="35"/>
    </row>
    <row r="2117" spans="1:42" x14ac:dyDescent="0.2">
      <c r="A2117" s="14">
        <v>45403</v>
      </c>
      <c r="B2117" s="28" t="s">
        <v>37</v>
      </c>
      <c r="C2117" s="41" t="s">
        <v>118</v>
      </c>
      <c r="D2117" s="26" t="s">
        <v>36</v>
      </c>
      <c r="E2117" s="26" t="s">
        <v>139</v>
      </c>
      <c r="F2117" s="26" t="s">
        <v>1788</v>
      </c>
      <c r="G2117" s="26" t="s">
        <v>221</v>
      </c>
      <c r="H2117" s="26" t="s">
        <v>6512</v>
      </c>
      <c r="I2117" s="17">
        <f ca="1">IFERROR(__xludf.DUMMYFUNCTION("""COMPUTED_VALUE"""),45431)</f>
        <v>45431</v>
      </c>
      <c r="J2117" s="29" t="s">
        <v>1113</v>
      </c>
      <c r="K2117" s="26" t="s">
        <v>2439</v>
      </c>
      <c r="L2117" s="30">
        <v>967495817</v>
      </c>
      <c r="M2117" s="26" t="s">
        <v>123</v>
      </c>
      <c r="N2117" s="26" t="s">
        <v>151</v>
      </c>
      <c r="O2117" s="26" t="s">
        <v>134</v>
      </c>
      <c r="P2117" s="42" t="s">
        <v>1115</v>
      </c>
      <c r="Q2117" s="20">
        <v>15936</v>
      </c>
      <c r="R2117" s="26" t="s">
        <v>36</v>
      </c>
      <c r="S2117" s="31">
        <v>1968</v>
      </c>
      <c r="T2117" s="32">
        <v>45130</v>
      </c>
      <c r="U2117" s="64">
        <f>13960+8</f>
        <v>13968</v>
      </c>
      <c r="V2117" s="39" t="s">
        <v>1116</v>
      </c>
      <c r="W2117" s="33" t="s">
        <v>1117</v>
      </c>
      <c r="X2117" s="26">
        <v>0</v>
      </c>
      <c r="Y2117" s="22">
        <v>0</v>
      </c>
      <c r="Z2117" s="26" t="s">
        <v>118</v>
      </c>
      <c r="AA2117" s="19" t="s">
        <v>901</v>
      </c>
      <c r="AB2117" s="26" t="s">
        <v>104</v>
      </c>
      <c r="AC2117" s="26" t="s">
        <v>53</v>
      </c>
      <c r="AD2117" s="19" t="s">
        <v>54</v>
      </c>
      <c r="AE2117" s="26" t="s">
        <v>1788</v>
      </c>
      <c r="AF2117" s="17">
        <v>45414</v>
      </c>
      <c r="AG2117" s="26"/>
      <c r="AH2117" s="26">
        <v>1</v>
      </c>
      <c r="AI2117" s="40" t="s">
        <v>147</v>
      </c>
      <c r="AJ2117" s="26"/>
      <c r="AK2117" s="26"/>
      <c r="AL2117" s="35"/>
      <c r="AM2117" s="35"/>
      <c r="AN2117" s="35"/>
      <c r="AO2117" s="35"/>
      <c r="AP2117" s="35"/>
    </row>
    <row r="2118" spans="1:42" x14ac:dyDescent="0.2">
      <c r="A2118" s="14">
        <v>45406</v>
      </c>
      <c r="B2118" s="28" t="s">
        <v>37</v>
      </c>
      <c r="C2118" s="41" t="s">
        <v>118</v>
      </c>
      <c r="D2118" s="26" t="s">
        <v>36</v>
      </c>
      <c r="E2118" s="26" t="s">
        <v>139</v>
      </c>
      <c r="F2118" s="26" t="s">
        <v>889</v>
      </c>
      <c r="G2118" s="71" t="s">
        <v>108</v>
      </c>
      <c r="H2118" s="26" t="s">
        <v>2016</v>
      </c>
      <c r="I2118" s="17">
        <f ca="1">IFERROR(__xludf.DUMMYFUNCTION("""COMPUTED_VALUE"""),45365)</f>
        <v>45365</v>
      </c>
      <c r="J2118" s="29" t="s">
        <v>1118</v>
      </c>
      <c r="K2118" s="26" t="s">
        <v>7990</v>
      </c>
      <c r="L2118" s="30">
        <v>969712615</v>
      </c>
      <c r="M2118" s="26" t="s">
        <v>123</v>
      </c>
      <c r="N2118" s="26" t="s">
        <v>151</v>
      </c>
      <c r="O2118" s="26" t="s">
        <v>134</v>
      </c>
      <c r="P2118" s="42" t="s">
        <v>2438</v>
      </c>
      <c r="Q2118" s="20">
        <v>15936</v>
      </c>
      <c r="R2118" s="26" t="s">
        <v>36</v>
      </c>
      <c r="S2118" s="31">
        <v>1968</v>
      </c>
      <c r="T2118" s="32">
        <v>45131</v>
      </c>
      <c r="U2118" s="31">
        <v>13968</v>
      </c>
      <c r="V2118" s="32">
        <v>45153</v>
      </c>
      <c r="W2118" s="33" t="s">
        <v>1121</v>
      </c>
      <c r="X2118" s="26">
        <v>0</v>
      </c>
      <c r="Y2118" s="22">
        <v>0</v>
      </c>
      <c r="Z2118" s="26" t="s">
        <v>118</v>
      </c>
      <c r="AA2118" s="19" t="s">
        <v>901</v>
      </c>
      <c r="AB2118" s="26" t="s">
        <v>104</v>
      </c>
      <c r="AC2118" s="26" t="s">
        <v>53</v>
      </c>
      <c r="AD2118" s="19" t="s">
        <v>54</v>
      </c>
      <c r="AE2118" s="26" t="s">
        <v>642</v>
      </c>
      <c r="AF2118" s="43">
        <v>45218</v>
      </c>
      <c r="AG2118" s="26"/>
      <c r="AH2118" s="26">
        <v>1</v>
      </c>
      <c r="AI2118" s="40" t="s">
        <v>147</v>
      </c>
      <c r="AJ2118" s="26"/>
      <c r="AK2118" s="26"/>
      <c r="AL2118" s="35"/>
      <c r="AM2118" s="35"/>
      <c r="AN2118" s="35"/>
      <c r="AO2118" s="35"/>
      <c r="AP2118" s="35"/>
    </row>
    <row r="2119" spans="1:42" x14ac:dyDescent="0.2">
      <c r="A2119" s="14">
        <v>45406</v>
      </c>
      <c r="B2119" s="28" t="s">
        <v>37</v>
      </c>
      <c r="C2119" s="41" t="s">
        <v>118</v>
      </c>
      <c r="D2119" s="26" t="s">
        <v>36</v>
      </c>
      <c r="E2119" s="26" t="s">
        <v>56</v>
      </c>
      <c r="F2119" s="19" t="s">
        <v>2440</v>
      </c>
      <c r="G2119" s="26" t="s">
        <v>221</v>
      </c>
      <c r="H2119" s="26" t="s">
        <v>7991</v>
      </c>
      <c r="I2119" s="17" t="str">
        <f ca="1">IFERROR(__xludf.DUMMYFUNCTION("""COMPUTED_VALUE""")," ")</f>
        <v xml:space="preserve"> </v>
      </c>
      <c r="J2119" s="49" t="s">
        <v>1146</v>
      </c>
      <c r="K2119" s="19" t="s">
        <v>7992</v>
      </c>
      <c r="L2119" s="47">
        <v>866768171</v>
      </c>
      <c r="M2119" s="19" t="s">
        <v>80</v>
      </c>
      <c r="N2119" s="19" t="s">
        <v>186</v>
      </c>
      <c r="O2119" s="19" t="s">
        <v>1148</v>
      </c>
      <c r="P2119" s="42" t="s">
        <v>7993</v>
      </c>
      <c r="Q2119" s="20">
        <v>9317</v>
      </c>
      <c r="R2119" s="26" t="s">
        <v>36</v>
      </c>
      <c r="S2119" s="31">
        <v>4000</v>
      </c>
      <c r="T2119" s="32">
        <v>45133</v>
      </c>
      <c r="U2119" s="31">
        <v>5317</v>
      </c>
      <c r="V2119" s="32">
        <v>45163</v>
      </c>
      <c r="W2119" s="33" t="s">
        <v>1150</v>
      </c>
      <c r="X2119" s="26">
        <v>0</v>
      </c>
      <c r="Y2119" s="22">
        <v>0</v>
      </c>
      <c r="Z2119" s="26" t="s">
        <v>118</v>
      </c>
      <c r="AA2119" s="19" t="s">
        <v>901</v>
      </c>
      <c r="AB2119" s="26" t="s">
        <v>104</v>
      </c>
      <c r="AC2119" s="26" t="s">
        <v>53</v>
      </c>
      <c r="AD2119" s="19" t="s">
        <v>54</v>
      </c>
      <c r="AE2119" s="26" t="s">
        <v>2440</v>
      </c>
      <c r="AF2119" s="17">
        <v>45414</v>
      </c>
      <c r="AG2119" s="19"/>
      <c r="AH2119" s="26">
        <v>1</v>
      </c>
      <c r="AI2119" s="40" t="s">
        <v>64</v>
      </c>
      <c r="AJ2119" s="26"/>
      <c r="AK2119" s="26"/>
      <c r="AL2119" s="35"/>
      <c r="AM2119" s="35"/>
      <c r="AN2119" s="35"/>
      <c r="AO2119" s="35"/>
      <c r="AP2119" s="35"/>
    </row>
    <row r="2120" spans="1:42" x14ac:dyDescent="0.2">
      <c r="A2120" s="14">
        <v>45406</v>
      </c>
      <c r="B2120" s="28" t="s">
        <v>37</v>
      </c>
      <c r="C2120" s="41" t="s">
        <v>118</v>
      </c>
      <c r="D2120" s="26" t="s">
        <v>36</v>
      </c>
      <c r="E2120" s="26" t="s">
        <v>148</v>
      </c>
      <c r="F2120" s="26" t="s">
        <v>3181</v>
      </c>
      <c r="G2120" s="26" t="s">
        <v>221</v>
      </c>
      <c r="H2120" s="26" t="s">
        <v>7454</v>
      </c>
      <c r="I2120" s="17">
        <f ca="1">IFERROR(__xludf.DUMMYFUNCTION("""COMPUTED_VALUE"""),45418)</f>
        <v>45418</v>
      </c>
      <c r="J2120" s="29" t="s">
        <v>4355</v>
      </c>
      <c r="K2120" s="19" t="s">
        <v>4356</v>
      </c>
      <c r="L2120" s="30">
        <v>966871634</v>
      </c>
      <c r="M2120" s="26" t="s">
        <v>391</v>
      </c>
      <c r="N2120" s="26" t="s">
        <v>4357</v>
      </c>
      <c r="O2120" s="26" t="s">
        <v>4358</v>
      </c>
      <c r="P2120" s="42" t="s">
        <v>7994</v>
      </c>
      <c r="Q2120" s="20">
        <v>7349</v>
      </c>
      <c r="R2120" s="26" t="s">
        <v>36</v>
      </c>
      <c r="S2120" s="31">
        <v>7349</v>
      </c>
      <c r="T2120" s="32">
        <v>44900</v>
      </c>
      <c r="U2120" s="31"/>
      <c r="V2120" s="26"/>
      <c r="W2120" s="33" t="s">
        <v>4360</v>
      </c>
      <c r="X2120" s="26"/>
      <c r="Y2120" s="22">
        <v>0</v>
      </c>
      <c r="Z2120" s="26" t="s">
        <v>118</v>
      </c>
      <c r="AA2120" s="19" t="s">
        <v>3454</v>
      </c>
      <c r="AB2120" s="26" t="s">
        <v>128</v>
      </c>
      <c r="AC2120" s="26" t="s">
        <v>53</v>
      </c>
      <c r="AD2120" s="19" t="s">
        <v>54</v>
      </c>
      <c r="AE2120" s="26" t="s">
        <v>3181</v>
      </c>
      <c r="AF2120" s="17">
        <v>45408</v>
      </c>
      <c r="AG2120" s="26" t="s">
        <v>4361</v>
      </c>
      <c r="AH2120" s="26"/>
      <c r="AI2120" s="40"/>
      <c r="AJ2120" s="26"/>
      <c r="AK2120" s="26"/>
      <c r="AL2120" s="35"/>
      <c r="AM2120" s="35"/>
      <c r="AN2120" s="35"/>
      <c r="AO2120" s="35"/>
      <c r="AP2120" s="35"/>
    </row>
    <row r="2121" spans="1:42" x14ac:dyDescent="0.2">
      <c r="A2121" s="14">
        <v>45406</v>
      </c>
      <c r="B2121" s="28" t="s">
        <v>37</v>
      </c>
      <c r="C2121" s="41" t="s">
        <v>118</v>
      </c>
      <c r="D2121" s="26" t="s">
        <v>36</v>
      </c>
      <c r="E2121" s="26" t="s">
        <v>219</v>
      </c>
      <c r="F2121" s="19" t="s">
        <v>2440</v>
      </c>
      <c r="G2121" s="26" t="s">
        <v>221</v>
      </c>
      <c r="H2121" s="26" t="s">
        <v>7454</v>
      </c>
      <c r="I2121" s="17">
        <f ca="1">IFERROR(__xludf.DUMMYFUNCTION("""COMPUTED_VALUE"""),45418)</f>
        <v>45418</v>
      </c>
      <c r="J2121" s="29" t="s">
        <v>7995</v>
      </c>
      <c r="K2121" s="26" t="s">
        <v>6239</v>
      </c>
      <c r="L2121" s="30">
        <v>945710064</v>
      </c>
      <c r="M2121" s="26" t="s">
        <v>391</v>
      </c>
      <c r="N2121" s="26" t="s">
        <v>7996</v>
      </c>
      <c r="O2121" s="26" t="s">
        <v>6240</v>
      </c>
      <c r="P2121" s="42" t="s">
        <v>7997</v>
      </c>
      <c r="Q2121" s="20">
        <v>7824</v>
      </c>
      <c r="R2121" s="26" t="s">
        <v>36</v>
      </c>
      <c r="S2121" s="31">
        <v>4000</v>
      </c>
      <c r="T2121" s="32">
        <v>45142</v>
      </c>
      <c r="U2121" s="31">
        <v>3824</v>
      </c>
      <c r="V2121" s="38">
        <v>45159</v>
      </c>
      <c r="W2121" s="33" t="s">
        <v>7998</v>
      </c>
      <c r="X2121" s="26"/>
      <c r="Y2121" s="22">
        <v>0</v>
      </c>
      <c r="Z2121" s="26" t="s">
        <v>118</v>
      </c>
      <c r="AA2121" s="19" t="s">
        <v>901</v>
      </c>
      <c r="AB2121" s="26" t="s">
        <v>36</v>
      </c>
      <c r="AC2121" s="26" t="s">
        <v>53</v>
      </c>
      <c r="AD2121" s="14" t="s">
        <v>54</v>
      </c>
      <c r="AE2121" s="26" t="s">
        <v>2440</v>
      </c>
      <c r="AF2121" s="17">
        <v>45414</v>
      </c>
      <c r="AG2121" s="91"/>
      <c r="AH2121" s="26"/>
      <c r="AI2121" s="92"/>
      <c r="AJ2121" s="35"/>
      <c r="AK2121" s="35"/>
      <c r="AL2121" s="35"/>
      <c r="AM2121" s="35"/>
      <c r="AN2121" s="26"/>
      <c r="AO2121" s="26"/>
      <c r="AP2121" s="35"/>
    </row>
    <row r="2122" spans="1:42" x14ac:dyDescent="0.2">
      <c r="A2122" s="14">
        <v>45406</v>
      </c>
      <c r="B2122" s="28" t="s">
        <v>37</v>
      </c>
      <c r="C2122" s="41" t="s">
        <v>118</v>
      </c>
      <c r="D2122" s="26" t="s">
        <v>36</v>
      </c>
      <c r="E2122" s="26" t="s">
        <v>139</v>
      </c>
      <c r="F2122" s="26" t="s">
        <v>5472</v>
      </c>
      <c r="G2122" s="26" t="s">
        <v>221</v>
      </c>
      <c r="H2122" s="26" t="s">
        <v>6882</v>
      </c>
      <c r="I2122" s="17">
        <f ca="1">IFERROR(__xludf.DUMMYFUNCTION("""COMPUTED_VALUE"""),45442)</f>
        <v>45442</v>
      </c>
      <c r="J2122" s="29" t="s">
        <v>5380</v>
      </c>
      <c r="K2122" s="26" t="s">
        <v>7999</v>
      </c>
      <c r="L2122" s="30">
        <v>398926200</v>
      </c>
      <c r="M2122" s="26" t="s">
        <v>80</v>
      </c>
      <c r="N2122" s="26" t="s">
        <v>186</v>
      </c>
      <c r="O2122" s="26" t="s">
        <v>5382</v>
      </c>
      <c r="P2122" s="42" t="s">
        <v>6095</v>
      </c>
      <c r="Q2122" s="20">
        <v>15936</v>
      </c>
      <c r="R2122" s="26" t="s">
        <v>36</v>
      </c>
      <c r="S2122" s="31">
        <v>2000</v>
      </c>
      <c r="T2122" s="32">
        <v>45215</v>
      </c>
      <c r="U2122" s="58">
        <v>13936</v>
      </c>
      <c r="V2122" s="59">
        <v>45260</v>
      </c>
      <c r="W2122" s="33" t="s">
        <v>5384</v>
      </c>
      <c r="X2122" s="26"/>
      <c r="Y2122" s="22">
        <v>0</v>
      </c>
      <c r="Z2122" s="26" t="s">
        <v>118</v>
      </c>
      <c r="AA2122" s="19" t="s">
        <v>5112</v>
      </c>
      <c r="AB2122" s="26" t="s">
        <v>104</v>
      </c>
      <c r="AC2122" s="26" t="s">
        <v>53</v>
      </c>
      <c r="AD2122" s="19" t="s">
        <v>54</v>
      </c>
      <c r="AE2122" s="26" t="s">
        <v>5472</v>
      </c>
      <c r="AF2122" s="17">
        <v>45435</v>
      </c>
      <c r="AG2122" s="26"/>
      <c r="AH2122" s="26"/>
      <c r="AI2122" s="40" t="s">
        <v>147</v>
      </c>
      <c r="AJ2122" s="26"/>
      <c r="AK2122" s="26"/>
      <c r="AL2122" s="35"/>
      <c r="AM2122" s="35"/>
      <c r="AN2122" s="35"/>
      <c r="AO2122" s="35"/>
      <c r="AP2122" s="35"/>
    </row>
    <row r="2123" spans="1:42" x14ac:dyDescent="0.2">
      <c r="A2123" s="14">
        <v>45406</v>
      </c>
      <c r="B2123" s="28" t="s">
        <v>37</v>
      </c>
      <c r="C2123" s="41" t="s">
        <v>118</v>
      </c>
      <c r="D2123" s="26" t="s">
        <v>36</v>
      </c>
      <c r="E2123" s="26" t="s">
        <v>219</v>
      </c>
      <c r="F2123" s="26" t="s">
        <v>3181</v>
      </c>
      <c r="G2123" s="26" t="s">
        <v>221</v>
      </c>
      <c r="H2123" s="26" t="s">
        <v>7454</v>
      </c>
      <c r="I2123" s="17">
        <f ca="1">IFERROR(__xludf.DUMMYFUNCTION("""COMPUTED_VALUE"""),45418)</f>
        <v>45418</v>
      </c>
      <c r="J2123" s="29" t="s">
        <v>5844</v>
      </c>
      <c r="K2123" s="26" t="s">
        <v>8000</v>
      </c>
      <c r="L2123" s="30">
        <v>901548495</v>
      </c>
      <c r="M2123" s="26" t="s">
        <v>348</v>
      </c>
      <c r="N2123" s="26" t="s">
        <v>200</v>
      </c>
      <c r="O2123" s="26" t="s">
        <v>5847</v>
      </c>
      <c r="P2123" s="42" t="s">
        <v>8001</v>
      </c>
      <c r="Q2123" s="20">
        <v>7824</v>
      </c>
      <c r="R2123" s="26" t="s">
        <v>36</v>
      </c>
      <c r="S2123" s="31">
        <v>7824</v>
      </c>
      <c r="T2123" s="32">
        <v>45111</v>
      </c>
      <c r="U2123" s="31"/>
      <c r="V2123" s="26"/>
      <c r="W2123" s="33" t="s">
        <v>8002</v>
      </c>
      <c r="X2123" s="26"/>
      <c r="Y2123" s="22">
        <v>0</v>
      </c>
      <c r="Z2123" s="26" t="s">
        <v>118</v>
      </c>
      <c r="AA2123" s="19" t="s">
        <v>51</v>
      </c>
      <c r="AB2123" s="26" t="s">
        <v>36</v>
      </c>
      <c r="AC2123" s="26" t="s">
        <v>53</v>
      </c>
      <c r="AD2123" s="14" t="s">
        <v>54</v>
      </c>
      <c r="AE2123" s="26" t="s">
        <v>3181</v>
      </c>
      <c r="AF2123" s="17">
        <v>45408</v>
      </c>
      <c r="AG2123" s="40"/>
      <c r="AH2123" s="40"/>
      <c r="AI2123" s="126"/>
      <c r="AJ2123" s="26"/>
      <c r="AK2123" s="26"/>
      <c r="AL2123" s="26"/>
      <c r="AM2123" s="35"/>
      <c r="AN2123" s="35"/>
      <c r="AO2123" s="35"/>
      <c r="AP2123" s="35"/>
    </row>
    <row r="2124" spans="1:42" x14ac:dyDescent="0.2">
      <c r="A2124" s="14">
        <v>45406</v>
      </c>
      <c r="B2124" s="28" t="s">
        <v>37</v>
      </c>
      <c r="C2124" s="41" t="s">
        <v>118</v>
      </c>
      <c r="D2124" s="26" t="s">
        <v>36</v>
      </c>
      <c r="E2124" s="26" t="s">
        <v>219</v>
      </c>
      <c r="F2124" s="26" t="s">
        <v>5472</v>
      </c>
      <c r="G2124" s="26" t="s">
        <v>221</v>
      </c>
      <c r="H2124" s="26" t="s">
        <v>6882</v>
      </c>
      <c r="I2124" s="17">
        <f ca="1">IFERROR(__xludf.DUMMYFUNCTION("""COMPUTED_VALUE"""),45442)</f>
        <v>45442</v>
      </c>
      <c r="J2124" s="29" t="s">
        <v>3423</v>
      </c>
      <c r="K2124" s="26" t="s">
        <v>8003</v>
      </c>
      <c r="L2124" s="30">
        <v>877840326</v>
      </c>
      <c r="M2124" s="26" t="s">
        <v>1245</v>
      </c>
      <c r="N2124" s="26" t="s">
        <v>1246</v>
      </c>
      <c r="O2124" s="35"/>
      <c r="P2124" s="42" t="s">
        <v>8004</v>
      </c>
      <c r="Q2124" s="20"/>
      <c r="R2124" s="26" t="s">
        <v>36</v>
      </c>
      <c r="S2124" s="31">
        <v>16779</v>
      </c>
      <c r="T2124" s="32">
        <v>44851</v>
      </c>
      <c r="U2124" s="31"/>
      <c r="V2124" s="38"/>
      <c r="W2124" s="33" t="s">
        <v>3427</v>
      </c>
      <c r="X2124" s="26">
        <v>0</v>
      </c>
      <c r="Y2124" s="22">
        <v>0</v>
      </c>
      <c r="Z2124" s="26" t="s">
        <v>118</v>
      </c>
      <c r="AA2124" s="19" t="s">
        <v>3327</v>
      </c>
      <c r="AB2124" s="26" t="s">
        <v>36</v>
      </c>
      <c r="AC2124" s="26" t="s">
        <v>53</v>
      </c>
      <c r="AD2124" s="19" t="s">
        <v>54</v>
      </c>
      <c r="AE2124" s="35" t="s">
        <v>5472</v>
      </c>
      <c r="AF2124" s="17">
        <v>45435</v>
      </c>
      <c r="AG2124" s="91" t="s">
        <v>8005</v>
      </c>
      <c r="AH2124" s="35"/>
      <c r="AI2124" s="92"/>
      <c r="AJ2124" s="35"/>
      <c r="AK2124" s="35"/>
      <c r="AL2124" s="35"/>
      <c r="AM2124" s="35"/>
      <c r="AN2124" s="35"/>
      <c r="AO2124" s="35"/>
      <c r="AP2124" s="35"/>
    </row>
    <row r="2125" spans="1:42" x14ac:dyDescent="0.2">
      <c r="A2125" s="14">
        <v>45406</v>
      </c>
      <c r="B2125" s="28" t="s">
        <v>37</v>
      </c>
      <c r="C2125" s="41" t="s">
        <v>118</v>
      </c>
      <c r="D2125" s="26" t="s">
        <v>36</v>
      </c>
      <c r="E2125" s="26" t="s">
        <v>412</v>
      </c>
      <c r="F2125" s="26" t="s">
        <v>5472</v>
      </c>
      <c r="G2125" s="26" t="s">
        <v>221</v>
      </c>
      <c r="H2125" s="26" t="s">
        <v>6882</v>
      </c>
      <c r="I2125" s="17">
        <f ca="1">IFERROR(__xludf.DUMMYFUNCTION("""COMPUTED_VALUE"""),45442)</f>
        <v>45442</v>
      </c>
      <c r="J2125" s="29" t="s">
        <v>414</v>
      </c>
      <c r="K2125" s="19" t="s">
        <v>8006</v>
      </c>
      <c r="L2125" s="30">
        <v>342575428</v>
      </c>
      <c r="M2125" s="26" t="s">
        <v>59</v>
      </c>
      <c r="N2125" s="26" t="s">
        <v>68</v>
      </c>
      <c r="O2125" s="26" t="s">
        <v>416</v>
      </c>
      <c r="P2125" s="42" t="s">
        <v>8007</v>
      </c>
      <c r="Q2125" s="20">
        <v>12412</v>
      </c>
      <c r="R2125" s="26" t="s">
        <v>36</v>
      </c>
      <c r="S2125" s="21">
        <v>12355</v>
      </c>
      <c r="T2125" s="32">
        <v>45119</v>
      </c>
      <c r="U2125" s="31"/>
      <c r="V2125" s="16" t="s">
        <v>418</v>
      </c>
      <c r="W2125" s="33" t="s">
        <v>419</v>
      </c>
      <c r="X2125" s="26">
        <v>0</v>
      </c>
      <c r="Y2125" s="22">
        <v>57</v>
      </c>
      <c r="Z2125" s="26" t="s">
        <v>118</v>
      </c>
      <c r="AA2125" s="19" t="s">
        <v>51</v>
      </c>
      <c r="AB2125" s="26" t="s">
        <v>36</v>
      </c>
      <c r="AC2125" s="26" t="s">
        <v>53</v>
      </c>
      <c r="AD2125" s="19" t="s">
        <v>54</v>
      </c>
      <c r="AE2125" s="26" t="s">
        <v>5472</v>
      </c>
      <c r="AF2125" s="17">
        <v>45435</v>
      </c>
      <c r="AG2125" s="26"/>
      <c r="AH2125" s="26">
        <v>1</v>
      </c>
      <c r="AI2125" s="40" t="s">
        <v>421</v>
      </c>
      <c r="AJ2125" s="26"/>
      <c r="AK2125" s="26"/>
      <c r="AL2125" s="35"/>
      <c r="AM2125" s="35"/>
      <c r="AN2125" s="35"/>
      <c r="AO2125" s="35"/>
      <c r="AP2125" s="35"/>
    </row>
    <row r="2126" spans="1:42" x14ac:dyDescent="0.2">
      <c r="A2126" s="14">
        <v>45407</v>
      </c>
      <c r="B2126" s="28" t="s">
        <v>37</v>
      </c>
      <c r="C2126" s="41" t="s">
        <v>118</v>
      </c>
      <c r="D2126" s="26" t="s">
        <v>36</v>
      </c>
      <c r="E2126" s="26" t="s">
        <v>139</v>
      </c>
      <c r="F2126" s="26" t="s">
        <v>3397</v>
      </c>
      <c r="G2126" s="26" t="s">
        <v>221</v>
      </c>
      <c r="H2126" s="26" t="s">
        <v>6959</v>
      </c>
      <c r="I2126" s="17">
        <f ca="1">IFERROR(__xludf.DUMMYFUNCTION("""COMPUTED_VALUE"""),45415)</f>
        <v>45415</v>
      </c>
      <c r="J2126" s="29" t="s">
        <v>3809</v>
      </c>
      <c r="K2126" s="26" t="s">
        <v>3810</v>
      </c>
      <c r="L2126" s="30">
        <v>899512628</v>
      </c>
      <c r="M2126" s="26" t="s">
        <v>123</v>
      </c>
      <c r="N2126" s="26" t="s">
        <v>850</v>
      </c>
      <c r="O2126" s="26" t="s">
        <v>2737</v>
      </c>
      <c r="P2126" s="42" t="s">
        <v>8008</v>
      </c>
      <c r="Q2126" s="20">
        <v>15936</v>
      </c>
      <c r="R2126" s="26" t="s">
        <v>36</v>
      </c>
      <c r="S2126" s="31">
        <v>2000</v>
      </c>
      <c r="T2126" s="32">
        <v>45189</v>
      </c>
      <c r="U2126" s="31">
        <v>13968</v>
      </c>
      <c r="V2126" s="32">
        <v>45205</v>
      </c>
      <c r="W2126" s="33" t="s">
        <v>3811</v>
      </c>
      <c r="X2126" s="26"/>
      <c r="Y2126" s="22">
        <v>-32</v>
      </c>
      <c r="Z2126" s="26" t="s">
        <v>118</v>
      </c>
      <c r="AA2126" s="19" t="s">
        <v>4541</v>
      </c>
      <c r="AB2126" s="26" t="s">
        <v>36</v>
      </c>
      <c r="AC2126" s="26" t="s">
        <v>53</v>
      </c>
      <c r="AD2126" s="19" t="s">
        <v>138</v>
      </c>
      <c r="AE2126" s="26" t="s">
        <v>3397</v>
      </c>
      <c r="AF2126" s="17">
        <v>45415</v>
      </c>
      <c r="AG2126" s="26" t="s">
        <v>3399</v>
      </c>
      <c r="AH2126" s="26"/>
      <c r="AI2126" s="40"/>
      <c r="AJ2126" s="26"/>
      <c r="AK2126" s="26"/>
      <c r="AL2126" s="35"/>
      <c r="AM2126" s="35"/>
      <c r="AN2126" s="35"/>
      <c r="AO2126" s="35"/>
      <c r="AP2126" s="35"/>
    </row>
    <row r="2127" spans="1:42" x14ac:dyDescent="0.2">
      <c r="A2127" s="14">
        <v>45407</v>
      </c>
      <c r="B2127" s="28" t="s">
        <v>37</v>
      </c>
      <c r="C2127" s="41" t="s">
        <v>118</v>
      </c>
      <c r="D2127" s="26" t="s">
        <v>36</v>
      </c>
      <c r="E2127" s="26" t="s">
        <v>139</v>
      </c>
      <c r="F2127" s="26" t="s">
        <v>3397</v>
      </c>
      <c r="G2127" s="26" t="s">
        <v>221</v>
      </c>
      <c r="H2127" s="26" t="s">
        <v>6959</v>
      </c>
      <c r="I2127" s="17">
        <f ca="1">IFERROR(__xludf.DUMMYFUNCTION("""COMPUTED_VALUE"""),45415)</f>
        <v>45415</v>
      </c>
      <c r="J2127" s="29" t="s">
        <v>4046</v>
      </c>
      <c r="K2127" s="26" t="s">
        <v>4047</v>
      </c>
      <c r="L2127" s="30">
        <v>945493468</v>
      </c>
      <c r="M2127" s="26" t="s">
        <v>123</v>
      </c>
      <c r="N2127" s="26" t="s">
        <v>850</v>
      </c>
      <c r="O2127" s="26" t="s">
        <v>1226</v>
      </c>
      <c r="P2127" s="42" t="s">
        <v>4965</v>
      </c>
      <c r="Q2127" s="20">
        <v>15936</v>
      </c>
      <c r="R2127" s="26" t="s">
        <v>70</v>
      </c>
      <c r="S2127" s="31">
        <v>2000</v>
      </c>
      <c r="T2127" s="32">
        <v>45202</v>
      </c>
      <c r="U2127" s="31">
        <v>13836</v>
      </c>
      <c r="V2127" s="32">
        <v>45205</v>
      </c>
      <c r="W2127" s="33" t="s">
        <v>4048</v>
      </c>
      <c r="X2127" s="26"/>
      <c r="Y2127" s="22">
        <v>100</v>
      </c>
      <c r="Z2127" s="26" t="s">
        <v>118</v>
      </c>
      <c r="AA2127" s="19" t="s">
        <v>4541</v>
      </c>
      <c r="AB2127" s="26" t="s">
        <v>36</v>
      </c>
      <c r="AC2127" s="26" t="s">
        <v>53</v>
      </c>
      <c r="AD2127" s="19" t="s">
        <v>138</v>
      </c>
      <c r="AE2127" s="26" t="s">
        <v>3397</v>
      </c>
      <c r="AF2127" s="17">
        <v>45415</v>
      </c>
      <c r="AG2127" s="26" t="s">
        <v>3399</v>
      </c>
      <c r="AH2127" s="26"/>
      <c r="AI2127" s="40"/>
      <c r="AJ2127" s="26"/>
      <c r="AK2127" s="26"/>
      <c r="AL2127" s="35"/>
      <c r="AM2127" s="35"/>
      <c r="AN2127" s="35"/>
      <c r="AO2127" s="35"/>
      <c r="AP2127" s="35"/>
    </row>
    <row r="2128" spans="1:42" x14ac:dyDescent="0.2">
      <c r="A2128" s="14">
        <v>45407</v>
      </c>
      <c r="B2128" s="28" t="s">
        <v>37</v>
      </c>
      <c r="C2128" s="41" t="s">
        <v>118</v>
      </c>
      <c r="D2128" s="26" t="s">
        <v>36</v>
      </c>
      <c r="E2128" s="26" t="s">
        <v>56</v>
      </c>
      <c r="F2128" s="26" t="s">
        <v>2440</v>
      </c>
      <c r="G2128" s="26" t="s">
        <v>221</v>
      </c>
      <c r="H2128" s="26" t="s">
        <v>7454</v>
      </c>
      <c r="I2128" s="17">
        <f ca="1">IFERROR(__xludf.DUMMYFUNCTION("""COMPUTED_VALUE"""),45418)</f>
        <v>45418</v>
      </c>
      <c r="J2128" s="29" t="s">
        <v>2863</v>
      </c>
      <c r="K2128" s="26" t="s">
        <v>6100</v>
      </c>
      <c r="L2128" s="30">
        <v>963973205</v>
      </c>
      <c r="M2128" s="26" t="s">
        <v>548</v>
      </c>
      <c r="N2128" s="26" t="s">
        <v>1622</v>
      </c>
      <c r="O2128" s="26" t="s">
        <v>2866</v>
      </c>
      <c r="P2128" s="42" t="s">
        <v>8009</v>
      </c>
      <c r="Q2128" s="20">
        <v>9317</v>
      </c>
      <c r="R2128" s="26" t="s">
        <v>36</v>
      </c>
      <c r="S2128" s="31">
        <v>9317</v>
      </c>
      <c r="T2128" s="32">
        <v>45185</v>
      </c>
      <c r="U2128" s="31"/>
      <c r="V2128" s="26"/>
      <c r="W2128" s="33" t="s">
        <v>2868</v>
      </c>
      <c r="X2128" s="26"/>
      <c r="Y2128" s="22">
        <v>0</v>
      </c>
      <c r="Z2128" s="26" t="s">
        <v>118</v>
      </c>
      <c r="AA2128" s="19" t="s">
        <v>2449</v>
      </c>
      <c r="AB2128" s="26" t="s">
        <v>36</v>
      </c>
      <c r="AC2128" s="26" t="s">
        <v>53</v>
      </c>
      <c r="AD2128" s="19" t="s">
        <v>54</v>
      </c>
      <c r="AE2128" s="26" t="s">
        <v>2440</v>
      </c>
      <c r="AF2128" s="17">
        <v>45408</v>
      </c>
      <c r="AG2128" s="61" t="s">
        <v>2865</v>
      </c>
      <c r="AH2128" s="26"/>
      <c r="AI2128" s="40"/>
      <c r="AJ2128" s="26"/>
      <c r="AK2128" s="26"/>
      <c r="AL2128" s="35"/>
      <c r="AM2128" s="35"/>
      <c r="AN2128" s="35"/>
      <c r="AO2128" s="35"/>
      <c r="AP2128" s="35"/>
    </row>
    <row r="2129" spans="1:42" x14ac:dyDescent="0.2">
      <c r="A2129" s="14">
        <v>45407</v>
      </c>
      <c r="B2129" s="28" t="s">
        <v>37</v>
      </c>
      <c r="C2129" s="41" t="s">
        <v>118</v>
      </c>
      <c r="D2129" s="26" t="s">
        <v>36</v>
      </c>
      <c r="E2129" s="26" t="s">
        <v>119</v>
      </c>
      <c r="F2129" s="26" t="s">
        <v>4869</v>
      </c>
      <c r="G2129" s="26" t="s">
        <v>221</v>
      </c>
      <c r="H2129" s="26" t="s">
        <v>6512</v>
      </c>
      <c r="I2129" s="17">
        <f ca="1">IFERROR(__xludf.DUMMYFUNCTION("""COMPUTED_VALUE"""),45431)</f>
        <v>45431</v>
      </c>
      <c r="J2129" s="29" t="s">
        <v>6682</v>
      </c>
      <c r="K2129" s="26" t="s">
        <v>8010</v>
      </c>
      <c r="L2129" s="30">
        <v>968591944</v>
      </c>
      <c r="M2129" s="26" t="s">
        <v>80</v>
      </c>
      <c r="N2129" s="26" t="s">
        <v>466</v>
      </c>
      <c r="O2129" s="26" t="s">
        <v>6684</v>
      </c>
      <c r="P2129" s="42" t="s">
        <v>8011</v>
      </c>
      <c r="Q2129" s="20">
        <v>13968</v>
      </c>
      <c r="R2129" s="26" t="s">
        <v>36</v>
      </c>
      <c r="S2129" s="31">
        <v>200</v>
      </c>
      <c r="T2129" s="32">
        <v>45250</v>
      </c>
      <c r="U2129" s="31">
        <f>3800 +9968</f>
        <v>13768</v>
      </c>
      <c r="V2129" s="26" t="s">
        <v>6686</v>
      </c>
      <c r="W2129" s="33" t="s">
        <v>6687</v>
      </c>
      <c r="X2129" s="26">
        <v>0</v>
      </c>
      <c r="Y2129" s="22">
        <v>0</v>
      </c>
      <c r="Z2129" s="26" t="s">
        <v>118</v>
      </c>
      <c r="AA2129" s="19" t="s">
        <v>6079</v>
      </c>
      <c r="AB2129" s="26" t="s">
        <v>36</v>
      </c>
      <c r="AC2129" s="26" t="s">
        <v>53</v>
      </c>
      <c r="AD2129" s="19" t="s">
        <v>138</v>
      </c>
      <c r="AE2129" s="26" t="s">
        <v>4869</v>
      </c>
      <c r="AF2129" s="17">
        <v>45415</v>
      </c>
      <c r="AG2129" s="26" t="s">
        <v>3399</v>
      </c>
      <c r="AH2129" s="26"/>
      <c r="AI2129" s="40">
        <v>4</v>
      </c>
      <c r="AJ2129" s="26"/>
      <c r="AK2129" s="26"/>
      <c r="AL2129" s="35"/>
      <c r="AM2129" s="35"/>
      <c r="AN2129" s="35"/>
      <c r="AO2129" s="35"/>
      <c r="AP2129" s="35"/>
    </row>
    <row r="2130" spans="1:42" x14ac:dyDescent="0.2">
      <c r="A2130" s="14">
        <v>45407</v>
      </c>
      <c r="B2130" s="28" t="s">
        <v>37</v>
      </c>
      <c r="C2130" s="41" t="s">
        <v>118</v>
      </c>
      <c r="D2130" s="26" t="s">
        <v>36</v>
      </c>
      <c r="E2130" s="26" t="s">
        <v>119</v>
      </c>
      <c r="F2130" s="26" t="s">
        <v>3407</v>
      </c>
      <c r="G2130" s="26" t="s">
        <v>221</v>
      </c>
      <c r="H2130" s="26" t="s">
        <v>6959</v>
      </c>
      <c r="I2130" s="17">
        <f ca="1">IFERROR(__xludf.DUMMYFUNCTION("""COMPUTED_VALUE"""),45415)</f>
        <v>45415</v>
      </c>
      <c r="J2130" s="29" t="s">
        <v>5531</v>
      </c>
      <c r="K2130" s="26" t="s">
        <v>4350</v>
      </c>
      <c r="L2130" s="30">
        <v>961765444</v>
      </c>
      <c r="M2130" s="26" t="s">
        <v>633</v>
      </c>
      <c r="N2130" s="26" t="s">
        <v>3115</v>
      </c>
      <c r="O2130" s="26" t="s">
        <v>4351</v>
      </c>
      <c r="P2130" s="42" t="s">
        <v>8012</v>
      </c>
      <c r="Q2130" s="20">
        <v>13968</v>
      </c>
      <c r="R2130" s="26" t="s">
        <v>36</v>
      </c>
      <c r="S2130" s="31">
        <v>13936</v>
      </c>
      <c r="T2130" s="32">
        <v>45231</v>
      </c>
      <c r="U2130" s="31"/>
      <c r="V2130" s="32"/>
      <c r="W2130" s="33" t="s">
        <v>5533</v>
      </c>
      <c r="X2130" s="26"/>
      <c r="Y2130" s="22">
        <v>32</v>
      </c>
      <c r="Z2130" s="26" t="s">
        <v>118</v>
      </c>
      <c r="AA2130" s="19" t="s">
        <v>5112</v>
      </c>
      <c r="AB2130" s="26" t="s">
        <v>36</v>
      </c>
      <c r="AC2130" s="26" t="s">
        <v>53</v>
      </c>
      <c r="AD2130" s="19" t="s">
        <v>138</v>
      </c>
      <c r="AE2130" s="26" t="s">
        <v>3407</v>
      </c>
      <c r="AF2130" s="17">
        <v>45415</v>
      </c>
      <c r="AG2130" s="26" t="s">
        <v>3399</v>
      </c>
      <c r="AH2130" s="26"/>
      <c r="AI2130" s="40">
        <v>4</v>
      </c>
      <c r="AJ2130" s="26"/>
      <c r="AK2130" s="26"/>
      <c r="AL2130" s="35"/>
      <c r="AM2130" s="35"/>
      <c r="AN2130" s="35"/>
      <c r="AO2130" s="35"/>
      <c r="AP2130" s="35"/>
    </row>
    <row r="2131" spans="1:42" x14ac:dyDescent="0.2">
      <c r="A2131" s="14">
        <v>45407</v>
      </c>
      <c r="B2131" s="28" t="s">
        <v>37</v>
      </c>
      <c r="C2131" s="41" t="s">
        <v>118</v>
      </c>
      <c r="D2131" s="26" t="s">
        <v>36</v>
      </c>
      <c r="E2131" s="26" t="s">
        <v>148</v>
      </c>
      <c r="F2131" s="26" t="s">
        <v>4869</v>
      </c>
      <c r="G2131" s="26" t="s">
        <v>221</v>
      </c>
      <c r="H2131" s="26" t="s">
        <v>8013</v>
      </c>
      <c r="I2131" s="17" t="str">
        <f ca="1">IFERROR(__xludf.DUMMYFUNCTION("""COMPUTED_VALUE""")," ")</f>
        <v xml:space="preserve"> </v>
      </c>
      <c r="J2131" s="29" t="s">
        <v>8014</v>
      </c>
      <c r="K2131" s="26" t="s">
        <v>8015</v>
      </c>
      <c r="L2131" s="30">
        <v>378723603</v>
      </c>
      <c r="M2131" s="26" t="s">
        <v>749</v>
      </c>
      <c r="N2131" s="26" t="s">
        <v>2022</v>
      </c>
      <c r="O2131" s="26" t="s">
        <v>8016</v>
      </c>
      <c r="P2131" s="54" t="s">
        <v>8017</v>
      </c>
      <c r="Q2131" s="20">
        <v>16779</v>
      </c>
      <c r="R2131" s="26" t="s">
        <v>36</v>
      </c>
      <c r="S2131" s="31">
        <v>2000</v>
      </c>
      <c r="T2131" s="74">
        <v>44854</v>
      </c>
      <c r="U2131" s="31">
        <v>14779</v>
      </c>
      <c r="V2131" s="74">
        <v>44873</v>
      </c>
      <c r="W2131" s="26" t="s">
        <v>8018</v>
      </c>
      <c r="X2131" s="26">
        <v>0</v>
      </c>
      <c r="Y2131" s="22">
        <v>0</v>
      </c>
      <c r="Z2131" s="98" t="s">
        <v>118</v>
      </c>
      <c r="AA2131" s="19"/>
      <c r="AB2131" s="26" t="s">
        <v>36</v>
      </c>
      <c r="AC2131" s="26" t="s">
        <v>53</v>
      </c>
      <c r="AD2131" s="14" t="s">
        <v>138</v>
      </c>
      <c r="AE2131" s="26" t="s">
        <v>4869</v>
      </c>
      <c r="AF2131" s="17">
        <v>45415</v>
      </c>
      <c r="AG2131" s="26" t="s">
        <v>3399</v>
      </c>
      <c r="AH2131" s="40"/>
      <c r="AI2131" s="126"/>
      <c r="AJ2131" s="26"/>
      <c r="AK2131" s="26"/>
      <c r="AL2131" s="26"/>
      <c r="AM2131" s="35"/>
      <c r="AN2131" s="35"/>
      <c r="AO2131" s="35"/>
      <c r="AP2131" s="35"/>
    </row>
    <row r="2132" spans="1:42" x14ac:dyDescent="0.2">
      <c r="A2132" s="14">
        <v>45407</v>
      </c>
      <c r="B2132" s="28" t="s">
        <v>37</v>
      </c>
      <c r="C2132" s="41" t="s">
        <v>118</v>
      </c>
      <c r="D2132" s="26" t="s">
        <v>36</v>
      </c>
      <c r="E2132" s="26" t="s">
        <v>148</v>
      </c>
      <c r="F2132" s="26" t="s">
        <v>3407</v>
      </c>
      <c r="G2132" s="26" t="s">
        <v>221</v>
      </c>
      <c r="H2132" s="26" t="s">
        <v>6959</v>
      </c>
      <c r="I2132" s="17">
        <f ca="1">IFERROR(__xludf.DUMMYFUNCTION("""COMPUTED_VALUE"""),45415)</f>
        <v>45415</v>
      </c>
      <c r="J2132" s="29" t="s">
        <v>6064</v>
      </c>
      <c r="K2132" s="26" t="s">
        <v>8019</v>
      </c>
      <c r="L2132" s="30">
        <v>948241838</v>
      </c>
      <c r="M2132" s="26" t="s">
        <v>123</v>
      </c>
      <c r="N2132" s="26" t="s">
        <v>4880</v>
      </c>
      <c r="O2132" s="26" t="s">
        <v>36</v>
      </c>
      <c r="P2132" s="42" t="s">
        <v>8020</v>
      </c>
      <c r="Q2132" s="20"/>
      <c r="R2132" s="26" t="s">
        <v>36</v>
      </c>
      <c r="S2132" s="31">
        <v>13615</v>
      </c>
      <c r="T2132" s="32">
        <v>44847</v>
      </c>
      <c r="U2132" s="31"/>
      <c r="V2132" s="26"/>
      <c r="W2132" s="33" t="s">
        <v>6066</v>
      </c>
      <c r="X2132" s="26"/>
      <c r="Y2132" s="22"/>
      <c r="Z2132" s="26" t="s">
        <v>118</v>
      </c>
      <c r="AA2132" s="19"/>
      <c r="AB2132" s="26" t="s">
        <v>36</v>
      </c>
      <c r="AC2132" s="26" t="s">
        <v>53</v>
      </c>
      <c r="AD2132" s="19" t="s">
        <v>138</v>
      </c>
      <c r="AE2132" s="26" t="s">
        <v>3407</v>
      </c>
      <c r="AF2132" s="17">
        <v>45415</v>
      </c>
      <c r="AG2132" s="26" t="s">
        <v>3399</v>
      </c>
      <c r="AH2132" s="26"/>
      <c r="AI2132" s="92"/>
      <c r="AJ2132" s="35"/>
      <c r="AK2132" s="35"/>
      <c r="AL2132" s="35"/>
      <c r="AM2132" s="35"/>
      <c r="AN2132" s="26"/>
      <c r="AO2132" s="26"/>
      <c r="AP2132" s="35"/>
    </row>
    <row r="2133" spans="1:42" x14ac:dyDescent="0.2">
      <c r="A2133" s="14">
        <v>45407</v>
      </c>
      <c r="B2133" s="28" t="s">
        <v>37</v>
      </c>
      <c r="C2133" s="41" t="s">
        <v>118</v>
      </c>
      <c r="D2133" s="26" t="s">
        <v>36</v>
      </c>
      <c r="E2133" s="26" t="s">
        <v>56</v>
      </c>
      <c r="F2133" s="26" t="s">
        <v>3407</v>
      </c>
      <c r="G2133" s="26" t="s">
        <v>221</v>
      </c>
      <c r="H2133" s="26" t="s">
        <v>6959</v>
      </c>
      <c r="I2133" s="17">
        <f ca="1">IFERROR(__xludf.DUMMYFUNCTION("""COMPUTED_VALUE"""),45415)</f>
        <v>45415</v>
      </c>
      <c r="J2133" s="29" t="s">
        <v>4460</v>
      </c>
      <c r="K2133" s="26" t="s">
        <v>4461</v>
      </c>
      <c r="L2133" s="30">
        <v>823916905</v>
      </c>
      <c r="M2133" s="26" t="s">
        <v>910</v>
      </c>
      <c r="N2133" s="26" t="s">
        <v>3221</v>
      </c>
      <c r="O2133" s="26" t="s">
        <v>3754</v>
      </c>
      <c r="P2133" s="42" t="s">
        <v>6044</v>
      </c>
      <c r="Q2133" s="20">
        <v>9317</v>
      </c>
      <c r="R2133" s="26" t="s">
        <v>36</v>
      </c>
      <c r="S2133" s="31">
        <v>9317</v>
      </c>
      <c r="T2133" s="32">
        <v>45228</v>
      </c>
      <c r="U2133" s="31"/>
      <c r="V2133" s="26"/>
      <c r="W2133" s="33" t="s">
        <v>4463</v>
      </c>
      <c r="X2133" s="26"/>
      <c r="Y2133" s="22">
        <v>0</v>
      </c>
      <c r="Z2133" s="26" t="s">
        <v>118</v>
      </c>
      <c r="AA2133" s="19" t="s">
        <v>3454</v>
      </c>
      <c r="AB2133" s="26" t="s">
        <v>36</v>
      </c>
      <c r="AC2133" s="26" t="s">
        <v>53</v>
      </c>
      <c r="AD2133" s="19" t="s">
        <v>138</v>
      </c>
      <c r="AE2133" s="26" t="s">
        <v>3407</v>
      </c>
      <c r="AF2133" s="17">
        <v>45415</v>
      </c>
      <c r="AG2133" s="26" t="s">
        <v>3399</v>
      </c>
      <c r="AH2133" s="26"/>
      <c r="AI2133" s="40"/>
      <c r="AJ2133" s="26"/>
      <c r="AK2133" s="26"/>
      <c r="AL2133" s="35"/>
      <c r="AM2133" s="35"/>
      <c r="AN2133" s="35"/>
      <c r="AO2133" s="35"/>
      <c r="AP2133" s="35"/>
    </row>
    <row r="2134" spans="1:42" x14ac:dyDescent="0.2">
      <c r="A2134" s="14">
        <v>45407</v>
      </c>
      <c r="B2134" s="28" t="s">
        <v>37</v>
      </c>
      <c r="C2134" s="41" t="s">
        <v>118</v>
      </c>
      <c r="D2134" s="26" t="s">
        <v>77</v>
      </c>
      <c r="E2134" s="26" t="s">
        <v>148</v>
      </c>
      <c r="F2134" s="26" t="s">
        <v>4869</v>
      </c>
      <c r="G2134" s="26" t="s">
        <v>221</v>
      </c>
      <c r="H2134" s="26" t="s">
        <v>8021</v>
      </c>
      <c r="I2134" s="17" t="str">
        <f ca="1">IFERROR(__xludf.DUMMYFUNCTION("""COMPUTED_VALUE""")," ")</f>
        <v xml:space="preserve"> </v>
      </c>
      <c r="J2134" s="29" t="s">
        <v>6743</v>
      </c>
      <c r="K2134" s="26" t="s">
        <v>8022</v>
      </c>
      <c r="L2134" s="30">
        <v>964054871</v>
      </c>
      <c r="M2134" s="26" t="s">
        <v>3728</v>
      </c>
      <c r="N2134" s="26" t="s">
        <v>299</v>
      </c>
      <c r="O2134" s="26" t="s">
        <v>6745</v>
      </c>
      <c r="P2134" s="42" t="s">
        <v>8023</v>
      </c>
      <c r="Q2134" s="20">
        <v>7349</v>
      </c>
      <c r="R2134" s="26" t="s">
        <v>36</v>
      </c>
      <c r="S2134" s="31">
        <f>7629-280</f>
        <v>7349</v>
      </c>
      <c r="T2134" s="32">
        <v>45300</v>
      </c>
      <c r="U2134" s="31"/>
      <c r="V2134" s="34" t="s">
        <v>6747</v>
      </c>
      <c r="W2134" s="33" t="s">
        <v>6748</v>
      </c>
      <c r="X2134" s="26">
        <v>100</v>
      </c>
      <c r="Y2134" s="22">
        <v>-100</v>
      </c>
      <c r="Z2134" s="26" t="s">
        <v>118</v>
      </c>
      <c r="AA2134" s="19" t="s">
        <v>6079</v>
      </c>
      <c r="AB2134" s="26" t="s">
        <v>36</v>
      </c>
      <c r="AC2134" s="26" t="s">
        <v>53</v>
      </c>
      <c r="AD2134" s="19" t="s">
        <v>138</v>
      </c>
      <c r="AE2134" s="26" t="s">
        <v>4869</v>
      </c>
      <c r="AF2134" s="17">
        <v>45415</v>
      </c>
      <c r="AG2134" s="26" t="s">
        <v>3399</v>
      </c>
      <c r="AH2134" s="26"/>
      <c r="AI2134" s="40">
        <v>2</v>
      </c>
      <c r="AJ2134" s="26"/>
      <c r="AK2134" s="26"/>
      <c r="AL2134" s="35"/>
      <c r="AM2134" s="35"/>
      <c r="AN2134" s="35"/>
      <c r="AO2134" s="35"/>
      <c r="AP2134" s="35"/>
    </row>
    <row r="2135" spans="1:42" x14ac:dyDescent="0.2">
      <c r="A2135" s="14">
        <v>45407</v>
      </c>
      <c r="B2135" s="28" t="s">
        <v>37</v>
      </c>
      <c r="C2135" s="41" t="s">
        <v>118</v>
      </c>
      <c r="D2135" s="26" t="s">
        <v>36</v>
      </c>
      <c r="E2135" s="26" t="s">
        <v>139</v>
      </c>
      <c r="F2135" s="26" t="s">
        <v>3407</v>
      </c>
      <c r="G2135" s="26" t="s">
        <v>221</v>
      </c>
      <c r="H2135" s="26" t="s">
        <v>7454</v>
      </c>
      <c r="I2135" s="17">
        <f ca="1">IFERROR(__xludf.DUMMYFUNCTION("""COMPUTED_VALUE"""),45418)</f>
        <v>45418</v>
      </c>
      <c r="J2135" s="29" t="s">
        <v>3931</v>
      </c>
      <c r="K2135" s="26" t="s">
        <v>8024</v>
      </c>
      <c r="L2135" s="30">
        <v>912526137</v>
      </c>
      <c r="M2135" s="26" t="s">
        <v>80</v>
      </c>
      <c r="N2135" s="26" t="s">
        <v>186</v>
      </c>
      <c r="O2135" s="26" t="s">
        <v>3933</v>
      </c>
      <c r="P2135" s="42" t="s">
        <v>5963</v>
      </c>
      <c r="Q2135" s="20">
        <v>15936</v>
      </c>
      <c r="R2135" s="26" t="s">
        <v>36</v>
      </c>
      <c r="S2135" s="31">
        <v>4000</v>
      </c>
      <c r="T2135" s="32">
        <v>45198</v>
      </c>
      <c r="U2135" s="31">
        <v>11836</v>
      </c>
      <c r="V2135" s="32">
        <v>45227</v>
      </c>
      <c r="W2135" s="33" t="s">
        <v>3935</v>
      </c>
      <c r="X2135" s="26"/>
      <c r="Y2135" s="22">
        <v>100</v>
      </c>
      <c r="Z2135" s="26" t="s">
        <v>118</v>
      </c>
      <c r="AA2135" s="19" t="s">
        <v>5785</v>
      </c>
      <c r="AB2135" s="26" t="s">
        <v>36</v>
      </c>
      <c r="AC2135" s="26" t="s">
        <v>53</v>
      </c>
      <c r="AD2135" s="19" t="s">
        <v>138</v>
      </c>
      <c r="AE2135" s="26" t="s">
        <v>3407</v>
      </c>
      <c r="AF2135" s="17">
        <v>45415</v>
      </c>
      <c r="AG2135" s="26" t="s">
        <v>3399</v>
      </c>
      <c r="AH2135" s="26"/>
      <c r="AI2135" s="40" t="s">
        <v>147</v>
      </c>
      <c r="AJ2135" s="26"/>
      <c r="AK2135" s="26"/>
      <c r="AL2135" s="35"/>
      <c r="AM2135" s="35"/>
      <c r="AN2135" s="35"/>
      <c r="AO2135" s="35"/>
      <c r="AP2135" s="35"/>
    </row>
    <row r="2136" spans="1:42" x14ac:dyDescent="0.2">
      <c r="A2136" s="14">
        <v>45407</v>
      </c>
      <c r="B2136" s="28" t="s">
        <v>37</v>
      </c>
      <c r="C2136" s="41" t="s">
        <v>118</v>
      </c>
      <c r="D2136" s="26" t="s">
        <v>36</v>
      </c>
      <c r="E2136" s="26" t="s">
        <v>139</v>
      </c>
      <c r="F2136" s="26" t="s">
        <v>3407</v>
      </c>
      <c r="G2136" s="26" t="s">
        <v>221</v>
      </c>
      <c r="H2136" s="26" t="s">
        <v>6959</v>
      </c>
      <c r="I2136" s="17">
        <f ca="1">IFERROR(__xludf.DUMMYFUNCTION("""COMPUTED_VALUE"""),45415)</f>
        <v>45415</v>
      </c>
      <c r="J2136" s="29" t="s">
        <v>5516</v>
      </c>
      <c r="K2136" s="26" t="s">
        <v>5517</v>
      </c>
      <c r="L2136" s="30">
        <v>365253934</v>
      </c>
      <c r="M2136" s="26" t="s">
        <v>5518</v>
      </c>
      <c r="N2136" s="26" t="s">
        <v>186</v>
      </c>
      <c r="O2136" s="26" t="s">
        <v>5519</v>
      </c>
      <c r="P2136" s="42" t="s">
        <v>8025</v>
      </c>
      <c r="Q2136" s="20">
        <v>15936</v>
      </c>
      <c r="R2136" s="26" t="s">
        <v>36</v>
      </c>
      <c r="S2136" s="31">
        <v>200</v>
      </c>
      <c r="T2136" s="32">
        <v>45230</v>
      </c>
      <c r="U2136" s="31">
        <f>3800+11936</f>
        <v>15736</v>
      </c>
      <c r="V2136" s="26" t="s">
        <v>5520</v>
      </c>
      <c r="W2136" s="33" t="s">
        <v>5521</v>
      </c>
      <c r="X2136" s="26"/>
      <c r="Y2136" s="22">
        <v>0</v>
      </c>
      <c r="Z2136" s="26" t="s">
        <v>118</v>
      </c>
      <c r="AA2136" s="19" t="s">
        <v>5112</v>
      </c>
      <c r="AB2136" s="26" t="s">
        <v>36</v>
      </c>
      <c r="AC2136" s="26" t="s">
        <v>53</v>
      </c>
      <c r="AD2136" s="19" t="s">
        <v>138</v>
      </c>
      <c r="AE2136" s="26" t="s">
        <v>3407</v>
      </c>
      <c r="AF2136" s="17">
        <v>45415</v>
      </c>
      <c r="AG2136" s="26" t="s">
        <v>3399</v>
      </c>
      <c r="AH2136" s="26"/>
      <c r="AI2136" s="40" t="s">
        <v>147</v>
      </c>
      <c r="AJ2136" s="26"/>
      <c r="AK2136" s="26"/>
      <c r="AL2136" s="35"/>
      <c r="AM2136" s="35"/>
      <c r="AN2136" s="35"/>
      <c r="AO2136" s="35"/>
      <c r="AP2136" s="35"/>
    </row>
    <row r="2137" spans="1:42" x14ac:dyDescent="0.2">
      <c r="A2137" s="14">
        <v>45407</v>
      </c>
      <c r="B2137" s="28" t="s">
        <v>37</v>
      </c>
      <c r="C2137" s="41" t="s">
        <v>118</v>
      </c>
      <c r="D2137" s="26" t="s">
        <v>36</v>
      </c>
      <c r="E2137" s="26" t="s">
        <v>119</v>
      </c>
      <c r="F2137" s="26" t="s">
        <v>2440</v>
      </c>
      <c r="G2137" s="26" t="s">
        <v>221</v>
      </c>
      <c r="H2137" s="26" t="s">
        <v>8026</v>
      </c>
      <c r="I2137" s="17">
        <f ca="1">IFERROR(__xludf.DUMMYFUNCTION("""COMPUTED_VALUE"""),45495)</f>
        <v>45495</v>
      </c>
      <c r="J2137" s="29" t="s">
        <v>5353</v>
      </c>
      <c r="K2137" s="26" t="s">
        <v>8027</v>
      </c>
      <c r="L2137" s="30">
        <v>867951661</v>
      </c>
      <c r="M2137" s="26" t="s">
        <v>80</v>
      </c>
      <c r="N2137" s="26" t="s">
        <v>81</v>
      </c>
      <c r="O2137" s="26" t="s">
        <v>1388</v>
      </c>
      <c r="P2137" s="42" t="s">
        <v>8028</v>
      </c>
      <c r="Q2137" s="20">
        <v>13968</v>
      </c>
      <c r="R2137" s="26" t="s">
        <v>36</v>
      </c>
      <c r="S2137" s="31">
        <v>3968</v>
      </c>
      <c r="T2137" s="32">
        <v>45213</v>
      </c>
      <c r="U2137" s="31">
        <f>4000+4000+2000</f>
        <v>10000</v>
      </c>
      <c r="V2137" s="26" t="s">
        <v>5355</v>
      </c>
      <c r="W2137" s="33" t="s">
        <v>5356</v>
      </c>
      <c r="X2137" s="26"/>
      <c r="Y2137" s="22">
        <v>0</v>
      </c>
      <c r="Z2137" s="26" t="s">
        <v>118</v>
      </c>
      <c r="AA2137" s="19" t="s">
        <v>5112</v>
      </c>
      <c r="AB2137" s="26" t="s">
        <v>36</v>
      </c>
      <c r="AC2137" s="26" t="s">
        <v>53</v>
      </c>
      <c r="AD2137" s="19" t="s">
        <v>138</v>
      </c>
      <c r="AE2137" s="26" t="s">
        <v>8029</v>
      </c>
      <c r="AF2137" s="17">
        <v>45415</v>
      </c>
      <c r="AG2137" s="26" t="s">
        <v>3399</v>
      </c>
      <c r="AH2137" s="26"/>
      <c r="AI2137" s="40">
        <v>4</v>
      </c>
      <c r="AJ2137" s="26"/>
      <c r="AK2137" s="26"/>
      <c r="AL2137" s="35"/>
      <c r="AM2137" s="35"/>
      <c r="AN2137" s="35"/>
      <c r="AO2137" s="35"/>
      <c r="AP2137" s="35"/>
    </row>
    <row r="2138" spans="1:42" x14ac:dyDescent="0.2">
      <c r="A2138" s="14">
        <v>45407</v>
      </c>
      <c r="B2138" s="28" t="s">
        <v>37</v>
      </c>
      <c r="C2138" s="41" t="s">
        <v>118</v>
      </c>
      <c r="D2138" s="26" t="s">
        <v>36</v>
      </c>
      <c r="E2138" s="26" t="s">
        <v>56</v>
      </c>
      <c r="F2138" s="26" t="s">
        <v>3397</v>
      </c>
      <c r="G2138" s="26" t="s">
        <v>221</v>
      </c>
      <c r="H2138" s="26" t="s">
        <v>8026</v>
      </c>
      <c r="I2138" s="17">
        <f ca="1">IFERROR(__xludf.DUMMYFUNCTION("""COMPUTED_VALUE"""),45495)</f>
        <v>45495</v>
      </c>
      <c r="J2138" s="29" t="s">
        <v>3747</v>
      </c>
      <c r="K2138" s="26" t="s">
        <v>8030</v>
      </c>
      <c r="L2138" s="30">
        <v>981556401</v>
      </c>
      <c r="M2138" s="26" t="s">
        <v>123</v>
      </c>
      <c r="N2138" s="26" t="s">
        <v>3749</v>
      </c>
      <c r="O2138" s="26" t="s">
        <v>2737</v>
      </c>
      <c r="P2138" s="42" t="s">
        <v>4964</v>
      </c>
      <c r="Q2138" s="20">
        <v>9317</v>
      </c>
      <c r="R2138" s="26" t="s">
        <v>36</v>
      </c>
      <c r="S2138" s="31">
        <v>200</v>
      </c>
      <c r="T2138" s="32">
        <v>45167</v>
      </c>
      <c r="U2138" s="31">
        <f>1800+7317</f>
        <v>9117</v>
      </c>
      <c r="V2138" s="26" t="s">
        <v>3750</v>
      </c>
      <c r="W2138" s="33" t="s">
        <v>3751</v>
      </c>
      <c r="X2138" s="26"/>
      <c r="Y2138" s="22">
        <v>0</v>
      </c>
      <c r="Z2138" s="26" t="s">
        <v>118</v>
      </c>
      <c r="AA2138" s="19" t="s">
        <v>4541</v>
      </c>
      <c r="AB2138" s="26" t="s">
        <v>36</v>
      </c>
      <c r="AC2138" s="26" t="s">
        <v>53</v>
      </c>
      <c r="AD2138" s="19" t="s">
        <v>138</v>
      </c>
      <c r="AE2138" s="26" t="s">
        <v>3397</v>
      </c>
      <c r="AF2138" s="17">
        <v>45415</v>
      </c>
      <c r="AG2138" s="26" t="s">
        <v>3399</v>
      </c>
      <c r="AH2138" s="26"/>
      <c r="AI2138" s="40"/>
      <c r="AJ2138" s="26"/>
      <c r="AK2138" s="26"/>
      <c r="AL2138" s="35"/>
      <c r="AM2138" s="35"/>
      <c r="AN2138" s="35"/>
      <c r="AO2138" s="35"/>
      <c r="AP2138" s="35"/>
    </row>
    <row r="2139" spans="1:42" x14ac:dyDescent="0.2">
      <c r="A2139" s="14">
        <v>45407</v>
      </c>
      <c r="B2139" s="28" t="s">
        <v>37</v>
      </c>
      <c r="C2139" s="41" t="s">
        <v>118</v>
      </c>
      <c r="D2139" s="26" t="s">
        <v>36</v>
      </c>
      <c r="E2139" s="26" t="s">
        <v>119</v>
      </c>
      <c r="F2139" s="26" t="s">
        <v>4869</v>
      </c>
      <c r="G2139" s="26" t="s">
        <v>221</v>
      </c>
      <c r="H2139" s="26" t="s">
        <v>6959</v>
      </c>
      <c r="I2139" s="17">
        <f ca="1">IFERROR(__xludf.DUMMYFUNCTION("""COMPUTED_VALUE"""),45415)</f>
        <v>45415</v>
      </c>
      <c r="J2139" s="29" t="s">
        <v>6433</v>
      </c>
      <c r="K2139" s="26" t="s">
        <v>6434</v>
      </c>
      <c r="L2139" s="30">
        <v>836543689</v>
      </c>
      <c r="M2139" s="26" t="s">
        <v>292</v>
      </c>
      <c r="N2139" s="26" t="s">
        <v>1232</v>
      </c>
      <c r="O2139" s="67" t="s">
        <v>6435</v>
      </c>
      <c r="P2139" s="42" t="s">
        <v>8031</v>
      </c>
      <c r="Q2139" s="20">
        <v>13968</v>
      </c>
      <c r="R2139" s="26" t="s">
        <v>36</v>
      </c>
      <c r="S2139" s="31">
        <v>13968</v>
      </c>
      <c r="T2139" s="32">
        <v>45286</v>
      </c>
      <c r="U2139" s="31"/>
      <c r="V2139" s="32"/>
      <c r="W2139" s="33" t="s">
        <v>6437</v>
      </c>
      <c r="X2139" s="26"/>
      <c r="Y2139" s="22">
        <v>0</v>
      </c>
      <c r="Z2139" s="26" t="s">
        <v>118</v>
      </c>
      <c r="AA2139" s="19" t="s">
        <v>5961</v>
      </c>
      <c r="AB2139" s="26" t="s">
        <v>36</v>
      </c>
      <c r="AC2139" s="26" t="s">
        <v>53</v>
      </c>
      <c r="AD2139" s="19" t="s">
        <v>138</v>
      </c>
      <c r="AE2139" s="26" t="s">
        <v>4869</v>
      </c>
      <c r="AF2139" s="17">
        <v>45415</v>
      </c>
      <c r="AG2139" s="26" t="s">
        <v>3399</v>
      </c>
      <c r="AH2139" s="26">
        <v>1</v>
      </c>
      <c r="AI2139" s="40"/>
      <c r="AJ2139" s="26"/>
      <c r="AK2139" s="26"/>
      <c r="AL2139" s="35"/>
      <c r="AM2139" s="35"/>
      <c r="AN2139" s="35"/>
      <c r="AO2139" s="35"/>
      <c r="AP2139" s="35"/>
    </row>
    <row r="2140" spans="1:42" x14ac:dyDescent="0.2">
      <c r="A2140" s="14">
        <v>45407</v>
      </c>
      <c r="B2140" s="28" t="s">
        <v>37</v>
      </c>
      <c r="C2140" s="41" t="s">
        <v>118</v>
      </c>
      <c r="D2140" s="26" t="s">
        <v>36</v>
      </c>
      <c r="E2140" s="26" t="s">
        <v>56</v>
      </c>
      <c r="F2140" s="26" t="s">
        <v>6637</v>
      </c>
      <c r="G2140" s="26" t="s">
        <v>108</v>
      </c>
      <c r="H2140" s="26" t="s">
        <v>6596</v>
      </c>
      <c r="I2140" s="17">
        <f ca="1">IFERROR(__xludf.DUMMYFUNCTION("""COMPUTED_VALUE"""),45425)</f>
        <v>45425</v>
      </c>
      <c r="J2140" s="29" t="s">
        <v>7639</v>
      </c>
      <c r="K2140" s="26" t="s">
        <v>7640</v>
      </c>
      <c r="L2140" s="30">
        <v>986009542</v>
      </c>
      <c r="M2140" s="26" t="s">
        <v>5518</v>
      </c>
      <c r="N2140" s="26" t="s">
        <v>186</v>
      </c>
      <c r="O2140" s="26" t="s">
        <v>7641</v>
      </c>
      <c r="P2140" s="42" t="s">
        <v>8032</v>
      </c>
      <c r="Q2140" s="20">
        <v>9317</v>
      </c>
      <c r="R2140" s="26" t="s">
        <v>36</v>
      </c>
      <c r="S2140" s="31">
        <v>4000</v>
      </c>
      <c r="T2140" s="32">
        <v>45343</v>
      </c>
      <c r="U2140" s="31">
        <v>5317</v>
      </c>
      <c r="V2140" s="32">
        <v>45374</v>
      </c>
      <c r="W2140" s="33" t="s">
        <v>7643</v>
      </c>
      <c r="X2140" s="26"/>
      <c r="Y2140" s="22">
        <v>0</v>
      </c>
      <c r="Z2140" s="26" t="s">
        <v>118</v>
      </c>
      <c r="AA2140" s="19" t="s">
        <v>7361</v>
      </c>
      <c r="AB2140" s="26" t="s">
        <v>36</v>
      </c>
      <c r="AC2140" s="26" t="s">
        <v>53</v>
      </c>
      <c r="AD2140" s="19" t="s">
        <v>54</v>
      </c>
      <c r="AE2140" s="26" t="s">
        <v>6637</v>
      </c>
      <c r="AF2140" s="17">
        <v>45414</v>
      </c>
      <c r="AG2140" s="26"/>
      <c r="AH2140" s="26"/>
      <c r="AI2140" s="40"/>
      <c r="AJ2140" s="26"/>
      <c r="AK2140" s="26"/>
      <c r="AL2140" s="35"/>
      <c r="AM2140" s="35"/>
      <c r="AN2140" s="35"/>
      <c r="AO2140" s="35"/>
      <c r="AP2140" s="35"/>
    </row>
    <row r="2141" spans="1:42" x14ac:dyDescent="0.2">
      <c r="A2141" s="14">
        <v>45407</v>
      </c>
      <c r="B2141" s="28" t="s">
        <v>37</v>
      </c>
      <c r="C2141" s="41" t="s">
        <v>118</v>
      </c>
      <c r="D2141" s="26" t="s">
        <v>36</v>
      </c>
      <c r="E2141" s="26" t="s">
        <v>39</v>
      </c>
      <c r="F2141" s="26" t="s">
        <v>3302</v>
      </c>
      <c r="G2141" s="26" t="s">
        <v>108</v>
      </c>
      <c r="H2141" s="26" t="s">
        <v>6596</v>
      </c>
      <c r="I2141" s="17">
        <f ca="1">IFERROR(__xludf.DUMMYFUNCTION("""COMPUTED_VALUE"""),45425)</f>
        <v>45425</v>
      </c>
      <c r="J2141" s="29" t="s">
        <v>6193</v>
      </c>
      <c r="K2141" s="26" t="s">
        <v>8033</v>
      </c>
      <c r="L2141" s="30">
        <v>325502051</v>
      </c>
      <c r="M2141" s="26" t="s">
        <v>2755</v>
      </c>
      <c r="N2141" s="26" t="s">
        <v>310</v>
      </c>
      <c r="O2141" s="26" t="s">
        <v>6194</v>
      </c>
      <c r="P2141" s="42" t="s">
        <v>8034</v>
      </c>
      <c r="Q2141" s="20">
        <v>5736</v>
      </c>
      <c r="R2141" s="26" t="s">
        <v>70</v>
      </c>
      <c r="S2141" s="31">
        <v>500</v>
      </c>
      <c r="T2141" s="32">
        <v>45216</v>
      </c>
      <c r="U2141" s="31">
        <f>1500+3736</f>
        <v>5236</v>
      </c>
      <c r="V2141" s="26" t="s">
        <v>6196</v>
      </c>
      <c r="W2141" s="33" t="s">
        <v>6197</v>
      </c>
      <c r="X2141" s="26"/>
      <c r="Y2141" s="22">
        <v>0</v>
      </c>
      <c r="Z2141" s="26" t="s">
        <v>118</v>
      </c>
      <c r="AA2141" s="19" t="s">
        <v>5961</v>
      </c>
      <c r="AB2141" s="26" t="s">
        <v>36</v>
      </c>
      <c r="AC2141" s="26" t="s">
        <v>53</v>
      </c>
      <c r="AD2141" s="19" t="s">
        <v>54</v>
      </c>
      <c r="AE2141" s="26" t="s">
        <v>3302</v>
      </c>
      <c r="AF2141" s="17">
        <v>45419</v>
      </c>
      <c r="AG2141" s="26" t="s">
        <v>6192</v>
      </c>
      <c r="AH2141" s="26">
        <v>1</v>
      </c>
      <c r="AI2141" s="40"/>
      <c r="AJ2141" s="26"/>
      <c r="AK2141" s="26"/>
      <c r="AL2141" s="35"/>
      <c r="AM2141" s="35"/>
      <c r="AN2141" s="35"/>
      <c r="AO2141" s="35"/>
      <c r="AP2141" s="35"/>
    </row>
    <row r="2142" spans="1:42" x14ac:dyDescent="0.2">
      <c r="A2142" s="14">
        <v>45407</v>
      </c>
      <c r="B2142" s="28" t="s">
        <v>37</v>
      </c>
      <c r="C2142" s="41" t="s">
        <v>118</v>
      </c>
      <c r="D2142" s="26" t="s">
        <v>36</v>
      </c>
      <c r="E2142" s="26" t="s">
        <v>139</v>
      </c>
      <c r="F2142" s="26" t="s">
        <v>3397</v>
      </c>
      <c r="G2142" s="26" t="s">
        <v>221</v>
      </c>
      <c r="H2142" s="26" t="s">
        <v>8026</v>
      </c>
      <c r="I2142" s="17">
        <f ca="1">IFERROR(__xludf.DUMMYFUNCTION("""COMPUTED_VALUE"""),45495)</f>
        <v>45495</v>
      </c>
      <c r="J2142" s="29" t="s">
        <v>3732</v>
      </c>
      <c r="K2142" s="26" t="s">
        <v>8035</v>
      </c>
      <c r="L2142" s="30">
        <v>385729320</v>
      </c>
      <c r="M2142" s="26" t="s">
        <v>80</v>
      </c>
      <c r="N2142" s="26" t="s">
        <v>299</v>
      </c>
      <c r="O2142" s="26" t="s">
        <v>3734</v>
      </c>
      <c r="P2142" s="42" t="s">
        <v>5895</v>
      </c>
      <c r="Q2142" s="20">
        <v>15936</v>
      </c>
      <c r="R2142" s="26" t="s">
        <v>36</v>
      </c>
      <c r="S2142" s="31">
        <v>2000</v>
      </c>
      <c r="T2142" s="32">
        <v>45188</v>
      </c>
      <c r="U2142" s="31">
        <v>13936</v>
      </c>
      <c r="V2142" s="32">
        <v>45221</v>
      </c>
      <c r="W2142" s="33" t="s">
        <v>3736</v>
      </c>
      <c r="X2142" s="26"/>
      <c r="Y2142" s="22">
        <v>0</v>
      </c>
      <c r="Z2142" s="26" t="s">
        <v>118</v>
      </c>
      <c r="AA2142" s="19" t="s">
        <v>5785</v>
      </c>
      <c r="AB2142" s="26" t="s">
        <v>36</v>
      </c>
      <c r="AC2142" s="26" t="s">
        <v>53</v>
      </c>
      <c r="AD2142" s="19" t="s">
        <v>138</v>
      </c>
      <c r="AE2142" s="26" t="s">
        <v>3397</v>
      </c>
      <c r="AF2142" s="17">
        <v>45415</v>
      </c>
      <c r="AG2142" s="26" t="s">
        <v>3399</v>
      </c>
      <c r="AH2142" s="26"/>
      <c r="AI2142" s="40" t="s">
        <v>147</v>
      </c>
      <c r="AJ2142" s="26"/>
      <c r="AK2142" s="26"/>
      <c r="AL2142" s="35"/>
      <c r="AM2142" s="35"/>
      <c r="AN2142" s="35"/>
      <c r="AO2142" s="35"/>
      <c r="AP2142" s="35"/>
    </row>
    <row r="2143" spans="1:42" x14ac:dyDescent="0.2">
      <c r="A2143" s="14">
        <v>45407</v>
      </c>
      <c r="B2143" s="28" t="s">
        <v>37</v>
      </c>
      <c r="C2143" s="41" t="s">
        <v>118</v>
      </c>
      <c r="D2143" s="26" t="s">
        <v>36</v>
      </c>
      <c r="E2143" s="26" t="s">
        <v>139</v>
      </c>
      <c r="F2143" s="26" t="s">
        <v>3407</v>
      </c>
      <c r="G2143" s="26" t="s">
        <v>221</v>
      </c>
      <c r="H2143" s="26" t="s">
        <v>7016</v>
      </c>
      <c r="I2143" s="17">
        <f ca="1">IFERROR(__xludf.DUMMYFUNCTION("""COMPUTED_VALUE"""),45520)</f>
        <v>45520</v>
      </c>
      <c r="J2143" s="29" t="s">
        <v>5456</v>
      </c>
      <c r="K2143" s="26" t="s">
        <v>8036</v>
      </c>
      <c r="L2143" s="30">
        <v>359499051</v>
      </c>
      <c r="M2143" s="26" t="s">
        <v>3728</v>
      </c>
      <c r="N2143" s="26" t="s">
        <v>5312</v>
      </c>
      <c r="O2143" s="26" t="s">
        <v>5458</v>
      </c>
      <c r="P2143" s="42" t="s">
        <v>8037</v>
      </c>
      <c r="Q2143" s="20">
        <v>15936</v>
      </c>
      <c r="R2143" s="26" t="s">
        <v>36</v>
      </c>
      <c r="S2143" s="31">
        <v>2000</v>
      </c>
      <c r="T2143" s="32">
        <v>45224</v>
      </c>
      <c r="U2143" s="31">
        <v>13936</v>
      </c>
      <c r="V2143" s="32">
        <v>45256</v>
      </c>
      <c r="W2143" s="33" t="s">
        <v>5459</v>
      </c>
      <c r="X2143" s="26"/>
      <c r="Y2143" s="22">
        <v>0</v>
      </c>
      <c r="Z2143" s="26" t="s">
        <v>118</v>
      </c>
      <c r="AA2143" s="19" t="s">
        <v>5112</v>
      </c>
      <c r="AB2143" s="26" t="s">
        <v>36</v>
      </c>
      <c r="AC2143" s="26" t="s">
        <v>53</v>
      </c>
      <c r="AD2143" s="19" t="s">
        <v>138</v>
      </c>
      <c r="AE2143" s="26" t="s">
        <v>3407</v>
      </c>
      <c r="AF2143" s="17">
        <v>45415</v>
      </c>
      <c r="AG2143" s="26" t="s">
        <v>3399</v>
      </c>
      <c r="AH2143" s="26"/>
      <c r="AI2143" s="40" t="s">
        <v>147</v>
      </c>
      <c r="AJ2143" s="26"/>
      <c r="AK2143" s="26"/>
      <c r="AL2143" s="35"/>
      <c r="AM2143" s="35"/>
      <c r="AN2143" s="35"/>
      <c r="AO2143" s="35"/>
      <c r="AP2143" s="35"/>
    </row>
    <row r="2144" spans="1:42" x14ac:dyDescent="0.2">
      <c r="A2144" s="14">
        <v>45407</v>
      </c>
      <c r="B2144" s="28" t="s">
        <v>37</v>
      </c>
      <c r="C2144" s="41" t="s">
        <v>118</v>
      </c>
      <c r="D2144" s="26" t="s">
        <v>36</v>
      </c>
      <c r="E2144" s="26" t="s">
        <v>139</v>
      </c>
      <c r="F2144" s="26" t="s">
        <v>3418</v>
      </c>
      <c r="G2144" s="26" t="s">
        <v>221</v>
      </c>
      <c r="H2144" s="26" t="s">
        <v>6959</v>
      </c>
      <c r="I2144" s="17">
        <f ca="1">IFERROR(__xludf.DUMMYFUNCTION("""COMPUTED_VALUE"""),45415)</f>
        <v>45415</v>
      </c>
      <c r="J2144" s="29" t="s">
        <v>3480</v>
      </c>
      <c r="K2144" s="26" t="s">
        <v>3481</v>
      </c>
      <c r="L2144" s="30">
        <v>966983800</v>
      </c>
      <c r="M2144" s="26" t="s">
        <v>123</v>
      </c>
      <c r="N2144" s="26" t="s">
        <v>207</v>
      </c>
      <c r="O2144" s="26" t="s">
        <v>134</v>
      </c>
      <c r="P2144" s="26" t="s">
        <v>2641</v>
      </c>
      <c r="Q2144" s="20">
        <v>15936</v>
      </c>
      <c r="R2144" s="26" t="s">
        <v>36</v>
      </c>
      <c r="S2144" s="31">
        <v>200</v>
      </c>
      <c r="T2144" s="32">
        <v>45167</v>
      </c>
      <c r="U2144" s="31">
        <f>2000+13936</f>
        <v>15936</v>
      </c>
      <c r="V2144" s="26" t="s">
        <v>3483</v>
      </c>
      <c r="W2144" s="33" t="s">
        <v>3484</v>
      </c>
      <c r="X2144" s="26"/>
      <c r="Y2144" s="22">
        <v>0</v>
      </c>
      <c r="Z2144" s="26" t="s">
        <v>118</v>
      </c>
      <c r="AA2144" s="19" t="s">
        <v>5785</v>
      </c>
      <c r="AB2144" s="26" t="s">
        <v>36</v>
      </c>
      <c r="AC2144" s="26" t="s">
        <v>53</v>
      </c>
      <c r="AD2144" s="19" t="s">
        <v>138</v>
      </c>
      <c r="AE2144" s="26" t="s">
        <v>3418</v>
      </c>
      <c r="AF2144" s="17">
        <v>45415</v>
      </c>
      <c r="AG2144" s="26" t="s">
        <v>3399</v>
      </c>
      <c r="AH2144" s="26"/>
      <c r="AI2144" s="40" t="s">
        <v>147</v>
      </c>
      <c r="AJ2144" s="26"/>
      <c r="AK2144" s="26"/>
      <c r="AL2144" s="35"/>
      <c r="AM2144" s="35"/>
      <c r="AN2144" s="35"/>
      <c r="AO2144" s="35"/>
      <c r="AP2144" s="35"/>
    </row>
    <row r="2145" spans="1:42" x14ac:dyDescent="0.2">
      <c r="A2145" s="14">
        <v>45407</v>
      </c>
      <c r="B2145" s="28" t="s">
        <v>37</v>
      </c>
      <c r="C2145" s="41" t="s">
        <v>118</v>
      </c>
      <c r="D2145" s="26" t="s">
        <v>36</v>
      </c>
      <c r="E2145" s="26" t="s">
        <v>106</v>
      </c>
      <c r="F2145" s="26" t="s">
        <v>3407</v>
      </c>
      <c r="G2145" s="26" t="s">
        <v>108</v>
      </c>
      <c r="H2145" s="26" t="s">
        <v>7871</v>
      </c>
      <c r="I2145" s="17">
        <f ca="1">IFERROR(__xludf.DUMMYFUNCTION("""COMPUTED_VALUE"""),45421)</f>
        <v>45421</v>
      </c>
      <c r="J2145" s="29" t="s">
        <v>4939</v>
      </c>
      <c r="K2145" s="26" t="s">
        <v>8038</v>
      </c>
      <c r="L2145" s="30">
        <v>382082289</v>
      </c>
      <c r="M2145" s="26" t="s">
        <v>112</v>
      </c>
      <c r="N2145" s="26" t="s">
        <v>113</v>
      </c>
      <c r="O2145" s="26" t="s">
        <v>36</v>
      </c>
      <c r="P2145" s="26" t="s">
        <v>5601</v>
      </c>
      <c r="Q2145" s="20">
        <v>3768</v>
      </c>
      <c r="R2145" s="26" t="s">
        <v>36</v>
      </c>
      <c r="S2145" s="31">
        <v>3668</v>
      </c>
      <c r="T2145" s="32">
        <v>45288</v>
      </c>
      <c r="U2145" s="31"/>
      <c r="V2145" s="32"/>
      <c r="W2145" s="33" t="s">
        <v>6473</v>
      </c>
      <c r="X2145" s="26"/>
      <c r="Y2145" s="22">
        <v>100</v>
      </c>
      <c r="Z2145" s="26" t="s">
        <v>118</v>
      </c>
      <c r="AA2145" s="19" t="s">
        <v>5961</v>
      </c>
      <c r="AB2145" s="26" t="s">
        <v>36</v>
      </c>
      <c r="AC2145" s="26" t="s">
        <v>53</v>
      </c>
      <c r="AD2145" s="19" t="s">
        <v>138</v>
      </c>
      <c r="AE2145" s="26" t="s">
        <v>3416</v>
      </c>
      <c r="AF2145" s="17">
        <v>45421</v>
      </c>
      <c r="AG2145" s="26" t="s">
        <v>3415</v>
      </c>
      <c r="AH2145" s="26">
        <v>3</v>
      </c>
      <c r="AI2145" s="40"/>
      <c r="AJ2145" s="26"/>
      <c r="AK2145" s="26"/>
      <c r="AL2145" s="35"/>
      <c r="AM2145" s="35"/>
      <c r="AN2145" s="35"/>
      <c r="AO2145" s="35"/>
      <c r="AP2145" s="35"/>
    </row>
    <row r="2146" spans="1:42" x14ac:dyDescent="0.2">
      <c r="A2146" s="14">
        <v>45408</v>
      </c>
      <c r="B2146" s="28" t="s">
        <v>37</v>
      </c>
      <c r="C2146" s="41" t="s">
        <v>118</v>
      </c>
      <c r="D2146" s="26" t="s">
        <v>36</v>
      </c>
      <c r="E2146" s="26" t="s">
        <v>148</v>
      </c>
      <c r="F2146" s="26" t="s">
        <v>4869</v>
      </c>
      <c r="G2146" s="26" t="s">
        <v>221</v>
      </c>
      <c r="H2146" s="26" t="s">
        <v>6512</v>
      </c>
      <c r="I2146" s="17">
        <f ca="1">IFERROR(__xludf.DUMMYFUNCTION("""COMPUTED_VALUE"""),45431)</f>
        <v>45431</v>
      </c>
      <c r="J2146" s="29" t="s">
        <v>6379</v>
      </c>
      <c r="K2146" s="26" t="s">
        <v>8039</v>
      </c>
      <c r="L2146" s="30">
        <v>359789536</v>
      </c>
      <c r="M2146" s="26" t="s">
        <v>548</v>
      </c>
      <c r="N2146" s="26" t="s">
        <v>6381</v>
      </c>
      <c r="O2146" s="26" t="s">
        <v>6382</v>
      </c>
      <c r="P2146" s="26" t="s">
        <v>3117</v>
      </c>
      <c r="Q2146" s="20">
        <v>7349</v>
      </c>
      <c r="R2146" s="26" t="s">
        <v>36</v>
      </c>
      <c r="S2146" s="31">
        <v>7349</v>
      </c>
      <c r="T2146" s="32">
        <v>45279</v>
      </c>
      <c r="U2146" s="31"/>
      <c r="V2146" s="32"/>
      <c r="W2146" s="33" t="s">
        <v>6383</v>
      </c>
      <c r="X2146" s="26"/>
      <c r="Y2146" s="22">
        <v>0</v>
      </c>
      <c r="Z2146" s="26" t="s">
        <v>118</v>
      </c>
      <c r="AA2146" s="19" t="s">
        <v>5961</v>
      </c>
      <c r="AB2146" s="26" t="s">
        <v>36</v>
      </c>
      <c r="AC2146" s="26" t="s">
        <v>53</v>
      </c>
      <c r="AD2146" s="19" t="s">
        <v>138</v>
      </c>
      <c r="AE2146" s="26" t="s">
        <v>4869</v>
      </c>
      <c r="AF2146" s="17">
        <v>45415</v>
      </c>
      <c r="AG2146" s="26" t="s">
        <v>3399</v>
      </c>
      <c r="AH2146" s="26">
        <v>1</v>
      </c>
      <c r="AI2146" s="40"/>
      <c r="AJ2146" s="26"/>
      <c r="AK2146" s="26"/>
      <c r="AL2146" s="35"/>
      <c r="AM2146" s="35"/>
      <c r="AN2146" s="35"/>
      <c r="AO2146" s="35"/>
      <c r="AP2146" s="35"/>
    </row>
    <row r="2147" spans="1:42" x14ac:dyDescent="0.2">
      <c r="A2147" s="14">
        <v>45408</v>
      </c>
      <c r="B2147" s="28" t="s">
        <v>37</v>
      </c>
      <c r="C2147" s="41" t="s">
        <v>118</v>
      </c>
      <c r="D2147" s="26" t="s">
        <v>36</v>
      </c>
      <c r="E2147" s="26" t="s">
        <v>39</v>
      </c>
      <c r="F2147" s="26" t="s">
        <v>4087</v>
      </c>
      <c r="G2147" s="26" t="s">
        <v>108</v>
      </c>
      <c r="H2147" s="26" t="s">
        <v>7871</v>
      </c>
      <c r="I2147" s="17">
        <f ca="1">IFERROR(__xludf.DUMMYFUNCTION("""COMPUTED_VALUE"""),45421)</f>
        <v>45421</v>
      </c>
      <c r="J2147" s="49" t="s">
        <v>7233</v>
      </c>
      <c r="K2147" s="26" t="s">
        <v>7234</v>
      </c>
      <c r="L2147" s="47">
        <v>329908305</v>
      </c>
      <c r="M2147" s="19" t="s">
        <v>59</v>
      </c>
      <c r="N2147" s="26" t="s">
        <v>403</v>
      </c>
      <c r="O2147" s="26" t="s">
        <v>7235</v>
      </c>
      <c r="P2147" s="26" t="s">
        <v>7236</v>
      </c>
      <c r="Q2147" s="20">
        <v>5736</v>
      </c>
      <c r="R2147" s="26" t="s">
        <v>36</v>
      </c>
      <c r="S2147" s="31">
        <v>5736</v>
      </c>
      <c r="T2147" s="32">
        <v>45346</v>
      </c>
      <c r="U2147" s="31"/>
      <c r="V2147" s="32"/>
      <c r="W2147" s="33" t="s">
        <v>7237</v>
      </c>
      <c r="X2147" s="26">
        <v>0</v>
      </c>
      <c r="Y2147" s="22">
        <v>0</v>
      </c>
      <c r="Z2147" s="26" t="s">
        <v>118</v>
      </c>
      <c r="AA2147" s="19" t="s">
        <v>7077</v>
      </c>
      <c r="AB2147" s="26" t="s">
        <v>36</v>
      </c>
      <c r="AC2147" s="26" t="s">
        <v>53</v>
      </c>
      <c r="AD2147" s="19" t="s">
        <v>138</v>
      </c>
      <c r="AE2147" s="26" t="s">
        <v>4087</v>
      </c>
      <c r="AF2147" s="17">
        <v>45421</v>
      </c>
      <c r="AG2147" s="26" t="s">
        <v>3415</v>
      </c>
      <c r="AH2147" s="40">
        <v>1.5</v>
      </c>
      <c r="AI2147" s="40" t="s">
        <v>55</v>
      </c>
      <c r="AJ2147" s="26"/>
      <c r="AK2147" s="26"/>
      <c r="AL2147" s="35"/>
      <c r="AM2147" s="35"/>
      <c r="AN2147" s="35"/>
      <c r="AO2147" s="35"/>
      <c r="AP2147" s="35"/>
    </row>
    <row r="2148" spans="1:42" x14ac:dyDescent="0.2">
      <c r="A2148" s="14">
        <v>45408</v>
      </c>
      <c r="B2148" s="28" t="s">
        <v>37</v>
      </c>
      <c r="C2148" s="41" t="s">
        <v>118</v>
      </c>
      <c r="D2148" s="26" t="s">
        <v>36</v>
      </c>
      <c r="E2148" s="26" t="s">
        <v>139</v>
      </c>
      <c r="F2148" s="26" t="s">
        <v>4087</v>
      </c>
      <c r="G2148" s="26" t="s">
        <v>108</v>
      </c>
      <c r="H2148" s="26" t="s">
        <v>7871</v>
      </c>
      <c r="I2148" s="17">
        <f ca="1">IFERROR(__xludf.DUMMYFUNCTION("""COMPUTED_VALUE"""),45421)</f>
        <v>45421</v>
      </c>
      <c r="J2148" s="49" t="s">
        <v>7247</v>
      </c>
      <c r="K2148" s="26" t="s">
        <v>7248</v>
      </c>
      <c r="L2148" s="30">
        <v>777994752</v>
      </c>
      <c r="M2148" s="26" t="s">
        <v>5429</v>
      </c>
      <c r="N2148" s="26" t="s">
        <v>81</v>
      </c>
      <c r="O2148" s="26" t="s">
        <v>7249</v>
      </c>
      <c r="P2148" s="26" t="s">
        <v>7250</v>
      </c>
      <c r="Q2148" s="20">
        <v>15936</v>
      </c>
      <c r="R2148" s="26" t="s">
        <v>36</v>
      </c>
      <c r="S2148" s="31">
        <v>500</v>
      </c>
      <c r="T2148" s="32">
        <v>45320</v>
      </c>
      <c r="U2148" s="31">
        <v>15436</v>
      </c>
      <c r="V2148" s="26" t="s">
        <v>7251</v>
      </c>
      <c r="W2148" s="26" t="s">
        <v>7252</v>
      </c>
      <c r="X2148" s="26"/>
      <c r="Y2148" s="22">
        <v>0</v>
      </c>
      <c r="Z2148" s="26" t="s">
        <v>118</v>
      </c>
      <c r="AA2148" s="19" t="s">
        <v>7077</v>
      </c>
      <c r="AB2148" s="26" t="s">
        <v>36</v>
      </c>
      <c r="AC2148" s="26" t="s">
        <v>53</v>
      </c>
      <c r="AD2148" s="19" t="s">
        <v>138</v>
      </c>
      <c r="AE2148" s="26" t="s">
        <v>4087</v>
      </c>
      <c r="AF2148" s="17">
        <v>45421</v>
      </c>
      <c r="AG2148" s="26" t="s">
        <v>3415</v>
      </c>
      <c r="AH2148" s="26"/>
      <c r="AI2148" s="40" t="s">
        <v>147</v>
      </c>
      <c r="AJ2148" s="26"/>
      <c r="AK2148" s="26"/>
      <c r="AL2148" s="35"/>
      <c r="AM2148" s="35"/>
      <c r="AN2148" s="35"/>
      <c r="AO2148" s="35"/>
      <c r="AP2148" s="35"/>
    </row>
    <row r="2149" spans="1:42" x14ac:dyDescent="0.2">
      <c r="A2149" s="14">
        <v>45408</v>
      </c>
      <c r="B2149" s="28" t="s">
        <v>37</v>
      </c>
      <c r="C2149" s="41" t="s">
        <v>118</v>
      </c>
      <c r="D2149" s="26" t="s">
        <v>36</v>
      </c>
      <c r="E2149" s="26" t="s">
        <v>139</v>
      </c>
      <c r="F2149" s="26" t="s">
        <v>4087</v>
      </c>
      <c r="G2149" s="26" t="s">
        <v>108</v>
      </c>
      <c r="H2149" s="26" t="s">
        <v>7871</v>
      </c>
      <c r="I2149" s="17">
        <f ca="1">IFERROR(__xludf.DUMMYFUNCTION("""COMPUTED_VALUE"""),45421)</f>
        <v>45421</v>
      </c>
      <c r="J2149" s="29" t="s">
        <v>7548</v>
      </c>
      <c r="K2149" s="26" t="s">
        <v>7549</v>
      </c>
      <c r="L2149" s="30">
        <v>383599674</v>
      </c>
      <c r="M2149" s="26" t="s">
        <v>3728</v>
      </c>
      <c r="N2149" s="26" t="s">
        <v>7550</v>
      </c>
      <c r="O2149" s="26" t="s">
        <v>7551</v>
      </c>
      <c r="P2149" s="26" t="s">
        <v>7552</v>
      </c>
      <c r="Q2149" s="20">
        <v>15936</v>
      </c>
      <c r="R2149" s="26" t="s">
        <v>36</v>
      </c>
      <c r="S2149" s="31">
        <v>300</v>
      </c>
      <c r="T2149" s="32">
        <v>44931</v>
      </c>
      <c r="U2149" s="31">
        <f>1700+13936</f>
        <v>15636</v>
      </c>
      <c r="V2149" s="26" t="s">
        <v>7553</v>
      </c>
      <c r="W2149" s="33" t="s">
        <v>7554</v>
      </c>
      <c r="X2149" s="26"/>
      <c r="Y2149" s="22">
        <v>0</v>
      </c>
      <c r="Z2149" s="26" t="s">
        <v>118</v>
      </c>
      <c r="AA2149" s="19" t="s">
        <v>7361</v>
      </c>
      <c r="AB2149" s="26" t="s">
        <v>36</v>
      </c>
      <c r="AC2149" s="26" t="s">
        <v>53</v>
      </c>
      <c r="AD2149" s="19" t="s">
        <v>138</v>
      </c>
      <c r="AE2149" s="26" t="s">
        <v>4087</v>
      </c>
      <c r="AF2149" s="17">
        <v>45421</v>
      </c>
      <c r="AG2149" s="26" t="s">
        <v>3415</v>
      </c>
      <c r="AH2149" s="26"/>
      <c r="AI2149" s="40"/>
      <c r="AJ2149" s="26"/>
      <c r="AK2149" s="26"/>
      <c r="AL2149" s="35"/>
      <c r="AM2149" s="35"/>
      <c r="AN2149" s="35"/>
      <c r="AO2149" s="35"/>
      <c r="AP2149" s="35"/>
    </row>
    <row r="2150" spans="1:42" x14ac:dyDescent="0.2">
      <c r="A2150" s="14">
        <v>45408</v>
      </c>
      <c r="B2150" s="28" t="s">
        <v>37</v>
      </c>
      <c r="C2150" s="41" t="s">
        <v>118</v>
      </c>
      <c r="D2150" s="26" t="s">
        <v>36</v>
      </c>
      <c r="E2150" s="26" t="s">
        <v>56</v>
      </c>
      <c r="F2150" s="26" t="s">
        <v>4087</v>
      </c>
      <c r="G2150" s="26" t="s">
        <v>108</v>
      </c>
      <c r="H2150" s="26" t="s">
        <v>7871</v>
      </c>
      <c r="I2150" s="17">
        <f ca="1">IFERROR(__xludf.DUMMYFUNCTION("""COMPUTED_VALUE"""),45421)</f>
        <v>45421</v>
      </c>
      <c r="J2150" s="49" t="s">
        <v>7665</v>
      </c>
      <c r="K2150" s="26" t="s">
        <v>7666</v>
      </c>
      <c r="L2150" s="30">
        <v>389165406</v>
      </c>
      <c r="M2150" s="26" t="s">
        <v>5558</v>
      </c>
      <c r="N2150" s="26" t="s">
        <v>850</v>
      </c>
      <c r="O2150" s="26" t="s">
        <v>4503</v>
      </c>
      <c r="P2150" s="26" t="s">
        <v>7667</v>
      </c>
      <c r="Q2150" s="20">
        <v>9317</v>
      </c>
      <c r="R2150" s="26" t="s">
        <v>36</v>
      </c>
      <c r="S2150" s="31">
        <v>200</v>
      </c>
      <c r="T2150" s="32">
        <v>45326</v>
      </c>
      <c r="U2150" s="31">
        <f>1800+7317</f>
        <v>9117</v>
      </c>
      <c r="V2150" s="26" t="s">
        <v>7668</v>
      </c>
      <c r="W2150" s="55" t="s">
        <v>7669</v>
      </c>
      <c r="X2150" s="26">
        <v>0</v>
      </c>
      <c r="Y2150" s="22">
        <v>0</v>
      </c>
      <c r="Z2150" s="26" t="s">
        <v>118</v>
      </c>
      <c r="AA2150" s="19" t="s">
        <v>7361</v>
      </c>
      <c r="AB2150" s="26" t="s">
        <v>36</v>
      </c>
      <c r="AC2150" s="26" t="s">
        <v>53</v>
      </c>
      <c r="AD2150" s="19" t="s">
        <v>138</v>
      </c>
      <c r="AE2150" s="26" t="s">
        <v>4087</v>
      </c>
      <c r="AF2150" s="17">
        <v>45421</v>
      </c>
      <c r="AG2150" s="26" t="s">
        <v>3415</v>
      </c>
      <c r="AH2150" s="40">
        <v>2.5</v>
      </c>
      <c r="AI2150" s="40"/>
      <c r="AJ2150" s="26"/>
      <c r="AK2150" s="26"/>
      <c r="AL2150" s="35"/>
      <c r="AM2150" s="35"/>
      <c r="AN2150" s="35"/>
      <c r="AO2150" s="35"/>
      <c r="AP2150" s="35"/>
    </row>
    <row r="2151" spans="1:42" x14ac:dyDescent="0.2">
      <c r="A2151" s="14">
        <v>45408</v>
      </c>
      <c r="B2151" s="28" t="s">
        <v>37</v>
      </c>
      <c r="C2151" s="41" t="s">
        <v>118</v>
      </c>
      <c r="D2151" s="26" t="s">
        <v>36</v>
      </c>
      <c r="E2151" s="26" t="s">
        <v>56</v>
      </c>
      <c r="F2151" s="26" t="s">
        <v>4087</v>
      </c>
      <c r="G2151" s="26" t="s">
        <v>108</v>
      </c>
      <c r="H2151" s="26" t="s">
        <v>7871</v>
      </c>
      <c r="I2151" s="17">
        <f ca="1">IFERROR(__xludf.DUMMYFUNCTION("""COMPUTED_VALUE"""),45421)</f>
        <v>45421</v>
      </c>
      <c r="J2151" s="29" t="s">
        <v>7156</v>
      </c>
      <c r="K2151" s="26" t="s">
        <v>7157</v>
      </c>
      <c r="L2151" s="30">
        <v>337433420</v>
      </c>
      <c r="M2151" s="26" t="s">
        <v>2755</v>
      </c>
      <c r="N2151" s="26" t="s">
        <v>2756</v>
      </c>
      <c r="O2151" s="26" t="s">
        <v>4503</v>
      </c>
      <c r="P2151" s="26" t="s">
        <v>3117</v>
      </c>
      <c r="Q2151" s="20">
        <v>9317</v>
      </c>
      <c r="R2151" s="26" t="s">
        <v>36</v>
      </c>
      <c r="S2151" s="31">
        <v>300</v>
      </c>
      <c r="T2151" s="32">
        <v>45322</v>
      </c>
      <c r="U2151" s="31">
        <v>8717</v>
      </c>
      <c r="V2151" s="32">
        <v>45332</v>
      </c>
      <c r="W2151" s="26" t="s">
        <v>7158</v>
      </c>
      <c r="X2151" s="26"/>
      <c r="Y2151" s="22">
        <v>300</v>
      </c>
      <c r="Z2151" s="26" t="s">
        <v>118</v>
      </c>
      <c r="AA2151" s="19" t="s">
        <v>7077</v>
      </c>
      <c r="AB2151" s="26" t="s">
        <v>36</v>
      </c>
      <c r="AC2151" s="26" t="s">
        <v>53</v>
      </c>
      <c r="AD2151" s="19" t="s">
        <v>138</v>
      </c>
      <c r="AE2151" s="26" t="s">
        <v>4087</v>
      </c>
      <c r="AF2151" s="17">
        <v>45421</v>
      </c>
      <c r="AG2151" s="26" t="s">
        <v>3415</v>
      </c>
      <c r="AH2151" s="26"/>
      <c r="AI2151" s="40" t="s">
        <v>64</v>
      </c>
      <c r="AJ2151" s="26"/>
      <c r="AK2151" s="26"/>
      <c r="AL2151" s="35"/>
      <c r="AM2151" s="35"/>
      <c r="AN2151" s="35"/>
      <c r="AO2151" s="35"/>
      <c r="AP2151" s="35"/>
    </row>
    <row r="2152" spans="1:42" x14ac:dyDescent="0.2">
      <c r="A2152" s="14">
        <v>45408</v>
      </c>
      <c r="B2152" s="28" t="s">
        <v>37</v>
      </c>
      <c r="C2152" s="41" t="s">
        <v>118</v>
      </c>
      <c r="D2152" s="26" t="s">
        <v>36</v>
      </c>
      <c r="E2152" s="26" t="s">
        <v>56</v>
      </c>
      <c r="F2152" s="26" t="s">
        <v>4087</v>
      </c>
      <c r="G2152" s="26" t="s">
        <v>108</v>
      </c>
      <c r="H2152" s="26" t="s">
        <v>7871</v>
      </c>
      <c r="I2152" s="17">
        <f ca="1">IFERROR(__xludf.DUMMYFUNCTION("""COMPUTED_VALUE"""),45421)</f>
        <v>45421</v>
      </c>
      <c r="J2152" s="49" t="s">
        <v>7670</v>
      </c>
      <c r="K2152" s="26" t="s">
        <v>7671</v>
      </c>
      <c r="L2152" s="30">
        <v>978329358</v>
      </c>
      <c r="M2152" s="26" t="s">
        <v>5558</v>
      </c>
      <c r="N2152" s="26" t="s">
        <v>850</v>
      </c>
      <c r="O2152" s="26" t="s">
        <v>4503</v>
      </c>
      <c r="P2152" s="26" t="s">
        <v>4503</v>
      </c>
      <c r="Q2152" s="20">
        <v>9317</v>
      </c>
      <c r="R2152" s="26" t="s">
        <v>36</v>
      </c>
      <c r="S2152" s="31">
        <v>200</v>
      </c>
      <c r="T2152" s="32">
        <v>45326</v>
      </c>
      <c r="U2152" s="31">
        <f>1800+7317</f>
        <v>9117</v>
      </c>
      <c r="V2152" s="26" t="s">
        <v>7672</v>
      </c>
      <c r="W2152" s="26" t="s">
        <v>7673</v>
      </c>
      <c r="X2152" s="26"/>
      <c r="Y2152" s="22">
        <v>0</v>
      </c>
      <c r="Z2152" s="26" t="s">
        <v>118</v>
      </c>
      <c r="AA2152" s="19" t="s">
        <v>7361</v>
      </c>
      <c r="AB2152" s="26" t="s">
        <v>36</v>
      </c>
      <c r="AC2152" s="26" t="s">
        <v>53</v>
      </c>
      <c r="AD2152" s="19" t="s">
        <v>138</v>
      </c>
      <c r="AE2152" s="26" t="s">
        <v>4087</v>
      </c>
      <c r="AF2152" s="17">
        <v>45421</v>
      </c>
      <c r="AG2152" s="26" t="s">
        <v>3415</v>
      </c>
      <c r="AH2152" s="26"/>
      <c r="AI2152" s="40"/>
      <c r="AJ2152" s="26"/>
      <c r="AK2152" s="26"/>
      <c r="AL2152" s="35"/>
      <c r="AM2152" s="35"/>
      <c r="AN2152" s="35"/>
      <c r="AO2152" s="35"/>
      <c r="AP2152" s="35"/>
    </row>
    <row r="2153" spans="1:42" x14ac:dyDescent="0.2">
      <c r="A2153" s="14">
        <v>45408</v>
      </c>
      <c r="B2153" s="28" t="s">
        <v>37</v>
      </c>
      <c r="C2153" s="41" t="s">
        <v>118</v>
      </c>
      <c r="D2153" s="26" t="s">
        <v>36</v>
      </c>
      <c r="E2153" s="26" t="s">
        <v>139</v>
      </c>
      <c r="F2153" s="26" t="s">
        <v>4087</v>
      </c>
      <c r="G2153" s="26" t="s">
        <v>108</v>
      </c>
      <c r="H2153" s="26" t="s">
        <v>7871</v>
      </c>
      <c r="I2153" s="17">
        <f ca="1">IFERROR(__xludf.DUMMYFUNCTION("""COMPUTED_VALUE"""),45421)</f>
        <v>45421</v>
      </c>
      <c r="J2153" s="29" t="s">
        <v>7635</v>
      </c>
      <c r="K2153" s="26" t="s">
        <v>7636</v>
      </c>
      <c r="L2153" s="30">
        <v>971400552</v>
      </c>
      <c r="M2153" s="26" t="s">
        <v>5518</v>
      </c>
      <c r="N2153" s="26" t="s">
        <v>253</v>
      </c>
      <c r="O2153" s="26" t="s">
        <v>7637</v>
      </c>
      <c r="P2153" s="26" t="s">
        <v>3117</v>
      </c>
      <c r="Q2153" s="20">
        <v>15936</v>
      </c>
      <c r="R2153" s="26" t="s">
        <v>36</v>
      </c>
      <c r="S2153" s="31">
        <v>2000</v>
      </c>
      <c r="T2153" s="32">
        <v>45342</v>
      </c>
      <c r="U2153" s="31">
        <v>13936</v>
      </c>
      <c r="V2153" s="32">
        <v>45377</v>
      </c>
      <c r="W2153" s="33" t="s">
        <v>7638</v>
      </c>
      <c r="X2153" s="26"/>
      <c r="Y2153" s="22">
        <v>0</v>
      </c>
      <c r="Z2153" s="26" t="s">
        <v>118</v>
      </c>
      <c r="AA2153" s="19" t="s">
        <v>7361</v>
      </c>
      <c r="AB2153" s="26" t="s">
        <v>36</v>
      </c>
      <c r="AC2153" s="26" t="s">
        <v>53</v>
      </c>
      <c r="AD2153" s="19" t="s">
        <v>138</v>
      </c>
      <c r="AE2153" s="26" t="s">
        <v>4087</v>
      </c>
      <c r="AF2153" s="17">
        <v>45421</v>
      </c>
      <c r="AG2153" s="26" t="s">
        <v>3415</v>
      </c>
      <c r="AH2153" s="26"/>
      <c r="AI2153" s="40"/>
      <c r="AJ2153" s="26"/>
      <c r="AK2153" s="26"/>
      <c r="AL2153" s="35"/>
      <c r="AM2153" s="35"/>
      <c r="AN2153" s="35"/>
      <c r="AO2153" s="35"/>
      <c r="AP2153" s="35"/>
    </row>
    <row r="2154" spans="1:42" x14ac:dyDescent="0.2">
      <c r="A2154" s="14">
        <v>45408</v>
      </c>
      <c r="B2154" s="28" t="s">
        <v>37</v>
      </c>
      <c r="C2154" s="41" t="s">
        <v>118</v>
      </c>
      <c r="D2154" s="26" t="s">
        <v>36</v>
      </c>
      <c r="E2154" s="26" t="s">
        <v>139</v>
      </c>
      <c r="F2154" s="26" t="s">
        <v>4087</v>
      </c>
      <c r="G2154" s="26" t="s">
        <v>108</v>
      </c>
      <c r="H2154" s="26" t="s">
        <v>7871</v>
      </c>
      <c r="I2154" s="17">
        <f ca="1">IFERROR(__xludf.DUMMYFUNCTION("""COMPUTED_VALUE"""),45421)</f>
        <v>45421</v>
      </c>
      <c r="J2154" s="29" t="s">
        <v>7530</v>
      </c>
      <c r="K2154" s="26" t="s">
        <v>7531</v>
      </c>
      <c r="L2154" s="30">
        <v>978896921</v>
      </c>
      <c r="M2154" s="26" t="s">
        <v>910</v>
      </c>
      <c r="N2154" s="26" t="s">
        <v>3525</v>
      </c>
      <c r="O2154" s="26" t="s">
        <v>3754</v>
      </c>
      <c r="P2154" s="42" t="s">
        <v>7532</v>
      </c>
      <c r="Q2154" s="20">
        <v>15936</v>
      </c>
      <c r="R2154" s="26" t="s">
        <v>36</v>
      </c>
      <c r="S2154" s="31">
        <v>2000</v>
      </c>
      <c r="T2154" s="32">
        <v>45236</v>
      </c>
      <c r="U2154" s="31">
        <v>13936</v>
      </c>
      <c r="V2154" s="32">
        <v>45370</v>
      </c>
      <c r="W2154" s="33" t="s">
        <v>7533</v>
      </c>
      <c r="X2154" s="26"/>
      <c r="Y2154" s="22">
        <v>0</v>
      </c>
      <c r="Z2154" s="26" t="s">
        <v>118</v>
      </c>
      <c r="AA2154" s="19" t="s">
        <v>7361</v>
      </c>
      <c r="AB2154" s="26" t="s">
        <v>36</v>
      </c>
      <c r="AC2154" s="26" t="s">
        <v>53</v>
      </c>
      <c r="AD2154" s="19" t="s">
        <v>138</v>
      </c>
      <c r="AE2154" s="26" t="s">
        <v>4087</v>
      </c>
      <c r="AF2154" s="17">
        <v>45421</v>
      </c>
      <c r="AG2154" s="26" t="s">
        <v>3415</v>
      </c>
      <c r="AH2154" s="26"/>
      <c r="AI2154" s="40"/>
      <c r="AJ2154" s="26"/>
      <c r="AK2154" s="26"/>
      <c r="AL2154" s="35"/>
      <c r="AM2154" s="35"/>
      <c r="AN2154" s="35"/>
      <c r="AO2154" s="35"/>
      <c r="AP2154" s="35"/>
    </row>
    <row r="2155" spans="1:42" x14ac:dyDescent="0.2">
      <c r="A2155" s="14">
        <v>45408</v>
      </c>
      <c r="B2155" s="28" t="s">
        <v>37</v>
      </c>
      <c r="C2155" s="41" t="s">
        <v>118</v>
      </c>
      <c r="D2155" s="26" t="s">
        <v>36</v>
      </c>
      <c r="E2155" s="26" t="s">
        <v>39</v>
      </c>
      <c r="F2155" s="26" t="s">
        <v>4489</v>
      </c>
      <c r="G2155" s="26" t="s">
        <v>108</v>
      </c>
      <c r="H2155" s="26" t="s">
        <v>8040</v>
      </c>
      <c r="I2155" s="17" t="str">
        <f ca="1">IFERROR(__xludf.DUMMYFUNCTION("""COMPUTED_VALUE""")," ")</f>
        <v xml:space="preserve"> </v>
      </c>
      <c r="J2155" s="29" t="s">
        <v>7543</v>
      </c>
      <c r="K2155" s="26" t="s">
        <v>8041</v>
      </c>
      <c r="L2155" s="30">
        <v>352443308</v>
      </c>
      <c r="M2155" s="26" t="s">
        <v>5558</v>
      </c>
      <c r="N2155" s="26" t="s">
        <v>5559</v>
      </c>
      <c r="O2155" s="26" t="s">
        <v>4503</v>
      </c>
      <c r="P2155" s="26" t="s">
        <v>7545</v>
      </c>
      <c r="Q2155" s="20">
        <v>5736</v>
      </c>
      <c r="R2155" s="26" t="s">
        <v>36</v>
      </c>
      <c r="S2155" s="58">
        <v>2000</v>
      </c>
      <c r="T2155" s="59">
        <v>45323</v>
      </c>
      <c r="U2155" s="31">
        <v>3736</v>
      </c>
      <c r="V2155" s="32">
        <v>45345</v>
      </c>
      <c r="W2155" s="26" t="s">
        <v>7546</v>
      </c>
      <c r="X2155" s="26"/>
      <c r="Y2155" s="22">
        <v>0</v>
      </c>
      <c r="Z2155" s="26" t="s">
        <v>118</v>
      </c>
      <c r="AA2155" s="19" t="s">
        <v>7361</v>
      </c>
      <c r="AB2155" s="26" t="s">
        <v>36</v>
      </c>
      <c r="AC2155" s="26" t="s">
        <v>53</v>
      </c>
      <c r="AD2155" s="19" t="s">
        <v>138</v>
      </c>
      <c r="AE2155" s="26" t="s">
        <v>4489</v>
      </c>
      <c r="AF2155" s="17">
        <v>45416</v>
      </c>
      <c r="AG2155" s="26"/>
      <c r="AH2155" s="26"/>
      <c r="AI2155" s="40"/>
      <c r="AJ2155" s="26"/>
      <c r="AK2155" s="26"/>
      <c r="AL2155" s="35"/>
      <c r="AM2155" s="35"/>
      <c r="AN2155" s="35"/>
      <c r="AO2155" s="35"/>
      <c r="AP2155" s="35"/>
    </row>
    <row r="2156" spans="1:42" x14ac:dyDescent="0.2">
      <c r="A2156" s="14">
        <v>45408</v>
      </c>
      <c r="B2156" s="28" t="s">
        <v>37</v>
      </c>
      <c r="C2156" s="41" t="s">
        <v>118</v>
      </c>
      <c r="D2156" s="26" t="s">
        <v>36</v>
      </c>
      <c r="E2156" s="26" t="s">
        <v>56</v>
      </c>
      <c r="F2156" s="26" t="s">
        <v>2415</v>
      </c>
      <c r="G2156" s="71" t="s">
        <v>221</v>
      </c>
      <c r="H2156" s="26" t="s">
        <v>7454</v>
      </c>
      <c r="I2156" s="17">
        <f ca="1">IFERROR(__xludf.DUMMYFUNCTION("""COMPUTED_VALUE"""),45418)</f>
        <v>45418</v>
      </c>
      <c r="J2156" s="29" t="s">
        <v>858</v>
      </c>
      <c r="K2156" s="26" t="s">
        <v>8042</v>
      </c>
      <c r="L2156" s="30">
        <v>965917843</v>
      </c>
      <c r="M2156" s="26" t="s">
        <v>59</v>
      </c>
      <c r="N2156" s="26" t="s">
        <v>68</v>
      </c>
      <c r="O2156" s="26" t="s">
        <v>860</v>
      </c>
      <c r="P2156" s="42" t="s">
        <v>7462</v>
      </c>
      <c r="Q2156" s="20">
        <v>9317</v>
      </c>
      <c r="R2156" s="26" t="s">
        <v>36</v>
      </c>
      <c r="S2156" s="31">
        <v>9317</v>
      </c>
      <c r="T2156" s="32">
        <v>45138</v>
      </c>
      <c r="U2156" s="31"/>
      <c r="V2156" s="32"/>
      <c r="W2156" s="33" t="s">
        <v>862</v>
      </c>
      <c r="X2156" s="26">
        <v>0</v>
      </c>
      <c r="Y2156" s="22">
        <v>0</v>
      </c>
      <c r="Z2156" s="26" t="s">
        <v>118</v>
      </c>
      <c r="AA2156" s="19" t="s">
        <v>5785</v>
      </c>
      <c r="AB2156" s="26" t="s">
        <v>36</v>
      </c>
      <c r="AC2156" s="26" t="s">
        <v>53</v>
      </c>
      <c r="AD2156" s="19" t="s">
        <v>54</v>
      </c>
      <c r="AE2156" s="26" t="s">
        <v>8043</v>
      </c>
      <c r="AF2156" s="17">
        <v>45379</v>
      </c>
      <c r="AG2156" s="26"/>
      <c r="AH2156" s="26"/>
      <c r="AI2156" s="40" t="s">
        <v>64</v>
      </c>
      <c r="AJ2156" s="26"/>
      <c r="AK2156" s="26"/>
      <c r="AL2156" s="35"/>
      <c r="AM2156" s="35"/>
      <c r="AN2156" s="35"/>
      <c r="AO2156" s="35"/>
      <c r="AP2156" s="35"/>
    </row>
    <row r="2157" spans="1:42" x14ac:dyDescent="0.2">
      <c r="A2157" s="14">
        <v>45414</v>
      </c>
      <c r="B2157" s="28" t="s">
        <v>37</v>
      </c>
      <c r="C2157" s="41" t="s">
        <v>118</v>
      </c>
      <c r="D2157" s="26" t="s">
        <v>36</v>
      </c>
      <c r="E2157" s="26" t="s">
        <v>139</v>
      </c>
      <c r="F2157" s="26" t="s">
        <v>2258</v>
      </c>
      <c r="G2157" s="26" t="s">
        <v>108</v>
      </c>
      <c r="H2157" s="26" t="s">
        <v>8044</v>
      </c>
      <c r="I2157" s="17" t="str">
        <f ca="1">IFERROR(__xludf.DUMMYFUNCTION("""COMPUTED_VALUE""")," ")</f>
        <v xml:space="preserve"> </v>
      </c>
      <c r="J2157" s="29" t="s">
        <v>4199</v>
      </c>
      <c r="K2157" s="26" t="s">
        <v>8045</v>
      </c>
      <c r="L2157" s="30">
        <v>896516273</v>
      </c>
      <c r="M2157" s="26" t="s">
        <v>633</v>
      </c>
      <c r="N2157" s="26" t="s">
        <v>2847</v>
      </c>
      <c r="O2157" s="26" t="s">
        <v>5976</v>
      </c>
      <c r="P2157" s="42" t="s">
        <v>5977</v>
      </c>
      <c r="Q2157" s="20">
        <v>15936</v>
      </c>
      <c r="R2157" s="26" t="s">
        <v>36</v>
      </c>
      <c r="S2157" s="31">
        <v>15936</v>
      </c>
      <c r="T2157" s="32">
        <v>45210</v>
      </c>
      <c r="U2157" s="31"/>
      <c r="V2157" s="32"/>
      <c r="W2157" s="33" t="s">
        <v>4202</v>
      </c>
      <c r="X2157" s="26"/>
      <c r="Y2157" s="22">
        <v>0</v>
      </c>
      <c r="Z2157" s="26" t="s">
        <v>118</v>
      </c>
      <c r="AA2157" s="19" t="s">
        <v>5785</v>
      </c>
      <c r="AB2157" s="26" t="s">
        <v>36</v>
      </c>
      <c r="AC2157" s="26" t="s">
        <v>53</v>
      </c>
      <c r="AD2157" s="19" t="s">
        <v>54</v>
      </c>
      <c r="AE2157" s="26" t="s">
        <v>2258</v>
      </c>
      <c r="AF2157" s="17">
        <v>45259</v>
      </c>
      <c r="AG2157" s="26"/>
      <c r="AH2157" s="26"/>
      <c r="AI2157" s="40" t="s">
        <v>147</v>
      </c>
      <c r="AJ2157" s="26"/>
      <c r="AK2157" s="26"/>
      <c r="AL2157" s="35"/>
      <c r="AM2157" s="35"/>
      <c r="AN2157" s="35"/>
      <c r="AO2157" s="35"/>
      <c r="AP2157" s="35"/>
    </row>
    <row r="2158" spans="1:42" x14ac:dyDescent="0.2">
      <c r="A2158" s="14">
        <v>45414</v>
      </c>
      <c r="B2158" s="28" t="s">
        <v>37</v>
      </c>
      <c r="C2158" s="41" t="s">
        <v>118</v>
      </c>
      <c r="D2158" s="26" t="s">
        <v>36</v>
      </c>
      <c r="E2158" s="26" t="s">
        <v>106</v>
      </c>
      <c r="F2158" s="26" t="s">
        <v>4820</v>
      </c>
      <c r="G2158" s="26" t="s">
        <v>108</v>
      </c>
      <c r="H2158" s="26" t="s">
        <v>7871</v>
      </c>
      <c r="I2158" s="17">
        <f ca="1">IFERROR(__xludf.DUMMYFUNCTION("""COMPUTED_VALUE"""),45421)</f>
        <v>45421</v>
      </c>
      <c r="J2158" s="29" t="s">
        <v>8046</v>
      </c>
      <c r="K2158" s="26" t="s">
        <v>8047</v>
      </c>
      <c r="L2158" s="30">
        <v>359512908</v>
      </c>
      <c r="M2158" s="26" t="s">
        <v>1245</v>
      </c>
      <c r="N2158" s="26" t="s">
        <v>1246</v>
      </c>
      <c r="O2158" s="67" t="s">
        <v>8048</v>
      </c>
      <c r="P2158" s="26" t="s">
        <v>8049</v>
      </c>
      <c r="Q2158" s="20">
        <v>10354</v>
      </c>
      <c r="R2158" s="26" t="s">
        <v>36</v>
      </c>
      <c r="S2158" s="31">
        <v>9000</v>
      </c>
      <c r="T2158" s="32">
        <v>44858</v>
      </c>
      <c r="U2158" s="31">
        <v>1354</v>
      </c>
      <c r="V2158" s="32">
        <v>44858</v>
      </c>
      <c r="W2158" s="26" t="s">
        <v>8050</v>
      </c>
      <c r="X2158" s="26"/>
      <c r="Y2158" s="22">
        <v>0</v>
      </c>
      <c r="Z2158" s="98" t="s">
        <v>118</v>
      </c>
      <c r="AA2158" s="19" t="s">
        <v>3307</v>
      </c>
      <c r="AB2158" s="26" t="s">
        <v>36</v>
      </c>
      <c r="AC2158" s="26" t="s">
        <v>53</v>
      </c>
      <c r="AD2158" s="19" t="s">
        <v>138</v>
      </c>
      <c r="AE2158" s="26">
        <v>370</v>
      </c>
      <c r="AF2158" s="17">
        <v>45421</v>
      </c>
      <c r="AG2158" s="26" t="s">
        <v>3415</v>
      </c>
      <c r="AH2158" s="131"/>
      <c r="AI2158" s="132"/>
      <c r="AJ2158" s="132">
        <v>45026.29513269676</v>
      </c>
      <c r="AK2158" s="96"/>
      <c r="AL2158" s="96">
        <v>359512908</v>
      </c>
      <c r="AM2158" s="96"/>
      <c r="AN2158" s="96"/>
      <c r="AO2158" s="26"/>
      <c r="AP2158" s="35"/>
    </row>
    <row r="2159" spans="1:42" x14ac:dyDescent="0.2">
      <c r="A2159" s="14">
        <v>45414</v>
      </c>
      <c r="B2159" s="28" t="s">
        <v>1703</v>
      </c>
      <c r="C2159" s="41" t="s">
        <v>118</v>
      </c>
      <c r="D2159" s="26" t="s">
        <v>106</v>
      </c>
      <c r="E2159" s="26" t="s">
        <v>219</v>
      </c>
      <c r="F2159" s="26" t="s">
        <v>6083</v>
      </c>
      <c r="G2159" s="26" t="s">
        <v>221</v>
      </c>
      <c r="H2159" s="26" t="s">
        <v>8051</v>
      </c>
      <c r="I2159" s="17" t="str">
        <f ca="1">IFERROR(__xludf.DUMMYFUNCTION("""COMPUTED_VALUE""")," ")</f>
        <v xml:space="preserve"> </v>
      </c>
      <c r="J2159" s="29" t="s">
        <v>4225</v>
      </c>
      <c r="K2159" s="19" t="s">
        <v>8052</v>
      </c>
      <c r="L2159" s="30">
        <v>566515888</v>
      </c>
      <c r="M2159" s="26" t="s">
        <v>112</v>
      </c>
      <c r="N2159" s="26" t="s">
        <v>113</v>
      </c>
      <c r="O2159" s="26" t="s">
        <v>61</v>
      </c>
      <c r="P2159" s="26" t="s">
        <v>6368</v>
      </c>
      <c r="Q2159" s="20">
        <v>3968</v>
      </c>
      <c r="R2159" s="26" t="s">
        <v>36</v>
      </c>
      <c r="S2159" s="31"/>
      <c r="T2159" s="32"/>
      <c r="U2159" s="31"/>
      <c r="V2159" s="32"/>
      <c r="W2159" s="33"/>
      <c r="X2159" s="26">
        <v>100</v>
      </c>
      <c r="Y2159" s="22"/>
      <c r="Z2159" s="98"/>
      <c r="AA2159" s="19"/>
      <c r="AB2159" s="26"/>
      <c r="AC2159" s="26" t="s">
        <v>53</v>
      </c>
      <c r="AD2159" s="19" t="s">
        <v>138</v>
      </c>
      <c r="AE2159" s="26" t="s">
        <v>6083</v>
      </c>
      <c r="AF2159" s="17"/>
      <c r="AG2159" s="26"/>
      <c r="AH2159" s="26"/>
      <c r="AI2159" s="40">
        <v>1</v>
      </c>
      <c r="AJ2159" s="26"/>
      <c r="AK2159" s="26"/>
      <c r="AL2159" s="35"/>
      <c r="AM2159" s="35"/>
      <c r="AN2159" s="35"/>
      <c r="AO2159" s="35"/>
      <c r="AP2159" s="35"/>
    </row>
    <row r="2160" spans="1:42" x14ac:dyDescent="0.2">
      <c r="A2160" s="14">
        <v>45414</v>
      </c>
      <c r="B2160" s="28" t="s">
        <v>37</v>
      </c>
      <c r="C2160" s="41" t="s">
        <v>118</v>
      </c>
      <c r="D2160" s="26" t="s">
        <v>36</v>
      </c>
      <c r="E2160" s="26" t="s">
        <v>39</v>
      </c>
      <c r="F2160" s="26" t="s">
        <v>4489</v>
      </c>
      <c r="G2160" s="26" t="s">
        <v>108</v>
      </c>
      <c r="H2160" s="26" t="s">
        <v>8053</v>
      </c>
      <c r="I2160" s="17" t="str">
        <f ca="1">IFERROR(__xludf.DUMMYFUNCTION("""COMPUTED_VALUE""")," ")</f>
        <v xml:space="preserve"> </v>
      </c>
      <c r="J2160" s="29" t="s">
        <v>6493</v>
      </c>
      <c r="K2160" s="26" t="s">
        <v>8054</v>
      </c>
      <c r="L2160" s="30">
        <v>961848623</v>
      </c>
      <c r="M2160" s="26" t="s">
        <v>2755</v>
      </c>
      <c r="N2160" s="26" t="s">
        <v>310</v>
      </c>
      <c r="O2160" s="26" t="s">
        <v>4503</v>
      </c>
      <c r="P2160" s="26" t="s">
        <v>8055</v>
      </c>
      <c r="Q2160" s="20">
        <v>5736</v>
      </c>
      <c r="R2160" s="26" t="s">
        <v>36</v>
      </c>
      <c r="S2160" s="31">
        <v>5736</v>
      </c>
      <c r="T2160" s="32">
        <v>45289</v>
      </c>
      <c r="U2160" s="31"/>
      <c r="V2160" s="32"/>
      <c r="W2160" s="33" t="s">
        <v>6496</v>
      </c>
      <c r="X2160" s="26"/>
      <c r="Y2160" s="22">
        <v>0</v>
      </c>
      <c r="Z2160" s="98" t="s">
        <v>118</v>
      </c>
      <c r="AA2160" s="19" t="s">
        <v>5961</v>
      </c>
      <c r="AB2160" s="26" t="s">
        <v>36</v>
      </c>
      <c r="AC2160" s="26" t="s">
        <v>53</v>
      </c>
      <c r="AD2160" s="19" t="s">
        <v>138</v>
      </c>
      <c r="AE2160" s="26" t="s">
        <v>4489</v>
      </c>
      <c r="AF2160" s="17">
        <v>45416</v>
      </c>
      <c r="AG2160" s="26"/>
      <c r="AH2160" s="26">
        <v>1</v>
      </c>
      <c r="AI2160" s="40"/>
      <c r="AJ2160" s="26"/>
      <c r="AK2160" s="26"/>
      <c r="AL2160" s="35"/>
      <c r="AM2160" s="35"/>
      <c r="AN2160" s="35"/>
      <c r="AO2160" s="35"/>
      <c r="AP2160" s="35"/>
    </row>
    <row r="2161" spans="1:42" x14ac:dyDescent="0.2">
      <c r="A2161" s="14">
        <v>45414</v>
      </c>
      <c r="B2161" s="28" t="s">
        <v>37</v>
      </c>
      <c r="C2161" s="41" t="s">
        <v>118</v>
      </c>
      <c r="D2161" s="26" t="s">
        <v>36</v>
      </c>
      <c r="E2161" s="26" t="s">
        <v>139</v>
      </c>
      <c r="F2161" s="26" t="s">
        <v>2856</v>
      </c>
      <c r="G2161" s="26" t="s">
        <v>108</v>
      </c>
      <c r="H2161" s="26" t="s">
        <v>6596</v>
      </c>
      <c r="I2161" s="17">
        <f ca="1">IFERROR(__xludf.DUMMYFUNCTION("""COMPUTED_VALUE"""),45425)</f>
        <v>45425</v>
      </c>
      <c r="J2161" s="29" t="s">
        <v>6693</v>
      </c>
      <c r="K2161" s="26" t="s">
        <v>6694</v>
      </c>
      <c r="L2161" s="30">
        <v>918464995</v>
      </c>
      <c r="M2161" s="26" t="s">
        <v>3728</v>
      </c>
      <c r="N2161" s="26" t="s">
        <v>5377</v>
      </c>
      <c r="O2161" s="26" t="s">
        <v>6695</v>
      </c>
      <c r="P2161" s="42" t="s">
        <v>8056</v>
      </c>
      <c r="Q2161" s="20">
        <v>15936</v>
      </c>
      <c r="R2161" s="26" t="s">
        <v>36</v>
      </c>
      <c r="S2161" s="31">
        <v>2000</v>
      </c>
      <c r="T2161" s="32">
        <v>45287</v>
      </c>
      <c r="U2161" s="31">
        <v>13936</v>
      </c>
      <c r="V2161" s="32">
        <v>45322</v>
      </c>
      <c r="W2161" s="33" t="s">
        <v>6697</v>
      </c>
      <c r="X2161" s="26">
        <v>0</v>
      </c>
      <c r="Y2161" s="22">
        <v>0</v>
      </c>
      <c r="Z2161" s="98" t="s">
        <v>118</v>
      </c>
      <c r="AA2161" s="19" t="s">
        <v>6079</v>
      </c>
      <c r="AB2161" s="26" t="s">
        <v>36</v>
      </c>
      <c r="AC2161" s="26" t="s">
        <v>53</v>
      </c>
      <c r="AD2161" s="19" t="s">
        <v>54</v>
      </c>
      <c r="AE2161" s="26" t="s">
        <v>2856</v>
      </c>
      <c r="AF2161" s="17">
        <v>45415</v>
      </c>
      <c r="AG2161" s="26"/>
      <c r="AH2161" s="26"/>
      <c r="AI2161" s="40" t="s">
        <v>147</v>
      </c>
      <c r="AJ2161" s="26"/>
      <c r="AK2161" s="26"/>
      <c r="AL2161" s="35"/>
      <c r="AM2161" s="35"/>
      <c r="AN2161" s="35"/>
      <c r="AO2161" s="35"/>
      <c r="AP2161" s="35"/>
    </row>
    <row r="2162" spans="1:42" x14ac:dyDescent="0.2">
      <c r="A2162" s="14">
        <v>45414</v>
      </c>
      <c r="B2162" s="28" t="s">
        <v>37</v>
      </c>
      <c r="C2162" s="41" t="s">
        <v>118</v>
      </c>
      <c r="D2162" s="26" t="s">
        <v>36</v>
      </c>
      <c r="E2162" s="26" t="s">
        <v>148</v>
      </c>
      <c r="F2162" s="26" t="s">
        <v>2440</v>
      </c>
      <c r="G2162" s="26" t="s">
        <v>221</v>
      </c>
      <c r="H2162" s="26" t="s">
        <v>8057</v>
      </c>
      <c r="I2162" s="17" t="str">
        <f ca="1">IFERROR(__xludf.DUMMYFUNCTION("""COMPUTED_VALUE""")," ")</f>
        <v xml:space="preserve"> </v>
      </c>
      <c r="J2162" s="29" t="s">
        <v>4825</v>
      </c>
      <c r="K2162" s="26" t="s">
        <v>4826</v>
      </c>
      <c r="L2162" s="30">
        <v>367941382</v>
      </c>
      <c r="M2162" s="26" t="s">
        <v>94</v>
      </c>
      <c r="N2162" s="26" t="s">
        <v>4827</v>
      </c>
      <c r="O2162" s="26" t="s">
        <v>36</v>
      </c>
      <c r="P2162" s="42" t="s">
        <v>4828</v>
      </c>
      <c r="Q2162" s="20">
        <v>7349</v>
      </c>
      <c r="R2162" s="26" t="s">
        <v>36</v>
      </c>
      <c r="S2162" s="31">
        <v>10804</v>
      </c>
      <c r="T2162" s="32">
        <v>44970</v>
      </c>
      <c r="U2162" s="31"/>
      <c r="V2162" s="31"/>
      <c r="W2162" s="33" t="s">
        <v>4829</v>
      </c>
      <c r="X2162" s="26">
        <v>0</v>
      </c>
      <c r="Y2162" s="22">
        <v>0</v>
      </c>
      <c r="Z2162" s="26" t="s">
        <v>118</v>
      </c>
      <c r="AA2162" s="19" t="s">
        <v>4541</v>
      </c>
      <c r="AB2162" s="26" t="s">
        <v>36</v>
      </c>
      <c r="AC2162" s="26" t="s">
        <v>53</v>
      </c>
      <c r="AD2162" s="19" t="s">
        <v>54</v>
      </c>
      <c r="AE2162" s="26" t="s">
        <v>2440</v>
      </c>
      <c r="AF2162" s="17">
        <v>45415</v>
      </c>
      <c r="AG2162" s="26"/>
      <c r="AH2162" s="26"/>
      <c r="AI2162" s="40"/>
      <c r="AJ2162" s="26"/>
      <c r="AK2162" s="26"/>
      <c r="AL2162" s="35"/>
      <c r="AM2162" s="35"/>
      <c r="AN2162" s="35"/>
      <c r="AO2162" s="35"/>
      <c r="AP2162" s="35"/>
    </row>
    <row r="2163" spans="1:42" x14ac:dyDescent="0.2">
      <c r="A2163" s="38">
        <v>45415</v>
      </c>
      <c r="B2163" s="28" t="s">
        <v>37</v>
      </c>
      <c r="C2163" s="41" t="s">
        <v>118</v>
      </c>
      <c r="D2163" s="26" t="s">
        <v>36</v>
      </c>
      <c r="E2163" s="26" t="s">
        <v>106</v>
      </c>
      <c r="F2163" s="26" t="s">
        <v>36</v>
      </c>
      <c r="G2163" s="26" t="s">
        <v>108</v>
      </c>
      <c r="H2163" s="26" t="s">
        <v>7871</v>
      </c>
      <c r="I2163" s="17">
        <f ca="1">IFERROR(__xludf.DUMMYFUNCTION("""COMPUTED_VALUE"""),45421)</f>
        <v>45421</v>
      </c>
      <c r="J2163" s="29" t="s">
        <v>8058</v>
      </c>
      <c r="K2163" s="26" t="s">
        <v>8059</v>
      </c>
      <c r="L2163" s="30">
        <v>915488390</v>
      </c>
      <c r="M2163" s="26" t="s">
        <v>3288</v>
      </c>
      <c r="N2163" s="26" t="s">
        <v>200</v>
      </c>
      <c r="O2163" s="26" t="s">
        <v>91</v>
      </c>
      <c r="P2163" s="26" t="s">
        <v>8060</v>
      </c>
      <c r="Q2163" s="20">
        <v>3768</v>
      </c>
      <c r="R2163" s="26" t="s">
        <v>36</v>
      </c>
      <c r="S2163" s="31">
        <v>3768</v>
      </c>
      <c r="T2163" s="32">
        <v>44848</v>
      </c>
      <c r="U2163" s="31"/>
      <c r="V2163" s="32"/>
      <c r="W2163" s="33" t="s">
        <v>8061</v>
      </c>
      <c r="X2163" s="26"/>
      <c r="Y2163" s="22">
        <v>0</v>
      </c>
      <c r="Z2163" s="26" t="s">
        <v>118</v>
      </c>
      <c r="AA2163" s="19" t="s">
        <v>2407</v>
      </c>
      <c r="AB2163" s="26" t="s">
        <v>36</v>
      </c>
      <c r="AC2163" s="26" t="s">
        <v>53</v>
      </c>
      <c r="AD2163" s="19" t="s">
        <v>138</v>
      </c>
      <c r="AE2163" s="26" t="s">
        <v>8062</v>
      </c>
      <c r="AF2163" s="17">
        <v>45421</v>
      </c>
      <c r="AG2163" s="26" t="s">
        <v>3415</v>
      </c>
      <c r="AH2163" s="26"/>
      <c r="AI2163" s="40"/>
      <c r="AJ2163" s="26"/>
      <c r="AK2163" s="26"/>
      <c r="AL2163" s="35"/>
      <c r="AM2163" s="35"/>
      <c r="AN2163" s="35"/>
      <c r="AO2163" s="35"/>
      <c r="AP2163" s="35"/>
    </row>
    <row r="2164" spans="1:42" x14ac:dyDescent="0.2">
      <c r="A2164" s="126">
        <v>45377.735873981481</v>
      </c>
      <c r="B2164" s="28" t="s">
        <v>37</v>
      </c>
      <c r="C2164" s="41" t="s">
        <v>118</v>
      </c>
      <c r="D2164" s="26" t="s">
        <v>36</v>
      </c>
      <c r="E2164" s="26" t="s">
        <v>219</v>
      </c>
      <c r="F2164" s="26" t="s">
        <v>36</v>
      </c>
      <c r="G2164" s="26" t="s">
        <v>221</v>
      </c>
      <c r="H2164" s="26" t="s">
        <v>8063</v>
      </c>
      <c r="I2164" s="17">
        <f ca="1">IFERROR(__xludf.DUMMYFUNCTION("""COMPUTED_VALUE"""),45596)</f>
        <v>45596</v>
      </c>
      <c r="J2164" s="29" t="s">
        <v>8058</v>
      </c>
      <c r="K2164" s="26" t="s">
        <v>8064</v>
      </c>
      <c r="L2164" s="30">
        <v>915488390</v>
      </c>
      <c r="M2164" s="26" t="s">
        <v>3288</v>
      </c>
      <c r="N2164" s="26" t="s">
        <v>200</v>
      </c>
      <c r="O2164" s="26" t="s">
        <v>91</v>
      </c>
      <c r="P2164" s="26" t="s">
        <v>8060</v>
      </c>
      <c r="Q2164" s="20">
        <v>3968</v>
      </c>
      <c r="R2164" s="26" t="s">
        <v>36</v>
      </c>
      <c r="S2164" s="31">
        <v>3968</v>
      </c>
      <c r="T2164" s="32">
        <v>45375</v>
      </c>
      <c r="U2164" s="31"/>
      <c r="V2164" s="32"/>
      <c r="W2164" s="33" t="s">
        <v>8065</v>
      </c>
      <c r="X2164" s="26"/>
      <c r="Y2164" s="22">
        <v>0</v>
      </c>
      <c r="Z2164" s="26" t="s">
        <v>118</v>
      </c>
      <c r="AA2164" s="19" t="s">
        <v>7361</v>
      </c>
      <c r="AB2164" s="26" t="s">
        <v>36</v>
      </c>
      <c r="AC2164" s="26" t="s">
        <v>53</v>
      </c>
      <c r="AD2164" s="19" t="s">
        <v>138</v>
      </c>
      <c r="AE2164" s="26" t="s">
        <v>7871</v>
      </c>
      <c r="AF2164" s="43">
        <v>45596</v>
      </c>
      <c r="AG2164" s="26" t="s">
        <v>3399</v>
      </c>
      <c r="AH2164" s="26"/>
      <c r="AI2164" s="40"/>
      <c r="AJ2164" s="26"/>
      <c r="AK2164" s="26"/>
      <c r="AL2164" s="35"/>
      <c r="AM2164" s="35"/>
      <c r="AN2164" s="35"/>
      <c r="AO2164" s="35"/>
      <c r="AP2164" s="35"/>
    </row>
    <row r="2165" spans="1:42" x14ac:dyDescent="0.2">
      <c r="A2165" s="38">
        <v>45415</v>
      </c>
      <c r="B2165" s="28" t="s">
        <v>37</v>
      </c>
      <c r="C2165" s="41" t="s">
        <v>118</v>
      </c>
      <c r="D2165" s="26" t="s">
        <v>36</v>
      </c>
      <c r="E2165" s="26" t="s">
        <v>56</v>
      </c>
      <c r="F2165" s="26" t="s">
        <v>3295</v>
      </c>
      <c r="G2165" s="26" t="s">
        <v>108</v>
      </c>
      <c r="H2165" s="26" t="s">
        <v>8066</v>
      </c>
      <c r="I2165" s="17">
        <f ca="1">IFERROR(__xludf.DUMMYFUNCTION("""COMPUTED_VALUE"""),45509)</f>
        <v>45509</v>
      </c>
      <c r="J2165" s="29" t="s">
        <v>1455</v>
      </c>
      <c r="K2165" s="26" t="s">
        <v>8067</v>
      </c>
      <c r="L2165" s="30">
        <v>345840253</v>
      </c>
      <c r="M2165" s="26" t="s">
        <v>112</v>
      </c>
      <c r="N2165" s="26" t="s">
        <v>113</v>
      </c>
      <c r="O2165" s="26" t="s">
        <v>1457</v>
      </c>
      <c r="P2165" s="26" t="s">
        <v>5817</v>
      </c>
      <c r="Q2165" s="20">
        <v>9317</v>
      </c>
      <c r="R2165" s="26" t="s">
        <v>36</v>
      </c>
      <c r="S2165" s="31">
        <v>2000</v>
      </c>
      <c r="T2165" s="32">
        <v>45150</v>
      </c>
      <c r="U2165" s="31">
        <v>7317</v>
      </c>
      <c r="V2165" s="32">
        <v>45164</v>
      </c>
      <c r="W2165" s="33" t="s">
        <v>1459</v>
      </c>
      <c r="X2165" s="26">
        <v>0</v>
      </c>
      <c r="Y2165" s="22">
        <v>0</v>
      </c>
      <c r="Z2165" s="98" t="s">
        <v>118</v>
      </c>
      <c r="AA2165" s="19" t="s">
        <v>5785</v>
      </c>
      <c r="AB2165" s="26" t="s">
        <v>36</v>
      </c>
      <c r="AC2165" s="26" t="s">
        <v>53</v>
      </c>
      <c r="AD2165" s="14" t="s">
        <v>54</v>
      </c>
      <c r="AE2165" s="26" t="s">
        <v>3295</v>
      </c>
      <c r="AF2165" s="17">
        <v>45238</v>
      </c>
      <c r="AG2165" s="26"/>
      <c r="AH2165" s="40"/>
      <c r="AI2165" s="126" t="s">
        <v>64</v>
      </c>
      <c r="AJ2165" s="26"/>
      <c r="AK2165" s="26"/>
      <c r="AL2165" s="26"/>
      <c r="AM2165" s="35"/>
      <c r="AN2165" s="35"/>
      <c r="AO2165" s="35"/>
      <c r="AP2165" s="35"/>
    </row>
    <row r="2166" spans="1:42" x14ac:dyDescent="0.2">
      <c r="A2166" s="38">
        <v>45416</v>
      </c>
      <c r="B2166" s="28" t="s">
        <v>37</v>
      </c>
      <c r="C2166" s="41" t="s">
        <v>118</v>
      </c>
      <c r="D2166" s="26" t="s">
        <v>36</v>
      </c>
      <c r="E2166" s="26" t="s">
        <v>148</v>
      </c>
      <c r="F2166" s="26" t="s">
        <v>8068</v>
      </c>
      <c r="G2166" s="26" t="s">
        <v>108</v>
      </c>
      <c r="H2166" s="26" t="s">
        <v>7871</v>
      </c>
      <c r="I2166" s="17">
        <f ca="1">IFERROR(__xludf.DUMMYFUNCTION("""COMPUTED_VALUE"""),45421)</f>
        <v>45421</v>
      </c>
      <c r="J2166" s="29" t="s">
        <v>8069</v>
      </c>
      <c r="K2166" s="26" t="s">
        <v>8070</v>
      </c>
      <c r="L2166" s="30">
        <v>336868177</v>
      </c>
      <c r="M2166" s="26" t="s">
        <v>391</v>
      </c>
      <c r="N2166" s="26" t="s">
        <v>1246</v>
      </c>
      <c r="O2166" s="26" t="s">
        <v>91</v>
      </c>
      <c r="P2166" s="26" t="s">
        <v>8071</v>
      </c>
      <c r="Q2166" s="20">
        <v>16779</v>
      </c>
      <c r="R2166" s="26" t="s">
        <v>36</v>
      </c>
      <c r="S2166" s="31">
        <v>16779</v>
      </c>
      <c r="T2166" s="32">
        <v>44911</v>
      </c>
      <c r="U2166" s="31"/>
      <c r="V2166" s="32"/>
      <c r="W2166" s="33" t="s">
        <v>8072</v>
      </c>
      <c r="X2166" s="26">
        <v>0</v>
      </c>
      <c r="Y2166" s="22">
        <v>0</v>
      </c>
      <c r="Z2166" s="98" t="s">
        <v>118</v>
      </c>
      <c r="AA2166" s="19" t="s">
        <v>6985</v>
      </c>
      <c r="AB2166" s="26" t="s">
        <v>36</v>
      </c>
      <c r="AC2166" s="26" t="s">
        <v>53</v>
      </c>
      <c r="AD2166" s="14" t="s">
        <v>54</v>
      </c>
      <c r="AE2166" s="26">
        <v>490</v>
      </c>
      <c r="AF2166" s="17">
        <v>45421</v>
      </c>
      <c r="AG2166" s="26" t="s">
        <v>3415</v>
      </c>
      <c r="AH2166" s="40"/>
      <c r="AI2166" s="126"/>
      <c r="AJ2166" s="26"/>
      <c r="AK2166" s="26"/>
      <c r="AL2166" s="26"/>
      <c r="AM2166" s="35"/>
      <c r="AN2166" s="35"/>
      <c r="AO2166" s="35"/>
      <c r="AP2166" s="35"/>
    </row>
    <row r="2167" spans="1:42" x14ac:dyDescent="0.2">
      <c r="A2167" s="126">
        <v>45340.806146331015</v>
      </c>
      <c r="B2167" s="28" t="s">
        <v>37</v>
      </c>
      <c r="C2167" s="41" t="s">
        <v>118</v>
      </c>
      <c r="D2167" s="26" t="s">
        <v>36</v>
      </c>
      <c r="E2167" s="26" t="s">
        <v>139</v>
      </c>
      <c r="F2167" s="26" t="s">
        <v>6831</v>
      </c>
      <c r="G2167" s="26" t="s">
        <v>108</v>
      </c>
      <c r="H2167" s="26" t="s">
        <v>6596</v>
      </c>
      <c r="I2167" s="17">
        <f ca="1">IFERROR(__xludf.DUMMYFUNCTION("""COMPUTED_VALUE"""),45425)</f>
        <v>45425</v>
      </c>
      <c r="J2167" s="29" t="s">
        <v>7603</v>
      </c>
      <c r="K2167" s="26" t="s">
        <v>2934</v>
      </c>
      <c r="L2167" s="30">
        <v>986252650</v>
      </c>
      <c r="M2167" s="26" t="s">
        <v>910</v>
      </c>
      <c r="N2167" s="26" t="s">
        <v>260</v>
      </c>
      <c r="O2167" s="26" t="s">
        <v>7605</v>
      </c>
      <c r="P2167" s="42" t="s">
        <v>8073</v>
      </c>
      <c r="Q2167" s="20">
        <v>15936</v>
      </c>
      <c r="R2167" s="26" t="s">
        <v>36</v>
      </c>
      <c r="S2167" s="31">
        <v>100</v>
      </c>
      <c r="T2167" s="32">
        <v>45325</v>
      </c>
      <c r="U2167" s="31">
        <f>2000+13836</f>
        <v>15836</v>
      </c>
      <c r="V2167" s="26" t="s">
        <v>7607</v>
      </c>
      <c r="W2167" s="26" t="s">
        <v>7608</v>
      </c>
      <c r="X2167" s="26"/>
      <c r="Y2167" s="22">
        <v>0</v>
      </c>
      <c r="Z2167" s="98" t="s">
        <v>118</v>
      </c>
      <c r="AA2167" s="19" t="s">
        <v>7361</v>
      </c>
      <c r="AB2167" s="26" t="s">
        <v>36</v>
      </c>
      <c r="AC2167" s="26" t="s">
        <v>53</v>
      </c>
      <c r="AD2167" s="19" t="s">
        <v>54</v>
      </c>
      <c r="AE2167" s="26" t="s">
        <v>6831</v>
      </c>
      <c r="AF2167" s="17">
        <v>45419</v>
      </c>
      <c r="AG2167" s="26"/>
      <c r="AH2167" s="26"/>
      <c r="AI2167" s="40"/>
      <c r="AJ2167" s="26"/>
      <c r="AK2167" s="26"/>
      <c r="AL2167" s="35"/>
      <c r="AM2167" s="35"/>
      <c r="AN2167" s="35"/>
      <c r="AO2167" s="35"/>
      <c r="AP2167" s="35"/>
    </row>
    <row r="2168" spans="1:42" x14ac:dyDescent="0.2">
      <c r="A2168" s="38">
        <v>45418</v>
      </c>
      <c r="B2168" s="28" t="s">
        <v>37</v>
      </c>
      <c r="C2168" s="41" t="s">
        <v>118</v>
      </c>
      <c r="D2168" s="26" t="s">
        <v>36</v>
      </c>
      <c r="E2168" s="26" t="s">
        <v>139</v>
      </c>
      <c r="F2168" s="26" t="s">
        <v>6842</v>
      </c>
      <c r="G2168" s="26" t="s">
        <v>108</v>
      </c>
      <c r="H2168" s="26" t="s">
        <v>8074</v>
      </c>
      <c r="I2168" s="17">
        <f ca="1">IFERROR(__xludf.DUMMYFUNCTION("""COMPUTED_VALUE"""),45421)</f>
        <v>45421</v>
      </c>
      <c r="J2168" s="29" t="s">
        <v>7687</v>
      </c>
      <c r="K2168" s="26" t="s">
        <v>7688</v>
      </c>
      <c r="L2168" s="30">
        <v>825946086</v>
      </c>
      <c r="M2168" s="26" t="s">
        <v>123</v>
      </c>
      <c r="N2168" s="26" t="s">
        <v>186</v>
      </c>
      <c r="O2168" s="26" t="s">
        <v>4503</v>
      </c>
      <c r="P2168" s="26" t="s">
        <v>3487</v>
      </c>
      <c r="Q2168" s="20">
        <v>15936</v>
      </c>
      <c r="R2168" s="26" t="s">
        <v>70</v>
      </c>
      <c r="S2168" s="31">
        <v>200</v>
      </c>
      <c r="T2168" s="32">
        <v>45330</v>
      </c>
      <c r="U2168" s="31">
        <f>5000+10736</f>
        <v>15736</v>
      </c>
      <c r="V2168" s="26" t="s">
        <v>7689</v>
      </c>
      <c r="W2168" s="26" t="s">
        <v>7690</v>
      </c>
      <c r="X2168" s="26"/>
      <c r="Y2168" s="22">
        <v>0</v>
      </c>
      <c r="Z2168" s="98" t="s">
        <v>118</v>
      </c>
      <c r="AA2168" s="19" t="s">
        <v>7361</v>
      </c>
      <c r="AB2168" s="26" t="s">
        <v>36</v>
      </c>
      <c r="AC2168" s="26" t="s">
        <v>53</v>
      </c>
      <c r="AD2168" s="19" t="s">
        <v>138</v>
      </c>
      <c r="AE2168" s="26" t="s">
        <v>6842</v>
      </c>
      <c r="AF2168" s="17">
        <v>45416</v>
      </c>
      <c r="AG2168" s="26" t="s">
        <v>8075</v>
      </c>
      <c r="AH2168" s="26"/>
      <c r="AI2168" s="40"/>
      <c r="AJ2168" s="26"/>
      <c r="AK2168" s="26"/>
      <c r="AL2168" s="35"/>
      <c r="AM2168" s="35"/>
      <c r="AN2168" s="35"/>
      <c r="AO2168" s="35"/>
      <c r="AP2168" s="35"/>
    </row>
    <row r="2169" spans="1:42" x14ac:dyDescent="0.2">
      <c r="A2169" s="38">
        <v>45418</v>
      </c>
      <c r="B2169" s="28" t="s">
        <v>37</v>
      </c>
      <c r="C2169" s="41" t="s">
        <v>118</v>
      </c>
      <c r="D2169" s="26" t="s">
        <v>36</v>
      </c>
      <c r="E2169" s="26" t="s">
        <v>56</v>
      </c>
      <c r="F2169" s="26" t="s">
        <v>6842</v>
      </c>
      <c r="G2169" s="26" t="s">
        <v>108</v>
      </c>
      <c r="H2169" s="26" t="s">
        <v>8074</v>
      </c>
      <c r="I2169" s="17">
        <f ca="1">IFERROR(__xludf.DUMMYFUNCTION("""COMPUTED_VALUE"""),45421)</f>
        <v>45421</v>
      </c>
      <c r="J2169" s="29" t="s">
        <v>7754</v>
      </c>
      <c r="K2169" s="26" t="s">
        <v>7755</v>
      </c>
      <c r="L2169" s="30">
        <v>977280105</v>
      </c>
      <c r="M2169" s="26" t="s">
        <v>910</v>
      </c>
      <c r="N2169" s="26" t="s">
        <v>3221</v>
      </c>
      <c r="O2169" s="26" t="s">
        <v>3754</v>
      </c>
      <c r="P2169" s="26"/>
      <c r="Q2169" s="20">
        <v>9317</v>
      </c>
      <c r="R2169" s="26" t="s">
        <v>36</v>
      </c>
      <c r="S2169" s="31">
        <v>9317</v>
      </c>
      <c r="T2169" s="32">
        <v>45362</v>
      </c>
      <c r="U2169" s="31"/>
      <c r="V2169" s="32"/>
      <c r="W2169" s="33" t="s">
        <v>7757</v>
      </c>
      <c r="X2169" s="26"/>
      <c r="Y2169" s="22">
        <v>0</v>
      </c>
      <c r="Z2169" s="98" t="s">
        <v>118</v>
      </c>
      <c r="AA2169" s="19" t="s">
        <v>7361</v>
      </c>
      <c r="AB2169" s="26" t="s">
        <v>36</v>
      </c>
      <c r="AC2169" s="26" t="s">
        <v>53</v>
      </c>
      <c r="AD2169" s="19" t="s">
        <v>138</v>
      </c>
      <c r="AE2169" s="26" t="s">
        <v>6842</v>
      </c>
      <c r="AF2169" s="17">
        <v>45416</v>
      </c>
      <c r="AG2169" s="26" t="s">
        <v>8075</v>
      </c>
      <c r="AH2169" s="26"/>
      <c r="AI2169" s="40"/>
      <c r="AJ2169" s="26"/>
      <c r="AK2169" s="26"/>
      <c r="AL2169" s="35"/>
      <c r="AM2169" s="35"/>
      <c r="AN2169" s="35"/>
      <c r="AO2169" s="35"/>
      <c r="AP2169" s="35"/>
    </row>
    <row r="2170" spans="1:42" x14ac:dyDescent="0.2">
      <c r="A2170" s="38">
        <v>45418</v>
      </c>
      <c r="B2170" s="28" t="s">
        <v>37</v>
      </c>
      <c r="C2170" s="41" t="s">
        <v>118</v>
      </c>
      <c r="D2170" s="26" t="s">
        <v>36</v>
      </c>
      <c r="E2170" s="26" t="s">
        <v>119</v>
      </c>
      <c r="F2170" s="26" t="s">
        <v>6842</v>
      </c>
      <c r="G2170" s="26" t="s">
        <v>108</v>
      </c>
      <c r="H2170" s="26" t="s">
        <v>8074</v>
      </c>
      <c r="I2170" s="17">
        <f ca="1">IFERROR(__xludf.DUMMYFUNCTION("""COMPUTED_VALUE"""),45421)</f>
        <v>45421</v>
      </c>
      <c r="J2170" s="29" t="s">
        <v>7733</v>
      </c>
      <c r="K2170" s="26" t="s">
        <v>8076</v>
      </c>
      <c r="L2170" s="30">
        <v>383294297</v>
      </c>
      <c r="M2170" s="26" t="s">
        <v>123</v>
      </c>
      <c r="N2170" s="26" t="s">
        <v>186</v>
      </c>
      <c r="O2170" s="26" t="s">
        <v>1226</v>
      </c>
      <c r="P2170" s="26" t="s">
        <v>3487</v>
      </c>
      <c r="Q2170" s="20">
        <v>15936</v>
      </c>
      <c r="R2170" s="26" t="s">
        <v>70</v>
      </c>
      <c r="S2170" s="31">
        <f>200+2000</f>
        <v>2200</v>
      </c>
      <c r="T2170" s="26" t="s">
        <v>4054</v>
      </c>
      <c r="U2170" s="31">
        <v>13636</v>
      </c>
      <c r="V2170" s="32">
        <v>45226</v>
      </c>
      <c r="W2170" s="33" t="s">
        <v>4055</v>
      </c>
      <c r="X2170" s="26"/>
      <c r="Y2170" s="22">
        <v>100</v>
      </c>
      <c r="Z2170" s="98" t="s">
        <v>118</v>
      </c>
      <c r="AA2170" s="19" t="s">
        <v>3454</v>
      </c>
      <c r="AB2170" s="26" t="s">
        <v>36</v>
      </c>
      <c r="AC2170" s="26" t="s">
        <v>53</v>
      </c>
      <c r="AD2170" s="19" t="s">
        <v>138</v>
      </c>
      <c r="AE2170" s="42" t="s">
        <v>4056</v>
      </c>
      <c r="AF2170" s="17">
        <v>45416</v>
      </c>
      <c r="AG2170" s="26" t="s">
        <v>8075</v>
      </c>
      <c r="AH2170" s="26"/>
      <c r="AI2170" s="40"/>
      <c r="AJ2170" s="26"/>
      <c r="AK2170" s="26"/>
      <c r="AL2170" s="35"/>
      <c r="AM2170" s="35"/>
      <c r="AN2170" s="35"/>
      <c r="AO2170" s="35"/>
      <c r="AP2170" s="35"/>
    </row>
    <row r="2171" spans="1:42" x14ac:dyDescent="0.2">
      <c r="A2171" s="38">
        <v>45419</v>
      </c>
      <c r="B2171" s="28" t="s">
        <v>37</v>
      </c>
      <c r="C2171" s="41" t="s">
        <v>118</v>
      </c>
      <c r="D2171" s="26" t="s">
        <v>36</v>
      </c>
      <c r="E2171" s="26" t="s">
        <v>219</v>
      </c>
      <c r="F2171" s="26" t="s">
        <v>36</v>
      </c>
      <c r="G2171" s="98" t="s">
        <v>221</v>
      </c>
      <c r="H2171" s="35" t="s">
        <v>6512</v>
      </c>
      <c r="I2171" s="17">
        <f ca="1">IFERROR(__xludf.DUMMYFUNCTION("""COMPUTED_VALUE"""),45431)</f>
        <v>45431</v>
      </c>
      <c r="J2171" s="44" t="s">
        <v>8077</v>
      </c>
      <c r="K2171" s="26" t="s">
        <v>8078</v>
      </c>
      <c r="L2171" s="30">
        <v>916495202</v>
      </c>
      <c r="M2171" s="26" t="s">
        <v>1245</v>
      </c>
      <c r="N2171" s="26" t="s">
        <v>1750</v>
      </c>
      <c r="O2171" s="67" t="s">
        <v>8079</v>
      </c>
      <c r="P2171" s="42" t="s">
        <v>8080</v>
      </c>
      <c r="Q2171" s="95"/>
      <c r="R2171" s="26" t="s">
        <v>36</v>
      </c>
      <c r="S2171" s="64">
        <v>6800</v>
      </c>
      <c r="T2171" s="38">
        <v>44697</v>
      </c>
      <c r="U2171" s="31">
        <v>168</v>
      </c>
      <c r="V2171" s="32">
        <v>44734</v>
      </c>
      <c r="W2171" s="33" t="s">
        <v>8081</v>
      </c>
      <c r="X2171" s="16">
        <v>100</v>
      </c>
      <c r="Y2171" s="22">
        <v>0</v>
      </c>
      <c r="Z2171" s="98" t="s">
        <v>118</v>
      </c>
      <c r="AA2171" s="19" t="s">
        <v>8082</v>
      </c>
      <c r="AB2171" s="26" t="s">
        <v>36</v>
      </c>
      <c r="AC2171" s="26" t="s">
        <v>53</v>
      </c>
      <c r="AD2171" s="14" t="s">
        <v>54</v>
      </c>
      <c r="AE2171" s="26">
        <v>550</v>
      </c>
      <c r="AF2171" s="17">
        <v>45419</v>
      </c>
      <c r="AG2171" s="29" t="s">
        <v>8083</v>
      </c>
      <c r="AH2171" s="35" t="e">
        <v>#N/A</v>
      </c>
      <c r="AI2171" s="135"/>
      <c r="AJ2171" s="126"/>
      <c r="AK2171" s="26"/>
      <c r="AL2171" s="26"/>
      <c r="AM2171" s="26"/>
      <c r="AN2171" s="26"/>
      <c r="AO2171" s="26"/>
      <c r="AP2171" s="35"/>
    </row>
    <row r="2172" spans="1:42" x14ac:dyDescent="0.2">
      <c r="A2172" s="38">
        <v>45419</v>
      </c>
      <c r="B2172" s="28" t="s">
        <v>37</v>
      </c>
      <c r="C2172" s="41" t="s">
        <v>118</v>
      </c>
      <c r="D2172" s="26" t="s">
        <v>36</v>
      </c>
      <c r="E2172" s="26" t="s">
        <v>119</v>
      </c>
      <c r="F2172" s="26" t="s">
        <v>4869</v>
      </c>
      <c r="G2172" s="98" t="s">
        <v>221</v>
      </c>
      <c r="H2172" s="35" t="s">
        <v>8026</v>
      </c>
      <c r="I2172" s="17">
        <f ca="1">IFERROR(__xludf.DUMMYFUNCTION("""COMPUTED_VALUE"""),45495)</f>
        <v>45495</v>
      </c>
      <c r="J2172" s="29" t="s">
        <v>6764</v>
      </c>
      <c r="K2172" s="26" t="s">
        <v>8084</v>
      </c>
      <c r="L2172" s="30">
        <v>378200105</v>
      </c>
      <c r="M2172" s="26" t="s">
        <v>3728</v>
      </c>
      <c r="N2172" s="26" t="s">
        <v>8085</v>
      </c>
      <c r="O2172" s="26" t="s">
        <v>6766</v>
      </c>
      <c r="P2172" s="26" t="s">
        <v>4126</v>
      </c>
      <c r="Q2172" s="20">
        <v>13968</v>
      </c>
      <c r="R2172" s="26" t="s">
        <v>36</v>
      </c>
      <c r="S2172" s="31">
        <v>4000</v>
      </c>
      <c r="T2172" s="32">
        <v>45301</v>
      </c>
      <c r="U2172" s="31">
        <v>9968</v>
      </c>
      <c r="V2172" s="32">
        <v>45314</v>
      </c>
      <c r="W2172" s="33" t="s">
        <v>6767</v>
      </c>
      <c r="X2172" s="26">
        <v>0</v>
      </c>
      <c r="Y2172" s="22">
        <v>0</v>
      </c>
      <c r="Z2172" s="98" t="s">
        <v>118</v>
      </c>
      <c r="AA2172" s="19" t="s">
        <v>6079</v>
      </c>
      <c r="AB2172" s="26" t="s">
        <v>36</v>
      </c>
      <c r="AC2172" s="26" t="s">
        <v>53</v>
      </c>
      <c r="AD2172" s="19" t="s">
        <v>138</v>
      </c>
      <c r="AE2172" s="26" t="s">
        <v>4869</v>
      </c>
      <c r="AF2172" s="17">
        <v>45419</v>
      </c>
      <c r="AG2172" s="26" t="s">
        <v>8086</v>
      </c>
      <c r="AH2172" s="26"/>
      <c r="AI2172" s="40">
        <v>4</v>
      </c>
      <c r="AJ2172" s="26"/>
      <c r="AK2172" s="26"/>
      <c r="AL2172" s="35"/>
      <c r="AM2172" s="35"/>
      <c r="AN2172" s="35"/>
      <c r="AO2172" s="35"/>
      <c r="AP2172" s="35"/>
    </row>
    <row r="2173" spans="1:42" x14ac:dyDescent="0.2">
      <c r="A2173" s="38">
        <v>45420</v>
      </c>
      <c r="B2173" s="28" t="s">
        <v>37</v>
      </c>
      <c r="C2173" s="41" t="s">
        <v>118</v>
      </c>
      <c r="D2173" s="26" t="s">
        <v>36</v>
      </c>
      <c r="E2173" s="26" t="s">
        <v>56</v>
      </c>
      <c r="F2173" s="26" t="s">
        <v>7103</v>
      </c>
      <c r="G2173" s="26" t="s">
        <v>108</v>
      </c>
      <c r="H2173" s="26" t="s">
        <v>3439</v>
      </c>
      <c r="I2173" s="17">
        <f ca="1">IFERROR(__xludf.DUMMYFUNCTION("""COMPUTED_VALUE"""),45432)</f>
        <v>45432</v>
      </c>
      <c r="J2173" s="33" t="s">
        <v>7292</v>
      </c>
      <c r="K2173" s="26" t="s">
        <v>7293</v>
      </c>
      <c r="L2173" s="30">
        <v>812088688</v>
      </c>
      <c r="M2173" s="26" t="s">
        <v>59</v>
      </c>
      <c r="N2173" s="26" t="s">
        <v>403</v>
      </c>
      <c r="O2173" s="26" t="s">
        <v>7294</v>
      </c>
      <c r="P2173" s="26"/>
      <c r="Q2173" s="20">
        <v>9317</v>
      </c>
      <c r="R2173" s="26" t="s">
        <v>36</v>
      </c>
      <c r="S2173" s="31">
        <v>9317</v>
      </c>
      <c r="T2173" s="32">
        <v>45349</v>
      </c>
      <c r="U2173" s="31"/>
      <c r="V2173" s="32"/>
      <c r="W2173" s="33" t="s">
        <v>7295</v>
      </c>
      <c r="X2173" s="26"/>
      <c r="Y2173" s="22">
        <v>0</v>
      </c>
      <c r="Z2173" s="98" t="s">
        <v>118</v>
      </c>
      <c r="AA2173" s="19" t="s">
        <v>7077</v>
      </c>
      <c r="AB2173" s="26" t="s">
        <v>36</v>
      </c>
      <c r="AC2173" s="26" t="s">
        <v>53</v>
      </c>
      <c r="AD2173" s="19" t="s">
        <v>138</v>
      </c>
      <c r="AE2173" s="26" t="s">
        <v>7103</v>
      </c>
      <c r="AF2173" s="17">
        <v>45432</v>
      </c>
      <c r="AG2173" s="26" t="s">
        <v>1362</v>
      </c>
      <c r="AH2173" s="26"/>
      <c r="AI2173" s="40" t="s">
        <v>64</v>
      </c>
      <c r="AJ2173" s="26"/>
      <c r="AK2173" s="26"/>
      <c r="AL2173" s="35"/>
      <c r="AM2173" s="35"/>
      <c r="AN2173" s="35"/>
      <c r="AO2173" s="35"/>
      <c r="AP2173" s="35"/>
    </row>
    <row r="2174" spans="1:42" x14ac:dyDescent="0.2">
      <c r="A2174" s="38">
        <v>45420</v>
      </c>
      <c r="B2174" s="28" t="s">
        <v>37</v>
      </c>
      <c r="C2174" s="41" t="s">
        <v>118</v>
      </c>
      <c r="D2174" s="26" t="s">
        <v>36</v>
      </c>
      <c r="E2174" s="26" t="s">
        <v>139</v>
      </c>
      <c r="F2174" s="26" t="s">
        <v>7103</v>
      </c>
      <c r="G2174" s="26" t="s">
        <v>108</v>
      </c>
      <c r="H2174" s="26" t="s">
        <v>3439</v>
      </c>
      <c r="I2174" s="17">
        <f ca="1">IFERROR(__xludf.DUMMYFUNCTION("""COMPUTED_VALUE"""),45432)</f>
        <v>45432</v>
      </c>
      <c r="J2174" s="29" t="s">
        <v>7691</v>
      </c>
      <c r="K2174" s="26" t="s">
        <v>7692</v>
      </c>
      <c r="L2174" s="30">
        <v>394525016</v>
      </c>
      <c r="M2174" s="26" t="s">
        <v>5429</v>
      </c>
      <c r="N2174" s="26" t="s">
        <v>81</v>
      </c>
      <c r="O2174" s="26" t="s">
        <v>61</v>
      </c>
      <c r="P2174" s="26" t="s">
        <v>7693</v>
      </c>
      <c r="Q2174" s="20">
        <v>15936</v>
      </c>
      <c r="R2174" s="26" t="s">
        <v>36</v>
      </c>
      <c r="S2174" s="31">
        <v>15936</v>
      </c>
      <c r="T2174" s="32">
        <v>45353</v>
      </c>
      <c r="U2174" s="31"/>
      <c r="V2174" s="32"/>
      <c r="W2174" s="33" t="s">
        <v>7694</v>
      </c>
      <c r="X2174" s="26"/>
      <c r="Y2174" s="22">
        <v>0</v>
      </c>
      <c r="Z2174" s="98" t="s">
        <v>118</v>
      </c>
      <c r="AA2174" s="19" t="s">
        <v>7361</v>
      </c>
      <c r="AB2174" s="26" t="s">
        <v>36</v>
      </c>
      <c r="AC2174" s="26" t="s">
        <v>53</v>
      </c>
      <c r="AD2174" s="19" t="s">
        <v>138</v>
      </c>
      <c r="AE2174" s="26" t="s">
        <v>7103</v>
      </c>
      <c r="AF2174" s="17">
        <v>45432</v>
      </c>
      <c r="AG2174" s="26" t="s">
        <v>1362</v>
      </c>
      <c r="AH2174" s="26"/>
      <c r="AI2174" s="40"/>
      <c r="AJ2174" s="26"/>
      <c r="AK2174" s="26"/>
      <c r="AL2174" s="35"/>
      <c r="AM2174" s="35"/>
      <c r="AN2174" s="35"/>
      <c r="AO2174" s="35"/>
      <c r="AP2174" s="35"/>
    </row>
    <row r="2175" spans="1:42" x14ac:dyDescent="0.2">
      <c r="A2175" s="38">
        <v>45420</v>
      </c>
      <c r="B2175" s="28" t="s">
        <v>37</v>
      </c>
      <c r="C2175" s="41" t="s">
        <v>118</v>
      </c>
      <c r="D2175" s="26" t="s">
        <v>36</v>
      </c>
      <c r="E2175" s="26" t="s">
        <v>139</v>
      </c>
      <c r="F2175" s="26" t="s">
        <v>7103</v>
      </c>
      <c r="G2175" s="26" t="s">
        <v>108</v>
      </c>
      <c r="H2175" s="26" t="s">
        <v>3439</v>
      </c>
      <c r="I2175" s="17">
        <f ca="1">IFERROR(__xludf.DUMMYFUNCTION("""COMPUTED_VALUE"""),45432)</f>
        <v>45432</v>
      </c>
      <c r="J2175" s="29" t="s">
        <v>7104</v>
      </c>
      <c r="K2175" s="26" t="s">
        <v>8087</v>
      </c>
      <c r="L2175" s="30">
        <v>328703762</v>
      </c>
      <c r="M2175" s="26" t="s">
        <v>5429</v>
      </c>
      <c r="N2175" s="26" t="s">
        <v>81</v>
      </c>
      <c r="O2175" s="26" t="s">
        <v>7106</v>
      </c>
      <c r="P2175" s="26" t="s">
        <v>7107</v>
      </c>
      <c r="Q2175" s="20">
        <v>15936</v>
      </c>
      <c r="R2175" s="26" t="s">
        <v>70</v>
      </c>
      <c r="S2175" s="31">
        <v>2000</v>
      </c>
      <c r="T2175" s="32">
        <v>45299</v>
      </c>
      <c r="U2175" s="31">
        <v>13236</v>
      </c>
      <c r="V2175" s="32">
        <v>45333</v>
      </c>
      <c r="W2175" s="33" t="s">
        <v>7108</v>
      </c>
      <c r="X2175" s="26"/>
      <c r="Y2175" s="22">
        <v>700</v>
      </c>
      <c r="Z2175" s="98" t="s">
        <v>118</v>
      </c>
      <c r="AA2175" s="19" t="s">
        <v>7077</v>
      </c>
      <c r="AB2175" s="26" t="s">
        <v>36</v>
      </c>
      <c r="AC2175" s="26" t="s">
        <v>53</v>
      </c>
      <c r="AD2175" s="19" t="s">
        <v>138</v>
      </c>
      <c r="AE2175" s="26" t="s">
        <v>7103</v>
      </c>
      <c r="AF2175" s="17">
        <v>45432</v>
      </c>
      <c r="AG2175" s="26" t="s">
        <v>1362</v>
      </c>
      <c r="AH2175" s="26"/>
      <c r="AI2175" s="40" t="s">
        <v>147</v>
      </c>
      <c r="AJ2175" s="26"/>
      <c r="AK2175" s="26"/>
      <c r="AL2175" s="35"/>
      <c r="AM2175" s="35"/>
      <c r="AN2175" s="35"/>
      <c r="AO2175" s="35"/>
      <c r="AP2175" s="35"/>
    </row>
    <row r="2176" spans="1:42" x14ac:dyDescent="0.2">
      <c r="A2176" s="38">
        <v>45420</v>
      </c>
      <c r="B2176" s="28" t="s">
        <v>37</v>
      </c>
      <c r="C2176" s="41" t="s">
        <v>118</v>
      </c>
      <c r="D2176" s="26" t="s">
        <v>36</v>
      </c>
      <c r="E2176" s="26" t="s">
        <v>56</v>
      </c>
      <c r="F2176" s="26" t="s">
        <v>7103</v>
      </c>
      <c r="G2176" s="26" t="s">
        <v>108</v>
      </c>
      <c r="H2176" s="26" t="s">
        <v>3439</v>
      </c>
      <c r="I2176" s="17">
        <f ca="1">IFERROR(__xludf.DUMMYFUNCTION("""COMPUTED_VALUE"""),45432)</f>
        <v>45432</v>
      </c>
      <c r="J2176" s="29" t="s">
        <v>7845</v>
      </c>
      <c r="K2176" s="26" t="s">
        <v>7846</v>
      </c>
      <c r="L2176" s="30">
        <v>969181241</v>
      </c>
      <c r="M2176" s="26" t="s">
        <v>2755</v>
      </c>
      <c r="N2176" s="26" t="s">
        <v>2756</v>
      </c>
      <c r="O2176" s="26" t="s">
        <v>4503</v>
      </c>
      <c r="P2176" s="26" t="s">
        <v>7847</v>
      </c>
      <c r="Q2176" s="20">
        <v>9317</v>
      </c>
      <c r="R2176" s="26" t="s">
        <v>1106</v>
      </c>
      <c r="S2176" s="31">
        <v>4000</v>
      </c>
      <c r="T2176" s="26" t="s">
        <v>7848</v>
      </c>
      <c r="U2176" s="31">
        <v>5167</v>
      </c>
      <c r="V2176" s="32">
        <v>45382</v>
      </c>
      <c r="W2176" s="26" t="s">
        <v>7849</v>
      </c>
      <c r="X2176" s="26"/>
      <c r="Y2176" s="22">
        <v>150</v>
      </c>
      <c r="Z2176" s="98" t="s">
        <v>118</v>
      </c>
      <c r="AA2176" s="19" t="s">
        <v>7361</v>
      </c>
      <c r="AB2176" s="26" t="s">
        <v>36</v>
      </c>
      <c r="AC2176" s="26" t="s">
        <v>53</v>
      </c>
      <c r="AD2176" s="19" t="s">
        <v>138</v>
      </c>
      <c r="AE2176" s="26" t="s">
        <v>7103</v>
      </c>
      <c r="AF2176" s="17">
        <v>45432</v>
      </c>
      <c r="AG2176" s="26" t="s">
        <v>1362</v>
      </c>
      <c r="AH2176" s="26"/>
      <c r="AI2176" s="40"/>
      <c r="AJ2176" s="26"/>
      <c r="AK2176" s="26"/>
      <c r="AL2176" s="35"/>
      <c r="AM2176" s="35"/>
      <c r="AN2176" s="35"/>
      <c r="AO2176" s="35"/>
      <c r="AP2176" s="35"/>
    </row>
    <row r="2177" spans="1:42" x14ac:dyDescent="0.2">
      <c r="A2177" s="38">
        <v>45420</v>
      </c>
      <c r="B2177" s="28" t="s">
        <v>37</v>
      </c>
      <c r="C2177" s="41" t="s">
        <v>118</v>
      </c>
      <c r="D2177" s="26" t="s">
        <v>36</v>
      </c>
      <c r="E2177" s="26" t="s">
        <v>39</v>
      </c>
      <c r="F2177" s="26" t="s">
        <v>3439</v>
      </c>
      <c r="G2177" s="26" t="s">
        <v>108</v>
      </c>
      <c r="H2177" s="26" t="s">
        <v>8088</v>
      </c>
      <c r="I2177" s="17">
        <f ca="1">IFERROR(__xludf.DUMMYFUNCTION("""COMPUTED_VALUE"""),45611)</f>
        <v>45611</v>
      </c>
      <c r="J2177" s="29" t="s">
        <v>7818</v>
      </c>
      <c r="K2177" s="26" t="s">
        <v>8089</v>
      </c>
      <c r="L2177" s="30">
        <v>382259690</v>
      </c>
      <c r="M2177" s="26" t="s">
        <v>45</v>
      </c>
      <c r="N2177" s="26" t="s">
        <v>7814</v>
      </c>
      <c r="O2177" s="26" t="s">
        <v>7820</v>
      </c>
      <c r="P2177" s="26" t="s">
        <v>7816</v>
      </c>
      <c r="Q2177" s="20">
        <v>5736</v>
      </c>
      <c r="R2177" s="26" t="s">
        <v>36</v>
      </c>
      <c r="S2177" s="31">
        <v>1968</v>
      </c>
      <c r="T2177" s="32">
        <v>45366</v>
      </c>
      <c r="U2177" s="31">
        <v>3768</v>
      </c>
      <c r="V2177" s="32">
        <v>45380</v>
      </c>
      <c r="W2177" s="33" t="s">
        <v>7821</v>
      </c>
      <c r="X2177" s="26"/>
      <c r="Y2177" s="22">
        <v>0</v>
      </c>
      <c r="Z2177" s="98" t="s">
        <v>118</v>
      </c>
      <c r="AA2177" s="19" t="s">
        <v>7361</v>
      </c>
      <c r="AB2177" s="26" t="s">
        <v>36</v>
      </c>
      <c r="AC2177" s="26" t="s">
        <v>53</v>
      </c>
      <c r="AD2177" s="19" t="s">
        <v>138</v>
      </c>
      <c r="AE2177" s="26" t="s">
        <v>3439</v>
      </c>
      <c r="AF2177" s="17">
        <v>45432</v>
      </c>
      <c r="AG2177" s="26" t="s">
        <v>1362</v>
      </c>
      <c r="AH2177" s="26"/>
      <c r="AI2177" s="40"/>
      <c r="AJ2177" s="26"/>
      <c r="AK2177" s="26"/>
      <c r="AL2177" s="35"/>
      <c r="AM2177" s="35"/>
      <c r="AN2177" s="35"/>
      <c r="AO2177" s="35"/>
      <c r="AP2177" s="35"/>
    </row>
    <row r="2178" spans="1:42" x14ac:dyDescent="0.2">
      <c r="A2178" s="38">
        <v>45420</v>
      </c>
      <c r="B2178" s="28" t="s">
        <v>37</v>
      </c>
      <c r="C2178" s="41" t="s">
        <v>118</v>
      </c>
      <c r="D2178" s="26" t="s">
        <v>36</v>
      </c>
      <c r="E2178" s="26" t="s">
        <v>39</v>
      </c>
      <c r="F2178" s="26" t="s">
        <v>3439</v>
      </c>
      <c r="G2178" s="26" t="s">
        <v>108</v>
      </c>
      <c r="H2178" s="26" t="s">
        <v>8088</v>
      </c>
      <c r="I2178" s="17">
        <f ca="1">IFERROR(__xludf.DUMMYFUNCTION("""COMPUTED_VALUE"""),45611)</f>
        <v>45611</v>
      </c>
      <c r="J2178" s="29" t="s">
        <v>7812</v>
      </c>
      <c r="K2178" s="26" t="s">
        <v>8090</v>
      </c>
      <c r="L2178" s="30">
        <v>399661021</v>
      </c>
      <c r="M2178" s="26" t="s">
        <v>45</v>
      </c>
      <c r="N2178" s="26" t="s">
        <v>7814</v>
      </c>
      <c r="O2178" s="26" t="s">
        <v>7815</v>
      </c>
      <c r="P2178" s="26" t="s">
        <v>7816</v>
      </c>
      <c r="Q2178" s="20">
        <v>5736</v>
      </c>
      <c r="R2178" s="26" t="s">
        <v>36</v>
      </c>
      <c r="S2178" s="31">
        <v>5736</v>
      </c>
      <c r="T2178" s="32">
        <v>45366</v>
      </c>
      <c r="U2178" s="31"/>
      <c r="V2178" s="32"/>
      <c r="W2178" s="33" t="s">
        <v>7817</v>
      </c>
      <c r="X2178" s="26"/>
      <c r="Y2178" s="22">
        <v>0</v>
      </c>
      <c r="Z2178" s="98" t="s">
        <v>118</v>
      </c>
      <c r="AA2178" s="19" t="s">
        <v>7361</v>
      </c>
      <c r="AB2178" s="26" t="s">
        <v>36</v>
      </c>
      <c r="AC2178" s="26" t="s">
        <v>53</v>
      </c>
      <c r="AD2178" s="19" t="s">
        <v>138</v>
      </c>
      <c r="AE2178" s="26" t="s">
        <v>3439</v>
      </c>
      <c r="AF2178" s="17">
        <v>45432</v>
      </c>
      <c r="AG2178" s="26" t="s">
        <v>1362</v>
      </c>
      <c r="AH2178" s="26"/>
      <c r="AI2178" s="40"/>
      <c r="AJ2178" s="26"/>
      <c r="AK2178" s="26"/>
      <c r="AL2178" s="35"/>
      <c r="AM2178" s="35"/>
      <c r="AN2178" s="35"/>
      <c r="AO2178" s="35"/>
      <c r="AP2178" s="35"/>
    </row>
    <row r="2179" spans="1:42" x14ac:dyDescent="0.2">
      <c r="A2179" s="38">
        <v>45420</v>
      </c>
      <c r="B2179" s="28" t="s">
        <v>37</v>
      </c>
      <c r="C2179" s="41" t="s">
        <v>118</v>
      </c>
      <c r="D2179" s="26" t="s">
        <v>36</v>
      </c>
      <c r="E2179" s="26" t="s">
        <v>56</v>
      </c>
      <c r="F2179" s="26" t="s">
        <v>7008</v>
      </c>
      <c r="G2179" s="26" t="s">
        <v>108</v>
      </c>
      <c r="H2179" s="26" t="s">
        <v>7871</v>
      </c>
      <c r="I2179" s="17">
        <f ca="1">IFERROR(__xludf.DUMMYFUNCTION("""COMPUTED_VALUE"""),45421)</f>
        <v>45421</v>
      </c>
      <c r="J2179" s="29" t="s">
        <v>7724</v>
      </c>
      <c r="K2179" s="26" t="s">
        <v>7725</v>
      </c>
      <c r="L2179" s="30">
        <v>963662981</v>
      </c>
      <c r="M2179" s="26" t="s">
        <v>391</v>
      </c>
      <c r="N2179" s="26" t="s">
        <v>7051</v>
      </c>
      <c r="O2179" s="26" t="s">
        <v>7726</v>
      </c>
      <c r="P2179" s="42" t="s">
        <v>7727</v>
      </c>
      <c r="Q2179" s="20">
        <v>9317</v>
      </c>
      <c r="R2179" s="26" t="s">
        <v>36</v>
      </c>
      <c r="S2179" s="31">
        <v>9317</v>
      </c>
      <c r="T2179" s="32">
        <v>45355</v>
      </c>
      <c r="U2179" s="31"/>
      <c r="V2179" s="32"/>
      <c r="W2179" s="26" t="s">
        <v>7728</v>
      </c>
      <c r="X2179" s="26"/>
      <c r="Y2179" s="22">
        <v>0</v>
      </c>
      <c r="Z2179" s="98" t="s">
        <v>118</v>
      </c>
      <c r="AA2179" s="19" t="s">
        <v>7361</v>
      </c>
      <c r="AB2179" s="26" t="s">
        <v>36</v>
      </c>
      <c r="AC2179" s="26" t="s">
        <v>53</v>
      </c>
      <c r="AD2179" s="19" t="s">
        <v>138</v>
      </c>
      <c r="AE2179" s="26" t="s">
        <v>7008</v>
      </c>
      <c r="AF2179" s="17">
        <v>45421</v>
      </c>
      <c r="AG2179" s="26" t="s">
        <v>3415</v>
      </c>
      <c r="AH2179" s="26"/>
      <c r="AI2179" s="40"/>
      <c r="AJ2179" s="26"/>
      <c r="AK2179" s="26"/>
      <c r="AL2179" s="35"/>
      <c r="AM2179" s="35"/>
      <c r="AN2179" s="35"/>
      <c r="AO2179" s="35"/>
      <c r="AP2179" s="35"/>
    </row>
    <row r="2180" spans="1:42" x14ac:dyDescent="0.2">
      <c r="A2180" s="38">
        <v>45421</v>
      </c>
      <c r="B2180" s="28" t="s">
        <v>37</v>
      </c>
      <c r="C2180" s="41" t="s">
        <v>118</v>
      </c>
      <c r="D2180" s="26" t="s">
        <v>36</v>
      </c>
      <c r="E2180" s="26" t="s">
        <v>56</v>
      </c>
      <c r="F2180" s="26" t="s">
        <v>7103</v>
      </c>
      <c r="G2180" s="26" t="s">
        <v>108</v>
      </c>
      <c r="H2180" s="26" t="s">
        <v>3439</v>
      </c>
      <c r="I2180" s="17">
        <f ca="1">IFERROR(__xludf.DUMMYFUNCTION("""COMPUTED_VALUE"""),45432)</f>
        <v>45432</v>
      </c>
      <c r="J2180" s="29" t="s">
        <v>7729</v>
      </c>
      <c r="K2180" s="26" t="s">
        <v>7730</v>
      </c>
      <c r="L2180" s="30">
        <v>362936884</v>
      </c>
      <c r="M2180" s="26" t="s">
        <v>3288</v>
      </c>
      <c r="N2180" s="26" t="s">
        <v>200</v>
      </c>
      <c r="O2180" s="26" t="s">
        <v>7731</v>
      </c>
      <c r="P2180" s="26" t="s">
        <v>3117</v>
      </c>
      <c r="Q2180" s="20">
        <v>9317</v>
      </c>
      <c r="R2180" s="26" t="s">
        <v>36</v>
      </c>
      <c r="S2180" s="31">
        <v>1968</v>
      </c>
      <c r="T2180" s="32">
        <v>45359</v>
      </c>
      <c r="U2180" s="31">
        <v>7349</v>
      </c>
      <c r="V2180" s="32">
        <v>45370</v>
      </c>
      <c r="W2180" s="33" t="s">
        <v>7732</v>
      </c>
      <c r="X2180" s="26"/>
      <c r="Y2180" s="22">
        <v>0</v>
      </c>
      <c r="Z2180" s="98" t="s">
        <v>118</v>
      </c>
      <c r="AA2180" s="19" t="s">
        <v>7361</v>
      </c>
      <c r="AB2180" s="26" t="s">
        <v>36</v>
      </c>
      <c r="AC2180" s="26" t="s">
        <v>53</v>
      </c>
      <c r="AD2180" s="19" t="s">
        <v>138</v>
      </c>
      <c r="AE2180" s="26" t="s">
        <v>7103</v>
      </c>
      <c r="AF2180" s="17">
        <v>45432</v>
      </c>
      <c r="AG2180" s="26" t="s">
        <v>1362</v>
      </c>
      <c r="AH2180" s="26"/>
      <c r="AI2180" s="40"/>
      <c r="AJ2180" s="26"/>
      <c r="AK2180" s="26"/>
      <c r="AL2180" s="35"/>
      <c r="AM2180" s="35"/>
      <c r="AN2180" s="35"/>
      <c r="AO2180" s="35"/>
      <c r="AP2180" s="35"/>
    </row>
    <row r="2181" spans="1:42" x14ac:dyDescent="0.2">
      <c r="A2181" s="38">
        <v>45421</v>
      </c>
      <c r="B2181" s="28" t="s">
        <v>37</v>
      </c>
      <c r="C2181" s="41" t="s">
        <v>118</v>
      </c>
      <c r="D2181" s="26" t="s">
        <v>36</v>
      </c>
      <c r="E2181" s="26" t="s">
        <v>139</v>
      </c>
      <c r="F2181" s="26" t="s">
        <v>6831</v>
      </c>
      <c r="G2181" s="26" t="s">
        <v>108</v>
      </c>
      <c r="H2181" s="26" t="s">
        <v>3439</v>
      </c>
      <c r="I2181" s="17">
        <f ca="1">IFERROR(__xludf.DUMMYFUNCTION("""COMPUTED_VALUE"""),45432)</f>
        <v>45432</v>
      </c>
      <c r="J2181" s="29" t="s">
        <v>7166</v>
      </c>
      <c r="K2181" s="26" t="s">
        <v>7167</v>
      </c>
      <c r="L2181" s="30">
        <v>338547674</v>
      </c>
      <c r="M2181" s="26" t="s">
        <v>59</v>
      </c>
      <c r="N2181" s="26" t="s">
        <v>68</v>
      </c>
      <c r="O2181" s="26" t="s">
        <v>7168</v>
      </c>
      <c r="P2181" s="42" t="s">
        <v>7169</v>
      </c>
      <c r="Q2181" s="20">
        <v>15936</v>
      </c>
      <c r="R2181" s="26" t="s">
        <v>36</v>
      </c>
      <c r="S2181" s="31">
        <v>15963</v>
      </c>
      <c r="T2181" s="32">
        <v>45341</v>
      </c>
      <c r="U2181" s="31"/>
      <c r="V2181" s="32"/>
      <c r="W2181" s="33" t="s">
        <v>7170</v>
      </c>
      <c r="X2181" s="26"/>
      <c r="Y2181" s="22">
        <v>-27</v>
      </c>
      <c r="Z2181" s="98" t="s">
        <v>118</v>
      </c>
      <c r="AA2181" s="19" t="s">
        <v>7077</v>
      </c>
      <c r="AB2181" s="26" t="s">
        <v>36</v>
      </c>
      <c r="AC2181" s="26" t="s">
        <v>53</v>
      </c>
      <c r="AD2181" s="19" t="s">
        <v>138</v>
      </c>
      <c r="AE2181" s="26" t="s">
        <v>6831</v>
      </c>
      <c r="AF2181" s="17">
        <v>45432</v>
      </c>
      <c r="AG2181" s="26" t="s">
        <v>1362</v>
      </c>
      <c r="AH2181" s="26"/>
      <c r="AI2181" s="40" t="s">
        <v>147</v>
      </c>
      <c r="AJ2181" s="26"/>
      <c r="AK2181" s="26"/>
      <c r="AL2181" s="35"/>
      <c r="AM2181" s="35"/>
      <c r="AN2181" s="35"/>
      <c r="AO2181" s="35"/>
      <c r="AP2181" s="35"/>
    </row>
    <row r="2182" spans="1:42" x14ac:dyDescent="0.2">
      <c r="A2182" s="38">
        <v>45421</v>
      </c>
      <c r="B2182" s="28" t="s">
        <v>37</v>
      </c>
      <c r="C2182" s="41" t="s">
        <v>118</v>
      </c>
      <c r="D2182" s="26" t="s">
        <v>36</v>
      </c>
      <c r="E2182" s="26" t="s">
        <v>56</v>
      </c>
      <c r="F2182" s="26" t="s">
        <v>7008</v>
      </c>
      <c r="G2182" s="26" t="s">
        <v>108</v>
      </c>
      <c r="H2182" s="26" t="s">
        <v>3439</v>
      </c>
      <c r="I2182" s="17">
        <f ca="1">IFERROR(__xludf.DUMMYFUNCTION("""COMPUTED_VALUE"""),45432)</f>
        <v>45432</v>
      </c>
      <c r="J2182" s="29" t="s">
        <v>7765</v>
      </c>
      <c r="K2182" s="26" t="s">
        <v>7766</v>
      </c>
      <c r="L2182" s="30">
        <v>342721583</v>
      </c>
      <c r="M2182" s="26" t="s">
        <v>59</v>
      </c>
      <c r="N2182" s="26" t="s">
        <v>68</v>
      </c>
      <c r="O2182" s="26" t="s">
        <v>7767</v>
      </c>
      <c r="P2182" s="26" t="s">
        <v>7768</v>
      </c>
      <c r="Q2182" s="20">
        <v>9317</v>
      </c>
      <c r="R2182" s="26" t="s">
        <v>36</v>
      </c>
      <c r="S2182" s="31">
        <v>9317</v>
      </c>
      <c r="T2182" s="32">
        <v>45359</v>
      </c>
      <c r="U2182" s="31"/>
      <c r="V2182" s="32"/>
      <c r="W2182" s="33" t="s">
        <v>7769</v>
      </c>
      <c r="X2182" s="26"/>
      <c r="Y2182" s="22">
        <v>0</v>
      </c>
      <c r="Z2182" s="98" t="s">
        <v>118</v>
      </c>
      <c r="AA2182" s="19" t="s">
        <v>7361</v>
      </c>
      <c r="AB2182" s="26" t="s">
        <v>36</v>
      </c>
      <c r="AC2182" s="26" t="s">
        <v>53</v>
      </c>
      <c r="AD2182" s="19" t="s">
        <v>138</v>
      </c>
      <c r="AE2182" s="26" t="s">
        <v>7008</v>
      </c>
      <c r="AF2182" s="17">
        <v>45432</v>
      </c>
      <c r="AG2182" s="26" t="s">
        <v>1362</v>
      </c>
      <c r="AH2182" s="26"/>
      <c r="AI2182" s="40"/>
      <c r="AJ2182" s="26"/>
      <c r="AK2182" s="26"/>
      <c r="AL2182" s="35"/>
      <c r="AM2182" s="35"/>
      <c r="AN2182" s="35"/>
      <c r="AO2182" s="35"/>
      <c r="AP2182" s="35"/>
    </row>
    <row r="2183" spans="1:42" x14ac:dyDescent="0.2">
      <c r="A2183" s="38">
        <v>45421</v>
      </c>
      <c r="B2183" s="28" t="s">
        <v>37</v>
      </c>
      <c r="C2183" s="41" t="s">
        <v>118</v>
      </c>
      <c r="D2183" s="26" t="s">
        <v>36</v>
      </c>
      <c r="E2183" s="26" t="s">
        <v>148</v>
      </c>
      <c r="F2183" s="26" t="s">
        <v>6106</v>
      </c>
      <c r="G2183" s="71" t="s">
        <v>221</v>
      </c>
      <c r="H2183" s="26" t="s">
        <v>8091</v>
      </c>
      <c r="I2183" s="17">
        <f ca="1">IFERROR(__xludf.DUMMYFUNCTION("""COMPUTED_VALUE"""),45519)</f>
        <v>45519</v>
      </c>
      <c r="J2183" s="29" t="s">
        <v>6548</v>
      </c>
      <c r="K2183" s="26" t="s">
        <v>8092</v>
      </c>
      <c r="L2183" s="30">
        <v>971367599</v>
      </c>
      <c r="M2183" s="26" t="s">
        <v>94</v>
      </c>
      <c r="N2183" s="26" t="s">
        <v>3241</v>
      </c>
      <c r="O2183" s="26" t="s">
        <v>36</v>
      </c>
      <c r="P2183" s="42" t="s">
        <v>6550</v>
      </c>
      <c r="Q2183" s="20">
        <v>7349</v>
      </c>
      <c r="R2183" s="26" t="s">
        <v>36</v>
      </c>
      <c r="S2183" s="31">
        <v>10804</v>
      </c>
      <c r="T2183" s="32">
        <v>45121</v>
      </c>
      <c r="U2183" s="31"/>
      <c r="V2183" s="32"/>
      <c r="W2183" s="33" t="s">
        <v>6551</v>
      </c>
      <c r="X2183" s="26">
        <v>0</v>
      </c>
      <c r="Y2183" s="22">
        <v>-3455</v>
      </c>
      <c r="Z2183" s="98" t="s">
        <v>118</v>
      </c>
      <c r="AA2183" s="19" t="s">
        <v>6541</v>
      </c>
      <c r="AB2183" s="26" t="s">
        <v>36</v>
      </c>
      <c r="AC2183" s="26" t="s">
        <v>53</v>
      </c>
      <c r="AD2183" s="14" t="s">
        <v>54</v>
      </c>
      <c r="AE2183" s="26" t="s">
        <v>6106</v>
      </c>
      <c r="AF2183" s="17">
        <v>45425</v>
      </c>
      <c r="AG2183" s="40" t="s">
        <v>6552</v>
      </c>
      <c r="AH2183" s="26">
        <v>1</v>
      </c>
      <c r="AI2183" s="40">
        <v>2</v>
      </c>
      <c r="AJ2183" s="26"/>
      <c r="AK2183" s="26"/>
      <c r="AL2183" s="35"/>
      <c r="AM2183" s="35"/>
      <c r="AN2183" s="35"/>
      <c r="AO2183" s="35"/>
      <c r="AP2183" s="35"/>
    </row>
    <row r="2184" spans="1:42" x14ac:dyDescent="0.2">
      <c r="A2184" s="38">
        <v>45421</v>
      </c>
      <c r="B2184" s="28" t="s">
        <v>37</v>
      </c>
      <c r="C2184" s="41" t="s">
        <v>118</v>
      </c>
      <c r="D2184" s="26" t="s">
        <v>36</v>
      </c>
      <c r="E2184" s="26" t="s">
        <v>139</v>
      </c>
      <c r="F2184" s="26" t="s">
        <v>7273</v>
      </c>
      <c r="G2184" s="71" t="s">
        <v>108</v>
      </c>
      <c r="H2184" s="26" t="s">
        <v>8093</v>
      </c>
      <c r="I2184" s="17">
        <f ca="1">IFERROR(__xludf.DUMMYFUNCTION("""COMPUTED_VALUE"""),45433)</f>
        <v>45433</v>
      </c>
      <c r="J2184" s="29" t="s">
        <v>7822</v>
      </c>
      <c r="K2184" s="26" t="s">
        <v>7823</v>
      </c>
      <c r="L2184" s="30">
        <v>867039636</v>
      </c>
      <c r="M2184" s="26" t="s">
        <v>45</v>
      </c>
      <c r="N2184" s="26" t="s">
        <v>571</v>
      </c>
      <c r="O2184" s="26" t="s">
        <v>7824</v>
      </c>
      <c r="P2184" s="42" t="s">
        <v>8094</v>
      </c>
      <c r="Q2184" s="20">
        <v>15936</v>
      </c>
      <c r="R2184" s="26" t="s">
        <v>36</v>
      </c>
      <c r="S2184" s="31">
        <v>1000</v>
      </c>
      <c r="T2184" s="32">
        <v>45366</v>
      </c>
      <c r="U2184" s="31">
        <f>8317+6619</f>
        <v>14936</v>
      </c>
      <c r="V2184" s="26" t="s">
        <v>7826</v>
      </c>
      <c r="W2184" s="33" t="s">
        <v>7827</v>
      </c>
      <c r="X2184" s="26"/>
      <c r="Y2184" s="22">
        <v>0</v>
      </c>
      <c r="Z2184" s="98" t="s">
        <v>118</v>
      </c>
      <c r="AA2184" s="19" t="s">
        <v>7361</v>
      </c>
      <c r="AB2184" s="26" t="s">
        <v>36</v>
      </c>
      <c r="AC2184" s="26" t="s">
        <v>53</v>
      </c>
      <c r="AD2184" s="19" t="s">
        <v>54</v>
      </c>
      <c r="AE2184" s="26" t="s">
        <v>7273</v>
      </c>
      <c r="AF2184" s="17">
        <v>45428</v>
      </c>
      <c r="AG2184" s="26"/>
      <c r="AH2184" s="26"/>
      <c r="AI2184" s="40"/>
      <c r="AJ2184" s="26"/>
      <c r="AK2184" s="26"/>
      <c r="AL2184" s="35"/>
      <c r="AM2184" s="35"/>
      <c r="AN2184" s="35"/>
      <c r="AO2184" s="35"/>
      <c r="AP2184" s="35"/>
    </row>
    <row r="2185" spans="1:42" x14ac:dyDescent="0.2">
      <c r="A2185" s="38">
        <v>45421</v>
      </c>
      <c r="B2185" s="28" t="s">
        <v>37</v>
      </c>
      <c r="C2185" s="41" t="s">
        <v>118</v>
      </c>
      <c r="D2185" s="26" t="s">
        <v>36</v>
      </c>
      <c r="E2185" s="26" t="s">
        <v>39</v>
      </c>
      <c r="F2185" s="26" t="s">
        <v>7273</v>
      </c>
      <c r="G2185" s="71" t="s">
        <v>108</v>
      </c>
      <c r="H2185" s="26" t="s">
        <v>8093</v>
      </c>
      <c r="I2185" s="17">
        <f ca="1">IFERROR(__xludf.DUMMYFUNCTION("""COMPUTED_VALUE"""),45433)</f>
        <v>45433</v>
      </c>
      <c r="J2185" s="29" t="s">
        <v>7711</v>
      </c>
      <c r="K2185" s="26" t="s">
        <v>7712</v>
      </c>
      <c r="L2185" s="30">
        <v>394917062</v>
      </c>
      <c r="M2185" s="26" t="s">
        <v>1245</v>
      </c>
      <c r="N2185" s="26" t="s">
        <v>1246</v>
      </c>
      <c r="O2185" s="26" t="s">
        <v>7713</v>
      </c>
      <c r="P2185" s="42" t="s">
        <v>7714</v>
      </c>
      <c r="Q2185" s="20">
        <v>5736</v>
      </c>
      <c r="R2185" s="26" t="s">
        <v>36</v>
      </c>
      <c r="S2185" s="31">
        <v>5736</v>
      </c>
      <c r="T2185" s="32">
        <v>45354</v>
      </c>
      <c r="U2185" s="31"/>
      <c r="V2185" s="32"/>
      <c r="W2185" s="33" t="s">
        <v>7715</v>
      </c>
      <c r="X2185" s="26"/>
      <c r="Y2185" s="22">
        <v>0</v>
      </c>
      <c r="Z2185" s="98" t="s">
        <v>118</v>
      </c>
      <c r="AA2185" s="19" t="s">
        <v>7361</v>
      </c>
      <c r="AB2185" s="26" t="s">
        <v>36</v>
      </c>
      <c r="AC2185" s="26" t="s">
        <v>53</v>
      </c>
      <c r="AD2185" s="19" t="s">
        <v>54</v>
      </c>
      <c r="AE2185" s="26" t="s">
        <v>7273</v>
      </c>
      <c r="AF2185" s="17">
        <v>45428</v>
      </c>
      <c r="AG2185" s="26"/>
      <c r="AH2185" s="26"/>
      <c r="AI2185" s="40"/>
      <c r="AJ2185" s="26"/>
      <c r="AK2185" s="26"/>
      <c r="AL2185" s="35"/>
      <c r="AM2185" s="35"/>
      <c r="AN2185" s="35"/>
      <c r="AO2185" s="35"/>
      <c r="AP2185" s="35"/>
    </row>
    <row r="2186" spans="1:42" x14ac:dyDescent="0.2">
      <c r="A2186" s="38">
        <v>45421</v>
      </c>
      <c r="B2186" s="28" t="s">
        <v>37</v>
      </c>
      <c r="C2186" s="41" t="s">
        <v>118</v>
      </c>
      <c r="D2186" s="26" t="s">
        <v>36</v>
      </c>
      <c r="E2186" s="26" t="s">
        <v>39</v>
      </c>
      <c r="F2186" s="26" t="s">
        <v>7273</v>
      </c>
      <c r="G2186" s="71" t="s">
        <v>108</v>
      </c>
      <c r="H2186" s="26" t="s">
        <v>8093</v>
      </c>
      <c r="I2186" s="17">
        <f ca="1">IFERROR(__xludf.DUMMYFUNCTION("""COMPUTED_VALUE"""),45433)</f>
        <v>45433</v>
      </c>
      <c r="J2186" s="29" t="s">
        <v>7288</v>
      </c>
      <c r="K2186" s="26" t="s">
        <v>7289</v>
      </c>
      <c r="L2186" s="30">
        <v>976824143</v>
      </c>
      <c r="M2186" s="26" t="s">
        <v>2755</v>
      </c>
      <c r="N2186" s="26" t="s">
        <v>310</v>
      </c>
      <c r="O2186" s="26" t="s">
        <v>4503</v>
      </c>
      <c r="P2186" s="42" t="s">
        <v>8095</v>
      </c>
      <c r="Q2186" s="20">
        <v>5736</v>
      </c>
      <c r="R2186" s="26" t="s">
        <v>70</v>
      </c>
      <c r="S2186" s="31">
        <v>5636</v>
      </c>
      <c r="T2186" s="32">
        <v>45351</v>
      </c>
      <c r="U2186" s="31"/>
      <c r="V2186" s="32"/>
      <c r="W2186" s="33" t="s">
        <v>7291</v>
      </c>
      <c r="X2186" s="26"/>
      <c r="Y2186" s="22">
        <v>100</v>
      </c>
      <c r="Z2186" s="98" t="s">
        <v>118</v>
      </c>
      <c r="AA2186" s="19" t="s">
        <v>7077</v>
      </c>
      <c r="AB2186" s="26" t="s">
        <v>36</v>
      </c>
      <c r="AC2186" s="26" t="s">
        <v>53</v>
      </c>
      <c r="AD2186" s="19" t="s">
        <v>54</v>
      </c>
      <c r="AE2186" s="26" t="s">
        <v>7273</v>
      </c>
      <c r="AF2186" s="17">
        <v>45428</v>
      </c>
      <c r="AG2186" s="26"/>
      <c r="AH2186" s="26"/>
      <c r="AI2186" s="40" t="s">
        <v>55</v>
      </c>
      <c r="AJ2186" s="26"/>
      <c r="AK2186" s="26"/>
      <c r="AL2186" s="35"/>
      <c r="AM2186" s="35"/>
      <c r="AN2186" s="35"/>
      <c r="AO2186" s="35"/>
      <c r="AP2186" s="35"/>
    </row>
    <row r="2187" spans="1:42" x14ac:dyDescent="0.2">
      <c r="A2187" s="126">
        <v>45301.971040891207</v>
      </c>
      <c r="B2187" s="28" t="s">
        <v>37</v>
      </c>
      <c r="C2187" s="41" t="s">
        <v>118</v>
      </c>
      <c r="D2187" s="26" t="s">
        <v>36</v>
      </c>
      <c r="E2187" s="26" t="s">
        <v>56</v>
      </c>
      <c r="F2187" s="26" t="s">
        <v>36</v>
      </c>
      <c r="G2187" s="26" t="s">
        <v>41</v>
      </c>
      <c r="H2187" s="26" t="s">
        <v>7103</v>
      </c>
      <c r="I2187" s="17">
        <f ca="1">IFERROR(__xludf.DUMMYFUNCTION("""COMPUTED_VALUE"""),45372)</f>
        <v>45372</v>
      </c>
      <c r="J2187" s="29" t="s">
        <v>8096</v>
      </c>
      <c r="K2187" s="26" t="s">
        <v>8097</v>
      </c>
      <c r="L2187" s="30">
        <v>342377057</v>
      </c>
      <c r="M2187" s="26" t="s">
        <v>3728</v>
      </c>
      <c r="N2187" s="26" t="s">
        <v>5277</v>
      </c>
      <c r="O2187" s="26" t="s">
        <v>8098</v>
      </c>
      <c r="P2187" s="26" t="s">
        <v>8099</v>
      </c>
      <c r="Q2187" s="20">
        <v>9317</v>
      </c>
      <c r="R2187" s="26" t="s">
        <v>36</v>
      </c>
      <c r="S2187" s="31">
        <v>500</v>
      </c>
      <c r="T2187" s="32">
        <v>45301</v>
      </c>
      <c r="U2187" s="31">
        <f>1500+7317</f>
        <v>8817</v>
      </c>
      <c r="V2187" s="26" t="s">
        <v>8100</v>
      </c>
      <c r="W2187" s="33" t="s">
        <v>8101</v>
      </c>
      <c r="X2187" s="26"/>
      <c r="Y2187" s="22">
        <v>0</v>
      </c>
      <c r="Z2187" s="26" t="s">
        <v>50</v>
      </c>
      <c r="AA2187" s="19" t="s">
        <v>8102</v>
      </c>
      <c r="AB2187" s="26"/>
      <c r="AC2187" s="26" t="s">
        <v>53</v>
      </c>
      <c r="AD2187" s="19" t="s">
        <v>138</v>
      </c>
      <c r="AE2187" s="26">
        <v>0</v>
      </c>
      <c r="AF2187" s="17">
        <v>45372</v>
      </c>
      <c r="AG2187" s="26"/>
      <c r="AH2187" s="26"/>
      <c r="AI2187" s="40"/>
      <c r="AJ2187" s="26"/>
      <c r="AK2187" s="26"/>
      <c r="AL2187" s="35"/>
      <c r="AM2187" s="35"/>
      <c r="AN2187" s="35"/>
      <c r="AO2187" s="35"/>
      <c r="AP2187" s="35"/>
    </row>
    <row r="2188" spans="1:42" x14ac:dyDescent="0.2">
      <c r="A2188" s="126">
        <v>45303.901526805552</v>
      </c>
      <c r="B2188" s="28" t="s">
        <v>37</v>
      </c>
      <c r="C2188" s="41" t="s">
        <v>118</v>
      </c>
      <c r="D2188" s="26" t="s">
        <v>36</v>
      </c>
      <c r="E2188" s="26" t="s">
        <v>77</v>
      </c>
      <c r="F2188" s="26" t="s">
        <v>36</v>
      </c>
      <c r="G2188" s="26" t="s">
        <v>41</v>
      </c>
      <c r="H2188" s="26" t="s">
        <v>4087</v>
      </c>
      <c r="I2188" s="17">
        <f ca="1">IFERROR(__xludf.DUMMYFUNCTION("""COMPUTED_VALUE"""),45358)</f>
        <v>45358</v>
      </c>
      <c r="J2188" s="29" t="s">
        <v>8103</v>
      </c>
      <c r="K2188" s="26" t="s">
        <v>8104</v>
      </c>
      <c r="L2188" s="30">
        <v>356741282</v>
      </c>
      <c r="M2188" s="26" t="s">
        <v>5429</v>
      </c>
      <c r="N2188" s="26" t="s">
        <v>81</v>
      </c>
      <c r="O2188" s="26" t="s">
        <v>8105</v>
      </c>
      <c r="P2188" s="26" t="s">
        <v>6691</v>
      </c>
      <c r="Q2188" s="20">
        <v>1968</v>
      </c>
      <c r="R2188" s="26" t="s">
        <v>36</v>
      </c>
      <c r="S2188" s="31">
        <v>1000</v>
      </c>
      <c r="T2188" s="32">
        <v>45303</v>
      </c>
      <c r="U2188" s="31">
        <v>1000</v>
      </c>
      <c r="V2188" s="32">
        <v>45352</v>
      </c>
      <c r="W2188" s="33" t="s">
        <v>8106</v>
      </c>
      <c r="X2188" s="26"/>
      <c r="Y2188" s="22">
        <v>-32</v>
      </c>
      <c r="Z2188" s="26" t="s">
        <v>50</v>
      </c>
      <c r="AA2188" s="19" t="s">
        <v>8102</v>
      </c>
      <c r="AB2188" s="26"/>
      <c r="AC2188" s="26" t="s">
        <v>53</v>
      </c>
      <c r="AD2188" s="19" t="s">
        <v>138</v>
      </c>
      <c r="AE2188" s="26" t="s">
        <v>76</v>
      </c>
      <c r="AF2188" s="17">
        <v>45358</v>
      </c>
      <c r="AG2188" s="26" t="s">
        <v>3415</v>
      </c>
      <c r="AH2188" s="26"/>
      <c r="AI2188" s="40"/>
      <c r="AJ2188" s="26"/>
      <c r="AK2188" s="26"/>
      <c r="AL2188" s="35"/>
      <c r="AM2188" s="35"/>
      <c r="AN2188" s="35"/>
      <c r="AO2188" s="35"/>
      <c r="AP2188" s="35"/>
    </row>
    <row r="2189" spans="1:42" x14ac:dyDescent="0.2">
      <c r="A2189" s="126">
        <v>45306.790401388891</v>
      </c>
      <c r="B2189" s="28" t="s">
        <v>37</v>
      </c>
      <c r="C2189" s="41" t="s">
        <v>118</v>
      </c>
      <c r="D2189" s="26" t="s">
        <v>36</v>
      </c>
      <c r="E2189" s="26" t="s">
        <v>119</v>
      </c>
      <c r="F2189" s="26" t="s">
        <v>36</v>
      </c>
      <c r="G2189" s="26" t="s">
        <v>108</v>
      </c>
      <c r="H2189" s="26" t="s">
        <v>6596</v>
      </c>
      <c r="I2189" s="17">
        <f ca="1">IFERROR(__xludf.DUMMYFUNCTION("""COMPUTED_VALUE"""),45425)</f>
        <v>45425</v>
      </c>
      <c r="J2189" s="29" t="s">
        <v>8107</v>
      </c>
      <c r="K2189" s="26" t="s">
        <v>8108</v>
      </c>
      <c r="L2189" s="30">
        <v>981919548</v>
      </c>
      <c r="M2189" s="26" t="s">
        <v>5518</v>
      </c>
      <c r="N2189" s="26" t="s">
        <v>186</v>
      </c>
      <c r="O2189" s="26" t="s">
        <v>8109</v>
      </c>
      <c r="P2189" s="42" t="s">
        <v>8110</v>
      </c>
      <c r="Q2189" s="20">
        <v>13968</v>
      </c>
      <c r="R2189" s="26" t="s">
        <v>36</v>
      </c>
      <c r="S2189" s="31">
        <v>4000</v>
      </c>
      <c r="T2189" s="32">
        <v>45301</v>
      </c>
      <c r="U2189" s="31">
        <v>9968</v>
      </c>
      <c r="V2189" s="32">
        <v>45392</v>
      </c>
      <c r="W2189" s="33" t="s">
        <v>8111</v>
      </c>
      <c r="X2189" s="26"/>
      <c r="Y2189" s="22">
        <v>0</v>
      </c>
      <c r="Z2189" s="26" t="s">
        <v>50</v>
      </c>
      <c r="AA2189" s="19" t="s">
        <v>8102</v>
      </c>
      <c r="AB2189" s="26"/>
      <c r="AC2189" s="26" t="s">
        <v>53</v>
      </c>
      <c r="AD2189" s="19" t="s">
        <v>138</v>
      </c>
      <c r="AE2189" s="26">
        <v>540</v>
      </c>
      <c r="AF2189" s="17">
        <v>45376</v>
      </c>
      <c r="AG2189" s="26" t="s">
        <v>1362</v>
      </c>
      <c r="AH2189" s="26"/>
      <c r="AI2189" s="40"/>
      <c r="AJ2189" s="26"/>
      <c r="AK2189" s="26"/>
      <c r="AL2189" s="35"/>
      <c r="AM2189" s="35"/>
      <c r="AN2189" s="35"/>
      <c r="AO2189" s="35"/>
      <c r="AP2189" s="35"/>
    </row>
    <row r="2190" spans="1:42" x14ac:dyDescent="0.2">
      <c r="A2190" s="126">
        <v>45311.521922881948</v>
      </c>
      <c r="B2190" s="28" t="s">
        <v>37</v>
      </c>
      <c r="C2190" s="41" t="s">
        <v>118</v>
      </c>
      <c r="D2190" s="26" t="s">
        <v>36</v>
      </c>
      <c r="E2190" s="26" t="s">
        <v>39</v>
      </c>
      <c r="F2190" s="26" t="s">
        <v>91</v>
      </c>
      <c r="G2190" s="26" t="s">
        <v>41</v>
      </c>
      <c r="H2190" s="26" t="s">
        <v>7027</v>
      </c>
      <c r="I2190" s="17">
        <f ca="1">IFERROR(__xludf.DUMMYFUNCTION("""COMPUTED_VALUE"""),45389)</f>
        <v>45389</v>
      </c>
      <c r="J2190" s="29" t="s">
        <v>8112</v>
      </c>
      <c r="K2190" s="26" t="s">
        <v>8113</v>
      </c>
      <c r="L2190" s="30">
        <v>868893761</v>
      </c>
      <c r="M2190" s="26" t="s">
        <v>910</v>
      </c>
      <c r="N2190" s="26" t="s">
        <v>260</v>
      </c>
      <c r="O2190" s="26" t="s">
        <v>8114</v>
      </c>
      <c r="P2190" s="26" t="s">
        <v>5462</v>
      </c>
      <c r="Q2190" s="20">
        <v>5736</v>
      </c>
      <c r="R2190" s="26" t="s">
        <v>70</v>
      </c>
      <c r="S2190" s="31">
        <v>100</v>
      </c>
      <c r="T2190" s="32">
        <v>45301</v>
      </c>
      <c r="U2190" s="31">
        <f>1868+3668</f>
        <v>5536</v>
      </c>
      <c r="V2190" s="26" t="s">
        <v>8115</v>
      </c>
      <c r="W2190" s="33" t="s">
        <v>8116</v>
      </c>
      <c r="X2190" s="26"/>
      <c r="Y2190" s="22">
        <v>100</v>
      </c>
      <c r="Z2190" s="26" t="s">
        <v>50</v>
      </c>
      <c r="AA2190" s="19" t="s">
        <v>8102</v>
      </c>
      <c r="AB2190" s="26"/>
      <c r="AC2190" s="26" t="s">
        <v>53</v>
      </c>
      <c r="AD2190" s="19" t="s">
        <v>138</v>
      </c>
      <c r="AE2190" s="26"/>
      <c r="AF2190" s="17">
        <v>45389</v>
      </c>
      <c r="AG2190" s="26" t="s">
        <v>4092</v>
      </c>
      <c r="AH2190" s="26"/>
      <c r="AI2190" s="40"/>
      <c r="AJ2190" s="26"/>
      <c r="AK2190" s="26"/>
      <c r="AL2190" s="35"/>
      <c r="AM2190" s="35"/>
      <c r="AN2190" s="35"/>
      <c r="AO2190" s="35"/>
      <c r="AP2190" s="35"/>
    </row>
    <row r="2191" spans="1:42" x14ac:dyDescent="0.2">
      <c r="A2191" s="126">
        <v>45311.757273275463</v>
      </c>
      <c r="B2191" s="28" t="s">
        <v>37</v>
      </c>
      <c r="C2191" s="41" t="s">
        <v>118</v>
      </c>
      <c r="D2191" s="26" t="s">
        <v>36</v>
      </c>
      <c r="E2191" s="26" t="s">
        <v>139</v>
      </c>
      <c r="F2191" s="26" t="s">
        <v>36</v>
      </c>
      <c r="G2191" s="26" t="s">
        <v>41</v>
      </c>
      <c r="H2191" s="26" t="s">
        <v>7027</v>
      </c>
      <c r="I2191" s="17">
        <f ca="1">IFERROR(__xludf.DUMMYFUNCTION("""COMPUTED_VALUE"""),45389)</f>
        <v>45389</v>
      </c>
      <c r="J2191" s="29" t="s">
        <v>8117</v>
      </c>
      <c r="K2191" s="26" t="s">
        <v>8118</v>
      </c>
      <c r="L2191" s="30">
        <v>983674865</v>
      </c>
      <c r="M2191" s="26" t="s">
        <v>910</v>
      </c>
      <c r="N2191" s="26" t="s">
        <v>3525</v>
      </c>
      <c r="O2191" s="26" t="s">
        <v>8119</v>
      </c>
      <c r="P2191" s="26" t="s">
        <v>8120</v>
      </c>
      <c r="Q2191" s="20">
        <v>15936</v>
      </c>
      <c r="R2191" s="26" t="s">
        <v>3825</v>
      </c>
      <c r="S2191" s="31">
        <v>100</v>
      </c>
      <c r="T2191" s="32">
        <v>45310</v>
      </c>
      <c r="U2191" s="31">
        <f>2000+5000+8836</f>
        <v>15836</v>
      </c>
      <c r="V2191" s="26" t="s">
        <v>8121</v>
      </c>
      <c r="W2191" s="33" t="s">
        <v>8122</v>
      </c>
      <c r="X2191" s="26"/>
      <c r="Y2191" s="22">
        <v>0</v>
      </c>
      <c r="Z2191" s="26" t="s">
        <v>50</v>
      </c>
      <c r="AA2191" s="19" t="s">
        <v>8102</v>
      </c>
      <c r="AB2191" s="26"/>
      <c r="AC2191" s="26" t="s">
        <v>53</v>
      </c>
      <c r="AD2191" s="19" t="s">
        <v>138</v>
      </c>
      <c r="AE2191" s="26"/>
      <c r="AF2191" s="17">
        <v>45364</v>
      </c>
      <c r="AG2191" s="26" t="s">
        <v>7132</v>
      </c>
      <c r="AH2191" s="26"/>
      <c r="AI2191" s="40"/>
      <c r="AJ2191" s="26"/>
      <c r="AK2191" s="26"/>
      <c r="AL2191" s="35"/>
      <c r="AM2191" s="35"/>
      <c r="AN2191" s="35"/>
      <c r="AO2191" s="35"/>
      <c r="AP2191" s="35"/>
    </row>
    <row r="2192" spans="1:42" x14ac:dyDescent="0.2">
      <c r="A2192" s="126">
        <v>45311.759296574077</v>
      </c>
      <c r="B2192" s="28" t="s">
        <v>37</v>
      </c>
      <c r="C2192" s="41" t="s">
        <v>118</v>
      </c>
      <c r="D2192" s="26" t="s">
        <v>36</v>
      </c>
      <c r="E2192" s="26" t="s">
        <v>139</v>
      </c>
      <c r="F2192" s="26" t="s">
        <v>36</v>
      </c>
      <c r="G2192" s="26" t="s">
        <v>41</v>
      </c>
      <c r="H2192" s="26" t="s">
        <v>7027</v>
      </c>
      <c r="I2192" s="17">
        <f ca="1">IFERROR(__xludf.DUMMYFUNCTION("""COMPUTED_VALUE"""),45389)</f>
        <v>45389</v>
      </c>
      <c r="J2192" s="29" t="s">
        <v>8123</v>
      </c>
      <c r="K2192" s="26" t="s">
        <v>8124</v>
      </c>
      <c r="L2192" s="30">
        <v>382308920</v>
      </c>
      <c r="M2192" s="26" t="s">
        <v>910</v>
      </c>
      <c r="N2192" s="26" t="s">
        <v>3525</v>
      </c>
      <c r="O2192" s="26" t="s">
        <v>3754</v>
      </c>
      <c r="P2192" s="26" t="s">
        <v>8120</v>
      </c>
      <c r="Q2192" s="20">
        <v>15936</v>
      </c>
      <c r="R2192" s="26" t="s">
        <v>70</v>
      </c>
      <c r="S2192" s="31">
        <v>2000</v>
      </c>
      <c r="T2192" s="32">
        <v>45310</v>
      </c>
      <c r="U2192" s="31">
        <v>13936</v>
      </c>
      <c r="V2192" s="32">
        <v>45405</v>
      </c>
      <c r="W2192" s="33" t="s">
        <v>8125</v>
      </c>
      <c r="X2192" s="26"/>
      <c r="Y2192" s="22">
        <v>0</v>
      </c>
      <c r="Z2192" s="26" t="s">
        <v>50</v>
      </c>
      <c r="AA2192" s="19" t="s">
        <v>8102</v>
      </c>
      <c r="AB2192" s="26"/>
      <c r="AC2192" s="26" t="s">
        <v>53</v>
      </c>
      <c r="AD2192" s="19" t="s">
        <v>138</v>
      </c>
      <c r="AE2192" s="26"/>
      <c r="AF2192" s="17">
        <v>45364</v>
      </c>
      <c r="AG2192" s="26" t="s">
        <v>7132</v>
      </c>
      <c r="AH2192" s="26"/>
      <c r="AI2192" s="40"/>
      <c r="AJ2192" s="26"/>
      <c r="AK2192" s="26"/>
      <c r="AL2192" s="35"/>
      <c r="AM2192" s="35"/>
      <c r="AN2192" s="35"/>
      <c r="AO2192" s="35"/>
      <c r="AP2192" s="35"/>
    </row>
    <row r="2193" spans="1:42" x14ac:dyDescent="0.2">
      <c r="A2193" s="126">
        <v>45349.917570740741</v>
      </c>
      <c r="B2193" s="28" t="s">
        <v>37</v>
      </c>
      <c r="C2193" s="41" t="s">
        <v>118</v>
      </c>
      <c r="D2193" s="26" t="s">
        <v>36</v>
      </c>
      <c r="E2193" s="26" t="s">
        <v>139</v>
      </c>
      <c r="F2193" s="26" t="s">
        <v>36</v>
      </c>
      <c r="G2193" s="26" t="s">
        <v>41</v>
      </c>
      <c r="H2193" s="19" t="s">
        <v>7103</v>
      </c>
      <c r="I2193" s="17">
        <f ca="1">IFERROR(__xludf.DUMMYFUNCTION("""COMPUTED_VALUE"""),45372)</f>
        <v>45372</v>
      </c>
      <c r="J2193" s="49" t="s">
        <v>8126</v>
      </c>
      <c r="K2193" s="19" t="s">
        <v>8127</v>
      </c>
      <c r="L2193" s="30">
        <v>339320314</v>
      </c>
      <c r="M2193" s="26" t="s">
        <v>80</v>
      </c>
      <c r="N2193" s="26" t="s">
        <v>466</v>
      </c>
      <c r="O2193" s="26" t="s">
        <v>8128</v>
      </c>
      <c r="P2193" s="26" t="s">
        <v>2641</v>
      </c>
      <c r="Q2193" s="20">
        <v>15936</v>
      </c>
      <c r="R2193" s="26" t="s">
        <v>36</v>
      </c>
      <c r="S2193" s="31">
        <v>4000</v>
      </c>
      <c r="T2193" s="32">
        <v>45349</v>
      </c>
      <c r="U2193" s="31">
        <v>11936</v>
      </c>
      <c r="V2193" s="32">
        <v>45390</v>
      </c>
      <c r="W2193" s="33" t="s">
        <v>8129</v>
      </c>
      <c r="X2193" s="26"/>
      <c r="Y2193" s="22">
        <v>0</v>
      </c>
      <c r="Z2193" s="26" t="s">
        <v>50</v>
      </c>
      <c r="AA2193" s="19" t="s">
        <v>8102</v>
      </c>
      <c r="AB2193" s="26"/>
      <c r="AC2193" s="26" t="s">
        <v>53</v>
      </c>
      <c r="AD2193" s="19" t="s">
        <v>138</v>
      </c>
      <c r="AE2193" s="26" t="s">
        <v>72</v>
      </c>
      <c r="AF2193" s="17">
        <v>45372</v>
      </c>
      <c r="AG2193" s="26"/>
      <c r="AH2193" s="26"/>
      <c r="AI2193" s="40"/>
      <c r="AJ2193" s="26"/>
      <c r="AK2193" s="26"/>
      <c r="AL2193" s="35"/>
      <c r="AM2193" s="35"/>
      <c r="AN2193" s="35"/>
      <c r="AO2193" s="35"/>
      <c r="AP2193" s="35"/>
    </row>
    <row r="2194" spans="1:42" x14ac:dyDescent="0.2">
      <c r="A2194" s="126">
        <v>45358.686490752312</v>
      </c>
      <c r="B2194" s="28" t="s">
        <v>37</v>
      </c>
      <c r="C2194" s="41" t="s">
        <v>118</v>
      </c>
      <c r="D2194" s="26" t="s">
        <v>36</v>
      </c>
      <c r="E2194" s="26" t="s">
        <v>77</v>
      </c>
      <c r="F2194" s="26" t="s">
        <v>36</v>
      </c>
      <c r="G2194" s="26" t="s">
        <v>41</v>
      </c>
      <c r="H2194" s="26" t="s">
        <v>8130</v>
      </c>
      <c r="I2194" s="17" t="str">
        <f ca="1">IFERROR(__xludf.DUMMYFUNCTION("""COMPUTED_VALUE""")," ")</f>
        <v xml:space="preserve"> </v>
      </c>
      <c r="J2194" s="29" t="s">
        <v>8131</v>
      </c>
      <c r="K2194" s="26" t="s">
        <v>8132</v>
      </c>
      <c r="L2194" s="30">
        <v>399990528</v>
      </c>
      <c r="M2194" s="26" t="s">
        <v>5429</v>
      </c>
      <c r="N2194" s="26" t="s">
        <v>81</v>
      </c>
      <c r="O2194" s="26" t="s">
        <v>8133</v>
      </c>
      <c r="P2194" s="26" t="s">
        <v>8134</v>
      </c>
      <c r="Q2194" s="20">
        <v>1968</v>
      </c>
      <c r="R2194" s="26" t="s">
        <v>36</v>
      </c>
      <c r="S2194" s="31">
        <v>2000</v>
      </c>
      <c r="T2194" s="32">
        <v>45358</v>
      </c>
      <c r="U2194" s="31"/>
      <c r="V2194" s="32"/>
      <c r="W2194" s="33" t="s">
        <v>8135</v>
      </c>
      <c r="X2194" s="26"/>
      <c r="Y2194" s="22">
        <v>-32</v>
      </c>
      <c r="Z2194" s="26" t="s">
        <v>50</v>
      </c>
      <c r="AA2194" s="19" t="s">
        <v>8102</v>
      </c>
      <c r="AB2194" s="26"/>
      <c r="AC2194" s="26" t="s">
        <v>53</v>
      </c>
      <c r="AD2194" s="19" t="s">
        <v>54</v>
      </c>
      <c r="AE2194" s="26" t="s">
        <v>72</v>
      </c>
      <c r="AF2194" s="17">
        <v>45359</v>
      </c>
      <c r="AG2194" s="26"/>
      <c r="AH2194" s="26"/>
      <c r="AI2194" s="40"/>
      <c r="AJ2194" s="26"/>
      <c r="AK2194" s="26"/>
      <c r="AL2194" s="35"/>
      <c r="AM2194" s="35"/>
      <c r="AN2194" s="35"/>
      <c r="AO2194" s="35"/>
      <c r="AP2194" s="35"/>
    </row>
    <row r="2195" spans="1:42" x14ac:dyDescent="0.2">
      <c r="A2195" s="126">
        <v>45359.974822245371</v>
      </c>
      <c r="B2195" s="28" t="s">
        <v>37</v>
      </c>
      <c r="C2195" s="41" t="s">
        <v>118</v>
      </c>
      <c r="D2195" s="26" t="s">
        <v>36</v>
      </c>
      <c r="E2195" s="26" t="s">
        <v>139</v>
      </c>
      <c r="F2195" s="26" t="s">
        <v>36</v>
      </c>
      <c r="G2195" s="26" t="s">
        <v>41</v>
      </c>
      <c r="H2195" s="26" t="s">
        <v>6842</v>
      </c>
      <c r="I2195" s="17">
        <f ca="1">IFERROR(__xludf.DUMMYFUNCTION("""COMPUTED_VALUE"""),45364)</f>
        <v>45364</v>
      </c>
      <c r="J2195" s="29" t="s">
        <v>8136</v>
      </c>
      <c r="K2195" s="26" t="s">
        <v>8137</v>
      </c>
      <c r="L2195" s="30">
        <v>902137724</v>
      </c>
      <c r="M2195" s="26" t="s">
        <v>123</v>
      </c>
      <c r="N2195" s="26" t="s">
        <v>186</v>
      </c>
      <c r="O2195" s="26" t="s">
        <v>4503</v>
      </c>
      <c r="P2195" s="26" t="s">
        <v>3487</v>
      </c>
      <c r="Q2195" s="20">
        <v>15936</v>
      </c>
      <c r="R2195" s="26" t="s">
        <v>36</v>
      </c>
      <c r="S2195" s="31">
        <v>200</v>
      </c>
      <c r="T2195" s="32">
        <v>45330</v>
      </c>
      <c r="U2195" s="31">
        <f>5000+10636+100</f>
        <v>15736</v>
      </c>
      <c r="V2195" s="26" t="s">
        <v>8138</v>
      </c>
      <c r="W2195" s="26" t="s">
        <v>8139</v>
      </c>
      <c r="X2195" s="26"/>
      <c r="Y2195" s="22">
        <v>0</v>
      </c>
      <c r="Z2195" s="26" t="s">
        <v>50</v>
      </c>
      <c r="AA2195" s="19" t="s">
        <v>8102</v>
      </c>
      <c r="AB2195" s="26" t="s">
        <v>8140</v>
      </c>
      <c r="AC2195" s="26" t="s">
        <v>53</v>
      </c>
      <c r="AD2195" s="19" t="s">
        <v>138</v>
      </c>
      <c r="AE2195" s="26"/>
      <c r="AF2195" s="17">
        <v>45364</v>
      </c>
      <c r="AG2195" s="26" t="s">
        <v>7132</v>
      </c>
      <c r="AH2195" s="26"/>
      <c r="AI2195" s="40"/>
      <c r="AJ2195" s="26"/>
      <c r="AK2195" s="26"/>
      <c r="AL2195" s="35"/>
      <c r="AM2195" s="35"/>
      <c r="AN2195" s="35"/>
      <c r="AO2195" s="35"/>
      <c r="AP2195" s="35"/>
    </row>
    <row r="2196" spans="1:42" x14ac:dyDescent="0.2">
      <c r="A2196" s="126">
        <v>45359.983079039353</v>
      </c>
      <c r="B2196" s="28" t="s">
        <v>37</v>
      </c>
      <c r="C2196" s="41" t="s">
        <v>118</v>
      </c>
      <c r="D2196" s="26" t="s">
        <v>36</v>
      </c>
      <c r="E2196" s="26" t="s">
        <v>139</v>
      </c>
      <c r="F2196" s="26" t="s">
        <v>36</v>
      </c>
      <c r="G2196" s="26" t="s">
        <v>41</v>
      </c>
      <c r="H2196" s="26" t="s">
        <v>7008</v>
      </c>
      <c r="I2196" s="17">
        <f ca="1">IFERROR(__xludf.DUMMYFUNCTION("""COMPUTED_VALUE"""),45370)</f>
        <v>45370</v>
      </c>
      <c r="J2196" s="29" t="s">
        <v>8141</v>
      </c>
      <c r="K2196" s="26" t="s">
        <v>8142</v>
      </c>
      <c r="L2196" s="30">
        <v>769246870</v>
      </c>
      <c r="M2196" s="26" t="s">
        <v>123</v>
      </c>
      <c r="N2196" s="26" t="s">
        <v>186</v>
      </c>
      <c r="O2196" s="26" t="s">
        <v>4503</v>
      </c>
      <c r="P2196" s="26" t="s">
        <v>8143</v>
      </c>
      <c r="Q2196" s="20">
        <v>15936</v>
      </c>
      <c r="R2196" s="26" t="s">
        <v>70</v>
      </c>
      <c r="S2196" s="31">
        <v>15736</v>
      </c>
      <c r="T2196" s="32">
        <v>45353</v>
      </c>
      <c r="U2196" s="31">
        <v>100</v>
      </c>
      <c r="V2196" s="32">
        <v>45412</v>
      </c>
      <c r="W2196" s="33" t="s">
        <v>8144</v>
      </c>
      <c r="X2196" s="26"/>
      <c r="Y2196" s="22">
        <v>100</v>
      </c>
      <c r="Z2196" s="26" t="s">
        <v>50</v>
      </c>
      <c r="AA2196" s="19" t="s">
        <v>8102</v>
      </c>
      <c r="AB2196" s="26" t="s">
        <v>4503</v>
      </c>
      <c r="AC2196" s="26" t="s">
        <v>53</v>
      </c>
      <c r="AD2196" s="19" t="s">
        <v>138</v>
      </c>
      <c r="AE2196" s="26"/>
      <c r="AF2196" s="17">
        <v>45362</v>
      </c>
      <c r="AG2196" s="26"/>
      <c r="AH2196" s="26"/>
      <c r="AI2196" s="40"/>
      <c r="AJ2196" s="26"/>
      <c r="AK2196" s="26"/>
      <c r="AL2196" s="35"/>
      <c r="AM2196" s="35"/>
      <c r="AN2196" s="35"/>
      <c r="AO2196" s="35"/>
      <c r="AP2196" s="35"/>
    </row>
    <row r="2197" spans="1:42" x14ac:dyDescent="0.2">
      <c r="A2197" s="126">
        <v>45361.944590613421</v>
      </c>
      <c r="B2197" s="28" t="s">
        <v>37</v>
      </c>
      <c r="C2197" s="41" t="s">
        <v>118</v>
      </c>
      <c r="D2197" s="26" t="s">
        <v>36</v>
      </c>
      <c r="E2197" s="26" t="s">
        <v>139</v>
      </c>
      <c r="F2197" s="26" t="s">
        <v>36</v>
      </c>
      <c r="G2197" s="26" t="s">
        <v>41</v>
      </c>
      <c r="H2197" s="26" t="s">
        <v>6842</v>
      </c>
      <c r="I2197" s="17">
        <f ca="1">IFERROR(__xludf.DUMMYFUNCTION("""COMPUTED_VALUE"""),45364)</f>
        <v>45364</v>
      </c>
      <c r="J2197" s="29" t="s">
        <v>8145</v>
      </c>
      <c r="K2197" s="26" t="s">
        <v>8146</v>
      </c>
      <c r="L2197" s="30">
        <v>968711205</v>
      </c>
      <c r="M2197" s="26" t="s">
        <v>2755</v>
      </c>
      <c r="N2197" s="26" t="s">
        <v>2756</v>
      </c>
      <c r="O2197" s="26" t="s">
        <v>4503</v>
      </c>
      <c r="P2197" s="26" t="s">
        <v>3117</v>
      </c>
      <c r="Q2197" s="20">
        <v>15936</v>
      </c>
      <c r="R2197" s="26" t="s">
        <v>36</v>
      </c>
      <c r="S2197" s="31">
        <v>2000</v>
      </c>
      <c r="T2197" s="32">
        <v>45356</v>
      </c>
      <c r="U2197" s="31">
        <v>13936</v>
      </c>
      <c r="V2197" s="32">
        <v>45407</v>
      </c>
      <c r="W2197" s="33" t="s">
        <v>8147</v>
      </c>
      <c r="X2197" s="26"/>
      <c r="Y2197" s="22">
        <v>0</v>
      </c>
      <c r="Z2197" s="26" t="s">
        <v>50</v>
      </c>
      <c r="AA2197" s="19" t="s">
        <v>8102</v>
      </c>
      <c r="AB2197" s="26"/>
      <c r="AC2197" s="26" t="s">
        <v>53</v>
      </c>
      <c r="AD2197" s="19" t="s">
        <v>138</v>
      </c>
      <c r="AE2197" s="26"/>
      <c r="AF2197" s="17">
        <v>45364</v>
      </c>
      <c r="AG2197" s="26" t="s">
        <v>7132</v>
      </c>
      <c r="AH2197" s="26"/>
      <c r="AI2197" s="40"/>
      <c r="AJ2197" s="26"/>
      <c r="AK2197" s="26"/>
      <c r="AL2197" s="35"/>
      <c r="AM2197" s="35"/>
      <c r="AN2197" s="35"/>
      <c r="AO2197" s="35"/>
      <c r="AP2197" s="35"/>
    </row>
    <row r="2198" spans="1:42" x14ac:dyDescent="0.2">
      <c r="A2198" s="126">
        <v>45361.946345787037</v>
      </c>
      <c r="B2198" s="28" t="s">
        <v>90</v>
      </c>
      <c r="C2198" s="41" t="s">
        <v>118</v>
      </c>
      <c r="D2198" s="26" t="s">
        <v>36</v>
      </c>
      <c r="E2198" s="26" t="s">
        <v>139</v>
      </c>
      <c r="F2198" s="26" t="s">
        <v>36</v>
      </c>
      <c r="G2198" s="26" t="s">
        <v>41</v>
      </c>
      <c r="H2198" s="26" t="s">
        <v>6842</v>
      </c>
      <c r="I2198" s="17">
        <f ca="1">IFERROR(__xludf.DUMMYFUNCTION("""COMPUTED_VALUE"""),45364)</f>
        <v>45364</v>
      </c>
      <c r="J2198" s="29" t="s">
        <v>8148</v>
      </c>
      <c r="K2198" s="26" t="s">
        <v>8149</v>
      </c>
      <c r="L2198" s="30">
        <v>396917775</v>
      </c>
      <c r="M2198" s="26" t="s">
        <v>2755</v>
      </c>
      <c r="N2198" s="26" t="s">
        <v>310</v>
      </c>
      <c r="O2198" s="26" t="s">
        <v>8150</v>
      </c>
      <c r="P2198" s="26" t="s">
        <v>3117</v>
      </c>
      <c r="Q2198" s="20">
        <v>15936</v>
      </c>
      <c r="R2198" s="26" t="s">
        <v>36</v>
      </c>
      <c r="S2198" s="31">
        <v>5000</v>
      </c>
      <c r="T2198" s="32">
        <v>45340</v>
      </c>
      <c r="U2198" s="31">
        <v>10936</v>
      </c>
      <c r="V2198" s="32">
        <v>45383</v>
      </c>
      <c r="W2198" s="33" t="s">
        <v>8151</v>
      </c>
      <c r="X2198" s="26"/>
      <c r="Y2198" s="22">
        <v>0</v>
      </c>
      <c r="Z2198" s="26" t="s">
        <v>50</v>
      </c>
      <c r="AA2198" s="19" t="s">
        <v>8102</v>
      </c>
      <c r="AB2198" s="26"/>
      <c r="AC2198" s="26" t="s">
        <v>53</v>
      </c>
      <c r="AD2198" s="19" t="s">
        <v>138</v>
      </c>
      <c r="AE2198" s="26"/>
      <c r="AF2198" s="17">
        <v>45364</v>
      </c>
      <c r="AG2198" s="26" t="s">
        <v>7132</v>
      </c>
      <c r="AH2198" s="26"/>
      <c r="AI2198" s="40"/>
      <c r="AJ2198" s="26"/>
      <c r="AK2198" s="26"/>
      <c r="AL2198" s="35"/>
      <c r="AM2198" s="35"/>
      <c r="AN2198" s="35"/>
      <c r="AO2198" s="35"/>
      <c r="AP2198" s="35"/>
    </row>
    <row r="2199" spans="1:42" x14ac:dyDescent="0.2">
      <c r="A2199" s="126">
        <v>45362.335910173613</v>
      </c>
      <c r="B2199" s="28" t="s">
        <v>37</v>
      </c>
      <c r="C2199" s="41" t="s">
        <v>118</v>
      </c>
      <c r="D2199" s="26" t="s">
        <v>36</v>
      </c>
      <c r="E2199" s="26" t="s">
        <v>139</v>
      </c>
      <c r="F2199" s="26" t="s">
        <v>36</v>
      </c>
      <c r="G2199" s="26" t="s">
        <v>41</v>
      </c>
      <c r="H2199" s="26" t="s">
        <v>7008</v>
      </c>
      <c r="I2199" s="17">
        <f ca="1">IFERROR(__xludf.DUMMYFUNCTION("""COMPUTED_VALUE"""),45370)</f>
        <v>45370</v>
      </c>
      <c r="J2199" s="29" t="s">
        <v>8152</v>
      </c>
      <c r="K2199" s="26" t="s">
        <v>8153</v>
      </c>
      <c r="L2199" s="30">
        <v>866142859</v>
      </c>
      <c r="M2199" s="26" t="s">
        <v>3728</v>
      </c>
      <c r="N2199" s="26" t="s">
        <v>4124</v>
      </c>
      <c r="O2199" s="26" t="s">
        <v>8154</v>
      </c>
      <c r="P2199" s="26" t="s">
        <v>8155</v>
      </c>
      <c r="Q2199" s="20">
        <v>15936</v>
      </c>
      <c r="R2199" s="26" t="s">
        <v>36</v>
      </c>
      <c r="S2199" s="31">
        <v>2000</v>
      </c>
      <c r="T2199" s="32">
        <v>45362</v>
      </c>
      <c r="U2199" s="31">
        <v>13936</v>
      </c>
      <c r="V2199" s="32">
        <v>45402</v>
      </c>
      <c r="W2199" s="33" t="s">
        <v>8156</v>
      </c>
      <c r="X2199" s="26"/>
      <c r="Y2199" s="22">
        <v>0</v>
      </c>
      <c r="Z2199" s="26" t="s">
        <v>50</v>
      </c>
      <c r="AA2199" s="19" t="s">
        <v>8102</v>
      </c>
      <c r="AB2199" s="26"/>
      <c r="AC2199" s="26" t="s">
        <v>53</v>
      </c>
      <c r="AD2199" s="19" t="s">
        <v>54</v>
      </c>
      <c r="AE2199" s="26"/>
      <c r="AF2199" s="17">
        <v>45362</v>
      </c>
      <c r="AG2199" s="26"/>
      <c r="AH2199" s="26"/>
      <c r="AI2199" s="40"/>
      <c r="AJ2199" s="26"/>
      <c r="AK2199" s="26"/>
      <c r="AL2199" s="35"/>
      <c r="AM2199" s="35"/>
      <c r="AN2199" s="35"/>
      <c r="AO2199" s="35"/>
      <c r="AP2199" s="35"/>
    </row>
    <row r="2200" spans="1:42" x14ac:dyDescent="0.2">
      <c r="A2200" s="126">
        <v>45367.45953724537</v>
      </c>
      <c r="B2200" s="28" t="s">
        <v>37</v>
      </c>
      <c r="C2200" s="41" t="s">
        <v>118</v>
      </c>
      <c r="D2200" s="26" t="s">
        <v>36</v>
      </c>
      <c r="E2200" s="26" t="s">
        <v>139</v>
      </c>
      <c r="F2200" s="26" t="s">
        <v>36</v>
      </c>
      <c r="G2200" s="26" t="s">
        <v>41</v>
      </c>
      <c r="H2200" s="26" t="s">
        <v>7112</v>
      </c>
      <c r="I2200" s="17">
        <f ca="1">IFERROR(__xludf.DUMMYFUNCTION("""COMPUTED_VALUE"""),45383)</f>
        <v>45383</v>
      </c>
      <c r="J2200" s="29" t="s">
        <v>8157</v>
      </c>
      <c r="K2200" s="26" t="s">
        <v>8158</v>
      </c>
      <c r="L2200" s="30">
        <v>386685516</v>
      </c>
      <c r="M2200" s="26" t="s">
        <v>3728</v>
      </c>
      <c r="N2200" s="26" t="s">
        <v>5312</v>
      </c>
      <c r="O2200" s="26" t="s">
        <v>8159</v>
      </c>
      <c r="P2200" s="26" t="s">
        <v>8160</v>
      </c>
      <c r="Q2200" s="20">
        <v>15936</v>
      </c>
      <c r="R2200" s="26" t="s">
        <v>36</v>
      </c>
      <c r="S2200" s="31">
        <v>2000</v>
      </c>
      <c r="T2200" s="32">
        <v>45367</v>
      </c>
      <c r="U2200" s="31">
        <v>13936</v>
      </c>
      <c r="V2200" s="32">
        <v>45410</v>
      </c>
      <c r="W2200" s="33" t="s">
        <v>8161</v>
      </c>
      <c r="X2200" s="26"/>
      <c r="Y2200" s="22">
        <v>0</v>
      </c>
      <c r="Z2200" s="26" t="s">
        <v>50</v>
      </c>
      <c r="AA2200" s="19" t="s">
        <v>8102</v>
      </c>
      <c r="AB2200" s="26"/>
      <c r="AC2200" s="26" t="s">
        <v>53</v>
      </c>
      <c r="AD2200" s="19" t="s">
        <v>54</v>
      </c>
      <c r="AE2200" s="26"/>
      <c r="AF2200" s="17">
        <v>45378</v>
      </c>
      <c r="AG2200" s="26"/>
      <c r="AH2200" s="26"/>
      <c r="AI2200" s="40"/>
      <c r="AJ2200" s="26"/>
      <c r="AK2200" s="26"/>
      <c r="AL2200" s="35"/>
      <c r="AM2200" s="35"/>
      <c r="AN2200" s="35"/>
      <c r="AO2200" s="35"/>
      <c r="AP2200" s="35"/>
    </row>
    <row r="2201" spans="1:42" x14ac:dyDescent="0.2">
      <c r="A2201" s="126">
        <v>45368.930187604172</v>
      </c>
      <c r="B2201" s="28" t="s">
        <v>37</v>
      </c>
      <c r="C2201" s="41" t="s">
        <v>118</v>
      </c>
      <c r="D2201" s="26" t="s">
        <v>36</v>
      </c>
      <c r="E2201" s="26" t="s">
        <v>77</v>
      </c>
      <c r="F2201" s="26" t="s">
        <v>36</v>
      </c>
      <c r="G2201" s="26" t="s">
        <v>41</v>
      </c>
      <c r="H2201" s="26" t="s">
        <v>7008</v>
      </c>
      <c r="I2201" s="17">
        <f ca="1">IFERROR(__xludf.DUMMYFUNCTION("""COMPUTED_VALUE"""),45370)</f>
        <v>45370</v>
      </c>
      <c r="J2201" s="29" t="s">
        <v>8162</v>
      </c>
      <c r="K2201" s="26" t="s">
        <v>8163</v>
      </c>
      <c r="L2201" s="30">
        <v>329339118</v>
      </c>
      <c r="M2201" s="26" t="s">
        <v>5558</v>
      </c>
      <c r="N2201" s="26" t="s">
        <v>5559</v>
      </c>
      <c r="O2201" s="26" t="s">
        <v>4503</v>
      </c>
      <c r="P2201" s="26" t="s">
        <v>8164</v>
      </c>
      <c r="Q2201" s="20">
        <v>1968</v>
      </c>
      <c r="R2201" s="26" t="s">
        <v>36</v>
      </c>
      <c r="S2201" s="31">
        <v>1970</v>
      </c>
      <c r="T2201" s="32">
        <v>45368</v>
      </c>
      <c r="U2201" s="31"/>
      <c r="V2201" s="32"/>
      <c r="W2201" s="33" t="s">
        <v>8165</v>
      </c>
      <c r="X2201" s="26"/>
      <c r="Y2201" s="22">
        <v>-2</v>
      </c>
      <c r="Z2201" s="26" t="s">
        <v>50</v>
      </c>
      <c r="AA2201" s="19" t="s">
        <v>8102</v>
      </c>
      <c r="AB2201" s="26"/>
      <c r="AC2201" s="26" t="s">
        <v>53</v>
      </c>
      <c r="AD2201" s="19" t="s">
        <v>54</v>
      </c>
      <c r="AE2201" s="26"/>
      <c r="AF2201" s="17">
        <v>45369</v>
      </c>
      <c r="AG2201" s="26" t="s">
        <v>8166</v>
      </c>
      <c r="AH2201" s="26"/>
      <c r="AI2201" s="40"/>
      <c r="AJ2201" s="26"/>
      <c r="AK2201" s="26"/>
      <c r="AL2201" s="35"/>
      <c r="AM2201" s="35"/>
      <c r="AN2201" s="35"/>
      <c r="AO2201" s="35"/>
      <c r="AP2201" s="35"/>
    </row>
    <row r="2202" spans="1:42" x14ac:dyDescent="0.2">
      <c r="A2202" s="126">
        <v>45370.332821539356</v>
      </c>
      <c r="B2202" s="28" t="s">
        <v>37</v>
      </c>
      <c r="C2202" s="41" t="s">
        <v>118</v>
      </c>
      <c r="D2202" s="26" t="s">
        <v>36</v>
      </c>
      <c r="E2202" s="26" t="s">
        <v>139</v>
      </c>
      <c r="F2202" s="26" t="s">
        <v>36</v>
      </c>
      <c r="G2202" s="26" t="s">
        <v>41</v>
      </c>
      <c r="H2202" s="26" t="s">
        <v>7112</v>
      </c>
      <c r="I2202" s="17">
        <f ca="1">IFERROR(__xludf.DUMMYFUNCTION("""COMPUTED_VALUE"""),45383)</f>
        <v>45383</v>
      </c>
      <c r="J2202" s="29" t="s">
        <v>8167</v>
      </c>
      <c r="K2202" s="26" t="s">
        <v>8168</v>
      </c>
      <c r="L2202" s="30">
        <v>899932192</v>
      </c>
      <c r="M2202" s="26" t="s">
        <v>123</v>
      </c>
      <c r="N2202" s="26" t="s">
        <v>186</v>
      </c>
      <c r="O2202" s="26" t="s">
        <v>4503</v>
      </c>
      <c r="P2202" s="42" t="s">
        <v>8169</v>
      </c>
      <c r="Q2202" s="20">
        <v>15936</v>
      </c>
      <c r="R2202" s="26" t="s">
        <v>36</v>
      </c>
      <c r="S2202" s="31">
        <v>2000</v>
      </c>
      <c r="T2202" s="32">
        <v>45369</v>
      </c>
      <c r="U2202" s="31">
        <v>13936</v>
      </c>
      <c r="V2202" s="32">
        <v>45405</v>
      </c>
      <c r="W2202" s="33" t="s">
        <v>8170</v>
      </c>
      <c r="X2202" s="26"/>
      <c r="Y2202" s="22">
        <v>0</v>
      </c>
      <c r="Z2202" s="26" t="s">
        <v>50</v>
      </c>
      <c r="AA2202" s="19" t="s">
        <v>8102</v>
      </c>
      <c r="AB2202" s="26" t="s">
        <v>4503</v>
      </c>
      <c r="AC2202" s="26" t="s">
        <v>53</v>
      </c>
      <c r="AD2202" s="19" t="s">
        <v>138</v>
      </c>
      <c r="AE2202" s="26"/>
      <c r="AF2202" s="17">
        <v>45377</v>
      </c>
      <c r="AG2202" s="26"/>
      <c r="AH2202" s="26"/>
      <c r="AI2202" s="40"/>
      <c r="AJ2202" s="26"/>
      <c r="AK2202" s="26"/>
      <c r="AL2202" s="35"/>
      <c r="AM2202" s="35"/>
      <c r="AN2202" s="35"/>
      <c r="AO2202" s="35"/>
      <c r="AP2202" s="35"/>
    </row>
    <row r="2203" spans="1:42" x14ac:dyDescent="0.2">
      <c r="A2203" s="126">
        <v>45370.659466875004</v>
      </c>
      <c r="B2203" s="28" t="s">
        <v>37</v>
      </c>
      <c r="C2203" s="41" t="s">
        <v>118</v>
      </c>
      <c r="D2203" s="26" t="s">
        <v>36</v>
      </c>
      <c r="E2203" s="26" t="s">
        <v>139</v>
      </c>
      <c r="F2203" s="26" t="s">
        <v>36</v>
      </c>
      <c r="G2203" s="26" t="s">
        <v>41</v>
      </c>
      <c r="H2203" s="26" t="s">
        <v>7027</v>
      </c>
      <c r="I2203" s="17">
        <f ca="1">IFERROR(__xludf.DUMMYFUNCTION("""COMPUTED_VALUE"""),45389)</f>
        <v>45389</v>
      </c>
      <c r="J2203" s="29" t="s">
        <v>8171</v>
      </c>
      <c r="K2203" s="26" t="s">
        <v>8172</v>
      </c>
      <c r="L2203" s="30">
        <v>328553642</v>
      </c>
      <c r="M2203" s="26" t="s">
        <v>80</v>
      </c>
      <c r="N2203" s="26" t="s">
        <v>1073</v>
      </c>
      <c r="O2203" s="26" t="s">
        <v>8173</v>
      </c>
      <c r="P2203" s="26" t="s">
        <v>8174</v>
      </c>
      <c r="Q2203" s="20">
        <v>15936</v>
      </c>
      <c r="R2203" s="26" t="s">
        <v>36</v>
      </c>
      <c r="S2203" s="31">
        <v>2000</v>
      </c>
      <c r="T2203" s="32">
        <v>44978</v>
      </c>
      <c r="U2203" s="31">
        <v>13968</v>
      </c>
      <c r="V2203" s="32">
        <v>45401</v>
      </c>
      <c r="W2203" s="33" t="s">
        <v>8175</v>
      </c>
      <c r="X2203" s="26"/>
      <c r="Y2203" s="22">
        <v>-32</v>
      </c>
      <c r="Z2203" s="26" t="s">
        <v>50</v>
      </c>
      <c r="AA2203" s="19" t="s">
        <v>8102</v>
      </c>
      <c r="AB2203" s="26"/>
      <c r="AC2203" s="26" t="s">
        <v>53</v>
      </c>
      <c r="AD2203" s="19" t="s">
        <v>138</v>
      </c>
      <c r="AE2203" s="26"/>
      <c r="AF2203" s="17">
        <v>45389</v>
      </c>
      <c r="AG2203" s="26" t="s">
        <v>4092</v>
      </c>
      <c r="AH2203" s="26"/>
      <c r="AI2203" s="40"/>
      <c r="AJ2203" s="26"/>
      <c r="AK2203" s="26"/>
      <c r="AL2203" s="35"/>
      <c r="AM2203" s="35"/>
      <c r="AN2203" s="35"/>
      <c r="AO2203" s="35"/>
      <c r="AP2203" s="35"/>
    </row>
    <row r="2204" spans="1:42" x14ac:dyDescent="0.2">
      <c r="A2204" s="126">
        <v>45371.425265937505</v>
      </c>
      <c r="B2204" s="28" t="s">
        <v>37</v>
      </c>
      <c r="C2204" s="41" t="s">
        <v>118</v>
      </c>
      <c r="D2204" s="26" t="s">
        <v>36</v>
      </c>
      <c r="E2204" s="26" t="s">
        <v>56</v>
      </c>
      <c r="F2204" s="26" t="s">
        <v>36</v>
      </c>
      <c r="G2204" s="35" t="s">
        <v>41</v>
      </c>
      <c r="H2204" s="35" t="s">
        <v>7103</v>
      </c>
      <c r="I2204" s="17">
        <f ca="1">IFERROR(__xludf.DUMMYFUNCTION("""COMPUTED_VALUE"""),45372)</f>
        <v>45372</v>
      </c>
      <c r="J2204" s="56" t="s">
        <v>8176</v>
      </c>
      <c r="K2204" s="35" t="s">
        <v>8177</v>
      </c>
      <c r="L2204" s="30">
        <v>386450746</v>
      </c>
      <c r="M2204" s="26" t="s">
        <v>2755</v>
      </c>
      <c r="N2204" s="26" t="s">
        <v>2756</v>
      </c>
      <c r="O2204" s="26" t="s">
        <v>4503</v>
      </c>
      <c r="P2204" s="26" t="s">
        <v>7847</v>
      </c>
      <c r="Q2204" s="20">
        <v>9317</v>
      </c>
      <c r="R2204" s="26" t="s">
        <v>36</v>
      </c>
      <c r="S2204" s="31">
        <v>4000</v>
      </c>
      <c r="T2204" s="32">
        <v>45369</v>
      </c>
      <c r="U2204" s="31">
        <v>5317</v>
      </c>
      <c r="V2204" s="32">
        <v>45389</v>
      </c>
      <c r="W2204" s="33" t="s">
        <v>8178</v>
      </c>
      <c r="X2204" s="26"/>
      <c r="Y2204" s="22">
        <v>0</v>
      </c>
      <c r="Z2204" s="26" t="s">
        <v>50</v>
      </c>
      <c r="AA2204" s="19" t="s">
        <v>8102</v>
      </c>
      <c r="AB2204" s="26"/>
      <c r="AC2204" s="26" t="s">
        <v>53</v>
      </c>
      <c r="AD2204" s="19" t="s">
        <v>138</v>
      </c>
      <c r="AE2204" s="26"/>
      <c r="AF2204" s="17">
        <v>45372</v>
      </c>
      <c r="AG2204" s="26"/>
      <c r="AH2204" s="26"/>
      <c r="AI2204" s="40"/>
      <c r="AJ2204" s="26"/>
      <c r="AK2204" s="26"/>
      <c r="AL2204" s="35"/>
      <c r="AM2204" s="35"/>
      <c r="AN2204" s="35"/>
      <c r="AO2204" s="35"/>
      <c r="AP2204" s="35"/>
    </row>
    <row r="2205" spans="1:42" x14ac:dyDescent="0.2">
      <c r="A2205" s="126">
        <v>45371.437147731485</v>
      </c>
      <c r="B2205" s="28" t="s">
        <v>37</v>
      </c>
      <c r="C2205" s="41" t="s">
        <v>118</v>
      </c>
      <c r="D2205" s="26" t="s">
        <v>36</v>
      </c>
      <c r="E2205" s="26" t="s">
        <v>56</v>
      </c>
      <c r="F2205" s="26" t="s">
        <v>36</v>
      </c>
      <c r="G2205" s="35" t="s">
        <v>41</v>
      </c>
      <c r="H2205" s="26" t="s">
        <v>7103</v>
      </c>
      <c r="I2205" s="17">
        <f ca="1">IFERROR(__xludf.DUMMYFUNCTION("""COMPUTED_VALUE"""),45372)</f>
        <v>45372</v>
      </c>
      <c r="J2205" s="29" t="s">
        <v>8179</v>
      </c>
      <c r="K2205" s="26" t="s">
        <v>8180</v>
      </c>
      <c r="L2205" s="30">
        <v>987979075</v>
      </c>
      <c r="M2205" s="26" t="s">
        <v>2755</v>
      </c>
      <c r="N2205" s="26" t="s">
        <v>2756</v>
      </c>
      <c r="O2205" s="26" t="s">
        <v>4503</v>
      </c>
      <c r="P2205" s="26" t="s">
        <v>7847</v>
      </c>
      <c r="Q2205" s="20">
        <v>9317</v>
      </c>
      <c r="R2205" s="26" t="s">
        <v>1106</v>
      </c>
      <c r="S2205" s="31">
        <v>4000</v>
      </c>
      <c r="T2205" s="26" t="s">
        <v>8181</v>
      </c>
      <c r="U2205" s="31">
        <v>5167</v>
      </c>
      <c r="V2205" s="32">
        <v>45388</v>
      </c>
      <c r="W2205" s="26" t="s">
        <v>8182</v>
      </c>
      <c r="X2205" s="26"/>
      <c r="Y2205" s="22">
        <v>150</v>
      </c>
      <c r="Z2205" s="26" t="s">
        <v>50</v>
      </c>
      <c r="AA2205" s="19" t="s">
        <v>8102</v>
      </c>
      <c r="AB2205" s="26"/>
      <c r="AC2205" s="26" t="s">
        <v>53</v>
      </c>
      <c r="AD2205" s="19" t="s">
        <v>138</v>
      </c>
      <c r="AE2205" s="26"/>
      <c r="AF2205" s="17">
        <v>45372</v>
      </c>
      <c r="AG2205" s="26"/>
      <c r="AH2205" s="26"/>
      <c r="AI2205" s="40"/>
      <c r="AJ2205" s="26"/>
      <c r="AK2205" s="26"/>
      <c r="AL2205" s="35"/>
      <c r="AM2205" s="35"/>
      <c r="AN2205" s="35"/>
      <c r="AO2205" s="35"/>
      <c r="AP2205" s="35"/>
    </row>
    <row r="2206" spans="1:42" x14ac:dyDescent="0.2">
      <c r="A2206" s="126">
        <v>45371.440569155093</v>
      </c>
      <c r="B2206" s="28" t="s">
        <v>37</v>
      </c>
      <c r="C2206" s="41" t="s">
        <v>118</v>
      </c>
      <c r="D2206" s="26" t="s">
        <v>36</v>
      </c>
      <c r="E2206" s="26" t="s">
        <v>56</v>
      </c>
      <c r="F2206" s="26" t="s">
        <v>36</v>
      </c>
      <c r="G2206" s="35" t="s">
        <v>41</v>
      </c>
      <c r="H2206" s="26" t="s">
        <v>7103</v>
      </c>
      <c r="I2206" s="17">
        <f ca="1">IFERROR(__xludf.DUMMYFUNCTION("""COMPUTED_VALUE"""),45372)</f>
        <v>45372</v>
      </c>
      <c r="J2206" s="29" t="s">
        <v>8183</v>
      </c>
      <c r="K2206" s="26" t="s">
        <v>8184</v>
      </c>
      <c r="L2206" s="30">
        <v>559921505</v>
      </c>
      <c r="M2206" s="26" t="s">
        <v>2755</v>
      </c>
      <c r="N2206" s="26" t="s">
        <v>2756</v>
      </c>
      <c r="O2206" s="26" t="s">
        <v>4503</v>
      </c>
      <c r="P2206" s="26" t="s">
        <v>7847</v>
      </c>
      <c r="Q2206" s="20">
        <v>9317</v>
      </c>
      <c r="R2206" s="26" t="s">
        <v>1106</v>
      </c>
      <c r="S2206" s="31">
        <v>4500</v>
      </c>
      <c r="T2206" s="32">
        <v>45371</v>
      </c>
      <c r="U2206" s="31">
        <v>4667</v>
      </c>
      <c r="V2206" s="32">
        <v>45389</v>
      </c>
      <c r="W2206" s="26" t="s">
        <v>8185</v>
      </c>
      <c r="X2206" s="26"/>
      <c r="Y2206" s="22">
        <v>150</v>
      </c>
      <c r="Z2206" s="26" t="s">
        <v>50</v>
      </c>
      <c r="AA2206" s="19" t="s">
        <v>8102</v>
      </c>
      <c r="AB2206" s="26"/>
      <c r="AC2206" s="26" t="s">
        <v>53</v>
      </c>
      <c r="AD2206" s="19" t="s">
        <v>138</v>
      </c>
      <c r="AE2206" s="26"/>
      <c r="AF2206" s="17">
        <v>45372</v>
      </c>
      <c r="AG2206" s="26"/>
      <c r="AH2206" s="26"/>
      <c r="AI2206" s="40"/>
      <c r="AJ2206" s="26"/>
      <c r="AK2206" s="26"/>
      <c r="AL2206" s="35"/>
      <c r="AM2206" s="35"/>
      <c r="AN2206" s="35"/>
      <c r="AO2206" s="35"/>
      <c r="AP2206" s="35"/>
    </row>
    <row r="2207" spans="1:42" x14ac:dyDescent="0.2">
      <c r="A2207" s="126">
        <v>45372.527042928239</v>
      </c>
      <c r="B2207" s="28" t="s">
        <v>37</v>
      </c>
      <c r="C2207" s="41" t="s">
        <v>118</v>
      </c>
      <c r="D2207" s="26" t="s">
        <v>36</v>
      </c>
      <c r="E2207" s="26" t="s">
        <v>139</v>
      </c>
      <c r="F2207" s="26" t="s">
        <v>36</v>
      </c>
      <c r="G2207" s="35" t="s">
        <v>41</v>
      </c>
      <c r="H2207" s="26" t="s">
        <v>7103</v>
      </c>
      <c r="I2207" s="17">
        <f ca="1">IFERROR(__xludf.DUMMYFUNCTION("""COMPUTED_VALUE"""),45372)</f>
        <v>45372</v>
      </c>
      <c r="J2207" s="29" t="s">
        <v>8186</v>
      </c>
      <c r="K2207" s="26" t="s">
        <v>8187</v>
      </c>
      <c r="L2207" s="30">
        <v>398016210</v>
      </c>
      <c r="M2207" s="26" t="s">
        <v>3728</v>
      </c>
      <c r="N2207" s="26" t="s">
        <v>5377</v>
      </c>
      <c r="O2207" s="26" t="s">
        <v>134</v>
      </c>
      <c r="P2207" s="26" t="s">
        <v>8188</v>
      </c>
      <c r="Q2207" s="20">
        <v>15936</v>
      </c>
      <c r="R2207" s="26" t="s">
        <v>36</v>
      </c>
      <c r="S2207" s="31">
        <v>2000</v>
      </c>
      <c r="T2207" s="32">
        <v>45372</v>
      </c>
      <c r="U2207" s="31">
        <v>13936</v>
      </c>
      <c r="V2207" s="32">
        <v>45412</v>
      </c>
      <c r="W2207" s="33" t="s">
        <v>8189</v>
      </c>
      <c r="X2207" s="26"/>
      <c r="Y2207" s="22">
        <v>0</v>
      </c>
      <c r="Z2207" s="26" t="s">
        <v>50</v>
      </c>
      <c r="AA2207" s="19" t="s">
        <v>8102</v>
      </c>
      <c r="AB2207" s="26"/>
      <c r="AC2207" s="26" t="s">
        <v>53</v>
      </c>
      <c r="AD2207" s="19" t="s">
        <v>138</v>
      </c>
      <c r="AE2207" s="26"/>
      <c r="AF2207" s="17">
        <v>45372</v>
      </c>
      <c r="AG2207" s="26"/>
      <c r="AH2207" s="26"/>
      <c r="AI2207" s="40"/>
      <c r="AJ2207" s="26"/>
      <c r="AK2207" s="26"/>
      <c r="AL2207" s="35"/>
      <c r="AM2207" s="35"/>
      <c r="AN2207" s="35"/>
      <c r="AO2207" s="35"/>
      <c r="AP2207" s="35"/>
    </row>
    <row r="2208" spans="1:42" x14ac:dyDescent="0.2">
      <c r="A2208" s="126">
        <v>45379.315562800926</v>
      </c>
      <c r="B2208" s="28" t="s">
        <v>37</v>
      </c>
      <c r="C2208" s="41" t="s">
        <v>118</v>
      </c>
      <c r="D2208" s="26" t="s">
        <v>36</v>
      </c>
      <c r="E2208" s="26" t="s">
        <v>119</v>
      </c>
      <c r="F2208" s="26" t="s">
        <v>36</v>
      </c>
      <c r="G2208" s="26" t="s">
        <v>108</v>
      </c>
      <c r="H2208" s="26" t="s">
        <v>4931</v>
      </c>
      <c r="I2208" s="17">
        <f ca="1">IFERROR(__xludf.DUMMYFUNCTION("""COMPUTED_VALUE"""),45375)</f>
        <v>45375</v>
      </c>
      <c r="J2208" s="29" t="s">
        <v>8190</v>
      </c>
      <c r="K2208" s="26" t="s">
        <v>8191</v>
      </c>
      <c r="L2208" s="30">
        <v>904266048</v>
      </c>
      <c r="M2208" s="26" t="s">
        <v>80</v>
      </c>
      <c r="N2208" s="26" t="s">
        <v>1073</v>
      </c>
      <c r="O2208" s="26" t="s">
        <v>1492</v>
      </c>
      <c r="P2208" s="26" t="s">
        <v>3178</v>
      </c>
      <c r="Q2208" s="20">
        <v>13968</v>
      </c>
      <c r="R2208" s="26" t="s">
        <v>36</v>
      </c>
      <c r="S2208" s="31">
        <v>4000</v>
      </c>
      <c r="T2208" s="32">
        <v>45378</v>
      </c>
      <c r="U2208" s="31">
        <v>9968</v>
      </c>
      <c r="V2208" s="32">
        <v>45022</v>
      </c>
      <c r="W2208" s="33" t="s">
        <v>8192</v>
      </c>
      <c r="X2208" s="26"/>
      <c r="Y2208" s="22">
        <v>0</v>
      </c>
      <c r="Z2208" s="26" t="s">
        <v>50</v>
      </c>
      <c r="AA2208" s="19" t="s">
        <v>8102</v>
      </c>
      <c r="AB2208" s="26"/>
      <c r="AC2208" s="26" t="s">
        <v>53</v>
      </c>
      <c r="AD2208" s="19" t="s">
        <v>138</v>
      </c>
      <c r="AE2208" s="26">
        <v>600</v>
      </c>
      <c r="AF2208" s="17">
        <v>45383</v>
      </c>
      <c r="AG2208" s="26" t="s">
        <v>1362</v>
      </c>
      <c r="AH2208" s="26" t="s">
        <v>8193</v>
      </c>
      <c r="AI2208" s="40"/>
      <c r="AJ2208" s="26"/>
      <c r="AK2208" s="26"/>
      <c r="AL2208" s="35"/>
      <c r="AM2208" s="35"/>
      <c r="AN2208" s="35"/>
      <c r="AO2208" s="35"/>
      <c r="AP2208" s="35"/>
    </row>
    <row r="2209" spans="1:42" x14ac:dyDescent="0.2">
      <c r="A2209" s="126">
        <v>45380.584183206018</v>
      </c>
      <c r="B2209" s="28" t="s">
        <v>37</v>
      </c>
      <c r="C2209" s="41" t="s">
        <v>118</v>
      </c>
      <c r="D2209" s="26" t="s">
        <v>36</v>
      </c>
      <c r="E2209" s="26" t="s">
        <v>148</v>
      </c>
      <c r="F2209" s="26" t="s">
        <v>36</v>
      </c>
      <c r="G2209" s="26" t="s">
        <v>108</v>
      </c>
      <c r="H2209" s="26" t="s">
        <v>2057</v>
      </c>
      <c r="I2209" s="17">
        <f ca="1">IFERROR(__xludf.DUMMYFUNCTION("""COMPUTED_VALUE"""),45391)</f>
        <v>45391</v>
      </c>
      <c r="J2209" s="29" t="s">
        <v>8194</v>
      </c>
      <c r="K2209" s="26" t="s">
        <v>8195</v>
      </c>
      <c r="L2209" s="30">
        <v>838938526</v>
      </c>
      <c r="M2209" s="26" t="s">
        <v>348</v>
      </c>
      <c r="N2209" s="26" t="s">
        <v>200</v>
      </c>
      <c r="O2209" s="26" t="s">
        <v>8196</v>
      </c>
      <c r="P2209" s="26" t="s">
        <v>8197</v>
      </c>
      <c r="Q2209" s="20">
        <v>7349</v>
      </c>
      <c r="R2209" s="26" t="s">
        <v>36</v>
      </c>
      <c r="S2209" s="31">
        <v>4000</v>
      </c>
      <c r="T2209" s="32">
        <v>45379</v>
      </c>
      <c r="U2209" s="31">
        <v>3349</v>
      </c>
      <c r="V2209" s="32">
        <v>45391</v>
      </c>
      <c r="W2209" s="33" t="s">
        <v>8198</v>
      </c>
      <c r="X2209" s="26"/>
      <c r="Y2209" s="22">
        <v>0</v>
      </c>
      <c r="Z2209" s="26" t="s">
        <v>50</v>
      </c>
      <c r="AA2209" s="19" t="s">
        <v>8102</v>
      </c>
      <c r="AB2209" s="26"/>
      <c r="AC2209" s="26" t="s">
        <v>53</v>
      </c>
      <c r="AD2209" s="19" t="s">
        <v>54</v>
      </c>
      <c r="AE2209" s="26">
        <v>480</v>
      </c>
      <c r="AF2209" s="17">
        <v>45386</v>
      </c>
      <c r="AG2209" s="26"/>
      <c r="AH2209" s="26"/>
      <c r="AI2209" s="40"/>
      <c r="AJ2209" s="26"/>
      <c r="AK2209" s="26"/>
      <c r="AL2209" s="35"/>
      <c r="AM2209" s="35"/>
      <c r="AN2209" s="35"/>
      <c r="AO2209" s="35"/>
      <c r="AP2209" s="35"/>
    </row>
    <row r="2210" spans="1:42" x14ac:dyDescent="0.2">
      <c r="A2210" s="126">
        <v>45381.957763784725</v>
      </c>
      <c r="B2210" s="28" t="s">
        <v>90</v>
      </c>
      <c r="C2210" s="41" t="s">
        <v>118</v>
      </c>
      <c r="D2210" s="26" t="s">
        <v>36</v>
      </c>
      <c r="E2210" s="26" t="s">
        <v>119</v>
      </c>
      <c r="F2210" s="26" t="s">
        <v>36</v>
      </c>
      <c r="G2210" s="26" t="s">
        <v>108</v>
      </c>
      <c r="H2210" s="26" t="s">
        <v>4931</v>
      </c>
      <c r="I2210" s="17">
        <f ca="1">IFERROR(__xludf.DUMMYFUNCTION("""COMPUTED_VALUE"""),45375)</f>
        <v>45375</v>
      </c>
      <c r="J2210" s="29" t="s">
        <v>8199</v>
      </c>
      <c r="K2210" s="26" t="s">
        <v>1645</v>
      </c>
      <c r="L2210" s="30">
        <v>563352876</v>
      </c>
      <c r="M2210" s="26" t="s">
        <v>5429</v>
      </c>
      <c r="N2210" s="26" t="s">
        <v>81</v>
      </c>
      <c r="O2210" s="26" t="s">
        <v>8200</v>
      </c>
      <c r="P2210" s="26" t="s">
        <v>8201</v>
      </c>
      <c r="Q2210" s="20">
        <v>13968</v>
      </c>
      <c r="R2210" s="26" t="s">
        <v>36</v>
      </c>
      <c r="S2210" s="31">
        <v>4000</v>
      </c>
      <c r="T2210" s="32">
        <v>45381</v>
      </c>
      <c r="U2210" s="31">
        <v>10000</v>
      </c>
      <c r="V2210" s="32">
        <v>45393</v>
      </c>
      <c r="W2210" s="33" t="s">
        <v>8202</v>
      </c>
      <c r="X2210" s="26"/>
      <c r="Y2210" s="22">
        <v>-32</v>
      </c>
      <c r="Z2210" s="26" t="s">
        <v>50</v>
      </c>
      <c r="AA2210" s="19" t="s">
        <v>8102</v>
      </c>
      <c r="AB2210" s="26"/>
      <c r="AC2210" s="26" t="s">
        <v>53</v>
      </c>
      <c r="AD2210" s="19" t="s">
        <v>138</v>
      </c>
      <c r="AE2210" s="26">
        <v>460</v>
      </c>
      <c r="AF2210" s="17">
        <v>45383</v>
      </c>
      <c r="AG2210" s="26" t="s">
        <v>1362</v>
      </c>
      <c r="AH2210" s="26" t="s">
        <v>8193</v>
      </c>
      <c r="AI2210" s="40"/>
      <c r="AJ2210" s="26"/>
      <c r="AK2210" s="26"/>
      <c r="AL2210" s="35"/>
      <c r="AM2210" s="35"/>
      <c r="AN2210" s="35"/>
      <c r="AO2210" s="35"/>
      <c r="AP2210" s="35"/>
    </row>
    <row r="2211" spans="1:42" x14ac:dyDescent="0.2">
      <c r="A2211" s="126">
        <v>45383.42769945602</v>
      </c>
      <c r="B2211" s="28" t="s">
        <v>37</v>
      </c>
      <c r="C2211" s="41" t="s">
        <v>118</v>
      </c>
      <c r="D2211" s="26" t="s">
        <v>36</v>
      </c>
      <c r="E2211" s="26" t="s">
        <v>39</v>
      </c>
      <c r="F2211" s="26" t="s">
        <v>36</v>
      </c>
      <c r="G2211" s="26" t="s">
        <v>41</v>
      </c>
      <c r="H2211" s="26" t="s">
        <v>7112</v>
      </c>
      <c r="I2211" s="17">
        <f ca="1">IFERROR(__xludf.DUMMYFUNCTION("""COMPUTED_VALUE"""),45383)</f>
        <v>45383</v>
      </c>
      <c r="J2211" s="29" t="s">
        <v>8203</v>
      </c>
      <c r="K2211" s="26" t="s">
        <v>8204</v>
      </c>
      <c r="L2211" s="30">
        <v>963854382</v>
      </c>
      <c r="M2211" s="26" t="s">
        <v>123</v>
      </c>
      <c r="N2211" s="26" t="s">
        <v>8205</v>
      </c>
      <c r="O2211" s="26" t="s">
        <v>4503</v>
      </c>
      <c r="P2211" s="26" t="s">
        <v>8206</v>
      </c>
      <c r="Q2211" s="20">
        <v>5736</v>
      </c>
      <c r="R2211" s="26" t="s">
        <v>36</v>
      </c>
      <c r="S2211" s="31">
        <v>5736</v>
      </c>
      <c r="T2211" s="32">
        <v>45383</v>
      </c>
      <c r="U2211" s="31"/>
      <c r="V2211" s="32"/>
      <c r="W2211" s="33" t="s">
        <v>8207</v>
      </c>
      <c r="X2211" s="26"/>
      <c r="Y2211" s="22">
        <v>0</v>
      </c>
      <c r="Z2211" s="26" t="s">
        <v>50</v>
      </c>
      <c r="AA2211" s="19" t="s">
        <v>8102</v>
      </c>
      <c r="AB2211" s="26" t="s">
        <v>4503</v>
      </c>
      <c r="AC2211" s="26" t="s">
        <v>53</v>
      </c>
      <c r="AD2211" s="19" t="s">
        <v>54</v>
      </c>
      <c r="AE2211" s="26"/>
      <c r="AF2211" s="17">
        <v>45383</v>
      </c>
      <c r="AG2211" s="26"/>
      <c r="AH2211" s="26"/>
      <c r="AI2211" s="40"/>
      <c r="AJ2211" s="26"/>
      <c r="AK2211" s="26"/>
      <c r="AL2211" s="35"/>
      <c r="AM2211" s="35"/>
      <c r="AN2211" s="35"/>
      <c r="AO2211" s="35"/>
      <c r="AP2211" s="35"/>
    </row>
    <row r="2212" spans="1:42" x14ac:dyDescent="0.2">
      <c r="A2212" s="126">
        <v>45383.605291736108</v>
      </c>
      <c r="B2212" s="28" t="s">
        <v>37</v>
      </c>
      <c r="C2212" s="41" t="s">
        <v>118</v>
      </c>
      <c r="D2212" s="26" t="s">
        <v>36</v>
      </c>
      <c r="E2212" s="26" t="s">
        <v>106</v>
      </c>
      <c r="F2212" s="26" t="s">
        <v>40</v>
      </c>
      <c r="G2212" s="26" t="s">
        <v>108</v>
      </c>
      <c r="H2212" s="26" t="s">
        <v>2057</v>
      </c>
      <c r="I2212" s="17">
        <f ca="1">IFERROR(__xludf.DUMMYFUNCTION("""COMPUTED_VALUE"""),45391)</f>
        <v>45391</v>
      </c>
      <c r="J2212" s="29" t="s">
        <v>8208</v>
      </c>
      <c r="K2212" s="26" t="s">
        <v>8209</v>
      </c>
      <c r="L2212" s="30">
        <v>823545567</v>
      </c>
      <c r="M2212" s="26" t="s">
        <v>45</v>
      </c>
      <c r="N2212" s="26" t="s">
        <v>3839</v>
      </c>
      <c r="O2212" s="26" t="s">
        <v>8210</v>
      </c>
      <c r="P2212" s="26" t="s">
        <v>8211</v>
      </c>
      <c r="Q2212" s="20">
        <v>3768</v>
      </c>
      <c r="R2212" s="26" t="s">
        <v>36</v>
      </c>
      <c r="S2212" s="31">
        <v>3768</v>
      </c>
      <c r="T2212" s="32">
        <v>41730</v>
      </c>
      <c r="U2212" s="31"/>
      <c r="V2212" s="32"/>
      <c r="W2212" s="33" t="s">
        <v>8212</v>
      </c>
      <c r="X2212" s="26"/>
      <c r="Y2212" s="22">
        <v>0</v>
      </c>
      <c r="Z2212" s="26" t="s">
        <v>50</v>
      </c>
      <c r="AA2212" s="19" t="s">
        <v>8102</v>
      </c>
      <c r="AB2212" s="26"/>
      <c r="AC2212" s="26" t="s">
        <v>53</v>
      </c>
      <c r="AD2212" s="19" t="s">
        <v>54</v>
      </c>
      <c r="AE2212" s="26">
        <v>430</v>
      </c>
      <c r="AF2212" s="17">
        <v>45383</v>
      </c>
      <c r="AG2212" s="26" t="s">
        <v>8213</v>
      </c>
      <c r="AH2212" s="26"/>
      <c r="AI2212" s="40"/>
      <c r="AJ2212" s="26"/>
      <c r="AK2212" s="26"/>
      <c r="AL2212" s="35"/>
      <c r="AM2212" s="35"/>
      <c r="AN2212" s="35"/>
      <c r="AO2212" s="35"/>
      <c r="AP2212" s="35"/>
    </row>
    <row r="2213" spans="1:42" x14ac:dyDescent="0.2">
      <c r="A2213" s="126">
        <v>45384.46733201389</v>
      </c>
      <c r="B2213" s="28" t="s">
        <v>37</v>
      </c>
      <c r="C2213" s="41" t="s">
        <v>118</v>
      </c>
      <c r="D2213" s="26" t="s">
        <v>36</v>
      </c>
      <c r="E2213" s="26" t="s">
        <v>915</v>
      </c>
      <c r="F2213" s="26" t="s">
        <v>36</v>
      </c>
      <c r="G2213" s="26" t="s">
        <v>221</v>
      </c>
      <c r="H2213" s="26" t="s">
        <v>6959</v>
      </c>
      <c r="I2213" s="17">
        <f ca="1">IFERROR(__xludf.DUMMYFUNCTION("""COMPUTED_VALUE"""),45415)</f>
        <v>45415</v>
      </c>
      <c r="J2213" s="29" t="s">
        <v>8214</v>
      </c>
      <c r="K2213" s="26" t="s">
        <v>8215</v>
      </c>
      <c r="L2213" s="30">
        <v>975097861</v>
      </c>
      <c r="M2213" s="26" t="s">
        <v>6309</v>
      </c>
      <c r="N2213" s="26" t="s">
        <v>1400</v>
      </c>
      <c r="O2213" s="26" t="s">
        <v>91</v>
      </c>
      <c r="P2213" s="26" t="s">
        <v>3117</v>
      </c>
      <c r="Q2213" s="20">
        <v>10894</v>
      </c>
      <c r="R2213" s="26" t="s">
        <v>36</v>
      </c>
      <c r="S2213" s="31">
        <v>10894</v>
      </c>
      <c r="T2213" s="32">
        <v>45384</v>
      </c>
      <c r="U2213" s="31"/>
      <c r="V2213" s="32"/>
      <c r="W2213" s="33" t="s">
        <v>8216</v>
      </c>
      <c r="X2213" s="26"/>
      <c r="Y2213" s="22">
        <v>0</v>
      </c>
      <c r="Z2213" s="26" t="s">
        <v>50</v>
      </c>
      <c r="AA2213" s="19" t="s">
        <v>8102</v>
      </c>
      <c r="AB2213" s="26"/>
      <c r="AC2213" s="26" t="s">
        <v>53</v>
      </c>
      <c r="AD2213" s="19" t="s">
        <v>138</v>
      </c>
      <c r="AE2213" s="26">
        <v>575</v>
      </c>
      <c r="AF2213" s="17">
        <v>45415</v>
      </c>
      <c r="AG2213" s="26" t="s">
        <v>8217</v>
      </c>
      <c r="AH2213" s="26"/>
      <c r="AI2213" s="40"/>
      <c r="AJ2213" s="26"/>
      <c r="AK2213" s="26"/>
      <c r="AL2213" s="35"/>
      <c r="AM2213" s="35"/>
      <c r="AN2213" s="35"/>
      <c r="AO2213" s="35"/>
      <c r="AP2213" s="35"/>
    </row>
    <row r="2214" spans="1:42" x14ac:dyDescent="0.2">
      <c r="A2214" s="126">
        <v>45386.402988078698</v>
      </c>
      <c r="B2214" s="28" t="s">
        <v>37</v>
      </c>
      <c r="C2214" s="41" t="s">
        <v>118</v>
      </c>
      <c r="D2214" s="26" t="s">
        <v>36</v>
      </c>
      <c r="E2214" s="26" t="s">
        <v>139</v>
      </c>
      <c r="F2214" s="26" t="s">
        <v>36</v>
      </c>
      <c r="G2214" s="26" t="s">
        <v>6516</v>
      </c>
      <c r="H2214" s="26" t="s">
        <v>7027</v>
      </c>
      <c r="I2214" s="17">
        <f ca="1">IFERROR(__xludf.DUMMYFUNCTION("""COMPUTED_VALUE"""),45389)</f>
        <v>45389</v>
      </c>
      <c r="J2214" s="29" t="s">
        <v>8218</v>
      </c>
      <c r="K2214" s="26" t="s">
        <v>8219</v>
      </c>
      <c r="L2214" s="30">
        <v>339744728</v>
      </c>
      <c r="M2214" s="80" t="s">
        <v>3498</v>
      </c>
      <c r="N2214" s="26" t="s">
        <v>2756</v>
      </c>
      <c r="O2214" s="26" t="s">
        <v>4503</v>
      </c>
      <c r="P2214" s="26" t="s">
        <v>3694</v>
      </c>
      <c r="Q2214" s="20">
        <v>15936</v>
      </c>
      <c r="R2214" s="26" t="s">
        <v>36</v>
      </c>
      <c r="S2214" s="31">
        <v>4000</v>
      </c>
      <c r="T2214" s="32">
        <v>45381</v>
      </c>
      <c r="U2214" s="31">
        <v>11936</v>
      </c>
      <c r="V2214" s="32">
        <v>45405</v>
      </c>
      <c r="W2214" s="33" t="s">
        <v>8220</v>
      </c>
      <c r="X2214" s="26"/>
      <c r="Y2214" s="22">
        <v>0</v>
      </c>
      <c r="Z2214" s="26" t="s">
        <v>50</v>
      </c>
      <c r="AA2214" s="19" t="s">
        <v>8102</v>
      </c>
      <c r="AB2214" s="26"/>
      <c r="AC2214" s="26" t="s">
        <v>53</v>
      </c>
      <c r="AD2214" s="19" t="s">
        <v>138</v>
      </c>
      <c r="AE2214" s="26"/>
      <c r="AF2214" s="17">
        <v>45389</v>
      </c>
      <c r="AG2214" s="26" t="s">
        <v>4092</v>
      </c>
      <c r="AH2214" s="26"/>
      <c r="AI2214" s="40"/>
      <c r="AJ2214" s="26"/>
      <c r="AK2214" s="26"/>
      <c r="AL2214" s="35"/>
      <c r="AM2214" s="35"/>
      <c r="AN2214" s="35"/>
      <c r="AO2214" s="35"/>
      <c r="AP2214" s="35"/>
    </row>
    <row r="2215" spans="1:42" x14ac:dyDescent="0.2">
      <c r="A2215" s="126">
        <v>45386.615580138889</v>
      </c>
      <c r="B2215" s="28" t="s">
        <v>37</v>
      </c>
      <c r="C2215" s="41" t="s">
        <v>118</v>
      </c>
      <c r="D2215" s="26" t="s">
        <v>36</v>
      </c>
      <c r="E2215" s="26" t="s">
        <v>39</v>
      </c>
      <c r="F2215" s="26" t="s">
        <v>36</v>
      </c>
      <c r="G2215" s="26" t="s">
        <v>6516</v>
      </c>
      <c r="H2215" s="26" t="s">
        <v>7027</v>
      </c>
      <c r="I2215" s="17">
        <f ca="1">IFERROR(__xludf.DUMMYFUNCTION("""COMPUTED_VALUE"""),45389)</f>
        <v>45389</v>
      </c>
      <c r="J2215" s="29" t="s">
        <v>8221</v>
      </c>
      <c r="K2215" s="26" t="s">
        <v>8222</v>
      </c>
      <c r="L2215" s="30">
        <v>979879281</v>
      </c>
      <c r="M2215" s="26" t="s">
        <v>6309</v>
      </c>
      <c r="N2215" s="26" t="s">
        <v>1400</v>
      </c>
      <c r="O2215" s="26" t="s">
        <v>91</v>
      </c>
      <c r="P2215" s="26" t="s">
        <v>3117</v>
      </c>
      <c r="Q2215" s="20">
        <v>5736</v>
      </c>
      <c r="R2215" s="26" t="s">
        <v>36</v>
      </c>
      <c r="S2215" s="31">
        <v>5736</v>
      </c>
      <c r="T2215" s="32">
        <v>45386</v>
      </c>
      <c r="U2215" s="31"/>
      <c r="V2215" s="32"/>
      <c r="W2215" s="33" t="s">
        <v>8223</v>
      </c>
      <c r="X2215" s="26"/>
      <c r="Y2215" s="22">
        <v>0</v>
      </c>
      <c r="Z2215" s="26" t="s">
        <v>50</v>
      </c>
      <c r="AA2215" s="19" t="s">
        <v>8102</v>
      </c>
      <c r="AB2215" s="26"/>
      <c r="AC2215" s="26" t="s">
        <v>53</v>
      </c>
      <c r="AD2215" s="19" t="s">
        <v>138</v>
      </c>
      <c r="AE2215" s="26" t="s">
        <v>72</v>
      </c>
      <c r="AF2215" s="17">
        <v>45389</v>
      </c>
      <c r="AG2215" s="26" t="s">
        <v>4092</v>
      </c>
      <c r="AH2215" s="26"/>
      <c r="AI2215" s="40"/>
      <c r="AJ2215" s="26"/>
      <c r="AK2215" s="26"/>
      <c r="AL2215" s="35"/>
      <c r="AM2215" s="35"/>
      <c r="AN2215" s="35"/>
      <c r="AO2215" s="35"/>
      <c r="AP2215" s="35"/>
    </row>
    <row r="2216" spans="1:42" x14ac:dyDescent="0.2">
      <c r="A2216" s="126">
        <v>45386.696893055559</v>
      </c>
      <c r="B2216" s="28" t="s">
        <v>37</v>
      </c>
      <c r="C2216" s="41" t="s">
        <v>118</v>
      </c>
      <c r="D2216" s="26" t="s">
        <v>36</v>
      </c>
      <c r="E2216" s="26" t="s">
        <v>77</v>
      </c>
      <c r="F2216" s="26" t="s">
        <v>36</v>
      </c>
      <c r="G2216" s="26" t="s">
        <v>41</v>
      </c>
      <c r="H2216" s="26" t="s">
        <v>7506</v>
      </c>
      <c r="I2216" s="17">
        <f ca="1">IFERROR(__xludf.DUMMYFUNCTION("""COMPUTED_VALUE"""),45407)</f>
        <v>45407</v>
      </c>
      <c r="J2216" s="29" t="s">
        <v>8224</v>
      </c>
      <c r="K2216" s="26" t="s">
        <v>8225</v>
      </c>
      <c r="L2216" s="30">
        <v>375158875</v>
      </c>
      <c r="M2216" s="26" t="s">
        <v>5558</v>
      </c>
      <c r="N2216" s="26" t="s">
        <v>5559</v>
      </c>
      <c r="O2216" s="26" t="s">
        <v>4503</v>
      </c>
      <c r="P2216" s="26" t="s">
        <v>8226</v>
      </c>
      <c r="Q2216" s="20">
        <v>1968</v>
      </c>
      <c r="R2216" s="26" t="s">
        <v>36</v>
      </c>
      <c r="S2216" s="31">
        <v>1968</v>
      </c>
      <c r="T2216" s="32">
        <v>45386</v>
      </c>
      <c r="U2216" s="31"/>
      <c r="V2216" s="32"/>
      <c r="W2216" s="33" t="s">
        <v>8227</v>
      </c>
      <c r="X2216" s="26"/>
      <c r="Y2216" s="22">
        <v>0</v>
      </c>
      <c r="Z2216" s="26" t="s">
        <v>50</v>
      </c>
      <c r="AA2216" s="19" t="s">
        <v>8102</v>
      </c>
      <c r="AB2216" s="26"/>
      <c r="AC2216" s="26" t="s">
        <v>53</v>
      </c>
      <c r="AD2216" s="19" t="s">
        <v>54</v>
      </c>
      <c r="AE2216" s="26"/>
      <c r="AF2216" s="17">
        <v>45390</v>
      </c>
      <c r="AG2216" s="26"/>
      <c r="AH2216" s="26"/>
      <c r="AI2216" s="40"/>
      <c r="AJ2216" s="26"/>
      <c r="AK2216" s="26"/>
      <c r="AL2216" s="35"/>
      <c r="AM2216" s="35"/>
      <c r="AN2216" s="35"/>
      <c r="AO2216" s="35"/>
      <c r="AP2216" s="35"/>
    </row>
    <row r="2217" spans="1:42" x14ac:dyDescent="0.2">
      <c r="A2217" s="126">
        <v>45387.332541793978</v>
      </c>
      <c r="B2217" s="28" t="s">
        <v>37</v>
      </c>
      <c r="C2217" s="41" t="s">
        <v>118</v>
      </c>
      <c r="D2217" s="26" t="s">
        <v>36</v>
      </c>
      <c r="E2217" s="26" t="s">
        <v>106</v>
      </c>
      <c r="F2217" s="26" t="s">
        <v>36</v>
      </c>
      <c r="G2217" s="26" t="s">
        <v>108</v>
      </c>
      <c r="H2217" s="26" t="s">
        <v>2057</v>
      </c>
      <c r="I2217" s="17">
        <f ca="1">IFERROR(__xludf.DUMMYFUNCTION("""COMPUTED_VALUE"""),45391)</f>
        <v>45391</v>
      </c>
      <c r="J2217" s="29" t="s">
        <v>8228</v>
      </c>
      <c r="K2217" s="80" t="s">
        <v>8229</v>
      </c>
      <c r="L2217" s="30">
        <v>333263901</v>
      </c>
      <c r="M2217" s="26" t="s">
        <v>292</v>
      </c>
      <c r="N2217" s="26" t="s">
        <v>438</v>
      </c>
      <c r="O2217" s="26" t="s">
        <v>4503</v>
      </c>
      <c r="P2217" s="26" t="s">
        <v>8230</v>
      </c>
      <c r="Q2217" s="20">
        <v>3768</v>
      </c>
      <c r="R2217" s="26" t="s">
        <v>36</v>
      </c>
      <c r="S2217" s="31">
        <v>3768</v>
      </c>
      <c r="T2217" s="32">
        <v>45387</v>
      </c>
      <c r="U2217" s="31"/>
      <c r="V2217" s="32"/>
      <c r="W2217" s="33" t="s">
        <v>8231</v>
      </c>
      <c r="X2217" s="26"/>
      <c r="Y2217" s="22">
        <v>0</v>
      </c>
      <c r="Z2217" s="26" t="s">
        <v>50</v>
      </c>
      <c r="AA2217" s="19" t="s">
        <v>8102</v>
      </c>
      <c r="AB2217" s="26" t="s">
        <v>4503</v>
      </c>
      <c r="AC2217" s="26" t="s">
        <v>53</v>
      </c>
      <c r="AD2217" s="19" t="s">
        <v>54</v>
      </c>
      <c r="AE2217" s="26">
        <v>450</v>
      </c>
      <c r="AF2217" s="17">
        <v>45387</v>
      </c>
      <c r="AG2217" s="26"/>
      <c r="AH2217" s="26"/>
      <c r="AI2217" s="40"/>
      <c r="AJ2217" s="26"/>
      <c r="AK2217" s="26"/>
      <c r="AL2217" s="35"/>
      <c r="AM2217" s="35"/>
      <c r="AN2217" s="35"/>
      <c r="AO2217" s="35"/>
      <c r="AP2217" s="35"/>
    </row>
    <row r="2218" spans="1:42" x14ac:dyDescent="0.2">
      <c r="A2218" s="126">
        <v>45387.588911840277</v>
      </c>
      <c r="B2218" s="28" t="s">
        <v>37</v>
      </c>
      <c r="C2218" s="41" t="s">
        <v>118</v>
      </c>
      <c r="D2218" s="26" t="s">
        <v>36</v>
      </c>
      <c r="E2218" s="26" t="s">
        <v>119</v>
      </c>
      <c r="F2218" s="26" t="s">
        <v>40</v>
      </c>
      <c r="G2218" s="26" t="s">
        <v>108</v>
      </c>
      <c r="H2218" s="26" t="s">
        <v>2163</v>
      </c>
      <c r="I2218" s="17">
        <f ca="1">IFERROR(__xludf.DUMMYFUNCTION("""COMPUTED_VALUE"""),45440)</f>
        <v>45440</v>
      </c>
      <c r="J2218" s="29" t="s">
        <v>8232</v>
      </c>
      <c r="K2218" s="26" t="s">
        <v>8233</v>
      </c>
      <c r="L2218" s="30">
        <v>931386930</v>
      </c>
      <c r="M2218" s="26" t="s">
        <v>45</v>
      </c>
      <c r="N2218" s="26" t="s">
        <v>3839</v>
      </c>
      <c r="O2218" s="26" t="s">
        <v>8234</v>
      </c>
      <c r="P2218" s="26" t="s">
        <v>8235</v>
      </c>
      <c r="Q2218" s="20">
        <v>13968</v>
      </c>
      <c r="R2218" s="26" t="s">
        <v>36</v>
      </c>
      <c r="S2218" s="31">
        <v>500</v>
      </c>
      <c r="T2218" s="32">
        <v>45387</v>
      </c>
      <c r="U2218" s="31">
        <v>13468</v>
      </c>
      <c r="V2218" s="32">
        <v>45391</v>
      </c>
      <c r="W2218" s="33" t="s">
        <v>8236</v>
      </c>
      <c r="X2218" s="26"/>
      <c r="Y2218" s="22">
        <v>0</v>
      </c>
      <c r="Z2218" s="26" t="s">
        <v>50</v>
      </c>
      <c r="AA2218" s="19" t="s">
        <v>8102</v>
      </c>
      <c r="AB2218" s="26"/>
      <c r="AC2218" s="26" t="s">
        <v>53</v>
      </c>
      <c r="AD2218" s="19" t="s">
        <v>54</v>
      </c>
      <c r="AE2218" s="26">
        <v>360</v>
      </c>
      <c r="AF2218" s="17">
        <v>45390</v>
      </c>
      <c r="AG2218" s="26" t="s">
        <v>8237</v>
      </c>
      <c r="AH2218" s="26"/>
      <c r="AI2218" s="40"/>
      <c r="AJ2218" s="26"/>
      <c r="AK2218" s="26"/>
      <c r="AL2218" s="35"/>
      <c r="AM2218" s="35"/>
      <c r="AN2218" s="35"/>
      <c r="AO2218" s="35"/>
      <c r="AP2218" s="35"/>
    </row>
    <row r="2219" spans="1:42" x14ac:dyDescent="0.2">
      <c r="A2219" s="126">
        <v>45387.815668773153</v>
      </c>
      <c r="B2219" s="28" t="s">
        <v>37</v>
      </c>
      <c r="C2219" s="41" t="s">
        <v>118</v>
      </c>
      <c r="D2219" s="26" t="s">
        <v>36</v>
      </c>
      <c r="E2219" s="26" t="s">
        <v>106</v>
      </c>
      <c r="F2219" s="26" t="s">
        <v>36</v>
      </c>
      <c r="G2219" s="26" t="s">
        <v>108</v>
      </c>
      <c r="H2219" s="26" t="s">
        <v>8238</v>
      </c>
      <c r="I2219" s="17">
        <f ca="1">IFERROR(__xludf.DUMMYFUNCTION("""COMPUTED_VALUE"""),45477)</f>
        <v>45477</v>
      </c>
      <c r="J2219" s="29" t="s">
        <v>8239</v>
      </c>
      <c r="K2219" s="26" t="s">
        <v>8240</v>
      </c>
      <c r="L2219" s="30">
        <v>359142630</v>
      </c>
      <c r="M2219" s="26" t="s">
        <v>348</v>
      </c>
      <c r="N2219" s="26" t="s">
        <v>200</v>
      </c>
      <c r="O2219" s="26" t="s">
        <v>8241</v>
      </c>
      <c r="P2219" s="42" t="s">
        <v>8242</v>
      </c>
      <c r="Q2219" s="20">
        <v>3768</v>
      </c>
      <c r="R2219" s="26" t="s">
        <v>36</v>
      </c>
      <c r="S2219" s="31">
        <v>3768</v>
      </c>
      <c r="T2219" s="32">
        <v>45387</v>
      </c>
      <c r="U2219" s="31"/>
      <c r="V2219" s="32"/>
      <c r="W2219" s="33" t="s">
        <v>8243</v>
      </c>
      <c r="X2219" s="26"/>
      <c r="Y2219" s="22">
        <v>0</v>
      </c>
      <c r="Z2219" s="26" t="s">
        <v>50</v>
      </c>
      <c r="AA2219" s="19" t="s">
        <v>8102</v>
      </c>
      <c r="AB2219" s="26"/>
      <c r="AC2219" s="26" t="s">
        <v>53</v>
      </c>
      <c r="AD2219" s="19" t="s">
        <v>54</v>
      </c>
      <c r="AE2219" s="26" t="s">
        <v>8244</v>
      </c>
      <c r="AF2219" s="17">
        <v>45470</v>
      </c>
      <c r="AG2219" s="26"/>
      <c r="AH2219" s="26"/>
      <c r="AI2219" s="40"/>
      <c r="AJ2219" s="26"/>
      <c r="AK2219" s="26"/>
      <c r="AL2219" s="35"/>
      <c r="AM2219" s="35"/>
      <c r="AN2219" s="35"/>
      <c r="AO2219" s="35"/>
      <c r="AP2219" s="35"/>
    </row>
    <row r="2220" spans="1:42" x14ac:dyDescent="0.2">
      <c r="A2220" s="126">
        <v>45387.833334710653</v>
      </c>
      <c r="B2220" s="28" t="s">
        <v>37</v>
      </c>
      <c r="C2220" s="41" t="s">
        <v>118</v>
      </c>
      <c r="D2220" s="26" t="s">
        <v>36</v>
      </c>
      <c r="E2220" s="26" t="s">
        <v>77</v>
      </c>
      <c r="F2220" s="26" t="s">
        <v>36</v>
      </c>
      <c r="G2220" s="26" t="s">
        <v>41</v>
      </c>
      <c r="H2220" s="26" t="s">
        <v>7313</v>
      </c>
      <c r="I2220" s="17">
        <f ca="1">IFERROR(__xludf.DUMMYFUNCTION("""COMPUTED_VALUE"""),45394)</f>
        <v>45394</v>
      </c>
      <c r="J2220" s="29" t="s">
        <v>8245</v>
      </c>
      <c r="K2220" s="26" t="s">
        <v>8246</v>
      </c>
      <c r="L2220" s="30">
        <v>343720441</v>
      </c>
      <c r="M2220" s="26" t="s">
        <v>348</v>
      </c>
      <c r="N2220" s="26" t="s">
        <v>200</v>
      </c>
      <c r="O2220" s="26" t="s">
        <v>8247</v>
      </c>
      <c r="P2220" s="26" t="s">
        <v>8248</v>
      </c>
      <c r="Q2220" s="20">
        <v>1968</v>
      </c>
      <c r="R2220" s="26" t="s">
        <v>36</v>
      </c>
      <c r="S2220" s="31">
        <v>1968</v>
      </c>
      <c r="T2220" s="32">
        <v>45386</v>
      </c>
      <c r="U2220" s="31"/>
      <c r="V2220" s="32"/>
      <c r="W2220" s="33" t="s">
        <v>8249</v>
      </c>
      <c r="X2220" s="26"/>
      <c r="Y2220" s="22">
        <v>0</v>
      </c>
      <c r="Z2220" s="26" t="s">
        <v>50</v>
      </c>
      <c r="AA2220" s="19" t="s">
        <v>8102</v>
      </c>
      <c r="AB2220" s="26"/>
      <c r="AC2220" s="26" t="s">
        <v>53</v>
      </c>
      <c r="AD2220" s="19" t="s">
        <v>54</v>
      </c>
      <c r="AE2220" s="26" t="s">
        <v>91</v>
      </c>
      <c r="AF2220" s="17">
        <v>45390</v>
      </c>
      <c r="AG2220" s="26"/>
      <c r="AH2220" s="26"/>
      <c r="AI2220" s="40"/>
      <c r="AJ2220" s="26"/>
      <c r="AK2220" s="26"/>
      <c r="AL2220" s="35"/>
      <c r="AM2220" s="35"/>
      <c r="AN2220" s="35"/>
      <c r="AO2220" s="35"/>
      <c r="AP2220" s="35"/>
    </row>
    <row r="2221" spans="1:42" x14ac:dyDescent="0.2">
      <c r="A2221" s="126">
        <v>45387.840906678241</v>
      </c>
      <c r="B2221" s="28" t="s">
        <v>37</v>
      </c>
      <c r="C2221" s="41" t="s">
        <v>118</v>
      </c>
      <c r="D2221" s="26" t="s">
        <v>36</v>
      </c>
      <c r="E2221" s="26" t="s">
        <v>77</v>
      </c>
      <c r="F2221" s="26" t="s">
        <v>36</v>
      </c>
      <c r="G2221" s="26" t="s">
        <v>41</v>
      </c>
      <c r="H2221" s="26" t="s">
        <v>7313</v>
      </c>
      <c r="I2221" s="17">
        <f ca="1">IFERROR(__xludf.DUMMYFUNCTION("""COMPUTED_VALUE"""),45394)</f>
        <v>45394</v>
      </c>
      <c r="J2221" s="29" t="s">
        <v>8250</v>
      </c>
      <c r="K2221" s="26" t="s">
        <v>8251</v>
      </c>
      <c r="L2221" s="30">
        <v>396381590</v>
      </c>
      <c r="M2221" s="26" t="s">
        <v>3288</v>
      </c>
      <c r="N2221" s="26" t="s">
        <v>200</v>
      </c>
      <c r="O2221" s="26" t="s">
        <v>8252</v>
      </c>
      <c r="P2221" s="26" t="s">
        <v>8253</v>
      </c>
      <c r="Q2221" s="20">
        <v>1968</v>
      </c>
      <c r="R2221" s="26" t="s">
        <v>36</v>
      </c>
      <c r="S2221" s="31">
        <v>1968</v>
      </c>
      <c r="T2221" s="32">
        <v>45386</v>
      </c>
      <c r="U2221" s="31"/>
      <c r="V2221" s="32"/>
      <c r="W2221" s="33" t="s">
        <v>8254</v>
      </c>
      <c r="X2221" s="26"/>
      <c r="Y2221" s="22">
        <v>0</v>
      </c>
      <c r="Z2221" s="26" t="s">
        <v>50</v>
      </c>
      <c r="AA2221" s="19" t="s">
        <v>8102</v>
      </c>
      <c r="AB2221" s="26"/>
      <c r="AC2221" s="26" t="s">
        <v>53</v>
      </c>
      <c r="AD2221" s="19" t="s">
        <v>54</v>
      </c>
      <c r="AE2221" s="26" t="s">
        <v>91</v>
      </c>
      <c r="AF2221" s="17">
        <v>45390</v>
      </c>
      <c r="AG2221" s="26"/>
      <c r="AH2221" s="26"/>
      <c r="AI2221" s="40"/>
      <c r="AJ2221" s="26"/>
      <c r="AK2221" s="26"/>
      <c r="AL2221" s="35"/>
      <c r="AM2221" s="35"/>
      <c r="AN2221" s="35"/>
      <c r="AO2221" s="35"/>
      <c r="AP2221" s="35"/>
    </row>
    <row r="2222" spans="1:42" x14ac:dyDescent="0.2">
      <c r="A2222" s="126">
        <v>45388.695653668983</v>
      </c>
      <c r="B2222" s="28" t="s">
        <v>37</v>
      </c>
      <c r="C2222" s="41" t="s">
        <v>118</v>
      </c>
      <c r="D2222" s="26" t="s">
        <v>36</v>
      </c>
      <c r="E2222" s="26" t="s">
        <v>77</v>
      </c>
      <c r="F2222" s="26" t="s">
        <v>36</v>
      </c>
      <c r="G2222" s="26" t="s">
        <v>41</v>
      </c>
      <c r="H2222" s="26" t="s">
        <v>7506</v>
      </c>
      <c r="I2222" s="17">
        <f ca="1">IFERROR(__xludf.DUMMYFUNCTION("""COMPUTED_VALUE"""),45407)</f>
        <v>45407</v>
      </c>
      <c r="J2222" s="29" t="s">
        <v>8255</v>
      </c>
      <c r="K2222" s="26" t="s">
        <v>8256</v>
      </c>
      <c r="L2222" s="30">
        <v>355074879</v>
      </c>
      <c r="M2222" s="26" t="s">
        <v>3288</v>
      </c>
      <c r="N2222" s="26" t="s">
        <v>200</v>
      </c>
      <c r="O2222" s="26" t="s">
        <v>8257</v>
      </c>
      <c r="P2222" s="26" t="s">
        <v>8258</v>
      </c>
      <c r="Q2222" s="20">
        <v>1968</v>
      </c>
      <c r="R2222" s="26" t="s">
        <v>36</v>
      </c>
      <c r="S2222" s="31">
        <v>1968</v>
      </c>
      <c r="T2222" s="32">
        <v>45384</v>
      </c>
      <c r="U2222" s="31"/>
      <c r="V2222" s="32"/>
      <c r="W2222" s="33" t="s">
        <v>8259</v>
      </c>
      <c r="X2222" s="26"/>
      <c r="Y2222" s="22">
        <v>0</v>
      </c>
      <c r="Z2222" s="26" t="s">
        <v>50</v>
      </c>
      <c r="AA2222" s="19" t="s">
        <v>8102</v>
      </c>
      <c r="AB2222" s="26"/>
      <c r="AC2222" s="26" t="s">
        <v>53</v>
      </c>
      <c r="AD2222" s="19" t="s">
        <v>54</v>
      </c>
      <c r="AE2222" s="26" t="s">
        <v>91</v>
      </c>
      <c r="AF2222" s="17">
        <v>45390</v>
      </c>
      <c r="AG2222" s="26"/>
      <c r="AH2222" s="26"/>
      <c r="AI2222" s="40"/>
      <c r="AJ2222" s="26"/>
      <c r="AK2222" s="26"/>
      <c r="AL2222" s="35"/>
      <c r="AM2222" s="35"/>
      <c r="AN2222" s="35"/>
      <c r="AO2222" s="35"/>
      <c r="AP2222" s="35"/>
    </row>
    <row r="2223" spans="1:42" x14ac:dyDescent="0.2">
      <c r="A2223" s="126">
        <v>45390.344320335644</v>
      </c>
      <c r="B2223" s="28" t="s">
        <v>37</v>
      </c>
      <c r="C2223" s="41" t="s">
        <v>118</v>
      </c>
      <c r="D2223" s="26" t="s">
        <v>36</v>
      </c>
      <c r="E2223" s="26" t="s">
        <v>56</v>
      </c>
      <c r="F2223" s="26" t="s">
        <v>36</v>
      </c>
      <c r="G2223" s="26" t="s">
        <v>41</v>
      </c>
      <c r="H2223" s="26" t="s">
        <v>7027</v>
      </c>
      <c r="I2223" s="17">
        <f ca="1">IFERROR(__xludf.DUMMYFUNCTION("""COMPUTED_VALUE"""),45389)</f>
        <v>45389</v>
      </c>
      <c r="J2223" s="29" t="s">
        <v>8260</v>
      </c>
      <c r="K2223" s="26" t="s">
        <v>8261</v>
      </c>
      <c r="L2223" s="30">
        <v>339759598</v>
      </c>
      <c r="M2223" s="26" t="s">
        <v>2755</v>
      </c>
      <c r="N2223" s="26" t="s">
        <v>2756</v>
      </c>
      <c r="O2223" s="26" t="s">
        <v>4503</v>
      </c>
      <c r="P2223" s="26" t="s">
        <v>3694</v>
      </c>
      <c r="Q2223" s="20">
        <v>9317</v>
      </c>
      <c r="R2223" s="26" t="s">
        <v>36</v>
      </c>
      <c r="S2223" s="31">
        <v>4000</v>
      </c>
      <c r="T2223" s="32">
        <v>45389</v>
      </c>
      <c r="U2223" s="31">
        <v>5317</v>
      </c>
      <c r="V2223" s="32">
        <v>45412</v>
      </c>
      <c r="W2223" s="33" t="s">
        <v>8262</v>
      </c>
      <c r="X2223" s="26"/>
      <c r="Y2223" s="22">
        <v>0</v>
      </c>
      <c r="Z2223" s="26" t="s">
        <v>50</v>
      </c>
      <c r="AA2223" s="19" t="s">
        <v>8102</v>
      </c>
      <c r="AB2223" s="26"/>
      <c r="AC2223" s="26" t="s">
        <v>53</v>
      </c>
      <c r="AD2223" s="19" t="s">
        <v>138</v>
      </c>
      <c r="AE2223" s="26"/>
      <c r="AF2223" s="17">
        <v>45389</v>
      </c>
      <c r="AG2223" s="26" t="s">
        <v>8263</v>
      </c>
      <c r="AH2223" s="26"/>
      <c r="AI2223" s="40"/>
      <c r="AJ2223" s="26"/>
      <c r="AK2223" s="26"/>
      <c r="AL2223" s="35"/>
      <c r="AM2223" s="35"/>
      <c r="AN2223" s="35"/>
      <c r="AO2223" s="35"/>
      <c r="AP2223" s="35"/>
    </row>
    <row r="2224" spans="1:42" x14ac:dyDescent="0.2">
      <c r="A2224" s="126">
        <v>45390.359505416665</v>
      </c>
      <c r="B2224" s="28" t="s">
        <v>37</v>
      </c>
      <c r="C2224" s="41" t="s">
        <v>118</v>
      </c>
      <c r="D2224" s="26" t="s">
        <v>36</v>
      </c>
      <c r="E2224" s="26" t="s">
        <v>219</v>
      </c>
      <c r="F2224" s="26" t="s">
        <v>2393</v>
      </c>
      <c r="G2224" s="26" t="s">
        <v>221</v>
      </c>
      <c r="H2224" s="26" t="s">
        <v>2071</v>
      </c>
      <c r="I2224" s="17">
        <f ca="1">IFERROR(__xludf.DUMMYFUNCTION("""COMPUTED_VALUE"""),45392)</f>
        <v>45392</v>
      </c>
      <c r="J2224" s="29" t="s">
        <v>5700</v>
      </c>
      <c r="K2224" s="26" t="s">
        <v>5701</v>
      </c>
      <c r="L2224" s="30">
        <v>917521708</v>
      </c>
      <c r="M2224" s="26" t="s">
        <v>391</v>
      </c>
      <c r="N2224" s="26" t="s">
        <v>1306</v>
      </c>
      <c r="O2224" s="26" t="s">
        <v>5702</v>
      </c>
      <c r="P2224" s="26" t="s">
        <v>5703</v>
      </c>
      <c r="Q2224" s="20">
        <v>3968</v>
      </c>
      <c r="R2224" s="26" t="s">
        <v>36</v>
      </c>
      <c r="S2224" s="31">
        <v>3968</v>
      </c>
      <c r="T2224" s="32">
        <v>45387</v>
      </c>
      <c r="U2224" s="31"/>
      <c r="V2224" s="32"/>
      <c r="W2224" s="33" t="s">
        <v>8264</v>
      </c>
      <c r="X2224" s="26"/>
      <c r="Y2224" s="22">
        <v>0</v>
      </c>
      <c r="Z2224" s="26" t="s">
        <v>50</v>
      </c>
      <c r="AA2224" s="19" t="s">
        <v>8102</v>
      </c>
      <c r="AB2224" s="26"/>
      <c r="AC2224" s="26" t="s">
        <v>53</v>
      </c>
      <c r="AD2224" s="19" t="s">
        <v>54</v>
      </c>
      <c r="AE2224" s="26"/>
      <c r="AF2224" s="17">
        <v>45390</v>
      </c>
      <c r="AG2224" s="26"/>
      <c r="AH2224" s="26"/>
      <c r="AI2224" s="40"/>
      <c r="AJ2224" s="26"/>
      <c r="AK2224" s="26"/>
      <c r="AL2224" s="35"/>
      <c r="AM2224" s="35"/>
      <c r="AN2224" s="35"/>
      <c r="AO2224" s="35"/>
      <c r="AP2224" s="35"/>
    </row>
    <row r="2225" spans="1:42" x14ac:dyDescent="0.2">
      <c r="A2225" s="126">
        <v>45390.394619861108</v>
      </c>
      <c r="B2225" s="28" t="s">
        <v>37</v>
      </c>
      <c r="C2225" s="41" t="s">
        <v>118</v>
      </c>
      <c r="D2225" s="26" t="s">
        <v>36</v>
      </c>
      <c r="E2225" s="26" t="s">
        <v>77</v>
      </c>
      <c r="F2225" s="26" t="s">
        <v>36</v>
      </c>
      <c r="G2225" s="26" t="s">
        <v>41</v>
      </c>
      <c r="H2225" s="26" t="s">
        <v>7506</v>
      </c>
      <c r="I2225" s="17">
        <f ca="1">IFERROR(__xludf.DUMMYFUNCTION("""COMPUTED_VALUE"""),45407)</f>
        <v>45407</v>
      </c>
      <c r="J2225" s="29" t="s">
        <v>8265</v>
      </c>
      <c r="K2225" s="26" t="s">
        <v>8266</v>
      </c>
      <c r="L2225" s="30">
        <v>965552546</v>
      </c>
      <c r="M2225" s="26" t="s">
        <v>292</v>
      </c>
      <c r="N2225" s="26" t="s">
        <v>1232</v>
      </c>
      <c r="O2225" s="26" t="s">
        <v>8267</v>
      </c>
      <c r="P2225" s="26" t="s">
        <v>8268</v>
      </c>
      <c r="Q2225" s="20">
        <v>1968</v>
      </c>
      <c r="R2225" s="26" t="s">
        <v>36</v>
      </c>
      <c r="S2225" s="31">
        <v>1968</v>
      </c>
      <c r="T2225" s="32">
        <v>45390</v>
      </c>
      <c r="U2225" s="31"/>
      <c r="V2225" s="32"/>
      <c r="W2225" s="33" t="s">
        <v>8269</v>
      </c>
      <c r="X2225" s="26"/>
      <c r="Y2225" s="22">
        <v>0</v>
      </c>
      <c r="Z2225" s="26" t="s">
        <v>50</v>
      </c>
      <c r="AA2225" s="19" t="s">
        <v>8102</v>
      </c>
      <c r="AB2225" s="26" t="s">
        <v>4503</v>
      </c>
      <c r="AC2225" s="26" t="s">
        <v>53</v>
      </c>
      <c r="AD2225" s="19" t="s">
        <v>54</v>
      </c>
      <c r="AE2225" s="26">
        <v>390</v>
      </c>
      <c r="AF2225" s="17">
        <v>45390</v>
      </c>
      <c r="AG2225" s="26"/>
      <c r="AH2225" s="26"/>
      <c r="AI2225" s="40"/>
      <c r="AJ2225" s="26"/>
      <c r="AK2225" s="26"/>
      <c r="AL2225" s="35"/>
      <c r="AM2225" s="35"/>
      <c r="AN2225" s="35"/>
      <c r="AO2225" s="35"/>
      <c r="AP2225" s="35"/>
    </row>
    <row r="2226" spans="1:42" x14ac:dyDescent="0.2">
      <c r="A2226" s="126">
        <v>45390.600359687502</v>
      </c>
      <c r="B2226" s="28" t="s">
        <v>37</v>
      </c>
      <c r="C2226" s="41" t="s">
        <v>118</v>
      </c>
      <c r="D2226" s="26" t="s">
        <v>36</v>
      </c>
      <c r="E2226" s="26" t="s">
        <v>77</v>
      </c>
      <c r="F2226" s="26" t="s">
        <v>36</v>
      </c>
      <c r="G2226" s="26" t="s">
        <v>41</v>
      </c>
      <c r="H2226" s="26" t="s">
        <v>7313</v>
      </c>
      <c r="I2226" s="17">
        <f ca="1">IFERROR(__xludf.DUMMYFUNCTION("""COMPUTED_VALUE"""),45394)</f>
        <v>45394</v>
      </c>
      <c r="J2226" s="29" t="s">
        <v>8270</v>
      </c>
      <c r="K2226" s="26" t="s">
        <v>1717</v>
      </c>
      <c r="L2226" s="30">
        <v>813995203</v>
      </c>
      <c r="M2226" s="26" t="s">
        <v>3288</v>
      </c>
      <c r="N2226" s="26" t="s">
        <v>200</v>
      </c>
      <c r="O2226" s="26" t="s">
        <v>8271</v>
      </c>
      <c r="P2226" s="26" t="s">
        <v>8272</v>
      </c>
      <c r="Q2226" s="20">
        <v>1968</v>
      </c>
      <c r="R2226" s="26" t="s">
        <v>36</v>
      </c>
      <c r="S2226" s="31">
        <v>1968</v>
      </c>
      <c r="T2226" s="32">
        <v>45390</v>
      </c>
      <c r="U2226" s="31"/>
      <c r="V2226" s="32"/>
      <c r="W2226" s="33" t="s">
        <v>8273</v>
      </c>
      <c r="X2226" s="26"/>
      <c r="Y2226" s="22">
        <v>0</v>
      </c>
      <c r="Z2226" s="26" t="s">
        <v>50</v>
      </c>
      <c r="AA2226" s="19" t="s">
        <v>8102</v>
      </c>
      <c r="AB2226" s="26"/>
      <c r="AC2226" s="26" t="s">
        <v>53</v>
      </c>
      <c r="AD2226" s="19" t="s">
        <v>54</v>
      </c>
      <c r="AE2226" s="26" t="s">
        <v>91</v>
      </c>
      <c r="AF2226" s="17">
        <v>45390</v>
      </c>
      <c r="AG2226" s="26"/>
      <c r="AH2226" s="26"/>
      <c r="AI2226" s="40"/>
      <c r="AJ2226" s="26"/>
      <c r="AK2226" s="26"/>
      <c r="AL2226" s="35"/>
      <c r="AM2226" s="35"/>
      <c r="AN2226" s="35"/>
      <c r="AO2226" s="35"/>
      <c r="AP2226" s="35"/>
    </row>
    <row r="2227" spans="1:42" x14ac:dyDescent="0.2">
      <c r="A2227" s="126">
        <v>45391.320870798612</v>
      </c>
      <c r="B2227" s="28" t="s">
        <v>37</v>
      </c>
      <c r="C2227" s="41" t="s">
        <v>118</v>
      </c>
      <c r="D2227" s="26" t="s">
        <v>36</v>
      </c>
      <c r="E2227" s="26" t="s">
        <v>77</v>
      </c>
      <c r="F2227" s="26" t="s">
        <v>36</v>
      </c>
      <c r="G2227" s="26" t="s">
        <v>41</v>
      </c>
      <c r="H2227" s="26" t="s">
        <v>7313</v>
      </c>
      <c r="I2227" s="17">
        <f ca="1">IFERROR(__xludf.DUMMYFUNCTION("""COMPUTED_VALUE"""),45394)</f>
        <v>45394</v>
      </c>
      <c r="J2227" s="29" t="s">
        <v>8274</v>
      </c>
      <c r="K2227" s="26" t="s">
        <v>1792</v>
      </c>
      <c r="L2227" s="30">
        <v>869921280</v>
      </c>
      <c r="M2227" s="26" t="s">
        <v>3288</v>
      </c>
      <c r="N2227" s="26" t="s">
        <v>200</v>
      </c>
      <c r="O2227" s="26" t="s">
        <v>8275</v>
      </c>
      <c r="P2227" s="26" t="s">
        <v>8276</v>
      </c>
      <c r="Q2227" s="20">
        <v>1968</v>
      </c>
      <c r="R2227" s="26" t="s">
        <v>36</v>
      </c>
      <c r="S2227" s="31">
        <v>1968</v>
      </c>
      <c r="T2227" s="32">
        <v>45390</v>
      </c>
      <c r="U2227" s="31"/>
      <c r="V2227" s="32"/>
      <c r="W2227" s="33" t="s">
        <v>8277</v>
      </c>
      <c r="X2227" s="26"/>
      <c r="Y2227" s="22">
        <v>0</v>
      </c>
      <c r="Z2227" s="26" t="s">
        <v>50</v>
      </c>
      <c r="AA2227" s="19" t="s">
        <v>8102</v>
      </c>
      <c r="AB2227" s="26"/>
      <c r="AC2227" s="26" t="s">
        <v>53</v>
      </c>
      <c r="AD2227" s="19" t="s">
        <v>54</v>
      </c>
      <c r="AE2227" s="26" t="s">
        <v>91</v>
      </c>
      <c r="AF2227" s="17">
        <v>45392</v>
      </c>
      <c r="AG2227" s="26"/>
      <c r="AH2227" s="26"/>
      <c r="AI2227" s="40"/>
      <c r="AJ2227" s="26"/>
      <c r="AK2227" s="26"/>
      <c r="AL2227" s="35"/>
      <c r="AM2227" s="35"/>
      <c r="AN2227" s="35"/>
      <c r="AO2227" s="35"/>
      <c r="AP2227" s="35"/>
    </row>
    <row r="2228" spans="1:42" x14ac:dyDescent="0.2">
      <c r="A2228" s="126">
        <v>45397.37340725695</v>
      </c>
      <c r="B2228" s="28" t="s">
        <v>37</v>
      </c>
      <c r="C2228" s="41" t="s">
        <v>118</v>
      </c>
      <c r="D2228" s="26" t="s">
        <v>106</v>
      </c>
      <c r="E2228" s="26" t="s">
        <v>219</v>
      </c>
      <c r="F2228" s="26" t="s">
        <v>2381</v>
      </c>
      <c r="G2228" s="26" t="s">
        <v>221</v>
      </c>
      <c r="H2228" s="26" t="s">
        <v>6971</v>
      </c>
      <c r="I2228" s="17">
        <f ca="1">IFERROR(__xludf.DUMMYFUNCTION("""COMPUTED_VALUE"""),45405)</f>
        <v>45405</v>
      </c>
      <c r="J2228" s="29" t="s">
        <v>4382</v>
      </c>
      <c r="K2228" s="26" t="s">
        <v>4383</v>
      </c>
      <c r="L2228" s="30">
        <v>973580876</v>
      </c>
      <c r="M2228" s="26" t="s">
        <v>94</v>
      </c>
      <c r="N2228" s="26" t="s">
        <v>672</v>
      </c>
      <c r="O2228" s="26" t="s">
        <v>61</v>
      </c>
      <c r="P2228" s="26" t="s">
        <v>8278</v>
      </c>
      <c r="Q2228" s="20">
        <v>3968</v>
      </c>
      <c r="R2228" s="26" t="s">
        <v>36</v>
      </c>
      <c r="S2228" s="31">
        <v>3868</v>
      </c>
      <c r="T2228" s="32">
        <v>45396</v>
      </c>
      <c r="U2228" s="31"/>
      <c r="V2228" s="26"/>
      <c r="W2228" s="33" t="s">
        <v>8279</v>
      </c>
      <c r="X2228" s="26"/>
      <c r="Y2228" s="22">
        <v>100</v>
      </c>
      <c r="Z2228" s="26" t="s">
        <v>50</v>
      </c>
      <c r="AA2228" s="19" t="s">
        <v>8102</v>
      </c>
      <c r="AB2228" s="26"/>
      <c r="AC2228" s="26" t="s">
        <v>53</v>
      </c>
      <c r="AD2228" s="19" t="s">
        <v>54</v>
      </c>
      <c r="AE2228" s="26" t="s">
        <v>2381</v>
      </c>
      <c r="AF2228" s="17">
        <v>45398</v>
      </c>
      <c r="AG2228" s="26"/>
      <c r="AH2228" s="26"/>
      <c r="AI2228" s="40"/>
      <c r="AJ2228" s="26"/>
      <c r="AK2228" s="26"/>
      <c r="AL2228" s="35"/>
      <c r="AM2228" s="35"/>
      <c r="AN2228" s="35"/>
      <c r="AO2228" s="35"/>
      <c r="AP2228" s="35"/>
    </row>
    <row r="2229" spans="1:42" x14ac:dyDescent="0.2">
      <c r="A2229" s="126">
        <v>45397.482484745371</v>
      </c>
      <c r="B2229" s="28" t="s">
        <v>37</v>
      </c>
      <c r="C2229" s="41" t="s">
        <v>118</v>
      </c>
      <c r="D2229" s="26" t="s">
        <v>36</v>
      </c>
      <c r="E2229" s="26" t="s">
        <v>915</v>
      </c>
      <c r="F2229" s="26" t="s">
        <v>36</v>
      </c>
      <c r="G2229" s="26" t="s">
        <v>221</v>
      </c>
      <c r="H2229" s="26" t="s">
        <v>7944</v>
      </c>
      <c r="I2229" s="17">
        <f ca="1">IFERROR(__xludf.DUMMYFUNCTION("""COMPUTED_VALUE"""),45405)</f>
        <v>45405</v>
      </c>
      <c r="J2229" s="29" t="s">
        <v>8280</v>
      </c>
      <c r="K2229" s="26" t="s">
        <v>8281</v>
      </c>
      <c r="L2229" s="30">
        <v>397809503</v>
      </c>
      <c r="M2229" s="26" t="s">
        <v>6309</v>
      </c>
      <c r="N2229" s="26" t="s">
        <v>1400</v>
      </c>
      <c r="O2229" s="26" t="s">
        <v>91</v>
      </c>
      <c r="P2229" s="26" t="s">
        <v>8282</v>
      </c>
      <c r="Q2229" s="20">
        <v>10894</v>
      </c>
      <c r="R2229" s="26" t="s">
        <v>36</v>
      </c>
      <c r="S2229" s="31">
        <v>10894</v>
      </c>
      <c r="T2229" s="32">
        <v>45397</v>
      </c>
      <c r="U2229" s="31"/>
      <c r="V2229" s="32"/>
      <c r="W2229" s="33" t="s">
        <v>8283</v>
      </c>
      <c r="X2229" s="26"/>
      <c r="Y2229" s="22">
        <v>0</v>
      </c>
      <c r="Z2229" s="26" t="s">
        <v>50</v>
      </c>
      <c r="AA2229" s="19" t="s">
        <v>8102</v>
      </c>
      <c r="AB2229" s="26"/>
      <c r="AC2229" s="26" t="s">
        <v>2218</v>
      </c>
      <c r="AD2229" s="19" t="s">
        <v>54</v>
      </c>
      <c r="AE2229" s="26">
        <v>510</v>
      </c>
      <c r="AF2229" s="17">
        <v>45397</v>
      </c>
      <c r="AG2229" s="26" t="s">
        <v>2075</v>
      </c>
      <c r="AH2229" s="26"/>
      <c r="AI2229" s="40"/>
      <c r="AJ2229" s="26"/>
      <c r="AK2229" s="26"/>
      <c r="AL2229" s="35"/>
      <c r="AM2229" s="35"/>
      <c r="AN2229" s="35"/>
      <c r="AO2229" s="35"/>
      <c r="AP2229" s="35"/>
    </row>
    <row r="2230" spans="1:42" x14ac:dyDescent="0.2">
      <c r="A2230" s="126">
        <v>45398.588015381945</v>
      </c>
      <c r="B2230" s="28" t="s">
        <v>37</v>
      </c>
      <c r="C2230" s="41" t="s">
        <v>118</v>
      </c>
      <c r="D2230" s="26" t="s">
        <v>36</v>
      </c>
      <c r="E2230" s="26" t="s">
        <v>77</v>
      </c>
      <c r="F2230" s="26" t="s">
        <v>36</v>
      </c>
      <c r="G2230" s="26" t="s">
        <v>41</v>
      </c>
      <c r="H2230" s="26" t="s">
        <v>7506</v>
      </c>
      <c r="I2230" s="17">
        <f ca="1">IFERROR(__xludf.DUMMYFUNCTION("""COMPUTED_VALUE"""),45407)</f>
        <v>45407</v>
      </c>
      <c r="J2230" s="29" t="s">
        <v>8284</v>
      </c>
      <c r="K2230" s="26" t="s">
        <v>8285</v>
      </c>
      <c r="L2230" s="30">
        <v>816177292</v>
      </c>
      <c r="M2230" s="26" t="s">
        <v>112</v>
      </c>
      <c r="N2230" s="26" t="s">
        <v>113</v>
      </c>
      <c r="O2230" s="26" t="s">
        <v>36</v>
      </c>
      <c r="P2230" s="26" t="s">
        <v>8286</v>
      </c>
      <c r="Q2230" s="20">
        <v>1968</v>
      </c>
      <c r="R2230" s="26" t="s">
        <v>36</v>
      </c>
      <c r="S2230" s="31">
        <v>1968</v>
      </c>
      <c r="T2230" s="32">
        <v>45398</v>
      </c>
      <c r="U2230" s="31"/>
      <c r="V2230" s="32"/>
      <c r="W2230" s="33" t="s">
        <v>8287</v>
      </c>
      <c r="X2230" s="26"/>
      <c r="Y2230" s="22">
        <v>0</v>
      </c>
      <c r="Z2230" s="26" t="s">
        <v>50</v>
      </c>
      <c r="AA2230" s="19" t="s">
        <v>8102</v>
      </c>
      <c r="AB2230" s="26"/>
      <c r="AC2230" s="26" t="s">
        <v>53</v>
      </c>
      <c r="AD2230" s="19" t="s">
        <v>54</v>
      </c>
      <c r="AE2230" s="26">
        <v>280</v>
      </c>
      <c r="AF2230" s="17">
        <v>45404</v>
      </c>
      <c r="AG2230" s="26"/>
      <c r="AH2230" s="26"/>
      <c r="AI2230" s="40"/>
      <c r="AJ2230" s="26"/>
      <c r="AK2230" s="26"/>
      <c r="AL2230" s="35"/>
      <c r="AM2230" s="35"/>
      <c r="AN2230" s="35"/>
      <c r="AO2230" s="35"/>
      <c r="AP2230" s="35"/>
    </row>
    <row r="2231" spans="1:42" x14ac:dyDescent="0.2">
      <c r="A2231" s="126">
        <v>45399.437860092592</v>
      </c>
      <c r="B2231" s="28" t="s">
        <v>37</v>
      </c>
      <c r="C2231" s="41" t="s">
        <v>118</v>
      </c>
      <c r="D2231" s="26" t="s">
        <v>36</v>
      </c>
      <c r="E2231" s="26" t="s">
        <v>77</v>
      </c>
      <c r="F2231" s="26" t="s">
        <v>36</v>
      </c>
      <c r="G2231" s="26" t="s">
        <v>41</v>
      </c>
      <c r="H2231" s="26" t="s">
        <v>7506</v>
      </c>
      <c r="I2231" s="17">
        <f ca="1">IFERROR(__xludf.DUMMYFUNCTION("""COMPUTED_VALUE"""),45407)</f>
        <v>45407</v>
      </c>
      <c r="J2231" s="29" t="s">
        <v>8288</v>
      </c>
      <c r="K2231" s="26" t="s">
        <v>8289</v>
      </c>
      <c r="L2231" s="30">
        <v>968359305</v>
      </c>
      <c r="M2231" s="26" t="s">
        <v>112</v>
      </c>
      <c r="N2231" s="26" t="s">
        <v>113</v>
      </c>
      <c r="O2231" s="26" t="s">
        <v>36</v>
      </c>
      <c r="P2231" s="26" t="s">
        <v>8290</v>
      </c>
      <c r="Q2231" s="20">
        <v>1968</v>
      </c>
      <c r="R2231" s="26" t="s">
        <v>36</v>
      </c>
      <c r="S2231" s="31">
        <v>1968</v>
      </c>
      <c r="T2231" s="32">
        <v>45399</v>
      </c>
      <c r="U2231" s="31"/>
      <c r="V2231" s="32"/>
      <c r="W2231" s="33" t="s">
        <v>8291</v>
      </c>
      <c r="X2231" s="26"/>
      <c r="Y2231" s="22">
        <v>0</v>
      </c>
      <c r="Z2231" s="26" t="s">
        <v>50</v>
      </c>
      <c r="AA2231" s="19" t="s">
        <v>8102</v>
      </c>
      <c r="AB2231" s="26"/>
      <c r="AC2231" s="26" t="s">
        <v>53</v>
      </c>
      <c r="AD2231" s="19" t="s">
        <v>54</v>
      </c>
      <c r="AE2231" s="26">
        <v>360</v>
      </c>
      <c r="AF2231" s="17">
        <v>45404</v>
      </c>
      <c r="AG2231" s="26"/>
      <c r="AH2231" s="26"/>
      <c r="AI2231" s="40"/>
      <c r="AJ2231" s="26"/>
      <c r="AK2231" s="26"/>
      <c r="AL2231" s="35"/>
      <c r="AM2231" s="35"/>
      <c r="AN2231" s="35"/>
      <c r="AO2231" s="35"/>
      <c r="AP2231" s="35"/>
    </row>
    <row r="2232" spans="1:42" x14ac:dyDescent="0.2">
      <c r="A2232" s="126">
        <v>45400.975876944445</v>
      </c>
      <c r="B2232" s="28" t="s">
        <v>37</v>
      </c>
      <c r="C2232" s="41" t="s">
        <v>118</v>
      </c>
      <c r="D2232" s="26" t="s">
        <v>36</v>
      </c>
      <c r="E2232" s="26" t="s">
        <v>148</v>
      </c>
      <c r="F2232" s="26" t="s">
        <v>91</v>
      </c>
      <c r="G2232" s="26" t="s">
        <v>108</v>
      </c>
      <c r="H2232" s="26" t="s">
        <v>7716</v>
      </c>
      <c r="I2232" s="17">
        <f ca="1">IFERROR(__xludf.DUMMYFUNCTION("""COMPUTED_VALUE"""),45404)</f>
        <v>45404</v>
      </c>
      <c r="J2232" s="29" t="s">
        <v>8292</v>
      </c>
      <c r="K2232" s="26" t="s">
        <v>8293</v>
      </c>
      <c r="L2232" s="30">
        <v>398832928</v>
      </c>
      <c r="M2232" s="26" t="s">
        <v>348</v>
      </c>
      <c r="N2232" s="26" t="s">
        <v>200</v>
      </c>
      <c r="O2232" s="26" t="s">
        <v>8294</v>
      </c>
      <c r="P2232" s="26" t="s">
        <v>8295</v>
      </c>
      <c r="Q2232" s="20">
        <v>7349</v>
      </c>
      <c r="R2232" s="26" t="s">
        <v>36</v>
      </c>
      <c r="S2232" s="31">
        <v>1000</v>
      </c>
      <c r="T2232" s="32">
        <v>45400</v>
      </c>
      <c r="U2232" s="31">
        <v>6349</v>
      </c>
      <c r="V2232" s="32">
        <v>45404</v>
      </c>
      <c r="W2232" s="33" t="s">
        <v>8296</v>
      </c>
      <c r="X2232" s="26"/>
      <c r="Y2232" s="22">
        <v>0</v>
      </c>
      <c r="Z2232" s="26" t="s">
        <v>50</v>
      </c>
      <c r="AA2232" s="19" t="s">
        <v>8102</v>
      </c>
      <c r="AB2232" s="26"/>
      <c r="AC2232" s="26" t="s">
        <v>53</v>
      </c>
      <c r="AD2232" s="19" t="s">
        <v>54</v>
      </c>
      <c r="AE2232" s="26">
        <v>570</v>
      </c>
      <c r="AF2232" s="17">
        <v>45404</v>
      </c>
      <c r="AG2232" s="26"/>
      <c r="AH2232" s="26"/>
      <c r="AI2232" s="40"/>
      <c r="AJ2232" s="26"/>
      <c r="AK2232" s="26"/>
      <c r="AL2232" s="35"/>
      <c r="AM2232" s="35"/>
      <c r="AN2232" s="35"/>
      <c r="AO2232" s="35"/>
      <c r="AP2232" s="35"/>
    </row>
    <row r="2233" spans="1:42" x14ac:dyDescent="0.2">
      <c r="A2233" s="126">
        <v>45402.783963159723</v>
      </c>
      <c r="B2233" s="28" t="s">
        <v>37</v>
      </c>
      <c r="C2233" s="41" t="s">
        <v>118</v>
      </c>
      <c r="D2233" s="26" t="s">
        <v>36</v>
      </c>
      <c r="E2233" s="26" t="s">
        <v>77</v>
      </c>
      <c r="F2233" s="26" t="s">
        <v>36</v>
      </c>
      <c r="G2233" s="26" t="s">
        <v>41</v>
      </c>
      <c r="H2233" s="26" t="s">
        <v>7506</v>
      </c>
      <c r="I2233" s="17">
        <f ca="1">IFERROR(__xludf.DUMMYFUNCTION("""COMPUTED_VALUE"""),45407)</f>
        <v>45407</v>
      </c>
      <c r="J2233" s="29" t="s">
        <v>8297</v>
      </c>
      <c r="K2233" s="26" t="s">
        <v>8298</v>
      </c>
      <c r="L2233" s="30">
        <v>365383222</v>
      </c>
      <c r="M2233" s="26" t="s">
        <v>3288</v>
      </c>
      <c r="N2233" s="26" t="s">
        <v>200</v>
      </c>
      <c r="O2233" s="26" t="s">
        <v>8299</v>
      </c>
      <c r="P2233" s="26" t="s">
        <v>8300</v>
      </c>
      <c r="Q2233" s="20">
        <v>1968</v>
      </c>
      <c r="R2233" s="26" t="s">
        <v>36</v>
      </c>
      <c r="S2233" s="31">
        <v>1568</v>
      </c>
      <c r="T2233" s="32">
        <v>45402</v>
      </c>
      <c r="U2233" s="31">
        <v>400</v>
      </c>
      <c r="V2233" s="32">
        <v>45402</v>
      </c>
      <c r="W2233" s="33" t="s">
        <v>8301</v>
      </c>
      <c r="X2233" s="26"/>
      <c r="Y2233" s="22">
        <v>0</v>
      </c>
      <c r="Z2233" s="26" t="s">
        <v>50</v>
      </c>
      <c r="AA2233" s="19" t="s">
        <v>8102</v>
      </c>
      <c r="AB2233" s="26"/>
      <c r="AC2233" s="26" t="s">
        <v>53</v>
      </c>
      <c r="AD2233" s="19" t="s">
        <v>54</v>
      </c>
      <c r="AE2233" s="26" t="s">
        <v>91</v>
      </c>
      <c r="AF2233" s="17">
        <v>45404</v>
      </c>
      <c r="AG2233" s="26"/>
      <c r="AH2233" s="26"/>
      <c r="AI2233" s="40"/>
      <c r="AJ2233" s="26"/>
      <c r="AK2233" s="26"/>
      <c r="AL2233" s="35"/>
      <c r="AM2233" s="35"/>
      <c r="AN2233" s="35"/>
      <c r="AO2233" s="35"/>
      <c r="AP2233" s="35"/>
    </row>
    <row r="2234" spans="1:42" x14ac:dyDescent="0.2">
      <c r="A2234" s="126">
        <v>45404.34234278935</v>
      </c>
      <c r="B2234" s="28" t="s">
        <v>37</v>
      </c>
      <c r="C2234" s="41" t="s">
        <v>118</v>
      </c>
      <c r="D2234" s="26" t="s">
        <v>36</v>
      </c>
      <c r="E2234" s="26" t="s">
        <v>39</v>
      </c>
      <c r="F2234" s="26" t="s">
        <v>36</v>
      </c>
      <c r="G2234" s="26" t="s">
        <v>41</v>
      </c>
      <c r="H2234" s="26" t="s">
        <v>8302</v>
      </c>
      <c r="I2234" s="17">
        <f ca="1">IFERROR(__xludf.DUMMYFUNCTION("""COMPUTED_VALUE"""),45429)</f>
        <v>45429</v>
      </c>
      <c r="J2234" s="29" t="s">
        <v>8303</v>
      </c>
      <c r="K2234" s="26" t="s">
        <v>8304</v>
      </c>
      <c r="L2234" s="30">
        <v>365178332</v>
      </c>
      <c r="M2234" s="26" t="s">
        <v>292</v>
      </c>
      <c r="N2234" s="26" t="s">
        <v>1232</v>
      </c>
      <c r="O2234" s="26" t="s">
        <v>8305</v>
      </c>
      <c r="P2234" s="26" t="s">
        <v>8306</v>
      </c>
      <c r="Q2234" s="20">
        <v>5736</v>
      </c>
      <c r="R2234" s="26" t="s">
        <v>36</v>
      </c>
      <c r="S2234" s="31">
        <v>5736</v>
      </c>
      <c r="T2234" s="32">
        <v>45404</v>
      </c>
      <c r="U2234" s="31"/>
      <c r="V2234" s="32"/>
      <c r="W2234" s="33" t="s">
        <v>8307</v>
      </c>
      <c r="X2234" s="26"/>
      <c r="Y2234" s="22">
        <v>0</v>
      </c>
      <c r="Z2234" s="26" t="s">
        <v>50</v>
      </c>
      <c r="AA2234" s="19" t="s">
        <v>8102</v>
      </c>
      <c r="AB2234" s="26" t="s">
        <v>4503</v>
      </c>
      <c r="AC2234" s="26" t="s">
        <v>53</v>
      </c>
      <c r="AD2234" s="19" t="s">
        <v>54</v>
      </c>
      <c r="AE2234" s="26">
        <v>270</v>
      </c>
      <c r="AF2234" s="17">
        <v>45414</v>
      </c>
      <c r="AG2234" s="26"/>
      <c r="AH2234" s="26"/>
      <c r="AI2234" s="40"/>
      <c r="AJ2234" s="26"/>
      <c r="AK2234" s="26"/>
      <c r="AL2234" s="35"/>
      <c r="AM2234" s="35"/>
      <c r="AN2234" s="35"/>
      <c r="AO2234" s="35"/>
      <c r="AP2234" s="35"/>
    </row>
    <row r="2235" spans="1:42" x14ac:dyDescent="0.2">
      <c r="A2235" s="126">
        <v>45407.615952418986</v>
      </c>
      <c r="B2235" s="28" t="s">
        <v>37</v>
      </c>
      <c r="C2235" s="41" t="s">
        <v>118</v>
      </c>
      <c r="D2235" s="26" t="s">
        <v>36</v>
      </c>
      <c r="E2235" s="26" t="s">
        <v>106</v>
      </c>
      <c r="F2235" s="26" t="s">
        <v>6831</v>
      </c>
      <c r="G2235" s="26" t="s">
        <v>108</v>
      </c>
      <c r="H2235" s="26" t="s">
        <v>8074</v>
      </c>
      <c r="I2235" s="17">
        <f ca="1">IFERROR(__xludf.DUMMYFUNCTION("""COMPUTED_VALUE"""),45421)</f>
        <v>45421</v>
      </c>
      <c r="J2235" s="29" t="s">
        <v>7133</v>
      </c>
      <c r="K2235" s="26" t="s">
        <v>7134</v>
      </c>
      <c r="L2235" s="30">
        <v>977630266</v>
      </c>
      <c r="M2235" s="26" t="s">
        <v>112</v>
      </c>
      <c r="N2235" s="26" t="s">
        <v>113</v>
      </c>
      <c r="O2235" s="26" t="s">
        <v>36</v>
      </c>
      <c r="P2235" s="26" t="s">
        <v>7135</v>
      </c>
      <c r="Q2235" s="20">
        <v>3768</v>
      </c>
      <c r="R2235" s="26" t="s">
        <v>36</v>
      </c>
      <c r="S2235" s="31">
        <v>3668</v>
      </c>
      <c r="T2235" s="32">
        <v>45407</v>
      </c>
      <c r="U2235" s="31"/>
      <c r="V2235" s="32"/>
      <c r="W2235" s="33" t="s">
        <v>8308</v>
      </c>
      <c r="X2235" s="26"/>
      <c r="Y2235" s="22">
        <v>100</v>
      </c>
      <c r="Z2235" s="26" t="s">
        <v>50</v>
      </c>
      <c r="AA2235" s="19" t="s">
        <v>8102</v>
      </c>
      <c r="AB2235" s="26"/>
      <c r="AC2235" s="26" t="s">
        <v>53</v>
      </c>
      <c r="AD2235" s="19" t="s">
        <v>54</v>
      </c>
      <c r="AE2235" s="26" t="s">
        <v>6831</v>
      </c>
      <c r="AF2235" s="17">
        <v>45414</v>
      </c>
      <c r="AG2235" s="26"/>
      <c r="AH2235" s="26"/>
      <c r="AI2235" s="40"/>
      <c r="AJ2235" s="26"/>
      <c r="AK2235" s="26"/>
      <c r="AL2235" s="35"/>
      <c r="AM2235" s="35"/>
      <c r="AN2235" s="35"/>
      <c r="AO2235" s="35"/>
      <c r="AP2235" s="35"/>
    </row>
    <row r="2236" spans="1:42" x14ac:dyDescent="0.2">
      <c r="A2236" s="126">
        <v>45412.999692349535</v>
      </c>
      <c r="B2236" s="28" t="s">
        <v>37</v>
      </c>
      <c r="C2236" s="41" t="s">
        <v>118</v>
      </c>
      <c r="D2236" s="26" t="s">
        <v>36</v>
      </c>
      <c r="E2236" s="26" t="s">
        <v>148</v>
      </c>
      <c r="F2236" s="26" t="s">
        <v>36</v>
      </c>
      <c r="G2236" s="26" t="s">
        <v>108</v>
      </c>
      <c r="H2236" s="26" t="s">
        <v>7871</v>
      </c>
      <c r="I2236" s="17">
        <f ca="1">IFERROR(__xludf.DUMMYFUNCTION("""COMPUTED_VALUE"""),45421)</f>
        <v>45421</v>
      </c>
      <c r="J2236" s="29" t="s">
        <v>8309</v>
      </c>
      <c r="K2236" s="26" t="s">
        <v>8310</v>
      </c>
      <c r="L2236" s="30">
        <v>393423069</v>
      </c>
      <c r="M2236" s="26" t="s">
        <v>80</v>
      </c>
      <c r="N2236" s="26" t="s">
        <v>1073</v>
      </c>
      <c r="O2236" s="26" t="s">
        <v>8311</v>
      </c>
      <c r="P2236" s="26" t="s">
        <v>2641</v>
      </c>
      <c r="Q2236" s="20">
        <v>7349</v>
      </c>
      <c r="R2236" s="26" t="s">
        <v>36</v>
      </c>
      <c r="S2236" s="31">
        <v>7349</v>
      </c>
      <c r="T2236" s="32">
        <v>45412</v>
      </c>
      <c r="U2236" s="31"/>
      <c r="V2236" s="32"/>
      <c r="W2236" s="26" t="s">
        <v>8312</v>
      </c>
      <c r="X2236" s="26"/>
      <c r="Y2236" s="22">
        <v>0</v>
      </c>
      <c r="Z2236" s="26" t="s">
        <v>50</v>
      </c>
      <c r="AA2236" s="19" t="s">
        <v>8102</v>
      </c>
      <c r="AB2236" s="26" t="s">
        <v>36</v>
      </c>
      <c r="AC2236" s="26" t="s">
        <v>53</v>
      </c>
      <c r="AD2236" s="19" t="s">
        <v>138</v>
      </c>
      <c r="AE2236" s="26">
        <v>400</v>
      </c>
      <c r="AF2236" s="17">
        <v>45421</v>
      </c>
      <c r="AG2236" s="26" t="s">
        <v>3415</v>
      </c>
      <c r="AH2236" s="26"/>
      <c r="AI2236" s="40"/>
      <c r="AJ2236" s="26"/>
      <c r="AK2236" s="26"/>
      <c r="AL2236" s="35"/>
      <c r="AM2236" s="35"/>
      <c r="AN2236" s="35"/>
      <c r="AO2236" s="35"/>
      <c r="AP2236" s="35"/>
    </row>
    <row r="2237" spans="1:42" x14ac:dyDescent="0.2">
      <c r="A2237" s="126">
        <v>45391.320870798612</v>
      </c>
      <c r="B2237" s="28" t="s">
        <v>37</v>
      </c>
      <c r="C2237" s="41" t="s">
        <v>118</v>
      </c>
      <c r="D2237" s="26" t="s">
        <v>36</v>
      </c>
      <c r="E2237" s="26" t="s">
        <v>148</v>
      </c>
      <c r="F2237" s="35" t="s">
        <v>3442</v>
      </c>
      <c r="G2237" s="98" t="s">
        <v>108</v>
      </c>
      <c r="H2237" s="35" t="s">
        <v>7918</v>
      </c>
      <c r="I2237" s="17">
        <f ca="1">IFERROR(__xludf.DUMMYFUNCTION("""COMPUTED_VALUE"""),45405)</f>
        <v>45405</v>
      </c>
      <c r="J2237" s="29" t="s">
        <v>8313</v>
      </c>
      <c r="K2237" s="26" t="s">
        <v>8314</v>
      </c>
      <c r="L2237" s="30">
        <v>389655685</v>
      </c>
      <c r="M2237" s="26" t="s">
        <v>94</v>
      </c>
      <c r="N2237" s="26" t="s">
        <v>200</v>
      </c>
      <c r="O2237" s="26" t="s">
        <v>61</v>
      </c>
      <c r="P2237" s="42" t="s">
        <v>8315</v>
      </c>
      <c r="Q2237" s="20">
        <v>7349</v>
      </c>
      <c r="R2237" s="26" t="s">
        <v>36</v>
      </c>
      <c r="S2237" s="31">
        <v>16779</v>
      </c>
      <c r="T2237" s="32">
        <v>44991</v>
      </c>
      <c r="U2237" s="31"/>
      <c r="V2237" s="32"/>
      <c r="W2237" s="33" t="s">
        <v>8316</v>
      </c>
      <c r="X2237" s="26"/>
      <c r="Y2237" s="22">
        <v>-9430</v>
      </c>
      <c r="Z2237" s="98" t="s">
        <v>118</v>
      </c>
      <c r="AA2237" s="19" t="s">
        <v>8317</v>
      </c>
      <c r="AB2237" s="26" t="s">
        <v>36</v>
      </c>
      <c r="AC2237" s="26" t="s">
        <v>53</v>
      </c>
      <c r="AD2237" s="19" t="s">
        <v>54</v>
      </c>
      <c r="AE2237" s="26"/>
      <c r="AF2237" s="17">
        <v>45398</v>
      </c>
      <c r="AG2237" s="96"/>
      <c r="AH2237" s="131"/>
      <c r="AI2237" s="131"/>
      <c r="AJ2237" s="132">
        <v>45083.284354965275</v>
      </c>
      <c r="AK2237" s="96"/>
      <c r="AL2237" s="133" t="s">
        <v>8318</v>
      </c>
      <c r="AM2237" s="96"/>
      <c r="AN2237" s="96"/>
      <c r="AO2237" s="26"/>
      <c r="AP2237" s="35"/>
    </row>
    <row r="2238" spans="1:42" x14ac:dyDescent="0.2">
      <c r="A2238" s="38">
        <v>45406</v>
      </c>
      <c r="B2238" s="28"/>
      <c r="C2238" s="41" t="s">
        <v>118</v>
      </c>
      <c r="D2238" s="26" t="s">
        <v>36</v>
      </c>
      <c r="E2238" s="26" t="s">
        <v>219</v>
      </c>
      <c r="F2238" s="26" t="s">
        <v>3366</v>
      </c>
      <c r="G2238" s="88" t="s">
        <v>221</v>
      </c>
      <c r="H2238" s="26" t="s">
        <v>865</v>
      </c>
      <c r="I2238" s="17" t="str">
        <f ca="1">IFERROR(__xludf.DUMMYFUNCTION("""COMPUTED_VALUE""")," ")</f>
        <v xml:space="preserve"> </v>
      </c>
      <c r="J2238" s="29" t="s">
        <v>3303</v>
      </c>
      <c r="K2238" s="19" t="s">
        <v>6046</v>
      </c>
      <c r="L2238" s="30">
        <v>373237882</v>
      </c>
      <c r="M2238" s="26" t="s">
        <v>94</v>
      </c>
      <c r="N2238" s="26" t="s">
        <v>1246</v>
      </c>
      <c r="O2238" s="26" t="s">
        <v>36</v>
      </c>
      <c r="P2238" s="26" t="s">
        <v>8319</v>
      </c>
      <c r="Q2238" s="20">
        <v>3968</v>
      </c>
      <c r="R2238" s="26" t="s">
        <v>36</v>
      </c>
      <c r="S2238" s="31">
        <v>12000</v>
      </c>
      <c r="T2238" s="32">
        <v>44844</v>
      </c>
      <c r="U2238" s="31">
        <v>4779</v>
      </c>
      <c r="V2238" s="32">
        <v>44845</v>
      </c>
      <c r="W2238" s="33" t="s">
        <v>3306</v>
      </c>
      <c r="X2238" s="26"/>
      <c r="Y2238" s="22">
        <v>-12811</v>
      </c>
      <c r="Z2238" s="98" t="s">
        <v>118</v>
      </c>
      <c r="AA2238" s="19" t="s">
        <v>8317</v>
      </c>
      <c r="AB2238" s="26"/>
      <c r="AC2238" s="26" t="s">
        <v>53</v>
      </c>
      <c r="AD2238" s="19"/>
      <c r="AE2238" s="26"/>
      <c r="AF2238" s="60"/>
      <c r="AG2238" s="35"/>
      <c r="AH2238" s="91"/>
      <c r="AI2238" s="91"/>
      <c r="AJ2238" s="92">
        <v>45026.048973530094</v>
      </c>
      <c r="AK2238" s="35"/>
      <c r="AL2238" s="128" t="s">
        <v>8320</v>
      </c>
      <c r="AM2238" s="35"/>
      <c r="AN2238" s="35"/>
      <c r="AO2238" s="26"/>
      <c r="AP2238" s="26"/>
    </row>
    <row r="2239" spans="1:42" x14ac:dyDescent="0.2">
      <c r="A2239" s="126">
        <v>45362.335910173613</v>
      </c>
      <c r="B2239" s="28" t="s">
        <v>37</v>
      </c>
      <c r="C2239" s="41" t="s">
        <v>118</v>
      </c>
      <c r="D2239" s="26" t="s">
        <v>36</v>
      </c>
      <c r="E2239" s="26" t="s">
        <v>139</v>
      </c>
      <c r="F2239" s="26" t="s">
        <v>7008</v>
      </c>
      <c r="G2239" s="26" t="s">
        <v>108</v>
      </c>
      <c r="H2239" s="26" t="s">
        <v>6596</v>
      </c>
      <c r="I2239" s="17">
        <f ca="1">IFERROR(__xludf.DUMMYFUNCTION("""COMPUTED_VALUE"""),45425)</f>
        <v>45425</v>
      </c>
      <c r="J2239" s="29" t="s">
        <v>8152</v>
      </c>
      <c r="K2239" s="26" t="s">
        <v>8153</v>
      </c>
      <c r="L2239" s="30">
        <v>866142859</v>
      </c>
      <c r="M2239" s="26" t="s">
        <v>3728</v>
      </c>
      <c r="N2239" s="26" t="s">
        <v>4124</v>
      </c>
      <c r="O2239" s="26" t="s">
        <v>8154</v>
      </c>
      <c r="P2239" s="26" t="s">
        <v>8155</v>
      </c>
      <c r="Q2239" s="20">
        <v>15936</v>
      </c>
      <c r="R2239" s="26" t="s">
        <v>36</v>
      </c>
      <c r="S2239" s="31">
        <v>2000</v>
      </c>
      <c r="T2239" s="32">
        <v>45362</v>
      </c>
      <c r="U2239" s="31">
        <v>13936</v>
      </c>
      <c r="V2239" s="32">
        <v>45402</v>
      </c>
      <c r="W2239" s="33" t="s">
        <v>8156</v>
      </c>
      <c r="X2239" s="26"/>
      <c r="Y2239" s="22">
        <v>0</v>
      </c>
      <c r="Z2239" s="26" t="s">
        <v>118</v>
      </c>
      <c r="AA2239" s="19" t="s">
        <v>8317</v>
      </c>
      <c r="AB2239" s="26" t="s">
        <v>36</v>
      </c>
      <c r="AC2239" s="26" t="s">
        <v>53</v>
      </c>
      <c r="AD2239" s="19" t="s">
        <v>54</v>
      </c>
      <c r="AE2239" s="26" t="s">
        <v>7008</v>
      </c>
      <c r="AF2239" s="17">
        <v>45414</v>
      </c>
      <c r="AG2239" s="26"/>
      <c r="AH2239" s="26"/>
      <c r="AI2239" s="40"/>
      <c r="AJ2239" s="26"/>
      <c r="AK2239" s="26"/>
      <c r="AL2239" s="35"/>
      <c r="AM2239" s="35"/>
      <c r="AN2239" s="35"/>
      <c r="AO2239" s="35"/>
      <c r="AP2239" s="35"/>
    </row>
    <row r="2240" spans="1:42" x14ac:dyDescent="0.2">
      <c r="A2240" s="38">
        <v>45418</v>
      </c>
      <c r="B2240" s="28" t="s">
        <v>37</v>
      </c>
      <c r="C2240" s="41" t="s">
        <v>118</v>
      </c>
      <c r="D2240" s="26" t="s">
        <v>36</v>
      </c>
      <c r="E2240" s="26" t="s">
        <v>139</v>
      </c>
      <c r="F2240" s="26" t="s">
        <v>6842</v>
      </c>
      <c r="G2240" s="26" t="s">
        <v>108</v>
      </c>
      <c r="H2240" s="26" t="s">
        <v>8074</v>
      </c>
      <c r="I2240" s="17">
        <f ca="1">IFERROR(__xludf.DUMMYFUNCTION("""COMPUTED_VALUE"""),45421)</f>
        <v>45421</v>
      </c>
      <c r="J2240" s="29" t="s">
        <v>8148</v>
      </c>
      <c r="K2240" s="26" t="s">
        <v>8149</v>
      </c>
      <c r="L2240" s="30">
        <v>396917775</v>
      </c>
      <c r="M2240" s="26" t="s">
        <v>2755</v>
      </c>
      <c r="N2240" s="26" t="s">
        <v>310</v>
      </c>
      <c r="O2240" s="26" t="s">
        <v>8150</v>
      </c>
      <c r="P2240" s="26" t="s">
        <v>3117</v>
      </c>
      <c r="Q2240" s="20">
        <v>15936</v>
      </c>
      <c r="R2240" s="26" t="s">
        <v>36</v>
      </c>
      <c r="S2240" s="31">
        <v>5000</v>
      </c>
      <c r="T2240" s="32">
        <v>45340</v>
      </c>
      <c r="U2240" s="31">
        <v>10936</v>
      </c>
      <c r="V2240" s="32">
        <v>45383</v>
      </c>
      <c r="W2240" s="33" t="s">
        <v>8151</v>
      </c>
      <c r="X2240" s="26"/>
      <c r="Y2240" s="22">
        <v>0</v>
      </c>
      <c r="Z2240" s="26" t="s">
        <v>118</v>
      </c>
      <c r="AA2240" s="19" t="s">
        <v>8317</v>
      </c>
      <c r="AB2240" s="26" t="s">
        <v>36</v>
      </c>
      <c r="AC2240" s="26" t="s">
        <v>53</v>
      </c>
      <c r="AD2240" s="19" t="s">
        <v>138</v>
      </c>
      <c r="AE2240" s="26" t="s">
        <v>6842</v>
      </c>
      <c r="AF2240" s="17">
        <v>45416</v>
      </c>
      <c r="AG2240" s="26" t="s">
        <v>8075</v>
      </c>
      <c r="AH2240" s="26"/>
      <c r="AI2240" s="40"/>
      <c r="AJ2240" s="26"/>
      <c r="AK2240" s="26"/>
      <c r="AL2240" s="35"/>
      <c r="AM2240" s="35"/>
      <c r="AN2240" s="35"/>
      <c r="AO2240" s="35"/>
      <c r="AP2240" s="35"/>
    </row>
    <row r="2241" spans="1:42" x14ac:dyDescent="0.2">
      <c r="A2241" s="38">
        <v>45418</v>
      </c>
      <c r="B2241" s="28" t="s">
        <v>37</v>
      </c>
      <c r="C2241" s="41" t="s">
        <v>118</v>
      </c>
      <c r="D2241" s="26" t="s">
        <v>36</v>
      </c>
      <c r="E2241" s="26" t="s">
        <v>139</v>
      </c>
      <c r="F2241" s="26" t="s">
        <v>6842</v>
      </c>
      <c r="G2241" s="26" t="s">
        <v>108</v>
      </c>
      <c r="H2241" s="26" t="s">
        <v>8074</v>
      </c>
      <c r="I2241" s="17">
        <f ca="1">IFERROR(__xludf.DUMMYFUNCTION("""COMPUTED_VALUE"""),45421)</f>
        <v>45421</v>
      </c>
      <c r="J2241" s="29" t="s">
        <v>8145</v>
      </c>
      <c r="K2241" s="26" t="s">
        <v>8146</v>
      </c>
      <c r="L2241" s="30">
        <v>968711205</v>
      </c>
      <c r="M2241" s="26" t="s">
        <v>2755</v>
      </c>
      <c r="N2241" s="26" t="s">
        <v>2756</v>
      </c>
      <c r="O2241" s="26" t="s">
        <v>4503</v>
      </c>
      <c r="P2241" s="26" t="s">
        <v>3117</v>
      </c>
      <c r="Q2241" s="20">
        <v>15936</v>
      </c>
      <c r="R2241" s="26" t="s">
        <v>36</v>
      </c>
      <c r="S2241" s="31">
        <v>2000</v>
      </c>
      <c r="T2241" s="32">
        <v>45356</v>
      </c>
      <c r="U2241" s="31">
        <v>13936</v>
      </c>
      <c r="V2241" s="32">
        <v>45407</v>
      </c>
      <c r="W2241" s="33" t="s">
        <v>8147</v>
      </c>
      <c r="X2241" s="26"/>
      <c r="Y2241" s="22">
        <v>0</v>
      </c>
      <c r="Z2241" s="26" t="s">
        <v>118</v>
      </c>
      <c r="AA2241" s="19" t="s">
        <v>8317</v>
      </c>
      <c r="AB2241" s="26" t="s">
        <v>36</v>
      </c>
      <c r="AC2241" s="26" t="s">
        <v>53</v>
      </c>
      <c r="AD2241" s="19" t="s">
        <v>138</v>
      </c>
      <c r="AE2241" s="26" t="s">
        <v>6842</v>
      </c>
      <c r="AF2241" s="17">
        <v>45416</v>
      </c>
      <c r="AG2241" s="26" t="s">
        <v>8075</v>
      </c>
      <c r="AH2241" s="26"/>
      <c r="AI2241" s="40"/>
      <c r="AJ2241" s="26"/>
      <c r="AK2241" s="26"/>
      <c r="AL2241" s="35"/>
      <c r="AM2241" s="35"/>
      <c r="AN2241" s="35"/>
      <c r="AO2241" s="35"/>
      <c r="AP2241" s="35"/>
    </row>
    <row r="2242" spans="1:42" x14ac:dyDescent="0.2">
      <c r="A2242" s="38">
        <v>45418</v>
      </c>
      <c r="B2242" s="28" t="s">
        <v>37</v>
      </c>
      <c r="C2242" s="41" t="s">
        <v>118</v>
      </c>
      <c r="D2242" s="26" t="s">
        <v>36</v>
      </c>
      <c r="E2242" s="26" t="s">
        <v>139</v>
      </c>
      <c r="F2242" s="26" t="s">
        <v>6842</v>
      </c>
      <c r="G2242" s="26" t="s">
        <v>108</v>
      </c>
      <c r="H2242" s="26" t="s">
        <v>8074</v>
      </c>
      <c r="I2242" s="17">
        <f ca="1">IFERROR(__xludf.DUMMYFUNCTION("""COMPUTED_VALUE"""),45421)</f>
        <v>45421</v>
      </c>
      <c r="J2242" s="29" t="s">
        <v>8136</v>
      </c>
      <c r="K2242" s="26" t="s">
        <v>8137</v>
      </c>
      <c r="L2242" s="30">
        <v>902137724</v>
      </c>
      <c r="M2242" s="26" t="s">
        <v>123</v>
      </c>
      <c r="N2242" s="26" t="s">
        <v>186</v>
      </c>
      <c r="O2242" s="26" t="s">
        <v>4503</v>
      </c>
      <c r="P2242" s="26" t="s">
        <v>3487</v>
      </c>
      <c r="Q2242" s="20">
        <v>15936</v>
      </c>
      <c r="R2242" s="26" t="s">
        <v>36</v>
      </c>
      <c r="S2242" s="31">
        <v>200</v>
      </c>
      <c r="T2242" s="32">
        <v>45330</v>
      </c>
      <c r="U2242" s="31">
        <f>5000+10636+100</f>
        <v>15736</v>
      </c>
      <c r="V2242" s="26" t="s">
        <v>8138</v>
      </c>
      <c r="W2242" s="26" t="s">
        <v>8139</v>
      </c>
      <c r="X2242" s="26"/>
      <c r="Y2242" s="22">
        <v>0</v>
      </c>
      <c r="Z2242" s="26" t="s">
        <v>118</v>
      </c>
      <c r="AA2242" s="19" t="s">
        <v>8317</v>
      </c>
      <c r="AB2242" s="26" t="s">
        <v>36</v>
      </c>
      <c r="AC2242" s="26" t="s">
        <v>53</v>
      </c>
      <c r="AD2242" s="19" t="s">
        <v>138</v>
      </c>
      <c r="AE2242" s="26" t="s">
        <v>6842</v>
      </c>
      <c r="AF2242" s="17">
        <v>45416</v>
      </c>
      <c r="AG2242" s="26" t="s">
        <v>8075</v>
      </c>
      <c r="AH2242" s="26"/>
      <c r="AI2242" s="40"/>
      <c r="AJ2242" s="26"/>
      <c r="AK2242" s="26"/>
      <c r="AL2242" s="35"/>
      <c r="AM2242" s="35"/>
      <c r="AN2242" s="35"/>
      <c r="AO2242" s="35"/>
      <c r="AP2242" s="35"/>
    </row>
    <row r="2243" spans="1:42" x14ac:dyDescent="0.2">
      <c r="A2243" s="126">
        <v>45420.455086215283</v>
      </c>
      <c r="B2243" s="28" t="s">
        <v>37</v>
      </c>
      <c r="C2243" s="41" t="s">
        <v>118</v>
      </c>
      <c r="D2243" s="26" t="s">
        <v>36</v>
      </c>
      <c r="E2243" s="26" t="s">
        <v>139</v>
      </c>
      <c r="F2243" s="19" t="s">
        <v>7103</v>
      </c>
      <c r="G2243" s="26" t="s">
        <v>108</v>
      </c>
      <c r="H2243" s="26" t="s">
        <v>3439</v>
      </c>
      <c r="I2243" s="17">
        <f ca="1">IFERROR(__xludf.DUMMYFUNCTION("""COMPUTED_VALUE"""),45432)</f>
        <v>45432</v>
      </c>
      <c r="J2243" s="49" t="s">
        <v>8126</v>
      </c>
      <c r="K2243" s="19" t="s">
        <v>8127</v>
      </c>
      <c r="L2243" s="30">
        <v>339320314</v>
      </c>
      <c r="M2243" s="26" t="s">
        <v>80</v>
      </c>
      <c r="N2243" s="26" t="s">
        <v>466</v>
      </c>
      <c r="O2243" s="26" t="s">
        <v>8128</v>
      </c>
      <c r="P2243" s="26" t="s">
        <v>2641</v>
      </c>
      <c r="Q2243" s="20">
        <v>15936</v>
      </c>
      <c r="R2243" s="26" t="s">
        <v>36</v>
      </c>
      <c r="S2243" s="31">
        <v>4000</v>
      </c>
      <c r="T2243" s="32">
        <v>45349</v>
      </c>
      <c r="U2243" s="31">
        <v>11936</v>
      </c>
      <c r="V2243" s="32">
        <v>45390</v>
      </c>
      <c r="W2243" s="33" t="s">
        <v>8129</v>
      </c>
      <c r="X2243" s="26"/>
      <c r="Y2243" s="22">
        <v>0</v>
      </c>
      <c r="Z2243" s="26" t="s">
        <v>118</v>
      </c>
      <c r="AA2243" s="19" t="s">
        <v>8317</v>
      </c>
      <c r="AB2243" s="26" t="s">
        <v>36</v>
      </c>
      <c r="AC2243" s="26" t="s">
        <v>53</v>
      </c>
      <c r="AD2243" s="19" t="s">
        <v>138</v>
      </c>
      <c r="AE2243" s="26" t="s">
        <v>7103</v>
      </c>
      <c r="AF2243" s="17">
        <v>45432</v>
      </c>
      <c r="AG2243" s="26" t="s">
        <v>1362</v>
      </c>
      <c r="AH2243" s="26"/>
      <c r="AI2243" s="40"/>
      <c r="AJ2243" s="26"/>
      <c r="AK2243" s="26"/>
      <c r="AL2243" s="35"/>
      <c r="AM2243" s="35"/>
      <c r="AN2243" s="35"/>
      <c r="AO2243" s="35"/>
      <c r="AP2243" s="35"/>
    </row>
    <row r="2244" spans="1:42" x14ac:dyDescent="0.2">
      <c r="A2244" s="126">
        <v>45420.455086215283</v>
      </c>
      <c r="B2244" s="28" t="s">
        <v>37</v>
      </c>
      <c r="C2244" s="41" t="s">
        <v>118</v>
      </c>
      <c r="D2244" s="26" t="s">
        <v>36</v>
      </c>
      <c r="E2244" s="26" t="s">
        <v>56</v>
      </c>
      <c r="F2244" s="19" t="s">
        <v>7103</v>
      </c>
      <c r="G2244" s="26" t="s">
        <v>108</v>
      </c>
      <c r="H2244" s="26" t="s">
        <v>3439</v>
      </c>
      <c r="I2244" s="17">
        <f ca="1">IFERROR(__xludf.DUMMYFUNCTION("""COMPUTED_VALUE"""),45432)</f>
        <v>45432</v>
      </c>
      <c r="J2244" s="56" t="s">
        <v>8176</v>
      </c>
      <c r="K2244" s="35" t="s">
        <v>8177</v>
      </c>
      <c r="L2244" s="30">
        <v>386450746</v>
      </c>
      <c r="M2244" s="26" t="s">
        <v>2755</v>
      </c>
      <c r="N2244" s="26" t="s">
        <v>2756</v>
      </c>
      <c r="O2244" s="26" t="s">
        <v>4503</v>
      </c>
      <c r="P2244" s="26" t="s">
        <v>7847</v>
      </c>
      <c r="Q2244" s="20">
        <v>9317</v>
      </c>
      <c r="R2244" s="26" t="s">
        <v>36</v>
      </c>
      <c r="S2244" s="31">
        <v>4000</v>
      </c>
      <c r="T2244" s="32">
        <v>45369</v>
      </c>
      <c r="U2244" s="31">
        <v>5317</v>
      </c>
      <c r="V2244" s="32">
        <v>45389</v>
      </c>
      <c r="W2244" s="33" t="s">
        <v>8178</v>
      </c>
      <c r="X2244" s="26"/>
      <c r="Y2244" s="22">
        <v>0</v>
      </c>
      <c r="Z2244" s="26" t="s">
        <v>118</v>
      </c>
      <c r="AA2244" s="19" t="s">
        <v>8317</v>
      </c>
      <c r="AB2244" s="26" t="s">
        <v>36</v>
      </c>
      <c r="AC2244" s="26" t="s">
        <v>53</v>
      </c>
      <c r="AD2244" s="19" t="s">
        <v>138</v>
      </c>
      <c r="AE2244" s="26" t="s">
        <v>7103</v>
      </c>
      <c r="AF2244" s="17">
        <v>45432</v>
      </c>
      <c r="AG2244" s="26" t="s">
        <v>1362</v>
      </c>
      <c r="AH2244" s="26"/>
      <c r="AI2244" s="40"/>
      <c r="AJ2244" s="26"/>
      <c r="AK2244" s="26"/>
      <c r="AL2244" s="35"/>
      <c r="AM2244" s="35"/>
      <c r="AN2244" s="35"/>
      <c r="AO2244" s="35"/>
      <c r="AP2244" s="35"/>
    </row>
    <row r="2245" spans="1:42" x14ac:dyDescent="0.2">
      <c r="A2245" s="126">
        <v>45420.455086215283</v>
      </c>
      <c r="B2245" s="28" t="s">
        <v>37</v>
      </c>
      <c r="C2245" s="41" t="s">
        <v>118</v>
      </c>
      <c r="D2245" s="26" t="s">
        <v>36</v>
      </c>
      <c r="E2245" s="26" t="s">
        <v>56</v>
      </c>
      <c r="F2245" s="19" t="s">
        <v>7103</v>
      </c>
      <c r="G2245" s="26" t="s">
        <v>108</v>
      </c>
      <c r="H2245" s="26" t="s">
        <v>3439</v>
      </c>
      <c r="I2245" s="17">
        <f ca="1">IFERROR(__xludf.DUMMYFUNCTION("""COMPUTED_VALUE"""),45432)</f>
        <v>45432</v>
      </c>
      <c r="J2245" s="29" t="s">
        <v>8179</v>
      </c>
      <c r="K2245" s="26" t="s">
        <v>8180</v>
      </c>
      <c r="L2245" s="30">
        <v>987979075</v>
      </c>
      <c r="M2245" s="26" t="s">
        <v>2755</v>
      </c>
      <c r="N2245" s="26" t="s">
        <v>2756</v>
      </c>
      <c r="O2245" s="26" t="s">
        <v>4503</v>
      </c>
      <c r="P2245" s="26" t="s">
        <v>7847</v>
      </c>
      <c r="Q2245" s="20">
        <v>9317</v>
      </c>
      <c r="R2245" s="26" t="s">
        <v>1106</v>
      </c>
      <c r="S2245" s="31">
        <v>4000</v>
      </c>
      <c r="T2245" s="26" t="s">
        <v>8181</v>
      </c>
      <c r="U2245" s="31">
        <v>5167</v>
      </c>
      <c r="V2245" s="32">
        <v>45388</v>
      </c>
      <c r="W2245" s="26" t="s">
        <v>8182</v>
      </c>
      <c r="X2245" s="26"/>
      <c r="Y2245" s="22">
        <v>150</v>
      </c>
      <c r="Z2245" s="26" t="s">
        <v>118</v>
      </c>
      <c r="AA2245" s="19" t="s">
        <v>8317</v>
      </c>
      <c r="AB2245" s="26" t="s">
        <v>36</v>
      </c>
      <c r="AC2245" s="26" t="s">
        <v>53</v>
      </c>
      <c r="AD2245" s="19" t="s">
        <v>138</v>
      </c>
      <c r="AE2245" s="26" t="s">
        <v>7103</v>
      </c>
      <c r="AF2245" s="17">
        <v>45432</v>
      </c>
      <c r="AG2245" s="26" t="s">
        <v>1362</v>
      </c>
      <c r="AH2245" s="26"/>
      <c r="AI2245" s="40"/>
      <c r="AJ2245" s="26"/>
      <c r="AK2245" s="26"/>
      <c r="AL2245" s="35"/>
      <c r="AM2245" s="35"/>
      <c r="AN2245" s="35"/>
      <c r="AO2245" s="35"/>
      <c r="AP2245" s="35"/>
    </row>
    <row r="2246" spans="1:42" x14ac:dyDescent="0.2">
      <c r="A2246" s="126">
        <v>45420.455086215283</v>
      </c>
      <c r="B2246" s="28" t="s">
        <v>37</v>
      </c>
      <c r="C2246" s="41" t="s">
        <v>118</v>
      </c>
      <c r="D2246" s="26" t="s">
        <v>36</v>
      </c>
      <c r="E2246" s="26" t="s">
        <v>56</v>
      </c>
      <c r="F2246" s="19" t="s">
        <v>7103</v>
      </c>
      <c r="G2246" s="26" t="s">
        <v>108</v>
      </c>
      <c r="H2246" s="26" t="s">
        <v>3439</v>
      </c>
      <c r="I2246" s="17">
        <f ca="1">IFERROR(__xludf.DUMMYFUNCTION("""COMPUTED_VALUE"""),45432)</f>
        <v>45432</v>
      </c>
      <c r="J2246" s="29" t="s">
        <v>8096</v>
      </c>
      <c r="K2246" s="26" t="s">
        <v>8097</v>
      </c>
      <c r="L2246" s="30">
        <v>342377057</v>
      </c>
      <c r="M2246" s="26" t="s">
        <v>3728</v>
      </c>
      <c r="N2246" s="26" t="s">
        <v>5277</v>
      </c>
      <c r="O2246" s="26" t="s">
        <v>8098</v>
      </c>
      <c r="P2246" s="26" t="s">
        <v>8099</v>
      </c>
      <c r="Q2246" s="20">
        <v>9317</v>
      </c>
      <c r="R2246" s="26" t="s">
        <v>36</v>
      </c>
      <c r="S2246" s="31">
        <v>500</v>
      </c>
      <c r="T2246" s="32">
        <v>45301</v>
      </c>
      <c r="U2246" s="31">
        <f>1500+7317</f>
        <v>8817</v>
      </c>
      <c r="V2246" s="26" t="s">
        <v>8100</v>
      </c>
      <c r="W2246" s="33" t="s">
        <v>8101</v>
      </c>
      <c r="X2246" s="26"/>
      <c r="Y2246" s="22">
        <v>0</v>
      </c>
      <c r="Z2246" s="26" t="s">
        <v>118</v>
      </c>
      <c r="AA2246" s="19" t="s">
        <v>8317</v>
      </c>
      <c r="AB2246" s="26" t="s">
        <v>36</v>
      </c>
      <c r="AC2246" s="26" t="s">
        <v>53</v>
      </c>
      <c r="AD2246" s="19" t="s">
        <v>138</v>
      </c>
      <c r="AE2246" s="26" t="s">
        <v>7103</v>
      </c>
      <c r="AF2246" s="17">
        <v>45432</v>
      </c>
      <c r="AG2246" s="26" t="s">
        <v>1362</v>
      </c>
      <c r="AH2246" s="26"/>
      <c r="AI2246" s="40"/>
      <c r="AJ2246" s="26"/>
      <c r="AK2246" s="26"/>
      <c r="AL2246" s="35"/>
      <c r="AM2246" s="35"/>
      <c r="AN2246" s="35"/>
      <c r="AO2246" s="35"/>
      <c r="AP2246" s="35"/>
    </row>
    <row r="2247" spans="1:42" x14ac:dyDescent="0.2">
      <c r="A2247" s="38">
        <v>45422</v>
      </c>
      <c r="B2247" s="28" t="s">
        <v>37</v>
      </c>
      <c r="C2247" s="41" t="s">
        <v>118</v>
      </c>
      <c r="D2247" s="26" t="s">
        <v>36</v>
      </c>
      <c r="E2247" s="26" t="s">
        <v>39</v>
      </c>
      <c r="F2247" s="26" t="s">
        <v>6637</v>
      </c>
      <c r="G2247" s="26" t="s">
        <v>108</v>
      </c>
      <c r="H2247" s="26" t="s">
        <v>8093</v>
      </c>
      <c r="I2247" s="17">
        <f ca="1">IFERROR(__xludf.DUMMYFUNCTION("""COMPUTED_VALUE"""),45433)</f>
        <v>45433</v>
      </c>
      <c r="J2247" s="29" t="s">
        <v>7651</v>
      </c>
      <c r="K2247" s="26" t="s">
        <v>8321</v>
      </c>
      <c r="L2247" s="30">
        <v>963594680</v>
      </c>
      <c r="M2247" s="26" t="s">
        <v>910</v>
      </c>
      <c r="N2247" s="26" t="s">
        <v>260</v>
      </c>
      <c r="O2247" s="26" t="s">
        <v>7653</v>
      </c>
      <c r="P2247" s="42" t="s">
        <v>7654</v>
      </c>
      <c r="Q2247" s="20">
        <v>5736</v>
      </c>
      <c r="R2247" s="26" t="s">
        <v>36</v>
      </c>
      <c r="S2247" s="31">
        <v>2000</v>
      </c>
      <c r="T2247" s="32">
        <v>45347</v>
      </c>
      <c r="U2247" s="31">
        <v>3736</v>
      </c>
      <c r="V2247" s="32">
        <v>45357</v>
      </c>
      <c r="W2247" s="33" t="s">
        <v>7655</v>
      </c>
      <c r="X2247" s="26">
        <v>0</v>
      </c>
      <c r="Y2247" s="22">
        <v>0</v>
      </c>
      <c r="Z2247" s="26" t="s">
        <v>118</v>
      </c>
      <c r="AA2247" s="19" t="s">
        <v>7361</v>
      </c>
      <c r="AB2247" s="26" t="s">
        <v>36</v>
      </c>
      <c r="AC2247" s="26" t="s">
        <v>53</v>
      </c>
      <c r="AD2247" s="19" t="s">
        <v>54</v>
      </c>
      <c r="AE2247" s="26" t="s">
        <v>6637</v>
      </c>
      <c r="AF2247" s="17">
        <v>45428</v>
      </c>
      <c r="AG2247" s="26"/>
      <c r="AH2247" s="40">
        <v>1.5</v>
      </c>
      <c r="AI2247" s="40"/>
      <c r="AJ2247" s="26"/>
      <c r="AK2247" s="26"/>
      <c r="AL2247" s="35"/>
      <c r="AM2247" s="35"/>
      <c r="AN2247" s="35"/>
      <c r="AO2247" s="35"/>
      <c r="AP2247" s="35"/>
    </row>
    <row r="2248" spans="1:42" x14ac:dyDescent="0.2">
      <c r="A2248" s="38">
        <v>45422</v>
      </c>
      <c r="B2248" s="28" t="s">
        <v>37</v>
      </c>
      <c r="C2248" s="41" t="s">
        <v>118</v>
      </c>
      <c r="D2248" s="26" t="s">
        <v>36</v>
      </c>
      <c r="E2248" s="26" t="s">
        <v>56</v>
      </c>
      <c r="F2248" s="26" t="s">
        <v>4869</v>
      </c>
      <c r="G2248" s="26" t="s">
        <v>221</v>
      </c>
      <c r="H2248" s="26" t="s">
        <v>6959</v>
      </c>
      <c r="I2248" s="17">
        <f ca="1">IFERROR(__xludf.DUMMYFUNCTION("""COMPUTED_VALUE"""),45415)</f>
        <v>45415</v>
      </c>
      <c r="J2248" s="29" t="s">
        <v>2307</v>
      </c>
      <c r="K2248" s="26" t="s">
        <v>8322</v>
      </c>
      <c r="L2248" s="30">
        <v>347466460</v>
      </c>
      <c r="M2248" s="26" t="s">
        <v>123</v>
      </c>
      <c r="N2248" s="35" t="s">
        <v>2309</v>
      </c>
      <c r="O2248" s="26" t="s">
        <v>125</v>
      </c>
      <c r="P2248" s="26" t="s">
        <v>2310</v>
      </c>
      <c r="Q2248" s="20">
        <v>9317</v>
      </c>
      <c r="R2248" s="26" t="s">
        <v>36</v>
      </c>
      <c r="S2248" s="31">
        <v>500</v>
      </c>
      <c r="T2248" s="32">
        <v>44888</v>
      </c>
      <c r="U2248" s="31">
        <v>16279</v>
      </c>
      <c r="V2248" s="74">
        <v>44906</v>
      </c>
      <c r="W2248" s="33" t="s">
        <v>2311</v>
      </c>
      <c r="X2248" s="35">
        <v>0</v>
      </c>
      <c r="Y2248" s="22">
        <v>-7462</v>
      </c>
      <c r="Z2248" s="26" t="s">
        <v>118</v>
      </c>
      <c r="AA2248" s="19" t="s">
        <v>4541</v>
      </c>
      <c r="AB2248" s="26" t="s">
        <v>36</v>
      </c>
      <c r="AC2248" s="26" t="s">
        <v>53</v>
      </c>
      <c r="AD2248" s="19" t="s">
        <v>138</v>
      </c>
      <c r="AE2248" s="26" t="s">
        <v>4869</v>
      </c>
      <c r="AF2248" s="17">
        <v>45422</v>
      </c>
      <c r="AG2248" s="19" t="s">
        <v>2312</v>
      </c>
      <c r="AH2248" s="26" t="s">
        <v>8323</v>
      </c>
      <c r="AI2248" s="40"/>
      <c r="AJ2248" s="26"/>
      <c r="AK2248" s="26"/>
      <c r="AL2248" s="35"/>
      <c r="AM2248" s="35"/>
      <c r="AN2248" s="35"/>
      <c r="AO2248" s="35"/>
      <c r="AP2248" s="35"/>
    </row>
    <row r="2249" spans="1:42" x14ac:dyDescent="0.2">
      <c r="A2249" s="38">
        <v>45422</v>
      </c>
      <c r="B2249" s="28" t="s">
        <v>1703</v>
      </c>
      <c r="C2249" s="41" t="s">
        <v>118</v>
      </c>
      <c r="D2249" s="26" t="s">
        <v>36</v>
      </c>
      <c r="E2249" s="26" t="s">
        <v>139</v>
      </c>
      <c r="F2249" s="26" t="s">
        <v>7273</v>
      </c>
      <c r="G2249" s="26" t="s">
        <v>41</v>
      </c>
      <c r="H2249" s="26" t="s">
        <v>865</v>
      </c>
      <c r="I2249" s="17" t="str">
        <f ca="1">IFERROR(__xludf.DUMMYFUNCTION("""COMPUTED_VALUE""")," ")</f>
        <v xml:space="preserve"> </v>
      </c>
      <c r="J2249" s="44" t="s">
        <v>7785</v>
      </c>
      <c r="K2249" s="19" t="s">
        <v>8324</v>
      </c>
      <c r="L2249" s="30">
        <v>849188626</v>
      </c>
      <c r="M2249" s="26" t="s">
        <v>45</v>
      </c>
      <c r="N2249" s="26" t="s">
        <v>565</v>
      </c>
      <c r="O2249" s="26" t="s">
        <v>7787</v>
      </c>
      <c r="P2249" s="42" t="s">
        <v>8325</v>
      </c>
      <c r="Q2249" s="20">
        <v>15936</v>
      </c>
      <c r="R2249" s="26" t="s">
        <v>36</v>
      </c>
      <c r="S2249" s="31">
        <v>2000</v>
      </c>
      <c r="T2249" s="32">
        <v>44999</v>
      </c>
      <c r="U2249" s="31">
        <v>13936</v>
      </c>
      <c r="V2249" s="32">
        <v>45378</v>
      </c>
      <c r="W2249" s="33" t="s">
        <v>7789</v>
      </c>
      <c r="X2249" s="26"/>
      <c r="Y2249" s="22">
        <v>0</v>
      </c>
      <c r="Z2249" s="26" t="s">
        <v>118</v>
      </c>
      <c r="AA2249" s="19" t="s">
        <v>7361</v>
      </c>
      <c r="AB2249" s="26"/>
      <c r="AC2249" s="26" t="s">
        <v>53</v>
      </c>
      <c r="AD2249" s="19" t="s">
        <v>54</v>
      </c>
      <c r="AE2249" s="26" t="s">
        <v>7273</v>
      </c>
      <c r="AF2249" s="17"/>
      <c r="AG2249" s="26"/>
      <c r="AH2249" s="26"/>
      <c r="AI2249" s="40"/>
      <c r="AJ2249" s="26"/>
      <c r="AK2249" s="26"/>
      <c r="AL2249" s="35"/>
      <c r="AM2249" s="35"/>
      <c r="AN2249" s="35"/>
      <c r="AO2249" s="35"/>
      <c r="AP2249" s="35"/>
    </row>
    <row r="2250" spans="1:42" x14ac:dyDescent="0.2">
      <c r="A2250" s="38">
        <v>45425</v>
      </c>
      <c r="B2250" s="28" t="s">
        <v>37</v>
      </c>
      <c r="C2250" s="41" t="s">
        <v>118</v>
      </c>
      <c r="D2250" s="26" t="s">
        <v>36</v>
      </c>
      <c r="E2250" s="26" t="s">
        <v>39</v>
      </c>
      <c r="F2250" s="26" t="s">
        <v>7273</v>
      </c>
      <c r="G2250" s="26" t="s">
        <v>108</v>
      </c>
      <c r="H2250" s="26" t="s">
        <v>8093</v>
      </c>
      <c r="I2250" s="17">
        <f ca="1">IFERROR(__xludf.DUMMYFUNCTION("""COMPUTED_VALUE"""),45433)</f>
        <v>45433</v>
      </c>
      <c r="J2250" s="29" t="s">
        <v>7770</v>
      </c>
      <c r="K2250" s="26" t="s">
        <v>7771</v>
      </c>
      <c r="L2250" s="30">
        <v>389835638</v>
      </c>
      <c r="M2250" s="26" t="s">
        <v>59</v>
      </c>
      <c r="N2250" s="26" t="s">
        <v>68</v>
      </c>
      <c r="O2250" s="26" t="s">
        <v>7772</v>
      </c>
      <c r="P2250" s="42" t="s">
        <v>8326</v>
      </c>
      <c r="Q2250" s="20">
        <v>5736</v>
      </c>
      <c r="R2250" s="26" t="s">
        <v>36</v>
      </c>
      <c r="S2250" s="31">
        <v>5736</v>
      </c>
      <c r="T2250" s="32">
        <v>45364</v>
      </c>
      <c r="U2250" s="31"/>
      <c r="V2250" s="32"/>
      <c r="W2250" s="33" t="s">
        <v>7774</v>
      </c>
      <c r="X2250" s="26"/>
      <c r="Y2250" s="22">
        <v>0</v>
      </c>
      <c r="Z2250" s="26" t="s">
        <v>118</v>
      </c>
      <c r="AA2250" s="19" t="s">
        <v>7361</v>
      </c>
      <c r="AB2250" s="26" t="s">
        <v>36</v>
      </c>
      <c r="AC2250" s="26" t="s">
        <v>53</v>
      </c>
      <c r="AD2250" s="19" t="s">
        <v>54</v>
      </c>
      <c r="AE2250" s="26" t="s">
        <v>7273</v>
      </c>
      <c r="AF2250" s="17">
        <v>45428</v>
      </c>
      <c r="AG2250" s="26"/>
      <c r="AH2250" s="26"/>
      <c r="AI2250" s="40"/>
      <c r="AJ2250" s="26"/>
      <c r="AK2250" s="26"/>
      <c r="AL2250" s="35"/>
      <c r="AM2250" s="35"/>
      <c r="AN2250" s="35"/>
      <c r="AO2250" s="35"/>
      <c r="AP2250" s="35"/>
    </row>
    <row r="2251" spans="1:42" x14ac:dyDescent="0.2">
      <c r="A2251" s="38">
        <v>45425</v>
      </c>
      <c r="B2251" s="28" t="s">
        <v>37</v>
      </c>
      <c r="C2251" s="41" t="s">
        <v>118</v>
      </c>
      <c r="D2251" s="26" t="s">
        <v>36</v>
      </c>
      <c r="E2251" s="26" t="s">
        <v>139</v>
      </c>
      <c r="F2251" s="26" t="s">
        <v>7273</v>
      </c>
      <c r="G2251" s="26" t="s">
        <v>108</v>
      </c>
      <c r="H2251" s="26" t="s">
        <v>8093</v>
      </c>
      <c r="I2251" s="17">
        <f ca="1">IFERROR(__xludf.DUMMYFUNCTION("""COMPUTED_VALUE"""),45433)</f>
        <v>45433</v>
      </c>
      <c r="J2251" s="29" t="s">
        <v>7749</v>
      </c>
      <c r="K2251" s="26" t="s">
        <v>7750</v>
      </c>
      <c r="L2251" s="30">
        <v>707452004</v>
      </c>
      <c r="M2251" s="26" t="s">
        <v>3288</v>
      </c>
      <c r="N2251" s="26" t="s">
        <v>200</v>
      </c>
      <c r="O2251" s="26" t="s">
        <v>7751</v>
      </c>
      <c r="P2251" s="26" t="s">
        <v>8327</v>
      </c>
      <c r="Q2251" s="20">
        <v>15936</v>
      </c>
      <c r="R2251" s="26" t="s">
        <v>36</v>
      </c>
      <c r="S2251" s="31">
        <v>15936</v>
      </c>
      <c r="T2251" s="32">
        <v>45362</v>
      </c>
      <c r="U2251" s="31"/>
      <c r="V2251" s="32"/>
      <c r="W2251" s="33" t="s">
        <v>7753</v>
      </c>
      <c r="X2251" s="26"/>
      <c r="Y2251" s="22">
        <v>0</v>
      </c>
      <c r="Z2251" s="26" t="s">
        <v>118</v>
      </c>
      <c r="AA2251" s="19" t="s">
        <v>7361</v>
      </c>
      <c r="AB2251" s="26" t="s">
        <v>36</v>
      </c>
      <c r="AC2251" s="26" t="s">
        <v>53</v>
      </c>
      <c r="AD2251" s="19" t="s">
        <v>54</v>
      </c>
      <c r="AE2251" s="26" t="s">
        <v>7273</v>
      </c>
      <c r="AF2251" s="17">
        <v>45428</v>
      </c>
      <c r="AG2251" s="26"/>
      <c r="AH2251" s="26"/>
      <c r="AI2251" s="40"/>
      <c r="AJ2251" s="26"/>
      <c r="AK2251" s="26"/>
      <c r="AL2251" s="35"/>
      <c r="AM2251" s="35"/>
      <c r="AN2251" s="35"/>
      <c r="AO2251" s="35"/>
      <c r="AP2251" s="35"/>
    </row>
    <row r="2252" spans="1:42" x14ac:dyDescent="0.2">
      <c r="A2252" s="38">
        <v>45425</v>
      </c>
      <c r="B2252" s="28" t="s">
        <v>37</v>
      </c>
      <c r="C2252" s="41" t="s">
        <v>118</v>
      </c>
      <c r="D2252" s="26" t="s">
        <v>36</v>
      </c>
      <c r="E2252" s="26" t="s">
        <v>56</v>
      </c>
      <c r="F2252" s="26" t="s">
        <v>5472</v>
      </c>
      <c r="G2252" s="71" t="s">
        <v>108</v>
      </c>
      <c r="H2252" s="26" t="s">
        <v>2163</v>
      </c>
      <c r="I2252" s="17">
        <f ca="1">IFERROR(__xludf.DUMMYFUNCTION("""COMPUTED_VALUE"""),45440)</f>
        <v>45440</v>
      </c>
      <c r="J2252" s="29" t="s">
        <v>6215</v>
      </c>
      <c r="K2252" s="26" t="s">
        <v>8328</v>
      </c>
      <c r="L2252" s="30">
        <v>393587181</v>
      </c>
      <c r="M2252" s="26" t="s">
        <v>3288</v>
      </c>
      <c r="N2252" s="26" t="s">
        <v>200</v>
      </c>
      <c r="O2252" s="26" t="s">
        <v>6217</v>
      </c>
      <c r="P2252" s="42" t="s">
        <v>6218</v>
      </c>
      <c r="Q2252" s="20">
        <v>9317</v>
      </c>
      <c r="R2252" s="26" t="s">
        <v>36</v>
      </c>
      <c r="S2252" s="31">
        <v>2000</v>
      </c>
      <c r="T2252" s="32">
        <v>45233</v>
      </c>
      <c r="U2252" s="31">
        <v>7317</v>
      </c>
      <c r="V2252" s="32">
        <v>45282</v>
      </c>
      <c r="W2252" s="33" t="s">
        <v>6219</v>
      </c>
      <c r="X2252" s="26">
        <v>0</v>
      </c>
      <c r="Y2252" s="22">
        <v>0</v>
      </c>
      <c r="Z2252" s="98" t="s">
        <v>118</v>
      </c>
      <c r="AA2252" s="19" t="s">
        <v>6541</v>
      </c>
      <c r="AB2252" s="26" t="s">
        <v>36</v>
      </c>
      <c r="AC2252" s="26" t="s">
        <v>53</v>
      </c>
      <c r="AD2252" s="14" t="s">
        <v>54</v>
      </c>
      <c r="AE2252" s="26" t="s">
        <v>5472</v>
      </c>
      <c r="AF2252" s="17">
        <v>45293</v>
      </c>
      <c r="AG2252" s="40"/>
      <c r="AH2252" s="26">
        <v>2</v>
      </c>
      <c r="AI2252" s="40" t="s">
        <v>64</v>
      </c>
      <c r="AJ2252" s="26"/>
      <c r="AK2252" s="26"/>
      <c r="AL2252" s="35"/>
      <c r="AM2252" s="35"/>
      <c r="AN2252" s="35"/>
      <c r="AO2252" s="35"/>
      <c r="AP2252" s="35"/>
    </row>
    <row r="2253" spans="1:42" x14ac:dyDescent="0.2">
      <c r="A2253" s="38">
        <v>45425</v>
      </c>
      <c r="B2253" s="28" t="s">
        <v>37</v>
      </c>
      <c r="C2253" s="41" t="s">
        <v>118</v>
      </c>
      <c r="D2253" s="26" t="s">
        <v>36</v>
      </c>
      <c r="E2253" s="26" t="s">
        <v>56</v>
      </c>
      <c r="F2253" s="26" t="s">
        <v>7103</v>
      </c>
      <c r="G2253" s="26" t="s">
        <v>108</v>
      </c>
      <c r="H2253" s="26" t="s">
        <v>3439</v>
      </c>
      <c r="I2253" s="17">
        <f ca="1">IFERROR(__xludf.DUMMYFUNCTION("""COMPUTED_VALUE"""),45432)</f>
        <v>45432</v>
      </c>
      <c r="J2253" s="29" t="s">
        <v>8183</v>
      </c>
      <c r="K2253" s="26" t="s">
        <v>8184</v>
      </c>
      <c r="L2253" s="30">
        <v>559921505</v>
      </c>
      <c r="M2253" s="26" t="s">
        <v>2755</v>
      </c>
      <c r="N2253" s="26" t="s">
        <v>2756</v>
      </c>
      <c r="O2253" s="26" t="s">
        <v>4503</v>
      </c>
      <c r="P2253" s="26" t="s">
        <v>7847</v>
      </c>
      <c r="Q2253" s="20">
        <v>9317</v>
      </c>
      <c r="R2253" s="26" t="s">
        <v>1106</v>
      </c>
      <c r="S2253" s="31">
        <v>4500</v>
      </c>
      <c r="T2253" s="32">
        <v>45371</v>
      </c>
      <c r="U2253" s="31">
        <v>4667</v>
      </c>
      <c r="V2253" s="32">
        <v>45389</v>
      </c>
      <c r="W2253" s="26" t="s">
        <v>8185</v>
      </c>
      <c r="X2253" s="26"/>
      <c r="Y2253" s="22">
        <v>150</v>
      </c>
      <c r="Z2253" s="98" t="s">
        <v>118</v>
      </c>
      <c r="AA2253" s="19" t="s">
        <v>8102</v>
      </c>
      <c r="AB2253" s="26" t="s">
        <v>36</v>
      </c>
      <c r="AC2253" s="26" t="s">
        <v>53</v>
      </c>
      <c r="AD2253" s="19" t="s">
        <v>138</v>
      </c>
      <c r="AE2253" s="26" t="s">
        <v>7103</v>
      </c>
      <c r="AF2253" s="17">
        <v>45432</v>
      </c>
      <c r="AG2253" s="26" t="s">
        <v>1362</v>
      </c>
      <c r="AH2253" s="26"/>
      <c r="AI2253" s="40"/>
      <c r="AJ2253" s="26"/>
      <c r="AK2253" s="26"/>
      <c r="AL2253" s="35"/>
      <c r="AM2253" s="35"/>
      <c r="AN2253" s="35"/>
      <c r="AO2253" s="35"/>
      <c r="AP2253" s="35"/>
    </row>
    <row r="2254" spans="1:42" x14ac:dyDescent="0.2">
      <c r="A2254" s="99">
        <v>45019</v>
      </c>
      <c r="B2254" s="28" t="s">
        <v>37</v>
      </c>
      <c r="C2254" s="41" t="s">
        <v>118</v>
      </c>
      <c r="D2254" s="26" t="s">
        <v>36</v>
      </c>
      <c r="E2254" s="26" t="s">
        <v>148</v>
      </c>
      <c r="F2254" s="26" t="s">
        <v>1208</v>
      </c>
      <c r="G2254" s="71" t="s">
        <v>108</v>
      </c>
      <c r="H2254" s="26" t="s">
        <v>7918</v>
      </c>
      <c r="I2254" s="17">
        <f ca="1">IFERROR(__xludf.DUMMYFUNCTION("""COMPUTED_VALUE"""),45405)</f>
        <v>45405</v>
      </c>
      <c r="J2254" s="29" t="s">
        <v>8329</v>
      </c>
      <c r="K2254" s="26" t="s">
        <v>8330</v>
      </c>
      <c r="L2254" s="30">
        <v>363745203</v>
      </c>
      <c r="M2254" s="26" t="s">
        <v>3288</v>
      </c>
      <c r="N2254" s="26" t="s">
        <v>8331</v>
      </c>
      <c r="O2254" s="26" t="s">
        <v>91</v>
      </c>
      <c r="P2254" s="42" t="s">
        <v>8332</v>
      </c>
      <c r="Q2254" s="20">
        <v>7349</v>
      </c>
      <c r="R2254" s="26" t="s">
        <v>36</v>
      </c>
      <c r="S2254" s="31">
        <v>1000</v>
      </c>
      <c r="T2254" s="32">
        <v>44760</v>
      </c>
      <c r="U2254" s="31">
        <v>6349</v>
      </c>
      <c r="V2254" s="32">
        <v>45016</v>
      </c>
      <c r="W2254" s="26" t="s">
        <v>8333</v>
      </c>
      <c r="X2254" s="26"/>
      <c r="Y2254" s="22">
        <v>0</v>
      </c>
      <c r="Z2254" s="98" t="s">
        <v>118</v>
      </c>
      <c r="AA2254" s="19" t="s">
        <v>8334</v>
      </c>
      <c r="AB2254" s="26" t="s">
        <v>36</v>
      </c>
      <c r="AC2254" s="26" t="s">
        <v>53</v>
      </c>
      <c r="AD2254" s="14" t="s">
        <v>54</v>
      </c>
      <c r="AE2254" s="26" t="s">
        <v>1208</v>
      </c>
      <c r="AF2254" s="17">
        <v>45146</v>
      </c>
      <c r="AG2254" s="35"/>
      <c r="AH2254" s="91"/>
      <c r="AI2254" s="91"/>
      <c r="AJ2254" s="92">
        <v>45019.400212615743</v>
      </c>
      <c r="AK2254" s="35"/>
      <c r="AL2254" s="128" t="s">
        <v>8335</v>
      </c>
      <c r="AM2254" s="35"/>
      <c r="AN2254" s="35"/>
      <c r="AO2254" s="26"/>
      <c r="AP2254" s="35"/>
    </row>
    <row r="2255" spans="1:42" x14ac:dyDescent="0.2">
      <c r="A2255" s="99">
        <v>45061</v>
      </c>
      <c r="B2255" s="28" t="s">
        <v>37</v>
      </c>
      <c r="C2255" s="41" t="s">
        <v>118</v>
      </c>
      <c r="D2255" s="26" t="s">
        <v>36</v>
      </c>
      <c r="E2255" s="26" t="s">
        <v>139</v>
      </c>
      <c r="F2255" s="26" t="s">
        <v>7008</v>
      </c>
      <c r="G2255" s="71" t="s">
        <v>108</v>
      </c>
      <c r="H2255" s="26" t="s">
        <v>8336</v>
      </c>
      <c r="I2255" s="17" t="str">
        <f ca="1">IFERROR(__xludf.DUMMYFUNCTION("""COMPUTED_VALUE""")," ")</f>
        <v xml:space="preserve"> </v>
      </c>
      <c r="J2255" s="29" t="s">
        <v>8141</v>
      </c>
      <c r="K2255" s="26" t="s">
        <v>8142</v>
      </c>
      <c r="L2255" s="30">
        <v>769246870</v>
      </c>
      <c r="M2255" s="26" t="s">
        <v>123</v>
      </c>
      <c r="N2255" s="26" t="s">
        <v>186</v>
      </c>
      <c r="O2255" s="26" t="s">
        <v>4503</v>
      </c>
      <c r="P2255" s="42" t="s">
        <v>8337</v>
      </c>
      <c r="Q2255" s="20">
        <v>15936</v>
      </c>
      <c r="R2255" s="26" t="s">
        <v>70</v>
      </c>
      <c r="S2255" s="31">
        <v>15736</v>
      </c>
      <c r="T2255" s="32">
        <v>45353</v>
      </c>
      <c r="U2255" s="31">
        <v>100</v>
      </c>
      <c r="V2255" s="32">
        <v>45412</v>
      </c>
      <c r="W2255" s="33" t="s">
        <v>8144</v>
      </c>
      <c r="X2255" s="26"/>
      <c r="Y2255" s="22">
        <v>100</v>
      </c>
      <c r="Z2255" s="98" t="s">
        <v>118</v>
      </c>
      <c r="AA2255" s="19" t="s">
        <v>8102</v>
      </c>
      <c r="AB2255" s="26" t="s">
        <v>36</v>
      </c>
      <c r="AC2255" s="26" t="s">
        <v>53</v>
      </c>
      <c r="AD2255" s="14" t="s">
        <v>54</v>
      </c>
      <c r="AE2255" s="26" t="s">
        <v>7008</v>
      </c>
      <c r="AF2255" s="17">
        <v>45435</v>
      </c>
      <c r="AG2255" s="26"/>
      <c r="AH2255" s="26"/>
      <c r="AI2255" s="40"/>
      <c r="AJ2255" s="26"/>
      <c r="AK2255" s="26"/>
      <c r="AL2255" s="35"/>
      <c r="AM2255" s="35"/>
      <c r="AN2255" s="35"/>
      <c r="AO2255" s="35"/>
      <c r="AP2255" s="35"/>
    </row>
    <row r="2256" spans="1:42" x14ac:dyDescent="0.2">
      <c r="A2256" s="99">
        <v>45062</v>
      </c>
      <c r="B2256" s="28" t="s">
        <v>37</v>
      </c>
      <c r="C2256" s="41" t="s">
        <v>118</v>
      </c>
      <c r="D2256" s="26" t="s">
        <v>36</v>
      </c>
      <c r="E2256" s="26" t="s">
        <v>119</v>
      </c>
      <c r="F2256" s="26" t="s">
        <v>3388</v>
      </c>
      <c r="G2256" s="26" t="s">
        <v>1847</v>
      </c>
      <c r="H2256" s="26" t="s">
        <v>8338</v>
      </c>
      <c r="I2256" s="17">
        <f ca="1">IFERROR(__xludf.DUMMYFUNCTION("""COMPUTED_VALUE"""),45462)</f>
        <v>45462</v>
      </c>
      <c r="J2256" s="29" t="s">
        <v>563</v>
      </c>
      <c r="K2256" s="26" t="s">
        <v>3389</v>
      </c>
      <c r="L2256" s="30">
        <v>982295843</v>
      </c>
      <c r="M2256" s="26" t="s">
        <v>45</v>
      </c>
      <c r="N2256" s="26" t="s">
        <v>565</v>
      </c>
      <c r="O2256" s="26" t="s">
        <v>566</v>
      </c>
      <c r="P2256" s="42" t="s">
        <v>8339</v>
      </c>
      <c r="Q2256" s="20">
        <v>13968</v>
      </c>
      <c r="R2256" s="26" t="s">
        <v>36</v>
      </c>
      <c r="S2256" s="31">
        <v>13968</v>
      </c>
      <c r="T2256" s="32">
        <v>45127</v>
      </c>
      <c r="U2256" s="31"/>
      <c r="V2256" s="26"/>
      <c r="W2256" s="33" t="s">
        <v>568</v>
      </c>
      <c r="X2256" s="26">
        <v>0</v>
      </c>
      <c r="Y2256" s="22">
        <v>0</v>
      </c>
      <c r="Z2256" s="26" t="s">
        <v>118</v>
      </c>
      <c r="AA2256" s="19" t="s">
        <v>51</v>
      </c>
      <c r="AB2256" s="26" t="s">
        <v>36</v>
      </c>
      <c r="AC2256" s="26" t="s">
        <v>53</v>
      </c>
      <c r="AD2256" s="19" t="s">
        <v>54</v>
      </c>
      <c r="AE2256" s="26" t="s">
        <v>3388</v>
      </c>
      <c r="AF2256" s="17">
        <v>45455</v>
      </c>
      <c r="AG2256" s="26"/>
      <c r="AH2256" s="26">
        <v>1</v>
      </c>
      <c r="AI2256" s="40">
        <v>4</v>
      </c>
      <c r="AJ2256" s="26"/>
      <c r="AK2256" s="26"/>
      <c r="AL2256" s="35"/>
      <c r="AM2256" s="35"/>
      <c r="AN2256" s="35"/>
      <c r="AO2256" s="35"/>
      <c r="AP2256" s="35"/>
    </row>
    <row r="2257" spans="1:42" x14ac:dyDescent="0.2">
      <c r="A2257" s="126">
        <v>45189.468626701389</v>
      </c>
      <c r="B2257" s="28" t="s">
        <v>37</v>
      </c>
      <c r="C2257" s="41" t="s">
        <v>118</v>
      </c>
      <c r="D2257" s="26" t="s">
        <v>36</v>
      </c>
      <c r="E2257" s="26" t="s">
        <v>56</v>
      </c>
      <c r="F2257" s="26" t="s">
        <v>36</v>
      </c>
      <c r="G2257" s="26" t="s">
        <v>41</v>
      </c>
      <c r="H2257" s="26" t="s">
        <v>2889</v>
      </c>
      <c r="I2257" s="17">
        <f ca="1">IFERROR(__xludf.DUMMYFUNCTION("""COMPUTED_VALUE"""),45200)</f>
        <v>45200</v>
      </c>
      <c r="J2257" s="44" t="s">
        <v>4968</v>
      </c>
      <c r="K2257" s="26" t="s">
        <v>4969</v>
      </c>
      <c r="L2257" s="30">
        <v>963789993</v>
      </c>
      <c r="M2257" s="26" t="s">
        <v>80</v>
      </c>
      <c r="N2257" s="26" t="s">
        <v>81</v>
      </c>
      <c r="O2257" s="26" t="s">
        <v>4970</v>
      </c>
      <c r="P2257" s="26" t="s">
        <v>3178</v>
      </c>
      <c r="Q2257" s="20">
        <v>9317</v>
      </c>
      <c r="R2257" s="26" t="s">
        <v>36</v>
      </c>
      <c r="S2257" s="31">
        <v>2000</v>
      </c>
      <c r="T2257" s="32">
        <v>45188</v>
      </c>
      <c r="U2257" s="31">
        <v>7317</v>
      </c>
      <c r="V2257" s="32">
        <v>45217</v>
      </c>
      <c r="W2257" s="33" t="s">
        <v>4972</v>
      </c>
      <c r="X2257" s="26"/>
      <c r="Y2257" s="22">
        <v>0</v>
      </c>
      <c r="Z2257" s="26" t="s">
        <v>118</v>
      </c>
      <c r="AA2257" s="19" t="s">
        <v>8340</v>
      </c>
      <c r="AB2257" s="26" t="s">
        <v>36</v>
      </c>
      <c r="AC2257" s="26" t="s">
        <v>53</v>
      </c>
      <c r="AD2257" s="19" t="s">
        <v>138</v>
      </c>
      <c r="AE2257" s="26">
        <v>0</v>
      </c>
      <c r="AF2257" s="17">
        <v>45200</v>
      </c>
      <c r="AG2257" s="26" t="s">
        <v>1631</v>
      </c>
      <c r="AH2257" s="26"/>
      <c r="AI2257" s="40"/>
      <c r="AJ2257" s="136" t="s">
        <v>8341</v>
      </c>
      <c r="AK2257" s="26"/>
      <c r="AL2257" s="35"/>
      <c r="AM2257" s="35"/>
      <c r="AN2257" s="35"/>
      <c r="AO2257" s="35"/>
      <c r="AP2257" s="35"/>
    </row>
    <row r="2258" spans="1:42" x14ac:dyDescent="0.2">
      <c r="A2258" s="99">
        <v>45062</v>
      </c>
      <c r="B2258" s="28" t="s">
        <v>37</v>
      </c>
      <c r="C2258" s="41" t="s">
        <v>118</v>
      </c>
      <c r="D2258" s="26" t="s">
        <v>36</v>
      </c>
      <c r="E2258" s="26" t="s">
        <v>119</v>
      </c>
      <c r="F2258" s="26" t="s">
        <v>3388</v>
      </c>
      <c r="G2258" s="26" t="s">
        <v>1847</v>
      </c>
      <c r="H2258" s="26" t="s">
        <v>8338</v>
      </c>
      <c r="I2258" s="17">
        <f ca="1">IFERROR(__xludf.DUMMYFUNCTION("""COMPUTED_VALUE"""),45462)</f>
        <v>45462</v>
      </c>
      <c r="J2258" s="29" t="s">
        <v>1029</v>
      </c>
      <c r="K2258" s="26" t="s">
        <v>1350</v>
      </c>
      <c r="L2258" s="30">
        <v>984718447</v>
      </c>
      <c r="M2258" s="26" t="s">
        <v>80</v>
      </c>
      <c r="N2258" s="26" t="s">
        <v>253</v>
      </c>
      <c r="O2258" s="26" t="s">
        <v>1031</v>
      </c>
      <c r="P2258" s="42" t="s">
        <v>1032</v>
      </c>
      <c r="Q2258" s="20">
        <v>13968</v>
      </c>
      <c r="R2258" s="26" t="s">
        <v>36</v>
      </c>
      <c r="S2258" s="31">
        <v>4000</v>
      </c>
      <c r="T2258" s="32">
        <v>45121</v>
      </c>
      <c r="U2258" s="31">
        <v>9968</v>
      </c>
      <c r="V2258" s="32">
        <v>45140</v>
      </c>
      <c r="W2258" s="33" t="s">
        <v>1033</v>
      </c>
      <c r="X2258" s="26">
        <v>0</v>
      </c>
      <c r="Y2258" s="22">
        <v>0</v>
      </c>
      <c r="Z2258" s="26" t="s">
        <v>118</v>
      </c>
      <c r="AA2258" s="19" t="s">
        <v>901</v>
      </c>
      <c r="AB2258" s="26" t="s">
        <v>36</v>
      </c>
      <c r="AC2258" s="26" t="s">
        <v>53</v>
      </c>
      <c r="AD2258" s="19" t="s">
        <v>54</v>
      </c>
      <c r="AE2258" s="26" t="s">
        <v>3388</v>
      </c>
      <c r="AF2258" s="17">
        <v>45455</v>
      </c>
      <c r="AG2258" s="26"/>
      <c r="AH2258" s="26">
        <v>1</v>
      </c>
      <c r="AI2258" s="40">
        <v>4</v>
      </c>
      <c r="AJ2258" s="26"/>
      <c r="AK2258" s="26"/>
      <c r="AL2258" s="35"/>
      <c r="AM2258" s="35"/>
      <c r="AN2258" s="35"/>
      <c r="AO2258" s="35"/>
      <c r="AP2258" s="35"/>
    </row>
    <row r="2259" spans="1:42" x14ac:dyDescent="0.2">
      <c r="A2259" s="99">
        <v>45062</v>
      </c>
      <c r="B2259" s="28" t="s">
        <v>37</v>
      </c>
      <c r="C2259" s="41" t="s">
        <v>118</v>
      </c>
      <c r="D2259" s="26" t="s">
        <v>36</v>
      </c>
      <c r="E2259" s="26" t="s">
        <v>119</v>
      </c>
      <c r="F2259" s="26" t="s">
        <v>5075</v>
      </c>
      <c r="G2259" s="26" t="s">
        <v>1847</v>
      </c>
      <c r="H2259" s="26" t="s">
        <v>8338</v>
      </c>
      <c r="I2259" s="17">
        <f ca="1">IFERROR(__xludf.DUMMYFUNCTION("""COMPUTED_VALUE"""),45462)</f>
        <v>45462</v>
      </c>
      <c r="J2259" s="29" t="s">
        <v>1662</v>
      </c>
      <c r="K2259" s="26" t="s">
        <v>1663</v>
      </c>
      <c r="L2259" s="30">
        <v>334362815</v>
      </c>
      <c r="M2259" s="26" t="s">
        <v>1245</v>
      </c>
      <c r="N2259" s="26" t="s">
        <v>8342</v>
      </c>
      <c r="O2259" s="26" t="s">
        <v>91</v>
      </c>
      <c r="P2259" s="42" t="s">
        <v>5079</v>
      </c>
      <c r="Q2259" s="20">
        <v>13968</v>
      </c>
      <c r="R2259" s="26" t="s">
        <v>36</v>
      </c>
      <c r="S2259" s="31">
        <v>13968</v>
      </c>
      <c r="T2259" s="32">
        <v>45157</v>
      </c>
      <c r="U2259" s="31"/>
      <c r="V2259" s="26"/>
      <c r="W2259" s="33" t="s">
        <v>1665</v>
      </c>
      <c r="X2259" s="26">
        <v>0</v>
      </c>
      <c r="Y2259" s="22">
        <v>0</v>
      </c>
      <c r="Z2259" s="26" t="s">
        <v>118</v>
      </c>
      <c r="AA2259" s="19" t="s">
        <v>901</v>
      </c>
      <c r="AB2259" s="26" t="s">
        <v>36</v>
      </c>
      <c r="AC2259" s="26" t="s">
        <v>53</v>
      </c>
      <c r="AD2259" s="19" t="s">
        <v>54</v>
      </c>
      <c r="AE2259" s="26" t="s">
        <v>5075</v>
      </c>
      <c r="AF2259" s="17">
        <v>45455</v>
      </c>
      <c r="AG2259" s="26"/>
      <c r="AH2259" s="26">
        <v>1</v>
      </c>
      <c r="AI2259" s="40">
        <v>4</v>
      </c>
      <c r="AJ2259" s="26"/>
      <c r="AK2259" s="26"/>
      <c r="AL2259" s="35"/>
      <c r="AM2259" s="35"/>
      <c r="AN2259" s="35"/>
      <c r="AO2259" s="35"/>
      <c r="AP2259" s="35"/>
    </row>
    <row r="2260" spans="1:42" x14ac:dyDescent="0.2">
      <c r="A2260" s="99">
        <v>45062</v>
      </c>
      <c r="B2260" s="28" t="s">
        <v>37</v>
      </c>
      <c r="C2260" s="41" t="s">
        <v>118</v>
      </c>
      <c r="D2260" s="26" t="s">
        <v>36</v>
      </c>
      <c r="E2260" s="26" t="s">
        <v>119</v>
      </c>
      <c r="F2260" s="26" t="s">
        <v>3388</v>
      </c>
      <c r="G2260" s="26" t="s">
        <v>1847</v>
      </c>
      <c r="H2260" s="26" t="s">
        <v>8343</v>
      </c>
      <c r="I2260" s="17">
        <f ca="1">IFERROR(__xludf.DUMMYFUNCTION("""COMPUTED_VALUE"""),45555)</f>
        <v>45555</v>
      </c>
      <c r="J2260" s="29" t="s">
        <v>458</v>
      </c>
      <c r="K2260" s="26" t="s">
        <v>8344</v>
      </c>
      <c r="L2260" s="30">
        <v>911919266</v>
      </c>
      <c r="M2260" s="19" t="s">
        <v>80</v>
      </c>
      <c r="N2260" s="19" t="s">
        <v>460</v>
      </c>
      <c r="O2260" s="26" t="s">
        <v>91</v>
      </c>
      <c r="P2260" s="42" t="s">
        <v>8345</v>
      </c>
      <c r="Q2260" s="20">
        <v>13968</v>
      </c>
      <c r="R2260" s="26" t="s">
        <v>36</v>
      </c>
      <c r="S2260" s="31">
        <v>2000</v>
      </c>
      <c r="T2260" s="32">
        <v>45122</v>
      </c>
      <c r="U2260" s="31">
        <v>11968</v>
      </c>
      <c r="V2260" s="32">
        <v>45135</v>
      </c>
      <c r="W2260" s="33" t="s">
        <v>463</v>
      </c>
      <c r="X2260" s="26">
        <v>0</v>
      </c>
      <c r="Y2260" s="22">
        <v>0</v>
      </c>
      <c r="Z2260" s="26" t="s">
        <v>118</v>
      </c>
      <c r="AA2260" s="19" t="s">
        <v>4541</v>
      </c>
      <c r="AB2260" s="26" t="s">
        <v>36</v>
      </c>
      <c r="AC2260" s="26" t="s">
        <v>53</v>
      </c>
      <c r="AD2260" s="19" t="s">
        <v>54</v>
      </c>
      <c r="AE2260" s="26" t="s">
        <v>3388</v>
      </c>
      <c r="AF2260" s="17">
        <v>45455</v>
      </c>
      <c r="AG2260" s="26"/>
      <c r="AH2260" s="26"/>
      <c r="AI2260" s="40"/>
      <c r="AJ2260" s="26"/>
      <c r="AK2260" s="26"/>
      <c r="AL2260" s="35"/>
      <c r="AM2260" s="35"/>
      <c r="AN2260" s="35"/>
      <c r="AO2260" s="35"/>
      <c r="AP2260" s="35"/>
    </row>
    <row r="2261" spans="1:42" x14ac:dyDescent="0.2">
      <c r="A2261" s="99">
        <v>45065</v>
      </c>
      <c r="B2261" s="28" t="s">
        <v>37</v>
      </c>
      <c r="C2261" s="41" t="s">
        <v>118</v>
      </c>
      <c r="D2261" s="26" t="s">
        <v>36</v>
      </c>
      <c r="E2261" s="26" t="s">
        <v>139</v>
      </c>
      <c r="F2261" s="26" t="s">
        <v>6831</v>
      </c>
      <c r="G2261" s="26" t="s">
        <v>108</v>
      </c>
      <c r="H2261" s="26" t="s">
        <v>2163</v>
      </c>
      <c r="I2261" s="17">
        <f ca="1">IFERROR(__xludf.DUMMYFUNCTION("""COMPUTED_VALUE"""),45440)</f>
        <v>45440</v>
      </c>
      <c r="J2261" s="29" t="s">
        <v>7599</v>
      </c>
      <c r="K2261" s="26" t="s">
        <v>7600</v>
      </c>
      <c r="L2261" s="30">
        <v>349926599</v>
      </c>
      <c r="M2261" s="26" t="s">
        <v>5558</v>
      </c>
      <c r="N2261" s="26" t="s">
        <v>5559</v>
      </c>
      <c r="O2261" s="26" t="s">
        <v>4503</v>
      </c>
      <c r="P2261" s="42" t="s">
        <v>7601</v>
      </c>
      <c r="Q2261" s="20">
        <v>15936</v>
      </c>
      <c r="R2261" s="26" t="s">
        <v>36</v>
      </c>
      <c r="S2261" s="31">
        <v>2000</v>
      </c>
      <c r="T2261" s="32">
        <v>45317</v>
      </c>
      <c r="U2261" s="31">
        <v>13936</v>
      </c>
      <c r="V2261" s="32">
        <v>45355</v>
      </c>
      <c r="W2261" s="33" t="s">
        <v>7602</v>
      </c>
      <c r="X2261" s="26"/>
      <c r="Y2261" s="22">
        <v>0</v>
      </c>
      <c r="Z2261" s="26" t="s">
        <v>118</v>
      </c>
      <c r="AA2261" s="19" t="s">
        <v>7361</v>
      </c>
      <c r="AB2261" s="26" t="s">
        <v>36</v>
      </c>
      <c r="AC2261" s="26" t="s">
        <v>53</v>
      </c>
      <c r="AD2261" s="19" t="s">
        <v>54</v>
      </c>
      <c r="AE2261" s="26" t="s">
        <v>6831</v>
      </c>
      <c r="AF2261" s="17">
        <v>45435</v>
      </c>
      <c r="AG2261" s="26"/>
      <c r="AH2261" s="26"/>
      <c r="AI2261" s="40"/>
      <c r="AJ2261" s="26"/>
      <c r="AK2261" s="26"/>
      <c r="AL2261" s="35"/>
      <c r="AM2261" s="35"/>
      <c r="AN2261" s="35"/>
      <c r="AO2261" s="35"/>
      <c r="AP2261" s="35"/>
    </row>
    <row r="2262" spans="1:42" x14ac:dyDescent="0.2">
      <c r="A2262" s="99">
        <v>45066</v>
      </c>
      <c r="B2262" s="28" t="s">
        <v>37</v>
      </c>
      <c r="C2262" s="41" t="s">
        <v>118</v>
      </c>
      <c r="D2262" s="26" t="s">
        <v>36</v>
      </c>
      <c r="E2262" s="26" t="s">
        <v>139</v>
      </c>
      <c r="F2262" s="26" t="s">
        <v>2440</v>
      </c>
      <c r="G2262" s="26" t="s">
        <v>221</v>
      </c>
      <c r="H2262" s="26" t="s">
        <v>6882</v>
      </c>
      <c r="I2262" s="17">
        <f ca="1">IFERROR(__xludf.DUMMYFUNCTION("""COMPUTED_VALUE"""),45442)</f>
        <v>45442</v>
      </c>
      <c r="J2262" s="29" t="s">
        <v>5410</v>
      </c>
      <c r="K2262" s="26" t="s">
        <v>6098</v>
      </c>
      <c r="L2262" s="30">
        <v>375501405</v>
      </c>
      <c r="M2262" s="26" t="s">
        <v>123</v>
      </c>
      <c r="N2262" s="26" t="s">
        <v>186</v>
      </c>
      <c r="O2262" s="26" t="s">
        <v>1226</v>
      </c>
      <c r="P2262" s="42" t="s">
        <v>8346</v>
      </c>
      <c r="Q2262" s="20">
        <v>15936</v>
      </c>
      <c r="R2262" s="26" t="s">
        <v>36</v>
      </c>
      <c r="S2262" s="31">
        <v>2000</v>
      </c>
      <c r="T2262" s="32">
        <v>45221</v>
      </c>
      <c r="U2262" s="58">
        <v>13936</v>
      </c>
      <c r="V2262" s="59">
        <v>45240</v>
      </c>
      <c r="W2262" s="33" t="s">
        <v>5413</v>
      </c>
      <c r="X2262" s="26"/>
      <c r="Y2262" s="22">
        <v>0</v>
      </c>
      <c r="Z2262" s="26" t="s">
        <v>118</v>
      </c>
      <c r="AA2262" s="19" t="s">
        <v>5112</v>
      </c>
      <c r="AB2262" s="26" t="s">
        <v>36</v>
      </c>
      <c r="AC2262" s="26" t="s">
        <v>53</v>
      </c>
      <c r="AD2262" s="19" t="s">
        <v>54</v>
      </c>
      <c r="AE2262" s="26" t="s">
        <v>423</v>
      </c>
      <c r="AF2262" s="17">
        <v>45443</v>
      </c>
      <c r="AG2262" s="26"/>
      <c r="AH2262" s="26"/>
      <c r="AI2262" s="40" t="s">
        <v>147</v>
      </c>
      <c r="AJ2262" s="26"/>
      <c r="AK2262" s="26"/>
      <c r="AL2262" s="35"/>
      <c r="AM2262" s="35"/>
      <c r="AN2262" s="35"/>
      <c r="AO2262" s="35"/>
      <c r="AP2262" s="35"/>
    </row>
    <row r="2263" spans="1:42" x14ac:dyDescent="0.2">
      <c r="A2263" s="99">
        <v>45066</v>
      </c>
      <c r="B2263" s="28" t="s">
        <v>37</v>
      </c>
      <c r="C2263" s="41" t="s">
        <v>118</v>
      </c>
      <c r="D2263" s="26" t="s">
        <v>36</v>
      </c>
      <c r="E2263" s="26" t="s">
        <v>139</v>
      </c>
      <c r="F2263" s="26" t="s">
        <v>1788</v>
      </c>
      <c r="G2263" s="26" t="s">
        <v>221</v>
      </c>
      <c r="H2263" s="26" t="s">
        <v>6882</v>
      </c>
      <c r="I2263" s="17">
        <f ca="1">IFERROR(__xludf.DUMMYFUNCTION("""COMPUTED_VALUE"""),45442)</f>
        <v>45442</v>
      </c>
      <c r="J2263" s="29" t="s">
        <v>4775</v>
      </c>
      <c r="K2263" s="26" t="s">
        <v>4776</v>
      </c>
      <c r="L2263" s="30">
        <v>386960308</v>
      </c>
      <c r="M2263" s="26" t="s">
        <v>123</v>
      </c>
      <c r="N2263" s="26" t="s">
        <v>151</v>
      </c>
      <c r="O2263" s="26" t="s">
        <v>3754</v>
      </c>
      <c r="P2263" s="42" t="s">
        <v>8347</v>
      </c>
      <c r="Q2263" s="20">
        <v>15936</v>
      </c>
      <c r="R2263" s="26" t="s">
        <v>36</v>
      </c>
      <c r="S2263" s="31">
        <v>2000</v>
      </c>
      <c r="T2263" s="32">
        <v>45136</v>
      </c>
      <c r="U2263" s="31">
        <v>13936</v>
      </c>
      <c r="V2263" s="32">
        <v>45159</v>
      </c>
      <c r="W2263" s="33" t="s">
        <v>1174</v>
      </c>
      <c r="X2263" s="26">
        <v>0</v>
      </c>
      <c r="Y2263" s="22">
        <v>0</v>
      </c>
      <c r="Z2263" s="26" t="s">
        <v>118</v>
      </c>
      <c r="AA2263" s="19" t="s">
        <v>4541</v>
      </c>
      <c r="AB2263" s="26" t="s">
        <v>36</v>
      </c>
      <c r="AC2263" s="26" t="s">
        <v>53</v>
      </c>
      <c r="AD2263" s="19" t="s">
        <v>54</v>
      </c>
      <c r="AE2263" s="26" t="s">
        <v>1788</v>
      </c>
      <c r="AF2263" s="17">
        <v>45435</v>
      </c>
      <c r="AG2263" s="26"/>
      <c r="AH2263" s="26"/>
      <c r="AI2263" s="40"/>
      <c r="AJ2263" s="26"/>
      <c r="AK2263" s="26"/>
      <c r="AL2263" s="35"/>
      <c r="AM2263" s="35"/>
      <c r="AN2263" s="35"/>
      <c r="AO2263" s="35"/>
      <c r="AP2263" s="35"/>
    </row>
    <row r="2264" spans="1:42" x14ac:dyDescent="0.2">
      <c r="A2264" s="99">
        <v>45068</v>
      </c>
      <c r="B2264" s="28" t="s">
        <v>37</v>
      </c>
      <c r="C2264" s="41" t="s">
        <v>118</v>
      </c>
      <c r="D2264" s="26" t="s">
        <v>36</v>
      </c>
      <c r="E2264" s="26" t="s">
        <v>219</v>
      </c>
      <c r="F2264" s="26" t="s">
        <v>8348</v>
      </c>
      <c r="G2264" s="26" t="s">
        <v>221</v>
      </c>
      <c r="H2264" s="26" t="s">
        <v>6882</v>
      </c>
      <c r="I2264" s="17">
        <f ca="1">IFERROR(__xludf.DUMMYFUNCTION("""COMPUTED_VALUE"""),45442)</f>
        <v>45442</v>
      </c>
      <c r="J2264" s="29" t="s">
        <v>8349</v>
      </c>
      <c r="K2264" s="26" t="s">
        <v>8350</v>
      </c>
      <c r="L2264" s="30">
        <v>702271490</v>
      </c>
      <c r="M2264" s="26" t="s">
        <v>1245</v>
      </c>
      <c r="N2264" s="26" t="s">
        <v>1750</v>
      </c>
      <c r="O2264" s="26" t="s">
        <v>61</v>
      </c>
      <c r="P2264" s="26" t="s">
        <v>8351</v>
      </c>
      <c r="Q2264" s="20">
        <v>10804</v>
      </c>
      <c r="R2264" s="26" t="s">
        <v>36</v>
      </c>
      <c r="S2264" s="31">
        <v>10268</v>
      </c>
      <c r="T2264" s="32">
        <v>44771</v>
      </c>
      <c r="U2264" s="31"/>
      <c r="V2264" s="26"/>
      <c r="W2264" s="124" t="s">
        <v>8352</v>
      </c>
      <c r="X2264" s="35">
        <v>0</v>
      </c>
      <c r="Y2264" s="22">
        <v>536</v>
      </c>
      <c r="Z2264" s="98" t="s">
        <v>118</v>
      </c>
      <c r="AA2264" s="19" t="s">
        <v>2051</v>
      </c>
      <c r="AB2264" s="26" t="s">
        <v>36</v>
      </c>
      <c r="AC2264" s="26" t="s">
        <v>53</v>
      </c>
      <c r="AD2264" s="19" t="s">
        <v>54</v>
      </c>
      <c r="AE2264" s="26" t="s">
        <v>8353</v>
      </c>
      <c r="AF2264" s="17">
        <v>45435</v>
      </c>
      <c r="AG2264" s="26"/>
      <c r="AH2264" s="131">
        <v>3</v>
      </c>
      <c r="AI2264" s="132"/>
      <c r="AJ2264" s="132">
        <v>44986.309319282409</v>
      </c>
      <c r="AK2264" s="96"/>
      <c r="AL2264" s="96">
        <v>702271490</v>
      </c>
      <c r="AM2264" s="96"/>
      <c r="AN2264" s="96"/>
      <c r="AO2264" s="26"/>
      <c r="AP2264" s="35"/>
    </row>
    <row r="2265" spans="1:42" x14ac:dyDescent="0.2">
      <c r="A2265" s="99">
        <v>45068</v>
      </c>
      <c r="B2265" s="28" t="s">
        <v>37</v>
      </c>
      <c r="C2265" s="41" t="s">
        <v>118</v>
      </c>
      <c r="D2265" s="26" t="s">
        <v>77</v>
      </c>
      <c r="E2265" s="26" t="s">
        <v>148</v>
      </c>
      <c r="F2265" s="26" t="s">
        <v>1788</v>
      </c>
      <c r="G2265" s="26" t="s">
        <v>221</v>
      </c>
      <c r="H2265" s="26" t="s">
        <v>6882</v>
      </c>
      <c r="I2265" s="17">
        <f ca="1">IFERROR(__xludf.DUMMYFUNCTION("""COMPUTED_VALUE"""),45442)</f>
        <v>45442</v>
      </c>
      <c r="J2265" s="29" t="s">
        <v>1047</v>
      </c>
      <c r="K2265" s="26" t="s">
        <v>1789</v>
      </c>
      <c r="L2265" s="30">
        <v>392941006</v>
      </c>
      <c r="M2265" s="26" t="s">
        <v>123</v>
      </c>
      <c r="N2265" s="26" t="s">
        <v>310</v>
      </c>
      <c r="O2265" s="26" t="s">
        <v>61</v>
      </c>
      <c r="P2265" s="42" t="s">
        <v>8354</v>
      </c>
      <c r="Q2265" s="20">
        <v>7349</v>
      </c>
      <c r="R2265" s="26" t="s">
        <v>36</v>
      </c>
      <c r="S2265" s="31">
        <v>7349</v>
      </c>
      <c r="T2265" s="32">
        <v>45165</v>
      </c>
      <c r="U2265" s="31"/>
      <c r="V2265" s="26"/>
      <c r="W2265" s="33" t="s">
        <v>1790</v>
      </c>
      <c r="X2265" s="26">
        <v>100</v>
      </c>
      <c r="Y2265" s="22">
        <v>-100</v>
      </c>
      <c r="Z2265" s="98" t="s">
        <v>118</v>
      </c>
      <c r="AA2265" s="19" t="s">
        <v>901</v>
      </c>
      <c r="AB2265" s="26" t="s">
        <v>36</v>
      </c>
      <c r="AC2265" s="26" t="s">
        <v>53</v>
      </c>
      <c r="AD2265" s="19" t="s">
        <v>54</v>
      </c>
      <c r="AE2265" s="26" t="s">
        <v>1788</v>
      </c>
      <c r="AF2265" s="17">
        <v>45435</v>
      </c>
      <c r="AG2265" s="26"/>
      <c r="AH2265" s="26">
        <v>2</v>
      </c>
      <c r="AI2265" s="40">
        <v>2</v>
      </c>
      <c r="AJ2265" s="26"/>
      <c r="AK2265" s="26"/>
      <c r="AL2265" s="35"/>
      <c r="AM2265" s="35"/>
      <c r="AN2265" s="35"/>
      <c r="AO2265" s="35"/>
      <c r="AP2265" s="35"/>
    </row>
    <row r="2266" spans="1:42" x14ac:dyDescent="0.2">
      <c r="A2266" s="99">
        <v>45068</v>
      </c>
      <c r="B2266" s="28" t="s">
        <v>37</v>
      </c>
      <c r="C2266" s="41" t="s">
        <v>118</v>
      </c>
      <c r="D2266" s="26" t="s">
        <v>77</v>
      </c>
      <c r="E2266" s="26" t="s">
        <v>119</v>
      </c>
      <c r="F2266" s="26" t="s">
        <v>3366</v>
      </c>
      <c r="G2266" s="26" t="s">
        <v>221</v>
      </c>
      <c r="H2266" s="26" t="s">
        <v>8355</v>
      </c>
      <c r="I2266" s="17" t="str">
        <f ca="1">IFERROR(__xludf.DUMMYFUNCTION("""COMPUTED_VALUE""")," ")</f>
        <v xml:space="preserve"> </v>
      </c>
      <c r="J2266" s="29" t="s">
        <v>3627</v>
      </c>
      <c r="K2266" s="26" t="s">
        <v>3628</v>
      </c>
      <c r="L2266" s="30">
        <v>913472537</v>
      </c>
      <c r="M2266" s="26" t="s">
        <v>2755</v>
      </c>
      <c r="N2266" s="26" t="s">
        <v>2756</v>
      </c>
      <c r="O2266" s="26" t="s">
        <v>4503</v>
      </c>
      <c r="P2266" s="42" t="s">
        <v>8356</v>
      </c>
      <c r="Q2266" s="20">
        <v>13968</v>
      </c>
      <c r="R2266" s="26" t="s">
        <v>36</v>
      </c>
      <c r="S2266" s="31">
        <v>11936</v>
      </c>
      <c r="T2266" s="32">
        <v>45284</v>
      </c>
      <c r="U2266" s="31">
        <v>2000</v>
      </c>
      <c r="V2266" s="32">
        <v>45288</v>
      </c>
      <c r="W2266" s="33" t="s">
        <v>6480</v>
      </c>
      <c r="X2266" s="26"/>
      <c r="Y2266" s="22">
        <v>32</v>
      </c>
      <c r="Z2266" s="98" t="s">
        <v>118</v>
      </c>
      <c r="AA2266" s="19" t="s">
        <v>5961</v>
      </c>
      <c r="AB2266" s="26" t="s">
        <v>36</v>
      </c>
      <c r="AC2266" s="26" t="s">
        <v>53</v>
      </c>
      <c r="AD2266" s="19" t="s">
        <v>138</v>
      </c>
      <c r="AE2266" s="26" t="s">
        <v>3366</v>
      </c>
      <c r="AF2266" s="17">
        <v>45435</v>
      </c>
      <c r="AG2266" s="26"/>
      <c r="AH2266" s="26">
        <v>2</v>
      </c>
      <c r="AI2266" s="40"/>
      <c r="AJ2266" s="26"/>
      <c r="AK2266" s="26"/>
      <c r="AL2266" s="35"/>
      <c r="AM2266" s="35"/>
      <c r="AN2266" s="35"/>
      <c r="AO2266" s="35"/>
      <c r="AP2266" s="35"/>
    </row>
    <row r="2267" spans="1:42" x14ac:dyDescent="0.2">
      <c r="A2267" s="99">
        <v>45069</v>
      </c>
      <c r="B2267" s="28" t="s">
        <v>37</v>
      </c>
      <c r="C2267" s="41" t="s">
        <v>118</v>
      </c>
      <c r="D2267" s="26" t="s">
        <v>36</v>
      </c>
      <c r="E2267" s="26" t="s">
        <v>139</v>
      </c>
      <c r="F2267" s="26" t="s">
        <v>2258</v>
      </c>
      <c r="G2267" s="26" t="s">
        <v>221</v>
      </c>
      <c r="H2267" s="26" t="s">
        <v>7016</v>
      </c>
      <c r="I2267" s="17">
        <f ca="1">IFERROR(__xludf.DUMMYFUNCTION("""COMPUTED_VALUE"""),45520)</f>
        <v>45520</v>
      </c>
      <c r="J2267" s="29" t="s">
        <v>4183</v>
      </c>
      <c r="K2267" s="26" t="s">
        <v>8357</v>
      </c>
      <c r="L2267" s="30">
        <v>789248956</v>
      </c>
      <c r="M2267" s="26" t="s">
        <v>2755</v>
      </c>
      <c r="N2267" s="26" t="s">
        <v>310</v>
      </c>
      <c r="O2267" s="26" t="s">
        <v>4185</v>
      </c>
      <c r="P2267" s="42" t="s">
        <v>8358</v>
      </c>
      <c r="Q2267" s="20">
        <v>15936</v>
      </c>
      <c r="R2267" s="26" t="s">
        <v>70</v>
      </c>
      <c r="S2267" s="31">
        <v>2000</v>
      </c>
      <c r="T2267" s="32">
        <v>45209</v>
      </c>
      <c r="U2267" s="31">
        <v>13936</v>
      </c>
      <c r="V2267" s="32">
        <v>45230</v>
      </c>
      <c r="W2267" s="33" t="s">
        <v>4187</v>
      </c>
      <c r="X2267" s="26"/>
      <c r="Y2267" s="22">
        <v>0</v>
      </c>
      <c r="Z2267" s="26" t="s">
        <v>118</v>
      </c>
      <c r="AA2267" s="19" t="s">
        <v>5785</v>
      </c>
      <c r="AB2267" s="26" t="s">
        <v>36</v>
      </c>
      <c r="AC2267" s="26" t="s">
        <v>53</v>
      </c>
      <c r="AD2267" s="19" t="s">
        <v>54</v>
      </c>
      <c r="AE2267" s="26" t="s">
        <v>2258</v>
      </c>
      <c r="AF2267" s="17">
        <v>45441</v>
      </c>
      <c r="AG2267" s="26"/>
      <c r="AH2267" s="26"/>
      <c r="AI2267" s="40" t="s">
        <v>147</v>
      </c>
      <c r="AJ2267" s="26"/>
      <c r="AK2267" s="26"/>
      <c r="AL2267" s="35"/>
      <c r="AM2267" s="35"/>
      <c r="AN2267" s="35"/>
      <c r="AO2267" s="35"/>
      <c r="AP2267" s="35"/>
    </row>
    <row r="2268" spans="1:42" x14ac:dyDescent="0.2">
      <c r="A2268" s="99">
        <v>45069</v>
      </c>
      <c r="B2268" s="28" t="s">
        <v>37</v>
      </c>
      <c r="C2268" s="41" t="s">
        <v>118</v>
      </c>
      <c r="D2268" s="26" t="s">
        <v>36</v>
      </c>
      <c r="E2268" s="26" t="s">
        <v>139</v>
      </c>
      <c r="F2268" s="26" t="s">
        <v>3366</v>
      </c>
      <c r="G2268" s="26" t="s">
        <v>221</v>
      </c>
      <c r="H2268" s="26" t="s">
        <v>6978</v>
      </c>
      <c r="I2268" s="17">
        <f ca="1">IFERROR(__xludf.DUMMYFUNCTION("""COMPUTED_VALUE"""),45456)</f>
        <v>45456</v>
      </c>
      <c r="J2268" s="29" t="s">
        <v>6265</v>
      </c>
      <c r="K2268" s="26" t="s">
        <v>6266</v>
      </c>
      <c r="L2268" s="30">
        <v>869671736</v>
      </c>
      <c r="M2268" s="26" t="s">
        <v>348</v>
      </c>
      <c r="N2268" s="26" t="s">
        <v>200</v>
      </c>
      <c r="O2268" s="26" t="s">
        <v>6267</v>
      </c>
      <c r="P2268" s="42" t="s">
        <v>8359</v>
      </c>
      <c r="Q2268" s="20">
        <v>15936</v>
      </c>
      <c r="R2268" s="26" t="s">
        <v>36</v>
      </c>
      <c r="S2268" s="31">
        <v>2000</v>
      </c>
      <c r="T2268" s="32">
        <v>45250</v>
      </c>
      <c r="U2268" s="31">
        <v>13936</v>
      </c>
      <c r="V2268" s="32">
        <v>45269</v>
      </c>
      <c r="W2268" s="33" t="s">
        <v>6269</v>
      </c>
      <c r="X2268" s="26"/>
      <c r="Y2268" s="22">
        <v>0</v>
      </c>
      <c r="Z2268" s="98" t="s">
        <v>118</v>
      </c>
      <c r="AA2268" s="19" t="s">
        <v>5961</v>
      </c>
      <c r="AB2268" s="26" t="s">
        <v>36</v>
      </c>
      <c r="AC2268" s="26" t="s">
        <v>53</v>
      </c>
      <c r="AD2268" s="19" t="s">
        <v>54</v>
      </c>
      <c r="AE2268" s="26" t="s">
        <v>3366</v>
      </c>
      <c r="AF2268" s="17">
        <v>45441</v>
      </c>
      <c r="AG2268" s="26"/>
      <c r="AH2268" s="26">
        <v>1</v>
      </c>
      <c r="AI2268" s="40"/>
      <c r="AJ2268" s="26"/>
      <c r="AK2268" s="26"/>
      <c r="AL2268" s="35"/>
      <c r="AM2268" s="35"/>
      <c r="AN2268" s="35"/>
      <c r="AO2268" s="35"/>
      <c r="AP2268" s="35"/>
    </row>
    <row r="2269" spans="1:42" x14ac:dyDescent="0.2">
      <c r="A2269" s="99">
        <v>45069</v>
      </c>
      <c r="B2269" s="28" t="s">
        <v>37</v>
      </c>
      <c r="C2269" s="41" t="s">
        <v>118</v>
      </c>
      <c r="D2269" s="26" t="s">
        <v>36</v>
      </c>
      <c r="E2269" s="26" t="s">
        <v>56</v>
      </c>
      <c r="F2269" s="26" t="s">
        <v>7112</v>
      </c>
      <c r="G2269" s="26" t="s">
        <v>108</v>
      </c>
      <c r="H2269" s="26" t="s">
        <v>5730</v>
      </c>
      <c r="I2269" s="17">
        <f ca="1">IFERROR(__xludf.DUMMYFUNCTION("""COMPUTED_VALUE"""),45452)</f>
        <v>45452</v>
      </c>
      <c r="J2269" s="29" t="s">
        <v>7113</v>
      </c>
      <c r="K2269" s="26" t="s">
        <v>8360</v>
      </c>
      <c r="L2269" s="30">
        <v>582724590</v>
      </c>
      <c r="M2269" s="26" t="s">
        <v>910</v>
      </c>
      <c r="N2269" s="26" t="s">
        <v>3221</v>
      </c>
      <c r="O2269" s="26" t="s">
        <v>61</v>
      </c>
      <c r="P2269" s="42" t="s">
        <v>8361</v>
      </c>
      <c r="Q2269" s="20">
        <v>9317</v>
      </c>
      <c r="R2269" s="26" t="s">
        <v>36</v>
      </c>
      <c r="S2269" s="31">
        <v>2000</v>
      </c>
      <c r="T2269" s="32">
        <v>45302</v>
      </c>
      <c r="U2269" s="31">
        <v>7317</v>
      </c>
      <c r="V2269" s="32">
        <v>45341</v>
      </c>
      <c r="W2269" s="33" t="s">
        <v>7116</v>
      </c>
      <c r="X2269" s="26"/>
      <c r="Y2269" s="22">
        <v>0</v>
      </c>
      <c r="Z2269" s="98" t="s">
        <v>118</v>
      </c>
      <c r="AA2269" s="19" t="s">
        <v>7077</v>
      </c>
      <c r="AB2269" s="26" t="s">
        <v>36</v>
      </c>
      <c r="AC2269" s="26" t="s">
        <v>53</v>
      </c>
      <c r="AD2269" s="19" t="s">
        <v>54</v>
      </c>
      <c r="AE2269" s="26" t="s">
        <v>7112</v>
      </c>
      <c r="AF2269" s="17">
        <v>45447</v>
      </c>
      <c r="AG2269" s="26"/>
      <c r="AH2269" s="26"/>
      <c r="AI2269" s="40" t="s">
        <v>64</v>
      </c>
      <c r="AJ2269" s="26"/>
      <c r="AK2269" s="26"/>
      <c r="AL2269" s="35"/>
      <c r="AM2269" s="35"/>
      <c r="AN2269" s="35"/>
      <c r="AO2269" s="35"/>
      <c r="AP2269" s="35"/>
    </row>
    <row r="2270" spans="1:42" x14ac:dyDescent="0.2">
      <c r="A2270" s="99">
        <v>45073</v>
      </c>
      <c r="B2270" s="28" t="s">
        <v>37</v>
      </c>
      <c r="C2270" s="41" t="s">
        <v>118</v>
      </c>
      <c r="D2270" s="26" t="s">
        <v>36</v>
      </c>
      <c r="E2270" s="26" t="s">
        <v>39</v>
      </c>
      <c r="F2270" s="26" t="s">
        <v>6831</v>
      </c>
      <c r="G2270" s="26" t="s">
        <v>108</v>
      </c>
      <c r="H2270" s="26" t="s">
        <v>7365</v>
      </c>
      <c r="I2270" s="17">
        <f ca="1">IFERROR(__xludf.DUMMYFUNCTION("""COMPUTED_VALUE"""),45468)</f>
        <v>45468</v>
      </c>
      <c r="J2270" s="29" t="s">
        <v>6832</v>
      </c>
      <c r="K2270" s="26" t="s">
        <v>6833</v>
      </c>
      <c r="L2270" s="30">
        <v>385523643</v>
      </c>
      <c r="M2270" s="26" t="s">
        <v>6309</v>
      </c>
      <c r="N2270" s="26" t="s">
        <v>207</v>
      </c>
      <c r="O2270" s="26" t="s">
        <v>91</v>
      </c>
      <c r="P2270" s="42" t="s">
        <v>8362</v>
      </c>
      <c r="Q2270" s="20">
        <v>5736</v>
      </c>
      <c r="R2270" s="26" t="s">
        <v>36</v>
      </c>
      <c r="S2270" s="31">
        <v>5736</v>
      </c>
      <c r="T2270" s="32">
        <v>45307</v>
      </c>
      <c r="U2270" s="31"/>
      <c r="V2270" s="32"/>
      <c r="W2270" s="33" t="s">
        <v>6835</v>
      </c>
      <c r="X2270" s="26">
        <v>0</v>
      </c>
      <c r="Y2270" s="22">
        <v>0</v>
      </c>
      <c r="Z2270" s="98" t="s">
        <v>118</v>
      </c>
      <c r="AA2270" s="19" t="s">
        <v>6079</v>
      </c>
      <c r="AB2270" s="26" t="s">
        <v>36</v>
      </c>
      <c r="AC2270" s="26" t="s">
        <v>53</v>
      </c>
      <c r="AD2270" s="19" t="s">
        <v>54</v>
      </c>
      <c r="AE2270" s="26" t="s">
        <v>6831</v>
      </c>
      <c r="AF2270" s="17">
        <v>45455</v>
      </c>
      <c r="AG2270" s="26"/>
      <c r="AH2270" s="26"/>
      <c r="AI2270" s="40" t="s">
        <v>55</v>
      </c>
      <c r="AJ2270" s="26"/>
      <c r="AK2270" s="26"/>
      <c r="AL2270" s="35"/>
      <c r="AM2270" s="35"/>
      <c r="AN2270" s="35"/>
      <c r="AO2270" s="35"/>
      <c r="AP2270" s="35"/>
    </row>
    <row r="2271" spans="1:42" x14ac:dyDescent="0.2">
      <c r="A2271" s="99">
        <v>45073</v>
      </c>
      <c r="B2271" s="28" t="s">
        <v>37</v>
      </c>
      <c r="C2271" s="41" t="s">
        <v>118</v>
      </c>
      <c r="D2271" s="26" t="s">
        <v>36</v>
      </c>
      <c r="E2271" s="26" t="s">
        <v>139</v>
      </c>
      <c r="F2271" s="26" t="s">
        <v>2191</v>
      </c>
      <c r="G2271" s="26" t="s">
        <v>221</v>
      </c>
      <c r="H2271" s="26" t="s">
        <v>6978</v>
      </c>
      <c r="I2271" s="17">
        <f ca="1">IFERROR(__xludf.DUMMYFUNCTION("""COMPUTED_VALUE"""),45456)</f>
        <v>45456</v>
      </c>
      <c r="J2271" s="29" t="s">
        <v>4101</v>
      </c>
      <c r="K2271" s="26" t="s">
        <v>5969</v>
      </c>
      <c r="L2271" s="30">
        <v>974883029</v>
      </c>
      <c r="M2271" s="26" t="s">
        <v>123</v>
      </c>
      <c r="N2271" s="26" t="s">
        <v>186</v>
      </c>
      <c r="O2271" s="26" t="s">
        <v>4293</v>
      </c>
      <c r="P2271" s="42" t="s">
        <v>8363</v>
      </c>
      <c r="Q2271" s="20">
        <v>15936</v>
      </c>
      <c r="R2271" s="26" t="s">
        <v>70</v>
      </c>
      <c r="S2271" s="31">
        <v>200</v>
      </c>
      <c r="T2271" s="32">
        <v>45200</v>
      </c>
      <c r="U2271" s="31">
        <v>15636</v>
      </c>
      <c r="V2271" s="32">
        <v>45205</v>
      </c>
      <c r="W2271" s="26" t="s">
        <v>4104</v>
      </c>
      <c r="X2271" s="26"/>
      <c r="Y2271" s="22">
        <v>100</v>
      </c>
      <c r="Z2271" s="26" t="s">
        <v>118</v>
      </c>
      <c r="AA2271" s="19" t="s">
        <v>5785</v>
      </c>
      <c r="AB2271" s="26" t="s">
        <v>36</v>
      </c>
      <c r="AC2271" s="26" t="s">
        <v>53</v>
      </c>
      <c r="AD2271" s="19" t="s">
        <v>54</v>
      </c>
      <c r="AE2271" s="26" t="s">
        <v>2191</v>
      </c>
      <c r="AF2271" s="17">
        <v>45441</v>
      </c>
      <c r="AG2271" s="26"/>
      <c r="AH2271" s="26"/>
      <c r="AI2271" s="40" t="s">
        <v>147</v>
      </c>
      <c r="AJ2271" s="26"/>
      <c r="AK2271" s="26"/>
      <c r="AL2271" s="35"/>
      <c r="AM2271" s="35"/>
      <c r="AN2271" s="35"/>
      <c r="AO2271" s="35"/>
      <c r="AP2271" s="35"/>
    </row>
    <row r="2272" spans="1:42" x14ac:dyDescent="0.2">
      <c r="A2272" s="99">
        <v>45073</v>
      </c>
      <c r="B2272" s="28" t="s">
        <v>37</v>
      </c>
      <c r="C2272" s="41" t="s">
        <v>118</v>
      </c>
      <c r="D2272" s="26" t="s">
        <v>36</v>
      </c>
      <c r="E2272" s="26" t="s">
        <v>139</v>
      </c>
      <c r="F2272" s="26" t="s">
        <v>7112</v>
      </c>
      <c r="G2272" s="26" t="s">
        <v>108</v>
      </c>
      <c r="H2272" s="26" t="s">
        <v>5730</v>
      </c>
      <c r="I2272" s="17">
        <f ca="1">IFERROR(__xludf.DUMMYFUNCTION("""COMPUTED_VALUE"""),45452)</f>
        <v>45452</v>
      </c>
      <c r="J2272" s="29" t="s">
        <v>8167</v>
      </c>
      <c r="K2272" s="26" t="s">
        <v>8168</v>
      </c>
      <c r="L2272" s="30">
        <v>899932192</v>
      </c>
      <c r="M2272" s="26" t="s">
        <v>123</v>
      </c>
      <c r="N2272" s="26" t="s">
        <v>186</v>
      </c>
      <c r="O2272" s="26" t="s">
        <v>4503</v>
      </c>
      <c r="P2272" s="42" t="s">
        <v>8169</v>
      </c>
      <c r="Q2272" s="20">
        <v>15936</v>
      </c>
      <c r="R2272" s="26" t="s">
        <v>36</v>
      </c>
      <c r="S2272" s="31">
        <v>2000</v>
      </c>
      <c r="T2272" s="32">
        <v>45369</v>
      </c>
      <c r="U2272" s="31">
        <v>13936</v>
      </c>
      <c r="V2272" s="32">
        <v>45405</v>
      </c>
      <c r="W2272" s="33" t="s">
        <v>8170</v>
      </c>
      <c r="X2272" s="26"/>
      <c r="Y2272" s="22">
        <v>0</v>
      </c>
      <c r="Z2272" s="26" t="s">
        <v>118</v>
      </c>
      <c r="AA2272" s="19" t="s">
        <v>8102</v>
      </c>
      <c r="AB2272" s="26" t="s">
        <v>36</v>
      </c>
      <c r="AC2272" s="26" t="s">
        <v>53</v>
      </c>
      <c r="AD2272" s="19" t="s">
        <v>54</v>
      </c>
      <c r="AE2272" s="26" t="s">
        <v>7112</v>
      </c>
      <c r="AF2272" s="17">
        <v>45447</v>
      </c>
      <c r="AG2272" s="26"/>
      <c r="AH2272" s="26"/>
      <c r="AI2272" s="40"/>
      <c r="AJ2272" s="26"/>
      <c r="AK2272" s="26"/>
      <c r="AL2272" s="35"/>
      <c r="AM2272" s="35"/>
      <c r="AN2272" s="35"/>
      <c r="AO2272" s="35"/>
      <c r="AP2272" s="35"/>
    </row>
    <row r="2273" spans="1:42" x14ac:dyDescent="0.2">
      <c r="A2273" s="99">
        <v>45075</v>
      </c>
      <c r="B2273" s="28" t="s">
        <v>37</v>
      </c>
      <c r="C2273" s="41" t="s">
        <v>118</v>
      </c>
      <c r="D2273" s="26" t="s">
        <v>36</v>
      </c>
      <c r="E2273" s="26" t="s">
        <v>39</v>
      </c>
      <c r="F2273" s="26" t="s">
        <v>7027</v>
      </c>
      <c r="G2273" s="26" t="s">
        <v>108</v>
      </c>
      <c r="H2273" s="26" t="s">
        <v>7355</v>
      </c>
      <c r="I2273" s="17">
        <f ca="1">IFERROR(__xludf.DUMMYFUNCTION("""COMPUTED_VALUE"""),45452)</f>
        <v>45452</v>
      </c>
      <c r="J2273" s="29" t="s">
        <v>8112</v>
      </c>
      <c r="K2273" s="26" t="s">
        <v>8113</v>
      </c>
      <c r="L2273" s="30">
        <v>868893761</v>
      </c>
      <c r="M2273" s="26" t="s">
        <v>910</v>
      </c>
      <c r="N2273" s="26" t="s">
        <v>260</v>
      </c>
      <c r="O2273" s="26" t="s">
        <v>8114</v>
      </c>
      <c r="P2273" s="26" t="s">
        <v>5462</v>
      </c>
      <c r="Q2273" s="20">
        <v>5736</v>
      </c>
      <c r="R2273" s="26" t="s">
        <v>70</v>
      </c>
      <c r="S2273" s="31">
        <v>100</v>
      </c>
      <c r="T2273" s="32">
        <v>45301</v>
      </c>
      <c r="U2273" s="31">
        <f>1868+3668</f>
        <v>5536</v>
      </c>
      <c r="V2273" s="26" t="s">
        <v>8115</v>
      </c>
      <c r="W2273" s="33" t="s">
        <v>8116</v>
      </c>
      <c r="X2273" s="26"/>
      <c r="Y2273" s="22">
        <v>100</v>
      </c>
      <c r="Z2273" s="26" t="s">
        <v>118</v>
      </c>
      <c r="AA2273" s="19" t="s">
        <v>8102</v>
      </c>
      <c r="AB2273" s="26" t="s">
        <v>36</v>
      </c>
      <c r="AC2273" s="26" t="s">
        <v>53</v>
      </c>
      <c r="AD2273" s="19" t="s">
        <v>138</v>
      </c>
      <c r="AE2273" s="26" t="s">
        <v>7027</v>
      </c>
      <c r="AF2273" s="17">
        <v>45452</v>
      </c>
      <c r="AG2273" s="26" t="s">
        <v>1362</v>
      </c>
      <c r="AH2273" s="26"/>
      <c r="AI2273" s="40"/>
      <c r="AJ2273" s="26"/>
      <c r="AK2273" s="26"/>
      <c r="AL2273" s="35"/>
      <c r="AM2273" s="35"/>
      <c r="AN2273" s="35"/>
      <c r="AO2273" s="35"/>
      <c r="AP2273" s="35"/>
    </row>
    <row r="2274" spans="1:42" x14ac:dyDescent="0.2">
      <c r="A2274" s="99">
        <v>45075</v>
      </c>
      <c r="B2274" s="28" t="s">
        <v>37</v>
      </c>
      <c r="C2274" s="41" t="s">
        <v>118</v>
      </c>
      <c r="D2274" s="26" t="s">
        <v>36</v>
      </c>
      <c r="E2274" s="26" t="s">
        <v>56</v>
      </c>
      <c r="F2274" s="26" t="s">
        <v>7027</v>
      </c>
      <c r="G2274" s="26" t="s">
        <v>108</v>
      </c>
      <c r="H2274" s="26" t="s">
        <v>7355</v>
      </c>
      <c r="I2274" s="17">
        <f ca="1">IFERROR(__xludf.DUMMYFUNCTION("""COMPUTED_VALUE"""),45452)</f>
        <v>45452</v>
      </c>
      <c r="J2274" s="29" t="s">
        <v>7875</v>
      </c>
      <c r="K2274" s="26" t="s">
        <v>7876</v>
      </c>
      <c r="L2274" s="30">
        <v>866993690</v>
      </c>
      <c r="M2274" s="26" t="s">
        <v>59</v>
      </c>
      <c r="N2274" s="26" t="s">
        <v>403</v>
      </c>
      <c r="O2274" s="26" t="s">
        <v>7877</v>
      </c>
      <c r="P2274" s="26" t="s">
        <v>7878</v>
      </c>
      <c r="Q2274" s="20">
        <v>9317</v>
      </c>
      <c r="R2274" s="26" t="s">
        <v>36</v>
      </c>
      <c r="S2274" s="31">
        <v>9317</v>
      </c>
      <c r="T2274" s="32">
        <v>45372</v>
      </c>
      <c r="U2274" s="31"/>
      <c r="V2274" s="32"/>
      <c r="W2274" s="33" t="s">
        <v>7879</v>
      </c>
      <c r="X2274" s="26"/>
      <c r="Y2274" s="22">
        <v>0</v>
      </c>
      <c r="Z2274" s="26" t="s">
        <v>118</v>
      </c>
      <c r="AA2274" s="19" t="s">
        <v>7361</v>
      </c>
      <c r="AB2274" s="26" t="s">
        <v>36</v>
      </c>
      <c r="AC2274" s="26" t="s">
        <v>53</v>
      </c>
      <c r="AD2274" s="19" t="s">
        <v>138</v>
      </c>
      <c r="AE2274" s="26" t="s">
        <v>7027</v>
      </c>
      <c r="AF2274" s="17">
        <v>45452</v>
      </c>
      <c r="AG2274" s="26" t="s">
        <v>1362</v>
      </c>
      <c r="AH2274" s="26"/>
      <c r="AI2274" s="40"/>
      <c r="AJ2274" s="26"/>
      <c r="AK2274" s="26"/>
      <c r="AL2274" s="35"/>
      <c r="AM2274" s="35"/>
      <c r="AN2274" s="35"/>
      <c r="AO2274" s="35"/>
      <c r="AP2274" s="35"/>
    </row>
    <row r="2275" spans="1:42" x14ac:dyDescent="0.2">
      <c r="A2275" s="99">
        <v>45075</v>
      </c>
      <c r="B2275" s="28" t="s">
        <v>37</v>
      </c>
      <c r="C2275" s="41" t="s">
        <v>118</v>
      </c>
      <c r="D2275" s="26" t="s">
        <v>36</v>
      </c>
      <c r="E2275" s="26" t="s">
        <v>39</v>
      </c>
      <c r="F2275" s="26" t="s">
        <v>7027</v>
      </c>
      <c r="G2275" s="26" t="s">
        <v>108</v>
      </c>
      <c r="H2275" s="26" t="s">
        <v>7355</v>
      </c>
      <c r="I2275" s="17">
        <f ca="1">IFERROR(__xludf.DUMMYFUNCTION("""COMPUTED_VALUE"""),45452)</f>
        <v>45452</v>
      </c>
      <c r="J2275" s="29" t="s">
        <v>7885</v>
      </c>
      <c r="K2275" s="26" t="s">
        <v>1679</v>
      </c>
      <c r="L2275" s="30">
        <v>334760089</v>
      </c>
      <c r="M2275" s="26" t="s">
        <v>45</v>
      </c>
      <c r="N2275" s="26" t="s">
        <v>7814</v>
      </c>
      <c r="O2275" s="26" t="s">
        <v>7886</v>
      </c>
      <c r="P2275" s="26" t="s">
        <v>7743</v>
      </c>
      <c r="Q2275" s="20">
        <v>5736</v>
      </c>
      <c r="R2275" s="26" t="s">
        <v>36</v>
      </c>
      <c r="S2275" s="31">
        <v>5736</v>
      </c>
      <c r="T2275" s="32">
        <v>45371</v>
      </c>
      <c r="U2275" s="31"/>
      <c r="V2275" s="32"/>
      <c r="W2275" s="33" t="s">
        <v>7887</v>
      </c>
      <c r="X2275" s="26"/>
      <c r="Y2275" s="22">
        <v>0</v>
      </c>
      <c r="Z2275" s="26" t="s">
        <v>118</v>
      </c>
      <c r="AA2275" s="19" t="s">
        <v>7361</v>
      </c>
      <c r="AB2275" s="26" t="s">
        <v>36</v>
      </c>
      <c r="AC2275" s="26" t="s">
        <v>53</v>
      </c>
      <c r="AD2275" s="19" t="s">
        <v>138</v>
      </c>
      <c r="AE2275" s="26" t="s">
        <v>7027</v>
      </c>
      <c r="AF2275" s="17">
        <v>45452</v>
      </c>
      <c r="AG2275" s="26" t="s">
        <v>1362</v>
      </c>
      <c r="AH2275" s="26"/>
      <c r="AI2275" s="40"/>
      <c r="AJ2275" s="26"/>
      <c r="AK2275" s="26"/>
      <c r="AL2275" s="35"/>
      <c r="AM2275" s="35"/>
      <c r="AN2275" s="35"/>
      <c r="AO2275" s="35"/>
      <c r="AP2275" s="35"/>
    </row>
    <row r="2276" spans="1:42" x14ac:dyDescent="0.2">
      <c r="A2276" s="99">
        <v>45075</v>
      </c>
      <c r="B2276" s="28" t="s">
        <v>37</v>
      </c>
      <c r="C2276" s="41" t="s">
        <v>118</v>
      </c>
      <c r="D2276" s="26" t="s">
        <v>36</v>
      </c>
      <c r="E2276" s="26" t="s">
        <v>39</v>
      </c>
      <c r="F2276" s="26" t="s">
        <v>7027</v>
      </c>
      <c r="G2276" s="26" t="s">
        <v>108</v>
      </c>
      <c r="H2276" s="26" t="s">
        <v>7355</v>
      </c>
      <c r="I2276" s="17">
        <f ca="1">IFERROR(__xludf.DUMMYFUNCTION("""COMPUTED_VALUE"""),45452)</f>
        <v>45452</v>
      </c>
      <c r="J2276" s="29" t="s">
        <v>7881</v>
      </c>
      <c r="K2276" s="26" t="s">
        <v>7882</v>
      </c>
      <c r="L2276" s="30">
        <v>973610869</v>
      </c>
      <c r="M2276" s="26" t="s">
        <v>45</v>
      </c>
      <c r="N2276" s="26" t="s">
        <v>7814</v>
      </c>
      <c r="O2276" s="26" t="s">
        <v>7883</v>
      </c>
      <c r="P2276" s="26" t="s">
        <v>7743</v>
      </c>
      <c r="Q2276" s="20">
        <v>5736</v>
      </c>
      <c r="R2276" s="26" t="s">
        <v>36</v>
      </c>
      <c r="S2276" s="31">
        <v>5736</v>
      </c>
      <c r="T2276" s="32">
        <v>45371</v>
      </c>
      <c r="U2276" s="31"/>
      <c r="V2276" s="32"/>
      <c r="W2276" s="33" t="s">
        <v>7884</v>
      </c>
      <c r="X2276" s="26"/>
      <c r="Y2276" s="22">
        <v>0</v>
      </c>
      <c r="Z2276" s="26" t="s">
        <v>118</v>
      </c>
      <c r="AA2276" s="19" t="s">
        <v>7361</v>
      </c>
      <c r="AB2276" s="26" t="s">
        <v>36</v>
      </c>
      <c r="AC2276" s="26" t="s">
        <v>53</v>
      </c>
      <c r="AD2276" s="19" t="s">
        <v>138</v>
      </c>
      <c r="AE2276" s="26" t="s">
        <v>7027</v>
      </c>
      <c r="AF2276" s="17">
        <v>45452</v>
      </c>
      <c r="AG2276" s="26" t="s">
        <v>1362</v>
      </c>
      <c r="AH2276" s="26"/>
      <c r="AI2276" s="40"/>
      <c r="AJ2276" s="26"/>
      <c r="AK2276" s="26"/>
      <c r="AL2276" s="35"/>
      <c r="AM2276" s="35"/>
      <c r="AN2276" s="35"/>
      <c r="AO2276" s="35"/>
      <c r="AP2276" s="35"/>
    </row>
    <row r="2277" spans="1:42" x14ac:dyDescent="0.2">
      <c r="A2277" s="99">
        <v>45075</v>
      </c>
      <c r="B2277" s="28"/>
      <c r="C2277" s="41" t="s">
        <v>118</v>
      </c>
      <c r="D2277" s="26" t="s">
        <v>36</v>
      </c>
      <c r="E2277" s="26" t="s">
        <v>139</v>
      </c>
      <c r="F2277" s="26" t="s">
        <v>7027</v>
      </c>
      <c r="G2277" s="26" t="s">
        <v>108</v>
      </c>
      <c r="H2277" s="26" t="s">
        <v>8364</v>
      </c>
      <c r="I2277" s="17" t="str">
        <f ca="1">IFERROR(__xludf.DUMMYFUNCTION("""COMPUTED_VALUE""")," ")</f>
        <v xml:space="preserve"> </v>
      </c>
      <c r="J2277" s="44" t="s">
        <v>7028</v>
      </c>
      <c r="K2277" s="26" t="s">
        <v>8365</v>
      </c>
      <c r="L2277" s="30">
        <v>347830908</v>
      </c>
      <c r="M2277" s="26" t="s">
        <v>292</v>
      </c>
      <c r="N2277" s="26" t="s">
        <v>1232</v>
      </c>
      <c r="O2277" s="67" t="s">
        <v>6757</v>
      </c>
      <c r="P2277" s="26" t="s">
        <v>6758</v>
      </c>
      <c r="Q2277" s="20">
        <v>15936</v>
      </c>
      <c r="R2277" s="26" t="s">
        <v>36</v>
      </c>
      <c r="S2277" s="31">
        <v>15936</v>
      </c>
      <c r="T2277" s="32">
        <v>45301</v>
      </c>
      <c r="U2277" s="31"/>
      <c r="V2277" s="32"/>
      <c r="W2277" s="33" t="s">
        <v>6759</v>
      </c>
      <c r="X2277" s="26">
        <v>0</v>
      </c>
      <c r="Y2277" s="22">
        <v>0</v>
      </c>
      <c r="Z2277" s="26" t="s">
        <v>118</v>
      </c>
      <c r="AA2277" s="19" t="s">
        <v>7030</v>
      </c>
      <c r="AB2277" s="26" t="s">
        <v>36</v>
      </c>
      <c r="AC2277" s="26" t="s">
        <v>53</v>
      </c>
      <c r="AD2277" s="19" t="s">
        <v>138</v>
      </c>
      <c r="AE2277" s="26" t="s">
        <v>7027</v>
      </c>
      <c r="AF2277" s="17">
        <v>45452</v>
      </c>
      <c r="AG2277" s="26" t="s">
        <v>8366</v>
      </c>
      <c r="AH2277" s="26"/>
      <c r="AI2277" s="40" t="s">
        <v>147</v>
      </c>
      <c r="AJ2277" s="26"/>
      <c r="AK2277" s="26"/>
      <c r="AL2277" s="35"/>
      <c r="AM2277" s="35"/>
      <c r="AN2277" s="35"/>
      <c r="AO2277" s="35"/>
      <c r="AP2277" s="35"/>
    </row>
    <row r="2278" spans="1:42" x14ac:dyDescent="0.2">
      <c r="A2278" s="99">
        <v>45075</v>
      </c>
      <c r="B2278" s="28" t="s">
        <v>37</v>
      </c>
      <c r="C2278" s="41" t="s">
        <v>118</v>
      </c>
      <c r="D2278" s="26" t="s">
        <v>36</v>
      </c>
      <c r="E2278" s="26" t="s">
        <v>39</v>
      </c>
      <c r="F2278" s="26" t="s">
        <v>7027</v>
      </c>
      <c r="G2278" s="26" t="s">
        <v>108</v>
      </c>
      <c r="H2278" s="26" t="s">
        <v>7355</v>
      </c>
      <c r="I2278" s="17">
        <f ca="1">IFERROR(__xludf.DUMMYFUNCTION("""COMPUTED_VALUE"""),45452)</f>
        <v>45452</v>
      </c>
      <c r="J2278" s="29" t="s">
        <v>8221</v>
      </c>
      <c r="K2278" s="26" t="s">
        <v>8222</v>
      </c>
      <c r="L2278" s="30">
        <v>979879281</v>
      </c>
      <c r="M2278" s="26" t="s">
        <v>6309</v>
      </c>
      <c r="N2278" s="26" t="s">
        <v>1400</v>
      </c>
      <c r="O2278" s="26" t="s">
        <v>91</v>
      </c>
      <c r="P2278" s="26" t="s">
        <v>3117</v>
      </c>
      <c r="Q2278" s="20">
        <v>5736</v>
      </c>
      <c r="R2278" s="26" t="s">
        <v>36</v>
      </c>
      <c r="S2278" s="31">
        <v>5736</v>
      </c>
      <c r="T2278" s="32">
        <v>45386</v>
      </c>
      <c r="U2278" s="31"/>
      <c r="V2278" s="32"/>
      <c r="W2278" s="33" t="s">
        <v>8223</v>
      </c>
      <c r="X2278" s="26"/>
      <c r="Y2278" s="22">
        <v>0</v>
      </c>
      <c r="Z2278" s="26" t="s">
        <v>118</v>
      </c>
      <c r="AA2278" s="19" t="s">
        <v>8102</v>
      </c>
      <c r="AB2278" s="26" t="s">
        <v>36</v>
      </c>
      <c r="AC2278" s="26" t="s">
        <v>53</v>
      </c>
      <c r="AD2278" s="19" t="s">
        <v>138</v>
      </c>
      <c r="AE2278" s="26" t="s">
        <v>7027</v>
      </c>
      <c r="AF2278" s="17">
        <v>45452</v>
      </c>
      <c r="AG2278" s="26" t="s">
        <v>1362</v>
      </c>
      <c r="AH2278" s="26"/>
      <c r="AI2278" s="40"/>
      <c r="AJ2278" s="26"/>
      <c r="AK2278" s="26"/>
      <c r="AL2278" s="35"/>
      <c r="AM2278" s="35"/>
      <c r="AN2278" s="35"/>
      <c r="AO2278" s="35"/>
      <c r="AP2278" s="35"/>
    </row>
    <row r="2279" spans="1:42" x14ac:dyDescent="0.2">
      <c r="A2279" s="99">
        <v>45075</v>
      </c>
      <c r="B2279" s="28" t="s">
        <v>37</v>
      </c>
      <c r="C2279" s="41" t="s">
        <v>118</v>
      </c>
      <c r="D2279" s="26" t="s">
        <v>36</v>
      </c>
      <c r="E2279" s="26" t="s">
        <v>56</v>
      </c>
      <c r="F2279" s="26" t="s">
        <v>7027</v>
      </c>
      <c r="G2279" s="26" t="s">
        <v>108</v>
      </c>
      <c r="H2279" s="26" t="s">
        <v>7355</v>
      </c>
      <c r="I2279" s="17">
        <f ca="1">IFERROR(__xludf.DUMMYFUNCTION("""COMPUTED_VALUE"""),45452)</f>
        <v>45452</v>
      </c>
      <c r="J2279" s="29" t="s">
        <v>8260</v>
      </c>
      <c r="K2279" s="26" t="s">
        <v>8261</v>
      </c>
      <c r="L2279" s="30">
        <v>339759598</v>
      </c>
      <c r="M2279" s="26" t="s">
        <v>2755</v>
      </c>
      <c r="N2279" s="26" t="s">
        <v>2756</v>
      </c>
      <c r="O2279" s="26" t="s">
        <v>4503</v>
      </c>
      <c r="P2279" s="26" t="s">
        <v>3694</v>
      </c>
      <c r="Q2279" s="20">
        <v>9317</v>
      </c>
      <c r="R2279" s="26" t="s">
        <v>36</v>
      </c>
      <c r="S2279" s="31">
        <v>4000</v>
      </c>
      <c r="T2279" s="32">
        <v>45389</v>
      </c>
      <c r="U2279" s="31">
        <v>5317</v>
      </c>
      <c r="V2279" s="32">
        <v>45412</v>
      </c>
      <c r="W2279" s="33" t="s">
        <v>8262</v>
      </c>
      <c r="X2279" s="26"/>
      <c r="Y2279" s="22">
        <v>0</v>
      </c>
      <c r="Z2279" s="26" t="s">
        <v>118</v>
      </c>
      <c r="AA2279" s="19" t="s">
        <v>8102</v>
      </c>
      <c r="AB2279" s="26" t="s">
        <v>36</v>
      </c>
      <c r="AC2279" s="26" t="s">
        <v>53</v>
      </c>
      <c r="AD2279" s="19" t="s">
        <v>138</v>
      </c>
      <c r="AE2279" s="26" t="s">
        <v>7027</v>
      </c>
      <c r="AF2279" s="17">
        <v>45452</v>
      </c>
      <c r="AG2279" s="26" t="s">
        <v>1362</v>
      </c>
      <c r="AH2279" s="26"/>
      <c r="AI2279" s="40"/>
      <c r="AJ2279" s="26"/>
      <c r="AK2279" s="26"/>
      <c r="AL2279" s="35"/>
      <c r="AM2279" s="35"/>
      <c r="AN2279" s="35"/>
      <c r="AO2279" s="35"/>
      <c r="AP2279" s="35"/>
    </row>
    <row r="2280" spans="1:42" x14ac:dyDescent="0.2">
      <c r="A2280" s="99">
        <v>45075</v>
      </c>
      <c r="B2280" s="28" t="s">
        <v>37</v>
      </c>
      <c r="C2280" s="41" t="s">
        <v>118</v>
      </c>
      <c r="D2280" s="26" t="s">
        <v>36</v>
      </c>
      <c r="E2280" s="26" t="s">
        <v>139</v>
      </c>
      <c r="F2280" s="26" t="s">
        <v>7027</v>
      </c>
      <c r="G2280" s="26" t="s">
        <v>108</v>
      </c>
      <c r="H2280" s="26" t="s">
        <v>7355</v>
      </c>
      <c r="I2280" s="17">
        <f ca="1">IFERROR(__xludf.DUMMYFUNCTION("""COMPUTED_VALUE"""),45452)</f>
        <v>45452</v>
      </c>
      <c r="J2280" s="29" t="s">
        <v>8171</v>
      </c>
      <c r="K2280" s="26" t="s">
        <v>8172</v>
      </c>
      <c r="L2280" s="30">
        <v>328553642</v>
      </c>
      <c r="M2280" s="26" t="s">
        <v>80</v>
      </c>
      <c r="N2280" s="26" t="s">
        <v>1073</v>
      </c>
      <c r="O2280" s="26" t="s">
        <v>8173</v>
      </c>
      <c r="P2280" s="26" t="s">
        <v>8174</v>
      </c>
      <c r="Q2280" s="20">
        <v>15936</v>
      </c>
      <c r="R2280" s="26" t="s">
        <v>36</v>
      </c>
      <c r="S2280" s="31">
        <v>2000</v>
      </c>
      <c r="T2280" s="32">
        <v>44978</v>
      </c>
      <c r="U2280" s="31">
        <v>13968</v>
      </c>
      <c r="V2280" s="32">
        <v>45401</v>
      </c>
      <c r="W2280" s="33" t="s">
        <v>8175</v>
      </c>
      <c r="X2280" s="26"/>
      <c r="Y2280" s="22">
        <v>-32</v>
      </c>
      <c r="Z2280" s="26" t="s">
        <v>118</v>
      </c>
      <c r="AA2280" s="19" t="s">
        <v>8102</v>
      </c>
      <c r="AB2280" s="26" t="s">
        <v>36</v>
      </c>
      <c r="AC2280" s="26" t="s">
        <v>53</v>
      </c>
      <c r="AD2280" s="19" t="s">
        <v>138</v>
      </c>
      <c r="AE2280" s="26" t="s">
        <v>7027</v>
      </c>
      <c r="AF2280" s="17">
        <v>45452</v>
      </c>
      <c r="AG2280" s="26" t="s">
        <v>1362</v>
      </c>
      <c r="AH2280" s="26"/>
      <c r="AI2280" s="40"/>
      <c r="AJ2280" s="26"/>
      <c r="AK2280" s="26"/>
      <c r="AL2280" s="35"/>
      <c r="AM2280" s="35"/>
      <c r="AN2280" s="35"/>
      <c r="AO2280" s="35"/>
      <c r="AP2280" s="35"/>
    </row>
    <row r="2281" spans="1:42" x14ac:dyDescent="0.2">
      <c r="A2281" s="99">
        <v>45075</v>
      </c>
      <c r="B2281" s="28" t="s">
        <v>37</v>
      </c>
      <c r="C2281" s="41" t="s">
        <v>118</v>
      </c>
      <c r="D2281" s="26" t="s">
        <v>36</v>
      </c>
      <c r="E2281" s="26" t="s">
        <v>39</v>
      </c>
      <c r="F2281" s="26" t="s">
        <v>7027</v>
      </c>
      <c r="G2281" s="26" t="s">
        <v>108</v>
      </c>
      <c r="H2281" s="26" t="s">
        <v>7355</v>
      </c>
      <c r="I2281" s="17">
        <f ca="1">IFERROR(__xludf.DUMMYFUNCTION("""COMPUTED_VALUE"""),45452)</f>
        <v>45452</v>
      </c>
      <c r="J2281" s="29" t="s">
        <v>7892</v>
      </c>
      <c r="K2281" s="26" t="s">
        <v>7893</v>
      </c>
      <c r="L2281" s="30">
        <v>867355128</v>
      </c>
      <c r="M2281" s="26" t="s">
        <v>45</v>
      </c>
      <c r="N2281" s="26" t="s">
        <v>7814</v>
      </c>
      <c r="O2281" s="26" t="s">
        <v>7894</v>
      </c>
      <c r="P2281" s="26" t="s">
        <v>7743</v>
      </c>
      <c r="Q2281" s="20">
        <v>5736</v>
      </c>
      <c r="R2281" s="26" t="s">
        <v>36</v>
      </c>
      <c r="S2281" s="31">
        <v>5736</v>
      </c>
      <c r="T2281" s="32">
        <v>45371</v>
      </c>
      <c r="U2281" s="31"/>
      <c r="V2281" s="32"/>
      <c r="W2281" s="33" t="s">
        <v>7895</v>
      </c>
      <c r="X2281" s="26"/>
      <c r="Y2281" s="22">
        <v>0</v>
      </c>
      <c r="Z2281" s="26" t="s">
        <v>118</v>
      </c>
      <c r="AA2281" s="19" t="s">
        <v>7361</v>
      </c>
      <c r="AB2281" s="26" t="s">
        <v>36</v>
      </c>
      <c r="AC2281" s="26" t="s">
        <v>53</v>
      </c>
      <c r="AD2281" s="19" t="s">
        <v>138</v>
      </c>
      <c r="AE2281" s="26" t="s">
        <v>7027</v>
      </c>
      <c r="AF2281" s="17">
        <v>45452</v>
      </c>
      <c r="AG2281" s="26" t="s">
        <v>1362</v>
      </c>
      <c r="AH2281" s="26"/>
      <c r="AI2281" s="40"/>
      <c r="AJ2281" s="26"/>
      <c r="AK2281" s="26"/>
      <c r="AL2281" s="35"/>
      <c r="AM2281" s="35"/>
      <c r="AN2281" s="35"/>
      <c r="AO2281" s="35"/>
      <c r="AP2281" s="35"/>
    </row>
    <row r="2282" spans="1:42" x14ac:dyDescent="0.2">
      <c r="A2282" s="99">
        <v>45075</v>
      </c>
      <c r="B2282" s="28" t="s">
        <v>37</v>
      </c>
      <c r="C2282" s="41" t="s">
        <v>118</v>
      </c>
      <c r="D2282" s="26" t="s">
        <v>36</v>
      </c>
      <c r="E2282" s="26" t="s">
        <v>139</v>
      </c>
      <c r="F2282" s="26" t="s">
        <v>7027</v>
      </c>
      <c r="G2282" s="26" t="s">
        <v>108</v>
      </c>
      <c r="H2282" s="26" t="s">
        <v>7355</v>
      </c>
      <c r="I2282" s="17">
        <f ca="1">IFERROR(__xludf.DUMMYFUNCTION("""COMPUTED_VALUE"""),45452)</f>
        <v>45452</v>
      </c>
      <c r="J2282" s="29" t="s">
        <v>8218</v>
      </c>
      <c r="K2282" s="26" t="s">
        <v>8219</v>
      </c>
      <c r="L2282" s="30">
        <v>339744728</v>
      </c>
      <c r="M2282" s="80" t="s">
        <v>3498</v>
      </c>
      <c r="N2282" s="26" t="s">
        <v>2756</v>
      </c>
      <c r="O2282" s="26" t="s">
        <v>4503</v>
      </c>
      <c r="P2282" s="26" t="s">
        <v>3694</v>
      </c>
      <c r="Q2282" s="20">
        <v>15936</v>
      </c>
      <c r="R2282" s="26" t="s">
        <v>36</v>
      </c>
      <c r="S2282" s="31">
        <v>4000</v>
      </c>
      <c r="T2282" s="32">
        <v>45381</v>
      </c>
      <c r="U2282" s="31">
        <v>11936</v>
      </c>
      <c r="V2282" s="32">
        <v>45405</v>
      </c>
      <c r="W2282" s="33" t="s">
        <v>8220</v>
      </c>
      <c r="X2282" s="26"/>
      <c r="Y2282" s="22">
        <v>0</v>
      </c>
      <c r="Z2282" s="26" t="s">
        <v>118</v>
      </c>
      <c r="AA2282" s="19" t="s">
        <v>8102</v>
      </c>
      <c r="AB2282" s="26" t="s">
        <v>36</v>
      </c>
      <c r="AC2282" s="26" t="s">
        <v>53</v>
      </c>
      <c r="AD2282" s="19" t="s">
        <v>138</v>
      </c>
      <c r="AE2282" s="26" t="s">
        <v>7027</v>
      </c>
      <c r="AF2282" s="17">
        <v>45452</v>
      </c>
      <c r="AG2282" s="26" t="s">
        <v>1362</v>
      </c>
      <c r="AH2282" s="26"/>
      <c r="AI2282" s="40"/>
      <c r="AJ2282" s="26"/>
      <c r="AK2282" s="26"/>
      <c r="AL2282" s="35"/>
      <c r="AM2282" s="35"/>
      <c r="AN2282" s="35"/>
      <c r="AO2282" s="35"/>
      <c r="AP2282" s="35"/>
    </row>
    <row r="2283" spans="1:42" x14ac:dyDescent="0.2">
      <c r="A2283" s="99">
        <v>45075</v>
      </c>
      <c r="B2283" s="28" t="s">
        <v>37</v>
      </c>
      <c r="C2283" s="41" t="s">
        <v>118</v>
      </c>
      <c r="D2283" s="26" t="s">
        <v>36</v>
      </c>
      <c r="E2283" s="26" t="s">
        <v>39</v>
      </c>
      <c r="F2283" s="26" t="s">
        <v>7027</v>
      </c>
      <c r="G2283" s="26" t="s">
        <v>108</v>
      </c>
      <c r="H2283" s="26" t="s">
        <v>7355</v>
      </c>
      <c r="I2283" s="17">
        <f ca="1">IFERROR(__xludf.DUMMYFUNCTION("""COMPUTED_VALUE"""),45452)</f>
        <v>45452</v>
      </c>
      <c r="J2283" s="29" t="s">
        <v>7888</v>
      </c>
      <c r="K2283" s="26" t="s">
        <v>7889</v>
      </c>
      <c r="L2283" s="30">
        <v>823113168</v>
      </c>
      <c r="M2283" s="26" t="s">
        <v>45</v>
      </c>
      <c r="N2283" s="26" t="s">
        <v>7814</v>
      </c>
      <c r="O2283" s="26" t="s">
        <v>7890</v>
      </c>
      <c r="P2283" s="26" t="s">
        <v>3694</v>
      </c>
      <c r="Q2283" s="20">
        <v>5736</v>
      </c>
      <c r="R2283" s="26" t="s">
        <v>36</v>
      </c>
      <c r="S2283" s="31">
        <v>5736</v>
      </c>
      <c r="T2283" s="32">
        <v>45371</v>
      </c>
      <c r="U2283" s="31"/>
      <c r="V2283" s="32"/>
      <c r="W2283" s="33" t="s">
        <v>7891</v>
      </c>
      <c r="X2283" s="26"/>
      <c r="Y2283" s="22">
        <v>0</v>
      </c>
      <c r="Z2283" s="26" t="s">
        <v>118</v>
      </c>
      <c r="AA2283" s="19" t="s">
        <v>7361</v>
      </c>
      <c r="AB2283" s="26" t="s">
        <v>36</v>
      </c>
      <c r="AC2283" s="26" t="s">
        <v>53</v>
      </c>
      <c r="AD2283" s="19" t="s">
        <v>138</v>
      </c>
      <c r="AE2283" s="26" t="s">
        <v>7027</v>
      </c>
      <c r="AF2283" s="17">
        <v>45452</v>
      </c>
      <c r="AG2283" s="26" t="s">
        <v>1362</v>
      </c>
      <c r="AH2283" s="26"/>
      <c r="AI2283" s="40"/>
      <c r="AJ2283" s="26"/>
      <c r="AK2283" s="26"/>
      <c r="AL2283" s="35"/>
      <c r="AM2283" s="35"/>
      <c r="AN2283" s="35"/>
      <c r="AO2283" s="35"/>
      <c r="AP2283" s="35"/>
    </row>
    <row r="2284" spans="1:42" x14ac:dyDescent="0.2">
      <c r="A2284" s="99">
        <v>45446</v>
      </c>
      <c r="B2284" s="28" t="s">
        <v>37</v>
      </c>
      <c r="C2284" s="41" t="s">
        <v>118</v>
      </c>
      <c r="D2284" s="26" t="s">
        <v>36</v>
      </c>
      <c r="E2284" s="26" t="s">
        <v>56</v>
      </c>
      <c r="F2284" s="26" t="s">
        <v>7027</v>
      </c>
      <c r="G2284" s="26" t="s">
        <v>108</v>
      </c>
      <c r="H2284" s="26" t="s">
        <v>7355</v>
      </c>
      <c r="I2284" s="17">
        <f ca="1">IFERROR(__xludf.DUMMYFUNCTION("""COMPUTED_VALUE"""),45452)</f>
        <v>45452</v>
      </c>
      <c r="J2284" s="49" t="s">
        <v>7227</v>
      </c>
      <c r="K2284" s="26" t="s">
        <v>7228</v>
      </c>
      <c r="L2284" s="30">
        <v>394612470</v>
      </c>
      <c r="M2284" s="26" t="s">
        <v>3288</v>
      </c>
      <c r="N2284" s="26" t="s">
        <v>200</v>
      </c>
      <c r="O2284" s="26" t="s">
        <v>7229</v>
      </c>
      <c r="P2284" s="26" t="s">
        <v>7230</v>
      </c>
      <c r="Q2284" s="20">
        <v>9317</v>
      </c>
      <c r="R2284" s="26" t="s">
        <v>36</v>
      </c>
      <c r="S2284" s="31">
        <v>9317</v>
      </c>
      <c r="T2284" s="32">
        <v>45346</v>
      </c>
      <c r="U2284" s="31"/>
      <c r="V2284" s="32"/>
      <c r="W2284" s="33" t="s">
        <v>7231</v>
      </c>
      <c r="X2284" s="26"/>
      <c r="Y2284" s="22">
        <v>0</v>
      </c>
      <c r="Z2284" s="26" t="s">
        <v>118</v>
      </c>
      <c r="AA2284" s="19" t="s">
        <v>7077</v>
      </c>
      <c r="AB2284" s="26" t="s">
        <v>36</v>
      </c>
      <c r="AC2284" s="26" t="s">
        <v>53</v>
      </c>
      <c r="AD2284" s="19" t="s">
        <v>54</v>
      </c>
      <c r="AE2284" s="26" t="s">
        <v>7027</v>
      </c>
      <c r="AF2284" s="17">
        <v>45452</v>
      </c>
      <c r="AG2284" s="26" t="s">
        <v>1362</v>
      </c>
      <c r="AH2284" s="26"/>
      <c r="AI2284" s="40" t="s">
        <v>64</v>
      </c>
      <c r="AJ2284" s="26"/>
      <c r="AK2284" s="26"/>
      <c r="AL2284" s="35"/>
      <c r="AM2284" s="35"/>
      <c r="AN2284" s="35"/>
      <c r="AO2284" s="35"/>
      <c r="AP2284" s="35"/>
    </row>
    <row r="2285" spans="1:42" x14ac:dyDescent="0.2">
      <c r="A2285" s="99">
        <v>45446</v>
      </c>
      <c r="B2285" s="28" t="s">
        <v>37</v>
      </c>
      <c r="C2285" s="41" t="s">
        <v>118</v>
      </c>
      <c r="D2285" s="26" t="s">
        <v>36</v>
      </c>
      <c r="E2285" s="26" t="s">
        <v>119</v>
      </c>
      <c r="F2285" s="26" t="s">
        <v>4982</v>
      </c>
      <c r="G2285" s="26" t="s">
        <v>1847</v>
      </c>
      <c r="H2285" s="26" t="s">
        <v>8338</v>
      </c>
      <c r="I2285" s="17">
        <f ca="1">IFERROR(__xludf.DUMMYFUNCTION("""COMPUTED_VALUE"""),45462)</f>
        <v>45462</v>
      </c>
      <c r="J2285" s="29" t="s">
        <v>2155</v>
      </c>
      <c r="K2285" s="26" t="s">
        <v>5904</v>
      </c>
      <c r="L2285" s="30">
        <v>824048516</v>
      </c>
      <c r="M2285" s="26" t="s">
        <v>123</v>
      </c>
      <c r="N2285" s="26" t="s">
        <v>2157</v>
      </c>
      <c r="O2285" s="67" t="s">
        <v>2158</v>
      </c>
      <c r="P2285" s="42" t="s">
        <v>8367</v>
      </c>
      <c r="Q2285" s="20">
        <v>13968</v>
      </c>
      <c r="R2285" s="26" t="s">
        <v>36</v>
      </c>
      <c r="S2285" s="19">
        <f>500+12779</f>
        <v>13279</v>
      </c>
      <c r="T2285" s="19" t="s">
        <v>2159</v>
      </c>
      <c r="U2285" s="31">
        <v>957</v>
      </c>
      <c r="V2285" s="32">
        <v>45147</v>
      </c>
      <c r="W2285" s="33" t="s">
        <v>2160</v>
      </c>
      <c r="X2285" s="35">
        <v>0</v>
      </c>
      <c r="Y2285" s="22">
        <v>0</v>
      </c>
      <c r="Z2285" s="26" t="s">
        <v>118</v>
      </c>
      <c r="AA2285" s="19" t="s">
        <v>5785</v>
      </c>
      <c r="AB2285" s="26" t="s">
        <v>36</v>
      </c>
      <c r="AC2285" s="26" t="s">
        <v>53</v>
      </c>
      <c r="AD2285" s="19" t="s">
        <v>54</v>
      </c>
      <c r="AE2285" s="26" t="s">
        <v>4982</v>
      </c>
      <c r="AF2285" s="17">
        <v>45455</v>
      </c>
      <c r="AG2285" s="35" t="s">
        <v>2161</v>
      </c>
      <c r="AH2285" s="26"/>
      <c r="AI2285" s="40">
        <v>4</v>
      </c>
      <c r="AJ2285" s="26"/>
      <c r="AK2285" s="26"/>
      <c r="AL2285" s="35"/>
      <c r="AM2285" s="35"/>
      <c r="AN2285" s="35"/>
      <c r="AO2285" s="35"/>
      <c r="AP2285" s="35"/>
    </row>
    <row r="2286" spans="1:42" x14ac:dyDescent="0.2">
      <c r="A2286" s="99">
        <v>45446</v>
      </c>
      <c r="B2286" s="28" t="s">
        <v>37</v>
      </c>
      <c r="C2286" s="41" t="s">
        <v>118</v>
      </c>
      <c r="D2286" s="26" t="s">
        <v>36</v>
      </c>
      <c r="E2286" s="26" t="s">
        <v>119</v>
      </c>
      <c r="F2286" s="26" t="s">
        <v>4982</v>
      </c>
      <c r="G2286" s="26" t="s">
        <v>1847</v>
      </c>
      <c r="H2286" s="26" t="s">
        <v>8338</v>
      </c>
      <c r="I2286" s="17">
        <f ca="1">IFERROR(__xludf.DUMMYFUNCTION("""COMPUTED_VALUE"""),45462)</f>
        <v>45462</v>
      </c>
      <c r="J2286" s="29" t="s">
        <v>2148</v>
      </c>
      <c r="K2286" s="26" t="s">
        <v>5906</v>
      </c>
      <c r="L2286" s="30">
        <v>826538931</v>
      </c>
      <c r="M2286" s="26" t="s">
        <v>123</v>
      </c>
      <c r="N2286" s="26" t="s">
        <v>124</v>
      </c>
      <c r="O2286" s="67" t="s">
        <v>2150</v>
      </c>
      <c r="P2286" s="42" t="s">
        <v>8367</v>
      </c>
      <c r="Q2286" s="20">
        <v>13968</v>
      </c>
      <c r="R2286" s="26" t="s">
        <v>36</v>
      </c>
      <c r="S2286" s="19">
        <f>500+12679</f>
        <v>13179</v>
      </c>
      <c r="T2286" s="19" t="s">
        <v>2152</v>
      </c>
      <c r="U2286" s="31">
        <v>957</v>
      </c>
      <c r="V2286" s="32">
        <v>45147</v>
      </c>
      <c r="W2286" s="33" t="s">
        <v>2153</v>
      </c>
      <c r="X2286" s="35">
        <v>0</v>
      </c>
      <c r="Y2286" s="22">
        <v>0</v>
      </c>
      <c r="Z2286" s="26" t="s">
        <v>118</v>
      </c>
      <c r="AA2286" s="19" t="s">
        <v>5785</v>
      </c>
      <c r="AB2286" s="26" t="s">
        <v>36</v>
      </c>
      <c r="AC2286" s="26" t="s">
        <v>53</v>
      </c>
      <c r="AD2286" s="19" t="s">
        <v>54</v>
      </c>
      <c r="AE2286" s="26" t="s">
        <v>4982</v>
      </c>
      <c r="AF2286" s="17">
        <v>45455</v>
      </c>
      <c r="AG2286" s="35" t="s">
        <v>2154</v>
      </c>
      <c r="AH2286" s="26"/>
      <c r="AI2286" s="40">
        <v>4</v>
      </c>
      <c r="AJ2286" s="26"/>
      <c r="AK2286" s="26"/>
      <c r="AL2286" s="35"/>
      <c r="AM2286" s="35"/>
      <c r="AN2286" s="35"/>
      <c r="AO2286" s="35"/>
      <c r="AP2286" s="35"/>
    </row>
    <row r="2287" spans="1:42" x14ac:dyDescent="0.2">
      <c r="A2287" s="99">
        <v>45446</v>
      </c>
      <c r="B2287" s="28" t="s">
        <v>37</v>
      </c>
      <c r="C2287" s="41" t="s">
        <v>118</v>
      </c>
      <c r="D2287" s="26" t="s">
        <v>36</v>
      </c>
      <c r="E2287" s="26" t="s">
        <v>148</v>
      </c>
      <c r="F2287" s="26" t="s">
        <v>36</v>
      </c>
      <c r="G2287" s="71" t="s">
        <v>108</v>
      </c>
      <c r="H2287" s="26" t="s">
        <v>8368</v>
      </c>
      <c r="I2287" s="17">
        <f ca="1">IFERROR(__xludf.DUMMYFUNCTION("""COMPUTED_VALUE"""),46055)</f>
        <v>46055</v>
      </c>
      <c r="J2287" s="44" t="s">
        <v>8369</v>
      </c>
      <c r="K2287" s="19" t="s">
        <v>8370</v>
      </c>
      <c r="L2287" s="30">
        <v>329307661</v>
      </c>
      <c r="M2287" s="26" t="s">
        <v>1245</v>
      </c>
      <c r="N2287" s="26" t="s">
        <v>1246</v>
      </c>
      <c r="O2287" s="26" t="s">
        <v>8371</v>
      </c>
      <c r="P2287" s="42" t="s">
        <v>8372</v>
      </c>
      <c r="Q2287" s="20">
        <v>9317</v>
      </c>
      <c r="R2287" s="26" t="s">
        <v>36</v>
      </c>
      <c r="S2287" s="31">
        <v>9317</v>
      </c>
      <c r="T2287" s="32">
        <v>45190</v>
      </c>
      <c r="U2287" s="31"/>
      <c r="V2287" s="26"/>
      <c r="W2287" s="33" t="s">
        <v>3094</v>
      </c>
      <c r="X2287" s="26"/>
      <c r="Y2287" s="22">
        <v>0</v>
      </c>
      <c r="Z2287" s="98" t="s">
        <v>118</v>
      </c>
      <c r="AA2287" s="19" t="s">
        <v>2449</v>
      </c>
      <c r="AB2287" s="26"/>
      <c r="AC2287" s="26" t="s">
        <v>53</v>
      </c>
      <c r="AD2287" s="14" t="s">
        <v>54</v>
      </c>
      <c r="AE2287" s="26">
        <f>470+430</f>
        <v>900</v>
      </c>
      <c r="AF2287" s="17">
        <v>46055</v>
      </c>
      <c r="AG2287" s="35" t="s">
        <v>8373</v>
      </c>
      <c r="AH2287" s="29" t="s">
        <v>3091</v>
      </c>
      <c r="AI2287" s="40"/>
      <c r="AJ2287" s="26"/>
      <c r="AK2287" s="26"/>
      <c r="AL2287" s="35"/>
      <c r="AM2287" s="35"/>
      <c r="AN2287" s="35"/>
      <c r="AO2287" s="35"/>
      <c r="AP2287" s="35"/>
    </row>
    <row r="2288" spans="1:42" x14ac:dyDescent="0.2">
      <c r="A2288" s="99">
        <v>45446</v>
      </c>
      <c r="B2288" s="28" t="s">
        <v>37</v>
      </c>
      <c r="C2288" s="41" t="s">
        <v>118</v>
      </c>
      <c r="D2288" s="26" t="s">
        <v>36</v>
      </c>
      <c r="E2288" s="26" t="s">
        <v>148</v>
      </c>
      <c r="F2288" s="26" t="s">
        <v>823</v>
      </c>
      <c r="G2288" s="98" t="s">
        <v>108</v>
      </c>
      <c r="H2288" s="26" t="s">
        <v>5730</v>
      </c>
      <c r="I2288" s="17">
        <f ca="1">IFERROR(__xludf.DUMMYFUNCTION("""COMPUTED_VALUE"""),45452)</f>
        <v>45452</v>
      </c>
      <c r="J2288" s="29" t="s">
        <v>8374</v>
      </c>
      <c r="K2288" s="26" t="s">
        <v>8375</v>
      </c>
      <c r="L2288" s="30">
        <v>968003420</v>
      </c>
      <c r="M2288" s="26" t="s">
        <v>1245</v>
      </c>
      <c r="N2288" s="26" t="s">
        <v>1750</v>
      </c>
      <c r="O2288" s="26" t="s">
        <v>91</v>
      </c>
      <c r="P2288" s="42" t="s">
        <v>8376</v>
      </c>
      <c r="Q2288" s="20">
        <v>16779</v>
      </c>
      <c r="R2288" s="26" t="s">
        <v>36</v>
      </c>
      <c r="S2288" s="31">
        <v>16779</v>
      </c>
      <c r="T2288" s="32">
        <v>45198</v>
      </c>
      <c r="U2288" s="31"/>
      <c r="V2288" s="26"/>
      <c r="W2288" s="26"/>
      <c r="X2288" s="26"/>
      <c r="Y2288" s="22">
        <v>0</v>
      </c>
      <c r="Z2288" s="98" t="s">
        <v>118</v>
      </c>
      <c r="AA2288" s="19" t="s">
        <v>3307</v>
      </c>
      <c r="AB2288" s="26" t="s">
        <v>36</v>
      </c>
      <c r="AC2288" s="26" t="s">
        <v>53</v>
      </c>
      <c r="AD2288" s="14" t="s">
        <v>54</v>
      </c>
      <c r="AE2288" s="26" t="s">
        <v>8377</v>
      </c>
      <c r="AF2288" s="17">
        <v>45447</v>
      </c>
      <c r="AG2288" s="131"/>
      <c r="AH2288" s="131"/>
      <c r="AI2288" s="132"/>
      <c r="AJ2288" s="132">
        <v>45044.275153946757</v>
      </c>
      <c r="AK2288" s="96"/>
      <c r="AL2288" s="133" t="s">
        <v>8378</v>
      </c>
      <c r="AM2288" s="96"/>
      <c r="AN2288" s="96"/>
      <c r="AO2288" s="26"/>
      <c r="AP2288" s="35"/>
    </row>
    <row r="2289" spans="1:42" x14ac:dyDescent="0.2">
      <c r="A2289" s="99">
        <v>45446</v>
      </c>
      <c r="B2289" s="28" t="s">
        <v>37</v>
      </c>
      <c r="C2289" s="41" t="s">
        <v>118</v>
      </c>
      <c r="D2289" s="26" t="s">
        <v>36</v>
      </c>
      <c r="E2289" s="26" t="s">
        <v>139</v>
      </c>
      <c r="F2289" s="26" t="s">
        <v>5084</v>
      </c>
      <c r="G2289" s="26" t="s">
        <v>1847</v>
      </c>
      <c r="H2289" s="26" t="s">
        <v>8338</v>
      </c>
      <c r="I2289" s="17">
        <f ca="1">IFERROR(__xludf.DUMMYFUNCTION("""COMPUTED_VALUE"""),45462)</f>
        <v>45462</v>
      </c>
      <c r="J2289" s="29" t="s">
        <v>2484</v>
      </c>
      <c r="K2289" s="26" t="s">
        <v>4834</v>
      </c>
      <c r="L2289" s="30">
        <v>989920758</v>
      </c>
      <c r="M2289" s="26" t="s">
        <v>123</v>
      </c>
      <c r="N2289" s="26" t="s">
        <v>850</v>
      </c>
      <c r="O2289" s="26" t="s">
        <v>125</v>
      </c>
      <c r="P2289" s="42" t="s">
        <v>6644</v>
      </c>
      <c r="Q2289" s="20">
        <v>15936</v>
      </c>
      <c r="R2289" s="26" t="s">
        <v>36</v>
      </c>
      <c r="S2289" s="31">
        <v>500</v>
      </c>
      <c r="T2289" s="32">
        <v>45154</v>
      </c>
      <c r="U2289" s="21">
        <f>1500+13936</f>
        <v>15436</v>
      </c>
      <c r="V2289" s="26" t="s">
        <v>2487</v>
      </c>
      <c r="W2289" s="33" t="s">
        <v>2488</v>
      </c>
      <c r="X2289" s="26"/>
      <c r="Y2289" s="22">
        <v>0</v>
      </c>
      <c r="Z2289" s="26" t="s">
        <v>118</v>
      </c>
      <c r="AA2289" s="19" t="s">
        <v>4541</v>
      </c>
      <c r="AB2289" s="26" t="s">
        <v>36</v>
      </c>
      <c r="AC2289" s="26" t="s">
        <v>53</v>
      </c>
      <c r="AD2289" s="19" t="s">
        <v>54</v>
      </c>
      <c r="AE2289" s="26" t="s">
        <v>5084</v>
      </c>
      <c r="AF2289" s="17">
        <v>45455</v>
      </c>
      <c r="AG2289" s="26"/>
      <c r="AH2289" s="26"/>
      <c r="AI2289" s="40"/>
      <c r="AJ2289" s="26"/>
      <c r="AK2289" s="26"/>
      <c r="AL2289" s="35"/>
      <c r="AM2289" s="35"/>
      <c r="AN2289" s="35"/>
      <c r="AO2289" s="35"/>
      <c r="AP2289" s="35"/>
    </row>
    <row r="2290" spans="1:42" x14ac:dyDescent="0.2">
      <c r="A2290" s="99">
        <v>45446</v>
      </c>
      <c r="B2290" s="28" t="s">
        <v>37</v>
      </c>
      <c r="C2290" s="41" t="s">
        <v>118</v>
      </c>
      <c r="D2290" s="26" t="s">
        <v>36</v>
      </c>
      <c r="E2290" s="26" t="s">
        <v>148</v>
      </c>
      <c r="F2290" s="26" t="s">
        <v>8379</v>
      </c>
      <c r="G2290" s="98" t="s">
        <v>108</v>
      </c>
      <c r="H2290" s="26" t="s">
        <v>2945</v>
      </c>
      <c r="I2290" s="17">
        <f ca="1">IFERROR(__xludf.DUMMYFUNCTION("""COMPUTED_VALUE"""),45706)</f>
        <v>45706</v>
      </c>
      <c r="J2290" s="29" t="s">
        <v>8380</v>
      </c>
      <c r="K2290" s="19" t="s">
        <v>8381</v>
      </c>
      <c r="L2290" s="30">
        <v>374641547</v>
      </c>
      <c r="M2290" s="26" t="s">
        <v>45</v>
      </c>
      <c r="N2290" s="26" t="s">
        <v>1472</v>
      </c>
      <c r="O2290" s="26" t="s">
        <v>8382</v>
      </c>
      <c r="P2290" s="54" t="s">
        <v>8383</v>
      </c>
      <c r="Q2290" s="20">
        <v>10534</v>
      </c>
      <c r="R2290" s="26" t="s">
        <v>36</v>
      </c>
      <c r="S2290" s="31">
        <v>10534</v>
      </c>
      <c r="T2290" s="32">
        <v>45348</v>
      </c>
      <c r="U2290" s="31"/>
      <c r="V2290" s="26"/>
      <c r="W2290" s="33" t="s">
        <v>8384</v>
      </c>
      <c r="X2290" s="26">
        <v>0</v>
      </c>
      <c r="Y2290" s="22">
        <v>0</v>
      </c>
      <c r="Z2290" s="26" t="s">
        <v>118</v>
      </c>
      <c r="AA2290" s="19" t="s">
        <v>7077</v>
      </c>
      <c r="AB2290" s="26" t="s">
        <v>36</v>
      </c>
      <c r="AC2290" s="26" t="s">
        <v>53</v>
      </c>
      <c r="AD2290" s="14" t="s">
        <v>138</v>
      </c>
      <c r="AE2290" s="26" t="s">
        <v>8379</v>
      </c>
      <c r="AF2290" s="17">
        <v>45706</v>
      </c>
      <c r="AG2290" s="60" t="s">
        <v>8385</v>
      </c>
      <c r="AH2290" s="40">
        <v>3</v>
      </c>
      <c r="AI2290" s="126"/>
      <c r="AJ2290" s="26"/>
      <c r="AK2290" s="26"/>
      <c r="AL2290" s="26"/>
      <c r="AM2290" s="35"/>
      <c r="AN2290" s="35"/>
      <c r="AO2290" s="35"/>
      <c r="AP2290" s="35"/>
    </row>
    <row r="2291" spans="1:42" x14ac:dyDescent="0.2">
      <c r="A2291" s="99">
        <v>45446</v>
      </c>
      <c r="B2291" s="28" t="s">
        <v>37</v>
      </c>
      <c r="C2291" s="41" t="s">
        <v>118</v>
      </c>
      <c r="D2291" s="26" t="s">
        <v>36</v>
      </c>
      <c r="E2291" s="26" t="s">
        <v>139</v>
      </c>
      <c r="F2291" s="19" t="s">
        <v>4525</v>
      </c>
      <c r="G2291" s="26" t="s">
        <v>221</v>
      </c>
      <c r="H2291" s="19" t="s">
        <v>8386</v>
      </c>
      <c r="I2291" s="17" t="str">
        <f ca="1">IFERROR(__xludf.DUMMYFUNCTION("""COMPUTED_VALUE""")," ")</f>
        <v xml:space="preserve"> </v>
      </c>
      <c r="J2291" s="29" t="s">
        <v>4041</v>
      </c>
      <c r="K2291" s="26" t="s">
        <v>5043</v>
      </c>
      <c r="L2291" s="30">
        <v>337281886</v>
      </c>
      <c r="M2291" s="26" t="s">
        <v>1245</v>
      </c>
      <c r="N2291" s="26" t="s">
        <v>4957</v>
      </c>
      <c r="O2291" s="26" t="s">
        <v>4043</v>
      </c>
      <c r="P2291" s="42" t="s">
        <v>5044</v>
      </c>
      <c r="Q2291" s="20">
        <v>15936</v>
      </c>
      <c r="R2291" s="26" t="s">
        <v>36</v>
      </c>
      <c r="S2291" s="31">
        <v>2000</v>
      </c>
      <c r="T2291" s="32">
        <v>45202</v>
      </c>
      <c r="U2291" s="31">
        <v>13936</v>
      </c>
      <c r="V2291" s="32">
        <v>45226</v>
      </c>
      <c r="W2291" s="26" t="s">
        <v>4045</v>
      </c>
      <c r="X2291" s="26"/>
      <c r="Y2291" s="22">
        <v>0</v>
      </c>
      <c r="Z2291" s="26" t="s">
        <v>118</v>
      </c>
      <c r="AA2291" s="19" t="s">
        <v>3454</v>
      </c>
      <c r="AB2291" s="26" t="s">
        <v>36</v>
      </c>
      <c r="AC2291" s="26" t="s">
        <v>53</v>
      </c>
      <c r="AD2291" s="19" t="s">
        <v>54</v>
      </c>
      <c r="AE2291" s="26" t="s">
        <v>4525</v>
      </c>
      <c r="AF2291" s="17">
        <v>45448</v>
      </c>
      <c r="AG2291" s="26"/>
      <c r="AH2291" s="26"/>
      <c r="AI2291" s="40"/>
      <c r="AJ2291" s="26"/>
      <c r="AK2291" s="26"/>
      <c r="AL2291" s="35"/>
      <c r="AM2291" s="35"/>
      <c r="AN2291" s="35"/>
      <c r="AO2291" s="35"/>
      <c r="AP2291" s="35"/>
    </row>
    <row r="2292" spans="1:42" x14ac:dyDescent="0.2">
      <c r="A2292" s="99">
        <v>45446</v>
      </c>
      <c r="B2292" s="28" t="s">
        <v>37</v>
      </c>
      <c r="C2292" s="41" t="s">
        <v>118</v>
      </c>
      <c r="D2292" s="26" t="s">
        <v>36</v>
      </c>
      <c r="E2292" s="26" t="s">
        <v>119</v>
      </c>
      <c r="F2292" s="26" t="s">
        <v>5106</v>
      </c>
      <c r="G2292" s="26" t="s">
        <v>221</v>
      </c>
      <c r="H2292" s="19" t="s">
        <v>6978</v>
      </c>
      <c r="I2292" s="17">
        <f ca="1">IFERROR(__xludf.DUMMYFUNCTION("""COMPUTED_VALUE"""),45456)</f>
        <v>45456</v>
      </c>
      <c r="J2292" s="29" t="s">
        <v>6688</v>
      </c>
      <c r="K2292" s="26" t="s">
        <v>6689</v>
      </c>
      <c r="L2292" s="30">
        <v>977163202</v>
      </c>
      <c r="M2292" s="26" t="s">
        <v>5429</v>
      </c>
      <c r="N2292" s="26" t="s">
        <v>81</v>
      </c>
      <c r="O2292" s="26" t="s">
        <v>6690</v>
      </c>
      <c r="P2292" s="42" t="s">
        <v>8387</v>
      </c>
      <c r="Q2292" s="20">
        <v>13968</v>
      </c>
      <c r="R2292" s="26" t="s">
        <v>36</v>
      </c>
      <c r="S2292" s="31">
        <v>4000</v>
      </c>
      <c r="T2292" s="32">
        <v>45286</v>
      </c>
      <c r="U2292" s="31">
        <v>9968</v>
      </c>
      <c r="V2292" s="32">
        <v>45312</v>
      </c>
      <c r="W2292" s="33" t="s">
        <v>6692</v>
      </c>
      <c r="X2292" s="26">
        <v>0</v>
      </c>
      <c r="Y2292" s="22">
        <v>0</v>
      </c>
      <c r="Z2292" s="26" t="s">
        <v>118</v>
      </c>
      <c r="AA2292" s="19" t="s">
        <v>6079</v>
      </c>
      <c r="AB2292" s="26" t="s">
        <v>36</v>
      </c>
      <c r="AC2292" s="26" t="s">
        <v>53</v>
      </c>
      <c r="AD2292" s="19" t="s">
        <v>54</v>
      </c>
      <c r="AE2292" s="26" t="s">
        <v>5106</v>
      </c>
      <c r="AF2292" s="17">
        <v>45448</v>
      </c>
      <c r="AG2292" s="26"/>
      <c r="AH2292" s="26"/>
      <c r="AI2292" s="40">
        <v>4</v>
      </c>
      <c r="AJ2292" s="26"/>
      <c r="AK2292" s="26"/>
      <c r="AL2292" s="35"/>
      <c r="AM2292" s="35"/>
      <c r="AN2292" s="35"/>
      <c r="AO2292" s="35"/>
      <c r="AP2292" s="35"/>
    </row>
    <row r="2293" spans="1:42" x14ac:dyDescent="0.2">
      <c r="A2293" s="99">
        <v>45446</v>
      </c>
      <c r="B2293" s="28" t="s">
        <v>37</v>
      </c>
      <c r="C2293" s="41" t="s">
        <v>118</v>
      </c>
      <c r="D2293" s="26" t="s">
        <v>36</v>
      </c>
      <c r="E2293" s="26" t="s">
        <v>139</v>
      </c>
      <c r="F2293" s="26" t="s">
        <v>5106</v>
      </c>
      <c r="G2293" s="26" t="s">
        <v>221</v>
      </c>
      <c r="H2293" s="19" t="s">
        <v>6978</v>
      </c>
      <c r="I2293" s="17">
        <f ca="1">IFERROR(__xludf.DUMMYFUNCTION("""COMPUTED_VALUE"""),45456)</f>
        <v>45456</v>
      </c>
      <c r="J2293" s="29" t="s">
        <v>5403</v>
      </c>
      <c r="K2293" s="26" t="s">
        <v>6012</v>
      </c>
      <c r="L2293" s="30">
        <v>966763105</v>
      </c>
      <c r="M2293" s="26" t="s">
        <v>123</v>
      </c>
      <c r="N2293" s="26" t="s">
        <v>850</v>
      </c>
      <c r="O2293" s="26" t="s">
        <v>1226</v>
      </c>
      <c r="P2293" s="115" t="s">
        <v>5405</v>
      </c>
      <c r="Q2293" s="20">
        <v>15936</v>
      </c>
      <c r="R2293" s="26" t="s">
        <v>36</v>
      </c>
      <c r="S2293" s="31">
        <v>2000</v>
      </c>
      <c r="T2293" s="32">
        <v>45220</v>
      </c>
      <c r="U2293" s="58">
        <v>13936</v>
      </c>
      <c r="V2293" s="59">
        <v>45249</v>
      </c>
      <c r="W2293" s="26" t="s">
        <v>5406</v>
      </c>
      <c r="X2293" s="26"/>
      <c r="Y2293" s="22">
        <v>0</v>
      </c>
      <c r="Z2293" s="26" t="s">
        <v>118</v>
      </c>
      <c r="AA2293" s="19" t="s">
        <v>5785</v>
      </c>
      <c r="AB2293" s="26" t="s">
        <v>36</v>
      </c>
      <c r="AC2293" s="26" t="s">
        <v>53</v>
      </c>
      <c r="AD2293" s="19" t="s">
        <v>54</v>
      </c>
      <c r="AE2293" s="26" t="s">
        <v>5106</v>
      </c>
      <c r="AF2293" s="17">
        <v>45448</v>
      </c>
      <c r="AG2293" s="26"/>
      <c r="AH2293" s="26"/>
      <c r="AI2293" s="40" t="s">
        <v>147</v>
      </c>
      <c r="AJ2293" s="26"/>
      <c r="AK2293" s="26"/>
      <c r="AL2293" s="35"/>
      <c r="AM2293" s="35"/>
      <c r="AN2293" s="35"/>
      <c r="AO2293" s="35"/>
      <c r="AP2293" s="35"/>
    </row>
    <row r="2294" spans="1:42" x14ac:dyDescent="0.2">
      <c r="A2294" s="99">
        <v>45446</v>
      </c>
      <c r="B2294" s="28" t="s">
        <v>37</v>
      </c>
      <c r="C2294" s="41" t="s">
        <v>118</v>
      </c>
      <c r="D2294" s="26" t="s">
        <v>36</v>
      </c>
      <c r="E2294" s="26" t="s">
        <v>148</v>
      </c>
      <c r="F2294" s="26" t="s">
        <v>4959</v>
      </c>
      <c r="G2294" s="26" t="s">
        <v>108</v>
      </c>
      <c r="H2294" s="26" t="s">
        <v>2163</v>
      </c>
      <c r="I2294" s="17">
        <f ca="1">IFERROR(__xludf.DUMMYFUNCTION("""COMPUTED_VALUE"""),45440)</f>
        <v>45440</v>
      </c>
      <c r="J2294" s="29" t="s">
        <v>4474</v>
      </c>
      <c r="K2294" s="26" t="s">
        <v>8388</v>
      </c>
      <c r="L2294" s="30">
        <v>346633240</v>
      </c>
      <c r="M2294" s="26" t="s">
        <v>910</v>
      </c>
      <c r="N2294" s="26" t="s">
        <v>3525</v>
      </c>
      <c r="O2294" s="26" t="s">
        <v>4476</v>
      </c>
      <c r="P2294" s="26" t="s">
        <v>4477</v>
      </c>
      <c r="Q2294" s="20">
        <v>7349</v>
      </c>
      <c r="R2294" s="26" t="s">
        <v>36</v>
      </c>
      <c r="S2294" s="31">
        <v>7049</v>
      </c>
      <c r="T2294" s="32">
        <v>45334</v>
      </c>
      <c r="U2294" s="31"/>
      <c r="V2294" s="32"/>
      <c r="W2294" s="33" t="s">
        <v>7146</v>
      </c>
      <c r="X2294" s="26"/>
      <c r="Y2294" s="22">
        <v>300</v>
      </c>
      <c r="Z2294" s="26" t="s">
        <v>118</v>
      </c>
      <c r="AA2294" s="19" t="s">
        <v>7077</v>
      </c>
      <c r="AB2294" s="26" t="s">
        <v>36</v>
      </c>
      <c r="AC2294" s="26" t="s">
        <v>53</v>
      </c>
      <c r="AD2294" s="19" t="s">
        <v>54</v>
      </c>
      <c r="AE2294" s="26" t="s">
        <v>4959</v>
      </c>
      <c r="AF2294" s="17">
        <v>45350</v>
      </c>
      <c r="AG2294" s="26"/>
      <c r="AH2294" s="26"/>
      <c r="AI2294" s="40">
        <v>2</v>
      </c>
      <c r="AJ2294" s="26"/>
      <c r="AK2294" s="26"/>
      <c r="AL2294" s="35"/>
      <c r="AM2294" s="35"/>
      <c r="AN2294" s="35"/>
      <c r="AO2294" s="35"/>
      <c r="AP2294" s="35"/>
    </row>
    <row r="2295" spans="1:42" x14ac:dyDescent="0.2">
      <c r="A2295" s="99">
        <v>45446</v>
      </c>
      <c r="B2295" s="28" t="s">
        <v>37</v>
      </c>
      <c r="C2295" s="41" t="s">
        <v>118</v>
      </c>
      <c r="D2295" s="26" t="s">
        <v>36</v>
      </c>
      <c r="E2295" s="26" t="s">
        <v>139</v>
      </c>
      <c r="F2295" s="26" t="s">
        <v>2434</v>
      </c>
      <c r="G2295" s="26" t="s">
        <v>221</v>
      </c>
      <c r="H2295" s="19" t="s">
        <v>6623</v>
      </c>
      <c r="I2295" s="17">
        <f ca="1">IFERROR(__xludf.DUMMYFUNCTION("""COMPUTED_VALUE"""),45461)</f>
        <v>45461</v>
      </c>
      <c r="J2295" s="44" t="s">
        <v>8389</v>
      </c>
      <c r="K2295" s="26" t="s">
        <v>8390</v>
      </c>
      <c r="L2295" s="30">
        <v>857099036</v>
      </c>
      <c r="M2295" s="26" t="s">
        <v>1245</v>
      </c>
      <c r="N2295" s="26" t="s">
        <v>4957</v>
      </c>
      <c r="O2295" s="26" t="s">
        <v>2737</v>
      </c>
      <c r="P2295" s="42" t="s">
        <v>8391</v>
      </c>
      <c r="Q2295" s="20">
        <v>15936</v>
      </c>
      <c r="R2295" s="26" t="s">
        <v>36</v>
      </c>
      <c r="S2295" s="31">
        <v>100</v>
      </c>
      <c r="T2295" s="32">
        <v>45179</v>
      </c>
      <c r="U2295" s="31">
        <f>1900+13936</f>
        <v>15836</v>
      </c>
      <c r="V2295" s="26" t="s">
        <v>3655</v>
      </c>
      <c r="W2295" s="33" t="s">
        <v>3656</v>
      </c>
      <c r="X2295" s="26"/>
      <c r="Y2295" s="22">
        <v>0</v>
      </c>
      <c r="Z2295" s="26" t="s">
        <v>118</v>
      </c>
      <c r="AA2295" s="19" t="s">
        <v>4541</v>
      </c>
      <c r="AB2295" s="26" t="s">
        <v>36</v>
      </c>
      <c r="AC2295" s="26" t="s">
        <v>53</v>
      </c>
      <c r="AD2295" s="19" t="s">
        <v>54</v>
      </c>
      <c r="AE2295" s="26" t="s">
        <v>2434</v>
      </c>
      <c r="AF2295" s="17">
        <v>45455</v>
      </c>
      <c r="AG2295" s="26"/>
      <c r="AH2295" s="26"/>
      <c r="AI2295" s="40"/>
      <c r="AJ2295" s="26"/>
      <c r="AK2295" s="26"/>
      <c r="AL2295" s="35"/>
      <c r="AM2295" s="35"/>
      <c r="AN2295" s="35"/>
      <c r="AO2295" s="35"/>
      <c r="AP2295" s="35"/>
    </row>
    <row r="2296" spans="1:42" x14ac:dyDescent="0.2">
      <c r="A2296" s="99">
        <v>45447</v>
      </c>
      <c r="B2296" s="137" t="s">
        <v>37</v>
      </c>
      <c r="C2296" s="41" t="s">
        <v>118</v>
      </c>
      <c r="D2296" s="26" t="s">
        <v>36</v>
      </c>
      <c r="E2296" s="26" t="s">
        <v>56</v>
      </c>
      <c r="F2296" s="26" t="s">
        <v>36</v>
      </c>
      <c r="G2296" s="26" t="s">
        <v>41</v>
      </c>
      <c r="H2296" s="26" t="s">
        <v>8392</v>
      </c>
      <c r="I2296" s="17">
        <f ca="1">IFERROR(__xludf.DUMMYFUNCTION("""COMPUTED_VALUE"""),45540)</f>
        <v>45540</v>
      </c>
      <c r="J2296" s="29" t="s">
        <v>8393</v>
      </c>
      <c r="K2296" s="26" t="s">
        <v>8394</v>
      </c>
      <c r="L2296" s="30">
        <v>773386206</v>
      </c>
      <c r="M2296" s="26" t="s">
        <v>633</v>
      </c>
      <c r="N2296" s="26" t="s">
        <v>2847</v>
      </c>
      <c r="O2296" s="26" t="s">
        <v>8395</v>
      </c>
      <c r="P2296" s="42" t="s">
        <v>8396</v>
      </c>
      <c r="Q2296" s="20">
        <v>15936</v>
      </c>
      <c r="R2296" s="26" t="s">
        <v>36</v>
      </c>
      <c r="S2296" s="31">
        <v>15936</v>
      </c>
      <c r="T2296" s="32">
        <v>45210</v>
      </c>
      <c r="U2296" s="31"/>
      <c r="V2296" s="32"/>
      <c r="W2296" s="33" t="s">
        <v>4202</v>
      </c>
      <c r="X2296" s="26"/>
      <c r="Y2296" s="22">
        <v>0</v>
      </c>
      <c r="Z2296" s="26" t="s">
        <v>118</v>
      </c>
      <c r="AA2296" s="19" t="s">
        <v>5785</v>
      </c>
      <c r="AB2296" s="26" t="s">
        <v>36</v>
      </c>
      <c r="AC2296" s="26" t="s">
        <v>53</v>
      </c>
      <c r="AD2296" s="19" t="s">
        <v>54</v>
      </c>
      <c r="AE2296" s="26"/>
      <c r="AF2296" s="17">
        <v>45532</v>
      </c>
      <c r="AG2296" s="91" t="s">
        <v>8397</v>
      </c>
      <c r="AH2296" s="29" t="s">
        <v>4199</v>
      </c>
      <c r="AI2296" s="40" t="s">
        <v>147</v>
      </c>
      <c r="AJ2296" s="26"/>
      <c r="AK2296" s="26"/>
      <c r="AL2296" s="35"/>
      <c r="AM2296" s="35"/>
      <c r="AN2296" s="35"/>
      <c r="AO2296" s="35"/>
      <c r="AP2296" s="35"/>
    </row>
    <row r="2297" spans="1:42" x14ac:dyDescent="0.2">
      <c r="A2297" s="99">
        <v>45450</v>
      </c>
      <c r="B2297" s="28" t="s">
        <v>37</v>
      </c>
      <c r="C2297" s="41" t="s">
        <v>118</v>
      </c>
      <c r="D2297" s="26" t="s">
        <v>36</v>
      </c>
      <c r="E2297" s="26" t="s">
        <v>119</v>
      </c>
      <c r="F2297" s="26" t="s">
        <v>4869</v>
      </c>
      <c r="G2297" s="26" t="s">
        <v>221</v>
      </c>
      <c r="H2297" s="26" t="s">
        <v>8398</v>
      </c>
      <c r="I2297" s="17" t="str">
        <f ca="1">IFERROR(__xludf.DUMMYFUNCTION("""COMPUTED_VALUE""")," ")</f>
        <v xml:space="preserve"> </v>
      </c>
      <c r="J2297" s="29" t="s">
        <v>6474</v>
      </c>
      <c r="K2297" s="26" t="s">
        <v>5720</v>
      </c>
      <c r="L2297" s="30">
        <v>775239835</v>
      </c>
      <c r="M2297" s="26" t="s">
        <v>80</v>
      </c>
      <c r="N2297" s="26" t="s">
        <v>438</v>
      </c>
      <c r="O2297" s="26" t="s">
        <v>1492</v>
      </c>
      <c r="P2297" s="42" t="s">
        <v>8399</v>
      </c>
      <c r="Q2297" s="20">
        <v>13968</v>
      </c>
      <c r="R2297" s="26" t="s">
        <v>36</v>
      </c>
      <c r="S2297" s="31">
        <v>200</v>
      </c>
      <c r="T2297" s="32">
        <v>45283</v>
      </c>
      <c r="U2297" s="31">
        <f>3800 +9968</f>
        <v>13768</v>
      </c>
      <c r="V2297" s="26" t="s">
        <v>6476</v>
      </c>
      <c r="W2297" s="33" t="s">
        <v>6477</v>
      </c>
      <c r="X2297" s="26"/>
      <c r="Y2297" s="22">
        <v>0</v>
      </c>
      <c r="Z2297" s="26" t="s">
        <v>118</v>
      </c>
      <c r="AA2297" s="19" t="s">
        <v>5961</v>
      </c>
      <c r="AB2297" s="26" t="s">
        <v>36</v>
      </c>
      <c r="AC2297" s="26" t="s">
        <v>53</v>
      </c>
      <c r="AD2297" s="19" t="s">
        <v>138</v>
      </c>
      <c r="AE2297" s="26" t="s">
        <v>4869</v>
      </c>
      <c r="AF2297" s="17">
        <v>45455</v>
      </c>
      <c r="AG2297" s="26" t="s">
        <v>1362</v>
      </c>
      <c r="AH2297" s="26">
        <v>1</v>
      </c>
      <c r="AI2297" s="40"/>
      <c r="AJ2297" s="26"/>
      <c r="AK2297" s="26"/>
      <c r="AL2297" s="35"/>
      <c r="AM2297" s="35"/>
      <c r="AN2297" s="35"/>
      <c r="AO2297" s="35"/>
      <c r="AP2297" s="35"/>
    </row>
    <row r="2298" spans="1:42" x14ac:dyDescent="0.2">
      <c r="A2298" s="99">
        <v>45453</v>
      </c>
      <c r="B2298" s="28" t="s">
        <v>37</v>
      </c>
      <c r="C2298" s="41" t="s">
        <v>118</v>
      </c>
      <c r="D2298" s="26" t="s">
        <v>36</v>
      </c>
      <c r="E2298" s="26" t="s">
        <v>915</v>
      </c>
      <c r="F2298" s="26" t="s">
        <v>6965</v>
      </c>
      <c r="G2298" s="26" t="s">
        <v>1847</v>
      </c>
      <c r="H2298" s="26" t="s">
        <v>8338</v>
      </c>
      <c r="I2298" s="17">
        <f ca="1">IFERROR(__xludf.DUMMYFUNCTION("""COMPUTED_VALUE"""),45462)</f>
        <v>45462</v>
      </c>
      <c r="J2298" s="29" t="s">
        <v>1077</v>
      </c>
      <c r="K2298" s="26" t="s">
        <v>6966</v>
      </c>
      <c r="L2298" s="30">
        <v>812944568</v>
      </c>
      <c r="M2298" s="26" t="s">
        <v>123</v>
      </c>
      <c r="N2298" s="26" t="s">
        <v>207</v>
      </c>
      <c r="O2298" s="26" t="s">
        <v>134</v>
      </c>
      <c r="P2298" s="42" t="s">
        <v>6967</v>
      </c>
      <c r="Q2298" s="20">
        <v>10894</v>
      </c>
      <c r="R2298" s="26" t="s">
        <v>70</v>
      </c>
      <c r="S2298" s="31">
        <v>3968</v>
      </c>
      <c r="T2298" s="32">
        <v>45126</v>
      </c>
      <c r="U2298" s="31">
        <v>6926</v>
      </c>
      <c r="V2298" s="32">
        <v>45148</v>
      </c>
      <c r="W2298" s="33" t="s">
        <v>1080</v>
      </c>
      <c r="X2298" s="26">
        <v>100</v>
      </c>
      <c r="Y2298" s="22">
        <v>-100</v>
      </c>
      <c r="Z2298" s="26" t="s">
        <v>118</v>
      </c>
      <c r="AA2298" s="19" t="s">
        <v>901</v>
      </c>
      <c r="AB2298" s="26" t="s">
        <v>36</v>
      </c>
      <c r="AC2298" s="26" t="s">
        <v>53</v>
      </c>
      <c r="AD2298" s="19" t="s">
        <v>54</v>
      </c>
      <c r="AE2298" s="26" t="s">
        <v>6965</v>
      </c>
      <c r="AF2298" s="17">
        <v>45455</v>
      </c>
      <c r="AG2298" s="26" t="s">
        <v>1081</v>
      </c>
      <c r="AH2298" s="26">
        <v>1</v>
      </c>
      <c r="AI2298" s="40">
        <v>3</v>
      </c>
      <c r="AJ2298" s="26"/>
      <c r="AK2298" s="26"/>
      <c r="AL2298" s="35"/>
      <c r="AM2298" s="35"/>
      <c r="AN2298" s="35"/>
      <c r="AO2298" s="35"/>
      <c r="AP2298" s="35"/>
    </row>
    <row r="2299" spans="1:42" x14ac:dyDescent="0.2">
      <c r="A2299" s="99">
        <v>45453</v>
      </c>
      <c r="B2299" s="28" t="s">
        <v>37</v>
      </c>
      <c r="C2299" s="41" t="s">
        <v>118</v>
      </c>
      <c r="D2299" s="26" t="s">
        <v>77</v>
      </c>
      <c r="E2299" s="26" t="s">
        <v>3180</v>
      </c>
      <c r="F2299" s="26" t="s">
        <v>3181</v>
      </c>
      <c r="G2299" s="26" t="s">
        <v>221</v>
      </c>
      <c r="H2299" s="26" t="s">
        <v>8400</v>
      </c>
      <c r="I2299" s="17">
        <f ca="1">IFERROR(__xludf.DUMMYFUNCTION("""COMPUTED_VALUE"""),45750)</f>
        <v>45750</v>
      </c>
      <c r="J2299" s="29" t="s">
        <v>3182</v>
      </c>
      <c r="K2299" s="26" t="s">
        <v>8401</v>
      </c>
      <c r="L2299" s="30">
        <v>337182729</v>
      </c>
      <c r="M2299" s="26" t="s">
        <v>80</v>
      </c>
      <c r="N2299" s="26" t="s">
        <v>186</v>
      </c>
      <c r="O2299" s="26" t="s">
        <v>1492</v>
      </c>
      <c r="P2299" s="42" t="s">
        <v>8402</v>
      </c>
      <c r="Q2299" s="20">
        <v>13968</v>
      </c>
      <c r="R2299" s="26" t="s">
        <v>36</v>
      </c>
      <c r="S2299" s="31">
        <v>13968</v>
      </c>
      <c r="T2299" s="32">
        <v>45196</v>
      </c>
      <c r="U2299" s="31"/>
      <c r="V2299" s="26"/>
      <c r="W2299" s="33" t="s">
        <v>3185</v>
      </c>
      <c r="X2299" s="26"/>
      <c r="Y2299" s="22">
        <v>0</v>
      </c>
      <c r="Z2299" s="26" t="s">
        <v>118</v>
      </c>
      <c r="AA2299" s="19" t="s">
        <v>2449</v>
      </c>
      <c r="AB2299" s="26" t="s">
        <v>36</v>
      </c>
      <c r="AC2299" s="26" t="s">
        <v>53</v>
      </c>
      <c r="AD2299" s="19" t="s">
        <v>54</v>
      </c>
      <c r="AE2299" s="26" t="s">
        <v>3181</v>
      </c>
      <c r="AF2299" s="17">
        <v>45455</v>
      </c>
      <c r="AG2299" s="26"/>
      <c r="AH2299" s="26"/>
      <c r="AI2299" s="40"/>
      <c r="AJ2299" s="26"/>
      <c r="AK2299" s="26"/>
      <c r="AL2299" s="35"/>
      <c r="AM2299" s="35"/>
      <c r="AN2299" s="35"/>
      <c r="AO2299" s="35"/>
      <c r="AP2299" s="35"/>
    </row>
    <row r="2300" spans="1:42" x14ac:dyDescent="0.2">
      <c r="A2300" s="99">
        <v>45453</v>
      </c>
      <c r="B2300" s="28" t="s">
        <v>37</v>
      </c>
      <c r="C2300" s="41" t="s">
        <v>118</v>
      </c>
      <c r="D2300" s="26" t="s">
        <v>36</v>
      </c>
      <c r="E2300" s="26" t="s">
        <v>139</v>
      </c>
      <c r="F2300" s="26" t="s">
        <v>4469</v>
      </c>
      <c r="G2300" s="26" t="s">
        <v>1847</v>
      </c>
      <c r="H2300" s="26" t="s">
        <v>8403</v>
      </c>
      <c r="I2300" s="17">
        <f ca="1">IFERROR(__xludf.DUMMYFUNCTION("""COMPUTED_VALUE"""),45543)</f>
        <v>45543</v>
      </c>
      <c r="J2300" s="44" t="s">
        <v>8404</v>
      </c>
      <c r="K2300" s="26" t="s">
        <v>8405</v>
      </c>
      <c r="L2300" s="30">
        <v>857005487</v>
      </c>
      <c r="M2300" s="26" t="s">
        <v>112</v>
      </c>
      <c r="N2300" s="26" t="s">
        <v>3330</v>
      </c>
      <c r="O2300" s="26" t="s">
        <v>3235</v>
      </c>
      <c r="P2300" s="42" t="s">
        <v>6997</v>
      </c>
      <c r="Q2300" s="20">
        <v>15936</v>
      </c>
      <c r="R2300" s="26" t="s">
        <v>70</v>
      </c>
      <c r="S2300" s="31">
        <v>15836</v>
      </c>
      <c r="T2300" s="32">
        <v>45198</v>
      </c>
      <c r="U2300" s="31"/>
      <c r="V2300" s="32"/>
      <c r="W2300" s="33" t="s">
        <v>3237</v>
      </c>
      <c r="X2300" s="26"/>
      <c r="Y2300" s="22">
        <v>100</v>
      </c>
      <c r="Z2300" s="26" t="s">
        <v>118</v>
      </c>
      <c r="AA2300" s="19" t="s">
        <v>5785</v>
      </c>
      <c r="AB2300" s="26" t="s">
        <v>36</v>
      </c>
      <c r="AC2300" s="26" t="s">
        <v>53</v>
      </c>
      <c r="AD2300" s="19" t="s">
        <v>138</v>
      </c>
      <c r="AE2300" s="26" t="s">
        <v>4469</v>
      </c>
      <c r="AF2300" s="17">
        <v>45551</v>
      </c>
      <c r="AG2300" s="26"/>
      <c r="AH2300" s="26"/>
      <c r="AI2300" s="40" t="s">
        <v>147</v>
      </c>
      <c r="AJ2300" s="26"/>
      <c r="AK2300" s="26"/>
      <c r="AL2300" s="35"/>
      <c r="AM2300" s="35"/>
      <c r="AN2300" s="35"/>
      <c r="AO2300" s="35"/>
      <c r="AP2300" s="35"/>
    </row>
    <row r="2301" spans="1:42" x14ac:dyDescent="0.2">
      <c r="A2301" s="99">
        <v>45453</v>
      </c>
      <c r="B2301" s="28" t="s">
        <v>37</v>
      </c>
      <c r="C2301" s="41" t="s">
        <v>118</v>
      </c>
      <c r="D2301" s="26" t="s">
        <v>36</v>
      </c>
      <c r="E2301" s="26" t="s">
        <v>56</v>
      </c>
      <c r="F2301" s="26" t="s">
        <v>4959</v>
      </c>
      <c r="G2301" s="26" t="s">
        <v>221</v>
      </c>
      <c r="H2301" s="26" t="s">
        <v>6623</v>
      </c>
      <c r="I2301" s="17">
        <f ca="1">IFERROR(__xludf.DUMMYFUNCTION("""COMPUTED_VALUE"""),45461)</f>
        <v>45461</v>
      </c>
      <c r="J2301" s="29" t="s">
        <v>3686</v>
      </c>
      <c r="K2301" s="26" t="s">
        <v>3687</v>
      </c>
      <c r="L2301" s="30">
        <v>963055426</v>
      </c>
      <c r="M2301" s="26" t="s">
        <v>112</v>
      </c>
      <c r="N2301" s="26" t="s">
        <v>3330</v>
      </c>
      <c r="O2301" s="26" t="s">
        <v>3688</v>
      </c>
      <c r="P2301" s="42" t="s">
        <v>5890</v>
      </c>
      <c r="Q2301" s="20">
        <v>9317</v>
      </c>
      <c r="R2301" s="26" t="s">
        <v>36</v>
      </c>
      <c r="S2301" s="31">
        <v>2000</v>
      </c>
      <c r="T2301" s="32">
        <v>45187</v>
      </c>
      <c r="U2301" s="31">
        <v>7217</v>
      </c>
      <c r="V2301" s="32">
        <v>45214</v>
      </c>
      <c r="W2301" s="33" t="s">
        <v>3690</v>
      </c>
      <c r="X2301" s="26"/>
      <c r="Y2301" s="22">
        <v>100</v>
      </c>
      <c r="Z2301" s="26" t="s">
        <v>118</v>
      </c>
      <c r="AA2301" s="19" t="s">
        <v>5785</v>
      </c>
      <c r="AB2301" s="26" t="s">
        <v>36</v>
      </c>
      <c r="AC2301" s="26" t="s">
        <v>53</v>
      </c>
      <c r="AD2301" s="19" t="s">
        <v>54</v>
      </c>
      <c r="AE2301" s="26" t="s">
        <v>4959</v>
      </c>
      <c r="AF2301" s="17">
        <v>45455</v>
      </c>
      <c r="AG2301" s="26"/>
      <c r="AH2301" s="26"/>
      <c r="AI2301" s="40" t="s">
        <v>64</v>
      </c>
      <c r="AJ2301" s="26"/>
      <c r="AK2301" s="26"/>
      <c r="AL2301" s="35"/>
      <c r="AM2301" s="35"/>
      <c r="AN2301" s="35"/>
      <c r="AO2301" s="35"/>
      <c r="AP2301" s="35"/>
    </row>
    <row r="2302" spans="1:42" x14ac:dyDescent="0.2">
      <c r="A2302" s="99">
        <v>45453</v>
      </c>
      <c r="B2302" s="28" t="s">
        <v>37</v>
      </c>
      <c r="C2302" s="41" t="s">
        <v>118</v>
      </c>
      <c r="D2302" s="26" t="s">
        <v>36</v>
      </c>
      <c r="E2302" s="26" t="s">
        <v>139</v>
      </c>
      <c r="F2302" s="26" t="s">
        <v>4959</v>
      </c>
      <c r="G2302" s="26" t="s">
        <v>221</v>
      </c>
      <c r="H2302" s="26" t="s">
        <v>6623</v>
      </c>
      <c r="I2302" s="17">
        <f ca="1">IFERROR(__xludf.DUMMYFUNCTION("""COMPUTED_VALUE"""),45461)</f>
        <v>45461</v>
      </c>
      <c r="J2302" s="29" t="s">
        <v>6281</v>
      </c>
      <c r="K2302" s="26" t="s">
        <v>5899</v>
      </c>
      <c r="L2302" s="30">
        <v>382959506</v>
      </c>
      <c r="M2302" s="26" t="s">
        <v>3288</v>
      </c>
      <c r="N2302" s="26" t="s">
        <v>200</v>
      </c>
      <c r="O2302" s="26" t="s">
        <v>91</v>
      </c>
      <c r="P2302" s="42" t="s">
        <v>6282</v>
      </c>
      <c r="Q2302" s="20">
        <v>15936</v>
      </c>
      <c r="R2302" s="26" t="s">
        <v>36</v>
      </c>
      <c r="S2302" s="31">
        <v>7000</v>
      </c>
      <c r="T2302" s="32">
        <v>45256</v>
      </c>
      <c r="U2302" s="31">
        <v>8936</v>
      </c>
      <c r="V2302" s="32">
        <v>45263</v>
      </c>
      <c r="W2302" s="33" t="s">
        <v>6283</v>
      </c>
      <c r="X2302" s="26"/>
      <c r="Y2302" s="22">
        <v>0</v>
      </c>
      <c r="Z2302" s="26" t="s">
        <v>118</v>
      </c>
      <c r="AA2302" s="19" t="s">
        <v>5961</v>
      </c>
      <c r="AB2302" s="26" t="s">
        <v>36</v>
      </c>
      <c r="AC2302" s="26" t="s">
        <v>53</v>
      </c>
      <c r="AD2302" s="19" t="s">
        <v>54</v>
      </c>
      <c r="AE2302" s="26" t="s">
        <v>4959</v>
      </c>
      <c r="AF2302" s="17">
        <v>45455</v>
      </c>
      <c r="AG2302" s="26"/>
      <c r="AH2302" s="26">
        <v>1</v>
      </c>
      <c r="AI2302" s="40"/>
      <c r="AJ2302" s="26"/>
      <c r="AK2302" s="26"/>
      <c r="AL2302" s="35"/>
      <c r="AM2302" s="35"/>
      <c r="AN2302" s="35"/>
      <c r="AO2302" s="35"/>
      <c r="AP2302" s="35"/>
    </row>
    <row r="2303" spans="1:42" x14ac:dyDescent="0.2">
      <c r="A2303" s="99">
        <v>45456</v>
      </c>
      <c r="B2303" s="28" t="s">
        <v>37</v>
      </c>
      <c r="C2303" s="41" t="s">
        <v>118</v>
      </c>
      <c r="D2303" s="26" t="s">
        <v>36</v>
      </c>
      <c r="E2303" s="26" t="s">
        <v>219</v>
      </c>
      <c r="F2303" s="26" t="s">
        <v>2381</v>
      </c>
      <c r="G2303" s="26" t="s">
        <v>221</v>
      </c>
      <c r="H2303" s="26" t="s">
        <v>8406</v>
      </c>
      <c r="I2303" s="17">
        <f ca="1">IFERROR(__xludf.DUMMYFUNCTION("""COMPUTED_VALUE"""),45499)</f>
        <v>45499</v>
      </c>
      <c r="J2303" s="29" t="s">
        <v>4229</v>
      </c>
      <c r="K2303" s="26" t="s">
        <v>8407</v>
      </c>
      <c r="L2303" s="30">
        <v>325286428</v>
      </c>
      <c r="M2303" s="26" t="s">
        <v>1245</v>
      </c>
      <c r="N2303" s="26" t="s">
        <v>1750</v>
      </c>
      <c r="O2303" s="26" t="s">
        <v>2737</v>
      </c>
      <c r="P2303" s="42" t="s">
        <v>8408</v>
      </c>
      <c r="Q2303" s="20">
        <v>3768</v>
      </c>
      <c r="R2303" s="26" t="s">
        <v>36</v>
      </c>
      <c r="S2303" s="31">
        <v>3968</v>
      </c>
      <c r="T2303" s="32">
        <v>45436</v>
      </c>
      <c r="U2303" s="31"/>
      <c r="V2303" s="32"/>
      <c r="W2303" s="33" t="s">
        <v>8409</v>
      </c>
      <c r="X2303" s="26">
        <v>0</v>
      </c>
      <c r="Y2303" s="22">
        <v>0</v>
      </c>
      <c r="Z2303" s="26" t="s">
        <v>118</v>
      </c>
      <c r="AA2303" s="19" t="s">
        <v>8410</v>
      </c>
      <c r="AB2303" s="26" t="s">
        <v>36</v>
      </c>
      <c r="AC2303" s="26" t="s">
        <v>53</v>
      </c>
      <c r="AD2303" s="19" t="s">
        <v>54</v>
      </c>
      <c r="AE2303" s="26" t="s">
        <v>2381</v>
      </c>
      <c r="AF2303" s="17">
        <v>45441</v>
      </c>
      <c r="AG2303" s="26" t="s">
        <v>8411</v>
      </c>
      <c r="AH2303" s="26"/>
      <c r="AI2303" s="40"/>
      <c r="AJ2303" s="26"/>
      <c r="AK2303" s="26"/>
      <c r="AL2303" s="35"/>
      <c r="AM2303" s="35"/>
      <c r="AN2303" s="35"/>
      <c r="AO2303" s="35"/>
      <c r="AP2303" s="35"/>
    </row>
    <row r="2304" spans="1:42" x14ac:dyDescent="0.2">
      <c r="A2304" s="99">
        <v>45456</v>
      </c>
      <c r="B2304" s="28" t="s">
        <v>37</v>
      </c>
      <c r="C2304" s="41" t="s">
        <v>118</v>
      </c>
      <c r="D2304" s="26" t="s">
        <v>36</v>
      </c>
      <c r="E2304" s="26" t="s">
        <v>148</v>
      </c>
      <c r="F2304" s="26" t="s">
        <v>6457</v>
      </c>
      <c r="G2304" s="26" t="s">
        <v>221</v>
      </c>
      <c r="H2304" s="26" t="s">
        <v>6623</v>
      </c>
      <c r="I2304" s="17">
        <f ca="1">IFERROR(__xludf.DUMMYFUNCTION("""COMPUTED_VALUE"""),45461)</f>
        <v>45461</v>
      </c>
      <c r="J2304" s="29" t="s">
        <v>6897</v>
      </c>
      <c r="K2304" s="26" t="s">
        <v>8412</v>
      </c>
      <c r="L2304" s="30">
        <v>974900321</v>
      </c>
      <c r="M2304" s="26" t="s">
        <v>6309</v>
      </c>
      <c r="N2304" s="26" t="s">
        <v>6899</v>
      </c>
      <c r="O2304" s="26" t="s">
        <v>91</v>
      </c>
      <c r="P2304" s="42" t="s">
        <v>8413</v>
      </c>
      <c r="Q2304" s="20">
        <v>7349</v>
      </c>
      <c r="R2304" s="26" t="s">
        <v>36</v>
      </c>
      <c r="S2304" s="31">
        <v>7349</v>
      </c>
      <c r="T2304" s="32">
        <v>45321</v>
      </c>
      <c r="U2304" s="31"/>
      <c r="V2304" s="32"/>
      <c r="W2304" s="33" t="s">
        <v>6901</v>
      </c>
      <c r="X2304" s="26">
        <v>0</v>
      </c>
      <c r="Y2304" s="22">
        <v>0</v>
      </c>
      <c r="Z2304" s="26" t="s">
        <v>118</v>
      </c>
      <c r="AA2304" s="19" t="s">
        <v>6079</v>
      </c>
      <c r="AB2304" s="26" t="s">
        <v>36</v>
      </c>
      <c r="AC2304" s="26" t="s">
        <v>53</v>
      </c>
      <c r="AD2304" s="19" t="s">
        <v>54</v>
      </c>
      <c r="AE2304" s="26" t="s">
        <v>6457</v>
      </c>
      <c r="AF2304" s="17">
        <v>45457</v>
      </c>
      <c r="AG2304" s="26"/>
      <c r="AH2304" s="26"/>
      <c r="AI2304" s="40">
        <v>2</v>
      </c>
      <c r="AJ2304" s="26"/>
      <c r="AK2304" s="26"/>
      <c r="AL2304" s="35"/>
      <c r="AM2304" s="35"/>
      <c r="AN2304" s="35"/>
      <c r="AO2304" s="35"/>
      <c r="AP2304" s="35"/>
    </row>
    <row r="2305" spans="1:42" x14ac:dyDescent="0.2">
      <c r="A2305" s="126">
        <v>45379.902022337963</v>
      </c>
      <c r="B2305" s="28" t="s">
        <v>37</v>
      </c>
      <c r="C2305" s="41" t="s">
        <v>118</v>
      </c>
      <c r="D2305" s="26" t="s">
        <v>36</v>
      </c>
      <c r="E2305" s="26" t="s">
        <v>139</v>
      </c>
      <c r="F2305" s="26" t="s">
        <v>36</v>
      </c>
      <c r="G2305" s="26" t="s">
        <v>41</v>
      </c>
      <c r="H2305" s="26" t="s">
        <v>7313</v>
      </c>
      <c r="I2305" s="17">
        <f ca="1">IFERROR(__xludf.DUMMYFUNCTION("""COMPUTED_VALUE"""),45394)</f>
        <v>45394</v>
      </c>
      <c r="J2305" s="29" t="s">
        <v>8414</v>
      </c>
      <c r="K2305" s="26" t="s">
        <v>7838</v>
      </c>
      <c r="L2305" s="30">
        <v>329587671</v>
      </c>
      <c r="M2305" s="26" t="s">
        <v>123</v>
      </c>
      <c r="N2305" s="26" t="s">
        <v>186</v>
      </c>
      <c r="O2305" s="26" t="s">
        <v>4503</v>
      </c>
      <c r="P2305" s="26" t="s">
        <v>8415</v>
      </c>
      <c r="Q2305" s="20">
        <v>15936</v>
      </c>
      <c r="R2305" s="26" t="s">
        <v>36</v>
      </c>
      <c r="S2305" s="31">
        <v>200</v>
      </c>
      <c r="T2305" s="32">
        <v>45379</v>
      </c>
      <c r="U2305" s="31">
        <f>5000+10736</f>
        <v>15736</v>
      </c>
      <c r="V2305" s="26" t="s">
        <v>8416</v>
      </c>
      <c r="W2305" s="33" t="s">
        <v>8417</v>
      </c>
      <c r="X2305" s="26"/>
      <c r="Y2305" s="22">
        <v>0</v>
      </c>
      <c r="Z2305" s="26" t="s">
        <v>50</v>
      </c>
      <c r="AA2305" s="19" t="s">
        <v>8410</v>
      </c>
      <c r="AB2305" s="26" t="s">
        <v>4503</v>
      </c>
      <c r="AC2305" s="26" t="s">
        <v>53</v>
      </c>
      <c r="AD2305" s="19" t="s">
        <v>54</v>
      </c>
      <c r="AE2305" s="26"/>
      <c r="AF2305" s="17">
        <v>45387</v>
      </c>
      <c r="AG2305" s="26"/>
      <c r="AH2305" s="26"/>
      <c r="AI2305" s="40"/>
      <c r="AJ2305" s="26"/>
      <c r="AK2305" s="26"/>
      <c r="AL2305" s="35"/>
      <c r="AM2305" s="35"/>
      <c r="AN2305" s="35"/>
      <c r="AO2305" s="35"/>
      <c r="AP2305" s="35"/>
    </row>
    <row r="2306" spans="1:42" x14ac:dyDescent="0.2">
      <c r="A2306" s="126">
        <v>45403.939109999999</v>
      </c>
      <c r="B2306" s="28" t="s">
        <v>37</v>
      </c>
      <c r="C2306" s="41" t="s">
        <v>118</v>
      </c>
      <c r="D2306" s="26" t="s">
        <v>36</v>
      </c>
      <c r="E2306" s="26" t="s">
        <v>106</v>
      </c>
      <c r="F2306" s="26" t="s">
        <v>91</v>
      </c>
      <c r="G2306" s="26" t="s">
        <v>108</v>
      </c>
      <c r="H2306" s="26" t="s">
        <v>7716</v>
      </c>
      <c r="I2306" s="17">
        <f ca="1">IFERROR(__xludf.DUMMYFUNCTION("""COMPUTED_VALUE"""),45404)</f>
        <v>45404</v>
      </c>
      <c r="J2306" s="29" t="s">
        <v>8418</v>
      </c>
      <c r="K2306" s="26" t="s">
        <v>8419</v>
      </c>
      <c r="L2306" s="30">
        <v>376225492</v>
      </c>
      <c r="M2306" s="26" t="s">
        <v>45</v>
      </c>
      <c r="N2306" s="26" t="s">
        <v>8420</v>
      </c>
      <c r="O2306" s="26" t="s">
        <v>8421</v>
      </c>
      <c r="P2306" s="26" t="s">
        <v>8422</v>
      </c>
      <c r="Q2306" s="20">
        <v>3768</v>
      </c>
      <c r="R2306" s="26" t="s">
        <v>36</v>
      </c>
      <c r="S2306" s="31">
        <v>3000</v>
      </c>
      <c r="T2306" s="32">
        <v>45403</v>
      </c>
      <c r="U2306" s="31">
        <v>768</v>
      </c>
      <c r="V2306" s="32">
        <v>45428</v>
      </c>
      <c r="W2306" s="33" t="s">
        <v>8423</v>
      </c>
      <c r="X2306" s="26"/>
      <c r="Y2306" s="22">
        <v>0</v>
      </c>
      <c r="Z2306" s="26" t="s">
        <v>50</v>
      </c>
      <c r="AA2306" s="19" t="s">
        <v>8410</v>
      </c>
      <c r="AB2306" s="26"/>
      <c r="AC2306" s="26" t="s">
        <v>53</v>
      </c>
      <c r="AD2306" s="19" t="s">
        <v>54</v>
      </c>
      <c r="AE2306" s="26">
        <v>370</v>
      </c>
      <c r="AF2306" s="17">
        <v>45404</v>
      </c>
      <c r="AG2306" s="26"/>
      <c r="AH2306" s="26"/>
      <c r="AI2306" s="40"/>
      <c r="AJ2306" s="26"/>
      <c r="AK2306" s="26"/>
      <c r="AL2306" s="35"/>
      <c r="AM2306" s="35"/>
      <c r="AN2306" s="35"/>
      <c r="AO2306" s="35"/>
      <c r="AP2306" s="35"/>
    </row>
    <row r="2307" spans="1:42" x14ac:dyDescent="0.2">
      <c r="A2307" s="126">
        <v>45410.910414525468</v>
      </c>
      <c r="B2307" s="28" t="s">
        <v>37</v>
      </c>
      <c r="C2307" s="41" t="s">
        <v>118</v>
      </c>
      <c r="D2307" s="26" t="s">
        <v>36</v>
      </c>
      <c r="E2307" s="26" t="s">
        <v>139</v>
      </c>
      <c r="F2307" s="26" t="s">
        <v>36</v>
      </c>
      <c r="G2307" s="26" t="s">
        <v>41</v>
      </c>
      <c r="H2307" s="26" t="s">
        <v>8302</v>
      </c>
      <c r="I2307" s="17">
        <f ca="1">IFERROR(__xludf.DUMMYFUNCTION("""COMPUTED_VALUE"""),45429)</f>
        <v>45429</v>
      </c>
      <c r="J2307" s="29" t="s">
        <v>8424</v>
      </c>
      <c r="K2307" s="26" t="s">
        <v>8425</v>
      </c>
      <c r="L2307" s="30">
        <v>967816135</v>
      </c>
      <c r="M2307" s="26" t="s">
        <v>80</v>
      </c>
      <c r="N2307" s="26" t="s">
        <v>1073</v>
      </c>
      <c r="O2307" s="26" t="s">
        <v>8426</v>
      </c>
      <c r="P2307" s="26" t="s">
        <v>8427</v>
      </c>
      <c r="Q2307" s="20">
        <v>15936</v>
      </c>
      <c r="R2307" s="26" t="s">
        <v>36</v>
      </c>
      <c r="S2307" s="31">
        <v>500</v>
      </c>
      <c r="T2307" s="32">
        <v>45349</v>
      </c>
      <c r="U2307" s="31">
        <f>3500+11936</f>
        <v>15436</v>
      </c>
      <c r="V2307" s="26" t="s">
        <v>8428</v>
      </c>
      <c r="W2307" s="26" t="s">
        <v>8429</v>
      </c>
      <c r="X2307" s="26"/>
      <c r="Y2307" s="22">
        <v>0</v>
      </c>
      <c r="Z2307" s="26" t="s">
        <v>50</v>
      </c>
      <c r="AA2307" s="19" t="s">
        <v>8410</v>
      </c>
      <c r="AB2307" s="26" t="s">
        <v>36</v>
      </c>
      <c r="AC2307" s="26" t="s">
        <v>53</v>
      </c>
      <c r="AD2307" s="19" t="s">
        <v>54</v>
      </c>
      <c r="AE2307" s="26">
        <v>0</v>
      </c>
      <c r="AF2307" s="17">
        <v>45414</v>
      </c>
      <c r="AG2307" s="26"/>
      <c r="AH2307" s="26"/>
      <c r="AI2307" s="40"/>
      <c r="AJ2307" s="26"/>
      <c r="AK2307" s="26"/>
      <c r="AL2307" s="35"/>
      <c r="AM2307" s="35"/>
      <c r="AN2307" s="35"/>
      <c r="AO2307" s="35"/>
      <c r="AP2307" s="35"/>
    </row>
    <row r="2308" spans="1:42" x14ac:dyDescent="0.2">
      <c r="A2308" s="126">
        <v>45414.397070208332</v>
      </c>
      <c r="B2308" s="28" t="s">
        <v>37</v>
      </c>
      <c r="C2308" s="41" t="s">
        <v>118</v>
      </c>
      <c r="D2308" s="26" t="s">
        <v>36</v>
      </c>
      <c r="E2308" s="26" t="s">
        <v>106</v>
      </c>
      <c r="F2308" s="26" t="s">
        <v>6842</v>
      </c>
      <c r="G2308" s="26" t="s">
        <v>108</v>
      </c>
      <c r="H2308" s="26" t="s">
        <v>8074</v>
      </c>
      <c r="I2308" s="17">
        <f ca="1">IFERROR(__xludf.DUMMYFUNCTION("""COMPUTED_VALUE"""),45421)</f>
        <v>45421</v>
      </c>
      <c r="J2308" s="29" t="s">
        <v>8430</v>
      </c>
      <c r="K2308" s="26" t="s">
        <v>8431</v>
      </c>
      <c r="L2308" s="30">
        <v>344997804</v>
      </c>
      <c r="M2308" s="26" t="s">
        <v>112</v>
      </c>
      <c r="N2308" s="26" t="s">
        <v>113</v>
      </c>
      <c r="O2308" s="26" t="s">
        <v>36</v>
      </c>
      <c r="P2308" s="26" t="s">
        <v>8432</v>
      </c>
      <c r="Q2308" s="20">
        <v>3768</v>
      </c>
      <c r="R2308" s="26" t="s">
        <v>36</v>
      </c>
      <c r="S2308" s="31">
        <v>3668</v>
      </c>
      <c r="T2308" s="32">
        <v>45414</v>
      </c>
      <c r="U2308" s="31"/>
      <c r="V2308" s="32"/>
      <c r="W2308" s="33" t="s">
        <v>8433</v>
      </c>
      <c r="X2308" s="26"/>
      <c r="Y2308" s="22">
        <v>100</v>
      </c>
      <c r="Z2308" s="26" t="s">
        <v>50</v>
      </c>
      <c r="AA2308" s="19" t="s">
        <v>8410</v>
      </c>
      <c r="AB2308" s="26" t="s">
        <v>36</v>
      </c>
      <c r="AC2308" s="26" t="s">
        <v>53</v>
      </c>
      <c r="AD2308" s="19" t="s">
        <v>54</v>
      </c>
      <c r="AE2308" s="26" t="s">
        <v>6842</v>
      </c>
      <c r="AF2308" s="17">
        <v>45414</v>
      </c>
      <c r="AG2308" s="26" t="s">
        <v>8434</v>
      </c>
      <c r="AH2308" s="26"/>
      <c r="AI2308" s="40"/>
      <c r="AJ2308" s="26"/>
      <c r="AK2308" s="26"/>
      <c r="AL2308" s="35"/>
      <c r="AM2308" s="35"/>
      <c r="AN2308" s="35"/>
      <c r="AO2308" s="35"/>
      <c r="AP2308" s="35"/>
    </row>
    <row r="2309" spans="1:42" x14ac:dyDescent="0.2">
      <c r="A2309" s="126">
        <v>45415.335005092595</v>
      </c>
      <c r="B2309" s="28" t="s">
        <v>37</v>
      </c>
      <c r="C2309" s="41" t="s">
        <v>118</v>
      </c>
      <c r="D2309" s="26" t="s">
        <v>36</v>
      </c>
      <c r="E2309" s="26" t="s">
        <v>139</v>
      </c>
      <c r="F2309" s="26" t="s">
        <v>36</v>
      </c>
      <c r="G2309" s="26" t="s">
        <v>41</v>
      </c>
      <c r="H2309" s="26" t="s">
        <v>8302</v>
      </c>
      <c r="I2309" s="17">
        <f ca="1">IFERROR(__xludf.DUMMYFUNCTION("""COMPUTED_VALUE"""),45429)</f>
        <v>45429</v>
      </c>
      <c r="J2309" s="29" t="s">
        <v>8435</v>
      </c>
      <c r="K2309" s="26" t="s">
        <v>8436</v>
      </c>
      <c r="L2309" s="30">
        <v>862830807</v>
      </c>
      <c r="M2309" s="26" t="s">
        <v>123</v>
      </c>
      <c r="N2309" s="26" t="s">
        <v>186</v>
      </c>
      <c r="O2309" s="26" t="s">
        <v>4503</v>
      </c>
      <c r="P2309" s="26" t="s">
        <v>8437</v>
      </c>
      <c r="Q2309" s="20">
        <v>15936</v>
      </c>
      <c r="R2309" s="26" t="s">
        <v>36</v>
      </c>
      <c r="S2309" s="31">
        <f>2000+4000+9936</f>
        <v>15936</v>
      </c>
      <c r="T2309" s="26" t="s">
        <v>8438</v>
      </c>
      <c r="U2309" s="31"/>
      <c r="V2309" s="32"/>
      <c r="W2309" s="33" t="s">
        <v>8439</v>
      </c>
      <c r="X2309" s="26"/>
      <c r="Y2309" s="22">
        <v>0</v>
      </c>
      <c r="Z2309" s="26" t="s">
        <v>50</v>
      </c>
      <c r="AA2309" s="19" t="s">
        <v>8410</v>
      </c>
      <c r="AB2309" s="26" t="s">
        <v>36</v>
      </c>
      <c r="AC2309" s="26" t="s">
        <v>53</v>
      </c>
      <c r="AD2309" s="19" t="s">
        <v>54</v>
      </c>
      <c r="AE2309" s="26"/>
      <c r="AF2309" s="17">
        <v>45415</v>
      </c>
      <c r="AG2309" s="26"/>
      <c r="AH2309" s="26"/>
      <c r="AI2309" s="40"/>
      <c r="AJ2309" s="26"/>
      <c r="AK2309" s="26"/>
      <c r="AL2309" s="35"/>
      <c r="AM2309" s="35"/>
      <c r="AN2309" s="35"/>
      <c r="AO2309" s="35"/>
      <c r="AP2309" s="35"/>
    </row>
    <row r="2310" spans="1:42" x14ac:dyDescent="0.2">
      <c r="A2310" s="126">
        <v>45415.851993263888</v>
      </c>
      <c r="B2310" s="28" t="s">
        <v>37</v>
      </c>
      <c r="C2310" s="41" t="s">
        <v>118</v>
      </c>
      <c r="D2310" s="26" t="s">
        <v>36</v>
      </c>
      <c r="E2310" s="26" t="s">
        <v>106</v>
      </c>
      <c r="F2310" s="26" t="s">
        <v>4087</v>
      </c>
      <c r="G2310" s="26" t="s">
        <v>108</v>
      </c>
      <c r="H2310" s="26" t="s">
        <v>6596</v>
      </c>
      <c r="I2310" s="17">
        <f ca="1">IFERROR(__xludf.DUMMYFUNCTION("""COMPUTED_VALUE"""),45425)</f>
        <v>45425</v>
      </c>
      <c r="J2310" s="29" t="s">
        <v>7141</v>
      </c>
      <c r="K2310" s="26" t="s">
        <v>7142</v>
      </c>
      <c r="L2310" s="30">
        <v>828652199</v>
      </c>
      <c r="M2310" s="26" t="s">
        <v>3288</v>
      </c>
      <c r="N2310" s="26" t="s">
        <v>200</v>
      </c>
      <c r="O2310" s="26" t="s">
        <v>8440</v>
      </c>
      <c r="P2310" s="26" t="s">
        <v>8441</v>
      </c>
      <c r="Q2310" s="20">
        <v>3768</v>
      </c>
      <c r="R2310" s="26" t="s">
        <v>36</v>
      </c>
      <c r="S2310" s="31">
        <v>3668</v>
      </c>
      <c r="T2310" s="32">
        <v>45415</v>
      </c>
      <c r="U2310" s="31"/>
      <c r="V2310" s="32"/>
      <c r="W2310" s="33" t="s">
        <v>8442</v>
      </c>
      <c r="X2310" s="26"/>
      <c r="Y2310" s="22">
        <v>100</v>
      </c>
      <c r="Z2310" s="26" t="s">
        <v>50</v>
      </c>
      <c r="AA2310" s="19" t="s">
        <v>8410</v>
      </c>
      <c r="AB2310" s="26" t="s">
        <v>36</v>
      </c>
      <c r="AC2310" s="26" t="s">
        <v>53</v>
      </c>
      <c r="AD2310" s="19" t="s">
        <v>54</v>
      </c>
      <c r="AE2310" s="26" t="s">
        <v>4087</v>
      </c>
      <c r="AF2310" s="17">
        <v>45416</v>
      </c>
      <c r="AG2310" s="26"/>
      <c r="AH2310" s="26"/>
      <c r="AI2310" s="40"/>
      <c r="AJ2310" s="26"/>
      <c r="AK2310" s="26"/>
      <c r="AL2310" s="35"/>
      <c r="AM2310" s="35"/>
      <c r="AN2310" s="35"/>
      <c r="AO2310" s="35"/>
      <c r="AP2310" s="35"/>
    </row>
    <row r="2311" spans="1:42" x14ac:dyDescent="0.2">
      <c r="A2311" s="126">
        <v>45419.431620706018</v>
      </c>
      <c r="B2311" s="28" t="s">
        <v>37</v>
      </c>
      <c r="C2311" s="41" t="s">
        <v>118</v>
      </c>
      <c r="D2311" s="26" t="s">
        <v>36</v>
      </c>
      <c r="E2311" s="26" t="s">
        <v>106</v>
      </c>
      <c r="F2311" s="26" t="s">
        <v>4087</v>
      </c>
      <c r="G2311" s="26" t="s">
        <v>108</v>
      </c>
      <c r="H2311" s="26" t="s">
        <v>7871</v>
      </c>
      <c r="I2311" s="17">
        <f ca="1">IFERROR(__xludf.DUMMYFUNCTION("""COMPUTED_VALUE"""),45421)</f>
        <v>45421</v>
      </c>
      <c r="J2311" s="49" t="s">
        <v>7263</v>
      </c>
      <c r="K2311" s="26" t="s">
        <v>8443</v>
      </c>
      <c r="L2311" s="30">
        <v>814993034</v>
      </c>
      <c r="M2311" s="26" t="s">
        <v>59</v>
      </c>
      <c r="N2311" s="26" t="s">
        <v>68</v>
      </c>
      <c r="O2311" s="26" t="s">
        <v>7265</v>
      </c>
      <c r="P2311" s="26" t="s">
        <v>7266</v>
      </c>
      <c r="Q2311" s="20">
        <v>3768</v>
      </c>
      <c r="R2311" s="26" t="s">
        <v>36</v>
      </c>
      <c r="S2311" s="31">
        <v>3768</v>
      </c>
      <c r="T2311" s="32">
        <v>45418</v>
      </c>
      <c r="U2311" s="31"/>
      <c r="V2311" s="32"/>
      <c r="W2311" s="33" t="s">
        <v>8444</v>
      </c>
      <c r="X2311" s="26"/>
      <c r="Y2311" s="22">
        <v>0</v>
      </c>
      <c r="Z2311" s="26" t="s">
        <v>50</v>
      </c>
      <c r="AA2311" s="19" t="s">
        <v>8410</v>
      </c>
      <c r="AB2311" s="26" t="s">
        <v>36</v>
      </c>
      <c r="AC2311" s="26" t="s">
        <v>53</v>
      </c>
      <c r="AD2311" s="19" t="s">
        <v>138</v>
      </c>
      <c r="AE2311" s="26" t="s">
        <v>4087</v>
      </c>
      <c r="AF2311" s="17">
        <v>45421</v>
      </c>
      <c r="AG2311" s="26" t="s">
        <v>3415</v>
      </c>
      <c r="AH2311" s="26"/>
      <c r="AI2311" s="40" t="s">
        <v>84</v>
      </c>
      <c r="AJ2311" s="26"/>
      <c r="AK2311" s="26"/>
      <c r="AL2311" s="35"/>
      <c r="AM2311" s="35"/>
      <c r="AN2311" s="35"/>
      <c r="AO2311" s="35"/>
      <c r="AP2311" s="35"/>
    </row>
    <row r="2312" spans="1:42" x14ac:dyDescent="0.2">
      <c r="A2312" s="126">
        <v>45420.455086215283</v>
      </c>
      <c r="B2312" s="28" t="s">
        <v>90</v>
      </c>
      <c r="C2312" s="41" t="s">
        <v>118</v>
      </c>
      <c r="D2312" s="26" t="s">
        <v>36</v>
      </c>
      <c r="E2312" s="26" t="s">
        <v>106</v>
      </c>
      <c r="F2312" s="26" t="s">
        <v>36</v>
      </c>
      <c r="G2312" s="26" t="s">
        <v>108</v>
      </c>
      <c r="H2312" s="26" t="s">
        <v>7871</v>
      </c>
      <c r="I2312" s="17">
        <f ca="1">IFERROR(__xludf.DUMMYFUNCTION("""COMPUTED_VALUE"""),45421)</f>
        <v>45421</v>
      </c>
      <c r="J2312" s="29" t="s">
        <v>8445</v>
      </c>
      <c r="K2312" s="26" t="s">
        <v>8446</v>
      </c>
      <c r="L2312" s="30">
        <v>839039966</v>
      </c>
      <c r="M2312" s="26" t="s">
        <v>348</v>
      </c>
      <c r="N2312" s="26" t="s">
        <v>200</v>
      </c>
      <c r="O2312" s="26" t="s">
        <v>8447</v>
      </c>
      <c r="P2312" s="26" t="s">
        <v>3117</v>
      </c>
      <c r="Q2312" s="20">
        <v>3768</v>
      </c>
      <c r="R2312" s="26" t="s">
        <v>36</v>
      </c>
      <c r="S2312" s="31">
        <v>1000</v>
      </c>
      <c r="T2312" s="32">
        <v>45420</v>
      </c>
      <c r="U2312" s="31">
        <v>2768</v>
      </c>
      <c r="V2312" s="32">
        <v>45425</v>
      </c>
      <c r="W2312" s="33" t="s">
        <v>8448</v>
      </c>
      <c r="X2312" s="26"/>
      <c r="Y2312" s="22">
        <v>0</v>
      </c>
      <c r="Z2312" s="26" t="s">
        <v>50</v>
      </c>
      <c r="AA2312" s="19" t="s">
        <v>8410</v>
      </c>
      <c r="AB2312" s="26" t="s">
        <v>36</v>
      </c>
      <c r="AC2312" s="26" t="s">
        <v>53</v>
      </c>
      <c r="AD2312" s="19" t="s">
        <v>138</v>
      </c>
      <c r="AE2312" s="26">
        <v>410</v>
      </c>
      <c r="AF2312" s="17">
        <v>45421</v>
      </c>
      <c r="AG2312" s="26" t="s">
        <v>3415</v>
      </c>
      <c r="AH2312" s="26"/>
      <c r="AI2312" s="40"/>
      <c r="AJ2312" s="26"/>
      <c r="AK2312" s="26"/>
      <c r="AL2312" s="35"/>
      <c r="AM2312" s="35"/>
      <c r="AN2312" s="35"/>
      <c r="AO2312" s="35"/>
      <c r="AP2312" s="35"/>
    </row>
    <row r="2313" spans="1:42" x14ac:dyDescent="0.2">
      <c r="A2313" s="126">
        <v>45422.616464780091</v>
      </c>
      <c r="B2313" s="28" t="s">
        <v>37</v>
      </c>
      <c r="C2313" s="41" t="s">
        <v>118</v>
      </c>
      <c r="D2313" s="26" t="s">
        <v>36</v>
      </c>
      <c r="E2313" s="26" t="s">
        <v>77</v>
      </c>
      <c r="F2313" s="26" t="s">
        <v>40</v>
      </c>
      <c r="G2313" s="26" t="s">
        <v>41</v>
      </c>
      <c r="H2313" s="26" t="s">
        <v>8302</v>
      </c>
      <c r="I2313" s="17">
        <f ca="1">IFERROR(__xludf.DUMMYFUNCTION("""COMPUTED_VALUE"""),45429)</f>
        <v>45429</v>
      </c>
      <c r="J2313" s="29" t="s">
        <v>8449</v>
      </c>
      <c r="K2313" s="26" t="s">
        <v>8450</v>
      </c>
      <c r="L2313" s="30">
        <v>395656209</v>
      </c>
      <c r="M2313" s="26" t="s">
        <v>45</v>
      </c>
      <c r="N2313" s="26" t="s">
        <v>3839</v>
      </c>
      <c r="O2313" s="26" t="s">
        <v>8451</v>
      </c>
      <c r="P2313" s="26" t="s">
        <v>8452</v>
      </c>
      <c r="Q2313" s="20">
        <v>1968</v>
      </c>
      <c r="R2313" s="26" t="s">
        <v>36</v>
      </c>
      <c r="S2313" s="31">
        <v>800</v>
      </c>
      <c r="T2313" s="32">
        <v>45422</v>
      </c>
      <c r="U2313" s="31">
        <v>1168</v>
      </c>
      <c r="V2313" s="32">
        <v>45442</v>
      </c>
      <c r="W2313" s="33" t="s">
        <v>8453</v>
      </c>
      <c r="X2313" s="26"/>
      <c r="Y2313" s="22">
        <v>0</v>
      </c>
      <c r="Z2313" s="26" t="s">
        <v>50</v>
      </c>
      <c r="AA2313" s="19" t="s">
        <v>8410</v>
      </c>
      <c r="AB2313" s="26" t="s">
        <v>36</v>
      </c>
      <c r="AC2313" s="26" t="s">
        <v>53</v>
      </c>
      <c r="AD2313" s="19" t="s">
        <v>54</v>
      </c>
      <c r="AE2313" s="26">
        <v>0</v>
      </c>
      <c r="AF2313" s="17">
        <v>45422</v>
      </c>
      <c r="AG2313" s="26"/>
      <c r="AH2313" s="26"/>
      <c r="AI2313" s="40"/>
      <c r="AJ2313" s="26"/>
      <c r="AK2313" s="26"/>
      <c r="AL2313" s="35"/>
      <c r="AM2313" s="35"/>
      <c r="AN2313" s="35"/>
      <c r="AO2313" s="35"/>
      <c r="AP2313" s="35"/>
    </row>
    <row r="2314" spans="1:42" x14ac:dyDescent="0.2">
      <c r="A2314" s="126">
        <v>45425.380994490741</v>
      </c>
      <c r="B2314" s="28" t="s">
        <v>37</v>
      </c>
      <c r="C2314" s="41" t="s">
        <v>118</v>
      </c>
      <c r="D2314" s="26" t="s">
        <v>36</v>
      </c>
      <c r="E2314" s="26" t="s">
        <v>39</v>
      </c>
      <c r="F2314" s="26" t="s">
        <v>36</v>
      </c>
      <c r="G2314" s="26" t="s">
        <v>41</v>
      </c>
      <c r="H2314" s="26" t="s">
        <v>8302</v>
      </c>
      <c r="I2314" s="17">
        <f ca="1">IFERROR(__xludf.DUMMYFUNCTION("""COMPUTED_VALUE"""),45429)</f>
        <v>45429</v>
      </c>
      <c r="J2314" s="29" t="s">
        <v>8454</v>
      </c>
      <c r="K2314" s="26" t="s">
        <v>8455</v>
      </c>
      <c r="L2314" s="30">
        <v>355241141</v>
      </c>
      <c r="M2314" s="26" t="s">
        <v>548</v>
      </c>
      <c r="N2314" s="26" t="s">
        <v>621</v>
      </c>
      <c r="O2314" s="26" t="s">
        <v>8456</v>
      </c>
      <c r="P2314" s="26" t="s">
        <v>8457</v>
      </c>
      <c r="Q2314" s="20">
        <v>5736</v>
      </c>
      <c r="R2314" s="26" t="s">
        <v>36</v>
      </c>
      <c r="S2314" s="31">
        <v>5736</v>
      </c>
      <c r="T2314" s="32">
        <v>45425</v>
      </c>
      <c r="U2314" s="31"/>
      <c r="V2314" s="32"/>
      <c r="W2314" s="33" t="s">
        <v>8458</v>
      </c>
      <c r="X2314" s="26"/>
      <c r="Y2314" s="22">
        <v>0</v>
      </c>
      <c r="Z2314" s="26" t="s">
        <v>50</v>
      </c>
      <c r="AA2314" s="19" t="s">
        <v>8410</v>
      </c>
      <c r="AB2314" s="26" t="s">
        <v>36</v>
      </c>
      <c r="AC2314" s="26" t="s">
        <v>53</v>
      </c>
      <c r="AD2314" s="19" t="s">
        <v>54</v>
      </c>
      <c r="AE2314" s="26">
        <v>265</v>
      </c>
      <c r="AF2314" s="17">
        <v>45425</v>
      </c>
      <c r="AG2314" s="26"/>
      <c r="AH2314" s="26"/>
      <c r="AI2314" s="40"/>
      <c r="AJ2314" s="26"/>
      <c r="AK2314" s="26"/>
      <c r="AL2314" s="35"/>
      <c r="AM2314" s="35"/>
      <c r="AN2314" s="35"/>
      <c r="AO2314" s="35"/>
      <c r="AP2314" s="35"/>
    </row>
    <row r="2315" spans="1:42" x14ac:dyDescent="0.2">
      <c r="A2315" s="126">
        <v>45425.698490243056</v>
      </c>
      <c r="B2315" s="28" t="s">
        <v>37</v>
      </c>
      <c r="C2315" s="41" t="s">
        <v>118</v>
      </c>
      <c r="D2315" s="26" t="s">
        <v>36</v>
      </c>
      <c r="E2315" s="26" t="s">
        <v>119</v>
      </c>
      <c r="F2315" s="26" t="s">
        <v>36</v>
      </c>
      <c r="G2315" s="26" t="s">
        <v>108</v>
      </c>
      <c r="H2315" s="26" t="s">
        <v>8093</v>
      </c>
      <c r="I2315" s="17">
        <f ca="1">IFERROR(__xludf.DUMMYFUNCTION("""COMPUTED_VALUE"""),45433)</f>
        <v>45433</v>
      </c>
      <c r="J2315" s="29" t="s">
        <v>8459</v>
      </c>
      <c r="K2315" s="26" t="s">
        <v>8460</v>
      </c>
      <c r="L2315" s="30">
        <v>365401789</v>
      </c>
      <c r="M2315" s="26" t="s">
        <v>45</v>
      </c>
      <c r="N2315" s="26" t="s">
        <v>3839</v>
      </c>
      <c r="O2315" s="26" t="s">
        <v>8461</v>
      </c>
      <c r="P2315" s="26" t="s">
        <v>8462</v>
      </c>
      <c r="Q2315" s="20">
        <v>13968</v>
      </c>
      <c r="R2315" s="26" t="s">
        <v>36</v>
      </c>
      <c r="S2315" s="31">
        <v>13968</v>
      </c>
      <c r="T2315" s="32">
        <v>45425</v>
      </c>
      <c r="U2315" s="31"/>
      <c r="V2315" s="32"/>
      <c r="W2315" s="33" t="s">
        <v>8463</v>
      </c>
      <c r="X2315" s="26"/>
      <c r="Y2315" s="22">
        <v>0</v>
      </c>
      <c r="Z2315" s="26" t="s">
        <v>50</v>
      </c>
      <c r="AA2315" s="19" t="s">
        <v>8410</v>
      </c>
      <c r="AB2315" s="26" t="s">
        <v>36</v>
      </c>
      <c r="AC2315" s="26" t="s">
        <v>53</v>
      </c>
      <c r="AD2315" s="19" t="s">
        <v>54</v>
      </c>
      <c r="AE2315" s="26">
        <v>380</v>
      </c>
      <c r="AF2315" s="17">
        <v>45426</v>
      </c>
      <c r="AG2315" s="26" t="s">
        <v>8237</v>
      </c>
      <c r="AH2315" s="26"/>
      <c r="AI2315" s="40"/>
      <c r="AJ2315" s="26"/>
      <c r="AK2315" s="26"/>
      <c r="AL2315" s="35"/>
      <c r="AM2315" s="35"/>
      <c r="AN2315" s="35"/>
      <c r="AO2315" s="35"/>
      <c r="AP2315" s="35"/>
    </row>
    <row r="2316" spans="1:42" x14ac:dyDescent="0.2">
      <c r="A2316" s="126">
        <v>45426.340072233797</v>
      </c>
      <c r="B2316" s="28" t="s">
        <v>37</v>
      </c>
      <c r="C2316" s="41" t="s">
        <v>118</v>
      </c>
      <c r="D2316" s="26" t="s">
        <v>36</v>
      </c>
      <c r="E2316" s="26" t="s">
        <v>39</v>
      </c>
      <c r="F2316" s="26" t="s">
        <v>40</v>
      </c>
      <c r="G2316" s="26" t="s">
        <v>41</v>
      </c>
      <c r="H2316" s="26" t="s">
        <v>8302</v>
      </c>
      <c r="I2316" s="17">
        <f ca="1">IFERROR(__xludf.DUMMYFUNCTION("""COMPUTED_VALUE"""),45429)</f>
        <v>45429</v>
      </c>
      <c r="J2316" s="29" t="s">
        <v>8464</v>
      </c>
      <c r="K2316" s="26" t="s">
        <v>8465</v>
      </c>
      <c r="L2316" s="30">
        <v>333437540</v>
      </c>
      <c r="M2316" s="26" t="s">
        <v>45</v>
      </c>
      <c r="N2316" s="26" t="s">
        <v>7814</v>
      </c>
      <c r="O2316" s="26" t="s">
        <v>8466</v>
      </c>
      <c r="P2316" s="26" t="s">
        <v>8467</v>
      </c>
      <c r="Q2316" s="20">
        <v>5736</v>
      </c>
      <c r="R2316" s="26" t="s">
        <v>36</v>
      </c>
      <c r="S2316" s="31">
        <v>5736</v>
      </c>
      <c r="T2316" s="32">
        <v>45425</v>
      </c>
      <c r="U2316" s="31"/>
      <c r="V2316" s="32"/>
      <c r="W2316" s="33" t="s">
        <v>8468</v>
      </c>
      <c r="X2316" s="26"/>
      <c r="Y2316" s="22">
        <v>0</v>
      </c>
      <c r="Z2316" s="26" t="s">
        <v>50</v>
      </c>
      <c r="AA2316" s="19" t="s">
        <v>8410</v>
      </c>
      <c r="AB2316" s="26" t="s">
        <v>36</v>
      </c>
      <c r="AC2316" s="26" t="s">
        <v>53</v>
      </c>
      <c r="AD2316" s="19" t="s">
        <v>54</v>
      </c>
      <c r="AE2316" s="26">
        <v>0</v>
      </c>
      <c r="AF2316" s="17">
        <v>45426</v>
      </c>
      <c r="AG2316" s="26" t="s">
        <v>8237</v>
      </c>
      <c r="AH2316" s="26"/>
      <c r="AI2316" s="40"/>
      <c r="AJ2316" s="26"/>
      <c r="AK2316" s="26"/>
      <c r="AL2316" s="35"/>
      <c r="AM2316" s="35"/>
      <c r="AN2316" s="35"/>
      <c r="AO2316" s="35"/>
      <c r="AP2316" s="35"/>
    </row>
    <row r="2317" spans="1:42" x14ac:dyDescent="0.2">
      <c r="A2317" s="126">
        <v>45426.642329456023</v>
      </c>
      <c r="B2317" s="28" t="s">
        <v>90</v>
      </c>
      <c r="C2317" s="41" t="s">
        <v>118</v>
      </c>
      <c r="D2317" s="26" t="s">
        <v>36</v>
      </c>
      <c r="E2317" s="26" t="s">
        <v>77</v>
      </c>
      <c r="F2317" s="26" t="s">
        <v>40</v>
      </c>
      <c r="G2317" s="26" t="s">
        <v>41</v>
      </c>
      <c r="H2317" s="26" t="s">
        <v>8302</v>
      </c>
      <c r="I2317" s="17">
        <f ca="1">IFERROR(__xludf.DUMMYFUNCTION("""COMPUTED_VALUE"""),45429)</f>
        <v>45429</v>
      </c>
      <c r="J2317" s="29" t="s">
        <v>8469</v>
      </c>
      <c r="K2317" s="26" t="s">
        <v>8470</v>
      </c>
      <c r="L2317" s="30">
        <v>867616875</v>
      </c>
      <c r="M2317" s="26" t="s">
        <v>348</v>
      </c>
      <c r="N2317" s="26" t="s">
        <v>200</v>
      </c>
      <c r="O2317" s="26" t="s">
        <v>8471</v>
      </c>
      <c r="P2317" s="26" t="s">
        <v>8472</v>
      </c>
      <c r="Q2317" s="20">
        <v>1968</v>
      </c>
      <c r="R2317" s="26" t="s">
        <v>36</v>
      </c>
      <c r="S2317" s="31">
        <v>1968</v>
      </c>
      <c r="T2317" s="32">
        <v>45426</v>
      </c>
      <c r="U2317" s="31"/>
      <c r="V2317" s="32"/>
      <c r="W2317" s="33" t="s">
        <v>8473</v>
      </c>
      <c r="X2317" s="26"/>
      <c r="Y2317" s="22">
        <v>0</v>
      </c>
      <c r="Z2317" s="26" t="s">
        <v>50</v>
      </c>
      <c r="AA2317" s="19" t="s">
        <v>8410</v>
      </c>
      <c r="AB2317" s="26" t="s">
        <v>36</v>
      </c>
      <c r="AC2317" s="26" t="s">
        <v>53</v>
      </c>
      <c r="AD2317" s="19" t="s">
        <v>54</v>
      </c>
      <c r="AE2317" s="26" t="s">
        <v>1327</v>
      </c>
      <c r="AF2317" s="17">
        <v>45428</v>
      </c>
      <c r="AG2317" s="26"/>
      <c r="AH2317" s="26"/>
      <c r="AI2317" s="40"/>
      <c r="AJ2317" s="26"/>
      <c r="AK2317" s="26"/>
      <c r="AL2317" s="35"/>
      <c r="AM2317" s="35"/>
      <c r="AN2317" s="35"/>
      <c r="AO2317" s="35"/>
      <c r="AP2317" s="35"/>
    </row>
    <row r="2318" spans="1:42" x14ac:dyDescent="0.2">
      <c r="A2318" s="126">
        <v>45427.609246655091</v>
      </c>
      <c r="B2318" s="28" t="s">
        <v>37</v>
      </c>
      <c r="C2318" s="41" t="s">
        <v>118</v>
      </c>
      <c r="D2318" s="26" t="s">
        <v>36</v>
      </c>
      <c r="E2318" s="26" t="s">
        <v>148</v>
      </c>
      <c r="F2318" s="26" t="s">
        <v>6637</v>
      </c>
      <c r="G2318" s="26" t="s">
        <v>108</v>
      </c>
      <c r="H2318" s="26" t="s">
        <v>8093</v>
      </c>
      <c r="I2318" s="17">
        <f ca="1">IFERROR(__xludf.DUMMYFUNCTION("""COMPUTED_VALUE"""),45433)</f>
        <v>45433</v>
      </c>
      <c r="J2318" s="29" t="s">
        <v>7180</v>
      </c>
      <c r="K2318" s="26" t="s">
        <v>7181</v>
      </c>
      <c r="L2318" s="30">
        <v>338662936</v>
      </c>
      <c r="M2318" s="26" t="s">
        <v>123</v>
      </c>
      <c r="N2318" s="26" t="s">
        <v>1384</v>
      </c>
      <c r="O2318" s="26" t="s">
        <v>4503</v>
      </c>
      <c r="P2318" s="26" t="s">
        <v>8474</v>
      </c>
      <c r="Q2318" s="20">
        <v>7349</v>
      </c>
      <c r="R2318" s="26" t="s">
        <v>70</v>
      </c>
      <c r="S2318" s="31">
        <v>7349</v>
      </c>
      <c r="T2318" s="32">
        <v>45419</v>
      </c>
      <c r="U2318" s="31"/>
      <c r="V2318" s="32"/>
      <c r="W2318" s="33" t="s">
        <v>8475</v>
      </c>
      <c r="X2318" s="26"/>
      <c r="Y2318" s="22">
        <v>0</v>
      </c>
      <c r="Z2318" s="26" t="s">
        <v>50</v>
      </c>
      <c r="AA2318" s="19" t="s">
        <v>8410</v>
      </c>
      <c r="AB2318" s="26" t="s">
        <v>36</v>
      </c>
      <c r="AC2318" s="26" t="s">
        <v>53</v>
      </c>
      <c r="AD2318" s="19" t="s">
        <v>54</v>
      </c>
      <c r="AE2318" s="26" t="s">
        <v>6637</v>
      </c>
      <c r="AF2318" s="17">
        <v>45428</v>
      </c>
      <c r="AG2318" s="26"/>
      <c r="AH2318" s="26"/>
      <c r="AI2318" s="40"/>
      <c r="AJ2318" s="26"/>
      <c r="AK2318" s="26"/>
      <c r="AL2318" s="35"/>
      <c r="AM2318" s="35"/>
      <c r="AN2318" s="35"/>
      <c r="AO2318" s="35"/>
      <c r="AP2318" s="35"/>
    </row>
    <row r="2319" spans="1:42" x14ac:dyDescent="0.2">
      <c r="A2319" s="126">
        <v>45427.612705208332</v>
      </c>
      <c r="B2319" s="28" t="s">
        <v>37</v>
      </c>
      <c r="C2319" s="41" t="s">
        <v>118</v>
      </c>
      <c r="D2319" s="26" t="s">
        <v>36</v>
      </c>
      <c r="E2319" s="26" t="s">
        <v>148</v>
      </c>
      <c r="F2319" s="26" t="s">
        <v>6637</v>
      </c>
      <c r="G2319" s="26" t="s">
        <v>108</v>
      </c>
      <c r="H2319" s="26" t="s">
        <v>8093</v>
      </c>
      <c r="I2319" s="17">
        <f ca="1">IFERROR(__xludf.DUMMYFUNCTION("""COMPUTED_VALUE"""),45433)</f>
        <v>45433</v>
      </c>
      <c r="J2319" s="29" t="s">
        <v>8476</v>
      </c>
      <c r="K2319" s="26" t="s">
        <v>7177</v>
      </c>
      <c r="L2319" s="30">
        <v>842926393</v>
      </c>
      <c r="M2319" s="26" t="s">
        <v>123</v>
      </c>
      <c r="N2319" s="26" t="s">
        <v>1384</v>
      </c>
      <c r="O2319" s="26" t="s">
        <v>4503</v>
      </c>
      <c r="P2319" s="26" t="s">
        <v>8477</v>
      </c>
      <c r="Q2319" s="20">
        <v>7349</v>
      </c>
      <c r="R2319" s="26" t="s">
        <v>70</v>
      </c>
      <c r="S2319" s="31">
        <v>7349</v>
      </c>
      <c r="T2319" s="32">
        <v>45419</v>
      </c>
      <c r="U2319" s="31"/>
      <c r="V2319" s="32"/>
      <c r="W2319" s="33" t="s">
        <v>8478</v>
      </c>
      <c r="X2319" s="26"/>
      <c r="Y2319" s="22">
        <v>0</v>
      </c>
      <c r="Z2319" s="26" t="s">
        <v>50</v>
      </c>
      <c r="AA2319" s="19" t="s">
        <v>8410</v>
      </c>
      <c r="AB2319" s="26" t="s">
        <v>36</v>
      </c>
      <c r="AC2319" s="26" t="s">
        <v>53</v>
      </c>
      <c r="AD2319" s="19" t="s">
        <v>54</v>
      </c>
      <c r="AE2319" s="26" t="s">
        <v>6637</v>
      </c>
      <c r="AF2319" s="17">
        <v>45428</v>
      </c>
      <c r="AG2319" s="26"/>
      <c r="AH2319" s="26"/>
      <c r="AI2319" s="40"/>
      <c r="AJ2319" s="26"/>
      <c r="AK2319" s="26"/>
      <c r="AL2319" s="35"/>
      <c r="AM2319" s="35"/>
      <c r="AN2319" s="35"/>
      <c r="AO2319" s="35"/>
      <c r="AP2319" s="35"/>
    </row>
    <row r="2320" spans="1:42" x14ac:dyDescent="0.2">
      <c r="A2320" s="126">
        <v>45431.918172268517</v>
      </c>
      <c r="B2320" s="28" t="s">
        <v>37</v>
      </c>
      <c r="C2320" s="41" t="s">
        <v>118</v>
      </c>
      <c r="D2320" s="26" t="s">
        <v>36</v>
      </c>
      <c r="E2320" s="26" t="s">
        <v>56</v>
      </c>
      <c r="F2320" s="26" t="s">
        <v>36</v>
      </c>
      <c r="G2320" s="26" t="s">
        <v>41</v>
      </c>
      <c r="H2320" s="26" t="s">
        <v>8479</v>
      </c>
      <c r="I2320" s="17">
        <f ca="1">IFERROR(__xludf.DUMMYFUNCTION("""COMPUTED_VALUE"""),45449)</f>
        <v>45449</v>
      </c>
      <c r="J2320" s="55" t="s">
        <v>8480</v>
      </c>
      <c r="K2320" s="26" t="s">
        <v>8481</v>
      </c>
      <c r="L2320" s="30">
        <v>869846310</v>
      </c>
      <c r="M2320" s="26" t="s">
        <v>548</v>
      </c>
      <c r="N2320" s="26" t="s">
        <v>621</v>
      </c>
      <c r="O2320" s="26" t="s">
        <v>8482</v>
      </c>
      <c r="P2320" s="42" t="s">
        <v>8483</v>
      </c>
      <c r="Q2320" s="20">
        <v>9317</v>
      </c>
      <c r="R2320" s="26" t="s">
        <v>36</v>
      </c>
      <c r="S2320" s="31">
        <v>9317</v>
      </c>
      <c r="T2320" s="32">
        <v>45431</v>
      </c>
      <c r="U2320" s="31"/>
      <c r="V2320" s="32"/>
      <c r="W2320" s="33" t="s">
        <v>8484</v>
      </c>
      <c r="X2320" s="26"/>
      <c r="Y2320" s="22">
        <v>0</v>
      </c>
      <c r="Z2320" s="26" t="s">
        <v>50</v>
      </c>
      <c r="AA2320" s="19" t="s">
        <v>8410</v>
      </c>
      <c r="AB2320" s="26" t="s">
        <v>36</v>
      </c>
      <c r="AC2320" s="26" t="s">
        <v>53</v>
      </c>
      <c r="AD2320" s="19" t="s">
        <v>54</v>
      </c>
      <c r="AE2320" s="26" t="s">
        <v>72</v>
      </c>
      <c r="AF2320" s="17">
        <v>45442</v>
      </c>
      <c r="AG2320" s="29" t="s">
        <v>8485</v>
      </c>
      <c r="AH2320" s="26"/>
      <c r="AI2320" s="40"/>
      <c r="AJ2320" s="26"/>
      <c r="AK2320" s="26"/>
      <c r="AL2320" s="35"/>
      <c r="AM2320" s="35"/>
      <c r="AN2320" s="35"/>
      <c r="AO2320" s="35"/>
      <c r="AP2320" s="35"/>
    </row>
    <row r="2321" spans="1:42" x14ac:dyDescent="0.2">
      <c r="A2321" s="126">
        <v>45433.950157256942</v>
      </c>
      <c r="B2321" s="28" t="s">
        <v>37</v>
      </c>
      <c r="C2321" s="41" t="s">
        <v>118</v>
      </c>
      <c r="D2321" s="26" t="s">
        <v>36</v>
      </c>
      <c r="E2321" s="26" t="s">
        <v>148</v>
      </c>
      <c r="F2321" s="26" t="s">
        <v>40</v>
      </c>
      <c r="G2321" s="26" t="s">
        <v>7629</v>
      </c>
      <c r="H2321" s="26" t="s">
        <v>3439</v>
      </c>
      <c r="I2321" s="17">
        <f ca="1">IFERROR(__xludf.DUMMYFUNCTION("""COMPUTED_VALUE"""),45432)</f>
        <v>45432</v>
      </c>
      <c r="J2321" s="29" t="s">
        <v>8486</v>
      </c>
      <c r="K2321" s="26" t="s">
        <v>8487</v>
      </c>
      <c r="L2321" s="30">
        <v>985895505</v>
      </c>
      <c r="M2321" s="26" t="s">
        <v>59</v>
      </c>
      <c r="N2321" s="26" t="s">
        <v>68</v>
      </c>
      <c r="O2321" s="26" t="s">
        <v>8488</v>
      </c>
      <c r="P2321" s="26" t="s">
        <v>8489</v>
      </c>
      <c r="Q2321" s="20">
        <v>7349</v>
      </c>
      <c r="R2321" s="26" t="s">
        <v>36</v>
      </c>
      <c r="S2321" s="31">
        <v>349</v>
      </c>
      <c r="T2321" s="32">
        <v>45433</v>
      </c>
      <c r="U2321" s="31">
        <v>7000</v>
      </c>
      <c r="V2321" s="32">
        <v>45443</v>
      </c>
      <c r="W2321" s="33" t="s">
        <v>8490</v>
      </c>
      <c r="X2321" s="26"/>
      <c r="Y2321" s="22">
        <v>0</v>
      </c>
      <c r="Z2321" s="26" t="s">
        <v>50</v>
      </c>
      <c r="AA2321" s="19" t="s">
        <v>8410</v>
      </c>
      <c r="AB2321" s="26" t="s">
        <v>36</v>
      </c>
      <c r="AC2321" s="26" t="s">
        <v>53</v>
      </c>
      <c r="AD2321" s="19" t="s">
        <v>138</v>
      </c>
      <c r="AE2321" s="26">
        <v>570</v>
      </c>
      <c r="AF2321" s="17">
        <v>45435</v>
      </c>
      <c r="AG2321" s="26" t="s">
        <v>8491</v>
      </c>
      <c r="AH2321" s="26"/>
      <c r="AI2321" s="40"/>
      <c r="AJ2321" s="26"/>
      <c r="AK2321" s="26"/>
      <c r="AL2321" s="35"/>
      <c r="AM2321" s="35"/>
      <c r="AN2321" s="35"/>
      <c r="AO2321" s="35"/>
      <c r="AP2321" s="35"/>
    </row>
    <row r="2322" spans="1:42" x14ac:dyDescent="0.2">
      <c r="A2322" s="126">
        <v>45433.958037824079</v>
      </c>
      <c r="B2322" s="28" t="s">
        <v>37</v>
      </c>
      <c r="C2322" s="41" t="s">
        <v>118</v>
      </c>
      <c r="D2322" s="26" t="s">
        <v>36</v>
      </c>
      <c r="E2322" s="26" t="s">
        <v>56</v>
      </c>
      <c r="F2322" s="26" t="s">
        <v>40</v>
      </c>
      <c r="G2322" s="26" t="s">
        <v>41</v>
      </c>
      <c r="H2322" s="26" t="s">
        <v>8479</v>
      </c>
      <c r="I2322" s="17">
        <f ca="1">IFERROR(__xludf.DUMMYFUNCTION("""COMPUTED_VALUE"""),45449)</f>
        <v>45449</v>
      </c>
      <c r="J2322" s="29" t="s">
        <v>8492</v>
      </c>
      <c r="K2322" s="26" t="s">
        <v>8493</v>
      </c>
      <c r="L2322" s="30">
        <v>394585738</v>
      </c>
      <c r="M2322" s="26" t="s">
        <v>59</v>
      </c>
      <c r="N2322" s="26" t="s">
        <v>4299</v>
      </c>
      <c r="O2322" s="26" t="s">
        <v>8494</v>
      </c>
      <c r="P2322" s="26" t="s">
        <v>8495</v>
      </c>
      <c r="Q2322" s="20">
        <v>9317</v>
      </c>
      <c r="R2322" s="26" t="s">
        <v>36</v>
      </c>
      <c r="S2322" s="31">
        <v>9317</v>
      </c>
      <c r="T2322" s="32">
        <v>45432</v>
      </c>
      <c r="U2322" s="31"/>
      <c r="V2322" s="32"/>
      <c r="W2322" s="33" t="s">
        <v>8496</v>
      </c>
      <c r="X2322" s="26"/>
      <c r="Y2322" s="22">
        <v>0</v>
      </c>
      <c r="Z2322" s="26" t="s">
        <v>50</v>
      </c>
      <c r="AA2322" s="19" t="s">
        <v>8410</v>
      </c>
      <c r="AB2322" s="26" t="s">
        <v>36</v>
      </c>
      <c r="AC2322" s="26" t="s">
        <v>53</v>
      </c>
      <c r="AD2322" s="19" t="s">
        <v>54</v>
      </c>
      <c r="AE2322" s="26" t="s">
        <v>4500</v>
      </c>
      <c r="AF2322" s="17">
        <v>45435</v>
      </c>
      <c r="AG2322" s="26"/>
      <c r="AH2322" s="26"/>
      <c r="AI2322" s="40"/>
      <c r="AJ2322" s="26"/>
      <c r="AK2322" s="26"/>
      <c r="AL2322" s="35"/>
      <c r="AM2322" s="35"/>
      <c r="AN2322" s="35"/>
      <c r="AO2322" s="35"/>
      <c r="AP2322" s="35"/>
    </row>
    <row r="2323" spans="1:42" x14ac:dyDescent="0.2">
      <c r="A2323" s="126">
        <v>45435.468387766203</v>
      </c>
      <c r="B2323" s="28" t="s">
        <v>37</v>
      </c>
      <c r="C2323" s="41" t="s">
        <v>118</v>
      </c>
      <c r="D2323" s="26" t="s">
        <v>36</v>
      </c>
      <c r="E2323" s="26" t="s">
        <v>148</v>
      </c>
      <c r="F2323" s="26" t="s">
        <v>40</v>
      </c>
      <c r="G2323" s="26" t="s">
        <v>108</v>
      </c>
      <c r="H2323" s="26" t="s">
        <v>2163</v>
      </c>
      <c r="I2323" s="17">
        <f ca="1">IFERROR(__xludf.DUMMYFUNCTION("""COMPUTED_VALUE"""),45440)</f>
        <v>45440</v>
      </c>
      <c r="J2323" s="29" t="s">
        <v>8497</v>
      </c>
      <c r="K2323" s="26" t="s">
        <v>8498</v>
      </c>
      <c r="L2323" s="30">
        <v>867357791</v>
      </c>
      <c r="M2323" s="26" t="s">
        <v>45</v>
      </c>
      <c r="N2323" s="26" t="s">
        <v>8499</v>
      </c>
      <c r="O2323" s="26" t="s">
        <v>8500</v>
      </c>
      <c r="P2323" s="26" t="s">
        <v>8501</v>
      </c>
      <c r="Q2323" s="20">
        <v>7349</v>
      </c>
      <c r="R2323" s="26" t="s">
        <v>36</v>
      </c>
      <c r="S2323" s="31">
        <v>7349</v>
      </c>
      <c r="T2323" s="32">
        <v>45435</v>
      </c>
      <c r="U2323" s="31"/>
      <c r="V2323" s="32"/>
      <c r="W2323" s="33" t="s">
        <v>8502</v>
      </c>
      <c r="X2323" s="26"/>
      <c r="Y2323" s="22">
        <v>0</v>
      </c>
      <c r="Z2323" s="26" t="s">
        <v>50</v>
      </c>
      <c r="AA2323" s="19" t="s">
        <v>8410</v>
      </c>
      <c r="AB2323" s="26" t="s">
        <v>36</v>
      </c>
      <c r="AC2323" s="26" t="s">
        <v>53</v>
      </c>
      <c r="AD2323" s="19" t="s">
        <v>54</v>
      </c>
      <c r="AE2323" s="26">
        <v>380</v>
      </c>
      <c r="AF2323" s="17">
        <v>45436</v>
      </c>
      <c r="AG2323" s="26"/>
      <c r="AH2323" s="26"/>
      <c r="AI2323" s="40"/>
      <c r="AJ2323" s="26"/>
      <c r="AK2323" s="26"/>
      <c r="AL2323" s="35"/>
      <c r="AM2323" s="35"/>
      <c r="AN2323" s="35"/>
      <c r="AO2323" s="35"/>
      <c r="AP2323" s="35"/>
    </row>
    <row r="2324" spans="1:42" x14ac:dyDescent="0.2">
      <c r="A2324" s="126">
        <v>45436.005384502314</v>
      </c>
      <c r="B2324" s="28" t="s">
        <v>37</v>
      </c>
      <c r="C2324" s="41" t="s">
        <v>118</v>
      </c>
      <c r="D2324" s="26" t="s">
        <v>36</v>
      </c>
      <c r="E2324" s="26" t="s">
        <v>106</v>
      </c>
      <c r="F2324" s="26" t="s">
        <v>40</v>
      </c>
      <c r="G2324" s="26" t="s">
        <v>108</v>
      </c>
      <c r="H2324" s="26" t="s">
        <v>2163</v>
      </c>
      <c r="I2324" s="17">
        <f ca="1">IFERROR(__xludf.DUMMYFUNCTION("""COMPUTED_VALUE"""),45440)</f>
        <v>45440</v>
      </c>
      <c r="J2324" s="29" t="s">
        <v>8503</v>
      </c>
      <c r="K2324" s="26" t="s">
        <v>8504</v>
      </c>
      <c r="L2324" s="30">
        <v>971915776</v>
      </c>
      <c r="M2324" s="26" t="s">
        <v>548</v>
      </c>
      <c r="N2324" s="26" t="s">
        <v>621</v>
      </c>
      <c r="O2324" s="26" t="s">
        <v>8505</v>
      </c>
      <c r="P2324" s="26" t="s">
        <v>8506</v>
      </c>
      <c r="Q2324" s="20">
        <v>3768</v>
      </c>
      <c r="R2324" s="26" t="s">
        <v>36</v>
      </c>
      <c r="S2324" s="31">
        <v>3768</v>
      </c>
      <c r="T2324" s="32">
        <v>45435</v>
      </c>
      <c r="U2324" s="31"/>
      <c r="V2324" s="32"/>
      <c r="W2324" s="33" t="s">
        <v>8507</v>
      </c>
      <c r="X2324" s="26"/>
      <c r="Y2324" s="22">
        <v>0</v>
      </c>
      <c r="Z2324" s="26" t="s">
        <v>50</v>
      </c>
      <c r="AA2324" s="19" t="s">
        <v>8410</v>
      </c>
      <c r="AB2324" s="26" t="s">
        <v>36</v>
      </c>
      <c r="AC2324" s="26" t="s">
        <v>53</v>
      </c>
      <c r="AD2324" s="19" t="s">
        <v>54</v>
      </c>
      <c r="AE2324" s="26">
        <v>350</v>
      </c>
      <c r="AF2324" s="17">
        <v>45436</v>
      </c>
      <c r="AG2324" s="26"/>
      <c r="AH2324" s="26"/>
      <c r="AI2324" s="40"/>
      <c r="AJ2324" s="26"/>
      <c r="AK2324" s="26"/>
      <c r="AL2324" s="35"/>
      <c r="AM2324" s="35"/>
      <c r="AN2324" s="35"/>
      <c r="AO2324" s="35"/>
      <c r="AP2324" s="35"/>
    </row>
    <row r="2325" spans="1:42" x14ac:dyDescent="0.2">
      <c r="A2325" s="126">
        <v>45436.425011273153</v>
      </c>
      <c r="B2325" s="28" t="s">
        <v>37</v>
      </c>
      <c r="C2325" s="41" t="s">
        <v>118</v>
      </c>
      <c r="D2325" s="26" t="s">
        <v>36</v>
      </c>
      <c r="E2325" s="26" t="s">
        <v>219</v>
      </c>
      <c r="F2325" s="26" t="s">
        <v>36</v>
      </c>
      <c r="G2325" s="26" t="s">
        <v>221</v>
      </c>
      <c r="H2325" s="26" t="s">
        <v>8508</v>
      </c>
      <c r="I2325" s="17" t="str">
        <f ca="1">IFERROR(__xludf.DUMMYFUNCTION("""COMPUTED_VALUE""")," ")</f>
        <v xml:space="preserve"> </v>
      </c>
      <c r="J2325" s="29" t="s">
        <v>1556</v>
      </c>
      <c r="K2325" s="26" t="s">
        <v>8509</v>
      </c>
      <c r="L2325" s="30">
        <v>386217760</v>
      </c>
      <c r="M2325" s="26" t="s">
        <v>1245</v>
      </c>
      <c r="N2325" s="26" t="s">
        <v>1246</v>
      </c>
      <c r="O2325" s="26" t="s">
        <v>36</v>
      </c>
      <c r="P2325" s="26" t="s">
        <v>8510</v>
      </c>
      <c r="Q2325" s="20">
        <v>3968</v>
      </c>
      <c r="R2325" s="26" t="s">
        <v>36</v>
      </c>
      <c r="S2325" s="31">
        <v>3968</v>
      </c>
      <c r="T2325" s="32">
        <v>45436</v>
      </c>
      <c r="U2325" s="31"/>
      <c r="V2325" s="32"/>
      <c r="W2325" s="33" t="s">
        <v>8409</v>
      </c>
      <c r="X2325" s="26"/>
      <c r="Y2325" s="22">
        <v>0</v>
      </c>
      <c r="Z2325" s="26" t="s">
        <v>50</v>
      </c>
      <c r="AA2325" s="19" t="s">
        <v>8410</v>
      </c>
      <c r="AB2325" s="26" t="s">
        <v>36</v>
      </c>
      <c r="AC2325" s="26" t="s">
        <v>53</v>
      </c>
      <c r="AD2325" s="19" t="s">
        <v>54</v>
      </c>
      <c r="AE2325" s="26" t="s">
        <v>8511</v>
      </c>
      <c r="AF2325" s="17">
        <v>45441</v>
      </c>
      <c r="AG2325" s="26"/>
      <c r="AH2325" s="26"/>
      <c r="AI2325" s="40"/>
      <c r="AJ2325" s="26"/>
      <c r="AK2325" s="26"/>
      <c r="AL2325" s="35"/>
      <c r="AM2325" s="35"/>
      <c r="AN2325" s="35"/>
      <c r="AO2325" s="35"/>
      <c r="AP2325" s="35"/>
    </row>
    <row r="2326" spans="1:42" x14ac:dyDescent="0.2">
      <c r="A2326" s="126">
        <v>45438.390712372682</v>
      </c>
      <c r="B2326" s="28" t="s">
        <v>37</v>
      </c>
      <c r="C2326" s="41" t="s">
        <v>118</v>
      </c>
      <c r="D2326" s="26" t="s">
        <v>36</v>
      </c>
      <c r="E2326" s="26" t="s">
        <v>56</v>
      </c>
      <c r="F2326" s="26" t="s">
        <v>36</v>
      </c>
      <c r="G2326" s="26" t="s">
        <v>41</v>
      </c>
      <c r="H2326" s="26" t="s">
        <v>8479</v>
      </c>
      <c r="I2326" s="17">
        <f ca="1">IFERROR(__xludf.DUMMYFUNCTION("""COMPUTED_VALUE"""),45449)</f>
        <v>45449</v>
      </c>
      <c r="J2326" s="29" t="s">
        <v>8512</v>
      </c>
      <c r="K2326" s="26" t="s">
        <v>8513</v>
      </c>
      <c r="L2326" s="30">
        <v>364404463</v>
      </c>
      <c r="M2326" s="26" t="s">
        <v>6309</v>
      </c>
      <c r="N2326" s="26" t="s">
        <v>1400</v>
      </c>
      <c r="O2326" s="26" t="s">
        <v>91</v>
      </c>
      <c r="P2326" s="26" t="s">
        <v>8514</v>
      </c>
      <c r="Q2326" s="20">
        <v>9317</v>
      </c>
      <c r="R2326" s="26" t="s">
        <v>1106</v>
      </c>
      <c r="S2326" s="31">
        <v>9217</v>
      </c>
      <c r="T2326" s="32">
        <v>45437</v>
      </c>
      <c r="U2326" s="31"/>
      <c r="V2326" s="32"/>
      <c r="W2326" s="33" t="s">
        <v>8515</v>
      </c>
      <c r="X2326" s="26"/>
      <c r="Y2326" s="22">
        <v>100</v>
      </c>
      <c r="Z2326" s="26" t="s">
        <v>50</v>
      </c>
      <c r="AA2326" s="19" t="s">
        <v>8410</v>
      </c>
      <c r="AB2326" s="26" t="s">
        <v>36</v>
      </c>
      <c r="AC2326" s="26" t="s">
        <v>53</v>
      </c>
      <c r="AD2326" s="19" t="s">
        <v>54</v>
      </c>
      <c r="AE2326" s="26"/>
      <c r="AF2326" s="17">
        <v>45441</v>
      </c>
      <c r="AG2326" s="26"/>
      <c r="AH2326" s="26"/>
      <c r="AI2326" s="40"/>
      <c r="AJ2326" s="26"/>
      <c r="AK2326" s="26"/>
      <c r="AL2326" s="35"/>
      <c r="AM2326" s="35"/>
      <c r="AN2326" s="35"/>
      <c r="AO2326" s="35"/>
      <c r="AP2326" s="35"/>
    </row>
    <row r="2327" spans="1:42" x14ac:dyDescent="0.2">
      <c r="A2327" s="126">
        <v>45438.982798541663</v>
      </c>
      <c r="B2327" s="28" t="s">
        <v>37</v>
      </c>
      <c r="C2327" s="41" t="s">
        <v>118</v>
      </c>
      <c r="D2327" s="26" t="s">
        <v>36</v>
      </c>
      <c r="E2327" s="26" t="s">
        <v>148</v>
      </c>
      <c r="F2327" s="26" t="s">
        <v>36</v>
      </c>
      <c r="G2327" s="26" t="s">
        <v>108</v>
      </c>
      <c r="H2327" s="26" t="s">
        <v>2163</v>
      </c>
      <c r="I2327" s="17">
        <f ca="1">IFERROR(__xludf.DUMMYFUNCTION("""COMPUTED_VALUE"""),45440)</f>
        <v>45440</v>
      </c>
      <c r="J2327" s="29" t="s">
        <v>8516</v>
      </c>
      <c r="K2327" s="26" t="s">
        <v>8517</v>
      </c>
      <c r="L2327" s="30">
        <v>978319862</v>
      </c>
      <c r="M2327" s="26" t="s">
        <v>45</v>
      </c>
      <c r="N2327" s="26" t="s">
        <v>8518</v>
      </c>
      <c r="O2327" s="26" t="s">
        <v>8519</v>
      </c>
      <c r="P2327" s="26" t="s">
        <v>8520</v>
      </c>
      <c r="Q2327" s="20">
        <v>7349</v>
      </c>
      <c r="R2327" s="26" t="s">
        <v>36</v>
      </c>
      <c r="S2327" s="31">
        <v>7349</v>
      </c>
      <c r="T2327" s="32">
        <v>45437</v>
      </c>
      <c r="U2327" s="31"/>
      <c r="V2327" s="32"/>
      <c r="W2327" s="33" t="s">
        <v>8521</v>
      </c>
      <c r="X2327" s="26"/>
      <c r="Y2327" s="22">
        <v>0</v>
      </c>
      <c r="Z2327" s="26" t="s">
        <v>50</v>
      </c>
      <c r="AA2327" s="19" t="s">
        <v>8410</v>
      </c>
      <c r="AB2327" s="26" t="s">
        <v>36</v>
      </c>
      <c r="AC2327" s="26" t="s">
        <v>53</v>
      </c>
      <c r="AD2327" s="19" t="s">
        <v>54</v>
      </c>
      <c r="AE2327" s="26">
        <v>530</v>
      </c>
      <c r="AF2327" s="17">
        <v>45441</v>
      </c>
      <c r="AG2327" s="26"/>
      <c r="AH2327" s="26"/>
      <c r="AI2327" s="40"/>
      <c r="AJ2327" s="26"/>
      <c r="AK2327" s="26"/>
      <c r="AL2327" s="35"/>
      <c r="AM2327" s="35"/>
      <c r="AN2327" s="35"/>
      <c r="AO2327" s="35"/>
      <c r="AP2327" s="35"/>
    </row>
    <row r="2328" spans="1:42" x14ac:dyDescent="0.2">
      <c r="A2328" s="126">
        <v>45439.587265138893</v>
      </c>
      <c r="B2328" s="28" t="s">
        <v>37</v>
      </c>
      <c r="C2328" s="41" t="s">
        <v>118</v>
      </c>
      <c r="D2328" s="26" t="s">
        <v>36</v>
      </c>
      <c r="E2328" s="26" t="s">
        <v>106</v>
      </c>
      <c r="F2328" s="26" t="s">
        <v>8522</v>
      </c>
      <c r="G2328" s="26" t="s">
        <v>108</v>
      </c>
      <c r="H2328" s="26" t="s">
        <v>7355</v>
      </c>
      <c r="I2328" s="17">
        <f ca="1">IFERROR(__xludf.DUMMYFUNCTION("""COMPUTED_VALUE"""),45452)</f>
        <v>45452</v>
      </c>
      <c r="J2328" s="29" t="s">
        <v>8523</v>
      </c>
      <c r="K2328" s="26" t="s">
        <v>8524</v>
      </c>
      <c r="L2328" s="30">
        <v>963518036</v>
      </c>
      <c r="M2328" s="26" t="s">
        <v>112</v>
      </c>
      <c r="N2328" s="26" t="s">
        <v>113</v>
      </c>
      <c r="O2328" s="26" t="s">
        <v>36</v>
      </c>
      <c r="P2328" s="26" t="s">
        <v>138</v>
      </c>
      <c r="Q2328" s="20">
        <v>3768</v>
      </c>
      <c r="R2328" s="26" t="s">
        <v>36</v>
      </c>
      <c r="S2328" s="31">
        <v>3768</v>
      </c>
      <c r="T2328" s="32">
        <v>45439</v>
      </c>
      <c r="U2328" s="31"/>
      <c r="V2328" s="32"/>
      <c r="W2328" s="33" t="s">
        <v>8525</v>
      </c>
      <c r="X2328" s="26"/>
      <c r="Y2328" s="22">
        <v>0</v>
      </c>
      <c r="Z2328" s="26" t="s">
        <v>50</v>
      </c>
      <c r="AA2328" s="19" t="s">
        <v>8410</v>
      </c>
      <c r="AB2328" s="26" t="s">
        <v>36</v>
      </c>
      <c r="AC2328" s="26" t="s">
        <v>53</v>
      </c>
      <c r="AD2328" s="19" t="s">
        <v>138</v>
      </c>
      <c r="AE2328" s="26">
        <v>400</v>
      </c>
      <c r="AF2328" s="17">
        <v>45452</v>
      </c>
      <c r="AG2328" s="26" t="s">
        <v>7840</v>
      </c>
      <c r="AH2328" s="26"/>
      <c r="AI2328" s="40"/>
      <c r="AJ2328" s="26"/>
      <c r="AK2328" s="26"/>
      <c r="AL2328" s="35"/>
      <c r="AM2328" s="35"/>
      <c r="AN2328" s="35"/>
      <c r="AO2328" s="35"/>
      <c r="AP2328" s="35"/>
    </row>
    <row r="2329" spans="1:42" x14ac:dyDescent="0.2">
      <c r="A2329" s="126">
        <v>45441.580111435185</v>
      </c>
      <c r="B2329" s="28" t="s">
        <v>37</v>
      </c>
      <c r="C2329" s="41" t="s">
        <v>118</v>
      </c>
      <c r="D2329" s="26" t="s">
        <v>36</v>
      </c>
      <c r="E2329" s="26" t="s">
        <v>106</v>
      </c>
      <c r="F2329" s="26" t="s">
        <v>36</v>
      </c>
      <c r="G2329" s="26" t="s">
        <v>108</v>
      </c>
      <c r="H2329" s="26" t="s">
        <v>5730</v>
      </c>
      <c r="I2329" s="17">
        <f ca="1">IFERROR(__xludf.DUMMYFUNCTION("""COMPUTED_VALUE"""),45452)</f>
        <v>45452</v>
      </c>
      <c r="J2329" s="29" t="s">
        <v>8526</v>
      </c>
      <c r="K2329" s="26" t="s">
        <v>8527</v>
      </c>
      <c r="L2329" s="30">
        <v>869247191</v>
      </c>
      <c r="M2329" s="26" t="s">
        <v>548</v>
      </c>
      <c r="N2329" s="26" t="s">
        <v>621</v>
      </c>
      <c r="O2329" s="26" t="s">
        <v>6822</v>
      </c>
      <c r="P2329" s="26" t="s">
        <v>8528</v>
      </c>
      <c r="Q2329" s="20">
        <v>3768</v>
      </c>
      <c r="R2329" s="26" t="s">
        <v>36</v>
      </c>
      <c r="S2329" s="31">
        <v>3768</v>
      </c>
      <c r="T2329" s="32">
        <v>45440</v>
      </c>
      <c r="U2329" s="31"/>
      <c r="V2329" s="32"/>
      <c r="W2329" s="33" t="s">
        <v>8529</v>
      </c>
      <c r="X2329" s="26"/>
      <c r="Y2329" s="22">
        <v>0</v>
      </c>
      <c r="Z2329" s="26" t="s">
        <v>50</v>
      </c>
      <c r="AA2329" s="19" t="s">
        <v>8410</v>
      </c>
      <c r="AB2329" s="26" t="s">
        <v>36</v>
      </c>
      <c r="AC2329" s="26" t="s">
        <v>53</v>
      </c>
      <c r="AD2329" s="19" t="s">
        <v>54</v>
      </c>
      <c r="AE2329" s="26">
        <v>550</v>
      </c>
      <c r="AF2329" s="17">
        <v>45447</v>
      </c>
      <c r="AG2329" s="26"/>
      <c r="AH2329" s="26"/>
      <c r="AI2329" s="40"/>
      <c r="AJ2329" s="26"/>
      <c r="AK2329" s="26"/>
      <c r="AL2329" s="35"/>
      <c r="AM2329" s="35"/>
      <c r="AN2329" s="35"/>
      <c r="AO2329" s="35"/>
      <c r="AP2329" s="35"/>
    </row>
    <row r="2330" spans="1:42" x14ac:dyDescent="0.2">
      <c r="A2330" s="126">
        <v>45441.811065601854</v>
      </c>
      <c r="B2330" s="28" t="s">
        <v>37</v>
      </c>
      <c r="C2330" s="41" t="s">
        <v>118</v>
      </c>
      <c r="D2330" s="26" t="s">
        <v>36</v>
      </c>
      <c r="E2330" s="26" t="s">
        <v>39</v>
      </c>
      <c r="F2330" s="26" t="s">
        <v>36</v>
      </c>
      <c r="G2330" s="26" t="s">
        <v>41</v>
      </c>
      <c r="H2330" s="26" t="s">
        <v>8479</v>
      </c>
      <c r="I2330" s="17">
        <f ca="1">IFERROR(__xludf.DUMMYFUNCTION("""COMPUTED_VALUE"""),45449)</f>
        <v>45449</v>
      </c>
      <c r="J2330" s="29" t="s">
        <v>8530</v>
      </c>
      <c r="K2330" s="26" t="s">
        <v>8531</v>
      </c>
      <c r="L2330" s="30">
        <v>399833607</v>
      </c>
      <c r="M2330" s="26" t="s">
        <v>548</v>
      </c>
      <c r="N2330" s="26" t="s">
        <v>621</v>
      </c>
      <c r="O2330" s="26" t="s">
        <v>8532</v>
      </c>
      <c r="P2330" s="26" t="s">
        <v>8533</v>
      </c>
      <c r="Q2330" s="20">
        <v>5736</v>
      </c>
      <c r="R2330" s="26" t="s">
        <v>36</v>
      </c>
      <c r="S2330" s="31">
        <v>5736</v>
      </c>
      <c r="T2330" s="32">
        <v>45441</v>
      </c>
      <c r="U2330" s="31"/>
      <c r="V2330" s="32"/>
      <c r="W2330" s="33" t="s">
        <v>8534</v>
      </c>
      <c r="X2330" s="26"/>
      <c r="Y2330" s="22">
        <v>0</v>
      </c>
      <c r="Z2330" s="26" t="s">
        <v>50</v>
      </c>
      <c r="AA2330" s="19" t="s">
        <v>8410</v>
      </c>
      <c r="AB2330" s="26" t="s">
        <v>36</v>
      </c>
      <c r="AC2330" s="26" t="s">
        <v>53</v>
      </c>
      <c r="AD2330" s="19" t="s">
        <v>54</v>
      </c>
      <c r="AE2330" s="26">
        <v>310</v>
      </c>
      <c r="AF2330" s="17">
        <v>45443</v>
      </c>
      <c r="AG2330" s="26" t="s">
        <v>8535</v>
      </c>
      <c r="AH2330" s="26"/>
      <c r="AI2330" s="40"/>
      <c r="AJ2330" s="26"/>
      <c r="AK2330" s="26"/>
      <c r="AL2330" s="35"/>
      <c r="AM2330" s="35"/>
      <c r="AN2330" s="35"/>
      <c r="AO2330" s="35"/>
      <c r="AP2330" s="35"/>
    </row>
    <row r="2331" spans="1:42" x14ac:dyDescent="0.2">
      <c r="A2331" s="126">
        <v>45443.944391481476</v>
      </c>
      <c r="B2331" s="28" t="s">
        <v>37</v>
      </c>
      <c r="C2331" s="41" t="s">
        <v>118</v>
      </c>
      <c r="D2331" s="26" t="s">
        <v>106</v>
      </c>
      <c r="E2331" s="26" t="s">
        <v>219</v>
      </c>
      <c r="F2331" s="26" t="s">
        <v>108</v>
      </c>
      <c r="G2331" s="26" t="s">
        <v>221</v>
      </c>
      <c r="H2331" s="26" t="s">
        <v>8536</v>
      </c>
      <c r="I2331" s="17">
        <f ca="1">IFERROR(__xludf.DUMMYFUNCTION("""COMPUTED_VALUE"""),45593)</f>
        <v>45593</v>
      </c>
      <c r="J2331" s="29" t="s">
        <v>8537</v>
      </c>
      <c r="K2331" s="26" t="s">
        <v>8538</v>
      </c>
      <c r="L2331" s="30">
        <v>328614607</v>
      </c>
      <c r="M2331" s="26" t="s">
        <v>123</v>
      </c>
      <c r="N2331" s="26" t="s">
        <v>327</v>
      </c>
      <c r="O2331" s="26" t="s">
        <v>4503</v>
      </c>
      <c r="P2331" s="42" t="s">
        <v>8539</v>
      </c>
      <c r="Q2331" s="20">
        <v>3968</v>
      </c>
      <c r="R2331" s="26" t="s">
        <v>36</v>
      </c>
      <c r="S2331" s="31">
        <v>3868</v>
      </c>
      <c r="T2331" s="32">
        <v>45443</v>
      </c>
      <c r="U2331" s="31"/>
      <c r="V2331" s="32"/>
      <c r="W2331" s="33" t="s">
        <v>8540</v>
      </c>
      <c r="X2331" s="26"/>
      <c r="Y2331" s="22">
        <v>100</v>
      </c>
      <c r="Z2331" s="26" t="s">
        <v>50</v>
      </c>
      <c r="AA2331" s="19" t="s">
        <v>8410</v>
      </c>
      <c r="AB2331" s="26" t="s">
        <v>36</v>
      </c>
      <c r="AC2331" s="26" t="s">
        <v>53</v>
      </c>
      <c r="AD2331" s="19" t="s">
        <v>54</v>
      </c>
      <c r="AE2331" s="26"/>
      <c r="AF2331" s="43">
        <v>45589</v>
      </c>
      <c r="AG2331" s="26"/>
      <c r="AH2331" s="26"/>
      <c r="AI2331" s="40"/>
      <c r="AJ2331" s="26"/>
      <c r="AK2331" s="26"/>
      <c r="AL2331" s="35"/>
      <c r="AM2331" s="35"/>
      <c r="AN2331" s="35"/>
      <c r="AO2331" s="35"/>
      <c r="AP2331" s="35"/>
    </row>
    <row r="2332" spans="1:42" x14ac:dyDescent="0.2">
      <c r="A2332" s="126">
        <v>45453.716012511577</v>
      </c>
      <c r="B2332" s="28" t="s">
        <v>37</v>
      </c>
      <c r="C2332" s="41" t="s">
        <v>118</v>
      </c>
      <c r="D2332" s="26" t="s">
        <v>36</v>
      </c>
      <c r="E2332" s="26" t="s">
        <v>148</v>
      </c>
      <c r="F2332" s="26" t="s">
        <v>36</v>
      </c>
      <c r="G2332" s="26" t="s">
        <v>108</v>
      </c>
      <c r="H2332" s="26" t="s">
        <v>8541</v>
      </c>
      <c r="I2332" s="17">
        <f ca="1">IFERROR(__xludf.DUMMYFUNCTION("""COMPUTED_VALUE"""),45595)</f>
        <v>45595</v>
      </c>
      <c r="J2332" s="44" t="s">
        <v>8542</v>
      </c>
      <c r="K2332" s="26" t="s">
        <v>8543</v>
      </c>
      <c r="L2332" s="30">
        <v>325968416</v>
      </c>
      <c r="M2332" s="26" t="s">
        <v>548</v>
      </c>
      <c r="N2332" s="26" t="s">
        <v>5016</v>
      </c>
      <c r="O2332" s="26" t="s">
        <v>8544</v>
      </c>
      <c r="P2332" s="26" t="s">
        <v>8545</v>
      </c>
      <c r="Q2332" s="20">
        <v>5736</v>
      </c>
      <c r="R2332" s="26" t="s">
        <v>36</v>
      </c>
      <c r="S2332" s="31">
        <v>3000</v>
      </c>
      <c r="T2332" s="32">
        <v>45443</v>
      </c>
      <c r="U2332" s="31">
        <f>2736+1613</f>
        <v>4349</v>
      </c>
      <c r="V2332" s="26" t="s">
        <v>8546</v>
      </c>
      <c r="W2332" s="33" t="s">
        <v>8547</v>
      </c>
      <c r="X2332" s="26"/>
      <c r="Y2332" s="22">
        <v>0</v>
      </c>
      <c r="Z2332" s="26" t="s">
        <v>50</v>
      </c>
      <c r="AA2332" s="19" t="s">
        <v>8410</v>
      </c>
      <c r="AB2332" s="26" t="s">
        <v>36</v>
      </c>
      <c r="AC2332" s="26" t="s">
        <v>53</v>
      </c>
      <c r="AD2332" s="19" t="s">
        <v>54</v>
      </c>
      <c r="AE2332" s="26">
        <v>400</v>
      </c>
      <c r="AF2332" s="17">
        <v>45595</v>
      </c>
      <c r="AG2332" s="26" t="s">
        <v>8548</v>
      </c>
      <c r="AH2332" s="44" t="s">
        <v>8549</v>
      </c>
      <c r="AI2332" s="40"/>
      <c r="AJ2332" s="26"/>
      <c r="AK2332" s="26"/>
      <c r="AL2332" s="35"/>
      <c r="AM2332" s="35"/>
      <c r="AN2332" s="35"/>
      <c r="AO2332" s="35"/>
      <c r="AP2332" s="35"/>
    </row>
    <row r="2333" spans="1:42" x14ac:dyDescent="0.2">
      <c r="A2333" s="38">
        <v>45406</v>
      </c>
      <c r="B2333" s="28" t="s">
        <v>37</v>
      </c>
      <c r="C2333" s="41" t="s">
        <v>118</v>
      </c>
      <c r="D2333" s="26" t="s">
        <v>36</v>
      </c>
      <c r="E2333" s="26" t="s">
        <v>39</v>
      </c>
      <c r="F2333" s="26" t="s">
        <v>7518</v>
      </c>
      <c r="G2333" s="26" t="s">
        <v>41</v>
      </c>
      <c r="H2333" s="26" t="s">
        <v>8302</v>
      </c>
      <c r="I2333" s="17">
        <f ca="1">IFERROR(__xludf.DUMMYFUNCTION("""COMPUTED_VALUE"""),45429)</f>
        <v>45429</v>
      </c>
      <c r="J2333" s="29" t="s">
        <v>8550</v>
      </c>
      <c r="K2333" s="26" t="s">
        <v>8551</v>
      </c>
      <c r="L2333" s="30">
        <v>827324157</v>
      </c>
      <c r="M2333" s="26" t="s">
        <v>1245</v>
      </c>
      <c r="N2333" s="26" t="s">
        <v>1246</v>
      </c>
      <c r="O2333" s="26" t="s">
        <v>36</v>
      </c>
      <c r="P2333" s="42" t="s">
        <v>8552</v>
      </c>
      <c r="Q2333" s="20">
        <v>5736</v>
      </c>
      <c r="R2333" s="26" t="s">
        <v>36</v>
      </c>
      <c r="S2333" s="31">
        <v>2000</v>
      </c>
      <c r="T2333" s="32">
        <v>45166</v>
      </c>
      <c r="U2333" s="31">
        <f>8804+2281</f>
        <v>11085</v>
      </c>
      <c r="V2333" s="26" t="s">
        <v>8553</v>
      </c>
      <c r="W2333" s="33" t="s">
        <v>8554</v>
      </c>
      <c r="X2333" s="26">
        <v>0</v>
      </c>
      <c r="Y2333" s="22">
        <v>-7349</v>
      </c>
      <c r="Z2333" s="26" t="s">
        <v>118</v>
      </c>
      <c r="AA2333" s="62" t="s">
        <v>8555</v>
      </c>
      <c r="AB2333" s="26" t="s">
        <v>36</v>
      </c>
      <c r="AC2333" s="26" t="s">
        <v>53</v>
      </c>
      <c r="AD2333" s="19" t="s">
        <v>138</v>
      </c>
      <c r="AE2333" s="26" t="s">
        <v>8556</v>
      </c>
      <c r="AF2333" s="17">
        <v>45414</v>
      </c>
      <c r="AG2333" s="29" t="s">
        <v>3303</v>
      </c>
      <c r="AH2333" s="40">
        <v>3</v>
      </c>
      <c r="AI2333" s="40" t="s">
        <v>55</v>
      </c>
      <c r="AJ2333" s="26"/>
      <c r="AK2333" s="26"/>
      <c r="AL2333" s="26"/>
      <c r="AM2333" s="35"/>
      <c r="AN2333" s="35"/>
      <c r="AO2333" s="35"/>
      <c r="AP2333" s="35"/>
    </row>
    <row r="2334" spans="1:42" x14ac:dyDescent="0.2">
      <c r="A2334" s="38">
        <v>45416</v>
      </c>
      <c r="B2334" s="28" t="s">
        <v>37</v>
      </c>
      <c r="C2334" s="41" t="s">
        <v>118</v>
      </c>
      <c r="D2334" s="26" t="s">
        <v>36</v>
      </c>
      <c r="E2334" s="26" t="s">
        <v>106</v>
      </c>
      <c r="F2334" s="26" t="s">
        <v>6131</v>
      </c>
      <c r="G2334" s="26" t="s">
        <v>108</v>
      </c>
      <c r="H2334" s="26" t="s">
        <v>6596</v>
      </c>
      <c r="I2334" s="17">
        <f ca="1">IFERROR(__xludf.DUMMYFUNCTION("""COMPUTED_VALUE"""),45425)</f>
        <v>45425</v>
      </c>
      <c r="J2334" s="29" t="s">
        <v>6132</v>
      </c>
      <c r="K2334" s="26" t="s">
        <v>8557</v>
      </c>
      <c r="L2334" s="30">
        <v>352496990</v>
      </c>
      <c r="M2334" s="26" t="s">
        <v>1245</v>
      </c>
      <c r="N2334" s="26" t="s">
        <v>1246</v>
      </c>
      <c r="O2334" s="26" t="s">
        <v>6135</v>
      </c>
      <c r="P2334" s="42" t="s">
        <v>6136</v>
      </c>
      <c r="Q2334" s="20">
        <v>3768</v>
      </c>
      <c r="R2334" s="26" t="s">
        <v>36</v>
      </c>
      <c r="S2334" s="31">
        <v>7349</v>
      </c>
      <c r="T2334" s="32">
        <v>44786</v>
      </c>
      <c r="U2334" s="31">
        <v>1968</v>
      </c>
      <c r="V2334" s="32">
        <v>45416</v>
      </c>
      <c r="W2334" s="26" t="s">
        <v>8558</v>
      </c>
      <c r="X2334" s="26"/>
      <c r="Y2334" s="22">
        <v>-5549</v>
      </c>
      <c r="Z2334" s="26" t="s">
        <v>118</v>
      </c>
      <c r="AA2334" s="62" t="s">
        <v>8559</v>
      </c>
      <c r="AB2334" s="26" t="s">
        <v>36</v>
      </c>
      <c r="AC2334" s="26" t="s">
        <v>53</v>
      </c>
      <c r="AD2334" s="19" t="s">
        <v>54</v>
      </c>
      <c r="AE2334" s="26" t="s">
        <v>6131</v>
      </c>
      <c r="AF2334" s="17">
        <v>45416</v>
      </c>
      <c r="AG2334" s="100" t="s">
        <v>6139</v>
      </c>
      <c r="AH2334" s="26"/>
      <c r="AI2334" s="92">
        <v>1</v>
      </c>
      <c r="AJ2334" s="35"/>
      <c r="AK2334" s="35"/>
      <c r="AL2334" s="35"/>
      <c r="AM2334" s="35"/>
      <c r="AN2334" s="26"/>
      <c r="AO2334" s="26"/>
      <c r="AP2334" s="35"/>
    </row>
    <row r="2335" spans="1:42" x14ac:dyDescent="0.2">
      <c r="A2335" s="38">
        <v>45418</v>
      </c>
      <c r="B2335" s="28" t="s">
        <v>37</v>
      </c>
      <c r="C2335" s="41" t="s">
        <v>118</v>
      </c>
      <c r="D2335" s="26" t="s">
        <v>36</v>
      </c>
      <c r="E2335" s="26" t="s">
        <v>148</v>
      </c>
      <c r="F2335" s="26" t="s">
        <v>6842</v>
      </c>
      <c r="G2335" s="26" t="s">
        <v>108</v>
      </c>
      <c r="H2335" s="26" t="s">
        <v>8074</v>
      </c>
      <c r="I2335" s="17">
        <f ca="1">IFERROR(__xludf.DUMMYFUNCTION("""COMPUTED_VALUE"""),45421)</f>
        <v>45421</v>
      </c>
      <c r="J2335" s="29" t="s">
        <v>7924</v>
      </c>
      <c r="K2335" s="26" t="s">
        <v>8560</v>
      </c>
      <c r="L2335" s="30">
        <v>969461375</v>
      </c>
      <c r="M2335" s="26" t="s">
        <v>123</v>
      </c>
      <c r="N2335" s="26" t="s">
        <v>8561</v>
      </c>
      <c r="O2335" s="26" t="s">
        <v>4503</v>
      </c>
      <c r="P2335" s="26" t="s">
        <v>7926</v>
      </c>
      <c r="Q2335" s="20">
        <v>7349</v>
      </c>
      <c r="R2335" s="26" t="s">
        <v>36</v>
      </c>
      <c r="S2335" s="31">
        <v>9354</v>
      </c>
      <c r="T2335" s="32" t="s">
        <v>8562</v>
      </c>
      <c r="U2335" s="33" t="s">
        <v>8563</v>
      </c>
      <c r="V2335" s="32"/>
      <c r="W2335" s="33"/>
      <c r="X2335" s="26"/>
      <c r="Y2335" s="22" t="s">
        <v>2340</v>
      </c>
      <c r="Z2335" s="26" t="s">
        <v>118</v>
      </c>
      <c r="AA2335" s="19"/>
      <c r="AB2335" s="26" t="s">
        <v>36</v>
      </c>
      <c r="AC2335" s="26" t="s">
        <v>53</v>
      </c>
      <c r="AD2335" s="19" t="s">
        <v>138</v>
      </c>
      <c r="AE2335" s="26" t="s">
        <v>6842</v>
      </c>
      <c r="AF2335" s="17">
        <v>45416</v>
      </c>
      <c r="AG2335" s="26" t="s">
        <v>8564</v>
      </c>
      <c r="AH2335" s="26"/>
      <c r="AI2335" s="40">
        <v>2</v>
      </c>
      <c r="AJ2335" s="26"/>
      <c r="AK2335" s="26"/>
      <c r="AL2335" s="35"/>
      <c r="AM2335" s="35"/>
      <c r="AN2335" s="35"/>
      <c r="AO2335" s="35"/>
      <c r="AP2335" s="35"/>
    </row>
    <row r="2336" spans="1:42" x14ac:dyDescent="0.2">
      <c r="A2336" s="14">
        <v>45425</v>
      </c>
      <c r="B2336" s="28" t="s">
        <v>37</v>
      </c>
      <c r="C2336" s="41" t="s">
        <v>118</v>
      </c>
      <c r="D2336" s="26" t="s">
        <v>36</v>
      </c>
      <c r="E2336" s="26" t="s">
        <v>106</v>
      </c>
      <c r="F2336" s="26" t="s">
        <v>7008</v>
      </c>
      <c r="G2336" s="26" t="s">
        <v>108</v>
      </c>
      <c r="H2336" s="26" t="s">
        <v>3439</v>
      </c>
      <c r="I2336" s="17">
        <f ca="1">IFERROR(__xludf.DUMMYFUNCTION("""COMPUTED_VALUE"""),45432)</f>
        <v>45432</v>
      </c>
      <c r="J2336" s="29" t="s">
        <v>7009</v>
      </c>
      <c r="K2336" s="26" t="s">
        <v>8565</v>
      </c>
      <c r="L2336" s="30">
        <v>373816596</v>
      </c>
      <c r="M2336" s="26" t="s">
        <v>1245</v>
      </c>
      <c r="N2336" s="26" t="s">
        <v>1246</v>
      </c>
      <c r="O2336" s="26" t="s">
        <v>36</v>
      </c>
      <c r="P2336" s="42" t="s">
        <v>7011</v>
      </c>
      <c r="Q2336" s="20">
        <v>3768</v>
      </c>
      <c r="R2336" s="26" t="s">
        <v>36</v>
      </c>
      <c r="S2336" s="31">
        <v>2181</v>
      </c>
      <c r="T2336" s="32">
        <v>45431</v>
      </c>
      <c r="U2336" s="31"/>
      <c r="V2336" s="32"/>
      <c r="W2336" s="33"/>
      <c r="X2336" s="26">
        <v>0</v>
      </c>
      <c r="Y2336" s="22">
        <v>1587</v>
      </c>
      <c r="Z2336" s="26" t="s">
        <v>118</v>
      </c>
      <c r="AA2336" s="62" t="s">
        <v>8566</v>
      </c>
      <c r="AB2336" s="26" t="s">
        <v>36</v>
      </c>
      <c r="AC2336" s="26" t="s">
        <v>53</v>
      </c>
      <c r="AD2336" s="19" t="s">
        <v>138</v>
      </c>
      <c r="AE2336" s="26" t="s">
        <v>7008</v>
      </c>
      <c r="AF2336" s="17">
        <v>45432</v>
      </c>
      <c r="AG2336" s="91" t="s">
        <v>4092</v>
      </c>
      <c r="AH2336" s="26"/>
      <c r="AI2336" s="92">
        <v>1</v>
      </c>
      <c r="AJ2336" s="35"/>
      <c r="AK2336" s="35"/>
      <c r="AL2336" s="35"/>
      <c r="AM2336" s="35"/>
      <c r="AN2336" s="26"/>
      <c r="AO2336" s="26"/>
      <c r="AP2336" s="35"/>
    </row>
    <row r="2337" spans="1:42" x14ac:dyDescent="0.2">
      <c r="A2337" s="38">
        <v>45436</v>
      </c>
      <c r="B2337" s="28" t="s">
        <v>37</v>
      </c>
      <c r="C2337" s="41" t="s">
        <v>118</v>
      </c>
      <c r="D2337" s="26" t="s">
        <v>36</v>
      </c>
      <c r="E2337" s="26" t="s">
        <v>148</v>
      </c>
      <c r="F2337" s="26" t="s">
        <v>2440</v>
      </c>
      <c r="G2337" s="26" t="s">
        <v>221</v>
      </c>
      <c r="H2337" s="26" t="s">
        <v>6978</v>
      </c>
      <c r="I2337" s="17">
        <f ca="1">IFERROR(__xludf.DUMMYFUNCTION("""COMPUTED_VALUE"""),45456)</f>
        <v>45456</v>
      </c>
      <c r="J2337" s="29" t="s">
        <v>8567</v>
      </c>
      <c r="K2337" s="26" t="s">
        <v>8568</v>
      </c>
      <c r="L2337" s="30">
        <v>981284054</v>
      </c>
      <c r="M2337" s="26" t="s">
        <v>80</v>
      </c>
      <c r="N2337" s="26" t="s">
        <v>8569</v>
      </c>
      <c r="O2337" s="26" t="s">
        <v>36</v>
      </c>
      <c r="P2337" s="42" t="s">
        <v>8570</v>
      </c>
      <c r="Q2337" s="20">
        <v>7349</v>
      </c>
      <c r="R2337" s="26" t="s">
        <v>70</v>
      </c>
      <c r="S2337" s="31">
        <v>16679</v>
      </c>
      <c r="T2337" s="32">
        <v>44858</v>
      </c>
      <c r="U2337" s="31"/>
      <c r="V2337" s="32"/>
      <c r="W2337" s="33" t="s">
        <v>8571</v>
      </c>
      <c r="X2337" s="26"/>
      <c r="Y2337" s="22">
        <v>-9330</v>
      </c>
      <c r="Z2337" s="26" t="s">
        <v>118</v>
      </c>
      <c r="AA2337" s="19"/>
      <c r="AB2337" s="26" t="s">
        <v>36</v>
      </c>
      <c r="AC2337" s="26" t="s">
        <v>53</v>
      </c>
      <c r="AD2337" s="19" t="s">
        <v>54</v>
      </c>
      <c r="AE2337" s="26" t="s">
        <v>8572</v>
      </c>
      <c r="AF2337" s="17">
        <v>45441</v>
      </c>
      <c r="AG2337" s="26"/>
      <c r="AH2337" s="26"/>
      <c r="AI2337" s="40">
        <v>2</v>
      </c>
      <c r="AJ2337" s="26"/>
      <c r="AK2337" s="26"/>
      <c r="AL2337" s="35"/>
      <c r="AM2337" s="35"/>
      <c r="AN2337" s="35"/>
      <c r="AO2337" s="35"/>
      <c r="AP2337" s="35"/>
    </row>
    <row r="2338" spans="1:42" x14ac:dyDescent="0.2">
      <c r="A2338" s="99">
        <v>45457</v>
      </c>
      <c r="B2338" s="28" t="s">
        <v>37</v>
      </c>
      <c r="C2338" s="41" t="s">
        <v>118</v>
      </c>
      <c r="D2338" s="26" t="s">
        <v>36</v>
      </c>
      <c r="E2338" s="26" t="s">
        <v>6528</v>
      </c>
      <c r="F2338" s="26" t="s">
        <v>6123</v>
      </c>
      <c r="G2338" s="71" t="s">
        <v>1847</v>
      </c>
      <c r="H2338" s="26" t="s">
        <v>8338</v>
      </c>
      <c r="I2338" s="17">
        <f ca="1">IFERROR(__xludf.DUMMYFUNCTION("""COMPUTED_VALUE"""),45462)</f>
        <v>45462</v>
      </c>
      <c r="J2338" s="29" t="s">
        <v>4791</v>
      </c>
      <c r="K2338" s="26" t="s">
        <v>8573</v>
      </c>
      <c r="L2338" s="30">
        <v>335418295</v>
      </c>
      <c r="M2338" s="26" t="s">
        <v>1245</v>
      </c>
      <c r="N2338" s="26" t="s">
        <v>1750</v>
      </c>
      <c r="O2338" s="26" t="s">
        <v>2144</v>
      </c>
      <c r="P2338" s="42" t="s">
        <v>4793</v>
      </c>
      <c r="Q2338" s="20">
        <v>7349</v>
      </c>
      <c r="R2338" s="26" t="s">
        <v>36</v>
      </c>
      <c r="S2338" s="31">
        <v>16779</v>
      </c>
      <c r="T2338" s="32">
        <v>44906</v>
      </c>
      <c r="U2338" s="31"/>
      <c r="V2338" s="26"/>
      <c r="W2338" s="33" t="s">
        <v>4794</v>
      </c>
      <c r="X2338" s="26"/>
      <c r="Y2338" s="22">
        <v>-9430</v>
      </c>
      <c r="Z2338" s="98" t="s">
        <v>118</v>
      </c>
      <c r="AA2338" s="19" t="s">
        <v>4541</v>
      </c>
      <c r="AB2338" s="26" t="s">
        <v>36</v>
      </c>
      <c r="AC2338" s="26" t="s">
        <v>53</v>
      </c>
      <c r="AD2338" s="122" t="s">
        <v>54</v>
      </c>
      <c r="AE2338" s="26" t="s">
        <v>6123</v>
      </c>
      <c r="AF2338" s="17">
        <v>45460</v>
      </c>
      <c r="AG2338" s="91"/>
      <c r="AH2338" s="26"/>
      <c r="AI2338" s="92"/>
      <c r="AJ2338" s="35"/>
      <c r="AK2338" s="35"/>
      <c r="AL2338" s="35"/>
      <c r="AM2338" s="35"/>
      <c r="AN2338" s="26"/>
      <c r="AO2338" s="26"/>
      <c r="AP2338" s="35"/>
    </row>
    <row r="2339" spans="1:42" x14ac:dyDescent="0.2">
      <c r="A2339" s="99">
        <v>45458</v>
      </c>
      <c r="B2339" s="28" t="s">
        <v>37</v>
      </c>
      <c r="C2339" s="41" t="s">
        <v>118</v>
      </c>
      <c r="D2339" s="26" t="s">
        <v>36</v>
      </c>
      <c r="E2339" s="26" t="s">
        <v>56</v>
      </c>
      <c r="F2339" s="26" t="s">
        <v>4576</v>
      </c>
      <c r="G2339" s="26" t="s">
        <v>221</v>
      </c>
      <c r="H2339" s="26" t="s">
        <v>6623</v>
      </c>
      <c r="I2339" s="17">
        <f ca="1">IFERROR(__xludf.DUMMYFUNCTION("""COMPUTED_VALUE"""),45461)</f>
        <v>45461</v>
      </c>
      <c r="J2339" s="29" t="s">
        <v>5305</v>
      </c>
      <c r="K2339" s="26" t="s">
        <v>5306</v>
      </c>
      <c r="L2339" s="30">
        <v>968529386</v>
      </c>
      <c r="M2339" s="26" t="s">
        <v>1245</v>
      </c>
      <c r="N2339" s="26" t="s">
        <v>4957</v>
      </c>
      <c r="O2339" s="67" t="s">
        <v>5307</v>
      </c>
      <c r="P2339" s="42" t="s">
        <v>8574</v>
      </c>
      <c r="Q2339" s="20">
        <v>9317</v>
      </c>
      <c r="R2339" s="26" t="s">
        <v>36</v>
      </c>
      <c r="S2339" s="31">
        <v>1900</v>
      </c>
      <c r="T2339" s="32">
        <v>45210</v>
      </c>
      <c r="U2339" s="31">
        <v>7417</v>
      </c>
      <c r="V2339" s="32">
        <v>45245</v>
      </c>
      <c r="W2339" s="33" t="s">
        <v>5309</v>
      </c>
      <c r="X2339" s="26"/>
      <c r="Y2339" s="22">
        <v>0</v>
      </c>
      <c r="Z2339" s="26" t="s">
        <v>118</v>
      </c>
      <c r="AA2339" s="19" t="s">
        <v>5112</v>
      </c>
      <c r="AB2339" s="26" t="s">
        <v>36</v>
      </c>
      <c r="AC2339" s="26" t="s">
        <v>53</v>
      </c>
      <c r="AD2339" s="19" t="s">
        <v>54</v>
      </c>
      <c r="AE2339" s="26" t="s">
        <v>4576</v>
      </c>
      <c r="AF2339" s="17">
        <v>45460</v>
      </c>
      <c r="AG2339" s="26"/>
      <c r="AH2339" s="26"/>
      <c r="AI2339" s="40" t="s">
        <v>64</v>
      </c>
      <c r="AJ2339" s="26"/>
      <c r="AK2339" s="26"/>
      <c r="AL2339" s="35"/>
      <c r="AM2339" s="35"/>
      <c r="AN2339" s="35"/>
      <c r="AO2339" s="35"/>
      <c r="AP2339" s="35"/>
    </row>
    <row r="2340" spans="1:42" x14ac:dyDescent="0.2">
      <c r="A2340" s="99">
        <v>45458</v>
      </c>
      <c r="B2340" s="28" t="s">
        <v>37</v>
      </c>
      <c r="C2340" s="41" t="s">
        <v>118</v>
      </c>
      <c r="D2340" s="26" t="s">
        <v>36</v>
      </c>
      <c r="E2340" s="26" t="s">
        <v>139</v>
      </c>
      <c r="F2340" s="26" t="s">
        <v>4988</v>
      </c>
      <c r="G2340" s="26" t="s">
        <v>221</v>
      </c>
      <c r="H2340" s="26" t="s">
        <v>6623</v>
      </c>
      <c r="I2340" s="17">
        <f ca="1">IFERROR(__xludf.DUMMYFUNCTION("""COMPUTED_VALUE"""),45461)</f>
        <v>45461</v>
      </c>
      <c r="J2340" s="29" t="s">
        <v>3782</v>
      </c>
      <c r="K2340" s="26" t="s">
        <v>3783</v>
      </c>
      <c r="L2340" s="30">
        <v>349136310</v>
      </c>
      <c r="M2340" s="26" t="s">
        <v>80</v>
      </c>
      <c r="N2340" s="26" t="s">
        <v>186</v>
      </c>
      <c r="O2340" s="26" t="s">
        <v>3784</v>
      </c>
      <c r="P2340" s="42" t="s">
        <v>8575</v>
      </c>
      <c r="Q2340" s="20">
        <v>15936</v>
      </c>
      <c r="R2340" s="26" t="s">
        <v>36</v>
      </c>
      <c r="S2340" s="31">
        <v>2000</v>
      </c>
      <c r="T2340" s="32">
        <v>45191</v>
      </c>
      <c r="U2340" s="31">
        <v>13936</v>
      </c>
      <c r="V2340" s="32">
        <v>45218</v>
      </c>
      <c r="W2340" s="33" t="s">
        <v>3786</v>
      </c>
      <c r="X2340" s="26"/>
      <c r="Y2340" s="22">
        <v>0</v>
      </c>
      <c r="Z2340" s="26" t="s">
        <v>118</v>
      </c>
      <c r="AA2340" s="19" t="s">
        <v>3454</v>
      </c>
      <c r="AB2340" s="26" t="s">
        <v>36</v>
      </c>
      <c r="AC2340" s="26" t="s">
        <v>53</v>
      </c>
      <c r="AD2340" s="19" t="s">
        <v>54</v>
      </c>
      <c r="AE2340" s="26" t="s">
        <v>4988</v>
      </c>
      <c r="AF2340" s="17">
        <v>45460</v>
      </c>
      <c r="AG2340" s="26"/>
      <c r="AH2340" s="26"/>
      <c r="AI2340" s="40"/>
      <c r="AJ2340" s="26"/>
      <c r="AK2340" s="26"/>
      <c r="AL2340" s="35"/>
      <c r="AM2340" s="35"/>
      <c r="AN2340" s="35"/>
      <c r="AO2340" s="35"/>
      <c r="AP2340" s="35"/>
    </row>
    <row r="2341" spans="1:42" x14ac:dyDescent="0.2">
      <c r="A2341" s="99">
        <v>45458</v>
      </c>
      <c r="B2341" s="28" t="s">
        <v>37</v>
      </c>
      <c r="C2341" s="41" t="s">
        <v>118</v>
      </c>
      <c r="D2341" s="26" t="s">
        <v>36</v>
      </c>
      <c r="E2341" s="26" t="s">
        <v>56</v>
      </c>
      <c r="F2341" s="26" t="s">
        <v>7112</v>
      </c>
      <c r="G2341" s="26" t="s">
        <v>108</v>
      </c>
      <c r="H2341" s="26" t="s">
        <v>8238</v>
      </c>
      <c r="I2341" s="17">
        <f ca="1">IFERROR(__xludf.DUMMYFUNCTION("""COMPUTED_VALUE"""),45477)</f>
        <v>45477</v>
      </c>
      <c r="J2341" s="29" t="s">
        <v>7376</v>
      </c>
      <c r="K2341" s="26" t="s">
        <v>7377</v>
      </c>
      <c r="L2341" s="30">
        <v>869363242</v>
      </c>
      <c r="M2341" s="26" t="s">
        <v>80</v>
      </c>
      <c r="N2341" s="26" t="s">
        <v>2272</v>
      </c>
      <c r="O2341" s="26" t="s">
        <v>91</v>
      </c>
      <c r="P2341" s="72" t="s">
        <v>8576</v>
      </c>
      <c r="Q2341" s="20">
        <v>16779</v>
      </c>
      <c r="R2341" s="26" t="s">
        <v>36</v>
      </c>
      <c r="S2341" s="31">
        <v>16779</v>
      </c>
      <c r="T2341" s="32">
        <v>44791</v>
      </c>
      <c r="U2341" s="31"/>
      <c r="V2341" s="32"/>
      <c r="W2341" s="33" t="s">
        <v>7379</v>
      </c>
      <c r="X2341" s="26">
        <v>0</v>
      </c>
      <c r="Y2341" s="22">
        <v>0</v>
      </c>
      <c r="Z2341" s="26" t="s">
        <v>118</v>
      </c>
      <c r="AA2341" s="19"/>
      <c r="AB2341" s="26" t="s">
        <v>36</v>
      </c>
      <c r="AC2341" s="26" t="s">
        <v>53</v>
      </c>
      <c r="AD2341" s="19" t="s">
        <v>54</v>
      </c>
      <c r="AE2341" s="26" t="s">
        <v>7112</v>
      </c>
      <c r="AF2341" s="17">
        <v>45470</v>
      </c>
      <c r="AG2341" s="91"/>
      <c r="AH2341" s="26"/>
      <c r="AI2341" s="92"/>
      <c r="AJ2341" s="35"/>
      <c r="AK2341" s="35"/>
      <c r="AL2341" s="35"/>
      <c r="AM2341" s="35"/>
      <c r="AN2341" s="26"/>
      <c r="AO2341" s="26"/>
      <c r="AP2341" s="35"/>
    </row>
    <row r="2342" spans="1:42" x14ac:dyDescent="0.2">
      <c r="A2342" s="99">
        <v>45460</v>
      </c>
      <c r="B2342" s="28" t="s">
        <v>37</v>
      </c>
      <c r="C2342" s="41" t="s">
        <v>118</v>
      </c>
      <c r="D2342" s="26" t="s">
        <v>36</v>
      </c>
      <c r="E2342" s="26" t="s">
        <v>56</v>
      </c>
      <c r="F2342" s="26" t="s">
        <v>7506</v>
      </c>
      <c r="G2342" s="26" t="s">
        <v>108</v>
      </c>
      <c r="H2342" s="26" t="s">
        <v>8577</v>
      </c>
      <c r="I2342" s="17" t="str">
        <f ca="1">IFERROR(__xludf.DUMMYFUNCTION("""COMPUTED_VALUE""")," ")</f>
        <v xml:space="preserve"> </v>
      </c>
      <c r="J2342" s="29" t="s">
        <v>1437</v>
      </c>
      <c r="K2342" s="26" t="s">
        <v>1438</v>
      </c>
      <c r="L2342" s="30">
        <v>334486906</v>
      </c>
      <c r="M2342" s="26" t="s">
        <v>94</v>
      </c>
      <c r="N2342" s="26" t="s">
        <v>672</v>
      </c>
      <c r="O2342" s="26" t="s">
        <v>36</v>
      </c>
      <c r="P2342" s="42" t="s">
        <v>1439</v>
      </c>
      <c r="Q2342" s="20">
        <v>9317</v>
      </c>
      <c r="R2342" s="26" t="s">
        <v>36</v>
      </c>
      <c r="S2342" s="31">
        <v>9317</v>
      </c>
      <c r="T2342" s="32">
        <v>45148</v>
      </c>
      <c r="U2342" s="31"/>
      <c r="V2342" s="26"/>
      <c r="W2342" s="55" t="s">
        <v>1440</v>
      </c>
      <c r="X2342" s="26">
        <v>100</v>
      </c>
      <c r="Y2342" s="22">
        <v>-100</v>
      </c>
      <c r="Z2342" s="26" t="s">
        <v>118</v>
      </c>
      <c r="AA2342" s="19" t="s">
        <v>901</v>
      </c>
      <c r="AB2342" s="26" t="s">
        <v>36</v>
      </c>
      <c r="AC2342" s="26" t="s">
        <v>53</v>
      </c>
      <c r="AD2342" s="19" t="s">
        <v>54</v>
      </c>
      <c r="AE2342" s="26" t="s">
        <v>7506</v>
      </c>
      <c r="AF2342" s="17">
        <v>45470</v>
      </c>
      <c r="AG2342" s="26"/>
      <c r="AH2342" s="26">
        <v>1</v>
      </c>
      <c r="AI2342" s="40" t="s">
        <v>64</v>
      </c>
      <c r="AJ2342" s="26"/>
      <c r="AK2342" s="26"/>
      <c r="AL2342" s="35"/>
      <c r="AM2342" s="35"/>
      <c r="AN2342" s="35"/>
      <c r="AO2342" s="35"/>
      <c r="AP2342" s="35"/>
    </row>
    <row r="2343" spans="1:42" x14ac:dyDescent="0.2">
      <c r="A2343" s="99">
        <v>45462</v>
      </c>
      <c r="B2343" s="28" t="s">
        <v>37</v>
      </c>
      <c r="C2343" s="41" t="s">
        <v>118</v>
      </c>
      <c r="D2343" s="26" t="s">
        <v>36</v>
      </c>
      <c r="E2343" s="26" t="s">
        <v>8578</v>
      </c>
      <c r="F2343" s="26" t="s">
        <v>4275</v>
      </c>
      <c r="G2343" s="26" t="s">
        <v>1705</v>
      </c>
      <c r="H2343" s="26" t="s">
        <v>6519</v>
      </c>
      <c r="I2343" s="17">
        <f ca="1">IFERROR(__xludf.DUMMYFUNCTION("""COMPUTED_VALUE"""),45518)</f>
        <v>45518</v>
      </c>
      <c r="J2343" s="29" t="s">
        <v>365</v>
      </c>
      <c r="K2343" s="19" t="s">
        <v>8579</v>
      </c>
      <c r="L2343" s="47">
        <v>973724205</v>
      </c>
      <c r="M2343" s="26" t="s">
        <v>80</v>
      </c>
      <c r="N2343" s="26" t="s">
        <v>299</v>
      </c>
      <c r="O2343" s="26" t="s">
        <v>367</v>
      </c>
      <c r="P2343" s="42" t="s">
        <v>8580</v>
      </c>
      <c r="Q2343" s="20">
        <v>13968</v>
      </c>
      <c r="R2343" s="26" t="s">
        <v>36</v>
      </c>
      <c r="S2343" s="31">
        <v>13968</v>
      </c>
      <c r="T2343" s="32">
        <v>45190</v>
      </c>
      <c r="U2343" s="31"/>
      <c r="V2343" s="26"/>
      <c r="W2343" s="33" t="s">
        <v>3018</v>
      </c>
      <c r="X2343" s="26"/>
      <c r="Y2343" s="22">
        <v>0</v>
      </c>
      <c r="Z2343" s="26" t="s">
        <v>118</v>
      </c>
      <c r="AA2343" s="19" t="s">
        <v>2449</v>
      </c>
      <c r="AB2343" s="26" t="s">
        <v>36</v>
      </c>
      <c r="AC2343" s="26" t="s">
        <v>53</v>
      </c>
      <c r="AD2343" s="19" t="s">
        <v>54</v>
      </c>
      <c r="AE2343" s="26" t="s">
        <v>4275</v>
      </c>
      <c r="AF2343" s="17">
        <v>45518</v>
      </c>
      <c r="AG2343" s="44" t="s">
        <v>3014</v>
      </c>
      <c r="AH2343" s="26"/>
      <c r="AI2343" s="40"/>
      <c r="AJ2343" s="26"/>
      <c r="AK2343" s="26"/>
      <c r="AL2343" s="35"/>
      <c r="AM2343" s="35"/>
      <c r="AN2343" s="35"/>
      <c r="AO2343" s="35"/>
      <c r="AP2343" s="35"/>
    </row>
    <row r="2344" spans="1:42" x14ac:dyDescent="0.2">
      <c r="A2344" s="99">
        <v>45462</v>
      </c>
      <c r="B2344" s="28" t="s">
        <v>37</v>
      </c>
      <c r="C2344" s="41" t="s">
        <v>118</v>
      </c>
      <c r="D2344" s="26" t="s">
        <v>36</v>
      </c>
      <c r="E2344" s="26" t="s">
        <v>148</v>
      </c>
      <c r="F2344" s="26" t="s">
        <v>4525</v>
      </c>
      <c r="G2344" s="71" t="s">
        <v>221</v>
      </c>
      <c r="H2344" s="26" t="s">
        <v>8581</v>
      </c>
      <c r="I2344" s="17">
        <f ca="1">IFERROR(__xludf.DUMMYFUNCTION("""COMPUTED_VALUE"""),45488)</f>
        <v>45488</v>
      </c>
      <c r="J2344" s="29" t="s">
        <v>6542</v>
      </c>
      <c r="K2344" s="26" t="s">
        <v>6543</v>
      </c>
      <c r="L2344" s="30">
        <v>373433590</v>
      </c>
      <c r="M2344" s="26" t="s">
        <v>94</v>
      </c>
      <c r="N2344" s="26" t="s">
        <v>200</v>
      </c>
      <c r="O2344" s="26" t="s">
        <v>91</v>
      </c>
      <c r="P2344" s="42" t="s">
        <v>8582</v>
      </c>
      <c r="Q2344" s="20">
        <v>7349</v>
      </c>
      <c r="R2344" s="26" t="s">
        <v>36</v>
      </c>
      <c r="S2344" s="58">
        <v>5000</v>
      </c>
      <c r="T2344" s="59">
        <v>44785</v>
      </c>
      <c r="U2344" s="58">
        <v>11779</v>
      </c>
      <c r="V2344" s="59">
        <v>44798</v>
      </c>
      <c r="W2344" s="124" t="s">
        <v>6545</v>
      </c>
      <c r="X2344" s="35">
        <v>0</v>
      </c>
      <c r="Y2344" s="22">
        <v>-9430</v>
      </c>
      <c r="Z2344" s="98" t="s">
        <v>118</v>
      </c>
      <c r="AA2344" s="19" t="s">
        <v>6541</v>
      </c>
      <c r="AB2344" s="26" t="s">
        <v>36</v>
      </c>
      <c r="AC2344" s="26" t="s">
        <v>53</v>
      </c>
      <c r="AD2344" s="14" t="s">
        <v>54</v>
      </c>
      <c r="AE2344" s="26" t="s">
        <v>4525</v>
      </c>
      <c r="AF2344" s="17">
        <v>45469</v>
      </c>
      <c r="AG2344" s="40"/>
      <c r="AH2344" s="26">
        <v>1</v>
      </c>
      <c r="AI2344" s="40">
        <v>2</v>
      </c>
      <c r="AJ2344" s="26"/>
      <c r="AK2344" s="26"/>
      <c r="AL2344" s="35"/>
      <c r="AM2344" s="35"/>
      <c r="AN2344" s="35"/>
      <c r="AO2344" s="35"/>
      <c r="AP2344" s="35"/>
    </row>
    <row r="2345" spans="1:42" x14ac:dyDescent="0.2">
      <c r="A2345" s="99">
        <v>45464</v>
      </c>
      <c r="B2345" s="28" t="s">
        <v>37</v>
      </c>
      <c r="C2345" s="41" t="s">
        <v>118</v>
      </c>
      <c r="D2345" s="26" t="s">
        <v>36</v>
      </c>
      <c r="E2345" s="26" t="s">
        <v>39</v>
      </c>
      <c r="F2345" s="26" t="s">
        <v>6412</v>
      </c>
      <c r="G2345" s="26" t="s">
        <v>108</v>
      </c>
      <c r="H2345" s="26" t="s">
        <v>7365</v>
      </c>
      <c r="I2345" s="17">
        <f ca="1">IFERROR(__xludf.DUMMYFUNCTION("""COMPUTED_VALUE"""),45468)</f>
        <v>45468</v>
      </c>
      <c r="J2345" s="29" t="s">
        <v>7580</v>
      </c>
      <c r="K2345" s="26" t="s">
        <v>8583</v>
      </c>
      <c r="L2345" s="30">
        <v>338631050</v>
      </c>
      <c r="M2345" s="26" t="s">
        <v>910</v>
      </c>
      <c r="N2345" s="26" t="s">
        <v>260</v>
      </c>
      <c r="O2345" s="26" t="s">
        <v>7582</v>
      </c>
      <c r="P2345" s="42" t="s">
        <v>7583</v>
      </c>
      <c r="Q2345" s="20">
        <v>5736</v>
      </c>
      <c r="R2345" s="26" t="s">
        <v>70</v>
      </c>
      <c r="S2345" s="31">
        <v>200</v>
      </c>
      <c r="T2345" s="32">
        <v>45305</v>
      </c>
      <c r="U2345" s="31">
        <f>2000+3536</f>
        <v>5536</v>
      </c>
      <c r="V2345" s="26" t="s">
        <v>7584</v>
      </c>
      <c r="W2345" s="26" t="s">
        <v>7585</v>
      </c>
      <c r="X2345" s="26"/>
      <c r="Y2345" s="22">
        <v>0</v>
      </c>
      <c r="Z2345" s="98" t="s">
        <v>118</v>
      </c>
      <c r="AA2345" s="19" t="s">
        <v>7361</v>
      </c>
      <c r="AB2345" s="26" t="s">
        <v>36</v>
      </c>
      <c r="AC2345" s="26" t="s">
        <v>53</v>
      </c>
      <c r="AD2345" s="19" t="s">
        <v>54</v>
      </c>
      <c r="AE2345" s="26" t="s">
        <v>6412</v>
      </c>
      <c r="AF2345" s="17">
        <v>45464</v>
      </c>
      <c r="AG2345" s="26"/>
      <c r="AH2345" s="26"/>
      <c r="AI2345" s="40"/>
      <c r="AJ2345" s="26"/>
      <c r="AK2345" s="26"/>
      <c r="AL2345" s="35"/>
      <c r="AM2345" s="35"/>
      <c r="AN2345" s="35"/>
      <c r="AO2345" s="35"/>
      <c r="AP2345" s="35"/>
    </row>
    <row r="2346" spans="1:42" x14ac:dyDescent="0.2">
      <c r="A2346" s="99">
        <v>45464</v>
      </c>
      <c r="B2346" s="28" t="s">
        <v>37</v>
      </c>
      <c r="C2346" s="41" t="s">
        <v>118</v>
      </c>
      <c r="D2346" s="26" t="s">
        <v>36</v>
      </c>
      <c r="E2346" s="26" t="s">
        <v>148</v>
      </c>
      <c r="F2346" s="26" t="s">
        <v>6106</v>
      </c>
      <c r="G2346" s="71" t="s">
        <v>221</v>
      </c>
      <c r="H2346" s="26" t="s">
        <v>8581</v>
      </c>
      <c r="I2346" s="17">
        <f ca="1">IFERROR(__xludf.DUMMYFUNCTION("""COMPUTED_VALUE"""),45488)</f>
        <v>45488</v>
      </c>
      <c r="J2346" s="29" t="s">
        <v>6945</v>
      </c>
      <c r="K2346" s="26" t="s">
        <v>6946</v>
      </c>
      <c r="L2346" s="30">
        <v>976365932</v>
      </c>
      <c r="M2346" s="26" t="s">
        <v>3288</v>
      </c>
      <c r="N2346" s="26" t="s">
        <v>200</v>
      </c>
      <c r="O2346" s="26" t="s">
        <v>6947</v>
      </c>
      <c r="P2346" s="42" t="s">
        <v>8584</v>
      </c>
      <c r="Q2346" s="20">
        <v>7349</v>
      </c>
      <c r="R2346" s="26" t="s">
        <v>36</v>
      </c>
      <c r="S2346" s="31">
        <v>1000</v>
      </c>
      <c r="T2346" s="32">
        <v>45237</v>
      </c>
      <c r="U2346" s="31">
        <v>15779</v>
      </c>
      <c r="V2346" s="32">
        <v>45252</v>
      </c>
      <c r="W2346" s="26" t="s">
        <v>6949</v>
      </c>
      <c r="X2346" s="26">
        <v>0</v>
      </c>
      <c r="Y2346" s="22">
        <v>-9430</v>
      </c>
      <c r="Z2346" s="26" t="s">
        <v>118</v>
      </c>
      <c r="AA2346" s="19"/>
      <c r="AB2346" s="26" t="s">
        <v>36</v>
      </c>
      <c r="AC2346" s="26" t="s">
        <v>53</v>
      </c>
      <c r="AD2346" s="19" t="s">
        <v>54</v>
      </c>
      <c r="AE2346" s="26" t="s">
        <v>6106</v>
      </c>
      <c r="AF2346" s="17">
        <v>45469</v>
      </c>
      <c r="AG2346" s="26"/>
      <c r="AH2346" s="26"/>
      <c r="AI2346" s="40">
        <v>2</v>
      </c>
      <c r="AJ2346" s="26"/>
      <c r="AK2346" s="26"/>
      <c r="AL2346" s="35"/>
      <c r="AM2346" s="35"/>
      <c r="AN2346" s="35"/>
      <c r="AO2346" s="35"/>
      <c r="AP2346" s="35"/>
    </row>
    <row r="2347" spans="1:42" x14ac:dyDescent="0.2">
      <c r="A2347" s="99">
        <v>45464</v>
      </c>
      <c r="B2347" s="28" t="s">
        <v>37</v>
      </c>
      <c r="C2347" s="41" t="s">
        <v>118</v>
      </c>
      <c r="D2347" s="35" t="s">
        <v>36</v>
      </c>
      <c r="E2347" s="26" t="s">
        <v>148</v>
      </c>
      <c r="F2347" s="35" t="s">
        <v>8302</v>
      </c>
      <c r="G2347" s="26" t="s">
        <v>108</v>
      </c>
      <c r="H2347" s="26" t="s">
        <v>2017</v>
      </c>
      <c r="I2347" s="17">
        <f ca="1">IFERROR(__xludf.DUMMYFUNCTION("""COMPUTED_VALUE"""),45485)</f>
        <v>45485</v>
      </c>
      <c r="J2347" s="29" t="s">
        <v>8585</v>
      </c>
      <c r="K2347" s="26" t="s">
        <v>8586</v>
      </c>
      <c r="L2347" s="30">
        <v>353658981</v>
      </c>
      <c r="M2347" s="26" t="s">
        <v>80</v>
      </c>
      <c r="N2347" s="26" t="s">
        <v>81</v>
      </c>
      <c r="O2347" s="67" t="s">
        <v>8587</v>
      </c>
      <c r="P2347" s="35" t="s">
        <v>8588</v>
      </c>
      <c r="Q2347" s="20">
        <v>13615</v>
      </c>
      <c r="R2347" s="35" t="s">
        <v>36</v>
      </c>
      <c r="S2347" s="31">
        <v>5000</v>
      </c>
      <c r="T2347" s="32">
        <v>44984</v>
      </c>
      <c r="U2347" s="31">
        <v>8615</v>
      </c>
      <c r="V2347" s="138">
        <v>45014</v>
      </c>
      <c r="W2347" s="55" t="s">
        <v>8589</v>
      </c>
      <c r="X2347" s="35"/>
      <c r="Y2347" s="22">
        <v>0</v>
      </c>
      <c r="Z2347" s="26" t="s">
        <v>118</v>
      </c>
      <c r="AA2347" s="19" t="s">
        <v>8334</v>
      </c>
      <c r="AB2347" s="26" t="s">
        <v>36</v>
      </c>
      <c r="AC2347" s="26" t="s">
        <v>53</v>
      </c>
      <c r="AD2347" s="19" t="s">
        <v>54</v>
      </c>
      <c r="AE2347" s="26" t="s">
        <v>8302</v>
      </c>
      <c r="AF2347" s="17">
        <v>45478</v>
      </c>
      <c r="AG2347" s="91"/>
      <c r="AH2347" s="26"/>
      <c r="AI2347" s="92"/>
      <c r="AJ2347" s="35"/>
      <c r="AK2347" s="35"/>
      <c r="AL2347" s="35"/>
      <c r="AM2347" s="35"/>
      <c r="AN2347" s="26"/>
      <c r="AO2347" s="26"/>
      <c r="AP2347" s="35"/>
    </row>
    <row r="2348" spans="1:42" x14ac:dyDescent="0.2">
      <c r="A2348" s="99">
        <v>45464</v>
      </c>
      <c r="B2348" s="28" t="s">
        <v>37</v>
      </c>
      <c r="C2348" s="41" t="s">
        <v>118</v>
      </c>
      <c r="D2348" s="26" t="s">
        <v>36</v>
      </c>
      <c r="E2348" s="26" t="s">
        <v>148</v>
      </c>
      <c r="F2348" s="26" t="s">
        <v>7203</v>
      </c>
      <c r="G2348" s="26" t="s">
        <v>108</v>
      </c>
      <c r="H2348" s="26" t="s">
        <v>2017</v>
      </c>
      <c r="I2348" s="17">
        <f ca="1">IFERROR(__xludf.DUMMYFUNCTION("""COMPUTED_VALUE"""),45485)</f>
        <v>45485</v>
      </c>
      <c r="J2348" s="29" t="s">
        <v>8590</v>
      </c>
      <c r="K2348" s="26" t="s">
        <v>8591</v>
      </c>
      <c r="L2348" s="30">
        <v>337271886</v>
      </c>
      <c r="M2348" s="26" t="s">
        <v>292</v>
      </c>
      <c r="N2348" s="26" t="s">
        <v>8592</v>
      </c>
      <c r="O2348" s="26" t="s">
        <v>91</v>
      </c>
      <c r="P2348" s="26" t="s">
        <v>8593</v>
      </c>
      <c r="Q2348" s="20">
        <v>16779</v>
      </c>
      <c r="R2348" s="26" t="s">
        <v>36</v>
      </c>
      <c r="S2348" s="31">
        <v>16779</v>
      </c>
      <c r="T2348" s="32">
        <v>44994</v>
      </c>
      <c r="U2348" s="31"/>
      <c r="V2348" s="26"/>
      <c r="W2348" s="33" t="s">
        <v>8594</v>
      </c>
      <c r="X2348" s="26"/>
      <c r="Y2348" s="22">
        <v>0</v>
      </c>
      <c r="Z2348" s="98" t="s">
        <v>118</v>
      </c>
      <c r="AA2348" s="19" t="s">
        <v>2432</v>
      </c>
      <c r="AB2348" s="26" t="s">
        <v>36</v>
      </c>
      <c r="AC2348" s="26" t="s">
        <v>53</v>
      </c>
      <c r="AD2348" s="14" t="s">
        <v>54</v>
      </c>
      <c r="AE2348" s="26" t="s">
        <v>7203</v>
      </c>
      <c r="AF2348" s="17">
        <v>45478</v>
      </c>
      <c r="AG2348" s="40"/>
      <c r="AH2348" s="40"/>
      <c r="AI2348" s="126"/>
      <c r="AJ2348" s="26"/>
      <c r="AK2348" s="26"/>
      <c r="AL2348" s="26"/>
      <c r="AM2348" s="35"/>
      <c r="AN2348" s="35"/>
      <c r="AO2348" s="35"/>
      <c r="AP2348" s="35"/>
    </row>
    <row r="2349" spans="1:42" x14ac:dyDescent="0.2">
      <c r="A2349" s="99">
        <v>45464</v>
      </c>
      <c r="B2349" s="28" t="s">
        <v>37</v>
      </c>
      <c r="C2349" s="41" t="s">
        <v>118</v>
      </c>
      <c r="D2349" s="26" t="s">
        <v>36</v>
      </c>
      <c r="E2349" s="26" t="s">
        <v>139</v>
      </c>
      <c r="F2349" s="26" t="s">
        <v>2647</v>
      </c>
      <c r="G2349" s="26" t="s">
        <v>108</v>
      </c>
      <c r="H2349" s="26" t="s">
        <v>6250</v>
      </c>
      <c r="I2349" s="17">
        <f ca="1">IFERROR(__xludf.DUMMYFUNCTION("""COMPUTED_VALUE"""),45495)</f>
        <v>45495</v>
      </c>
      <c r="J2349" s="29" t="s">
        <v>2770</v>
      </c>
      <c r="K2349" s="26" t="s">
        <v>2771</v>
      </c>
      <c r="L2349" s="30">
        <v>366307676</v>
      </c>
      <c r="M2349" s="26" t="s">
        <v>123</v>
      </c>
      <c r="N2349" s="26" t="s">
        <v>850</v>
      </c>
      <c r="O2349" s="26" t="s">
        <v>1226</v>
      </c>
      <c r="P2349" s="42" t="s">
        <v>8595</v>
      </c>
      <c r="Q2349" s="20">
        <v>15936</v>
      </c>
      <c r="R2349" s="26" t="s">
        <v>36</v>
      </c>
      <c r="S2349" s="31">
        <v>15936</v>
      </c>
      <c r="T2349" s="32">
        <v>45176</v>
      </c>
      <c r="U2349" s="31"/>
      <c r="V2349" s="26"/>
      <c r="W2349" s="33" t="s">
        <v>2773</v>
      </c>
      <c r="X2349" s="26"/>
      <c r="Y2349" s="22">
        <v>0</v>
      </c>
      <c r="Z2349" s="98" t="s">
        <v>118</v>
      </c>
      <c r="AA2349" s="19" t="s">
        <v>2449</v>
      </c>
      <c r="AB2349" s="26" t="s">
        <v>36</v>
      </c>
      <c r="AC2349" s="26" t="s">
        <v>53</v>
      </c>
      <c r="AD2349" s="19" t="s">
        <v>138</v>
      </c>
      <c r="AE2349" s="26" t="s">
        <v>2647</v>
      </c>
      <c r="AF2349" s="17">
        <v>45495</v>
      </c>
      <c r="AG2349" s="26" t="s">
        <v>1362</v>
      </c>
      <c r="AH2349" s="26" t="s">
        <v>2652</v>
      </c>
      <c r="AI2349" s="40"/>
      <c r="AJ2349" s="26"/>
      <c r="AK2349" s="26"/>
      <c r="AL2349" s="35"/>
      <c r="AM2349" s="35"/>
      <c r="AN2349" s="35"/>
      <c r="AO2349" s="35"/>
      <c r="AP2349" s="35"/>
    </row>
    <row r="2350" spans="1:42" x14ac:dyDescent="0.2">
      <c r="A2350" s="99">
        <v>45467</v>
      </c>
      <c r="B2350" s="68" t="s">
        <v>37</v>
      </c>
      <c r="C2350" s="41" t="s">
        <v>118</v>
      </c>
      <c r="D2350" s="26" t="s">
        <v>36</v>
      </c>
      <c r="E2350" s="26" t="s">
        <v>139</v>
      </c>
      <c r="F2350" s="19" t="s">
        <v>4087</v>
      </c>
      <c r="G2350" s="26" t="s">
        <v>108</v>
      </c>
      <c r="H2350" s="26" t="s">
        <v>1565</v>
      </c>
      <c r="I2350" s="17">
        <f ca="1">IFERROR(__xludf.DUMMYFUNCTION("""COMPUTED_VALUE"""),45502)</f>
        <v>45502</v>
      </c>
      <c r="J2350" s="49" t="s">
        <v>7679</v>
      </c>
      <c r="K2350" s="19" t="s">
        <v>8596</v>
      </c>
      <c r="L2350" s="30">
        <v>342521142</v>
      </c>
      <c r="M2350" s="26" t="s">
        <v>3728</v>
      </c>
      <c r="N2350" s="26" t="s">
        <v>5377</v>
      </c>
      <c r="O2350" s="26" t="s">
        <v>134</v>
      </c>
      <c r="P2350" s="26" t="s">
        <v>8597</v>
      </c>
      <c r="Q2350" s="20">
        <v>15936</v>
      </c>
      <c r="R2350" s="26" t="s">
        <v>36</v>
      </c>
      <c r="S2350" s="31">
        <v>3000</v>
      </c>
      <c r="T2350" s="32">
        <v>45349</v>
      </c>
      <c r="U2350" s="31">
        <v>12936</v>
      </c>
      <c r="V2350" s="32">
        <v>45382</v>
      </c>
      <c r="W2350" s="33" t="s">
        <v>7681</v>
      </c>
      <c r="X2350" s="26"/>
      <c r="Y2350" s="22">
        <v>0</v>
      </c>
      <c r="Z2350" s="98" t="s">
        <v>118</v>
      </c>
      <c r="AA2350" s="19" t="s">
        <v>7361</v>
      </c>
      <c r="AB2350" s="26" t="s">
        <v>36</v>
      </c>
      <c r="AC2350" s="26" t="s">
        <v>53</v>
      </c>
      <c r="AD2350" s="19" t="s">
        <v>138</v>
      </c>
      <c r="AE2350" s="26" t="s">
        <v>4087</v>
      </c>
      <c r="AF2350" s="17">
        <v>45502</v>
      </c>
      <c r="AG2350" s="26" t="s">
        <v>3415</v>
      </c>
      <c r="AH2350" s="26"/>
      <c r="AI2350" s="40"/>
      <c r="AJ2350" s="26"/>
      <c r="AK2350" s="26"/>
      <c r="AL2350" s="35"/>
      <c r="AM2350" s="35"/>
      <c r="AN2350" s="35"/>
      <c r="AO2350" s="35"/>
      <c r="AP2350" s="35"/>
    </row>
    <row r="2351" spans="1:42" x14ac:dyDescent="0.2">
      <c r="A2351" s="99">
        <v>45467</v>
      </c>
      <c r="B2351" s="28" t="s">
        <v>37</v>
      </c>
      <c r="C2351" s="41" t="s">
        <v>118</v>
      </c>
      <c r="D2351" s="26" t="s">
        <v>36</v>
      </c>
      <c r="E2351" s="26" t="s">
        <v>39</v>
      </c>
      <c r="F2351" s="26" t="s">
        <v>3279</v>
      </c>
      <c r="G2351" s="26" t="s">
        <v>108</v>
      </c>
      <c r="H2351" s="26" t="s">
        <v>6250</v>
      </c>
      <c r="I2351" s="17">
        <f ca="1">IFERROR(__xludf.DUMMYFUNCTION("""COMPUTED_VALUE"""),45495)</f>
        <v>45495</v>
      </c>
      <c r="J2351" s="29" t="s">
        <v>3280</v>
      </c>
      <c r="K2351" s="26" t="s">
        <v>8598</v>
      </c>
      <c r="L2351" s="30">
        <v>325495610</v>
      </c>
      <c r="M2351" s="26" t="s">
        <v>94</v>
      </c>
      <c r="N2351" s="26" t="s">
        <v>3282</v>
      </c>
      <c r="O2351" s="26" t="s">
        <v>36</v>
      </c>
      <c r="P2351" s="42" t="s">
        <v>3283</v>
      </c>
      <c r="Q2351" s="20">
        <v>5736</v>
      </c>
      <c r="R2351" s="26" t="s">
        <v>36</v>
      </c>
      <c r="S2351" s="21">
        <v>1000</v>
      </c>
      <c r="T2351" s="32">
        <v>45152</v>
      </c>
      <c r="U2351" s="31">
        <v>4736</v>
      </c>
      <c r="V2351" s="45">
        <v>45198</v>
      </c>
      <c r="W2351" s="33" t="s">
        <v>3284</v>
      </c>
      <c r="X2351" s="26"/>
      <c r="Y2351" s="22">
        <v>0</v>
      </c>
      <c r="Z2351" s="98" t="s">
        <v>118</v>
      </c>
      <c r="AA2351" s="19" t="s">
        <v>2449</v>
      </c>
      <c r="AB2351" s="26" t="s">
        <v>36</v>
      </c>
      <c r="AC2351" s="26" t="s">
        <v>53</v>
      </c>
      <c r="AD2351" s="19" t="s">
        <v>54</v>
      </c>
      <c r="AE2351" s="26" t="s">
        <v>3279</v>
      </c>
      <c r="AF2351" s="17">
        <v>45495</v>
      </c>
      <c r="AG2351" s="26" t="s">
        <v>1362</v>
      </c>
      <c r="AH2351" s="26"/>
      <c r="AI2351" s="40"/>
      <c r="AJ2351" s="26"/>
      <c r="AK2351" s="26"/>
      <c r="AL2351" s="35"/>
      <c r="AM2351" s="35"/>
      <c r="AN2351" s="35"/>
      <c r="AO2351" s="35"/>
      <c r="AP2351" s="35"/>
    </row>
    <row r="2352" spans="1:42" x14ac:dyDescent="0.2">
      <c r="A2352" s="99">
        <v>45467</v>
      </c>
      <c r="B2352" s="28" t="s">
        <v>37</v>
      </c>
      <c r="C2352" s="41" t="s">
        <v>118</v>
      </c>
      <c r="D2352" s="26" t="s">
        <v>36</v>
      </c>
      <c r="E2352" s="26" t="s">
        <v>139</v>
      </c>
      <c r="F2352" s="26" t="s">
        <v>7112</v>
      </c>
      <c r="G2352" s="26" t="s">
        <v>108</v>
      </c>
      <c r="H2352" s="26" t="s">
        <v>2017</v>
      </c>
      <c r="I2352" s="17">
        <f ca="1">IFERROR(__xludf.DUMMYFUNCTION("""COMPUTED_VALUE"""),45485)</f>
        <v>45485</v>
      </c>
      <c r="J2352" s="29" t="s">
        <v>7902</v>
      </c>
      <c r="K2352" s="26" t="s">
        <v>7903</v>
      </c>
      <c r="L2352" s="30">
        <v>858062005</v>
      </c>
      <c r="M2352" s="26" t="s">
        <v>348</v>
      </c>
      <c r="N2352" s="26" t="s">
        <v>68</v>
      </c>
      <c r="O2352" s="26" t="s">
        <v>7904</v>
      </c>
      <c r="P2352" s="42" t="s">
        <v>8599</v>
      </c>
      <c r="Q2352" s="20">
        <v>15936</v>
      </c>
      <c r="R2352" s="26" t="s">
        <v>36</v>
      </c>
      <c r="S2352" s="31">
        <v>15963</v>
      </c>
      <c r="T2352" s="32">
        <v>45372</v>
      </c>
      <c r="U2352" s="31"/>
      <c r="V2352" s="32"/>
      <c r="W2352" s="33" t="s">
        <v>7906</v>
      </c>
      <c r="X2352" s="26"/>
      <c r="Y2352" s="22">
        <v>-27</v>
      </c>
      <c r="Z2352" s="98" t="s">
        <v>118</v>
      </c>
      <c r="AA2352" s="19" t="s">
        <v>7361</v>
      </c>
      <c r="AB2352" s="26" t="s">
        <v>36</v>
      </c>
      <c r="AC2352" s="26" t="s">
        <v>53</v>
      </c>
      <c r="AD2352" s="19" t="s">
        <v>54</v>
      </c>
      <c r="AE2352" s="26" t="s">
        <v>7112</v>
      </c>
      <c r="AF2352" s="17">
        <v>45478</v>
      </c>
      <c r="AG2352" s="26"/>
      <c r="AH2352" s="26"/>
      <c r="AI2352" s="40"/>
      <c r="AJ2352" s="26"/>
      <c r="AK2352" s="26"/>
      <c r="AL2352" s="35"/>
      <c r="AM2352" s="35"/>
      <c r="AN2352" s="35"/>
      <c r="AO2352" s="35"/>
      <c r="AP2352" s="35"/>
    </row>
    <row r="2353" spans="1:42" x14ac:dyDescent="0.2">
      <c r="A2353" s="99">
        <v>45468</v>
      </c>
      <c r="B2353" s="28" t="s">
        <v>37</v>
      </c>
      <c r="C2353" s="41" t="s">
        <v>118</v>
      </c>
      <c r="D2353" s="26" t="s">
        <v>36</v>
      </c>
      <c r="E2353" s="26" t="s">
        <v>139</v>
      </c>
      <c r="F2353" s="26" t="s">
        <v>8600</v>
      </c>
      <c r="G2353" s="26" t="s">
        <v>108</v>
      </c>
      <c r="H2353" s="26" t="s">
        <v>7355</v>
      </c>
      <c r="I2353" s="17">
        <f ca="1">IFERROR(__xludf.DUMMYFUNCTION("""COMPUTED_VALUE"""),45452)</f>
        <v>45452</v>
      </c>
      <c r="J2353" s="29" t="s">
        <v>6793</v>
      </c>
      <c r="K2353" s="26" t="s">
        <v>8601</v>
      </c>
      <c r="L2353" s="30">
        <v>373857615</v>
      </c>
      <c r="M2353" s="26" t="s">
        <v>292</v>
      </c>
      <c r="N2353" s="26" t="s">
        <v>1232</v>
      </c>
      <c r="O2353" s="67" t="s">
        <v>6795</v>
      </c>
      <c r="P2353" s="26" t="s">
        <v>6796</v>
      </c>
      <c r="Q2353" s="20">
        <v>15936</v>
      </c>
      <c r="R2353" s="26" t="s">
        <v>36</v>
      </c>
      <c r="S2353" s="31">
        <v>15936</v>
      </c>
      <c r="T2353" s="32">
        <v>45302</v>
      </c>
      <c r="U2353" s="31"/>
      <c r="V2353" s="32"/>
      <c r="W2353" s="33" t="s">
        <v>6797</v>
      </c>
      <c r="X2353" s="26">
        <v>0</v>
      </c>
      <c r="Y2353" s="22">
        <v>0</v>
      </c>
      <c r="Z2353" s="26" t="s">
        <v>118</v>
      </c>
      <c r="AA2353" s="19" t="s">
        <v>7030</v>
      </c>
      <c r="AB2353" s="26"/>
      <c r="AC2353" s="26" t="s">
        <v>53</v>
      </c>
      <c r="AD2353" s="19" t="s">
        <v>138</v>
      </c>
      <c r="AE2353" s="26" t="s">
        <v>4931</v>
      </c>
      <c r="AF2353" s="17">
        <v>45375</v>
      </c>
      <c r="AG2353" s="26" t="s">
        <v>1362</v>
      </c>
      <c r="AH2353" s="26"/>
      <c r="AI2353" s="40" t="s">
        <v>147</v>
      </c>
      <c r="AJ2353" s="26"/>
      <c r="AK2353" s="26"/>
      <c r="AL2353" s="35"/>
      <c r="AM2353" s="35"/>
      <c r="AN2353" s="35"/>
      <c r="AO2353" s="35"/>
      <c r="AP2353" s="35"/>
    </row>
    <row r="2354" spans="1:42" x14ac:dyDescent="0.2">
      <c r="A2354" s="99">
        <v>45468</v>
      </c>
      <c r="B2354" s="28" t="s">
        <v>37</v>
      </c>
      <c r="C2354" s="41" t="s">
        <v>118</v>
      </c>
      <c r="D2354" s="26" t="s">
        <v>36</v>
      </c>
      <c r="E2354" s="26" t="s">
        <v>148</v>
      </c>
      <c r="F2354" s="26" t="s">
        <v>2016</v>
      </c>
      <c r="G2354" s="26" t="s">
        <v>221</v>
      </c>
      <c r="H2354" s="26" t="s">
        <v>8026</v>
      </c>
      <c r="I2354" s="17">
        <f ca="1">IFERROR(__xludf.DUMMYFUNCTION("""COMPUTED_VALUE"""),45495)</f>
        <v>45495</v>
      </c>
      <c r="J2354" s="29" t="s">
        <v>7350</v>
      </c>
      <c r="K2354" s="26" t="s">
        <v>7351</v>
      </c>
      <c r="L2354" s="30">
        <v>869926204</v>
      </c>
      <c r="M2354" s="26" t="s">
        <v>3288</v>
      </c>
      <c r="N2354" s="26" t="s">
        <v>200</v>
      </c>
      <c r="O2354" s="26" t="s">
        <v>7352</v>
      </c>
      <c r="P2354" s="42" t="s">
        <v>7353</v>
      </c>
      <c r="Q2354" s="20">
        <v>7349</v>
      </c>
      <c r="R2354" s="26" t="s">
        <v>36</v>
      </c>
      <c r="S2354" s="31">
        <v>16779</v>
      </c>
      <c r="T2354" s="32">
        <v>44909</v>
      </c>
      <c r="U2354" s="31"/>
      <c r="V2354" s="32"/>
      <c r="W2354" s="33" t="s">
        <v>7354</v>
      </c>
      <c r="X2354" s="26"/>
      <c r="Y2354" s="22">
        <v>-9430</v>
      </c>
      <c r="Z2354" s="26" t="s">
        <v>118</v>
      </c>
      <c r="AA2354" s="19" t="s">
        <v>7348</v>
      </c>
      <c r="AB2354" s="26" t="s">
        <v>36</v>
      </c>
      <c r="AC2354" s="26" t="s">
        <v>53</v>
      </c>
      <c r="AD2354" s="19" t="s">
        <v>54</v>
      </c>
      <c r="AE2354" s="26" t="s">
        <v>2016</v>
      </c>
      <c r="AF2354" s="17">
        <v>45495</v>
      </c>
      <c r="AG2354" s="26" t="s">
        <v>1362</v>
      </c>
      <c r="AH2354" s="26"/>
      <c r="AI2354" s="40">
        <v>2</v>
      </c>
      <c r="AJ2354" s="26"/>
      <c r="AK2354" s="26"/>
      <c r="AL2354" s="35"/>
      <c r="AM2354" s="35"/>
      <c r="AN2354" s="35"/>
      <c r="AO2354" s="35"/>
      <c r="AP2354" s="35"/>
    </row>
    <row r="2355" spans="1:42" x14ac:dyDescent="0.2">
      <c r="A2355" s="99">
        <v>45468</v>
      </c>
      <c r="B2355" s="28" t="s">
        <v>37</v>
      </c>
      <c r="C2355" s="41" t="s">
        <v>118</v>
      </c>
      <c r="D2355" s="26" t="s">
        <v>36</v>
      </c>
      <c r="E2355" s="26" t="s">
        <v>56</v>
      </c>
      <c r="F2355" s="26" t="s">
        <v>6637</v>
      </c>
      <c r="G2355" s="26" t="s">
        <v>108</v>
      </c>
      <c r="H2355" s="26" t="s">
        <v>8602</v>
      </c>
      <c r="I2355" s="17">
        <f ca="1">IFERROR(__xludf.DUMMYFUNCTION("""COMPUTED_VALUE"""),45485)</f>
        <v>45485</v>
      </c>
      <c r="J2355" s="29" t="s">
        <v>7656</v>
      </c>
      <c r="K2355" s="26" t="s">
        <v>8603</v>
      </c>
      <c r="L2355" s="30">
        <v>961713659</v>
      </c>
      <c r="M2355" s="26" t="s">
        <v>2755</v>
      </c>
      <c r="N2355" s="26" t="s">
        <v>2756</v>
      </c>
      <c r="O2355" s="26" t="s">
        <v>4503</v>
      </c>
      <c r="P2355" s="42" t="s">
        <v>8604</v>
      </c>
      <c r="Q2355" s="20">
        <v>9317</v>
      </c>
      <c r="R2355" s="26" t="s">
        <v>36</v>
      </c>
      <c r="S2355" s="31">
        <v>3000</v>
      </c>
      <c r="T2355" s="32">
        <v>45347</v>
      </c>
      <c r="U2355" s="31">
        <v>6330</v>
      </c>
      <c r="V2355" s="32">
        <v>45369</v>
      </c>
      <c r="W2355" s="33" t="s">
        <v>7659</v>
      </c>
      <c r="X2355" s="26">
        <v>0</v>
      </c>
      <c r="Y2355" s="22">
        <v>-13</v>
      </c>
      <c r="Z2355" s="98" t="s">
        <v>118</v>
      </c>
      <c r="AA2355" s="19" t="s">
        <v>7361</v>
      </c>
      <c r="AB2355" s="26" t="s">
        <v>36</v>
      </c>
      <c r="AC2355" s="26" t="s">
        <v>53</v>
      </c>
      <c r="AD2355" s="19" t="s">
        <v>54</v>
      </c>
      <c r="AE2355" s="26" t="s">
        <v>6637</v>
      </c>
      <c r="AF2355" s="17">
        <v>45483</v>
      </c>
      <c r="AG2355" s="26"/>
      <c r="AH2355" s="40">
        <v>2.5</v>
      </c>
      <c r="AI2355" s="40"/>
      <c r="AJ2355" s="26"/>
      <c r="AK2355" s="26"/>
      <c r="AL2355" s="35"/>
      <c r="AM2355" s="35"/>
      <c r="AN2355" s="35"/>
      <c r="AO2355" s="35"/>
      <c r="AP2355" s="35"/>
    </row>
    <row r="2356" spans="1:42" x14ac:dyDescent="0.2">
      <c r="A2356" s="99">
        <v>45468</v>
      </c>
      <c r="B2356" s="28" t="s">
        <v>37</v>
      </c>
      <c r="C2356" s="41" t="s">
        <v>118</v>
      </c>
      <c r="D2356" s="26" t="s">
        <v>36</v>
      </c>
      <c r="E2356" s="26" t="s">
        <v>139</v>
      </c>
      <c r="F2356" s="26" t="s">
        <v>4931</v>
      </c>
      <c r="G2356" s="26" t="s">
        <v>221</v>
      </c>
      <c r="H2356" s="26" t="s">
        <v>8026</v>
      </c>
      <c r="I2356" s="17">
        <f ca="1">IFERROR(__xludf.DUMMYFUNCTION("""COMPUTED_VALUE"""),45495)</f>
        <v>45495</v>
      </c>
      <c r="J2356" s="29" t="s">
        <v>3505</v>
      </c>
      <c r="K2356" s="26" t="s">
        <v>3506</v>
      </c>
      <c r="L2356" s="30">
        <v>919764866</v>
      </c>
      <c r="M2356" s="26" t="s">
        <v>112</v>
      </c>
      <c r="N2356" s="26" t="s">
        <v>3330</v>
      </c>
      <c r="O2356" s="26" t="s">
        <v>3507</v>
      </c>
      <c r="P2356" s="42" t="s">
        <v>8605</v>
      </c>
      <c r="Q2356" s="20">
        <v>15936</v>
      </c>
      <c r="R2356" s="26" t="s">
        <v>36</v>
      </c>
      <c r="S2356" s="31">
        <v>2000</v>
      </c>
      <c r="T2356" s="32">
        <v>45178</v>
      </c>
      <c r="U2356" s="31">
        <v>13836</v>
      </c>
      <c r="V2356" s="32">
        <v>45200</v>
      </c>
      <c r="W2356" s="33" t="s">
        <v>3508</v>
      </c>
      <c r="X2356" s="26"/>
      <c r="Y2356" s="22">
        <v>100</v>
      </c>
      <c r="Z2356" s="26" t="s">
        <v>118</v>
      </c>
      <c r="AA2356" s="19" t="s">
        <v>4541</v>
      </c>
      <c r="AB2356" s="26" t="s">
        <v>36</v>
      </c>
      <c r="AC2356" s="26" t="s">
        <v>53</v>
      </c>
      <c r="AD2356" s="19" t="s">
        <v>138</v>
      </c>
      <c r="AE2356" s="26" t="s">
        <v>4931</v>
      </c>
      <c r="AF2356" s="17">
        <v>45495</v>
      </c>
      <c r="AG2356" s="26" t="s">
        <v>1362</v>
      </c>
      <c r="AH2356" s="26"/>
      <c r="AI2356" s="40"/>
      <c r="AJ2356" s="26"/>
      <c r="AK2356" s="26"/>
      <c r="AL2356" s="35"/>
      <c r="AM2356" s="35"/>
      <c r="AN2356" s="35"/>
      <c r="AO2356" s="35"/>
      <c r="AP2356" s="35"/>
    </row>
    <row r="2357" spans="1:42" x14ac:dyDescent="0.2">
      <c r="A2357" s="99">
        <v>45468</v>
      </c>
      <c r="B2357" s="28" t="s">
        <v>37</v>
      </c>
      <c r="C2357" s="41" t="s">
        <v>118</v>
      </c>
      <c r="D2357" s="26" t="s">
        <v>36</v>
      </c>
      <c r="E2357" s="26" t="s">
        <v>139</v>
      </c>
      <c r="F2357" s="26" t="s">
        <v>5106</v>
      </c>
      <c r="G2357" s="26" t="s">
        <v>221</v>
      </c>
      <c r="H2357" s="26" t="s">
        <v>8026</v>
      </c>
      <c r="I2357" s="17">
        <f ca="1">IFERROR(__xludf.DUMMYFUNCTION("""COMPUTED_VALUE"""),45495)</f>
        <v>45495</v>
      </c>
      <c r="J2357" s="29" t="s">
        <v>6017</v>
      </c>
      <c r="K2357" s="26" t="s">
        <v>6018</v>
      </c>
      <c r="L2357" s="30">
        <v>967086395</v>
      </c>
      <c r="M2357" s="26" t="s">
        <v>3728</v>
      </c>
      <c r="N2357" s="26" t="s">
        <v>5377</v>
      </c>
      <c r="O2357" s="26" t="s">
        <v>6019</v>
      </c>
      <c r="P2357" s="42" t="s">
        <v>6020</v>
      </c>
      <c r="Q2357" s="20">
        <v>15936</v>
      </c>
      <c r="R2357" s="26" t="s">
        <v>36</v>
      </c>
      <c r="S2357" s="31">
        <v>2000</v>
      </c>
      <c r="T2357" s="32">
        <v>45223</v>
      </c>
      <c r="U2357" s="31">
        <v>14000</v>
      </c>
      <c r="V2357" s="32">
        <v>45264</v>
      </c>
      <c r="W2357" s="33" t="s">
        <v>6021</v>
      </c>
      <c r="X2357" s="26"/>
      <c r="Y2357" s="22">
        <v>-64</v>
      </c>
      <c r="Z2357" s="26" t="s">
        <v>118</v>
      </c>
      <c r="AA2357" s="19" t="s">
        <v>5785</v>
      </c>
      <c r="AB2357" s="26" t="s">
        <v>36</v>
      </c>
      <c r="AC2357" s="26" t="s">
        <v>53</v>
      </c>
      <c r="AD2357" s="19" t="s">
        <v>138</v>
      </c>
      <c r="AE2357" s="26" t="s">
        <v>5106</v>
      </c>
      <c r="AF2357" s="17">
        <v>45495</v>
      </c>
      <c r="AG2357" s="26" t="s">
        <v>1362</v>
      </c>
      <c r="AH2357" s="26"/>
      <c r="AI2357" s="40" t="s">
        <v>147</v>
      </c>
      <c r="AJ2357" s="26"/>
      <c r="AK2357" s="26"/>
      <c r="AL2357" s="35"/>
      <c r="AM2357" s="35"/>
      <c r="AN2357" s="35"/>
      <c r="AO2357" s="35"/>
      <c r="AP2357" s="35"/>
    </row>
    <row r="2358" spans="1:42" x14ac:dyDescent="0.2">
      <c r="A2358" s="99">
        <v>45468</v>
      </c>
      <c r="B2358" s="28" t="s">
        <v>37</v>
      </c>
      <c r="C2358" s="41" t="s">
        <v>118</v>
      </c>
      <c r="D2358" s="26" t="s">
        <v>36</v>
      </c>
      <c r="E2358" s="26" t="s">
        <v>139</v>
      </c>
      <c r="F2358" s="26" t="s">
        <v>4931</v>
      </c>
      <c r="G2358" s="26" t="s">
        <v>221</v>
      </c>
      <c r="H2358" s="26" t="s">
        <v>8026</v>
      </c>
      <c r="I2358" s="17">
        <f ca="1">IFERROR(__xludf.DUMMYFUNCTION("""COMPUTED_VALUE"""),45495)</f>
        <v>45495</v>
      </c>
      <c r="J2358" s="29" t="s">
        <v>5421</v>
      </c>
      <c r="K2358" s="26" t="s">
        <v>8606</v>
      </c>
      <c r="L2358" s="30">
        <v>357656025</v>
      </c>
      <c r="M2358" s="26" t="s">
        <v>123</v>
      </c>
      <c r="N2358" s="26" t="s">
        <v>186</v>
      </c>
      <c r="O2358" s="26" t="s">
        <v>1226</v>
      </c>
      <c r="P2358" s="42" t="s">
        <v>8607</v>
      </c>
      <c r="Q2358" s="20">
        <v>15936</v>
      </c>
      <c r="R2358" s="26" t="s">
        <v>36</v>
      </c>
      <c r="S2358" s="31">
        <v>200</v>
      </c>
      <c r="T2358" s="32">
        <v>45222</v>
      </c>
      <c r="U2358" s="31">
        <f>8000+7936</f>
        <v>15936</v>
      </c>
      <c r="V2358" s="26" t="s">
        <v>5424</v>
      </c>
      <c r="W2358" s="33" t="s">
        <v>5425</v>
      </c>
      <c r="X2358" s="26"/>
      <c r="Y2358" s="22">
        <v>-200</v>
      </c>
      <c r="Z2358" s="26" t="s">
        <v>118</v>
      </c>
      <c r="AA2358" s="19" t="s">
        <v>5112</v>
      </c>
      <c r="AB2358" s="26" t="s">
        <v>36</v>
      </c>
      <c r="AC2358" s="26" t="s">
        <v>53</v>
      </c>
      <c r="AD2358" s="19" t="s">
        <v>54</v>
      </c>
      <c r="AE2358" s="26" t="s">
        <v>4931</v>
      </c>
      <c r="AF2358" s="17">
        <v>45495</v>
      </c>
      <c r="AG2358" s="26" t="s">
        <v>1362</v>
      </c>
      <c r="AH2358" s="26"/>
      <c r="AI2358" s="40" t="s">
        <v>147</v>
      </c>
      <c r="AJ2358" s="26"/>
      <c r="AK2358" s="26"/>
      <c r="AL2358" s="35"/>
      <c r="AM2358" s="35"/>
      <c r="AN2358" s="35"/>
      <c r="AO2358" s="35"/>
      <c r="AP2358" s="35"/>
    </row>
    <row r="2359" spans="1:42" x14ac:dyDescent="0.2">
      <c r="A2359" s="99">
        <v>45469</v>
      </c>
      <c r="B2359" s="28" t="s">
        <v>37</v>
      </c>
      <c r="C2359" s="41" t="s">
        <v>118</v>
      </c>
      <c r="D2359" s="26" t="s">
        <v>36</v>
      </c>
      <c r="E2359" s="26" t="s">
        <v>139</v>
      </c>
      <c r="F2359" s="26" t="s">
        <v>2434</v>
      </c>
      <c r="G2359" s="26" t="s">
        <v>221</v>
      </c>
      <c r="H2359" s="26" t="s">
        <v>8608</v>
      </c>
      <c r="I2359" s="17">
        <f ca="1">IFERROR(__xludf.DUMMYFUNCTION("""COMPUTED_VALUE"""),45527)</f>
        <v>45527</v>
      </c>
      <c r="J2359" s="29" t="s">
        <v>8609</v>
      </c>
      <c r="K2359" s="26" t="s">
        <v>8610</v>
      </c>
      <c r="L2359" s="30">
        <v>966213792</v>
      </c>
      <c r="M2359" s="26" t="s">
        <v>910</v>
      </c>
      <c r="N2359" s="26" t="s">
        <v>3221</v>
      </c>
      <c r="O2359" s="26" t="s">
        <v>4379</v>
      </c>
      <c r="P2359" s="42" t="s">
        <v>8611</v>
      </c>
      <c r="Q2359" s="20">
        <v>15936</v>
      </c>
      <c r="R2359" s="26" t="s">
        <v>36</v>
      </c>
      <c r="S2359" s="31">
        <v>15936</v>
      </c>
      <c r="T2359" s="32">
        <v>45221</v>
      </c>
      <c r="U2359" s="31"/>
      <c r="V2359" s="26"/>
      <c r="W2359" s="33" t="s">
        <v>4381</v>
      </c>
      <c r="X2359" s="26"/>
      <c r="Y2359" s="22">
        <v>0</v>
      </c>
      <c r="Z2359" s="26" t="s">
        <v>118</v>
      </c>
      <c r="AA2359" s="19" t="s">
        <v>3454</v>
      </c>
      <c r="AB2359" s="26" t="s">
        <v>36</v>
      </c>
      <c r="AC2359" s="26" t="s">
        <v>53</v>
      </c>
      <c r="AD2359" s="19" t="s">
        <v>54</v>
      </c>
      <c r="AE2359" s="26" t="s">
        <v>2434</v>
      </c>
      <c r="AF2359" s="17">
        <v>45492</v>
      </c>
      <c r="AG2359" s="29" t="s">
        <v>4377</v>
      </c>
      <c r="AH2359" s="26"/>
      <c r="AI2359" s="40"/>
      <c r="AJ2359" s="26"/>
      <c r="AK2359" s="26"/>
      <c r="AL2359" s="35"/>
      <c r="AM2359" s="35"/>
      <c r="AN2359" s="35"/>
      <c r="AO2359" s="35"/>
      <c r="AP2359" s="35"/>
    </row>
    <row r="2360" spans="1:42" x14ac:dyDescent="0.2">
      <c r="A2360" s="99">
        <v>45469</v>
      </c>
      <c r="B2360" s="28" t="s">
        <v>37</v>
      </c>
      <c r="C2360" s="41" t="s">
        <v>118</v>
      </c>
      <c r="D2360" s="26" t="s">
        <v>36</v>
      </c>
      <c r="E2360" s="26" t="s">
        <v>139</v>
      </c>
      <c r="F2360" s="26" t="s">
        <v>4931</v>
      </c>
      <c r="G2360" s="26" t="s">
        <v>221</v>
      </c>
      <c r="H2360" s="26" t="s">
        <v>8026</v>
      </c>
      <c r="I2360" s="17">
        <f ca="1">IFERROR(__xludf.DUMMYFUNCTION("""COMPUTED_VALUE"""),45495)</f>
        <v>45495</v>
      </c>
      <c r="J2360" s="29" t="s">
        <v>5331</v>
      </c>
      <c r="K2360" s="26" t="s">
        <v>5332</v>
      </c>
      <c r="L2360" s="30">
        <v>336138599</v>
      </c>
      <c r="M2360" s="26" t="s">
        <v>80</v>
      </c>
      <c r="N2360" s="26" t="s">
        <v>186</v>
      </c>
      <c r="O2360" s="26" t="s">
        <v>5333</v>
      </c>
      <c r="P2360" s="26" t="s">
        <v>8612</v>
      </c>
      <c r="Q2360" s="20">
        <v>15936</v>
      </c>
      <c r="R2360" s="26" t="s">
        <v>36</v>
      </c>
      <c r="S2360" s="31">
        <v>4000</v>
      </c>
      <c r="T2360" s="32">
        <v>45214</v>
      </c>
      <c r="U2360" s="31">
        <v>11936</v>
      </c>
      <c r="V2360" s="32">
        <v>45239</v>
      </c>
      <c r="W2360" s="33" t="s">
        <v>5335</v>
      </c>
      <c r="X2360" s="26"/>
      <c r="Y2360" s="22">
        <v>0</v>
      </c>
      <c r="Z2360" s="26" t="s">
        <v>118</v>
      </c>
      <c r="AA2360" s="19" t="s">
        <v>5112</v>
      </c>
      <c r="AB2360" s="26" t="s">
        <v>36</v>
      </c>
      <c r="AC2360" s="26" t="s">
        <v>53</v>
      </c>
      <c r="AD2360" s="19" t="s">
        <v>138</v>
      </c>
      <c r="AE2360" s="26" t="s">
        <v>4931</v>
      </c>
      <c r="AF2360" s="17">
        <v>45495</v>
      </c>
      <c r="AG2360" s="26" t="s">
        <v>1362</v>
      </c>
      <c r="AH2360" s="26"/>
      <c r="AI2360" s="40" t="s">
        <v>147</v>
      </c>
      <c r="AJ2360" s="26"/>
      <c r="AK2360" s="26"/>
      <c r="AL2360" s="35"/>
      <c r="AM2360" s="35"/>
      <c r="AN2360" s="35"/>
      <c r="AO2360" s="35"/>
      <c r="AP2360" s="35"/>
    </row>
    <row r="2361" spans="1:42" x14ac:dyDescent="0.2">
      <c r="A2361" s="99">
        <v>45469</v>
      </c>
      <c r="B2361" s="68" t="s">
        <v>1703</v>
      </c>
      <c r="C2361" s="41" t="s">
        <v>118</v>
      </c>
      <c r="D2361" s="26" t="s">
        <v>36</v>
      </c>
      <c r="E2361" s="26" t="s">
        <v>148</v>
      </c>
      <c r="F2361" s="35" t="s">
        <v>3366</v>
      </c>
      <c r="G2361" s="26" t="s">
        <v>221</v>
      </c>
      <c r="H2361" s="35" t="s">
        <v>8613</v>
      </c>
      <c r="I2361" s="17" t="str">
        <f ca="1">IFERROR(__xludf.DUMMYFUNCTION("""COMPUTED_VALUE""")," ")</f>
        <v xml:space="preserve"> </v>
      </c>
      <c r="J2361" s="29" t="s">
        <v>3367</v>
      </c>
      <c r="K2361" s="19" t="s">
        <v>8614</v>
      </c>
      <c r="L2361" s="30">
        <v>359263531</v>
      </c>
      <c r="M2361" s="26" t="s">
        <v>123</v>
      </c>
      <c r="N2361" s="35" t="s">
        <v>3369</v>
      </c>
      <c r="O2361" s="26"/>
      <c r="P2361" s="26" t="s">
        <v>3370</v>
      </c>
      <c r="Q2361" s="20">
        <v>10804</v>
      </c>
      <c r="R2361" s="26" t="s">
        <v>36</v>
      </c>
      <c r="S2361" s="31">
        <v>4000</v>
      </c>
      <c r="T2361" s="32">
        <v>45058</v>
      </c>
      <c r="U2361" s="31">
        <v>6804</v>
      </c>
      <c r="V2361" s="32">
        <v>45096</v>
      </c>
      <c r="W2361" s="33" t="s">
        <v>3371</v>
      </c>
      <c r="X2361" s="26"/>
      <c r="Y2361" s="22">
        <v>0</v>
      </c>
      <c r="Z2361" s="26" t="s">
        <v>118</v>
      </c>
      <c r="AA2361" s="19" t="s">
        <v>3372</v>
      </c>
      <c r="AB2361" s="26"/>
      <c r="AC2361" s="26" t="s">
        <v>53</v>
      </c>
      <c r="AD2361" s="19" t="s">
        <v>54</v>
      </c>
      <c r="AE2361" s="35" t="s">
        <v>3366</v>
      </c>
      <c r="AF2361" s="102"/>
      <c r="AG2361" s="37"/>
      <c r="AH2361" s="35"/>
      <c r="AI2361" s="35"/>
      <c r="AJ2361" s="35"/>
      <c r="AK2361" s="35"/>
      <c r="AL2361" s="35"/>
      <c r="AM2361" s="35"/>
      <c r="AN2361" s="35"/>
      <c r="AO2361" s="35"/>
      <c r="AP2361" s="35"/>
    </row>
    <row r="2362" spans="1:42" x14ac:dyDescent="0.2">
      <c r="A2362" s="99">
        <v>45469</v>
      </c>
      <c r="B2362" s="68" t="s">
        <v>37</v>
      </c>
      <c r="C2362" s="41" t="s">
        <v>118</v>
      </c>
      <c r="D2362" s="26" t="s">
        <v>36</v>
      </c>
      <c r="E2362" s="26" t="s">
        <v>148</v>
      </c>
      <c r="F2362" s="26" t="s">
        <v>8615</v>
      </c>
      <c r="G2362" s="26" t="s">
        <v>108</v>
      </c>
      <c r="H2362" s="26" t="s">
        <v>8616</v>
      </c>
      <c r="I2362" s="17" t="str">
        <f ca="1">IFERROR(__xludf.DUMMYFUNCTION("""COMPUTED_VALUE""")," ")</f>
        <v xml:space="preserve"> </v>
      </c>
      <c r="J2362" s="29" t="s">
        <v>8617</v>
      </c>
      <c r="K2362" s="26" t="s">
        <v>8618</v>
      </c>
      <c r="L2362" s="30">
        <v>856883979</v>
      </c>
      <c r="M2362" s="26" t="s">
        <v>292</v>
      </c>
      <c r="N2362" s="26" t="s">
        <v>8619</v>
      </c>
      <c r="O2362" s="26" t="s">
        <v>8620</v>
      </c>
      <c r="P2362" s="26" t="s">
        <v>8621</v>
      </c>
      <c r="Q2362" s="20">
        <v>10804</v>
      </c>
      <c r="R2362" s="26" t="s">
        <v>36</v>
      </c>
      <c r="S2362" s="31">
        <v>10804</v>
      </c>
      <c r="T2362" s="32">
        <v>45124</v>
      </c>
      <c r="U2362" s="31"/>
      <c r="V2362" s="26"/>
      <c r="W2362" s="33" t="s">
        <v>8622</v>
      </c>
      <c r="X2362" s="26"/>
      <c r="Y2362" s="20">
        <v>0</v>
      </c>
      <c r="Z2362" s="26" t="s">
        <v>118</v>
      </c>
      <c r="AA2362" s="19" t="s">
        <v>51</v>
      </c>
      <c r="AB2362" s="26" t="s">
        <v>36</v>
      </c>
      <c r="AC2362" s="26" t="s">
        <v>53</v>
      </c>
      <c r="AD2362" s="14" t="s">
        <v>54</v>
      </c>
      <c r="AE2362" s="35" t="s">
        <v>8615</v>
      </c>
      <c r="AF2362" s="17">
        <v>45478</v>
      </c>
      <c r="AG2362" s="40"/>
      <c r="AH2362" s="40"/>
      <c r="AI2362" s="126"/>
      <c r="AJ2362" s="26"/>
      <c r="AK2362" s="26"/>
      <c r="AL2362" s="26"/>
      <c r="AM2362" s="35"/>
      <c r="AN2362" s="35"/>
      <c r="AO2362" s="35"/>
      <c r="AP2362" s="35"/>
    </row>
    <row r="2363" spans="1:42" x14ac:dyDescent="0.2">
      <c r="A2363" s="99">
        <v>45469</v>
      </c>
      <c r="B2363" s="28" t="s">
        <v>37</v>
      </c>
      <c r="C2363" s="41" t="s">
        <v>118</v>
      </c>
      <c r="D2363" s="26" t="s">
        <v>36</v>
      </c>
      <c r="E2363" s="26" t="s">
        <v>219</v>
      </c>
      <c r="F2363" s="26" t="s">
        <v>4959</v>
      </c>
      <c r="G2363" s="26" t="s">
        <v>221</v>
      </c>
      <c r="H2363" s="35" t="s">
        <v>6615</v>
      </c>
      <c r="I2363" s="17">
        <f ca="1">IFERROR(__xludf.DUMMYFUNCTION("""COMPUTED_VALUE"""),45496)</f>
        <v>45496</v>
      </c>
      <c r="J2363" s="29" t="s">
        <v>8623</v>
      </c>
      <c r="K2363" s="26" t="s">
        <v>8624</v>
      </c>
      <c r="L2363" s="30">
        <v>989161572</v>
      </c>
      <c r="M2363" s="26" t="s">
        <v>80</v>
      </c>
      <c r="N2363" s="26" t="s">
        <v>186</v>
      </c>
      <c r="O2363" s="26" t="s">
        <v>36</v>
      </c>
      <c r="P2363" s="26" t="s">
        <v>8625</v>
      </c>
      <c r="Q2363" s="20">
        <v>7349</v>
      </c>
      <c r="R2363" s="26" t="s">
        <v>36</v>
      </c>
      <c r="S2363" s="31">
        <v>4000</v>
      </c>
      <c r="T2363" s="32">
        <v>45180</v>
      </c>
      <c r="U2363" s="58">
        <v>3349</v>
      </c>
      <c r="V2363" s="59">
        <v>45188</v>
      </c>
      <c r="W2363" s="33" t="s">
        <v>8626</v>
      </c>
      <c r="X2363" s="26">
        <v>0</v>
      </c>
      <c r="Y2363" s="22">
        <v>0</v>
      </c>
      <c r="Z2363" s="26" t="s">
        <v>118</v>
      </c>
      <c r="AA2363" s="19" t="s">
        <v>2449</v>
      </c>
      <c r="AB2363" s="26" t="s">
        <v>36</v>
      </c>
      <c r="AC2363" s="26" t="s">
        <v>53</v>
      </c>
      <c r="AD2363" s="14" t="s">
        <v>54</v>
      </c>
      <c r="AE2363" s="35" t="s">
        <v>4959</v>
      </c>
      <c r="AF2363" s="102">
        <v>45490</v>
      </c>
      <c r="AG2363" s="40"/>
      <c r="AH2363" s="40"/>
      <c r="AI2363" s="126"/>
      <c r="AJ2363" s="26"/>
      <c r="AK2363" s="26"/>
      <c r="AL2363" s="26"/>
      <c r="AM2363" s="35"/>
      <c r="AN2363" s="35"/>
      <c r="AO2363" s="35"/>
      <c r="AP2363" s="35"/>
    </row>
    <row r="2364" spans="1:42" x14ac:dyDescent="0.2">
      <c r="A2364" s="99">
        <v>45471</v>
      </c>
      <c r="B2364" s="68" t="s">
        <v>1703</v>
      </c>
      <c r="C2364" s="41" t="s">
        <v>118</v>
      </c>
      <c r="D2364" s="26" t="s">
        <v>36</v>
      </c>
      <c r="E2364" s="26" t="s">
        <v>148</v>
      </c>
      <c r="F2364" s="26" t="s">
        <v>220</v>
      </c>
      <c r="G2364" s="71" t="s">
        <v>108</v>
      </c>
      <c r="H2364" s="26" t="s">
        <v>865</v>
      </c>
      <c r="I2364" s="17" t="str">
        <f ca="1">IFERROR(__xludf.DUMMYFUNCTION("""COMPUTED_VALUE""")," ")</f>
        <v xml:space="preserve"> </v>
      </c>
      <c r="J2364" s="29" t="s">
        <v>8627</v>
      </c>
      <c r="K2364" s="19" t="s">
        <v>8628</v>
      </c>
      <c r="L2364" s="30">
        <v>988142473</v>
      </c>
      <c r="M2364" s="26" t="s">
        <v>1245</v>
      </c>
      <c r="N2364" s="26" t="s">
        <v>1750</v>
      </c>
      <c r="O2364" s="26" t="s">
        <v>91</v>
      </c>
      <c r="P2364" s="26" t="s">
        <v>8629</v>
      </c>
      <c r="Q2364" s="20">
        <v>7349</v>
      </c>
      <c r="R2364" s="26" t="s">
        <v>36</v>
      </c>
      <c r="S2364" s="31">
        <v>7250</v>
      </c>
      <c r="T2364" s="32">
        <v>44929</v>
      </c>
      <c r="U2364" s="31"/>
      <c r="V2364" s="26"/>
      <c r="W2364" s="33" t="s">
        <v>8630</v>
      </c>
      <c r="X2364" s="26">
        <v>100</v>
      </c>
      <c r="Y2364" s="22">
        <v>-1</v>
      </c>
      <c r="Z2364" s="26" t="s">
        <v>118</v>
      </c>
      <c r="AA2364" s="19" t="s">
        <v>5070</v>
      </c>
      <c r="AB2364" s="26"/>
      <c r="AC2364" s="26" t="s">
        <v>53</v>
      </c>
      <c r="AD2364" s="14" t="s">
        <v>54</v>
      </c>
      <c r="AE2364" s="26" t="s">
        <v>220</v>
      </c>
      <c r="AF2364" s="17"/>
      <c r="AG2364" s="91"/>
      <c r="AH2364" s="91">
        <v>2</v>
      </c>
      <c r="AI2364" s="92"/>
      <c r="AJ2364" s="92">
        <v>44950.589897673606</v>
      </c>
      <c r="AK2364" s="35"/>
      <c r="AL2364" s="128" t="s">
        <v>8631</v>
      </c>
      <c r="AM2364" s="35"/>
      <c r="AN2364" s="26"/>
      <c r="AO2364" s="26"/>
      <c r="AP2364" s="26"/>
    </row>
    <row r="2365" spans="1:42" x14ac:dyDescent="0.2">
      <c r="A2365" s="99">
        <v>45471</v>
      </c>
      <c r="B2365" s="68" t="s">
        <v>37</v>
      </c>
      <c r="C2365" s="41" t="s">
        <v>118</v>
      </c>
      <c r="D2365" s="26" t="s">
        <v>36</v>
      </c>
      <c r="E2365" s="26" t="s">
        <v>139</v>
      </c>
      <c r="F2365" s="26" t="s">
        <v>7027</v>
      </c>
      <c r="G2365" s="71" t="s">
        <v>108</v>
      </c>
      <c r="H2365" s="26" t="s">
        <v>1565</v>
      </c>
      <c r="I2365" s="17">
        <f ca="1">IFERROR(__xludf.DUMMYFUNCTION("""COMPUTED_VALUE"""),45502)</f>
        <v>45502</v>
      </c>
      <c r="J2365" s="29" t="s">
        <v>8117</v>
      </c>
      <c r="K2365" s="26" t="s">
        <v>8632</v>
      </c>
      <c r="L2365" s="30">
        <v>983674865</v>
      </c>
      <c r="M2365" s="26" t="s">
        <v>910</v>
      </c>
      <c r="N2365" s="26" t="s">
        <v>3525</v>
      </c>
      <c r="O2365" s="26" t="s">
        <v>8119</v>
      </c>
      <c r="P2365" s="42" t="s">
        <v>8633</v>
      </c>
      <c r="Q2365" s="20">
        <v>15936</v>
      </c>
      <c r="R2365" s="26" t="s">
        <v>3825</v>
      </c>
      <c r="S2365" s="31">
        <v>100</v>
      </c>
      <c r="T2365" s="32">
        <v>45310</v>
      </c>
      <c r="U2365" s="31">
        <f>2000+5000+8836</f>
        <v>15836</v>
      </c>
      <c r="V2365" s="26" t="s">
        <v>8121</v>
      </c>
      <c r="W2365" s="33" t="s">
        <v>8122</v>
      </c>
      <c r="X2365" s="26"/>
      <c r="Y2365" s="22">
        <v>0</v>
      </c>
      <c r="Z2365" s="26" t="s">
        <v>118</v>
      </c>
      <c r="AA2365" s="19" t="s">
        <v>8102</v>
      </c>
      <c r="AB2365" s="26" t="s">
        <v>36</v>
      </c>
      <c r="AC2365" s="26" t="s">
        <v>53</v>
      </c>
      <c r="AD2365" s="19" t="s">
        <v>138</v>
      </c>
      <c r="AE2365" s="26" t="s">
        <v>7027</v>
      </c>
      <c r="AF2365" s="17">
        <v>45502</v>
      </c>
      <c r="AG2365" s="26" t="s">
        <v>7132</v>
      </c>
      <c r="AH2365" s="26"/>
      <c r="AI2365" s="40"/>
      <c r="AJ2365" s="26"/>
      <c r="AK2365" s="26"/>
      <c r="AL2365" s="35"/>
      <c r="AM2365" s="35"/>
      <c r="AN2365" s="35"/>
      <c r="AO2365" s="35"/>
      <c r="AP2365" s="35"/>
    </row>
    <row r="2366" spans="1:42" x14ac:dyDescent="0.2">
      <c r="A2366" s="99">
        <v>45471</v>
      </c>
      <c r="B2366" s="68" t="s">
        <v>37</v>
      </c>
      <c r="C2366" s="41" t="s">
        <v>118</v>
      </c>
      <c r="D2366" s="26" t="s">
        <v>36</v>
      </c>
      <c r="E2366" s="26" t="s">
        <v>77</v>
      </c>
      <c r="F2366" s="26" t="s">
        <v>8634</v>
      </c>
      <c r="G2366" s="26" t="s">
        <v>41</v>
      </c>
      <c r="H2366" s="26" t="s">
        <v>8635</v>
      </c>
      <c r="I2366" s="17">
        <f ca="1">IFERROR(__xludf.DUMMYFUNCTION("""COMPUTED_VALUE"""),45496)</f>
        <v>45496</v>
      </c>
      <c r="J2366" s="29" t="s">
        <v>8636</v>
      </c>
      <c r="K2366" s="26" t="s">
        <v>8637</v>
      </c>
      <c r="L2366" s="30">
        <v>796067166</v>
      </c>
      <c r="M2366" s="26" t="s">
        <v>1245</v>
      </c>
      <c r="N2366" s="26" t="s">
        <v>1246</v>
      </c>
      <c r="O2366" s="26" t="s">
        <v>91</v>
      </c>
      <c r="P2366" s="26" t="s">
        <v>8638</v>
      </c>
      <c r="Q2366" s="20">
        <v>10354</v>
      </c>
      <c r="R2366" s="26" t="s">
        <v>36</v>
      </c>
      <c r="S2366" s="31">
        <v>7000</v>
      </c>
      <c r="T2366" s="32">
        <v>45209</v>
      </c>
      <c r="U2366" s="31">
        <v>3354</v>
      </c>
      <c r="V2366" s="32">
        <v>45216</v>
      </c>
      <c r="W2366" s="33" t="s">
        <v>8639</v>
      </c>
      <c r="X2366" s="26">
        <v>0</v>
      </c>
      <c r="Y2366" s="22">
        <v>0</v>
      </c>
      <c r="Z2366" s="98" t="s">
        <v>118</v>
      </c>
      <c r="AA2366" s="19" t="s">
        <v>3454</v>
      </c>
      <c r="AB2366" s="26" t="s">
        <v>36</v>
      </c>
      <c r="AC2366" s="26" t="s">
        <v>53</v>
      </c>
      <c r="AD2366" s="14" t="s">
        <v>138</v>
      </c>
      <c r="AE2366" s="26" t="s">
        <v>8634</v>
      </c>
      <c r="AF2366" s="17">
        <v>45496</v>
      </c>
      <c r="AG2366" s="26" t="s">
        <v>1362</v>
      </c>
      <c r="AH2366" s="40"/>
      <c r="AI2366" s="126"/>
      <c r="AJ2366" s="26"/>
      <c r="AK2366" s="26"/>
      <c r="AL2366" s="26"/>
      <c r="AM2366" s="35"/>
      <c r="AN2366" s="35"/>
      <c r="AO2366" s="35"/>
      <c r="AP2366" s="35"/>
    </row>
    <row r="2367" spans="1:42" x14ac:dyDescent="0.2">
      <c r="A2367" s="99">
        <v>45474</v>
      </c>
      <c r="B2367" s="68" t="s">
        <v>37</v>
      </c>
      <c r="C2367" s="41" t="s">
        <v>118</v>
      </c>
      <c r="D2367" s="26" t="s">
        <v>36</v>
      </c>
      <c r="E2367" s="26" t="s">
        <v>139</v>
      </c>
      <c r="F2367" s="26" t="s">
        <v>5100</v>
      </c>
      <c r="G2367" s="26" t="s">
        <v>108</v>
      </c>
      <c r="H2367" s="26" t="s">
        <v>2017</v>
      </c>
      <c r="I2367" s="17">
        <f ca="1">IFERROR(__xludf.DUMMYFUNCTION("""COMPUTED_VALUE"""),45485)</f>
        <v>45485</v>
      </c>
      <c r="J2367" s="29" t="s">
        <v>3244</v>
      </c>
      <c r="K2367" s="26" t="s">
        <v>8640</v>
      </c>
      <c r="L2367" s="30">
        <v>989396608</v>
      </c>
      <c r="M2367" s="26" t="s">
        <v>1245</v>
      </c>
      <c r="N2367" s="26" t="s">
        <v>4957</v>
      </c>
      <c r="O2367" s="26" t="s">
        <v>3246</v>
      </c>
      <c r="P2367" s="42" t="s">
        <v>8641</v>
      </c>
      <c r="Q2367" s="20">
        <v>15936</v>
      </c>
      <c r="R2367" s="26" t="s">
        <v>36</v>
      </c>
      <c r="S2367" s="31">
        <v>200</v>
      </c>
      <c r="T2367" s="32">
        <v>45195</v>
      </c>
      <c r="U2367" s="31">
        <v>15763</v>
      </c>
      <c r="V2367" s="32">
        <v>45198</v>
      </c>
      <c r="W2367" s="33" t="s">
        <v>3248</v>
      </c>
      <c r="X2367" s="26"/>
      <c r="Y2367" s="22">
        <v>-27</v>
      </c>
      <c r="Z2367" s="26" t="s">
        <v>118</v>
      </c>
      <c r="AA2367" s="19" t="s">
        <v>2449</v>
      </c>
      <c r="AB2367" s="26" t="s">
        <v>36</v>
      </c>
      <c r="AC2367" s="26" t="s">
        <v>53</v>
      </c>
      <c r="AD2367" s="19" t="s">
        <v>138</v>
      </c>
      <c r="AE2367" s="26" t="s">
        <v>5100</v>
      </c>
      <c r="AF2367" s="17">
        <v>45288</v>
      </c>
      <c r="AG2367" s="26" t="s">
        <v>5101</v>
      </c>
      <c r="AH2367" s="26"/>
      <c r="AI2367" s="40"/>
      <c r="AJ2367" s="26"/>
      <c r="AK2367" s="26"/>
      <c r="AL2367" s="35"/>
      <c r="AM2367" s="35"/>
      <c r="AN2367" s="35"/>
      <c r="AO2367" s="35"/>
      <c r="AP2367" s="35"/>
    </row>
    <row r="2368" spans="1:42" x14ac:dyDescent="0.2">
      <c r="A2368" s="99">
        <v>45474</v>
      </c>
      <c r="B2368" s="68" t="s">
        <v>37</v>
      </c>
      <c r="C2368" s="41" t="s">
        <v>118</v>
      </c>
      <c r="D2368" s="26" t="s">
        <v>36</v>
      </c>
      <c r="E2368" s="26" t="s">
        <v>106</v>
      </c>
      <c r="F2368" s="26" t="s">
        <v>8642</v>
      </c>
      <c r="G2368" s="71" t="s">
        <v>108</v>
      </c>
      <c r="H2368" s="26" t="s">
        <v>6250</v>
      </c>
      <c r="I2368" s="17">
        <f ca="1">IFERROR(__xludf.DUMMYFUNCTION("""COMPUTED_VALUE"""),45495)</f>
        <v>45495</v>
      </c>
      <c r="J2368" s="29" t="s">
        <v>8643</v>
      </c>
      <c r="K2368" s="26" t="s">
        <v>8644</v>
      </c>
      <c r="L2368" s="30">
        <v>989820163</v>
      </c>
      <c r="M2368" s="26" t="s">
        <v>3288</v>
      </c>
      <c r="N2368" s="26" t="s">
        <v>5846</v>
      </c>
      <c r="O2368" s="26" t="s">
        <v>8645</v>
      </c>
      <c r="P2368" s="26" t="s">
        <v>8646</v>
      </c>
      <c r="Q2368" s="20">
        <v>7824</v>
      </c>
      <c r="R2368" s="26" t="s">
        <v>36</v>
      </c>
      <c r="S2368" s="31">
        <v>3968</v>
      </c>
      <c r="T2368" s="32">
        <v>45276</v>
      </c>
      <c r="U2368" s="31">
        <v>3856</v>
      </c>
      <c r="V2368" s="32">
        <v>45289</v>
      </c>
      <c r="W2368" s="33" t="s">
        <v>8647</v>
      </c>
      <c r="X2368" s="26">
        <v>0</v>
      </c>
      <c r="Y2368" s="22">
        <v>0</v>
      </c>
      <c r="Z2368" s="98" t="s">
        <v>118</v>
      </c>
      <c r="AA2368" s="19" t="s">
        <v>5961</v>
      </c>
      <c r="AB2368" s="26" t="s">
        <v>36</v>
      </c>
      <c r="AC2368" s="26" t="s">
        <v>53</v>
      </c>
      <c r="AD2368" s="19" t="s">
        <v>138</v>
      </c>
      <c r="AE2368" s="26">
        <v>400</v>
      </c>
      <c r="AF2368" s="17">
        <v>45495</v>
      </c>
      <c r="AG2368" s="26" t="s">
        <v>1362</v>
      </c>
      <c r="AH2368" s="40">
        <v>2</v>
      </c>
      <c r="AI2368" s="126"/>
      <c r="AJ2368" s="26"/>
      <c r="AK2368" s="26"/>
      <c r="AL2368" s="26"/>
      <c r="AM2368" s="35"/>
      <c r="AN2368" s="35"/>
      <c r="AO2368" s="35"/>
      <c r="AP2368" s="35"/>
    </row>
    <row r="2369" spans="1:42" x14ac:dyDescent="0.2">
      <c r="A2369" s="99">
        <v>45474</v>
      </c>
      <c r="B2369" s="28" t="s">
        <v>37</v>
      </c>
      <c r="C2369" s="41" t="s">
        <v>118</v>
      </c>
      <c r="D2369" s="26" t="s">
        <v>36</v>
      </c>
      <c r="E2369" s="26" t="s">
        <v>56</v>
      </c>
      <c r="F2369" s="26" t="s">
        <v>5025</v>
      </c>
      <c r="G2369" s="26" t="s">
        <v>221</v>
      </c>
      <c r="H2369" s="26" t="s">
        <v>8581</v>
      </c>
      <c r="I2369" s="17">
        <f ca="1">IFERROR(__xludf.DUMMYFUNCTION("""COMPUTED_VALUE"""),45488)</f>
        <v>45488</v>
      </c>
      <c r="J2369" s="29" t="s">
        <v>2968</v>
      </c>
      <c r="K2369" s="26" t="s">
        <v>2969</v>
      </c>
      <c r="L2369" s="30">
        <v>978140557</v>
      </c>
      <c r="M2369" s="26" t="s">
        <v>910</v>
      </c>
      <c r="N2369" s="26" t="s">
        <v>355</v>
      </c>
      <c r="O2369" s="26" t="s">
        <v>2970</v>
      </c>
      <c r="P2369" s="42" t="s">
        <v>8648</v>
      </c>
      <c r="Q2369" s="20">
        <v>9317</v>
      </c>
      <c r="R2369" s="26" t="s">
        <v>36</v>
      </c>
      <c r="S2369" s="31">
        <v>9317</v>
      </c>
      <c r="T2369" s="32">
        <v>45188</v>
      </c>
      <c r="U2369" s="31"/>
      <c r="V2369" s="26"/>
      <c r="W2369" s="33" t="s">
        <v>2972</v>
      </c>
      <c r="X2369" s="26"/>
      <c r="Y2369" s="22">
        <v>0</v>
      </c>
      <c r="Z2369" s="26" t="s">
        <v>118</v>
      </c>
      <c r="AA2369" s="19" t="s">
        <v>2449</v>
      </c>
      <c r="AB2369" s="26" t="s">
        <v>36</v>
      </c>
      <c r="AC2369" s="26" t="s">
        <v>53</v>
      </c>
      <c r="AD2369" s="19" t="s">
        <v>138</v>
      </c>
      <c r="AE2369" s="26" t="s">
        <v>5025</v>
      </c>
      <c r="AF2369" s="17">
        <v>45484</v>
      </c>
      <c r="AG2369" s="26"/>
      <c r="AH2369" s="26"/>
      <c r="AI2369" s="40"/>
      <c r="AJ2369" s="26"/>
      <c r="AK2369" s="26"/>
      <c r="AL2369" s="35"/>
      <c r="AM2369" s="35"/>
      <c r="AN2369" s="35"/>
      <c r="AO2369" s="35"/>
      <c r="AP2369" s="35"/>
    </row>
    <row r="2370" spans="1:42" x14ac:dyDescent="0.2">
      <c r="A2370" s="99">
        <v>45474</v>
      </c>
      <c r="B2370" s="28" t="s">
        <v>37</v>
      </c>
      <c r="C2370" s="41" t="s">
        <v>118</v>
      </c>
      <c r="D2370" s="26" t="s">
        <v>36</v>
      </c>
      <c r="E2370" s="26" t="s">
        <v>56</v>
      </c>
      <c r="F2370" s="26" t="s">
        <v>5472</v>
      </c>
      <c r="G2370" s="26" t="s">
        <v>221</v>
      </c>
      <c r="H2370" s="26" t="s">
        <v>8581</v>
      </c>
      <c r="I2370" s="17">
        <f ca="1">IFERROR(__xludf.DUMMYFUNCTION("""COMPUTED_VALUE"""),45488)</f>
        <v>45488</v>
      </c>
      <c r="J2370" s="29" t="s">
        <v>6224</v>
      </c>
      <c r="K2370" s="26" t="s">
        <v>6553</v>
      </c>
      <c r="L2370" s="30">
        <v>877765981</v>
      </c>
      <c r="M2370" s="26" t="s">
        <v>5558</v>
      </c>
      <c r="N2370" s="26" t="s">
        <v>5559</v>
      </c>
      <c r="O2370" s="26" t="s">
        <v>91</v>
      </c>
      <c r="P2370" s="42" t="s">
        <v>8649</v>
      </c>
      <c r="Q2370" s="20">
        <v>9317</v>
      </c>
      <c r="R2370" s="26" t="s">
        <v>36</v>
      </c>
      <c r="S2370" s="31">
        <v>2000</v>
      </c>
      <c r="T2370" s="32">
        <v>45235</v>
      </c>
      <c r="U2370" s="31">
        <v>7317</v>
      </c>
      <c r="V2370" s="32">
        <v>45266</v>
      </c>
      <c r="W2370" s="33" t="s">
        <v>6227</v>
      </c>
      <c r="X2370" s="26">
        <v>0</v>
      </c>
      <c r="Y2370" s="22">
        <v>0</v>
      </c>
      <c r="Z2370" s="98" t="s">
        <v>118</v>
      </c>
      <c r="AA2370" s="19" t="s">
        <v>6541</v>
      </c>
      <c r="AB2370" s="26" t="s">
        <v>36</v>
      </c>
      <c r="AC2370" s="26" t="s">
        <v>53</v>
      </c>
      <c r="AD2370" s="14" t="s">
        <v>54</v>
      </c>
      <c r="AE2370" s="26" t="s">
        <v>5472</v>
      </c>
      <c r="AF2370" s="17">
        <v>45484</v>
      </c>
      <c r="AG2370" s="40"/>
      <c r="AH2370" s="26">
        <v>2</v>
      </c>
      <c r="AI2370" s="40" t="s">
        <v>64</v>
      </c>
      <c r="AJ2370" s="26"/>
      <c r="AK2370" s="26"/>
      <c r="AL2370" s="35"/>
      <c r="AM2370" s="35"/>
      <c r="AN2370" s="35"/>
      <c r="AO2370" s="35"/>
      <c r="AP2370" s="35"/>
    </row>
    <row r="2371" spans="1:42" x14ac:dyDescent="0.2">
      <c r="A2371" s="99">
        <v>45474</v>
      </c>
      <c r="B2371" s="28" t="s">
        <v>37</v>
      </c>
      <c r="C2371" s="41" t="s">
        <v>118</v>
      </c>
      <c r="D2371" s="26" t="s">
        <v>36</v>
      </c>
      <c r="E2371" s="26" t="s">
        <v>119</v>
      </c>
      <c r="F2371" s="26" t="s">
        <v>6623</v>
      </c>
      <c r="G2371" s="26" t="s">
        <v>1847</v>
      </c>
      <c r="H2371" s="26" t="s">
        <v>8650</v>
      </c>
      <c r="I2371" s="17">
        <f ca="1">IFERROR(__xludf.DUMMYFUNCTION("""COMPUTED_VALUE"""),45495)</f>
        <v>45495</v>
      </c>
      <c r="J2371" s="29" t="s">
        <v>6474</v>
      </c>
      <c r="K2371" s="26" t="s">
        <v>5720</v>
      </c>
      <c r="L2371" s="30">
        <v>775239835</v>
      </c>
      <c r="M2371" s="26" t="s">
        <v>80</v>
      </c>
      <c r="N2371" s="26" t="s">
        <v>438</v>
      </c>
      <c r="O2371" s="26" t="s">
        <v>1492</v>
      </c>
      <c r="P2371" s="42" t="s">
        <v>8651</v>
      </c>
      <c r="Q2371" s="20">
        <v>13968</v>
      </c>
      <c r="R2371" s="26" t="s">
        <v>36</v>
      </c>
      <c r="S2371" s="31">
        <v>200</v>
      </c>
      <c r="T2371" s="32">
        <v>45283</v>
      </c>
      <c r="U2371" s="31">
        <f>3800 +9968</f>
        <v>13768</v>
      </c>
      <c r="V2371" s="26" t="s">
        <v>6476</v>
      </c>
      <c r="W2371" s="33" t="s">
        <v>6477</v>
      </c>
      <c r="X2371" s="26"/>
      <c r="Y2371" s="22">
        <v>0</v>
      </c>
      <c r="Z2371" s="26" t="s">
        <v>118</v>
      </c>
      <c r="AA2371" s="19" t="s">
        <v>5961</v>
      </c>
      <c r="AB2371" s="26" t="s">
        <v>36</v>
      </c>
      <c r="AC2371" s="26" t="s">
        <v>53</v>
      </c>
      <c r="AD2371" s="19" t="s">
        <v>138</v>
      </c>
      <c r="AE2371" s="26" t="s">
        <v>6623</v>
      </c>
      <c r="AF2371" s="17">
        <v>45495</v>
      </c>
      <c r="AG2371" s="26"/>
      <c r="AH2371" s="26">
        <v>1</v>
      </c>
      <c r="AI2371" s="40"/>
      <c r="AJ2371" s="26"/>
      <c r="AK2371" s="26"/>
      <c r="AL2371" s="35"/>
      <c r="AM2371" s="35"/>
      <c r="AN2371" s="35"/>
      <c r="AO2371" s="35"/>
      <c r="AP2371" s="35"/>
    </row>
    <row r="2372" spans="1:42" x14ac:dyDescent="0.2">
      <c r="A2372" s="99">
        <v>45474</v>
      </c>
      <c r="B2372" s="28" t="s">
        <v>37</v>
      </c>
      <c r="C2372" s="41" t="s">
        <v>118</v>
      </c>
      <c r="D2372" s="26" t="s">
        <v>36</v>
      </c>
      <c r="E2372" s="26" t="s">
        <v>139</v>
      </c>
      <c r="F2372" s="26" t="s">
        <v>5472</v>
      </c>
      <c r="G2372" s="26" t="s">
        <v>221</v>
      </c>
      <c r="H2372" s="26" t="s">
        <v>8581</v>
      </c>
      <c r="I2372" s="17">
        <f ca="1">IFERROR(__xludf.DUMMYFUNCTION("""COMPUTED_VALUE"""),45488)</f>
        <v>45488</v>
      </c>
      <c r="J2372" s="29" t="s">
        <v>5244</v>
      </c>
      <c r="K2372" s="26" t="s">
        <v>5245</v>
      </c>
      <c r="L2372" s="30">
        <v>386723413</v>
      </c>
      <c r="M2372" s="26" t="s">
        <v>80</v>
      </c>
      <c r="N2372" s="26" t="s">
        <v>1073</v>
      </c>
      <c r="O2372" s="26" t="s">
        <v>5246</v>
      </c>
      <c r="P2372" s="42" t="s">
        <v>6096</v>
      </c>
      <c r="Q2372" s="20">
        <v>15936</v>
      </c>
      <c r="R2372" s="26" t="s">
        <v>36</v>
      </c>
      <c r="S2372" s="31">
        <v>200</v>
      </c>
      <c r="T2372" s="32">
        <v>45205</v>
      </c>
      <c r="U2372" s="31">
        <f>1800+13936</f>
        <v>15736</v>
      </c>
      <c r="V2372" s="26" t="s">
        <v>5248</v>
      </c>
      <c r="W2372" s="33" t="s">
        <v>5249</v>
      </c>
      <c r="X2372" s="26"/>
      <c r="Y2372" s="22">
        <v>0</v>
      </c>
      <c r="Z2372" s="26" t="s">
        <v>118</v>
      </c>
      <c r="AA2372" s="19" t="s">
        <v>5112</v>
      </c>
      <c r="AB2372" s="26" t="s">
        <v>36</v>
      </c>
      <c r="AC2372" s="26" t="s">
        <v>53</v>
      </c>
      <c r="AD2372" s="19" t="s">
        <v>54</v>
      </c>
      <c r="AE2372" s="26" t="s">
        <v>5472</v>
      </c>
      <c r="AF2372" s="17">
        <v>45484</v>
      </c>
      <c r="AG2372" s="26"/>
      <c r="AH2372" s="26"/>
      <c r="AI2372" s="40" t="s">
        <v>147</v>
      </c>
      <c r="AJ2372" s="26"/>
      <c r="AK2372" s="26"/>
      <c r="AL2372" s="35"/>
      <c r="AM2372" s="35"/>
      <c r="AN2372" s="35"/>
      <c r="AO2372" s="35"/>
      <c r="AP2372" s="35"/>
    </row>
    <row r="2373" spans="1:42" x14ac:dyDescent="0.2">
      <c r="A2373" s="99">
        <v>45474</v>
      </c>
      <c r="B2373" s="68" t="s">
        <v>37</v>
      </c>
      <c r="C2373" s="41" t="s">
        <v>118</v>
      </c>
      <c r="D2373" s="26" t="s">
        <v>36</v>
      </c>
      <c r="E2373" s="26" t="s">
        <v>139</v>
      </c>
      <c r="F2373" s="26" t="s">
        <v>7027</v>
      </c>
      <c r="G2373" s="71" t="s">
        <v>108</v>
      </c>
      <c r="H2373" s="26" t="s">
        <v>1565</v>
      </c>
      <c r="I2373" s="17">
        <f ca="1">IFERROR(__xludf.DUMMYFUNCTION("""COMPUTED_VALUE"""),45502)</f>
        <v>45502</v>
      </c>
      <c r="J2373" s="29" t="s">
        <v>8123</v>
      </c>
      <c r="K2373" s="26" t="s">
        <v>8652</v>
      </c>
      <c r="L2373" s="30">
        <v>382308920</v>
      </c>
      <c r="M2373" s="26" t="s">
        <v>910</v>
      </c>
      <c r="N2373" s="26" t="s">
        <v>3525</v>
      </c>
      <c r="O2373" s="26" t="s">
        <v>3754</v>
      </c>
      <c r="P2373" s="26" t="s">
        <v>8653</v>
      </c>
      <c r="Q2373" s="20">
        <v>15936</v>
      </c>
      <c r="R2373" s="26" t="s">
        <v>70</v>
      </c>
      <c r="S2373" s="31">
        <v>2000</v>
      </c>
      <c r="T2373" s="32">
        <v>45310</v>
      </c>
      <c r="U2373" s="31">
        <v>13936</v>
      </c>
      <c r="V2373" s="32">
        <v>45405</v>
      </c>
      <c r="W2373" s="33" t="s">
        <v>8125</v>
      </c>
      <c r="X2373" s="26"/>
      <c r="Y2373" s="22">
        <v>0</v>
      </c>
      <c r="Z2373" s="26" t="s">
        <v>118</v>
      </c>
      <c r="AA2373" s="19" t="s">
        <v>8102</v>
      </c>
      <c r="AB2373" s="26" t="s">
        <v>36</v>
      </c>
      <c r="AC2373" s="26" t="s">
        <v>53</v>
      </c>
      <c r="AD2373" s="19" t="s">
        <v>138</v>
      </c>
      <c r="AE2373" s="26" t="s">
        <v>7027</v>
      </c>
      <c r="AF2373" s="17">
        <v>45502</v>
      </c>
      <c r="AG2373" s="26" t="s">
        <v>7132</v>
      </c>
      <c r="AH2373" s="26"/>
      <c r="AI2373" s="40"/>
      <c r="AJ2373" s="26"/>
      <c r="AK2373" s="26"/>
      <c r="AL2373" s="35"/>
      <c r="AM2373" s="35"/>
      <c r="AN2373" s="35"/>
      <c r="AO2373" s="35"/>
      <c r="AP2373" s="35"/>
    </row>
    <row r="2374" spans="1:42" x14ac:dyDescent="0.2">
      <c r="A2374" s="99">
        <v>45474</v>
      </c>
      <c r="B2374" s="28" t="s">
        <v>37</v>
      </c>
      <c r="C2374" s="41" t="s">
        <v>118</v>
      </c>
      <c r="D2374" s="26" t="s">
        <v>36</v>
      </c>
      <c r="E2374" s="26" t="s">
        <v>139</v>
      </c>
      <c r="F2374" s="26" t="s">
        <v>2434</v>
      </c>
      <c r="G2374" s="26" t="s">
        <v>221</v>
      </c>
      <c r="H2374" s="26" t="s">
        <v>8581</v>
      </c>
      <c r="I2374" s="17">
        <f ca="1">IFERROR(__xludf.DUMMYFUNCTION("""COMPUTED_VALUE"""),45488)</f>
        <v>45488</v>
      </c>
      <c r="J2374" s="29" t="s">
        <v>6303</v>
      </c>
      <c r="K2374" s="26" t="s">
        <v>6304</v>
      </c>
      <c r="L2374" s="30">
        <v>763362688</v>
      </c>
      <c r="M2374" s="26" t="s">
        <v>123</v>
      </c>
      <c r="N2374" s="26" t="s">
        <v>310</v>
      </c>
      <c r="O2374" s="26" t="s">
        <v>4503</v>
      </c>
      <c r="P2374" s="42" t="s">
        <v>8654</v>
      </c>
      <c r="Q2374" s="20">
        <v>15936</v>
      </c>
      <c r="R2374" s="26" t="s">
        <v>70</v>
      </c>
      <c r="S2374" s="31">
        <v>4000</v>
      </c>
      <c r="T2374" s="32">
        <v>45256</v>
      </c>
      <c r="U2374" s="31">
        <v>11936</v>
      </c>
      <c r="V2374" s="32">
        <v>45281</v>
      </c>
      <c r="W2374" s="33" t="s">
        <v>6306</v>
      </c>
      <c r="X2374" s="26"/>
      <c r="Y2374" s="22">
        <v>0</v>
      </c>
      <c r="Z2374" s="26" t="s">
        <v>118</v>
      </c>
      <c r="AA2374" s="19" t="s">
        <v>5961</v>
      </c>
      <c r="AB2374" s="26" t="s">
        <v>36</v>
      </c>
      <c r="AC2374" s="26" t="s">
        <v>53</v>
      </c>
      <c r="AD2374" s="19" t="s">
        <v>54</v>
      </c>
      <c r="AE2374" s="26" t="s">
        <v>2434</v>
      </c>
      <c r="AF2374" s="17">
        <v>45484</v>
      </c>
      <c r="AG2374" s="26"/>
      <c r="AH2374" s="26">
        <v>1</v>
      </c>
      <c r="AI2374" s="40"/>
      <c r="AJ2374" s="26"/>
      <c r="AK2374" s="26"/>
      <c r="AL2374" s="35"/>
      <c r="AM2374" s="35"/>
      <c r="AN2374" s="35"/>
      <c r="AO2374" s="35"/>
      <c r="AP2374" s="35"/>
    </row>
    <row r="2375" spans="1:42" x14ac:dyDescent="0.2">
      <c r="A2375" s="99">
        <v>45474</v>
      </c>
      <c r="B2375" s="28" t="s">
        <v>37</v>
      </c>
      <c r="C2375" s="41" t="s">
        <v>118</v>
      </c>
      <c r="D2375" s="26" t="s">
        <v>77</v>
      </c>
      <c r="E2375" s="26" t="s">
        <v>148</v>
      </c>
      <c r="F2375" s="26" t="s">
        <v>6457</v>
      </c>
      <c r="G2375" s="26" t="s">
        <v>221</v>
      </c>
      <c r="H2375" s="26" t="s">
        <v>8581</v>
      </c>
      <c r="I2375" s="17">
        <f ca="1">IFERROR(__xludf.DUMMYFUNCTION("""COMPUTED_VALUE"""),45488)</f>
        <v>45488</v>
      </c>
      <c r="J2375" s="29" t="s">
        <v>5751</v>
      </c>
      <c r="K2375" s="26" t="s">
        <v>6458</v>
      </c>
      <c r="L2375" s="30">
        <v>919032871</v>
      </c>
      <c r="M2375" s="26" t="s">
        <v>59</v>
      </c>
      <c r="N2375" s="26" t="s">
        <v>68</v>
      </c>
      <c r="O2375" s="26" t="s">
        <v>5753</v>
      </c>
      <c r="P2375" s="42" t="s">
        <v>6459</v>
      </c>
      <c r="Q2375" s="20">
        <v>7349</v>
      </c>
      <c r="R2375" s="26" t="s">
        <v>36</v>
      </c>
      <c r="S2375" s="31">
        <v>7249</v>
      </c>
      <c r="T2375" s="32">
        <v>45282</v>
      </c>
      <c r="U2375" s="31"/>
      <c r="V2375" s="32"/>
      <c r="W2375" s="26" t="s">
        <v>6460</v>
      </c>
      <c r="X2375" s="26"/>
      <c r="Y2375" s="22">
        <v>100</v>
      </c>
      <c r="Z2375" s="26" t="s">
        <v>118</v>
      </c>
      <c r="AA2375" s="19" t="s">
        <v>5961</v>
      </c>
      <c r="AB2375" s="26" t="s">
        <v>36</v>
      </c>
      <c r="AC2375" s="26" t="s">
        <v>53</v>
      </c>
      <c r="AD2375" s="19" t="s">
        <v>54</v>
      </c>
      <c r="AE2375" s="26" t="s">
        <v>6457</v>
      </c>
      <c r="AF2375" s="17">
        <v>45484</v>
      </c>
      <c r="AG2375" s="26"/>
      <c r="AH2375" s="26">
        <v>2</v>
      </c>
      <c r="AI2375" s="40"/>
      <c r="AJ2375" s="26"/>
      <c r="AK2375" s="26"/>
      <c r="AL2375" s="35"/>
      <c r="AM2375" s="35"/>
      <c r="AN2375" s="35"/>
      <c r="AO2375" s="35"/>
      <c r="AP2375" s="35"/>
    </row>
    <row r="2376" spans="1:42" x14ac:dyDescent="0.2">
      <c r="A2376" s="99">
        <v>45474</v>
      </c>
      <c r="B2376" s="28" t="s">
        <v>37</v>
      </c>
      <c r="C2376" s="41" t="s">
        <v>118</v>
      </c>
      <c r="D2376" s="26" t="s">
        <v>36</v>
      </c>
      <c r="E2376" s="26" t="s">
        <v>119</v>
      </c>
      <c r="F2376" s="26" t="s">
        <v>5084</v>
      </c>
      <c r="G2376" s="26" t="s">
        <v>1705</v>
      </c>
      <c r="H2376" s="26" t="s">
        <v>8655</v>
      </c>
      <c r="I2376" s="17">
        <f ca="1">IFERROR(__xludf.DUMMYFUNCTION("""COMPUTED_VALUE"""),45495)</f>
        <v>45495</v>
      </c>
      <c r="J2376" s="29" t="s">
        <v>2516</v>
      </c>
      <c r="K2376" s="26" t="s">
        <v>2517</v>
      </c>
      <c r="L2376" s="30">
        <v>986599773</v>
      </c>
      <c r="M2376" s="26" t="s">
        <v>80</v>
      </c>
      <c r="N2376" s="26" t="s">
        <v>299</v>
      </c>
      <c r="O2376" s="26" t="s">
        <v>2518</v>
      </c>
      <c r="P2376" s="42" t="s">
        <v>8656</v>
      </c>
      <c r="Q2376" s="20">
        <v>13968</v>
      </c>
      <c r="R2376" s="26" t="s">
        <v>36</v>
      </c>
      <c r="S2376" s="31">
        <v>3768</v>
      </c>
      <c r="T2376" s="32">
        <v>45160</v>
      </c>
      <c r="U2376" s="31">
        <v>10200</v>
      </c>
      <c r="V2376" s="32">
        <v>45190</v>
      </c>
      <c r="W2376" s="33" t="s">
        <v>2520</v>
      </c>
      <c r="X2376" s="26"/>
      <c r="Y2376" s="22">
        <v>0</v>
      </c>
      <c r="Z2376" s="26" t="s">
        <v>118</v>
      </c>
      <c r="AA2376" s="19" t="s">
        <v>2449</v>
      </c>
      <c r="AB2376" s="26" t="s">
        <v>36</v>
      </c>
      <c r="AC2376" s="26" t="s">
        <v>53</v>
      </c>
      <c r="AD2376" s="19" t="s">
        <v>54</v>
      </c>
      <c r="AE2376" s="26" t="s">
        <v>5084</v>
      </c>
      <c r="AF2376" s="17">
        <v>45495</v>
      </c>
      <c r="AG2376" s="26"/>
      <c r="AH2376" s="26"/>
      <c r="AI2376" s="40"/>
      <c r="AJ2376" s="26"/>
      <c r="AK2376" s="26"/>
      <c r="AL2376" s="35"/>
      <c r="AM2376" s="35"/>
      <c r="AN2376" s="35"/>
      <c r="AO2376" s="35"/>
      <c r="AP2376" s="35"/>
    </row>
    <row r="2377" spans="1:42" x14ac:dyDescent="0.2">
      <c r="A2377" s="99">
        <v>45474</v>
      </c>
      <c r="B2377" s="28" t="s">
        <v>37</v>
      </c>
      <c r="C2377" s="41" t="s">
        <v>118</v>
      </c>
      <c r="D2377" s="26" t="s">
        <v>36</v>
      </c>
      <c r="E2377" s="26" t="s">
        <v>139</v>
      </c>
      <c r="F2377" s="26" t="s">
        <v>824</v>
      </c>
      <c r="G2377" s="26" t="s">
        <v>221</v>
      </c>
      <c r="H2377" s="26" t="s">
        <v>8581</v>
      </c>
      <c r="I2377" s="17">
        <f ca="1">IFERROR(__xludf.DUMMYFUNCTION("""COMPUTED_VALUE"""),45488)</f>
        <v>45488</v>
      </c>
      <c r="J2377" s="29" t="s">
        <v>4105</v>
      </c>
      <c r="K2377" s="26" t="s">
        <v>4106</v>
      </c>
      <c r="L2377" s="30">
        <v>394589165</v>
      </c>
      <c r="M2377" s="26" t="s">
        <v>123</v>
      </c>
      <c r="N2377" s="26" t="s">
        <v>186</v>
      </c>
      <c r="O2377" s="26" t="s">
        <v>1226</v>
      </c>
      <c r="P2377" s="26" t="s">
        <v>4107</v>
      </c>
      <c r="Q2377" s="20">
        <v>15936</v>
      </c>
      <c r="R2377" s="26" t="s">
        <v>36</v>
      </c>
      <c r="S2377" s="31">
        <v>7500</v>
      </c>
      <c r="T2377" s="32">
        <v>45206</v>
      </c>
      <c r="U2377" s="31">
        <v>8436</v>
      </c>
      <c r="V2377" s="32">
        <v>45230</v>
      </c>
      <c r="W2377" s="33" t="s">
        <v>4108</v>
      </c>
      <c r="X2377" s="26"/>
      <c r="Y2377" s="22">
        <v>0</v>
      </c>
      <c r="Z2377" s="35" t="s">
        <v>118</v>
      </c>
      <c r="AA2377" s="19" t="s">
        <v>3454</v>
      </c>
      <c r="AB2377" s="26" t="s">
        <v>36</v>
      </c>
      <c r="AC2377" s="26" t="s">
        <v>53</v>
      </c>
      <c r="AD2377" s="19" t="s">
        <v>54</v>
      </c>
      <c r="AE2377" s="26" t="s">
        <v>824</v>
      </c>
      <c r="AF2377" s="17">
        <v>45484</v>
      </c>
      <c r="AG2377" s="26"/>
      <c r="AH2377" s="26"/>
      <c r="AI2377" s="40"/>
      <c r="AJ2377" s="26"/>
      <c r="AK2377" s="26"/>
      <c r="AL2377" s="35"/>
      <c r="AM2377" s="35"/>
      <c r="AN2377" s="35"/>
      <c r="AO2377" s="35"/>
      <c r="AP2377" s="35"/>
    </row>
    <row r="2378" spans="1:42" x14ac:dyDescent="0.2">
      <c r="A2378" s="99">
        <v>45475</v>
      </c>
      <c r="B2378" s="28" t="s">
        <v>37</v>
      </c>
      <c r="C2378" s="41" t="s">
        <v>118</v>
      </c>
      <c r="D2378" s="26" t="s">
        <v>36</v>
      </c>
      <c r="E2378" s="26" t="s">
        <v>119</v>
      </c>
      <c r="F2378" s="26" t="s">
        <v>6457</v>
      </c>
      <c r="G2378" s="71" t="s">
        <v>108</v>
      </c>
      <c r="H2378" s="26" t="s">
        <v>8602</v>
      </c>
      <c r="I2378" s="17">
        <f ca="1">IFERROR(__xludf.DUMMYFUNCTION("""COMPUTED_VALUE"""),45485)</f>
        <v>45485</v>
      </c>
      <c r="J2378" s="29" t="s">
        <v>7630</v>
      </c>
      <c r="K2378" s="26" t="s">
        <v>8657</v>
      </c>
      <c r="L2378" s="30">
        <v>375111308</v>
      </c>
      <c r="M2378" s="26" t="s">
        <v>5429</v>
      </c>
      <c r="N2378" s="26" t="s">
        <v>81</v>
      </c>
      <c r="O2378" s="26" t="s">
        <v>7632</v>
      </c>
      <c r="P2378" s="26" t="s">
        <v>7633</v>
      </c>
      <c r="Q2378" s="20">
        <v>13968</v>
      </c>
      <c r="R2378" s="26" t="s">
        <v>36</v>
      </c>
      <c r="S2378" s="31">
        <v>4000</v>
      </c>
      <c r="T2378" s="32">
        <v>45343</v>
      </c>
      <c r="U2378" s="31">
        <v>9968</v>
      </c>
      <c r="V2378" s="32">
        <v>45367</v>
      </c>
      <c r="W2378" s="33" t="s">
        <v>7634</v>
      </c>
      <c r="X2378" s="26"/>
      <c r="Y2378" s="22">
        <v>0</v>
      </c>
      <c r="Z2378" s="35" t="s">
        <v>118</v>
      </c>
      <c r="AA2378" s="19" t="s">
        <v>7361</v>
      </c>
      <c r="AB2378" s="26" t="s">
        <v>36</v>
      </c>
      <c r="AC2378" s="26" t="s">
        <v>53</v>
      </c>
      <c r="AD2378" s="19" t="s">
        <v>138</v>
      </c>
      <c r="AE2378" s="26" t="s">
        <v>6457</v>
      </c>
      <c r="AF2378" s="17">
        <v>45348</v>
      </c>
      <c r="AG2378" s="26"/>
      <c r="AH2378" s="26"/>
      <c r="AI2378" s="40"/>
      <c r="AJ2378" s="26"/>
      <c r="AK2378" s="26"/>
      <c r="AL2378" s="35"/>
      <c r="AM2378" s="35"/>
      <c r="AN2378" s="35"/>
      <c r="AO2378" s="35"/>
      <c r="AP2378" s="35"/>
    </row>
    <row r="2379" spans="1:42" x14ac:dyDescent="0.2">
      <c r="A2379" s="99">
        <v>45475</v>
      </c>
      <c r="B2379" s="28" t="s">
        <v>37</v>
      </c>
      <c r="C2379" s="41" t="s">
        <v>118</v>
      </c>
      <c r="D2379" s="26" t="s">
        <v>36</v>
      </c>
      <c r="E2379" s="26" t="s">
        <v>119</v>
      </c>
      <c r="F2379" s="26" t="s">
        <v>5049</v>
      </c>
      <c r="G2379" s="26" t="s">
        <v>1705</v>
      </c>
      <c r="H2379" s="26" t="s">
        <v>8655</v>
      </c>
      <c r="I2379" s="17">
        <f ca="1">IFERROR(__xludf.DUMMYFUNCTION("""COMPUTED_VALUE"""),45495)</f>
        <v>45495</v>
      </c>
      <c r="J2379" s="29" t="s">
        <v>1464</v>
      </c>
      <c r="K2379" s="26" t="s">
        <v>5050</v>
      </c>
      <c r="L2379" s="30">
        <v>888528598</v>
      </c>
      <c r="M2379" s="26" t="s">
        <v>292</v>
      </c>
      <c r="N2379" s="26" t="s">
        <v>1466</v>
      </c>
      <c r="O2379" s="26" t="s">
        <v>1467</v>
      </c>
      <c r="P2379" s="54" t="s">
        <v>8658</v>
      </c>
      <c r="Q2379" s="20">
        <v>13968</v>
      </c>
      <c r="R2379" s="26" t="s">
        <v>36</v>
      </c>
      <c r="S2379" s="31">
        <v>13968</v>
      </c>
      <c r="T2379" s="32">
        <v>45150</v>
      </c>
      <c r="U2379" s="31"/>
      <c r="V2379" s="26"/>
      <c r="W2379" s="33" t="s">
        <v>1469</v>
      </c>
      <c r="X2379" s="26">
        <v>0</v>
      </c>
      <c r="Y2379" s="22">
        <v>0</v>
      </c>
      <c r="Z2379" s="26" t="s">
        <v>118</v>
      </c>
      <c r="AA2379" s="19" t="s">
        <v>901</v>
      </c>
      <c r="AB2379" s="26" t="s">
        <v>36</v>
      </c>
      <c r="AC2379" s="26" t="s">
        <v>53</v>
      </c>
      <c r="AD2379" s="19" t="s">
        <v>54</v>
      </c>
      <c r="AE2379" s="26" t="s">
        <v>5049</v>
      </c>
      <c r="AF2379" s="17">
        <v>45495</v>
      </c>
      <c r="AG2379" s="26"/>
      <c r="AH2379" s="26">
        <v>1</v>
      </c>
      <c r="AI2379" s="40">
        <v>4</v>
      </c>
      <c r="AJ2379" s="26"/>
      <c r="AK2379" s="26"/>
      <c r="AL2379" s="35"/>
      <c r="AM2379" s="35"/>
      <c r="AN2379" s="35"/>
      <c r="AO2379" s="35"/>
      <c r="AP2379" s="35"/>
    </row>
    <row r="2380" spans="1:42" x14ac:dyDescent="0.2">
      <c r="A2380" s="99">
        <v>45475</v>
      </c>
      <c r="B2380" s="28" t="s">
        <v>37</v>
      </c>
      <c r="C2380" s="41" t="s">
        <v>118</v>
      </c>
      <c r="D2380" s="26" t="s">
        <v>36</v>
      </c>
      <c r="E2380" s="26" t="s">
        <v>915</v>
      </c>
      <c r="F2380" s="26" t="s">
        <v>6859</v>
      </c>
      <c r="G2380" s="26" t="s">
        <v>1705</v>
      </c>
      <c r="H2380" s="26" t="s">
        <v>8655</v>
      </c>
      <c r="I2380" s="17">
        <f ca="1">IFERROR(__xludf.DUMMYFUNCTION("""COMPUTED_VALUE"""),45495)</f>
        <v>45495</v>
      </c>
      <c r="J2380" s="29" t="s">
        <v>2457</v>
      </c>
      <c r="K2380" s="26" t="s">
        <v>6986</v>
      </c>
      <c r="L2380" s="30">
        <v>961014069</v>
      </c>
      <c r="M2380" s="26" t="s">
        <v>123</v>
      </c>
      <c r="N2380" s="26" t="s">
        <v>2459</v>
      </c>
      <c r="O2380" s="26" t="s">
        <v>2460</v>
      </c>
      <c r="P2380" s="42" t="s">
        <v>6987</v>
      </c>
      <c r="Q2380" s="20">
        <v>10894</v>
      </c>
      <c r="R2380" s="26" t="s">
        <v>36</v>
      </c>
      <c r="S2380" s="31">
        <v>5000</v>
      </c>
      <c r="T2380" s="32">
        <v>45138</v>
      </c>
      <c r="U2380" s="31">
        <v>5894</v>
      </c>
      <c r="V2380" s="32">
        <v>45194</v>
      </c>
      <c r="W2380" s="33" t="s">
        <v>2462</v>
      </c>
      <c r="X2380" s="26"/>
      <c r="Y2380" s="22">
        <v>0</v>
      </c>
      <c r="Z2380" s="26" t="s">
        <v>118</v>
      </c>
      <c r="AA2380" s="19" t="s">
        <v>2449</v>
      </c>
      <c r="AB2380" s="26" t="s">
        <v>36</v>
      </c>
      <c r="AC2380" s="26" t="s">
        <v>53</v>
      </c>
      <c r="AD2380" s="19" t="s">
        <v>54</v>
      </c>
      <c r="AE2380" s="26" t="s">
        <v>6859</v>
      </c>
      <c r="AF2380" s="17">
        <v>45495</v>
      </c>
      <c r="AG2380" s="26"/>
      <c r="AH2380" s="26"/>
      <c r="AI2380" s="40"/>
      <c r="AJ2380" s="26"/>
      <c r="AK2380" s="26"/>
      <c r="AL2380" s="35"/>
      <c r="AM2380" s="35"/>
      <c r="AN2380" s="35"/>
      <c r="AO2380" s="35"/>
      <c r="AP2380" s="35"/>
    </row>
    <row r="2381" spans="1:42" x14ac:dyDescent="0.2">
      <c r="A2381" s="99">
        <v>45475</v>
      </c>
      <c r="B2381" s="28" t="s">
        <v>37</v>
      </c>
      <c r="C2381" s="41" t="s">
        <v>118</v>
      </c>
      <c r="D2381" s="26" t="s">
        <v>36</v>
      </c>
      <c r="E2381" s="26" t="s">
        <v>139</v>
      </c>
      <c r="F2381" s="26" t="s">
        <v>3181</v>
      </c>
      <c r="G2381" s="26" t="s">
        <v>221</v>
      </c>
      <c r="H2381" s="26" t="s">
        <v>8659</v>
      </c>
      <c r="I2381" s="17" t="str">
        <f ca="1">IFERROR(__xludf.DUMMYFUNCTION("""COMPUTED_VALUE""")," ")</f>
        <v xml:space="preserve"> </v>
      </c>
      <c r="J2381" s="29" t="s">
        <v>3799</v>
      </c>
      <c r="K2381" s="26" t="s">
        <v>8660</v>
      </c>
      <c r="L2381" s="30">
        <v>398985762</v>
      </c>
      <c r="M2381" s="26" t="s">
        <v>123</v>
      </c>
      <c r="N2381" s="26" t="s">
        <v>850</v>
      </c>
      <c r="O2381" s="26" t="s">
        <v>125</v>
      </c>
      <c r="P2381" s="42" t="s">
        <v>8661</v>
      </c>
      <c r="Q2381" s="20">
        <v>15936</v>
      </c>
      <c r="R2381" s="26" t="s">
        <v>36</v>
      </c>
      <c r="S2381" s="31">
        <v>200</v>
      </c>
      <c r="T2381" s="32">
        <v>45185</v>
      </c>
      <c r="U2381" s="31">
        <f>2000+13736</f>
        <v>15736</v>
      </c>
      <c r="V2381" s="26" t="s">
        <v>3802</v>
      </c>
      <c r="W2381" s="26" t="s">
        <v>3803</v>
      </c>
      <c r="X2381" s="26"/>
      <c r="Y2381" s="22">
        <v>0</v>
      </c>
      <c r="Z2381" s="26" t="s">
        <v>118</v>
      </c>
      <c r="AA2381" s="19" t="s">
        <v>5785</v>
      </c>
      <c r="AB2381" s="26" t="s">
        <v>36</v>
      </c>
      <c r="AC2381" s="26" t="s">
        <v>53</v>
      </c>
      <c r="AD2381" s="19" t="s">
        <v>54</v>
      </c>
      <c r="AE2381" s="26" t="s">
        <v>3181</v>
      </c>
      <c r="AF2381" s="17">
        <v>45484</v>
      </c>
      <c r="AG2381" s="26"/>
      <c r="AH2381" s="26"/>
      <c r="AI2381" s="40" t="s">
        <v>147</v>
      </c>
      <c r="AJ2381" s="26"/>
      <c r="AK2381" s="26"/>
      <c r="AL2381" s="35"/>
      <c r="AM2381" s="35"/>
      <c r="AN2381" s="35"/>
      <c r="AO2381" s="35"/>
      <c r="AP2381" s="35"/>
    </row>
    <row r="2382" spans="1:42" x14ac:dyDescent="0.2">
      <c r="A2382" s="99">
        <v>45475</v>
      </c>
      <c r="B2382" s="68" t="s">
        <v>37</v>
      </c>
      <c r="C2382" s="41" t="s">
        <v>118</v>
      </c>
      <c r="D2382" s="26" t="s">
        <v>36</v>
      </c>
      <c r="E2382" s="26" t="s">
        <v>139</v>
      </c>
      <c r="F2382" s="26" t="s">
        <v>4087</v>
      </c>
      <c r="G2382" s="71" t="s">
        <v>108</v>
      </c>
      <c r="H2382" s="26" t="s">
        <v>8662</v>
      </c>
      <c r="I2382" s="17">
        <f ca="1">IFERROR(__xludf.DUMMYFUNCTION("""COMPUTED_VALUE"""),45524)</f>
        <v>45524</v>
      </c>
      <c r="J2382" s="29" t="s">
        <v>3764</v>
      </c>
      <c r="K2382" s="26" t="s">
        <v>8663</v>
      </c>
      <c r="L2382" s="30">
        <v>913402962</v>
      </c>
      <c r="M2382" s="26" t="s">
        <v>2755</v>
      </c>
      <c r="N2382" s="26" t="s">
        <v>3512</v>
      </c>
      <c r="O2382" s="26" t="s">
        <v>91</v>
      </c>
      <c r="P2382" s="42" t="s">
        <v>8664</v>
      </c>
      <c r="Q2382" s="20">
        <v>15936</v>
      </c>
      <c r="R2382" s="26" t="s">
        <v>36</v>
      </c>
      <c r="S2382" s="31">
        <v>2000</v>
      </c>
      <c r="T2382" s="32">
        <v>45189</v>
      </c>
      <c r="U2382" s="58">
        <v>13936</v>
      </c>
      <c r="V2382" s="59">
        <v>45221</v>
      </c>
      <c r="W2382" s="33" t="s">
        <v>3767</v>
      </c>
      <c r="X2382" s="26"/>
      <c r="Y2382" s="22">
        <v>0</v>
      </c>
      <c r="Z2382" s="26" t="s">
        <v>118</v>
      </c>
      <c r="AA2382" s="19" t="s">
        <v>3454</v>
      </c>
      <c r="AB2382" s="26" t="s">
        <v>36</v>
      </c>
      <c r="AC2382" s="26" t="s">
        <v>53</v>
      </c>
      <c r="AD2382" s="19" t="s">
        <v>138</v>
      </c>
      <c r="AE2382" s="26" t="s">
        <v>4087</v>
      </c>
      <c r="AF2382" s="17">
        <v>44382</v>
      </c>
      <c r="AG2382" s="26" t="s">
        <v>2889</v>
      </c>
      <c r="AH2382" s="26"/>
      <c r="AI2382" s="40"/>
      <c r="AJ2382" s="26"/>
      <c r="AK2382" s="26"/>
      <c r="AL2382" s="35"/>
      <c r="AM2382" s="35"/>
      <c r="AN2382" s="35"/>
      <c r="AO2382" s="35"/>
      <c r="AP2382" s="35"/>
    </row>
    <row r="2383" spans="1:42" x14ac:dyDescent="0.2">
      <c r="A2383" s="99">
        <v>45475</v>
      </c>
      <c r="B2383" s="28" t="s">
        <v>37</v>
      </c>
      <c r="C2383" s="41" t="s">
        <v>118</v>
      </c>
      <c r="D2383" s="26" t="s">
        <v>36</v>
      </c>
      <c r="E2383" s="26" t="s">
        <v>119</v>
      </c>
      <c r="F2383" s="26" t="s">
        <v>6965</v>
      </c>
      <c r="G2383" s="26" t="s">
        <v>1847</v>
      </c>
      <c r="H2383" s="26" t="s">
        <v>8650</v>
      </c>
      <c r="I2383" s="17">
        <f ca="1">IFERROR(__xludf.DUMMYFUNCTION("""COMPUTED_VALUE"""),45495)</f>
        <v>45495</v>
      </c>
      <c r="J2383" s="29" t="s">
        <v>896</v>
      </c>
      <c r="K2383" s="26" t="s">
        <v>897</v>
      </c>
      <c r="L2383" s="30">
        <v>936526160</v>
      </c>
      <c r="M2383" s="26" t="s">
        <v>123</v>
      </c>
      <c r="N2383" s="26" t="s">
        <v>898</v>
      </c>
      <c r="O2383" s="26" t="s">
        <v>125</v>
      </c>
      <c r="P2383" s="42" t="s">
        <v>8665</v>
      </c>
      <c r="Q2383" s="20">
        <v>13968</v>
      </c>
      <c r="R2383" s="26" t="s">
        <v>36</v>
      </c>
      <c r="S2383" s="31">
        <v>6000</v>
      </c>
      <c r="T2383" s="32">
        <v>45108</v>
      </c>
      <c r="U2383" s="31">
        <v>7968</v>
      </c>
      <c r="V2383" s="32">
        <v>45139</v>
      </c>
      <c r="W2383" s="33" t="s">
        <v>900</v>
      </c>
      <c r="X2383" s="26">
        <v>0</v>
      </c>
      <c r="Y2383" s="22">
        <v>0</v>
      </c>
      <c r="Z2383" s="26" t="s">
        <v>118</v>
      </c>
      <c r="AA2383" s="19" t="s">
        <v>4541</v>
      </c>
      <c r="AB2383" s="26" t="s">
        <v>36</v>
      </c>
      <c r="AC2383" s="26" t="s">
        <v>53</v>
      </c>
      <c r="AD2383" s="19" t="s">
        <v>54</v>
      </c>
      <c r="AE2383" s="26" t="s">
        <v>6965</v>
      </c>
      <c r="AF2383" s="17">
        <v>45495</v>
      </c>
      <c r="AG2383" s="26"/>
      <c r="AH2383" s="26"/>
      <c r="AI2383" s="40"/>
      <c r="AJ2383" s="26"/>
      <c r="AK2383" s="26"/>
      <c r="AL2383" s="35"/>
      <c r="AM2383" s="35"/>
      <c r="AN2383" s="35"/>
      <c r="AO2383" s="35"/>
      <c r="AP2383" s="35"/>
    </row>
    <row r="2384" spans="1:42" x14ac:dyDescent="0.2">
      <c r="A2384" s="99">
        <v>45475</v>
      </c>
      <c r="B2384" s="28" t="s">
        <v>37</v>
      </c>
      <c r="C2384" s="41" t="s">
        <v>118</v>
      </c>
      <c r="D2384" s="26" t="s">
        <v>36</v>
      </c>
      <c r="E2384" s="26" t="s">
        <v>119</v>
      </c>
      <c r="F2384" s="26" t="s">
        <v>6025</v>
      </c>
      <c r="G2384" s="26" t="s">
        <v>1705</v>
      </c>
      <c r="H2384" s="26" t="s">
        <v>8655</v>
      </c>
      <c r="I2384" s="17">
        <f ca="1">IFERROR(__xludf.DUMMYFUNCTION("""COMPUTED_VALUE"""),45495)</f>
        <v>45495</v>
      </c>
      <c r="J2384" s="44" t="s">
        <v>6026</v>
      </c>
      <c r="K2384" s="26" t="s">
        <v>6027</v>
      </c>
      <c r="L2384" s="30">
        <v>971417226</v>
      </c>
      <c r="M2384" s="26" t="s">
        <v>80</v>
      </c>
      <c r="N2384" s="26" t="s">
        <v>466</v>
      </c>
      <c r="O2384" s="26" t="s">
        <v>2491</v>
      </c>
      <c r="P2384" s="42" t="s">
        <v>8666</v>
      </c>
      <c r="Q2384" s="20">
        <v>13968</v>
      </c>
      <c r="R2384" s="26" t="s">
        <v>36</v>
      </c>
      <c r="S2384" s="31">
        <v>4000</v>
      </c>
      <c r="T2384" s="32">
        <v>45154</v>
      </c>
      <c r="U2384" s="31">
        <v>9968</v>
      </c>
      <c r="V2384" s="32">
        <v>45196</v>
      </c>
      <c r="W2384" s="33" t="s">
        <v>2493</v>
      </c>
      <c r="X2384" s="26"/>
      <c r="Y2384" s="22">
        <v>0</v>
      </c>
      <c r="Z2384" s="26" t="s">
        <v>118</v>
      </c>
      <c r="AA2384" s="19" t="s">
        <v>2449</v>
      </c>
      <c r="AB2384" s="26" t="s">
        <v>36</v>
      </c>
      <c r="AC2384" s="26" t="s">
        <v>53</v>
      </c>
      <c r="AD2384" s="19" t="s">
        <v>54</v>
      </c>
      <c r="AE2384" s="26" t="s">
        <v>6025</v>
      </c>
      <c r="AF2384" s="17">
        <v>45495</v>
      </c>
      <c r="AG2384" s="26"/>
      <c r="AH2384" s="26"/>
      <c r="AI2384" s="40"/>
      <c r="AJ2384" s="26"/>
      <c r="AK2384" s="26"/>
      <c r="AL2384" s="35"/>
      <c r="AM2384" s="35"/>
      <c r="AN2384" s="35"/>
      <c r="AO2384" s="35"/>
      <c r="AP2384" s="35"/>
    </row>
    <row r="2385" spans="1:42" x14ac:dyDescent="0.2">
      <c r="A2385" s="99">
        <v>45476</v>
      </c>
      <c r="B2385" s="28" t="s">
        <v>37</v>
      </c>
      <c r="C2385" s="41" t="s">
        <v>118</v>
      </c>
      <c r="D2385" s="26" t="s">
        <v>36</v>
      </c>
      <c r="E2385" s="26" t="s">
        <v>56</v>
      </c>
      <c r="F2385" s="26" t="s">
        <v>7403</v>
      </c>
      <c r="G2385" s="71" t="s">
        <v>221</v>
      </c>
      <c r="H2385" s="26" t="s">
        <v>8026</v>
      </c>
      <c r="I2385" s="17">
        <f ca="1">IFERROR(__xludf.DUMMYFUNCTION("""COMPUTED_VALUE"""),45495)</f>
        <v>45495</v>
      </c>
      <c r="J2385" s="29" t="s">
        <v>6698</v>
      </c>
      <c r="K2385" s="26" t="s">
        <v>6699</v>
      </c>
      <c r="L2385" s="30">
        <v>354174902</v>
      </c>
      <c r="M2385" s="26" t="s">
        <v>348</v>
      </c>
      <c r="N2385" s="26" t="s">
        <v>200</v>
      </c>
      <c r="O2385" s="26" t="s">
        <v>6700</v>
      </c>
      <c r="P2385" s="42" t="s">
        <v>8667</v>
      </c>
      <c r="Q2385" s="20">
        <v>9317</v>
      </c>
      <c r="R2385" s="26" t="s">
        <v>36</v>
      </c>
      <c r="S2385" s="31">
        <v>1000</v>
      </c>
      <c r="T2385" s="32">
        <v>45290</v>
      </c>
      <c r="U2385" s="31">
        <v>8317</v>
      </c>
      <c r="V2385" s="32">
        <v>45302</v>
      </c>
      <c r="W2385" s="33" t="s">
        <v>6702</v>
      </c>
      <c r="X2385" s="26">
        <v>0</v>
      </c>
      <c r="Y2385" s="22">
        <v>0</v>
      </c>
      <c r="Z2385" s="98" t="s">
        <v>118</v>
      </c>
      <c r="AA2385" s="19" t="s">
        <v>6079</v>
      </c>
      <c r="AB2385" s="26" t="s">
        <v>36</v>
      </c>
      <c r="AC2385" s="26" t="s">
        <v>53</v>
      </c>
      <c r="AD2385" s="19" t="s">
        <v>138</v>
      </c>
      <c r="AE2385" s="26" t="s">
        <v>4489</v>
      </c>
      <c r="AF2385" s="17">
        <v>45495</v>
      </c>
      <c r="AG2385" s="26" t="s">
        <v>1362</v>
      </c>
      <c r="AH2385" s="26"/>
      <c r="AI2385" s="40" t="s">
        <v>64</v>
      </c>
      <c r="AJ2385" s="26"/>
      <c r="AK2385" s="26"/>
      <c r="AL2385" s="35"/>
      <c r="AM2385" s="35"/>
      <c r="AN2385" s="35"/>
      <c r="AO2385" s="35"/>
      <c r="AP2385" s="35"/>
    </row>
    <row r="2386" spans="1:42" x14ac:dyDescent="0.2">
      <c r="A2386" s="99">
        <v>45476</v>
      </c>
      <c r="B2386" s="28" t="s">
        <v>37</v>
      </c>
      <c r="C2386" s="41" t="s">
        <v>118</v>
      </c>
      <c r="D2386" s="26" t="s">
        <v>36</v>
      </c>
      <c r="E2386" s="26" t="s">
        <v>39</v>
      </c>
      <c r="F2386" s="26" t="s">
        <v>8302</v>
      </c>
      <c r="G2386" s="26" t="s">
        <v>108</v>
      </c>
      <c r="H2386" s="26" t="s">
        <v>8668</v>
      </c>
      <c r="I2386" s="17">
        <f ca="1">IFERROR(__xludf.DUMMYFUNCTION("""COMPUTED_VALUE"""),45488)</f>
        <v>45488</v>
      </c>
      <c r="J2386" s="29" t="s">
        <v>8550</v>
      </c>
      <c r="K2386" s="26" t="s">
        <v>8551</v>
      </c>
      <c r="L2386" s="30">
        <v>827324157</v>
      </c>
      <c r="M2386" s="26" t="s">
        <v>1245</v>
      </c>
      <c r="N2386" s="26" t="s">
        <v>1246</v>
      </c>
      <c r="O2386" s="26" t="s">
        <v>36</v>
      </c>
      <c r="P2386" s="42" t="s">
        <v>8669</v>
      </c>
      <c r="Q2386" s="20">
        <v>5736</v>
      </c>
      <c r="R2386" s="26" t="s">
        <v>36</v>
      </c>
      <c r="S2386" s="31">
        <v>2000</v>
      </c>
      <c r="T2386" s="32">
        <v>45166</v>
      </c>
      <c r="U2386" s="31">
        <f>8804+2281</f>
        <v>11085</v>
      </c>
      <c r="V2386" s="26" t="s">
        <v>8553</v>
      </c>
      <c r="W2386" s="33" t="s">
        <v>8554</v>
      </c>
      <c r="X2386" s="26">
        <v>0</v>
      </c>
      <c r="Y2386" s="22">
        <v>-7349</v>
      </c>
      <c r="Z2386" s="98" t="s">
        <v>118</v>
      </c>
      <c r="AA2386" s="62" t="s">
        <v>8555</v>
      </c>
      <c r="AB2386" s="26" t="s">
        <v>36</v>
      </c>
      <c r="AC2386" s="26" t="s">
        <v>53</v>
      </c>
      <c r="AD2386" s="14" t="s">
        <v>138</v>
      </c>
      <c r="AE2386" s="26" t="s">
        <v>8302</v>
      </c>
      <c r="AF2386" s="17">
        <v>45484</v>
      </c>
      <c r="AG2386" s="26" t="s">
        <v>8556</v>
      </c>
      <c r="AH2386" s="40">
        <v>3</v>
      </c>
      <c r="AI2386" s="40" t="s">
        <v>55</v>
      </c>
      <c r="AJ2386" s="26"/>
      <c r="AK2386" s="26"/>
      <c r="AL2386" s="26"/>
      <c r="AM2386" s="35"/>
      <c r="AN2386" s="35"/>
      <c r="AO2386" s="35"/>
      <c r="AP2386" s="35"/>
    </row>
    <row r="2387" spans="1:42" x14ac:dyDescent="0.2">
      <c r="A2387" s="99">
        <v>45476</v>
      </c>
      <c r="B2387" s="28" t="s">
        <v>37</v>
      </c>
      <c r="C2387" s="41" t="s">
        <v>118</v>
      </c>
      <c r="D2387" s="26" t="s">
        <v>36</v>
      </c>
      <c r="E2387" s="26" t="s">
        <v>139</v>
      </c>
      <c r="F2387" s="26" t="s">
        <v>8302</v>
      </c>
      <c r="G2387" s="26" t="s">
        <v>108</v>
      </c>
      <c r="H2387" s="26" t="s">
        <v>8668</v>
      </c>
      <c r="I2387" s="17">
        <f ca="1">IFERROR(__xludf.DUMMYFUNCTION("""COMPUTED_VALUE"""),45488)</f>
        <v>45488</v>
      </c>
      <c r="J2387" s="29" t="s">
        <v>8435</v>
      </c>
      <c r="K2387" s="26" t="s">
        <v>8436</v>
      </c>
      <c r="L2387" s="30">
        <v>862830807</v>
      </c>
      <c r="M2387" s="26" t="s">
        <v>123</v>
      </c>
      <c r="N2387" s="26" t="s">
        <v>186</v>
      </c>
      <c r="O2387" s="26" t="s">
        <v>4503</v>
      </c>
      <c r="P2387" s="42" t="s">
        <v>8670</v>
      </c>
      <c r="Q2387" s="20">
        <v>15936</v>
      </c>
      <c r="R2387" s="26" t="s">
        <v>36</v>
      </c>
      <c r="S2387" s="31">
        <f>2000+4000+9936</f>
        <v>15936</v>
      </c>
      <c r="T2387" s="26" t="s">
        <v>8438</v>
      </c>
      <c r="U2387" s="31"/>
      <c r="V2387" s="32"/>
      <c r="W2387" s="33" t="s">
        <v>8439</v>
      </c>
      <c r="X2387" s="26"/>
      <c r="Y2387" s="22">
        <v>0</v>
      </c>
      <c r="Z2387" s="98" t="s">
        <v>118</v>
      </c>
      <c r="AA2387" s="19" t="s">
        <v>8410</v>
      </c>
      <c r="AB2387" s="26" t="s">
        <v>36</v>
      </c>
      <c r="AC2387" s="26" t="s">
        <v>53</v>
      </c>
      <c r="AD2387" s="19" t="s">
        <v>54</v>
      </c>
      <c r="AE2387" s="26" t="s">
        <v>8302</v>
      </c>
      <c r="AF2387" s="17">
        <v>45484</v>
      </c>
      <c r="AG2387" s="26"/>
      <c r="AH2387" s="26"/>
      <c r="AI2387" s="40"/>
      <c r="AJ2387" s="26"/>
      <c r="AK2387" s="26"/>
      <c r="AL2387" s="35"/>
      <c r="AM2387" s="35"/>
      <c r="AN2387" s="35"/>
      <c r="AO2387" s="35"/>
      <c r="AP2387" s="35"/>
    </row>
    <row r="2388" spans="1:42" x14ac:dyDescent="0.2">
      <c r="A2388" s="99">
        <v>45476</v>
      </c>
      <c r="B2388" s="28" t="s">
        <v>37</v>
      </c>
      <c r="C2388" s="41" t="s">
        <v>118</v>
      </c>
      <c r="D2388" s="26" t="s">
        <v>36</v>
      </c>
      <c r="E2388" s="26" t="s">
        <v>39</v>
      </c>
      <c r="F2388" s="26" t="s">
        <v>8302</v>
      </c>
      <c r="G2388" s="26" t="s">
        <v>108</v>
      </c>
      <c r="H2388" s="26" t="s">
        <v>8668</v>
      </c>
      <c r="I2388" s="17">
        <f ca="1">IFERROR(__xludf.DUMMYFUNCTION("""COMPUTED_VALUE"""),45488)</f>
        <v>45488</v>
      </c>
      <c r="J2388" s="29" t="s">
        <v>8464</v>
      </c>
      <c r="K2388" s="26" t="s">
        <v>8465</v>
      </c>
      <c r="L2388" s="30">
        <v>333437540</v>
      </c>
      <c r="M2388" s="26" t="s">
        <v>45</v>
      </c>
      <c r="N2388" s="26" t="s">
        <v>7814</v>
      </c>
      <c r="O2388" s="26" t="s">
        <v>8466</v>
      </c>
      <c r="P2388" s="42" t="s">
        <v>8671</v>
      </c>
      <c r="Q2388" s="20">
        <v>5736</v>
      </c>
      <c r="R2388" s="26" t="s">
        <v>36</v>
      </c>
      <c r="S2388" s="31">
        <v>5736</v>
      </c>
      <c r="T2388" s="32">
        <v>45425</v>
      </c>
      <c r="U2388" s="31"/>
      <c r="V2388" s="32"/>
      <c r="W2388" s="33" t="s">
        <v>8468</v>
      </c>
      <c r="X2388" s="26"/>
      <c r="Y2388" s="22">
        <v>0</v>
      </c>
      <c r="Z2388" s="98" t="s">
        <v>118</v>
      </c>
      <c r="AA2388" s="19" t="s">
        <v>8410</v>
      </c>
      <c r="AB2388" s="26" t="s">
        <v>36</v>
      </c>
      <c r="AC2388" s="26" t="s">
        <v>53</v>
      </c>
      <c r="AD2388" s="19" t="s">
        <v>54</v>
      </c>
      <c r="AE2388" s="26" t="s">
        <v>8302</v>
      </c>
      <c r="AF2388" s="17">
        <v>45484</v>
      </c>
      <c r="AG2388" s="26"/>
      <c r="AH2388" s="26"/>
      <c r="AI2388" s="40"/>
      <c r="AJ2388" s="26"/>
      <c r="AK2388" s="26"/>
      <c r="AL2388" s="35"/>
      <c r="AM2388" s="35"/>
      <c r="AN2388" s="35"/>
      <c r="AO2388" s="35"/>
      <c r="AP2388" s="35"/>
    </row>
    <row r="2389" spans="1:42" x14ac:dyDescent="0.2">
      <c r="A2389" s="99">
        <v>45476</v>
      </c>
      <c r="B2389" s="28" t="s">
        <v>37</v>
      </c>
      <c r="C2389" s="41" t="s">
        <v>118</v>
      </c>
      <c r="D2389" s="26" t="s">
        <v>36</v>
      </c>
      <c r="E2389" s="26" t="s">
        <v>56</v>
      </c>
      <c r="F2389" s="26" t="s">
        <v>8026</v>
      </c>
      <c r="G2389" s="71" t="s">
        <v>221</v>
      </c>
      <c r="H2389" s="26" t="s">
        <v>8672</v>
      </c>
      <c r="I2389" s="17" t="str">
        <f ca="1">IFERROR(__xludf.DUMMYFUNCTION("""COMPUTED_VALUE""")," ")</f>
        <v xml:space="preserve"> </v>
      </c>
      <c r="J2389" s="29" t="s">
        <v>6441</v>
      </c>
      <c r="K2389" s="19" t="s">
        <v>8673</v>
      </c>
      <c r="L2389" s="30">
        <v>355666131</v>
      </c>
      <c r="M2389" s="26" t="s">
        <v>292</v>
      </c>
      <c r="N2389" s="26" t="s">
        <v>1232</v>
      </c>
      <c r="O2389" s="67" t="s">
        <v>6443</v>
      </c>
      <c r="P2389" s="42" t="s">
        <v>8674</v>
      </c>
      <c r="Q2389" s="20">
        <v>9317</v>
      </c>
      <c r="R2389" s="26" t="s">
        <v>36</v>
      </c>
      <c r="S2389" s="31">
        <v>9317</v>
      </c>
      <c r="T2389" s="32">
        <v>45287</v>
      </c>
      <c r="U2389" s="31"/>
      <c r="V2389" s="32"/>
      <c r="W2389" s="33" t="s">
        <v>6445</v>
      </c>
      <c r="X2389" s="26"/>
      <c r="Y2389" s="22">
        <v>0</v>
      </c>
      <c r="Z2389" s="98" t="s">
        <v>118</v>
      </c>
      <c r="AA2389" s="19" t="s">
        <v>5961</v>
      </c>
      <c r="AB2389" s="26" t="s">
        <v>36</v>
      </c>
      <c r="AC2389" s="26" t="s">
        <v>53</v>
      </c>
      <c r="AD2389" s="14" t="s">
        <v>138</v>
      </c>
      <c r="AE2389" s="26" t="s">
        <v>8026</v>
      </c>
      <c r="AF2389" s="17">
        <v>45495</v>
      </c>
      <c r="AG2389" s="26" t="s">
        <v>1362</v>
      </c>
      <c r="AH2389" s="26">
        <v>1</v>
      </c>
      <c r="AI2389" s="40"/>
      <c r="AJ2389" s="26"/>
      <c r="AK2389" s="26"/>
      <c r="AL2389" s="35"/>
      <c r="AM2389" s="35"/>
      <c r="AN2389" s="35"/>
      <c r="AO2389" s="35"/>
      <c r="AP2389" s="35"/>
    </row>
    <row r="2390" spans="1:42" x14ac:dyDescent="0.2">
      <c r="A2390" s="99">
        <v>45476</v>
      </c>
      <c r="B2390" s="28" t="s">
        <v>37</v>
      </c>
      <c r="C2390" s="41" t="s">
        <v>118</v>
      </c>
      <c r="D2390" s="26" t="s">
        <v>36</v>
      </c>
      <c r="E2390" s="26" t="s">
        <v>39</v>
      </c>
      <c r="F2390" s="26" t="s">
        <v>8302</v>
      </c>
      <c r="G2390" s="26" t="s">
        <v>108</v>
      </c>
      <c r="H2390" s="26" t="s">
        <v>8668</v>
      </c>
      <c r="I2390" s="17">
        <f ca="1">IFERROR(__xludf.DUMMYFUNCTION("""COMPUTED_VALUE"""),45488)</f>
        <v>45488</v>
      </c>
      <c r="J2390" s="29" t="s">
        <v>8454</v>
      </c>
      <c r="K2390" s="26" t="s">
        <v>8675</v>
      </c>
      <c r="L2390" s="30">
        <v>355241141</v>
      </c>
      <c r="M2390" s="26" t="s">
        <v>548</v>
      </c>
      <c r="N2390" s="26" t="s">
        <v>621</v>
      </c>
      <c r="O2390" s="26" t="s">
        <v>8456</v>
      </c>
      <c r="P2390" s="42" t="s">
        <v>8676</v>
      </c>
      <c r="Q2390" s="20">
        <v>5736</v>
      </c>
      <c r="R2390" s="26" t="s">
        <v>36</v>
      </c>
      <c r="S2390" s="31">
        <v>5736</v>
      </c>
      <c r="T2390" s="32">
        <v>45425</v>
      </c>
      <c r="U2390" s="31"/>
      <c r="V2390" s="32"/>
      <c r="W2390" s="33" t="s">
        <v>8458</v>
      </c>
      <c r="X2390" s="26"/>
      <c r="Y2390" s="22">
        <v>0</v>
      </c>
      <c r="Z2390" s="98" t="s">
        <v>118</v>
      </c>
      <c r="AA2390" s="19" t="s">
        <v>8410</v>
      </c>
      <c r="AB2390" s="26" t="s">
        <v>36</v>
      </c>
      <c r="AC2390" s="26" t="s">
        <v>53</v>
      </c>
      <c r="AD2390" s="19" t="s">
        <v>54</v>
      </c>
      <c r="AE2390" s="26" t="s">
        <v>8302</v>
      </c>
      <c r="AF2390" s="17">
        <v>45483</v>
      </c>
      <c r="AG2390" s="26"/>
      <c r="AH2390" s="26"/>
      <c r="AI2390" s="40"/>
      <c r="AJ2390" s="26"/>
      <c r="AK2390" s="26"/>
      <c r="AL2390" s="35"/>
      <c r="AM2390" s="35"/>
      <c r="AN2390" s="35"/>
      <c r="AO2390" s="35"/>
      <c r="AP2390" s="35"/>
    </row>
    <row r="2391" spans="1:42" x14ac:dyDescent="0.2">
      <c r="A2391" s="99">
        <v>45476</v>
      </c>
      <c r="B2391" s="28" t="s">
        <v>37</v>
      </c>
      <c r="C2391" s="41" t="s">
        <v>118</v>
      </c>
      <c r="D2391" s="26" t="s">
        <v>36</v>
      </c>
      <c r="E2391" s="26" t="s">
        <v>139</v>
      </c>
      <c r="F2391" s="26" t="s">
        <v>8302</v>
      </c>
      <c r="G2391" s="26" t="s">
        <v>108</v>
      </c>
      <c r="H2391" s="26" t="s">
        <v>8668</v>
      </c>
      <c r="I2391" s="17">
        <f ca="1">IFERROR(__xludf.DUMMYFUNCTION("""COMPUTED_VALUE"""),45488)</f>
        <v>45488</v>
      </c>
      <c r="J2391" s="29" t="s">
        <v>8424</v>
      </c>
      <c r="K2391" s="26" t="s">
        <v>8425</v>
      </c>
      <c r="L2391" s="30">
        <v>967816135</v>
      </c>
      <c r="M2391" s="26" t="s">
        <v>80</v>
      </c>
      <c r="N2391" s="26" t="s">
        <v>1073</v>
      </c>
      <c r="O2391" s="26" t="s">
        <v>8426</v>
      </c>
      <c r="P2391" s="42" t="s">
        <v>8677</v>
      </c>
      <c r="Q2391" s="20">
        <v>15936</v>
      </c>
      <c r="R2391" s="26" t="s">
        <v>36</v>
      </c>
      <c r="S2391" s="31">
        <v>500</v>
      </c>
      <c r="T2391" s="32">
        <v>45349</v>
      </c>
      <c r="U2391" s="31">
        <f>3500+11936</f>
        <v>15436</v>
      </c>
      <c r="V2391" s="26" t="s">
        <v>8428</v>
      </c>
      <c r="W2391" s="26" t="s">
        <v>8429</v>
      </c>
      <c r="X2391" s="26"/>
      <c r="Y2391" s="22">
        <v>0</v>
      </c>
      <c r="Z2391" s="98" t="s">
        <v>118</v>
      </c>
      <c r="AA2391" s="19" t="s">
        <v>8410</v>
      </c>
      <c r="AB2391" s="26" t="s">
        <v>36</v>
      </c>
      <c r="AC2391" s="26" t="s">
        <v>53</v>
      </c>
      <c r="AD2391" s="19" t="s">
        <v>54</v>
      </c>
      <c r="AE2391" s="26" t="s">
        <v>8302</v>
      </c>
      <c r="AF2391" s="17">
        <v>45484</v>
      </c>
      <c r="AG2391" s="26"/>
      <c r="AH2391" s="26"/>
      <c r="AI2391" s="40"/>
      <c r="AJ2391" s="26"/>
      <c r="AK2391" s="26"/>
      <c r="AL2391" s="35"/>
      <c r="AM2391" s="35"/>
      <c r="AN2391" s="35"/>
      <c r="AO2391" s="35"/>
      <c r="AP2391" s="35"/>
    </row>
    <row r="2392" spans="1:42" x14ac:dyDescent="0.2">
      <c r="A2392" s="99">
        <v>45476</v>
      </c>
      <c r="B2392" s="28" t="s">
        <v>37</v>
      </c>
      <c r="C2392" s="41" t="s">
        <v>118</v>
      </c>
      <c r="D2392" s="26" t="s">
        <v>36</v>
      </c>
      <c r="E2392" s="26" t="s">
        <v>119</v>
      </c>
      <c r="F2392" s="26" t="s">
        <v>6457</v>
      </c>
      <c r="G2392" s="26" t="s">
        <v>221</v>
      </c>
      <c r="H2392" s="26" t="s">
        <v>6976</v>
      </c>
      <c r="I2392" s="17">
        <f ca="1">IFERROR(__xludf.DUMMYFUNCTION("""COMPUTED_VALUE"""),45489)</f>
        <v>45489</v>
      </c>
      <c r="J2392" s="29" t="s">
        <v>7644</v>
      </c>
      <c r="K2392" s="26" t="s">
        <v>7645</v>
      </c>
      <c r="L2392" s="30">
        <v>968449834</v>
      </c>
      <c r="M2392" s="26" t="s">
        <v>2755</v>
      </c>
      <c r="N2392" s="26" t="s">
        <v>3760</v>
      </c>
      <c r="O2392" s="26" t="s">
        <v>4503</v>
      </c>
      <c r="P2392" s="42" t="s">
        <v>8678</v>
      </c>
      <c r="Q2392" s="20">
        <v>13968</v>
      </c>
      <c r="R2392" s="26" t="s">
        <v>36</v>
      </c>
      <c r="S2392" s="31">
        <v>8000</v>
      </c>
      <c r="T2392" s="32">
        <v>45342</v>
      </c>
      <c r="U2392" s="31">
        <v>5968</v>
      </c>
      <c r="V2392" s="32">
        <v>45361</v>
      </c>
      <c r="W2392" s="33" t="s">
        <v>7647</v>
      </c>
      <c r="X2392" s="26"/>
      <c r="Y2392" s="22">
        <v>0</v>
      </c>
      <c r="Z2392" s="98" t="s">
        <v>118</v>
      </c>
      <c r="AA2392" s="19" t="s">
        <v>7361</v>
      </c>
      <c r="AB2392" s="26" t="s">
        <v>36</v>
      </c>
      <c r="AC2392" s="26" t="s">
        <v>53</v>
      </c>
      <c r="AD2392" s="19" t="s">
        <v>54</v>
      </c>
      <c r="AE2392" s="26" t="s">
        <v>6457</v>
      </c>
      <c r="AF2392" s="17">
        <v>45484</v>
      </c>
      <c r="AG2392" s="26"/>
      <c r="AH2392" s="26"/>
      <c r="AI2392" s="40"/>
      <c r="AJ2392" s="26"/>
      <c r="AK2392" s="26"/>
      <c r="AL2392" s="35"/>
      <c r="AM2392" s="35"/>
      <c r="AN2392" s="35"/>
      <c r="AO2392" s="35"/>
      <c r="AP2392" s="35"/>
    </row>
    <row r="2393" spans="1:42" x14ac:dyDescent="0.2">
      <c r="A2393" s="99">
        <v>45476</v>
      </c>
      <c r="B2393" s="28" t="s">
        <v>37</v>
      </c>
      <c r="C2393" s="41" t="s">
        <v>118</v>
      </c>
      <c r="D2393" s="26" t="s">
        <v>36</v>
      </c>
      <c r="E2393" s="26" t="s">
        <v>106</v>
      </c>
      <c r="F2393" s="26" t="s">
        <v>3204</v>
      </c>
      <c r="G2393" s="71" t="s">
        <v>108</v>
      </c>
      <c r="H2393" s="26" t="s">
        <v>8668</v>
      </c>
      <c r="I2393" s="17">
        <f ca="1">IFERROR(__xludf.DUMMYFUNCTION("""COMPUTED_VALUE"""),45488)</f>
        <v>45488</v>
      </c>
      <c r="J2393" s="29" t="s">
        <v>8679</v>
      </c>
      <c r="K2393" s="26" t="s">
        <v>8680</v>
      </c>
      <c r="L2393" s="30">
        <v>866862110</v>
      </c>
      <c r="M2393" s="26" t="s">
        <v>94</v>
      </c>
      <c r="N2393" s="26" t="s">
        <v>8681</v>
      </c>
      <c r="O2393" s="26" t="s">
        <v>36</v>
      </c>
      <c r="P2393" s="42" t="s">
        <v>8682</v>
      </c>
      <c r="Q2393" s="20">
        <v>10804</v>
      </c>
      <c r="R2393" s="26" t="s">
        <v>36</v>
      </c>
      <c r="S2393" s="31">
        <v>10804</v>
      </c>
      <c r="T2393" s="32">
        <v>44960</v>
      </c>
      <c r="U2393" s="31"/>
      <c r="V2393" s="26"/>
      <c r="W2393" s="33" t="s">
        <v>8683</v>
      </c>
      <c r="X2393" s="26">
        <v>0</v>
      </c>
      <c r="Y2393" s="22">
        <v>0</v>
      </c>
      <c r="Z2393" s="98" t="s">
        <v>118</v>
      </c>
      <c r="AA2393" s="19" t="s">
        <v>2051</v>
      </c>
      <c r="AB2393" s="26" t="s">
        <v>36</v>
      </c>
      <c r="AC2393" s="26" t="s">
        <v>53</v>
      </c>
      <c r="AD2393" s="19" t="s">
        <v>54</v>
      </c>
      <c r="AE2393" s="38" t="s">
        <v>2760</v>
      </c>
      <c r="AF2393" s="17">
        <v>45484</v>
      </c>
      <c r="AG2393" s="131"/>
      <c r="AH2393" s="131"/>
      <c r="AI2393" s="132"/>
      <c r="AJ2393" s="132">
        <v>45071.101973912038</v>
      </c>
      <c r="AK2393" s="96"/>
      <c r="AL2393" s="133" t="s">
        <v>8684</v>
      </c>
      <c r="AM2393" s="96"/>
      <c r="AN2393" s="96"/>
      <c r="AO2393" s="26"/>
      <c r="AP2393" s="35"/>
    </row>
    <row r="2394" spans="1:42" x14ac:dyDescent="0.2">
      <c r="A2394" s="99">
        <v>45476</v>
      </c>
      <c r="B2394" s="28" t="s">
        <v>37</v>
      </c>
      <c r="C2394" s="41" t="s">
        <v>118</v>
      </c>
      <c r="D2394" s="26" t="s">
        <v>36</v>
      </c>
      <c r="E2394" s="26" t="s">
        <v>39</v>
      </c>
      <c r="F2394" s="26" t="s">
        <v>7313</v>
      </c>
      <c r="G2394" s="71" t="s">
        <v>108</v>
      </c>
      <c r="H2394" s="26" t="s">
        <v>8668</v>
      </c>
      <c r="I2394" s="17">
        <f ca="1">IFERROR(__xludf.DUMMYFUNCTION("""COMPUTED_VALUE"""),45488)</f>
        <v>45488</v>
      </c>
      <c r="J2394" s="29" t="s">
        <v>7314</v>
      </c>
      <c r="K2394" s="26" t="s">
        <v>8685</v>
      </c>
      <c r="L2394" s="30">
        <v>345737869</v>
      </c>
      <c r="M2394" s="26" t="s">
        <v>59</v>
      </c>
      <c r="N2394" s="26" t="s">
        <v>7316</v>
      </c>
      <c r="O2394" s="26" t="s">
        <v>7317</v>
      </c>
      <c r="P2394" s="42" t="s">
        <v>7318</v>
      </c>
      <c r="Q2394" s="20">
        <v>5736</v>
      </c>
      <c r="R2394" s="26" t="s">
        <v>70</v>
      </c>
      <c r="S2394" s="31">
        <v>5736</v>
      </c>
      <c r="T2394" s="32">
        <v>45351</v>
      </c>
      <c r="U2394" s="31"/>
      <c r="V2394" s="32"/>
      <c r="W2394" s="33" t="s">
        <v>7319</v>
      </c>
      <c r="X2394" s="26"/>
      <c r="Y2394" s="22">
        <v>0</v>
      </c>
      <c r="Z2394" s="98" t="s">
        <v>118</v>
      </c>
      <c r="AA2394" s="19" t="s">
        <v>7077</v>
      </c>
      <c r="AB2394" s="26" t="s">
        <v>36</v>
      </c>
      <c r="AC2394" s="26" t="s">
        <v>53</v>
      </c>
      <c r="AD2394" s="19" t="s">
        <v>54</v>
      </c>
      <c r="AE2394" s="26" t="s">
        <v>7313</v>
      </c>
      <c r="AF2394" s="17">
        <v>45483</v>
      </c>
      <c r="AG2394" s="139"/>
      <c r="AH2394" s="26"/>
      <c r="AI2394" s="40" t="s">
        <v>55</v>
      </c>
      <c r="AJ2394" s="26"/>
      <c r="AK2394" s="26"/>
      <c r="AL2394" s="35"/>
      <c r="AM2394" s="35"/>
      <c r="AN2394" s="35"/>
      <c r="AO2394" s="35"/>
      <c r="AP2394" s="35"/>
    </row>
    <row r="2395" spans="1:42" x14ac:dyDescent="0.2">
      <c r="A2395" s="99">
        <v>45476</v>
      </c>
      <c r="B2395" s="28" t="s">
        <v>37</v>
      </c>
      <c r="C2395" s="41" t="s">
        <v>118</v>
      </c>
      <c r="D2395" s="26" t="s">
        <v>36</v>
      </c>
      <c r="E2395" s="26" t="s">
        <v>139</v>
      </c>
      <c r="F2395" s="26" t="s">
        <v>6128</v>
      </c>
      <c r="G2395" s="26" t="s">
        <v>1705</v>
      </c>
      <c r="H2395" s="26" t="s">
        <v>8655</v>
      </c>
      <c r="I2395" s="17">
        <f ca="1">IFERROR(__xludf.DUMMYFUNCTION("""COMPUTED_VALUE"""),45495)</f>
        <v>45495</v>
      </c>
      <c r="J2395" s="29" t="s">
        <v>3501</v>
      </c>
      <c r="K2395" s="26" t="s">
        <v>8686</v>
      </c>
      <c r="L2395" s="30">
        <v>789047895</v>
      </c>
      <c r="M2395" s="26" t="s">
        <v>80</v>
      </c>
      <c r="N2395" s="26" t="s">
        <v>81</v>
      </c>
      <c r="O2395" s="26" t="s">
        <v>3503</v>
      </c>
      <c r="P2395" s="42" t="s">
        <v>8687</v>
      </c>
      <c r="Q2395" s="20">
        <v>15936</v>
      </c>
      <c r="R2395" s="26" t="s">
        <v>36</v>
      </c>
      <c r="S2395" s="31">
        <v>2000</v>
      </c>
      <c r="T2395" s="32">
        <v>45178</v>
      </c>
      <c r="U2395" s="31">
        <v>13836</v>
      </c>
      <c r="V2395" s="32">
        <v>45201</v>
      </c>
      <c r="W2395" s="33" t="s">
        <v>3504</v>
      </c>
      <c r="X2395" s="26"/>
      <c r="Y2395" s="22">
        <v>100</v>
      </c>
      <c r="Z2395" s="98" t="s">
        <v>118</v>
      </c>
      <c r="AA2395" s="19" t="s">
        <v>4541</v>
      </c>
      <c r="AB2395" s="26" t="s">
        <v>36</v>
      </c>
      <c r="AC2395" s="26" t="s">
        <v>53</v>
      </c>
      <c r="AD2395" s="19" t="s">
        <v>54</v>
      </c>
      <c r="AE2395" s="26" t="s">
        <v>6128</v>
      </c>
      <c r="AF2395" s="17">
        <v>45495</v>
      </c>
      <c r="AG2395" s="40"/>
      <c r="AH2395" s="26"/>
      <c r="AI2395" s="40"/>
      <c r="AJ2395" s="26"/>
      <c r="AK2395" s="26"/>
      <c r="AL2395" s="35"/>
      <c r="AM2395" s="35"/>
      <c r="AN2395" s="35"/>
      <c r="AO2395" s="35"/>
      <c r="AP2395" s="35"/>
    </row>
    <row r="2396" spans="1:42" x14ac:dyDescent="0.2">
      <c r="A2396" s="99">
        <v>45476</v>
      </c>
      <c r="B2396" s="68" t="s">
        <v>37</v>
      </c>
      <c r="C2396" s="41" t="s">
        <v>118</v>
      </c>
      <c r="D2396" s="26" t="s">
        <v>36</v>
      </c>
      <c r="E2396" s="26" t="s">
        <v>139</v>
      </c>
      <c r="F2396" s="26" t="s">
        <v>5084</v>
      </c>
      <c r="G2396" s="26" t="s">
        <v>221</v>
      </c>
      <c r="H2396" s="26" t="s">
        <v>6623</v>
      </c>
      <c r="I2396" s="17">
        <f ca="1">IFERROR(__xludf.DUMMYFUNCTION("""COMPUTED_VALUE"""),45461)</f>
        <v>45461</v>
      </c>
      <c r="J2396" s="29" t="s">
        <v>2470</v>
      </c>
      <c r="K2396" s="26" t="s">
        <v>8688</v>
      </c>
      <c r="L2396" s="30">
        <v>846864818</v>
      </c>
      <c r="M2396" s="26" t="s">
        <v>123</v>
      </c>
      <c r="N2396" s="26" t="s">
        <v>2472</v>
      </c>
      <c r="O2396" s="26" t="s">
        <v>1226</v>
      </c>
      <c r="P2396" s="42" t="s">
        <v>3278</v>
      </c>
      <c r="Q2396" s="20">
        <v>15936</v>
      </c>
      <c r="R2396" s="26" t="s">
        <v>36</v>
      </c>
      <c r="S2396" s="31">
        <v>2000</v>
      </c>
      <c r="T2396" s="32">
        <v>45149</v>
      </c>
      <c r="U2396" s="31">
        <v>13936</v>
      </c>
      <c r="V2396" s="32">
        <v>45174</v>
      </c>
      <c r="W2396" s="33" t="s">
        <v>2474</v>
      </c>
      <c r="X2396" s="26"/>
      <c r="Y2396" s="22">
        <v>0</v>
      </c>
      <c r="Z2396" s="26" t="s">
        <v>118</v>
      </c>
      <c r="AA2396" s="19" t="s">
        <v>2449</v>
      </c>
      <c r="AB2396" s="26" t="s">
        <v>36</v>
      </c>
      <c r="AC2396" s="26" t="s">
        <v>53</v>
      </c>
      <c r="AD2396" s="19" t="s">
        <v>54</v>
      </c>
      <c r="AE2396" s="26" t="s">
        <v>2381</v>
      </c>
      <c r="AF2396" s="17">
        <v>45338</v>
      </c>
      <c r="AG2396" s="26"/>
      <c r="AH2396" s="26"/>
      <c r="AI2396" s="40"/>
      <c r="AJ2396" s="26"/>
      <c r="AK2396" s="26"/>
      <c r="AL2396" s="35"/>
      <c r="AM2396" s="35"/>
      <c r="AN2396" s="35"/>
      <c r="AO2396" s="35"/>
      <c r="AP2396" s="35"/>
    </row>
    <row r="2397" spans="1:42" x14ac:dyDescent="0.2">
      <c r="A2397" s="99">
        <v>45476</v>
      </c>
      <c r="B2397" s="28" t="s">
        <v>37</v>
      </c>
      <c r="C2397" s="41" t="s">
        <v>118</v>
      </c>
      <c r="D2397" s="26" t="s">
        <v>36</v>
      </c>
      <c r="E2397" s="26" t="s">
        <v>119</v>
      </c>
      <c r="F2397" s="26" t="s">
        <v>5075</v>
      </c>
      <c r="G2397" s="26" t="s">
        <v>1705</v>
      </c>
      <c r="H2397" s="26" t="s">
        <v>8655</v>
      </c>
      <c r="I2397" s="17">
        <f ca="1">IFERROR(__xludf.DUMMYFUNCTION("""COMPUTED_VALUE"""),45495)</f>
        <v>45495</v>
      </c>
      <c r="J2397" s="29" t="s">
        <v>3576</v>
      </c>
      <c r="K2397" s="26" t="s">
        <v>5082</v>
      </c>
      <c r="L2397" s="30">
        <v>978331320</v>
      </c>
      <c r="M2397" s="26" t="s">
        <v>1245</v>
      </c>
      <c r="N2397" s="26" t="s">
        <v>4957</v>
      </c>
      <c r="O2397" s="26" t="s">
        <v>3578</v>
      </c>
      <c r="P2397" s="42" t="s">
        <v>8689</v>
      </c>
      <c r="Q2397" s="20">
        <v>13968</v>
      </c>
      <c r="R2397" s="26" t="s">
        <v>36</v>
      </c>
      <c r="S2397" s="31">
        <v>4000</v>
      </c>
      <c r="T2397" s="32">
        <v>45183</v>
      </c>
      <c r="U2397" s="31">
        <v>9968</v>
      </c>
      <c r="V2397" s="32">
        <v>45213</v>
      </c>
      <c r="W2397" s="33" t="s">
        <v>3580</v>
      </c>
      <c r="X2397" s="26"/>
      <c r="Y2397" s="22">
        <v>0</v>
      </c>
      <c r="Z2397" s="26" t="s">
        <v>118</v>
      </c>
      <c r="AA2397" s="19" t="s">
        <v>3454</v>
      </c>
      <c r="AB2397" s="26" t="s">
        <v>36</v>
      </c>
      <c r="AC2397" s="26" t="s">
        <v>53</v>
      </c>
      <c r="AD2397" s="19" t="s">
        <v>54</v>
      </c>
      <c r="AE2397" s="26" t="s">
        <v>5075</v>
      </c>
      <c r="AF2397" s="17">
        <v>45495</v>
      </c>
      <c r="AG2397" s="26"/>
      <c r="AH2397" s="26"/>
      <c r="AI2397" s="40"/>
      <c r="AJ2397" s="26"/>
      <c r="AK2397" s="26"/>
      <c r="AL2397" s="35"/>
      <c r="AM2397" s="35"/>
      <c r="AN2397" s="35"/>
      <c r="AO2397" s="35"/>
      <c r="AP2397" s="35"/>
    </row>
    <row r="2398" spans="1:42" x14ac:dyDescent="0.2">
      <c r="A2398" s="99">
        <v>45476</v>
      </c>
      <c r="B2398" s="28" t="s">
        <v>37</v>
      </c>
      <c r="C2398" s="41" t="s">
        <v>118</v>
      </c>
      <c r="D2398" s="26" t="s">
        <v>36</v>
      </c>
      <c r="E2398" s="26" t="s">
        <v>915</v>
      </c>
      <c r="F2398" s="26" t="s">
        <v>5093</v>
      </c>
      <c r="G2398" s="26" t="s">
        <v>1847</v>
      </c>
      <c r="H2398" s="26" t="s">
        <v>8650</v>
      </c>
      <c r="I2398" s="17">
        <f ca="1">IFERROR(__xludf.DUMMYFUNCTION("""COMPUTED_VALUE"""),45495)</f>
        <v>45495</v>
      </c>
      <c r="J2398" s="29" t="s">
        <v>7137</v>
      </c>
      <c r="K2398" s="26" t="s">
        <v>8690</v>
      </c>
      <c r="L2398" s="30">
        <v>362772271</v>
      </c>
      <c r="M2398" s="26" t="s">
        <v>112</v>
      </c>
      <c r="N2398" s="26" t="s">
        <v>113</v>
      </c>
      <c r="O2398" s="26" t="s">
        <v>36</v>
      </c>
      <c r="P2398" s="42" t="s">
        <v>7139</v>
      </c>
      <c r="Q2398" s="20">
        <v>10894</v>
      </c>
      <c r="R2398" s="26" t="s">
        <v>36</v>
      </c>
      <c r="S2398" s="31">
        <v>10499</v>
      </c>
      <c r="T2398" s="32">
        <v>45333</v>
      </c>
      <c r="U2398" s="31"/>
      <c r="V2398" s="32"/>
      <c r="W2398" s="33" t="s">
        <v>7140</v>
      </c>
      <c r="X2398" s="26"/>
      <c r="Y2398" s="22">
        <v>395</v>
      </c>
      <c r="Z2398" s="26" t="s">
        <v>118</v>
      </c>
      <c r="AA2398" s="19" t="s">
        <v>7077</v>
      </c>
      <c r="AB2398" s="26" t="s">
        <v>36</v>
      </c>
      <c r="AC2398" s="26" t="s">
        <v>53</v>
      </c>
      <c r="AD2398" s="19" t="s">
        <v>54</v>
      </c>
      <c r="AE2398" s="26" t="s">
        <v>5093</v>
      </c>
      <c r="AF2398" s="17">
        <v>45495</v>
      </c>
      <c r="AG2398" s="26"/>
      <c r="AH2398" s="26"/>
      <c r="AI2398" s="40">
        <v>3</v>
      </c>
      <c r="AJ2398" s="26"/>
      <c r="AK2398" s="26"/>
      <c r="AL2398" s="35"/>
      <c r="AM2398" s="35"/>
      <c r="AN2398" s="35"/>
      <c r="AO2398" s="35"/>
      <c r="AP2398" s="35"/>
    </row>
    <row r="2399" spans="1:42" x14ac:dyDescent="0.2">
      <c r="A2399" s="99">
        <v>45478</v>
      </c>
      <c r="B2399" s="28" t="s">
        <v>37</v>
      </c>
      <c r="C2399" s="41" t="s">
        <v>118</v>
      </c>
      <c r="D2399" s="26" t="s">
        <v>36</v>
      </c>
      <c r="E2399" s="26" t="s">
        <v>39</v>
      </c>
      <c r="F2399" s="26" t="s">
        <v>8302</v>
      </c>
      <c r="G2399" s="71" t="s">
        <v>108</v>
      </c>
      <c r="H2399" s="26" t="s">
        <v>8691</v>
      </c>
      <c r="I2399" s="17">
        <f ca="1">IFERROR(__xludf.DUMMYFUNCTION("""COMPUTED_VALUE"""),45485)</f>
        <v>45485</v>
      </c>
      <c r="J2399" s="29" t="s">
        <v>8303</v>
      </c>
      <c r="K2399" s="26" t="s">
        <v>8692</v>
      </c>
      <c r="L2399" s="30">
        <v>365178332</v>
      </c>
      <c r="M2399" s="26" t="s">
        <v>292</v>
      </c>
      <c r="N2399" s="26" t="s">
        <v>1232</v>
      </c>
      <c r="O2399" s="26" t="s">
        <v>8305</v>
      </c>
      <c r="P2399" s="42" t="s">
        <v>8693</v>
      </c>
      <c r="Q2399" s="20">
        <v>5736</v>
      </c>
      <c r="R2399" s="26" t="s">
        <v>36</v>
      </c>
      <c r="S2399" s="31">
        <v>5736</v>
      </c>
      <c r="T2399" s="32">
        <v>45404</v>
      </c>
      <c r="U2399" s="31"/>
      <c r="V2399" s="32"/>
      <c r="W2399" s="33" t="s">
        <v>8307</v>
      </c>
      <c r="X2399" s="26"/>
      <c r="Y2399" s="22">
        <v>0</v>
      </c>
      <c r="Z2399" s="26" t="s">
        <v>118</v>
      </c>
      <c r="AA2399" s="19" t="s">
        <v>8102</v>
      </c>
      <c r="AB2399" s="26" t="s">
        <v>36</v>
      </c>
      <c r="AC2399" s="26" t="s">
        <v>53</v>
      </c>
      <c r="AD2399" s="19" t="s">
        <v>54</v>
      </c>
      <c r="AE2399" s="26" t="s">
        <v>8302</v>
      </c>
      <c r="AF2399" s="17">
        <v>45478</v>
      </c>
      <c r="AG2399" s="26"/>
      <c r="AH2399" s="26"/>
      <c r="AI2399" s="40"/>
      <c r="AJ2399" s="26"/>
      <c r="AK2399" s="26"/>
      <c r="AL2399" s="35"/>
      <c r="AM2399" s="35"/>
      <c r="AN2399" s="35"/>
      <c r="AO2399" s="35"/>
      <c r="AP2399" s="35"/>
    </row>
    <row r="2400" spans="1:42" x14ac:dyDescent="0.2">
      <c r="A2400" s="99">
        <v>45479</v>
      </c>
      <c r="B2400" s="28" t="s">
        <v>37</v>
      </c>
      <c r="C2400" s="41" t="s">
        <v>118</v>
      </c>
      <c r="D2400" s="26" t="s">
        <v>36</v>
      </c>
      <c r="E2400" s="26" t="s">
        <v>119</v>
      </c>
      <c r="F2400" s="26" t="s">
        <v>3397</v>
      </c>
      <c r="G2400" s="26" t="s">
        <v>221</v>
      </c>
      <c r="H2400" s="26" t="s">
        <v>6976</v>
      </c>
      <c r="I2400" s="17">
        <f ca="1">IFERROR(__xludf.DUMMYFUNCTION("""COMPUTED_VALUE"""),45489)</f>
        <v>45489</v>
      </c>
      <c r="J2400" s="29" t="s">
        <v>6209</v>
      </c>
      <c r="K2400" s="26" t="s">
        <v>6210</v>
      </c>
      <c r="L2400" s="30">
        <v>345813351</v>
      </c>
      <c r="M2400" s="26" t="s">
        <v>5429</v>
      </c>
      <c r="N2400" s="26" t="s">
        <v>81</v>
      </c>
      <c r="O2400" s="26" t="s">
        <v>6211</v>
      </c>
      <c r="P2400" s="42" t="s">
        <v>8694</v>
      </c>
      <c r="Q2400" s="20">
        <v>13968</v>
      </c>
      <c r="R2400" s="26" t="s">
        <v>36</v>
      </c>
      <c r="S2400" s="31">
        <v>4000</v>
      </c>
      <c r="T2400" s="32">
        <v>45233</v>
      </c>
      <c r="U2400" s="31">
        <v>9968</v>
      </c>
      <c r="V2400" s="32">
        <v>45265</v>
      </c>
      <c r="W2400" s="33" t="s">
        <v>6213</v>
      </c>
      <c r="X2400" s="26"/>
      <c r="Y2400" s="22">
        <v>0</v>
      </c>
      <c r="Z2400" s="26" t="s">
        <v>118</v>
      </c>
      <c r="AA2400" s="19" t="s">
        <v>5961</v>
      </c>
      <c r="AB2400" s="26" t="s">
        <v>36</v>
      </c>
      <c r="AC2400" s="26" t="s">
        <v>53</v>
      </c>
      <c r="AD2400" s="19" t="s">
        <v>138</v>
      </c>
      <c r="AE2400" s="26" t="s">
        <v>3397</v>
      </c>
      <c r="AF2400" s="17">
        <v>45484</v>
      </c>
      <c r="AG2400" s="26"/>
      <c r="AH2400" s="26">
        <v>1</v>
      </c>
      <c r="AI2400" s="40"/>
      <c r="AJ2400" s="26"/>
      <c r="AK2400" s="26"/>
      <c r="AL2400" s="35"/>
      <c r="AM2400" s="35"/>
      <c r="AN2400" s="35"/>
      <c r="AO2400" s="35"/>
      <c r="AP2400" s="35"/>
    </row>
    <row r="2401" spans="1:42" x14ac:dyDescent="0.2">
      <c r="A2401" s="99">
        <v>45480</v>
      </c>
      <c r="B2401" s="28" t="s">
        <v>37</v>
      </c>
      <c r="C2401" s="41" t="s">
        <v>118</v>
      </c>
      <c r="D2401" s="26" t="s">
        <v>36</v>
      </c>
      <c r="E2401" s="26" t="s">
        <v>119</v>
      </c>
      <c r="F2401" s="26" t="s">
        <v>6457</v>
      </c>
      <c r="G2401" s="26" t="s">
        <v>221</v>
      </c>
      <c r="H2401" s="26" t="s">
        <v>6976</v>
      </c>
      <c r="I2401" s="17">
        <f ca="1">IFERROR(__xludf.DUMMYFUNCTION("""COMPUTED_VALUE"""),45489)</f>
        <v>45489</v>
      </c>
      <c r="J2401" s="29" t="s">
        <v>7619</v>
      </c>
      <c r="K2401" s="26" t="s">
        <v>7620</v>
      </c>
      <c r="L2401" s="30">
        <v>349604185</v>
      </c>
      <c r="M2401" s="26" t="s">
        <v>80</v>
      </c>
      <c r="N2401" s="26" t="s">
        <v>466</v>
      </c>
      <c r="O2401" s="26" t="s">
        <v>7621</v>
      </c>
      <c r="P2401" s="42" t="s">
        <v>8695</v>
      </c>
      <c r="Q2401" s="20">
        <v>13968</v>
      </c>
      <c r="R2401" s="26" t="s">
        <v>36</v>
      </c>
      <c r="S2401" s="31">
        <v>500</v>
      </c>
      <c r="T2401" s="32">
        <v>45300</v>
      </c>
      <c r="U2401" s="31">
        <f>3500+9968</f>
        <v>13468</v>
      </c>
      <c r="V2401" s="26" t="s">
        <v>7623</v>
      </c>
      <c r="W2401" s="33" t="s">
        <v>7624</v>
      </c>
      <c r="X2401" s="26"/>
      <c r="Y2401" s="22">
        <v>0</v>
      </c>
      <c r="Z2401" s="26" t="s">
        <v>118</v>
      </c>
      <c r="AA2401" s="19" t="s">
        <v>7361</v>
      </c>
      <c r="AB2401" s="26" t="s">
        <v>36</v>
      </c>
      <c r="AC2401" s="26" t="s">
        <v>53</v>
      </c>
      <c r="AD2401" s="19" t="s">
        <v>54</v>
      </c>
      <c r="AE2401" s="26" t="s">
        <v>6457</v>
      </c>
      <c r="AF2401" s="17">
        <v>45484</v>
      </c>
      <c r="AG2401" s="26"/>
      <c r="AH2401" s="26"/>
      <c r="AI2401" s="40"/>
      <c r="AJ2401" s="26"/>
      <c r="AK2401" s="26"/>
      <c r="AL2401" s="35"/>
      <c r="AM2401" s="35"/>
      <c r="AN2401" s="35"/>
      <c r="AO2401" s="35"/>
      <c r="AP2401" s="35"/>
    </row>
    <row r="2402" spans="1:42" x14ac:dyDescent="0.2">
      <c r="A2402" s="99">
        <v>45480</v>
      </c>
      <c r="B2402" s="28" t="s">
        <v>37</v>
      </c>
      <c r="C2402" s="41" t="s">
        <v>118</v>
      </c>
      <c r="D2402" s="26" t="s">
        <v>36</v>
      </c>
      <c r="E2402" s="26" t="s">
        <v>148</v>
      </c>
      <c r="F2402" s="35" t="s">
        <v>1666</v>
      </c>
      <c r="G2402" s="71" t="s">
        <v>108</v>
      </c>
      <c r="H2402" s="26" t="s">
        <v>8691</v>
      </c>
      <c r="I2402" s="17">
        <f ca="1">IFERROR(__xludf.DUMMYFUNCTION("""COMPUTED_VALUE"""),45485)</f>
        <v>45485</v>
      </c>
      <c r="J2402" s="29" t="s">
        <v>2371</v>
      </c>
      <c r="K2402" s="26" t="s">
        <v>2372</v>
      </c>
      <c r="L2402" s="57">
        <v>855277113</v>
      </c>
      <c r="M2402" s="26" t="s">
        <v>80</v>
      </c>
      <c r="N2402" s="35" t="s">
        <v>8696</v>
      </c>
      <c r="O2402" s="35">
        <v>40304005751</v>
      </c>
      <c r="P2402" s="35" t="s">
        <v>8697</v>
      </c>
      <c r="Q2402" s="20">
        <v>7349</v>
      </c>
      <c r="R2402" s="26" t="s">
        <v>36</v>
      </c>
      <c r="S2402" s="31">
        <v>10000</v>
      </c>
      <c r="T2402" s="32">
        <v>44866</v>
      </c>
      <c r="U2402" s="31">
        <v>6679</v>
      </c>
      <c r="V2402" s="32">
        <v>44889</v>
      </c>
      <c r="W2402" s="33" t="s">
        <v>2375</v>
      </c>
      <c r="X2402" s="35">
        <v>0</v>
      </c>
      <c r="Y2402" s="22">
        <v>-9330</v>
      </c>
      <c r="Z2402" s="35" t="s">
        <v>118</v>
      </c>
      <c r="AA2402" s="19" t="s">
        <v>1871</v>
      </c>
      <c r="AB2402" s="26" t="s">
        <v>36</v>
      </c>
      <c r="AC2402" s="26" t="s">
        <v>53</v>
      </c>
      <c r="AD2402" s="19" t="s">
        <v>54</v>
      </c>
      <c r="AE2402" s="19" t="s">
        <v>1666</v>
      </c>
      <c r="AF2402" s="17">
        <v>45482</v>
      </c>
      <c r="AG2402" s="35" t="s">
        <v>2376</v>
      </c>
      <c r="AH2402" s="36">
        <v>1</v>
      </c>
      <c r="AI2402" s="37">
        <v>2</v>
      </c>
      <c r="AJ2402" s="35"/>
      <c r="AK2402" s="35"/>
      <c r="AL2402" s="35"/>
      <c r="AM2402" s="35"/>
      <c r="AN2402" s="35"/>
      <c r="AO2402" s="35"/>
      <c r="AP2402" s="35"/>
    </row>
    <row r="2403" spans="1:42" x14ac:dyDescent="0.2">
      <c r="A2403" s="99">
        <v>45481</v>
      </c>
      <c r="B2403" s="28" t="s">
        <v>37</v>
      </c>
      <c r="C2403" s="41" t="s">
        <v>118</v>
      </c>
      <c r="D2403" s="26" t="s">
        <v>36</v>
      </c>
      <c r="E2403" s="26" t="s">
        <v>139</v>
      </c>
      <c r="F2403" s="26" t="s">
        <v>7103</v>
      </c>
      <c r="G2403" s="71" t="s">
        <v>108</v>
      </c>
      <c r="H2403" s="26" t="s">
        <v>1565</v>
      </c>
      <c r="I2403" s="17">
        <f ca="1">IFERROR(__xludf.DUMMYFUNCTION("""COMPUTED_VALUE"""),45502)</f>
        <v>45502</v>
      </c>
      <c r="J2403" s="44" t="s">
        <v>8698</v>
      </c>
      <c r="K2403" s="26" t="s">
        <v>8187</v>
      </c>
      <c r="L2403" s="30">
        <v>398016210</v>
      </c>
      <c r="M2403" s="26" t="s">
        <v>3728</v>
      </c>
      <c r="N2403" s="26" t="s">
        <v>5377</v>
      </c>
      <c r="O2403" s="26" t="s">
        <v>134</v>
      </c>
      <c r="P2403" s="26" t="s">
        <v>8188</v>
      </c>
      <c r="Q2403" s="20">
        <v>15936</v>
      </c>
      <c r="R2403" s="26" t="s">
        <v>36</v>
      </c>
      <c r="S2403" s="31">
        <v>2000</v>
      </c>
      <c r="T2403" s="32">
        <v>45372</v>
      </c>
      <c r="U2403" s="31">
        <v>13936</v>
      </c>
      <c r="V2403" s="32">
        <v>45412</v>
      </c>
      <c r="W2403" s="33" t="s">
        <v>8189</v>
      </c>
      <c r="X2403" s="26"/>
      <c r="Y2403" s="22">
        <v>0</v>
      </c>
      <c r="Z2403" s="35" t="s">
        <v>118</v>
      </c>
      <c r="AA2403" s="19" t="s">
        <v>8102</v>
      </c>
      <c r="AB2403" s="26" t="s">
        <v>36</v>
      </c>
      <c r="AC2403" s="26" t="s">
        <v>53</v>
      </c>
      <c r="AD2403" s="19" t="s">
        <v>138</v>
      </c>
      <c r="AE2403" s="26" t="s">
        <v>7103</v>
      </c>
      <c r="AF2403" s="17">
        <v>45502</v>
      </c>
      <c r="AG2403" s="26" t="s">
        <v>7132</v>
      </c>
      <c r="AH2403" s="26"/>
      <c r="AI2403" s="40"/>
      <c r="AJ2403" s="26"/>
      <c r="AK2403" s="26"/>
      <c r="AL2403" s="35"/>
      <c r="AM2403" s="35"/>
      <c r="AN2403" s="35"/>
      <c r="AO2403" s="35"/>
      <c r="AP2403" s="35"/>
    </row>
    <row r="2404" spans="1:42" x14ac:dyDescent="0.2">
      <c r="A2404" s="99">
        <v>45481</v>
      </c>
      <c r="B2404" s="68" t="s">
        <v>37</v>
      </c>
      <c r="C2404" s="41" t="s">
        <v>118</v>
      </c>
      <c r="D2404" s="26" t="s">
        <v>36</v>
      </c>
      <c r="E2404" s="26" t="s">
        <v>139</v>
      </c>
      <c r="F2404" s="26" t="s">
        <v>5100</v>
      </c>
      <c r="G2404" s="26" t="s">
        <v>108</v>
      </c>
      <c r="H2404" s="26" t="s">
        <v>1565</v>
      </c>
      <c r="I2404" s="17">
        <f ca="1">IFERROR(__xludf.DUMMYFUNCTION("""COMPUTED_VALUE"""),45502)</f>
        <v>45502</v>
      </c>
      <c r="J2404" s="29" t="s">
        <v>5414</v>
      </c>
      <c r="K2404" s="26" t="s">
        <v>8699</v>
      </c>
      <c r="L2404" s="30">
        <v>564144888</v>
      </c>
      <c r="M2404" s="26" t="s">
        <v>123</v>
      </c>
      <c r="N2404" s="26" t="s">
        <v>186</v>
      </c>
      <c r="O2404" s="26" t="s">
        <v>1226</v>
      </c>
      <c r="P2404" s="26" t="s">
        <v>3056</v>
      </c>
      <c r="Q2404" s="20">
        <v>15936</v>
      </c>
      <c r="R2404" s="26" t="s">
        <v>36</v>
      </c>
      <c r="S2404" s="31">
        <v>5000</v>
      </c>
      <c r="T2404" s="32">
        <v>45221</v>
      </c>
      <c r="U2404" s="58">
        <v>10936</v>
      </c>
      <c r="V2404" s="59">
        <v>45253</v>
      </c>
      <c r="W2404" s="33" t="s">
        <v>5416</v>
      </c>
      <c r="X2404" s="26"/>
      <c r="Y2404" s="22">
        <v>0</v>
      </c>
      <c r="Z2404" s="26" t="s">
        <v>118</v>
      </c>
      <c r="AA2404" s="19" t="s">
        <v>5112</v>
      </c>
      <c r="AB2404" s="26" t="s">
        <v>36</v>
      </c>
      <c r="AC2404" s="26" t="s">
        <v>53</v>
      </c>
      <c r="AD2404" s="19" t="s">
        <v>138</v>
      </c>
      <c r="AE2404" s="26" t="s">
        <v>5100</v>
      </c>
      <c r="AF2404" s="17">
        <v>45288</v>
      </c>
      <c r="AG2404" s="26" t="s">
        <v>5101</v>
      </c>
      <c r="AH2404" s="26"/>
      <c r="AI2404" s="40" t="s">
        <v>147</v>
      </c>
      <c r="AJ2404" s="26"/>
      <c r="AK2404" s="26"/>
      <c r="AL2404" s="35"/>
      <c r="AM2404" s="35"/>
      <c r="AN2404" s="35"/>
      <c r="AO2404" s="35"/>
      <c r="AP2404" s="35"/>
    </row>
    <row r="2405" spans="1:42" x14ac:dyDescent="0.2">
      <c r="A2405" s="99">
        <v>45481</v>
      </c>
      <c r="B2405" s="68" t="s">
        <v>37</v>
      </c>
      <c r="C2405" s="41" t="s">
        <v>118</v>
      </c>
      <c r="D2405" s="26" t="s">
        <v>36</v>
      </c>
      <c r="E2405" s="26" t="s">
        <v>139</v>
      </c>
      <c r="F2405" s="26" t="s">
        <v>5100</v>
      </c>
      <c r="G2405" s="26" t="s">
        <v>108</v>
      </c>
      <c r="H2405" s="26" t="s">
        <v>1565</v>
      </c>
      <c r="I2405" s="17">
        <f ca="1">IFERROR(__xludf.DUMMYFUNCTION("""COMPUTED_VALUE"""),45502)</f>
        <v>45502</v>
      </c>
      <c r="J2405" s="29" t="s">
        <v>5486</v>
      </c>
      <c r="K2405" s="26" t="s">
        <v>8700</v>
      </c>
      <c r="L2405" s="30">
        <v>338936412</v>
      </c>
      <c r="M2405" s="26" t="s">
        <v>910</v>
      </c>
      <c r="N2405" s="26" t="s">
        <v>3525</v>
      </c>
      <c r="O2405" s="26" t="s">
        <v>5488</v>
      </c>
      <c r="P2405" s="26" t="s">
        <v>5489</v>
      </c>
      <c r="Q2405" s="20">
        <v>15936</v>
      </c>
      <c r="R2405" s="26" t="s">
        <v>36</v>
      </c>
      <c r="S2405" s="31">
        <v>5000</v>
      </c>
      <c r="T2405" s="32">
        <v>45229</v>
      </c>
      <c r="U2405" s="31">
        <v>10936</v>
      </c>
      <c r="V2405" s="32">
        <v>45246</v>
      </c>
      <c r="W2405" s="26" t="s">
        <v>5490</v>
      </c>
      <c r="X2405" s="26"/>
      <c r="Y2405" s="22">
        <v>0</v>
      </c>
      <c r="Z2405" s="26" t="s">
        <v>118</v>
      </c>
      <c r="AA2405" s="19" t="s">
        <v>5785</v>
      </c>
      <c r="AB2405" s="26" t="s">
        <v>36</v>
      </c>
      <c r="AC2405" s="26" t="s">
        <v>53</v>
      </c>
      <c r="AD2405" s="19" t="s">
        <v>138</v>
      </c>
      <c r="AE2405" s="26" t="s">
        <v>5100</v>
      </c>
      <c r="AF2405" s="17">
        <v>45288</v>
      </c>
      <c r="AG2405" s="26" t="s">
        <v>5101</v>
      </c>
      <c r="AH2405" s="26"/>
      <c r="AI2405" s="40" t="s">
        <v>147</v>
      </c>
      <c r="AJ2405" s="26"/>
      <c r="AK2405" s="26"/>
      <c r="AL2405" s="35"/>
      <c r="AM2405" s="35"/>
      <c r="AN2405" s="35"/>
      <c r="AO2405" s="35"/>
      <c r="AP2405" s="35"/>
    </row>
    <row r="2406" spans="1:42" x14ac:dyDescent="0.2">
      <c r="A2406" s="99">
        <v>45481</v>
      </c>
      <c r="B2406" s="68" t="s">
        <v>37</v>
      </c>
      <c r="C2406" s="41" t="s">
        <v>118</v>
      </c>
      <c r="D2406" s="26" t="s">
        <v>36</v>
      </c>
      <c r="E2406" s="26" t="s">
        <v>139</v>
      </c>
      <c r="F2406" s="26" t="s">
        <v>8701</v>
      </c>
      <c r="G2406" s="26" t="s">
        <v>108</v>
      </c>
      <c r="H2406" s="26" t="s">
        <v>8702</v>
      </c>
      <c r="I2406" s="17">
        <f ca="1">IFERROR(__xludf.DUMMYFUNCTION("""COMPUTED_VALUE"""),45608)</f>
        <v>45608</v>
      </c>
      <c r="J2406" s="44" t="s">
        <v>5103</v>
      </c>
      <c r="K2406" s="26" t="s">
        <v>8703</v>
      </c>
      <c r="L2406" s="30">
        <v>911928302</v>
      </c>
      <c r="M2406" s="26" t="s">
        <v>3498</v>
      </c>
      <c r="N2406" s="26" t="s">
        <v>310</v>
      </c>
      <c r="O2406" s="26" t="s">
        <v>4503</v>
      </c>
      <c r="P2406" s="26" t="s">
        <v>4504</v>
      </c>
      <c r="Q2406" s="20">
        <v>15936</v>
      </c>
      <c r="R2406" s="26" t="s">
        <v>36</v>
      </c>
      <c r="S2406" s="31">
        <v>15936</v>
      </c>
      <c r="T2406" s="32">
        <v>45228</v>
      </c>
      <c r="U2406" s="31"/>
      <c r="V2406" s="26"/>
      <c r="W2406" s="33" t="s">
        <v>4505</v>
      </c>
      <c r="X2406" s="26"/>
      <c r="Y2406" s="22">
        <v>0</v>
      </c>
      <c r="Z2406" s="26" t="s">
        <v>118</v>
      </c>
      <c r="AA2406" s="19" t="s">
        <v>3454</v>
      </c>
      <c r="AB2406" s="26" t="s">
        <v>36</v>
      </c>
      <c r="AC2406" s="26" t="s">
        <v>53</v>
      </c>
      <c r="AD2406" s="19" t="s">
        <v>138</v>
      </c>
      <c r="AE2406" s="26" t="s">
        <v>5100</v>
      </c>
      <c r="AF2406" s="17">
        <v>45653</v>
      </c>
      <c r="AG2406" s="26" t="s">
        <v>5104</v>
      </c>
      <c r="AH2406" s="26"/>
      <c r="AI2406" s="40"/>
      <c r="AJ2406" s="26"/>
      <c r="AK2406" s="26"/>
      <c r="AL2406" s="35"/>
      <c r="AM2406" s="35"/>
      <c r="AN2406" s="35"/>
      <c r="AO2406" s="35"/>
      <c r="AP2406" s="35"/>
    </row>
    <row r="2407" spans="1:42" x14ac:dyDescent="0.2">
      <c r="A2407" s="99">
        <v>45481</v>
      </c>
      <c r="B2407" s="28" t="s">
        <v>37</v>
      </c>
      <c r="C2407" s="41" t="s">
        <v>118</v>
      </c>
      <c r="D2407" s="26" t="s">
        <v>36</v>
      </c>
      <c r="E2407" s="26" t="s">
        <v>56</v>
      </c>
      <c r="F2407" s="26" t="s">
        <v>5100</v>
      </c>
      <c r="G2407" s="26" t="s">
        <v>108</v>
      </c>
      <c r="H2407" s="26" t="s">
        <v>8704</v>
      </c>
      <c r="I2407" s="17">
        <f ca="1">IFERROR(__xludf.DUMMYFUNCTION("""COMPUTED_VALUE"""),45490)</f>
        <v>45490</v>
      </c>
      <c r="J2407" s="29" t="s">
        <v>6002</v>
      </c>
      <c r="K2407" s="26" t="s">
        <v>8705</v>
      </c>
      <c r="L2407" s="30">
        <v>389204443</v>
      </c>
      <c r="M2407" s="26" t="s">
        <v>123</v>
      </c>
      <c r="N2407" s="26" t="s">
        <v>4521</v>
      </c>
      <c r="O2407" s="26" t="s">
        <v>2737</v>
      </c>
      <c r="P2407" s="42" t="s">
        <v>8706</v>
      </c>
      <c r="Q2407" s="20">
        <v>9317</v>
      </c>
      <c r="R2407" s="26" t="s">
        <v>36</v>
      </c>
      <c r="S2407" s="31">
        <f>200+1768</f>
        <v>1968</v>
      </c>
      <c r="T2407" s="26" t="s">
        <v>6005</v>
      </c>
      <c r="U2407" s="31">
        <v>7349</v>
      </c>
      <c r="V2407" s="32">
        <v>45267</v>
      </c>
      <c r="W2407" s="33" t="s">
        <v>6006</v>
      </c>
      <c r="X2407" s="26"/>
      <c r="Y2407" s="22">
        <v>0</v>
      </c>
      <c r="Z2407" s="26" t="s">
        <v>118</v>
      </c>
      <c r="AA2407" s="19" t="s">
        <v>5785</v>
      </c>
      <c r="AB2407" s="26" t="s">
        <v>36</v>
      </c>
      <c r="AC2407" s="26" t="s">
        <v>53</v>
      </c>
      <c r="AD2407" s="19" t="s">
        <v>138</v>
      </c>
      <c r="AE2407" s="26" t="s">
        <v>5100</v>
      </c>
      <c r="AF2407" s="17">
        <v>45482</v>
      </c>
      <c r="AG2407" s="39" t="s">
        <v>8707</v>
      </c>
      <c r="AH2407" s="26"/>
      <c r="AI2407" s="40" t="s">
        <v>64</v>
      </c>
      <c r="AJ2407" s="26"/>
      <c r="AK2407" s="26"/>
      <c r="AL2407" s="35"/>
      <c r="AM2407" s="35"/>
      <c r="AN2407" s="35"/>
      <c r="AO2407" s="35"/>
      <c r="AP2407" s="35"/>
    </row>
    <row r="2408" spans="1:42" x14ac:dyDescent="0.2">
      <c r="A2408" s="99">
        <v>45481</v>
      </c>
      <c r="B2408" s="28" t="s">
        <v>37</v>
      </c>
      <c r="C2408" s="41" t="s">
        <v>118</v>
      </c>
      <c r="D2408" s="26" t="s">
        <v>36</v>
      </c>
      <c r="E2408" s="26" t="s">
        <v>139</v>
      </c>
      <c r="F2408" s="26" t="s">
        <v>7112</v>
      </c>
      <c r="G2408" s="26" t="s">
        <v>108</v>
      </c>
      <c r="H2408" s="26" t="s">
        <v>8708</v>
      </c>
      <c r="I2408" s="17">
        <f ca="1">IFERROR(__xludf.DUMMYFUNCTION("""COMPUTED_VALUE"""),45492)</f>
        <v>45492</v>
      </c>
      <c r="J2408" s="29" t="s">
        <v>8157</v>
      </c>
      <c r="K2408" s="26" t="s">
        <v>8158</v>
      </c>
      <c r="L2408" s="30">
        <v>386685516</v>
      </c>
      <c r="M2408" s="26" t="s">
        <v>3728</v>
      </c>
      <c r="N2408" s="26" t="s">
        <v>5312</v>
      </c>
      <c r="O2408" s="26" t="s">
        <v>8159</v>
      </c>
      <c r="P2408" s="42" t="s">
        <v>8709</v>
      </c>
      <c r="Q2408" s="20">
        <v>15936</v>
      </c>
      <c r="R2408" s="26" t="s">
        <v>36</v>
      </c>
      <c r="S2408" s="31">
        <v>2000</v>
      </c>
      <c r="T2408" s="32">
        <v>45367</v>
      </c>
      <c r="U2408" s="31">
        <v>13936</v>
      </c>
      <c r="V2408" s="32">
        <v>45410</v>
      </c>
      <c r="W2408" s="33" t="s">
        <v>8161</v>
      </c>
      <c r="X2408" s="26"/>
      <c r="Y2408" s="22">
        <v>0</v>
      </c>
      <c r="Z2408" s="26" t="s">
        <v>118</v>
      </c>
      <c r="AA2408" s="19" t="s">
        <v>8102</v>
      </c>
      <c r="AB2408" s="26" t="s">
        <v>36</v>
      </c>
      <c r="AC2408" s="26" t="s">
        <v>53</v>
      </c>
      <c r="AD2408" s="19" t="s">
        <v>54</v>
      </c>
      <c r="AE2408" s="26" t="s">
        <v>7112</v>
      </c>
      <c r="AF2408" s="17">
        <v>45488</v>
      </c>
      <c r="AG2408" s="26"/>
      <c r="AH2408" s="26"/>
      <c r="AI2408" s="40"/>
      <c r="AJ2408" s="26"/>
      <c r="AK2408" s="26"/>
      <c r="AL2408" s="35"/>
      <c r="AM2408" s="35"/>
      <c r="AN2408" s="35"/>
      <c r="AO2408" s="35"/>
      <c r="AP2408" s="35"/>
    </row>
    <row r="2409" spans="1:42" x14ac:dyDescent="0.2">
      <c r="A2409" s="99">
        <v>45481</v>
      </c>
      <c r="B2409" s="28" t="s">
        <v>37</v>
      </c>
      <c r="C2409" s="41" t="s">
        <v>118</v>
      </c>
      <c r="D2409" s="26" t="s">
        <v>36</v>
      </c>
      <c r="E2409" s="26" t="s">
        <v>139</v>
      </c>
      <c r="F2409" s="26" t="s">
        <v>4576</v>
      </c>
      <c r="G2409" s="26" t="s">
        <v>221</v>
      </c>
      <c r="H2409" s="26" t="s">
        <v>6976</v>
      </c>
      <c r="I2409" s="17">
        <f ca="1">IFERROR(__xludf.DUMMYFUNCTION("""COMPUTED_VALUE"""),45489)</f>
        <v>45489</v>
      </c>
      <c r="J2409" s="29" t="s">
        <v>4118</v>
      </c>
      <c r="K2409" s="26" t="s">
        <v>5073</v>
      </c>
      <c r="L2409" s="30">
        <v>367450851</v>
      </c>
      <c r="M2409" s="26" t="s">
        <v>123</v>
      </c>
      <c r="N2409" s="26" t="s">
        <v>4957</v>
      </c>
      <c r="O2409" s="26" t="s">
        <v>1313</v>
      </c>
      <c r="P2409" s="42" t="s">
        <v>5074</v>
      </c>
      <c r="Q2409" s="20">
        <v>15936</v>
      </c>
      <c r="R2409" s="26" t="s">
        <v>36</v>
      </c>
      <c r="S2409" s="31">
        <v>2000</v>
      </c>
      <c r="T2409" s="32">
        <v>45206</v>
      </c>
      <c r="U2409" s="31">
        <v>13936</v>
      </c>
      <c r="V2409" s="32">
        <v>45207</v>
      </c>
      <c r="W2409" s="33" t="s">
        <v>4121</v>
      </c>
      <c r="X2409" s="26"/>
      <c r="Y2409" s="22">
        <v>0</v>
      </c>
      <c r="Z2409" s="98" t="s">
        <v>118</v>
      </c>
      <c r="AA2409" s="19" t="s">
        <v>3454</v>
      </c>
      <c r="AB2409" s="26" t="s">
        <v>36</v>
      </c>
      <c r="AC2409" s="26" t="s">
        <v>53</v>
      </c>
      <c r="AD2409" s="14" t="s">
        <v>54</v>
      </c>
      <c r="AE2409" s="26" t="s">
        <v>4576</v>
      </c>
      <c r="AF2409" s="17">
        <v>45484</v>
      </c>
      <c r="AG2409" s="40"/>
      <c r="AH2409" s="26"/>
      <c r="AI2409" s="40"/>
      <c r="AJ2409" s="26"/>
      <c r="AK2409" s="26"/>
      <c r="AL2409" s="35"/>
      <c r="AM2409" s="35"/>
      <c r="AN2409" s="35"/>
      <c r="AO2409" s="35"/>
      <c r="AP2409" s="35"/>
    </row>
    <row r="2410" spans="1:42" x14ac:dyDescent="0.2">
      <c r="A2410" s="99">
        <v>45481</v>
      </c>
      <c r="B2410" s="68" t="s">
        <v>37</v>
      </c>
      <c r="C2410" s="41" t="s">
        <v>118</v>
      </c>
      <c r="D2410" s="26" t="s">
        <v>36</v>
      </c>
      <c r="E2410" s="26" t="s">
        <v>139</v>
      </c>
      <c r="F2410" s="26" t="s">
        <v>4869</v>
      </c>
      <c r="G2410" s="26" t="s">
        <v>108</v>
      </c>
      <c r="H2410" s="26" t="s">
        <v>6250</v>
      </c>
      <c r="I2410" s="17">
        <f ca="1">IFERROR(__xludf.DUMMYFUNCTION("""COMPUTED_VALUE"""),45495)</f>
        <v>45495</v>
      </c>
      <c r="J2410" s="29" t="s">
        <v>5233</v>
      </c>
      <c r="K2410" s="26" t="s">
        <v>8710</v>
      </c>
      <c r="L2410" s="30">
        <v>859088883</v>
      </c>
      <c r="M2410" s="26" t="s">
        <v>80</v>
      </c>
      <c r="N2410" s="26" t="s">
        <v>299</v>
      </c>
      <c r="O2410" s="26" t="s">
        <v>5235</v>
      </c>
      <c r="P2410" s="26" t="s">
        <v>5236</v>
      </c>
      <c r="Q2410" s="20">
        <v>15936</v>
      </c>
      <c r="R2410" s="26" t="s">
        <v>36</v>
      </c>
      <c r="S2410" s="31">
        <v>2000</v>
      </c>
      <c r="T2410" s="32">
        <v>45204</v>
      </c>
      <c r="U2410" s="31">
        <v>13936</v>
      </c>
      <c r="V2410" s="32">
        <v>45246</v>
      </c>
      <c r="W2410" s="33" t="s">
        <v>5237</v>
      </c>
      <c r="X2410" s="26"/>
      <c r="Y2410" s="22">
        <v>0</v>
      </c>
      <c r="Z2410" s="26" t="s">
        <v>118</v>
      </c>
      <c r="AA2410" s="19" t="s">
        <v>5785</v>
      </c>
      <c r="AB2410" s="26" t="s">
        <v>36</v>
      </c>
      <c r="AC2410" s="26" t="s">
        <v>53</v>
      </c>
      <c r="AD2410" s="19" t="s">
        <v>138</v>
      </c>
      <c r="AE2410" s="26" t="s">
        <v>4869</v>
      </c>
      <c r="AF2410" s="17">
        <v>45300</v>
      </c>
      <c r="AG2410" s="26" t="s">
        <v>1362</v>
      </c>
      <c r="AH2410" s="26"/>
      <c r="AI2410" s="40" t="s">
        <v>147</v>
      </c>
      <c r="AJ2410" s="26"/>
      <c r="AK2410" s="26"/>
      <c r="AL2410" s="35"/>
      <c r="AM2410" s="35"/>
      <c r="AN2410" s="35"/>
      <c r="AO2410" s="35"/>
      <c r="AP2410" s="35"/>
    </row>
    <row r="2411" spans="1:42" x14ac:dyDescent="0.2">
      <c r="A2411" s="99">
        <v>45483</v>
      </c>
      <c r="B2411" s="28" t="s">
        <v>37</v>
      </c>
      <c r="C2411" s="41" t="s">
        <v>118</v>
      </c>
      <c r="D2411" s="26" t="s">
        <v>36</v>
      </c>
      <c r="E2411" s="26" t="s">
        <v>139</v>
      </c>
      <c r="F2411" s="26" t="s">
        <v>4931</v>
      </c>
      <c r="G2411" s="26" t="s">
        <v>221</v>
      </c>
      <c r="H2411" s="26" t="s">
        <v>8026</v>
      </c>
      <c r="I2411" s="17">
        <f ca="1">IFERROR(__xludf.DUMMYFUNCTION("""COMPUTED_VALUE"""),45495)</f>
        <v>45495</v>
      </c>
      <c r="J2411" s="29" t="s">
        <v>7109</v>
      </c>
      <c r="K2411" s="26" t="s">
        <v>206</v>
      </c>
      <c r="L2411" s="30">
        <v>398242362</v>
      </c>
      <c r="M2411" s="26" t="s">
        <v>5429</v>
      </c>
      <c r="N2411" s="26" t="s">
        <v>81</v>
      </c>
      <c r="O2411" s="26" t="s">
        <v>7110</v>
      </c>
      <c r="P2411" s="26" t="s">
        <v>6368</v>
      </c>
      <c r="Q2411" s="20">
        <v>15936</v>
      </c>
      <c r="R2411" s="26" t="s">
        <v>70</v>
      </c>
      <c r="S2411" s="31">
        <v>2000</v>
      </c>
      <c r="T2411" s="32">
        <v>45299</v>
      </c>
      <c r="U2411" s="31">
        <v>13236</v>
      </c>
      <c r="V2411" s="32">
        <v>45333</v>
      </c>
      <c r="W2411" s="33" t="s">
        <v>7111</v>
      </c>
      <c r="X2411" s="26"/>
      <c r="Y2411" s="22">
        <v>700</v>
      </c>
      <c r="Z2411" s="26" t="s">
        <v>118</v>
      </c>
      <c r="AA2411" s="19" t="s">
        <v>7348</v>
      </c>
      <c r="AB2411" s="26" t="s">
        <v>36</v>
      </c>
      <c r="AC2411" s="26" t="s">
        <v>53</v>
      </c>
      <c r="AD2411" s="19" t="s">
        <v>138</v>
      </c>
      <c r="AE2411" s="26" t="s">
        <v>4931</v>
      </c>
      <c r="AF2411" s="17">
        <v>45495</v>
      </c>
      <c r="AG2411" s="26" t="s">
        <v>1362</v>
      </c>
      <c r="AH2411" s="26"/>
      <c r="AI2411" s="40" t="s">
        <v>147</v>
      </c>
      <c r="AJ2411" s="26"/>
      <c r="AK2411" s="26"/>
      <c r="AL2411" s="35"/>
      <c r="AM2411" s="35"/>
      <c r="AN2411" s="35"/>
      <c r="AO2411" s="35"/>
      <c r="AP2411" s="35"/>
    </row>
    <row r="2412" spans="1:42" x14ac:dyDescent="0.2">
      <c r="A2412" s="99">
        <v>45483</v>
      </c>
      <c r="B2412" s="28" t="s">
        <v>37</v>
      </c>
      <c r="C2412" s="41" t="s">
        <v>118</v>
      </c>
      <c r="D2412" s="26" t="s">
        <v>36</v>
      </c>
      <c r="E2412" s="26" t="s">
        <v>139</v>
      </c>
      <c r="F2412" s="26" t="s">
        <v>5037</v>
      </c>
      <c r="G2412" s="26" t="s">
        <v>221</v>
      </c>
      <c r="H2412" s="26" t="s">
        <v>8026</v>
      </c>
      <c r="I2412" s="17">
        <f ca="1">IFERROR(__xludf.DUMMYFUNCTION("""COMPUTED_VALUE"""),45495)</f>
        <v>45495</v>
      </c>
      <c r="J2412" s="29" t="s">
        <v>4049</v>
      </c>
      <c r="K2412" s="26" t="s">
        <v>8711</v>
      </c>
      <c r="L2412" s="30">
        <v>967514532</v>
      </c>
      <c r="M2412" s="26" t="s">
        <v>123</v>
      </c>
      <c r="N2412" s="26" t="s">
        <v>186</v>
      </c>
      <c r="O2412" s="26" t="s">
        <v>1226</v>
      </c>
      <c r="P2412" s="42" t="s">
        <v>5039</v>
      </c>
      <c r="Q2412" s="20">
        <v>15936</v>
      </c>
      <c r="R2412" s="26" t="s">
        <v>36</v>
      </c>
      <c r="S2412" s="31">
        <v>4000</v>
      </c>
      <c r="T2412" s="32">
        <v>45202</v>
      </c>
      <c r="U2412" s="31">
        <v>11936</v>
      </c>
      <c r="V2412" s="32">
        <v>45226</v>
      </c>
      <c r="W2412" s="55" t="s">
        <v>4051</v>
      </c>
      <c r="X2412" s="26"/>
      <c r="Y2412" s="22">
        <v>0</v>
      </c>
      <c r="Z2412" s="26" t="s">
        <v>118</v>
      </c>
      <c r="AA2412" s="19" t="s">
        <v>3454</v>
      </c>
      <c r="AB2412" s="26" t="s">
        <v>36</v>
      </c>
      <c r="AC2412" s="26" t="s">
        <v>53</v>
      </c>
      <c r="AD2412" s="19" t="s">
        <v>138</v>
      </c>
      <c r="AE2412" s="26" t="s">
        <v>5037</v>
      </c>
      <c r="AF2412" s="17">
        <v>45495</v>
      </c>
      <c r="AG2412" s="26" t="s">
        <v>1362</v>
      </c>
      <c r="AH2412" s="26"/>
      <c r="AI2412" s="40"/>
      <c r="AJ2412" s="26"/>
      <c r="AK2412" s="26"/>
      <c r="AL2412" s="35"/>
      <c r="AM2412" s="35"/>
      <c r="AN2412" s="35"/>
      <c r="AO2412" s="35"/>
      <c r="AP2412" s="35"/>
    </row>
    <row r="2413" spans="1:42" x14ac:dyDescent="0.2">
      <c r="A2413" s="99">
        <v>45483</v>
      </c>
      <c r="B2413" s="28" t="s">
        <v>37</v>
      </c>
      <c r="C2413" s="41" t="s">
        <v>118</v>
      </c>
      <c r="D2413" s="26" t="s">
        <v>36</v>
      </c>
      <c r="E2413" s="26" t="s">
        <v>139</v>
      </c>
      <c r="F2413" s="26" t="s">
        <v>3407</v>
      </c>
      <c r="G2413" s="26" t="s">
        <v>221</v>
      </c>
      <c r="H2413" s="26" t="s">
        <v>6976</v>
      </c>
      <c r="I2413" s="17">
        <f ca="1">IFERROR(__xludf.DUMMYFUNCTION("""COMPUTED_VALUE"""),45489)</f>
        <v>45489</v>
      </c>
      <c r="J2413" s="29" t="s">
        <v>5481</v>
      </c>
      <c r="K2413" s="26" t="s">
        <v>5482</v>
      </c>
      <c r="L2413" s="30">
        <v>332762963</v>
      </c>
      <c r="M2413" s="26" t="s">
        <v>80</v>
      </c>
      <c r="N2413" s="26" t="s">
        <v>186</v>
      </c>
      <c r="O2413" s="26" t="s">
        <v>5483</v>
      </c>
      <c r="P2413" s="42" t="s">
        <v>8712</v>
      </c>
      <c r="Q2413" s="20">
        <v>15936</v>
      </c>
      <c r="R2413" s="26" t="s">
        <v>36</v>
      </c>
      <c r="S2413" s="31">
        <v>2000</v>
      </c>
      <c r="T2413" s="32">
        <v>45225</v>
      </c>
      <c r="U2413" s="31">
        <v>13936</v>
      </c>
      <c r="V2413" s="32">
        <v>45257</v>
      </c>
      <c r="W2413" s="33" t="s">
        <v>5485</v>
      </c>
      <c r="X2413" s="26"/>
      <c r="Y2413" s="22">
        <v>0</v>
      </c>
      <c r="Z2413" s="98" t="s">
        <v>118</v>
      </c>
      <c r="AA2413" s="19" t="s">
        <v>5112</v>
      </c>
      <c r="AB2413" s="26" t="s">
        <v>36</v>
      </c>
      <c r="AC2413" s="26" t="s">
        <v>53</v>
      </c>
      <c r="AD2413" s="14" t="s">
        <v>138</v>
      </c>
      <c r="AE2413" s="26" t="s">
        <v>3407</v>
      </c>
      <c r="AF2413" s="17">
        <v>45484</v>
      </c>
      <c r="AG2413" s="91"/>
      <c r="AH2413" s="26"/>
      <c r="AI2413" s="40" t="s">
        <v>147</v>
      </c>
      <c r="AJ2413" s="26"/>
      <c r="AK2413" s="26"/>
      <c r="AL2413" s="35"/>
      <c r="AM2413" s="35"/>
      <c r="AN2413" s="35"/>
      <c r="AO2413" s="35"/>
      <c r="AP2413" s="35"/>
    </row>
    <row r="2414" spans="1:42" x14ac:dyDescent="0.2">
      <c r="A2414" s="99">
        <v>45484</v>
      </c>
      <c r="B2414" s="28" t="s">
        <v>37</v>
      </c>
      <c r="C2414" s="41" t="s">
        <v>118</v>
      </c>
      <c r="D2414" s="26" t="s">
        <v>36</v>
      </c>
      <c r="E2414" s="26" t="s">
        <v>139</v>
      </c>
      <c r="F2414" s="26" t="s">
        <v>3366</v>
      </c>
      <c r="G2414" s="26" t="s">
        <v>221</v>
      </c>
      <c r="H2414" s="26" t="s">
        <v>6615</v>
      </c>
      <c r="I2414" s="17">
        <f ca="1">IFERROR(__xludf.DUMMYFUNCTION("""COMPUTED_VALUE"""),45496)</f>
        <v>45496</v>
      </c>
      <c r="J2414" s="29" t="s">
        <v>4510</v>
      </c>
      <c r="K2414" s="26" t="s">
        <v>4511</v>
      </c>
      <c r="L2414" s="30">
        <v>988467310</v>
      </c>
      <c r="M2414" s="26" t="s">
        <v>123</v>
      </c>
      <c r="N2414" s="26" t="s">
        <v>186</v>
      </c>
      <c r="O2414" s="26" t="s">
        <v>4503</v>
      </c>
      <c r="P2414" s="42" t="s">
        <v>8713</v>
      </c>
      <c r="Q2414" s="20">
        <v>15936</v>
      </c>
      <c r="R2414" s="26" t="s">
        <v>36</v>
      </c>
      <c r="S2414" s="31">
        <v>15936</v>
      </c>
      <c r="T2414" s="32">
        <v>45226</v>
      </c>
      <c r="U2414" s="31"/>
      <c r="V2414" s="26"/>
      <c r="W2414" s="33" t="s">
        <v>4513</v>
      </c>
      <c r="X2414" s="26"/>
      <c r="Y2414" s="22">
        <v>0</v>
      </c>
      <c r="Z2414" s="98" t="s">
        <v>118</v>
      </c>
      <c r="AA2414" s="19" t="s">
        <v>3454</v>
      </c>
      <c r="AB2414" s="26" t="s">
        <v>36</v>
      </c>
      <c r="AC2414" s="26" t="s">
        <v>53</v>
      </c>
      <c r="AD2414" s="19" t="s">
        <v>138</v>
      </c>
      <c r="AE2414" s="26" t="s">
        <v>3366</v>
      </c>
      <c r="AF2414" s="102">
        <v>45490</v>
      </c>
      <c r="AG2414" s="26"/>
      <c r="AH2414" s="26"/>
      <c r="AI2414" s="40"/>
      <c r="AJ2414" s="26"/>
      <c r="AK2414" s="26"/>
      <c r="AL2414" s="35"/>
      <c r="AM2414" s="35"/>
      <c r="AN2414" s="35"/>
      <c r="AO2414" s="35"/>
      <c r="AP2414" s="35"/>
    </row>
    <row r="2415" spans="1:42" x14ac:dyDescent="0.2">
      <c r="A2415" s="99">
        <v>45484</v>
      </c>
      <c r="B2415" s="28" t="s">
        <v>37</v>
      </c>
      <c r="C2415" s="41" t="s">
        <v>118</v>
      </c>
      <c r="D2415" s="26" t="s">
        <v>77</v>
      </c>
      <c r="E2415" s="26" t="s">
        <v>148</v>
      </c>
      <c r="F2415" s="26" t="s">
        <v>3366</v>
      </c>
      <c r="G2415" s="26" t="s">
        <v>221</v>
      </c>
      <c r="H2415" s="26" t="s">
        <v>6615</v>
      </c>
      <c r="I2415" s="17">
        <f ca="1">IFERROR(__xludf.DUMMYFUNCTION("""COMPUTED_VALUE"""),45496)</f>
        <v>45496</v>
      </c>
      <c r="J2415" s="29" t="s">
        <v>4410</v>
      </c>
      <c r="K2415" s="26" t="s">
        <v>6462</v>
      </c>
      <c r="L2415" s="30">
        <v>976043201</v>
      </c>
      <c r="M2415" s="26" t="s">
        <v>59</v>
      </c>
      <c r="N2415" s="26" t="s">
        <v>68</v>
      </c>
      <c r="O2415" s="26" t="s">
        <v>4411</v>
      </c>
      <c r="P2415" s="42" t="s">
        <v>8714</v>
      </c>
      <c r="Q2415" s="20">
        <v>7349</v>
      </c>
      <c r="R2415" s="26" t="s">
        <v>36</v>
      </c>
      <c r="S2415" s="31">
        <v>7249</v>
      </c>
      <c r="T2415" s="32">
        <v>45281</v>
      </c>
      <c r="U2415" s="31"/>
      <c r="V2415" s="32"/>
      <c r="W2415" s="33" t="s">
        <v>6464</v>
      </c>
      <c r="X2415" s="26"/>
      <c r="Y2415" s="22">
        <v>100</v>
      </c>
      <c r="Z2415" s="98" t="s">
        <v>118</v>
      </c>
      <c r="AA2415" s="19" t="s">
        <v>5961</v>
      </c>
      <c r="AB2415" s="26" t="s">
        <v>36</v>
      </c>
      <c r="AC2415" s="26" t="s">
        <v>53</v>
      </c>
      <c r="AD2415" s="19" t="s">
        <v>54</v>
      </c>
      <c r="AE2415" s="26" t="s">
        <v>3366</v>
      </c>
      <c r="AF2415" s="102">
        <v>45490</v>
      </c>
      <c r="AG2415" s="26"/>
      <c r="AH2415" s="26">
        <v>2</v>
      </c>
      <c r="AI2415" s="40"/>
      <c r="AJ2415" s="26"/>
      <c r="AK2415" s="26"/>
      <c r="AL2415" s="35"/>
      <c r="AM2415" s="35"/>
      <c r="AN2415" s="35"/>
      <c r="AO2415" s="35"/>
      <c r="AP2415" s="35"/>
    </row>
    <row r="2416" spans="1:42" x14ac:dyDescent="0.2">
      <c r="A2416" s="99">
        <v>45484</v>
      </c>
      <c r="B2416" s="28" t="s">
        <v>37</v>
      </c>
      <c r="C2416" s="41" t="s">
        <v>118</v>
      </c>
      <c r="D2416" s="26" t="s">
        <v>36</v>
      </c>
      <c r="E2416" s="26" t="s">
        <v>139</v>
      </c>
      <c r="F2416" s="26" t="s">
        <v>3366</v>
      </c>
      <c r="G2416" s="26" t="s">
        <v>221</v>
      </c>
      <c r="H2416" s="26" t="s">
        <v>6615</v>
      </c>
      <c r="I2416" s="17">
        <f ca="1">IFERROR(__xludf.DUMMYFUNCTION("""COMPUTED_VALUE"""),45496)</f>
        <v>45496</v>
      </c>
      <c r="J2416" s="29" t="s">
        <v>6255</v>
      </c>
      <c r="K2416" s="26" t="s">
        <v>6256</v>
      </c>
      <c r="L2416" s="30">
        <v>966809024</v>
      </c>
      <c r="M2416" s="26" t="s">
        <v>348</v>
      </c>
      <c r="N2416" s="26" t="s">
        <v>200</v>
      </c>
      <c r="O2416" s="26" t="s">
        <v>6257</v>
      </c>
      <c r="P2416" s="42" t="s">
        <v>8715</v>
      </c>
      <c r="Q2416" s="20">
        <v>15936</v>
      </c>
      <c r="R2416" s="26" t="s">
        <v>36</v>
      </c>
      <c r="S2416" s="31">
        <v>2000</v>
      </c>
      <c r="T2416" s="32">
        <v>45241</v>
      </c>
      <c r="U2416" s="31">
        <v>13936</v>
      </c>
      <c r="V2416" s="32">
        <v>45265</v>
      </c>
      <c r="W2416" s="33" t="s">
        <v>6259</v>
      </c>
      <c r="X2416" s="26"/>
      <c r="Y2416" s="22">
        <v>0</v>
      </c>
      <c r="Z2416" s="26" t="s">
        <v>118</v>
      </c>
      <c r="AA2416" s="19" t="s">
        <v>5961</v>
      </c>
      <c r="AB2416" s="26" t="s">
        <v>36</v>
      </c>
      <c r="AC2416" s="26" t="s">
        <v>53</v>
      </c>
      <c r="AD2416" s="19" t="s">
        <v>54</v>
      </c>
      <c r="AE2416" s="26" t="s">
        <v>3366</v>
      </c>
      <c r="AF2416" s="102">
        <v>45490</v>
      </c>
      <c r="AG2416" s="26"/>
      <c r="AH2416" s="26">
        <v>1</v>
      </c>
      <c r="AI2416" s="40"/>
      <c r="AJ2416" s="26"/>
      <c r="AK2416" s="26"/>
      <c r="AL2416" s="35"/>
      <c r="AM2416" s="35"/>
      <c r="AN2416" s="35"/>
      <c r="AO2416" s="35"/>
      <c r="AP2416" s="35"/>
    </row>
    <row r="2417" spans="1:42" x14ac:dyDescent="0.2">
      <c r="A2417" s="126">
        <v>45382.981991249995</v>
      </c>
      <c r="B2417" s="28" t="s">
        <v>37</v>
      </c>
      <c r="C2417" s="41" t="s">
        <v>118</v>
      </c>
      <c r="D2417" s="26" t="s">
        <v>36</v>
      </c>
      <c r="E2417" s="26" t="s">
        <v>77</v>
      </c>
      <c r="F2417" s="26" t="s">
        <v>36</v>
      </c>
      <c r="G2417" s="26" t="s">
        <v>41</v>
      </c>
      <c r="H2417" s="26" t="s">
        <v>7313</v>
      </c>
      <c r="I2417" s="17">
        <f ca="1">IFERROR(__xludf.DUMMYFUNCTION("""COMPUTED_VALUE"""),45394)</f>
        <v>45394</v>
      </c>
      <c r="J2417" s="29" t="s">
        <v>8716</v>
      </c>
      <c r="K2417" s="26" t="s">
        <v>8717</v>
      </c>
      <c r="L2417" s="30">
        <v>343319721</v>
      </c>
      <c r="M2417" s="26" t="s">
        <v>910</v>
      </c>
      <c r="N2417" s="26" t="s">
        <v>3525</v>
      </c>
      <c r="O2417" s="26" t="s">
        <v>8718</v>
      </c>
      <c r="P2417" s="26" t="s">
        <v>8719</v>
      </c>
      <c r="Q2417" s="20">
        <v>1968</v>
      </c>
      <c r="R2417" s="26" t="s">
        <v>36</v>
      </c>
      <c r="S2417" s="31">
        <v>2000</v>
      </c>
      <c r="T2417" s="32">
        <v>45382</v>
      </c>
      <c r="U2417" s="31"/>
      <c r="V2417" s="32"/>
      <c r="W2417" s="33" t="s">
        <v>8720</v>
      </c>
      <c r="X2417" s="26"/>
      <c r="Y2417" s="22">
        <v>-32</v>
      </c>
      <c r="Z2417" s="26" t="s">
        <v>50</v>
      </c>
      <c r="AA2417" s="19" t="s">
        <v>8721</v>
      </c>
      <c r="AB2417" s="26"/>
      <c r="AC2417" s="26" t="s">
        <v>53</v>
      </c>
      <c r="AD2417" s="19" t="s">
        <v>54</v>
      </c>
      <c r="AE2417" s="26"/>
      <c r="AF2417" s="17">
        <v>45383</v>
      </c>
      <c r="AG2417" s="26" t="s">
        <v>8722</v>
      </c>
      <c r="AH2417" s="26"/>
      <c r="AI2417" s="40"/>
      <c r="AJ2417" s="26"/>
      <c r="AK2417" s="26"/>
      <c r="AL2417" s="35"/>
      <c r="AM2417" s="35"/>
      <c r="AN2417" s="35"/>
      <c r="AO2417" s="35"/>
      <c r="AP2417" s="35"/>
    </row>
    <row r="2418" spans="1:42" x14ac:dyDescent="0.2">
      <c r="A2418" s="126">
        <v>45432.556964143514</v>
      </c>
      <c r="B2418" s="28" t="s">
        <v>37</v>
      </c>
      <c r="C2418" s="41" t="s">
        <v>118</v>
      </c>
      <c r="D2418" s="26" t="s">
        <v>36</v>
      </c>
      <c r="E2418" s="26" t="s">
        <v>139</v>
      </c>
      <c r="F2418" s="26" t="s">
        <v>36</v>
      </c>
      <c r="G2418" s="26" t="s">
        <v>41</v>
      </c>
      <c r="H2418" s="26" t="s">
        <v>8479</v>
      </c>
      <c r="I2418" s="17">
        <f ca="1">IFERROR(__xludf.DUMMYFUNCTION("""COMPUTED_VALUE"""),45449)</f>
        <v>45449</v>
      </c>
      <c r="J2418" s="29" t="s">
        <v>8723</v>
      </c>
      <c r="K2418" s="26" t="s">
        <v>8724</v>
      </c>
      <c r="L2418" s="30">
        <v>869245801</v>
      </c>
      <c r="M2418" s="26" t="s">
        <v>3728</v>
      </c>
      <c r="N2418" s="26" t="s">
        <v>8725</v>
      </c>
      <c r="O2418" s="26" t="s">
        <v>8726</v>
      </c>
      <c r="P2418" s="26" t="s">
        <v>8727</v>
      </c>
      <c r="Q2418" s="20">
        <v>15936</v>
      </c>
      <c r="R2418" s="26" t="s">
        <v>36</v>
      </c>
      <c r="S2418" s="31">
        <v>2000</v>
      </c>
      <c r="T2418" s="32">
        <v>45432</v>
      </c>
      <c r="U2418" s="31">
        <v>13936</v>
      </c>
      <c r="V2418" s="32">
        <v>45467</v>
      </c>
      <c r="W2418" s="33" t="s">
        <v>8728</v>
      </c>
      <c r="X2418" s="26"/>
      <c r="Y2418" s="22">
        <v>0</v>
      </c>
      <c r="Z2418" s="26" t="s">
        <v>50</v>
      </c>
      <c r="AA2418" s="19" t="s">
        <v>8721</v>
      </c>
      <c r="AB2418" s="26" t="s">
        <v>36</v>
      </c>
      <c r="AC2418" s="26" t="s">
        <v>53</v>
      </c>
      <c r="AD2418" s="19" t="s">
        <v>54</v>
      </c>
      <c r="AE2418" s="26"/>
      <c r="AF2418" s="17">
        <v>45435</v>
      </c>
      <c r="AG2418" s="26"/>
      <c r="AH2418" s="26"/>
      <c r="AI2418" s="40"/>
      <c r="AJ2418" s="26"/>
      <c r="AK2418" s="26"/>
      <c r="AL2418" s="35"/>
      <c r="AM2418" s="35"/>
      <c r="AN2418" s="35"/>
      <c r="AO2418" s="35"/>
      <c r="AP2418" s="35"/>
    </row>
    <row r="2419" spans="1:42" x14ac:dyDescent="0.2">
      <c r="A2419" s="126">
        <v>45443.627643819447</v>
      </c>
      <c r="B2419" s="28" t="s">
        <v>37</v>
      </c>
      <c r="C2419" s="41" t="s">
        <v>118</v>
      </c>
      <c r="D2419" s="26" t="s">
        <v>36</v>
      </c>
      <c r="E2419" s="26" t="s">
        <v>106</v>
      </c>
      <c r="F2419" s="26" t="s">
        <v>36</v>
      </c>
      <c r="G2419" s="26" t="s">
        <v>108</v>
      </c>
      <c r="H2419" s="26" t="s">
        <v>5730</v>
      </c>
      <c r="I2419" s="17">
        <f ca="1">IFERROR(__xludf.DUMMYFUNCTION("""COMPUTED_VALUE"""),45452)</f>
        <v>45452</v>
      </c>
      <c r="J2419" s="29" t="s">
        <v>8729</v>
      </c>
      <c r="K2419" s="26" t="s">
        <v>8730</v>
      </c>
      <c r="L2419" s="30">
        <v>862875222</v>
      </c>
      <c r="M2419" s="26" t="s">
        <v>348</v>
      </c>
      <c r="N2419" s="26" t="s">
        <v>200</v>
      </c>
      <c r="O2419" s="26" t="s">
        <v>8731</v>
      </c>
      <c r="P2419" s="26" t="s">
        <v>8732</v>
      </c>
      <c r="Q2419" s="20">
        <v>3768</v>
      </c>
      <c r="R2419" s="26" t="s">
        <v>36</v>
      </c>
      <c r="S2419" s="31">
        <v>500</v>
      </c>
      <c r="T2419" s="32">
        <v>45443</v>
      </c>
      <c r="U2419" s="31">
        <v>3268</v>
      </c>
      <c r="V2419" s="32">
        <v>45448</v>
      </c>
      <c r="W2419" s="33" t="s">
        <v>8733</v>
      </c>
      <c r="X2419" s="26"/>
      <c r="Y2419" s="22">
        <v>0</v>
      </c>
      <c r="Z2419" s="26" t="s">
        <v>50</v>
      </c>
      <c r="AA2419" s="19" t="s">
        <v>8721</v>
      </c>
      <c r="AB2419" s="26" t="s">
        <v>36</v>
      </c>
      <c r="AC2419" s="26" t="s">
        <v>53</v>
      </c>
      <c r="AD2419" s="19" t="s">
        <v>54</v>
      </c>
      <c r="AE2419" s="26">
        <v>500</v>
      </c>
      <c r="AF2419" s="17">
        <v>45447</v>
      </c>
      <c r="AG2419" s="26"/>
      <c r="AH2419" s="26"/>
      <c r="AI2419" s="40"/>
      <c r="AJ2419" s="26"/>
      <c r="AK2419" s="26"/>
      <c r="AL2419" s="35"/>
      <c r="AM2419" s="35"/>
      <c r="AN2419" s="35"/>
      <c r="AO2419" s="35"/>
      <c r="AP2419" s="35"/>
    </row>
    <row r="2420" spans="1:42" x14ac:dyDescent="0.2">
      <c r="A2420" s="126">
        <v>45446.362627037037</v>
      </c>
      <c r="B2420" s="28" t="s">
        <v>37</v>
      </c>
      <c r="C2420" s="41" t="s">
        <v>118</v>
      </c>
      <c r="D2420" s="26" t="s">
        <v>36</v>
      </c>
      <c r="E2420" s="26" t="s">
        <v>119</v>
      </c>
      <c r="F2420" s="26" t="s">
        <v>36</v>
      </c>
      <c r="G2420" s="26" t="s">
        <v>108</v>
      </c>
      <c r="H2420" s="26" t="s">
        <v>7355</v>
      </c>
      <c r="I2420" s="17">
        <f ca="1">IFERROR(__xludf.DUMMYFUNCTION("""COMPUTED_VALUE"""),45452)</f>
        <v>45452</v>
      </c>
      <c r="J2420" s="29" t="s">
        <v>8734</v>
      </c>
      <c r="K2420" s="26" t="s">
        <v>8735</v>
      </c>
      <c r="L2420" s="30">
        <v>878818999</v>
      </c>
      <c r="M2420" s="26" t="s">
        <v>348</v>
      </c>
      <c r="N2420" s="26" t="s">
        <v>200</v>
      </c>
      <c r="O2420" s="26" t="s">
        <v>8736</v>
      </c>
      <c r="P2420" s="26" t="s">
        <v>3117</v>
      </c>
      <c r="Q2420" s="20">
        <v>13968</v>
      </c>
      <c r="R2420" s="26" t="s">
        <v>36</v>
      </c>
      <c r="S2420" s="31">
        <f>1000+2768</f>
        <v>3768</v>
      </c>
      <c r="T2420" s="26" t="s">
        <v>8737</v>
      </c>
      <c r="U2420" s="31">
        <v>10200</v>
      </c>
      <c r="V2420" s="32">
        <v>45465</v>
      </c>
      <c r="W2420" s="33" t="s">
        <v>8738</v>
      </c>
      <c r="X2420" s="26"/>
      <c r="Y2420" s="22">
        <v>0</v>
      </c>
      <c r="Z2420" s="26" t="s">
        <v>50</v>
      </c>
      <c r="AA2420" s="19" t="s">
        <v>8721</v>
      </c>
      <c r="AB2420" s="26" t="s">
        <v>36</v>
      </c>
      <c r="AC2420" s="26" t="s">
        <v>53</v>
      </c>
      <c r="AD2420" s="19" t="s">
        <v>138</v>
      </c>
      <c r="AE2420" s="26">
        <v>460</v>
      </c>
      <c r="AF2420" s="17">
        <v>45452</v>
      </c>
      <c r="AG2420" s="26" t="s">
        <v>7840</v>
      </c>
      <c r="AH2420" s="26"/>
      <c r="AI2420" s="40"/>
      <c r="AJ2420" s="26"/>
      <c r="AK2420" s="26"/>
      <c r="AL2420" s="35"/>
      <c r="AM2420" s="35"/>
      <c r="AN2420" s="35"/>
      <c r="AO2420" s="35"/>
      <c r="AP2420" s="35"/>
    </row>
    <row r="2421" spans="1:42" x14ac:dyDescent="0.2">
      <c r="A2421" s="126">
        <v>45447.578990810187</v>
      </c>
      <c r="B2421" s="28" t="s">
        <v>37</v>
      </c>
      <c r="C2421" s="41" t="s">
        <v>118</v>
      </c>
      <c r="D2421" s="26" t="s">
        <v>36</v>
      </c>
      <c r="E2421" s="26" t="s">
        <v>119</v>
      </c>
      <c r="F2421" s="26" t="s">
        <v>8739</v>
      </c>
      <c r="G2421" s="26" t="s">
        <v>108</v>
      </c>
      <c r="H2421" s="26" t="s">
        <v>7365</v>
      </c>
      <c r="I2421" s="17">
        <f ca="1">IFERROR(__xludf.DUMMYFUNCTION("""COMPUTED_VALUE"""),45468)</f>
        <v>45468</v>
      </c>
      <c r="J2421" s="29" t="s">
        <v>8740</v>
      </c>
      <c r="K2421" s="26" t="s">
        <v>8741</v>
      </c>
      <c r="L2421" s="30">
        <v>963315982</v>
      </c>
      <c r="M2421" s="26" t="s">
        <v>3288</v>
      </c>
      <c r="N2421" s="26" t="s">
        <v>200</v>
      </c>
      <c r="O2421" s="26" t="s">
        <v>91</v>
      </c>
      <c r="P2421" s="26" t="s">
        <v>8742</v>
      </c>
      <c r="Q2421" s="20">
        <v>13968</v>
      </c>
      <c r="R2421" s="26" t="s">
        <v>36</v>
      </c>
      <c r="S2421" s="31">
        <v>7500</v>
      </c>
      <c r="T2421" s="32">
        <v>45416</v>
      </c>
      <c r="U2421" s="31">
        <v>6468</v>
      </c>
      <c r="V2421" s="32">
        <v>45445</v>
      </c>
      <c r="W2421" s="26" t="s">
        <v>8743</v>
      </c>
      <c r="X2421" s="26"/>
      <c r="Y2421" s="22">
        <v>0</v>
      </c>
      <c r="Z2421" s="26" t="s">
        <v>50</v>
      </c>
      <c r="AA2421" s="19" t="s">
        <v>8721</v>
      </c>
      <c r="AB2421" s="26" t="s">
        <v>36</v>
      </c>
      <c r="AC2421" s="26" t="s">
        <v>53</v>
      </c>
      <c r="AD2421" s="19" t="s">
        <v>54</v>
      </c>
      <c r="AE2421" s="26">
        <v>460</v>
      </c>
      <c r="AF2421" s="17">
        <v>45453</v>
      </c>
      <c r="AG2421" s="26"/>
      <c r="AH2421" s="26"/>
      <c r="AI2421" s="40"/>
      <c r="AJ2421" s="26"/>
      <c r="AK2421" s="26"/>
      <c r="AL2421" s="35"/>
      <c r="AM2421" s="35"/>
      <c r="AN2421" s="35"/>
      <c r="AO2421" s="35"/>
      <c r="AP2421" s="35"/>
    </row>
    <row r="2422" spans="1:42" x14ac:dyDescent="0.2">
      <c r="A2422" s="126">
        <v>45447.68569543981</v>
      </c>
      <c r="B2422" s="28" t="s">
        <v>37</v>
      </c>
      <c r="C2422" s="41" t="s">
        <v>118</v>
      </c>
      <c r="D2422" s="26" t="s">
        <v>36</v>
      </c>
      <c r="E2422" s="26" t="s">
        <v>106</v>
      </c>
      <c r="F2422" s="26" t="s">
        <v>40</v>
      </c>
      <c r="G2422" s="26" t="s">
        <v>108</v>
      </c>
      <c r="H2422" s="26" t="s">
        <v>5730</v>
      </c>
      <c r="I2422" s="17">
        <f ca="1">IFERROR(__xludf.DUMMYFUNCTION("""COMPUTED_VALUE"""),45452)</f>
        <v>45452</v>
      </c>
      <c r="J2422" s="29" t="s">
        <v>8744</v>
      </c>
      <c r="K2422" s="26" t="s">
        <v>8745</v>
      </c>
      <c r="L2422" s="30">
        <v>982728151</v>
      </c>
      <c r="M2422" s="26" t="s">
        <v>45</v>
      </c>
      <c r="N2422" s="26" t="s">
        <v>571</v>
      </c>
      <c r="O2422" s="26" t="s">
        <v>8746</v>
      </c>
      <c r="P2422" s="26" t="s">
        <v>8747</v>
      </c>
      <c r="Q2422" s="20">
        <v>3768</v>
      </c>
      <c r="R2422" s="26" t="s">
        <v>36</v>
      </c>
      <c r="S2422" s="31">
        <v>3768</v>
      </c>
      <c r="T2422" s="32">
        <v>45447</v>
      </c>
      <c r="U2422" s="31"/>
      <c r="V2422" s="32"/>
      <c r="W2422" s="33" t="s">
        <v>8748</v>
      </c>
      <c r="X2422" s="26"/>
      <c r="Y2422" s="22">
        <v>0</v>
      </c>
      <c r="Z2422" s="26" t="s">
        <v>50</v>
      </c>
      <c r="AA2422" s="19" t="s">
        <v>8721</v>
      </c>
      <c r="AB2422" s="26" t="s">
        <v>36</v>
      </c>
      <c r="AC2422" s="26" t="s">
        <v>53</v>
      </c>
      <c r="AD2422" s="19" t="s">
        <v>54</v>
      </c>
      <c r="AE2422" s="26">
        <v>450</v>
      </c>
      <c r="AF2422" s="17">
        <v>45447</v>
      </c>
      <c r="AG2422" s="26"/>
      <c r="AH2422" s="26"/>
      <c r="AI2422" s="40"/>
      <c r="AJ2422" s="26"/>
      <c r="AK2422" s="26"/>
      <c r="AL2422" s="35"/>
      <c r="AM2422" s="35"/>
      <c r="AN2422" s="35"/>
      <c r="AO2422" s="35"/>
      <c r="AP2422" s="35"/>
    </row>
    <row r="2423" spans="1:42" x14ac:dyDescent="0.2">
      <c r="A2423" s="126">
        <v>45450.24996721065</v>
      </c>
      <c r="B2423" s="28" t="s">
        <v>37</v>
      </c>
      <c r="C2423" s="41" t="s">
        <v>118</v>
      </c>
      <c r="D2423" s="26" t="s">
        <v>36</v>
      </c>
      <c r="E2423" s="26" t="s">
        <v>139</v>
      </c>
      <c r="F2423" s="26" t="s">
        <v>36</v>
      </c>
      <c r="G2423" s="26" t="s">
        <v>41</v>
      </c>
      <c r="H2423" s="26" t="s">
        <v>8479</v>
      </c>
      <c r="I2423" s="17">
        <f ca="1">IFERROR(__xludf.DUMMYFUNCTION("""COMPUTED_VALUE"""),45449)</f>
        <v>45449</v>
      </c>
      <c r="J2423" s="29" t="s">
        <v>8749</v>
      </c>
      <c r="K2423" s="26" t="s">
        <v>8750</v>
      </c>
      <c r="L2423" s="30">
        <v>944453307</v>
      </c>
      <c r="M2423" s="26" t="s">
        <v>45</v>
      </c>
      <c r="N2423" s="26" t="s">
        <v>571</v>
      </c>
      <c r="O2423" s="26" t="s">
        <v>8751</v>
      </c>
      <c r="P2423" s="26" t="s">
        <v>8752</v>
      </c>
      <c r="Q2423" s="20">
        <v>15936</v>
      </c>
      <c r="R2423" s="26" t="s">
        <v>36</v>
      </c>
      <c r="S2423" s="31">
        <v>15936</v>
      </c>
      <c r="T2423" s="32">
        <v>45449</v>
      </c>
      <c r="U2423" s="31"/>
      <c r="V2423" s="32"/>
      <c r="W2423" s="33" t="s">
        <v>8753</v>
      </c>
      <c r="X2423" s="26"/>
      <c r="Y2423" s="22">
        <v>0</v>
      </c>
      <c r="Z2423" s="26" t="s">
        <v>50</v>
      </c>
      <c r="AA2423" s="19" t="s">
        <v>8721</v>
      </c>
      <c r="AB2423" s="26" t="s">
        <v>36</v>
      </c>
      <c r="AC2423" s="26" t="s">
        <v>53</v>
      </c>
      <c r="AD2423" s="19" t="s">
        <v>54</v>
      </c>
      <c r="AE2423" s="26">
        <v>330</v>
      </c>
      <c r="AF2423" s="17">
        <v>45450</v>
      </c>
      <c r="AG2423" s="26"/>
      <c r="AH2423" s="26"/>
      <c r="AI2423" s="40"/>
      <c r="AJ2423" s="26"/>
      <c r="AK2423" s="26"/>
      <c r="AL2423" s="35"/>
      <c r="AM2423" s="35"/>
      <c r="AN2423" s="35"/>
      <c r="AO2423" s="35"/>
      <c r="AP2423" s="35"/>
    </row>
    <row r="2424" spans="1:42" x14ac:dyDescent="0.2">
      <c r="A2424" s="126">
        <v>45456.47616766204</v>
      </c>
      <c r="B2424" s="28" t="s">
        <v>37</v>
      </c>
      <c r="C2424" s="41" t="s">
        <v>118</v>
      </c>
      <c r="D2424" s="26" t="s">
        <v>36</v>
      </c>
      <c r="E2424" s="26" t="s">
        <v>39</v>
      </c>
      <c r="F2424" s="26" t="s">
        <v>40</v>
      </c>
      <c r="G2424" s="26" t="s">
        <v>41</v>
      </c>
      <c r="H2424" s="26" t="s">
        <v>7497</v>
      </c>
      <c r="I2424" s="17">
        <f ca="1">IFERROR(__xludf.DUMMYFUNCTION("""COMPUTED_VALUE"""),45468)</f>
        <v>45468</v>
      </c>
      <c r="J2424" s="29" t="s">
        <v>8754</v>
      </c>
      <c r="K2424" s="26" t="s">
        <v>8755</v>
      </c>
      <c r="L2424" s="30">
        <v>867104298</v>
      </c>
      <c r="M2424" s="26" t="s">
        <v>45</v>
      </c>
      <c r="N2424" s="26" t="s">
        <v>1450</v>
      </c>
      <c r="O2424" s="26" t="s">
        <v>8756</v>
      </c>
      <c r="P2424" s="42" t="s">
        <v>8757</v>
      </c>
      <c r="Q2424" s="20">
        <v>5736</v>
      </c>
      <c r="R2424" s="26" t="s">
        <v>36</v>
      </c>
      <c r="S2424" s="31">
        <v>1968</v>
      </c>
      <c r="T2424" s="32">
        <v>45454</v>
      </c>
      <c r="U2424" s="31">
        <v>3768</v>
      </c>
      <c r="V2424" s="32">
        <v>45464</v>
      </c>
      <c r="W2424" s="33" t="s">
        <v>8758</v>
      </c>
      <c r="X2424" s="26"/>
      <c r="Y2424" s="22">
        <v>0</v>
      </c>
      <c r="Z2424" s="26" t="s">
        <v>50</v>
      </c>
      <c r="AA2424" s="19" t="s">
        <v>8721</v>
      </c>
      <c r="AB2424" s="26" t="s">
        <v>36</v>
      </c>
      <c r="AC2424" s="26" t="s">
        <v>53</v>
      </c>
      <c r="AD2424" s="19" t="s">
        <v>54</v>
      </c>
      <c r="AE2424" s="26">
        <v>0</v>
      </c>
      <c r="AF2424" s="17">
        <v>45462</v>
      </c>
      <c r="AG2424" s="26"/>
      <c r="AH2424" s="26"/>
      <c r="AI2424" s="40"/>
      <c r="AJ2424" s="26"/>
      <c r="AK2424" s="26"/>
      <c r="AL2424" s="35"/>
      <c r="AM2424" s="35"/>
      <c r="AN2424" s="35"/>
      <c r="AO2424" s="35"/>
      <c r="AP2424" s="35"/>
    </row>
    <row r="2425" spans="1:42" x14ac:dyDescent="0.2">
      <c r="A2425" s="126">
        <v>45457.628750474541</v>
      </c>
      <c r="B2425" s="28" t="s">
        <v>37</v>
      </c>
      <c r="C2425" s="41" t="s">
        <v>118</v>
      </c>
      <c r="D2425" s="26" t="s">
        <v>36</v>
      </c>
      <c r="E2425" s="26" t="s">
        <v>56</v>
      </c>
      <c r="F2425" s="26" t="s">
        <v>40</v>
      </c>
      <c r="G2425" s="26" t="s">
        <v>41</v>
      </c>
      <c r="H2425" s="26" t="s">
        <v>7497</v>
      </c>
      <c r="I2425" s="17">
        <f ca="1">IFERROR(__xludf.DUMMYFUNCTION("""COMPUTED_VALUE"""),45468)</f>
        <v>45468</v>
      </c>
      <c r="J2425" s="29" t="s">
        <v>8759</v>
      </c>
      <c r="K2425" s="26" t="s">
        <v>8760</v>
      </c>
      <c r="L2425" s="30">
        <v>346774302</v>
      </c>
      <c r="M2425" s="26" t="s">
        <v>3288</v>
      </c>
      <c r="N2425" s="26" t="s">
        <v>200</v>
      </c>
      <c r="O2425" s="26" t="s">
        <v>91</v>
      </c>
      <c r="P2425" s="26" t="s">
        <v>8761</v>
      </c>
      <c r="Q2425" s="20">
        <v>9317</v>
      </c>
      <c r="R2425" s="26" t="s">
        <v>36</v>
      </c>
      <c r="S2425" s="31">
        <v>4000</v>
      </c>
      <c r="T2425" s="32">
        <v>45455</v>
      </c>
      <c r="U2425" s="31">
        <v>5017</v>
      </c>
      <c r="V2425" s="32">
        <v>45465</v>
      </c>
      <c r="W2425" s="33" t="s">
        <v>8762</v>
      </c>
      <c r="X2425" s="26"/>
      <c r="Y2425" s="22">
        <v>300</v>
      </c>
      <c r="Z2425" s="26" t="s">
        <v>50</v>
      </c>
      <c r="AA2425" s="19" t="s">
        <v>8721</v>
      </c>
      <c r="AB2425" s="26" t="s">
        <v>36</v>
      </c>
      <c r="AC2425" s="26" t="s">
        <v>1828</v>
      </c>
      <c r="AD2425" s="19" t="s">
        <v>54</v>
      </c>
      <c r="AE2425" s="26" t="s">
        <v>91</v>
      </c>
      <c r="AF2425" s="60" t="s">
        <v>1829</v>
      </c>
      <c r="AG2425" s="26" t="s">
        <v>1830</v>
      </c>
      <c r="AH2425" s="26"/>
      <c r="AI2425" s="40"/>
      <c r="AJ2425" s="26"/>
      <c r="AK2425" s="26"/>
      <c r="AL2425" s="35"/>
      <c r="AM2425" s="35"/>
      <c r="AN2425" s="35"/>
      <c r="AO2425" s="35"/>
      <c r="AP2425" s="35"/>
    </row>
    <row r="2426" spans="1:42" x14ac:dyDescent="0.2">
      <c r="A2426" s="126">
        <v>45461.331752939819</v>
      </c>
      <c r="B2426" s="28" t="s">
        <v>37</v>
      </c>
      <c r="C2426" s="41" t="s">
        <v>118</v>
      </c>
      <c r="D2426" s="26" t="s">
        <v>36</v>
      </c>
      <c r="E2426" s="26" t="s">
        <v>56</v>
      </c>
      <c r="F2426" s="26" t="s">
        <v>36</v>
      </c>
      <c r="G2426" s="26" t="s">
        <v>41</v>
      </c>
      <c r="H2426" s="26" t="s">
        <v>8763</v>
      </c>
      <c r="I2426" s="17">
        <f ca="1">IFERROR(__xludf.DUMMYFUNCTION("""COMPUTED_VALUE"""),45478)</f>
        <v>45478</v>
      </c>
      <c r="J2426" s="29" t="s">
        <v>8764</v>
      </c>
      <c r="K2426" s="26" t="s">
        <v>8765</v>
      </c>
      <c r="L2426" s="30">
        <v>942373828</v>
      </c>
      <c r="M2426" s="26" t="s">
        <v>6309</v>
      </c>
      <c r="N2426" s="26" t="s">
        <v>6899</v>
      </c>
      <c r="O2426" s="26" t="s">
        <v>36</v>
      </c>
      <c r="P2426" s="42" t="s">
        <v>8766</v>
      </c>
      <c r="Q2426" s="20">
        <v>9317</v>
      </c>
      <c r="R2426" s="26" t="s">
        <v>36</v>
      </c>
      <c r="S2426" s="31">
        <v>9317</v>
      </c>
      <c r="T2426" s="32">
        <v>45455</v>
      </c>
      <c r="U2426" s="31"/>
      <c r="V2426" s="32"/>
      <c r="W2426" s="33" t="s">
        <v>8767</v>
      </c>
      <c r="X2426" s="26"/>
      <c r="Y2426" s="22">
        <v>0</v>
      </c>
      <c r="Z2426" s="26" t="s">
        <v>50</v>
      </c>
      <c r="AA2426" s="19" t="s">
        <v>8721</v>
      </c>
      <c r="AB2426" s="26" t="s">
        <v>36</v>
      </c>
      <c r="AC2426" s="26" t="s">
        <v>53</v>
      </c>
      <c r="AD2426" s="19" t="s">
        <v>54</v>
      </c>
      <c r="AE2426" s="26" t="s">
        <v>72</v>
      </c>
      <c r="AF2426" s="17">
        <v>45470</v>
      </c>
      <c r="AG2426" s="26"/>
      <c r="AH2426" s="26"/>
      <c r="AI2426" s="40"/>
      <c r="AJ2426" s="26"/>
      <c r="AK2426" s="26"/>
      <c r="AL2426" s="35"/>
      <c r="AM2426" s="35"/>
      <c r="AN2426" s="35"/>
      <c r="AO2426" s="35"/>
      <c r="AP2426" s="35"/>
    </row>
    <row r="2427" spans="1:42" x14ac:dyDescent="0.2">
      <c r="A2427" s="126">
        <v>45461.388615752316</v>
      </c>
      <c r="B2427" s="28" t="s">
        <v>37</v>
      </c>
      <c r="C2427" s="41" t="s">
        <v>118</v>
      </c>
      <c r="D2427" s="26" t="s">
        <v>36</v>
      </c>
      <c r="E2427" s="26" t="s">
        <v>106</v>
      </c>
      <c r="F2427" s="26" t="s">
        <v>7506</v>
      </c>
      <c r="G2427" s="26" t="s">
        <v>108</v>
      </c>
      <c r="H2427" s="26" t="s">
        <v>8238</v>
      </c>
      <c r="I2427" s="17">
        <f ca="1">IFERROR(__xludf.DUMMYFUNCTION("""COMPUTED_VALUE"""),45477)</f>
        <v>45477</v>
      </c>
      <c r="J2427" s="29" t="s">
        <v>8255</v>
      </c>
      <c r="K2427" s="26" t="s">
        <v>8768</v>
      </c>
      <c r="L2427" s="30">
        <v>355074879</v>
      </c>
      <c r="M2427" s="26" t="s">
        <v>3288</v>
      </c>
      <c r="N2427" s="26" t="s">
        <v>200</v>
      </c>
      <c r="O2427" s="26" t="s">
        <v>91</v>
      </c>
      <c r="P2427" s="42" t="s">
        <v>8769</v>
      </c>
      <c r="Q2427" s="20">
        <v>3768</v>
      </c>
      <c r="R2427" s="26" t="s">
        <v>36</v>
      </c>
      <c r="S2427" s="31">
        <v>1000</v>
      </c>
      <c r="T2427" s="32">
        <v>45461</v>
      </c>
      <c r="U2427" s="31">
        <v>2668</v>
      </c>
      <c r="V2427" s="32">
        <v>45463</v>
      </c>
      <c r="W2427" s="33" t="s">
        <v>8770</v>
      </c>
      <c r="X2427" s="26"/>
      <c r="Y2427" s="22">
        <v>100</v>
      </c>
      <c r="Z2427" s="26" t="s">
        <v>50</v>
      </c>
      <c r="AA2427" s="19" t="s">
        <v>8721</v>
      </c>
      <c r="AB2427" s="26" t="s">
        <v>36</v>
      </c>
      <c r="AC2427" s="26" t="s">
        <v>53</v>
      </c>
      <c r="AD2427" s="19" t="s">
        <v>54</v>
      </c>
      <c r="AE2427" s="26" t="s">
        <v>7506</v>
      </c>
      <c r="AF2427" s="17">
        <v>45470</v>
      </c>
      <c r="AG2427" s="26"/>
      <c r="AH2427" s="26"/>
      <c r="AI2427" s="40"/>
      <c r="AJ2427" s="26"/>
      <c r="AK2427" s="26"/>
      <c r="AL2427" s="35"/>
      <c r="AM2427" s="35"/>
      <c r="AN2427" s="35"/>
      <c r="AO2427" s="35"/>
      <c r="AP2427" s="35"/>
    </row>
    <row r="2428" spans="1:42" x14ac:dyDescent="0.2">
      <c r="A2428" s="126">
        <v>45461.979880104162</v>
      </c>
      <c r="B2428" s="28" t="s">
        <v>37</v>
      </c>
      <c r="C2428" s="41" t="s">
        <v>118</v>
      </c>
      <c r="D2428" s="26" t="s">
        <v>36</v>
      </c>
      <c r="E2428" s="26" t="s">
        <v>77</v>
      </c>
      <c r="F2428" s="26" t="s">
        <v>36</v>
      </c>
      <c r="G2428" s="26" t="s">
        <v>41</v>
      </c>
      <c r="H2428" s="26" t="s">
        <v>8771</v>
      </c>
      <c r="I2428" s="17">
        <f ca="1">IFERROR(__xludf.DUMMYFUNCTION("""COMPUTED_VALUE"""),45481)</f>
        <v>45481</v>
      </c>
      <c r="J2428" s="29" t="s">
        <v>8772</v>
      </c>
      <c r="K2428" s="26" t="s">
        <v>8773</v>
      </c>
      <c r="L2428" s="30">
        <v>989302599</v>
      </c>
      <c r="M2428" s="26" t="s">
        <v>3728</v>
      </c>
      <c r="N2428" s="26" t="s">
        <v>8725</v>
      </c>
      <c r="O2428" s="26" t="s">
        <v>8774</v>
      </c>
      <c r="P2428" s="26" t="s">
        <v>8775</v>
      </c>
      <c r="Q2428" s="20">
        <v>1968</v>
      </c>
      <c r="R2428" s="26" t="s">
        <v>36</v>
      </c>
      <c r="S2428" s="31">
        <v>1968</v>
      </c>
      <c r="T2428" s="32">
        <v>45461</v>
      </c>
      <c r="U2428" s="31"/>
      <c r="V2428" s="32"/>
      <c r="W2428" s="33" t="s">
        <v>8776</v>
      </c>
      <c r="X2428" s="26"/>
      <c r="Y2428" s="22">
        <v>0</v>
      </c>
      <c r="Z2428" s="26" t="s">
        <v>50</v>
      </c>
      <c r="AA2428" s="19" t="s">
        <v>8721</v>
      </c>
      <c r="AB2428" s="26" t="s">
        <v>36</v>
      </c>
      <c r="AC2428" s="26" t="s">
        <v>53</v>
      </c>
      <c r="AD2428" s="19" t="s">
        <v>54</v>
      </c>
      <c r="AE2428" s="26"/>
      <c r="AF2428" s="17">
        <v>45476</v>
      </c>
      <c r="AG2428" s="26"/>
      <c r="AH2428" s="26"/>
      <c r="AI2428" s="40"/>
      <c r="AJ2428" s="26"/>
      <c r="AK2428" s="26"/>
      <c r="AL2428" s="35"/>
      <c r="AM2428" s="35"/>
      <c r="AN2428" s="35"/>
      <c r="AO2428" s="35"/>
      <c r="AP2428" s="35"/>
    </row>
    <row r="2429" spans="1:42" x14ac:dyDescent="0.2">
      <c r="A2429" s="126">
        <v>45462.452357951392</v>
      </c>
      <c r="B2429" s="28" t="s">
        <v>37</v>
      </c>
      <c r="C2429" s="41" t="s">
        <v>118</v>
      </c>
      <c r="D2429" s="26" t="s">
        <v>36</v>
      </c>
      <c r="E2429" s="26" t="s">
        <v>39</v>
      </c>
      <c r="F2429" s="26" t="s">
        <v>36</v>
      </c>
      <c r="G2429" s="26" t="s">
        <v>41</v>
      </c>
      <c r="H2429" s="26" t="s">
        <v>8635</v>
      </c>
      <c r="I2429" s="17">
        <f ca="1">IFERROR(__xludf.DUMMYFUNCTION("""COMPUTED_VALUE"""),45496)</f>
        <v>45496</v>
      </c>
      <c r="J2429" s="29" t="s">
        <v>8777</v>
      </c>
      <c r="K2429" s="26" t="s">
        <v>8778</v>
      </c>
      <c r="L2429" s="30">
        <v>347761179</v>
      </c>
      <c r="M2429" s="26" t="s">
        <v>292</v>
      </c>
      <c r="N2429" s="26" t="s">
        <v>1232</v>
      </c>
      <c r="O2429" s="26" t="s">
        <v>8779</v>
      </c>
      <c r="P2429" s="26" t="s">
        <v>4341</v>
      </c>
      <c r="Q2429" s="20">
        <v>5736</v>
      </c>
      <c r="R2429" s="26" t="s">
        <v>36</v>
      </c>
      <c r="S2429" s="31">
        <v>5736</v>
      </c>
      <c r="T2429" s="32">
        <v>45462</v>
      </c>
      <c r="U2429" s="31"/>
      <c r="V2429" s="32"/>
      <c r="W2429" s="33" t="s">
        <v>8780</v>
      </c>
      <c r="X2429" s="26"/>
      <c r="Y2429" s="22">
        <v>0</v>
      </c>
      <c r="Z2429" s="26" t="s">
        <v>50</v>
      </c>
      <c r="AA2429" s="19" t="s">
        <v>8721</v>
      </c>
      <c r="AB2429" s="26" t="s">
        <v>36</v>
      </c>
      <c r="AC2429" s="26" t="s">
        <v>53</v>
      </c>
      <c r="AD2429" s="19" t="s">
        <v>138</v>
      </c>
      <c r="AE2429" s="26" t="s">
        <v>8781</v>
      </c>
      <c r="AF2429" s="17">
        <v>45493</v>
      </c>
      <c r="AG2429" s="26" t="s">
        <v>8782</v>
      </c>
      <c r="AH2429" s="26"/>
      <c r="AI2429" s="40"/>
      <c r="AJ2429" s="26"/>
      <c r="AK2429" s="26"/>
      <c r="AL2429" s="35"/>
      <c r="AM2429" s="35"/>
      <c r="AN2429" s="35"/>
      <c r="AO2429" s="35"/>
      <c r="AP2429" s="35"/>
    </row>
    <row r="2430" spans="1:42" x14ac:dyDescent="0.2">
      <c r="A2430" s="126">
        <v>45462.693493275467</v>
      </c>
      <c r="B2430" s="28" t="s">
        <v>37</v>
      </c>
      <c r="C2430" s="41" t="s">
        <v>118</v>
      </c>
      <c r="D2430" s="26" t="s">
        <v>36</v>
      </c>
      <c r="E2430" s="26" t="s">
        <v>56</v>
      </c>
      <c r="F2430" s="26" t="s">
        <v>36</v>
      </c>
      <c r="G2430" s="26" t="s">
        <v>41</v>
      </c>
      <c r="H2430" s="26" t="s">
        <v>7497</v>
      </c>
      <c r="I2430" s="17">
        <f ca="1">IFERROR(__xludf.DUMMYFUNCTION("""COMPUTED_VALUE"""),45468)</f>
        <v>45468</v>
      </c>
      <c r="J2430" s="29" t="s">
        <v>8783</v>
      </c>
      <c r="K2430" s="26" t="s">
        <v>8784</v>
      </c>
      <c r="L2430" s="30">
        <v>392887089</v>
      </c>
      <c r="M2430" s="26" t="s">
        <v>292</v>
      </c>
      <c r="N2430" s="26" t="s">
        <v>8785</v>
      </c>
      <c r="O2430" s="26" t="s">
        <v>8786</v>
      </c>
      <c r="P2430" s="26" t="s">
        <v>8787</v>
      </c>
      <c r="Q2430" s="20">
        <v>9317</v>
      </c>
      <c r="R2430" s="26" t="s">
        <v>36</v>
      </c>
      <c r="S2430" s="31">
        <v>1000</v>
      </c>
      <c r="T2430" s="32">
        <v>45461</v>
      </c>
      <c r="U2430" s="31">
        <v>8317</v>
      </c>
      <c r="V2430" s="32">
        <v>45465</v>
      </c>
      <c r="W2430" s="33" t="s">
        <v>8788</v>
      </c>
      <c r="X2430" s="26"/>
      <c r="Y2430" s="22">
        <v>0</v>
      </c>
      <c r="Z2430" s="26" t="s">
        <v>50</v>
      </c>
      <c r="AA2430" s="19" t="s">
        <v>8721</v>
      </c>
      <c r="AB2430" s="26" t="s">
        <v>36</v>
      </c>
      <c r="AC2430" s="26" t="s">
        <v>53</v>
      </c>
      <c r="AD2430" s="19" t="s">
        <v>54</v>
      </c>
      <c r="AE2430" s="26">
        <v>250</v>
      </c>
      <c r="AF2430" s="17">
        <v>45465</v>
      </c>
      <c r="AG2430" s="26" t="s">
        <v>8782</v>
      </c>
      <c r="AH2430" s="26"/>
      <c r="AI2430" s="40"/>
      <c r="AJ2430" s="26"/>
      <c r="AK2430" s="26"/>
      <c r="AL2430" s="35"/>
      <c r="AM2430" s="35"/>
      <c r="AN2430" s="35"/>
      <c r="AO2430" s="35"/>
      <c r="AP2430" s="35"/>
    </row>
    <row r="2431" spans="1:42" x14ac:dyDescent="0.2">
      <c r="A2431" s="126">
        <v>45463.339625821754</v>
      </c>
      <c r="B2431" s="28" t="s">
        <v>37</v>
      </c>
      <c r="C2431" s="41" t="s">
        <v>118</v>
      </c>
      <c r="D2431" s="26" t="s">
        <v>77</v>
      </c>
      <c r="E2431" s="26" t="s">
        <v>106</v>
      </c>
      <c r="F2431" s="26" t="s">
        <v>7506</v>
      </c>
      <c r="G2431" s="26" t="s">
        <v>108</v>
      </c>
      <c r="H2431" s="26" t="s">
        <v>8238</v>
      </c>
      <c r="I2431" s="17">
        <f ca="1">IFERROR(__xludf.DUMMYFUNCTION("""COMPUTED_VALUE"""),45477)</f>
        <v>45477</v>
      </c>
      <c r="J2431" s="29" t="s">
        <v>8265</v>
      </c>
      <c r="K2431" s="19" t="s">
        <v>8266</v>
      </c>
      <c r="L2431" s="47">
        <v>965552546</v>
      </c>
      <c r="M2431" s="19" t="s">
        <v>292</v>
      </c>
      <c r="N2431" s="19" t="s">
        <v>1232</v>
      </c>
      <c r="O2431" s="26" t="s">
        <v>8267</v>
      </c>
      <c r="P2431" s="42" t="s">
        <v>8789</v>
      </c>
      <c r="Q2431" s="20">
        <v>3768</v>
      </c>
      <c r="R2431" s="26" t="s">
        <v>36</v>
      </c>
      <c r="S2431" s="31">
        <v>3968</v>
      </c>
      <c r="T2431" s="32">
        <v>45462</v>
      </c>
      <c r="U2431" s="31"/>
      <c r="V2431" s="32"/>
      <c r="W2431" s="33" t="s">
        <v>8790</v>
      </c>
      <c r="X2431" s="26"/>
      <c r="Y2431" s="22">
        <v>-200</v>
      </c>
      <c r="Z2431" s="26" t="s">
        <v>50</v>
      </c>
      <c r="AA2431" s="19" t="s">
        <v>8721</v>
      </c>
      <c r="AB2431" s="26" t="s">
        <v>36</v>
      </c>
      <c r="AC2431" s="26" t="s">
        <v>53</v>
      </c>
      <c r="AD2431" s="19" t="s">
        <v>54</v>
      </c>
      <c r="AE2431" s="26"/>
      <c r="AF2431" s="17">
        <v>45470</v>
      </c>
      <c r="AG2431" s="26"/>
      <c r="AH2431" s="26"/>
      <c r="AI2431" s="40"/>
      <c r="AJ2431" s="26"/>
      <c r="AK2431" s="26"/>
      <c r="AL2431" s="35"/>
      <c r="AM2431" s="35"/>
      <c r="AN2431" s="35"/>
      <c r="AO2431" s="35"/>
      <c r="AP2431" s="35"/>
    </row>
    <row r="2432" spans="1:42" x14ac:dyDescent="0.2">
      <c r="A2432" s="126">
        <v>45464.910100000001</v>
      </c>
      <c r="B2432" s="28" t="s">
        <v>37</v>
      </c>
      <c r="C2432" s="41" t="s">
        <v>118</v>
      </c>
      <c r="D2432" s="26" t="s">
        <v>36</v>
      </c>
      <c r="E2432" s="26" t="s">
        <v>39</v>
      </c>
      <c r="F2432" s="26" t="s">
        <v>36</v>
      </c>
      <c r="G2432" s="26" t="s">
        <v>41</v>
      </c>
      <c r="H2432" s="26" t="s">
        <v>8771</v>
      </c>
      <c r="I2432" s="17">
        <f ca="1">IFERROR(__xludf.DUMMYFUNCTION("""COMPUTED_VALUE"""),45481)</f>
        <v>45481</v>
      </c>
      <c r="J2432" s="29" t="s">
        <v>8791</v>
      </c>
      <c r="K2432" s="19" t="s">
        <v>8792</v>
      </c>
      <c r="L2432" s="47">
        <v>375970855</v>
      </c>
      <c r="M2432" s="19" t="s">
        <v>292</v>
      </c>
      <c r="N2432" s="19" t="s">
        <v>1232</v>
      </c>
      <c r="O2432" s="26" t="s">
        <v>8793</v>
      </c>
      <c r="P2432" s="26" t="s">
        <v>8794</v>
      </c>
      <c r="Q2432" s="20">
        <v>5736</v>
      </c>
      <c r="R2432" s="26" t="s">
        <v>36</v>
      </c>
      <c r="S2432" s="31">
        <v>5736</v>
      </c>
      <c r="T2432" s="32">
        <v>45464</v>
      </c>
      <c r="U2432" s="31"/>
      <c r="V2432" s="32"/>
      <c r="W2432" s="33" t="s">
        <v>8795</v>
      </c>
      <c r="X2432" s="26"/>
      <c r="Y2432" s="22">
        <v>0</v>
      </c>
      <c r="Z2432" s="26" t="s">
        <v>50</v>
      </c>
      <c r="AA2432" s="19" t="s">
        <v>8721</v>
      </c>
      <c r="AB2432" s="26" t="s">
        <v>36</v>
      </c>
      <c r="AC2432" s="26" t="s">
        <v>53</v>
      </c>
      <c r="AD2432" s="19" t="s">
        <v>54</v>
      </c>
      <c r="AE2432" s="26">
        <v>250</v>
      </c>
      <c r="AF2432" s="17">
        <v>45476</v>
      </c>
      <c r="AG2432" s="26"/>
      <c r="AH2432" s="26"/>
      <c r="AI2432" s="40"/>
      <c r="AJ2432" s="26"/>
      <c r="AK2432" s="26"/>
      <c r="AL2432" s="35"/>
      <c r="AM2432" s="35"/>
      <c r="AN2432" s="35"/>
      <c r="AO2432" s="35"/>
      <c r="AP2432" s="35"/>
    </row>
    <row r="2433" spans="1:42" x14ac:dyDescent="0.2">
      <c r="A2433" s="126">
        <v>45464.946228437504</v>
      </c>
      <c r="B2433" s="28" t="s">
        <v>37</v>
      </c>
      <c r="C2433" s="41" t="s">
        <v>118</v>
      </c>
      <c r="D2433" s="26" t="s">
        <v>36</v>
      </c>
      <c r="E2433" s="26" t="s">
        <v>39</v>
      </c>
      <c r="F2433" s="26" t="s">
        <v>91</v>
      </c>
      <c r="G2433" s="26" t="s">
        <v>41</v>
      </c>
      <c r="H2433" s="26" t="s">
        <v>7497</v>
      </c>
      <c r="I2433" s="17">
        <f ca="1">IFERROR(__xludf.DUMMYFUNCTION("""COMPUTED_VALUE"""),45468)</f>
        <v>45468</v>
      </c>
      <c r="J2433" s="29" t="s">
        <v>8796</v>
      </c>
      <c r="K2433" s="19" t="s">
        <v>8797</v>
      </c>
      <c r="L2433" s="47">
        <v>989339355</v>
      </c>
      <c r="M2433" s="19" t="s">
        <v>6309</v>
      </c>
      <c r="N2433" s="19" t="s">
        <v>8798</v>
      </c>
      <c r="O2433" s="26" t="s">
        <v>91</v>
      </c>
      <c r="P2433" s="42" t="s">
        <v>8799</v>
      </c>
      <c r="Q2433" s="20">
        <v>5736</v>
      </c>
      <c r="R2433" s="26" t="s">
        <v>36</v>
      </c>
      <c r="S2433" s="31">
        <v>5736</v>
      </c>
      <c r="T2433" s="32">
        <v>45464</v>
      </c>
      <c r="U2433" s="31"/>
      <c r="V2433" s="32"/>
      <c r="W2433" s="33" t="s">
        <v>8800</v>
      </c>
      <c r="X2433" s="26"/>
      <c r="Y2433" s="22">
        <v>0</v>
      </c>
      <c r="Z2433" s="26" t="s">
        <v>50</v>
      </c>
      <c r="AA2433" s="19" t="s">
        <v>8721</v>
      </c>
      <c r="AB2433" s="26" t="s">
        <v>36</v>
      </c>
      <c r="AC2433" s="26" t="s">
        <v>53</v>
      </c>
      <c r="AD2433" s="19" t="s">
        <v>54</v>
      </c>
      <c r="AE2433" s="26"/>
      <c r="AF2433" s="17">
        <v>45467</v>
      </c>
      <c r="AG2433" s="26"/>
      <c r="AH2433" s="26"/>
      <c r="AI2433" s="40"/>
      <c r="AJ2433" s="26"/>
      <c r="AK2433" s="26"/>
      <c r="AL2433" s="35"/>
      <c r="AM2433" s="35"/>
      <c r="AN2433" s="35"/>
      <c r="AO2433" s="35"/>
      <c r="AP2433" s="35"/>
    </row>
    <row r="2434" spans="1:42" x14ac:dyDescent="0.2">
      <c r="A2434" s="126">
        <v>45467.840155717597</v>
      </c>
      <c r="B2434" s="28" t="s">
        <v>37</v>
      </c>
      <c r="C2434" s="41" t="s">
        <v>118</v>
      </c>
      <c r="D2434" s="26" t="s">
        <v>36</v>
      </c>
      <c r="E2434" s="26" t="s">
        <v>77</v>
      </c>
      <c r="F2434" s="26" t="s">
        <v>36</v>
      </c>
      <c r="G2434" s="26" t="s">
        <v>41</v>
      </c>
      <c r="H2434" s="26" t="s">
        <v>8801</v>
      </c>
      <c r="I2434" s="17">
        <f ca="1">IFERROR(__xludf.DUMMYFUNCTION("""COMPUTED_VALUE"""),45484)</f>
        <v>45484</v>
      </c>
      <c r="J2434" s="29" t="s">
        <v>8802</v>
      </c>
      <c r="K2434" s="26" t="s">
        <v>8803</v>
      </c>
      <c r="L2434" s="30">
        <v>522166478</v>
      </c>
      <c r="M2434" s="26" t="s">
        <v>3728</v>
      </c>
      <c r="N2434" s="26" t="s">
        <v>8725</v>
      </c>
      <c r="O2434" s="26" t="s">
        <v>8804</v>
      </c>
      <c r="P2434" s="26" t="s">
        <v>8805</v>
      </c>
      <c r="Q2434" s="20">
        <v>1968</v>
      </c>
      <c r="R2434" s="26" t="s">
        <v>36</v>
      </c>
      <c r="S2434" s="31">
        <v>1968</v>
      </c>
      <c r="T2434" s="32">
        <v>45467</v>
      </c>
      <c r="U2434" s="31"/>
      <c r="V2434" s="32"/>
      <c r="W2434" s="33" t="s">
        <v>8806</v>
      </c>
      <c r="X2434" s="26"/>
      <c r="Y2434" s="22">
        <v>0</v>
      </c>
      <c r="Z2434" s="26" t="s">
        <v>50</v>
      </c>
      <c r="AA2434" s="19" t="s">
        <v>8721</v>
      </c>
      <c r="AB2434" s="26"/>
      <c r="AC2434" s="26" t="s">
        <v>53</v>
      </c>
      <c r="AD2434" s="19" t="s">
        <v>54</v>
      </c>
      <c r="AE2434" s="26"/>
      <c r="AF2434" s="17">
        <v>45481</v>
      </c>
      <c r="AG2434" s="26"/>
      <c r="AH2434" s="26"/>
      <c r="AI2434" s="40"/>
      <c r="AJ2434" s="26"/>
      <c r="AK2434" s="26"/>
      <c r="AL2434" s="35"/>
      <c r="AM2434" s="35"/>
      <c r="AN2434" s="35"/>
      <c r="AO2434" s="35"/>
      <c r="AP2434" s="35"/>
    </row>
    <row r="2435" spans="1:42" x14ac:dyDescent="0.2">
      <c r="A2435" s="126">
        <v>45468.446051516206</v>
      </c>
      <c r="B2435" s="28" t="s">
        <v>37</v>
      </c>
      <c r="C2435" s="41" t="s">
        <v>118</v>
      </c>
      <c r="D2435" s="26" t="s">
        <v>77</v>
      </c>
      <c r="E2435" s="26" t="s">
        <v>106</v>
      </c>
      <c r="F2435" s="26" t="s">
        <v>7506</v>
      </c>
      <c r="G2435" s="26" t="s">
        <v>108</v>
      </c>
      <c r="H2435" s="26" t="s">
        <v>8238</v>
      </c>
      <c r="I2435" s="17">
        <f ca="1">IFERROR(__xludf.DUMMYFUNCTION("""COMPUTED_VALUE"""),45477)</f>
        <v>45477</v>
      </c>
      <c r="J2435" s="29" t="s">
        <v>8284</v>
      </c>
      <c r="K2435" s="26" t="s">
        <v>8285</v>
      </c>
      <c r="L2435" s="30">
        <v>816177292</v>
      </c>
      <c r="M2435" s="26" t="s">
        <v>112</v>
      </c>
      <c r="N2435" s="26" t="s">
        <v>113</v>
      </c>
      <c r="O2435" s="26" t="s">
        <v>36</v>
      </c>
      <c r="P2435" s="42" t="s">
        <v>8807</v>
      </c>
      <c r="Q2435" s="20">
        <v>3768</v>
      </c>
      <c r="R2435" s="26" t="s">
        <v>36</v>
      </c>
      <c r="S2435" s="31">
        <v>3668</v>
      </c>
      <c r="T2435" s="32">
        <v>45468</v>
      </c>
      <c r="U2435" s="31"/>
      <c r="V2435" s="32"/>
      <c r="W2435" s="33" t="s">
        <v>8808</v>
      </c>
      <c r="X2435" s="26"/>
      <c r="Y2435" s="22">
        <v>100</v>
      </c>
      <c r="Z2435" s="26" t="s">
        <v>50</v>
      </c>
      <c r="AA2435" s="19" t="s">
        <v>8721</v>
      </c>
      <c r="AB2435" s="26" t="s">
        <v>36</v>
      </c>
      <c r="AC2435" s="26" t="s">
        <v>53</v>
      </c>
      <c r="AD2435" s="19" t="s">
        <v>54</v>
      </c>
      <c r="AE2435" s="26" t="s">
        <v>7506</v>
      </c>
      <c r="AF2435" s="17">
        <v>45470</v>
      </c>
      <c r="AG2435" s="26"/>
      <c r="AH2435" s="26"/>
      <c r="AI2435" s="40"/>
      <c r="AJ2435" s="26"/>
      <c r="AK2435" s="26"/>
      <c r="AL2435" s="35"/>
      <c r="AM2435" s="35"/>
      <c r="AN2435" s="35"/>
      <c r="AO2435" s="35"/>
      <c r="AP2435" s="35"/>
    </row>
    <row r="2436" spans="1:42" x14ac:dyDescent="0.2">
      <c r="A2436" s="126">
        <v>45468.593223402779</v>
      </c>
      <c r="B2436" s="28" t="s">
        <v>37</v>
      </c>
      <c r="C2436" s="41" t="s">
        <v>118</v>
      </c>
      <c r="D2436" s="26" t="s">
        <v>36</v>
      </c>
      <c r="E2436" s="26" t="s">
        <v>39</v>
      </c>
      <c r="F2436" s="26" t="s">
        <v>40</v>
      </c>
      <c r="G2436" s="26" t="s">
        <v>41</v>
      </c>
      <c r="H2436" s="26" t="s">
        <v>7330</v>
      </c>
      <c r="I2436" s="17">
        <f ca="1">IFERROR(__xludf.DUMMYFUNCTION("""COMPUTED_VALUE"""),45509)</f>
        <v>45509</v>
      </c>
      <c r="J2436" s="29" t="s">
        <v>8809</v>
      </c>
      <c r="K2436" s="26" t="s">
        <v>8810</v>
      </c>
      <c r="L2436" s="30">
        <v>946057166</v>
      </c>
      <c r="M2436" s="26" t="s">
        <v>45</v>
      </c>
      <c r="N2436" s="26" t="s">
        <v>1450</v>
      </c>
      <c r="O2436" s="26" t="s">
        <v>8811</v>
      </c>
      <c r="P2436" s="26" t="s">
        <v>8812</v>
      </c>
      <c r="Q2436" s="20">
        <v>5736</v>
      </c>
      <c r="R2436" s="26" t="s">
        <v>36</v>
      </c>
      <c r="S2436" s="31">
        <v>1000</v>
      </c>
      <c r="T2436" s="32">
        <v>45427</v>
      </c>
      <c r="U2436" s="31">
        <v>4736</v>
      </c>
      <c r="V2436" s="32">
        <v>45450</v>
      </c>
      <c r="W2436" s="26" t="s">
        <v>8813</v>
      </c>
      <c r="X2436" s="26"/>
      <c r="Y2436" s="22">
        <v>0</v>
      </c>
      <c r="Z2436" s="26" t="s">
        <v>50</v>
      </c>
      <c r="AA2436" s="19" t="s">
        <v>8721</v>
      </c>
      <c r="AB2436" s="26"/>
      <c r="AC2436" s="26" t="s">
        <v>53</v>
      </c>
      <c r="AD2436" s="19" t="s">
        <v>138</v>
      </c>
      <c r="AE2436" s="26">
        <v>0</v>
      </c>
      <c r="AF2436" s="17">
        <v>45509</v>
      </c>
      <c r="AG2436" s="26" t="s">
        <v>4092</v>
      </c>
      <c r="AH2436" s="26"/>
      <c r="AI2436" s="40"/>
      <c r="AJ2436" s="26"/>
      <c r="AK2436" s="26"/>
      <c r="AL2436" s="35"/>
      <c r="AM2436" s="35"/>
      <c r="AN2436" s="35"/>
      <c r="AO2436" s="35"/>
      <c r="AP2436" s="35"/>
    </row>
    <row r="2437" spans="1:42" x14ac:dyDescent="0.2">
      <c r="A2437" s="126">
        <v>45468.594376284724</v>
      </c>
      <c r="B2437" s="28" t="s">
        <v>37</v>
      </c>
      <c r="C2437" s="41" t="s">
        <v>118</v>
      </c>
      <c r="D2437" s="26" t="s">
        <v>36</v>
      </c>
      <c r="E2437" s="26" t="s">
        <v>148</v>
      </c>
      <c r="F2437" s="26" t="s">
        <v>7506</v>
      </c>
      <c r="G2437" s="26" t="s">
        <v>108</v>
      </c>
      <c r="H2437" s="26" t="s">
        <v>8238</v>
      </c>
      <c r="I2437" s="17">
        <f ca="1">IFERROR(__xludf.DUMMYFUNCTION("""COMPUTED_VALUE"""),45477)</f>
        <v>45477</v>
      </c>
      <c r="J2437" s="29" t="s">
        <v>8297</v>
      </c>
      <c r="K2437" s="26" t="s">
        <v>8298</v>
      </c>
      <c r="L2437" s="30">
        <v>365383222</v>
      </c>
      <c r="M2437" s="26" t="s">
        <v>3288</v>
      </c>
      <c r="N2437" s="26" t="s">
        <v>200</v>
      </c>
      <c r="O2437" s="26" t="s">
        <v>8814</v>
      </c>
      <c r="P2437" s="42" t="s">
        <v>8815</v>
      </c>
      <c r="Q2437" s="20">
        <v>7349</v>
      </c>
      <c r="R2437" s="26" t="s">
        <v>36</v>
      </c>
      <c r="S2437" s="31">
        <v>7349</v>
      </c>
      <c r="T2437" s="32">
        <v>45468</v>
      </c>
      <c r="U2437" s="31"/>
      <c r="V2437" s="32"/>
      <c r="W2437" s="33" t="s">
        <v>8816</v>
      </c>
      <c r="X2437" s="26"/>
      <c r="Y2437" s="22">
        <v>0</v>
      </c>
      <c r="Z2437" s="26" t="s">
        <v>50</v>
      </c>
      <c r="AA2437" s="19" t="s">
        <v>8721</v>
      </c>
      <c r="AB2437" s="26" t="s">
        <v>36</v>
      </c>
      <c r="AC2437" s="26" t="s">
        <v>53</v>
      </c>
      <c r="AD2437" s="19" t="s">
        <v>54</v>
      </c>
      <c r="AE2437" s="26" t="s">
        <v>7506</v>
      </c>
      <c r="AF2437" s="17">
        <v>45470</v>
      </c>
      <c r="AG2437" s="26"/>
      <c r="AH2437" s="26"/>
      <c r="AI2437" s="40"/>
      <c r="AJ2437" s="26"/>
      <c r="AK2437" s="26"/>
      <c r="AL2437" s="35"/>
      <c r="AM2437" s="35"/>
      <c r="AN2437" s="35"/>
      <c r="AO2437" s="35"/>
      <c r="AP2437" s="35"/>
    </row>
    <row r="2438" spans="1:42" x14ac:dyDescent="0.2">
      <c r="A2438" s="126">
        <v>45469.664110601851</v>
      </c>
      <c r="B2438" s="28" t="s">
        <v>37</v>
      </c>
      <c r="C2438" s="41" t="s">
        <v>118</v>
      </c>
      <c r="D2438" s="26" t="s">
        <v>36</v>
      </c>
      <c r="E2438" s="26" t="s">
        <v>106</v>
      </c>
      <c r="F2438" s="26" t="s">
        <v>36</v>
      </c>
      <c r="G2438" s="26" t="s">
        <v>108</v>
      </c>
      <c r="H2438" s="26" t="s">
        <v>6250</v>
      </c>
      <c r="I2438" s="17">
        <f ca="1">IFERROR(__xludf.DUMMYFUNCTION("""COMPUTED_VALUE"""),45495)</f>
        <v>45495</v>
      </c>
      <c r="J2438" s="29" t="s">
        <v>8817</v>
      </c>
      <c r="K2438" s="26" t="s">
        <v>8818</v>
      </c>
      <c r="L2438" s="30">
        <v>944825361</v>
      </c>
      <c r="M2438" s="26" t="s">
        <v>292</v>
      </c>
      <c r="N2438" s="26" t="s">
        <v>438</v>
      </c>
      <c r="O2438" s="26" t="s">
        <v>4503</v>
      </c>
      <c r="P2438" s="26" t="s">
        <v>8819</v>
      </c>
      <c r="Q2438" s="20">
        <v>3768</v>
      </c>
      <c r="R2438" s="26" t="s">
        <v>70</v>
      </c>
      <c r="S2438" s="31">
        <v>3668</v>
      </c>
      <c r="T2438" s="32">
        <v>45468</v>
      </c>
      <c r="U2438" s="31"/>
      <c r="V2438" s="32"/>
      <c r="W2438" s="33" t="s">
        <v>8820</v>
      </c>
      <c r="X2438" s="26"/>
      <c r="Y2438" s="22">
        <v>100</v>
      </c>
      <c r="Z2438" s="26" t="s">
        <v>50</v>
      </c>
      <c r="AA2438" s="19" t="s">
        <v>8721</v>
      </c>
      <c r="AB2438" s="26" t="s">
        <v>4503</v>
      </c>
      <c r="AC2438" s="26" t="s">
        <v>53</v>
      </c>
      <c r="AD2438" s="19" t="s">
        <v>138</v>
      </c>
      <c r="AE2438" s="26">
        <v>400</v>
      </c>
      <c r="AF2438" s="17">
        <v>45495</v>
      </c>
      <c r="AG2438" s="26" t="s">
        <v>1362</v>
      </c>
      <c r="AH2438" s="26"/>
      <c r="AI2438" s="40"/>
      <c r="AJ2438" s="26"/>
      <c r="AK2438" s="26"/>
      <c r="AL2438" s="35"/>
      <c r="AM2438" s="35"/>
      <c r="AN2438" s="35"/>
      <c r="AO2438" s="35"/>
      <c r="AP2438" s="35"/>
    </row>
    <row r="2439" spans="1:42" x14ac:dyDescent="0.2">
      <c r="A2439" s="126">
        <v>45469.665196817128</v>
      </c>
      <c r="B2439" s="28" t="s">
        <v>37</v>
      </c>
      <c r="C2439" s="41" t="s">
        <v>118</v>
      </c>
      <c r="D2439" s="26" t="s">
        <v>36</v>
      </c>
      <c r="E2439" s="26" t="s">
        <v>106</v>
      </c>
      <c r="F2439" s="26" t="s">
        <v>36</v>
      </c>
      <c r="G2439" s="26" t="s">
        <v>108</v>
      </c>
      <c r="H2439" s="26" t="s">
        <v>6250</v>
      </c>
      <c r="I2439" s="17">
        <f ca="1">IFERROR(__xludf.DUMMYFUNCTION("""COMPUTED_VALUE"""),45495)</f>
        <v>45495</v>
      </c>
      <c r="J2439" s="29" t="s">
        <v>8821</v>
      </c>
      <c r="K2439" s="26" t="s">
        <v>8822</v>
      </c>
      <c r="L2439" s="30">
        <v>921363897</v>
      </c>
      <c r="M2439" s="26" t="s">
        <v>292</v>
      </c>
      <c r="N2439" s="26" t="s">
        <v>438</v>
      </c>
      <c r="O2439" s="26" t="s">
        <v>4503</v>
      </c>
      <c r="P2439" s="26" t="s">
        <v>8819</v>
      </c>
      <c r="Q2439" s="20">
        <v>3768</v>
      </c>
      <c r="R2439" s="26" t="s">
        <v>70</v>
      </c>
      <c r="S2439" s="31">
        <v>3668</v>
      </c>
      <c r="T2439" s="32">
        <v>45468</v>
      </c>
      <c r="U2439" s="31"/>
      <c r="V2439" s="32"/>
      <c r="W2439" s="33" t="s">
        <v>8823</v>
      </c>
      <c r="X2439" s="26"/>
      <c r="Y2439" s="22">
        <v>100</v>
      </c>
      <c r="Z2439" s="26" t="s">
        <v>50</v>
      </c>
      <c r="AA2439" s="19" t="s">
        <v>8721</v>
      </c>
      <c r="AB2439" s="26" t="s">
        <v>4503</v>
      </c>
      <c r="AC2439" s="26" t="s">
        <v>53</v>
      </c>
      <c r="AD2439" s="19" t="s">
        <v>138</v>
      </c>
      <c r="AE2439" s="26">
        <v>400</v>
      </c>
      <c r="AF2439" s="17">
        <v>45495</v>
      </c>
      <c r="AG2439" s="26" t="s">
        <v>1362</v>
      </c>
      <c r="AH2439" s="26"/>
      <c r="AI2439" s="40"/>
      <c r="AJ2439" s="26"/>
      <c r="AK2439" s="26"/>
      <c r="AL2439" s="35"/>
      <c r="AM2439" s="35"/>
      <c r="AN2439" s="35"/>
      <c r="AO2439" s="35"/>
      <c r="AP2439" s="35"/>
    </row>
    <row r="2440" spans="1:42" x14ac:dyDescent="0.2">
      <c r="A2440" s="126">
        <v>45472.785476527773</v>
      </c>
      <c r="B2440" s="28" t="s">
        <v>37</v>
      </c>
      <c r="C2440" s="41" t="s">
        <v>118</v>
      </c>
      <c r="D2440" s="26" t="s">
        <v>36</v>
      </c>
      <c r="E2440" s="26" t="s">
        <v>56</v>
      </c>
      <c r="F2440" s="26" t="s">
        <v>36</v>
      </c>
      <c r="G2440" s="26" t="s">
        <v>41</v>
      </c>
      <c r="H2440" s="26" t="s">
        <v>8824</v>
      </c>
      <c r="I2440" s="17">
        <f ca="1">IFERROR(__xludf.DUMMYFUNCTION("""COMPUTED_VALUE"""),45485)</f>
        <v>45485</v>
      </c>
      <c r="J2440" s="29" t="s">
        <v>8825</v>
      </c>
      <c r="K2440" s="26" t="s">
        <v>8826</v>
      </c>
      <c r="L2440" s="30">
        <v>329837858</v>
      </c>
      <c r="M2440" s="26" t="s">
        <v>6309</v>
      </c>
      <c r="N2440" s="26" t="s">
        <v>1400</v>
      </c>
      <c r="O2440" s="26" t="s">
        <v>8827</v>
      </c>
      <c r="P2440" s="42" t="s">
        <v>8828</v>
      </c>
      <c r="Q2440" s="20">
        <v>9317</v>
      </c>
      <c r="R2440" s="26" t="s">
        <v>36</v>
      </c>
      <c r="S2440" s="31">
        <v>9317</v>
      </c>
      <c r="T2440" s="32">
        <v>45471</v>
      </c>
      <c r="U2440" s="31"/>
      <c r="V2440" s="32"/>
      <c r="W2440" s="33" t="s">
        <v>8829</v>
      </c>
      <c r="X2440" s="26"/>
      <c r="Y2440" s="22">
        <v>0</v>
      </c>
      <c r="Z2440" s="26" t="s">
        <v>50</v>
      </c>
      <c r="AA2440" s="19" t="s">
        <v>8721</v>
      </c>
      <c r="AB2440" s="26"/>
      <c r="AC2440" s="26" t="s">
        <v>53</v>
      </c>
      <c r="AD2440" s="19" t="s">
        <v>54</v>
      </c>
      <c r="AE2440" s="26"/>
      <c r="AF2440" s="17">
        <v>45481</v>
      </c>
      <c r="AG2440" s="26"/>
      <c r="AH2440" s="26"/>
      <c r="AI2440" s="40"/>
      <c r="AJ2440" s="26"/>
      <c r="AK2440" s="26"/>
      <c r="AL2440" s="35"/>
      <c r="AM2440" s="35"/>
      <c r="AN2440" s="35"/>
      <c r="AO2440" s="35"/>
      <c r="AP2440" s="35"/>
    </row>
    <row r="2441" spans="1:42" x14ac:dyDescent="0.2">
      <c r="A2441" s="126">
        <v>45472.956139895832</v>
      </c>
      <c r="B2441" s="28" t="s">
        <v>37</v>
      </c>
      <c r="C2441" s="41" t="s">
        <v>118</v>
      </c>
      <c r="D2441" s="26" t="s">
        <v>36</v>
      </c>
      <c r="E2441" s="26" t="s">
        <v>56</v>
      </c>
      <c r="F2441" s="26" t="s">
        <v>36</v>
      </c>
      <c r="G2441" s="26" t="s">
        <v>41</v>
      </c>
      <c r="H2441" s="26" t="s">
        <v>8830</v>
      </c>
      <c r="I2441" s="17">
        <f ca="1">IFERROR(__xludf.DUMMYFUNCTION("""COMPUTED_VALUE"""),45478)</f>
        <v>45478</v>
      </c>
      <c r="J2441" s="29" t="s">
        <v>8831</v>
      </c>
      <c r="K2441" s="26" t="s">
        <v>8832</v>
      </c>
      <c r="L2441" s="30">
        <v>343782726</v>
      </c>
      <c r="M2441" s="26" t="s">
        <v>94</v>
      </c>
      <c r="N2441" s="26" t="s">
        <v>8833</v>
      </c>
      <c r="O2441" s="26" t="s">
        <v>91</v>
      </c>
      <c r="P2441" s="28" t="s">
        <v>8834</v>
      </c>
      <c r="Q2441" s="20">
        <v>9317</v>
      </c>
      <c r="R2441" s="26" t="s">
        <v>36</v>
      </c>
      <c r="S2441" s="31">
        <v>9317</v>
      </c>
      <c r="T2441" s="32">
        <v>45469</v>
      </c>
      <c r="U2441" s="31"/>
      <c r="V2441" s="32"/>
      <c r="W2441" s="33" t="s">
        <v>8835</v>
      </c>
      <c r="X2441" s="26"/>
      <c r="Y2441" s="22">
        <v>0</v>
      </c>
      <c r="Z2441" s="26" t="s">
        <v>50</v>
      </c>
      <c r="AA2441" s="19" t="s">
        <v>8721</v>
      </c>
      <c r="AB2441" s="26" t="s">
        <v>36</v>
      </c>
      <c r="AC2441" s="26" t="s">
        <v>53</v>
      </c>
      <c r="AD2441" s="19" t="s">
        <v>54</v>
      </c>
      <c r="AE2441" s="26">
        <v>340</v>
      </c>
      <c r="AF2441" s="17">
        <v>45474</v>
      </c>
      <c r="AG2441" s="26"/>
      <c r="AH2441" s="26"/>
      <c r="AI2441" s="40"/>
      <c r="AJ2441" s="26"/>
      <c r="AK2441" s="26"/>
      <c r="AL2441" s="35"/>
      <c r="AM2441" s="35"/>
      <c r="AN2441" s="35"/>
      <c r="AO2441" s="35"/>
      <c r="AP2441" s="35"/>
    </row>
    <row r="2442" spans="1:42" x14ac:dyDescent="0.2">
      <c r="A2442" s="126">
        <v>45474.403628402782</v>
      </c>
      <c r="B2442" s="28" t="s">
        <v>37</v>
      </c>
      <c r="C2442" s="41" t="s">
        <v>118</v>
      </c>
      <c r="D2442" s="26" t="s">
        <v>36</v>
      </c>
      <c r="E2442" s="26" t="s">
        <v>148</v>
      </c>
      <c r="F2442" s="26" t="s">
        <v>8836</v>
      </c>
      <c r="G2442" s="26" t="s">
        <v>108</v>
      </c>
      <c r="H2442" s="26" t="s">
        <v>6250</v>
      </c>
      <c r="I2442" s="17">
        <f ca="1">IFERROR(__xludf.DUMMYFUNCTION("""COMPUTED_VALUE"""),45495)</f>
        <v>45495</v>
      </c>
      <c r="J2442" s="29" t="s">
        <v>8837</v>
      </c>
      <c r="K2442" s="26" t="s">
        <v>8838</v>
      </c>
      <c r="L2442" s="140">
        <v>818845815</v>
      </c>
      <c r="M2442" s="26" t="s">
        <v>3288</v>
      </c>
      <c r="N2442" s="26" t="s">
        <v>200</v>
      </c>
      <c r="O2442" s="26" t="s">
        <v>8839</v>
      </c>
      <c r="P2442" s="26" t="s">
        <v>3117</v>
      </c>
      <c r="Q2442" s="20">
        <v>7349</v>
      </c>
      <c r="R2442" s="26" t="s">
        <v>36</v>
      </c>
      <c r="S2442" s="31">
        <v>7349</v>
      </c>
      <c r="T2442" s="32">
        <v>45106</v>
      </c>
      <c r="U2442" s="31"/>
      <c r="V2442" s="32"/>
      <c r="W2442" s="33" t="s">
        <v>8840</v>
      </c>
      <c r="X2442" s="26"/>
      <c r="Y2442" s="22">
        <v>0</v>
      </c>
      <c r="Z2442" s="26" t="s">
        <v>50</v>
      </c>
      <c r="AA2442" s="19" t="s">
        <v>8721</v>
      </c>
      <c r="AB2442" s="26"/>
      <c r="AC2442" s="26" t="s">
        <v>53</v>
      </c>
      <c r="AD2442" s="19" t="s">
        <v>138</v>
      </c>
      <c r="AE2442" s="26">
        <v>460</v>
      </c>
      <c r="AF2442" s="17">
        <v>45495</v>
      </c>
      <c r="AG2442" s="26" t="s">
        <v>1362</v>
      </c>
      <c r="AH2442" s="26"/>
      <c r="AI2442" s="40"/>
      <c r="AJ2442" s="26"/>
      <c r="AK2442" s="26"/>
      <c r="AL2442" s="35"/>
      <c r="AM2442" s="35"/>
      <c r="AN2442" s="35"/>
      <c r="AO2442" s="35"/>
      <c r="AP2442" s="35"/>
    </row>
    <row r="2443" spans="1:42" x14ac:dyDescent="0.2">
      <c r="A2443" s="126">
        <v>45474.416806145833</v>
      </c>
      <c r="B2443" s="28" t="s">
        <v>37</v>
      </c>
      <c r="C2443" s="41" t="s">
        <v>118</v>
      </c>
      <c r="D2443" s="26" t="s">
        <v>36</v>
      </c>
      <c r="E2443" s="26" t="s">
        <v>106</v>
      </c>
      <c r="F2443" s="26" t="s">
        <v>36</v>
      </c>
      <c r="G2443" s="26" t="s">
        <v>108</v>
      </c>
      <c r="H2443" s="26" t="s">
        <v>6250</v>
      </c>
      <c r="I2443" s="17">
        <f ca="1">IFERROR(__xludf.DUMMYFUNCTION("""COMPUTED_VALUE"""),45495)</f>
        <v>45495</v>
      </c>
      <c r="J2443" s="29" t="s">
        <v>8841</v>
      </c>
      <c r="K2443" s="26" t="s">
        <v>8842</v>
      </c>
      <c r="L2443" s="141">
        <v>345972073</v>
      </c>
      <c r="M2443" s="26" t="s">
        <v>3288</v>
      </c>
      <c r="N2443" s="26" t="s">
        <v>200</v>
      </c>
      <c r="O2443" s="26" t="s">
        <v>91</v>
      </c>
      <c r="P2443" s="26" t="s">
        <v>3117</v>
      </c>
      <c r="Q2443" s="20">
        <v>3768</v>
      </c>
      <c r="R2443" s="26" t="s">
        <v>36</v>
      </c>
      <c r="S2443" s="31">
        <v>3768</v>
      </c>
      <c r="T2443" s="32">
        <v>45473</v>
      </c>
      <c r="U2443" s="31"/>
      <c r="V2443" s="32"/>
      <c r="W2443" s="33" t="s">
        <v>8843</v>
      </c>
      <c r="X2443" s="26"/>
      <c r="Y2443" s="22">
        <v>0</v>
      </c>
      <c r="Z2443" s="26" t="s">
        <v>50</v>
      </c>
      <c r="AA2443" s="19" t="s">
        <v>8721</v>
      </c>
      <c r="AB2443" s="26"/>
      <c r="AC2443" s="26" t="s">
        <v>53</v>
      </c>
      <c r="AD2443" s="19" t="s">
        <v>138</v>
      </c>
      <c r="AE2443" s="26">
        <v>560</v>
      </c>
      <c r="AF2443" s="17">
        <v>45495</v>
      </c>
      <c r="AG2443" s="26" t="s">
        <v>1362</v>
      </c>
      <c r="AH2443" s="26"/>
      <c r="AI2443" s="40"/>
      <c r="AJ2443" s="26"/>
      <c r="AK2443" s="26"/>
      <c r="AL2443" s="35"/>
      <c r="AM2443" s="35"/>
      <c r="AN2443" s="35"/>
      <c r="AO2443" s="35"/>
      <c r="AP2443" s="35"/>
    </row>
    <row r="2444" spans="1:42" x14ac:dyDescent="0.2">
      <c r="A2444" s="126">
        <v>45474.434057997685</v>
      </c>
      <c r="B2444" s="28" t="s">
        <v>37</v>
      </c>
      <c r="C2444" s="41" t="s">
        <v>118</v>
      </c>
      <c r="D2444" s="26" t="s">
        <v>36</v>
      </c>
      <c r="E2444" s="26" t="s">
        <v>148</v>
      </c>
      <c r="F2444" s="26" t="s">
        <v>36</v>
      </c>
      <c r="G2444" s="26" t="s">
        <v>108</v>
      </c>
      <c r="H2444" s="26" t="s">
        <v>8844</v>
      </c>
      <c r="I2444" s="17">
        <f ca="1">IFERROR(__xludf.DUMMYFUNCTION("""COMPUTED_VALUE"""),45593)</f>
        <v>45593</v>
      </c>
      <c r="J2444" s="29" t="s">
        <v>8845</v>
      </c>
      <c r="K2444" s="26" t="s">
        <v>8846</v>
      </c>
      <c r="L2444" s="47">
        <v>862730477</v>
      </c>
      <c r="M2444" s="26" t="s">
        <v>45</v>
      </c>
      <c r="N2444" s="26" t="s">
        <v>571</v>
      </c>
      <c r="O2444" s="26" t="s">
        <v>8847</v>
      </c>
      <c r="P2444" s="26" t="s">
        <v>8848</v>
      </c>
      <c r="Q2444" s="20">
        <v>7349</v>
      </c>
      <c r="R2444" s="26" t="s">
        <v>36</v>
      </c>
      <c r="S2444" s="31">
        <v>7349</v>
      </c>
      <c r="T2444" s="32">
        <v>45473</v>
      </c>
      <c r="U2444" s="31"/>
      <c r="V2444" s="32"/>
      <c r="W2444" s="33" t="s">
        <v>8849</v>
      </c>
      <c r="X2444" s="26"/>
      <c r="Y2444" s="22">
        <v>0</v>
      </c>
      <c r="Z2444" s="26" t="s">
        <v>50</v>
      </c>
      <c r="AA2444" s="19" t="s">
        <v>8721</v>
      </c>
      <c r="AB2444" s="26"/>
      <c r="AC2444" s="26" t="s">
        <v>53</v>
      </c>
      <c r="AD2444" s="19" t="s">
        <v>54</v>
      </c>
      <c r="AE2444" s="26">
        <v>390</v>
      </c>
      <c r="AF2444" s="17">
        <v>45478</v>
      </c>
      <c r="AG2444" s="26"/>
      <c r="AH2444" s="26"/>
      <c r="AI2444" s="40"/>
      <c r="AJ2444" s="26"/>
      <c r="AK2444" s="26"/>
      <c r="AL2444" s="35"/>
      <c r="AM2444" s="35"/>
      <c r="AN2444" s="35"/>
      <c r="AO2444" s="35"/>
      <c r="AP2444" s="35"/>
    </row>
    <row r="2445" spans="1:42" x14ac:dyDescent="0.2">
      <c r="A2445" s="126">
        <v>45474.920169791665</v>
      </c>
      <c r="B2445" s="28" t="s">
        <v>37</v>
      </c>
      <c r="C2445" s="41" t="s">
        <v>118</v>
      </c>
      <c r="D2445" s="26" t="s">
        <v>36</v>
      </c>
      <c r="E2445" s="26" t="s">
        <v>148</v>
      </c>
      <c r="F2445" s="26" t="s">
        <v>40</v>
      </c>
      <c r="G2445" s="26" t="s">
        <v>108</v>
      </c>
      <c r="H2445" s="26" t="s">
        <v>6250</v>
      </c>
      <c r="I2445" s="17">
        <f ca="1">IFERROR(__xludf.DUMMYFUNCTION("""COMPUTED_VALUE"""),45495)</f>
        <v>45495</v>
      </c>
      <c r="J2445" s="29" t="s">
        <v>8850</v>
      </c>
      <c r="K2445" s="26" t="s">
        <v>8851</v>
      </c>
      <c r="L2445" s="30">
        <v>911428960</v>
      </c>
      <c r="M2445" s="26" t="s">
        <v>45</v>
      </c>
      <c r="N2445" s="26" t="s">
        <v>571</v>
      </c>
      <c r="O2445" s="26" t="s">
        <v>8852</v>
      </c>
      <c r="P2445" s="26" t="s">
        <v>7743</v>
      </c>
      <c r="Q2445" s="20">
        <v>7349</v>
      </c>
      <c r="R2445" s="26" t="s">
        <v>36</v>
      </c>
      <c r="S2445" s="31">
        <v>7349</v>
      </c>
      <c r="T2445" s="32">
        <v>45473</v>
      </c>
      <c r="U2445" s="31"/>
      <c r="V2445" s="32"/>
      <c r="W2445" s="33" t="s">
        <v>8853</v>
      </c>
      <c r="X2445" s="26"/>
      <c r="Y2445" s="22">
        <v>0</v>
      </c>
      <c r="Z2445" s="26" t="s">
        <v>50</v>
      </c>
      <c r="AA2445" s="19" t="s">
        <v>8721</v>
      </c>
      <c r="AB2445" s="26"/>
      <c r="AC2445" s="26" t="s">
        <v>53</v>
      </c>
      <c r="AD2445" s="19" t="s">
        <v>138</v>
      </c>
      <c r="AE2445" s="26">
        <v>460</v>
      </c>
      <c r="AF2445" s="17">
        <v>45489</v>
      </c>
      <c r="AG2445" s="26" t="s">
        <v>8237</v>
      </c>
      <c r="AH2445" s="26"/>
      <c r="AI2445" s="40"/>
      <c r="AJ2445" s="26"/>
      <c r="AK2445" s="26"/>
      <c r="AL2445" s="35"/>
      <c r="AM2445" s="35"/>
      <c r="AN2445" s="35"/>
      <c r="AO2445" s="35"/>
      <c r="AP2445" s="35"/>
    </row>
    <row r="2446" spans="1:42" x14ac:dyDescent="0.2">
      <c r="A2446" s="38">
        <v>45484</v>
      </c>
      <c r="B2446" s="28" t="s">
        <v>37</v>
      </c>
      <c r="C2446" s="41" t="s">
        <v>118</v>
      </c>
      <c r="D2446" s="26" t="s">
        <v>36</v>
      </c>
      <c r="E2446" s="26" t="s">
        <v>139</v>
      </c>
      <c r="F2446" s="26" t="s">
        <v>5037</v>
      </c>
      <c r="G2446" s="26" t="s">
        <v>221</v>
      </c>
      <c r="H2446" s="26" t="s">
        <v>6615</v>
      </c>
      <c r="I2446" s="17">
        <f ca="1">IFERROR(__xludf.DUMMYFUNCTION("""COMPUTED_VALUE"""),45496)</f>
        <v>45496</v>
      </c>
      <c r="J2446" s="29" t="s">
        <v>6769</v>
      </c>
      <c r="K2446" s="26" t="s">
        <v>6770</v>
      </c>
      <c r="L2446" s="30">
        <v>325596416</v>
      </c>
      <c r="M2446" s="26" t="s">
        <v>5518</v>
      </c>
      <c r="N2446" s="26" t="s">
        <v>5582</v>
      </c>
      <c r="O2446" s="26" t="s">
        <v>6771</v>
      </c>
      <c r="P2446" s="42" t="s">
        <v>8854</v>
      </c>
      <c r="Q2446" s="20">
        <v>15936</v>
      </c>
      <c r="R2446" s="26" t="s">
        <v>36</v>
      </c>
      <c r="S2446" s="31">
        <v>4000</v>
      </c>
      <c r="T2446" s="32">
        <v>45301</v>
      </c>
      <c r="U2446" s="31">
        <v>11936</v>
      </c>
      <c r="V2446" s="32">
        <v>45319</v>
      </c>
      <c r="W2446" s="33" t="s">
        <v>6773</v>
      </c>
      <c r="X2446" s="26">
        <v>0</v>
      </c>
      <c r="Y2446" s="22">
        <v>0</v>
      </c>
      <c r="Z2446" s="26" t="s">
        <v>118</v>
      </c>
      <c r="AA2446" s="19" t="s">
        <v>6079</v>
      </c>
      <c r="AB2446" s="26" t="s">
        <v>104</v>
      </c>
      <c r="AC2446" s="26" t="s">
        <v>53</v>
      </c>
      <c r="AD2446" s="19" t="s">
        <v>54</v>
      </c>
      <c r="AE2446" s="26" t="s">
        <v>5037</v>
      </c>
      <c r="AF2446" s="102">
        <v>45490</v>
      </c>
      <c r="AG2446" s="26"/>
      <c r="AH2446" s="26"/>
      <c r="AI2446" s="40" t="s">
        <v>147</v>
      </c>
      <c r="AJ2446" s="26"/>
      <c r="AK2446" s="26"/>
      <c r="AL2446" s="35"/>
      <c r="AM2446" s="35"/>
      <c r="AN2446" s="35"/>
      <c r="AO2446" s="35"/>
      <c r="AP2446" s="35"/>
    </row>
    <row r="2447" spans="1:42" x14ac:dyDescent="0.2">
      <c r="A2447" s="38">
        <v>45484</v>
      </c>
      <c r="B2447" s="28" t="s">
        <v>37</v>
      </c>
      <c r="C2447" s="41" t="s">
        <v>118</v>
      </c>
      <c r="D2447" s="26" t="s">
        <v>36</v>
      </c>
      <c r="E2447" s="26" t="s">
        <v>148</v>
      </c>
      <c r="F2447" s="26" t="s">
        <v>2016</v>
      </c>
      <c r="G2447" s="26" t="s">
        <v>221</v>
      </c>
      <c r="H2447" s="26" t="s">
        <v>6976</v>
      </c>
      <c r="I2447" s="17">
        <f ca="1">IFERROR(__xludf.DUMMYFUNCTION("""COMPUTED_VALUE"""),45489)</f>
        <v>45489</v>
      </c>
      <c r="J2447" s="29" t="s">
        <v>7706</v>
      </c>
      <c r="K2447" s="26" t="s">
        <v>7707</v>
      </c>
      <c r="L2447" s="30">
        <v>342425480</v>
      </c>
      <c r="M2447" s="26" t="s">
        <v>3288</v>
      </c>
      <c r="N2447" s="26" t="s">
        <v>200</v>
      </c>
      <c r="O2447" s="26" t="s">
        <v>7708</v>
      </c>
      <c r="P2447" s="42" t="s">
        <v>8855</v>
      </c>
      <c r="Q2447" s="20">
        <v>7349</v>
      </c>
      <c r="R2447" s="26" t="s">
        <v>36</v>
      </c>
      <c r="S2447" s="31">
        <v>7349</v>
      </c>
      <c r="T2447" s="32">
        <v>45354</v>
      </c>
      <c r="U2447" s="31"/>
      <c r="V2447" s="32"/>
      <c r="W2447" s="33" t="s">
        <v>7710</v>
      </c>
      <c r="X2447" s="26"/>
      <c r="Y2447" s="22">
        <v>0</v>
      </c>
      <c r="Z2447" s="26" t="s">
        <v>50</v>
      </c>
      <c r="AA2447" s="19" t="s">
        <v>7361</v>
      </c>
      <c r="AB2447" s="26"/>
      <c r="AC2447" s="26" t="s">
        <v>53</v>
      </c>
      <c r="AD2447" s="19" t="s">
        <v>54</v>
      </c>
      <c r="AE2447" s="26" t="s">
        <v>2016</v>
      </c>
      <c r="AF2447" s="17">
        <v>45485</v>
      </c>
      <c r="AG2447" s="26"/>
      <c r="AH2447" s="26"/>
      <c r="AI2447" s="40"/>
      <c r="AJ2447" s="26"/>
      <c r="AK2447" s="26"/>
      <c r="AL2447" s="35"/>
      <c r="AM2447" s="35"/>
      <c r="AN2447" s="35"/>
      <c r="AO2447" s="35"/>
      <c r="AP2447" s="35"/>
    </row>
    <row r="2448" spans="1:42" x14ac:dyDescent="0.2">
      <c r="A2448" s="38">
        <v>45484</v>
      </c>
      <c r="B2448" s="28" t="s">
        <v>37</v>
      </c>
      <c r="C2448" s="41" t="s">
        <v>118</v>
      </c>
      <c r="D2448" s="26" t="s">
        <v>36</v>
      </c>
      <c r="E2448" s="26" t="s">
        <v>915</v>
      </c>
      <c r="F2448" s="26" t="s">
        <v>1544</v>
      </c>
      <c r="G2448" s="26" t="s">
        <v>221</v>
      </c>
      <c r="H2448" s="26" t="s">
        <v>6615</v>
      </c>
      <c r="I2448" s="17">
        <f ca="1">IFERROR(__xludf.DUMMYFUNCTION("""COMPUTED_VALUE"""),45496)</f>
        <v>45496</v>
      </c>
      <c r="J2448" s="29" t="s">
        <v>1632</v>
      </c>
      <c r="K2448" s="26" t="s">
        <v>8856</v>
      </c>
      <c r="L2448" s="30">
        <v>376745593</v>
      </c>
      <c r="M2448" s="26" t="s">
        <v>80</v>
      </c>
      <c r="N2448" s="26" t="s">
        <v>1634</v>
      </c>
      <c r="O2448" s="26" t="s">
        <v>1635</v>
      </c>
      <c r="P2448" s="42" t="s">
        <v>8857</v>
      </c>
      <c r="Q2448" s="20">
        <v>10894</v>
      </c>
      <c r="R2448" s="26" t="s">
        <v>36</v>
      </c>
      <c r="S2448" s="31">
        <v>10127</v>
      </c>
      <c r="T2448" s="32">
        <v>45158</v>
      </c>
      <c r="U2448" s="31"/>
      <c r="V2448" s="16" t="s">
        <v>1637</v>
      </c>
      <c r="W2448" s="33" t="s">
        <v>1638</v>
      </c>
      <c r="X2448" s="26">
        <v>0</v>
      </c>
      <c r="Y2448" s="22">
        <v>767</v>
      </c>
      <c r="Z2448" s="34" t="s">
        <v>50</v>
      </c>
      <c r="AA2448" s="19" t="s">
        <v>901</v>
      </c>
      <c r="AB2448" s="26"/>
      <c r="AC2448" s="26" t="s">
        <v>53</v>
      </c>
      <c r="AD2448" s="19" t="s">
        <v>54</v>
      </c>
      <c r="AE2448" s="26" t="s">
        <v>1544</v>
      </c>
      <c r="AF2448" s="102">
        <v>45490</v>
      </c>
      <c r="AG2448" s="26"/>
      <c r="AH2448" s="26">
        <v>1</v>
      </c>
      <c r="AI2448" s="40">
        <v>3</v>
      </c>
      <c r="AJ2448" s="26"/>
      <c r="AK2448" s="26"/>
      <c r="AL2448" s="35"/>
      <c r="AM2448" s="35"/>
      <c r="AN2448" s="35"/>
      <c r="AO2448" s="35"/>
      <c r="AP2448" s="35"/>
    </row>
    <row r="2449" spans="1:42" x14ac:dyDescent="0.2">
      <c r="A2449" s="38">
        <v>45488</v>
      </c>
      <c r="B2449" s="28" t="s">
        <v>37</v>
      </c>
      <c r="C2449" s="41" t="s">
        <v>118</v>
      </c>
      <c r="D2449" s="26" t="s">
        <v>36</v>
      </c>
      <c r="E2449" s="26" t="s">
        <v>139</v>
      </c>
      <c r="F2449" s="26" t="s">
        <v>5106</v>
      </c>
      <c r="G2449" s="26" t="s">
        <v>108</v>
      </c>
      <c r="H2449" s="26" t="s">
        <v>6250</v>
      </c>
      <c r="I2449" s="17">
        <f ca="1">IFERROR(__xludf.DUMMYFUNCTION("""COMPUTED_VALUE"""),45495)</f>
        <v>45495</v>
      </c>
      <c r="J2449" s="29" t="s">
        <v>5407</v>
      </c>
      <c r="K2449" s="26" t="s">
        <v>8858</v>
      </c>
      <c r="L2449" s="30">
        <v>983990355</v>
      </c>
      <c r="M2449" s="26" t="s">
        <v>112</v>
      </c>
      <c r="N2449" s="26" t="s">
        <v>8859</v>
      </c>
      <c r="O2449" s="26" t="s">
        <v>2144</v>
      </c>
      <c r="P2449" s="42" t="s">
        <v>8860</v>
      </c>
      <c r="Q2449" s="20">
        <v>15936</v>
      </c>
      <c r="R2449" s="26" t="s">
        <v>70</v>
      </c>
      <c r="S2449" s="31">
        <v>3000</v>
      </c>
      <c r="T2449" s="32">
        <v>45221</v>
      </c>
      <c r="U2449" s="58">
        <v>12836</v>
      </c>
      <c r="V2449" s="59">
        <v>45245</v>
      </c>
      <c r="W2449" s="33" t="s">
        <v>5409</v>
      </c>
      <c r="X2449" s="26"/>
      <c r="Y2449" s="22">
        <v>100</v>
      </c>
      <c r="Z2449" s="26" t="s">
        <v>118</v>
      </c>
      <c r="AA2449" s="19" t="s">
        <v>5785</v>
      </c>
      <c r="AB2449" s="80" t="s">
        <v>36</v>
      </c>
      <c r="AC2449" s="26" t="s">
        <v>53</v>
      </c>
      <c r="AD2449" s="19" t="s">
        <v>138</v>
      </c>
      <c r="AE2449" s="26" t="s">
        <v>5106</v>
      </c>
      <c r="AF2449" s="17">
        <v>44929</v>
      </c>
      <c r="AG2449" s="26" t="s">
        <v>5101</v>
      </c>
      <c r="AH2449" s="26"/>
      <c r="AI2449" s="40" t="s">
        <v>147</v>
      </c>
      <c r="AJ2449" s="26"/>
      <c r="AK2449" s="26"/>
      <c r="AL2449" s="35"/>
      <c r="AM2449" s="35"/>
      <c r="AN2449" s="35"/>
      <c r="AO2449" s="35"/>
      <c r="AP2449" s="35"/>
    </row>
    <row r="2450" spans="1:42" x14ac:dyDescent="0.2">
      <c r="A2450" s="38">
        <v>45488</v>
      </c>
      <c r="B2450" s="28" t="s">
        <v>37</v>
      </c>
      <c r="C2450" s="41" t="s">
        <v>118</v>
      </c>
      <c r="D2450" s="80" t="s">
        <v>36</v>
      </c>
      <c r="E2450" s="80" t="s">
        <v>56</v>
      </c>
      <c r="F2450" s="80" t="s">
        <v>2071</v>
      </c>
      <c r="G2450" s="142" t="s">
        <v>221</v>
      </c>
      <c r="H2450" s="80" t="s">
        <v>8026</v>
      </c>
      <c r="I2450" s="17">
        <f ca="1">IFERROR(__xludf.DUMMYFUNCTION("""COMPUTED_VALUE"""),45495)</f>
        <v>45495</v>
      </c>
      <c r="J2450" s="143" t="s">
        <v>2564</v>
      </c>
      <c r="K2450" s="80" t="s">
        <v>8861</v>
      </c>
      <c r="L2450" s="30">
        <v>866505937</v>
      </c>
      <c r="M2450" s="26" t="s">
        <v>112</v>
      </c>
      <c r="N2450" s="26" t="s">
        <v>8862</v>
      </c>
      <c r="O2450" s="80" t="s">
        <v>125</v>
      </c>
      <c r="P2450" s="144" t="s">
        <v>5814</v>
      </c>
      <c r="Q2450" s="20">
        <v>9317</v>
      </c>
      <c r="R2450" s="80" t="s">
        <v>36</v>
      </c>
      <c r="S2450" s="77">
        <v>5000</v>
      </c>
      <c r="T2450" s="78">
        <v>45166</v>
      </c>
      <c r="U2450" s="77">
        <v>4317</v>
      </c>
      <c r="V2450" s="78">
        <v>45187</v>
      </c>
      <c r="W2450" s="85" t="s">
        <v>2567</v>
      </c>
      <c r="X2450" s="80"/>
      <c r="Y2450" s="22">
        <v>0</v>
      </c>
      <c r="Z2450" s="41" t="s">
        <v>118</v>
      </c>
      <c r="AA2450" s="145" t="s">
        <v>2449</v>
      </c>
      <c r="AB2450" s="80" t="s">
        <v>36</v>
      </c>
      <c r="AC2450" s="80" t="s">
        <v>53</v>
      </c>
      <c r="AD2450" s="146" t="s">
        <v>54</v>
      </c>
      <c r="AE2450" s="80" t="s">
        <v>2071</v>
      </c>
      <c r="AF2450" s="17">
        <v>45495</v>
      </c>
      <c r="AG2450" s="26" t="s">
        <v>1362</v>
      </c>
      <c r="AH2450" s="80"/>
      <c r="AI2450" s="147" t="s">
        <v>64</v>
      </c>
      <c r="AJ2450" s="80"/>
      <c r="AK2450" s="80"/>
      <c r="AL2450" s="86"/>
      <c r="AM2450" s="86"/>
      <c r="AN2450" s="86"/>
      <c r="AO2450" s="86"/>
      <c r="AP2450" s="35"/>
    </row>
    <row r="2451" spans="1:42" x14ac:dyDescent="0.2">
      <c r="A2451" s="38">
        <v>45489</v>
      </c>
      <c r="B2451" s="28" t="s">
        <v>37</v>
      </c>
      <c r="C2451" s="41" t="s">
        <v>118</v>
      </c>
      <c r="D2451" s="26" t="s">
        <v>36</v>
      </c>
      <c r="E2451" s="26" t="s">
        <v>139</v>
      </c>
      <c r="F2451" s="26" t="s">
        <v>2031</v>
      </c>
      <c r="G2451" s="26" t="s">
        <v>1705</v>
      </c>
      <c r="H2451" s="26" t="s">
        <v>8655</v>
      </c>
      <c r="I2451" s="17">
        <f ca="1">IFERROR(__xludf.DUMMYFUNCTION("""COMPUTED_VALUE"""),45495)</f>
        <v>45495</v>
      </c>
      <c r="J2451" s="29" t="s">
        <v>155</v>
      </c>
      <c r="K2451" s="26" t="s">
        <v>2358</v>
      </c>
      <c r="L2451" s="30">
        <v>388867916</v>
      </c>
      <c r="M2451" s="26" t="s">
        <v>123</v>
      </c>
      <c r="N2451" s="26" t="s">
        <v>133</v>
      </c>
      <c r="O2451" s="26" t="s">
        <v>2359</v>
      </c>
      <c r="P2451" s="42" t="s">
        <v>2360</v>
      </c>
      <c r="Q2451" s="20">
        <v>15936</v>
      </c>
      <c r="R2451" s="26" t="s">
        <v>36</v>
      </c>
      <c r="S2451" s="31">
        <v>6000</v>
      </c>
      <c r="T2451" s="32">
        <v>45111</v>
      </c>
      <c r="U2451" s="31">
        <v>9936</v>
      </c>
      <c r="V2451" s="32">
        <v>45112</v>
      </c>
      <c r="W2451" s="33" t="s">
        <v>158</v>
      </c>
      <c r="X2451" s="26">
        <v>0</v>
      </c>
      <c r="Y2451" s="22">
        <v>0</v>
      </c>
      <c r="Z2451" s="26" t="s">
        <v>118</v>
      </c>
      <c r="AA2451" s="19" t="s">
        <v>51</v>
      </c>
      <c r="AB2451" s="80" t="s">
        <v>36</v>
      </c>
      <c r="AC2451" s="26" t="s">
        <v>53</v>
      </c>
      <c r="AD2451" s="19" t="s">
        <v>54</v>
      </c>
      <c r="AE2451" s="26" t="s">
        <v>2031</v>
      </c>
      <c r="AF2451" s="17">
        <v>45495</v>
      </c>
      <c r="AG2451" s="26"/>
      <c r="AH2451" s="26">
        <v>2</v>
      </c>
      <c r="AI2451" s="40" t="s">
        <v>147</v>
      </c>
      <c r="AJ2451" s="26"/>
      <c r="AK2451" s="26"/>
      <c r="AL2451" s="35"/>
      <c r="AM2451" s="35"/>
      <c r="AN2451" s="35"/>
      <c r="AO2451" s="35"/>
      <c r="AP2451" s="35"/>
    </row>
    <row r="2452" spans="1:42" x14ac:dyDescent="0.2">
      <c r="A2452" s="38">
        <v>45489</v>
      </c>
      <c r="B2452" s="28" t="s">
        <v>37</v>
      </c>
      <c r="C2452" s="41" t="s">
        <v>118</v>
      </c>
      <c r="D2452" s="26" t="s">
        <v>36</v>
      </c>
      <c r="E2452" s="26" t="s">
        <v>139</v>
      </c>
      <c r="F2452" s="26" t="s">
        <v>6070</v>
      </c>
      <c r="G2452" s="26" t="s">
        <v>1847</v>
      </c>
      <c r="H2452" s="26" t="s">
        <v>8650</v>
      </c>
      <c r="I2452" s="17">
        <f ca="1">IFERROR(__xludf.DUMMYFUNCTION("""COMPUTED_VALUE"""),45495)</f>
        <v>45495</v>
      </c>
      <c r="J2452" s="29" t="s">
        <v>954</v>
      </c>
      <c r="K2452" s="26" t="s">
        <v>8863</v>
      </c>
      <c r="L2452" s="30">
        <v>388176025</v>
      </c>
      <c r="M2452" s="26" t="s">
        <v>123</v>
      </c>
      <c r="N2452" s="26" t="s">
        <v>2386</v>
      </c>
      <c r="O2452" s="26" t="s">
        <v>134</v>
      </c>
      <c r="P2452" s="42" t="s">
        <v>8864</v>
      </c>
      <c r="Q2452" s="20">
        <v>15936</v>
      </c>
      <c r="R2452" s="26" t="s">
        <v>36</v>
      </c>
      <c r="S2452" s="31">
        <v>2000</v>
      </c>
      <c r="T2452" s="32">
        <v>45117</v>
      </c>
      <c r="U2452" s="58">
        <v>13936</v>
      </c>
      <c r="V2452" s="59">
        <v>45142</v>
      </c>
      <c r="W2452" s="33" t="s">
        <v>957</v>
      </c>
      <c r="X2452" s="26">
        <v>0</v>
      </c>
      <c r="Y2452" s="22">
        <v>0</v>
      </c>
      <c r="Z2452" s="26" t="s">
        <v>118</v>
      </c>
      <c r="AA2452" s="19" t="s">
        <v>1871</v>
      </c>
      <c r="AB2452" s="80" t="s">
        <v>36</v>
      </c>
      <c r="AC2452" s="26" t="s">
        <v>53</v>
      </c>
      <c r="AD2452" s="19" t="s">
        <v>54</v>
      </c>
      <c r="AE2452" s="26" t="s">
        <v>6070</v>
      </c>
      <c r="AF2452" s="17">
        <v>45495</v>
      </c>
      <c r="AG2452" s="26"/>
      <c r="AH2452" s="26">
        <v>2</v>
      </c>
      <c r="AI2452" s="40" t="s">
        <v>147</v>
      </c>
      <c r="AJ2452" s="26"/>
      <c r="AK2452" s="26"/>
      <c r="AL2452" s="35"/>
      <c r="AM2452" s="35"/>
      <c r="AN2452" s="35"/>
      <c r="AO2452" s="35"/>
      <c r="AP2452" s="35"/>
    </row>
    <row r="2453" spans="1:42" x14ac:dyDescent="0.2">
      <c r="A2453" s="38">
        <v>45489</v>
      </c>
      <c r="B2453" s="28" t="s">
        <v>37</v>
      </c>
      <c r="C2453" s="41" t="s">
        <v>118</v>
      </c>
      <c r="D2453" s="26" t="s">
        <v>36</v>
      </c>
      <c r="E2453" s="26" t="s">
        <v>119</v>
      </c>
      <c r="F2453" s="26" t="s">
        <v>5049</v>
      </c>
      <c r="G2453" s="26" t="s">
        <v>1847</v>
      </c>
      <c r="H2453" s="26" t="s">
        <v>8650</v>
      </c>
      <c r="I2453" s="17">
        <f ca="1">IFERROR(__xludf.DUMMYFUNCTION("""COMPUTED_VALUE"""),45495)</f>
        <v>45495</v>
      </c>
      <c r="J2453" s="29" t="s">
        <v>1102</v>
      </c>
      <c r="K2453" s="26" t="s">
        <v>1103</v>
      </c>
      <c r="L2453" s="30">
        <v>378868780</v>
      </c>
      <c r="M2453" s="26" t="s">
        <v>80</v>
      </c>
      <c r="N2453" s="26" t="s">
        <v>2404</v>
      </c>
      <c r="O2453" s="26" t="s">
        <v>1104</v>
      </c>
      <c r="P2453" s="42" t="s">
        <v>8865</v>
      </c>
      <c r="Q2453" s="20">
        <v>13968</v>
      </c>
      <c r="R2453" s="26" t="s">
        <v>1106</v>
      </c>
      <c r="S2453" s="31">
        <v>4000</v>
      </c>
      <c r="T2453" s="32">
        <v>45129</v>
      </c>
      <c r="U2453" s="31">
        <v>9968</v>
      </c>
      <c r="V2453" s="32">
        <v>45151</v>
      </c>
      <c r="W2453" s="33" t="s">
        <v>1107</v>
      </c>
      <c r="X2453" s="26">
        <v>150</v>
      </c>
      <c r="Y2453" s="22">
        <v>-150</v>
      </c>
      <c r="Z2453" s="26" t="s">
        <v>118</v>
      </c>
      <c r="AA2453" s="19" t="s">
        <v>901</v>
      </c>
      <c r="AB2453" s="80" t="s">
        <v>36</v>
      </c>
      <c r="AC2453" s="26" t="s">
        <v>53</v>
      </c>
      <c r="AD2453" s="19" t="s">
        <v>54</v>
      </c>
      <c r="AE2453" s="26" t="s">
        <v>5049</v>
      </c>
      <c r="AF2453" s="17">
        <v>45495</v>
      </c>
      <c r="AG2453" s="26"/>
      <c r="AH2453" s="26">
        <v>1</v>
      </c>
      <c r="AI2453" s="40">
        <v>4</v>
      </c>
      <c r="AJ2453" s="26"/>
      <c r="AK2453" s="26"/>
      <c r="AL2453" s="35"/>
      <c r="AM2453" s="35"/>
      <c r="AN2453" s="35"/>
      <c r="AO2453" s="35"/>
      <c r="AP2453" s="35"/>
    </row>
    <row r="2454" spans="1:42" x14ac:dyDescent="0.2">
      <c r="A2454" s="38">
        <v>45489</v>
      </c>
      <c r="B2454" s="28" t="s">
        <v>37</v>
      </c>
      <c r="C2454" s="41" t="s">
        <v>118</v>
      </c>
      <c r="D2454" s="26" t="s">
        <v>36</v>
      </c>
      <c r="E2454" s="26" t="s">
        <v>119</v>
      </c>
      <c r="F2454" s="26" t="s">
        <v>4982</v>
      </c>
      <c r="G2454" s="26" t="s">
        <v>1847</v>
      </c>
      <c r="H2454" s="26" t="s">
        <v>8650</v>
      </c>
      <c r="I2454" s="17">
        <f ca="1">IFERROR(__xludf.DUMMYFUNCTION("""COMPUTED_VALUE"""),45495)</f>
        <v>45495</v>
      </c>
      <c r="J2454" s="29" t="s">
        <v>1034</v>
      </c>
      <c r="K2454" s="26" t="s">
        <v>4983</v>
      </c>
      <c r="L2454" s="30">
        <v>964458529</v>
      </c>
      <c r="M2454" s="26" t="s">
        <v>80</v>
      </c>
      <c r="N2454" s="26" t="s">
        <v>87</v>
      </c>
      <c r="O2454" s="26" t="s">
        <v>1036</v>
      </c>
      <c r="P2454" s="42" t="s">
        <v>1037</v>
      </c>
      <c r="Q2454" s="20">
        <v>13968</v>
      </c>
      <c r="R2454" s="26" t="s">
        <v>36</v>
      </c>
      <c r="S2454" s="31">
        <v>4000</v>
      </c>
      <c r="T2454" s="32">
        <v>45121</v>
      </c>
      <c r="U2454" s="31">
        <v>9968</v>
      </c>
      <c r="V2454" s="38">
        <v>45153</v>
      </c>
      <c r="W2454" s="33" t="s">
        <v>1038</v>
      </c>
      <c r="X2454" s="26">
        <v>0</v>
      </c>
      <c r="Y2454" s="22">
        <v>0</v>
      </c>
      <c r="Z2454" s="26" t="s">
        <v>118</v>
      </c>
      <c r="AA2454" s="19" t="s">
        <v>901</v>
      </c>
      <c r="AB2454" s="80" t="s">
        <v>36</v>
      </c>
      <c r="AC2454" s="26" t="s">
        <v>53</v>
      </c>
      <c r="AD2454" s="19" t="s">
        <v>54</v>
      </c>
      <c r="AE2454" s="26" t="s">
        <v>4982</v>
      </c>
      <c r="AF2454" s="17">
        <v>45495</v>
      </c>
      <c r="AG2454" s="26"/>
      <c r="AH2454" s="26">
        <v>1</v>
      </c>
      <c r="AI2454" s="40">
        <v>4</v>
      </c>
      <c r="AJ2454" s="26"/>
      <c r="AK2454" s="26"/>
      <c r="AL2454" s="35"/>
      <c r="AM2454" s="35"/>
      <c r="AN2454" s="35"/>
      <c r="AO2454" s="35"/>
      <c r="AP2454" s="35"/>
    </row>
    <row r="2455" spans="1:42" x14ac:dyDescent="0.2">
      <c r="A2455" s="38">
        <v>45489</v>
      </c>
      <c r="B2455" s="137" t="s">
        <v>37</v>
      </c>
      <c r="C2455" s="41" t="s">
        <v>118</v>
      </c>
      <c r="D2455" s="80" t="s">
        <v>36</v>
      </c>
      <c r="E2455" s="80" t="s">
        <v>139</v>
      </c>
      <c r="F2455" s="86" t="s">
        <v>6993</v>
      </c>
      <c r="G2455" s="26" t="s">
        <v>1847</v>
      </c>
      <c r="H2455" s="26" t="s">
        <v>8650</v>
      </c>
      <c r="I2455" s="17">
        <f ca="1">IFERROR(__xludf.DUMMYFUNCTION("""COMPUTED_VALUE"""),45495)</f>
        <v>45495</v>
      </c>
      <c r="J2455" s="143" t="s">
        <v>1277</v>
      </c>
      <c r="K2455" s="80" t="s">
        <v>4728</v>
      </c>
      <c r="L2455" s="30">
        <v>916927480</v>
      </c>
      <c r="M2455" s="80" t="s">
        <v>123</v>
      </c>
      <c r="N2455" s="80" t="s">
        <v>310</v>
      </c>
      <c r="O2455" s="80" t="s">
        <v>91</v>
      </c>
      <c r="P2455" s="144" t="s">
        <v>8866</v>
      </c>
      <c r="Q2455" s="20">
        <v>15936</v>
      </c>
      <c r="R2455" s="80" t="s">
        <v>36</v>
      </c>
      <c r="S2455" s="77">
        <v>1968</v>
      </c>
      <c r="T2455" s="78">
        <v>45142</v>
      </c>
      <c r="U2455" s="77">
        <v>13968</v>
      </c>
      <c r="V2455" s="78">
        <v>45165</v>
      </c>
      <c r="W2455" s="85" t="s">
        <v>1280</v>
      </c>
      <c r="X2455" s="80">
        <v>0</v>
      </c>
      <c r="Y2455" s="22">
        <v>0</v>
      </c>
      <c r="Z2455" s="41" t="s">
        <v>118</v>
      </c>
      <c r="AA2455" s="145" t="s">
        <v>4541</v>
      </c>
      <c r="AB2455" s="80" t="s">
        <v>36</v>
      </c>
      <c r="AC2455" s="80" t="s">
        <v>53</v>
      </c>
      <c r="AD2455" s="146" t="s">
        <v>54</v>
      </c>
      <c r="AE2455" s="80" t="s">
        <v>6993</v>
      </c>
      <c r="AF2455" s="17">
        <v>45495</v>
      </c>
      <c r="AG2455" s="147"/>
      <c r="AH2455" s="80"/>
      <c r="AI2455" s="147"/>
      <c r="AJ2455" s="80"/>
      <c r="AK2455" s="80"/>
      <c r="AL2455" s="86"/>
      <c r="AM2455" s="86"/>
      <c r="AN2455" s="86"/>
      <c r="AO2455" s="86"/>
      <c r="AP2455" s="35"/>
    </row>
    <row r="2456" spans="1:42" x14ac:dyDescent="0.2">
      <c r="A2456" s="38">
        <v>45489</v>
      </c>
      <c r="B2456" s="28" t="s">
        <v>37</v>
      </c>
      <c r="C2456" s="41" t="s">
        <v>118</v>
      </c>
      <c r="D2456" s="26" t="s">
        <v>36</v>
      </c>
      <c r="E2456" s="26" t="s">
        <v>139</v>
      </c>
      <c r="F2456" s="26" t="s">
        <v>3285</v>
      </c>
      <c r="G2456" s="142" t="s">
        <v>221</v>
      </c>
      <c r="H2456" s="26" t="s">
        <v>8406</v>
      </c>
      <c r="I2456" s="17">
        <f ca="1">IFERROR(__xludf.DUMMYFUNCTION("""COMPUTED_VALUE"""),45499)</f>
        <v>45499</v>
      </c>
      <c r="J2456" s="29" t="s">
        <v>1422</v>
      </c>
      <c r="K2456" s="26" t="s">
        <v>1423</v>
      </c>
      <c r="L2456" s="30">
        <v>988523219</v>
      </c>
      <c r="M2456" s="26" t="s">
        <v>391</v>
      </c>
      <c r="N2456" s="26" t="s">
        <v>1424</v>
      </c>
      <c r="O2456" s="26" t="s">
        <v>1425</v>
      </c>
      <c r="P2456" s="42" t="s">
        <v>1426</v>
      </c>
      <c r="Q2456" s="20">
        <v>15936</v>
      </c>
      <c r="R2456" s="26" t="s">
        <v>36</v>
      </c>
      <c r="S2456" s="31">
        <v>1000</v>
      </c>
      <c r="T2456" s="32">
        <v>45138</v>
      </c>
      <c r="U2456" s="31">
        <v>14936</v>
      </c>
      <c r="V2456" s="32">
        <v>45148</v>
      </c>
      <c r="W2456" s="26" t="s">
        <v>1427</v>
      </c>
      <c r="X2456" s="26">
        <v>0</v>
      </c>
      <c r="Y2456" s="22">
        <v>0</v>
      </c>
      <c r="Z2456" s="41" t="s">
        <v>118</v>
      </c>
      <c r="AA2456" s="19" t="s">
        <v>901</v>
      </c>
      <c r="AB2456" s="80" t="s">
        <v>36</v>
      </c>
      <c r="AC2456" s="26" t="s">
        <v>53</v>
      </c>
      <c r="AD2456" s="19" t="s">
        <v>54</v>
      </c>
      <c r="AE2456" s="26" t="s">
        <v>3285</v>
      </c>
      <c r="AF2456" s="17">
        <v>45492</v>
      </c>
      <c r="AG2456" s="26" t="s">
        <v>1631</v>
      </c>
      <c r="AH2456" s="26">
        <v>1</v>
      </c>
      <c r="AI2456" s="40" t="s">
        <v>147</v>
      </c>
      <c r="AJ2456" s="26"/>
      <c r="AK2456" s="26"/>
      <c r="AL2456" s="35"/>
      <c r="AM2456" s="35"/>
      <c r="AN2456" s="35"/>
      <c r="AO2456" s="35"/>
      <c r="AP2456" s="35"/>
    </row>
    <row r="2457" spans="1:42" x14ac:dyDescent="0.2">
      <c r="A2457" s="38">
        <v>45489</v>
      </c>
      <c r="B2457" s="137" t="s">
        <v>37</v>
      </c>
      <c r="C2457" s="41" t="s">
        <v>118</v>
      </c>
      <c r="D2457" s="26" t="s">
        <v>36</v>
      </c>
      <c r="E2457" s="26" t="s">
        <v>56</v>
      </c>
      <c r="F2457" s="26" t="s">
        <v>6831</v>
      </c>
      <c r="G2457" s="26" t="s">
        <v>108</v>
      </c>
      <c r="H2457" s="26" t="s">
        <v>8867</v>
      </c>
      <c r="I2457" s="17">
        <f ca="1">IFERROR(__xludf.DUMMYFUNCTION("""COMPUTED_VALUE"""),45496)</f>
        <v>45496</v>
      </c>
      <c r="J2457" s="29" t="s">
        <v>7614</v>
      </c>
      <c r="K2457" s="26" t="s">
        <v>7615</v>
      </c>
      <c r="L2457" s="30">
        <v>965821042</v>
      </c>
      <c r="M2457" s="26" t="s">
        <v>2755</v>
      </c>
      <c r="N2457" s="26" t="s">
        <v>7153</v>
      </c>
      <c r="O2457" s="26" t="s">
        <v>4503</v>
      </c>
      <c r="P2457" s="42" t="s">
        <v>8868</v>
      </c>
      <c r="Q2457" s="20">
        <v>9317</v>
      </c>
      <c r="R2457" s="26" t="s">
        <v>36</v>
      </c>
      <c r="S2457" s="31">
        <v>500</v>
      </c>
      <c r="T2457" s="32">
        <v>45321</v>
      </c>
      <c r="U2457" s="31">
        <f>1500+7317</f>
        <v>8817</v>
      </c>
      <c r="V2457" s="26" t="s">
        <v>7617</v>
      </c>
      <c r="W2457" s="26" t="s">
        <v>7618</v>
      </c>
      <c r="X2457" s="26"/>
      <c r="Y2457" s="22">
        <v>0</v>
      </c>
      <c r="Z2457" s="41" t="s">
        <v>118</v>
      </c>
      <c r="AA2457" s="19" t="s">
        <v>7361</v>
      </c>
      <c r="AB2457" s="80" t="s">
        <v>36</v>
      </c>
      <c r="AC2457" s="26" t="s">
        <v>53</v>
      </c>
      <c r="AD2457" s="19" t="s">
        <v>54</v>
      </c>
      <c r="AE2457" s="26" t="s">
        <v>6831</v>
      </c>
      <c r="AF2457" s="17">
        <v>45491</v>
      </c>
      <c r="AG2457" s="26"/>
      <c r="AH2457" s="26"/>
      <c r="AI2457" s="40"/>
      <c r="AJ2457" s="26"/>
      <c r="AK2457" s="26"/>
      <c r="AL2457" s="35"/>
      <c r="AM2457" s="35"/>
      <c r="AN2457" s="35"/>
      <c r="AO2457" s="35"/>
      <c r="AP2457" s="35"/>
    </row>
    <row r="2458" spans="1:42" x14ac:dyDescent="0.2">
      <c r="A2458" s="99">
        <v>45468</v>
      </c>
      <c r="B2458" s="28" t="s">
        <v>37</v>
      </c>
      <c r="C2458" s="41" t="s">
        <v>118</v>
      </c>
      <c r="D2458" s="26" t="s">
        <v>36</v>
      </c>
      <c r="E2458" s="26" t="s">
        <v>148</v>
      </c>
      <c r="F2458" s="26" t="s">
        <v>8869</v>
      </c>
      <c r="G2458" s="26" t="s">
        <v>41</v>
      </c>
      <c r="H2458" s="26" t="s">
        <v>7497</v>
      </c>
      <c r="I2458" s="17">
        <f ca="1">IFERROR(__xludf.DUMMYFUNCTION("""COMPUTED_VALUE"""),45468)</f>
        <v>45468</v>
      </c>
      <c r="J2458" s="29" t="s">
        <v>7499</v>
      </c>
      <c r="K2458" s="35" t="s">
        <v>8870</v>
      </c>
      <c r="L2458" s="30">
        <v>569619730</v>
      </c>
      <c r="M2458" s="26" t="s">
        <v>1245</v>
      </c>
      <c r="N2458" s="26" t="s">
        <v>1246</v>
      </c>
      <c r="O2458" s="67" t="s">
        <v>7501</v>
      </c>
      <c r="P2458" s="42" t="s">
        <v>8871</v>
      </c>
      <c r="Q2458" s="20">
        <v>7349</v>
      </c>
      <c r="R2458" s="26" t="s">
        <v>36</v>
      </c>
      <c r="S2458" s="31">
        <v>14055</v>
      </c>
      <c r="T2458" s="148">
        <v>44912</v>
      </c>
      <c r="U2458" s="31"/>
      <c r="V2458" s="26"/>
      <c r="W2458" s="33" t="s">
        <v>7503</v>
      </c>
      <c r="X2458" s="26">
        <v>100</v>
      </c>
      <c r="Y2458" s="22">
        <v>-6806</v>
      </c>
      <c r="Z2458" s="26" t="s">
        <v>118</v>
      </c>
      <c r="AA2458" s="19"/>
      <c r="AB2458" s="26" t="s">
        <v>36</v>
      </c>
      <c r="AC2458" s="26" t="s">
        <v>53</v>
      </c>
      <c r="AD2458" s="19" t="s">
        <v>54</v>
      </c>
      <c r="AE2458" s="26" t="s">
        <v>8872</v>
      </c>
      <c r="AF2458" s="17">
        <v>45468</v>
      </c>
      <c r="AG2458" s="26"/>
      <c r="AH2458" s="26"/>
      <c r="AI2458" s="40"/>
      <c r="AJ2458" s="26"/>
      <c r="AK2458" s="26"/>
      <c r="AL2458" s="35"/>
      <c r="AM2458" s="35"/>
      <c r="AN2458" s="35"/>
      <c r="AO2458" s="35"/>
      <c r="AP2458" s="35"/>
    </row>
    <row r="2459" spans="1:42" x14ac:dyDescent="0.2">
      <c r="A2459" s="38">
        <v>45461</v>
      </c>
      <c r="B2459" s="28" t="s">
        <v>37</v>
      </c>
      <c r="C2459" s="41" t="s">
        <v>118</v>
      </c>
      <c r="D2459" s="26" t="s">
        <v>36</v>
      </c>
      <c r="E2459" s="26" t="s">
        <v>77</v>
      </c>
      <c r="F2459" s="26" t="s">
        <v>3349</v>
      </c>
      <c r="G2459" s="26" t="s">
        <v>41</v>
      </c>
      <c r="H2459" s="26" t="s">
        <v>7497</v>
      </c>
      <c r="I2459" s="17">
        <f ca="1">IFERROR(__xludf.DUMMYFUNCTION("""COMPUTED_VALUE"""),45468)</f>
        <v>45468</v>
      </c>
      <c r="J2459" s="29" t="s">
        <v>8873</v>
      </c>
      <c r="K2459" s="26" t="s">
        <v>8874</v>
      </c>
      <c r="L2459" s="30">
        <v>379519775</v>
      </c>
      <c r="M2459" s="26" t="s">
        <v>1245</v>
      </c>
      <c r="N2459" s="26" t="s">
        <v>1246</v>
      </c>
      <c r="O2459" s="26" t="s">
        <v>36</v>
      </c>
      <c r="P2459" s="42" t="s">
        <v>8875</v>
      </c>
      <c r="Q2459" s="20">
        <v>1968</v>
      </c>
      <c r="R2459" s="26" t="s">
        <v>36</v>
      </c>
      <c r="S2459" s="31">
        <v>10804</v>
      </c>
      <c r="T2459" s="148">
        <v>44907</v>
      </c>
      <c r="U2459" s="31"/>
      <c r="V2459" s="32"/>
      <c r="W2459" s="33" t="s">
        <v>8876</v>
      </c>
      <c r="X2459" s="26"/>
      <c r="Y2459" s="22">
        <v>-8836</v>
      </c>
      <c r="Z2459" s="26" t="s">
        <v>118</v>
      </c>
      <c r="AA2459" s="19"/>
      <c r="AB2459" s="26" t="s">
        <v>36</v>
      </c>
      <c r="AC2459" s="26" t="s">
        <v>53</v>
      </c>
      <c r="AD2459" s="19" t="s">
        <v>54</v>
      </c>
      <c r="AE2459" s="26" t="s">
        <v>72</v>
      </c>
      <c r="AF2459" s="17">
        <v>45462</v>
      </c>
      <c r="AG2459" s="26"/>
      <c r="AH2459" s="26"/>
      <c r="AI2459" s="40"/>
      <c r="AJ2459" s="26"/>
      <c r="AK2459" s="26"/>
      <c r="AL2459" s="35"/>
      <c r="AM2459" s="35"/>
      <c r="AN2459" s="35"/>
      <c r="AO2459" s="35"/>
      <c r="AP2459" s="35"/>
    </row>
    <row r="2460" spans="1:42" x14ac:dyDescent="0.2">
      <c r="A2460" s="14">
        <v>45491</v>
      </c>
      <c r="B2460" s="28" t="s">
        <v>37</v>
      </c>
      <c r="C2460" s="41" t="s">
        <v>118</v>
      </c>
      <c r="D2460" s="26" t="s">
        <v>36</v>
      </c>
      <c r="E2460" s="26" t="s">
        <v>139</v>
      </c>
      <c r="F2460" s="26" t="s">
        <v>2434</v>
      </c>
      <c r="G2460" s="142" t="s">
        <v>221</v>
      </c>
      <c r="H2460" s="26" t="s">
        <v>7477</v>
      </c>
      <c r="I2460" s="17">
        <f ca="1">IFERROR(__xludf.DUMMYFUNCTION("""COMPUTED_VALUE"""),45513)</f>
        <v>45513</v>
      </c>
      <c r="J2460" s="29" t="s">
        <v>6228</v>
      </c>
      <c r="K2460" s="26" t="s">
        <v>8877</v>
      </c>
      <c r="L2460" s="30">
        <v>914638012</v>
      </c>
      <c r="M2460" s="26" t="s">
        <v>5558</v>
      </c>
      <c r="N2460" s="26" t="s">
        <v>850</v>
      </c>
      <c r="O2460" s="26" t="s">
        <v>4503</v>
      </c>
      <c r="P2460" s="42" t="s">
        <v>8878</v>
      </c>
      <c r="Q2460" s="20">
        <v>15936</v>
      </c>
      <c r="R2460" s="26" t="s">
        <v>36</v>
      </c>
      <c r="S2460" s="31">
        <v>8000</v>
      </c>
      <c r="T2460" s="32">
        <v>45236</v>
      </c>
      <c r="U2460" s="31">
        <v>7936</v>
      </c>
      <c r="V2460" s="32">
        <v>45265</v>
      </c>
      <c r="W2460" s="33" t="s">
        <v>6231</v>
      </c>
      <c r="X2460" s="26">
        <v>0</v>
      </c>
      <c r="Y2460" s="22">
        <v>0</v>
      </c>
      <c r="Z2460" s="98" t="s">
        <v>118</v>
      </c>
      <c r="AA2460" s="19" t="s">
        <v>6541</v>
      </c>
      <c r="AB2460" s="26" t="s">
        <v>36</v>
      </c>
      <c r="AC2460" s="26" t="s">
        <v>53</v>
      </c>
      <c r="AD2460" s="14" t="s">
        <v>54</v>
      </c>
      <c r="AE2460" s="26" t="s">
        <v>2434</v>
      </c>
      <c r="AF2460" s="17">
        <v>45492</v>
      </c>
      <c r="AG2460" s="40"/>
      <c r="AH2460" s="26">
        <v>2</v>
      </c>
      <c r="AI2460" s="40" t="s">
        <v>147</v>
      </c>
      <c r="AJ2460" s="26"/>
      <c r="AK2460" s="26"/>
      <c r="AL2460" s="35"/>
      <c r="AM2460" s="35"/>
      <c r="AN2460" s="35"/>
      <c r="AO2460" s="35"/>
      <c r="AP2460" s="35"/>
    </row>
    <row r="2461" spans="1:42" x14ac:dyDescent="0.2">
      <c r="A2461" s="14">
        <v>45492</v>
      </c>
      <c r="B2461" s="28" t="s">
        <v>37</v>
      </c>
      <c r="C2461" s="41" t="s">
        <v>118</v>
      </c>
      <c r="D2461" s="80" t="s">
        <v>36</v>
      </c>
      <c r="E2461" s="80" t="s">
        <v>8879</v>
      </c>
      <c r="F2461" s="80" t="s">
        <v>8880</v>
      </c>
      <c r="G2461" s="149" t="s">
        <v>108</v>
      </c>
      <c r="H2461" s="80" t="s">
        <v>8881</v>
      </c>
      <c r="I2461" s="17" t="str">
        <f ca="1">IFERROR(__xludf.DUMMYFUNCTION("""COMPUTED_VALUE""")," ")</f>
        <v xml:space="preserve"> </v>
      </c>
      <c r="J2461" s="143" t="s">
        <v>8882</v>
      </c>
      <c r="K2461" s="80" t="s">
        <v>8883</v>
      </c>
      <c r="L2461" s="30">
        <v>349223214</v>
      </c>
      <c r="M2461" s="80" t="s">
        <v>1245</v>
      </c>
      <c r="N2461" s="80" t="s">
        <v>8884</v>
      </c>
      <c r="O2461" s="80">
        <v>30304010899</v>
      </c>
      <c r="P2461" s="144" t="s">
        <v>8885</v>
      </c>
      <c r="Q2461" s="20">
        <v>10354</v>
      </c>
      <c r="R2461" s="80" t="s">
        <v>36</v>
      </c>
      <c r="S2461" s="77">
        <v>10345</v>
      </c>
      <c r="T2461" s="78">
        <v>45050</v>
      </c>
      <c r="U2461" s="77"/>
      <c r="V2461" s="80"/>
      <c r="W2461" s="85" t="s">
        <v>8886</v>
      </c>
      <c r="X2461" s="80"/>
      <c r="Y2461" s="22">
        <v>9</v>
      </c>
      <c r="Z2461" s="41" t="s">
        <v>118</v>
      </c>
      <c r="AA2461" s="145" t="s">
        <v>7036</v>
      </c>
      <c r="AB2461" s="26" t="s">
        <v>36</v>
      </c>
      <c r="AC2461" s="80" t="s">
        <v>53</v>
      </c>
      <c r="AD2461" s="14" t="s">
        <v>54</v>
      </c>
      <c r="AE2461" s="26">
        <v>410</v>
      </c>
      <c r="AF2461" s="17">
        <v>45499</v>
      </c>
      <c r="AG2461" s="150"/>
      <c r="AH2461" s="150"/>
      <c r="AI2461" s="151"/>
      <c r="AJ2461" s="151">
        <v>45049.117355312497</v>
      </c>
      <c r="AK2461" s="86"/>
      <c r="AL2461" s="152" t="s">
        <v>8887</v>
      </c>
      <c r="AM2461" s="86"/>
      <c r="AN2461" s="86"/>
      <c r="AO2461" s="80"/>
      <c r="AP2461" s="80"/>
    </row>
    <row r="2462" spans="1:42" x14ac:dyDescent="0.2">
      <c r="A2462" s="14">
        <v>45492</v>
      </c>
      <c r="B2462" s="28" t="s">
        <v>37</v>
      </c>
      <c r="C2462" s="41" t="s">
        <v>118</v>
      </c>
      <c r="D2462" s="26" t="s">
        <v>36</v>
      </c>
      <c r="E2462" s="26" t="s">
        <v>139</v>
      </c>
      <c r="F2462" s="26" t="s">
        <v>6637</v>
      </c>
      <c r="G2462" s="149" t="s">
        <v>108</v>
      </c>
      <c r="H2462" s="80" t="s">
        <v>8066</v>
      </c>
      <c r="I2462" s="17">
        <f ca="1">IFERROR(__xludf.DUMMYFUNCTION("""COMPUTED_VALUE"""),45509)</f>
        <v>45509</v>
      </c>
      <c r="J2462" s="29" t="s">
        <v>7660</v>
      </c>
      <c r="K2462" s="26" t="s">
        <v>7661</v>
      </c>
      <c r="L2462" s="30">
        <v>969631105</v>
      </c>
      <c r="M2462" s="26" t="s">
        <v>5518</v>
      </c>
      <c r="N2462" s="26" t="s">
        <v>5524</v>
      </c>
      <c r="O2462" s="26" t="s">
        <v>7662</v>
      </c>
      <c r="P2462" s="42" t="s">
        <v>8888</v>
      </c>
      <c r="Q2462" s="20">
        <v>15936</v>
      </c>
      <c r="R2462" s="26" t="s">
        <v>36</v>
      </c>
      <c r="S2462" s="31">
        <v>2000</v>
      </c>
      <c r="T2462" s="32">
        <v>45347</v>
      </c>
      <c r="U2462" s="31">
        <v>13936</v>
      </c>
      <c r="V2462" s="32">
        <v>45380</v>
      </c>
      <c r="W2462" s="33" t="s">
        <v>7664</v>
      </c>
      <c r="X2462" s="26">
        <v>0</v>
      </c>
      <c r="Y2462" s="22">
        <v>0</v>
      </c>
      <c r="Z2462" s="41" t="s">
        <v>118</v>
      </c>
      <c r="AA2462" s="19" t="s">
        <v>7361</v>
      </c>
      <c r="AB2462" s="26" t="s">
        <v>36</v>
      </c>
      <c r="AC2462" s="26" t="s">
        <v>53</v>
      </c>
      <c r="AD2462" s="19" t="s">
        <v>54</v>
      </c>
      <c r="AE2462" s="26" t="s">
        <v>6637</v>
      </c>
      <c r="AF2462" s="17">
        <v>45499</v>
      </c>
      <c r="AG2462" s="26"/>
      <c r="AH2462" s="40" t="e">
        <v>#N/A</v>
      </c>
      <c r="AI2462" s="40"/>
      <c r="AJ2462" s="26"/>
      <c r="AK2462" s="26"/>
      <c r="AL2462" s="35"/>
      <c r="AM2462" s="35"/>
      <c r="AN2462" s="35"/>
      <c r="AO2462" s="35"/>
      <c r="AP2462" s="35"/>
    </row>
    <row r="2463" spans="1:42" x14ac:dyDescent="0.2">
      <c r="A2463" s="14">
        <v>45492</v>
      </c>
      <c r="B2463" s="28" t="s">
        <v>37</v>
      </c>
      <c r="C2463" s="41" t="s">
        <v>118</v>
      </c>
      <c r="D2463" s="26" t="s">
        <v>36</v>
      </c>
      <c r="E2463" s="26" t="s">
        <v>139</v>
      </c>
      <c r="F2463" s="26" t="s">
        <v>2071</v>
      </c>
      <c r="G2463" s="26" t="s">
        <v>1847</v>
      </c>
      <c r="H2463" s="26" t="s">
        <v>8889</v>
      </c>
      <c r="I2463" s="17">
        <f ca="1">IFERROR(__xludf.DUMMYFUNCTION("""COMPUTED_VALUE"""),45764)</f>
        <v>45764</v>
      </c>
      <c r="J2463" s="29" t="s">
        <v>2568</v>
      </c>
      <c r="K2463" s="26" t="s">
        <v>8890</v>
      </c>
      <c r="L2463" s="30">
        <v>376179475</v>
      </c>
      <c r="M2463" s="26" t="s">
        <v>80</v>
      </c>
      <c r="N2463" s="26" t="s">
        <v>299</v>
      </c>
      <c r="O2463" s="26" t="s">
        <v>2570</v>
      </c>
      <c r="P2463" s="42" t="s">
        <v>8891</v>
      </c>
      <c r="Q2463" s="20">
        <v>15936</v>
      </c>
      <c r="R2463" s="26" t="s">
        <v>36</v>
      </c>
      <c r="S2463" s="31">
        <v>2000</v>
      </c>
      <c r="T2463" s="32">
        <v>45167</v>
      </c>
      <c r="U2463" s="31">
        <v>13968</v>
      </c>
      <c r="V2463" s="32">
        <v>45196</v>
      </c>
      <c r="W2463" s="33" t="s">
        <v>2572</v>
      </c>
      <c r="X2463" s="26"/>
      <c r="Y2463" s="22">
        <v>0</v>
      </c>
      <c r="Z2463" s="26" t="s">
        <v>118</v>
      </c>
      <c r="AA2463" s="19" t="s">
        <v>2449</v>
      </c>
      <c r="AB2463" s="26" t="s">
        <v>36</v>
      </c>
      <c r="AC2463" s="26" t="s">
        <v>53</v>
      </c>
      <c r="AD2463" s="19" t="s">
        <v>54</v>
      </c>
      <c r="AE2463" s="26" t="s">
        <v>2071</v>
      </c>
      <c r="AF2463" s="17">
        <v>45495</v>
      </c>
      <c r="AG2463" s="26"/>
      <c r="AH2463" s="26"/>
      <c r="AI2463" s="40" t="s">
        <v>147</v>
      </c>
      <c r="AJ2463" s="26"/>
      <c r="AK2463" s="26"/>
      <c r="AL2463" s="35"/>
      <c r="AM2463" s="35"/>
      <c r="AN2463" s="35"/>
      <c r="AO2463" s="35"/>
      <c r="AP2463" s="35"/>
    </row>
    <row r="2464" spans="1:42" x14ac:dyDescent="0.2">
      <c r="A2464" s="14">
        <v>45492</v>
      </c>
      <c r="B2464" s="28" t="s">
        <v>37</v>
      </c>
      <c r="C2464" s="41" t="s">
        <v>118</v>
      </c>
      <c r="D2464" s="26" t="s">
        <v>36</v>
      </c>
      <c r="E2464" s="26" t="s">
        <v>139</v>
      </c>
      <c r="F2464" s="26" t="s">
        <v>7112</v>
      </c>
      <c r="G2464" s="149" t="s">
        <v>108</v>
      </c>
      <c r="H2464" s="80" t="s">
        <v>8066</v>
      </c>
      <c r="I2464" s="17">
        <f ca="1">IFERROR(__xludf.DUMMYFUNCTION("""COMPUTED_VALUE"""),45509)</f>
        <v>45509</v>
      </c>
      <c r="J2464" s="29" t="s">
        <v>8892</v>
      </c>
      <c r="K2464" s="26" t="s">
        <v>7326</v>
      </c>
      <c r="L2464" s="30">
        <v>961517034</v>
      </c>
      <c r="M2464" s="26" t="s">
        <v>59</v>
      </c>
      <c r="N2464" s="26" t="s">
        <v>68</v>
      </c>
      <c r="O2464" s="26" t="s">
        <v>7327</v>
      </c>
      <c r="P2464" s="42" t="s">
        <v>7328</v>
      </c>
      <c r="Q2464" s="20">
        <v>15936</v>
      </c>
      <c r="R2464" s="26" t="s">
        <v>36</v>
      </c>
      <c r="S2464" s="31">
        <v>15963</v>
      </c>
      <c r="T2464" s="32">
        <v>45351</v>
      </c>
      <c r="U2464" s="31"/>
      <c r="V2464" s="32"/>
      <c r="W2464" s="33" t="s">
        <v>7329</v>
      </c>
      <c r="X2464" s="26"/>
      <c r="Y2464" s="22">
        <v>-27</v>
      </c>
      <c r="Z2464" s="26" t="s">
        <v>118</v>
      </c>
      <c r="AA2464" s="19" t="s">
        <v>7077</v>
      </c>
      <c r="AB2464" s="26" t="s">
        <v>36</v>
      </c>
      <c r="AC2464" s="26" t="s">
        <v>53</v>
      </c>
      <c r="AD2464" s="19" t="s">
        <v>54</v>
      </c>
      <c r="AE2464" s="26" t="s">
        <v>7112</v>
      </c>
      <c r="AF2464" s="17">
        <v>45499</v>
      </c>
      <c r="AG2464" s="26"/>
      <c r="AH2464" s="26"/>
      <c r="AI2464" s="40" t="s">
        <v>147</v>
      </c>
      <c r="AJ2464" s="26"/>
      <c r="AK2464" s="26"/>
      <c r="AL2464" s="35"/>
      <c r="AM2464" s="35"/>
      <c r="AN2464" s="35"/>
      <c r="AO2464" s="35"/>
      <c r="AP2464" s="35"/>
    </row>
    <row r="2465" spans="1:42" x14ac:dyDescent="0.2">
      <c r="A2465" s="14">
        <v>45492</v>
      </c>
      <c r="B2465" s="28" t="s">
        <v>37</v>
      </c>
      <c r="C2465" s="41" t="s">
        <v>118</v>
      </c>
      <c r="D2465" s="26" t="s">
        <v>36</v>
      </c>
      <c r="E2465" s="26" t="s">
        <v>139</v>
      </c>
      <c r="F2465" s="26" t="s">
        <v>889</v>
      </c>
      <c r="G2465" s="142" t="s">
        <v>221</v>
      </c>
      <c r="H2465" s="26" t="s">
        <v>8406</v>
      </c>
      <c r="I2465" s="17">
        <f ca="1">IFERROR(__xludf.DUMMYFUNCTION("""COMPUTED_VALUE"""),45499)</f>
        <v>45499</v>
      </c>
      <c r="J2465" s="29" t="s">
        <v>2499</v>
      </c>
      <c r="K2465" s="26" t="s">
        <v>4106</v>
      </c>
      <c r="L2465" s="30">
        <v>334264836</v>
      </c>
      <c r="M2465" s="26" t="s">
        <v>80</v>
      </c>
      <c r="N2465" s="26" t="s">
        <v>299</v>
      </c>
      <c r="O2465" s="26" t="s">
        <v>2501</v>
      </c>
      <c r="P2465" s="42" t="s">
        <v>2502</v>
      </c>
      <c r="Q2465" s="20">
        <v>15936</v>
      </c>
      <c r="R2465" s="26" t="s">
        <v>36</v>
      </c>
      <c r="S2465" s="31">
        <v>2000</v>
      </c>
      <c r="T2465" s="32">
        <v>45156</v>
      </c>
      <c r="U2465" s="31">
        <v>13968</v>
      </c>
      <c r="V2465" s="32">
        <v>45184</v>
      </c>
      <c r="W2465" s="33" t="s">
        <v>2503</v>
      </c>
      <c r="X2465" s="26"/>
      <c r="Y2465" s="22">
        <v>-32</v>
      </c>
      <c r="Z2465" s="26" t="s">
        <v>118</v>
      </c>
      <c r="AA2465" s="19" t="s">
        <v>2449</v>
      </c>
      <c r="AB2465" s="26" t="s">
        <v>36</v>
      </c>
      <c r="AC2465" s="26" t="s">
        <v>53</v>
      </c>
      <c r="AD2465" s="19" t="s">
        <v>54</v>
      </c>
      <c r="AE2465" s="26" t="s">
        <v>889</v>
      </c>
      <c r="AF2465" s="17">
        <v>45493</v>
      </c>
      <c r="AG2465" s="72"/>
      <c r="AH2465" s="26"/>
      <c r="AI2465" s="40"/>
      <c r="AJ2465" s="26"/>
      <c r="AK2465" s="26"/>
      <c r="AL2465" s="35"/>
      <c r="AM2465" s="35"/>
      <c r="AN2465" s="35"/>
      <c r="AO2465" s="35"/>
      <c r="AP2465" s="35"/>
    </row>
    <row r="2466" spans="1:42" x14ac:dyDescent="0.2">
      <c r="A2466" s="14">
        <v>45492</v>
      </c>
      <c r="B2466" s="28" t="s">
        <v>37</v>
      </c>
      <c r="C2466" s="41" t="s">
        <v>118</v>
      </c>
      <c r="D2466" s="26" t="s">
        <v>36</v>
      </c>
      <c r="E2466" s="26" t="s">
        <v>139</v>
      </c>
      <c r="F2466" s="26" t="s">
        <v>5093</v>
      </c>
      <c r="G2466" s="26" t="s">
        <v>1847</v>
      </c>
      <c r="H2466" s="26" t="s">
        <v>8650</v>
      </c>
      <c r="I2466" s="17">
        <f ca="1">IFERROR(__xludf.DUMMYFUNCTION("""COMPUTED_VALUE"""),45495)</f>
        <v>45495</v>
      </c>
      <c r="J2466" s="29" t="s">
        <v>1862</v>
      </c>
      <c r="K2466" s="26" t="s">
        <v>6656</v>
      </c>
      <c r="L2466" s="30">
        <v>969495520</v>
      </c>
      <c r="M2466" s="26" t="s">
        <v>112</v>
      </c>
      <c r="N2466" s="26" t="s">
        <v>3330</v>
      </c>
      <c r="O2466" s="26" t="s">
        <v>1864</v>
      </c>
      <c r="P2466" s="42" t="s">
        <v>6657</v>
      </c>
      <c r="Q2466" s="20">
        <v>15936</v>
      </c>
      <c r="R2466" s="26" t="s">
        <v>36</v>
      </c>
      <c r="S2466" s="31">
        <v>15963</v>
      </c>
      <c r="T2466" s="32">
        <v>45166</v>
      </c>
      <c r="U2466" s="31"/>
      <c r="V2466" s="26"/>
      <c r="W2466" s="33" t="s">
        <v>1866</v>
      </c>
      <c r="X2466" s="26">
        <v>0</v>
      </c>
      <c r="Y2466" s="22">
        <v>-27</v>
      </c>
      <c r="Z2466" s="26" t="s">
        <v>118</v>
      </c>
      <c r="AA2466" s="19" t="s">
        <v>4541</v>
      </c>
      <c r="AB2466" s="26" t="s">
        <v>36</v>
      </c>
      <c r="AC2466" s="26" t="s">
        <v>53</v>
      </c>
      <c r="AD2466" s="19" t="s">
        <v>138</v>
      </c>
      <c r="AE2466" s="26" t="s">
        <v>5093</v>
      </c>
      <c r="AF2466" s="17">
        <v>45495</v>
      </c>
      <c r="AG2466" s="26"/>
      <c r="AH2466" s="26"/>
      <c r="AI2466" s="40"/>
      <c r="AJ2466" s="26"/>
      <c r="AK2466" s="26"/>
      <c r="AL2466" s="35"/>
      <c r="AM2466" s="35"/>
      <c r="AN2466" s="35"/>
      <c r="AO2466" s="35"/>
      <c r="AP2466" s="35"/>
    </row>
    <row r="2467" spans="1:42" x14ac:dyDescent="0.2">
      <c r="A2467" s="14">
        <v>45492</v>
      </c>
      <c r="B2467" s="28" t="s">
        <v>37</v>
      </c>
      <c r="C2467" s="41" t="s">
        <v>118</v>
      </c>
      <c r="D2467" s="80" t="s">
        <v>36</v>
      </c>
      <c r="E2467" s="80" t="s">
        <v>148</v>
      </c>
      <c r="F2467" s="80" t="s">
        <v>8893</v>
      </c>
      <c r="G2467" s="149" t="s">
        <v>108</v>
      </c>
      <c r="H2467" s="80" t="s">
        <v>8867</v>
      </c>
      <c r="I2467" s="17">
        <f ca="1">IFERROR(__xludf.DUMMYFUNCTION("""COMPUTED_VALUE"""),45496)</f>
        <v>45496</v>
      </c>
      <c r="J2467" s="143" t="s">
        <v>8894</v>
      </c>
      <c r="K2467" s="80" t="s">
        <v>8895</v>
      </c>
      <c r="L2467" s="30">
        <v>774851847</v>
      </c>
      <c r="M2467" s="80" t="s">
        <v>94</v>
      </c>
      <c r="N2467" s="80" t="s">
        <v>8896</v>
      </c>
      <c r="O2467" s="80" t="s">
        <v>36</v>
      </c>
      <c r="P2467" s="144" t="s">
        <v>8897</v>
      </c>
      <c r="Q2467" s="20">
        <v>7824</v>
      </c>
      <c r="R2467" s="80" t="s">
        <v>36</v>
      </c>
      <c r="S2467" s="77">
        <v>10804</v>
      </c>
      <c r="T2467" s="78">
        <v>45143</v>
      </c>
      <c r="U2467" s="77">
        <v>313</v>
      </c>
      <c r="V2467" s="38">
        <v>45492</v>
      </c>
      <c r="W2467" s="33" t="s">
        <v>8898</v>
      </c>
      <c r="X2467" s="80"/>
      <c r="Y2467" s="22">
        <v>0</v>
      </c>
      <c r="Z2467" s="41" t="s">
        <v>118</v>
      </c>
      <c r="AA2467" s="145" t="s">
        <v>8899</v>
      </c>
      <c r="AB2467" s="80" t="s">
        <v>36</v>
      </c>
      <c r="AC2467" s="80" t="s">
        <v>53</v>
      </c>
      <c r="AD2467" s="153" t="s">
        <v>54</v>
      </c>
      <c r="AE2467" s="26">
        <v>420</v>
      </c>
      <c r="AF2467" s="17">
        <v>45492</v>
      </c>
      <c r="AG2467" s="29" t="s">
        <v>8900</v>
      </c>
      <c r="AH2467" s="147">
        <v>1</v>
      </c>
      <c r="AI2467" s="154"/>
      <c r="AJ2467" s="80"/>
      <c r="AK2467" s="80"/>
      <c r="AL2467" s="80"/>
      <c r="AM2467" s="86"/>
      <c r="AN2467" s="86"/>
      <c r="AO2467" s="86"/>
      <c r="AP2467" s="86"/>
    </row>
    <row r="2468" spans="1:42" x14ac:dyDescent="0.2">
      <c r="A2468" s="14">
        <v>45492</v>
      </c>
      <c r="B2468" s="28" t="s">
        <v>37</v>
      </c>
      <c r="C2468" s="41" t="s">
        <v>118</v>
      </c>
      <c r="D2468" s="26" t="s">
        <v>36</v>
      </c>
      <c r="E2468" s="26" t="s">
        <v>139</v>
      </c>
      <c r="F2468" s="26" t="s">
        <v>7367</v>
      </c>
      <c r="G2468" s="26" t="s">
        <v>221</v>
      </c>
      <c r="H2468" s="26" t="s">
        <v>8406</v>
      </c>
      <c r="I2468" s="17">
        <f ca="1">IFERROR(__xludf.DUMMYFUNCTION("""COMPUTED_VALUE"""),45499)</f>
        <v>45499</v>
      </c>
      <c r="J2468" s="29" t="s">
        <v>3632</v>
      </c>
      <c r="K2468" s="26" t="s">
        <v>8901</v>
      </c>
      <c r="L2468" s="30">
        <v>869367198</v>
      </c>
      <c r="M2468" s="26" t="s">
        <v>112</v>
      </c>
      <c r="N2468" s="26" t="s">
        <v>3330</v>
      </c>
      <c r="O2468" s="33" t="s">
        <v>3632</v>
      </c>
      <c r="P2468" s="42" t="s">
        <v>8902</v>
      </c>
      <c r="Q2468" s="20">
        <v>15936</v>
      </c>
      <c r="R2468" s="26" t="s">
        <v>36</v>
      </c>
      <c r="S2468" s="31">
        <v>200</v>
      </c>
      <c r="T2468" s="32">
        <v>45197</v>
      </c>
      <c r="U2468" s="31">
        <v>15736</v>
      </c>
      <c r="V2468" s="32"/>
      <c r="W2468" s="26"/>
      <c r="X2468" s="26"/>
      <c r="Y2468" s="22">
        <v>0</v>
      </c>
      <c r="Z2468" s="26" t="s">
        <v>118</v>
      </c>
      <c r="AA2468" s="19" t="s">
        <v>5785</v>
      </c>
      <c r="AB2468" s="80" t="s">
        <v>36</v>
      </c>
      <c r="AC2468" s="26" t="s">
        <v>53</v>
      </c>
      <c r="AD2468" s="19" t="s">
        <v>138</v>
      </c>
      <c r="AE2468" s="26" t="s">
        <v>7367</v>
      </c>
      <c r="AF2468" s="17">
        <v>45370</v>
      </c>
      <c r="AG2468" s="26" t="s">
        <v>3399</v>
      </c>
      <c r="AH2468" s="26"/>
      <c r="AI2468" s="40" t="s">
        <v>147</v>
      </c>
      <c r="AJ2468" s="26"/>
      <c r="AK2468" s="26"/>
      <c r="AL2468" s="35"/>
      <c r="AM2468" s="35"/>
      <c r="AN2468" s="35"/>
      <c r="AO2468" s="35"/>
      <c r="AP2468" s="35"/>
    </row>
    <row r="2469" spans="1:42" x14ac:dyDescent="0.2">
      <c r="A2469" s="14">
        <v>45492</v>
      </c>
      <c r="B2469" s="28" t="s">
        <v>37</v>
      </c>
      <c r="C2469" s="41" t="s">
        <v>118</v>
      </c>
      <c r="D2469" s="80" t="s">
        <v>36</v>
      </c>
      <c r="E2469" s="80" t="s">
        <v>219</v>
      </c>
      <c r="F2469" s="80" t="s">
        <v>2381</v>
      </c>
      <c r="G2469" s="26" t="s">
        <v>221</v>
      </c>
      <c r="H2469" s="26" t="s">
        <v>6050</v>
      </c>
      <c r="I2469" s="17">
        <f ca="1">IFERROR(__xludf.DUMMYFUNCTION("""COMPUTED_VALUE"""),45539)</f>
        <v>45539</v>
      </c>
      <c r="J2469" s="143" t="s">
        <v>2221</v>
      </c>
      <c r="K2469" s="80" t="s">
        <v>8903</v>
      </c>
      <c r="L2469" s="30">
        <v>388082959</v>
      </c>
      <c r="M2469" s="80" t="s">
        <v>112</v>
      </c>
      <c r="N2469" s="80" t="s">
        <v>1742</v>
      </c>
      <c r="O2469" s="80" t="s">
        <v>4807</v>
      </c>
      <c r="P2469" s="144" t="s">
        <v>4808</v>
      </c>
      <c r="Q2469" s="20">
        <v>3968</v>
      </c>
      <c r="R2469" s="80" t="s">
        <v>36</v>
      </c>
      <c r="S2469" s="155">
        <v>6868</v>
      </c>
      <c r="T2469" s="156" t="s">
        <v>4809</v>
      </c>
      <c r="U2469" s="77">
        <v>2449</v>
      </c>
      <c r="V2469" s="78">
        <v>45207</v>
      </c>
      <c r="W2469" s="85" t="s">
        <v>4810</v>
      </c>
      <c r="X2469" s="80"/>
      <c r="Y2469" s="22">
        <v>-5349</v>
      </c>
      <c r="Z2469" s="41" t="s">
        <v>118</v>
      </c>
      <c r="AA2469" s="145" t="s">
        <v>4541</v>
      </c>
      <c r="AB2469" s="80" t="s">
        <v>36</v>
      </c>
      <c r="AC2469" s="80" t="s">
        <v>53</v>
      </c>
      <c r="AD2469" s="157" t="s">
        <v>54</v>
      </c>
      <c r="AE2469" s="80" t="s">
        <v>2381</v>
      </c>
      <c r="AF2469" s="17">
        <v>45493</v>
      </c>
      <c r="AG2469" s="147"/>
      <c r="AH2469" s="80"/>
      <c r="AI2469" s="147"/>
      <c r="AJ2469" s="80"/>
      <c r="AK2469" s="80"/>
      <c r="AL2469" s="86"/>
      <c r="AM2469" s="86"/>
      <c r="AN2469" s="86"/>
      <c r="AO2469" s="86"/>
      <c r="AP2469" s="35"/>
    </row>
    <row r="2470" spans="1:42" x14ac:dyDescent="0.2">
      <c r="A2470" s="14">
        <v>45492</v>
      </c>
      <c r="B2470" s="28" t="s">
        <v>37</v>
      </c>
      <c r="C2470" s="41" t="s">
        <v>118</v>
      </c>
      <c r="D2470" s="26" t="s">
        <v>36</v>
      </c>
      <c r="E2470" s="26" t="s">
        <v>56</v>
      </c>
      <c r="F2470" s="26" t="s">
        <v>6600</v>
      </c>
      <c r="G2470" s="26" t="s">
        <v>221</v>
      </c>
      <c r="H2470" s="26" t="s">
        <v>8406</v>
      </c>
      <c r="I2470" s="17">
        <f ca="1">IFERROR(__xludf.DUMMYFUNCTION("""COMPUTED_VALUE"""),45499)</f>
        <v>45499</v>
      </c>
      <c r="J2470" s="29" t="s">
        <v>6284</v>
      </c>
      <c r="K2470" s="26" t="s">
        <v>2142</v>
      </c>
      <c r="L2470" s="30">
        <v>398308585</v>
      </c>
      <c r="M2470" s="26" t="s">
        <v>123</v>
      </c>
      <c r="N2470" s="26" t="s">
        <v>186</v>
      </c>
      <c r="O2470" s="26" t="s">
        <v>4503</v>
      </c>
      <c r="P2470" s="42" t="s">
        <v>8904</v>
      </c>
      <c r="Q2470" s="20">
        <v>9317</v>
      </c>
      <c r="R2470" s="26" t="s">
        <v>36</v>
      </c>
      <c r="S2470" s="31">
        <v>200</v>
      </c>
      <c r="T2470" s="32">
        <v>45250</v>
      </c>
      <c r="U2470" s="31">
        <f>2000+7117</f>
        <v>9117</v>
      </c>
      <c r="V2470" s="26" t="s">
        <v>6286</v>
      </c>
      <c r="W2470" s="33" t="s">
        <v>6287</v>
      </c>
      <c r="X2470" s="26"/>
      <c r="Y2470" s="22">
        <v>0</v>
      </c>
      <c r="Z2470" s="26" t="s">
        <v>118</v>
      </c>
      <c r="AA2470" s="19" t="s">
        <v>5961</v>
      </c>
      <c r="AB2470" s="80" t="s">
        <v>36</v>
      </c>
      <c r="AC2470" s="26" t="s">
        <v>53</v>
      </c>
      <c r="AD2470" s="19" t="s">
        <v>54</v>
      </c>
      <c r="AE2470" s="26" t="s">
        <v>6600</v>
      </c>
      <c r="AF2470" s="17">
        <v>45493</v>
      </c>
      <c r="AG2470" s="26"/>
      <c r="AH2470" s="26">
        <v>1</v>
      </c>
      <c r="AI2470" s="40"/>
      <c r="AJ2470" s="26"/>
      <c r="AK2470" s="26"/>
      <c r="AL2470" s="35"/>
      <c r="AM2470" s="35"/>
      <c r="AN2470" s="35"/>
      <c r="AO2470" s="35"/>
      <c r="AP2470" s="35"/>
    </row>
    <row r="2471" spans="1:42" x14ac:dyDescent="0.2">
      <c r="A2471" s="14">
        <v>45493</v>
      </c>
      <c r="B2471" s="28" t="s">
        <v>37</v>
      </c>
      <c r="C2471" s="41" t="s">
        <v>118</v>
      </c>
      <c r="D2471" s="26" t="s">
        <v>36</v>
      </c>
      <c r="E2471" s="26" t="s">
        <v>139</v>
      </c>
      <c r="F2471" s="26" t="s">
        <v>6106</v>
      </c>
      <c r="G2471" s="26" t="s">
        <v>221</v>
      </c>
      <c r="H2471" s="26" t="s">
        <v>8905</v>
      </c>
      <c r="I2471" s="17">
        <f ca="1">IFERROR(__xludf.DUMMYFUNCTION("""COMPUTED_VALUE"""),45504)</f>
        <v>45504</v>
      </c>
      <c r="J2471" s="29" t="s">
        <v>4237</v>
      </c>
      <c r="K2471" s="26" t="s">
        <v>8906</v>
      </c>
      <c r="L2471" s="30">
        <v>385246721</v>
      </c>
      <c r="M2471" s="26" t="s">
        <v>59</v>
      </c>
      <c r="N2471" s="26" t="s">
        <v>260</v>
      </c>
      <c r="O2471" s="26" t="s">
        <v>4239</v>
      </c>
      <c r="P2471" s="42" t="s">
        <v>8907</v>
      </c>
      <c r="Q2471" s="20">
        <v>15936</v>
      </c>
      <c r="R2471" s="26" t="s">
        <v>1989</v>
      </c>
      <c r="S2471" s="31">
        <v>15968</v>
      </c>
      <c r="T2471" s="32">
        <v>45211</v>
      </c>
      <c r="U2471" s="31"/>
      <c r="V2471" s="32">
        <v>45211</v>
      </c>
      <c r="W2471" s="33" t="s">
        <v>4240</v>
      </c>
      <c r="X2471" s="26"/>
      <c r="Y2471" s="22">
        <v>-32</v>
      </c>
      <c r="Z2471" s="98" t="s">
        <v>118</v>
      </c>
      <c r="AA2471" s="19" t="s">
        <v>3454</v>
      </c>
      <c r="AB2471" s="80" t="s">
        <v>36</v>
      </c>
      <c r="AC2471" s="26" t="s">
        <v>53</v>
      </c>
      <c r="AD2471" s="19" t="s">
        <v>54</v>
      </c>
      <c r="AE2471" s="26" t="s">
        <v>6106</v>
      </c>
      <c r="AF2471" s="17">
        <v>45498</v>
      </c>
      <c r="AG2471" s="26"/>
      <c r="AH2471" s="26"/>
      <c r="AI2471" s="40"/>
      <c r="AJ2471" s="26"/>
      <c r="AK2471" s="26"/>
      <c r="AL2471" s="35"/>
      <c r="AM2471" s="35"/>
      <c r="AN2471" s="35"/>
      <c r="AO2471" s="35"/>
      <c r="AP2471" s="35"/>
    </row>
    <row r="2472" spans="1:42" x14ac:dyDescent="0.2">
      <c r="A2472" s="14">
        <v>45493</v>
      </c>
      <c r="B2472" s="28" t="s">
        <v>37</v>
      </c>
      <c r="C2472" s="41" t="s">
        <v>118</v>
      </c>
      <c r="D2472" s="26" t="s">
        <v>36</v>
      </c>
      <c r="E2472" s="26" t="s">
        <v>139</v>
      </c>
      <c r="F2472" s="26" t="s">
        <v>3366</v>
      </c>
      <c r="G2472" s="26" t="s">
        <v>221</v>
      </c>
      <c r="H2472" s="26" t="s">
        <v>8905</v>
      </c>
      <c r="I2472" s="17">
        <f ca="1">IFERROR(__xludf.DUMMYFUNCTION("""COMPUTED_VALUE"""),45504)</f>
        <v>45504</v>
      </c>
      <c r="J2472" s="29" t="s">
        <v>5367</v>
      </c>
      <c r="K2472" s="26" t="s">
        <v>8908</v>
      </c>
      <c r="L2472" s="30">
        <v>944615676</v>
      </c>
      <c r="M2472" s="26" t="s">
        <v>123</v>
      </c>
      <c r="N2472" s="26" t="s">
        <v>186</v>
      </c>
      <c r="O2472" s="26" t="s">
        <v>1226</v>
      </c>
      <c r="P2472" s="42" t="s">
        <v>8909</v>
      </c>
      <c r="Q2472" s="20">
        <v>15936</v>
      </c>
      <c r="R2472" s="26" t="s">
        <v>70</v>
      </c>
      <c r="S2472" s="31">
        <v>2000</v>
      </c>
      <c r="T2472" s="32">
        <v>45214</v>
      </c>
      <c r="U2472" s="58">
        <v>13936</v>
      </c>
      <c r="V2472" s="59">
        <v>45244</v>
      </c>
      <c r="W2472" s="33" t="s">
        <v>5369</v>
      </c>
      <c r="X2472" s="26"/>
      <c r="Y2472" s="22">
        <v>0</v>
      </c>
      <c r="Z2472" s="98" t="s">
        <v>118</v>
      </c>
      <c r="AA2472" s="19" t="s">
        <v>5112</v>
      </c>
      <c r="AB2472" s="80" t="s">
        <v>36</v>
      </c>
      <c r="AC2472" s="26" t="s">
        <v>53</v>
      </c>
      <c r="AD2472" s="19" t="s">
        <v>54</v>
      </c>
      <c r="AE2472" s="26" t="s">
        <v>3366</v>
      </c>
      <c r="AF2472" s="17">
        <v>45498</v>
      </c>
      <c r="AG2472" s="26"/>
      <c r="AH2472" s="26"/>
      <c r="AI2472" s="40" t="s">
        <v>147</v>
      </c>
      <c r="AJ2472" s="26"/>
      <c r="AK2472" s="26"/>
      <c r="AL2472" s="35"/>
      <c r="AM2472" s="35"/>
      <c r="AN2472" s="35"/>
      <c r="AO2472" s="35"/>
      <c r="AP2472" s="35"/>
    </row>
    <row r="2473" spans="1:42" x14ac:dyDescent="0.2">
      <c r="A2473" s="14">
        <v>45493</v>
      </c>
      <c r="B2473" s="28" t="s">
        <v>37</v>
      </c>
      <c r="C2473" s="41" t="s">
        <v>118</v>
      </c>
      <c r="D2473" s="26" t="s">
        <v>36</v>
      </c>
      <c r="E2473" s="26" t="s">
        <v>139</v>
      </c>
      <c r="F2473" s="26" t="s">
        <v>7918</v>
      </c>
      <c r="G2473" s="26" t="s">
        <v>221</v>
      </c>
      <c r="H2473" s="26" t="s">
        <v>8905</v>
      </c>
      <c r="I2473" s="17">
        <f ca="1">IFERROR(__xludf.DUMMYFUNCTION("""COMPUTED_VALUE"""),45504)</f>
        <v>45504</v>
      </c>
      <c r="J2473" s="29" t="s">
        <v>5433</v>
      </c>
      <c r="K2473" s="26" t="s">
        <v>7940</v>
      </c>
      <c r="L2473" s="30">
        <v>393409293</v>
      </c>
      <c r="M2473" s="26" t="s">
        <v>123</v>
      </c>
      <c r="N2473" s="26" t="s">
        <v>186</v>
      </c>
      <c r="O2473" s="26" t="s">
        <v>1226</v>
      </c>
      <c r="P2473" s="42" t="s">
        <v>8910</v>
      </c>
      <c r="Q2473" s="20">
        <v>15936</v>
      </c>
      <c r="R2473" s="26" t="s">
        <v>36</v>
      </c>
      <c r="S2473" s="31">
        <v>5000</v>
      </c>
      <c r="T2473" s="32">
        <v>45222</v>
      </c>
      <c r="U2473" s="58">
        <v>10936</v>
      </c>
      <c r="V2473" s="59">
        <v>45246</v>
      </c>
      <c r="W2473" s="33" t="s">
        <v>5436</v>
      </c>
      <c r="X2473" s="26"/>
      <c r="Y2473" s="22">
        <v>0</v>
      </c>
      <c r="Z2473" s="26" t="s">
        <v>118</v>
      </c>
      <c r="AA2473" s="19" t="s">
        <v>5112</v>
      </c>
      <c r="AB2473" s="26" t="s">
        <v>36</v>
      </c>
      <c r="AC2473" s="26" t="s">
        <v>53</v>
      </c>
      <c r="AD2473" s="19" t="s">
        <v>54</v>
      </c>
      <c r="AE2473" s="26" t="s">
        <v>7918</v>
      </c>
      <c r="AF2473" s="17">
        <v>45498</v>
      </c>
      <c r="AG2473" s="26"/>
      <c r="AH2473" s="26"/>
      <c r="AI2473" s="40" t="s">
        <v>147</v>
      </c>
      <c r="AJ2473" s="26"/>
      <c r="AK2473" s="26"/>
      <c r="AL2473" s="35"/>
      <c r="AM2473" s="35"/>
      <c r="AN2473" s="35"/>
      <c r="AO2473" s="35"/>
      <c r="AP2473" s="35"/>
    </row>
    <row r="2474" spans="1:42" x14ac:dyDescent="0.2">
      <c r="A2474" s="14">
        <v>45495</v>
      </c>
      <c r="B2474" s="28" t="s">
        <v>37</v>
      </c>
      <c r="C2474" s="41" t="s">
        <v>118</v>
      </c>
      <c r="D2474" s="80" t="s">
        <v>36</v>
      </c>
      <c r="E2474" s="80" t="s">
        <v>56</v>
      </c>
      <c r="F2474" s="80" t="s">
        <v>6106</v>
      </c>
      <c r="G2474" s="26" t="s">
        <v>221</v>
      </c>
      <c r="H2474" s="26" t="s">
        <v>8905</v>
      </c>
      <c r="I2474" s="17">
        <f ca="1">IFERROR(__xludf.DUMMYFUNCTION("""COMPUTED_VALUE"""),45504)</f>
        <v>45504</v>
      </c>
      <c r="J2474" s="143" t="s">
        <v>5182</v>
      </c>
      <c r="K2474" s="80" t="s">
        <v>6576</v>
      </c>
      <c r="L2474" s="30">
        <v>367934994</v>
      </c>
      <c r="M2474" s="80" t="s">
        <v>80</v>
      </c>
      <c r="N2474" s="80" t="s">
        <v>186</v>
      </c>
      <c r="O2474" s="80" t="s">
        <v>5184</v>
      </c>
      <c r="P2474" s="144" t="s">
        <v>8911</v>
      </c>
      <c r="Q2474" s="20">
        <v>9317</v>
      </c>
      <c r="R2474" s="80" t="s">
        <v>36</v>
      </c>
      <c r="S2474" s="77">
        <v>4000</v>
      </c>
      <c r="T2474" s="78">
        <v>45199</v>
      </c>
      <c r="U2474" s="77">
        <v>5317</v>
      </c>
      <c r="V2474" s="78">
        <v>45237</v>
      </c>
      <c r="W2474" s="85" t="s">
        <v>5186</v>
      </c>
      <c r="X2474" s="80"/>
      <c r="Y2474" s="22">
        <v>0</v>
      </c>
      <c r="Z2474" s="41" t="s">
        <v>118</v>
      </c>
      <c r="AA2474" s="145" t="s">
        <v>5112</v>
      </c>
      <c r="AB2474" s="26" t="s">
        <v>36</v>
      </c>
      <c r="AC2474" s="80" t="s">
        <v>53</v>
      </c>
      <c r="AD2474" s="157" t="s">
        <v>54</v>
      </c>
      <c r="AE2474" s="80" t="s">
        <v>6106</v>
      </c>
      <c r="AF2474" s="17">
        <v>45498</v>
      </c>
      <c r="AG2474" s="147"/>
      <c r="AH2474" s="80"/>
      <c r="AI2474" s="147" t="s">
        <v>64</v>
      </c>
      <c r="AJ2474" s="80"/>
      <c r="AK2474" s="80"/>
      <c r="AL2474" s="86"/>
      <c r="AM2474" s="86"/>
      <c r="AN2474" s="86"/>
      <c r="AO2474" s="86"/>
      <c r="AP2474" s="35"/>
    </row>
    <row r="2475" spans="1:42" x14ac:dyDescent="0.2">
      <c r="A2475" s="14">
        <v>45497</v>
      </c>
      <c r="B2475" s="28" t="s">
        <v>37</v>
      </c>
      <c r="C2475" s="41" t="s">
        <v>118</v>
      </c>
      <c r="D2475" s="26" t="s">
        <v>36</v>
      </c>
      <c r="E2475" s="26" t="s">
        <v>139</v>
      </c>
      <c r="F2475" s="26" t="s">
        <v>6882</v>
      </c>
      <c r="G2475" s="26" t="s">
        <v>1705</v>
      </c>
      <c r="H2475" s="26" t="s">
        <v>8912</v>
      </c>
      <c r="I2475" s="17"/>
      <c r="J2475" s="29" t="s">
        <v>5410</v>
      </c>
      <c r="K2475" s="26" t="s">
        <v>8913</v>
      </c>
      <c r="L2475" s="30">
        <v>375501405</v>
      </c>
      <c r="M2475" s="26" t="s">
        <v>123</v>
      </c>
      <c r="N2475" s="26" t="s">
        <v>186</v>
      </c>
      <c r="O2475" s="26" t="s">
        <v>1226</v>
      </c>
      <c r="P2475" s="42" t="s">
        <v>8914</v>
      </c>
      <c r="Q2475" s="20">
        <v>15936</v>
      </c>
      <c r="R2475" s="26" t="s">
        <v>36</v>
      </c>
      <c r="S2475" s="31">
        <v>2000</v>
      </c>
      <c r="T2475" s="32">
        <v>45221</v>
      </c>
      <c r="U2475" s="58">
        <v>13936</v>
      </c>
      <c r="V2475" s="59">
        <v>45240</v>
      </c>
      <c r="W2475" s="33" t="s">
        <v>5413</v>
      </c>
      <c r="X2475" s="26"/>
      <c r="Y2475" s="22">
        <v>0</v>
      </c>
      <c r="Z2475" s="26" t="s">
        <v>118</v>
      </c>
      <c r="AA2475" s="19" t="s">
        <v>5112</v>
      </c>
      <c r="AB2475" s="26" t="s">
        <v>36</v>
      </c>
      <c r="AC2475" s="26" t="s">
        <v>53</v>
      </c>
      <c r="AD2475" s="19" t="s">
        <v>54</v>
      </c>
      <c r="AE2475" s="26" t="s">
        <v>6882</v>
      </c>
      <c r="AF2475" s="17">
        <v>45693</v>
      </c>
      <c r="AG2475" s="26"/>
      <c r="AH2475" s="26"/>
      <c r="AI2475" s="40" t="s">
        <v>147</v>
      </c>
      <c r="AJ2475" s="26"/>
      <c r="AK2475" s="26"/>
      <c r="AL2475" s="35"/>
      <c r="AM2475" s="35"/>
      <c r="AN2475" s="35"/>
      <c r="AO2475" s="35"/>
      <c r="AP2475" s="35"/>
    </row>
    <row r="2476" spans="1:42" x14ac:dyDescent="0.2">
      <c r="A2476" s="14">
        <v>45497</v>
      </c>
      <c r="B2476" s="68" t="s">
        <v>37</v>
      </c>
      <c r="C2476" s="41" t="s">
        <v>118</v>
      </c>
      <c r="D2476" s="26" t="s">
        <v>36</v>
      </c>
      <c r="E2476" s="26" t="s">
        <v>139</v>
      </c>
      <c r="F2476" s="26" t="s">
        <v>5096</v>
      </c>
      <c r="G2476" s="26" t="s">
        <v>1705</v>
      </c>
      <c r="H2476" s="26" t="s">
        <v>8915</v>
      </c>
      <c r="I2476" s="17">
        <f ca="1">IFERROR(__xludf.DUMMYFUNCTION("""COMPUTED_VALUE"""),45516)</f>
        <v>45516</v>
      </c>
      <c r="J2476" s="29" t="s">
        <v>2990</v>
      </c>
      <c r="K2476" s="26" t="s">
        <v>2991</v>
      </c>
      <c r="L2476" s="30">
        <v>353115382</v>
      </c>
      <c r="M2476" s="26" t="s">
        <v>123</v>
      </c>
      <c r="N2476" s="26" t="s">
        <v>850</v>
      </c>
      <c r="O2476" s="26" t="s">
        <v>1226</v>
      </c>
      <c r="P2476" s="42" t="s">
        <v>3431</v>
      </c>
      <c r="Q2476" s="20">
        <v>15936</v>
      </c>
      <c r="R2476" s="26" t="s">
        <v>36</v>
      </c>
      <c r="S2476" s="31">
        <v>15936</v>
      </c>
      <c r="T2476" s="32">
        <v>45189</v>
      </c>
      <c r="U2476" s="31"/>
      <c r="V2476" s="26"/>
      <c r="W2476" s="33" t="s">
        <v>2992</v>
      </c>
      <c r="X2476" s="26"/>
      <c r="Y2476" s="22">
        <v>0</v>
      </c>
      <c r="Z2476" s="26" t="s">
        <v>118</v>
      </c>
      <c r="AA2476" s="19" t="s">
        <v>2449</v>
      </c>
      <c r="AB2476" s="26" t="s">
        <v>36</v>
      </c>
      <c r="AC2476" s="26" t="s">
        <v>53</v>
      </c>
      <c r="AD2476" s="19" t="s">
        <v>54</v>
      </c>
      <c r="AE2476" s="26" t="s">
        <v>5096</v>
      </c>
      <c r="AF2476" s="17">
        <v>45510</v>
      </c>
      <c r="AG2476" s="26" t="s">
        <v>8916</v>
      </c>
      <c r="AH2476" s="26"/>
      <c r="AI2476" s="40"/>
      <c r="AJ2476" s="26"/>
      <c r="AK2476" s="26"/>
      <c r="AL2476" s="35"/>
      <c r="AM2476" s="35"/>
      <c r="AN2476" s="35"/>
      <c r="AO2476" s="35"/>
      <c r="AP2476" s="35"/>
    </row>
    <row r="2477" spans="1:42" x14ac:dyDescent="0.2">
      <c r="A2477" s="14">
        <v>45497</v>
      </c>
      <c r="B2477" s="68" t="s">
        <v>37</v>
      </c>
      <c r="C2477" s="41" t="s">
        <v>118</v>
      </c>
      <c r="D2477" s="26" t="s">
        <v>36</v>
      </c>
      <c r="E2477" s="26" t="s">
        <v>139</v>
      </c>
      <c r="F2477" s="26" t="s">
        <v>7367</v>
      </c>
      <c r="G2477" s="26" t="s">
        <v>1847</v>
      </c>
      <c r="H2477" s="26" t="s">
        <v>8917</v>
      </c>
      <c r="I2477" s="17">
        <f ca="1">IFERROR(__xludf.DUMMYFUNCTION("""COMPUTED_VALUE"""),45512)</f>
        <v>45512</v>
      </c>
      <c r="J2477" s="29" t="s">
        <v>3717</v>
      </c>
      <c r="K2477" s="26" t="s">
        <v>3718</v>
      </c>
      <c r="L2477" s="30">
        <v>334077376</v>
      </c>
      <c r="M2477" s="26" t="s">
        <v>123</v>
      </c>
      <c r="N2477" s="26" t="s">
        <v>327</v>
      </c>
      <c r="O2477" s="26" t="s">
        <v>134</v>
      </c>
      <c r="P2477" s="42" t="s">
        <v>8918</v>
      </c>
      <c r="Q2477" s="20">
        <v>15936</v>
      </c>
      <c r="R2477" s="26" t="s">
        <v>36</v>
      </c>
      <c r="S2477" s="31">
        <v>200</v>
      </c>
      <c r="T2477" s="32">
        <v>45188</v>
      </c>
      <c r="U2477" s="31">
        <f>1768+13968</f>
        <v>15736</v>
      </c>
      <c r="V2477" s="16" t="s">
        <v>3719</v>
      </c>
      <c r="W2477" s="33" t="s">
        <v>3720</v>
      </c>
      <c r="X2477" s="26"/>
      <c r="Y2477" s="22">
        <v>0</v>
      </c>
      <c r="Z2477" s="26" t="s">
        <v>118</v>
      </c>
      <c r="AA2477" s="19" t="s">
        <v>5785</v>
      </c>
      <c r="AB2477" s="26" t="s">
        <v>36</v>
      </c>
      <c r="AC2477" s="26" t="s">
        <v>53</v>
      </c>
      <c r="AD2477" s="19" t="s">
        <v>138</v>
      </c>
      <c r="AE2477" s="26" t="s">
        <v>7367</v>
      </c>
      <c r="AF2477" s="17">
        <v>45506</v>
      </c>
      <c r="AG2477" s="26"/>
      <c r="AH2477" s="26"/>
      <c r="AI2477" s="40" t="s">
        <v>147</v>
      </c>
      <c r="AJ2477" s="26"/>
      <c r="AK2477" s="26"/>
      <c r="AL2477" s="35"/>
      <c r="AM2477" s="35"/>
      <c r="AN2477" s="35"/>
      <c r="AO2477" s="35"/>
      <c r="AP2477" s="35"/>
    </row>
    <row r="2478" spans="1:42" x14ac:dyDescent="0.2">
      <c r="A2478" s="14">
        <v>45497</v>
      </c>
      <c r="B2478" s="68" t="s">
        <v>37</v>
      </c>
      <c r="C2478" s="41" t="s">
        <v>118</v>
      </c>
      <c r="D2478" s="26" t="s">
        <v>36</v>
      </c>
      <c r="E2478" s="26" t="s">
        <v>915</v>
      </c>
      <c r="F2478" s="26" t="s">
        <v>7367</v>
      </c>
      <c r="G2478" s="26" t="s">
        <v>1847</v>
      </c>
      <c r="H2478" s="26" t="s">
        <v>8917</v>
      </c>
      <c r="I2478" s="17">
        <f ca="1">IFERROR(__xludf.DUMMYFUNCTION("""COMPUTED_VALUE"""),45512)</f>
        <v>45512</v>
      </c>
      <c r="J2478" s="29" t="s">
        <v>7837</v>
      </c>
      <c r="K2478" s="26" t="s">
        <v>7838</v>
      </c>
      <c r="L2478" s="30">
        <v>843240205</v>
      </c>
      <c r="M2478" s="26" t="s">
        <v>123</v>
      </c>
      <c r="N2478" s="26" t="s">
        <v>2847</v>
      </c>
      <c r="O2478" s="26" t="s">
        <v>4503</v>
      </c>
      <c r="P2478" s="42" t="s">
        <v>8919</v>
      </c>
      <c r="Q2478" s="20">
        <v>10894</v>
      </c>
      <c r="R2478" s="26" t="s">
        <v>36</v>
      </c>
      <c r="S2478" s="31">
        <v>10694</v>
      </c>
      <c r="T2478" s="32">
        <v>45366</v>
      </c>
      <c r="U2478" s="31">
        <v>200</v>
      </c>
      <c r="V2478" s="32">
        <v>45317</v>
      </c>
      <c r="W2478" s="33" t="s">
        <v>7839</v>
      </c>
      <c r="X2478" s="26"/>
      <c r="Y2478" s="22">
        <v>0</v>
      </c>
      <c r="Z2478" s="26" t="s">
        <v>118</v>
      </c>
      <c r="AA2478" s="19" t="s">
        <v>7361</v>
      </c>
      <c r="AB2478" s="26" t="s">
        <v>36</v>
      </c>
      <c r="AC2478" s="26" t="s">
        <v>53</v>
      </c>
      <c r="AD2478" s="19" t="s">
        <v>138</v>
      </c>
      <c r="AE2478" s="26" t="s">
        <v>7367</v>
      </c>
      <c r="AF2478" s="17">
        <v>45506</v>
      </c>
      <c r="AG2478" s="26"/>
      <c r="AH2478" s="26"/>
      <c r="AI2478" s="40"/>
      <c r="AJ2478" s="26"/>
      <c r="AK2478" s="26"/>
      <c r="AL2478" s="35"/>
      <c r="AM2478" s="35"/>
      <c r="AN2478" s="35"/>
      <c r="AO2478" s="35"/>
      <c r="AP2478" s="35"/>
    </row>
    <row r="2479" spans="1:42" x14ac:dyDescent="0.2">
      <c r="A2479" s="14">
        <v>45497</v>
      </c>
      <c r="B2479" s="68" t="s">
        <v>37</v>
      </c>
      <c r="C2479" s="41" t="s">
        <v>118</v>
      </c>
      <c r="D2479" s="80" t="s">
        <v>36</v>
      </c>
      <c r="E2479" s="80" t="s">
        <v>139</v>
      </c>
      <c r="F2479" s="80" t="s">
        <v>7367</v>
      </c>
      <c r="G2479" s="26" t="s">
        <v>1847</v>
      </c>
      <c r="H2479" s="26" t="s">
        <v>8917</v>
      </c>
      <c r="I2479" s="17">
        <f ca="1">IFERROR(__xludf.DUMMYFUNCTION("""COMPUTED_VALUE"""),45512)</f>
        <v>45512</v>
      </c>
      <c r="J2479" s="143" t="s">
        <v>3636</v>
      </c>
      <c r="K2479" s="80" t="s">
        <v>3637</v>
      </c>
      <c r="L2479" s="30">
        <v>825802607</v>
      </c>
      <c r="M2479" s="80" t="s">
        <v>123</v>
      </c>
      <c r="N2479" s="80" t="s">
        <v>186</v>
      </c>
      <c r="O2479" s="80" t="s">
        <v>1226</v>
      </c>
      <c r="P2479" s="144" t="s">
        <v>8920</v>
      </c>
      <c r="Q2479" s="20">
        <v>15936</v>
      </c>
      <c r="R2479" s="80" t="s">
        <v>36</v>
      </c>
      <c r="S2479" s="77">
        <v>500</v>
      </c>
      <c r="T2479" s="78">
        <v>45166</v>
      </c>
      <c r="U2479" s="77">
        <f>1500+13936</f>
        <v>15436</v>
      </c>
      <c r="V2479" s="158" t="s">
        <v>3639</v>
      </c>
      <c r="W2479" s="85" t="s">
        <v>3640</v>
      </c>
      <c r="X2479" s="80"/>
      <c r="Y2479" s="22">
        <v>0</v>
      </c>
      <c r="Z2479" s="41" t="s">
        <v>118</v>
      </c>
      <c r="AA2479" s="145" t="s">
        <v>4541</v>
      </c>
      <c r="AB2479" s="26" t="s">
        <v>36</v>
      </c>
      <c r="AC2479" s="80" t="s">
        <v>53</v>
      </c>
      <c r="AD2479" s="157" t="s">
        <v>138</v>
      </c>
      <c r="AE2479" s="26" t="s">
        <v>7367</v>
      </c>
      <c r="AF2479" s="17">
        <v>45506</v>
      </c>
      <c r="AG2479" s="147"/>
      <c r="AH2479" s="80"/>
      <c r="AI2479" s="147"/>
      <c r="AJ2479" s="80"/>
      <c r="AK2479" s="80"/>
      <c r="AL2479" s="86"/>
      <c r="AM2479" s="86"/>
      <c r="AN2479" s="86"/>
      <c r="AO2479" s="86"/>
      <c r="AP2479" s="86"/>
    </row>
    <row r="2480" spans="1:42" x14ac:dyDescent="0.2">
      <c r="A2480" s="14">
        <v>45497</v>
      </c>
      <c r="B2480" s="68" t="s">
        <v>37</v>
      </c>
      <c r="C2480" s="41" t="s">
        <v>118</v>
      </c>
      <c r="D2480" s="80" t="s">
        <v>36</v>
      </c>
      <c r="E2480" s="80" t="s">
        <v>139</v>
      </c>
      <c r="F2480" s="80" t="s">
        <v>7367</v>
      </c>
      <c r="G2480" s="26" t="s">
        <v>1847</v>
      </c>
      <c r="H2480" s="26" t="s">
        <v>8917</v>
      </c>
      <c r="I2480" s="17">
        <f ca="1">IFERROR(__xludf.DUMMYFUNCTION("""COMPUTED_VALUE"""),45512)</f>
        <v>45512</v>
      </c>
      <c r="J2480" s="143" t="s">
        <v>3854</v>
      </c>
      <c r="K2480" s="80" t="s">
        <v>3855</v>
      </c>
      <c r="L2480" s="30">
        <v>362802427</v>
      </c>
      <c r="M2480" s="80" t="s">
        <v>123</v>
      </c>
      <c r="N2480" s="80" t="s">
        <v>2847</v>
      </c>
      <c r="O2480" s="80" t="s">
        <v>1226</v>
      </c>
      <c r="P2480" s="144" t="s">
        <v>5034</v>
      </c>
      <c r="Q2480" s="20">
        <v>15936</v>
      </c>
      <c r="R2480" s="80" t="s">
        <v>36</v>
      </c>
      <c r="S2480" s="77">
        <v>5000</v>
      </c>
      <c r="T2480" s="78">
        <v>45195</v>
      </c>
      <c r="U2480" s="77">
        <v>10936</v>
      </c>
      <c r="V2480" s="78">
        <v>45224</v>
      </c>
      <c r="W2480" s="85" t="s">
        <v>3856</v>
      </c>
      <c r="X2480" s="80"/>
      <c r="Y2480" s="22">
        <v>0</v>
      </c>
      <c r="Z2480" s="41" t="s">
        <v>118</v>
      </c>
      <c r="AA2480" s="145" t="s">
        <v>3454</v>
      </c>
      <c r="AB2480" s="26" t="s">
        <v>36</v>
      </c>
      <c r="AC2480" s="80" t="s">
        <v>53</v>
      </c>
      <c r="AD2480" s="157" t="s">
        <v>138</v>
      </c>
      <c r="AE2480" s="26" t="s">
        <v>7367</v>
      </c>
      <c r="AF2480" s="17">
        <v>45506</v>
      </c>
      <c r="AG2480" s="147"/>
      <c r="AH2480" s="80"/>
      <c r="AI2480" s="147"/>
      <c r="AJ2480" s="80"/>
      <c r="AK2480" s="80"/>
      <c r="AL2480" s="86"/>
      <c r="AM2480" s="86"/>
      <c r="AN2480" s="86"/>
      <c r="AO2480" s="86"/>
      <c r="AP2480" s="86"/>
    </row>
    <row r="2481" spans="1:42" x14ac:dyDescent="0.2">
      <c r="A2481" s="14">
        <v>45497</v>
      </c>
      <c r="B2481" s="68" t="s">
        <v>37</v>
      </c>
      <c r="C2481" s="41" t="s">
        <v>118</v>
      </c>
      <c r="D2481" s="80" t="s">
        <v>36</v>
      </c>
      <c r="E2481" s="80" t="s">
        <v>119</v>
      </c>
      <c r="F2481" s="80" t="s">
        <v>6083</v>
      </c>
      <c r="G2481" s="26" t="s">
        <v>1705</v>
      </c>
      <c r="H2481" s="26" t="s">
        <v>8915</v>
      </c>
      <c r="I2481" s="17">
        <f ca="1">IFERROR(__xludf.DUMMYFUNCTION("""COMPUTED_VALUE"""),45516)</f>
        <v>45516</v>
      </c>
      <c r="J2481" s="143" t="s">
        <v>4077</v>
      </c>
      <c r="K2481" s="80" t="s">
        <v>5953</v>
      </c>
      <c r="L2481" s="30">
        <v>986274616</v>
      </c>
      <c r="M2481" s="80" t="s">
        <v>80</v>
      </c>
      <c r="N2481" s="80" t="s">
        <v>81</v>
      </c>
      <c r="O2481" s="80" t="s">
        <v>4079</v>
      </c>
      <c r="P2481" s="144" t="s">
        <v>4080</v>
      </c>
      <c r="Q2481" s="20">
        <v>13968</v>
      </c>
      <c r="R2481" s="80" t="s">
        <v>36</v>
      </c>
      <c r="S2481" s="77">
        <v>2000</v>
      </c>
      <c r="T2481" s="78">
        <v>45204</v>
      </c>
      <c r="U2481" s="77">
        <f t="shared" ref="U2481:U2482" si="3">2000+9968</f>
        <v>11968</v>
      </c>
      <c r="V2481" s="80" t="s">
        <v>4081</v>
      </c>
      <c r="W2481" s="85" t="s">
        <v>4082</v>
      </c>
      <c r="X2481" s="80"/>
      <c r="Y2481" s="22">
        <v>0</v>
      </c>
      <c r="Z2481" s="41" t="s">
        <v>118</v>
      </c>
      <c r="AA2481" s="145" t="s">
        <v>3454</v>
      </c>
      <c r="AB2481" s="26" t="s">
        <v>36</v>
      </c>
      <c r="AC2481" s="80" t="s">
        <v>53</v>
      </c>
      <c r="AD2481" s="157" t="s">
        <v>138</v>
      </c>
      <c r="AE2481" s="80" t="s">
        <v>6083</v>
      </c>
      <c r="AF2481" s="17">
        <v>45511</v>
      </c>
      <c r="AG2481" s="147"/>
      <c r="AH2481" s="80"/>
      <c r="AI2481" s="147"/>
      <c r="AJ2481" s="80"/>
      <c r="AK2481" s="80"/>
      <c r="AL2481" s="86"/>
      <c r="AM2481" s="86"/>
      <c r="AN2481" s="86"/>
      <c r="AO2481" s="86"/>
      <c r="AP2481" s="35"/>
    </row>
    <row r="2482" spans="1:42" x14ac:dyDescent="0.2">
      <c r="A2482" s="14">
        <v>45497</v>
      </c>
      <c r="B2482" s="68" t="s">
        <v>37</v>
      </c>
      <c r="C2482" s="41" t="s">
        <v>118</v>
      </c>
      <c r="D2482" s="80" t="s">
        <v>36</v>
      </c>
      <c r="E2482" s="80" t="s">
        <v>119</v>
      </c>
      <c r="F2482" s="80" t="s">
        <v>6083</v>
      </c>
      <c r="G2482" s="26" t="s">
        <v>1847</v>
      </c>
      <c r="H2482" s="26" t="s">
        <v>8921</v>
      </c>
      <c r="I2482" s="17">
        <f ca="1">IFERROR(__xludf.DUMMYFUNCTION("""COMPUTED_VALUE"""),45517)</f>
        <v>45517</v>
      </c>
      <c r="J2482" s="143" t="s">
        <v>4077</v>
      </c>
      <c r="K2482" s="80" t="s">
        <v>5953</v>
      </c>
      <c r="L2482" s="30">
        <v>986274616</v>
      </c>
      <c r="M2482" s="80" t="s">
        <v>80</v>
      </c>
      <c r="N2482" s="80" t="s">
        <v>81</v>
      </c>
      <c r="O2482" s="80" t="s">
        <v>4079</v>
      </c>
      <c r="P2482" s="144" t="s">
        <v>4080</v>
      </c>
      <c r="Q2482" s="20">
        <v>13968</v>
      </c>
      <c r="R2482" s="80" t="s">
        <v>36</v>
      </c>
      <c r="S2482" s="77">
        <v>2000</v>
      </c>
      <c r="T2482" s="78">
        <v>45204</v>
      </c>
      <c r="U2482" s="77">
        <f t="shared" si="3"/>
        <v>11968</v>
      </c>
      <c r="V2482" s="80" t="s">
        <v>4081</v>
      </c>
      <c r="W2482" s="85" t="s">
        <v>4082</v>
      </c>
      <c r="X2482" s="80"/>
      <c r="Y2482" s="22">
        <v>0</v>
      </c>
      <c r="Z2482" s="41" t="s">
        <v>118</v>
      </c>
      <c r="AA2482" s="145" t="s">
        <v>3454</v>
      </c>
      <c r="AB2482" s="26" t="s">
        <v>36</v>
      </c>
      <c r="AC2482" s="80" t="s">
        <v>53</v>
      </c>
      <c r="AD2482" s="157" t="s">
        <v>138</v>
      </c>
      <c r="AE2482" s="80" t="s">
        <v>6083</v>
      </c>
      <c r="AF2482" s="17">
        <v>45511</v>
      </c>
      <c r="AG2482" s="147"/>
      <c r="AH2482" s="80"/>
      <c r="AI2482" s="147"/>
      <c r="AJ2482" s="80"/>
      <c r="AK2482" s="80"/>
      <c r="AL2482" s="86"/>
      <c r="AM2482" s="86"/>
      <c r="AN2482" s="86"/>
      <c r="AO2482" s="86"/>
      <c r="AP2482" s="35"/>
    </row>
    <row r="2483" spans="1:42" x14ac:dyDescent="0.2">
      <c r="A2483" s="14">
        <v>45497</v>
      </c>
      <c r="B2483" s="68" t="s">
        <v>37</v>
      </c>
      <c r="C2483" s="41" t="s">
        <v>118</v>
      </c>
      <c r="D2483" s="80" t="s">
        <v>36</v>
      </c>
      <c r="E2483" s="80" t="s">
        <v>139</v>
      </c>
      <c r="F2483" s="80" t="s">
        <v>7367</v>
      </c>
      <c r="G2483" s="26" t="s">
        <v>1847</v>
      </c>
      <c r="H2483" s="26" t="s">
        <v>8917</v>
      </c>
      <c r="I2483" s="17">
        <f ca="1">IFERROR(__xludf.DUMMYFUNCTION("""COMPUTED_VALUE"""),45512)</f>
        <v>45512</v>
      </c>
      <c r="J2483" s="143" t="s">
        <v>3649</v>
      </c>
      <c r="K2483" s="80" t="s">
        <v>3650</v>
      </c>
      <c r="L2483" s="30">
        <v>368025125</v>
      </c>
      <c r="M2483" s="80" t="s">
        <v>123</v>
      </c>
      <c r="N2483" s="80" t="s">
        <v>186</v>
      </c>
      <c r="O2483" s="80" t="s">
        <v>134</v>
      </c>
      <c r="P2483" s="144" t="s">
        <v>8920</v>
      </c>
      <c r="Q2483" s="20">
        <v>15936</v>
      </c>
      <c r="R2483" s="26" t="s">
        <v>36</v>
      </c>
      <c r="S2483" s="31">
        <v>200</v>
      </c>
      <c r="T2483" s="32">
        <v>45187</v>
      </c>
      <c r="U2483" s="31">
        <f>4000+11736</f>
        <v>15736</v>
      </c>
      <c r="V2483" s="16" t="s">
        <v>3651</v>
      </c>
      <c r="W2483" s="33" t="s">
        <v>3652</v>
      </c>
      <c r="X2483" s="26"/>
      <c r="Y2483" s="22">
        <v>0</v>
      </c>
      <c r="Z2483" s="41" t="s">
        <v>118</v>
      </c>
      <c r="AA2483" s="145" t="s">
        <v>5785</v>
      </c>
      <c r="AB2483" s="26" t="s">
        <v>36</v>
      </c>
      <c r="AC2483" s="80" t="s">
        <v>53</v>
      </c>
      <c r="AD2483" s="157" t="s">
        <v>138</v>
      </c>
      <c r="AE2483" s="80" t="s">
        <v>7367</v>
      </c>
      <c r="AF2483" s="17">
        <v>45506</v>
      </c>
      <c r="AG2483" s="147"/>
      <c r="AH2483" s="80"/>
      <c r="AI2483" s="147" t="s">
        <v>147</v>
      </c>
      <c r="AJ2483" s="80"/>
      <c r="AK2483" s="80"/>
      <c r="AL2483" s="86"/>
      <c r="AM2483" s="86"/>
      <c r="AN2483" s="86"/>
      <c r="AO2483" s="86"/>
      <c r="AP2483" s="86"/>
    </row>
    <row r="2484" spans="1:42" x14ac:dyDescent="0.2">
      <c r="A2484" s="14">
        <v>45497</v>
      </c>
      <c r="B2484" s="68" t="s">
        <v>37</v>
      </c>
      <c r="C2484" s="41" t="s">
        <v>118</v>
      </c>
      <c r="D2484" s="80" t="s">
        <v>36</v>
      </c>
      <c r="E2484" s="80" t="s">
        <v>119</v>
      </c>
      <c r="F2484" s="80" t="s">
        <v>7367</v>
      </c>
      <c r="G2484" s="26" t="s">
        <v>1847</v>
      </c>
      <c r="H2484" s="26" t="s">
        <v>8917</v>
      </c>
      <c r="I2484" s="17">
        <f ca="1">IFERROR(__xludf.DUMMYFUNCTION("""COMPUTED_VALUE"""),45512)</f>
        <v>45512</v>
      </c>
      <c r="J2484" s="143" t="s">
        <v>5580</v>
      </c>
      <c r="K2484" s="80" t="s">
        <v>7368</v>
      </c>
      <c r="L2484" s="30">
        <v>915300201</v>
      </c>
      <c r="M2484" s="80" t="s">
        <v>5518</v>
      </c>
      <c r="N2484" s="80" t="s">
        <v>5582</v>
      </c>
      <c r="O2484" s="80" t="s">
        <v>5583</v>
      </c>
      <c r="P2484" s="144" t="s">
        <v>5584</v>
      </c>
      <c r="Q2484" s="20">
        <v>13968</v>
      </c>
      <c r="R2484" s="80" t="s">
        <v>36</v>
      </c>
      <c r="S2484" s="77">
        <v>4000</v>
      </c>
      <c r="T2484" s="78">
        <v>45238</v>
      </c>
      <c r="U2484" s="77">
        <v>9968</v>
      </c>
      <c r="V2484" s="78">
        <v>45260</v>
      </c>
      <c r="W2484" s="85" t="s">
        <v>5585</v>
      </c>
      <c r="X2484" s="80"/>
      <c r="Y2484" s="22">
        <v>0</v>
      </c>
      <c r="Z2484" s="41" t="s">
        <v>118</v>
      </c>
      <c r="AA2484" s="145" t="s">
        <v>5112</v>
      </c>
      <c r="AB2484" s="26" t="s">
        <v>36</v>
      </c>
      <c r="AC2484" s="80" t="s">
        <v>53</v>
      </c>
      <c r="AD2484" s="157" t="s">
        <v>54</v>
      </c>
      <c r="AE2484" s="80" t="s">
        <v>7367</v>
      </c>
      <c r="AF2484" s="17">
        <v>45506</v>
      </c>
      <c r="AG2484" s="147"/>
      <c r="AH2484" s="80"/>
      <c r="AI2484" s="147">
        <v>4</v>
      </c>
      <c r="AJ2484" s="80"/>
      <c r="AK2484" s="80"/>
      <c r="AL2484" s="86"/>
      <c r="AM2484" s="86"/>
      <c r="AN2484" s="86"/>
      <c r="AO2484" s="86"/>
      <c r="AP2484" s="86"/>
    </row>
    <row r="2485" spans="1:42" x14ac:dyDescent="0.2">
      <c r="A2485" s="14">
        <v>45497</v>
      </c>
      <c r="B2485" s="68" t="s">
        <v>37</v>
      </c>
      <c r="C2485" s="41" t="s">
        <v>118</v>
      </c>
      <c r="D2485" s="80" t="s">
        <v>36</v>
      </c>
      <c r="E2485" s="80" t="s">
        <v>139</v>
      </c>
      <c r="F2485" s="80" t="s">
        <v>7367</v>
      </c>
      <c r="G2485" s="26" t="s">
        <v>1847</v>
      </c>
      <c r="H2485" s="26" t="s">
        <v>8917</v>
      </c>
      <c r="I2485" s="17">
        <f ca="1">IFERROR(__xludf.DUMMYFUNCTION("""COMPUTED_VALUE"""),45512)</f>
        <v>45512</v>
      </c>
      <c r="J2485" s="143" t="s">
        <v>3737</v>
      </c>
      <c r="K2485" s="80" t="s">
        <v>3738</v>
      </c>
      <c r="L2485" s="30">
        <v>823523934</v>
      </c>
      <c r="M2485" s="80" t="s">
        <v>123</v>
      </c>
      <c r="N2485" s="80" t="s">
        <v>850</v>
      </c>
      <c r="O2485" s="80" t="s">
        <v>2737</v>
      </c>
      <c r="P2485" s="144" t="s">
        <v>8922</v>
      </c>
      <c r="Q2485" s="20">
        <v>15936</v>
      </c>
      <c r="R2485" s="80" t="s">
        <v>36</v>
      </c>
      <c r="S2485" s="77">
        <v>2000</v>
      </c>
      <c r="T2485" s="78">
        <v>45188</v>
      </c>
      <c r="U2485" s="77">
        <v>13968</v>
      </c>
      <c r="V2485" s="78">
        <v>45207</v>
      </c>
      <c r="W2485" s="80" t="s">
        <v>3739</v>
      </c>
      <c r="X2485" s="80"/>
      <c r="Y2485" s="22">
        <v>-32</v>
      </c>
      <c r="Z2485" s="41" t="s">
        <v>118</v>
      </c>
      <c r="AA2485" s="145" t="s">
        <v>4541</v>
      </c>
      <c r="AB2485" s="26" t="s">
        <v>36</v>
      </c>
      <c r="AC2485" s="80" t="s">
        <v>53</v>
      </c>
      <c r="AD2485" s="157" t="s">
        <v>138</v>
      </c>
      <c r="AE2485" s="80" t="s">
        <v>7367</v>
      </c>
      <c r="AF2485" s="17">
        <v>45506</v>
      </c>
      <c r="AG2485" s="147"/>
      <c r="AH2485" s="80"/>
      <c r="AI2485" s="147"/>
      <c r="AJ2485" s="80"/>
      <c r="AK2485" s="80"/>
      <c r="AL2485" s="86"/>
      <c r="AM2485" s="86"/>
      <c r="AN2485" s="86"/>
      <c r="AO2485" s="86"/>
      <c r="AP2485" s="86"/>
    </row>
    <row r="2486" spans="1:42" x14ac:dyDescent="0.2">
      <c r="A2486" s="14">
        <v>45497</v>
      </c>
      <c r="B2486" s="68" t="s">
        <v>37</v>
      </c>
      <c r="C2486" s="41" t="s">
        <v>118</v>
      </c>
      <c r="D2486" s="26" t="s">
        <v>36</v>
      </c>
      <c r="E2486" s="26" t="s">
        <v>119</v>
      </c>
      <c r="F2486" s="26" t="s">
        <v>6070</v>
      </c>
      <c r="G2486" s="26" t="s">
        <v>1847</v>
      </c>
      <c r="H2486" s="26" t="s">
        <v>8921</v>
      </c>
      <c r="I2486" s="17">
        <f ca="1">IFERROR(__xludf.DUMMYFUNCTION("""COMPUTED_VALUE"""),45517)</f>
        <v>45517</v>
      </c>
      <c r="J2486" s="29" t="s">
        <v>1108</v>
      </c>
      <c r="K2486" s="26" t="s">
        <v>6071</v>
      </c>
      <c r="L2486" s="30">
        <v>528404137</v>
      </c>
      <c r="M2486" s="26" t="s">
        <v>1245</v>
      </c>
      <c r="N2486" s="26" t="s">
        <v>4957</v>
      </c>
      <c r="O2486" s="26" t="s">
        <v>1110</v>
      </c>
      <c r="P2486" s="54" t="s">
        <v>8923</v>
      </c>
      <c r="Q2486" s="20">
        <v>13968</v>
      </c>
      <c r="R2486" s="26" t="s">
        <v>36</v>
      </c>
      <c r="S2486" s="31">
        <v>3968</v>
      </c>
      <c r="T2486" s="32">
        <v>45129</v>
      </c>
      <c r="U2486" s="31">
        <v>10000</v>
      </c>
      <c r="V2486" s="32">
        <v>45147</v>
      </c>
      <c r="W2486" s="33" t="s">
        <v>1112</v>
      </c>
      <c r="X2486" s="26">
        <v>0</v>
      </c>
      <c r="Y2486" s="22">
        <v>0</v>
      </c>
      <c r="Z2486" s="109" t="s">
        <v>118</v>
      </c>
      <c r="AA2486" s="19" t="s">
        <v>901</v>
      </c>
      <c r="AB2486" s="26" t="s">
        <v>36</v>
      </c>
      <c r="AC2486" s="26" t="s">
        <v>53</v>
      </c>
      <c r="AD2486" s="19" t="s">
        <v>54</v>
      </c>
      <c r="AE2486" s="26" t="s">
        <v>6070</v>
      </c>
      <c r="AF2486" s="17">
        <v>45511</v>
      </c>
      <c r="AG2486" s="26"/>
      <c r="AH2486" s="26">
        <v>1</v>
      </c>
      <c r="AI2486" s="40">
        <v>4</v>
      </c>
      <c r="AJ2486" s="26"/>
      <c r="AK2486" s="26"/>
      <c r="AL2486" s="35"/>
      <c r="AM2486" s="35"/>
      <c r="AN2486" s="35"/>
      <c r="AO2486" s="35"/>
      <c r="AP2486" s="35"/>
    </row>
    <row r="2487" spans="1:42" x14ac:dyDescent="0.2">
      <c r="A2487" s="14">
        <v>45497</v>
      </c>
      <c r="B2487" s="68" t="s">
        <v>37</v>
      </c>
      <c r="C2487" s="41" t="s">
        <v>118</v>
      </c>
      <c r="D2487" s="26" t="s">
        <v>36</v>
      </c>
      <c r="E2487" s="26" t="s">
        <v>139</v>
      </c>
      <c r="F2487" s="26" t="s">
        <v>6570</v>
      </c>
      <c r="G2487" s="26" t="s">
        <v>1847</v>
      </c>
      <c r="H2487" s="26" t="s">
        <v>8921</v>
      </c>
      <c r="I2487" s="17">
        <f ca="1">IFERROR(__xludf.DUMMYFUNCTION("""COMPUTED_VALUE"""),45517)</f>
        <v>45517</v>
      </c>
      <c r="J2487" s="29" t="s">
        <v>1264</v>
      </c>
      <c r="K2487" s="26" t="s">
        <v>4732</v>
      </c>
      <c r="L2487" s="30">
        <v>965227970</v>
      </c>
      <c r="M2487" s="26" t="s">
        <v>123</v>
      </c>
      <c r="N2487" s="26" t="s">
        <v>310</v>
      </c>
      <c r="O2487" s="26" t="s">
        <v>91</v>
      </c>
      <c r="P2487" s="42" t="s">
        <v>8924</v>
      </c>
      <c r="Q2487" s="20">
        <v>15936</v>
      </c>
      <c r="R2487" s="26" t="s">
        <v>36</v>
      </c>
      <c r="S2487" s="31">
        <v>2000</v>
      </c>
      <c r="T2487" s="32">
        <v>45141</v>
      </c>
      <c r="U2487" s="31">
        <v>13936</v>
      </c>
      <c r="V2487" s="32">
        <v>45164</v>
      </c>
      <c r="W2487" s="55" t="s">
        <v>1267</v>
      </c>
      <c r="X2487" s="26">
        <v>0</v>
      </c>
      <c r="Y2487" s="22">
        <v>0</v>
      </c>
      <c r="Z2487" s="26" t="s">
        <v>118</v>
      </c>
      <c r="AA2487" s="19" t="s">
        <v>4541</v>
      </c>
      <c r="AB2487" s="26" t="s">
        <v>36</v>
      </c>
      <c r="AC2487" s="26" t="s">
        <v>53</v>
      </c>
      <c r="AD2487" s="19" t="s">
        <v>54</v>
      </c>
      <c r="AE2487" s="26" t="s">
        <v>6570</v>
      </c>
      <c r="AF2487" s="17">
        <v>45511</v>
      </c>
      <c r="AG2487" s="26"/>
      <c r="AH2487" s="26"/>
      <c r="AI2487" s="40"/>
      <c r="AJ2487" s="26"/>
      <c r="AK2487" s="26"/>
      <c r="AL2487" s="35"/>
      <c r="AM2487" s="35"/>
      <c r="AN2487" s="35"/>
      <c r="AO2487" s="35"/>
      <c r="AP2487" s="35"/>
    </row>
    <row r="2488" spans="1:42" x14ac:dyDescent="0.2">
      <c r="A2488" s="14">
        <v>45497</v>
      </c>
      <c r="B2488" s="68" t="s">
        <v>37</v>
      </c>
      <c r="C2488" s="41" t="s">
        <v>118</v>
      </c>
      <c r="D2488" s="26" t="s">
        <v>36</v>
      </c>
      <c r="E2488" s="26" t="s">
        <v>119</v>
      </c>
      <c r="F2488" s="26" t="s">
        <v>6874</v>
      </c>
      <c r="G2488" s="26" t="s">
        <v>1705</v>
      </c>
      <c r="H2488" s="26" t="s">
        <v>8915</v>
      </c>
      <c r="I2488" s="17">
        <f ca="1">IFERROR(__xludf.DUMMYFUNCTION("""COMPUTED_VALUE"""),45516)</f>
        <v>45516</v>
      </c>
      <c r="J2488" s="29" t="s">
        <v>7535</v>
      </c>
      <c r="K2488" s="26" t="s">
        <v>7536</v>
      </c>
      <c r="L2488" s="30">
        <v>389346206</v>
      </c>
      <c r="M2488" s="26" t="s">
        <v>3728</v>
      </c>
      <c r="N2488" s="26" t="s">
        <v>5377</v>
      </c>
      <c r="O2488" s="26" t="s">
        <v>7537</v>
      </c>
      <c r="P2488" s="42" t="s">
        <v>7538</v>
      </c>
      <c r="Q2488" s="20">
        <v>13968</v>
      </c>
      <c r="R2488" s="26" t="s">
        <v>36</v>
      </c>
      <c r="S2488" s="31">
        <v>200</v>
      </c>
      <c r="T2488" s="32">
        <v>45245</v>
      </c>
      <c r="U2488" s="31">
        <f>3800+5000+4968</f>
        <v>13768</v>
      </c>
      <c r="V2488" s="26" t="s">
        <v>7539</v>
      </c>
      <c r="W2488" s="33" t="s">
        <v>7540</v>
      </c>
      <c r="X2488" s="26">
        <v>0</v>
      </c>
      <c r="Y2488" s="22">
        <v>0</v>
      </c>
      <c r="Z2488" s="26" t="s">
        <v>118</v>
      </c>
      <c r="AA2488" s="19" t="s">
        <v>7928</v>
      </c>
      <c r="AB2488" s="26" t="s">
        <v>36</v>
      </c>
      <c r="AC2488" s="26" t="s">
        <v>53</v>
      </c>
      <c r="AD2488" s="19" t="s">
        <v>54</v>
      </c>
      <c r="AE2488" s="26" t="s">
        <v>6874</v>
      </c>
      <c r="AF2488" s="17">
        <v>45511</v>
      </c>
      <c r="AG2488" s="26"/>
      <c r="AH2488" s="26"/>
      <c r="AI2488" s="40">
        <v>4</v>
      </c>
      <c r="AJ2488" s="26"/>
      <c r="AK2488" s="26"/>
      <c r="AL2488" s="35"/>
      <c r="AM2488" s="35"/>
      <c r="AN2488" s="35"/>
      <c r="AO2488" s="35"/>
      <c r="AP2488" s="35"/>
    </row>
    <row r="2489" spans="1:42" x14ac:dyDescent="0.2">
      <c r="A2489" s="14">
        <v>45497</v>
      </c>
      <c r="B2489" s="68" t="s">
        <v>37</v>
      </c>
      <c r="C2489" s="41" t="s">
        <v>118</v>
      </c>
      <c r="D2489" s="26" t="s">
        <v>36</v>
      </c>
      <c r="E2489" s="26" t="s">
        <v>139</v>
      </c>
      <c r="F2489" s="26" t="s">
        <v>6645</v>
      </c>
      <c r="G2489" s="26" t="s">
        <v>1847</v>
      </c>
      <c r="H2489" s="26" t="s">
        <v>8921</v>
      </c>
      <c r="I2489" s="17">
        <f ca="1">IFERROR(__xludf.DUMMYFUNCTION("""COMPUTED_VALUE"""),45517)</f>
        <v>45517</v>
      </c>
      <c r="J2489" s="29" t="s">
        <v>962</v>
      </c>
      <c r="K2489" s="26" t="s">
        <v>6646</v>
      </c>
      <c r="L2489" s="30">
        <v>564104314</v>
      </c>
      <c r="M2489" s="26" t="s">
        <v>123</v>
      </c>
      <c r="N2489" s="26" t="s">
        <v>207</v>
      </c>
      <c r="O2489" s="26" t="s">
        <v>964</v>
      </c>
      <c r="P2489" s="42" t="s">
        <v>8925</v>
      </c>
      <c r="Q2489" s="20">
        <v>15936</v>
      </c>
      <c r="R2489" s="26" t="s">
        <v>36</v>
      </c>
      <c r="S2489" s="31">
        <v>5000</v>
      </c>
      <c r="T2489" s="32">
        <v>45117</v>
      </c>
      <c r="U2489" s="58">
        <f>10930+6</f>
        <v>10936</v>
      </c>
      <c r="V2489" s="26" t="s">
        <v>966</v>
      </c>
      <c r="W2489" s="33" t="s">
        <v>967</v>
      </c>
      <c r="X2489" s="26">
        <v>0</v>
      </c>
      <c r="Y2489" s="22">
        <v>0</v>
      </c>
      <c r="Z2489" s="26" t="s">
        <v>118</v>
      </c>
      <c r="AA2489" s="19" t="s">
        <v>901</v>
      </c>
      <c r="AB2489" s="26" t="s">
        <v>36</v>
      </c>
      <c r="AC2489" s="26" t="s">
        <v>53</v>
      </c>
      <c r="AD2489" s="19" t="s">
        <v>54</v>
      </c>
      <c r="AE2489" s="26" t="s">
        <v>6645</v>
      </c>
      <c r="AF2489" s="17">
        <v>45511</v>
      </c>
      <c r="AG2489" s="26"/>
      <c r="AH2489" s="26">
        <v>1</v>
      </c>
      <c r="AI2489" s="40" t="s">
        <v>147</v>
      </c>
      <c r="AJ2489" s="26"/>
      <c r="AK2489" s="26"/>
      <c r="AL2489" s="35"/>
      <c r="AM2489" s="35"/>
      <c r="AN2489" s="35"/>
      <c r="AO2489" s="35"/>
      <c r="AP2489" s="35"/>
    </row>
    <row r="2490" spans="1:42" x14ac:dyDescent="0.2">
      <c r="A2490" s="14">
        <v>45498</v>
      </c>
      <c r="B2490" s="68" t="s">
        <v>37</v>
      </c>
      <c r="C2490" s="41" t="s">
        <v>118</v>
      </c>
      <c r="D2490" s="26" t="s">
        <v>36</v>
      </c>
      <c r="E2490" s="26" t="s">
        <v>915</v>
      </c>
      <c r="F2490" s="26" t="s">
        <v>6965</v>
      </c>
      <c r="G2490" s="26" t="s">
        <v>1847</v>
      </c>
      <c r="H2490" s="26" t="s">
        <v>8921</v>
      </c>
      <c r="I2490" s="17">
        <f ca="1">IFERROR(__xludf.DUMMYFUNCTION("""COMPUTED_VALUE"""),45517)</f>
        <v>45517</v>
      </c>
      <c r="J2490" s="29" t="s">
        <v>5205</v>
      </c>
      <c r="K2490" s="26" t="s">
        <v>5206</v>
      </c>
      <c r="L2490" s="30">
        <v>865522905</v>
      </c>
      <c r="M2490" s="26" t="s">
        <v>80</v>
      </c>
      <c r="N2490" s="26" t="s">
        <v>186</v>
      </c>
      <c r="O2490" s="26" t="s">
        <v>1492</v>
      </c>
      <c r="P2490" s="42" t="s">
        <v>6969</v>
      </c>
      <c r="Q2490" s="20">
        <v>10894</v>
      </c>
      <c r="R2490" s="26" t="s">
        <v>36</v>
      </c>
      <c r="S2490" s="31">
        <v>5000</v>
      </c>
      <c r="T2490" s="32">
        <v>45201</v>
      </c>
      <c r="U2490" s="31">
        <v>5894</v>
      </c>
      <c r="V2490" s="32">
        <v>45238</v>
      </c>
      <c r="W2490" s="33" t="s">
        <v>5208</v>
      </c>
      <c r="X2490" s="26"/>
      <c r="Y2490" s="22">
        <v>0</v>
      </c>
      <c r="Z2490" s="26" t="s">
        <v>118</v>
      </c>
      <c r="AA2490" s="19" t="s">
        <v>5112</v>
      </c>
      <c r="AB2490" s="26" t="s">
        <v>36</v>
      </c>
      <c r="AC2490" s="26" t="s">
        <v>53</v>
      </c>
      <c r="AD2490" s="19" t="s">
        <v>54</v>
      </c>
      <c r="AE2490" s="26" t="s">
        <v>6965</v>
      </c>
      <c r="AF2490" s="17">
        <v>45511</v>
      </c>
      <c r="AG2490" s="26"/>
      <c r="AH2490" s="26"/>
      <c r="AI2490" s="40">
        <v>3</v>
      </c>
      <c r="AJ2490" s="26"/>
      <c r="AK2490" s="26"/>
      <c r="AL2490" s="35"/>
      <c r="AM2490" s="35"/>
      <c r="AN2490" s="35"/>
      <c r="AO2490" s="35"/>
      <c r="AP2490" s="35"/>
    </row>
    <row r="2491" spans="1:42" x14ac:dyDescent="0.2">
      <c r="A2491" s="14">
        <v>45498</v>
      </c>
      <c r="B2491" s="28" t="s">
        <v>37</v>
      </c>
      <c r="C2491" s="41" t="s">
        <v>118</v>
      </c>
      <c r="D2491" s="26" t="s">
        <v>36</v>
      </c>
      <c r="E2491" s="26" t="s">
        <v>139</v>
      </c>
      <c r="F2491" s="26" t="s">
        <v>4469</v>
      </c>
      <c r="G2491" s="26" t="s">
        <v>1705</v>
      </c>
      <c r="H2491" s="26" t="s">
        <v>8915</v>
      </c>
      <c r="I2491" s="17">
        <f ca="1">IFERROR(__xludf.DUMMYFUNCTION("""COMPUTED_VALUE"""),45516)</f>
        <v>45516</v>
      </c>
      <c r="J2491" s="29" t="s">
        <v>4037</v>
      </c>
      <c r="K2491" s="26" t="s">
        <v>8926</v>
      </c>
      <c r="L2491" s="30">
        <v>878886183</v>
      </c>
      <c r="M2491" s="26" t="s">
        <v>910</v>
      </c>
      <c r="N2491" s="26" t="s">
        <v>3525</v>
      </c>
      <c r="O2491" s="26" t="s">
        <v>134</v>
      </c>
      <c r="P2491" s="42" t="s">
        <v>7006</v>
      </c>
      <c r="Q2491" s="20">
        <v>15936</v>
      </c>
      <c r="R2491" s="26" t="s">
        <v>70</v>
      </c>
      <c r="S2491" s="31">
        <v>2000</v>
      </c>
      <c r="T2491" s="32">
        <v>45202</v>
      </c>
      <c r="U2491" s="31">
        <v>13936</v>
      </c>
      <c r="V2491" s="32">
        <v>45223</v>
      </c>
      <c r="W2491" s="33" t="s">
        <v>4040</v>
      </c>
      <c r="X2491" s="26"/>
      <c r="Y2491" s="22">
        <v>0</v>
      </c>
      <c r="Z2491" s="26" t="s">
        <v>118</v>
      </c>
      <c r="AA2491" s="19" t="s">
        <v>5785</v>
      </c>
      <c r="AB2491" s="26" t="s">
        <v>36</v>
      </c>
      <c r="AC2491" s="26" t="s">
        <v>53</v>
      </c>
      <c r="AD2491" s="19" t="s">
        <v>54</v>
      </c>
      <c r="AE2491" s="26" t="s">
        <v>4469</v>
      </c>
      <c r="AF2491" s="17">
        <v>45516</v>
      </c>
      <c r="AG2491" s="26" t="s">
        <v>3399</v>
      </c>
      <c r="AH2491" s="26"/>
      <c r="AI2491" s="40" t="s">
        <v>147</v>
      </c>
      <c r="AJ2491" s="26"/>
      <c r="AK2491" s="26"/>
      <c r="AL2491" s="35"/>
      <c r="AM2491" s="35"/>
      <c r="AN2491" s="35"/>
      <c r="AO2491" s="35"/>
      <c r="AP2491" s="35"/>
    </row>
    <row r="2492" spans="1:42" x14ac:dyDescent="0.2">
      <c r="A2492" s="14">
        <v>45498</v>
      </c>
      <c r="B2492" s="28" t="s">
        <v>37</v>
      </c>
      <c r="C2492" s="41" t="s">
        <v>118</v>
      </c>
      <c r="D2492" s="26" t="s">
        <v>36</v>
      </c>
      <c r="E2492" s="26" t="s">
        <v>139</v>
      </c>
      <c r="F2492" s="26" t="s">
        <v>7367</v>
      </c>
      <c r="G2492" s="26" t="s">
        <v>1705</v>
      </c>
      <c r="H2492" s="26" t="s">
        <v>8927</v>
      </c>
      <c r="I2492" s="17">
        <f ca="1">IFERROR(__xludf.DUMMYFUNCTION("""COMPUTED_VALUE"""),45606)</f>
        <v>45606</v>
      </c>
      <c r="J2492" s="29" t="s">
        <v>3744</v>
      </c>
      <c r="K2492" s="26" t="s">
        <v>8928</v>
      </c>
      <c r="L2492" s="30">
        <v>395688205</v>
      </c>
      <c r="M2492" s="26" t="s">
        <v>123</v>
      </c>
      <c r="N2492" s="26" t="s">
        <v>850</v>
      </c>
      <c r="O2492" s="26" t="s">
        <v>2737</v>
      </c>
      <c r="P2492" s="42" t="s">
        <v>8929</v>
      </c>
      <c r="Q2492" s="20">
        <v>15936</v>
      </c>
      <c r="R2492" s="26" t="s">
        <v>36</v>
      </c>
      <c r="S2492" s="31">
        <v>2000</v>
      </c>
      <c r="T2492" s="32">
        <v>45188</v>
      </c>
      <c r="U2492" s="31">
        <v>13936</v>
      </c>
      <c r="V2492" s="32">
        <v>45217</v>
      </c>
      <c r="W2492" s="33" t="s">
        <v>3746</v>
      </c>
      <c r="X2492" s="26"/>
      <c r="Y2492" s="22">
        <v>0</v>
      </c>
      <c r="Z2492" s="26" t="s">
        <v>118</v>
      </c>
      <c r="AA2492" s="19" t="s">
        <v>4541</v>
      </c>
      <c r="AB2492" s="26" t="s">
        <v>36</v>
      </c>
      <c r="AC2492" s="26" t="s">
        <v>53</v>
      </c>
      <c r="AD2492" s="19" t="s">
        <v>54</v>
      </c>
      <c r="AE2492" s="26" t="s">
        <v>7367</v>
      </c>
      <c r="AF2492" s="17">
        <v>45601</v>
      </c>
      <c r="AG2492" s="26" t="s">
        <v>3399</v>
      </c>
      <c r="AH2492" s="26"/>
      <c r="AI2492" s="40"/>
      <c r="AJ2492" s="26"/>
      <c r="AK2492" s="26"/>
      <c r="AL2492" s="35"/>
      <c r="AM2492" s="35"/>
      <c r="AN2492" s="35"/>
      <c r="AO2492" s="35"/>
      <c r="AP2492" s="35"/>
    </row>
    <row r="2493" spans="1:42" x14ac:dyDescent="0.2">
      <c r="A2493" s="14">
        <v>45498</v>
      </c>
      <c r="B2493" s="68" t="s">
        <v>37</v>
      </c>
      <c r="C2493" s="41" t="s">
        <v>118</v>
      </c>
      <c r="D2493" s="26" t="s">
        <v>36</v>
      </c>
      <c r="E2493" s="26" t="s">
        <v>139</v>
      </c>
      <c r="F2493" s="26" t="s">
        <v>7367</v>
      </c>
      <c r="G2493" s="26" t="s">
        <v>1847</v>
      </c>
      <c r="H2493" s="26" t="s">
        <v>8921</v>
      </c>
      <c r="I2493" s="17">
        <f ca="1">IFERROR(__xludf.DUMMYFUNCTION("""COMPUTED_VALUE"""),45517)</f>
        <v>45517</v>
      </c>
      <c r="J2493" s="29" t="s">
        <v>3918</v>
      </c>
      <c r="K2493" s="26" t="s">
        <v>3919</v>
      </c>
      <c r="L2493" s="30">
        <v>942247485</v>
      </c>
      <c r="M2493" s="26" t="s">
        <v>1245</v>
      </c>
      <c r="N2493" s="26" t="s">
        <v>4957</v>
      </c>
      <c r="O2493" s="26" t="s">
        <v>1226</v>
      </c>
      <c r="P2493" s="42" t="s">
        <v>8930</v>
      </c>
      <c r="Q2493" s="20">
        <v>15936</v>
      </c>
      <c r="R2493" s="26" t="s">
        <v>36</v>
      </c>
      <c r="S2493" s="31">
        <v>2000</v>
      </c>
      <c r="T2493" s="32">
        <v>45197</v>
      </c>
      <c r="U2493" s="31">
        <v>13936</v>
      </c>
      <c r="V2493" s="32">
        <v>45226</v>
      </c>
      <c r="W2493" s="33" t="s">
        <v>3920</v>
      </c>
      <c r="X2493" s="26"/>
      <c r="Y2493" s="22">
        <v>0</v>
      </c>
      <c r="Z2493" s="26" t="s">
        <v>118</v>
      </c>
      <c r="AA2493" s="19" t="s">
        <v>3454</v>
      </c>
      <c r="AB2493" s="26" t="s">
        <v>36</v>
      </c>
      <c r="AC2493" s="26" t="s">
        <v>53</v>
      </c>
      <c r="AD2493" s="19" t="s">
        <v>138</v>
      </c>
      <c r="AE2493" s="26" t="s">
        <v>7367</v>
      </c>
      <c r="AF2493" s="17">
        <v>45511</v>
      </c>
      <c r="AG2493" s="26" t="s">
        <v>3399</v>
      </c>
      <c r="AH2493" s="26"/>
      <c r="AI2493" s="40"/>
      <c r="AJ2493" s="26"/>
      <c r="AK2493" s="26"/>
      <c r="AL2493" s="35"/>
      <c r="AM2493" s="35"/>
      <c r="AN2493" s="35"/>
      <c r="AO2493" s="35"/>
      <c r="AP2493" s="35"/>
    </row>
    <row r="2494" spans="1:42" x14ac:dyDescent="0.2">
      <c r="A2494" s="14">
        <v>45499</v>
      </c>
      <c r="B2494" s="68" t="s">
        <v>37</v>
      </c>
      <c r="C2494" s="41" t="s">
        <v>118</v>
      </c>
      <c r="D2494" s="26" t="s">
        <v>36</v>
      </c>
      <c r="E2494" s="26" t="s">
        <v>56</v>
      </c>
      <c r="F2494" s="26" t="s">
        <v>8479</v>
      </c>
      <c r="G2494" s="26" t="s">
        <v>108</v>
      </c>
      <c r="H2494" s="26" t="s">
        <v>8931</v>
      </c>
      <c r="I2494" s="17">
        <f ca="1">IFERROR(__xludf.DUMMYFUNCTION("""COMPUTED_VALUE"""),45503)</f>
        <v>45503</v>
      </c>
      <c r="J2494" s="55" t="s">
        <v>8480</v>
      </c>
      <c r="K2494" s="26" t="s">
        <v>8932</v>
      </c>
      <c r="L2494" s="30">
        <v>869846310</v>
      </c>
      <c r="M2494" s="26" t="s">
        <v>548</v>
      </c>
      <c r="N2494" s="26" t="s">
        <v>621</v>
      </c>
      <c r="O2494" s="26" t="s">
        <v>8482</v>
      </c>
      <c r="P2494" s="42" t="s">
        <v>8483</v>
      </c>
      <c r="Q2494" s="20">
        <v>9317</v>
      </c>
      <c r="R2494" s="26" t="s">
        <v>36</v>
      </c>
      <c r="S2494" s="31">
        <v>9317</v>
      </c>
      <c r="T2494" s="32">
        <v>45431</v>
      </c>
      <c r="U2494" s="31"/>
      <c r="V2494" s="32"/>
      <c r="W2494" s="33" t="s">
        <v>8484</v>
      </c>
      <c r="X2494" s="26"/>
      <c r="Y2494" s="22">
        <v>0</v>
      </c>
      <c r="Z2494" s="26" t="s">
        <v>118</v>
      </c>
      <c r="AA2494" s="19" t="s">
        <v>8410</v>
      </c>
      <c r="AB2494" s="26" t="s">
        <v>36</v>
      </c>
      <c r="AC2494" s="26" t="s">
        <v>53</v>
      </c>
      <c r="AD2494" s="19" t="s">
        <v>54</v>
      </c>
      <c r="AE2494" s="26" t="s">
        <v>8479</v>
      </c>
      <c r="AF2494" s="17">
        <v>45499</v>
      </c>
      <c r="AG2494" s="29" t="s">
        <v>8485</v>
      </c>
      <c r="AH2494" s="26"/>
      <c r="AI2494" s="40"/>
      <c r="AJ2494" s="26"/>
      <c r="AK2494" s="26"/>
      <c r="AL2494" s="35"/>
      <c r="AM2494" s="35"/>
      <c r="AN2494" s="35"/>
      <c r="AO2494" s="35"/>
      <c r="AP2494" s="35"/>
    </row>
    <row r="2495" spans="1:42" x14ac:dyDescent="0.2">
      <c r="A2495" s="14">
        <v>45499</v>
      </c>
      <c r="B2495" s="68" t="s">
        <v>37</v>
      </c>
      <c r="C2495" s="41" t="s">
        <v>118</v>
      </c>
      <c r="D2495" s="26" t="s">
        <v>36</v>
      </c>
      <c r="E2495" s="26" t="s">
        <v>119</v>
      </c>
      <c r="F2495" s="26" t="s">
        <v>8650</v>
      </c>
      <c r="G2495" s="26" t="s">
        <v>1705</v>
      </c>
      <c r="H2495" s="26" t="s">
        <v>8915</v>
      </c>
      <c r="I2495" s="17">
        <f ca="1">IFERROR(__xludf.DUMMYFUNCTION("""COMPUTED_VALUE"""),45516)</f>
        <v>45516</v>
      </c>
      <c r="J2495" s="29" t="s">
        <v>6474</v>
      </c>
      <c r="K2495" s="26" t="s">
        <v>5720</v>
      </c>
      <c r="L2495" s="30">
        <v>775239835</v>
      </c>
      <c r="M2495" s="26" t="s">
        <v>80</v>
      </c>
      <c r="N2495" s="26" t="s">
        <v>438</v>
      </c>
      <c r="O2495" s="26" t="s">
        <v>1492</v>
      </c>
      <c r="P2495" s="42" t="s">
        <v>8933</v>
      </c>
      <c r="Q2495" s="20">
        <v>13968</v>
      </c>
      <c r="R2495" s="26" t="s">
        <v>36</v>
      </c>
      <c r="S2495" s="31">
        <v>200</v>
      </c>
      <c r="T2495" s="32">
        <v>45283</v>
      </c>
      <c r="U2495" s="31">
        <f>3800 +9968</f>
        <v>13768</v>
      </c>
      <c r="V2495" s="26" t="s">
        <v>6476</v>
      </c>
      <c r="W2495" s="33" t="s">
        <v>6477</v>
      </c>
      <c r="X2495" s="26"/>
      <c r="Y2495" s="22">
        <v>0</v>
      </c>
      <c r="Z2495" s="26" t="s">
        <v>118</v>
      </c>
      <c r="AA2495" s="19" t="s">
        <v>5961</v>
      </c>
      <c r="AB2495" s="26" t="s">
        <v>36</v>
      </c>
      <c r="AC2495" s="26" t="s">
        <v>53</v>
      </c>
      <c r="AD2495" s="19" t="s">
        <v>138</v>
      </c>
      <c r="AE2495" s="26" t="s">
        <v>8650</v>
      </c>
      <c r="AF2495" s="17">
        <v>45511</v>
      </c>
      <c r="AG2495" s="26"/>
      <c r="AH2495" s="26">
        <v>1</v>
      </c>
      <c r="AI2495" s="40"/>
      <c r="AJ2495" s="26"/>
      <c r="AK2495" s="26"/>
      <c r="AL2495" s="35"/>
      <c r="AM2495" s="35"/>
      <c r="AN2495" s="35"/>
      <c r="AO2495" s="35"/>
      <c r="AP2495" s="35"/>
    </row>
    <row r="2496" spans="1:42" x14ac:dyDescent="0.2">
      <c r="A2496" s="14">
        <v>45499</v>
      </c>
      <c r="B2496" s="137" t="s">
        <v>37</v>
      </c>
      <c r="C2496" s="41" t="s">
        <v>118</v>
      </c>
      <c r="D2496" s="80" t="s">
        <v>36</v>
      </c>
      <c r="E2496" s="80" t="s">
        <v>2335</v>
      </c>
      <c r="F2496" s="80" t="s">
        <v>8934</v>
      </c>
      <c r="G2496" s="41" t="s">
        <v>108</v>
      </c>
      <c r="H2496" s="80" t="s">
        <v>8935</v>
      </c>
      <c r="I2496" s="17">
        <f ca="1">IFERROR(__xludf.DUMMYFUNCTION("""COMPUTED_VALUE"""),45557)</f>
        <v>45557</v>
      </c>
      <c r="J2496" s="143" t="s">
        <v>8936</v>
      </c>
      <c r="K2496" s="80" t="s">
        <v>8937</v>
      </c>
      <c r="L2496" s="30">
        <v>987235145</v>
      </c>
      <c r="M2496" s="80" t="s">
        <v>3288</v>
      </c>
      <c r="N2496" s="80" t="s">
        <v>200</v>
      </c>
      <c r="O2496" s="80" t="s">
        <v>8938</v>
      </c>
      <c r="P2496" s="144" t="s">
        <v>8939</v>
      </c>
      <c r="Q2496" s="20">
        <v>16779</v>
      </c>
      <c r="R2496" s="80" t="s">
        <v>36</v>
      </c>
      <c r="S2496" s="77">
        <v>16779</v>
      </c>
      <c r="T2496" s="78">
        <v>44992</v>
      </c>
      <c r="U2496" s="77"/>
      <c r="V2496" s="80"/>
      <c r="W2496" s="85" t="s">
        <v>8940</v>
      </c>
      <c r="X2496" s="80">
        <v>0</v>
      </c>
      <c r="Y2496" s="22">
        <v>0</v>
      </c>
      <c r="Z2496" s="41" t="s">
        <v>118</v>
      </c>
      <c r="AA2496" s="145" t="s">
        <v>7348</v>
      </c>
      <c r="AB2496" s="26" t="s">
        <v>36</v>
      </c>
      <c r="AC2496" s="80" t="s">
        <v>53</v>
      </c>
      <c r="AD2496" s="153" t="s">
        <v>54</v>
      </c>
      <c r="AE2496" s="26" t="s">
        <v>8941</v>
      </c>
      <c r="AF2496" s="17">
        <v>45553</v>
      </c>
      <c r="AG2496" s="147"/>
      <c r="AH2496" s="147">
        <v>5</v>
      </c>
      <c r="AI2496" s="154"/>
      <c r="AJ2496" s="80"/>
      <c r="AK2496" s="80"/>
      <c r="AL2496" s="80"/>
      <c r="AM2496" s="86"/>
      <c r="AN2496" s="86"/>
      <c r="AO2496" s="86"/>
      <c r="AP2496" s="86"/>
    </row>
    <row r="2497" spans="1:42" x14ac:dyDescent="0.2">
      <c r="A2497" s="14">
        <v>45499</v>
      </c>
      <c r="B2497" s="28" t="s">
        <v>1703</v>
      </c>
      <c r="C2497" s="41" t="s">
        <v>118</v>
      </c>
      <c r="D2497" s="26" t="s">
        <v>36</v>
      </c>
      <c r="E2497" s="26" t="s">
        <v>1704</v>
      </c>
      <c r="F2497" s="26" t="s">
        <v>6519</v>
      </c>
      <c r="G2497" s="26" t="s">
        <v>1847</v>
      </c>
      <c r="H2497" s="26" t="s">
        <v>865</v>
      </c>
      <c r="I2497" s="17" t="str">
        <f ca="1">IFERROR(__xludf.DUMMYFUNCTION("""COMPUTED_VALUE""")," ")</f>
        <v xml:space="preserve"> </v>
      </c>
      <c r="J2497" s="29" t="s">
        <v>3355</v>
      </c>
      <c r="K2497" s="19" t="s">
        <v>1729</v>
      </c>
      <c r="L2497" s="30">
        <v>587006178</v>
      </c>
      <c r="M2497" s="26" t="s">
        <v>123</v>
      </c>
      <c r="N2497" s="26" t="s">
        <v>3356</v>
      </c>
      <c r="O2497" s="26">
        <v>19304006459</v>
      </c>
      <c r="P2497" s="42" t="s">
        <v>6521</v>
      </c>
      <c r="Q2497" s="20">
        <v>7729</v>
      </c>
      <c r="R2497" s="26" t="s">
        <v>36</v>
      </c>
      <c r="S2497" s="31">
        <v>7729</v>
      </c>
      <c r="T2497" s="32">
        <v>45289</v>
      </c>
      <c r="U2497" s="31"/>
      <c r="V2497" s="32"/>
      <c r="W2497" s="33" t="s">
        <v>6522</v>
      </c>
      <c r="X2497" s="26"/>
      <c r="Y2497" s="22">
        <v>0</v>
      </c>
      <c r="Z2497" s="26" t="s">
        <v>50</v>
      </c>
      <c r="AA2497" s="19" t="s">
        <v>5961</v>
      </c>
      <c r="AB2497" s="26"/>
      <c r="AC2497" s="26" t="s">
        <v>53</v>
      </c>
      <c r="AD2497" s="19" t="s">
        <v>54</v>
      </c>
      <c r="AE2497" s="35" t="s">
        <v>6519</v>
      </c>
      <c r="AF2497" s="17"/>
      <c r="AG2497" s="26"/>
      <c r="AH2497" s="35"/>
      <c r="AI2497" s="92"/>
      <c r="AJ2497" s="35"/>
      <c r="AK2497" s="35"/>
      <c r="AL2497" s="35"/>
      <c r="AM2497" s="35"/>
      <c r="AN2497" s="35"/>
      <c r="AO2497" s="35"/>
      <c r="AP2497" s="35"/>
    </row>
    <row r="2498" spans="1:42" x14ac:dyDescent="0.2">
      <c r="A2498" s="14">
        <v>45499</v>
      </c>
      <c r="B2498" s="28" t="s">
        <v>37</v>
      </c>
      <c r="C2498" s="41" t="s">
        <v>118</v>
      </c>
      <c r="D2498" s="26" t="s">
        <v>36</v>
      </c>
      <c r="E2498" s="26" t="s">
        <v>119</v>
      </c>
      <c r="F2498" s="26" t="s">
        <v>4275</v>
      </c>
      <c r="G2498" s="26" t="s">
        <v>1705</v>
      </c>
      <c r="H2498" s="26" t="s">
        <v>6519</v>
      </c>
      <c r="I2498" s="17">
        <f ca="1">IFERROR(__xludf.DUMMYFUNCTION("""COMPUTED_VALUE"""),45518)</f>
        <v>45518</v>
      </c>
      <c r="J2498" s="29" t="s">
        <v>2942</v>
      </c>
      <c r="K2498" s="26" t="s">
        <v>2766</v>
      </c>
      <c r="L2498" s="30">
        <v>971909764</v>
      </c>
      <c r="M2498" s="26" t="s">
        <v>80</v>
      </c>
      <c r="N2498" s="26" t="s">
        <v>299</v>
      </c>
      <c r="O2498" s="26" t="s">
        <v>36</v>
      </c>
      <c r="P2498" s="42" t="s">
        <v>8942</v>
      </c>
      <c r="Q2498" s="20">
        <v>13968</v>
      </c>
      <c r="R2498" s="26" t="s">
        <v>36</v>
      </c>
      <c r="S2498" s="31">
        <v>200</v>
      </c>
      <c r="T2498" s="32">
        <v>45187</v>
      </c>
      <c r="U2498" s="31">
        <v>13768</v>
      </c>
      <c r="V2498" s="32">
        <v>45189</v>
      </c>
      <c r="W2498" s="33" t="s">
        <v>2944</v>
      </c>
      <c r="X2498" s="26">
        <v>0</v>
      </c>
      <c r="Y2498" s="22">
        <v>0</v>
      </c>
      <c r="Z2498" s="98" t="s">
        <v>118</v>
      </c>
      <c r="AA2498" s="19" t="s">
        <v>6541</v>
      </c>
      <c r="AB2498" s="26" t="s">
        <v>36</v>
      </c>
      <c r="AC2498" s="26" t="s">
        <v>53</v>
      </c>
      <c r="AD2498" s="14" t="s">
        <v>138</v>
      </c>
      <c r="AE2498" s="26" t="s">
        <v>4275</v>
      </c>
      <c r="AF2498" s="17">
        <v>45518</v>
      </c>
      <c r="AG2498" s="26" t="s">
        <v>4279</v>
      </c>
      <c r="AH2498" s="26">
        <v>2</v>
      </c>
      <c r="AI2498" s="40">
        <v>4</v>
      </c>
      <c r="AJ2498" s="26"/>
      <c r="AK2498" s="26"/>
      <c r="AL2498" s="35"/>
      <c r="AM2498" s="35"/>
      <c r="AN2498" s="35"/>
      <c r="AO2498" s="35"/>
      <c r="AP2498" s="35"/>
    </row>
    <row r="2499" spans="1:42" x14ac:dyDescent="0.2">
      <c r="A2499" s="14">
        <v>45499</v>
      </c>
      <c r="B2499" s="28" t="s">
        <v>37</v>
      </c>
      <c r="C2499" s="41" t="s">
        <v>118</v>
      </c>
      <c r="D2499" s="26" t="s">
        <v>36</v>
      </c>
      <c r="E2499" s="26" t="s">
        <v>119</v>
      </c>
      <c r="F2499" s="26" t="s">
        <v>4275</v>
      </c>
      <c r="G2499" s="26" t="s">
        <v>1847</v>
      </c>
      <c r="H2499" s="26" t="s">
        <v>8921</v>
      </c>
      <c r="I2499" s="17">
        <f ca="1">IFERROR(__xludf.DUMMYFUNCTION("""COMPUTED_VALUE"""),45517)</f>
        <v>45517</v>
      </c>
      <c r="J2499" s="29" t="s">
        <v>3777</v>
      </c>
      <c r="K2499" s="19" t="s">
        <v>3778</v>
      </c>
      <c r="L2499" s="47">
        <v>877938553</v>
      </c>
      <c r="M2499" s="26" t="s">
        <v>80</v>
      </c>
      <c r="N2499" s="26" t="s">
        <v>81</v>
      </c>
      <c r="O2499" s="26" t="s">
        <v>3779</v>
      </c>
      <c r="P2499" s="42" t="s">
        <v>3780</v>
      </c>
      <c r="Q2499" s="20">
        <v>13968</v>
      </c>
      <c r="R2499" s="26" t="s">
        <v>36</v>
      </c>
      <c r="S2499" s="31">
        <v>4000</v>
      </c>
      <c r="T2499" s="32">
        <v>45190</v>
      </c>
      <c r="U2499" s="31">
        <v>9968</v>
      </c>
      <c r="V2499" s="32">
        <v>45223</v>
      </c>
      <c r="W2499" s="33" t="s">
        <v>3781</v>
      </c>
      <c r="X2499" s="26"/>
      <c r="Y2499" s="22">
        <v>0</v>
      </c>
      <c r="Z2499" s="109" t="s">
        <v>118</v>
      </c>
      <c r="AA2499" s="19" t="s">
        <v>3454</v>
      </c>
      <c r="AB2499" s="26" t="s">
        <v>36</v>
      </c>
      <c r="AC2499" s="26" t="s">
        <v>53</v>
      </c>
      <c r="AD2499" s="19" t="s">
        <v>138</v>
      </c>
      <c r="AE2499" s="26" t="s">
        <v>4275</v>
      </c>
      <c r="AF2499" s="17">
        <v>45511</v>
      </c>
      <c r="AG2499" s="26"/>
      <c r="AH2499" s="26"/>
      <c r="AI2499" s="40"/>
      <c r="AJ2499" s="26"/>
      <c r="AK2499" s="26"/>
      <c r="AL2499" s="35"/>
      <c r="AM2499" s="35"/>
      <c r="AN2499" s="35"/>
      <c r="AO2499" s="35"/>
      <c r="AP2499" s="35"/>
    </row>
    <row r="2500" spans="1:42" x14ac:dyDescent="0.2">
      <c r="A2500" s="14">
        <v>45499</v>
      </c>
      <c r="B2500" s="28" t="s">
        <v>37</v>
      </c>
      <c r="C2500" s="41" t="s">
        <v>118</v>
      </c>
      <c r="D2500" s="26" t="s">
        <v>36</v>
      </c>
      <c r="E2500" s="26" t="s">
        <v>119</v>
      </c>
      <c r="F2500" s="26" t="s">
        <v>4275</v>
      </c>
      <c r="G2500" s="26" t="s">
        <v>1705</v>
      </c>
      <c r="H2500" s="26" t="s">
        <v>6519</v>
      </c>
      <c r="I2500" s="17">
        <f ca="1">IFERROR(__xludf.DUMMYFUNCTION("""COMPUTED_VALUE"""),45518)</f>
        <v>45518</v>
      </c>
      <c r="J2500" s="29" t="s">
        <v>3215</v>
      </c>
      <c r="K2500" s="19" t="s">
        <v>3216</v>
      </c>
      <c r="L2500" s="47">
        <v>327372263</v>
      </c>
      <c r="M2500" s="26" t="s">
        <v>80</v>
      </c>
      <c r="N2500" s="26" t="s">
        <v>186</v>
      </c>
      <c r="O2500" s="26" t="s">
        <v>3217</v>
      </c>
      <c r="P2500" s="42" t="s">
        <v>8942</v>
      </c>
      <c r="Q2500" s="20">
        <v>13968</v>
      </c>
      <c r="R2500" s="26" t="s">
        <v>70</v>
      </c>
      <c r="S2500" s="31">
        <v>500</v>
      </c>
      <c r="T2500" s="32">
        <v>45197</v>
      </c>
      <c r="U2500" s="31">
        <v>13368</v>
      </c>
      <c r="V2500" s="32">
        <v>45198</v>
      </c>
      <c r="W2500" s="33" t="s">
        <v>3218</v>
      </c>
      <c r="X2500" s="26"/>
      <c r="Y2500" s="22">
        <v>100</v>
      </c>
      <c r="Z2500" s="26" t="s">
        <v>118</v>
      </c>
      <c r="AA2500" s="19" t="s">
        <v>2449</v>
      </c>
      <c r="AB2500" s="26" t="s">
        <v>36</v>
      </c>
      <c r="AC2500" s="26" t="s">
        <v>53</v>
      </c>
      <c r="AD2500" s="19" t="s">
        <v>138</v>
      </c>
      <c r="AE2500" s="26" t="s">
        <v>4275</v>
      </c>
      <c r="AF2500" s="17">
        <v>45518</v>
      </c>
      <c r="AG2500" s="26" t="s">
        <v>4279</v>
      </c>
      <c r="AH2500" s="26"/>
      <c r="AI2500" s="40"/>
      <c r="AJ2500" s="26"/>
      <c r="AK2500" s="26"/>
      <c r="AL2500" s="35"/>
      <c r="AM2500" s="35"/>
      <c r="AN2500" s="35"/>
      <c r="AO2500" s="35"/>
      <c r="AP2500" s="35"/>
    </row>
    <row r="2501" spans="1:42" x14ac:dyDescent="0.2">
      <c r="A2501" s="14">
        <v>45499</v>
      </c>
      <c r="B2501" s="28" t="s">
        <v>37</v>
      </c>
      <c r="C2501" s="41" t="s">
        <v>118</v>
      </c>
      <c r="D2501" s="26" t="s">
        <v>36</v>
      </c>
      <c r="E2501" s="26" t="s">
        <v>119</v>
      </c>
      <c r="F2501" s="26" t="s">
        <v>4275</v>
      </c>
      <c r="G2501" s="26" t="s">
        <v>1705</v>
      </c>
      <c r="H2501" s="26" t="s">
        <v>6519</v>
      </c>
      <c r="I2501" s="17">
        <f ca="1">IFERROR(__xludf.DUMMYFUNCTION("""COMPUTED_VALUE"""),45518)</f>
        <v>45518</v>
      </c>
      <c r="J2501" s="29" t="s">
        <v>5150</v>
      </c>
      <c r="K2501" s="19" t="s">
        <v>5151</v>
      </c>
      <c r="L2501" s="47">
        <v>986760294</v>
      </c>
      <c r="M2501" s="26" t="s">
        <v>80</v>
      </c>
      <c r="N2501" s="26" t="s">
        <v>186</v>
      </c>
      <c r="O2501" s="26" t="s">
        <v>5152</v>
      </c>
      <c r="P2501" s="42" t="s">
        <v>8943</v>
      </c>
      <c r="Q2501" s="20">
        <v>13968</v>
      </c>
      <c r="R2501" s="26" t="s">
        <v>36</v>
      </c>
      <c r="S2501" s="31">
        <v>300</v>
      </c>
      <c r="T2501" s="32">
        <v>45192</v>
      </c>
      <c r="U2501" s="31">
        <f>3700+9968</f>
        <v>13668</v>
      </c>
      <c r="V2501" s="26" t="s">
        <v>5153</v>
      </c>
      <c r="W2501" s="33" t="s">
        <v>5154</v>
      </c>
      <c r="X2501" s="26"/>
      <c r="Y2501" s="22">
        <v>0</v>
      </c>
      <c r="Z2501" s="26" t="s">
        <v>118</v>
      </c>
      <c r="AA2501" s="19" t="s">
        <v>5112</v>
      </c>
      <c r="AB2501" s="26" t="s">
        <v>36</v>
      </c>
      <c r="AC2501" s="26" t="s">
        <v>53</v>
      </c>
      <c r="AD2501" s="19" t="s">
        <v>138</v>
      </c>
      <c r="AE2501" s="26" t="s">
        <v>4275</v>
      </c>
      <c r="AF2501" s="17">
        <v>45518</v>
      </c>
      <c r="AG2501" s="26" t="s">
        <v>4279</v>
      </c>
      <c r="AH2501" s="26"/>
      <c r="AI2501" s="40">
        <v>4</v>
      </c>
      <c r="AJ2501" s="26"/>
      <c r="AK2501" s="26"/>
      <c r="AL2501" s="35"/>
      <c r="AM2501" s="35"/>
      <c r="AN2501" s="35"/>
      <c r="AO2501" s="35"/>
      <c r="AP2501" s="35"/>
    </row>
    <row r="2502" spans="1:42" x14ac:dyDescent="0.2">
      <c r="A2502" s="14">
        <v>45499</v>
      </c>
      <c r="B2502" s="28" t="s">
        <v>37</v>
      </c>
      <c r="C2502" s="41" t="s">
        <v>118</v>
      </c>
      <c r="D2502" s="26" t="s">
        <v>36</v>
      </c>
      <c r="E2502" s="26" t="s">
        <v>119</v>
      </c>
      <c r="F2502" s="26" t="s">
        <v>4275</v>
      </c>
      <c r="G2502" s="26" t="s">
        <v>1705</v>
      </c>
      <c r="H2502" s="26" t="s">
        <v>6519</v>
      </c>
      <c r="I2502" s="17">
        <f ca="1">IFERROR(__xludf.DUMMYFUNCTION("""COMPUTED_VALUE"""),45518)</f>
        <v>45518</v>
      </c>
      <c r="J2502" s="29" t="s">
        <v>3793</v>
      </c>
      <c r="K2502" s="19" t="s">
        <v>3794</v>
      </c>
      <c r="L2502" s="47">
        <v>359294508</v>
      </c>
      <c r="M2502" s="26" t="s">
        <v>80</v>
      </c>
      <c r="N2502" s="26" t="s">
        <v>186</v>
      </c>
      <c r="O2502" s="26" t="s">
        <v>3795</v>
      </c>
      <c r="P2502" s="42" t="s">
        <v>3796</v>
      </c>
      <c r="Q2502" s="20">
        <v>13968</v>
      </c>
      <c r="R2502" s="26" t="s">
        <v>36</v>
      </c>
      <c r="S2502" s="31">
        <v>200</v>
      </c>
      <c r="T2502" s="32">
        <v>45190</v>
      </c>
      <c r="U2502" s="31">
        <f>3800+10000</f>
        <v>13800</v>
      </c>
      <c r="V2502" s="26" t="s">
        <v>3797</v>
      </c>
      <c r="W2502" s="33" t="s">
        <v>3798</v>
      </c>
      <c r="X2502" s="26"/>
      <c r="Y2502" s="22">
        <v>-32</v>
      </c>
      <c r="Z2502" s="26" t="s">
        <v>118</v>
      </c>
      <c r="AA2502" s="19" t="s">
        <v>3454</v>
      </c>
      <c r="AB2502" s="26" t="s">
        <v>36</v>
      </c>
      <c r="AC2502" s="26" t="s">
        <v>53</v>
      </c>
      <c r="AD2502" s="19" t="s">
        <v>138</v>
      </c>
      <c r="AE2502" s="26" t="s">
        <v>4275</v>
      </c>
      <c r="AF2502" s="17">
        <v>45518</v>
      </c>
      <c r="AG2502" s="26" t="s">
        <v>4279</v>
      </c>
      <c r="AH2502" s="26"/>
      <c r="AI2502" s="40"/>
      <c r="AJ2502" s="26"/>
      <c r="AK2502" s="26"/>
      <c r="AL2502" s="35"/>
      <c r="AM2502" s="35"/>
      <c r="AN2502" s="35"/>
      <c r="AO2502" s="35"/>
      <c r="AP2502" s="35"/>
    </row>
    <row r="2503" spans="1:42" x14ac:dyDescent="0.2">
      <c r="A2503" s="14">
        <v>45499</v>
      </c>
      <c r="B2503" s="68" t="s">
        <v>37</v>
      </c>
      <c r="C2503" s="41" t="s">
        <v>118</v>
      </c>
      <c r="D2503" s="26" t="s">
        <v>36</v>
      </c>
      <c r="E2503" s="26" t="s">
        <v>915</v>
      </c>
      <c r="F2503" s="26" t="s">
        <v>6825</v>
      </c>
      <c r="G2503" s="26" t="s">
        <v>1847</v>
      </c>
      <c r="H2503" s="26" t="s">
        <v>8921</v>
      </c>
      <c r="I2503" s="17">
        <f ca="1">IFERROR(__xludf.DUMMYFUNCTION("""COMPUTED_VALUE"""),45517)</f>
        <v>45517</v>
      </c>
      <c r="J2503" s="29" t="s">
        <v>6826</v>
      </c>
      <c r="K2503" s="26" t="s">
        <v>6827</v>
      </c>
      <c r="L2503" s="30">
        <v>917852923</v>
      </c>
      <c r="M2503" s="26" t="s">
        <v>45</v>
      </c>
      <c r="N2503" s="26" t="s">
        <v>299</v>
      </c>
      <c r="O2503" s="26" t="s">
        <v>6828</v>
      </c>
      <c r="P2503" s="42" t="s">
        <v>6829</v>
      </c>
      <c r="Q2503" s="20">
        <v>10894</v>
      </c>
      <c r="R2503" s="26" t="s">
        <v>36</v>
      </c>
      <c r="S2503" s="31">
        <v>10894</v>
      </c>
      <c r="T2503" s="32">
        <v>44942</v>
      </c>
      <c r="U2503" s="31"/>
      <c r="V2503" s="32"/>
      <c r="W2503" s="33" t="s">
        <v>6830</v>
      </c>
      <c r="X2503" s="26">
        <v>0</v>
      </c>
      <c r="Y2503" s="22">
        <v>0</v>
      </c>
      <c r="Z2503" s="26" t="s">
        <v>118</v>
      </c>
      <c r="AA2503" s="19" t="s">
        <v>6079</v>
      </c>
      <c r="AB2503" s="26" t="s">
        <v>36</v>
      </c>
      <c r="AC2503" s="26" t="s">
        <v>53</v>
      </c>
      <c r="AD2503" s="19" t="s">
        <v>138</v>
      </c>
      <c r="AE2503" s="26" t="s">
        <v>6825</v>
      </c>
      <c r="AF2503" s="17">
        <v>45511</v>
      </c>
      <c r="AG2503" s="26" t="s">
        <v>4092</v>
      </c>
      <c r="AH2503" s="26"/>
      <c r="AI2503" s="40">
        <v>3</v>
      </c>
      <c r="AJ2503" s="26"/>
      <c r="AK2503" s="26"/>
      <c r="AL2503" s="35"/>
      <c r="AM2503" s="35"/>
      <c r="AN2503" s="35"/>
      <c r="AO2503" s="35"/>
      <c r="AP2503" s="35"/>
    </row>
    <row r="2504" spans="1:42" x14ac:dyDescent="0.2">
      <c r="A2504" s="14">
        <v>45499</v>
      </c>
      <c r="B2504" s="28" t="s">
        <v>37</v>
      </c>
      <c r="C2504" s="41" t="s">
        <v>118</v>
      </c>
      <c r="D2504" s="26" t="s">
        <v>36</v>
      </c>
      <c r="E2504" s="26" t="s">
        <v>119</v>
      </c>
      <c r="F2504" s="26" t="s">
        <v>4275</v>
      </c>
      <c r="G2504" s="26" t="s">
        <v>1705</v>
      </c>
      <c r="H2504" s="26" t="s">
        <v>6519</v>
      </c>
      <c r="I2504" s="17">
        <f ca="1">IFERROR(__xludf.DUMMYFUNCTION("""COMPUTED_VALUE"""),45518)</f>
        <v>45518</v>
      </c>
      <c r="J2504" s="29" t="s">
        <v>3055</v>
      </c>
      <c r="K2504" s="19" t="s">
        <v>6080</v>
      </c>
      <c r="L2504" s="47">
        <v>354273166</v>
      </c>
      <c r="M2504" s="26" t="s">
        <v>123</v>
      </c>
      <c r="N2504" s="26" t="s">
        <v>850</v>
      </c>
      <c r="O2504" s="26" t="s">
        <v>2737</v>
      </c>
      <c r="P2504" s="42" t="s">
        <v>8944</v>
      </c>
      <c r="Q2504" s="20">
        <v>13968</v>
      </c>
      <c r="R2504" s="26" t="s">
        <v>36</v>
      </c>
      <c r="S2504" s="31">
        <v>13968</v>
      </c>
      <c r="T2504" s="32">
        <v>45191</v>
      </c>
      <c r="U2504" s="31"/>
      <c r="V2504" s="26"/>
      <c r="W2504" s="33" t="s">
        <v>3057</v>
      </c>
      <c r="X2504" s="26"/>
      <c r="Y2504" s="22">
        <v>0</v>
      </c>
      <c r="Z2504" s="26" t="s">
        <v>118</v>
      </c>
      <c r="AA2504" s="19" t="s">
        <v>2449</v>
      </c>
      <c r="AB2504" s="26" t="s">
        <v>36</v>
      </c>
      <c r="AC2504" s="26" t="s">
        <v>53</v>
      </c>
      <c r="AD2504" s="19" t="s">
        <v>138</v>
      </c>
      <c r="AE2504" s="26" t="s">
        <v>4275</v>
      </c>
      <c r="AF2504" s="17">
        <v>45518</v>
      </c>
      <c r="AG2504" s="26" t="s">
        <v>4279</v>
      </c>
      <c r="AH2504" s="26"/>
      <c r="AI2504" s="40"/>
      <c r="AJ2504" s="26"/>
      <c r="AK2504" s="26"/>
      <c r="AL2504" s="35"/>
      <c r="AM2504" s="35"/>
      <c r="AN2504" s="35"/>
      <c r="AO2504" s="35"/>
      <c r="AP2504" s="35"/>
    </row>
    <row r="2505" spans="1:42" x14ac:dyDescent="0.2">
      <c r="A2505" s="14">
        <v>45499</v>
      </c>
      <c r="B2505" s="68" t="s">
        <v>37</v>
      </c>
      <c r="C2505" s="41" t="s">
        <v>118</v>
      </c>
      <c r="D2505" s="26" t="s">
        <v>36</v>
      </c>
      <c r="E2505" s="26" t="s">
        <v>119</v>
      </c>
      <c r="F2505" s="26" t="s">
        <v>4275</v>
      </c>
      <c r="G2505" s="26" t="s">
        <v>1847</v>
      </c>
      <c r="H2505" s="26" t="s">
        <v>8921</v>
      </c>
      <c r="I2505" s="17">
        <f ca="1">IFERROR(__xludf.DUMMYFUNCTION("""COMPUTED_VALUE"""),45517)</f>
        <v>45517</v>
      </c>
      <c r="J2505" s="29" t="s">
        <v>2805</v>
      </c>
      <c r="K2505" s="26" t="s">
        <v>6097</v>
      </c>
      <c r="L2505" s="30">
        <v>979251613</v>
      </c>
      <c r="M2505" s="26" t="s">
        <v>80</v>
      </c>
      <c r="N2505" s="26" t="s">
        <v>299</v>
      </c>
      <c r="O2505" s="26" t="s">
        <v>2807</v>
      </c>
      <c r="P2505" s="42" t="s">
        <v>8945</v>
      </c>
      <c r="Q2505" s="20">
        <v>13968</v>
      </c>
      <c r="R2505" s="26" t="s">
        <v>36</v>
      </c>
      <c r="S2505" s="31">
        <v>3768</v>
      </c>
      <c r="T2505" s="32">
        <v>45183</v>
      </c>
      <c r="U2505" s="31">
        <v>10200</v>
      </c>
      <c r="V2505" s="32">
        <v>45197</v>
      </c>
      <c r="W2505" s="33" t="s">
        <v>2809</v>
      </c>
      <c r="X2505" s="26"/>
      <c r="Y2505" s="22">
        <v>0</v>
      </c>
      <c r="Z2505" s="26" t="s">
        <v>118</v>
      </c>
      <c r="AA2505" s="19" t="s">
        <v>2449</v>
      </c>
      <c r="AB2505" s="26" t="s">
        <v>36</v>
      </c>
      <c r="AC2505" s="26" t="s">
        <v>53</v>
      </c>
      <c r="AD2505" s="19" t="s">
        <v>54</v>
      </c>
      <c r="AE2505" s="26" t="s">
        <v>4275</v>
      </c>
      <c r="AF2505" s="17">
        <v>45511</v>
      </c>
      <c r="AG2505" s="26" t="s">
        <v>4279</v>
      </c>
      <c r="AH2505" s="26"/>
      <c r="AI2505" s="40"/>
      <c r="AJ2505" s="26"/>
      <c r="AK2505" s="26"/>
      <c r="AL2505" s="35"/>
      <c r="AM2505" s="35"/>
      <c r="AN2505" s="35"/>
      <c r="AO2505" s="35"/>
      <c r="AP2505" s="35"/>
    </row>
    <row r="2506" spans="1:42" x14ac:dyDescent="0.2">
      <c r="A2506" s="14">
        <v>45499</v>
      </c>
      <c r="B2506" s="68" t="s">
        <v>37</v>
      </c>
      <c r="C2506" s="41" t="s">
        <v>118</v>
      </c>
      <c r="D2506" s="26" t="s">
        <v>36</v>
      </c>
      <c r="E2506" s="26" t="s">
        <v>56</v>
      </c>
      <c r="F2506" s="26" t="s">
        <v>6825</v>
      </c>
      <c r="G2506" s="26" t="s">
        <v>221</v>
      </c>
      <c r="H2506" s="26" t="s">
        <v>8905</v>
      </c>
      <c r="I2506" s="17">
        <f ca="1">IFERROR(__xludf.DUMMYFUNCTION("""COMPUTED_VALUE"""),45504)</f>
        <v>45504</v>
      </c>
      <c r="J2506" s="44" t="s">
        <v>4704</v>
      </c>
      <c r="K2506" s="19" t="s">
        <v>8946</v>
      </c>
      <c r="L2506" s="30">
        <v>878775240</v>
      </c>
      <c r="M2506" s="26" t="s">
        <v>94</v>
      </c>
      <c r="N2506" s="26" t="s">
        <v>200</v>
      </c>
      <c r="O2506" s="26" t="s">
        <v>91</v>
      </c>
      <c r="P2506" s="26" t="s">
        <v>4705</v>
      </c>
      <c r="Q2506" s="20">
        <v>9317</v>
      </c>
      <c r="R2506" s="26" t="s">
        <v>36</v>
      </c>
      <c r="S2506" s="31">
        <v>9317</v>
      </c>
      <c r="T2506" s="32">
        <v>45144</v>
      </c>
      <c r="U2506" s="31"/>
      <c r="V2506" s="26"/>
      <c r="W2506" s="33" t="s">
        <v>1326</v>
      </c>
      <c r="X2506" s="26">
        <v>0</v>
      </c>
      <c r="Y2506" s="22">
        <v>0</v>
      </c>
      <c r="Z2506" s="26" t="s">
        <v>118</v>
      </c>
      <c r="AA2506" s="19" t="s">
        <v>4541</v>
      </c>
      <c r="AB2506" s="26" t="s">
        <v>104</v>
      </c>
      <c r="AC2506" s="26" t="s">
        <v>53</v>
      </c>
      <c r="AD2506" s="19" t="s">
        <v>54</v>
      </c>
      <c r="AE2506" s="26" t="s">
        <v>6825</v>
      </c>
      <c r="AF2506" s="17">
        <v>45351</v>
      </c>
      <c r="AG2506" s="26" t="s">
        <v>4092</v>
      </c>
      <c r="AH2506" s="26"/>
      <c r="AI2506" s="40"/>
      <c r="AJ2506" s="26"/>
      <c r="AK2506" s="26"/>
      <c r="AL2506" s="35"/>
      <c r="AM2506" s="35"/>
      <c r="AN2506" s="35"/>
      <c r="AO2506" s="35"/>
      <c r="AP2506" s="35"/>
    </row>
    <row r="2507" spans="1:42" x14ac:dyDescent="0.2">
      <c r="A2507" s="14">
        <v>45499</v>
      </c>
      <c r="B2507" s="28" t="s">
        <v>37</v>
      </c>
      <c r="C2507" s="41" t="s">
        <v>118</v>
      </c>
      <c r="D2507" s="26" t="s">
        <v>36</v>
      </c>
      <c r="E2507" s="26" t="s">
        <v>148</v>
      </c>
      <c r="F2507" s="26" t="s">
        <v>6971</v>
      </c>
      <c r="G2507" s="26" t="s">
        <v>221</v>
      </c>
      <c r="H2507" s="26" t="s">
        <v>8905</v>
      </c>
      <c r="I2507" s="17">
        <f ca="1">IFERROR(__xludf.DUMMYFUNCTION("""COMPUTED_VALUE"""),45504)</f>
        <v>45504</v>
      </c>
      <c r="J2507" s="29" t="s">
        <v>4764</v>
      </c>
      <c r="K2507" s="26" t="s">
        <v>8947</v>
      </c>
      <c r="L2507" s="30">
        <v>984340562</v>
      </c>
      <c r="M2507" s="26" t="s">
        <v>94</v>
      </c>
      <c r="N2507" s="26" t="s">
        <v>827</v>
      </c>
      <c r="O2507" s="26" t="s">
        <v>40</v>
      </c>
      <c r="P2507" s="42" t="s">
        <v>7962</v>
      </c>
      <c r="Q2507" s="20">
        <v>7349</v>
      </c>
      <c r="R2507" s="26" t="s">
        <v>36</v>
      </c>
      <c r="S2507" s="31">
        <v>14055</v>
      </c>
      <c r="T2507" s="32">
        <v>44891</v>
      </c>
      <c r="U2507" s="31"/>
      <c r="V2507" s="26"/>
      <c r="W2507" s="33" t="s">
        <v>4767</v>
      </c>
      <c r="X2507" s="26"/>
      <c r="Y2507" s="22">
        <v>-19</v>
      </c>
      <c r="Z2507" s="26" t="s">
        <v>118</v>
      </c>
      <c r="AA2507" s="19" t="s">
        <v>4541</v>
      </c>
      <c r="AB2507" s="26" t="s">
        <v>36</v>
      </c>
      <c r="AC2507" s="26" t="s">
        <v>53</v>
      </c>
      <c r="AD2507" s="19" t="s">
        <v>54</v>
      </c>
      <c r="AE2507" s="61" t="s">
        <v>6971</v>
      </c>
      <c r="AF2507" s="17">
        <v>45398</v>
      </c>
      <c r="AG2507" s="26"/>
      <c r="AH2507" s="26"/>
      <c r="AI2507" s="40"/>
      <c r="AJ2507" s="26"/>
      <c r="AK2507" s="26"/>
      <c r="AL2507" s="35"/>
      <c r="AM2507" s="35"/>
      <c r="AN2507" s="35"/>
      <c r="AO2507" s="35"/>
      <c r="AP2507" s="35"/>
    </row>
    <row r="2508" spans="1:42" x14ac:dyDescent="0.2">
      <c r="A2508" s="14">
        <v>45502</v>
      </c>
      <c r="B2508" s="28" t="s">
        <v>37</v>
      </c>
      <c r="C2508" s="41" t="s">
        <v>118</v>
      </c>
      <c r="D2508" s="26" t="s">
        <v>36</v>
      </c>
      <c r="E2508" s="26" t="s">
        <v>39</v>
      </c>
      <c r="F2508" s="26" t="s">
        <v>8479</v>
      </c>
      <c r="G2508" s="26" t="s">
        <v>108</v>
      </c>
      <c r="H2508" s="26" t="s">
        <v>7524</v>
      </c>
      <c r="I2508" s="17">
        <f ca="1">IFERROR(__xludf.DUMMYFUNCTION("""COMPUTED_VALUE"""),45509)</f>
        <v>45509</v>
      </c>
      <c r="J2508" s="29" t="s">
        <v>8530</v>
      </c>
      <c r="K2508" s="26" t="s">
        <v>8948</v>
      </c>
      <c r="L2508" s="30">
        <v>399833607</v>
      </c>
      <c r="M2508" s="26" t="s">
        <v>548</v>
      </c>
      <c r="N2508" s="26" t="s">
        <v>621</v>
      </c>
      <c r="O2508" s="26" t="s">
        <v>8532</v>
      </c>
      <c r="P2508" s="26" t="s">
        <v>8533</v>
      </c>
      <c r="Q2508" s="20">
        <v>5736</v>
      </c>
      <c r="R2508" s="26" t="s">
        <v>36</v>
      </c>
      <c r="S2508" s="31">
        <v>5736</v>
      </c>
      <c r="T2508" s="32">
        <v>45441</v>
      </c>
      <c r="U2508" s="31"/>
      <c r="V2508" s="32"/>
      <c r="W2508" s="33" t="s">
        <v>8534</v>
      </c>
      <c r="X2508" s="26"/>
      <c r="Y2508" s="22">
        <v>0</v>
      </c>
      <c r="Z2508" s="26" t="s">
        <v>118</v>
      </c>
      <c r="AA2508" s="19" t="s">
        <v>8410</v>
      </c>
      <c r="AB2508" s="26" t="s">
        <v>36</v>
      </c>
      <c r="AC2508" s="26" t="s">
        <v>53</v>
      </c>
      <c r="AD2508" s="19" t="s">
        <v>54</v>
      </c>
      <c r="AE2508" s="26" t="s">
        <v>8479</v>
      </c>
      <c r="AF2508" s="17">
        <v>45443</v>
      </c>
      <c r="AG2508" s="26" t="s">
        <v>8535</v>
      </c>
      <c r="AH2508" s="26"/>
      <c r="AI2508" s="40"/>
      <c r="AJ2508" s="26"/>
      <c r="AK2508" s="26"/>
      <c r="AL2508" s="35"/>
      <c r="AM2508" s="35"/>
      <c r="AN2508" s="35"/>
      <c r="AO2508" s="35"/>
      <c r="AP2508" s="35"/>
    </row>
    <row r="2509" spans="1:42" x14ac:dyDescent="0.2">
      <c r="A2509" s="14">
        <v>45502</v>
      </c>
      <c r="B2509" s="28" t="s">
        <v>37</v>
      </c>
      <c r="C2509" s="41" t="s">
        <v>118</v>
      </c>
      <c r="D2509" s="26" t="s">
        <v>36</v>
      </c>
      <c r="E2509" s="26" t="s">
        <v>56</v>
      </c>
      <c r="F2509" s="26" t="s">
        <v>8479</v>
      </c>
      <c r="G2509" s="26" t="s">
        <v>108</v>
      </c>
      <c r="H2509" s="26" t="s">
        <v>7524</v>
      </c>
      <c r="I2509" s="17">
        <f ca="1">IFERROR(__xludf.DUMMYFUNCTION("""COMPUTED_VALUE"""),45509)</f>
        <v>45509</v>
      </c>
      <c r="J2509" s="29" t="s">
        <v>8492</v>
      </c>
      <c r="K2509" s="26" t="s">
        <v>8493</v>
      </c>
      <c r="L2509" s="30">
        <v>394585738</v>
      </c>
      <c r="M2509" s="26" t="s">
        <v>59</v>
      </c>
      <c r="N2509" s="26" t="s">
        <v>4299</v>
      </c>
      <c r="O2509" s="26" t="s">
        <v>8494</v>
      </c>
      <c r="P2509" s="42" t="s">
        <v>8949</v>
      </c>
      <c r="Q2509" s="20">
        <v>9317</v>
      </c>
      <c r="R2509" s="26" t="s">
        <v>36</v>
      </c>
      <c r="S2509" s="31">
        <v>9317</v>
      </c>
      <c r="T2509" s="32">
        <v>45432</v>
      </c>
      <c r="U2509" s="31"/>
      <c r="V2509" s="32"/>
      <c r="W2509" s="33" t="s">
        <v>8496</v>
      </c>
      <c r="X2509" s="26"/>
      <c r="Y2509" s="22">
        <v>0</v>
      </c>
      <c r="Z2509" s="26" t="s">
        <v>118</v>
      </c>
      <c r="AA2509" s="19" t="s">
        <v>8410</v>
      </c>
      <c r="AB2509" s="26" t="s">
        <v>36</v>
      </c>
      <c r="AC2509" s="26" t="s">
        <v>53</v>
      </c>
      <c r="AD2509" s="19" t="s">
        <v>54</v>
      </c>
      <c r="AE2509" s="26" t="s">
        <v>8479</v>
      </c>
      <c r="AF2509" s="17">
        <v>45506</v>
      </c>
      <c r="AG2509" s="26"/>
      <c r="AH2509" s="26"/>
      <c r="AI2509" s="40"/>
      <c r="AJ2509" s="26"/>
      <c r="AK2509" s="26"/>
      <c r="AL2509" s="35"/>
      <c r="AM2509" s="35"/>
      <c r="AN2509" s="35"/>
      <c r="AO2509" s="35"/>
      <c r="AP2509" s="35"/>
    </row>
    <row r="2510" spans="1:42" x14ac:dyDescent="0.2">
      <c r="A2510" s="14">
        <v>45502</v>
      </c>
      <c r="B2510" s="28" t="s">
        <v>37</v>
      </c>
      <c r="C2510" s="41" t="s">
        <v>118</v>
      </c>
      <c r="D2510" s="80" t="s">
        <v>36</v>
      </c>
      <c r="E2510" s="80" t="s">
        <v>139</v>
      </c>
      <c r="F2510" s="26" t="s">
        <v>8479</v>
      </c>
      <c r="G2510" s="26" t="s">
        <v>108</v>
      </c>
      <c r="H2510" s="26" t="s">
        <v>7524</v>
      </c>
      <c r="I2510" s="17">
        <f ca="1">IFERROR(__xludf.DUMMYFUNCTION("""COMPUTED_VALUE"""),45509)</f>
        <v>45509</v>
      </c>
      <c r="J2510" s="143" t="s">
        <v>8749</v>
      </c>
      <c r="K2510" s="80" t="s">
        <v>8750</v>
      </c>
      <c r="L2510" s="30">
        <v>944453307</v>
      </c>
      <c r="M2510" s="80" t="s">
        <v>45</v>
      </c>
      <c r="N2510" s="80" t="s">
        <v>571</v>
      </c>
      <c r="O2510" s="80" t="s">
        <v>8751</v>
      </c>
      <c r="P2510" s="80" t="s">
        <v>8752</v>
      </c>
      <c r="Q2510" s="20">
        <v>15936</v>
      </c>
      <c r="R2510" s="80" t="s">
        <v>36</v>
      </c>
      <c r="S2510" s="77">
        <v>15936</v>
      </c>
      <c r="T2510" s="78">
        <v>45449</v>
      </c>
      <c r="U2510" s="77"/>
      <c r="V2510" s="78"/>
      <c r="W2510" s="85" t="s">
        <v>8753</v>
      </c>
      <c r="X2510" s="80"/>
      <c r="Y2510" s="22">
        <v>0</v>
      </c>
      <c r="Z2510" s="26" t="s">
        <v>118</v>
      </c>
      <c r="AA2510" s="145" t="s">
        <v>8721</v>
      </c>
      <c r="AB2510" s="80" t="s">
        <v>36</v>
      </c>
      <c r="AC2510" s="80" t="s">
        <v>53</v>
      </c>
      <c r="AD2510" s="157" t="s">
        <v>54</v>
      </c>
      <c r="AE2510" s="26" t="s">
        <v>8479</v>
      </c>
      <c r="AF2510" s="17">
        <v>45506</v>
      </c>
      <c r="AG2510" s="147"/>
      <c r="AH2510" s="80"/>
      <c r="AI2510" s="147"/>
      <c r="AJ2510" s="80"/>
      <c r="AK2510" s="80"/>
      <c r="AL2510" s="86"/>
      <c r="AM2510" s="86"/>
      <c r="AN2510" s="86"/>
      <c r="AO2510" s="86"/>
      <c r="AP2510" s="35"/>
    </row>
    <row r="2511" spans="1:42" x14ac:dyDescent="0.2">
      <c r="A2511" s="14">
        <v>45502</v>
      </c>
      <c r="B2511" s="28" t="s">
        <v>37</v>
      </c>
      <c r="C2511" s="41" t="s">
        <v>118</v>
      </c>
      <c r="D2511" s="26" t="s">
        <v>36</v>
      </c>
      <c r="E2511" s="26" t="s">
        <v>56</v>
      </c>
      <c r="F2511" s="26" t="s">
        <v>8479</v>
      </c>
      <c r="G2511" s="26" t="s">
        <v>108</v>
      </c>
      <c r="H2511" s="26" t="s">
        <v>7524</v>
      </c>
      <c r="I2511" s="17">
        <f ca="1">IFERROR(__xludf.DUMMYFUNCTION("""COMPUTED_VALUE"""),45509)</f>
        <v>45509</v>
      </c>
      <c r="J2511" s="29" t="s">
        <v>8950</v>
      </c>
      <c r="K2511" s="26" t="s">
        <v>8951</v>
      </c>
      <c r="L2511" s="30">
        <v>763354265</v>
      </c>
      <c r="M2511" s="26" t="s">
        <v>80</v>
      </c>
      <c r="N2511" s="26" t="s">
        <v>466</v>
      </c>
      <c r="O2511" s="26" t="s">
        <v>8952</v>
      </c>
      <c r="P2511" s="42" t="s">
        <v>8953</v>
      </c>
      <c r="Q2511" s="20">
        <v>9317</v>
      </c>
      <c r="R2511" s="26" t="s">
        <v>36</v>
      </c>
      <c r="S2511" s="95">
        <f>200+1800</f>
        <v>2000</v>
      </c>
      <c r="T2511" s="83" t="s">
        <v>8954</v>
      </c>
      <c r="U2511" s="31">
        <v>7310</v>
      </c>
      <c r="V2511" s="32">
        <v>45480</v>
      </c>
      <c r="W2511" s="33" t="s">
        <v>8955</v>
      </c>
      <c r="X2511" s="26"/>
      <c r="Y2511" s="22">
        <v>7</v>
      </c>
      <c r="Z2511" s="26" t="s">
        <v>118</v>
      </c>
      <c r="AA2511" s="19"/>
      <c r="AB2511" s="26" t="s">
        <v>36</v>
      </c>
      <c r="AC2511" s="26" t="s">
        <v>53</v>
      </c>
      <c r="AD2511" s="26" t="s">
        <v>54</v>
      </c>
      <c r="AE2511" s="26" t="s">
        <v>8479</v>
      </c>
      <c r="AF2511" s="17">
        <v>45506</v>
      </c>
      <c r="AG2511" s="26"/>
      <c r="AH2511" s="26"/>
      <c r="AI2511" s="40"/>
      <c r="AJ2511" s="26"/>
      <c r="AK2511" s="26"/>
      <c r="AL2511" s="35"/>
      <c r="AM2511" s="35"/>
      <c r="AN2511" s="35"/>
      <c r="AO2511" s="35"/>
      <c r="AP2511" s="35"/>
    </row>
    <row r="2512" spans="1:42" x14ac:dyDescent="0.2">
      <c r="A2512" s="14">
        <v>45502</v>
      </c>
      <c r="B2512" s="28" t="s">
        <v>37</v>
      </c>
      <c r="C2512" s="41" t="s">
        <v>118</v>
      </c>
      <c r="D2512" s="26" t="s">
        <v>36</v>
      </c>
      <c r="E2512" s="26" t="s">
        <v>56</v>
      </c>
      <c r="F2512" s="26" t="s">
        <v>8479</v>
      </c>
      <c r="G2512" s="26" t="s">
        <v>108</v>
      </c>
      <c r="H2512" s="26" t="s">
        <v>7524</v>
      </c>
      <c r="I2512" s="17">
        <f ca="1">IFERROR(__xludf.DUMMYFUNCTION("""COMPUTED_VALUE"""),45509)</f>
        <v>45509</v>
      </c>
      <c r="J2512" s="29" t="s">
        <v>8512</v>
      </c>
      <c r="K2512" s="26" t="s">
        <v>8513</v>
      </c>
      <c r="L2512" s="30">
        <v>364404463</v>
      </c>
      <c r="M2512" s="26" t="s">
        <v>6309</v>
      </c>
      <c r="N2512" s="26" t="s">
        <v>1400</v>
      </c>
      <c r="O2512" s="26" t="s">
        <v>91</v>
      </c>
      <c r="P2512" s="26" t="s">
        <v>8514</v>
      </c>
      <c r="Q2512" s="20">
        <v>9317</v>
      </c>
      <c r="R2512" s="26" t="s">
        <v>1106</v>
      </c>
      <c r="S2512" s="31">
        <v>9217</v>
      </c>
      <c r="T2512" s="32">
        <v>45437</v>
      </c>
      <c r="U2512" s="31"/>
      <c r="V2512" s="32"/>
      <c r="W2512" s="33" t="s">
        <v>8515</v>
      </c>
      <c r="X2512" s="26"/>
      <c r="Y2512" s="22">
        <v>100</v>
      </c>
      <c r="Z2512" s="26" t="s">
        <v>118</v>
      </c>
      <c r="AA2512" s="19" t="s">
        <v>8410</v>
      </c>
      <c r="AB2512" s="26" t="s">
        <v>36</v>
      </c>
      <c r="AC2512" s="26" t="s">
        <v>53</v>
      </c>
      <c r="AD2512" s="19" t="s">
        <v>54</v>
      </c>
      <c r="AE2512" s="26" t="s">
        <v>8479</v>
      </c>
      <c r="AF2512" s="17">
        <v>45506</v>
      </c>
      <c r="AG2512" s="26"/>
      <c r="AH2512" s="26"/>
      <c r="AI2512" s="40"/>
      <c r="AJ2512" s="26"/>
      <c r="AK2512" s="26"/>
      <c r="AL2512" s="35"/>
      <c r="AM2512" s="35"/>
      <c r="AN2512" s="35"/>
      <c r="AO2512" s="35"/>
      <c r="AP2512" s="35"/>
    </row>
    <row r="2513" spans="1:42" x14ac:dyDescent="0.2">
      <c r="A2513" s="14">
        <v>45503</v>
      </c>
      <c r="B2513" s="28" t="s">
        <v>37</v>
      </c>
      <c r="C2513" s="41" t="s">
        <v>118</v>
      </c>
      <c r="D2513" s="26" t="s">
        <v>36</v>
      </c>
      <c r="E2513" s="26" t="s">
        <v>139</v>
      </c>
      <c r="F2513" s="26" t="s">
        <v>8479</v>
      </c>
      <c r="G2513" s="26" t="s">
        <v>108</v>
      </c>
      <c r="H2513" s="26" t="s">
        <v>7524</v>
      </c>
      <c r="I2513" s="17">
        <f ca="1">IFERROR(__xludf.DUMMYFUNCTION("""COMPUTED_VALUE"""),45509)</f>
        <v>45509</v>
      </c>
      <c r="J2513" s="29" t="s">
        <v>8956</v>
      </c>
      <c r="K2513" s="35" t="s">
        <v>8957</v>
      </c>
      <c r="L2513" s="30">
        <v>356894765</v>
      </c>
      <c r="M2513" s="26" t="s">
        <v>1245</v>
      </c>
      <c r="N2513" s="26" t="s">
        <v>1246</v>
      </c>
      <c r="O2513" s="26" t="s">
        <v>8958</v>
      </c>
      <c r="P2513" s="42" t="s">
        <v>8959</v>
      </c>
      <c r="Q2513" s="20">
        <v>15936</v>
      </c>
      <c r="R2513" s="26" t="s">
        <v>36</v>
      </c>
      <c r="S2513" s="95">
        <f>7349-3768+3455</f>
        <v>7036</v>
      </c>
      <c r="T2513" s="83" t="s">
        <v>8960</v>
      </c>
      <c r="U2513" s="159">
        <v>8900</v>
      </c>
      <c r="V2513" s="160">
        <v>45503</v>
      </c>
      <c r="W2513" s="33" t="s">
        <v>8961</v>
      </c>
      <c r="X2513" s="26">
        <v>0</v>
      </c>
      <c r="Y2513" s="22">
        <v>0</v>
      </c>
      <c r="Z2513" s="26" t="s">
        <v>118</v>
      </c>
      <c r="AA2513" s="62" t="s">
        <v>8962</v>
      </c>
      <c r="AB2513" s="26" t="s">
        <v>36</v>
      </c>
      <c r="AC2513" s="26" t="s">
        <v>53</v>
      </c>
      <c r="AD2513" s="26" t="s">
        <v>54</v>
      </c>
      <c r="AE2513" s="26" t="s">
        <v>8479</v>
      </c>
      <c r="AF2513" s="17">
        <v>45506</v>
      </c>
      <c r="AG2513" s="42" t="s">
        <v>8963</v>
      </c>
      <c r="AH2513" s="40"/>
      <c r="AI2513" s="40"/>
      <c r="AJ2513" s="26"/>
      <c r="AK2513" s="26"/>
      <c r="AL2513" s="26"/>
      <c r="AM2513" s="35"/>
      <c r="AN2513" s="35"/>
      <c r="AO2513" s="35"/>
      <c r="AP2513" s="35"/>
    </row>
    <row r="2514" spans="1:42" x14ac:dyDescent="0.2">
      <c r="A2514" s="14">
        <v>45503</v>
      </c>
      <c r="B2514" s="28" t="s">
        <v>37</v>
      </c>
      <c r="C2514" s="41" t="s">
        <v>118</v>
      </c>
      <c r="D2514" s="80" t="s">
        <v>36</v>
      </c>
      <c r="E2514" s="80" t="s">
        <v>56</v>
      </c>
      <c r="F2514" s="80" t="s">
        <v>6645</v>
      </c>
      <c r="G2514" s="142" t="s">
        <v>221</v>
      </c>
      <c r="H2514" s="80" t="s">
        <v>8581</v>
      </c>
      <c r="I2514" s="17">
        <f ca="1">IFERROR(__xludf.DUMMYFUNCTION("""COMPUTED_VALUE"""),45488)</f>
        <v>45488</v>
      </c>
      <c r="J2514" s="143" t="s">
        <v>1485</v>
      </c>
      <c r="K2514" s="80" t="s">
        <v>8964</v>
      </c>
      <c r="L2514" s="30">
        <v>813375896</v>
      </c>
      <c r="M2514" s="80" t="s">
        <v>80</v>
      </c>
      <c r="N2514" s="80" t="s">
        <v>299</v>
      </c>
      <c r="O2514" s="80" t="s">
        <v>4811</v>
      </c>
      <c r="P2514" s="144" t="s">
        <v>7453</v>
      </c>
      <c r="Q2514" s="20">
        <v>9317</v>
      </c>
      <c r="R2514" s="80" t="s">
        <v>36</v>
      </c>
      <c r="S2514" s="77">
        <v>2000</v>
      </c>
      <c r="T2514" s="78">
        <v>45150</v>
      </c>
      <c r="U2514" s="77">
        <v>7317</v>
      </c>
      <c r="V2514" s="78">
        <v>45169</v>
      </c>
      <c r="W2514" s="85" t="s">
        <v>1489</v>
      </c>
      <c r="X2514" s="80">
        <v>0</v>
      </c>
      <c r="Y2514" s="22">
        <v>0</v>
      </c>
      <c r="Z2514" s="41" t="s">
        <v>118</v>
      </c>
      <c r="AA2514" s="145" t="s">
        <v>4541</v>
      </c>
      <c r="AB2514" s="80" t="s">
        <v>36</v>
      </c>
      <c r="AC2514" s="80" t="s">
        <v>53</v>
      </c>
      <c r="AD2514" s="157" t="s">
        <v>54</v>
      </c>
      <c r="AE2514" s="80" t="s">
        <v>6645</v>
      </c>
      <c r="AF2514" s="17">
        <v>45392</v>
      </c>
      <c r="AG2514" s="147"/>
      <c r="AH2514" s="80"/>
      <c r="AI2514" s="147"/>
      <c r="AJ2514" s="80"/>
      <c r="AK2514" s="80"/>
      <c r="AL2514" s="86"/>
      <c r="AM2514" s="86"/>
      <c r="AN2514" s="86"/>
      <c r="AO2514" s="86"/>
      <c r="AP2514" s="35"/>
    </row>
    <row r="2515" spans="1:42" x14ac:dyDescent="0.2">
      <c r="A2515" s="14">
        <v>45503</v>
      </c>
      <c r="B2515" s="28" t="s">
        <v>37</v>
      </c>
      <c r="C2515" s="41" t="s">
        <v>118</v>
      </c>
      <c r="D2515" s="26" t="s">
        <v>36</v>
      </c>
      <c r="E2515" s="26" t="s">
        <v>119</v>
      </c>
      <c r="F2515" s="26" t="s">
        <v>4275</v>
      </c>
      <c r="G2515" s="26" t="s">
        <v>1705</v>
      </c>
      <c r="H2515" s="26" t="s">
        <v>6519</v>
      </c>
      <c r="I2515" s="17">
        <f ca="1">IFERROR(__xludf.DUMMYFUNCTION("""COMPUTED_VALUE"""),45518)</f>
        <v>45518</v>
      </c>
      <c r="J2515" s="29" t="s">
        <v>3877</v>
      </c>
      <c r="K2515" s="19" t="s">
        <v>3878</v>
      </c>
      <c r="L2515" s="47">
        <v>397739565</v>
      </c>
      <c r="M2515" s="26" t="s">
        <v>80</v>
      </c>
      <c r="N2515" s="26" t="s">
        <v>186</v>
      </c>
      <c r="O2515" s="26" t="s">
        <v>1492</v>
      </c>
      <c r="P2515" s="42" t="s">
        <v>8965</v>
      </c>
      <c r="Q2515" s="20">
        <v>13968</v>
      </c>
      <c r="R2515" s="26" t="s">
        <v>36</v>
      </c>
      <c r="S2515" s="31">
        <v>4000</v>
      </c>
      <c r="T2515" s="32">
        <v>45196</v>
      </c>
      <c r="U2515" s="31">
        <v>9968</v>
      </c>
      <c r="V2515" s="32">
        <v>45221</v>
      </c>
      <c r="W2515" s="33" t="s">
        <v>3879</v>
      </c>
      <c r="X2515" s="26"/>
      <c r="Y2515" s="22">
        <v>0</v>
      </c>
      <c r="Z2515" s="109" t="s">
        <v>118</v>
      </c>
      <c r="AA2515" s="19" t="s">
        <v>3454</v>
      </c>
      <c r="AB2515" s="80" t="s">
        <v>36</v>
      </c>
      <c r="AC2515" s="26" t="s">
        <v>53</v>
      </c>
      <c r="AD2515" s="19" t="s">
        <v>138</v>
      </c>
      <c r="AE2515" s="26" t="s">
        <v>4275</v>
      </c>
      <c r="AF2515" s="17">
        <v>45518</v>
      </c>
      <c r="AG2515" s="26" t="s">
        <v>4279</v>
      </c>
      <c r="AH2515" s="26"/>
      <c r="AI2515" s="40"/>
      <c r="AJ2515" s="26"/>
      <c r="AK2515" s="26"/>
      <c r="AL2515" s="35"/>
      <c r="AM2515" s="35"/>
      <c r="AN2515" s="35"/>
      <c r="AO2515" s="35"/>
      <c r="AP2515" s="35"/>
    </row>
    <row r="2516" spans="1:42" x14ac:dyDescent="0.2">
      <c r="A2516" s="14">
        <v>45503</v>
      </c>
      <c r="B2516" s="28" t="s">
        <v>37</v>
      </c>
      <c r="C2516" s="41" t="s">
        <v>118</v>
      </c>
      <c r="D2516" s="26" t="s">
        <v>36</v>
      </c>
      <c r="E2516" s="26" t="s">
        <v>139</v>
      </c>
      <c r="F2516" s="26" t="s">
        <v>2081</v>
      </c>
      <c r="G2516" s="142" t="s">
        <v>221</v>
      </c>
      <c r="H2516" s="80" t="s">
        <v>7477</v>
      </c>
      <c r="I2516" s="17">
        <f ca="1">IFERROR(__xludf.DUMMYFUNCTION("""COMPUTED_VALUE"""),45513)</f>
        <v>45513</v>
      </c>
      <c r="J2516" s="29" t="s">
        <v>2671</v>
      </c>
      <c r="K2516" s="26" t="s">
        <v>5830</v>
      </c>
      <c r="L2516" s="30">
        <v>971533472</v>
      </c>
      <c r="M2516" s="26" t="s">
        <v>123</v>
      </c>
      <c r="N2516" s="26" t="s">
        <v>850</v>
      </c>
      <c r="O2516" s="26" t="s">
        <v>125</v>
      </c>
      <c r="P2516" s="42" t="s">
        <v>8966</v>
      </c>
      <c r="Q2516" s="20">
        <v>15936</v>
      </c>
      <c r="R2516" s="26" t="s">
        <v>36</v>
      </c>
      <c r="S2516" s="31">
        <v>4000</v>
      </c>
      <c r="T2516" s="32">
        <v>45175</v>
      </c>
      <c r="U2516" s="31">
        <v>11936</v>
      </c>
      <c r="V2516" s="32">
        <v>45195</v>
      </c>
      <c r="W2516" s="33" t="s">
        <v>2674</v>
      </c>
      <c r="X2516" s="26"/>
      <c r="Y2516" s="22">
        <v>0</v>
      </c>
      <c r="Z2516" s="26" t="s">
        <v>118</v>
      </c>
      <c r="AA2516" s="19" t="s">
        <v>5785</v>
      </c>
      <c r="AB2516" s="80" t="s">
        <v>36</v>
      </c>
      <c r="AC2516" s="26" t="s">
        <v>53</v>
      </c>
      <c r="AD2516" s="19" t="s">
        <v>54</v>
      </c>
      <c r="AE2516" s="26" t="s">
        <v>2081</v>
      </c>
      <c r="AF2516" s="17">
        <v>45509</v>
      </c>
      <c r="AG2516" s="26"/>
      <c r="AH2516" s="26"/>
      <c r="AI2516" s="40" t="s">
        <v>147</v>
      </c>
      <c r="AJ2516" s="26"/>
      <c r="AK2516" s="26"/>
      <c r="AL2516" s="35"/>
      <c r="AM2516" s="35"/>
      <c r="AN2516" s="35"/>
      <c r="AO2516" s="35"/>
      <c r="AP2516" s="35"/>
    </row>
    <row r="2517" spans="1:42" x14ac:dyDescent="0.2">
      <c r="A2517" s="14">
        <v>45503</v>
      </c>
      <c r="B2517" s="28" t="s">
        <v>37</v>
      </c>
      <c r="C2517" s="41" t="s">
        <v>118</v>
      </c>
      <c r="D2517" s="26" t="s">
        <v>36</v>
      </c>
      <c r="E2517" s="26" t="s">
        <v>56</v>
      </c>
      <c r="F2517" s="26" t="s">
        <v>7716</v>
      </c>
      <c r="G2517" s="142" t="s">
        <v>221</v>
      </c>
      <c r="H2517" s="80" t="s">
        <v>7477</v>
      </c>
      <c r="I2517" s="17">
        <f ca="1">IFERROR(__xludf.DUMMYFUNCTION("""COMPUTED_VALUE"""),45513)</f>
        <v>45513</v>
      </c>
      <c r="J2517" s="29" t="s">
        <v>6346</v>
      </c>
      <c r="K2517" s="26" t="s">
        <v>7974</v>
      </c>
      <c r="L2517" s="30">
        <v>355904612</v>
      </c>
      <c r="M2517" s="26" t="s">
        <v>45</v>
      </c>
      <c r="N2517" s="26" t="s">
        <v>3839</v>
      </c>
      <c r="O2517" s="26" t="s">
        <v>6348</v>
      </c>
      <c r="P2517" s="42" t="s">
        <v>7975</v>
      </c>
      <c r="Q2517" s="20">
        <v>9317</v>
      </c>
      <c r="R2517" s="26" t="s">
        <v>36</v>
      </c>
      <c r="S2517" s="31">
        <v>9317</v>
      </c>
      <c r="T2517" s="32">
        <v>45272</v>
      </c>
      <c r="U2517" s="31"/>
      <c r="V2517" s="32"/>
      <c r="W2517" s="33" t="s">
        <v>6350</v>
      </c>
      <c r="X2517" s="26"/>
      <c r="Y2517" s="22">
        <v>0</v>
      </c>
      <c r="Z2517" s="98" t="s">
        <v>118</v>
      </c>
      <c r="AA2517" s="19" t="s">
        <v>5961</v>
      </c>
      <c r="AB2517" s="26" t="s">
        <v>36</v>
      </c>
      <c r="AC2517" s="26" t="s">
        <v>53</v>
      </c>
      <c r="AD2517" s="19" t="s">
        <v>54</v>
      </c>
      <c r="AE2517" s="26" t="s">
        <v>7716</v>
      </c>
      <c r="AF2517" s="17">
        <v>45509</v>
      </c>
      <c r="AG2517" s="26"/>
      <c r="AH2517" s="26">
        <v>1</v>
      </c>
      <c r="AI2517" s="40"/>
      <c r="AJ2517" s="26"/>
      <c r="AK2517" s="26"/>
      <c r="AL2517" s="35"/>
      <c r="AM2517" s="35"/>
      <c r="AN2517" s="35"/>
      <c r="AO2517" s="35"/>
      <c r="AP2517" s="35"/>
    </row>
    <row r="2518" spans="1:42" x14ac:dyDescent="0.2">
      <c r="A2518" s="14">
        <v>45503</v>
      </c>
      <c r="B2518" s="28" t="s">
        <v>37</v>
      </c>
      <c r="C2518" s="41" t="s">
        <v>118</v>
      </c>
      <c r="D2518" s="26" t="s">
        <v>36</v>
      </c>
      <c r="E2518" s="26" t="s">
        <v>148</v>
      </c>
      <c r="F2518" s="26" t="s">
        <v>2057</v>
      </c>
      <c r="G2518" s="142" t="s">
        <v>221</v>
      </c>
      <c r="H2518" s="80" t="s">
        <v>7477</v>
      </c>
      <c r="I2518" s="17">
        <f ca="1">IFERROR(__xludf.DUMMYFUNCTION("""COMPUTED_VALUE"""),45513)</f>
        <v>45513</v>
      </c>
      <c r="J2518" s="29" t="s">
        <v>8194</v>
      </c>
      <c r="K2518" s="26" t="s">
        <v>8195</v>
      </c>
      <c r="L2518" s="30">
        <v>838938526</v>
      </c>
      <c r="M2518" s="26" t="s">
        <v>348</v>
      </c>
      <c r="N2518" s="26" t="s">
        <v>200</v>
      </c>
      <c r="O2518" s="26" t="s">
        <v>8196</v>
      </c>
      <c r="P2518" s="42" t="s">
        <v>8967</v>
      </c>
      <c r="Q2518" s="20">
        <v>7349</v>
      </c>
      <c r="R2518" s="26" t="s">
        <v>36</v>
      </c>
      <c r="S2518" s="31">
        <v>4000</v>
      </c>
      <c r="T2518" s="32">
        <v>45379</v>
      </c>
      <c r="U2518" s="31">
        <v>3349</v>
      </c>
      <c r="V2518" s="32">
        <v>45391</v>
      </c>
      <c r="W2518" s="33" t="s">
        <v>8198</v>
      </c>
      <c r="X2518" s="26"/>
      <c r="Y2518" s="22">
        <v>0</v>
      </c>
      <c r="Z2518" s="98" t="s">
        <v>118</v>
      </c>
      <c r="AA2518" s="19" t="s">
        <v>8102</v>
      </c>
      <c r="AB2518" s="26" t="s">
        <v>36</v>
      </c>
      <c r="AC2518" s="26" t="s">
        <v>53</v>
      </c>
      <c r="AD2518" s="19" t="s">
        <v>54</v>
      </c>
      <c r="AE2518" s="26" t="s">
        <v>2057</v>
      </c>
      <c r="AF2518" s="17">
        <v>45509</v>
      </c>
      <c r="AG2518" s="26"/>
      <c r="AH2518" s="26"/>
      <c r="AI2518" s="40"/>
      <c r="AJ2518" s="26"/>
      <c r="AK2518" s="26"/>
      <c r="AL2518" s="35"/>
      <c r="AM2518" s="35"/>
      <c r="AN2518" s="35"/>
      <c r="AO2518" s="35"/>
      <c r="AP2518" s="35"/>
    </row>
    <row r="2519" spans="1:42" x14ac:dyDescent="0.2">
      <c r="A2519" s="14">
        <v>45503</v>
      </c>
      <c r="B2519" s="28" t="s">
        <v>37</v>
      </c>
      <c r="C2519" s="41" t="s">
        <v>118</v>
      </c>
      <c r="D2519" s="26" t="s">
        <v>36</v>
      </c>
      <c r="E2519" s="26" t="s">
        <v>148</v>
      </c>
      <c r="F2519" s="26" t="s">
        <v>7918</v>
      </c>
      <c r="G2519" s="142" t="s">
        <v>221</v>
      </c>
      <c r="H2519" s="80" t="s">
        <v>7477</v>
      </c>
      <c r="I2519" s="17">
        <f ca="1">IFERROR(__xludf.DUMMYFUNCTION("""COMPUTED_VALUE"""),45513)</f>
        <v>45513</v>
      </c>
      <c r="J2519" s="29" t="s">
        <v>7919</v>
      </c>
      <c r="K2519" s="26" t="s">
        <v>7920</v>
      </c>
      <c r="L2519" s="30">
        <v>377493093</v>
      </c>
      <c r="M2519" s="26" t="s">
        <v>59</v>
      </c>
      <c r="N2519" s="26" t="s">
        <v>68</v>
      </c>
      <c r="O2519" s="26" t="s">
        <v>7921</v>
      </c>
      <c r="P2519" s="42" t="s">
        <v>8968</v>
      </c>
      <c r="Q2519" s="20">
        <v>7349</v>
      </c>
      <c r="R2519" s="26" t="s">
        <v>36</v>
      </c>
      <c r="S2519" s="31">
        <v>7549</v>
      </c>
      <c r="T2519" s="32">
        <v>45381</v>
      </c>
      <c r="U2519" s="31"/>
      <c r="V2519" s="32"/>
      <c r="W2519" s="33" t="s">
        <v>7923</v>
      </c>
      <c r="X2519" s="26"/>
      <c r="Y2519" s="22">
        <v>-200</v>
      </c>
      <c r="Z2519" s="98" t="s">
        <v>118</v>
      </c>
      <c r="AA2519" s="19" t="s">
        <v>7361</v>
      </c>
      <c r="AB2519" s="26" t="s">
        <v>36</v>
      </c>
      <c r="AC2519" s="26" t="s">
        <v>53</v>
      </c>
      <c r="AD2519" s="19" t="s">
        <v>54</v>
      </c>
      <c r="AE2519" s="26" t="s">
        <v>7918</v>
      </c>
      <c r="AF2519" s="17">
        <v>45509</v>
      </c>
      <c r="AG2519" s="26"/>
      <c r="AH2519" s="26"/>
      <c r="AI2519" s="40"/>
      <c r="AJ2519" s="26"/>
      <c r="AK2519" s="26"/>
      <c r="AL2519" s="35"/>
      <c r="AM2519" s="35"/>
      <c r="AN2519" s="35"/>
      <c r="AO2519" s="35"/>
      <c r="AP2519" s="35"/>
    </row>
    <row r="2520" spans="1:42" x14ac:dyDescent="0.2">
      <c r="A2520" s="14">
        <v>45503</v>
      </c>
      <c r="B2520" s="28" t="s">
        <v>37</v>
      </c>
      <c r="C2520" s="41" t="s">
        <v>118</v>
      </c>
      <c r="D2520" s="26" t="s">
        <v>36</v>
      </c>
      <c r="E2520" s="26" t="s">
        <v>119</v>
      </c>
      <c r="F2520" s="26" t="s">
        <v>6025</v>
      </c>
      <c r="G2520" s="26" t="s">
        <v>1847</v>
      </c>
      <c r="H2520" s="26" t="s">
        <v>8917</v>
      </c>
      <c r="I2520" s="17">
        <f ca="1">IFERROR(__xludf.DUMMYFUNCTION("""COMPUTED_VALUE"""),45512)</f>
        <v>45512</v>
      </c>
      <c r="J2520" s="29" t="s">
        <v>3467</v>
      </c>
      <c r="K2520" s="26" t="s">
        <v>6030</v>
      </c>
      <c r="L2520" s="30">
        <v>796424066</v>
      </c>
      <c r="M2520" s="26" t="s">
        <v>1245</v>
      </c>
      <c r="N2520" s="26" t="s">
        <v>4957</v>
      </c>
      <c r="O2520" s="26" t="s">
        <v>3469</v>
      </c>
      <c r="P2520" s="42" t="s">
        <v>3470</v>
      </c>
      <c r="Q2520" s="20">
        <v>13968</v>
      </c>
      <c r="R2520" s="26" t="s">
        <v>36</v>
      </c>
      <c r="S2520" s="31">
        <v>4000</v>
      </c>
      <c r="T2520" s="32">
        <v>45173</v>
      </c>
      <c r="U2520" s="31">
        <v>9968</v>
      </c>
      <c r="V2520" s="32">
        <v>45220</v>
      </c>
      <c r="W2520" s="33" t="s">
        <v>3471</v>
      </c>
      <c r="X2520" s="35"/>
      <c r="Y2520" s="22">
        <v>0</v>
      </c>
      <c r="Z2520" s="26" t="s">
        <v>118</v>
      </c>
      <c r="AA2520" s="19" t="s">
        <v>3454</v>
      </c>
      <c r="AB2520" s="26" t="s">
        <v>3472</v>
      </c>
      <c r="AC2520" s="26" t="s">
        <v>53</v>
      </c>
      <c r="AD2520" s="19" t="s">
        <v>138</v>
      </c>
      <c r="AE2520" s="26" t="s">
        <v>6025</v>
      </c>
      <c r="AF2520" s="17">
        <v>45506</v>
      </c>
      <c r="AG2520" s="35"/>
      <c r="AH2520" s="36"/>
      <c r="AI2520" s="37"/>
      <c r="AJ2520" s="35"/>
      <c r="AK2520" s="35"/>
      <c r="AL2520" s="35"/>
      <c r="AM2520" s="35"/>
      <c r="AN2520" s="35"/>
      <c r="AO2520" s="35"/>
      <c r="AP2520" s="35"/>
    </row>
    <row r="2521" spans="1:42" x14ac:dyDescent="0.2">
      <c r="A2521" s="14">
        <v>45503</v>
      </c>
      <c r="B2521" s="28" t="s">
        <v>37</v>
      </c>
      <c r="C2521" s="41" t="s">
        <v>118</v>
      </c>
      <c r="D2521" s="26" t="s">
        <v>36</v>
      </c>
      <c r="E2521" s="26" t="s">
        <v>139</v>
      </c>
      <c r="F2521" s="26" t="s">
        <v>4931</v>
      </c>
      <c r="G2521" s="142" t="s">
        <v>221</v>
      </c>
      <c r="H2521" s="80" t="s">
        <v>7477</v>
      </c>
      <c r="I2521" s="17">
        <f ca="1">IFERROR(__xludf.DUMMYFUNCTION("""COMPUTED_VALUE"""),45513)</f>
        <v>45513</v>
      </c>
      <c r="J2521" s="29" t="s">
        <v>5478</v>
      </c>
      <c r="K2521" s="26" t="s">
        <v>5479</v>
      </c>
      <c r="L2521" s="30">
        <v>377762634</v>
      </c>
      <c r="M2521" s="26" t="s">
        <v>123</v>
      </c>
      <c r="N2521" s="26" t="s">
        <v>186</v>
      </c>
      <c r="O2521" s="26" t="s">
        <v>1226</v>
      </c>
      <c r="P2521" s="42" t="s">
        <v>8969</v>
      </c>
      <c r="Q2521" s="20">
        <v>15936</v>
      </c>
      <c r="R2521" s="26" t="s">
        <v>70</v>
      </c>
      <c r="S2521" s="31">
        <v>5000</v>
      </c>
      <c r="T2521" s="32">
        <v>45225</v>
      </c>
      <c r="U2521" s="58">
        <v>10836</v>
      </c>
      <c r="V2521" s="59">
        <v>45259</v>
      </c>
      <c r="W2521" s="33" t="s">
        <v>5480</v>
      </c>
      <c r="X2521" s="26"/>
      <c r="Y2521" s="22">
        <v>100</v>
      </c>
      <c r="Z2521" s="26" t="s">
        <v>118</v>
      </c>
      <c r="AA2521" s="19" t="s">
        <v>5112</v>
      </c>
      <c r="AB2521" s="26" t="s">
        <v>104</v>
      </c>
      <c r="AC2521" s="26" t="s">
        <v>53</v>
      </c>
      <c r="AD2521" s="19" t="s">
        <v>138</v>
      </c>
      <c r="AE2521" s="26" t="s">
        <v>4931</v>
      </c>
      <c r="AF2521" s="17">
        <v>45509</v>
      </c>
      <c r="AG2521" s="26" t="s">
        <v>1362</v>
      </c>
      <c r="AH2521" s="26"/>
      <c r="AI2521" s="40" t="s">
        <v>147</v>
      </c>
      <c r="AJ2521" s="26"/>
      <c r="AK2521" s="26"/>
      <c r="AL2521" s="35"/>
      <c r="AM2521" s="35"/>
      <c r="AN2521" s="35"/>
      <c r="AO2521" s="35"/>
      <c r="AP2521" s="35"/>
    </row>
    <row r="2522" spans="1:42" x14ac:dyDescent="0.2">
      <c r="A2522" s="14">
        <v>45505</v>
      </c>
      <c r="B2522" s="28" t="s">
        <v>37</v>
      </c>
      <c r="C2522" s="41" t="s">
        <v>118</v>
      </c>
      <c r="D2522" s="26" t="s">
        <v>36</v>
      </c>
      <c r="E2522" s="26" t="s">
        <v>56</v>
      </c>
      <c r="F2522" s="26" t="s">
        <v>7918</v>
      </c>
      <c r="G2522" s="142" t="s">
        <v>221</v>
      </c>
      <c r="H2522" s="80" t="s">
        <v>8091</v>
      </c>
      <c r="I2522" s="17">
        <f ca="1">IFERROR(__xludf.DUMMYFUNCTION("""COMPUTED_VALUE"""),45519)</f>
        <v>45519</v>
      </c>
      <c r="J2522" s="29" t="s">
        <v>7122</v>
      </c>
      <c r="K2522" s="19" t="s">
        <v>7942</v>
      </c>
      <c r="L2522" s="30">
        <v>392119674</v>
      </c>
      <c r="M2522" s="26" t="s">
        <v>910</v>
      </c>
      <c r="N2522" s="26" t="s">
        <v>3221</v>
      </c>
      <c r="O2522" s="26" t="s">
        <v>7124</v>
      </c>
      <c r="P2522" s="42" t="s">
        <v>7943</v>
      </c>
      <c r="Q2522" s="20">
        <v>9317</v>
      </c>
      <c r="R2522" s="26" t="s">
        <v>36</v>
      </c>
      <c r="S2522" s="31">
        <v>2000</v>
      </c>
      <c r="T2522" s="32">
        <v>45311</v>
      </c>
      <c r="U2522" s="31">
        <v>7317</v>
      </c>
      <c r="V2522" s="32">
        <v>45340</v>
      </c>
      <c r="W2522" s="33" t="s">
        <v>7126</v>
      </c>
      <c r="X2522" s="26"/>
      <c r="Y2522" s="22">
        <v>0</v>
      </c>
      <c r="Z2522" s="26" t="s">
        <v>118</v>
      </c>
      <c r="AA2522" s="19" t="s">
        <v>7077</v>
      </c>
      <c r="AB2522" s="26" t="s">
        <v>36</v>
      </c>
      <c r="AC2522" s="26" t="s">
        <v>53</v>
      </c>
      <c r="AD2522" s="19" t="s">
        <v>54</v>
      </c>
      <c r="AE2522" s="26" t="s">
        <v>7918</v>
      </c>
      <c r="AF2522" s="17">
        <v>45512</v>
      </c>
      <c r="AG2522" s="26"/>
      <c r="AH2522" s="26"/>
      <c r="AI2522" s="40" t="s">
        <v>64</v>
      </c>
      <c r="AJ2522" s="26"/>
      <c r="AK2522" s="26"/>
      <c r="AL2522" s="35"/>
      <c r="AM2522" s="35"/>
      <c r="AN2522" s="35"/>
      <c r="AO2522" s="35"/>
      <c r="AP2522" s="35"/>
    </row>
    <row r="2523" spans="1:42" x14ac:dyDescent="0.2">
      <c r="A2523" s="14">
        <v>45506</v>
      </c>
      <c r="B2523" s="28" t="s">
        <v>37</v>
      </c>
      <c r="C2523" s="41" t="s">
        <v>118</v>
      </c>
      <c r="D2523" s="26" t="s">
        <v>36</v>
      </c>
      <c r="E2523" s="26" t="s">
        <v>139</v>
      </c>
      <c r="F2523" s="26" t="s">
        <v>4959</v>
      </c>
      <c r="G2523" s="142" t="s">
        <v>221</v>
      </c>
      <c r="H2523" s="80" t="s">
        <v>8091</v>
      </c>
      <c r="I2523" s="17">
        <f ca="1">IFERROR(__xludf.DUMMYFUNCTION("""COMPUTED_VALUE"""),45519)</f>
        <v>45519</v>
      </c>
      <c r="J2523" s="29" t="s">
        <v>5612</v>
      </c>
      <c r="K2523" s="19" t="s">
        <v>8970</v>
      </c>
      <c r="L2523" s="30">
        <v>919617050</v>
      </c>
      <c r="M2523" s="26" t="s">
        <v>3728</v>
      </c>
      <c r="N2523" s="26" t="s">
        <v>5377</v>
      </c>
      <c r="O2523" s="26" t="s">
        <v>5614</v>
      </c>
      <c r="P2523" s="42" t="s">
        <v>6914</v>
      </c>
      <c r="Q2523" s="20">
        <v>15936</v>
      </c>
      <c r="R2523" s="26" t="s">
        <v>36</v>
      </c>
      <c r="S2523" s="31">
        <v>200</v>
      </c>
      <c r="T2523" s="32">
        <v>45241</v>
      </c>
      <c r="U2523" s="31">
        <v>15736</v>
      </c>
      <c r="V2523" s="32">
        <v>45244</v>
      </c>
      <c r="W2523" s="33" t="s">
        <v>5616</v>
      </c>
      <c r="X2523" s="26"/>
      <c r="Y2523" s="22">
        <v>0</v>
      </c>
      <c r="Z2523" s="26" t="s">
        <v>118</v>
      </c>
      <c r="AA2523" s="19" t="s">
        <v>5112</v>
      </c>
      <c r="AB2523" s="26" t="s">
        <v>104</v>
      </c>
      <c r="AC2523" s="26" t="s">
        <v>53</v>
      </c>
      <c r="AD2523" s="19" t="s">
        <v>138</v>
      </c>
      <c r="AE2523" s="26" t="s">
        <v>4959</v>
      </c>
      <c r="AF2523" s="17">
        <v>45516</v>
      </c>
      <c r="AG2523" s="26"/>
      <c r="AH2523" s="26"/>
      <c r="AI2523" s="40" t="s">
        <v>147</v>
      </c>
      <c r="AJ2523" s="26"/>
      <c r="AK2523" s="26"/>
      <c r="AL2523" s="35"/>
      <c r="AM2523" s="35"/>
      <c r="AN2523" s="35"/>
      <c r="AO2523" s="35"/>
      <c r="AP2523" s="35"/>
    </row>
    <row r="2524" spans="1:42" x14ac:dyDescent="0.2">
      <c r="A2524" s="14">
        <v>45506</v>
      </c>
      <c r="B2524" s="28" t="s">
        <v>37</v>
      </c>
      <c r="C2524" s="41" t="s">
        <v>118</v>
      </c>
      <c r="D2524" s="26" t="s">
        <v>36</v>
      </c>
      <c r="E2524" s="26" t="s">
        <v>139</v>
      </c>
      <c r="F2524" s="26" t="s">
        <v>3366</v>
      </c>
      <c r="G2524" s="142" t="s">
        <v>221</v>
      </c>
      <c r="H2524" s="80" t="s">
        <v>8091</v>
      </c>
      <c r="I2524" s="17">
        <f ca="1">IFERROR(__xludf.DUMMYFUNCTION("""COMPUTED_VALUE"""),45519)</f>
        <v>45519</v>
      </c>
      <c r="J2524" s="29" t="s">
        <v>5507</v>
      </c>
      <c r="K2524" s="19" t="s">
        <v>5508</v>
      </c>
      <c r="L2524" s="30">
        <v>978397153</v>
      </c>
      <c r="M2524" s="26" t="s">
        <v>59</v>
      </c>
      <c r="N2524" s="26" t="s">
        <v>68</v>
      </c>
      <c r="O2524" s="26" t="s">
        <v>5509</v>
      </c>
      <c r="P2524" s="42" t="s">
        <v>8971</v>
      </c>
      <c r="Q2524" s="20">
        <v>15936</v>
      </c>
      <c r="R2524" s="26" t="s">
        <v>36</v>
      </c>
      <c r="S2524" s="31">
        <v>7000</v>
      </c>
      <c r="T2524" s="32">
        <v>45232</v>
      </c>
      <c r="U2524" s="31">
        <v>8963</v>
      </c>
      <c r="V2524" s="32">
        <v>45260</v>
      </c>
      <c r="W2524" s="33" t="s">
        <v>5511</v>
      </c>
      <c r="X2524" s="26"/>
      <c r="Y2524" s="22">
        <v>-27</v>
      </c>
      <c r="Z2524" s="98" t="s">
        <v>118</v>
      </c>
      <c r="AA2524" s="19" t="s">
        <v>5112</v>
      </c>
      <c r="AB2524" s="26" t="s">
        <v>104</v>
      </c>
      <c r="AC2524" s="26" t="s">
        <v>53</v>
      </c>
      <c r="AD2524" s="19" t="s">
        <v>54</v>
      </c>
      <c r="AE2524" s="26" t="s">
        <v>3366</v>
      </c>
      <c r="AF2524" s="17">
        <v>45512</v>
      </c>
      <c r="AG2524" s="26"/>
      <c r="AH2524" s="26"/>
      <c r="AI2524" s="40" t="s">
        <v>147</v>
      </c>
      <c r="AJ2524" s="26"/>
      <c r="AK2524" s="26"/>
      <c r="AL2524" s="35"/>
      <c r="AM2524" s="35"/>
      <c r="AN2524" s="35"/>
      <c r="AO2524" s="35"/>
      <c r="AP2524" s="35"/>
    </row>
    <row r="2525" spans="1:42" x14ac:dyDescent="0.2">
      <c r="A2525" s="14">
        <v>45506</v>
      </c>
      <c r="B2525" s="28" t="s">
        <v>37</v>
      </c>
      <c r="C2525" s="41" t="s">
        <v>118</v>
      </c>
      <c r="D2525" s="26" t="s">
        <v>36</v>
      </c>
      <c r="E2525" s="26" t="s">
        <v>56</v>
      </c>
      <c r="F2525" s="26" t="s">
        <v>4576</v>
      </c>
      <c r="G2525" s="142" t="s">
        <v>221</v>
      </c>
      <c r="H2525" s="80" t="s">
        <v>8972</v>
      </c>
      <c r="I2525" s="17">
        <f ca="1">IFERROR(__xludf.DUMMYFUNCTION("""COMPUTED_VALUE"""),45625)</f>
        <v>45625</v>
      </c>
      <c r="J2525" s="29" t="s">
        <v>4372</v>
      </c>
      <c r="K2525" s="19" t="s">
        <v>8973</v>
      </c>
      <c r="L2525" s="30">
        <v>365731492</v>
      </c>
      <c r="M2525" s="26" t="s">
        <v>59</v>
      </c>
      <c r="N2525" s="26" t="s">
        <v>68</v>
      </c>
      <c r="O2525" s="26" t="s">
        <v>4374</v>
      </c>
      <c r="P2525" s="42" t="s">
        <v>8974</v>
      </c>
      <c r="Q2525" s="20">
        <v>9317</v>
      </c>
      <c r="R2525" s="26" t="s">
        <v>36</v>
      </c>
      <c r="S2525" s="31">
        <v>9317</v>
      </c>
      <c r="T2525" s="32">
        <v>45219</v>
      </c>
      <c r="U2525" s="31"/>
      <c r="V2525" s="26"/>
      <c r="W2525" s="33" t="s">
        <v>4376</v>
      </c>
      <c r="X2525" s="26"/>
      <c r="Y2525" s="22">
        <v>0</v>
      </c>
      <c r="Z2525" s="26" t="s">
        <v>118</v>
      </c>
      <c r="AA2525" s="19" t="s">
        <v>3454</v>
      </c>
      <c r="AB2525" s="26"/>
      <c r="AC2525" s="26" t="s">
        <v>53</v>
      </c>
      <c r="AD2525" s="19" t="s">
        <v>54</v>
      </c>
      <c r="AE2525" s="26" t="s">
        <v>4576</v>
      </c>
      <c r="AF2525" s="17">
        <v>45512</v>
      </c>
      <c r="AG2525" s="26"/>
      <c r="AH2525" s="26"/>
      <c r="AI2525" s="40"/>
      <c r="AJ2525" s="26"/>
      <c r="AK2525" s="26"/>
      <c r="AL2525" s="35"/>
      <c r="AM2525" s="35"/>
      <c r="AN2525" s="35"/>
      <c r="AO2525" s="35"/>
      <c r="AP2525" s="35"/>
    </row>
    <row r="2526" spans="1:42" x14ac:dyDescent="0.2">
      <c r="A2526" s="14">
        <v>45506</v>
      </c>
      <c r="B2526" s="28" t="s">
        <v>37</v>
      </c>
      <c r="C2526" s="41" t="s">
        <v>118</v>
      </c>
      <c r="D2526" s="26" t="s">
        <v>36</v>
      </c>
      <c r="E2526" s="26" t="s">
        <v>148</v>
      </c>
      <c r="F2526" s="26" t="s">
        <v>7716</v>
      </c>
      <c r="G2526" s="142" t="s">
        <v>221</v>
      </c>
      <c r="H2526" s="80" t="s">
        <v>8091</v>
      </c>
      <c r="I2526" s="17">
        <f ca="1">IFERROR(__xludf.DUMMYFUNCTION("""COMPUTED_VALUE"""),45519)</f>
        <v>45519</v>
      </c>
      <c r="J2526" s="29" t="s">
        <v>8292</v>
      </c>
      <c r="K2526" s="19" t="s">
        <v>8293</v>
      </c>
      <c r="L2526" s="30">
        <v>398832928</v>
      </c>
      <c r="M2526" s="26" t="s">
        <v>348</v>
      </c>
      <c r="N2526" s="26" t="s">
        <v>200</v>
      </c>
      <c r="O2526" s="26" t="s">
        <v>8294</v>
      </c>
      <c r="P2526" s="42" t="s">
        <v>8975</v>
      </c>
      <c r="Q2526" s="20">
        <v>7349</v>
      </c>
      <c r="R2526" s="26" t="s">
        <v>36</v>
      </c>
      <c r="S2526" s="31">
        <v>1000</v>
      </c>
      <c r="T2526" s="32">
        <v>45400</v>
      </c>
      <c r="U2526" s="31">
        <v>6349</v>
      </c>
      <c r="V2526" s="32">
        <v>45404</v>
      </c>
      <c r="W2526" s="33" t="s">
        <v>8296</v>
      </c>
      <c r="X2526" s="26"/>
      <c r="Y2526" s="22">
        <v>0</v>
      </c>
      <c r="Z2526" s="26" t="s">
        <v>118</v>
      </c>
      <c r="AA2526" s="19" t="s">
        <v>8102</v>
      </c>
      <c r="AB2526" s="26"/>
      <c r="AC2526" s="26" t="s">
        <v>53</v>
      </c>
      <c r="AD2526" s="19" t="s">
        <v>54</v>
      </c>
      <c r="AE2526" s="26" t="s">
        <v>7716</v>
      </c>
      <c r="AF2526" s="17">
        <v>45512</v>
      </c>
      <c r="AG2526" s="26"/>
      <c r="AH2526" s="26"/>
      <c r="AI2526" s="40"/>
      <c r="AJ2526" s="26"/>
      <c r="AK2526" s="26"/>
      <c r="AL2526" s="35"/>
      <c r="AM2526" s="35"/>
      <c r="AN2526" s="35"/>
      <c r="AO2526" s="35"/>
      <c r="AP2526" s="35"/>
    </row>
    <row r="2527" spans="1:42" x14ac:dyDescent="0.2">
      <c r="A2527" s="14">
        <v>45507</v>
      </c>
      <c r="B2527" s="28" t="s">
        <v>37</v>
      </c>
      <c r="C2527" s="41" t="s">
        <v>118</v>
      </c>
      <c r="D2527" s="26" t="s">
        <v>36</v>
      </c>
      <c r="E2527" s="26" t="s">
        <v>119</v>
      </c>
      <c r="F2527" s="26" t="s">
        <v>4931</v>
      </c>
      <c r="G2527" s="142" t="s">
        <v>221</v>
      </c>
      <c r="H2527" s="80" t="s">
        <v>8091</v>
      </c>
      <c r="I2527" s="17">
        <f ca="1">IFERROR(__xludf.DUMMYFUNCTION("""COMPUTED_VALUE"""),45519)</f>
        <v>45519</v>
      </c>
      <c r="J2527" s="29" t="s">
        <v>7695</v>
      </c>
      <c r="K2527" s="19" t="s">
        <v>7696</v>
      </c>
      <c r="L2527" s="30">
        <v>942263874</v>
      </c>
      <c r="M2527" s="26" t="s">
        <v>80</v>
      </c>
      <c r="N2527" s="26" t="s">
        <v>466</v>
      </c>
      <c r="O2527" s="26" t="s">
        <v>7697</v>
      </c>
      <c r="P2527" s="42" t="s">
        <v>8976</v>
      </c>
      <c r="Q2527" s="20">
        <v>13968</v>
      </c>
      <c r="R2527" s="26" t="s">
        <v>70</v>
      </c>
      <c r="S2527" s="31">
        <v>500</v>
      </c>
      <c r="T2527" s="32">
        <v>45313</v>
      </c>
      <c r="U2527" s="31">
        <v>13368</v>
      </c>
      <c r="V2527" s="26" t="s">
        <v>7699</v>
      </c>
      <c r="W2527" s="26" t="s">
        <v>7700</v>
      </c>
      <c r="X2527" s="26"/>
      <c r="Y2527" s="22">
        <v>100</v>
      </c>
      <c r="Z2527" s="26" t="s">
        <v>118</v>
      </c>
      <c r="AA2527" s="19" t="s">
        <v>7361</v>
      </c>
      <c r="AB2527" s="26"/>
      <c r="AC2527" s="26" t="s">
        <v>53</v>
      </c>
      <c r="AD2527" s="19" t="s">
        <v>138</v>
      </c>
      <c r="AE2527" s="26" t="s">
        <v>4931</v>
      </c>
      <c r="AF2527" s="17">
        <v>45512</v>
      </c>
      <c r="AG2527" s="26"/>
      <c r="AH2527" s="26"/>
      <c r="AI2527" s="40"/>
      <c r="AJ2527" s="26"/>
      <c r="AK2527" s="26"/>
      <c r="AL2527" s="35"/>
      <c r="AM2527" s="35"/>
      <c r="AN2527" s="35"/>
      <c r="AO2527" s="35"/>
      <c r="AP2527" s="35"/>
    </row>
    <row r="2528" spans="1:42" x14ac:dyDescent="0.2">
      <c r="A2528" s="14">
        <v>45509</v>
      </c>
      <c r="B2528" s="137" t="s">
        <v>37</v>
      </c>
      <c r="C2528" s="41" t="s">
        <v>118</v>
      </c>
      <c r="D2528" s="80" t="s">
        <v>36</v>
      </c>
      <c r="E2528" s="80" t="s">
        <v>148</v>
      </c>
      <c r="F2528" s="80" t="s">
        <v>8977</v>
      </c>
      <c r="G2528" s="161" t="s">
        <v>108</v>
      </c>
      <c r="H2528" s="80" t="s">
        <v>8066</v>
      </c>
      <c r="I2528" s="17">
        <f ca="1">IFERROR(__xludf.DUMMYFUNCTION("""COMPUTED_VALUE"""),45509)</f>
        <v>45509</v>
      </c>
      <c r="J2528" s="143" t="s">
        <v>8978</v>
      </c>
      <c r="K2528" s="80" t="s">
        <v>8979</v>
      </c>
      <c r="L2528" s="30">
        <v>337896160</v>
      </c>
      <c r="M2528" s="80" t="s">
        <v>7414</v>
      </c>
      <c r="N2528" s="80" t="s">
        <v>8980</v>
      </c>
      <c r="O2528" s="162" t="s">
        <v>8981</v>
      </c>
      <c r="P2528" s="80" t="s">
        <v>8982</v>
      </c>
      <c r="Q2528" s="20">
        <v>7349</v>
      </c>
      <c r="R2528" s="80" t="s">
        <v>36</v>
      </c>
      <c r="S2528" s="77">
        <v>1000</v>
      </c>
      <c r="T2528" s="78">
        <v>44977</v>
      </c>
      <c r="U2528" s="155">
        <v>6349</v>
      </c>
      <c r="V2528" s="156">
        <v>44984</v>
      </c>
      <c r="W2528" s="85" t="s">
        <v>8983</v>
      </c>
      <c r="X2528" s="80">
        <v>0</v>
      </c>
      <c r="Y2528" s="22">
        <v>0</v>
      </c>
      <c r="Z2528" s="26" t="s">
        <v>118</v>
      </c>
      <c r="AA2528" s="145" t="s">
        <v>2051</v>
      </c>
      <c r="AB2528" s="80" t="s">
        <v>36</v>
      </c>
      <c r="AC2528" s="80" t="s">
        <v>53</v>
      </c>
      <c r="AD2528" s="19" t="s">
        <v>54</v>
      </c>
      <c r="AE2528" s="26" t="s">
        <v>8977</v>
      </c>
      <c r="AF2528" s="17">
        <v>44992</v>
      </c>
      <c r="AG2528" s="150"/>
      <c r="AH2528" s="150">
        <v>2</v>
      </c>
      <c r="AI2528" s="151"/>
      <c r="AJ2528" s="151">
        <v>44978.060583935185</v>
      </c>
      <c r="AK2528" s="86"/>
      <c r="AL2528" s="152" t="s">
        <v>8984</v>
      </c>
      <c r="AM2528" s="86"/>
      <c r="AN2528" s="86"/>
      <c r="AO2528" s="80"/>
      <c r="AP2528" s="35"/>
    </row>
    <row r="2529" spans="1:42" x14ac:dyDescent="0.2">
      <c r="A2529" s="14">
        <v>45510</v>
      </c>
      <c r="B2529" s="28" t="s">
        <v>37</v>
      </c>
      <c r="C2529" s="41" t="s">
        <v>118</v>
      </c>
      <c r="D2529" s="26" t="s">
        <v>36</v>
      </c>
      <c r="E2529" s="26" t="s">
        <v>139</v>
      </c>
      <c r="F2529" s="26" t="s">
        <v>6596</v>
      </c>
      <c r="G2529" s="142" t="s">
        <v>221</v>
      </c>
      <c r="H2529" s="80" t="s">
        <v>8608</v>
      </c>
      <c r="I2529" s="17">
        <f ca="1">IFERROR(__xludf.DUMMYFUNCTION("""COMPUTED_VALUE"""),45527)</f>
        <v>45527</v>
      </c>
      <c r="J2529" s="29" t="s">
        <v>8152</v>
      </c>
      <c r="K2529" s="26" t="s">
        <v>8153</v>
      </c>
      <c r="L2529" s="30">
        <v>866142859</v>
      </c>
      <c r="M2529" s="26" t="s">
        <v>3728</v>
      </c>
      <c r="N2529" s="26" t="s">
        <v>4124</v>
      </c>
      <c r="O2529" s="26" t="s">
        <v>8154</v>
      </c>
      <c r="P2529" s="42" t="s">
        <v>8985</v>
      </c>
      <c r="Q2529" s="20">
        <v>15936</v>
      </c>
      <c r="R2529" s="26" t="s">
        <v>36</v>
      </c>
      <c r="S2529" s="31">
        <v>2000</v>
      </c>
      <c r="T2529" s="32">
        <v>45362</v>
      </c>
      <c r="U2529" s="31">
        <v>13936</v>
      </c>
      <c r="V2529" s="32">
        <v>45402</v>
      </c>
      <c r="W2529" s="33" t="s">
        <v>8156</v>
      </c>
      <c r="X2529" s="26"/>
      <c r="Y2529" s="22">
        <v>0</v>
      </c>
      <c r="Z2529" s="26" t="s">
        <v>118</v>
      </c>
      <c r="AA2529" s="19" t="s">
        <v>8317</v>
      </c>
      <c r="AB2529" s="26" t="s">
        <v>36</v>
      </c>
      <c r="AC2529" s="26" t="s">
        <v>53</v>
      </c>
      <c r="AD2529" s="19" t="s">
        <v>54</v>
      </c>
      <c r="AE2529" s="26" t="s">
        <v>6596</v>
      </c>
      <c r="AF2529" s="17">
        <v>45520</v>
      </c>
      <c r="AG2529" s="26"/>
      <c r="AH2529" s="26"/>
      <c r="AI2529" s="40"/>
      <c r="AJ2529" s="26"/>
      <c r="AK2529" s="26"/>
      <c r="AL2529" s="35"/>
      <c r="AM2529" s="35"/>
      <c r="AN2529" s="35"/>
      <c r="AO2529" s="35"/>
      <c r="AP2529" s="35"/>
    </row>
    <row r="2530" spans="1:42" x14ac:dyDescent="0.2">
      <c r="A2530" s="14">
        <v>45510</v>
      </c>
      <c r="B2530" s="28" t="s">
        <v>37</v>
      </c>
      <c r="C2530" s="41" t="s">
        <v>118</v>
      </c>
      <c r="D2530" s="26" t="s">
        <v>36</v>
      </c>
      <c r="E2530" s="26" t="s">
        <v>39</v>
      </c>
      <c r="F2530" s="26" t="s">
        <v>7497</v>
      </c>
      <c r="G2530" s="161" t="s">
        <v>108</v>
      </c>
      <c r="H2530" s="80" t="s">
        <v>8986</v>
      </c>
      <c r="I2530" s="17">
        <f ca="1">IFERROR(__xludf.DUMMYFUNCTION("""COMPUTED_VALUE"""),45531)</f>
        <v>45531</v>
      </c>
      <c r="J2530" s="29" t="s">
        <v>8796</v>
      </c>
      <c r="K2530" s="19" t="s">
        <v>8797</v>
      </c>
      <c r="L2530" s="47">
        <v>989339355</v>
      </c>
      <c r="M2530" s="19" t="s">
        <v>6309</v>
      </c>
      <c r="N2530" s="19" t="s">
        <v>8798</v>
      </c>
      <c r="O2530" s="26" t="s">
        <v>91</v>
      </c>
      <c r="P2530" s="42"/>
      <c r="Q2530" s="20">
        <v>5736</v>
      </c>
      <c r="R2530" s="26" t="s">
        <v>36</v>
      </c>
      <c r="S2530" s="31">
        <v>5736</v>
      </c>
      <c r="T2530" s="32">
        <v>45464</v>
      </c>
      <c r="U2530" s="31"/>
      <c r="V2530" s="32"/>
      <c r="W2530" s="33" t="s">
        <v>8800</v>
      </c>
      <c r="X2530" s="26"/>
      <c r="Y2530" s="22">
        <v>0</v>
      </c>
      <c r="Z2530" s="26" t="s">
        <v>118</v>
      </c>
      <c r="AA2530" s="19" t="s">
        <v>8721</v>
      </c>
      <c r="AB2530" s="26" t="s">
        <v>36</v>
      </c>
      <c r="AC2530" s="26" t="s">
        <v>53</v>
      </c>
      <c r="AD2530" s="19" t="s">
        <v>54</v>
      </c>
      <c r="AE2530" s="26" t="s">
        <v>7497</v>
      </c>
      <c r="AF2530" s="17">
        <v>45524</v>
      </c>
      <c r="AG2530" s="26"/>
      <c r="AH2530" s="26"/>
      <c r="AI2530" s="40"/>
      <c r="AJ2530" s="26"/>
      <c r="AK2530" s="26"/>
      <c r="AL2530" s="35"/>
      <c r="AM2530" s="35"/>
      <c r="AN2530" s="35"/>
      <c r="AO2530" s="35"/>
      <c r="AP2530" s="35"/>
    </row>
    <row r="2531" spans="1:42" x14ac:dyDescent="0.2">
      <c r="A2531" s="14">
        <v>45510</v>
      </c>
      <c r="B2531" s="28" t="s">
        <v>37</v>
      </c>
      <c r="C2531" s="41" t="s">
        <v>118</v>
      </c>
      <c r="D2531" s="26" t="s">
        <v>36</v>
      </c>
      <c r="E2531" s="26" t="s">
        <v>139</v>
      </c>
      <c r="F2531" s="26" t="s">
        <v>8093</v>
      </c>
      <c r="G2531" s="142" t="s">
        <v>221</v>
      </c>
      <c r="H2531" s="80" t="s">
        <v>8608</v>
      </c>
      <c r="I2531" s="17">
        <f ca="1">IFERROR(__xludf.DUMMYFUNCTION("""COMPUTED_VALUE"""),45527)</f>
        <v>45527</v>
      </c>
      <c r="J2531" s="29" t="s">
        <v>7749</v>
      </c>
      <c r="K2531" s="80" t="s">
        <v>8987</v>
      </c>
      <c r="L2531" s="30">
        <v>707452004</v>
      </c>
      <c r="M2531" s="26" t="s">
        <v>3288</v>
      </c>
      <c r="N2531" s="26" t="s">
        <v>200</v>
      </c>
      <c r="O2531" s="26" t="s">
        <v>7751</v>
      </c>
      <c r="P2531" s="42" t="s">
        <v>8327</v>
      </c>
      <c r="Q2531" s="20">
        <v>15936</v>
      </c>
      <c r="R2531" s="26" t="s">
        <v>36</v>
      </c>
      <c r="S2531" s="31">
        <v>15936</v>
      </c>
      <c r="T2531" s="32">
        <v>45362</v>
      </c>
      <c r="U2531" s="31"/>
      <c r="V2531" s="32"/>
      <c r="W2531" s="33" t="s">
        <v>7753</v>
      </c>
      <c r="X2531" s="26"/>
      <c r="Y2531" s="22">
        <v>0</v>
      </c>
      <c r="Z2531" s="26" t="s">
        <v>118</v>
      </c>
      <c r="AA2531" s="19" t="s">
        <v>7361</v>
      </c>
      <c r="AB2531" s="26" t="s">
        <v>36</v>
      </c>
      <c r="AC2531" s="26" t="s">
        <v>53</v>
      </c>
      <c r="AD2531" s="19" t="s">
        <v>54</v>
      </c>
      <c r="AE2531" s="26" t="s">
        <v>8093</v>
      </c>
      <c r="AF2531" s="17">
        <v>45523</v>
      </c>
      <c r="AG2531" s="26"/>
      <c r="AH2531" s="26"/>
      <c r="AI2531" s="40"/>
      <c r="AJ2531" s="26"/>
      <c r="AK2531" s="26"/>
      <c r="AL2531" s="35"/>
      <c r="AM2531" s="35"/>
      <c r="AN2531" s="35"/>
      <c r="AO2531" s="35"/>
      <c r="AP2531" s="35"/>
    </row>
    <row r="2532" spans="1:42" x14ac:dyDescent="0.2">
      <c r="A2532" s="14">
        <v>45510</v>
      </c>
      <c r="B2532" s="28" t="s">
        <v>37</v>
      </c>
      <c r="C2532" s="41" t="s">
        <v>118</v>
      </c>
      <c r="D2532" s="26" t="s">
        <v>36</v>
      </c>
      <c r="E2532" s="26" t="s">
        <v>39</v>
      </c>
      <c r="F2532" s="26" t="s">
        <v>7497</v>
      </c>
      <c r="G2532" s="161" t="s">
        <v>108</v>
      </c>
      <c r="H2532" s="80" t="s">
        <v>8986</v>
      </c>
      <c r="I2532" s="17">
        <f ca="1">IFERROR(__xludf.DUMMYFUNCTION("""COMPUTED_VALUE"""),45531)</f>
        <v>45531</v>
      </c>
      <c r="J2532" s="29" t="s">
        <v>8754</v>
      </c>
      <c r="K2532" s="26" t="s">
        <v>8988</v>
      </c>
      <c r="L2532" s="30">
        <v>867104298</v>
      </c>
      <c r="M2532" s="26" t="s">
        <v>45</v>
      </c>
      <c r="N2532" s="26" t="s">
        <v>1450</v>
      </c>
      <c r="O2532" s="26" t="s">
        <v>8756</v>
      </c>
      <c r="P2532" s="42" t="s">
        <v>8757</v>
      </c>
      <c r="Q2532" s="20">
        <v>5736</v>
      </c>
      <c r="R2532" s="26" t="s">
        <v>36</v>
      </c>
      <c r="S2532" s="31">
        <v>1968</v>
      </c>
      <c r="T2532" s="32">
        <v>45454</v>
      </c>
      <c r="U2532" s="31">
        <v>3768</v>
      </c>
      <c r="V2532" s="32">
        <v>45464</v>
      </c>
      <c r="W2532" s="33" t="s">
        <v>8758</v>
      </c>
      <c r="X2532" s="26"/>
      <c r="Y2532" s="22">
        <v>0</v>
      </c>
      <c r="Z2532" s="26" t="s">
        <v>118</v>
      </c>
      <c r="AA2532" s="19" t="s">
        <v>8721</v>
      </c>
      <c r="AB2532" s="26" t="s">
        <v>36</v>
      </c>
      <c r="AC2532" s="26" t="s">
        <v>53</v>
      </c>
      <c r="AD2532" s="19" t="s">
        <v>54</v>
      </c>
      <c r="AE2532" s="26" t="s">
        <v>7497</v>
      </c>
      <c r="AF2532" s="17">
        <v>45524</v>
      </c>
      <c r="AG2532" s="26"/>
      <c r="AH2532" s="26"/>
      <c r="AI2532" s="40"/>
      <c r="AJ2532" s="26"/>
      <c r="AK2532" s="26"/>
      <c r="AL2532" s="35"/>
      <c r="AM2532" s="35"/>
      <c r="AN2532" s="35"/>
      <c r="AO2532" s="35"/>
      <c r="AP2532" s="35"/>
    </row>
    <row r="2533" spans="1:42" x14ac:dyDescent="0.2">
      <c r="A2533" s="14">
        <v>45510</v>
      </c>
      <c r="B2533" s="28" t="s">
        <v>37</v>
      </c>
      <c r="C2533" s="41" t="s">
        <v>118</v>
      </c>
      <c r="D2533" s="26" t="s">
        <v>36</v>
      </c>
      <c r="E2533" s="26" t="s">
        <v>119</v>
      </c>
      <c r="F2533" s="26" t="s">
        <v>6596</v>
      </c>
      <c r="G2533" s="142" t="s">
        <v>221</v>
      </c>
      <c r="H2533" s="80" t="s">
        <v>7016</v>
      </c>
      <c r="I2533" s="17">
        <f ca="1">IFERROR(__xludf.DUMMYFUNCTION("""COMPUTED_VALUE"""),45520)</f>
        <v>45520</v>
      </c>
      <c r="J2533" s="29" t="s">
        <v>8107</v>
      </c>
      <c r="K2533" s="26" t="s">
        <v>8989</v>
      </c>
      <c r="L2533" s="30">
        <v>981919548</v>
      </c>
      <c r="M2533" s="26" t="s">
        <v>5518</v>
      </c>
      <c r="N2533" s="26" t="s">
        <v>186</v>
      </c>
      <c r="O2533" s="26" t="s">
        <v>8109</v>
      </c>
      <c r="P2533" s="42" t="s">
        <v>8990</v>
      </c>
      <c r="Q2533" s="20">
        <v>13968</v>
      </c>
      <c r="R2533" s="26" t="s">
        <v>36</v>
      </c>
      <c r="S2533" s="31">
        <v>4000</v>
      </c>
      <c r="T2533" s="32">
        <v>45301</v>
      </c>
      <c r="U2533" s="31">
        <v>9968</v>
      </c>
      <c r="V2533" s="32">
        <v>45392</v>
      </c>
      <c r="W2533" s="33" t="s">
        <v>8111</v>
      </c>
      <c r="X2533" s="26"/>
      <c r="Y2533" s="22">
        <v>0</v>
      </c>
      <c r="Z2533" s="26" t="s">
        <v>118</v>
      </c>
      <c r="AA2533" s="19" t="s">
        <v>8102</v>
      </c>
      <c r="AB2533" s="26" t="s">
        <v>36</v>
      </c>
      <c r="AC2533" s="26" t="s">
        <v>53</v>
      </c>
      <c r="AD2533" s="19" t="s">
        <v>54</v>
      </c>
      <c r="AE2533" s="26" t="s">
        <v>6596</v>
      </c>
      <c r="AF2533" s="17">
        <v>45513</v>
      </c>
      <c r="AG2533" s="26"/>
      <c r="AH2533" s="26"/>
      <c r="AI2533" s="40"/>
      <c r="AJ2533" s="26"/>
      <c r="AK2533" s="26"/>
      <c r="AL2533" s="35"/>
      <c r="AM2533" s="35"/>
      <c r="AN2533" s="35"/>
      <c r="AO2533" s="35"/>
      <c r="AP2533" s="35"/>
    </row>
    <row r="2534" spans="1:42" x14ac:dyDescent="0.2">
      <c r="A2534" s="14">
        <v>45510</v>
      </c>
      <c r="B2534" s="28" t="s">
        <v>37</v>
      </c>
      <c r="C2534" s="41" t="s">
        <v>118</v>
      </c>
      <c r="D2534" s="26" t="s">
        <v>36</v>
      </c>
      <c r="E2534" s="26" t="s">
        <v>139</v>
      </c>
      <c r="F2534" s="26" t="s">
        <v>4869</v>
      </c>
      <c r="G2534" s="142" t="s">
        <v>221</v>
      </c>
      <c r="H2534" s="80" t="s">
        <v>8991</v>
      </c>
      <c r="I2534" s="17">
        <f ca="1">IFERROR(__xludf.DUMMYFUNCTION("""COMPUTED_VALUE"""),45721)</f>
        <v>45721</v>
      </c>
      <c r="J2534" s="29" t="s">
        <v>4083</v>
      </c>
      <c r="K2534" s="26" t="s">
        <v>8992</v>
      </c>
      <c r="L2534" s="30">
        <v>899808946</v>
      </c>
      <c r="M2534" s="26" t="s">
        <v>80</v>
      </c>
      <c r="N2534" s="26" t="s">
        <v>81</v>
      </c>
      <c r="O2534" s="26" t="s">
        <v>4085</v>
      </c>
      <c r="P2534" s="42" t="s">
        <v>8993</v>
      </c>
      <c r="Q2534" s="20">
        <v>15936</v>
      </c>
      <c r="R2534" s="26" t="s">
        <v>36</v>
      </c>
      <c r="S2534" s="31">
        <v>2000</v>
      </c>
      <c r="T2534" s="32">
        <v>45204</v>
      </c>
      <c r="U2534" s="31">
        <v>13936</v>
      </c>
      <c r="V2534" s="32">
        <v>45230</v>
      </c>
      <c r="W2534" s="33" t="s">
        <v>4086</v>
      </c>
      <c r="X2534" s="26"/>
      <c r="Y2534" s="22">
        <v>0</v>
      </c>
      <c r="Z2534" s="26" t="s">
        <v>118</v>
      </c>
      <c r="AA2534" s="19" t="s">
        <v>3454</v>
      </c>
      <c r="AB2534" s="26" t="s">
        <v>36</v>
      </c>
      <c r="AC2534" s="26" t="s">
        <v>53</v>
      </c>
      <c r="AD2534" s="19" t="s">
        <v>54</v>
      </c>
      <c r="AE2534" s="26" t="s">
        <v>4869</v>
      </c>
      <c r="AF2534" s="17">
        <v>45520</v>
      </c>
      <c r="AG2534" s="26"/>
      <c r="AH2534" s="26"/>
      <c r="AI2534" s="40"/>
      <c r="AJ2534" s="26"/>
      <c r="AK2534" s="26"/>
      <c r="AL2534" s="35"/>
      <c r="AM2534" s="35"/>
      <c r="AN2534" s="35"/>
      <c r="AO2534" s="35"/>
      <c r="AP2534" s="35"/>
    </row>
    <row r="2535" spans="1:42" x14ac:dyDescent="0.2">
      <c r="A2535" s="14">
        <v>45510</v>
      </c>
      <c r="B2535" s="28" t="s">
        <v>37</v>
      </c>
      <c r="C2535" s="41" t="s">
        <v>118</v>
      </c>
      <c r="D2535" s="80" t="s">
        <v>36</v>
      </c>
      <c r="E2535" s="80" t="s">
        <v>139</v>
      </c>
      <c r="F2535" s="80" t="s">
        <v>6596</v>
      </c>
      <c r="G2535" s="142" t="s">
        <v>221</v>
      </c>
      <c r="H2535" s="80" t="s">
        <v>8608</v>
      </c>
      <c r="I2535" s="17">
        <f ca="1">IFERROR(__xludf.DUMMYFUNCTION("""COMPUTED_VALUE"""),45527)</f>
        <v>45527</v>
      </c>
      <c r="J2535" s="143" t="s">
        <v>6232</v>
      </c>
      <c r="K2535" s="80" t="s">
        <v>8994</v>
      </c>
      <c r="L2535" s="30">
        <v>962502759</v>
      </c>
      <c r="M2535" s="80" t="s">
        <v>2755</v>
      </c>
      <c r="N2535" s="80" t="s">
        <v>310</v>
      </c>
      <c r="O2535" s="80" t="s">
        <v>6234</v>
      </c>
      <c r="P2535" s="144" t="s">
        <v>8995</v>
      </c>
      <c r="Q2535" s="20">
        <v>15936</v>
      </c>
      <c r="R2535" s="80" t="s">
        <v>36</v>
      </c>
      <c r="S2535" s="77">
        <v>2000</v>
      </c>
      <c r="T2535" s="32">
        <v>45235</v>
      </c>
      <c r="U2535" s="31">
        <v>13936</v>
      </c>
      <c r="V2535" s="78">
        <v>45261</v>
      </c>
      <c r="W2535" s="85" t="s">
        <v>6236</v>
      </c>
      <c r="X2535" s="80"/>
      <c r="Y2535" s="22">
        <v>0</v>
      </c>
      <c r="Z2535" s="41" t="s">
        <v>118</v>
      </c>
      <c r="AA2535" s="145" t="s">
        <v>5961</v>
      </c>
      <c r="AB2535" s="26" t="s">
        <v>36</v>
      </c>
      <c r="AC2535" s="80" t="s">
        <v>53</v>
      </c>
      <c r="AD2535" s="157" t="s">
        <v>54</v>
      </c>
      <c r="AE2535" s="80" t="s">
        <v>6596</v>
      </c>
      <c r="AF2535" s="17">
        <v>45520</v>
      </c>
      <c r="AG2535" s="147"/>
      <c r="AH2535" s="80">
        <v>1</v>
      </c>
      <c r="AI2535" s="147"/>
      <c r="AJ2535" s="80"/>
      <c r="AK2535" s="80"/>
      <c r="AL2535" s="86"/>
      <c r="AM2535" s="86"/>
      <c r="AN2535" s="86"/>
      <c r="AO2535" s="86"/>
      <c r="AP2535" s="35"/>
    </row>
    <row r="2536" spans="1:42" x14ac:dyDescent="0.2">
      <c r="A2536" s="14">
        <v>45510</v>
      </c>
      <c r="B2536" s="28" t="s">
        <v>37</v>
      </c>
      <c r="C2536" s="41" t="s">
        <v>118</v>
      </c>
      <c r="D2536" s="26" t="s">
        <v>36</v>
      </c>
      <c r="E2536" s="26" t="s">
        <v>139</v>
      </c>
      <c r="F2536" s="80" t="s">
        <v>6596</v>
      </c>
      <c r="G2536" s="142" t="s">
        <v>221</v>
      </c>
      <c r="H2536" s="80" t="s">
        <v>8608</v>
      </c>
      <c r="I2536" s="17">
        <f ca="1">IFERROR(__xludf.DUMMYFUNCTION("""COMPUTED_VALUE"""),45527)</f>
        <v>45527</v>
      </c>
      <c r="J2536" s="29" t="s">
        <v>6693</v>
      </c>
      <c r="K2536" s="26" t="s">
        <v>6694</v>
      </c>
      <c r="L2536" s="30">
        <v>918464995</v>
      </c>
      <c r="M2536" s="26" t="s">
        <v>3728</v>
      </c>
      <c r="N2536" s="26" t="s">
        <v>5377</v>
      </c>
      <c r="O2536" s="26" t="s">
        <v>6695</v>
      </c>
      <c r="P2536" s="42" t="s">
        <v>8996</v>
      </c>
      <c r="Q2536" s="20">
        <v>15936</v>
      </c>
      <c r="R2536" s="26" t="s">
        <v>36</v>
      </c>
      <c r="S2536" s="31">
        <v>2000</v>
      </c>
      <c r="T2536" s="32">
        <v>45287</v>
      </c>
      <c r="U2536" s="31">
        <v>13936</v>
      </c>
      <c r="V2536" s="32">
        <v>45322</v>
      </c>
      <c r="W2536" s="33" t="s">
        <v>6697</v>
      </c>
      <c r="X2536" s="26">
        <v>0</v>
      </c>
      <c r="Y2536" s="22">
        <v>0</v>
      </c>
      <c r="Z2536" s="98" t="s">
        <v>118</v>
      </c>
      <c r="AA2536" s="19" t="s">
        <v>6079</v>
      </c>
      <c r="AB2536" s="26" t="s">
        <v>36</v>
      </c>
      <c r="AC2536" s="26" t="s">
        <v>53</v>
      </c>
      <c r="AD2536" s="19" t="s">
        <v>54</v>
      </c>
      <c r="AE2536" s="80" t="s">
        <v>6596</v>
      </c>
      <c r="AF2536" s="17">
        <v>45520</v>
      </c>
      <c r="AG2536" s="26"/>
      <c r="AH2536" s="26"/>
      <c r="AI2536" s="40" t="s">
        <v>147</v>
      </c>
      <c r="AJ2536" s="26"/>
      <c r="AK2536" s="26"/>
      <c r="AL2536" s="35"/>
      <c r="AM2536" s="35"/>
      <c r="AN2536" s="35"/>
      <c r="AO2536" s="35"/>
      <c r="AP2536" s="35"/>
    </row>
    <row r="2537" spans="1:42" x14ac:dyDescent="0.2">
      <c r="A2537" s="14">
        <v>45510</v>
      </c>
      <c r="B2537" s="28" t="s">
        <v>37</v>
      </c>
      <c r="C2537" s="41" t="s">
        <v>118</v>
      </c>
      <c r="D2537" s="26" t="s">
        <v>36</v>
      </c>
      <c r="E2537" s="26" t="s">
        <v>139</v>
      </c>
      <c r="F2537" s="26" t="s">
        <v>8093</v>
      </c>
      <c r="G2537" s="142" t="s">
        <v>221</v>
      </c>
      <c r="H2537" s="80" t="s">
        <v>8608</v>
      </c>
      <c r="I2537" s="17">
        <f ca="1">IFERROR(__xludf.DUMMYFUNCTION("""COMPUTED_VALUE"""),45527)</f>
        <v>45527</v>
      </c>
      <c r="J2537" s="29" t="s">
        <v>7822</v>
      </c>
      <c r="K2537" s="26" t="s">
        <v>7823</v>
      </c>
      <c r="L2537" s="30">
        <v>867039636</v>
      </c>
      <c r="M2537" s="26" t="s">
        <v>45</v>
      </c>
      <c r="N2537" s="26" t="s">
        <v>571</v>
      </c>
      <c r="O2537" s="26" t="s">
        <v>7824</v>
      </c>
      <c r="P2537" s="42" t="s">
        <v>8094</v>
      </c>
      <c r="Q2537" s="20">
        <v>15936</v>
      </c>
      <c r="R2537" s="26" t="s">
        <v>36</v>
      </c>
      <c r="S2537" s="31">
        <v>1000</v>
      </c>
      <c r="T2537" s="32">
        <v>45366</v>
      </c>
      <c r="U2537" s="31">
        <f>8317+6619</f>
        <v>14936</v>
      </c>
      <c r="V2537" s="26" t="s">
        <v>7826</v>
      </c>
      <c r="W2537" s="33" t="s">
        <v>7827</v>
      </c>
      <c r="X2537" s="26"/>
      <c r="Y2537" s="22">
        <v>0</v>
      </c>
      <c r="Z2537" s="98" t="s">
        <v>118</v>
      </c>
      <c r="AA2537" s="19" t="s">
        <v>7361</v>
      </c>
      <c r="AB2537" s="26" t="s">
        <v>36</v>
      </c>
      <c r="AC2537" s="26" t="s">
        <v>53</v>
      </c>
      <c r="AD2537" s="19" t="s">
        <v>54</v>
      </c>
      <c r="AE2537" s="26" t="s">
        <v>8093</v>
      </c>
      <c r="AF2537" s="17">
        <v>45520</v>
      </c>
      <c r="AG2537" s="26"/>
      <c r="AH2537" s="26"/>
      <c r="AI2537" s="40"/>
      <c r="AJ2537" s="26"/>
      <c r="AK2537" s="26"/>
      <c r="AL2537" s="35"/>
      <c r="AM2537" s="35"/>
      <c r="AN2537" s="35"/>
      <c r="AO2537" s="35"/>
      <c r="AP2537" s="35"/>
    </row>
    <row r="2538" spans="1:42" x14ac:dyDescent="0.2">
      <c r="A2538" s="14">
        <v>45510</v>
      </c>
      <c r="B2538" s="28" t="s">
        <v>37</v>
      </c>
      <c r="C2538" s="41" t="s">
        <v>118</v>
      </c>
      <c r="D2538" s="26" t="s">
        <v>36</v>
      </c>
      <c r="E2538" s="26" t="s">
        <v>139</v>
      </c>
      <c r="F2538" s="26" t="s">
        <v>4869</v>
      </c>
      <c r="G2538" s="142" t="s">
        <v>221</v>
      </c>
      <c r="H2538" s="26" t="s">
        <v>8997</v>
      </c>
      <c r="I2538" s="17">
        <f ca="1">IFERROR(__xludf.DUMMYFUNCTION("""COMPUTED_VALUE"""),45526)</f>
        <v>45526</v>
      </c>
      <c r="J2538" s="29" t="s">
        <v>3614</v>
      </c>
      <c r="K2538" s="26" t="s">
        <v>124</v>
      </c>
      <c r="L2538" s="30">
        <v>345486753</v>
      </c>
      <c r="M2538" s="26" t="s">
        <v>80</v>
      </c>
      <c r="N2538" s="26" t="s">
        <v>81</v>
      </c>
      <c r="O2538" s="26" t="s">
        <v>3615</v>
      </c>
      <c r="P2538" s="26" t="s">
        <v>2641</v>
      </c>
      <c r="Q2538" s="20">
        <v>15936</v>
      </c>
      <c r="R2538" s="26" t="s">
        <v>36</v>
      </c>
      <c r="S2538" s="31">
        <v>2000</v>
      </c>
      <c r="T2538" s="32">
        <v>45185</v>
      </c>
      <c r="U2538" s="31">
        <v>13936</v>
      </c>
      <c r="V2538" s="32">
        <v>45209</v>
      </c>
      <c r="W2538" s="33" t="s">
        <v>3617</v>
      </c>
      <c r="X2538" s="26"/>
      <c r="Y2538" s="22">
        <v>0</v>
      </c>
      <c r="Z2538" s="26" t="s">
        <v>118</v>
      </c>
      <c r="AA2538" s="19" t="s">
        <v>5785</v>
      </c>
      <c r="AB2538" s="26" t="s">
        <v>36</v>
      </c>
      <c r="AC2538" s="26" t="s">
        <v>53</v>
      </c>
      <c r="AD2538" s="19" t="s">
        <v>138</v>
      </c>
      <c r="AE2538" s="26" t="s">
        <v>4869</v>
      </c>
      <c r="AF2538" s="17">
        <v>45526</v>
      </c>
      <c r="AG2538" s="26" t="s">
        <v>1362</v>
      </c>
      <c r="AH2538" s="26"/>
      <c r="AI2538" s="40" t="s">
        <v>147</v>
      </c>
      <c r="AJ2538" s="26"/>
      <c r="AK2538" s="26"/>
      <c r="AL2538" s="35"/>
      <c r="AM2538" s="35"/>
      <c r="AN2538" s="35"/>
      <c r="AO2538" s="35"/>
      <c r="AP2538" s="35"/>
    </row>
    <row r="2539" spans="1:42" x14ac:dyDescent="0.2">
      <c r="A2539" s="14">
        <v>45510</v>
      </c>
      <c r="B2539" s="28" t="s">
        <v>37</v>
      </c>
      <c r="C2539" s="41" t="s">
        <v>118</v>
      </c>
      <c r="D2539" s="26" t="s">
        <v>36</v>
      </c>
      <c r="E2539" s="26" t="s">
        <v>56</v>
      </c>
      <c r="F2539" s="26" t="s">
        <v>3439</v>
      </c>
      <c r="G2539" s="142" t="s">
        <v>221</v>
      </c>
      <c r="H2539" s="26" t="s">
        <v>8997</v>
      </c>
      <c r="I2539" s="17">
        <f ca="1">IFERROR(__xludf.DUMMYFUNCTION("""COMPUTED_VALUE"""),45526)</f>
        <v>45526</v>
      </c>
      <c r="J2539" s="29" t="s">
        <v>7845</v>
      </c>
      <c r="K2539" s="26" t="s">
        <v>7846</v>
      </c>
      <c r="L2539" s="30">
        <v>969181241</v>
      </c>
      <c r="M2539" s="26" t="s">
        <v>2755</v>
      </c>
      <c r="N2539" s="26" t="s">
        <v>2756</v>
      </c>
      <c r="O2539" s="26" t="s">
        <v>4503</v>
      </c>
      <c r="P2539" s="26" t="s">
        <v>7847</v>
      </c>
      <c r="Q2539" s="20">
        <v>9317</v>
      </c>
      <c r="R2539" s="26" t="s">
        <v>1106</v>
      </c>
      <c r="S2539" s="31">
        <v>4000</v>
      </c>
      <c r="T2539" s="26" t="s">
        <v>7848</v>
      </c>
      <c r="U2539" s="31">
        <v>5167</v>
      </c>
      <c r="V2539" s="32">
        <v>45382</v>
      </c>
      <c r="W2539" s="26" t="s">
        <v>7849</v>
      </c>
      <c r="X2539" s="26"/>
      <c r="Y2539" s="22">
        <v>150</v>
      </c>
      <c r="Z2539" s="98" t="s">
        <v>118</v>
      </c>
      <c r="AA2539" s="19" t="s">
        <v>7361</v>
      </c>
      <c r="AB2539" s="26" t="s">
        <v>36</v>
      </c>
      <c r="AC2539" s="26" t="s">
        <v>53</v>
      </c>
      <c r="AD2539" s="19" t="s">
        <v>138</v>
      </c>
      <c r="AE2539" s="26" t="s">
        <v>3439</v>
      </c>
      <c r="AF2539" s="17">
        <v>45526</v>
      </c>
      <c r="AG2539" s="26" t="s">
        <v>1362</v>
      </c>
      <c r="AH2539" s="26"/>
      <c r="AI2539" s="40"/>
      <c r="AJ2539" s="26"/>
      <c r="AK2539" s="26"/>
      <c r="AL2539" s="35"/>
      <c r="AM2539" s="35"/>
      <c r="AN2539" s="35"/>
      <c r="AO2539" s="35"/>
      <c r="AP2539" s="35"/>
    </row>
    <row r="2540" spans="1:42" x14ac:dyDescent="0.2">
      <c r="A2540" s="14">
        <v>45510</v>
      </c>
      <c r="B2540" s="28" t="s">
        <v>37</v>
      </c>
      <c r="C2540" s="41" t="s">
        <v>118</v>
      </c>
      <c r="D2540" s="26" t="s">
        <v>36</v>
      </c>
      <c r="E2540" s="26" t="s">
        <v>139</v>
      </c>
      <c r="F2540" s="26" t="s">
        <v>6570</v>
      </c>
      <c r="G2540" s="26" t="s">
        <v>1705</v>
      </c>
      <c r="H2540" s="26" t="s">
        <v>8915</v>
      </c>
      <c r="I2540" s="17">
        <f ca="1">IFERROR(__xludf.DUMMYFUNCTION("""COMPUTED_VALUE"""),45516)</f>
        <v>45516</v>
      </c>
      <c r="J2540" s="29" t="s">
        <v>1264</v>
      </c>
      <c r="K2540" s="26" t="s">
        <v>4732</v>
      </c>
      <c r="L2540" s="30">
        <v>965227970</v>
      </c>
      <c r="M2540" s="26" t="s">
        <v>123</v>
      </c>
      <c r="N2540" s="26" t="s">
        <v>310</v>
      </c>
      <c r="O2540" s="26" t="s">
        <v>91</v>
      </c>
      <c r="P2540" s="42" t="s">
        <v>8924</v>
      </c>
      <c r="Q2540" s="20">
        <v>15936</v>
      </c>
      <c r="R2540" s="26" t="s">
        <v>36</v>
      </c>
      <c r="S2540" s="31">
        <v>2000</v>
      </c>
      <c r="T2540" s="32">
        <v>45141</v>
      </c>
      <c r="U2540" s="31">
        <v>13936</v>
      </c>
      <c r="V2540" s="32">
        <v>45164</v>
      </c>
      <c r="W2540" s="55" t="s">
        <v>1267</v>
      </c>
      <c r="X2540" s="26">
        <v>0</v>
      </c>
      <c r="Y2540" s="22">
        <v>0</v>
      </c>
      <c r="Z2540" s="26" t="s">
        <v>118</v>
      </c>
      <c r="AA2540" s="19" t="s">
        <v>4541</v>
      </c>
      <c r="AB2540" s="26" t="s">
        <v>36</v>
      </c>
      <c r="AC2540" s="26" t="s">
        <v>53</v>
      </c>
      <c r="AD2540" s="19" t="s">
        <v>54</v>
      </c>
      <c r="AE2540" s="26" t="s">
        <v>6570</v>
      </c>
      <c r="AF2540" s="17">
        <v>45511</v>
      </c>
      <c r="AG2540" s="26"/>
      <c r="AH2540" s="26"/>
      <c r="AI2540" s="40"/>
      <c r="AJ2540" s="26"/>
      <c r="AK2540" s="26"/>
      <c r="AL2540" s="35"/>
      <c r="AM2540" s="35"/>
      <c r="AN2540" s="35"/>
      <c r="AO2540" s="35"/>
      <c r="AP2540" s="35"/>
    </row>
    <row r="2541" spans="1:42" x14ac:dyDescent="0.2">
      <c r="A2541" s="14">
        <v>45510</v>
      </c>
      <c r="B2541" s="28" t="s">
        <v>37</v>
      </c>
      <c r="C2541" s="41" t="s">
        <v>118</v>
      </c>
      <c r="D2541" s="26" t="s">
        <v>36</v>
      </c>
      <c r="E2541" s="26" t="s">
        <v>139</v>
      </c>
      <c r="F2541" s="26" t="s">
        <v>889</v>
      </c>
      <c r="G2541" s="142" t="s">
        <v>221</v>
      </c>
      <c r="H2541" s="26" t="s">
        <v>8997</v>
      </c>
      <c r="I2541" s="17">
        <f ca="1">IFERROR(__xludf.DUMMYFUNCTION("""COMPUTED_VALUE"""),45526)</f>
        <v>45526</v>
      </c>
      <c r="J2541" s="29" t="s">
        <v>5528</v>
      </c>
      <c r="K2541" s="26" t="s">
        <v>5529</v>
      </c>
      <c r="L2541" s="30">
        <v>374653416</v>
      </c>
      <c r="M2541" s="26" t="s">
        <v>5429</v>
      </c>
      <c r="N2541" s="26" t="s">
        <v>81</v>
      </c>
      <c r="O2541" s="26" t="s">
        <v>1492</v>
      </c>
      <c r="P2541" s="42" t="s">
        <v>6617</v>
      </c>
      <c r="Q2541" s="20">
        <v>15936</v>
      </c>
      <c r="R2541" s="26" t="s">
        <v>36</v>
      </c>
      <c r="S2541" s="31">
        <v>15936</v>
      </c>
      <c r="T2541" s="32">
        <v>45233</v>
      </c>
      <c r="U2541" s="31"/>
      <c r="V2541" s="26"/>
      <c r="W2541" s="33" t="s">
        <v>5530</v>
      </c>
      <c r="X2541" s="26"/>
      <c r="Y2541" s="22">
        <v>0</v>
      </c>
      <c r="Z2541" s="26" t="s">
        <v>118</v>
      </c>
      <c r="AA2541" s="19" t="s">
        <v>5112</v>
      </c>
      <c r="AB2541" s="26" t="s">
        <v>36</v>
      </c>
      <c r="AC2541" s="26" t="s">
        <v>53</v>
      </c>
      <c r="AD2541" s="19" t="s">
        <v>138</v>
      </c>
      <c r="AE2541" s="26" t="s">
        <v>889</v>
      </c>
      <c r="AF2541" s="17">
        <v>45526</v>
      </c>
      <c r="AG2541" s="26" t="s">
        <v>1362</v>
      </c>
      <c r="AH2541" s="26"/>
      <c r="AI2541" s="40" t="s">
        <v>147</v>
      </c>
      <c r="AJ2541" s="26"/>
      <c r="AK2541" s="26"/>
      <c r="AL2541" s="35"/>
      <c r="AM2541" s="35"/>
      <c r="AN2541" s="35"/>
      <c r="AO2541" s="35"/>
      <c r="AP2541" s="35"/>
    </row>
    <row r="2542" spans="1:42" x14ac:dyDescent="0.2">
      <c r="A2542" s="14">
        <v>45510</v>
      </c>
      <c r="B2542" s="28" t="s">
        <v>37</v>
      </c>
      <c r="C2542" s="41" t="s">
        <v>118</v>
      </c>
      <c r="D2542" s="26" t="s">
        <v>36</v>
      </c>
      <c r="E2542" s="26" t="s">
        <v>139</v>
      </c>
      <c r="F2542" s="26" t="s">
        <v>5106</v>
      </c>
      <c r="G2542" s="142" t="s">
        <v>221</v>
      </c>
      <c r="H2542" s="26" t="s">
        <v>8997</v>
      </c>
      <c r="I2542" s="17">
        <f ca="1">IFERROR(__xludf.DUMMYFUNCTION("""COMPUTED_VALUE"""),45526)</f>
        <v>45526</v>
      </c>
      <c r="J2542" s="29" t="s">
        <v>5417</v>
      </c>
      <c r="K2542" s="26" t="s">
        <v>5418</v>
      </c>
      <c r="L2542" s="30">
        <v>982648022</v>
      </c>
      <c r="M2542" s="26" t="s">
        <v>80</v>
      </c>
      <c r="N2542" s="26" t="s">
        <v>466</v>
      </c>
      <c r="O2542" s="26" t="s">
        <v>5419</v>
      </c>
      <c r="P2542" s="26" t="s">
        <v>3178</v>
      </c>
      <c r="Q2542" s="20">
        <v>15936</v>
      </c>
      <c r="R2542" s="26" t="s">
        <v>36</v>
      </c>
      <c r="S2542" s="31">
        <v>4000</v>
      </c>
      <c r="T2542" s="32">
        <v>45221</v>
      </c>
      <c r="U2542" s="31">
        <v>11836</v>
      </c>
      <c r="V2542" s="32">
        <v>45246</v>
      </c>
      <c r="W2542" s="33" t="s">
        <v>5420</v>
      </c>
      <c r="X2542" s="26"/>
      <c r="Y2542" s="22">
        <v>100</v>
      </c>
      <c r="Z2542" s="26" t="s">
        <v>118</v>
      </c>
      <c r="AA2542" s="19" t="s">
        <v>5785</v>
      </c>
      <c r="AB2542" s="26" t="s">
        <v>36</v>
      </c>
      <c r="AC2542" s="26" t="s">
        <v>53</v>
      </c>
      <c r="AD2542" s="19" t="s">
        <v>138</v>
      </c>
      <c r="AE2542" s="26" t="s">
        <v>5106</v>
      </c>
      <c r="AF2542" s="17">
        <v>45526</v>
      </c>
      <c r="AG2542" s="26" t="s">
        <v>1362</v>
      </c>
      <c r="AH2542" s="26"/>
      <c r="AI2542" s="40" t="s">
        <v>147</v>
      </c>
      <c r="AJ2542" s="26"/>
      <c r="AK2542" s="26"/>
      <c r="AL2542" s="35"/>
      <c r="AM2542" s="35"/>
      <c r="AN2542" s="35"/>
      <c r="AO2542" s="35"/>
      <c r="AP2542" s="35"/>
    </row>
    <row r="2543" spans="1:42" x14ac:dyDescent="0.2">
      <c r="A2543" s="14">
        <v>45510</v>
      </c>
      <c r="B2543" s="28" t="s">
        <v>37</v>
      </c>
      <c r="C2543" s="41" t="s">
        <v>118</v>
      </c>
      <c r="D2543" s="26" t="s">
        <v>36</v>
      </c>
      <c r="E2543" s="26" t="s">
        <v>56</v>
      </c>
      <c r="F2543" s="26" t="s">
        <v>3439</v>
      </c>
      <c r="G2543" s="142" t="s">
        <v>221</v>
      </c>
      <c r="H2543" s="26" t="s">
        <v>8997</v>
      </c>
      <c r="I2543" s="17">
        <f ca="1">IFERROR(__xludf.DUMMYFUNCTION("""COMPUTED_VALUE"""),45526)</f>
        <v>45526</v>
      </c>
      <c r="J2543" s="29" t="s">
        <v>8179</v>
      </c>
      <c r="K2543" s="26" t="s">
        <v>8180</v>
      </c>
      <c r="L2543" s="30">
        <v>987979075</v>
      </c>
      <c r="M2543" s="26" t="s">
        <v>2755</v>
      </c>
      <c r="N2543" s="26" t="s">
        <v>2756</v>
      </c>
      <c r="O2543" s="26" t="s">
        <v>4503</v>
      </c>
      <c r="P2543" s="26" t="s">
        <v>7847</v>
      </c>
      <c r="Q2543" s="20">
        <v>9317</v>
      </c>
      <c r="R2543" s="26" t="s">
        <v>1106</v>
      </c>
      <c r="S2543" s="31">
        <v>4000</v>
      </c>
      <c r="T2543" s="26" t="s">
        <v>8181</v>
      </c>
      <c r="U2543" s="31">
        <v>5167</v>
      </c>
      <c r="V2543" s="32">
        <v>45388</v>
      </c>
      <c r="W2543" s="26" t="s">
        <v>8182</v>
      </c>
      <c r="X2543" s="26"/>
      <c r="Y2543" s="22">
        <v>150</v>
      </c>
      <c r="Z2543" s="26" t="s">
        <v>118</v>
      </c>
      <c r="AA2543" s="19" t="s">
        <v>8317</v>
      </c>
      <c r="AB2543" s="26" t="s">
        <v>36</v>
      </c>
      <c r="AC2543" s="26" t="s">
        <v>53</v>
      </c>
      <c r="AD2543" s="19" t="s">
        <v>138</v>
      </c>
      <c r="AE2543" s="26" t="s">
        <v>3439</v>
      </c>
      <c r="AF2543" s="17">
        <v>45526</v>
      </c>
      <c r="AG2543" s="26" t="s">
        <v>1362</v>
      </c>
      <c r="AH2543" s="26"/>
      <c r="AI2543" s="40"/>
      <c r="AJ2543" s="26"/>
      <c r="AK2543" s="26"/>
      <c r="AL2543" s="35"/>
      <c r="AM2543" s="35"/>
      <c r="AN2543" s="35"/>
      <c r="AO2543" s="35"/>
      <c r="AP2543" s="35"/>
    </row>
    <row r="2544" spans="1:42" x14ac:dyDescent="0.2">
      <c r="A2544" s="14">
        <v>45510</v>
      </c>
      <c r="B2544" s="28" t="s">
        <v>37</v>
      </c>
      <c r="C2544" s="41" t="s">
        <v>118</v>
      </c>
      <c r="D2544" s="26" t="s">
        <v>36</v>
      </c>
      <c r="E2544" s="26" t="s">
        <v>139</v>
      </c>
      <c r="F2544" s="26" t="s">
        <v>3439</v>
      </c>
      <c r="G2544" s="142" t="s">
        <v>221</v>
      </c>
      <c r="H2544" s="26" t="s">
        <v>8997</v>
      </c>
      <c r="I2544" s="17">
        <f ca="1">IFERROR(__xludf.DUMMYFUNCTION("""COMPUTED_VALUE"""),45526)</f>
        <v>45526</v>
      </c>
      <c r="J2544" s="29" t="s">
        <v>7691</v>
      </c>
      <c r="K2544" s="26" t="s">
        <v>7692</v>
      </c>
      <c r="L2544" s="30">
        <v>394525016</v>
      </c>
      <c r="M2544" s="26" t="s">
        <v>5429</v>
      </c>
      <c r="N2544" s="26" t="s">
        <v>81</v>
      </c>
      <c r="O2544" s="26" t="s">
        <v>61</v>
      </c>
      <c r="P2544" s="26" t="s">
        <v>7693</v>
      </c>
      <c r="Q2544" s="20">
        <v>15936</v>
      </c>
      <c r="R2544" s="26" t="s">
        <v>36</v>
      </c>
      <c r="S2544" s="31">
        <v>15936</v>
      </c>
      <c r="T2544" s="32">
        <v>45353</v>
      </c>
      <c r="U2544" s="31"/>
      <c r="V2544" s="32"/>
      <c r="W2544" s="33" t="s">
        <v>7694</v>
      </c>
      <c r="X2544" s="26"/>
      <c r="Y2544" s="22">
        <v>0</v>
      </c>
      <c r="Z2544" s="98" t="s">
        <v>118</v>
      </c>
      <c r="AA2544" s="19" t="s">
        <v>7361</v>
      </c>
      <c r="AB2544" s="26" t="s">
        <v>36</v>
      </c>
      <c r="AC2544" s="26" t="s">
        <v>53</v>
      </c>
      <c r="AD2544" s="19" t="s">
        <v>138</v>
      </c>
      <c r="AE2544" s="26" t="s">
        <v>3439</v>
      </c>
      <c r="AF2544" s="17">
        <v>45526</v>
      </c>
      <c r="AG2544" s="26" t="s">
        <v>1362</v>
      </c>
      <c r="AH2544" s="26"/>
      <c r="AI2544" s="40"/>
      <c r="AJ2544" s="26"/>
      <c r="AK2544" s="26"/>
      <c r="AL2544" s="35"/>
      <c r="AM2544" s="35"/>
      <c r="AN2544" s="35"/>
      <c r="AO2544" s="35"/>
      <c r="AP2544" s="35"/>
    </row>
    <row r="2545" spans="1:42" x14ac:dyDescent="0.2">
      <c r="A2545" s="14">
        <v>45510</v>
      </c>
      <c r="B2545" s="28" t="s">
        <v>37</v>
      </c>
      <c r="C2545" s="41" t="s">
        <v>118</v>
      </c>
      <c r="D2545" s="26" t="s">
        <v>36</v>
      </c>
      <c r="E2545" s="26" t="s">
        <v>56</v>
      </c>
      <c r="F2545" s="26" t="s">
        <v>3439</v>
      </c>
      <c r="G2545" s="142" t="s">
        <v>221</v>
      </c>
      <c r="H2545" s="26" t="s">
        <v>8997</v>
      </c>
      <c r="I2545" s="17">
        <f ca="1">IFERROR(__xludf.DUMMYFUNCTION("""COMPUTED_VALUE"""),45526)</f>
        <v>45526</v>
      </c>
      <c r="J2545" s="29" t="s">
        <v>8183</v>
      </c>
      <c r="K2545" s="26" t="s">
        <v>8184</v>
      </c>
      <c r="L2545" s="30">
        <v>559921505</v>
      </c>
      <c r="M2545" s="26" t="s">
        <v>2755</v>
      </c>
      <c r="N2545" s="26" t="s">
        <v>2756</v>
      </c>
      <c r="O2545" s="26" t="s">
        <v>4503</v>
      </c>
      <c r="P2545" s="26" t="s">
        <v>7847</v>
      </c>
      <c r="Q2545" s="20">
        <v>9317</v>
      </c>
      <c r="R2545" s="26" t="s">
        <v>1106</v>
      </c>
      <c r="S2545" s="31">
        <v>4500</v>
      </c>
      <c r="T2545" s="32">
        <v>45371</v>
      </c>
      <c r="U2545" s="31">
        <v>4667</v>
      </c>
      <c r="V2545" s="32">
        <v>45389</v>
      </c>
      <c r="W2545" s="26" t="s">
        <v>8185</v>
      </c>
      <c r="X2545" s="26"/>
      <c r="Y2545" s="22">
        <v>150</v>
      </c>
      <c r="Z2545" s="98" t="s">
        <v>118</v>
      </c>
      <c r="AA2545" s="19" t="s">
        <v>8102</v>
      </c>
      <c r="AB2545" s="26" t="s">
        <v>36</v>
      </c>
      <c r="AC2545" s="26" t="s">
        <v>53</v>
      </c>
      <c r="AD2545" s="19" t="s">
        <v>138</v>
      </c>
      <c r="AE2545" s="26" t="s">
        <v>3439</v>
      </c>
      <c r="AF2545" s="17">
        <v>45526</v>
      </c>
      <c r="AG2545" s="26" t="s">
        <v>1362</v>
      </c>
      <c r="AH2545" s="26"/>
      <c r="AI2545" s="40"/>
      <c r="AJ2545" s="26"/>
      <c r="AK2545" s="26"/>
      <c r="AL2545" s="35"/>
      <c r="AM2545" s="35"/>
      <c r="AN2545" s="35"/>
      <c r="AO2545" s="35"/>
      <c r="AP2545" s="35"/>
    </row>
    <row r="2546" spans="1:42" x14ac:dyDescent="0.2">
      <c r="A2546" s="14">
        <v>45510</v>
      </c>
      <c r="B2546" s="28" t="s">
        <v>37</v>
      </c>
      <c r="C2546" s="41" t="s">
        <v>118</v>
      </c>
      <c r="D2546" s="26" t="s">
        <v>36</v>
      </c>
      <c r="E2546" s="26" t="s">
        <v>56</v>
      </c>
      <c r="F2546" s="26" t="s">
        <v>3439</v>
      </c>
      <c r="G2546" s="142" t="s">
        <v>221</v>
      </c>
      <c r="H2546" s="26" t="s">
        <v>8997</v>
      </c>
      <c r="I2546" s="17">
        <f ca="1">IFERROR(__xludf.DUMMYFUNCTION("""COMPUTED_VALUE"""),45526)</f>
        <v>45526</v>
      </c>
      <c r="J2546" s="56" t="s">
        <v>8176</v>
      </c>
      <c r="K2546" s="35" t="s">
        <v>8177</v>
      </c>
      <c r="L2546" s="30">
        <v>386450746</v>
      </c>
      <c r="M2546" s="26" t="s">
        <v>2755</v>
      </c>
      <c r="N2546" s="26" t="s">
        <v>2756</v>
      </c>
      <c r="O2546" s="26" t="s">
        <v>4503</v>
      </c>
      <c r="P2546" s="26" t="s">
        <v>7847</v>
      </c>
      <c r="Q2546" s="20">
        <v>9317</v>
      </c>
      <c r="R2546" s="26" t="s">
        <v>36</v>
      </c>
      <c r="S2546" s="31">
        <v>4000</v>
      </c>
      <c r="T2546" s="32">
        <v>45369</v>
      </c>
      <c r="U2546" s="31">
        <v>5317</v>
      </c>
      <c r="V2546" s="32">
        <v>45389</v>
      </c>
      <c r="W2546" s="33" t="s">
        <v>8178</v>
      </c>
      <c r="X2546" s="26"/>
      <c r="Y2546" s="22">
        <v>0</v>
      </c>
      <c r="Z2546" s="26" t="s">
        <v>118</v>
      </c>
      <c r="AA2546" s="19" t="s">
        <v>8317</v>
      </c>
      <c r="AB2546" s="26" t="s">
        <v>36</v>
      </c>
      <c r="AC2546" s="26" t="s">
        <v>53</v>
      </c>
      <c r="AD2546" s="19" t="s">
        <v>138</v>
      </c>
      <c r="AE2546" s="26" t="s">
        <v>3439</v>
      </c>
      <c r="AF2546" s="17">
        <v>45526</v>
      </c>
      <c r="AG2546" s="26" t="s">
        <v>1362</v>
      </c>
      <c r="AH2546" s="26"/>
      <c r="AI2546" s="40"/>
      <c r="AJ2546" s="26"/>
      <c r="AK2546" s="26"/>
      <c r="AL2546" s="35"/>
      <c r="AM2546" s="35"/>
      <c r="AN2546" s="35"/>
      <c r="AO2546" s="35"/>
      <c r="AP2546" s="35"/>
    </row>
    <row r="2547" spans="1:42" x14ac:dyDescent="0.2">
      <c r="A2547" s="14">
        <v>45510</v>
      </c>
      <c r="B2547" s="28" t="s">
        <v>37</v>
      </c>
      <c r="C2547" s="41" t="s">
        <v>118</v>
      </c>
      <c r="D2547" s="26" t="s">
        <v>36</v>
      </c>
      <c r="E2547" s="26" t="s">
        <v>56</v>
      </c>
      <c r="F2547" s="26" t="s">
        <v>3439</v>
      </c>
      <c r="G2547" s="142" t="s">
        <v>221</v>
      </c>
      <c r="H2547" s="26" t="s">
        <v>8997</v>
      </c>
      <c r="I2547" s="17">
        <f ca="1">IFERROR(__xludf.DUMMYFUNCTION("""COMPUTED_VALUE"""),45526)</f>
        <v>45526</v>
      </c>
      <c r="J2547" s="33" t="s">
        <v>7292</v>
      </c>
      <c r="K2547" s="26" t="s">
        <v>7293</v>
      </c>
      <c r="L2547" s="30">
        <v>812088688</v>
      </c>
      <c r="M2547" s="26" t="s">
        <v>59</v>
      </c>
      <c r="N2547" s="26" t="s">
        <v>403</v>
      </c>
      <c r="O2547" s="26" t="s">
        <v>7294</v>
      </c>
      <c r="P2547" s="26"/>
      <c r="Q2547" s="20">
        <v>9317</v>
      </c>
      <c r="R2547" s="26" t="s">
        <v>36</v>
      </c>
      <c r="S2547" s="31">
        <v>9317</v>
      </c>
      <c r="T2547" s="32">
        <v>45349</v>
      </c>
      <c r="U2547" s="31"/>
      <c r="V2547" s="32"/>
      <c r="W2547" s="33" t="s">
        <v>7295</v>
      </c>
      <c r="X2547" s="26"/>
      <c r="Y2547" s="22">
        <v>0</v>
      </c>
      <c r="Z2547" s="98" t="s">
        <v>118</v>
      </c>
      <c r="AA2547" s="19" t="s">
        <v>7077</v>
      </c>
      <c r="AB2547" s="26" t="s">
        <v>36</v>
      </c>
      <c r="AC2547" s="26" t="s">
        <v>53</v>
      </c>
      <c r="AD2547" s="19" t="s">
        <v>138</v>
      </c>
      <c r="AE2547" s="26" t="s">
        <v>3439</v>
      </c>
      <c r="AF2547" s="17">
        <v>45526</v>
      </c>
      <c r="AG2547" s="26" t="s">
        <v>1362</v>
      </c>
      <c r="AH2547" s="26"/>
      <c r="AI2547" s="40" t="s">
        <v>64</v>
      </c>
      <c r="AJ2547" s="26"/>
      <c r="AK2547" s="26"/>
      <c r="AL2547" s="35"/>
      <c r="AM2547" s="35"/>
      <c r="AN2547" s="35"/>
      <c r="AO2547" s="35"/>
      <c r="AP2547" s="35"/>
    </row>
    <row r="2548" spans="1:42" x14ac:dyDescent="0.2">
      <c r="A2548" s="14">
        <v>45510</v>
      </c>
      <c r="B2548" s="28" t="s">
        <v>37</v>
      </c>
      <c r="C2548" s="41" t="s">
        <v>118</v>
      </c>
      <c r="D2548" s="26" t="s">
        <v>36</v>
      </c>
      <c r="E2548" s="26" t="s">
        <v>56</v>
      </c>
      <c r="F2548" s="26" t="s">
        <v>7497</v>
      </c>
      <c r="G2548" s="161" t="s">
        <v>108</v>
      </c>
      <c r="H2548" s="80" t="s">
        <v>8986</v>
      </c>
      <c r="I2548" s="17">
        <f ca="1">IFERROR(__xludf.DUMMYFUNCTION("""COMPUTED_VALUE"""),45531)</f>
        <v>45531</v>
      </c>
      <c r="J2548" s="29" t="s">
        <v>8759</v>
      </c>
      <c r="K2548" s="26" t="s">
        <v>8760</v>
      </c>
      <c r="L2548" s="30">
        <v>346774302</v>
      </c>
      <c r="M2548" s="26" t="s">
        <v>3288</v>
      </c>
      <c r="N2548" s="26" t="s">
        <v>200</v>
      </c>
      <c r="O2548" s="26" t="s">
        <v>91</v>
      </c>
      <c r="P2548" s="26" t="s">
        <v>1830</v>
      </c>
      <c r="Q2548" s="20">
        <v>9317</v>
      </c>
      <c r="R2548" s="26" t="s">
        <v>36</v>
      </c>
      <c r="S2548" s="31">
        <v>4000</v>
      </c>
      <c r="T2548" s="32">
        <v>45455</v>
      </c>
      <c r="U2548" s="31">
        <v>5017</v>
      </c>
      <c r="V2548" s="32">
        <v>45465</v>
      </c>
      <c r="W2548" s="33" t="s">
        <v>8762</v>
      </c>
      <c r="X2548" s="26"/>
      <c r="Y2548" s="22">
        <v>300</v>
      </c>
      <c r="Z2548" s="98" t="s">
        <v>118</v>
      </c>
      <c r="AA2548" s="19" t="s">
        <v>8721</v>
      </c>
      <c r="AB2548" s="26" t="s">
        <v>36</v>
      </c>
      <c r="AC2548" s="26" t="s">
        <v>1828</v>
      </c>
      <c r="AD2548" s="19" t="s">
        <v>54</v>
      </c>
      <c r="AE2548" s="26" t="s">
        <v>7497</v>
      </c>
      <c r="AF2548" s="60" t="s">
        <v>1829</v>
      </c>
      <c r="AG2548" s="26" t="s">
        <v>1830</v>
      </c>
      <c r="AH2548" s="26"/>
      <c r="AI2548" s="40"/>
      <c r="AJ2548" s="26"/>
      <c r="AK2548" s="26"/>
      <c r="AL2548" s="35"/>
      <c r="AM2548" s="35"/>
      <c r="AN2548" s="35"/>
      <c r="AO2548" s="35"/>
      <c r="AP2548" s="35"/>
    </row>
    <row r="2549" spans="1:42" x14ac:dyDescent="0.2">
      <c r="A2549" s="14">
        <v>45510</v>
      </c>
      <c r="B2549" s="28" t="s">
        <v>37</v>
      </c>
      <c r="C2549" s="41" t="s">
        <v>118</v>
      </c>
      <c r="D2549" s="26" t="s">
        <v>36</v>
      </c>
      <c r="E2549" s="26" t="s">
        <v>119</v>
      </c>
      <c r="F2549" s="26" t="s">
        <v>4869</v>
      </c>
      <c r="G2549" s="142" t="s">
        <v>221</v>
      </c>
      <c r="H2549" s="26" t="s">
        <v>8997</v>
      </c>
      <c r="I2549" s="17">
        <f ca="1">IFERROR(__xludf.DUMMYFUNCTION("""COMPUTED_VALUE"""),45526)</f>
        <v>45526</v>
      </c>
      <c r="J2549" s="29" t="s">
        <v>6670</v>
      </c>
      <c r="K2549" s="26" t="s">
        <v>6671</v>
      </c>
      <c r="L2549" s="30">
        <v>334709508</v>
      </c>
      <c r="M2549" s="26" t="s">
        <v>3728</v>
      </c>
      <c r="N2549" s="26" t="s">
        <v>5277</v>
      </c>
      <c r="O2549" s="26" t="s">
        <v>6672</v>
      </c>
      <c r="P2549" s="26" t="s">
        <v>4126</v>
      </c>
      <c r="Q2549" s="20">
        <v>13968</v>
      </c>
      <c r="R2549" s="26" t="s">
        <v>36</v>
      </c>
      <c r="S2549" s="31">
        <v>500</v>
      </c>
      <c r="T2549" s="32">
        <v>45225</v>
      </c>
      <c r="U2549" s="31">
        <f>3500+9968</f>
        <v>13468</v>
      </c>
      <c r="V2549" s="26" t="s">
        <v>6673</v>
      </c>
      <c r="W2549" s="33" t="s">
        <v>6674</v>
      </c>
      <c r="X2549" s="26">
        <v>0</v>
      </c>
      <c r="Y2549" s="22">
        <v>0</v>
      </c>
      <c r="Z2549" s="98" t="s">
        <v>118</v>
      </c>
      <c r="AA2549" s="19" t="s">
        <v>6079</v>
      </c>
      <c r="AB2549" s="26" t="s">
        <v>36</v>
      </c>
      <c r="AC2549" s="26" t="s">
        <v>53</v>
      </c>
      <c r="AD2549" s="19" t="s">
        <v>138</v>
      </c>
      <c r="AE2549" s="26" t="s">
        <v>4869</v>
      </c>
      <c r="AF2549" s="17">
        <v>45526</v>
      </c>
      <c r="AG2549" s="26" t="s">
        <v>1362</v>
      </c>
      <c r="AH2549" s="26"/>
      <c r="AI2549" s="40">
        <v>4</v>
      </c>
      <c r="AJ2549" s="26"/>
      <c r="AK2549" s="26"/>
      <c r="AL2549" s="35"/>
      <c r="AM2549" s="35"/>
      <c r="AN2549" s="35"/>
      <c r="AO2549" s="35"/>
      <c r="AP2549" s="35"/>
    </row>
    <row r="2550" spans="1:42" x14ac:dyDescent="0.2">
      <c r="A2550" s="14">
        <v>45510</v>
      </c>
      <c r="B2550" s="28" t="s">
        <v>37</v>
      </c>
      <c r="C2550" s="41" t="s">
        <v>118</v>
      </c>
      <c r="D2550" s="26" t="s">
        <v>36</v>
      </c>
      <c r="E2550" s="26" t="s">
        <v>119</v>
      </c>
      <c r="F2550" s="26" t="s">
        <v>4931</v>
      </c>
      <c r="G2550" s="142" t="s">
        <v>221</v>
      </c>
      <c r="H2550" s="26" t="s">
        <v>8997</v>
      </c>
      <c r="I2550" s="17">
        <f ca="1">IFERROR(__xludf.DUMMYFUNCTION("""COMPUTED_VALUE"""),45526)</f>
        <v>45526</v>
      </c>
      <c r="J2550" s="29" t="s">
        <v>8199</v>
      </c>
      <c r="K2550" s="26" t="s">
        <v>1645</v>
      </c>
      <c r="L2550" s="30">
        <v>563352876</v>
      </c>
      <c r="M2550" s="26" t="s">
        <v>5429</v>
      </c>
      <c r="N2550" s="26" t="s">
        <v>81</v>
      </c>
      <c r="O2550" s="26" t="s">
        <v>8200</v>
      </c>
      <c r="P2550" s="26" t="s">
        <v>8201</v>
      </c>
      <c r="Q2550" s="20">
        <v>13968</v>
      </c>
      <c r="R2550" s="26" t="s">
        <v>36</v>
      </c>
      <c r="S2550" s="31">
        <v>4000</v>
      </c>
      <c r="T2550" s="32">
        <v>45381</v>
      </c>
      <c r="U2550" s="31">
        <v>10000</v>
      </c>
      <c r="V2550" s="32">
        <v>45393</v>
      </c>
      <c r="W2550" s="33" t="s">
        <v>8202</v>
      </c>
      <c r="X2550" s="26"/>
      <c r="Y2550" s="22">
        <v>-32</v>
      </c>
      <c r="Z2550" s="98" t="s">
        <v>118</v>
      </c>
      <c r="AA2550" s="19" t="s">
        <v>8102</v>
      </c>
      <c r="AB2550" s="26" t="s">
        <v>36</v>
      </c>
      <c r="AC2550" s="26" t="s">
        <v>53</v>
      </c>
      <c r="AD2550" s="19" t="s">
        <v>138</v>
      </c>
      <c r="AE2550" s="26" t="s">
        <v>4931</v>
      </c>
      <c r="AF2550" s="17">
        <v>45526</v>
      </c>
      <c r="AG2550" s="26" t="s">
        <v>1362</v>
      </c>
      <c r="AH2550" s="26" t="s">
        <v>8193</v>
      </c>
      <c r="AI2550" s="40"/>
      <c r="AJ2550" s="26"/>
      <c r="AK2550" s="26"/>
      <c r="AL2550" s="35"/>
      <c r="AM2550" s="35"/>
      <c r="AN2550" s="35"/>
      <c r="AO2550" s="35"/>
      <c r="AP2550" s="35"/>
    </row>
    <row r="2551" spans="1:42" x14ac:dyDescent="0.2">
      <c r="A2551" s="14">
        <v>45510</v>
      </c>
      <c r="B2551" s="28" t="s">
        <v>37</v>
      </c>
      <c r="C2551" s="41" t="s">
        <v>118</v>
      </c>
      <c r="D2551" s="26" t="s">
        <v>36</v>
      </c>
      <c r="E2551" s="26" t="s">
        <v>119</v>
      </c>
      <c r="F2551" s="26" t="s">
        <v>4931</v>
      </c>
      <c r="G2551" s="142" t="s">
        <v>221</v>
      </c>
      <c r="H2551" s="26" t="s">
        <v>8997</v>
      </c>
      <c r="I2551" s="17">
        <f ca="1">IFERROR(__xludf.DUMMYFUNCTION("""COMPUTED_VALUE"""),45526)</f>
        <v>45526</v>
      </c>
      <c r="J2551" s="29" t="s">
        <v>8190</v>
      </c>
      <c r="K2551" s="26" t="s">
        <v>8191</v>
      </c>
      <c r="L2551" s="30">
        <v>904266048</v>
      </c>
      <c r="M2551" s="26" t="s">
        <v>80</v>
      </c>
      <c r="N2551" s="26" t="s">
        <v>1073</v>
      </c>
      <c r="O2551" s="26" t="s">
        <v>1492</v>
      </c>
      <c r="P2551" s="26" t="s">
        <v>3178</v>
      </c>
      <c r="Q2551" s="20">
        <v>13968</v>
      </c>
      <c r="R2551" s="26" t="s">
        <v>36</v>
      </c>
      <c r="S2551" s="31">
        <v>4000</v>
      </c>
      <c r="T2551" s="32">
        <v>45378</v>
      </c>
      <c r="U2551" s="31">
        <v>9968</v>
      </c>
      <c r="V2551" s="32">
        <v>45022</v>
      </c>
      <c r="W2551" s="33" t="s">
        <v>8192</v>
      </c>
      <c r="X2551" s="26"/>
      <c r="Y2551" s="22">
        <v>0</v>
      </c>
      <c r="Z2551" s="98" t="s">
        <v>118</v>
      </c>
      <c r="AA2551" s="19" t="s">
        <v>8102</v>
      </c>
      <c r="AB2551" s="26" t="s">
        <v>36</v>
      </c>
      <c r="AC2551" s="26" t="s">
        <v>53</v>
      </c>
      <c r="AD2551" s="19" t="s">
        <v>138</v>
      </c>
      <c r="AE2551" s="26" t="s">
        <v>4931</v>
      </c>
      <c r="AF2551" s="17">
        <v>45526</v>
      </c>
      <c r="AG2551" s="26" t="s">
        <v>1362</v>
      </c>
      <c r="AH2551" s="26" t="s">
        <v>8193</v>
      </c>
      <c r="AI2551" s="40"/>
      <c r="AJ2551" s="26"/>
      <c r="AK2551" s="26"/>
      <c r="AL2551" s="35"/>
      <c r="AM2551" s="35"/>
      <c r="AN2551" s="35"/>
      <c r="AO2551" s="35"/>
      <c r="AP2551" s="35"/>
    </row>
    <row r="2552" spans="1:42" x14ac:dyDescent="0.2">
      <c r="A2552" s="14">
        <v>45510</v>
      </c>
      <c r="B2552" s="28" t="s">
        <v>37</v>
      </c>
      <c r="C2552" s="41" t="s">
        <v>118</v>
      </c>
      <c r="D2552" s="26" t="s">
        <v>36</v>
      </c>
      <c r="E2552" s="26" t="s">
        <v>139</v>
      </c>
      <c r="F2552" s="26" t="s">
        <v>7355</v>
      </c>
      <c r="G2552" s="142" t="s">
        <v>221</v>
      </c>
      <c r="H2552" s="26" t="s">
        <v>8997</v>
      </c>
      <c r="I2552" s="17">
        <f ca="1">IFERROR(__xludf.DUMMYFUNCTION("""COMPUTED_VALUE"""),45526)</f>
        <v>45526</v>
      </c>
      <c r="J2552" s="29" t="s">
        <v>6793</v>
      </c>
      <c r="K2552" s="26" t="s">
        <v>6794</v>
      </c>
      <c r="L2552" s="30">
        <v>373857615</v>
      </c>
      <c r="M2552" s="26" t="s">
        <v>292</v>
      </c>
      <c r="N2552" s="26" t="s">
        <v>1232</v>
      </c>
      <c r="O2552" s="67" t="s">
        <v>6795</v>
      </c>
      <c r="P2552" s="26" t="s">
        <v>6796</v>
      </c>
      <c r="Q2552" s="20">
        <v>15936</v>
      </c>
      <c r="R2552" s="26" t="s">
        <v>36</v>
      </c>
      <c r="S2552" s="31">
        <v>15936</v>
      </c>
      <c r="T2552" s="32">
        <v>45302</v>
      </c>
      <c r="U2552" s="31"/>
      <c r="V2552" s="32"/>
      <c r="W2552" s="33" t="s">
        <v>6797</v>
      </c>
      <c r="X2552" s="26">
        <v>0</v>
      </c>
      <c r="Y2552" s="22">
        <v>0</v>
      </c>
      <c r="Z2552" s="26" t="s">
        <v>118</v>
      </c>
      <c r="AA2552" s="19" t="s">
        <v>7030</v>
      </c>
      <c r="AB2552" s="26"/>
      <c r="AC2552" s="26" t="s">
        <v>53</v>
      </c>
      <c r="AD2552" s="19" t="s">
        <v>138</v>
      </c>
      <c r="AE2552" s="26" t="s">
        <v>7355</v>
      </c>
      <c r="AF2552" s="17">
        <v>45526</v>
      </c>
      <c r="AG2552" s="26" t="s">
        <v>1362</v>
      </c>
      <c r="AH2552" s="26"/>
      <c r="AI2552" s="40" t="s">
        <v>147</v>
      </c>
      <c r="AJ2552" s="26"/>
      <c r="AK2552" s="26"/>
      <c r="AL2552" s="35"/>
      <c r="AM2552" s="35"/>
      <c r="AN2552" s="35"/>
      <c r="AO2552" s="35"/>
      <c r="AP2552" s="35"/>
    </row>
    <row r="2553" spans="1:42" x14ac:dyDescent="0.2">
      <c r="A2553" s="14">
        <v>45510</v>
      </c>
      <c r="B2553" s="28" t="s">
        <v>37</v>
      </c>
      <c r="C2553" s="41" t="s">
        <v>118</v>
      </c>
      <c r="D2553" s="26" t="s">
        <v>36</v>
      </c>
      <c r="E2553" s="26" t="s">
        <v>139</v>
      </c>
      <c r="F2553" s="26" t="s">
        <v>3439</v>
      </c>
      <c r="G2553" s="142" t="s">
        <v>221</v>
      </c>
      <c r="H2553" s="26" t="s">
        <v>8997</v>
      </c>
      <c r="I2553" s="17">
        <f ca="1">IFERROR(__xludf.DUMMYFUNCTION("""COMPUTED_VALUE"""),45526)</f>
        <v>45526</v>
      </c>
      <c r="J2553" s="29" t="s">
        <v>7104</v>
      </c>
      <c r="K2553" s="26" t="s">
        <v>8087</v>
      </c>
      <c r="L2553" s="30">
        <v>328703762</v>
      </c>
      <c r="M2553" s="26" t="s">
        <v>5429</v>
      </c>
      <c r="N2553" s="26" t="s">
        <v>81</v>
      </c>
      <c r="O2553" s="26" t="s">
        <v>7106</v>
      </c>
      <c r="P2553" s="26" t="s">
        <v>7107</v>
      </c>
      <c r="Q2553" s="20">
        <v>15936</v>
      </c>
      <c r="R2553" s="26" t="s">
        <v>70</v>
      </c>
      <c r="S2553" s="31">
        <v>2000</v>
      </c>
      <c r="T2553" s="32">
        <v>45299</v>
      </c>
      <c r="U2553" s="31">
        <v>13236</v>
      </c>
      <c r="V2553" s="32">
        <v>45333</v>
      </c>
      <c r="W2553" s="33" t="s">
        <v>7108</v>
      </c>
      <c r="X2553" s="26"/>
      <c r="Y2553" s="22">
        <v>700</v>
      </c>
      <c r="Z2553" s="98" t="s">
        <v>118</v>
      </c>
      <c r="AA2553" s="19" t="s">
        <v>7077</v>
      </c>
      <c r="AB2553" s="26" t="s">
        <v>36</v>
      </c>
      <c r="AC2553" s="26" t="s">
        <v>53</v>
      </c>
      <c r="AD2553" s="19" t="s">
        <v>138</v>
      </c>
      <c r="AE2553" s="26" t="s">
        <v>3439</v>
      </c>
      <c r="AF2553" s="17">
        <v>45526</v>
      </c>
      <c r="AG2553" s="26" t="s">
        <v>1362</v>
      </c>
      <c r="AH2553" s="26"/>
      <c r="AI2553" s="40" t="s">
        <v>147</v>
      </c>
      <c r="AJ2553" s="26"/>
      <c r="AK2553" s="26"/>
      <c r="AL2553" s="35"/>
      <c r="AM2553" s="35"/>
      <c r="AN2553" s="35"/>
      <c r="AO2553" s="35"/>
      <c r="AP2553" s="35"/>
    </row>
    <row r="2554" spans="1:42" x14ac:dyDescent="0.2">
      <c r="A2554" s="14">
        <v>45510</v>
      </c>
      <c r="B2554" s="28" t="s">
        <v>37</v>
      </c>
      <c r="C2554" s="41" t="s">
        <v>118</v>
      </c>
      <c r="D2554" s="80" t="s">
        <v>36</v>
      </c>
      <c r="E2554" s="80" t="s">
        <v>139</v>
      </c>
      <c r="F2554" s="26" t="s">
        <v>3439</v>
      </c>
      <c r="G2554" s="142" t="s">
        <v>221</v>
      </c>
      <c r="H2554" s="26" t="s">
        <v>8997</v>
      </c>
      <c r="I2554" s="17">
        <f ca="1">IFERROR(__xludf.DUMMYFUNCTION("""COMPUTED_VALUE"""),45526)</f>
        <v>45526</v>
      </c>
      <c r="J2554" s="163" t="s">
        <v>8126</v>
      </c>
      <c r="K2554" s="86" t="s">
        <v>8127</v>
      </c>
      <c r="L2554" s="30">
        <v>339320314</v>
      </c>
      <c r="M2554" s="80" t="s">
        <v>80</v>
      </c>
      <c r="N2554" s="80" t="s">
        <v>466</v>
      </c>
      <c r="O2554" s="80" t="s">
        <v>8128</v>
      </c>
      <c r="P2554" s="80" t="s">
        <v>2641</v>
      </c>
      <c r="Q2554" s="20">
        <v>15936</v>
      </c>
      <c r="R2554" s="80" t="s">
        <v>36</v>
      </c>
      <c r="S2554" s="77">
        <v>4000</v>
      </c>
      <c r="T2554" s="78">
        <v>45349</v>
      </c>
      <c r="U2554" s="77">
        <v>11936</v>
      </c>
      <c r="V2554" s="78">
        <v>45390</v>
      </c>
      <c r="W2554" s="85" t="s">
        <v>8129</v>
      </c>
      <c r="X2554" s="80"/>
      <c r="Y2554" s="22">
        <v>0</v>
      </c>
      <c r="Z2554" s="41" t="s">
        <v>118</v>
      </c>
      <c r="AA2554" s="145" t="s">
        <v>8317</v>
      </c>
      <c r="AB2554" s="80" t="s">
        <v>36</v>
      </c>
      <c r="AC2554" s="80" t="s">
        <v>53</v>
      </c>
      <c r="AD2554" s="157" t="s">
        <v>138</v>
      </c>
      <c r="AE2554" s="26" t="s">
        <v>3439</v>
      </c>
      <c r="AF2554" s="17">
        <v>45526</v>
      </c>
      <c r="AG2554" s="26" t="s">
        <v>1362</v>
      </c>
      <c r="AH2554" s="80"/>
      <c r="AI2554" s="147"/>
      <c r="AJ2554" s="80"/>
      <c r="AK2554" s="80"/>
      <c r="AL2554" s="86"/>
      <c r="AM2554" s="86"/>
      <c r="AN2554" s="86"/>
      <c r="AO2554" s="86"/>
      <c r="AP2554" s="86"/>
    </row>
    <row r="2555" spans="1:42" x14ac:dyDescent="0.2">
      <c r="A2555" s="14">
        <v>45510</v>
      </c>
      <c r="B2555" s="28" t="s">
        <v>37</v>
      </c>
      <c r="C2555" s="41" t="s">
        <v>118</v>
      </c>
      <c r="D2555" s="26" t="s">
        <v>36</v>
      </c>
      <c r="E2555" s="26" t="s">
        <v>119</v>
      </c>
      <c r="F2555" s="26" t="s">
        <v>4275</v>
      </c>
      <c r="G2555" s="26" t="s">
        <v>1705</v>
      </c>
      <c r="H2555" s="26" t="s">
        <v>8998</v>
      </c>
      <c r="I2555" s="17">
        <f ca="1">IFERROR(__xludf.DUMMYFUNCTION("""COMPUTED_VALUE"""),45714)</f>
        <v>45714</v>
      </c>
      <c r="J2555" s="29" t="s">
        <v>3777</v>
      </c>
      <c r="K2555" s="19" t="s">
        <v>8999</v>
      </c>
      <c r="L2555" s="47">
        <v>877938553</v>
      </c>
      <c r="M2555" s="26" t="s">
        <v>80</v>
      </c>
      <c r="N2555" s="26" t="s">
        <v>81</v>
      </c>
      <c r="O2555" s="26" t="s">
        <v>3779</v>
      </c>
      <c r="P2555" s="42" t="s">
        <v>9000</v>
      </c>
      <c r="Q2555" s="20">
        <v>13968</v>
      </c>
      <c r="R2555" s="26" t="s">
        <v>36</v>
      </c>
      <c r="S2555" s="31">
        <v>4000</v>
      </c>
      <c r="T2555" s="32">
        <v>45190</v>
      </c>
      <c r="U2555" s="31">
        <v>9968</v>
      </c>
      <c r="V2555" s="32">
        <v>45223</v>
      </c>
      <c r="W2555" s="33" t="s">
        <v>3781</v>
      </c>
      <c r="X2555" s="26"/>
      <c r="Y2555" s="22">
        <v>0</v>
      </c>
      <c r="Z2555" s="109" t="s">
        <v>118</v>
      </c>
      <c r="AA2555" s="19" t="s">
        <v>3454</v>
      </c>
      <c r="AB2555" s="80" t="s">
        <v>36</v>
      </c>
      <c r="AC2555" s="26" t="s">
        <v>53</v>
      </c>
      <c r="AD2555" s="19" t="s">
        <v>138</v>
      </c>
      <c r="AE2555" s="26" t="s">
        <v>4275</v>
      </c>
      <c r="AF2555" s="17">
        <v>45714</v>
      </c>
      <c r="AG2555" s="26"/>
      <c r="AH2555" s="26"/>
      <c r="AI2555" s="40"/>
      <c r="AJ2555" s="26"/>
      <c r="AK2555" s="26"/>
      <c r="AL2555" s="35"/>
      <c r="AM2555" s="35"/>
      <c r="AN2555" s="35"/>
      <c r="AO2555" s="35"/>
      <c r="AP2555" s="35"/>
    </row>
    <row r="2556" spans="1:42" x14ac:dyDescent="0.2">
      <c r="A2556" s="14">
        <v>45510</v>
      </c>
      <c r="B2556" s="28" t="s">
        <v>37</v>
      </c>
      <c r="C2556" s="41" t="s">
        <v>118</v>
      </c>
      <c r="D2556" s="26" t="s">
        <v>36</v>
      </c>
      <c r="E2556" s="26" t="s">
        <v>119</v>
      </c>
      <c r="F2556" s="26" t="s">
        <v>8093</v>
      </c>
      <c r="G2556" s="26" t="s">
        <v>221</v>
      </c>
      <c r="H2556" s="26" t="s">
        <v>8608</v>
      </c>
      <c r="I2556" s="17">
        <f ca="1">IFERROR(__xludf.DUMMYFUNCTION("""COMPUTED_VALUE"""),45527)</f>
        <v>45527</v>
      </c>
      <c r="J2556" s="29" t="s">
        <v>8459</v>
      </c>
      <c r="K2556" s="26" t="s">
        <v>9001</v>
      </c>
      <c r="L2556" s="30">
        <v>365401789</v>
      </c>
      <c r="M2556" s="26" t="s">
        <v>45</v>
      </c>
      <c r="N2556" s="26" t="s">
        <v>3839</v>
      </c>
      <c r="O2556" s="26" t="s">
        <v>8461</v>
      </c>
      <c r="P2556" s="115" t="s">
        <v>9002</v>
      </c>
      <c r="Q2556" s="20">
        <v>13968</v>
      </c>
      <c r="R2556" s="26" t="s">
        <v>36</v>
      </c>
      <c r="S2556" s="31">
        <v>13968</v>
      </c>
      <c r="T2556" s="32">
        <v>45425</v>
      </c>
      <c r="U2556" s="31"/>
      <c r="V2556" s="32"/>
      <c r="W2556" s="33" t="s">
        <v>8463</v>
      </c>
      <c r="X2556" s="26"/>
      <c r="Y2556" s="22">
        <v>0</v>
      </c>
      <c r="Z2556" s="26" t="s">
        <v>118</v>
      </c>
      <c r="AA2556" s="19" t="s">
        <v>8410</v>
      </c>
      <c r="AB2556" s="26" t="s">
        <v>36</v>
      </c>
      <c r="AC2556" s="26" t="s">
        <v>53</v>
      </c>
      <c r="AD2556" s="19" t="s">
        <v>54</v>
      </c>
      <c r="AE2556" s="26" t="s">
        <v>8093</v>
      </c>
      <c r="AF2556" s="17">
        <v>45520</v>
      </c>
      <c r="AG2556" s="26"/>
      <c r="AH2556" s="26"/>
      <c r="AI2556" s="40"/>
      <c r="AJ2556" s="26"/>
      <c r="AK2556" s="26"/>
      <c r="AL2556" s="35"/>
      <c r="AM2556" s="35"/>
      <c r="AN2556" s="35"/>
      <c r="AO2556" s="35"/>
      <c r="AP2556" s="35"/>
    </row>
    <row r="2557" spans="1:42" x14ac:dyDescent="0.2">
      <c r="A2557" s="14">
        <v>45510</v>
      </c>
      <c r="B2557" s="28" t="s">
        <v>37</v>
      </c>
      <c r="C2557" s="41" t="s">
        <v>118</v>
      </c>
      <c r="D2557" s="26" t="s">
        <v>36</v>
      </c>
      <c r="E2557" s="26" t="s">
        <v>148</v>
      </c>
      <c r="F2557" s="26" t="s">
        <v>8093</v>
      </c>
      <c r="G2557" s="26" t="s">
        <v>221</v>
      </c>
      <c r="H2557" s="26" t="s">
        <v>7016</v>
      </c>
      <c r="I2557" s="17">
        <f ca="1">IFERROR(__xludf.DUMMYFUNCTION("""COMPUTED_VALUE"""),45520)</f>
        <v>45520</v>
      </c>
      <c r="J2557" s="29" t="s">
        <v>8476</v>
      </c>
      <c r="K2557" s="26" t="s">
        <v>7177</v>
      </c>
      <c r="L2557" s="30">
        <v>842926393</v>
      </c>
      <c r="M2557" s="26" t="s">
        <v>123</v>
      </c>
      <c r="N2557" s="26" t="s">
        <v>1384</v>
      </c>
      <c r="O2557" s="26" t="s">
        <v>4503</v>
      </c>
      <c r="P2557" s="42" t="s">
        <v>9003</v>
      </c>
      <c r="Q2557" s="20">
        <v>7349</v>
      </c>
      <c r="R2557" s="26" t="s">
        <v>70</v>
      </c>
      <c r="S2557" s="31">
        <v>7349</v>
      </c>
      <c r="T2557" s="32">
        <v>45419</v>
      </c>
      <c r="U2557" s="31"/>
      <c r="V2557" s="32"/>
      <c r="W2557" s="33" t="s">
        <v>8478</v>
      </c>
      <c r="X2557" s="26"/>
      <c r="Y2557" s="22">
        <v>0</v>
      </c>
      <c r="Z2557" s="26" t="s">
        <v>118</v>
      </c>
      <c r="AA2557" s="19" t="s">
        <v>8410</v>
      </c>
      <c r="AB2557" s="26" t="s">
        <v>36</v>
      </c>
      <c r="AC2557" s="26" t="s">
        <v>53</v>
      </c>
      <c r="AD2557" s="19" t="s">
        <v>54</v>
      </c>
      <c r="AE2557" s="26" t="s">
        <v>8093</v>
      </c>
      <c r="AF2557" s="17">
        <v>45513</v>
      </c>
      <c r="AG2557" s="26"/>
      <c r="AH2557" s="26"/>
      <c r="AI2557" s="40"/>
      <c r="AJ2557" s="26"/>
      <c r="AK2557" s="26"/>
      <c r="AL2557" s="35"/>
      <c r="AM2557" s="35"/>
      <c r="AN2557" s="35"/>
      <c r="AO2557" s="35"/>
      <c r="AP2557" s="35"/>
    </row>
    <row r="2558" spans="1:42" x14ac:dyDescent="0.2">
      <c r="A2558" s="14">
        <v>45510</v>
      </c>
      <c r="B2558" s="28" t="s">
        <v>37</v>
      </c>
      <c r="C2558" s="41" t="s">
        <v>118</v>
      </c>
      <c r="D2558" s="26" t="s">
        <v>36</v>
      </c>
      <c r="E2558" s="26" t="s">
        <v>56</v>
      </c>
      <c r="F2558" s="26" t="s">
        <v>3439</v>
      </c>
      <c r="G2558" s="142" t="s">
        <v>221</v>
      </c>
      <c r="H2558" s="26" t="s">
        <v>8997</v>
      </c>
      <c r="I2558" s="17">
        <f ca="1">IFERROR(__xludf.DUMMYFUNCTION("""COMPUTED_VALUE"""),45526)</f>
        <v>45526</v>
      </c>
      <c r="J2558" s="29" t="s">
        <v>8096</v>
      </c>
      <c r="K2558" s="26" t="s">
        <v>8097</v>
      </c>
      <c r="L2558" s="30">
        <v>342377057</v>
      </c>
      <c r="M2558" s="26" t="s">
        <v>3728</v>
      </c>
      <c r="N2558" s="26" t="s">
        <v>5277</v>
      </c>
      <c r="O2558" s="26" t="s">
        <v>8098</v>
      </c>
      <c r="P2558" s="26" t="s">
        <v>8099</v>
      </c>
      <c r="Q2558" s="20">
        <v>9317</v>
      </c>
      <c r="R2558" s="26" t="s">
        <v>36</v>
      </c>
      <c r="S2558" s="31">
        <v>500</v>
      </c>
      <c r="T2558" s="32">
        <v>45301</v>
      </c>
      <c r="U2558" s="31">
        <f>1500+7317</f>
        <v>8817</v>
      </c>
      <c r="V2558" s="26" t="s">
        <v>8100</v>
      </c>
      <c r="W2558" s="33" t="s">
        <v>8101</v>
      </c>
      <c r="X2558" s="26"/>
      <c r="Y2558" s="22">
        <v>0</v>
      </c>
      <c r="Z2558" s="26" t="s">
        <v>118</v>
      </c>
      <c r="AA2558" s="19" t="s">
        <v>8317</v>
      </c>
      <c r="AB2558" s="26" t="s">
        <v>36</v>
      </c>
      <c r="AC2558" s="26" t="s">
        <v>53</v>
      </c>
      <c r="AD2558" s="19" t="s">
        <v>138</v>
      </c>
      <c r="AE2558" s="26" t="s">
        <v>3439</v>
      </c>
      <c r="AF2558" s="17">
        <v>45526</v>
      </c>
      <c r="AG2558" s="26" t="s">
        <v>1362</v>
      </c>
      <c r="AH2558" s="26"/>
      <c r="AI2558" s="40"/>
      <c r="AJ2558" s="26"/>
      <c r="AK2558" s="26"/>
      <c r="AL2558" s="35"/>
      <c r="AM2558" s="35"/>
      <c r="AN2558" s="35"/>
      <c r="AO2558" s="35"/>
      <c r="AP2558" s="35"/>
    </row>
    <row r="2559" spans="1:42" x14ac:dyDescent="0.2">
      <c r="A2559" s="14">
        <v>45510</v>
      </c>
      <c r="B2559" s="28" t="s">
        <v>37</v>
      </c>
      <c r="C2559" s="41" t="s">
        <v>118</v>
      </c>
      <c r="D2559" s="26" t="s">
        <v>36</v>
      </c>
      <c r="E2559" s="26" t="s">
        <v>56</v>
      </c>
      <c r="F2559" s="26" t="s">
        <v>3439</v>
      </c>
      <c r="G2559" s="142" t="s">
        <v>221</v>
      </c>
      <c r="H2559" s="26" t="s">
        <v>8997</v>
      </c>
      <c r="I2559" s="17">
        <f ca="1">IFERROR(__xludf.DUMMYFUNCTION("""COMPUTED_VALUE"""),45526)</f>
        <v>45526</v>
      </c>
      <c r="J2559" s="29" t="s">
        <v>7729</v>
      </c>
      <c r="K2559" s="26" t="s">
        <v>7730</v>
      </c>
      <c r="L2559" s="30">
        <v>362936884</v>
      </c>
      <c r="M2559" s="26" t="s">
        <v>3288</v>
      </c>
      <c r="N2559" s="26" t="s">
        <v>200</v>
      </c>
      <c r="O2559" s="26" t="s">
        <v>7731</v>
      </c>
      <c r="P2559" s="26" t="s">
        <v>3117</v>
      </c>
      <c r="Q2559" s="20">
        <v>9317</v>
      </c>
      <c r="R2559" s="26" t="s">
        <v>36</v>
      </c>
      <c r="S2559" s="31">
        <v>1968</v>
      </c>
      <c r="T2559" s="32">
        <v>45359</v>
      </c>
      <c r="U2559" s="31">
        <v>7349</v>
      </c>
      <c r="V2559" s="32">
        <v>45370</v>
      </c>
      <c r="W2559" s="33" t="s">
        <v>7732</v>
      </c>
      <c r="X2559" s="26"/>
      <c r="Y2559" s="22">
        <v>0</v>
      </c>
      <c r="Z2559" s="98" t="s">
        <v>118</v>
      </c>
      <c r="AA2559" s="19" t="s">
        <v>7361</v>
      </c>
      <c r="AB2559" s="26" t="s">
        <v>36</v>
      </c>
      <c r="AC2559" s="26" t="s">
        <v>53</v>
      </c>
      <c r="AD2559" s="19" t="s">
        <v>138</v>
      </c>
      <c r="AE2559" s="26" t="s">
        <v>3439</v>
      </c>
      <c r="AF2559" s="17">
        <v>45526</v>
      </c>
      <c r="AG2559" s="26" t="s">
        <v>1362</v>
      </c>
      <c r="AH2559" s="26"/>
      <c r="AI2559" s="40"/>
      <c r="AJ2559" s="26"/>
      <c r="AK2559" s="26"/>
      <c r="AL2559" s="35"/>
      <c r="AM2559" s="35"/>
      <c r="AN2559" s="35"/>
      <c r="AO2559" s="35"/>
      <c r="AP2559" s="35"/>
    </row>
    <row r="2560" spans="1:42" x14ac:dyDescent="0.2">
      <c r="A2560" s="14">
        <v>45510</v>
      </c>
      <c r="B2560" s="28" t="s">
        <v>37</v>
      </c>
      <c r="C2560" s="41" t="s">
        <v>118</v>
      </c>
      <c r="D2560" s="26" t="s">
        <v>36</v>
      </c>
      <c r="E2560" s="26" t="s">
        <v>148</v>
      </c>
      <c r="F2560" s="26" t="s">
        <v>9004</v>
      </c>
      <c r="G2560" s="142" t="s">
        <v>221</v>
      </c>
      <c r="H2560" s="26" t="s">
        <v>9005</v>
      </c>
      <c r="I2560" s="17">
        <f ca="1">IFERROR(__xludf.DUMMYFUNCTION("""COMPUTED_VALUE"""),45712)</f>
        <v>45712</v>
      </c>
      <c r="J2560" s="29" t="s">
        <v>8486</v>
      </c>
      <c r="K2560" s="26" t="s">
        <v>9006</v>
      </c>
      <c r="L2560" s="30">
        <v>985895505</v>
      </c>
      <c r="M2560" s="26" t="s">
        <v>59</v>
      </c>
      <c r="N2560" s="26" t="s">
        <v>68</v>
      </c>
      <c r="O2560" s="26" t="s">
        <v>8488</v>
      </c>
      <c r="P2560" s="26" t="s">
        <v>8489</v>
      </c>
      <c r="Q2560" s="20">
        <v>7349</v>
      </c>
      <c r="R2560" s="26" t="s">
        <v>36</v>
      </c>
      <c r="S2560" s="31">
        <v>349</v>
      </c>
      <c r="T2560" s="32">
        <v>45433</v>
      </c>
      <c r="U2560" s="31">
        <v>7000</v>
      </c>
      <c r="V2560" s="32">
        <v>45443</v>
      </c>
      <c r="W2560" s="33" t="s">
        <v>8490</v>
      </c>
      <c r="X2560" s="26"/>
      <c r="Y2560" s="22">
        <v>0</v>
      </c>
      <c r="Z2560" s="98" t="s">
        <v>118</v>
      </c>
      <c r="AA2560" s="19" t="s">
        <v>8410</v>
      </c>
      <c r="AB2560" s="26" t="s">
        <v>36</v>
      </c>
      <c r="AC2560" s="26" t="s">
        <v>53</v>
      </c>
      <c r="AD2560" s="19" t="s">
        <v>138</v>
      </c>
      <c r="AE2560" s="26" t="s">
        <v>3439</v>
      </c>
      <c r="AF2560" s="17">
        <v>45526</v>
      </c>
      <c r="AG2560" s="26" t="s">
        <v>1362</v>
      </c>
      <c r="AH2560" s="26"/>
      <c r="AI2560" s="40"/>
      <c r="AJ2560" s="26"/>
      <c r="AK2560" s="26"/>
      <c r="AL2560" s="35"/>
      <c r="AM2560" s="35"/>
      <c r="AN2560" s="35"/>
      <c r="AO2560" s="35"/>
      <c r="AP2560" s="35"/>
    </row>
    <row r="2561" spans="1:42" x14ac:dyDescent="0.2">
      <c r="A2561" s="14">
        <v>45510</v>
      </c>
      <c r="B2561" s="28" t="s">
        <v>37</v>
      </c>
      <c r="C2561" s="41" t="s">
        <v>118</v>
      </c>
      <c r="D2561" s="26" t="s">
        <v>36</v>
      </c>
      <c r="E2561" s="26" t="s">
        <v>139</v>
      </c>
      <c r="F2561" s="26" t="s">
        <v>2016</v>
      </c>
      <c r="G2561" s="142" t="s">
        <v>221</v>
      </c>
      <c r="H2561" s="26" t="s">
        <v>7016</v>
      </c>
      <c r="I2561" s="17">
        <f ca="1">IFERROR(__xludf.DUMMYFUNCTION("""COMPUTED_VALUE"""),45520)</f>
        <v>45520</v>
      </c>
      <c r="J2561" s="29" t="s">
        <v>1118</v>
      </c>
      <c r="K2561" s="26" t="s">
        <v>9007</v>
      </c>
      <c r="L2561" s="30">
        <v>969712615</v>
      </c>
      <c r="M2561" s="26" t="s">
        <v>123</v>
      </c>
      <c r="N2561" s="26" t="s">
        <v>151</v>
      </c>
      <c r="O2561" s="26" t="s">
        <v>134</v>
      </c>
      <c r="P2561" s="42" t="s">
        <v>9008</v>
      </c>
      <c r="Q2561" s="20">
        <v>15936</v>
      </c>
      <c r="R2561" s="26" t="s">
        <v>36</v>
      </c>
      <c r="S2561" s="31">
        <v>1968</v>
      </c>
      <c r="T2561" s="32">
        <v>45131</v>
      </c>
      <c r="U2561" s="31">
        <v>13968</v>
      </c>
      <c r="V2561" s="32">
        <v>45153</v>
      </c>
      <c r="W2561" s="33" t="s">
        <v>1121</v>
      </c>
      <c r="X2561" s="26">
        <v>0</v>
      </c>
      <c r="Y2561" s="22">
        <v>0</v>
      </c>
      <c r="Z2561" s="26" t="s">
        <v>118</v>
      </c>
      <c r="AA2561" s="19" t="s">
        <v>901</v>
      </c>
      <c r="AB2561" s="26" t="s">
        <v>36</v>
      </c>
      <c r="AC2561" s="26" t="s">
        <v>53</v>
      </c>
      <c r="AD2561" s="19" t="s">
        <v>54</v>
      </c>
      <c r="AE2561" s="26" t="s">
        <v>2016</v>
      </c>
      <c r="AF2561" s="17">
        <v>45516</v>
      </c>
      <c r="AG2561" s="26"/>
      <c r="AH2561" s="26">
        <v>1</v>
      </c>
      <c r="AI2561" s="40" t="s">
        <v>147</v>
      </c>
      <c r="AJ2561" s="26"/>
      <c r="AK2561" s="26"/>
      <c r="AL2561" s="35"/>
      <c r="AM2561" s="35"/>
      <c r="AN2561" s="35"/>
      <c r="AO2561" s="35"/>
      <c r="AP2561" s="35"/>
    </row>
    <row r="2562" spans="1:42" x14ac:dyDescent="0.2">
      <c r="A2562" s="14">
        <v>45510</v>
      </c>
      <c r="B2562" s="28" t="s">
        <v>37</v>
      </c>
      <c r="C2562" s="41" t="s">
        <v>118</v>
      </c>
      <c r="D2562" s="26" t="s">
        <v>36</v>
      </c>
      <c r="E2562" s="26" t="s">
        <v>139</v>
      </c>
      <c r="F2562" s="26" t="s">
        <v>7497</v>
      </c>
      <c r="G2562" s="26" t="s">
        <v>108</v>
      </c>
      <c r="H2562" s="26" t="s">
        <v>8986</v>
      </c>
      <c r="I2562" s="17">
        <f ca="1">IFERROR(__xludf.DUMMYFUNCTION("""COMPUTED_VALUE"""),45531)</f>
        <v>45531</v>
      </c>
      <c r="J2562" s="29" t="s">
        <v>9009</v>
      </c>
      <c r="K2562" s="26" t="s">
        <v>9010</v>
      </c>
      <c r="L2562" s="30">
        <v>7092390364</v>
      </c>
      <c r="M2562" s="26" t="s">
        <v>123</v>
      </c>
      <c r="N2562" s="26" t="s">
        <v>327</v>
      </c>
      <c r="O2562" s="26" t="s">
        <v>4503</v>
      </c>
      <c r="P2562" s="26" t="s">
        <v>9011</v>
      </c>
      <c r="Q2562" s="20">
        <v>15936</v>
      </c>
      <c r="R2562" s="26" t="s">
        <v>36</v>
      </c>
      <c r="S2562" s="95">
        <v>15636</v>
      </c>
      <c r="T2562" s="148">
        <v>45467</v>
      </c>
      <c r="U2562" s="31"/>
      <c r="V2562" s="32"/>
      <c r="W2562" s="33" t="s">
        <v>9012</v>
      </c>
      <c r="X2562" s="26"/>
      <c r="Y2562" s="22">
        <v>300</v>
      </c>
      <c r="Z2562" s="26" t="s">
        <v>118</v>
      </c>
      <c r="AA2562" s="19"/>
      <c r="AB2562" s="26" t="s">
        <v>36</v>
      </c>
      <c r="AC2562" s="26" t="s">
        <v>53</v>
      </c>
      <c r="AD2562" s="26" t="s">
        <v>54</v>
      </c>
      <c r="AE2562" s="26" t="s">
        <v>7497</v>
      </c>
      <c r="AF2562" s="60" t="s">
        <v>1829</v>
      </c>
      <c r="AG2562" s="26" t="s">
        <v>1830</v>
      </c>
      <c r="AH2562" s="26"/>
      <c r="AI2562" s="40"/>
      <c r="AJ2562" s="26"/>
      <c r="AK2562" s="26"/>
      <c r="AL2562" s="35"/>
      <c r="AM2562" s="35"/>
      <c r="AN2562" s="35"/>
      <c r="AO2562" s="35"/>
      <c r="AP2562" s="35"/>
    </row>
    <row r="2563" spans="1:42" x14ac:dyDescent="0.2">
      <c r="A2563" s="14">
        <v>45511</v>
      </c>
      <c r="B2563" s="28" t="s">
        <v>37</v>
      </c>
      <c r="C2563" s="41" t="s">
        <v>118</v>
      </c>
      <c r="D2563" s="26" t="s">
        <v>36</v>
      </c>
      <c r="E2563" s="26" t="s">
        <v>119</v>
      </c>
      <c r="F2563" s="26" t="s">
        <v>4275</v>
      </c>
      <c r="G2563" s="26" t="s">
        <v>1705</v>
      </c>
      <c r="H2563" s="26" t="s">
        <v>6519</v>
      </c>
      <c r="I2563" s="17">
        <f ca="1">IFERROR(__xludf.DUMMYFUNCTION("""COMPUTED_VALUE"""),45518)</f>
        <v>45518</v>
      </c>
      <c r="J2563" s="29" t="s">
        <v>3880</v>
      </c>
      <c r="K2563" s="19" t="s">
        <v>3881</v>
      </c>
      <c r="L2563" s="47">
        <v>358340212</v>
      </c>
      <c r="M2563" s="26" t="s">
        <v>80</v>
      </c>
      <c r="N2563" s="26" t="s">
        <v>186</v>
      </c>
      <c r="O2563" s="26" t="s">
        <v>1492</v>
      </c>
      <c r="P2563" s="42" t="s">
        <v>9013</v>
      </c>
      <c r="Q2563" s="20">
        <v>13968</v>
      </c>
      <c r="R2563" s="26" t="s">
        <v>36</v>
      </c>
      <c r="S2563" s="31">
        <v>4000</v>
      </c>
      <c r="T2563" s="32">
        <v>45196</v>
      </c>
      <c r="U2563" s="31">
        <v>9968</v>
      </c>
      <c r="V2563" s="32">
        <v>45217</v>
      </c>
      <c r="W2563" s="33" t="s">
        <v>3882</v>
      </c>
      <c r="X2563" s="26"/>
      <c r="Y2563" s="22">
        <v>0</v>
      </c>
      <c r="Z2563" s="109" t="s">
        <v>118</v>
      </c>
      <c r="AA2563" s="19" t="s">
        <v>3454</v>
      </c>
      <c r="AB2563" s="26" t="s">
        <v>36</v>
      </c>
      <c r="AC2563" s="26" t="s">
        <v>53</v>
      </c>
      <c r="AD2563" s="19" t="s">
        <v>138</v>
      </c>
      <c r="AE2563" s="26" t="s">
        <v>4275</v>
      </c>
      <c r="AF2563" s="17">
        <v>45518</v>
      </c>
      <c r="AG2563" s="26" t="s">
        <v>4279</v>
      </c>
      <c r="AH2563" s="26"/>
      <c r="AI2563" s="40"/>
      <c r="AJ2563" s="26"/>
      <c r="AK2563" s="26"/>
      <c r="AL2563" s="35"/>
      <c r="AM2563" s="35"/>
      <c r="AN2563" s="35"/>
      <c r="AO2563" s="35"/>
      <c r="AP2563" s="35"/>
    </row>
    <row r="2564" spans="1:42" x14ac:dyDescent="0.2">
      <c r="A2564" s="14">
        <v>45511</v>
      </c>
      <c r="B2564" s="28" t="s">
        <v>37</v>
      </c>
      <c r="C2564" s="41" t="s">
        <v>118</v>
      </c>
      <c r="D2564" s="26" t="s">
        <v>36</v>
      </c>
      <c r="E2564" s="26" t="s">
        <v>148</v>
      </c>
      <c r="F2564" s="26" t="s">
        <v>3439</v>
      </c>
      <c r="G2564" s="142" t="s">
        <v>221</v>
      </c>
      <c r="H2564" s="26" t="s">
        <v>8997</v>
      </c>
      <c r="I2564" s="17">
        <f ca="1">IFERROR(__xludf.DUMMYFUNCTION("""COMPUTED_VALUE"""),45526)</f>
        <v>45526</v>
      </c>
      <c r="J2564" s="29" t="s">
        <v>7303</v>
      </c>
      <c r="K2564" s="26" t="s">
        <v>133</v>
      </c>
      <c r="L2564" s="30">
        <v>367038347</v>
      </c>
      <c r="M2564" s="26" t="s">
        <v>59</v>
      </c>
      <c r="N2564" s="26" t="s">
        <v>7298</v>
      </c>
      <c r="O2564" s="26" t="s">
        <v>7790</v>
      </c>
      <c r="P2564" s="26" t="s">
        <v>7306</v>
      </c>
      <c r="Q2564" s="20">
        <v>7349</v>
      </c>
      <c r="R2564" s="26" t="s">
        <v>36</v>
      </c>
      <c r="S2564" s="31">
        <v>7349</v>
      </c>
      <c r="T2564" s="32">
        <v>45364</v>
      </c>
      <c r="U2564" s="31"/>
      <c r="V2564" s="32"/>
      <c r="W2564" s="33" t="s">
        <v>7792</v>
      </c>
      <c r="X2564" s="26"/>
      <c r="Y2564" s="22">
        <v>0</v>
      </c>
      <c r="Z2564" s="109" t="s">
        <v>118</v>
      </c>
      <c r="AA2564" s="19" t="s">
        <v>7361</v>
      </c>
      <c r="AB2564" s="26" t="s">
        <v>36</v>
      </c>
      <c r="AC2564" s="26" t="s">
        <v>53</v>
      </c>
      <c r="AD2564" s="19" t="s">
        <v>54</v>
      </c>
      <c r="AE2564" s="26" t="s">
        <v>3439</v>
      </c>
      <c r="AF2564" s="17">
        <v>45526</v>
      </c>
      <c r="AG2564" s="26" t="s">
        <v>1362</v>
      </c>
      <c r="AH2564" s="26"/>
      <c r="AI2564" s="40"/>
      <c r="AJ2564" s="26"/>
      <c r="AK2564" s="26"/>
      <c r="AL2564" s="35"/>
      <c r="AM2564" s="35"/>
      <c r="AN2564" s="35"/>
      <c r="AO2564" s="35"/>
      <c r="AP2564" s="35"/>
    </row>
    <row r="2565" spans="1:42" x14ac:dyDescent="0.2">
      <c r="A2565" s="14">
        <v>45511</v>
      </c>
      <c r="B2565" s="28" t="s">
        <v>37</v>
      </c>
      <c r="C2565" s="41" t="s">
        <v>118</v>
      </c>
      <c r="D2565" s="26" t="s">
        <v>36</v>
      </c>
      <c r="E2565" s="26" t="s">
        <v>139</v>
      </c>
      <c r="F2565" s="26" t="s">
        <v>7716</v>
      </c>
      <c r="G2565" s="142" t="s">
        <v>221</v>
      </c>
      <c r="H2565" s="26" t="s">
        <v>7016</v>
      </c>
      <c r="I2565" s="17">
        <f ca="1">IFERROR(__xludf.DUMMYFUNCTION("""COMPUTED_VALUE"""),45520)</f>
        <v>45520</v>
      </c>
      <c r="J2565" s="29" t="s">
        <v>7565</v>
      </c>
      <c r="K2565" s="26" t="s">
        <v>7566</v>
      </c>
      <c r="L2565" s="30">
        <v>382868493</v>
      </c>
      <c r="M2565" s="26" t="s">
        <v>3728</v>
      </c>
      <c r="N2565" s="26" t="s">
        <v>5312</v>
      </c>
      <c r="O2565" s="26" t="s">
        <v>7567</v>
      </c>
      <c r="P2565" s="42" t="s">
        <v>7568</v>
      </c>
      <c r="Q2565" s="20">
        <v>15936</v>
      </c>
      <c r="R2565" s="26" t="s">
        <v>36</v>
      </c>
      <c r="S2565" s="31">
        <v>500</v>
      </c>
      <c r="T2565" s="32">
        <v>45306</v>
      </c>
      <c r="U2565" s="31">
        <f>1500+13936</f>
        <v>15436</v>
      </c>
      <c r="V2565" s="26" t="s">
        <v>7569</v>
      </c>
      <c r="W2565" s="33" t="s">
        <v>7570</v>
      </c>
      <c r="X2565" s="26"/>
      <c r="Y2565" s="22">
        <v>0</v>
      </c>
      <c r="Z2565" s="98" t="s">
        <v>118</v>
      </c>
      <c r="AA2565" s="19" t="s">
        <v>7361</v>
      </c>
      <c r="AB2565" s="26" t="s">
        <v>36</v>
      </c>
      <c r="AC2565" s="26" t="s">
        <v>53</v>
      </c>
      <c r="AD2565" s="19" t="s">
        <v>138</v>
      </c>
      <c r="AE2565" s="26" t="s">
        <v>7716</v>
      </c>
      <c r="AF2565" s="17">
        <v>45513</v>
      </c>
      <c r="AG2565" s="26"/>
      <c r="AH2565" s="26"/>
      <c r="AI2565" s="40"/>
      <c r="AJ2565" s="26"/>
      <c r="AK2565" s="26"/>
      <c r="AL2565" s="35"/>
      <c r="AM2565" s="35"/>
      <c r="AN2565" s="35"/>
      <c r="AO2565" s="35"/>
      <c r="AP2565" s="35"/>
    </row>
    <row r="2566" spans="1:42" x14ac:dyDescent="0.2">
      <c r="A2566" s="14">
        <v>45511</v>
      </c>
      <c r="B2566" s="28" t="s">
        <v>37</v>
      </c>
      <c r="C2566" s="41" t="s">
        <v>118</v>
      </c>
      <c r="D2566" s="26" t="s">
        <v>77</v>
      </c>
      <c r="E2566" s="26" t="s">
        <v>106</v>
      </c>
      <c r="F2566" s="26" t="s">
        <v>4869</v>
      </c>
      <c r="G2566" s="26" t="s">
        <v>108</v>
      </c>
      <c r="H2566" s="26" t="s">
        <v>6250</v>
      </c>
      <c r="I2566" s="17">
        <f ca="1">IFERROR(__xludf.DUMMYFUNCTION("""COMPUTED_VALUE"""),45495)</f>
        <v>45495</v>
      </c>
      <c r="J2566" s="29" t="s">
        <v>4406</v>
      </c>
      <c r="K2566" s="26" t="s">
        <v>9014</v>
      </c>
      <c r="L2566" s="30">
        <v>345111205</v>
      </c>
      <c r="M2566" s="26" t="s">
        <v>123</v>
      </c>
      <c r="N2566" s="26" t="s">
        <v>2847</v>
      </c>
      <c r="O2566" s="26" t="s">
        <v>4503</v>
      </c>
      <c r="P2566" s="26" t="s">
        <v>3056</v>
      </c>
      <c r="Q2566" s="20">
        <v>3768</v>
      </c>
      <c r="R2566" s="26" t="s">
        <v>36</v>
      </c>
      <c r="S2566" s="31">
        <v>3668</v>
      </c>
      <c r="T2566" s="32">
        <v>45289</v>
      </c>
      <c r="U2566" s="31"/>
      <c r="V2566" s="32"/>
      <c r="W2566" s="33" t="s">
        <v>6518</v>
      </c>
      <c r="X2566" s="26"/>
      <c r="Y2566" s="22">
        <v>100</v>
      </c>
      <c r="Z2566" s="98" t="s">
        <v>118</v>
      </c>
      <c r="AA2566" s="19" t="s">
        <v>5961</v>
      </c>
      <c r="AB2566" s="26" t="s">
        <v>36</v>
      </c>
      <c r="AC2566" s="26" t="s">
        <v>53</v>
      </c>
      <c r="AD2566" s="19" t="s">
        <v>54</v>
      </c>
      <c r="AE2566" s="26" t="s">
        <v>4869</v>
      </c>
      <c r="AF2566" s="17">
        <v>45300</v>
      </c>
      <c r="AG2566" s="26" t="s">
        <v>1362</v>
      </c>
      <c r="AH2566" s="26">
        <v>2</v>
      </c>
      <c r="AI2566" s="40"/>
      <c r="AJ2566" s="26"/>
      <c r="AK2566" s="26"/>
      <c r="AL2566" s="35"/>
      <c r="AM2566" s="35"/>
      <c r="AN2566" s="35"/>
      <c r="AO2566" s="35"/>
      <c r="AP2566" s="35"/>
    </row>
    <row r="2567" spans="1:42" x14ac:dyDescent="0.2">
      <c r="A2567" s="14">
        <v>45511</v>
      </c>
      <c r="B2567" s="28" t="s">
        <v>37</v>
      </c>
      <c r="C2567" s="41" t="s">
        <v>118</v>
      </c>
      <c r="D2567" s="26" t="s">
        <v>36</v>
      </c>
      <c r="E2567" s="26" t="s">
        <v>119</v>
      </c>
      <c r="F2567" s="26" t="s">
        <v>6083</v>
      </c>
      <c r="G2567" s="26" t="s">
        <v>1705</v>
      </c>
      <c r="H2567" s="26" t="s">
        <v>6519</v>
      </c>
      <c r="I2567" s="17">
        <f ca="1">IFERROR(__xludf.DUMMYFUNCTION("""COMPUTED_VALUE"""),45518)</f>
        <v>45518</v>
      </c>
      <c r="J2567" s="29" t="s">
        <v>5344</v>
      </c>
      <c r="K2567" s="26" t="s">
        <v>5345</v>
      </c>
      <c r="L2567" s="30">
        <v>365045442</v>
      </c>
      <c r="M2567" s="26" t="s">
        <v>123</v>
      </c>
      <c r="N2567" s="26" t="s">
        <v>850</v>
      </c>
      <c r="O2567" s="26" t="s">
        <v>2737</v>
      </c>
      <c r="P2567" s="42" t="s">
        <v>9015</v>
      </c>
      <c r="Q2567" s="20">
        <v>13968</v>
      </c>
      <c r="R2567" s="26" t="s">
        <v>36</v>
      </c>
      <c r="S2567" s="31">
        <v>4000</v>
      </c>
      <c r="T2567" s="32" t="s">
        <v>5346</v>
      </c>
      <c r="U2567" s="58">
        <v>9968</v>
      </c>
      <c r="V2567" s="59">
        <v>45240</v>
      </c>
      <c r="W2567" s="33" t="s">
        <v>5347</v>
      </c>
      <c r="X2567" s="26"/>
      <c r="Y2567" s="22">
        <v>0</v>
      </c>
      <c r="Z2567" s="26" t="s">
        <v>118</v>
      </c>
      <c r="AA2567" s="19" t="s">
        <v>5112</v>
      </c>
      <c r="AB2567" s="26" t="s">
        <v>36</v>
      </c>
      <c r="AC2567" s="26" t="s">
        <v>53</v>
      </c>
      <c r="AD2567" s="19" t="s">
        <v>138</v>
      </c>
      <c r="AE2567" s="26" t="s">
        <v>6519</v>
      </c>
      <c r="AF2567" s="17">
        <v>45518</v>
      </c>
      <c r="AG2567" s="26" t="s">
        <v>1631</v>
      </c>
      <c r="AH2567" s="26"/>
      <c r="AI2567" s="40">
        <v>4</v>
      </c>
      <c r="AJ2567" s="26"/>
      <c r="AK2567" s="26"/>
      <c r="AL2567" s="35"/>
      <c r="AM2567" s="35"/>
      <c r="AN2567" s="35"/>
      <c r="AO2567" s="35"/>
      <c r="AP2567" s="35"/>
    </row>
    <row r="2568" spans="1:42" x14ac:dyDescent="0.2">
      <c r="A2568" s="14">
        <v>45512</v>
      </c>
      <c r="B2568" s="28" t="s">
        <v>37</v>
      </c>
      <c r="C2568" s="41" t="s">
        <v>118</v>
      </c>
      <c r="D2568" s="26" t="s">
        <v>36</v>
      </c>
      <c r="E2568" s="26" t="s">
        <v>139</v>
      </c>
      <c r="F2568" s="26" t="s">
        <v>7367</v>
      </c>
      <c r="G2568" s="26" t="s">
        <v>1705</v>
      </c>
      <c r="H2568" s="26" t="s">
        <v>8915</v>
      </c>
      <c r="I2568" s="17">
        <f ca="1">IFERROR(__xludf.DUMMYFUNCTION("""COMPUTED_VALUE"""),45516)</f>
        <v>45516</v>
      </c>
      <c r="J2568" s="29" t="s">
        <v>2657</v>
      </c>
      <c r="K2568" s="26" t="s">
        <v>2658</v>
      </c>
      <c r="L2568" s="30">
        <v>399319960</v>
      </c>
      <c r="M2568" s="26" t="s">
        <v>123</v>
      </c>
      <c r="N2568" s="26" t="s">
        <v>850</v>
      </c>
      <c r="O2568" s="26" t="s">
        <v>1226</v>
      </c>
      <c r="P2568" s="42" t="s">
        <v>9016</v>
      </c>
      <c r="Q2568" s="20">
        <v>15936</v>
      </c>
      <c r="R2568" s="26" t="s">
        <v>36</v>
      </c>
      <c r="S2568" s="31">
        <v>200</v>
      </c>
      <c r="T2568" s="32">
        <v>45170</v>
      </c>
      <c r="U2568" s="31">
        <v>15736</v>
      </c>
      <c r="V2568" s="32">
        <v>45185</v>
      </c>
      <c r="W2568" s="33" t="s">
        <v>2660</v>
      </c>
      <c r="X2568" s="26"/>
      <c r="Y2568" s="22">
        <v>0</v>
      </c>
      <c r="Z2568" s="26" t="s">
        <v>118</v>
      </c>
      <c r="AA2568" s="19" t="s">
        <v>2449</v>
      </c>
      <c r="AB2568" s="26" t="s">
        <v>36</v>
      </c>
      <c r="AC2568" s="26" t="s">
        <v>53</v>
      </c>
      <c r="AD2568" s="19" t="s">
        <v>138</v>
      </c>
      <c r="AE2568" s="26" t="s">
        <v>7367</v>
      </c>
      <c r="AF2568" s="17">
        <v>45512</v>
      </c>
      <c r="AG2568" s="26"/>
      <c r="AH2568" s="26"/>
      <c r="AI2568" s="40"/>
      <c r="AJ2568" s="26"/>
      <c r="AK2568" s="26"/>
      <c r="AL2568" s="35"/>
      <c r="AM2568" s="35"/>
      <c r="AN2568" s="35"/>
      <c r="AO2568" s="35"/>
      <c r="AP2568" s="35"/>
    </row>
    <row r="2569" spans="1:42" x14ac:dyDescent="0.2">
      <c r="A2569" s="14">
        <v>45514</v>
      </c>
      <c r="B2569" s="28" t="s">
        <v>37</v>
      </c>
      <c r="C2569" s="41" t="s">
        <v>118</v>
      </c>
      <c r="D2569" s="26" t="s">
        <v>36</v>
      </c>
      <c r="E2569" s="26" t="s">
        <v>915</v>
      </c>
      <c r="F2569" s="26" t="s">
        <v>6859</v>
      </c>
      <c r="G2569" s="26" t="s">
        <v>1705</v>
      </c>
      <c r="H2569" s="26" t="s">
        <v>8915</v>
      </c>
      <c r="I2569" s="17">
        <f ca="1">IFERROR(__xludf.DUMMYFUNCTION("""COMPUTED_VALUE"""),45516)</f>
        <v>45516</v>
      </c>
      <c r="J2569" s="29" t="s">
        <v>3545</v>
      </c>
      <c r="K2569" s="26" t="s">
        <v>3546</v>
      </c>
      <c r="L2569" s="30">
        <v>862100825</v>
      </c>
      <c r="M2569" s="26" t="s">
        <v>80</v>
      </c>
      <c r="N2569" s="26" t="s">
        <v>186</v>
      </c>
      <c r="O2569" s="26" t="s">
        <v>1492</v>
      </c>
      <c r="P2569" s="42" t="s">
        <v>3547</v>
      </c>
      <c r="Q2569" s="20">
        <v>10894</v>
      </c>
      <c r="R2569" s="26" t="s">
        <v>36</v>
      </c>
      <c r="S2569" s="31">
        <v>4000</v>
      </c>
      <c r="T2569" s="32">
        <v>45182</v>
      </c>
      <c r="U2569" s="31">
        <v>6894</v>
      </c>
      <c r="V2569" s="32">
        <v>45201</v>
      </c>
      <c r="W2569" s="33" t="s">
        <v>3548</v>
      </c>
      <c r="X2569" s="26"/>
      <c r="Y2569" s="22">
        <v>0</v>
      </c>
      <c r="Z2569" s="26" t="s">
        <v>118</v>
      </c>
      <c r="AA2569" s="19" t="s">
        <v>3454</v>
      </c>
      <c r="AB2569" s="26" t="s">
        <v>36</v>
      </c>
      <c r="AC2569" s="26" t="s">
        <v>53</v>
      </c>
      <c r="AD2569" s="19" t="s">
        <v>54</v>
      </c>
      <c r="AE2569" s="26" t="s">
        <v>6859</v>
      </c>
      <c r="AF2569" s="17">
        <v>45516</v>
      </c>
      <c r="AG2569" s="26"/>
      <c r="AH2569" s="26"/>
      <c r="AI2569" s="40"/>
      <c r="AJ2569" s="26"/>
      <c r="AK2569" s="26"/>
      <c r="AL2569" s="35"/>
      <c r="AM2569" s="35"/>
      <c r="AN2569" s="35"/>
      <c r="AO2569" s="35"/>
      <c r="AP2569" s="35"/>
    </row>
    <row r="2570" spans="1:42" x14ac:dyDescent="0.2">
      <c r="A2570" s="14">
        <v>45514</v>
      </c>
      <c r="B2570" s="28" t="s">
        <v>37</v>
      </c>
      <c r="C2570" s="41" t="s">
        <v>118</v>
      </c>
      <c r="D2570" s="26" t="s">
        <v>36</v>
      </c>
      <c r="E2570" s="26" t="s">
        <v>1704</v>
      </c>
      <c r="F2570" s="26" t="s">
        <v>4275</v>
      </c>
      <c r="G2570" s="26" t="s">
        <v>1705</v>
      </c>
      <c r="H2570" s="26" t="s">
        <v>6519</v>
      </c>
      <c r="I2570" s="17">
        <f ca="1">IFERROR(__xludf.DUMMYFUNCTION("""COMPUTED_VALUE"""),45518)</f>
        <v>45518</v>
      </c>
      <c r="J2570" s="29" t="s">
        <v>6075</v>
      </c>
      <c r="K2570" s="19" t="s">
        <v>9017</v>
      </c>
      <c r="L2570" s="47">
        <v>375647532</v>
      </c>
      <c r="M2570" s="26" t="s">
        <v>1245</v>
      </c>
      <c r="N2570" s="26" t="s">
        <v>1246</v>
      </c>
      <c r="O2570" s="26" t="s">
        <v>6077</v>
      </c>
      <c r="P2570" s="42" t="s">
        <v>9018</v>
      </c>
      <c r="Q2570" s="20">
        <v>13968</v>
      </c>
      <c r="R2570" s="26" t="s">
        <v>36</v>
      </c>
      <c r="S2570" s="31"/>
      <c r="T2570" s="32"/>
      <c r="U2570" s="31"/>
      <c r="V2570" s="32"/>
      <c r="W2570" s="33"/>
      <c r="X2570" s="26"/>
      <c r="Y2570" s="22">
        <v>0</v>
      </c>
      <c r="Z2570" s="26"/>
      <c r="AA2570" s="19"/>
      <c r="AB2570" s="26" t="s">
        <v>36</v>
      </c>
      <c r="AC2570" s="26" t="s">
        <v>53</v>
      </c>
      <c r="AD2570" s="19" t="s">
        <v>138</v>
      </c>
      <c r="AE2570" s="26" t="s">
        <v>4275</v>
      </c>
      <c r="AF2570" s="17">
        <v>45518</v>
      </c>
      <c r="AG2570" s="26"/>
      <c r="AH2570" s="26"/>
      <c r="AI2570" s="40"/>
      <c r="AJ2570" s="26"/>
      <c r="AK2570" s="26"/>
      <c r="AL2570" s="35"/>
      <c r="AM2570" s="35"/>
      <c r="AN2570" s="35"/>
      <c r="AO2570" s="35"/>
      <c r="AP2570" s="35"/>
    </row>
    <row r="2571" spans="1:42" x14ac:dyDescent="0.2">
      <c r="A2571" s="14">
        <v>45514</v>
      </c>
      <c r="B2571" s="28" t="s">
        <v>37</v>
      </c>
      <c r="C2571" s="41" t="s">
        <v>118</v>
      </c>
      <c r="D2571" s="26" t="s">
        <v>36</v>
      </c>
      <c r="E2571" s="26" t="s">
        <v>119</v>
      </c>
      <c r="F2571" s="26" t="s">
        <v>6083</v>
      </c>
      <c r="G2571" s="26" t="s">
        <v>1705</v>
      </c>
      <c r="H2571" s="26" t="s">
        <v>8915</v>
      </c>
      <c r="I2571" s="17">
        <f ca="1">IFERROR(__xludf.DUMMYFUNCTION("""COMPUTED_VALUE"""),45516)</f>
        <v>45516</v>
      </c>
      <c r="J2571" s="29" t="s">
        <v>5296</v>
      </c>
      <c r="K2571" s="26" t="s">
        <v>5297</v>
      </c>
      <c r="L2571" s="30">
        <v>373027421</v>
      </c>
      <c r="M2571" s="26" t="s">
        <v>80</v>
      </c>
      <c r="N2571" s="26" t="s">
        <v>253</v>
      </c>
      <c r="O2571" s="26" t="s">
        <v>5298</v>
      </c>
      <c r="P2571" s="42" t="s">
        <v>9019</v>
      </c>
      <c r="Q2571" s="20">
        <v>13968</v>
      </c>
      <c r="R2571" s="26" t="s">
        <v>36</v>
      </c>
      <c r="S2571" s="31">
        <v>4000</v>
      </c>
      <c r="T2571" s="32">
        <v>45208</v>
      </c>
      <c r="U2571" s="31">
        <v>9968</v>
      </c>
      <c r="V2571" s="32">
        <v>45232</v>
      </c>
      <c r="W2571" s="33" t="s">
        <v>5299</v>
      </c>
      <c r="X2571" s="26"/>
      <c r="Y2571" s="22">
        <v>0</v>
      </c>
      <c r="Z2571" s="26" t="s">
        <v>118</v>
      </c>
      <c r="AA2571" s="19" t="s">
        <v>5112</v>
      </c>
      <c r="AB2571" s="26" t="s">
        <v>36</v>
      </c>
      <c r="AC2571" s="26" t="s">
        <v>53</v>
      </c>
      <c r="AD2571" s="19" t="s">
        <v>138</v>
      </c>
      <c r="AE2571" s="26" t="s">
        <v>6083</v>
      </c>
      <c r="AF2571" s="17">
        <v>45516</v>
      </c>
      <c r="AG2571" s="26" t="s">
        <v>1631</v>
      </c>
      <c r="AH2571" s="26"/>
      <c r="AI2571" s="40">
        <v>4</v>
      </c>
      <c r="AJ2571" s="26"/>
      <c r="AK2571" s="26"/>
      <c r="AL2571" s="35"/>
      <c r="AM2571" s="35"/>
      <c r="AN2571" s="35"/>
      <c r="AO2571" s="35"/>
      <c r="AP2571" s="35"/>
    </row>
    <row r="2572" spans="1:42" x14ac:dyDescent="0.2">
      <c r="A2572" s="14">
        <v>45514</v>
      </c>
      <c r="B2572" s="28" t="s">
        <v>37</v>
      </c>
      <c r="C2572" s="41" t="s">
        <v>118</v>
      </c>
      <c r="D2572" s="26" t="s">
        <v>106</v>
      </c>
      <c r="E2572" s="26" t="s">
        <v>219</v>
      </c>
      <c r="F2572" s="26" t="s">
        <v>5084</v>
      </c>
      <c r="G2572" s="26" t="s">
        <v>221</v>
      </c>
      <c r="H2572" s="26" t="s">
        <v>7016</v>
      </c>
      <c r="I2572" s="17">
        <f ca="1">IFERROR(__xludf.DUMMYFUNCTION("""COMPUTED_VALUE"""),45520)</f>
        <v>45520</v>
      </c>
      <c r="J2572" s="29" t="s">
        <v>6879</v>
      </c>
      <c r="K2572" s="26" t="s">
        <v>9020</v>
      </c>
      <c r="L2572" s="30">
        <v>328658106</v>
      </c>
      <c r="M2572" s="26" t="s">
        <v>5429</v>
      </c>
      <c r="N2572" s="26" t="s">
        <v>81</v>
      </c>
      <c r="O2572" s="26" t="s">
        <v>61</v>
      </c>
      <c r="P2572" s="42" t="s">
        <v>6880</v>
      </c>
      <c r="Q2572" s="20">
        <v>3968</v>
      </c>
      <c r="R2572" s="26" t="s">
        <v>36</v>
      </c>
      <c r="S2572" s="31">
        <v>3968</v>
      </c>
      <c r="T2572" s="32">
        <v>45318</v>
      </c>
      <c r="U2572" s="31"/>
      <c r="V2572" s="32"/>
      <c r="W2572" s="33" t="s">
        <v>6881</v>
      </c>
      <c r="X2572" s="26">
        <v>100</v>
      </c>
      <c r="Y2572" s="22">
        <v>-100</v>
      </c>
      <c r="Z2572" s="26" t="s">
        <v>118</v>
      </c>
      <c r="AA2572" s="19" t="s">
        <v>6079</v>
      </c>
      <c r="AB2572" s="26" t="s">
        <v>36</v>
      </c>
      <c r="AC2572" s="26" t="s">
        <v>53</v>
      </c>
      <c r="AD2572" s="19" t="s">
        <v>54</v>
      </c>
      <c r="AE2572" s="26" t="s">
        <v>6722</v>
      </c>
      <c r="AF2572" s="17">
        <v>45338</v>
      </c>
      <c r="AG2572" s="26"/>
      <c r="AH2572" s="26"/>
      <c r="AI2572" s="40">
        <v>1</v>
      </c>
      <c r="AJ2572" s="26"/>
      <c r="AK2572" s="26"/>
      <c r="AL2572" s="35"/>
      <c r="AM2572" s="35"/>
      <c r="AN2572" s="35"/>
      <c r="AO2572" s="35"/>
      <c r="AP2572" s="35"/>
    </row>
    <row r="2573" spans="1:42" x14ac:dyDescent="0.2">
      <c r="A2573" s="14">
        <v>45516</v>
      </c>
      <c r="B2573" s="28" t="s">
        <v>37</v>
      </c>
      <c r="C2573" s="41" t="s">
        <v>118</v>
      </c>
      <c r="D2573" s="26" t="s">
        <v>36</v>
      </c>
      <c r="E2573" s="26" t="s">
        <v>139</v>
      </c>
      <c r="F2573" s="26" t="s">
        <v>6128</v>
      </c>
      <c r="G2573" s="26" t="s">
        <v>1847</v>
      </c>
      <c r="H2573" s="26" t="s">
        <v>9021</v>
      </c>
      <c r="I2573" s="17">
        <f ca="1">IFERROR(__xludf.DUMMYFUNCTION("""COMPUTED_VALUE"""),45539)</f>
        <v>45539</v>
      </c>
      <c r="J2573" s="29" t="s">
        <v>3523</v>
      </c>
      <c r="K2573" s="26" t="s">
        <v>3524</v>
      </c>
      <c r="L2573" s="30">
        <v>392009475</v>
      </c>
      <c r="M2573" s="26" t="s">
        <v>910</v>
      </c>
      <c r="N2573" s="26" t="s">
        <v>3525</v>
      </c>
      <c r="O2573" s="26" t="s">
        <v>3526</v>
      </c>
      <c r="P2573" s="42" t="s">
        <v>9022</v>
      </c>
      <c r="Q2573" s="20">
        <v>15936</v>
      </c>
      <c r="R2573" s="26" t="s">
        <v>36</v>
      </c>
      <c r="S2573" s="31">
        <v>4000</v>
      </c>
      <c r="T2573" s="32">
        <v>45180</v>
      </c>
      <c r="U2573" s="31">
        <v>11936</v>
      </c>
      <c r="V2573" s="32">
        <v>45205</v>
      </c>
      <c r="W2573" s="33" t="s">
        <v>3528</v>
      </c>
      <c r="X2573" s="26"/>
      <c r="Y2573" s="22">
        <v>0</v>
      </c>
      <c r="Z2573" s="26" t="s">
        <v>118</v>
      </c>
      <c r="AA2573" s="19" t="s">
        <v>4541</v>
      </c>
      <c r="AB2573" s="26" t="s">
        <v>36</v>
      </c>
      <c r="AC2573" s="26" t="s">
        <v>53</v>
      </c>
      <c r="AD2573" s="19" t="s">
        <v>54</v>
      </c>
      <c r="AE2573" s="26" t="s">
        <v>6128</v>
      </c>
      <c r="AF2573" s="17">
        <v>45532</v>
      </c>
      <c r="AG2573" s="26"/>
      <c r="AH2573" s="26"/>
      <c r="AI2573" s="40"/>
      <c r="AJ2573" s="26"/>
      <c r="AK2573" s="26"/>
      <c r="AL2573" s="35"/>
      <c r="AM2573" s="35"/>
      <c r="AN2573" s="35"/>
      <c r="AO2573" s="35"/>
      <c r="AP2573" s="35"/>
    </row>
    <row r="2574" spans="1:42" x14ac:dyDescent="0.2">
      <c r="A2574" s="14">
        <v>45516</v>
      </c>
      <c r="B2574" s="28" t="s">
        <v>37</v>
      </c>
      <c r="C2574" s="41" t="s">
        <v>118</v>
      </c>
      <c r="D2574" s="26" t="s">
        <v>36</v>
      </c>
      <c r="E2574" s="26" t="s">
        <v>139</v>
      </c>
      <c r="F2574" s="26" t="s">
        <v>6128</v>
      </c>
      <c r="G2574" s="26" t="s">
        <v>1847</v>
      </c>
      <c r="H2574" s="26" t="s">
        <v>9021</v>
      </c>
      <c r="I2574" s="17">
        <f ca="1">IFERROR(__xludf.DUMMYFUNCTION("""COMPUTED_VALUE"""),45539)</f>
        <v>45539</v>
      </c>
      <c r="J2574" s="29" t="s">
        <v>3515</v>
      </c>
      <c r="K2574" s="26" t="s">
        <v>3516</v>
      </c>
      <c r="L2574" s="30">
        <v>865794177</v>
      </c>
      <c r="M2574" s="26" t="s">
        <v>80</v>
      </c>
      <c r="N2574" s="26" t="s">
        <v>186</v>
      </c>
      <c r="O2574" s="26" t="s">
        <v>3517</v>
      </c>
      <c r="P2574" s="42" t="s">
        <v>9023</v>
      </c>
      <c r="Q2574" s="20">
        <v>15936</v>
      </c>
      <c r="R2574" s="26" t="s">
        <v>36</v>
      </c>
      <c r="S2574" s="31">
        <v>8000</v>
      </c>
      <c r="T2574" s="32">
        <v>45180</v>
      </c>
      <c r="U2574" s="31">
        <v>7936</v>
      </c>
      <c r="V2574" s="32">
        <v>45200</v>
      </c>
      <c r="W2574" s="33" t="s">
        <v>3518</v>
      </c>
      <c r="X2574" s="26"/>
      <c r="Y2574" s="22">
        <v>0</v>
      </c>
      <c r="Z2574" s="26" t="s">
        <v>118</v>
      </c>
      <c r="AA2574" s="19" t="s">
        <v>4541</v>
      </c>
      <c r="AB2574" s="26" t="s">
        <v>36</v>
      </c>
      <c r="AC2574" s="26" t="s">
        <v>53</v>
      </c>
      <c r="AD2574" s="19" t="s">
        <v>54</v>
      </c>
      <c r="AE2574" s="26" t="s">
        <v>6128</v>
      </c>
      <c r="AF2574" s="17">
        <v>45532</v>
      </c>
      <c r="AG2574" s="26"/>
      <c r="AH2574" s="26"/>
      <c r="AI2574" s="40"/>
      <c r="AJ2574" s="26"/>
      <c r="AK2574" s="26"/>
      <c r="AL2574" s="35"/>
      <c r="AM2574" s="35"/>
      <c r="AN2574" s="35"/>
      <c r="AO2574" s="35"/>
      <c r="AP2574" s="35"/>
    </row>
    <row r="2575" spans="1:42" x14ac:dyDescent="0.2">
      <c r="A2575" s="14">
        <v>45516</v>
      </c>
      <c r="B2575" s="28" t="s">
        <v>37</v>
      </c>
      <c r="C2575" s="41" t="s">
        <v>118</v>
      </c>
      <c r="D2575" s="26" t="s">
        <v>36</v>
      </c>
      <c r="E2575" s="26" t="s">
        <v>139</v>
      </c>
      <c r="F2575" s="26" t="s">
        <v>8915</v>
      </c>
      <c r="G2575" s="26" t="s">
        <v>1847</v>
      </c>
      <c r="H2575" s="26" t="s">
        <v>9021</v>
      </c>
      <c r="I2575" s="17">
        <f ca="1">IFERROR(__xludf.DUMMYFUNCTION("""COMPUTED_VALUE"""),45539)</f>
        <v>45539</v>
      </c>
      <c r="J2575" s="29" t="s">
        <v>2657</v>
      </c>
      <c r="K2575" s="26" t="s">
        <v>2658</v>
      </c>
      <c r="L2575" s="30">
        <v>399319960</v>
      </c>
      <c r="M2575" s="26" t="s">
        <v>123</v>
      </c>
      <c r="N2575" s="26" t="s">
        <v>850</v>
      </c>
      <c r="O2575" s="26" t="s">
        <v>1226</v>
      </c>
      <c r="P2575" s="42" t="s">
        <v>9016</v>
      </c>
      <c r="Q2575" s="20">
        <v>15936</v>
      </c>
      <c r="R2575" s="26" t="s">
        <v>36</v>
      </c>
      <c r="S2575" s="31">
        <v>200</v>
      </c>
      <c r="T2575" s="32">
        <v>45170</v>
      </c>
      <c r="U2575" s="31">
        <v>15736</v>
      </c>
      <c r="V2575" s="32">
        <v>45185</v>
      </c>
      <c r="W2575" s="33" t="s">
        <v>2660</v>
      </c>
      <c r="X2575" s="26"/>
      <c r="Y2575" s="22">
        <v>0</v>
      </c>
      <c r="Z2575" s="26" t="s">
        <v>118</v>
      </c>
      <c r="AA2575" s="19" t="s">
        <v>2449</v>
      </c>
      <c r="AB2575" s="26" t="s">
        <v>36</v>
      </c>
      <c r="AC2575" s="26" t="s">
        <v>53</v>
      </c>
      <c r="AD2575" s="19" t="s">
        <v>138</v>
      </c>
      <c r="AE2575" s="26" t="s">
        <v>8915</v>
      </c>
      <c r="AF2575" s="17">
        <v>45532</v>
      </c>
      <c r="AG2575" s="26"/>
      <c r="AH2575" s="26"/>
      <c r="AI2575" s="40"/>
      <c r="AJ2575" s="26"/>
      <c r="AK2575" s="26"/>
      <c r="AL2575" s="35"/>
      <c r="AM2575" s="35"/>
      <c r="AN2575" s="35"/>
      <c r="AO2575" s="35"/>
      <c r="AP2575" s="35"/>
    </row>
    <row r="2576" spans="1:42" x14ac:dyDescent="0.2">
      <c r="A2576" s="14">
        <v>45516</v>
      </c>
      <c r="B2576" s="28" t="s">
        <v>37</v>
      </c>
      <c r="C2576" s="41" t="s">
        <v>118</v>
      </c>
      <c r="D2576" s="26" t="s">
        <v>36</v>
      </c>
      <c r="E2576" s="26" t="s">
        <v>139</v>
      </c>
      <c r="F2576" s="26" t="s">
        <v>7944</v>
      </c>
      <c r="G2576" s="26" t="s">
        <v>1847</v>
      </c>
      <c r="H2576" s="26" t="s">
        <v>9021</v>
      </c>
      <c r="I2576" s="17">
        <f ca="1">IFERROR(__xludf.DUMMYFUNCTION("""COMPUTED_VALUE"""),45539)</f>
        <v>45539</v>
      </c>
      <c r="J2576" s="29" t="s">
        <v>2653</v>
      </c>
      <c r="K2576" s="26" t="s">
        <v>5835</v>
      </c>
      <c r="L2576" s="30">
        <v>813938859</v>
      </c>
      <c r="M2576" s="26" t="s">
        <v>123</v>
      </c>
      <c r="N2576" s="26" t="s">
        <v>850</v>
      </c>
      <c r="O2576" s="26" t="s">
        <v>134</v>
      </c>
      <c r="P2576" s="42" t="s">
        <v>7949</v>
      </c>
      <c r="Q2576" s="20">
        <v>15936</v>
      </c>
      <c r="R2576" s="26" t="s">
        <v>36</v>
      </c>
      <c r="S2576" s="31">
        <v>200</v>
      </c>
      <c r="T2576" s="32">
        <v>45170</v>
      </c>
      <c r="U2576" s="21">
        <v>15736</v>
      </c>
      <c r="V2576" s="46">
        <v>45188</v>
      </c>
      <c r="W2576" s="55" t="s">
        <v>2656</v>
      </c>
      <c r="X2576" s="26"/>
      <c r="Y2576" s="22">
        <v>0</v>
      </c>
      <c r="Z2576" s="26" t="s">
        <v>118</v>
      </c>
      <c r="AA2576" s="19" t="s">
        <v>5785</v>
      </c>
      <c r="AB2576" s="26" t="s">
        <v>36</v>
      </c>
      <c r="AC2576" s="26" t="s">
        <v>53</v>
      </c>
      <c r="AD2576" s="19" t="s">
        <v>138</v>
      </c>
      <c r="AE2576" s="26" t="s">
        <v>7944</v>
      </c>
      <c r="AF2576" s="17">
        <v>45532</v>
      </c>
      <c r="AG2576" s="26"/>
      <c r="AH2576" s="26"/>
      <c r="AI2576" s="40" t="s">
        <v>147</v>
      </c>
      <c r="AJ2576" s="26"/>
      <c r="AK2576" s="26"/>
      <c r="AL2576" s="35"/>
      <c r="AM2576" s="35"/>
      <c r="AN2576" s="35"/>
      <c r="AO2576" s="35"/>
      <c r="AP2576" s="35"/>
    </row>
    <row r="2577" spans="1:42" x14ac:dyDescent="0.2">
      <c r="A2577" s="14">
        <v>45516</v>
      </c>
      <c r="B2577" s="28" t="s">
        <v>37</v>
      </c>
      <c r="C2577" s="41" t="s">
        <v>118</v>
      </c>
      <c r="D2577" s="26" t="s">
        <v>36</v>
      </c>
      <c r="E2577" s="26" t="s">
        <v>139</v>
      </c>
      <c r="F2577" s="26" t="s">
        <v>7367</v>
      </c>
      <c r="G2577" s="26" t="s">
        <v>1847</v>
      </c>
      <c r="H2577" s="26" t="s">
        <v>9021</v>
      </c>
      <c r="I2577" s="17">
        <f ca="1">IFERROR(__xludf.DUMMYFUNCTION("""COMPUTED_VALUE"""),45539)</f>
        <v>45539</v>
      </c>
      <c r="J2577" s="29" t="s">
        <v>3921</v>
      </c>
      <c r="K2577" s="26" t="s">
        <v>3922</v>
      </c>
      <c r="L2577" s="30">
        <v>865630283</v>
      </c>
      <c r="M2577" s="26" t="s">
        <v>1245</v>
      </c>
      <c r="N2577" s="26" t="s">
        <v>4957</v>
      </c>
      <c r="O2577" s="26" t="s">
        <v>1226</v>
      </c>
      <c r="P2577" s="42" t="s">
        <v>9024</v>
      </c>
      <c r="Q2577" s="20">
        <v>15936</v>
      </c>
      <c r="R2577" s="26" t="s">
        <v>36</v>
      </c>
      <c r="S2577" s="31">
        <v>7000</v>
      </c>
      <c r="T2577" s="32">
        <v>45197</v>
      </c>
      <c r="U2577" s="31">
        <v>8936</v>
      </c>
      <c r="V2577" s="32">
        <v>45223</v>
      </c>
      <c r="W2577" s="33" t="s">
        <v>3923</v>
      </c>
      <c r="X2577" s="26"/>
      <c r="Y2577" s="22">
        <v>0</v>
      </c>
      <c r="Z2577" s="26" t="s">
        <v>118</v>
      </c>
      <c r="AA2577" s="19" t="s">
        <v>3454</v>
      </c>
      <c r="AB2577" s="26" t="s">
        <v>36</v>
      </c>
      <c r="AC2577" s="26" t="s">
        <v>53</v>
      </c>
      <c r="AD2577" s="19" t="s">
        <v>138</v>
      </c>
      <c r="AE2577" s="26" t="s">
        <v>7367</v>
      </c>
      <c r="AF2577" s="17">
        <v>45532</v>
      </c>
      <c r="AG2577" s="26"/>
      <c r="AH2577" s="26"/>
      <c r="AI2577" s="40"/>
      <c r="AJ2577" s="26"/>
      <c r="AK2577" s="26"/>
      <c r="AL2577" s="35"/>
      <c r="AM2577" s="35"/>
      <c r="AN2577" s="35"/>
      <c r="AO2577" s="35"/>
      <c r="AP2577" s="35"/>
    </row>
    <row r="2578" spans="1:42" x14ac:dyDescent="0.2">
      <c r="A2578" s="14">
        <v>45517</v>
      </c>
      <c r="B2578" s="28" t="s">
        <v>37</v>
      </c>
      <c r="C2578" s="41" t="s">
        <v>118</v>
      </c>
      <c r="D2578" s="26" t="s">
        <v>36</v>
      </c>
      <c r="E2578" s="26" t="s">
        <v>139</v>
      </c>
      <c r="F2578" s="26" t="s">
        <v>7013</v>
      </c>
      <c r="G2578" s="26" t="s">
        <v>1705</v>
      </c>
      <c r="H2578" s="26" t="s">
        <v>6519</v>
      </c>
      <c r="I2578" s="17">
        <f ca="1">IFERROR(__xludf.DUMMYFUNCTION("""COMPUTED_VALUE"""),45518)</f>
        <v>45518</v>
      </c>
      <c r="J2578" s="29" t="s">
        <v>3591</v>
      </c>
      <c r="K2578" s="26" t="s">
        <v>3592</v>
      </c>
      <c r="L2578" s="30">
        <v>858104695</v>
      </c>
      <c r="M2578" s="26" t="s">
        <v>910</v>
      </c>
      <c r="N2578" s="26" t="s">
        <v>2841</v>
      </c>
      <c r="O2578" s="26" t="s">
        <v>125</v>
      </c>
      <c r="P2578" s="42" t="s">
        <v>4967</v>
      </c>
      <c r="Q2578" s="20">
        <v>15936</v>
      </c>
      <c r="R2578" s="26" t="s">
        <v>36</v>
      </c>
      <c r="S2578" s="31">
        <v>2000</v>
      </c>
      <c r="T2578" s="32">
        <v>45184</v>
      </c>
      <c r="U2578" s="31">
        <v>13936</v>
      </c>
      <c r="V2578" s="32">
        <v>45213</v>
      </c>
      <c r="W2578" s="33" t="s">
        <v>3594</v>
      </c>
      <c r="X2578" s="26"/>
      <c r="Y2578" s="22">
        <v>0</v>
      </c>
      <c r="Z2578" s="26" t="s">
        <v>118</v>
      </c>
      <c r="AA2578" s="19" t="s">
        <v>4541</v>
      </c>
      <c r="AB2578" s="26" t="s">
        <v>36</v>
      </c>
      <c r="AC2578" s="26" t="s">
        <v>53</v>
      </c>
      <c r="AD2578" s="19" t="s">
        <v>138</v>
      </c>
      <c r="AE2578" s="26" t="s">
        <v>7013</v>
      </c>
      <c r="AF2578" s="17">
        <v>45518</v>
      </c>
      <c r="AG2578" s="26" t="s">
        <v>1362</v>
      </c>
      <c r="AH2578" s="26"/>
      <c r="AI2578" s="40"/>
      <c r="AJ2578" s="26"/>
      <c r="AK2578" s="26"/>
      <c r="AL2578" s="35"/>
      <c r="AM2578" s="35"/>
      <c r="AN2578" s="35"/>
      <c r="AO2578" s="35"/>
      <c r="AP2578" s="35"/>
    </row>
    <row r="2579" spans="1:42" x14ac:dyDescent="0.2">
      <c r="A2579" s="14">
        <v>45517</v>
      </c>
      <c r="B2579" s="28" t="s">
        <v>1703</v>
      </c>
      <c r="C2579" s="41" t="s">
        <v>118</v>
      </c>
      <c r="D2579" s="80" t="s">
        <v>36</v>
      </c>
      <c r="E2579" s="80" t="s">
        <v>148</v>
      </c>
      <c r="F2579" s="80" t="s">
        <v>9025</v>
      </c>
      <c r="G2579" s="41" t="s">
        <v>108</v>
      </c>
      <c r="H2579" s="80" t="s">
        <v>865</v>
      </c>
      <c r="I2579" s="164" t="str">
        <f ca="1">IFERROR(__xludf.DUMMYFUNCTION("""COMPUTED_VALUE""")," ")</f>
        <v xml:space="preserve"> </v>
      </c>
      <c r="J2579" s="143" t="s">
        <v>9026</v>
      </c>
      <c r="K2579" s="145" t="s">
        <v>9027</v>
      </c>
      <c r="L2579" s="30">
        <v>975348180</v>
      </c>
      <c r="M2579" s="80" t="s">
        <v>1245</v>
      </c>
      <c r="N2579" s="80" t="s">
        <v>1246</v>
      </c>
      <c r="O2579" s="162" t="s">
        <v>9028</v>
      </c>
      <c r="P2579" s="144" t="s">
        <v>9029</v>
      </c>
      <c r="Q2579" s="20">
        <v>14055</v>
      </c>
      <c r="R2579" s="80" t="s">
        <v>36</v>
      </c>
      <c r="S2579" s="77">
        <v>13968</v>
      </c>
      <c r="T2579" s="153">
        <v>44770</v>
      </c>
      <c r="U2579" s="77"/>
      <c r="V2579" s="78"/>
      <c r="W2579" s="85" t="s">
        <v>9030</v>
      </c>
      <c r="X2579" s="80">
        <v>0</v>
      </c>
      <c r="Y2579" s="20">
        <v>87</v>
      </c>
      <c r="Z2579" s="41" t="s">
        <v>118</v>
      </c>
      <c r="AA2579" s="145" t="s">
        <v>3386</v>
      </c>
      <c r="AB2579" s="80"/>
      <c r="AC2579" s="26" t="s">
        <v>53</v>
      </c>
      <c r="AD2579" s="19" t="s">
        <v>54</v>
      </c>
      <c r="AE2579" s="26" t="s">
        <v>9025</v>
      </c>
      <c r="AF2579" s="17"/>
      <c r="AG2579" s="150"/>
      <c r="AH2579" s="86">
        <v>4</v>
      </c>
      <c r="AI2579" s="165"/>
      <c r="AJ2579" s="82"/>
      <c r="AK2579" s="82"/>
      <c r="AL2579" s="82"/>
      <c r="AM2579" s="80"/>
      <c r="AN2579" s="80"/>
      <c r="AO2579" s="80"/>
      <c r="AP2579" s="80"/>
    </row>
    <row r="2580" spans="1:42" x14ac:dyDescent="0.2">
      <c r="A2580" s="14">
        <v>45517</v>
      </c>
      <c r="B2580" s="28" t="s">
        <v>37</v>
      </c>
      <c r="C2580" s="41" t="s">
        <v>118</v>
      </c>
      <c r="D2580" s="26" t="s">
        <v>36</v>
      </c>
      <c r="E2580" s="26" t="s">
        <v>119</v>
      </c>
      <c r="F2580" s="26" t="s">
        <v>6389</v>
      </c>
      <c r="G2580" s="26" t="s">
        <v>1847</v>
      </c>
      <c r="H2580" s="26" t="s">
        <v>9021</v>
      </c>
      <c r="I2580" s="17">
        <f ca="1">IFERROR(__xludf.DUMMYFUNCTION("""COMPUTED_VALUE"""),45539)</f>
        <v>45539</v>
      </c>
      <c r="J2580" s="29" t="s">
        <v>5321</v>
      </c>
      <c r="K2580" s="26" t="s">
        <v>5322</v>
      </c>
      <c r="L2580" s="30">
        <v>904234619</v>
      </c>
      <c r="M2580" s="26" t="s">
        <v>80</v>
      </c>
      <c r="N2580" s="26" t="s">
        <v>1073</v>
      </c>
      <c r="O2580" s="26" t="s">
        <v>5323</v>
      </c>
      <c r="P2580" s="42" t="s">
        <v>5324</v>
      </c>
      <c r="Q2580" s="20">
        <v>13968</v>
      </c>
      <c r="R2580" s="26" t="s">
        <v>36</v>
      </c>
      <c r="S2580" s="31">
        <v>4000</v>
      </c>
      <c r="T2580" s="32">
        <v>45212</v>
      </c>
      <c r="U2580" s="31">
        <v>9968</v>
      </c>
      <c r="V2580" s="32">
        <v>45240</v>
      </c>
      <c r="W2580" s="26" t="s">
        <v>5325</v>
      </c>
      <c r="X2580" s="26"/>
      <c r="Y2580" s="22">
        <v>0</v>
      </c>
      <c r="Z2580" s="26" t="s">
        <v>118</v>
      </c>
      <c r="AA2580" s="19" t="s">
        <v>5112</v>
      </c>
      <c r="AB2580" s="80" t="s">
        <v>36</v>
      </c>
      <c r="AC2580" s="26" t="s">
        <v>53</v>
      </c>
      <c r="AD2580" s="19" t="s">
        <v>138</v>
      </c>
      <c r="AE2580" s="26" t="s">
        <v>6389</v>
      </c>
      <c r="AF2580" s="17">
        <v>45532</v>
      </c>
      <c r="AG2580" s="26" t="s">
        <v>1362</v>
      </c>
      <c r="AH2580" s="26"/>
      <c r="AI2580" s="40">
        <v>4</v>
      </c>
      <c r="AJ2580" s="26"/>
      <c r="AK2580" s="26"/>
      <c r="AL2580" s="35"/>
      <c r="AM2580" s="35"/>
      <c r="AN2580" s="35"/>
      <c r="AO2580" s="35"/>
      <c r="AP2580" s="35"/>
    </row>
    <row r="2581" spans="1:42" x14ac:dyDescent="0.2">
      <c r="A2581" s="14">
        <v>45518</v>
      </c>
      <c r="B2581" s="28" t="s">
        <v>37</v>
      </c>
      <c r="C2581" s="41" t="s">
        <v>118</v>
      </c>
      <c r="D2581" s="26" t="s">
        <v>36</v>
      </c>
      <c r="E2581" s="26" t="s">
        <v>119</v>
      </c>
      <c r="F2581" s="26" t="s">
        <v>7716</v>
      </c>
      <c r="G2581" s="26" t="s">
        <v>221</v>
      </c>
      <c r="H2581" s="26" t="s">
        <v>9031</v>
      </c>
      <c r="I2581" s="17">
        <f ca="1">IFERROR(__xludf.DUMMYFUNCTION("""COMPUTED_VALUE"""),45540)</f>
        <v>45540</v>
      </c>
      <c r="J2581" s="29" t="s">
        <v>7717</v>
      </c>
      <c r="K2581" s="26" t="s">
        <v>7269</v>
      </c>
      <c r="L2581" s="30">
        <v>978662398</v>
      </c>
      <c r="M2581" s="26" t="s">
        <v>1245</v>
      </c>
      <c r="N2581" s="26" t="s">
        <v>1246</v>
      </c>
      <c r="O2581" s="26" t="s">
        <v>36</v>
      </c>
      <c r="P2581" s="26" t="s">
        <v>7718</v>
      </c>
      <c r="Q2581" s="20">
        <v>13968</v>
      </c>
      <c r="R2581" s="26" t="s">
        <v>36</v>
      </c>
      <c r="S2581" s="31">
        <v>13968</v>
      </c>
      <c r="T2581" s="32">
        <v>45352</v>
      </c>
      <c r="U2581" s="31"/>
      <c r="V2581" s="32"/>
      <c r="W2581" s="33" t="s">
        <v>7719</v>
      </c>
      <c r="X2581" s="26"/>
      <c r="Y2581" s="22">
        <v>0</v>
      </c>
      <c r="Z2581" s="26" t="s">
        <v>118</v>
      </c>
      <c r="AA2581" s="19" t="s">
        <v>7361</v>
      </c>
      <c r="AB2581" s="80" t="s">
        <v>36</v>
      </c>
      <c r="AC2581" s="26" t="s">
        <v>53</v>
      </c>
      <c r="AD2581" s="19" t="s">
        <v>54</v>
      </c>
      <c r="AE2581" s="26" t="s">
        <v>7716</v>
      </c>
      <c r="AF2581" s="17">
        <v>45523</v>
      </c>
      <c r="AG2581" s="26"/>
      <c r="AH2581" s="26"/>
      <c r="AI2581" s="40"/>
      <c r="AJ2581" s="26"/>
      <c r="AK2581" s="26"/>
      <c r="AL2581" s="35"/>
      <c r="AM2581" s="35"/>
      <c r="AN2581" s="35"/>
      <c r="AO2581" s="35"/>
      <c r="AP2581" s="35"/>
    </row>
    <row r="2582" spans="1:42" x14ac:dyDescent="0.2">
      <c r="A2582" s="14">
        <v>45518</v>
      </c>
      <c r="B2582" s="28" t="s">
        <v>37</v>
      </c>
      <c r="C2582" s="41" t="s">
        <v>118</v>
      </c>
      <c r="D2582" s="26" t="s">
        <v>36</v>
      </c>
      <c r="E2582" s="26" t="s">
        <v>139</v>
      </c>
      <c r="F2582" s="26" t="s">
        <v>5100</v>
      </c>
      <c r="G2582" s="26" t="s">
        <v>221</v>
      </c>
      <c r="H2582" s="26" t="s">
        <v>9032</v>
      </c>
      <c r="I2582" s="17">
        <f ca="1">IFERROR(__xludf.DUMMYFUNCTION("""COMPUTED_VALUE"""),45548)</f>
        <v>45548</v>
      </c>
      <c r="J2582" s="29" t="s">
        <v>4130</v>
      </c>
      <c r="K2582" s="26" t="s">
        <v>4131</v>
      </c>
      <c r="L2582" s="30">
        <v>337981335</v>
      </c>
      <c r="M2582" s="26" t="s">
        <v>123</v>
      </c>
      <c r="N2582" s="26" t="s">
        <v>186</v>
      </c>
      <c r="O2582" s="26" t="s">
        <v>1226</v>
      </c>
      <c r="P2582" s="26" t="s">
        <v>3487</v>
      </c>
      <c r="Q2582" s="20">
        <v>15936</v>
      </c>
      <c r="R2582" s="26" t="s">
        <v>36</v>
      </c>
      <c r="S2582" s="31">
        <v>15936</v>
      </c>
      <c r="T2582" s="32">
        <v>45207</v>
      </c>
      <c r="U2582" s="31"/>
      <c r="V2582" s="26"/>
      <c r="W2582" s="33" t="s">
        <v>4132</v>
      </c>
      <c r="X2582" s="26"/>
      <c r="Y2582" s="22">
        <v>0</v>
      </c>
      <c r="Z2582" s="26" t="s">
        <v>118</v>
      </c>
      <c r="AA2582" s="19" t="s">
        <v>3454</v>
      </c>
      <c r="AB2582" s="80" t="s">
        <v>36</v>
      </c>
      <c r="AC2582" s="26" t="s">
        <v>53</v>
      </c>
      <c r="AD2582" s="19" t="s">
        <v>138</v>
      </c>
      <c r="AE2582" s="26" t="s">
        <v>5100</v>
      </c>
      <c r="AF2582" s="17">
        <v>45548</v>
      </c>
      <c r="AG2582" s="26" t="s">
        <v>5101</v>
      </c>
      <c r="AH2582" s="26"/>
      <c r="AI2582" s="40"/>
      <c r="AJ2582" s="26"/>
      <c r="AK2582" s="26"/>
      <c r="AL2582" s="35"/>
      <c r="AM2582" s="35"/>
      <c r="AN2582" s="35"/>
      <c r="AO2582" s="35"/>
      <c r="AP2582" s="35"/>
    </row>
    <row r="2583" spans="1:42" x14ac:dyDescent="0.2">
      <c r="A2583" s="14">
        <v>45518</v>
      </c>
      <c r="B2583" s="28" t="s">
        <v>37</v>
      </c>
      <c r="C2583" s="41" t="s">
        <v>118</v>
      </c>
      <c r="D2583" s="26" t="s">
        <v>36</v>
      </c>
      <c r="E2583" s="26" t="s">
        <v>139</v>
      </c>
      <c r="F2583" s="26" t="s">
        <v>5100</v>
      </c>
      <c r="G2583" s="26" t="s">
        <v>221</v>
      </c>
      <c r="H2583" s="26" t="s">
        <v>9032</v>
      </c>
      <c r="I2583" s="17">
        <f ca="1">IFERROR(__xludf.DUMMYFUNCTION("""COMPUTED_VALUE"""),45548)</f>
        <v>45548</v>
      </c>
      <c r="J2583" s="29" t="s">
        <v>5340</v>
      </c>
      <c r="K2583" s="26" t="s">
        <v>5341</v>
      </c>
      <c r="L2583" s="30">
        <v>865683198</v>
      </c>
      <c r="M2583" s="26" t="s">
        <v>1245</v>
      </c>
      <c r="N2583" s="26" t="s">
        <v>4957</v>
      </c>
      <c r="O2583" s="26" t="s">
        <v>2737</v>
      </c>
      <c r="P2583" s="26" t="s">
        <v>3487</v>
      </c>
      <c r="Q2583" s="20">
        <v>15936</v>
      </c>
      <c r="R2583" s="26" t="s">
        <v>36</v>
      </c>
      <c r="S2583" s="31">
        <v>200</v>
      </c>
      <c r="T2583" s="32">
        <v>45211</v>
      </c>
      <c r="U2583" s="58">
        <f>10000+3736+2000</f>
        <v>15736</v>
      </c>
      <c r="V2583" s="35" t="s">
        <v>5342</v>
      </c>
      <c r="W2583" s="33" t="s">
        <v>5343</v>
      </c>
      <c r="X2583" s="26"/>
      <c r="Y2583" s="22">
        <v>0</v>
      </c>
      <c r="Z2583" s="26" t="s">
        <v>118</v>
      </c>
      <c r="AA2583" s="19" t="s">
        <v>5785</v>
      </c>
      <c r="AB2583" s="80" t="s">
        <v>36</v>
      </c>
      <c r="AC2583" s="26" t="s">
        <v>53</v>
      </c>
      <c r="AD2583" s="19" t="s">
        <v>138</v>
      </c>
      <c r="AE2583" s="26" t="s">
        <v>5100</v>
      </c>
      <c r="AF2583" s="17">
        <v>45548</v>
      </c>
      <c r="AG2583" s="26" t="s">
        <v>5101</v>
      </c>
      <c r="AH2583" s="26"/>
      <c r="AI2583" s="40" t="s">
        <v>147</v>
      </c>
      <c r="AJ2583" s="26"/>
      <c r="AK2583" s="26"/>
      <c r="AL2583" s="35"/>
      <c r="AM2583" s="35"/>
      <c r="AN2583" s="35"/>
      <c r="AO2583" s="35"/>
      <c r="AP2583" s="35"/>
    </row>
    <row r="2584" spans="1:42" x14ac:dyDescent="0.2">
      <c r="A2584" s="14">
        <v>45518</v>
      </c>
      <c r="B2584" s="28" t="s">
        <v>37</v>
      </c>
      <c r="C2584" s="41" t="s">
        <v>118</v>
      </c>
      <c r="D2584" s="26" t="s">
        <v>36</v>
      </c>
      <c r="E2584" s="26" t="s">
        <v>139</v>
      </c>
      <c r="F2584" s="26" t="s">
        <v>5106</v>
      </c>
      <c r="G2584" s="26" t="s">
        <v>221</v>
      </c>
      <c r="H2584" s="26" t="s">
        <v>9032</v>
      </c>
      <c r="I2584" s="17">
        <f ca="1">IFERROR(__xludf.DUMMYFUNCTION("""COMPUTED_VALUE"""),45548)</f>
        <v>45548</v>
      </c>
      <c r="J2584" s="29" t="s">
        <v>5288</v>
      </c>
      <c r="K2584" s="26" t="s">
        <v>5289</v>
      </c>
      <c r="L2584" s="30">
        <v>368236186</v>
      </c>
      <c r="M2584" s="26" t="s">
        <v>1245</v>
      </c>
      <c r="N2584" s="26" t="s">
        <v>4957</v>
      </c>
      <c r="O2584" s="26" t="s">
        <v>1226</v>
      </c>
      <c r="P2584" s="26" t="s">
        <v>3153</v>
      </c>
      <c r="Q2584" s="20">
        <v>15936</v>
      </c>
      <c r="R2584" s="26" t="s">
        <v>36</v>
      </c>
      <c r="S2584" s="31">
        <v>2000</v>
      </c>
      <c r="T2584" s="32">
        <v>45207</v>
      </c>
      <c r="U2584" s="58">
        <v>13936</v>
      </c>
      <c r="V2584" s="59">
        <v>45251</v>
      </c>
      <c r="W2584" s="33" t="s">
        <v>5290</v>
      </c>
      <c r="X2584" s="26"/>
      <c r="Y2584" s="22">
        <v>0</v>
      </c>
      <c r="Z2584" s="26" t="s">
        <v>118</v>
      </c>
      <c r="AA2584" s="19" t="s">
        <v>5785</v>
      </c>
      <c r="AB2584" s="80" t="s">
        <v>36</v>
      </c>
      <c r="AC2584" s="26" t="s">
        <v>53</v>
      </c>
      <c r="AD2584" s="19" t="s">
        <v>138</v>
      </c>
      <c r="AE2584" s="26" t="s">
        <v>5106</v>
      </c>
      <c r="AF2584" s="17">
        <v>45548</v>
      </c>
      <c r="AG2584" s="26" t="s">
        <v>5101</v>
      </c>
      <c r="AH2584" s="26"/>
      <c r="AI2584" s="40" t="s">
        <v>147</v>
      </c>
      <c r="AJ2584" s="26"/>
      <c r="AK2584" s="26"/>
      <c r="AL2584" s="35"/>
      <c r="AM2584" s="35"/>
      <c r="AN2584" s="35"/>
      <c r="AO2584" s="35"/>
      <c r="AP2584" s="35"/>
    </row>
    <row r="2585" spans="1:42" x14ac:dyDescent="0.2">
      <c r="A2585" s="14">
        <v>45518</v>
      </c>
      <c r="B2585" s="28" t="s">
        <v>37</v>
      </c>
      <c r="C2585" s="41" t="s">
        <v>118</v>
      </c>
      <c r="D2585" s="26" t="s">
        <v>36</v>
      </c>
      <c r="E2585" s="26" t="s">
        <v>139</v>
      </c>
      <c r="F2585" s="26" t="s">
        <v>5100</v>
      </c>
      <c r="G2585" s="26" t="s">
        <v>221</v>
      </c>
      <c r="H2585" s="26" t="s">
        <v>9032</v>
      </c>
      <c r="I2585" s="17">
        <f ca="1">IFERROR(__xludf.DUMMYFUNCTION("""COMPUTED_VALUE"""),45548)</f>
        <v>45548</v>
      </c>
      <c r="J2585" s="29" t="s">
        <v>3151</v>
      </c>
      <c r="K2585" s="26" t="s">
        <v>3152</v>
      </c>
      <c r="L2585" s="30">
        <v>973927321</v>
      </c>
      <c r="M2585" s="26" t="s">
        <v>1245</v>
      </c>
      <c r="N2585" s="26" t="s">
        <v>4957</v>
      </c>
      <c r="O2585" s="26" t="s">
        <v>1226</v>
      </c>
      <c r="P2585" s="26" t="s">
        <v>3153</v>
      </c>
      <c r="Q2585" s="20">
        <v>15936</v>
      </c>
      <c r="R2585" s="26" t="s">
        <v>36</v>
      </c>
      <c r="S2585" s="31">
        <v>200</v>
      </c>
      <c r="T2585" s="32">
        <v>45191</v>
      </c>
      <c r="U2585" s="31">
        <v>15736</v>
      </c>
      <c r="V2585" s="32">
        <v>45195</v>
      </c>
      <c r="W2585" s="33" t="s">
        <v>3154</v>
      </c>
      <c r="X2585" s="26"/>
      <c r="Y2585" s="22">
        <v>0</v>
      </c>
      <c r="Z2585" s="26" t="s">
        <v>118</v>
      </c>
      <c r="AA2585" s="19" t="s">
        <v>2449</v>
      </c>
      <c r="AB2585" s="80" t="s">
        <v>36</v>
      </c>
      <c r="AC2585" s="26" t="s">
        <v>53</v>
      </c>
      <c r="AD2585" s="19" t="s">
        <v>138</v>
      </c>
      <c r="AE2585" s="26" t="s">
        <v>5100</v>
      </c>
      <c r="AF2585" s="17">
        <v>45548</v>
      </c>
      <c r="AG2585" s="26" t="s">
        <v>5101</v>
      </c>
      <c r="AH2585" s="26"/>
      <c r="AI2585" s="40"/>
      <c r="AJ2585" s="26"/>
      <c r="AK2585" s="26"/>
      <c r="AL2585" s="35"/>
      <c r="AM2585" s="35"/>
      <c r="AN2585" s="35"/>
      <c r="AO2585" s="35"/>
      <c r="AP2585" s="35"/>
    </row>
    <row r="2586" spans="1:42" x14ac:dyDescent="0.2">
      <c r="A2586" s="14">
        <v>45518</v>
      </c>
      <c r="B2586" s="28" t="s">
        <v>37</v>
      </c>
      <c r="C2586" s="41" t="s">
        <v>118</v>
      </c>
      <c r="D2586" s="26" t="s">
        <v>36</v>
      </c>
      <c r="E2586" s="26" t="s">
        <v>139</v>
      </c>
      <c r="F2586" s="26" t="s">
        <v>5100</v>
      </c>
      <c r="G2586" s="26" t="s">
        <v>221</v>
      </c>
      <c r="H2586" s="26" t="s">
        <v>9032</v>
      </c>
      <c r="I2586" s="17">
        <f ca="1">IFERROR(__xludf.DUMMYFUNCTION("""COMPUTED_VALUE"""),45548)</f>
        <v>45548</v>
      </c>
      <c r="J2586" s="29" t="s">
        <v>4324</v>
      </c>
      <c r="K2586" s="26" t="s">
        <v>4325</v>
      </c>
      <c r="L2586" s="30">
        <v>337463783</v>
      </c>
      <c r="M2586" s="26" t="s">
        <v>1245</v>
      </c>
      <c r="N2586" s="26" t="s">
        <v>4957</v>
      </c>
      <c r="O2586" s="26" t="s">
        <v>1226</v>
      </c>
      <c r="P2586" s="26" t="s">
        <v>3056</v>
      </c>
      <c r="Q2586" s="20">
        <v>15936</v>
      </c>
      <c r="R2586" s="26" t="s">
        <v>70</v>
      </c>
      <c r="S2586" s="31">
        <v>15836</v>
      </c>
      <c r="T2586" s="32">
        <v>45216</v>
      </c>
      <c r="U2586" s="31"/>
      <c r="V2586" s="26"/>
      <c r="W2586" s="33" t="s">
        <v>4326</v>
      </c>
      <c r="X2586" s="26"/>
      <c r="Y2586" s="22">
        <v>100</v>
      </c>
      <c r="Z2586" s="26" t="s">
        <v>118</v>
      </c>
      <c r="AA2586" s="19" t="s">
        <v>3454</v>
      </c>
      <c r="AB2586" s="80" t="s">
        <v>36</v>
      </c>
      <c r="AC2586" s="26" t="s">
        <v>53</v>
      </c>
      <c r="AD2586" s="19" t="s">
        <v>138</v>
      </c>
      <c r="AE2586" s="26" t="s">
        <v>5100</v>
      </c>
      <c r="AF2586" s="17">
        <v>45548</v>
      </c>
      <c r="AG2586" s="26" t="s">
        <v>5101</v>
      </c>
      <c r="AH2586" s="26"/>
      <c r="AI2586" s="40"/>
      <c r="AJ2586" s="26"/>
      <c r="AK2586" s="26"/>
      <c r="AL2586" s="35"/>
      <c r="AM2586" s="35"/>
      <c r="AN2586" s="35"/>
      <c r="AO2586" s="35"/>
      <c r="AP2586" s="35"/>
    </row>
    <row r="2587" spans="1:42" x14ac:dyDescent="0.2">
      <c r="A2587" s="14">
        <v>45518</v>
      </c>
      <c r="B2587" s="28" t="s">
        <v>37</v>
      </c>
      <c r="C2587" s="41" t="s">
        <v>118</v>
      </c>
      <c r="D2587" s="26" t="s">
        <v>36</v>
      </c>
      <c r="E2587" s="26" t="s">
        <v>139</v>
      </c>
      <c r="F2587" s="26" t="s">
        <v>5100</v>
      </c>
      <c r="G2587" s="26" t="s">
        <v>221</v>
      </c>
      <c r="H2587" s="26" t="s">
        <v>9032</v>
      </c>
      <c r="I2587" s="17">
        <f ca="1">IFERROR(__xludf.DUMMYFUNCTION("""COMPUTED_VALUE"""),45548)</f>
        <v>45548</v>
      </c>
      <c r="J2587" s="29" t="s">
        <v>4322</v>
      </c>
      <c r="K2587" s="26" t="s">
        <v>274</v>
      </c>
      <c r="L2587" s="30">
        <v>899805200</v>
      </c>
      <c r="M2587" s="26" t="s">
        <v>123</v>
      </c>
      <c r="N2587" s="26" t="s">
        <v>2847</v>
      </c>
      <c r="O2587" s="26" t="s">
        <v>1226</v>
      </c>
      <c r="P2587" s="26" t="s">
        <v>3056</v>
      </c>
      <c r="Q2587" s="20">
        <v>15936</v>
      </c>
      <c r="R2587" s="26" t="s">
        <v>70</v>
      </c>
      <c r="S2587" s="31">
        <v>15836</v>
      </c>
      <c r="T2587" s="32">
        <v>45216</v>
      </c>
      <c r="U2587" s="31"/>
      <c r="V2587" s="26"/>
      <c r="W2587" s="33" t="s">
        <v>4323</v>
      </c>
      <c r="X2587" s="26"/>
      <c r="Y2587" s="22">
        <v>100</v>
      </c>
      <c r="Z2587" s="26" t="s">
        <v>118</v>
      </c>
      <c r="AA2587" s="19" t="s">
        <v>3454</v>
      </c>
      <c r="AB2587" s="80" t="s">
        <v>36</v>
      </c>
      <c r="AC2587" s="26" t="s">
        <v>53</v>
      </c>
      <c r="AD2587" s="19" t="s">
        <v>138</v>
      </c>
      <c r="AE2587" s="26" t="s">
        <v>5100</v>
      </c>
      <c r="AF2587" s="17">
        <v>45548</v>
      </c>
      <c r="AG2587" s="26" t="s">
        <v>5101</v>
      </c>
      <c r="AH2587" s="26"/>
      <c r="AI2587" s="40"/>
      <c r="AJ2587" s="26"/>
      <c r="AK2587" s="26"/>
      <c r="AL2587" s="35"/>
      <c r="AM2587" s="35"/>
      <c r="AN2587" s="35"/>
      <c r="AO2587" s="35"/>
      <c r="AP2587" s="35"/>
    </row>
    <row r="2588" spans="1:42" x14ac:dyDescent="0.2">
      <c r="A2588" s="14">
        <v>45518</v>
      </c>
      <c r="B2588" s="28" t="s">
        <v>37</v>
      </c>
      <c r="C2588" s="41" t="s">
        <v>118</v>
      </c>
      <c r="D2588" s="26" t="s">
        <v>36</v>
      </c>
      <c r="E2588" s="26" t="s">
        <v>56</v>
      </c>
      <c r="F2588" s="26" t="s">
        <v>4959</v>
      </c>
      <c r="G2588" s="26" t="s">
        <v>221</v>
      </c>
      <c r="H2588" s="26" t="s">
        <v>9033</v>
      </c>
      <c r="I2588" s="17" t="str">
        <f ca="1">IFERROR(__xludf.DUMMYFUNCTION("""COMPUTED_VALUE""")," ")</f>
        <v xml:space="preserve"> </v>
      </c>
      <c r="J2588" s="29" t="s">
        <v>1734</v>
      </c>
      <c r="K2588" s="26" t="s">
        <v>6915</v>
      </c>
      <c r="L2588" s="30">
        <v>332536651</v>
      </c>
      <c r="M2588" s="26" t="s">
        <v>59</v>
      </c>
      <c r="N2588" s="26" t="s">
        <v>438</v>
      </c>
      <c r="O2588" s="26" t="s">
        <v>1736</v>
      </c>
      <c r="P2588" s="42" t="s">
        <v>9034</v>
      </c>
      <c r="Q2588" s="20">
        <v>9317</v>
      </c>
      <c r="R2588" s="26" t="s">
        <v>36</v>
      </c>
      <c r="S2588" s="31">
        <v>9317</v>
      </c>
      <c r="T2588" s="32">
        <v>45162</v>
      </c>
      <c r="U2588" s="31"/>
      <c r="V2588" s="26"/>
      <c r="W2588" s="55" t="s">
        <v>1738</v>
      </c>
      <c r="X2588" s="26">
        <v>0</v>
      </c>
      <c r="Y2588" s="22">
        <v>0</v>
      </c>
      <c r="Z2588" s="26" t="s">
        <v>118</v>
      </c>
      <c r="AA2588" s="19" t="s">
        <v>901</v>
      </c>
      <c r="AB2588" s="80" t="s">
        <v>36</v>
      </c>
      <c r="AC2588" s="26" t="s">
        <v>53</v>
      </c>
      <c r="AD2588" s="19" t="s">
        <v>54</v>
      </c>
      <c r="AE2588" s="26" t="s">
        <v>4959</v>
      </c>
      <c r="AF2588" s="17">
        <v>45540</v>
      </c>
      <c r="AG2588" s="42"/>
      <c r="AH2588" s="26">
        <v>1</v>
      </c>
      <c r="AI2588" s="40" t="s">
        <v>64</v>
      </c>
      <c r="AJ2588" s="26"/>
      <c r="AK2588" s="26"/>
      <c r="AL2588" s="35"/>
      <c r="AM2588" s="35"/>
      <c r="AN2588" s="35"/>
      <c r="AO2588" s="35"/>
      <c r="AP2588" s="35"/>
    </row>
    <row r="2589" spans="1:42" x14ac:dyDescent="0.2">
      <c r="A2589" s="14">
        <v>45518</v>
      </c>
      <c r="B2589" s="28" t="s">
        <v>37</v>
      </c>
      <c r="C2589" s="41" t="s">
        <v>118</v>
      </c>
      <c r="D2589" s="26" t="s">
        <v>36</v>
      </c>
      <c r="E2589" s="26" t="s">
        <v>119</v>
      </c>
      <c r="F2589" s="26" t="s">
        <v>5100</v>
      </c>
      <c r="G2589" s="26" t="s">
        <v>221</v>
      </c>
      <c r="H2589" s="26" t="s">
        <v>9032</v>
      </c>
      <c r="I2589" s="17">
        <f ca="1">IFERROR(__xludf.DUMMYFUNCTION("""COMPUTED_VALUE"""),45548)</f>
        <v>45548</v>
      </c>
      <c r="J2589" s="29" t="s">
        <v>6424</v>
      </c>
      <c r="K2589" s="26" t="s">
        <v>5899</v>
      </c>
      <c r="L2589" s="30">
        <v>372156985</v>
      </c>
      <c r="M2589" s="26" t="s">
        <v>5558</v>
      </c>
      <c r="N2589" s="26" t="s">
        <v>850</v>
      </c>
      <c r="O2589" s="26" t="s">
        <v>2819</v>
      </c>
      <c r="P2589" s="26" t="s">
        <v>3153</v>
      </c>
      <c r="Q2589" s="20">
        <v>13968</v>
      </c>
      <c r="R2589" s="26" t="s">
        <v>36</v>
      </c>
      <c r="S2589" s="31">
        <v>13968</v>
      </c>
      <c r="T2589" s="32">
        <v>45284</v>
      </c>
      <c r="U2589" s="31"/>
      <c r="V2589" s="32"/>
      <c r="W2589" s="33" t="s">
        <v>6425</v>
      </c>
      <c r="X2589" s="26"/>
      <c r="Y2589" s="22">
        <v>0</v>
      </c>
      <c r="Z2589" s="26" t="s">
        <v>118</v>
      </c>
      <c r="AA2589" s="19" t="s">
        <v>5961</v>
      </c>
      <c r="AB2589" s="80" t="s">
        <v>36</v>
      </c>
      <c r="AC2589" s="26" t="s">
        <v>53</v>
      </c>
      <c r="AD2589" s="19" t="s">
        <v>138</v>
      </c>
      <c r="AE2589" s="26" t="s">
        <v>5100</v>
      </c>
      <c r="AF2589" s="17">
        <v>45548</v>
      </c>
      <c r="AG2589" s="26" t="s">
        <v>4996</v>
      </c>
      <c r="AH2589" s="26">
        <v>1</v>
      </c>
      <c r="AI2589" s="40"/>
      <c r="AJ2589" s="26"/>
      <c r="AK2589" s="26"/>
      <c r="AL2589" s="35"/>
      <c r="AM2589" s="35"/>
      <c r="AN2589" s="35"/>
      <c r="AO2589" s="35"/>
      <c r="AP2589" s="35"/>
    </row>
    <row r="2590" spans="1:42" x14ac:dyDescent="0.2">
      <c r="A2590" s="14">
        <v>45518</v>
      </c>
      <c r="B2590" s="28" t="s">
        <v>37</v>
      </c>
      <c r="C2590" s="41" t="s">
        <v>118</v>
      </c>
      <c r="D2590" s="26" t="s">
        <v>36</v>
      </c>
      <c r="E2590" s="26" t="s">
        <v>56</v>
      </c>
      <c r="F2590" s="26" t="s">
        <v>2393</v>
      </c>
      <c r="G2590" s="26" t="s">
        <v>221</v>
      </c>
      <c r="H2590" s="26" t="s">
        <v>8972</v>
      </c>
      <c r="I2590" s="17">
        <f ca="1">IFERROR(__xludf.DUMMYFUNCTION("""COMPUTED_VALUE"""),45625)</f>
        <v>45625</v>
      </c>
      <c r="J2590" s="29" t="s">
        <v>958</v>
      </c>
      <c r="K2590" s="26" t="s">
        <v>9035</v>
      </c>
      <c r="L2590" s="30">
        <v>987583839</v>
      </c>
      <c r="M2590" s="26" t="s">
        <v>123</v>
      </c>
      <c r="N2590" s="26" t="s">
        <v>2390</v>
      </c>
      <c r="O2590" s="26" t="s">
        <v>125</v>
      </c>
      <c r="P2590" s="42" t="s">
        <v>2394</v>
      </c>
      <c r="Q2590" s="20">
        <v>9317</v>
      </c>
      <c r="R2590" s="26" t="s">
        <v>36</v>
      </c>
      <c r="S2590" s="31">
        <v>2000</v>
      </c>
      <c r="T2590" s="32">
        <v>45117</v>
      </c>
      <c r="U2590" s="31">
        <v>7317</v>
      </c>
      <c r="V2590" s="32">
        <v>45140</v>
      </c>
      <c r="W2590" s="33" t="s">
        <v>961</v>
      </c>
      <c r="X2590" s="26">
        <v>0</v>
      </c>
      <c r="Y2590" s="22">
        <v>0</v>
      </c>
      <c r="Z2590" s="26" t="s">
        <v>118</v>
      </c>
      <c r="AA2590" s="19" t="s">
        <v>1871</v>
      </c>
      <c r="AB2590" s="80" t="s">
        <v>36</v>
      </c>
      <c r="AC2590" s="26" t="s">
        <v>53</v>
      </c>
      <c r="AD2590" s="19" t="s">
        <v>54</v>
      </c>
      <c r="AE2590" s="26" t="s">
        <v>2393</v>
      </c>
      <c r="AF2590" s="17">
        <v>45548</v>
      </c>
      <c r="AG2590" s="26" t="s">
        <v>2395</v>
      </c>
      <c r="AH2590" s="26">
        <v>3</v>
      </c>
      <c r="AI2590" s="40" t="s">
        <v>64</v>
      </c>
      <c r="AJ2590" s="26"/>
      <c r="AK2590" s="26"/>
      <c r="AL2590" s="35"/>
      <c r="AM2590" s="35"/>
      <c r="AN2590" s="35"/>
      <c r="AO2590" s="35"/>
      <c r="AP2590" s="35"/>
    </row>
    <row r="2591" spans="1:42" x14ac:dyDescent="0.2">
      <c r="A2591" s="14">
        <v>45518</v>
      </c>
      <c r="B2591" s="28" t="s">
        <v>37</v>
      </c>
      <c r="C2591" s="41" t="s">
        <v>118</v>
      </c>
      <c r="D2591" s="26" t="s">
        <v>36</v>
      </c>
      <c r="E2591" s="26" t="s">
        <v>139</v>
      </c>
      <c r="F2591" s="26" t="s">
        <v>5100</v>
      </c>
      <c r="G2591" s="26" t="s">
        <v>221</v>
      </c>
      <c r="H2591" s="26" t="s">
        <v>9032</v>
      </c>
      <c r="I2591" s="17">
        <f ca="1">IFERROR(__xludf.DUMMYFUNCTION("""COMPUTED_VALUE"""),45548)</f>
        <v>45548</v>
      </c>
      <c r="J2591" s="29" t="s">
        <v>6007</v>
      </c>
      <c r="K2591" s="26" t="s">
        <v>6008</v>
      </c>
      <c r="L2591" s="30">
        <v>912501828</v>
      </c>
      <c r="M2591" s="26" t="s">
        <v>123</v>
      </c>
      <c r="N2591" s="26" t="s">
        <v>2847</v>
      </c>
      <c r="O2591" s="26" t="s">
        <v>4503</v>
      </c>
      <c r="P2591" s="26" t="s">
        <v>6009</v>
      </c>
      <c r="Q2591" s="20">
        <v>15936</v>
      </c>
      <c r="R2591" s="26" t="s">
        <v>36</v>
      </c>
      <c r="S2591" s="31">
        <v>200</v>
      </c>
      <c r="T2591" s="32">
        <v>45226</v>
      </c>
      <c r="U2591" s="31">
        <f>1800+13936</f>
        <v>15736</v>
      </c>
      <c r="V2591" s="26" t="s">
        <v>6010</v>
      </c>
      <c r="W2591" s="26" t="s">
        <v>6011</v>
      </c>
      <c r="X2591" s="26"/>
      <c r="Y2591" s="22">
        <v>0</v>
      </c>
      <c r="Z2591" s="26" t="s">
        <v>50</v>
      </c>
      <c r="AA2591" s="19" t="s">
        <v>5961</v>
      </c>
      <c r="AB2591" s="26" t="s">
        <v>104</v>
      </c>
      <c r="AC2591" s="26" t="s">
        <v>53</v>
      </c>
      <c r="AD2591" s="19" t="s">
        <v>138</v>
      </c>
      <c r="AE2591" s="26" t="s">
        <v>5100</v>
      </c>
      <c r="AF2591" s="17">
        <v>45548</v>
      </c>
      <c r="AG2591" s="26" t="s">
        <v>5101</v>
      </c>
      <c r="AH2591" s="26"/>
      <c r="AI2591" s="40" t="s">
        <v>147</v>
      </c>
      <c r="AJ2591" s="26"/>
      <c r="AK2591" s="26"/>
      <c r="AL2591" s="35"/>
      <c r="AM2591" s="35"/>
      <c r="AN2591" s="35"/>
      <c r="AO2591" s="35"/>
      <c r="AP2591" s="35"/>
    </row>
    <row r="2592" spans="1:42" x14ac:dyDescent="0.2">
      <c r="A2592" s="14">
        <v>45518</v>
      </c>
      <c r="B2592" s="28" t="s">
        <v>37</v>
      </c>
      <c r="C2592" s="41" t="s">
        <v>118</v>
      </c>
      <c r="D2592" s="26" t="s">
        <v>36</v>
      </c>
      <c r="E2592" s="26" t="s">
        <v>139</v>
      </c>
      <c r="F2592" s="26" t="s">
        <v>8074</v>
      </c>
      <c r="G2592" s="26" t="s">
        <v>221</v>
      </c>
      <c r="H2592" s="26" t="s">
        <v>9032</v>
      </c>
      <c r="I2592" s="17">
        <f ca="1">IFERROR(__xludf.DUMMYFUNCTION("""COMPUTED_VALUE"""),45548)</f>
        <v>45548</v>
      </c>
      <c r="J2592" s="29" t="s">
        <v>8136</v>
      </c>
      <c r="K2592" s="26" t="s">
        <v>8137</v>
      </c>
      <c r="L2592" s="30">
        <v>902137724</v>
      </c>
      <c r="M2592" s="26" t="s">
        <v>123</v>
      </c>
      <c r="N2592" s="26" t="s">
        <v>186</v>
      </c>
      <c r="O2592" s="26" t="s">
        <v>4503</v>
      </c>
      <c r="P2592" s="26" t="s">
        <v>3487</v>
      </c>
      <c r="Q2592" s="20">
        <v>15936</v>
      </c>
      <c r="R2592" s="26" t="s">
        <v>36</v>
      </c>
      <c r="S2592" s="31">
        <v>200</v>
      </c>
      <c r="T2592" s="32">
        <v>45330</v>
      </c>
      <c r="U2592" s="31">
        <f>5000+10636+100</f>
        <v>15736</v>
      </c>
      <c r="V2592" s="26" t="s">
        <v>8138</v>
      </c>
      <c r="W2592" s="26" t="s">
        <v>8139</v>
      </c>
      <c r="X2592" s="26"/>
      <c r="Y2592" s="22">
        <v>0</v>
      </c>
      <c r="Z2592" s="26" t="s">
        <v>118</v>
      </c>
      <c r="AA2592" s="19" t="s">
        <v>8317</v>
      </c>
      <c r="AB2592" s="80" t="s">
        <v>36</v>
      </c>
      <c r="AC2592" s="26" t="s">
        <v>53</v>
      </c>
      <c r="AD2592" s="19" t="s">
        <v>138</v>
      </c>
      <c r="AE2592" s="26" t="s">
        <v>8074</v>
      </c>
      <c r="AF2592" s="17">
        <v>45548</v>
      </c>
      <c r="AG2592" s="26"/>
      <c r="AH2592" s="26"/>
      <c r="AI2592" s="40"/>
      <c r="AJ2592" s="26"/>
      <c r="AK2592" s="26"/>
      <c r="AL2592" s="35"/>
      <c r="AM2592" s="35"/>
      <c r="AN2592" s="35"/>
      <c r="AO2592" s="35"/>
      <c r="AP2592" s="35"/>
    </row>
    <row r="2593" spans="1:42" x14ac:dyDescent="0.2">
      <c r="A2593" s="14">
        <v>45518</v>
      </c>
      <c r="B2593" s="28" t="s">
        <v>37</v>
      </c>
      <c r="C2593" s="41" t="s">
        <v>118</v>
      </c>
      <c r="D2593" s="26" t="s">
        <v>36</v>
      </c>
      <c r="E2593" s="26" t="s">
        <v>139</v>
      </c>
      <c r="F2593" s="26" t="s">
        <v>8074</v>
      </c>
      <c r="G2593" s="26" t="s">
        <v>221</v>
      </c>
      <c r="H2593" s="26" t="s">
        <v>9032</v>
      </c>
      <c r="I2593" s="17">
        <f ca="1">IFERROR(__xludf.DUMMYFUNCTION("""COMPUTED_VALUE"""),45548)</f>
        <v>45548</v>
      </c>
      <c r="J2593" s="29" t="s">
        <v>7687</v>
      </c>
      <c r="K2593" s="26" t="s">
        <v>7688</v>
      </c>
      <c r="L2593" s="30">
        <v>825946086</v>
      </c>
      <c r="M2593" s="26" t="s">
        <v>123</v>
      </c>
      <c r="N2593" s="26" t="s">
        <v>186</v>
      </c>
      <c r="O2593" s="26" t="s">
        <v>4503</v>
      </c>
      <c r="P2593" s="26" t="s">
        <v>3487</v>
      </c>
      <c r="Q2593" s="20">
        <v>15936</v>
      </c>
      <c r="R2593" s="26" t="s">
        <v>70</v>
      </c>
      <c r="S2593" s="31">
        <v>200</v>
      </c>
      <c r="T2593" s="32">
        <v>45330</v>
      </c>
      <c r="U2593" s="31">
        <f>5000+10736</f>
        <v>15736</v>
      </c>
      <c r="V2593" s="26" t="s">
        <v>7689</v>
      </c>
      <c r="W2593" s="26" t="s">
        <v>7690</v>
      </c>
      <c r="X2593" s="26"/>
      <c r="Y2593" s="22">
        <v>0</v>
      </c>
      <c r="Z2593" s="98" t="s">
        <v>118</v>
      </c>
      <c r="AA2593" s="19" t="s">
        <v>7361</v>
      </c>
      <c r="AB2593" s="80" t="s">
        <v>36</v>
      </c>
      <c r="AC2593" s="26" t="s">
        <v>53</v>
      </c>
      <c r="AD2593" s="19" t="s">
        <v>138</v>
      </c>
      <c r="AE2593" s="26" t="s">
        <v>8074</v>
      </c>
      <c r="AF2593" s="17">
        <v>45548</v>
      </c>
      <c r="AG2593" s="26"/>
      <c r="AH2593" s="26"/>
      <c r="AI2593" s="40"/>
      <c r="AJ2593" s="26"/>
      <c r="AK2593" s="26"/>
      <c r="AL2593" s="35"/>
      <c r="AM2593" s="35"/>
      <c r="AN2593" s="35"/>
      <c r="AO2593" s="35"/>
      <c r="AP2593" s="35"/>
    </row>
    <row r="2594" spans="1:42" x14ac:dyDescent="0.2">
      <c r="A2594" s="14">
        <v>45518</v>
      </c>
      <c r="B2594" s="28" t="s">
        <v>37</v>
      </c>
      <c r="C2594" s="41" t="s">
        <v>118</v>
      </c>
      <c r="D2594" s="26" t="s">
        <v>36</v>
      </c>
      <c r="E2594" s="26" t="s">
        <v>119</v>
      </c>
      <c r="F2594" s="26" t="s">
        <v>5106</v>
      </c>
      <c r="G2594" s="26" t="s">
        <v>221</v>
      </c>
      <c r="H2594" s="26" t="s">
        <v>9036</v>
      </c>
      <c r="I2594" s="17">
        <f ca="1">IFERROR(__xludf.DUMMYFUNCTION("""COMPUTED_VALUE"""),45701)</f>
        <v>45701</v>
      </c>
      <c r="J2594" s="29" t="s">
        <v>6466</v>
      </c>
      <c r="K2594" s="26" t="s">
        <v>9037</v>
      </c>
      <c r="L2594" s="30">
        <v>983734475</v>
      </c>
      <c r="M2594" s="26" t="s">
        <v>1245</v>
      </c>
      <c r="N2594" s="26" t="s">
        <v>6468</v>
      </c>
      <c r="O2594" s="26" t="s">
        <v>6469</v>
      </c>
      <c r="P2594" s="26" t="s">
        <v>6470</v>
      </c>
      <c r="Q2594" s="20">
        <v>13968</v>
      </c>
      <c r="R2594" s="26" t="s">
        <v>36</v>
      </c>
      <c r="S2594" s="31">
        <v>13968</v>
      </c>
      <c r="T2594" s="32">
        <v>45288</v>
      </c>
      <c r="U2594" s="31"/>
      <c r="V2594" s="32"/>
      <c r="W2594" s="33" t="s">
        <v>6471</v>
      </c>
      <c r="X2594" s="26"/>
      <c r="Y2594" s="22">
        <v>0</v>
      </c>
      <c r="Z2594" s="98" t="s">
        <v>118</v>
      </c>
      <c r="AA2594" s="19" t="s">
        <v>5961</v>
      </c>
      <c r="AB2594" s="80" t="s">
        <v>36</v>
      </c>
      <c r="AC2594" s="26" t="s">
        <v>53</v>
      </c>
      <c r="AD2594" s="19" t="s">
        <v>138</v>
      </c>
      <c r="AE2594" s="26" t="s">
        <v>5106</v>
      </c>
      <c r="AF2594" s="17">
        <v>45548</v>
      </c>
      <c r="AG2594" s="26" t="s">
        <v>4092</v>
      </c>
      <c r="AH2594" s="26">
        <v>1</v>
      </c>
      <c r="AI2594" s="40"/>
      <c r="AJ2594" s="26"/>
      <c r="AK2594" s="26"/>
      <c r="AL2594" s="35"/>
      <c r="AM2594" s="35"/>
      <c r="AN2594" s="35"/>
      <c r="AO2594" s="35"/>
      <c r="AP2594" s="35"/>
    </row>
    <row r="2595" spans="1:42" x14ac:dyDescent="0.2">
      <c r="A2595" s="14">
        <v>45518</v>
      </c>
      <c r="B2595" s="28" t="s">
        <v>37</v>
      </c>
      <c r="C2595" s="41" t="s">
        <v>118</v>
      </c>
      <c r="D2595" s="26" t="s">
        <v>36</v>
      </c>
      <c r="E2595" s="26" t="s">
        <v>56</v>
      </c>
      <c r="F2595" s="26" t="s">
        <v>8074</v>
      </c>
      <c r="G2595" s="26" t="s">
        <v>221</v>
      </c>
      <c r="H2595" s="26" t="s">
        <v>9032</v>
      </c>
      <c r="I2595" s="17">
        <f ca="1">IFERROR(__xludf.DUMMYFUNCTION("""COMPUTED_VALUE"""),45548)</f>
        <v>45548</v>
      </c>
      <c r="J2595" s="29" t="s">
        <v>7754</v>
      </c>
      <c r="K2595" s="26" t="s">
        <v>7755</v>
      </c>
      <c r="L2595" s="30">
        <v>977280105</v>
      </c>
      <c r="M2595" s="26" t="s">
        <v>910</v>
      </c>
      <c r="N2595" s="26" t="s">
        <v>3221</v>
      </c>
      <c r="O2595" s="26" t="s">
        <v>3754</v>
      </c>
      <c r="P2595" s="26"/>
      <c r="Q2595" s="20">
        <v>9317</v>
      </c>
      <c r="R2595" s="26" t="s">
        <v>36</v>
      </c>
      <c r="S2595" s="31">
        <v>9317</v>
      </c>
      <c r="T2595" s="32">
        <v>45362</v>
      </c>
      <c r="U2595" s="31"/>
      <c r="V2595" s="32"/>
      <c r="W2595" s="33" t="s">
        <v>7757</v>
      </c>
      <c r="X2595" s="26"/>
      <c r="Y2595" s="22">
        <v>0</v>
      </c>
      <c r="Z2595" s="98" t="s">
        <v>118</v>
      </c>
      <c r="AA2595" s="19" t="s">
        <v>7361</v>
      </c>
      <c r="AB2595" s="80" t="s">
        <v>36</v>
      </c>
      <c r="AC2595" s="26" t="s">
        <v>53</v>
      </c>
      <c r="AD2595" s="19" t="s">
        <v>138</v>
      </c>
      <c r="AE2595" s="26" t="s">
        <v>8074</v>
      </c>
      <c r="AF2595" s="17">
        <v>45548</v>
      </c>
      <c r="AG2595" s="26" t="s">
        <v>8075</v>
      </c>
      <c r="AH2595" s="26"/>
      <c r="AI2595" s="40"/>
      <c r="AJ2595" s="26"/>
      <c r="AK2595" s="26"/>
      <c r="AL2595" s="35"/>
      <c r="AM2595" s="35"/>
      <c r="AN2595" s="35"/>
      <c r="AO2595" s="35"/>
      <c r="AP2595" s="35"/>
    </row>
    <row r="2596" spans="1:42" x14ac:dyDescent="0.2">
      <c r="A2596" s="14">
        <v>45518</v>
      </c>
      <c r="B2596" s="28" t="s">
        <v>37</v>
      </c>
      <c r="C2596" s="41" t="s">
        <v>118</v>
      </c>
      <c r="D2596" s="26" t="s">
        <v>36</v>
      </c>
      <c r="E2596" s="26" t="s">
        <v>139</v>
      </c>
      <c r="F2596" s="26" t="s">
        <v>5100</v>
      </c>
      <c r="G2596" s="26" t="s">
        <v>221</v>
      </c>
      <c r="H2596" s="26" t="s">
        <v>9032</v>
      </c>
      <c r="I2596" s="17">
        <f ca="1">IFERROR(__xludf.DUMMYFUNCTION("""COMPUTED_VALUE"""),45548)</f>
        <v>45548</v>
      </c>
      <c r="J2596" s="29" t="s">
        <v>6165</v>
      </c>
      <c r="K2596" s="26" t="s">
        <v>9038</v>
      </c>
      <c r="L2596" s="30">
        <v>961871926</v>
      </c>
      <c r="M2596" s="26" t="s">
        <v>123</v>
      </c>
      <c r="N2596" s="26" t="s">
        <v>850</v>
      </c>
      <c r="O2596" s="26" t="s">
        <v>1226</v>
      </c>
      <c r="P2596" s="26" t="s">
        <v>3487</v>
      </c>
      <c r="Q2596" s="20">
        <v>15936</v>
      </c>
      <c r="R2596" s="26" t="s">
        <v>36</v>
      </c>
      <c r="S2596" s="31">
        <v>200</v>
      </c>
      <c r="T2596" s="32">
        <v>45188</v>
      </c>
      <c r="U2596" s="31">
        <f>1768+13768+100</f>
        <v>15636</v>
      </c>
      <c r="V2596" s="26" t="s">
        <v>6167</v>
      </c>
      <c r="W2596" s="33" t="s">
        <v>6168</v>
      </c>
      <c r="X2596" s="26">
        <v>0</v>
      </c>
      <c r="Y2596" s="22">
        <v>100</v>
      </c>
      <c r="Z2596" s="98" t="s">
        <v>118</v>
      </c>
      <c r="AA2596" s="19" t="s">
        <v>6541</v>
      </c>
      <c r="AB2596" s="80" t="s">
        <v>36</v>
      </c>
      <c r="AC2596" s="26" t="s">
        <v>53</v>
      </c>
      <c r="AD2596" s="14" t="s">
        <v>138</v>
      </c>
      <c r="AE2596" s="26" t="s">
        <v>5100</v>
      </c>
      <c r="AF2596" s="17">
        <v>45548</v>
      </c>
      <c r="AG2596" s="40" t="s">
        <v>4996</v>
      </c>
      <c r="AH2596" s="26">
        <v>2</v>
      </c>
      <c r="AI2596" s="40" t="s">
        <v>147</v>
      </c>
      <c r="AJ2596" s="26"/>
      <c r="AK2596" s="26"/>
      <c r="AL2596" s="35"/>
      <c r="AM2596" s="35"/>
      <c r="AN2596" s="35"/>
      <c r="AO2596" s="35"/>
      <c r="AP2596" s="35"/>
    </row>
    <row r="2597" spans="1:42" x14ac:dyDescent="0.2">
      <c r="A2597" s="14">
        <v>45518</v>
      </c>
      <c r="B2597" s="28" t="s">
        <v>37</v>
      </c>
      <c r="C2597" s="41" t="s">
        <v>118</v>
      </c>
      <c r="D2597" s="26" t="s">
        <v>36</v>
      </c>
      <c r="E2597" s="26" t="s">
        <v>119</v>
      </c>
      <c r="F2597" s="26" t="s">
        <v>7403</v>
      </c>
      <c r="G2597" s="26" t="s">
        <v>221</v>
      </c>
      <c r="H2597" s="26" t="s">
        <v>9032</v>
      </c>
      <c r="I2597" s="17">
        <f ca="1">IFERROR(__xludf.DUMMYFUNCTION("""COMPUTED_VALUE"""),45548)</f>
        <v>45548</v>
      </c>
      <c r="J2597" s="29" t="s">
        <v>7775</v>
      </c>
      <c r="K2597" s="26" t="s">
        <v>7776</v>
      </c>
      <c r="L2597" s="30">
        <v>375542694</v>
      </c>
      <c r="M2597" s="26" t="s">
        <v>59</v>
      </c>
      <c r="N2597" s="26" t="s">
        <v>403</v>
      </c>
      <c r="O2597" s="26" t="s">
        <v>7777</v>
      </c>
      <c r="P2597" s="26" t="s">
        <v>7778</v>
      </c>
      <c r="Q2597" s="20">
        <v>13968</v>
      </c>
      <c r="R2597" s="26" t="s">
        <v>36</v>
      </c>
      <c r="S2597" s="31">
        <v>13968</v>
      </c>
      <c r="T2597" s="32">
        <v>45356</v>
      </c>
      <c r="U2597" s="31"/>
      <c r="V2597" s="32"/>
      <c r="W2597" s="33" t="s">
        <v>7779</v>
      </c>
      <c r="X2597" s="26"/>
      <c r="Y2597" s="22">
        <v>0</v>
      </c>
      <c r="Z2597" s="98" t="s">
        <v>118</v>
      </c>
      <c r="AA2597" s="19" t="s">
        <v>7361</v>
      </c>
      <c r="AB2597" s="80" t="s">
        <v>36</v>
      </c>
      <c r="AC2597" s="26" t="s">
        <v>53</v>
      </c>
      <c r="AD2597" s="19" t="s">
        <v>138</v>
      </c>
      <c r="AE2597" s="26" t="s">
        <v>7403</v>
      </c>
      <c r="AF2597" s="17">
        <v>45548</v>
      </c>
      <c r="AG2597" s="26" t="s">
        <v>1362</v>
      </c>
      <c r="AH2597" s="26"/>
      <c r="AI2597" s="40"/>
      <c r="AJ2597" s="26"/>
      <c r="AK2597" s="26"/>
      <c r="AL2597" s="35"/>
      <c r="AM2597" s="35"/>
      <c r="AN2597" s="35"/>
      <c r="AO2597" s="35"/>
      <c r="AP2597" s="35"/>
    </row>
    <row r="2598" spans="1:42" x14ac:dyDescent="0.2">
      <c r="A2598" s="14">
        <v>45518</v>
      </c>
      <c r="B2598" s="28" t="s">
        <v>37</v>
      </c>
      <c r="C2598" s="41" t="s">
        <v>118</v>
      </c>
      <c r="D2598" s="26" t="s">
        <v>36</v>
      </c>
      <c r="E2598" s="26" t="s">
        <v>139</v>
      </c>
      <c r="F2598" s="26" t="s">
        <v>1626</v>
      </c>
      <c r="G2598" s="26" t="s">
        <v>221</v>
      </c>
      <c r="H2598" s="26" t="s">
        <v>9032</v>
      </c>
      <c r="I2598" s="17">
        <f ca="1">IFERROR(__xludf.DUMMYFUNCTION("""COMPUTED_VALUE"""),45548)</f>
        <v>45548</v>
      </c>
      <c r="J2598" s="29" t="s">
        <v>5220</v>
      </c>
      <c r="K2598" s="26" t="s">
        <v>5221</v>
      </c>
      <c r="L2598" s="30">
        <v>878982865</v>
      </c>
      <c r="M2598" s="26" t="s">
        <v>910</v>
      </c>
      <c r="N2598" s="26" t="s">
        <v>3525</v>
      </c>
      <c r="O2598" s="26" t="s">
        <v>3754</v>
      </c>
      <c r="P2598" s="42" t="s">
        <v>5938</v>
      </c>
      <c r="Q2598" s="20">
        <v>15936</v>
      </c>
      <c r="R2598" s="26" t="s">
        <v>70</v>
      </c>
      <c r="S2598" s="31">
        <v>2000</v>
      </c>
      <c r="T2598" s="32">
        <v>45202</v>
      </c>
      <c r="U2598" s="31">
        <v>13936</v>
      </c>
      <c r="V2598" s="32">
        <v>45246</v>
      </c>
      <c r="W2598" s="33" t="s">
        <v>5223</v>
      </c>
      <c r="X2598" s="26"/>
      <c r="Y2598" s="22">
        <v>0</v>
      </c>
      <c r="Z2598" s="26" t="s">
        <v>118</v>
      </c>
      <c r="AA2598" s="19" t="s">
        <v>5785</v>
      </c>
      <c r="AB2598" s="80" t="s">
        <v>36</v>
      </c>
      <c r="AC2598" s="26" t="s">
        <v>53</v>
      </c>
      <c r="AD2598" s="19" t="s">
        <v>138</v>
      </c>
      <c r="AE2598" s="26" t="s">
        <v>1626</v>
      </c>
      <c r="AF2598" s="17">
        <v>45548</v>
      </c>
      <c r="AG2598" s="26" t="s">
        <v>4996</v>
      </c>
      <c r="AH2598" s="26"/>
      <c r="AI2598" s="40" t="s">
        <v>147</v>
      </c>
      <c r="AJ2598" s="26"/>
      <c r="AK2598" s="26"/>
      <c r="AL2598" s="35"/>
      <c r="AM2598" s="35"/>
      <c r="AN2598" s="35"/>
      <c r="AO2598" s="35"/>
      <c r="AP2598" s="35"/>
    </row>
    <row r="2599" spans="1:42" x14ac:dyDescent="0.2">
      <c r="A2599" s="14">
        <v>45518</v>
      </c>
      <c r="B2599" s="28" t="s">
        <v>37</v>
      </c>
      <c r="C2599" s="41" t="s">
        <v>118</v>
      </c>
      <c r="D2599" s="26" t="s">
        <v>36</v>
      </c>
      <c r="E2599" s="26" t="s">
        <v>139</v>
      </c>
      <c r="F2599" s="26" t="s">
        <v>7403</v>
      </c>
      <c r="G2599" s="26" t="s">
        <v>221</v>
      </c>
      <c r="H2599" s="26" t="s">
        <v>9032</v>
      </c>
      <c r="I2599" s="17">
        <f ca="1">IFERROR(__xludf.DUMMYFUNCTION("""COMPUTED_VALUE"""),45548)</f>
        <v>45548</v>
      </c>
      <c r="J2599" s="29" t="s">
        <v>7095</v>
      </c>
      <c r="K2599" s="26" t="s">
        <v>7096</v>
      </c>
      <c r="L2599" s="30">
        <v>912552802</v>
      </c>
      <c r="M2599" s="26" t="s">
        <v>2755</v>
      </c>
      <c r="N2599" s="26" t="s">
        <v>2756</v>
      </c>
      <c r="O2599" s="26" t="s">
        <v>4503</v>
      </c>
      <c r="P2599" s="26" t="s">
        <v>7097</v>
      </c>
      <c r="Q2599" s="20">
        <v>15936</v>
      </c>
      <c r="R2599" s="26" t="s">
        <v>36</v>
      </c>
      <c r="S2599" s="31">
        <v>400</v>
      </c>
      <c r="T2599" s="32">
        <v>45293</v>
      </c>
      <c r="U2599" s="31">
        <f>11336+3600</f>
        <v>14936</v>
      </c>
      <c r="V2599" s="26" t="s">
        <v>7098</v>
      </c>
      <c r="W2599" s="33" t="s">
        <v>7099</v>
      </c>
      <c r="X2599" s="26"/>
      <c r="Y2599" s="22">
        <v>600</v>
      </c>
      <c r="Z2599" s="26" t="s">
        <v>118</v>
      </c>
      <c r="AA2599" s="19" t="s">
        <v>7348</v>
      </c>
      <c r="AB2599" s="80" t="s">
        <v>36</v>
      </c>
      <c r="AC2599" s="26" t="s">
        <v>53</v>
      </c>
      <c r="AD2599" s="19" t="s">
        <v>138</v>
      </c>
      <c r="AE2599" s="26" t="s">
        <v>7403</v>
      </c>
      <c r="AF2599" s="17">
        <v>45548</v>
      </c>
      <c r="AG2599" s="26" t="s">
        <v>1362</v>
      </c>
      <c r="AH2599" s="26"/>
      <c r="AI2599" s="40" t="s">
        <v>147</v>
      </c>
      <c r="AJ2599" s="26"/>
      <c r="AK2599" s="26"/>
      <c r="AL2599" s="35"/>
      <c r="AM2599" s="35"/>
      <c r="AN2599" s="35"/>
      <c r="AO2599" s="35"/>
      <c r="AP2599" s="35"/>
    </row>
    <row r="2600" spans="1:42" x14ac:dyDescent="0.2">
      <c r="A2600" s="14">
        <v>45518</v>
      </c>
      <c r="B2600" s="28" t="s">
        <v>37</v>
      </c>
      <c r="C2600" s="41" t="s">
        <v>118</v>
      </c>
      <c r="D2600" s="26" t="s">
        <v>36</v>
      </c>
      <c r="E2600" s="26" t="s">
        <v>119</v>
      </c>
      <c r="F2600" s="26" t="s">
        <v>6083</v>
      </c>
      <c r="G2600" s="26" t="s">
        <v>221</v>
      </c>
      <c r="H2600" s="26" t="s">
        <v>9032</v>
      </c>
      <c r="I2600" s="17">
        <f ca="1">IFERROR(__xludf.DUMMYFUNCTION("""COMPUTED_VALUE"""),45548)</f>
        <v>45548</v>
      </c>
      <c r="J2600" s="29" t="s">
        <v>5310</v>
      </c>
      <c r="K2600" s="26" t="s">
        <v>9039</v>
      </c>
      <c r="L2600" s="30">
        <v>963718483</v>
      </c>
      <c r="M2600" s="26" t="s">
        <v>3728</v>
      </c>
      <c r="N2600" s="26" t="s">
        <v>5312</v>
      </c>
      <c r="O2600" s="26" t="s">
        <v>5313</v>
      </c>
      <c r="P2600" s="26" t="s">
        <v>6121</v>
      </c>
      <c r="Q2600" s="20">
        <v>13968</v>
      </c>
      <c r="R2600" s="26" t="s">
        <v>36</v>
      </c>
      <c r="S2600" s="31">
        <v>4000</v>
      </c>
      <c r="T2600" s="32">
        <v>45210</v>
      </c>
      <c r="U2600" s="31">
        <v>9968</v>
      </c>
      <c r="V2600" s="32">
        <v>45231</v>
      </c>
      <c r="W2600" s="33" t="s">
        <v>5315</v>
      </c>
      <c r="X2600" s="26"/>
      <c r="Y2600" s="22">
        <v>0</v>
      </c>
      <c r="Z2600" s="26" t="s">
        <v>118</v>
      </c>
      <c r="AA2600" s="19" t="s">
        <v>5112</v>
      </c>
      <c r="AB2600" s="80" t="s">
        <v>36</v>
      </c>
      <c r="AC2600" s="26" t="s">
        <v>53</v>
      </c>
      <c r="AD2600" s="19" t="s">
        <v>138</v>
      </c>
      <c r="AE2600" s="26" t="s">
        <v>6083</v>
      </c>
      <c r="AF2600" s="17">
        <v>45548</v>
      </c>
      <c r="AG2600" s="139">
        <v>45303</v>
      </c>
      <c r="AH2600" s="26"/>
      <c r="AI2600" s="40">
        <v>4</v>
      </c>
      <c r="AJ2600" s="26"/>
      <c r="AK2600" s="26"/>
      <c r="AL2600" s="35"/>
      <c r="AM2600" s="35"/>
      <c r="AN2600" s="35"/>
      <c r="AO2600" s="35"/>
      <c r="AP2600" s="35"/>
    </row>
    <row r="2601" spans="1:42" x14ac:dyDescent="0.2">
      <c r="A2601" s="14">
        <v>45518</v>
      </c>
      <c r="B2601" s="28" t="s">
        <v>37</v>
      </c>
      <c r="C2601" s="41" t="s">
        <v>118</v>
      </c>
      <c r="D2601" s="26" t="s">
        <v>36</v>
      </c>
      <c r="E2601" s="26" t="s">
        <v>139</v>
      </c>
      <c r="F2601" s="26" t="s">
        <v>5100</v>
      </c>
      <c r="G2601" s="26" t="s">
        <v>221</v>
      </c>
      <c r="H2601" s="26" t="s">
        <v>9032</v>
      </c>
      <c r="I2601" s="17">
        <f ca="1">IFERROR(__xludf.DUMMYFUNCTION("""COMPUTED_VALUE"""),45548)</f>
        <v>45548</v>
      </c>
      <c r="J2601" s="29" t="s">
        <v>4506</v>
      </c>
      <c r="K2601" s="26" t="s">
        <v>4507</v>
      </c>
      <c r="L2601" s="30">
        <v>964298654</v>
      </c>
      <c r="M2601" s="26" t="s">
        <v>1245</v>
      </c>
      <c r="N2601" s="26" t="s">
        <v>4957</v>
      </c>
      <c r="O2601" s="26" t="s">
        <v>4503</v>
      </c>
      <c r="P2601" s="26" t="s">
        <v>4508</v>
      </c>
      <c r="Q2601" s="20">
        <v>15936</v>
      </c>
      <c r="R2601" s="26" t="s">
        <v>36</v>
      </c>
      <c r="S2601" s="31">
        <v>15936</v>
      </c>
      <c r="T2601" s="32">
        <v>45228</v>
      </c>
      <c r="U2601" s="31"/>
      <c r="V2601" s="26"/>
      <c r="W2601" s="33" t="s">
        <v>4509</v>
      </c>
      <c r="X2601" s="26"/>
      <c r="Y2601" s="22">
        <v>0</v>
      </c>
      <c r="Z2601" s="26" t="s">
        <v>118</v>
      </c>
      <c r="AA2601" s="19" t="s">
        <v>3454</v>
      </c>
      <c r="AB2601" s="80" t="s">
        <v>36</v>
      </c>
      <c r="AC2601" s="26" t="s">
        <v>53</v>
      </c>
      <c r="AD2601" s="19" t="s">
        <v>138</v>
      </c>
      <c r="AE2601" s="26" t="s">
        <v>5100</v>
      </c>
      <c r="AF2601" s="17">
        <v>45548</v>
      </c>
      <c r="AG2601" s="26" t="s">
        <v>5101</v>
      </c>
      <c r="AH2601" s="26"/>
      <c r="AI2601" s="40"/>
      <c r="AJ2601" s="26"/>
      <c r="AK2601" s="26"/>
      <c r="AL2601" s="35"/>
      <c r="AM2601" s="35"/>
      <c r="AN2601" s="35"/>
      <c r="AO2601" s="35"/>
      <c r="AP2601" s="35"/>
    </row>
    <row r="2602" spans="1:42" x14ac:dyDescent="0.2">
      <c r="A2602" s="14">
        <v>45518</v>
      </c>
      <c r="B2602" s="28" t="s">
        <v>37</v>
      </c>
      <c r="C2602" s="41" t="s">
        <v>118</v>
      </c>
      <c r="D2602" s="26" t="s">
        <v>36</v>
      </c>
      <c r="E2602" s="26" t="s">
        <v>56</v>
      </c>
      <c r="F2602" s="26" t="s">
        <v>7871</v>
      </c>
      <c r="G2602" s="26" t="s">
        <v>221</v>
      </c>
      <c r="H2602" s="26" t="s">
        <v>8997</v>
      </c>
      <c r="I2602" s="17">
        <f ca="1">IFERROR(__xludf.DUMMYFUNCTION("""COMPUTED_VALUE"""),45526)</f>
        <v>45526</v>
      </c>
      <c r="J2602" s="29" t="s">
        <v>7156</v>
      </c>
      <c r="K2602" s="26" t="s">
        <v>7157</v>
      </c>
      <c r="L2602" s="30">
        <v>337433420</v>
      </c>
      <c r="M2602" s="26" t="s">
        <v>2755</v>
      </c>
      <c r="N2602" s="26" t="s">
        <v>2756</v>
      </c>
      <c r="O2602" s="26" t="s">
        <v>4503</v>
      </c>
      <c r="P2602" s="26" t="s">
        <v>3117</v>
      </c>
      <c r="Q2602" s="20">
        <v>9317</v>
      </c>
      <c r="R2602" s="26" t="s">
        <v>36</v>
      </c>
      <c r="S2602" s="31">
        <v>300</v>
      </c>
      <c r="T2602" s="32">
        <v>45322</v>
      </c>
      <c r="U2602" s="31">
        <v>8717</v>
      </c>
      <c r="V2602" s="32">
        <v>45332</v>
      </c>
      <c r="W2602" s="26" t="s">
        <v>7158</v>
      </c>
      <c r="X2602" s="26"/>
      <c r="Y2602" s="22">
        <v>300</v>
      </c>
      <c r="Z2602" s="26" t="s">
        <v>118</v>
      </c>
      <c r="AA2602" s="19" t="s">
        <v>7077</v>
      </c>
      <c r="AB2602" s="26" t="s">
        <v>36</v>
      </c>
      <c r="AC2602" s="26" t="s">
        <v>53</v>
      </c>
      <c r="AD2602" s="19" t="s">
        <v>138</v>
      </c>
      <c r="AE2602" s="26" t="s">
        <v>7871</v>
      </c>
      <c r="AF2602" s="17">
        <v>45526</v>
      </c>
      <c r="AG2602" s="26" t="s">
        <v>1362</v>
      </c>
      <c r="AH2602" s="26"/>
      <c r="AI2602" s="40" t="s">
        <v>64</v>
      </c>
      <c r="AJ2602" s="26"/>
      <c r="AK2602" s="26"/>
      <c r="AL2602" s="35"/>
      <c r="AM2602" s="35"/>
      <c r="AN2602" s="35"/>
      <c r="AO2602" s="35"/>
      <c r="AP2602" s="35"/>
    </row>
    <row r="2603" spans="1:42" x14ac:dyDescent="0.2">
      <c r="A2603" s="14">
        <v>45518</v>
      </c>
      <c r="B2603" s="28" t="s">
        <v>37</v>
      </c>
      <c r="C2603" s="41" t="s">
        <v>118</v>
      </c>
      <c r="D2603" s="26" t="s">
        <v>36</v>
      </c>
      <c r="E2603" s="26" t="s">
        <v>139</v>
      </c>
      <c r="F2603" s="26" t="s">
        <v>4469</v>
      </c>
      <c r="G2603" s="26" t="s">
        <v>1847</v>
      </c>
      <c r="H2603" s="26" t="s">
        <v>8403</v>
      </c>
      <c r="I2603" s="17">
        <f ca="1">IFERROR(__xludf.DUMMYFUNCTION("""COMPUTED_VALUE"""),45543)</f>
        <v>45543</v>
      </c>
      <c r="J2603" s="29" t="s">
        <v>3827</v>
      </c>
      <c r="K2603" s="26" t="s">
        <v>3828</v>
      </c>
      <c r="L2603" s="30">
        <v>865113566</v>
      </c>
      <c r="M2603" s="26" t="s">
        <v>80</v>
      </c>
      <c r="N2603" s="26" t="s">
        <v>186</v>
      </c>
      <c r="O2603" s="26" t="s">
        <v>143</v>
      </c>
      <c r="P2603" s="42" t="s">
        <v>9040</v>
      </c>
      <c r="Q2603" s="20">
        <v>15936</v>
      </c>
      <c r="R2603" s="26" t="s">
        <v>3825</v>
      </c>
      <c r="S2603" s="31">
        <v>2000</v>
      </c>
      <c r="T2603" s="32">
        <v>45193</v>
      </c>
      <c r="U2603" s="31">
        <v>13736</v>
      </c>
      <c r="V2603" s="32">
        <v>45221</v>
      </c>
      <c r="W2603" s="33" t="s">
        <v>3829</v>
      </c>
      <c r="X2603" s="26"/>
      <c r="Y2603" s="22">
        <v>200</v>
      </c>
      <c r="Z2603" s="26" t="s">
        <v>118</v>
      </c>
      <c r="AA2603" s="19" t="s">
        <v>5785</v>
      </c>
      <c r="AB2603" s="26" t="s">
        <v>36</v>
      </c>
      <c r="AC2603" s="26" t="s">
        <v>53</v>
      </c>
      <c r="AD2603" s="19" t="s">
        <v>138</v>
      </c>
      <c r="AE2603" s="26" t="s">
        <v>4469</v>
      </c>
      <c r="AF2603" s="17">
        <v>45551</v>
      </c>
      <c r="AG2603" s="26" t="s">
        <v>3399</v>
      </c>
      <c r="AH2603" s="26"/>
      <c r="AI2603" s="40" t="s">
        <v>147</v>
      </c>
      <c r="AJ2603" s="26"/>
      <c r="AK2603" s="26"/>
      <c r="AL2603" s="35"/>
      <c r="AM2603" s="35"/>
      <c r="AN2603" s="35"/>
      <c r="AO2603" s="35"/>
      <c r="AP2603" s="35"/>
    </row>
    <row r="2604" spans="1:42" x14ac:dyDescent="0.2">
      <c r="A2604" s="14">
        <v>45518</v>
      </c>
      <c r="B2604" s="28" t="s">
        <v>37</v>
      </c>
      <c r="C2604" s="41" t="s">
        <v>118</v>
      </c>
      <c r="D2604" s="26" t="s">
        <v>36</v>
      </c>
      <c r="E2604" s="26" t="s">
        <v>119</v>
      </c>
      <c r="F2604" s="26" t="s">
        <v>7413</v>
      </c>
      <c r="G2604" s="26" t="s">
        <v>1847</v>
      </c>
      <c r="H2604" s="26" t="s">
        <v>8403</v>
      </c>
      <c r="I2604" s="17">
        <f ca="1">IFERROR(__xludf.DUMMYFUNCTION("""COMPUTED_VALUE"""),45543)</f>
        <v>45543</v>
      </c>
      <c r="J2604" s="29" t="s">
        <v>6275</v>
      </c>
      <c r="K2604" s="26" t="s">
        <v>6276</v>
      </c>
      <c r="L2604" s="30">
        <v>343880005</v>
      </c>
      <c r="M2604" s="26" t="s">
        <v>5429</v>
      </c>
      <c r="N2604" s="26" t="s">
        <v>81</v>
      </c>
      <c r="O2604" s="26" t="s">
        <v>6277</v>
      </c>
      <c r="P2604" s="26" t="s">
        <v>6278</v>
      </c>
      <c r="Q2604" s="20">
        <v>13968</v>
      </c>
      <c r="R2604" s="26" t="s">
        <v>36</v>
      </c>
      <c r="S2604" s="31">
        <v>4000</v>
      </c>
      <c r="T2604" s="32">
        <v>45254</v>
      </c>
      <c r="U2604" s="31">
        <v>9968</v>
      </c>
      <c r="V2604" s="32">
        <v>45287</v>
      </c>
      <c r="W2604" s="33" t="s">
        <v>6279</v>
      </c>
      <c r="X2604" s="26"/>
      <c r="Y2604" s="22">
        <v>0</v>
      </c>
      <c r="Z2604" s="26" t="s">
        <v>118</v>
      </c>
      <c r="AA2604" s="19" t="s">
        <v>5961</v>
      </c>
      <c r="AB2604" s="26" t="s">
        <v>36</v>
      </c>
      <c r="AC2604" s="26" t="s">
        <v>53</v>
      </c>
      <c r="AD2604" s="19" t="s">
        <v>138</v>
      </c>
      <c r="AE2604" s="26" t="s">
        <v>7413</v>
      </c>
      <c r="AF2604" s="17">
        <v>45551</v>
      </c>
      <c r="AG2604" s="26" t="s">
        <v>1362</v>
      </c>
      <c r="AH2604" s="26">
        <v>1</v>
      </c>
      <c r="AI2604" s="40"/>
      <c r="AJ2604" s="26"/>
      <c r="AK2604" s="26"/>
      <c r="AL2604" s="35"/>
      <c r="AM2604" s="35"/>
      <c r="AN2604" s="35"/>
      <c r="AO2604" s="35"/>
      <c r="AP2604" s="35"/>
    </row>
    <row r="2605" spans="1:42" x14ac:dyDescent="0.2">
      <c r="A2605" s="14">
        <v>45518</v>
      </c>
      <c r="B2605" s="28" t="s">
        <v>37</v>
      </c>
      <c r="C2605" s="41" t="s">
        <v>118</v>
      </c>
      <c r="D2605" s="26" t="s">
        <v>36</v>
      </c>
      <c r="E2605" s="26" t="s">
        <v>139</v>
      </c>
      <c r="F2605" s="26" t="s">
        <v>4469</v>
      </c>
      <c r="G2605" s="26" t="s">
        <v>1705</v>
      </c>
      <c r="H2605" s="26" t="s">
        <v>9041</v>
      </c>
      <c r="I2605" s="17">
        <f ca="1">IFERROR(__xludf.DUMMYFUNCTION("""COMPUTED_VALUE"""),45699)</f>
        <v>45699</v>
      </c>
      <c r="J2605" s="29" t="s">
        <v>3915</v>
      </c>
      <c r="K2605" s="26" t="s">
        <v>9042</v>
      </c>
      <c r="L2605" s="30">
        <v>384481624</v>
      </c>
      <c r="M2605" s="26" t="s">
        <v>80</v>
      </c>
      <c r="N2605" s="26" t="s">
        <v>186</v>
      </c>
      <c r="O2605" s="26" t="s">
        <v>134</v>
      </c>
      <c r="P2605" s="42" t="s">
        <v>9043</v>
      </c>
      <c r="Q2605" s="20">
        <v>15936</v>
      </c>
      <c r="R2605" s="26" t="s">
        <v>36</v>
      </c>
      <c r="S2605" s="31">
        <v>2000</v>
      </c>
      <c r="T2605" s="32">
        <v>45198</v>
      </c>
      <c r="U2605" s="31">
        <v>13936</v>
      </c>
      <c r="V2605" s="32">
        <v>45218</v>
      </c>
      <c r="W2605" s="33" t="s">
        <v>3917</v>
      </c>
      <c r="X2605" s="26"/>
      <c r="Y2605" s="22">
        <v>0</v>
      </c>
      <c r="Z2605" s="26" t="s">
        <v>118</v>
      </c>
      <c r="AA2605" s="19" t="s">
        <v>5785</v>
      </c>
      <c r="AB2605" s="26" t="s">
        <v>36</v>
      </c>
      <c r="AC2605" s="26" t="s">
        <v>53</v>
      </c>
      <c r="AD2605" s="19" t="s">
        <v>138</v>
      </c>
      <c r="AE2605" s="26" t="s">
        <v>4469</v>
      </c>
      <c r="AF2605" s="17">
        <v>45694</v>
      </c>
      <c r="AG2605" s="26"/>
      <c r="AH2605" s="26"/>
      <c r="AI2605" s="40" t="s">
        <v>147</v>
      </c>
      <c r="AJ2605" s="26"/>
      <c r="AK2605" s="26"/>
      <c r="AL2605" s="35"/>
      <c r="AM2605" s="35"/>
      <c r="AN2605" s="35"/>
      <c r="AO2605" s="35"/>
      <c r="AP2605" s="35"/>
    </row>
    <row r="2606" spans="1:42" x14ac:dyDescent="0.2">
      <c r="A2606" s="14">
        <v>45518</v>
      </c>
      <c r="B2606" s="28" t="s">
        <v>37</v>
      </c>
      <c r="C2606" s="41" t="s">
        <v>118</v>
      </c>
      <c r="D2606" s="26" t="s">
        <v>36</v>
      </c>
      <c r="E2606" s="26" t="s">
        <v>139</v>
      </c>
      <c r="F2606" s="26" t="s">
        <v>7013</v>
      </c>
      <c r="G2606" s="26" t="s">
        <v>1847</v>
      </c>
      <c r="H2606" s="26" t="s">
        <v>8403</v>
      </c>
      <c r="I2606" s="17">
        <f ca="1">IFERROR(__xludf.DUMMYFUNCTION("""COMPUTED_VALUE"""),45543)</f>
        <v>45543</v>
      </c>
      <c r="J2606" s="29" t="s">
        <v>5142</v>
      </c>
      <c r="K2606" s="26" t="s">
        <v>5143</v>
      </c>
      <c r="L2606" s="30">
        <v>372919046</v>
      </c>
      <c r="M2606" s="26" t="s">
        <v>910</v>
      </c>
      <c r="N2606" s="26" t="s">
        <v>3525</v>
      </c>
      <c r="O2606" s="26" t="s">
        <v>3754</v>
      </c>
      <c r="P2606" s="42" t="s">
        <v>5920</v>
      </c>
      <c r="Q2606" s="20">
        <v>15936</v>
      </c>
      <c r="R2606" s="26" t="s">
        <v>36</v>
      </c>
      <c r="S2606" s="31">
        <v>4000</v>
      </c>
      <c r="T2606" s="32">
        <v>45191</v>
      </c>
      <c r="U2606" s="31">
        <v>11936</v>
      </c>
      <c r="V2606" s="32">
        <v>45246</v>
      </c>
      <c r="W2606" s="33" t="s">
        <v>5145</v>
      </c>
      <c r="X2606" s="26"/>
      <c r="Y2606" s="22">
        <v>0</v>
      </c>
      <c r="Z2606" s="26" t="s">
        <v>118</v>
      </c>
      <c r="AA2606" s="19" t="s">
        <v>5785</v>
      </c>
      <c r="AB2606" s="26" t="s">
        <v>36</v>
      </c>
      <c r="AC2606" s="26" t="s">
        <v>53</v>
      </c>
      <c r="AD2606" s="19" t="s">
        <v>138</v>
      </c>
      <c r="AE2606" s="26" t="s">
        <v>7013</v>
      </c>
      <c r="AF2606" s="17">
        <v>45551</v>
      </c>
      <c r="AG2606" s="26" t="s">
        <v>1362</v>
      </c>
      <c r="AH2606" s="26"/>
      <c r="AI2606" s="40" t="s">
        <v>147</v>
      </c>
      <c r="AJ2606" s="26"/>
      <c r="AK2606" s="26"/>
      <c r="AL2606" s="35"/>
      <c r="AM2606" s="35"/>
      <c r="AN2606" s="35"/>
      <c r="AO2606" s="35"/>
      <c r="AP2606" s="35"/>
    </row>
    <row r="2607" spans="1:42" x14ac:dyDescent="0.2">
      <c r="A2607" s="14">
        <v>45518</v>
      </c>
      <c r="B2607" s="28" t="s">
        <v>37</v>
      </c>
      <c r="C2607" s="41" t="s">
        <v>118</v>
      </c>
      <c r="D2607" s="26" t="s">
        <v>36</v>
      </c>
      <c r="E2607" s="26" t="s">
        <v>139</v>
      </c>
      <c r="F2607" s="26" t="s">
        <v>7013</v>
      </c>
      <c r="G2607" s="26" t="s">
        <v>1847</v>
      </c>
      <c r="H2607" s="26" t="s">
        <v>9044</v>
      </c>
      <c r="I2607" s="17">
        <f ca="1">IFERROR(__xludf.DUMMYFUNCTION("""COMPUTED_VALUE"""),45613)</f>
        <v>45613</v>
      </c>
      <c r="J2607" s="29" t="s">
        <v>4122</v>
      </c>
      <c r="K2607" s="26" t="s">
        <v>9045</v>
      </c>
      <c r="L2607" s="30">
        <v>338703995</v>
      </c>
      <c r="M2607" s="26" t="s">
        <v>3728</v>
      </c>
      <c r="N2607" s="26" t="s">
        <v>4124</v>
      </c>
      <c r="O2607" s="26" t="s">
        <v>4125</v>
      </c>
      <c r="P2607" s="42" t="s">
        <v>9046</v>
      </c>
      <c r="Q2607" s="20">
        <v>15936</v>
      </c>
      <c r="R2607" s="26" t="s">
        <v>36</v>
      </c>
      <c r="S2607" s="31">
        <v>15936</v>
      </c>
      <c r="T2607" s="32">
        <v>45207</v>
      </c>
      <c r="U2607" s="31"/>
      <c r="V2607" s="26"/>
      <c r="W2607" s="33" t="s">
        <v>4127</v>
      </c>
      <c r="X2607" s="26"/>
      <c r="Y2607" s="22">
        <v>0</v>
      </c>
      <c r="Z2607" s="26" t="s">
        <v>118</v>
      </c>
      <c r="AA2607" s="19" t="s">
        <v>3454</v>
      </c>
      <c r="AB2607" s="26" t="s">
        <v>36</v>
      </c>
      <c r="AC2607" s="26" t="s">
        <v>53</v>
      </c>
      <c r="AD2607" s="19" t="s">
        <v>138</v>
      </c>
      <c r="AE2607" s="26" t="s">
        <v>7013</v>
      </c>
      <c r="AF2607" s="17">
        <v>45551</v>
      </c>
      <c r="AG2607" s="26" t="s">
        <v>1362</v>
      </c>
      <c r="AH2607" s="26"/>
      <c r="AI2607" s="40"/>
      <c r="AJ2607" s="26"/>
      <c r="AK2607" s="26"/>
      <c r="AL2607" s="35"/>
      <c r="AM2607" s="35"/>
      <c r="AN2607" s="35"/>
      <c r="AO2607" s="35"/>
      <c r="AP2607" s="35"/>
    </row>
    <row r="2608" spans="1:42" x14ac:dyDescent="0.2">
      <c r="A2608" s="14">
        <v>45518</v>
      </c>
      <c r="B2608" s="28" t="s">
        <v>37</v>
      </c>
      <c r="C2608" s="41" t="s">
        <v>118</v>
      </c>
      <c r="D2608" s="26" t="s">
        <v>36</v>
      </c>
      <c r="E2608" s="26" t="s">
        <v>139</v>
      </c>
      <c r="F2608" s="26" t="s">
        <v>7013</v>
      </c>
      <c r="G2608" s="26" t="s">
        <v>1847</v>
      </c>
      <c r="H2608" s="26" t="s">
        <v>8403</v>
      </c>
      <c r="I2608" s="17">
        <f ca="1">IFERROR(__xludf.DUMMYFUNCTION("""COMPUTED_VALUE"""),45543)</f>
        <v>45543</v>
      </c>
      <c r="J2608" s="29" t="s">
        <v>3900</v>
      </c>
      <c r="K2608" s="26" t="s">
        <v>3901</v>
      </c>
      <c r="L2608" s="30">
        <v>981151829</v>
      </c>
      <c r="M2608" s="26" t="s">
        <v>80</v>
      </c>
      <c r="N2608" s="26" t="s">
        <v>81</v>
      </c>
      <c r="O2608" s="26" t="s">
        <v>3902</v>
      </c>
      <c r="P2608" s="42" t="s">
        <v>4990</v>
      </c>
      <c r="Q2608" s="20">
        <v>15936</v>
      </c>
      <c r="R2608" s="26" t="s">
        <v>36</v>
      </c>
      <c r="S2608" s="31">
        <v>4000</v>
      </c>
      <c r="T2608" s="32">
        <v>45197</v>
      </c>
      <c r="U2608" s="31">
        <v>11936</v>
      </c>
      <c r="V2608" s="32">
        <v>45227</v>
      </c>
      <c r="W2608" s="33" t="s">
        <v>3903</v>
      </c>
      <c r="X2608" s="26"/>
      <c r="Y2608" s="22">
        <v>0</v>
      </c>
      <c r="Z2608" s="26" t="s">
        <v>118</v>
      </c>
      <c r="AA2608" s="19" t="s">
        <v>3454</v>
      </c>
      <c r="AB2608" s="26" t="s">
        <v>36</v>
      </c>
      <c r="AC2608" s="26" t="s">
        <v>53</v>
      </c>
      <c r="AD2608" s="19" t="s">
        <v>138</v>
      </c>
      <c r="AE2608" s="26" t="s">
        <v>7013</v>
      </c>
      <c r="AF2608" s="17">
        <v>45551</v>
      </c>
      <c r="AG2608" s="26" t="s">
        <v>1362</v>
      </c>
      <c r="AH2608" s="26"/>
      <c r="AI2608" s="40"/>
      <c r="AJ2608" s="26"/>
      <c r="AK2608" s="26"/>
      <c r="AL2608" s="35"/>
      <c r="AM2608" s="35"/>
      <c r="AN2608" s="35"/>
      <c r="AO2608" s="35"/>
      <c r="AP2608" s="35"/>
    </row>
    <row r="2609" spans="1:42" x14ac:dyDescent="0.2">
      <c r="A2609" s="14">
        <v>45518</v>
      </c>
      <c r="B2609" s="28" t="s">
        <v>37</v>
      </c>
      <c r="C2609" s="41" t="s">
        <v>118</v>
      </c>
      <c r="D2609" s="80" t="s">
        <v>36</v>
      </c>
      <c r="E2609" s="80" t="s">
        <v>139</v>
      </c>
      <c r="F2609" s="80" t="s">
        <v>9047</v>
      </c>
      <c r="G2609" s="26" t="s">
        <v>1847</v>
      </c>
      <c r="H2609" s="26" t="s">
        <v>8403</v>
      </c>
      <c r="I2609" s="17">
        <f ca="1">IFERROR(__xludf.DUMMYFUNCTION("""COMPUTED_VALUE"""),45543)</f>
        <v>45543</v>
      </c>
      <c r="J2609" s="143" t="s">
        <v>5375</v>
      </c>
      <c r="K2609" s="80" t="s">
        <v>5376</v>
      </c>
      <c r="L2609" s="30">
        <v>329863371</v>
      </c>
      <c r="M2609" s="80" t="s">
        <v>3728</v>
      </c>
      <c r="N2609" s="80" t="s">
        <v>5377</v>
      </c>
      <c r="O2609" s="85" t="s">
        <v>5378</v>
      </c>
      <c r="P2609" s="144" t="s">
        <v>9048</v>
      </c>
      <c r="Q2609" s="20">
        <v>15936</v>
      </c>
      <c r="R2609" s="80" t="s">
        <v>36</v>
      </c>
      <c r="S2609" s="77">
        <v>2000</v>
      </c>
      <c r="T2609" s="78">
        <v>45216</v>
      </c>
      <c r="U2609" s="77">
        <v>14000</v>
      </c>
      <c r="V2609" s="78">
        <v>45243</v>
      </c>
      <c r="W2609" s="85" t="s">
        <v>5379</v>
      </c>
      <c r="X2609" s="80"/>
      <c r="Y2609" s="22">
        <v>-64</v>
      </c>
      <c r="Z2609" s="41" t="s">
        <v>118</v>
      </c>
      <c r="AA2609" s="145" t="s">
        <v>5785</v>
      </c>
      <c r="AB2609" s="26" t="s">
        <v>36</v>
      </c>
      <c r="AC2609" s="80" t="s">
        <v>53</v>
      </c>
      <c r="AD2609" s="157" t="s">
        <v>138</v>
      </c>
      <c r="AE2609" s="80" t="s">
        <v>9047</v>
      </c>
      <c r="AF2609" s="17">
        <v>45551</v>
      </c>
      <c r="AG2609" s="147" t="s">
        <v>4996</v>
      </c>
      <c r="AH2609" s="80"/>
      <c r="AI2609" s="147" t="s">
        <v>147</v>
      </c>
      <c r="AJ2609" s="80"/>
      <c r="AK2609" s="80"/>
      <c r="AL2609" s="86"/>
      <c r="AM2609" s="86"/>
      <c r="AN2609" s="86"/>
      <c r="AO2609" s="86"/>
      <c r="AP2609" s="86"/>
    </row>
    <row r="2610" spans="1:42" x14ac:dyDescent="0.2">
      <c r="A2610" s="14">
        <v>45518</v>
      </c>
      <c r="B2610" s="28" t="s">
        <v>37</v>
      </c>
      <c r="C2610" s="41" t="s">
        <v>118</v>
      </c>
      <c r="D2610" s="26" t="s">
        <v>36</v>
      </c>
      <c r="E2610" s="26" t="s">
        <v>139</v>
      </c>
      <c r="F2610" s="26" t="s">
        <v>7413</v>
      </c>
      <c r="G2610" s="26" t="s">
        <v>1847</v>
      </c>
      <c r="H2610" s="26" t="s">
        <v>8403</v>
      </c>
      <c r="I2610" s="17">
        <f ca="1">IFERROR(__xludf.DUMMYFUNCTION("""COMPUTED_VALUE"""),45543)</f>
        <v>45543</v>
      </c>
      <c r="J2610" s="29" t="s">
        <v>5957</v>
      </c>
      <c r="K2610" s="26" t="s">
        <v>5958</v>
      </c>
      <c r="L2610" s="30">
        <v>837161555</v>
      </c>
      <c r="M2610" s="26" t="s">
        <v>123</v>
      </c>
      <c r="N2610" s="26" t="s">
        <v>1881</v>
      </c>
      <c r="O2610" s="26" t="s">
        <v>1226</v>
      </c>
      <c r="P2610" s="42" t="s">
        <v>9049</v>
      </c>
      <c r="Q2610" s="20">
        <v>15936</v>
      </c>
      <c r="R2610" s="26" t="s">
        <v>36</v>
      </c>
      <c r="S2610" s="31">
        <v>7000</v>
      </c>
      <c r="T2610" s="32">
        <v>45214</v>
      </c>
      <c r="U2610" s="31">
        <v>8936</v>
      </c>
      <c r="V2610" s="32">
        <v>45260</v>
      </c>
      <c r="W2610" s="33" t="s">
        <v>5960</v>
      </c>
      <c r="X2610" s="26"/>
      <c r="Y2610" s="22">
        <v>0</v>
      </c>
      <c r="Z2610" s="26" t="s">
        <v>50</v>
      </c>
      <c r="AA2610" s="19" t="s">
        <v>5961</v>
      </c>
      <c r="AB2610" s="26" t="s">
        <v>36</v>
      </c>
      <c r="AC2610" s="26" t="s">
        <v>53</v>
      </c>
      <c r="AD2610" s="19" t="s">
        <v>138</v>
      </c>
      <c r="AE2610" s="26" t="s">
        <v>7413</v>
      </c>
      <c r="AF2610" s="17">
        <v>45551</v>
      </c>
      <c r="AG2610" s="26" t="s">
        <v>4996</v>
      </c>
      <c r="AH2610" s="26"/>
      <c r="AI2610" s="40" t="s">
        <v>147</v>
      </c>
      <c r="AJ2610" s="26"/>
      <c r="AK2610" s="26"/>
      <c r="AL2610" s="35"/>
      <c r="AM2610" s="35"/>
      <c r="AN2610" s="35"/>
      <c r="AO2610" s="35"/>
      <c r="AP2610" s="35"/>
    </row>
    <row r="2611" spans="1:42" x14ac:dyDescent="0.2">
      <c r="A2611" s="14">
        <v>45518</v>
      </c>
      <c r="B2611" s="28" t="s">
        <v>37</v>
      </c>
      <c r="C2611" s="41" t="s">
        <v>118</v>
      </c>
      <c r="D2611" s="26" t="s">
        <v>36</v>
      </c>
      <c r="E2611" s="26" t="s">
        <v>119</v>
      </c>
      <c r="F2611" s="26" t="s">
        <v>6083</v>
      </c>
      <c r="G2611" s="26" t="s">
        <v>1847</v>
      </c>
      <c r="H2611" s="26" t="s">
        <v>9050</v>
      </c>
      <c r="I2611" s="17">
        <f ca="1">IFERROR(__xludf.DUMMYFUNCTION("""COMPUTED_VALUE"""),45607)</f>
        <v>45607</v>
      </c>
      <c r="J2611" s="29" t="s">
        <v>1166</v>
      </c>
      <c r="K2611" s="19" t="s">
        <v>9051</v>
      </c>
      <c r="L2611" s="47">
        <v>763160009</v>
      </c>
      <c r="M2611" s="26" t="s">
        <v>80</v>
      </c>
      <c r="N2611" s="26" t="s">
        <v>299</v>
      </c>
      <c r="O2611" s="26" t="s">
        <v>1168</v>
      </c>
      <c r="P2611" s="42" t="s">
        <v>9052</v>
      </c>
      <c r="Q2611" s="20">
        <v>13968</v>
      </c>
      <c r="R2611" s="26" t="s">
        <v>36</v>
      </c>
      <c r="S2611" s="58">
        <v>4000</v>
      </c>
      <c r="T2611" s="59">
        <v>45139</v>
      </c>
      <c r="U2611" s="31">
        <v>9968</v>
      </c>
      <c r="V2611" s="38">
        <v>45163</v>
      </c>
      <c r="W2611" s="33" t="s">
        <v>1170</v>
      </c>
      <c r="X2611" s="26">
        <v>0</v>
      </c>
      <c r="Y2611" s="22">
        <v>0</v>
      </c>
      <c r="Z2611" s="26" t="s">
        <v>118</v>
      </c>
      <c r="AA2611" s="19" t="s">
        <v>901</v>
      </c>
      <c r="AB2611" s="26" t="s">
        <v>36</v>
      </c>
      <c r="AC2611" s="26" t="s">
        <v>53</v>
      </c>
      <c r="AD2611" s="19" t="s">
        <v>54</v>
      </c>
      <c r="AE2611" s="26" t="s">
        <v>6083</v>
      </c>
      <c r="AF2611" s="17">
        <v>45607</v>
      </c>
      <c r="AG2611" s="26" t="s">
        <v>1631</v>
      </c>
      <c r="AH2611" s="26">
        <v>1</v>
      </c>
      <c r="AI2611" s="40">
        <v>4</v>
      </c>
      <c r="AJ2611" s="26"/>
      <c r="AK2611" s="26"/>
      <c r="AL2611" s="35"/>
      <c r="AM2611" s="35"/>
      <c r="AN2611" s="35"/>
      <c r="AO2611" s="35"/>
      <c r="AP2611" s="35"/>
    </row>
    <row r="2612" spans="1:42" x14ac:dyDescent="0.2">
      <c r="A2612" s="14">
        <v>45518</v>
      </c>
      <c r="B2612" s="28" t="s">
        <v>37</v>
      </c>
      <c r="C2612" s="41" t="s">
        <v>118</v>
      </c>
      <c r="D2612" s="26" t="s">
        <v>36</v>
      </c>
      <c r="E2612" s="26" t="s">
        <v>139</v>
      </c>
      <c r="F2612" s="26" t="s">
        <v>7013</v>
      </c>
      <c r="G2612" s="26" t="s">
        <v>1847</v>
      </c>
      <c r="H2612" s="26" t="s">
        <v>8403</v>
      </c>
      <c r="I2612" s="17">
        <f ca="1">IFERROR(__xludf.DUMMYFUNCTION("""COMPUTED_VALUE"""),45543)</f>
        <v>45543</v>
      </c>
      <c r="J2612" s="29" t="s">
        <v>4146</v>
      </c>
      <c r="K2612" s="26" t="s">
        <v>4147</v>
      </c>
      <c r="L2612" s="30">
        <v>865510229</v>
      </c>
      <c r="M2612" s="26" t="s">
        <v>59</v>
      </c>
      <c r="N2612" s="26" t="s">
        <v>260</v>
      </c>
      <c r="O2612" s="26" t="s">
        <v>4148</v>
      </c>
      <c r="P2612" s="42" t="s">
        <v>4149</v>
      </c>
      <c r="Q2612" s="20">
        <v>15936</v>
      </c>
      <c r="R2612" s="26" t="s">
        <v>36</v>
      </c>
      <c r="S2612" s="31">
        <v>15963</v>
      </c>
      <c r="T2612" s="32">
        <v>45200</v>
      </c>
      <c r="U2612" s="31"/>
      <c r="V2612" s="26"/>
      <c r="W2612" s="33" t="s">
        <v>4150</v>
      </c>
      <c r="X2612" s="26"/>
      <c r="Y2612" s="22">
        <v>-27</v>
      </c>
      <c r="Z2612" s="26" t="s">
        <v>118</v>
      </c>
      <c r="AA2612" s="19" t="s">
        <v>3454</v>
      </c>
      <c r="AB2612" s="26" t="s">
        <v>36</v>
      </c>
      <c r="AC2612" s="26" t="s">
        <v>53</v>
      </c>
      <c r="AD2612" s="19" t="s">
        <v>138</v>
      </c>
      <c r="AE2612" s="26" t="s">
        <v>7013</v>
      </c>
      <c r="AF2612" s="17">
        <v>45551</v>
      </c>
      <c r="AG2612" s="26" t="s">
        <v>1362</v>
      </c>
      <c r="AH2612" s="26"/>
      <c r="AI2612" s="40"/>
      <c r="AJ2612" s="26"/>
      <c r="AK2612" s="26"/>
      <c r="AL2612" s="35"/>
      <c r="AM2612" s="35"/>
      <c r="AN2612" s="35"/>
      <c r="AO2612" s="35"/>
      <c r="AP2612" s="35"/>
    </row>
    <row r="2613" spans="1:42" x14ac:dyDescent="0.2">
      <c r="A2613" s="14">
        <v>45518</v>
      </c>
      <c r="B2613" s="28" t="s">
        <v>37</v>
      </c>
      <c r="C2613" s="41" t="s">
        <v>118</v>
      </c>
      <c r="D2613" s="26" t="s">
        <v>36</v>
      </c>
      <c r="E2613" s="26" t="s">
        <v>139</v>
      </c>
      <c r="F2613" s="26" t="s">
        <v>7013</v>
      </c>
      <c r="G2613" s="26" t="s">
        <v>1847</v>
      </c>
      <c r="H2613" s="26" t="s">
        <v>8403</v>
      </c>
      <c r="I2613" s="17">
        <f ca="1">IFERROR(__xludf.DUMMYFUNCTION("""COMPUTED_VALUE"""),45543)</f>
        <v>45543</v>
      </c>
      <c r="J2613" s="29" t="s">
        <v>5370</v>
      </c>
      <c r="K2613" s="26" t="s">
        <v>5371</v>
      </c>
      <c r="L2613" s="30">
        <v>862999040</v>
      </c>
      <c r="M2613" s="26" t="s">
        <v>80</v>
      </c>
      <c r="N2613" s="26" t="s">
        <v>466</v>
      </c>
      <c r="O2613" s="26" t="s">
        <v>5372</v>
      </c>
      <c r="P2613" s="42" t="s">
        <v>7015</v>
      </c>
      <c r="Q2613" s="20">
        <v>15936</v>
      </c>
      <c r="R2613" s="26" t="s">
        <v>36</v>
      </c>
      <c r="S2613" s="31">
        <v>4000</v>
      </c>
      <c r="T2613" s="32">
        <v>45207</v>
      </c>
      <c r="U2613" s="31">
        <v>11936</v>
      </c>
      <c r="V2613" s="32">
        <v>45232</v>
      </c>
      <c r="W2613" s="33" t="s">
        <v>5374</v>
      </c>
      <c r="X2613" s="26"/>
      <c r="Y2613" s="22">
        <v>0</v>
      </c>
      <c r="Z2613" s="26" t="s">
        <v>118</v>
      </c>
      <c r="AA2613" s="19" t="s">
        <v>5785</v>
      </c>
      <c r="AB2613" s="26" t="s">
        <v>36</v>
      </c>
      <c r="AC2613" s="26" t="s">
        <v>53</v>
      </c>
      <c r="AD2613" s="19" t="s">
        <v>138</v>
      </c>
      <c r="AE2613" s="26" t="s">
        <v>7013</v>
      </c>
      <c r="AF2613" s="17">
        <v>45555</v>
      </c>
      <c r="AG2613" s="26" t="s">
        <v>9053</v>
      </c>
      <c r="AH2613" s="26"/>
      <c r="AI2613" s="40" t="s">
        <v>147</v>
      </c>
      <c r="AJ2613" s="26"/>
      <c r="AK2613" s="26"/>
      <c r="AL2613" s="35"/>
      <c r="AM2613" s="35"/>
      <c r="AN2613" s="35"/>
      <c r="AO2613" s="35"/>
      <c r="AP2613" s="35"/>
    </row>
    <row r="2614" spans="1:42" x14ac:dyDescent="0.2">
      <c r="A2614" s="14">
        <v>45518</v>
      </c>
      <c r="B2614" s="28" t="s">
        <v>37</v>
      </c>
      <c r="C2614" s="41" t="s">
        <v>118</v>
      </c>
      <c r="D2614" s="26" t="s">
        <v>36</v>
      </c>
      <c r="E2614" s="26" t="s">
        <v>119</v>
      </c>
      <c r="F2614" s="26" t="s">
        <v>6083</v>
      </c>
      <c r="G2614" s="26" t="s">
        <v>1847</v>
      </c>
      <c r="H2614" s="26" t="s">
        <v>9021</v>
      </c>
      <c r="I2614" s="17">
        <f ca="1">IFERROR(__xludf.DUMMYFUNCTION("""COMPUTED_VALUE"""),45539)</f>
        <v>45539</v>
      </c>
      <c r="J2614" s="29" t="s">
        <v>5326</v>
      </c>
      <c r="K2614" s="26" t="s">
        <v>9054</v>
      </c>
      <c r="L2614" s="30">
        <v>818458386</v>
      </c>
      <c r="M2614" s="26" t="s">
        <v>80</v>
      </c>
      <c r="N2614" s="26" t="s">
        <v>186</v>
      </c>
      <c r="O2614" s="26" t="s">
        <v>5328</v>
      </c>
      <c r="P2614" s="42" t="s">
        <v>5329</v>
      </c>
      <c r="Q2614" s="20">
        <v>13968</v>
      </c>
      <c r="R2614" s="26" t="s">
        <v>36</v>
      </c>
      <c r="S2614" s="31">
        <v>4000</v>
      </c>
      <c r="T2614" s="32">
        <v>45214</v>
      </c>
      <c r="U2614" s="31">
        <v>9968</v>
      </c>
      <c r="V2614" s="32">
        <v>45232</v>
      </c>
      <c r="W2614" s="33" t="s">
        <v>5330</v>
      </c>
      <c r="X2614" s="26"/>
      <c r="Y2614" s="22">
        <v>0</v>
      </c>
      <c r="Z2614" s="26" t="s">
        <v>118</v>
      </c>
      <c r="AA2614" s="19" t="s">
        <v>5112</v>
      </c>
      <c r="AB2614" s="26" t="s">
        <v>36</v>
      </c>
      <c r="AC2614" s="26" t="s">
        <v>53</v>
      </c>
      <c r="AD2614" s="19" t="s">
        <v>138</v>
      </c>
      <c r="AE2614" s="26" t="s">
        <v>6083</v>
      </c>
      <c r="AF2614" s="17">
        <v>45532</v>
      </c>
      <c r="AG2614" s="26" t="s">
        <v>1631</v>
      </c>
      <c r="AH2614" s="26"/>
      <c r="AI2614" s="40">
        <v>4</v>
      </c>
      <c r="AJ2614" s="26"/>
      <c r="AK2614" s="26"/>
      <c r="AL2614" s="35"/>
      <c r="AM2614" s="35"/>
      <c r="AN2614" s="35"/>
      <c r="AO2614" s="35"/>
      <c r="AP2614" s="35"/>
    </row>
    <row r="2615" spans="1:42" x14ac:dyDescent="0.2">
      <c r="A2615" s="14">
        <v>45518</v>
      </c>
      <c r="B2615" s="28" t="s">
        <v>37</v>
      </c>
      <c r="C2615" s="41" t="s">
        <v>118</v>
      </c>
      <c r="D2615" s="26" t="s">
        <v>36</v>
      </c>
      <c r="E2615" s="26" t="s">
        <v>139</v>
      </c>
      <c r="F2615" s="26" t="s">
        <v>4469</v>
      </c>
      <c r="G2615" s="26" t="s">
        <v>1847</v>
      </c>
      <c r="H2615" s="26" t="s">
        <v>8403</v>
      </c>
      <c r="I2615" s="17">
        <f ca="1">IFERROR(__xludf.DUMMYFUNCTION("""COMPUTED_VALUE"""),45543)</f>
        <v>45543</v>
      </c>
      <c r="J2615" s="29" t="s">
        <v>3113</v>
      </c>
      <c r="K2615" s="26" t="s">
        <v>3114</v>
      </c>
      <c r="L2615" s="30">
        <v>988898521</v>
      </c>
      <c r="M2615" s="26" t="s">
        <v>112</v>
      </c>
      <c r="N2615" s="26" t="s">
        <v>3330</v>
      </c>
      <c r="O2615" s="26" t="s">
        <v>3116</v>
      </c>
      <c r="P2615" s="42" t="s">
        <v>6999</v>
      </c>
      <c r="Q2615" s="20">
        <v>15936</v>
      </c>
      <c r="R2615" s="26" t="s">
        <v>70</v>
      </c>
      <c r="S2615" s="31">
        <v>15836</v>
      </c>
      <c r="T2615" s="32">
        <v>45195</v>
      </c>
      <c r="U2615" s="31"/>
      <c r="V2615" s="32"/>
      <c r="W2615" s="33" t="s">
        <v>3118</v>
      </c>
      <c r="X2615" s="26"/>
      <c r="Y2615" s="22">
        <v>100</v>
      </c>
      <c r="Z2615" s="26" t="s">
        <v>118</v>
      </c>
      <c r="AA2615" s="19" t="s">
        <v>5785</v>
      </c>
      <c r="AB2615" s="26" t="s">
        <v>36</v>
      </c>
      <c r="AC2615" s="26" t="s">
        <v>53</v>
      </c>
      <c r="AD2615" s="19" t="s">
        <v>138</v>
      </c>
      <c r="AE2615" s="26" t="s">
        <v>4469</v>
      </c>
      <c r="AF2615" s="17">
        <v>45555</v>
      </c>
      <c r="AG2615" s="26" t="s">
        <v>9053</v>
      </c>
      <c r="AH2615" s="26"/>
      <c r="AI2615" s="40" t="s">
        <v>147</v>
      </c>
      <c r="AJ2615" s="26"/>
      <c r="AK2615" s="26"/>
      <c r="AL2615" s="35"/>
      <c r="AM2615" s="35"/>
      <c r="AN2615" s="35"/>
      <c r="AO2615" s="35"/>
      <c r="AP2615" s="35"/>
    </row>
    <row r="2616" spans="1:42" x14ac:dyDescent="0.2">
      <c r="A2616" s="14">
        <v>45518</v>
      </c>
      <c r="B2616" s="28" t="s">
        <v>37</v>
      </c>
      <c r="C2616" s="41" t="s">
        <v>118</v>
      </c>
      <c r="D2616" s="26" t="s">
        <v>36</v>
      </c>
      <c r="E2616" s="26" t="s">
        <v>139</v>
      </c>
      <c r="F2616" s="26" t="s">
        <v>7918</v>
      </c>
      <c r="G2616" s="26" t="s">
        <v>221</v>
      </c>
      <c r="H2616" s="26" t="s">
        <v>9055</v>
      </c>
      <c r="I2616" s="17">
        <f ca="1">IFERROR(__xludf.DUMMYFUNCTION("""COMPUTED_VALUE"""),45739)</f>
        <v>45739</v>
      </c>
      <c r="J2616" s="29" t="s">
        <v>4062</v>
      </c>
      <c r="K2616" s="26" t="s">
        <v>9056</v>
      </c>
      <c r="L2616" s="30">
        <v>978185540</v>
      </c>
      <c r="M2616" s="26" t="s">
        <v>123</v>
      </c>
      <c r="N2616" s="26" t="s">
        <v>327</v>
      </c>
      <c r="O2616" s="26" t="s">
        <v>1226</v>
      </c>
      <c r="P2616" s="42" t="s">
        <v>7976</v>
      </c>
      <c r="Q2616" s="20">
        <v>15936</v>
      </c>
      <c r="R2616" s="26" t="s">
        <v>36</v>
      </c>
      <c r="S2616" s="31">
        <v>2000</v>
      </c>
      <c r="T2616" s="32">
        <v>45203</v>
      </c>
      <c r="U2616" s="31">
        <v>13936</v>
      </c>
      <c r="V2616" s="32">
        <v>45224</v>
      </c>
      <c r="W2616" s="33" t="s">
        <v>4064</v>
      </c>
      <c r="X2616" s="26"/>
      <c r="Y2616" s="22">
        <v>0</v>
      </c>
      <c r="Z2616" s="98" t="s">
        <v>118</v>
      </c>
      <c r="AA2616" s="19" t="s">
        <v>3454</v>
      </c>
      <c r="AB2616" s="26" t="s">
        <v>36</v>
      </c>
      <c r="AC2616" s="26" t="s">
        <v>53</v>
      </c>
      <c r="AD2616" s="19" t="s">
        <v>138</v>
      </c>
      <c r="AE2616" s="26" t="s">
        <v>7918</v>
      </c>
      <c r="AF2616" s="17">
        <v>45734</v>
      </c>
      <c r="AG2616" s="26"/>
      <c r="AH2616" s="26"/>
      <c r="AI2616" s="40"/>
      <c r="AJ2616" s="26"/>
      <c r="AK2616" s="26"/>
      <c r="AL2616" s="35"/>
      <c r="AM2616" s="35"/>
      <c r="AN2616" s="35"/>
      <c r="AO2616" s="35"/>
      <c r="AP2616" s="35"/>
    </row>
    <row r="2617" spans="1:42" x14ac:dyDescent="0.2">
      <c r="A2617" s="14">
        <v>45518</v>
      </c>
      <c r="B2617" s="28" t="s">
        <v>37</v>
      </c>
      <c r="C2617" s="41" t="s">
        <v>118</v>
      </c>
      <c r="D2617" s="26" t="s">
        <v>36</v>
      </c>
      <c r="E2617" s="26" t="s">
        <v>148</v>
      </c>
      <c r="F2617" s="26" t="s">
        <v>8074</v>
      </c>
      <c r="G2617" s="26" t="s">
        <v>221</v>
      </c>
      <c r="H2617" s="26" t="s">
        <v>8997</v>
      </c>
      <c r="I2617" s="17">
        <f ca="1">IFERROR(__xludf.DUMMYFUNCTION("""COMPUTED_VALUE"""),45526)</f>
        <v>45526</v>
      </c>
      <c r="J2617" s="29" t="s">
        <v>7924</v>
      </c>
      <c r="K2617" s="26" t="s">
        <v>8560</v>
      </c>
      <c r="L2617" s="30">
        <v>969461375</v>
      </c>
      <c r="M2617" s="26" t="s">
        <v>123</v>
      </c>
      <c r="N2617" s="26" t="s">
        <v>8561</v>
      </c>
      <c r="O2617" s="26" t="s">
        <v>4503</v>
      </c>
      <c r="P2617" s="26" t="s">
        <v>7926</v>
      </c>
      <c r="Q2617" s="20">
        <v>7349</v>
      </c>
      <c r="R2617" s="26" t="s">
        <v>36</v>
      </c>
      <c r="S2617" s="31">
        <v>9354</v>
      </c>
      <c r="T2617" s="32" t="s">
        <v>8562</v>
      </c>
      <c r="U2617" s="33" t="s">
        <v>8563</v>
      </c>
      <c r="V2617" s="32"/>
      <c r="W2617" s="33"/>
      <c r="X2617" s="26"/>
      <c r="Y2617" s="22" t="s">
        <v>2340</v>
      </c>
      <c r="Z2617" s="26" t="s">
        <v>118</v>
      </c>
      <c r="AA2617" s="19"/>
      <c r="AB2617" s="26" t="s">
        <v>36</v>
      </c>
      <c r="AC2617" s="26" t="s">
        <v>53</v>
      </c>
      <c r="AD2617" s="19" t="s">
        <v>138</v>
      </c>
      <c r="AE2617" s="26" t="s">
        <v>8074</v>
      </c>
      <c r="AF2617" s="17">
        <v>45526</v>
      </c>
      <c r="AG2617" s="26" t="s">
        <v>1362</v>
      </c>
      <c r="AH2617" s="26"/>
      <c r="AI2617" s="40">
        <v>2</v>
      </c>
      <c r="AJ2617" s="26"/>
      <c r="AK2617" s="26"/>
      <c r="AL2617" s="35"/>
      <c r="AM2617" s="35"/>
      <c r="AN2617" s="35"/>
      <c r="AO2617" s="35"/>
      <c r="AP2617" s="35"/>
    </row>
    <row r="2618" spans="1:42" x14ac:dyDescent="0.2">
      <c r="A2618" s="14">
        <v>45518</v>
      </c>
      <c r="B2618" s="28" t="s">
        <v>37</v>
      </c>
      <c r="C2618" s="41" t="s">
        <v>118</v>
      </c>
      <c r="D2618" s="80" t="s">
        <v>36</v>
      </c>
      <c r="E2618" s="80" t="s">
        <v>106</v>
      </c>
      <c r="F2618" s="80" t="s">
        <v>36</v>
      </c>
      <c r="G2618" s="166" t="s">
        <v>108</v>
      </c>
      <c r="H2618" s="86" t="s">
        <v>8662</v>
      </c>
      <c r="I2618" s="17">
        <f ca="1">IFERROR(__xludf.DUMMYFUNCTION("""COMPUTED_VALUE"""),45524)</f>
        <v>45524</v>
      </c>
      <c r="J2618" s="143" t="s">
        <v>9057</v>
      </c>
      <c r="K2618" s="80" t="s">
        <v>9058</v>
      </c>
      <c r="L2618" s="30">
        <v>364999305</v>
      </c>
      <c r="M2618" s="80" t="s">
        <v>59</v>
      </c>
      <c r="N2618" s="80" t="s">
        <v>9059</v>
      </c>
      <c r="O2618" s="162" t="s">
        <v>9060</v>
      </c>
      <c r="P2618" s="144" t="s">
        <v>9061</v>
      </c>
      <c r="Q2618" s="20">
        <v>3768</v>
      </c>
      <c r="R2618" s="26" t="s">
        <v>36</v>
      </c>
      <c r="S2618" s="31">
        <v>3568</v>
      </c>
      <c r="T2618" s="32">
        <v>44650</v>
      </c>
      <c r="U2618" s="58">
        <v>200</v>
      </c>
      <c r="V2618" s="153">
        <v>45517</v>
      </c>
      <c r="W2618" s="80" t="s">
        <v>9062</v>
      </c>
      <c r="X2618" s="80"/>
      <c r="Y2618" s="22"/>
      <c r="Z2618" s="26" t="s">
        <v>118</v>
      </c>
      <c r="AA2618" s="145" t="s">
        <v>9063</v>
      </c>
      <c r="AB2618" s="26" t="s">
        <v>36</v>
      </c>
      <c r="AC2618" s="26" t="s">
        <v>53</v>
      </c>
      <c r="AD2618" s="19" t="s">
        <v>138</v>
      </c>
      <c r="AE2618" s="86">
        <v>480</v>
      </c>
      <c r="AF2618" s="17">
        <v>45520</v>
      </c>
      <c r="AG2618" s="167"/>
      <c r="AH2618" s="80">
        <v>1</v>
      </c>
      <c r="AI2618" s="167"/>
      <c r="AJ2618" s="154"/>
      <c r="AK2618" s="80"/>
      <c r="AL2618" s="80"/>
      <c r="AM2618" s="80"/>
      <c r="AN2618" s="80"/>
      <c r="AO2618" s="80"/>
      <c r="AP2618" s="35"/>
    </row>
    <row r="2619" spans="1:42" x14ac:dyDescent="0.2">
      <c r="A2619" s="14">
        <v>45518</v>
      </c>
      <c r="B2619" s="28" t="s">
        <v>37</v>
      </c>
      <c r="C2619" s="41" t="s">
        <v>118</v>
      </c>
      <c r="D2619" s="26" t="s">
        <v>36</v>
      </c>
      <c r="E2619" s="26" t="s">
        <v>56</v>
      </c>
      <c r="F2619" s="26" t="s">
        <v>1788</v>
      </c>
      <c r="G2619" s="26" t="s">
        <v>221</v>
      </c>
      <c r="H2619" s="26" t="s">
        <v>9031</v>
      </c>
      <c r="I2619" s="17">
        <f ca="1">IFERROR(__xludf.DUMMYFUNCTION("""COMPUTED_VALUE"""),45540)</f>
        <v>45540</v>
      </c>
      <c r="J2619" s="29" t="s">
        <v>1126</v>
      </c>
      <c r="K2619" s="26" t="s">
        <v>1127</v>
      </c>
      <c r="L2619" s="30">
        <v>363963244</v>
      </c>
      <c r="M2619" s="26" t="s">
        <v>123</v>
      </c>
      <c r="N2619" s="26" t="s">
        <v>151</v>
      </c>
      <c r="O2619" s="26" t="s">
        <v>134</v>
      </c>
      <c r="P2619" s="42" t="s">
        <v>1128</v>
      </c>
      <c r="Q2619" s="20">
        <v>9317</v>
      </c>
      <c r="R2619" s="26" t="s">
        <v>70</v>
      </c>
      <c r="S2619" s="31">
        <v>1968</v>
      </c>
      <c r="T2619" s="32">
        <v>45132</v>
      </c>
      <c r="U2619" s="31">
        <v>7249</v>
      </c>
      <c r="V2619" s="38">
        <v>45156</v>
      </c>
      <c r="W2619" s="33" t="s">
        <v>1129</v>
      </c>
      <c r="X2619" s="26">
        <v>100</v>
      </c>
      <c r="Y2619" s="22">
        <v>0</v>
      </c>
      <c r="Z2619" s="26" t="s">
        <v>118</v>
      </c>
      <c r="AA2619" s="19" t="s">
        <v>901</v>
      </c>
      <c r="AB2619" s="26" t="s">
        <v>36</v>
      </c>
      <c r="AC2619" s="26" t="s">
        <v>53</v>
      </c>
      <c r="AD2619" s="19" t="s">
        <v>54</v>
      </c>
      <c r="AE2619" s="26" t="s">
        <v>1788</v>
      </c>
      <c r="AF2619" s="17">
        <v>45523</v>
      </c>
      <c r="AG2619" s="26"/>
      <c r="AH2619" s="26">
        <v>1</v>
      </c>
      <c r="AI2619" s="40" t="s">
        <v>64</v>
      </c>
      <c r="AJ2619" s="26"/>
      <c r="AK2619" s="26"/>
      <c r="AL2619" s="35"/>
      <c r="AM2619" s="35"/>
      <c r="AN2619" s="35"/>
      <c r="AO2619" s="35"/>
      <c r="AP2619" s="35"/>
    </row>
    <row r="2620" spans="1:42" x14ac:dyDescent="0.2">
      <c r="A2620" s="14">
        <v>45518</v>
      </c>
      <c r="B2620" s="28" t="s">
        <v>37</v>
      </c>
      <c r="C2620" s="41" t="s">
        <v>118</v>
      </c>
      <c r="D2620" s="26" t="s">
        <v>36</v>
      </c>
      <c r="E2620" s="26" t="s">
        <v>56</v>
      </c>
      <c r="F2620" s="26" t="s">
        <v>2434</v>
      </c>
      <c r="G2620" s="26" t="s">
        <v>221</v>
      </c>
      <c r="H2620" s="26" t="s">
        <v>9031</v>
      </c>
      <c r="I2620" s="17">
        <f ca="1">IFERROR(__xludf.DUMMYFUNCTION("""COMPUTED_VALUE"""),45540)</f>
        <v>45540</v>
      </c>
      <c r="J2620" s="29" t="s">
        <v>1122</v>
      </c>
      <c r="K2620" s="26" t="s">
        <v>1123</v>
      </c>
      <c r="L2620" s="30">
        <v>363399640</v>
      </c>
      <c r="M2620" s="26" t="s">
        <v>123</v>
      </c>
      <c r="N2620" s="26" t="s">
        <v>151</v>
      </c>
      <c r="O2620" s="26" t="s">
        <v>134</v>
      </c>
      <c r="P2620" s="42" t="s">
        <v>1124</v>
      </c>
      <c r="Q2620" s="20">
        <v>9317</v>
      </c>
      <c r="R2620" s="26" t="s">
        <v>70</v>
      </c>
      <c r="S2620" s="31">
        <v>1968</v>
      </c>
      <c r="T2620" s="32">
        <v>45132</v>
      </c>
      <c r="U2620" s="31">
        <v>7249</v>
      </c>
      <c r="V2620" s="38">
        <v>45156</v>
      </c>
      <c r="W2620" s="33" t="s">
        <v>1125</v>
      </c>
      <c r="X2620" s="26">
        <v>100</v>
      </c>
      <c r="Y2620" s="22">
        <v>0</v>
      </c>
      <c r="Z2620" s="26" t="s">
        <v>118</v>
      </c>
      <c r="AA2620" s="19" t="s">
        <v>901</v>
      </c>
      <c r="AB2620" s="26" t="s">
        <v>36</v>
      </c>
      <c r="AC2620" s="26" t="s">
        <v>53</v>
      </c>
      <c r="AD2620" s="19" t="s">
        <v>54</v>
      </c>
      <c r="AE2620" s="26" t="s">
        <v>2434</v>
      </c>
      <c r="AF2620" s="17">
        <v>45523</v>
      </c>
      <c r="AG2620" s="26"/>
      <c r="AH2620" s="26">
        <v>1</v>
      </c>
      <c r="AI2620" s="40" t="s">
        <v>64</v>
      </c>
      <c r="AJ2620" s="26"/>
      <c r="AK2620" s="26"/>
      <c r="AL2620" s="35"/>
      <c r="AM2620" s="35"/>
      <c r="AN2620" s="35"/>
      <c r="AO2620" s="35"/>
      <c r="AP2620" s="35"/>
    </row>
    <row r="2621" spans="1:42" x14ac:dyDescent="0.2">
      <c r="A2621" s="14"/>
      <c r="B2621" s="28" t="s">
        <v>37</v>
      </c>
      <c r="C2621" s="41" t="s">
        <v>118</v>
      </c>
      <c r="D2621" s="26"/>
      <c r="E2621" s="26"/>
      <c r="F2621" s="26"/>
      <c r="G2621" s="26"/>
      <c r="H2621" s="26" t="s">
        <v>6978</v>
      </c>
      <c r="I2621" s="17">
        <f ca="1">IFERROR(__xludf.DUMMYFUNCTION("""COMPUTED_VALUE"""),45456)</f>
        <v>45456</v>
      </c>
      <c r="J2621" s="29" t="s">
        <v>9064</v>
      </c>
      <c r="K2621" s="26" t="s">
        <v>9065</v>
      </c>
      <c r="L2621" s="30"/>
      <c r="M2621" s="26" t="s">
        <v>1245</v>
      </c>
      <c r="N2621" s="26" t="s">
        <v>5092</v>
      </c>
      <c r="O2621" s="26"/>
      <c r="P2621" s="26"/>
      <c r="Q2621" s="20"/>
      <c r="R2621" s="26"/>
      <c r="S2621" s="31"/>
      <c r="T2621" s="32"/>
      <c r="U2621" s="31"/>
      <c r="V2621" s="26"/>
      <c r="W2621" s="33"/>
      <c r="X2621" s="26"/>
      <c r="Y2621" s="22"/>
      <c r="Z2621" s="34"/>
      <c r="AA2621" s="19"/>
      <c r="AB2621" s="26" t="s">
        <v>36</v>
      </c>
      <c r="AC2621" s="26"/>
      <c r="AD2621" s="14"/>
      <c r="AE2621" s="26"/>
      <c r="AF2621" s="60" t="s">
        <v>1829</v>
      </c>
      <c r="AG2621" s="91"/>
      <c r="AH2621" s="26"/>
      <c r="AI2621" s="92"/>
      <c r="AJ2621" s="35"/>
      <c r="AK2621" s="35"/>
      <c r="AL2621" s="35"/>
      <c r="AM2621" s="35"/>
      <c r="AN2621" s="26"/>
      <c r="AO2621" s="26"/>
      <c r="AP2621" s="35"/>
    </row>
    <row r="2622" spans="1:42" x14ac:dyDescent="0.2">
      <c r="A2622" s="14">
        <v>45519</v>
      </c>
      <c r="B2622" s="28" t="s">
        <v>37</v>
      </c>
      <c r="C2622" s="41" t="s">
        <v>118</v>
      </c>
      <c r="D2622" s="26" t="s">
        <v>36</v>
      </c>
      <c r="E2622" s="26" t="s">
        <v>139</v>
      </c>
      <c r="F2622" s="26" t="s">
        <v>6131</v>
      </c>
      <c r="G2622" s="166" t="s">
        <v>108</v>
      </c>
      <c r="H2622" s="86" t="s">
        <v>8662</v>
      </c>
      <c r="I2622" s="17">
        <f ca="1">IFERROR(__xludf.DUMMYFUNCTION("""COMPUTED_VALUE"""),45524)</f>
        <v>45524</v>
      </c>
      <c r="J2622" s="29" t="s">
        <v>6562</v>
      </c>
      <c r="K2622" s="26" t="s">
        <v>9066</v>
      </c>
      <c r="L2622" s="30">
        <v>974914851</v>
      </c>
      <c r="M2622" s="26" t="s">
        <v>3498</v>
      </c>
      <c r="N2622" s="26" t="s">
        <v>3668</v>
      </c>
      <c r="O2622" s="26" t="s">
        <v>6564</v>
      </c>
      <c r="P2622" s="42" t="s">
        <v>9067</v>
      </c>
      <c r="Q2622" s="20">
        <v>15936</v>
      </c>
      <c r="R2622" s="26" t="s">
        <v>36</v>
      </c>
      <c r="S2622" s="58">
        <v>4200</v>
      </c>
      <c r="T2622" s="32">
        <v>45248</v>
      </c>
      <c r="U2622" s="31">
        <v>11736</v>
      </c>
      <c r="V2622" s="32">
        <v>45295</v>
      </c>
      <c r="W2622" s="33" t="s">
        <v>6566</v>
      </c>
      <c r="X2622" s="26">
        <v>0</v>
      </c>
      <c r="Y2622" s="22">
        <v>0</v>
      </c>
      <c r="Z2622" s="98" t="s">
        <v>118</v>
      </c>
      <c r="AA2622" s="19" t="s">
        <v>6541</v>
      </c>
      <c r="AB2622" s="26" t="s">
        <v>36</v>
      </c>
      <c r="AC2622" s="26" t="s">
        <v>53</v>
      </c>
      <c r="AD2622" s="14" t="s">
        <v>138</v>
      </c>
      <c r="AE2622" s="26" t="s">
        <v>6131</v>
      </c>
      <c r="AF2622" s="17">
        <v>45520</v>
      </c>
      <c r="AG2622" s="40"/>
      <c r="AH2622" s="26">
        <v>2</v>
      </c>
      <c r="AI2622" s="40" t="s">
        <v>147</v>
      </c>
      <c r="AJ2622" s="26"/>
      <c r="AK2622" s="26"/>
      <c r="AL2622" s="35"/>
      <c r="AM2622" s="35"/>
      <c r="AN2622" s="35"/>
      <c r="AO2622" s="35"/>
      <c r="AP2622" s="35"/>
    </row>
    <row r="2623" spans="1:42" x14ac:dyDescent="0.2">
      <c r="A2623" s="99">
        <v>45434</v>
      </c>
      <c r="B2623" s="28" t="s">
        <v>37</v>
      </c>
      <c r="C2623" s="41" t="s">
        <v>118</v>
      </c>
      <c r="D2623" s="26" t="s">
        <v>36</v>
      </c>
      <c r="E2623" s="26" t="s">
        <v>139</v>
      </c>
      <c r="F2623" s="26" t="s">
        <v>9068</v>
      </c>
      <c r="G2623" s="26" t="s">
        <v>41</v>
      </c>
      <c r="H2623" s="26" t="s">
        <v>8479</v>
      </c>
      <c r="I2623" s="17">
        <f ca="1">IFERROR(__xludf.DUMMYFUNCTION("""COMPUTED_VALUE"""),45449)</f>
        <v>45449</v>
      </c>
      <c r="J2623" s="29" t="s">
        <v>8956</v>
      </c>
      <c r="K2623" s="35" t="s">
        <v>8957</v>
      </c>
      <c r="L2623" s="30">
        <v>356894765</v>
      </c>
      <c r="M2623" s="26" t="s">
        <v>1245</v>
      </c>
      <c r="N2623" s="26" t="s">
        <v>1246</v>
      </c>
      <c r="O2623" s="26" t="s">
        <v>8958</v>
      </c>
      <c r="P2623" s="26" t="s">
        <v>9069</v>
      </c>
      <c r="Q2623" s="20"/>
      <c r="R2623" s="26" t="s">
        <v>36</v>
      </c>
      <c r="S2623" s="95"/>
      <c r="T2623" s="83" t="s">
        <v>8960</v>
      </c>
      <c r="U2623" s="159">
        <v>8900</v>
      </c>
      <c r="V2623" s="160">
        <v>45503</v>
      </c>
      <c r="W2623" s="33" t="s">
        <v>8961</v>
      </c>
      <c r="X2623" s="26">
        <v>0</v>
      </c>
      <c r="Y2623" s="22"/>
      <c r="Z2623" s="26" t="s">
        <v>50</v>
      </c>
      <c r="AA2623" s="70" t="s">
        <v>9070</v>
      </c>
      <c r="AB2623" s="26" t="s">
        <v>36</v>
      </c>
      <c r="AC2623" s="26" t="s">
        <v>53</v>
      </c>
      <c r="AD2623" s="26" t="s">
        <v>54</v>
      </c>
      <c r="AE2623" s="26" t="s">
        <v>4500</v>
      </c>
      <c r="AF2623" s="17">
        <v>45435</v>
      </c>
      <c r="AG2623" s="42" t="s">
        <v>8963</v>
      </c>
      <c r="AH2623" s="40"/>
      <c r="AI2623" s="40"/>
      <c r="AJ2623" s="26"/>
      <c r="AK2623" s="26"/>
      <c r="AL2623" s="26"/>
      <c r="AM2623" s="35"/>
      <c r="AN2623" s="35"/>
      <c r="AO2623" s="35"/>
      <c r="AP2623" s="35"/>
    </row>
    <row r="2624" spans="1:42" x14ac:dyDescent="0.2">
      <c r="A2624" s="126">
        <v>45439.369404062498</v>
      </c>
      <c r="B2624" s="28" t="s">
        <v>37</v>
      </c>
      <c r="C2624" s="41" t="s">
        <v>118</v>
      </c>
      <c r="D2624" s="26" t="s">
        <v>36</v>
      </c>
      <c r="E2624" s="26" t="s">
        <v>56</v>
      </c>
      <c r="F2624" s="26" t="s">
        <v>36</v>
      </c>
      <c r="G2624" s="26" t="s">
        <v>41</v>
      </c>
      <c r="H2624" s="26" t="s">
        <v>8479</v>
      </c>
      <c r="I2624" s="17">
        <f ca="1">IFERROR(__xludf.DUMMYFUNCTION("""COMPUTED_VALUE"""),45449)</f>
        <v>45449</v>
      </c>
      <c r="J2624" s="29" t="s">
        <v>8950</v>
      </c>
      <c r="K2624" s="26" t="s">
        <v>8951</v>
      </c>
      <c r="L2624" s="30">
        <v>763354265</v>
      </c>
      <c r="M2624" s="26" t="s">
        <v>80</v>
      </c>
      <c r="N2624" s="26" t="s">
        <v>466</v>
      </c>
      <c r="O2624" s="26" t="s">
        <v>8952</v>
      </c>
      <c r="P2624" s="26" t="s">
        <v>9071</v>
      </c>
      <c r="Q2624" s="20"/>
      <c r="R2624" s="26" t="s">
        <v>36</v>
      </c>
      <c r="S2624" s="95">
        <f>200+1800</f>
        <v>2000</v>
      </c>
      <c r="T2624" s="83" t="s">
        <v>8954</v>
      </c>
      <c r="U2624" s="31">
        <v>7310</v>
      </c>
      <c r="V2624" s="32">
        <v>45480</v>
      </c>
      <c r="W2624" s="33" t="s">
        <v>8955</v>
      </c>
      <c r="X2624" s="26"/>
      <c r="Y2624" s="22"/>
      <c r="Z2624" s="26" t="s">
        <v>50</v>
      </c>
      <c r="AA2624" s="70" t="s">
        <v>9070</v>
      </c>
      <c r="AB2624" s="26" t="s">
        <v>36</v>
      </c>
      <c r="AC2624" s="26" t="s">
        <v>53</v>
      </c>
      <c r="AD2624" s="26" t="s">
        <v>54</v>
      </c>
      <c r="AE2624" s="26" t="s">
        <v>72</v>
      </c>
      <c r="AF2624" s="17">
        <v>45442</v>
      </c>
      <c r="AG2624" s="26"/>
      <c r="AH2624" s="26"/>
      <c r="AI2624" s="40"/>
      <c r="AJ2624" s="26"/>
      <c r="AK2624" s="26"/>
      <c r="AL2624" s="35"/>
      <c r="AM2624" s="35"/>
      <c r="AN2624" s="35"/>
      <c r="AO2624" s="35"/>
      <c r="AP2624" s="35"/>
    </row>
    <row r="2625" spans="1:42" x14ac:dyDescent="0.2">
      <c r="A2625" s="126">
        <v>45460.841103194442</v>
      </c>
      <c r="B2625" s="28" t="s">
        <v>37</v>
      </c>
      <c r="C2625" s="41" t="s">
        <v>118</v>
      </c>
      <c r="D2625" s="26" t="s">
        <v>36</v>
      </c>
      <c r="E2625" s="26" t="s">
        <v>119</v>
      </c>
      <c r="F2625" s="26" t="s">
        <v>36</v>
      </c>
      <c r="G2625" s="26" t="s">
        <v>41</v>
      </c>
      <c r="H2625" s="26" t="s">
        <v>7365</v>
      </c>
      <c r="I2625" s="17">
        <f ca="1">IFERROR(__xludf.DUMMYFUNCTION("""COMPUTED_VALUE"""),45468)</f>
        <v>45468</v>
      </c>
      <c r="J2625" s="29" t="s">
        <v>9072</v>
      </c>
      <c r="K2625" s="26" t="s">
        <v>9073</v>
      </c>
      <c r="L2625" s="30">
        <v>379376684</v>
      </c>
      <c r="M2625" s="26" t="s">
        <v>80</v>
      </c>
      <c r="N2625" s="26" t="s">
        <v>1073</v>
      </c>
      <c r="O2625" s="26" t="s">
        <v>9074</v>
      </c>
      <c r="P2625" s="26" t="s">
        <v>9075</v>
      </c>
      <c r="Q2625" s="20"/>
      <c r="R2625" s="26" t="s">
        <v>36</v>
      </c>
      <c r="S2625" s="95">
        <f>200+3800</f>
        <v>4000</v>
      </c>
      <c r="T2625" s="83" t="s">
        <v>9076</v>
      </c>
      <c r="U2625" s="31">
        <v>9968</v>
      </c>
      <c r="V2625" s="32">
        <v>45488</v>
      </c>
      <c r="W2625" s="26" t="s">
        <v>9077</v>
      </c>
      <c r="X2625" s="26"/>
      <c r="Y2625" s="22"/>
      <c r="Z2625" s="26" t="s">
        <v>50</v>
      </c>
      <c r="AA2625" s="70" t="s">
        <v>9070</v>
      </c>
      <c r="AB2625" s="26" t="s">
        <v>36</v>
      </c>
      <c r="AC2625" s="26" t="s">
        <v>53</v>
      </c>
      <c r="AD2625" s="26" t="s">
        <v>54</v>
      </c>
      <c r="AE2625" s="26">
        <v>400</v>
      </c>
      <c r="AF2625" s="17">
        <v>45462</v>
      </c>
      <c r="AG2625" s="26"/>
      <c r="AH2625" s="26"/>
      <c r="AI2625" s="40"/>
      <c r="AJ2625" s="26"/>
      <c r="AK2625" s="26"/>
      <c r="AL2625" s="35"/>
      <c r="AM2625" s="35"/>
      <c r="AN2625" s="35"/>
      <c r="AO2625" s="35"/>
      <c r="AP2625" s="35"/>
    </row>
    <row r="2626" spans="1:42" x14ac:dyDescent="0.2">
      <c r="A2626" s="38">
        <v>45461</v>
      </c>
      <c r="B2626" s="28" t="s">
        <v>37</v>
      </c>
      <c r="C2626" s="41" t="s">
        <v>118</v>
      </c>
      <c r="D2626" s="26" t="s">
        <v>36</v>
      </c>
      <c r="E2626" s="26" t="s">
        <v>106</v>
      </c>
      <c r="F2626" s="26" t="s">
        <v>7506</v>
      </c>
      <c r="G2626" s="26" t="s">
        <v>108</v>
      </c>
      <c r="H2626" s="26" t="s">
        <v>8238</v>
      </c>
      <c r="I2626" s="17">
        <f ca="1">IFERROR(__xludf.DUMMYFUNCTION("""COMPUTED_VALUE"""),45477)</f>
        <v>45477</v>
      </c>
      <c r="J2626" s="29" t="s">
        <v>8288</v>
      </c>
      <c r="K2626" s="26" t="s">
        <v>8289</v>
      </c>
      <c r="L2626" s="30">
        <v>968359305</v>
      </c>
      <c r="M2626" s="26" t="s">
        <v>112</v>
      </c>
      <c r="N2626" s="26" t="s">
        <v>113</v>
      </c>
      <c r="O2626" s="26" t="s">
        <v>36</v>
      </c>
      <c r="P2626" s="42" t="s">
        <v>9078</v>
      </c>
      <c r="Q2626" s="20"/>
      <c r="R2626" s="26" t="s">
        <v>36</v>
      </c>
      <c r="S2626" s="95">
        <v>3668</v>
      </c>
      <c r="T2626" s="148">
        <v>45482</v>
      </c>
      <c r="U2626" s="31"/>
      <c r="V2626" s="32"/>
      <c r="W2626" s="33" t="s">
        <v>9079</v>
      </c>
      <c r="X2626" s="26"/>
      <c r="Y2626" s="22"/>
      <c r="Z2626" s="26" t="s">
        <v>50</v>
      </c>
      <c r="AA2626" s="70" t="s">
        <v>9070</v>
      </c>
      <c r="AB2626" s="26" t="s">
        <v>36</v>
      </c>
      <c r="AC2626" s="26" t="s">
        <v>53</v>
      </c>
      <c r="AD2626" s="26" t="s">
        <v>54</v>
      </c>
      <c r="AE2626" s="26" t="s">
        <v>7506</v>
      </c>
      <c r="AF2626" s="17">
        <v>45471</v>
      </c>
      <c r="AG2626" s="26"/>
      <c r="AH2626" s="26"/>
      <c r="AI2626" s="40"/>
      <c r="AJ2626" s="26"/>
      <c r="AK2626" s="26"/>
      <c r="AL2626" s="35"/>
      <c r="AM2626" s="35"/>
      <c r="AN2626" s="35"/>
      <c r="AO2626" s="35"/>
      <c r="AP2626" s="35"/>
    </row>
    <row r="2627" spans="1:42" x14ac:dyDescent="0.2">
      <c r="A2627" s="126">
        <v>45464.899527488422</v>
      </c>
      <c r="B2627" s="28" t="s">
        <v>37</v>
      </c>
      <c r="C2627" s="41" t="s">
        <v>118</v>
      </c>
      <c r="D2627" s="26" t="s">
        <v>36</v>
      </c>
      <c r="E2627" s="26" t="s">
        <v>77</v>
      </c>
      <c r="F2627" s="26" t="s">
        <v>36</v>
      </c>
      <c r="G2627" s="26" t="s">
        <v>41</v>
      </c>
      <c r="H2627" s="26" t="s">
        <v>7497</v>
      </c>
      <c r="I2627" s="17">
        <f ca="1">IFERROR(__xludf.DUMMYFUNCTION("""COMPUTED_VALUE"""),45468)</f>
        <v>45468</v>
      </c>
      <c r="J2627" s="29" t="s">
        <v>9080</v>
      </c>
      <c r="K2627" s="19" t="s">
        <v>9081</v>
      </c>
      <c r="L2627" s="47">
        <v>975544305</v>
      </c>
      <c r="M2627" s="19" t="s">
        <v>80</v>
      </c>
      <c r="N2627" s="19" t="s">
        <v>1073</v>
      </c>
      <c r="O2627" s="26" t="s">
        <v>1492</v>
      </c>
      <c r="P2627" s="42" t="s">
        <v>9082</v>
      </c>
      <c r="Q2627" s="20"/>
      <c r="R2627" s="26" t="s">
        <v>36</v>
      </c>
      <c r="S2627" s="95">
        <v>200</v>
      </c>
      <c r="T2627" s="148">
        <v>45460</v>
      </c>
      <c r="U2627" s="31">
        <v>1800</v>
      </c>
      <c r="V2627" s="32">
        <v>45464</v>
      </c>
      <c r="W2627" s="26" t="s">
        <v>9083</v>
      </c>
      <c r="X2627" s="26"/>
      <c r="Y2627" s="22"/>
      <c r="Z2627" s="26" t="s">
        <v>50</v>
      </c>
      <c r="AA2627" s="70" t="s">
        <v>9070</v>
      </c>
      <c r="AB2627" s="26" t="s">
        <v>36</v>
      </c>
      <c r="AC2627" s="26" t="s">
        <v>2218</v>
      </c>
      <c r="AD2627" s="26" t="s">
        <v>54</v>
      </c>
      <c r="AE2627" s="26">
        <v>0</v>
      </c>
      <c r="AF2627" s="17">
        <v>45465</v>
      </c>
      <c r="AG2627" s="26" t="s">
        <v>9084</v>
      </c>
      <c r="AH2627" s="26"/>
      <c r="AI2627" s="40"/>
      <c r="AJ2627" s="26"/>
      <c r="AK2627" s="26"/>
      <c r="AL2627" s="35"/>
      <c r="AM2627" s="35"/>
      <c r="AN2627" s="35"/>
      <c r="AO2627" s="35"/>
      <c r="AP2627" s="35"/>
    </row>
    <row r="2628" spans="1:42" x14ac:dyDescent="0.2">
      <c r="A2628" s="126">
        <v>45464.944407118055</v>
      </c>
      <c r="B2628" s="28" t="s">
        <v>37</v>
      </c>
      <c r="C2628" s="41" t="s">
        <v>118</v>
      </c>
      <c r="D2628" s="26" t="s">
        <v>36</v>
      </c>
      <c r="E2628" s="26" t="s">
        <v>119</v>
      </c>
      <c r="F2628" s="26" t="s">
        <v>36</v>
      </c>
      <c r="G2628" s="26" t="s">
        <v>108</v>
      </c>
      <c r="H2628" s="26" t="s">
        <v>8691</v>
      </c>
      <c r="I2628" s="17">
        <f ca="1">IFERROR(__xludf.DUMMYFUNCTION("""COMPUTED_VALUE"""),45485)</f>
        <v>45485</v>
      </c>
      <c r="J2628" s="29" t="s">
        <v>9085</v>
      </c>
      <c r="K2628" s="19" t="s">
        <v>9086</v>
      </c>
      <c r="L2628" s="47">
        <v>343143987</v>
      </c>
      <c r="M2628" s="19" t="s">
        <v>80</v>
      </c>
      <c r="N2628" s="19" t="s">
        <v>466</v>
      </c>
      <c r="O2628" s="26" t="s">
        <v>9087</v>
      </c>
      <c r="P2628" s="26" t="s">
        <v>9088</v>
      </c>
      <c r="Q2628" s="20"/>
      <c r="R2628" s="26" t="s">
        <v>36</v>
      </c>
      <c r="S2628" s="95">
        <v>3800</v>
      </c>
      <c r="T2628" s="148">
        <v>45464</v>
      </c>
      <c r="U2628" s="95">
        <v>10168</v>
      </c>
      <c r="V2628" s="148">
        <v>45500</v>
      </c>
      <c r="W2628" s="33" t="s">
        <v>9089</v>
      </c>
      <c r="X2628" s="26"/>
      <c r="Y2628" s="22"/>
      <c r="Z2628" s="26" t="s">
        <v>50</v>
      </c>
      <c r="AA2628" s="70" t="s">
        <v>9070</v>
      </c>
      <c r="AB2628" s="26" t="s">
        <v>36</v>
      </c>
      <c r="AC2628" s="26" t="s">
        <v>53</v>
      </c>
      <c r="AD2628" s="26" t="s">
        <v>54</v>
      </c>
      <c r="AE2628" s="26">
        <v>380</v>
      </c>
      <c r="AF2628" s="17">
        <v>45483</v>
      </c>
      <c r="AG2628" s="26"/>
      <c r="AH2628" s="26"/>
      <c r="AI2628" s="40"/>
      <c r="AJ2628" s="26"/>
      <c r="AK2628" s="26"/>
      <c r="AL2628" s="35"/>
      <c r="AM2628" s="35"/>
      <c r="AN2628" s="35"/>
      <c r="AO2628" s="35"/>
      <c r="AP2628" s="35"/>
    </row>
    <row r="2629" spans="1:42" x14ac:dyDescent="0.2">
      <c r="A2629" s="126">
        <v>45465.960944537037</v>
      </c>
      <c r="B2629" s="28" t="s">
        <v>37</v>
      </c>
      <c r="C2629" s="41" t="s">
        <v>118</v>
      </c>
      <c r="D2629" s="26" t="s">
        <v>36</v>
      </c>
      <c r="E2629" s="26" t="s">
        <v>139</v>
      </c>
      <c r="F2629" s="26" t="s">
        <v>36</v>
      </c>
      <c r="G2629" s="26" t="s">
        <v>41</v>
      </c>
      <c r="H2629" s="26" t="s">
        <v>8763</v>
      </c>
      <c r="I2629" s="17">
        <f ca="1">IFERROR(__xludf.DUMMYFUNCTION("""COMPUTED_VALUE"""),45478)</f>
        <v>45478</v>
      </c>
      <c r="J2629" s="29" t="s">
        <v>9090</v>
      </c>
      <c r="K2629" s="19" t="s">
        <v>9091</v>
      </c>
      <c r="L2629" s="47">
        <v>862050606</v>
      </c>
      <c r="M2629" s="19" t="s">
        <v>910</v>
      </c>
      <c r="N2629" s="19" t="s">
        <v>3525</v>
      </c>
      <c r="O2629" s="26" t="s">
        <v>9092</v>
      </c>
      <c r="P2629" s="26" t="s">
        <v>9093</v>
      </c>
      <c r="Q2629" s="20"/>
      <c r="R2629" s="26" t="s">
        <v>36</v>
      </c>
      <c r="S2629" s="95">
        <f>100+2000</f>
        <v>2100</v>
      </c>
      <c r="T2629" s="83" t="s">
        <v>9094</v>
      </c>
      <c r="U2629" s="31">
        <f>10000+3836</f>
        <v>13836</v>
      </c>
      <c r="V2629" s="32">
        <v>45481</v>
      </c>
      <c r="W2629" s="33" t="s">
        <v>9095</v>
      </c>
      <c r="X2629" s="26"/>
      <c r="Y2629" s="22"/>
      <c r="Z2629" s="26" t="s">
        <v>50</v>
      </c>
      <c r="AA2629" s="70" t="s">
        <v>9070</v>
      </c>
      <c r="AB2629" s="26" t="s">
        <v>36</v>
      </c>
      <c r="AC2629" s="26" t="s">
        <v>53</v>
      </c>
      <c r="AD2629" s="26" t="s">
        <v>54</v>
      </c>
      <c r="AE2629" s="26" t="s">
        <v>72</v>
      </c>
      <c r="AF2629" s="17">
        <v>45474</v>
      </c>
      <c r="AG2629" s="26"/>
      <c r="AH2629" s="26"/>
      <c r="AI2629" s="40"/>
      <c r="AJ2629" s="26"/>
      <c r="AK2629" s="26"/>
      <c r="AL2629" s="35"/>
      <c r="AM2629" s="35"/>
      <c r="AN2629" s="35"/>
      <c r="AO2629" s="35"/>
      <c r="AP2629" s="35"/>
    </row>
    <row r="2630" spans="1:42" x14ac:dyDescent="0.2">
      <c r="A2630" s="126">
        <v>45465.963012187502</v>
      </c>
      <c r="B2630" s="28" t="s">
        <v>37</v>
      </c>
      <c r="C2630" s="41" t="s">
        <v>118</v>
      </c>
      <c r="D2630" s="26" t="s">
        <v>36</v>
      </c>
      <c r="E2630" s="26" t="s">
        <v>39</v>
      </c>
      <c r="F2630" s="26" t="s">
        <v>36</v>
      </c>
      <c r="G2630" s="26" t="s">
        <v>41</v>
      </c>
      <c r="H2630" s="26" t="s">
        <v>8763</v>
      </c>
      <c r="I2630" s="17">
        <f ca="1">IFERROR(__xludf.DUMMYFUNCTION("""COMPUTED_VALUE"""),45478)</f>
        <v>45478</v>
      </c>
      <c r="J2630" s="29" t="s">
        <v>9096</v>
      </c>
      <c r="K2630" s="19" t="s">
        <v>9097</v>
      </c>
      <c r="L2630" s="47">
        <v>383050067</v>
      </c>
      <c r="M2630" s="19" t="s">
        <v>910</v>
      </c>
      <c r="N2630" s="19" t="s">
        <v>3525</v>
      </c>
      <c r="O2630" s="26" t="s">
        <v>9098</v>
      </c>
      <c r="P2630" s="26" t="s">
        <v>9099</v>
      </c>
      <c r="Q2630" s="20"/>
      <c r="R2630" s="26" t="s">
        <v>36</v>
      </c>
      <c r="S2630" s="95">
        <f>100+1900</f>
        <v>2000</v>
      </c>
      <c r="T2630" s="83" t="s">
        <v>9100</v>
      </c>
      <c r="U2630" s="31">
        <v>3736</v>
      </c>
      <c r="V2630" s="32">
        <v>45477</v>
      </c>
      <c r="W2630" s="33" t="s">
        <v>9101</v>
      </c>
      <c r="X2630" s="26"/>
      <c r="Y2630" s="22"/>
      <c r="Z2630" s="26" t="s">
        <v>50</v>
      </c>
      <c r="AA2630" s="70" t="s">
        <v>9070</v>
      </c>
      <c r="AB2630" s="26" t="s">
        <v>36</v>
      </c>
      <c r="AC2630" s="26" t="s">
        <v>53</v>
      </c>
      <c r="AD2630" s="26" t="s">
        <v>54</v>
      </c>
      <c r="AE2630" s="26" t="s">
        <v>72</v>
      </c>
      <c r="AF2630" s="17">
        <v>45476</v>
      </c>
      <c r="AG2630" s="26"/>
      <c r="AH2630" s="26"/>
      <c r="AI2630" s="40"/>
      <c r="AJ2630" s="26"/>
      <c r="AK2630" s="26"/>
      <c r="AL2630" s="35"/>
      <c r="AM2630" s="35"/>
      <c r="AN2630" s="35"/>
      <c r="AO2630" s="35"/>
      <c r="AP2630" s="35"/>
    </row>
    <row r="2631" spans="1:42" x14ac:dyDescent="0.2">
      <c r="A2631" s="126">
        <v>45466.943111412038</v>
      </c>
      <c r="B2631" s="28" t="s">
        <v>37</v>
      </c>
      <c r="C2631" s="41" t="s">
        <v>118</v>
      </c>
      <c r="D2631" s="26" t="s">
        <v>36</v>
      </c>
      <c r="E2631" s="26" t="s">
        <v>139</v>
      </c>
      <c r="F2631" s="26" t="s">
        <v>36</v>
      </c>
      <c r="G2631" s="26" t="s">
        <v>41</v>
      </c>
      <c r="H2631" s="26" t="s">
        <v>8771</v>
      </c>
      <c r="I2631" s="17">
        <f ca="1">IFERROR(__xludf.DUMMYFUNCTION("""COMPUTED_VALUE"""),45481)</f>
        <v>45481</v>
      </c>
      <c r="J2631" s="29" t="s">
        <v>9102</v>
      </c>
      <c r="K2631" s="19" t="s">
        <v>9103</v>
      </c>
      <c r="L2631" s="47">
        <v>399912157</v>
      </c>
      <c r="M2631" s="19" t="s">
        <v>80</v>
      </c>
      <c r="N2631" s="19" t="s">
        <v>1073</v>
      </c>
      <c r="O2631" s="26" t="s">
        <v>9104</v>
      </c>
      <c r="P2631" s="26" t="s">
        <v>9105</v>
      </c>
      <c r="Q2631" s="20"/>
      <c r="R2631" s="26" t="s">
        <v>36</v>
      </c>
      <c r="S2631" s="95">
        <f>200+1800</f>
        <v>2000</v>
      </c>
      <c r="T2631" s="83" t="s">
        <v>9106</v>
      </c>
      <c r="U2631" s="95">
        <v>13936</v>
      </c>
      <c r="V2631" s="148">
        <v>45503</v>
      </c>
      <c r="W2631" s="33" t="s">
        <v>9107</v>
      </c>
      <c r="X2631" s="26"/>
      <c r="Y2631" s="22"/>
      <c r="Z2631" s="26" t="s">
        <v>50</v>
      </c>
      <c r="AA2631" s="70" t="s">
        <v>9070</v>
      </c>
      <c r="AB2631" s="26" t="s">
        <v>36</v>
      </c>
      <c r="AC2631" s="26" t="s">
        <v>53</v>
      </c>
      <c r="AD2631" s="26" t="s">
        <v>54</v>
      </c>
      <c r="AE2631" s="26">
        <v>0</v>
      </c>
      <c r="AF2631" s="17">
        <v>45478</v>
      </c>
      <c r="AG2631" s="26"/>
      <c r="AH2631" s="26"/>
      <c r="AI2631" s="40"/>
      <c r="AJ2631" s="26"/>
      <c r="AK2631" s="26"/>
      <c r="AL2631" s="35"/>
      <c r="AM2631" s="35"/>
      <c r="AN2631" s="35"/>
      <c r="AO2631" s="35"/>
      <c r="AP2631" s="35"/>
    </row>
    <row r="2632" spans="1:42" x14ac:dyDescent="0.2">
      <c r="A2632" s="126">
        <v>45471.37416979167</v>
      </c>
      <c r="B2632" s="28" t="s">
        <v>37</v>
      </c>
      <c r="C2632" s="41" t="s">
        <v>118</v>
      </c>
      <c r="D2632" s="26" t="s">
        <v>36</v>
      </c>
      <c r="E2632" s="26" t="s">
        <v>139</v>
      </c>
      <c r="F2632" s="26" t="s">
        <v>91</v>
      </c>
      <c r="G2632" s="26" t="s">
        <v>41</v>
      </c>
      <c r="H2632" s="26" t="s">
        <v>7497</v>
      </c>
      <c r="I2632" s="17">
        <f ca="1">IFERROR(__xludf.DUMMYFUNCTION("""COMPUTED_VALUE"""),45468)</f>
        <v>45468</v>
      </c>
      <c r="J2632" s="29" t="s">
        <v>9009</v>
      </c>
      <c r="K2632" s="26" t="s">
        <v>9010</v>
      </c>
      <c r="L2632" s="30">
        <v>7092390364</v>
      </c>
      <c r="M2632" s="26" t="s">
        <v>123</v>
      </c>
      <c r="N2632" s="26" t="s">
        <v>327</v>
      </c>
      <c r="O2632" s="26" t="s">
        <v>4503</v>
      </c>
      <c r="P2632" s="26" t="s">
        <v>9011</v>
      </c>
      <c r="Q2632" s="20"/>
      <c r="R2632" s="26" t="s">
        <v>36</v>
      </c>
      <c r="S2632" s="95">
        <v>15636</v>
      </c>
      <c r="T2632" s="148">
        <v>45467</v>
      </c>
      <c r="U2632" s="31"/>
      <c r="V2632" s="32"/>
      <c r="W2632" s="33" t="s">
        <v>9012</v>
      </c>
      <c r="X2632" s="26"/>
      <c r="Y2632" s="22"/>
      <c r="Z2632" s="26" t="s">
        <v>50</v>
      </c>
      <c r="AA2632" s="70" t="s">
        <v>9070</v>
      </c>
      <c r="AB2632" s="26" t="s">
        <v>4503</v>
      </c>
      <c r="AC2632" s="26" t="s">
        <v>53</v>
      </c>
      <c r="AD2632" s="26" t="s">
        <v>54</v>
      </c>
      <c r="AE2632" s="26"/>
      <c r="AF2632" s="60" t="s">
        <v>1829</v>
      </c>
      <c r="AG2632" s="26" t="s">
        <v>1830</v>
      </c>
      <c r="AH2632" s="26"/>
      <c r="AI2632" s="40"/>
      <c r="AJ2632" s="26"/>
      <c r="AK2632" s="26"/>
      <c r="AL2632" s="35"/>
      <c r="AM2632" s="35"/>
      <c r="AN2632" s="35"/>
      <c r="AO2632" s="35"/>
      <c r="AP2632" s="35"/>
    </row>
    <row r="2633" spans="1:42" x14ac:dyDescent="0.2">
      <c r="A2633" s="126">
        <v>45472.753893541667</v>
      </c>
      <c r="B2633" s="28" t="s">
        <v>37</v>
      </c>
      <c r="C2633" s="41" t="s">
        <v>118</v>
      </c>
      <c r="D2633" s="26" t="s">
        <v>36</v>
      </c>
      <c r="E2633" s="26" t="s">
        <v>139</v>
      </c>
      <c r="F2633" s="26" t="s">
        <v>36</v>
      </c>
      <c r="G2633" s="26" t="s">
        <v>41</v>
      </c>
      <c r="H2633" s="26" t="s">
        <v>8830</v>
      </c>
      <c r="I2633" s="17">
        <f ca="1">IFERROR(__xludf.DUMMYFUNCTION("""COMPUTED_VALUE"""),45478)</f>
        <v>45478</v>
      </c>
      <c r="J2633" s="29" t="s">
        <v>9108</v>
      </c>
      <c r="K2633" s="26" t="s">
        <v>9109</v>
      </c>
      <c r="L2633" s="30">
        <v>943330996</v>
      </c>
      <c r="M2633" s="26" t="s">
        <v>80</v>
      </c>
      <c r="N2633" s="26" t="s">
        <v>1073</v>
      </c>
      <c r="O2633" s="26" t="s">
        <v>9110</v>
      </c>
      <c r="P2633" s="26" t="s">
        <v>9111</v>
      </c>
      <c r="Q2633" s="20"/>
      <c r="R2633" s="26" t="s">
        <v>36</v>
      </c>
      <c r="S2633" s="95">
        <v>2000</v>
      </c>
      <c r="T2633" s="148">
        <v>45472</v>
      </c>
      <c r="U2633" s="95">
        <v>13936</v>
      </c>
      <c r="V2633" s="148">
        <v>45498</v>
      </c>
      <c r="W2633" s="33" t="s">
        <v>9112</v>
      </c>
      <c r="X2633" s="26"/>
      <c r="Y2633" s="22"/>
      <c r="Z2633" s="26" t="s">
        <v>50</v>
      </c>
      <c r="AA2633" s="70" t="s">
        <v>9070</v>
      </c>
      <c r="AB2633" s="26" t="s">
        <v>36</v>
      </c>
      <c r="AC2633" s="26" t="s">
        <v>53</v>
      </c>
      <c r="AD2633" s="26" t="s">
        <v>54</v>
      </c>
      <c r="AE2633" s="26">
        <v>0</v>
      </c>
      <c r="AF2633" s="17">
        <v>45474</v>
      </c>
      <c r="AG2633" s="26"/>
      <c r="AH2633" s="26"/>
      <c r="AI2633" s="40"/>
      <c r="AJ2633" s="26"/>
      <c r="AK2633" s="26"/>
      <c r="AL2633" s="35"/>
      <c r="AM2633" s="35"/>
      <c r="AN2633" s="35"/>
      <c r="AO2633" s="35"/>
      <c r="AP2633" s="35"/>
    </row>
    <row r="2634" spans="1:42" x14ac:dyDescent="0.2">
      <c r="A2634" s="126">
        <v>45472.875254421291</v>
      </c>
      <c r="B2634" s="28" t="s">
        <v>37</v>
      </c>
      <c r="C2634" s="41" t="s">
        <v>118</v>
      </c>
      <c r="D2634" s="26" t="s">
        <v>36</v>
      </c>
      <c r="E2634" s="26" t="s">
        <v>77</v>
      </c>
      <c r="F2634" s="26" t="s">
        <v>36</v>
      </c>
      <c r="G2634" s="26" t="s">
        <v>41</v>
      </c>
      <c r="H2634" s="26" t="s">
        <v>8830</v>
      </c>
      <c r="I2634" s="17">
        <f ca="1">IFERROR(__xludf.DUMMYFUNCTION("""COMPUTED_VALUE"""),45478)</f>
        <v>45478</v>
      </c>
      <c r="J2634" s="29" t="s">
        <v>9113</v>
      </c>
      <c r="K2634" s="26" t="s">
        <v>9114</v>
      </c>
      <c r="L2634" s="30">
        <v>963859676</v>
      </c>
      <c r="M2634" s="26" t="s">
        <v>80</v>
      </c>
      <c r="N2634" s="26" t="s">
        <v>1073</v>
      </c>
      <c r="O2634" s="26" t="s">
        <v>9115</v>
      </c>
      <c r="P2634" s="26" t="s">
        <v>9116</v>
      </c>
      <c r="Q2634" s="20"/>
      <c r="R2634" s="26" t="s">
        <v>36</v>
      </c>
      <c r="S2634" s="95">
        <f t="shared" ref="S2634:S2635" si="4">200+1800</f>
        <v>2000</v>
      </c>
      <c r="T2634" s="83" t="s">
        <v>9117</v>
      </c>
      <c r="U2634" s="31"/>
      <c r="V2634" s="32"/>
      <c r="W2634" s="33" t="s">
        <v>9118</v>
      </c>
      <c r="X2634" s="26"/>
      <c r="Y2634" s="22"/>
      <c r="Z2634" s="26" t="s">
        <v>50</v>
      </c>
      <c r="AA2634" s="70" t="s">
        <v>9070</v>
      </c>
      <c r="AB2634" s="26" t="s">
        <v>36</v>
      </c>
      <c r="AC2634" s="26" t="s">
        <v>53</v>
      </c>
      <c r="AD2634" s="26" t="s">
        <v>54</v>
      </c>
      <c r="AE2634" s="26">
        <v>0</v>
      </c>
      <c r="AF2634" s="17">
        <v>45477</v>
      </c>
      <c r="AG2634" s="26" t="s">
        <v>9119</v>
      </c>
      <c r="AH2634" s="26"/>
      <c r="AI2634" s="40"/>
      <c r="AJ2634" s="26"/>
      <c r="AK2634" s="26"/>
      <c r="AL2634" s="35"/>
      <c r="AM2634" s="35"/>
      <c r="AN2634" s="35"/>
      <c r="AO2634" s="35"/>
      <c r="AP2634" s="35"/>
    </row>
    <row r="2635" spans="1:42" x14ac:dyDescent="0.2">
      <c r="A2635" s="126">
        <v>45473.020624166667</v>
      </c>
      <c r="B2635" s="28" t="s">
        <v>37</v>
      </c>
      <c r="C2635" s="41" t="s">
        <v>118</v>
      </c>
      <c r="D2635" s="26" t="s">
        <v>36</v>
      </c>
      <c r="E2635" s="26" t="s">
        <v>139</v>
      </c>
      <c r="F2635" s="26" t="s">
        <v>36</v>
      </c>
      <c r="G2635" s="26" t="s">
        <v>41</v>
      </c>
      <c r="H2635" s="26" t="s">
        <v>8830</v>
      </c>
      <c r="I2635" s="17">
        <f ca="1">IFERROR(__xludf.DUMMYFUNCTION("""COMPUTED_VALUE"""),45478)</f>
        <v>45478</v>
      </c>
      <c r="J2635" s="29" t="s">
        <v>9120</v>
      </c>
      <c r="K2635" s="26" t="s">
        <v>9121</v>
      </c>
      <c r="L2635" s="30">
        <v>367908695</v>
      </c>
      <c r="M2635" s="26" t="s">
        <v>80</v>
      </c>
      <c r="N2635" s="26" t="s">
        <v>466</v>
      </c>
      <c r="O2635" s="26" t="s">
        <v>9122</v>
      </c>
      <c r="P2635" s="26" t="s">
        <v>9123</v>
      </c>
      <c r="Q2635" s="20"/>
      <c r="R2635" s="26" t="s">
        <v>36</v>
      </c>
      <c r="S2635" s="168">
        <f t="shared" si="4"/>
        <v>2000</v>
      </c>
      <c r="T2635" s="83" t="s">
        <v>9124</v>
      </c>
      <c r="U2635" s="95">
        <v>13936</v>
      </c>
      <c r="V2635" s="148">
        <v>45497</v>
      </c>
      <c r="W2635" s="33" t="s">
        <v>9125</v>
      </c>
      <c r="X2635" s="26"/>
      <c r="Y2635" s="22"/>
      <c r="Z2635" s="26" t="s">
        <v>50</v>
      </c>
      <c r="AA2635" s="70" t="s">
        <v>9070</v>
      </c>
      <c r="AB2635" s="26" t="s">
        <v>36</v>
      </c>
      <c r="AC2635" s="26" t="s">
        <v>53</v>
      </c>
      <c r="AD2635" s="26" t="s">
        <v>54</v>
      </c>
      <c r="AE2635" s="26">
        <v>0</v>
      </c>
      <c r="AF2635" s="17">
        <v>45475</v>
      </c>
      <c r="AG2635" s="26"/>
      <c r="AH2635" s="26"/>
      <c r="AI2635" s="40"/>
      <c r="AJ2635" s="26"/>
      <c r="AK2635" s="26"/>
      <c r="AL2635" s="35"/>
      <c r="AM2635" s="35"/>
      <c r="AN2635" s="35"/>
      <c r="AO2635" s="35"/>
      <c r="AP2635" s="35"/>
    </row>
    <row r="2636" spans="1:42" x14ac:dyDescent="0.2">
      <c r="A2636" s="126">
        <v>45473.585921423612</v>
      </c>
      <c r="B2636" s="28" t="s">
        <v>37</v>
      </c>
      <c r="C2636" s="41" t="s">
        <v>118</v>
      </c>
      <c r="D2636" s="26" t="s">
        <v>36</v>
      </c>
      <c r="E2636" s="26" t="s">
        <v>139</v>
      </c>
      <c r="F2636" s="26" t="s">
        <v>36</v>
      </c>
      <c r="G2636" s="26" t="s">
        <v>41</v>
      </c>
      <c r="H2636" s="26" t="s">
        <v>9126</v>
      </c>
      <c r="I2636" s="17">
        <f ca="1">IFERROR(__xludf.DUMMYFUNCTION("""COMPUTED_VALUE"""),45482)</f>
        <v>45482</v>
      </c>
      <c r="J2636" s="29" t="s">
        <v>9127</v>
      </c>
      <c r="K2636" s="26" t="s">
        <v>9128</v>
      </c>
      <c r="L2636" s="30">
        <v>981753328</v>
      </c>
      <c r="M2636" s="26" t="s">
        <v>80</v>
      </c>
      <c r="N2636" s="26" t="s">
        <v>1073</v>
      </c>
      <c r="O2636" s="26" t="s">
        <v>9129</v>
      </c>
      <c r="P2636" s="26" t="s">
        <v>9130</v>
      </c>
      <c r="Q2636" s="20"/>
      <c r="R2636" s="26" t="s">
        <v>36</v>
      </c>
      <c r="S2636" s="95">
        <v>2000</v>
      </c>
      <c r="T2636" s="148">
        <v>45473</v>
      </c>
      <c r="U2636" s="95">
        <v>13936</v>
      </c>
      <c r="V2636" s="148">
        <v>45499</v>
      </c>
      <c r="W2636" s="33" t="s">
        <v>9131</v>
      </c>
      <c r="X2636" s="26"/>
      <c r="Y2636" s="22"/>
      <c r="Z2636" s="26" t="s">
        <v>50</v>
      </c>
      <c r="AA2636" s="70" t="s">
        <v>9070</v>
      </c>
      <c r="AB2636" s="26"/>
      <c r="AC2636" s="26" t="s">
        <v>53</v>
      </c>
      <c r="AD2636" s="26" t="s">
        <v>54</v>
      </c>
      <c r="AE2636" s="26">
        <v>0</v>
      </c>
      <c r="AF2636" s="17">
        <v>45477</v>
      </c>
      <c r="AG2636" s="26"/>
      <c r="AH2636" s="26"/>
      <c r="AI2636" s="40"/>
      <c r="AJ2636" s="26"/>
      <c r="AK2636" s="26"/>
      <c r="AL2636" s="35"/>
      <c r="AM2636" s="35"/>
      <c r="AN2636" s="35"/>
      <c r="AO2636" s="35"/>
      <c r="AP2636" s="35"/>
    </row>
    <row r="2637" spans="1:42" x14ac:dyDescent="0.2">
      <c r="A2637" s="126">
        <v>45473.849821145835</v>
      </c>
      <c r="B2637" s="28" t="s">
        <v>37</v>
      </c>
      <c r="C2637" s="41" t="s">
        <v>118</v>
      </c>
      <c r="D2637" s="26" t="s">
        <v>36</v>
      </c>
      <c r="E2637" s="26" t="s">
        <v>119</v>
      </c>
      <c r="F2637" s="26" t="s">
        <v>40</v>
      </c>
      <c r="G2637" s="26" t="s">
        <v>108</v>
      </c>
      <c r="H2637" s="26" t="s">
        <v>9132</v>
      </c>
      <c r="I2637" s="17">
        <f ca="1">IFERROR(__xludf.DUMMYFUNCTION("""COMPUTED_VALUE"""),45484)</f>
        <v>45484</v>
      </c>
      <c r="J2637" s="29" t="s">
        <v>9133</v>
      </c>
      <c r="K2637" s="26" t="s">
        <v>9134</v>
      </c>
      <c r="L2637" s="30">
        <v>982023806</v>
      </c>
      <c r="M2637" s="26" t="s">
        <v>5518</v>
      </c>
      <c r="N2637" s="26" t="s">
        <v>5524</v>
      </c>
      <c r="O2637" s="26" t="s">
        <v>9135</v>
      </c>
      <c r="P2637" s="26" t="s">
        <v>9136</v>
      </c>
      <c r="Q2637" s="20"/>
      <c r="R2637" s="26" t="s">
        <v>36</v>
      </c>
      <c r="S2637" s="95">
        <f>200+3800</f>
        <v>4000</v>
      </c>
      <c r="T2637" s="83" t="s">
        <v>9137</v>
      </c>
      <c r="U2637" s="95">
        <v>9968</v>
      </c>
      <c r="V2637" s="148">
        <v>45502</v>
      </c>
      <c r="W2637" s="33" t="s">
        <v>9138</v>
      </c>
      <c r="X2637" s="26"/>
      <c r="Y2637" s="22"/>
      <c r="Z2637" s="26" t="s">
        <v>50</v>
      </c>
      <c r="AA2637" s="70" t="s">
        <v>9070</v>
      </c>
      <c r="AB2637" s="26" t="s">
        <v>9139</v>
      </c>
      <c r="AC2637" s="26" t="s">
        <v>53</v>
      </c>
      <c r="AD2637" s="26" t="s">
        <v>54</v>
      </c>
      <c r="AE2637" s="26">
        <v>410</v>
      </c>
      <c r="AF2637" s="17">
        <v>45483</v>
      </c>
      <c r="AG2637" s="26"/>
      <c r="AH2637" s="26"/>
      <c r="AI2637" s="40"/>
      <c r="AJ2637" s="26"/>
      <c r="AK2637" s="26"/>
      <c r="AL2637" s="35"/>
      <c r="AM2637" s="35"/>
      <c r="AN2637" s="35"/>
      <c r="AO2637" s="35"/>
      <c r="AP2637" s="35"/>
    </row>
    <row r="2638" spans="1:42" x14ac:dyDescent="0.2">
      <c r="A2638" s="126">
        <v>45473.87515537037</v>
      </c>
      <c r="B2638" s="28" t="s">
        <v>37</v>
      </c>
      <c r="C2638" s="41" t="s">
        <v>118</v>
      </c>
      <c r="D2638" s="26" t="s">
        <v>36</v>
      </c>
      <c r="E2638" s="26" t="s">
        <v>139</v>
      </c>
      <c r="F2638" s="26" t="s">
        <v>36</v>
      </c>
      <c r="G2638" s="26" t="s">
        <v>41</v>
      </c>
      <c r="H2638" s="26" t="s">
        <v>9126</v>
      </c>
      <c r="I2638" s="17">
        <f ca="1">IFERROR(__xludf.DUMMYFUNCTION("""COMPUTED_VALUE"""),45482)</f>
        <v>45482</v>
      </c>
      <c r="J2638" s="29" t="s">
        <v>9140</v>
      </c>
      <c r="K2638" s="26" t="s">
        <v>9141</v>
      </c>
      <c r="L2638" s="30">
        <v>987557555</v>
      </c>
      <c r="M2638" s="26" t="s">
        <v>80</v>
      </c>
      <c r="N2638" s="26" t="s">
        <v>466</v>
      </c>
      <c r="O2638" s="26" t="s">
        <v>9142</v>
      </c>
      <c r="P2638" s="26" t="s">
        <v>9143</v>
      </c>
      <c r="Q2638" s="20"/>
      <c r="R2638" s="26" t="s">
        <v>36</v>
      </c>
      <c r="S2638" s="95">
        <f>200+1800</f>
        <v>2000</v>
      </c>
      <c r="T2638" s="83" t="s">
        <v>9144</v>
      </c>
      <c r="U2638" s="95">
        <v>13936</v>
      </c>
      <c r="V2638" s="148">
        <v>45503</v>
      </c>
      <c r="W2638" s="33" t="s">
        <v>9145</v>
      </c>
      <c r="X2638" s="26"/>
      <c r="Y2638" s="22"/>
      <c r="Z2638" s="26" t="s">
        <v>50</v>
      </c>
      <c r="AA2638" s="70" t="s">
        <v>9070</v>
      </c>
      <c r="AB2638" s="26"/>
      <c r="AC2638" s="26" t="s">
        <v>53</v>
      </c>
      <c r="AD2638" s="26" t="s">
        <v>54</v>
      </c>
      <c r="AE2638" s="26">
        <v>0</v>
      </c>
      <c r="AF2638" s="17">
        <v>45477</v>
      </c>
      <c r="AG2638" s="26"/>
      <c r="AH2638" s="26"/>
      <c r="AI2638" s="40"/>
      <c r="AJ2638" s="26"/>
      <c r="AK2638" s="26"/>
      <c r="AL2638" s="35"/>
      <c r="AM2638" s="35"/>
      <c r="AN2638" s="35"/>
      <c r="AO2638" s="35"/>
      <c r="AP2638" s="35"/>
    </row>
    <row r="2639" spans="1:42" x14ac:dyDescent="0.2">
      <c r="A2639" s="126">
        <v>45473.880441018518</v>
      </c>
      <c r="B2639" s="28" t="s">
        <v>37</v>
      </c>
      <c r="C2639" s="41" t="s">
        <v>118</v>
      </c>
      <c r="D2639" s="26" t="s">
        <v>36</v>
      </c>
      <c r="E2639" s="26" t="s">
        <v>139</v>
      </c>
      <c r="F2639" s="26" t="s">
        <v>36</v>
      </c>
      <c r="G2639" s="26" t="s">
        <v>41</v>
      </c>
      <c r="H2639" s="26" t="s">
        <v>9126</v>
      </c>
      <c r="I2639" s="17">
        <f ca="1">IFERROR(__xludf.DUMMYFUNCTION("""COMPUTED_VALUE"""),45482)</f>
        <v>45482</v>
      </c>
      <c r="J2639" s="29" t="s">
        <v>9146</v>
      </c>
      <c r="K2639" s="26" t="s">
        <v>9147</v>
      </c>
      <c r="L2639" s="30">
        <v>395678117</v>
      </c>
      <c r="M2639" s="26" t="s">
        <v>80</v>
      </c>
      <c r="N2639" s="26" t="s">
        <v>1073</v>
      </c>
      <c r="O2639" s="26" t="s">
        <v>9148</v>
      </c>
      <c r="P2639" s="26" t="s">
        <v>9149</v>
      </c>
      <c r="Q2639" s="20"/>
      <c r="R2639" s="26" t="s">
        <v>36</v>
      </c>
      <c r="S2639" s="95">
        <v>2000</v>
      </c>
      <c r="T2639" s="148">
        <v>45473</v>
      </c>
      <c r="U2639" s="95">
        <v>13936</v>
      </c>
      <c r="V2639" s="148">
        <v>45504</v>
      </c>
      <c r="W2639" s="33" t="s">
        <v>9150</v>
      </c>
      <c r="X2639" s="26"/>
      <c r="Y2639" s="22"/>
      <c r="Z2639" s="26" t="s">
        <v>50</v>
      </c>
      <c r="AA2639" s="70" t="s">
        <v>9070</v>
      </c>
      <c r="AB2639" s="26"/>
      <c r="AC2639" s="26" t="s">
        <v>53</v>
      </c>
      <c r="AD2639" s="26" t="s">
        <v>54</v>
      </c>
      <c r="AE2639" s="26">
        <v>370</v>
      </c>
      <c r="AF2639" s="17">
        <v>45477</v>
      </c>
      <c r="AG2639" s="26"/>
      <c r="AH2639" s="26"/>
      <c r="AI2639" s="40"/>
      <c r="AJ2639" s="26"/>
      <c r="AK2639" s="26"/>
      <c r="AL2639" s="35"/>
      <c r="AM2639" s="35"/>
      <c r="AN2639" s="35"/>
      <c r="AO2639" s="35"/>
      <c r="AP2639" s="35"/>
    </row>
    <row r="2640" spans="1:42" x14ac:dyDescent="0.2">
      <c r="A2640" s="126">
        <v>45473.881950844909</v>
      </c>
      <c r="B2640" s="28" t="s">
        <v>37</v>
      </c>
      <c r="C2640" s="41" t="s">
        <v>118</v>
      </c>
      <c r="D2640" s="26" t="s">
        <v>36</v>
      </c>
      <c r="E2640" s="26" t="s">
        <v>119</v>
      </c>
      <c r="F2640" s="26" t="s">
        <v>36</v>
      </c>
      <c r="G2640" s="26" t="s">
        <v>108</v>
      </c>
      <c r="H2640" s="26" t="s">
        <v>9132</v>
      </c>
      <c r="I2640" s="17">
        <f ca="1">IFERROR(__xludf.DUMMYFUNCTION("""COMPUTED_VALUE"""),45484)</f>
        <v>45484</v>
      </c>
      <c r="J2640" s="29" t="s">
        <v>9151</v>
      </c>
      <c r="K2640" s="26" t="s">
        <v>9152</v>
      </c>
      <c r="L2640" s="30">
        <v>342082696</v>
      </c>
      <c r="M2640" s="26" t="s">
        <v>80</v>
      </c>
      <c r="N2640" s="26" t="s">
        <v>1073</v>
      </c>
      <c r="O2640" s="26" t="s">
        <v>9153</v>
      </c>
      <c r="P2640" s="26" t="s">
        <v>9154</v>
      </c>
      <c r="Q2640" s="20"/>
      <c r="R2640" s="26" t="s">
        <v>36</v>
      </c>
      <c r="S2640" s="95">
        <f>200+3800</f>
        <v>4000</v>
      </c>
      <c r="T2640" s="83" t="s">
        <v>9155</v>
      </c>
      <c r="U2640" s="95">
        <v>9968</v>
      </c>
      <c r="V2640" s="148">
        <v>45503</v>
      </c>
      <c r="W2640" s="33" t="s">
        <v>9156</v>
      </c>
      <c r="X2640" s="26"/>
      <c r="Y2640" s="22"/>
      <c r="Z2640" s="26" t="s">
        <v>50</v>
      </c>
      <c r="AA2640" s="70" t="s">
        <v>9070</v>
      </c>
      <c r="AB2640" s="26"/>
      <c r="AC2640" s="26" t="s">
        <v>53</v>
      </c>
      <c r="AD2640" s="26" t="s">
        <v>54</v>
      </c>
      <c r="AE2640" s="26">
        <v>0</v>
      </c>
      <c r="AF2640" s="17">
        <v>45479</v>
      </c>
      <c r="AG2640" s="26"/>
      <c r="AH2640" s="26"/>
      <c r="AI2640" s="40"/>
      <c r="AJ2640" s="26"/>
      <c r="AK2640" s="26"/>
      <c r="AL2640" s="35"/>
      <c r="AM2640" s="35"/>
      <c r="AN2640" s="35"/>
      <c r="AO2640" s="35"/>
      <c r="AP2640" s="35"/>
    </row>
    <row r="2641" spans="1:42" x14ac:dyDescent="0.2">
      <c r="A2641" s="126">
        <v>45473.943443402779</v>
      </c>
      <c r="B2641" s="28" t="s">
        <v>37</v>
      </c>
      <c r="C2641" s="41" t="s">
        <v>118</v>
      </c>
      <c r="D2641" s="26" t="s">
        <v>36</v>
      </c>
      <c r="E2641" s="26" t="s">
        <v>119</v>
      </c>
      <c r="F2641" s="26" t="s">
        <v>36</v>
      </c>
      <c r="G2641" s="26" t="s">
        <v>108</v>
      </c>
      <c r="H2641" s="26" t="s">
        <v>9132</v>
      </c>
      <c r="I2641" s="17">
        <f ca="1">IFERROR(__xludf.DUMMYFUNCTION("""COMPUTED_VALUE"""),45484)</f>
        <v>45484</v>
      </c>
      <c r="J2641" s="29" t="s">
        <v>9157</v>
      </c>
      <c r="K2641" s="26" t="s">
        <v>9158</v>
      </c>
      <c r="L2641" s="30">
        <v>828361067</v>
      </c>
      <c r="M2641" s="26" t="s">
        <v>80</v>
      </c>
      <c r="N2641" s="26" t="s">
        <v>1073</v>
      </c>
      <c r="O2641" s="26" t="s">
        <v>9159</v>
      </c>
      <c r="P2641" s="26" t="s">
        <v>9160</v>
      </c>
      <c r="Q2641" s="20"/>
      <c r="R2641" s="26" t="s">
        <v>36</v>
      </c>
      <c r="S2641" s="95">
        <f>100+3900</f>
        <v>4000</v>
      </c>
      <c r="T2641" s="83" t="s">
        <v>9161</v>
      </c>
      <c r="U2641" s="31">
        <v>9968</v>
      </c>
      <c r="V2641" s="32">
        <v>45495</v>
      </c>
      <c r="W2641" s="33" t="s">
        <v>9162</v>
      </c>
      <c r="X2641" s="26"/>
      <c r="Y2641" s="22"/>
      <c r="Z2641" s="26" t="s">
        <v>50</v>
      </c>
      <c r="AA2641" s="70" t="s">
        <v>9070</v>
      </c>
      <c r="AB2641" s="26"/>
      <c r="AC2641" s="26" t="s">
        <v>53</v>
      </c>
      <c r="AD2641" s="26" t="s">
        <v>54</v>
      </c>
      <c r="AE2641" s="26">
        <v>430</v>
      </c>
      <c r="AF2641" s="17">
        <v>45478</v>
      </c>
      <c r="AG2641" s="26"/>
      <c r="AH2641" s="26"/>
      <c r="AI2641" s="40"/>
      <c r="AJ2641" s="26"/>
      <c r="AK2641" s="26"/>
      <c r="AL2641" s="35"/>
      <c r="AM2641" s="35"/>
      <c r="AN2641" s="35"/>
      <c r="AO2641" s="35"/>
      <c r="AP2641" s="35"/>
    </row>
    <row r="2642" spans="1:42" x14ac:dyDescent="0.2">
      <c r="A2642" s="126">
        <v>45473.961326030098</v>
      </c>
      <c r="B2642" s="28" t="s">
        <v>37</v>
      </c>
      <c r="C2642" s="41" t="s">
        <v>118</v>
      </c>
      <c r="D2642" s="26" t="s">
        <v>36</v>
      </c>
      <c r="E2642" s="26" t="s">
        <v>139</v>
      </c>
      <c r="F2642" s="26" t="s">
        <v>40</v>
      </c>
      <c r="G2642" s="26" t="s">
        <v>41</v>
      </c>
      <c r="H2642" s="26" t="s">
        <v>9163</v>
      </c>
      <c r="I2642" s="17">
        <f ca="1">IFERROR(__xludf.DUMMYFUNCTION("""COMPUTED_VALUE"""),45484)</f>
        <v>45484</v>
      </c>
      <c r="J2642" s="29" t="s">
        <v>9164</v>
      </c>
      <c r="K2642" s="26" t="s">
        <v>9165</v>
      </c>
      <c r="L2642" s="30">
        <v>828621914</v>
      </c>
      <c r="M2642" s="26" t="s">
        <v>5429</v>
      </c>
      <c r="N2642" s="26" t="s">
        <v>9166</v>
      </c>
      <c r="O2642" s="26" t="s">
        <v>9167</v>
      </c>
      <c r="P2642" s="26" t="s">
        <v>9168</v>
      </c>
      <c r="Q2642" s="20"/>
      <c r="R2642" s="26" t="s">
        <v>36</v>
      </c>
      <c r="S2642" s="95">
        <f>200+1800</f>
        <v>2000</v>
      </c>
      <c r="T2642" s="83" t="s">
        <v>9169</v>
      </c>
      <c r="U2642" s="95">
        <v>13936</v>
      </c>
      <c r="V2642" s="148">
        <v>45500</v>
      </c>
      <c r="W2642" s="26" t="s">
        <v>9170</v>
      </c>
      <c r="X2642" s="26"/>
      <c r="Y2642" s="22"/>
      <c r="Z2642" s="26" t="s">
        <v>50</v>
      </c>
      <c r="AA2642" s="70" t="s">
        <v>9070</v>
      </c>
      <c r="AB2642" s="26"/>
      <c r="AC2642" s="26" t="s">
        <v>53</v>
      </c>
      <c r="AD2642" s="26" t="s">
        <v>54</v>
      </c>
      <c r="AE2642" s="26" t="s">
        <v>72</v>
      </c>
      <c r="AF2642" s="17">
        <v>45481</v>
      </c>
      <c r="AG2642" s="26"/>
      <c r="AH2642" s="26"/>
      <c r="AI2642" s="40"/>
      <c r="AJ2642" s="26"/>
      <c r="AK2642" s="26"/>
      <c r="AL2642" s="35"/>
      <c r="AM2642" s="35"/>
      <c r="AN2642" s="35"/>
      <c r="AO2642" s="35"/>
      <c r="AP2642" s="35"/>
    </row>
    <row r="2643" spans="1:42" x14ac:dyDescent="0.2">
      <c r="A2643" s="126">
        <v>45474.387382847221</v>
      </c>
      <c r="B2643" s="28" t="s">
        <v>37</v>
      </c>
      <c r="C2643" s="41" t="s">
        <v>118</v>
      </c>
      <c r="D2643" s="26" t="s">
        <v>36</v>
      </c>
      <c r="E2643" s="26" t="s">
        <v>106</v>
      </c>
      <c r="F2643" s="26" t="s">
        <v>36</v>
      </c>
      <c r="G2643" s="26" t="s">
        <v>108</v>
      </c>
      <c r="H2643" s="26" t="s">
        <v>9171</v>
      </c>
      <c r="I2643" s="17">
        <f ca="1">IFERROR(__xludf.DUMMYFUNCTION("""COMPUTED_VALUE"""),45586)</f>
        <v>45586</v>
      </c>
      <c r="J2643" s="29" t="s">
        <v>9172</v>
      </c>
      <c r="K2643" s="26" t="s">
        <v>9173</v>
      </c>
      <c r="L2643" s="30">
        <v>813808056</v>
      </c>
      <c r="M2643" s="26" t="s">
        <v>348</v>
      </c>
      <c r="N2643" s="26" t="s">
        <v>200</v>
      </c>
      <c r="O2643" s="26" t="s">
        <v>9174</v>
      </c>
      <c r="P2643" s="26" t="s">
        <v>9175</v>
      </c>
      <c r="Q2643" s="20"/>
      <c r="R2643" s="26" t="s">
        <v>36</v>
      </c>
      <c r="S2643" s="95">
        <v>3768</v>
      </c>
      <c r="T2643" s="148">
        <v>45472</v>
      </c>
      <c r="U2643" s="31"/>
      <c r="V2643" s="32"/>
      <c r="W2643" s="33" t="s">
        <v>9176</v>
      </c>
      <c r="X2643" s="26"/>
      <c r="Y2643" s="22"/>
      <c r="Z2643" s="26" t="s">
        <v>50</v>
      </c>
      <c r="AA2643" s="70" t="s">
        <v>9070</v>
      </c>
      <c r="AB2643" s="26"/>
      <c r="AC2643" s="26" t="s">
        <v>53</v>
      </c>
      <c r="AD2643" s="26" t="s">
        <v>54</v>
      </c>
      <c r="AE2643" s="26">
        <v>570</v>
      </c>
      <c r="AF2643" s="17">
        <v>45478</v>
      </c>
      <c r="AG2643" s="26"/>
      <c r="AH2643" s="26"/>
      <c r="AI2643" s="40"/>
      <c r="AJ2643" s="26"/>
      <c r="AK2643" s="26"/>
      <c r="AL2643" s="35"/>
      <c r="AM2643" s="35"/>
      <c r="AN2643" s="35"/>
      <c r="AO2643" s="35"/>
      <c r="AP2643" s="35"/>
    </row>
    <row r="2644" spans="1:42" x14ac:dyDescent="0.2">
      <c r="A2644" s="126">
        <v>45474.758245115736</v>
      </c>
      <c r="B2644" s="28" t="s">
        <v>37</v>
      </c>
      <c r="C2644" s="41" t="s">
        <v>118</v>
      </c>
      <c r="D2644" s="26" t="s">
        <v>36</v>
      </c>
      <c r="E2644" s="26" t="s">
        <v>139</v>
      </c>
      <c r="F2644" s="26" t="s">
        <v>40</v>
      </c>
      <c r="G2644" s="26" t="s">
        <v>41</v>
      </c>
      <c r="H2644" s="26" t="s">
        <v>9177</v>
      </c>
      <c r="I2644" s="17">
        <f ca="1">IFERROR(__xludf.DUMMYFUNCTION("""COMPUTED_VALUE"""),45483)</f>
        <v>45483</v>
      </c>
      <c r="J2644" s="29" t="s">
        <v>9178</v>
      </c>
      <c r="K2644" s="26" t="s">
        <v>9179</v>
      </c>
      <c r="L2644" s="47">
        <v>392571109</v>
      </c>
      <c r="M2644" s="26" t="s">
        <v>5429</v>
      </c>
      <c r="N2644" s="26" t="s">
        <v>9180</v>
      </c>
      <c r="O2644" s="67" t="s">
        <v>9181</v>
      </c>
      <c r="P2644" s="26" t="s">
        <v>9182</v>
      </c>
      <c r="Q2644" s="20"/>
      <c r="R2644" s="26" t="s">
        <v>36</v>
      </c>
      <c r="S2644" s="95">
        <v>2000</v>
      </c>
      <c r="T2644" s="148">
        <v>45474</v>
      </c>
      <c r="U2644" s="31">
        <v>13936</v>
      </c>
      <c r="V2644" s="32">
        <v>45496</v>
      </c>
      <c r="W2644" s="33" t="s">
        <v>9183</v>
      </c>
      <c r="X2644" s="26"/>
      <c r="Y2644" s="22"/>
      <c r="Z2644" s="26" t="s">
        <v>50</v>
      </c>
      <c r="AA2644" s="70" t="s">
        <v>9070</v>
      </c>
      <c r="AB2644" s="26"/>
      <c r="AC2644" s="26" t="s">
        <v>53</v>
      </c>
      <c r="AD2644" s="26" t="s">
        <v>54</v>
      </c>
      <c r="AE2644" s="26" t="s">
        <v>72</v>
      </c>
      <c r="AF2644" s="17">
        <v>45481</v>
      </c>
      <c r="AG2644" s="26"/>
      <c r="AH2644" s="26"/>
      <c r="AI2644" s="40"/>
      <c r="AJ2644" s="26"/>
      <c r="AK2644" s="26"/>
      <c r="AL2644" s="35"/>
      <c r="AM2644" s="35"/>
      <c r="AN2644" s="35"/>
      <c r="AO2644" s="35"/>
      <c r="AP2644" s="35"/>
    </row>
    <row r="2645" spans="1:42" x14ac:dyDescent="0.2">
      <c r="A2645" s="126">
        <v>45474.900809421291</v>
      </c>
      <c r="B2645" s="28" t="s">
        <v>37</v>
      </c>
      <c r="C2645" s="41" t="s">
        <v>118</v>
      </c>
      <c r="D2645" s="26" t="s">
        <v>36</v>
      </c>
      <c r="E2645" s="26" t="s">
        <v>139</v>
      </c>
      <c r="F2645" s="26" t="s">
        <v>36</v>
      </c>
      <c r="G2645" s="26" t="s">
        <v>41</v>
      </c>
      <c r="H2645" s="26" t="s">
        <v>9177</v>
      </c>
      <c r="I2645" s="17">
        <f ca="1">IFERROR(__xludf.DUMMYFUNCTION("""COMPUTED_VALUE"""),45483)</f>
        <v>45483</v>
      </c>
      <c r="J2645" s="29" t="s">
        <v>9184</v>
      </c>
      <c r="K2645" s="26" t="s">
        <v>9185</v>
      </c>
      <c r="L2645" s="47">
        <v>931632144</v>
      </c>
      <c r="M2645" s="26" t="s">
        <v>5518</v>
      </c>
      <c r="N2645" s="26" t="s">
        <v>9186</v>
      </c>
      <c r="O2645" s="26" t="s">
        <v>9187</v>
      </c>
      <c r="P2645" s="42" t="s">
        <v>9188</v>
      </c>
      <c r="Q2645" s="20"/>
      <c r="R2645" s="26" t="s">
        <v>36</v>
      </c>
      <c r="S2645" s="95">
        <f>200+1800</f>
        <v>2000</v>
      </c>
      <c r="T2645" s="83" t="s">
        <v>9189</v>
      </c>
      <c r="U2645" s="95">
        <v>13936</v>
      </c>
      <c r="V2645" s="148">
        <v>45503</v>
      </c>
      <c r="W2645" s="33" t="s">
        <v>9190</v>
      </c>
      <c r="X2645" s="26"/>
      <c r="Y2645" s="22"/>
      <c r="Z2645" s="26" t="s">
        <v>50</v>
      </c>
      <c r="AA2645" s="70" t="s">
        <v>9070</v>
      </c>
      <c r="AB2645" s="26" t="s">
        <v>9191</v>
      </c>
      <c r="AC2645" s="26" t="s">
        <v>53</v>
      </c>
      <c r="AD2645" s="26" t="s">
        <v>54</v>
      </c>
      <c r="AE2645" s="26">
        <v>0</v>
      </c>
      <c r="AF2645" s="17">
        <v>45481</v>
      </c>
      <c r="AG2645" s="26"/>
      <c r="AH2645" s="26"/>
      <c r="AI2645" s="40"/>
      <c r="AJ2645" s="26"/>
      <c r="AK2645" s="26"/>
      <c r="AL2645" s="35"/>
      <c r="AM2645" s="35"/>
      <c r="AN2645" s="35"/>
      <c r="AO2645" s="35"/>
      <c r="AP2645" s="35"/>
    </row>
    <row r="2646" spans="1:42" x14ac:dyDescent="0.2">
      <c r="A2646" s="126">
        <v>45474.926859004627</v>
      </c>
      <c r="B2646" s="28" t="s">
        <v>37</v>
      </c>
      <c r="C2646" s="41" t="s">
        <v>118</v>
      </c>
      <c r="D2646" s="26" t="s">
        <v>36</v>
      </c>
      <c r="E2646" s="26" t="s">
        <v>139</v>
      </c>
      <c r="F2646" s="26" t="s">
        <v>36</v>
      </c>
      <c r="G2646" s="26" t="s">
        <v>41</v>
      </c>
      <c r="H2646" s="26" t="s">
        <v>8830</v>
      </c>
      <c r="I2646" s="17">
        <f ca="1">IFERROR(__xludf.DUMMYFUNCTION("""COMPUTED_VALUE"""),45478)</f>
        <v>45478</v>
      </c>
      <c r="J2646" s="29" t="s">
        <v>9192</v>
      </c>
      <c r="K2646" s="26" t="s">
        <v>9193</v>
      </c>
      <c r="L2646" s="47">
        <v>397784298</v>
      </c>
      <c r="M2646" s="26" t="s">
        <v>80</v>
      </c>
      <c r="N2646" s="26" t="s">
        <v>466</v>
      </c>
      <c r="O2646" s="26" t="s">
        <v>9194</v>
      </c>
      <c r="P2646" s="26" t="s">
        <v>9195</v>
      </c>
      <c r="Q2646" s="20"/>
      <c r="R2646" s="26" t="s">
        <v>36</v>
      </c>
      <c r="S2646" s="95">
        <v>2000</v>
      </c>
      <c r="T2646" s="148">
        <v>45474</v>
      </c>
      <c r="U2646" s="95">
        <v>13936</v>
      </c>
      <c r="V2646" s="148">
        <v>45497</v>
      </c>
      <c r="W2646" s="33" t="s">
        <v>9196</v>
      </c>
      <c r="X2646" s="26"/>
      <c r="Y2646" s="22"/>
      <c r="Z2646" s="26" t="s">
        <v>50</v>
      </c>
      <c r="AA2646" s="70" t="s">
        <v>9070</v>
      </c>
      <c r="AB2646" s="26" t="s">
        <v>36</v>
      </c>
      <c r="AC2646" s="26" t="s">
        <v>53</v>
      </c>
      <c r="AD2646" s="26" t="s">
        <v>54</v>
      </c>
      <c r="AE2646" s="26">
        <v>0</v>
      </c>
      <c r="AF2646" s="17">
        <v>45475</v>
      </c>
      <c r="AG2646" s="26"/>
      <c r="AH2646" s="26"/>
      <c r="AI2646" s="40"/>
      <c r="AJ2646" s="26"/>
      <c r="AK2646" s="26"/>
      <c r="AL2646" s="35"/>
      <c r="AM2646" s="35"/>
      <c r="AN2646" s="35"/>
      <c r="AO2646" s="35"/>
      <c r="AP2646" s="35"/>
    </row>
    <row r="2647" spans="1:42" x14ac:dyDescent="0.2">
      <c r="A2647" s="126">
        <v>45474.941415266207</v>
      </c>
      <c r="B2647" s="28" t="s">
        <v>37</v>
      </c>
      <c r="C2647" s="41" t="s">
        <v>118</v>
      </c>
      <c r="D2647" s="26" t="s">
        <v>36</v>
      </c>
      <c r="E2647" s="26" t="s">
        <v>119</v>
      </c>
      <c r="F2647" s="26" t="s">
        <v>36</v>
      </c>
      <c r="G2647" s="26" t="s">
        <v>108</v>
      </c>
      <c r="H2647" s="26" t="s">
        <v>8602</v>
      </c>
      <c r="I2647" s="17">
        <f ca="1">IFERROR(__xludf.DUMMYFUNCTION("""COMPUTED_VALUE"""),45485)</f>
        <v>45485</v>
      </c>
      <c r="J2647" s="29" t="s">
        <v>9197</v>
      </c>
      <c r="K2647" s="26" t="s">
        <v>9198</v>
      </c>
      <c r="L2647" s="47">
        <v>973936302</v>
      </c>
      <c r="M2647" s="26" t="s">
        <v>80</v>
      </c>
      <c r="N2647" s="26" t="s">
        <v>466</v>
      </c>
      <c r="O2647" s="26" t="s">
        <v>9199</v>
      </c>
      <c r="P2647" s="26" t="s">
        <v>9200</v>
      </c>
      <c r="Q2647" s="20"/>
      <c r="R2647" s="26" t="s">
        <v>36</v>
      </c>
      <c r="S2647" s="95">
        <f>200+3600</f>
        <v>3800</v>
      </c>
      <c r="T2647" s="83" t="s">
        <v>9201</v>
      </c>
      <c r="U2647" s="31">
        <v>10168</v>
      </c>
      <c r="V2647" s="32">
        <v>45502</v>
      </c>
      <c r="W2647" s="33" t="s">
        <v>9202</v>
      </c>
      <c r="X2647" s="26"/>
      <c r="Y2647" s="22"/>
      <c r="Z2647" s="26" t="s">
        <v>50</v>
      </c>
      <c r="AA2647" s="70" t="s">
        <v>9070</v>
      </c>
      <c r="AB2647" s="26"/>
      <c r="AC2647" s="26" t="s">
        <v>53</v>
      </c>
      <c r="AD2647" s="26" t="s">
        <v>54</v>
      </c>
      <c r="AE2647" s="26">
        <v>500</v>
      </c>
      <c r="AF2647" s="17">
        <v>45483</v>
      </c>
      <c r="AG2647" s="26"/>
      <c r="AH2647" s="26"/>
      <c r="AI2647" s="40"/>
      <c r="AJ2647" s="26"/>
      <c r="AK2647" s="26"/>
      <c r="AL2647" s="35"/>
      <c r="AM2647" s="35"/>
      <c r="AN2647" s="35"/>
      <c r="AO2647" s="35"/>
      <c r="AP2647" s="35"/>
    </row>
    <row r="2648" spans="1:42" x14ac:dyDescent="0.2">
      <c r="A2648" s="126">
        <v>45474.950921643518</v>
      </c>
      <c r="B2648" s="28" t="s">
        <v>37</v>
      </c>
      <c r="C2648" s="41" t="s">
        <v>118</v>
      </c>
      <c r="D2648" s="26" t="s">
        <v>36</v>
      </c>
      <c r="E2648" s="26" t="s">
        <v>77</v>
      </c>
      <c r="F2648" s="26" t="s">
        <v>36</v>
      </c>
      <c r="G2648" s="26" t="s">
        <v>41</v>
      </c>
      <c r="H2648" s="26" t="s">
        <v>8635</v>
      </c>
      <c r="I2648" s="17">
        <f ca="1">IFERROR(__xludf.DUMMYFUNCTION("""COMPUTED_VALUE"""),45496)</f>
        <v>45496</v>
      </c>
      <c r="J2648" s="29" t="s">
        <v>9203</v>
      </c>
      <c r="K2648" s="26" t="s">
        <v>9204</v>
      </c>
      <c r="L2648" s="30">
        <v>918193945</v>
      </c>
      <c r="M2648" s="26" t="s">
        <v>112</v>
      </c>
      <c r="N2648" s="26" t="s">
        <v>113</v>
      </c>
      <c r="O2648" s="26" t="s">
        <v>36</v>
      </c>
      <c r="P2648" s="26" t="s">
        <v>9205</v>
      </c>
      <c r="Q2648" s="20"/>
      <c r="R2648" s="26" t="s">
        <v>36</v>
      </c>
      <c r="S2648" s="95">
        <v>1968</v>
      </c>
      <c r="T2648" s="148">
        <v>45474</v>
      </c>
      <c r="U2648" s="31"/>
      <c r="V2648" s="32"/>
      <c r="W2648" s="33" t="s">
        <v>9206</v>
      </c>
      <c r="X2648" s="26"/>
      <c r="Y2648" s="22"/>
      <c r="Z2648" s="26" t="s">
        <v>50</v>
      </c>
      <c r="AA2648" s="70" t="s">
        <v>9070</v>
      </c>
      <c r="AB2648" s="26" t="s">
        <v>36</v>
      </c>
      <c r="AC2648" s="26" t="s">
        <v>53</v>
      </c>
      <c r="AD2648" s="26" t="s">
        <v>54</v>
      </c>
      <c r="AE2648" s="26" t="s">
        <v>240</v>
      </c>
      <c r="AF2648" s="17">
        <v>45496</v>
      </c>
      <c r="AG2648" s="26" t="s">
        <v>4279</v>
      </c>
      <c r="AH2648" s="26"/>
      <c r="AI2648" s="40"/>
      <c r="AJ2648" s="26"/>
      <c r="AK2648" s="26"/>
      <c r="AL2648" s="35"/>
      <c r="AM2648" s="35"/>
      <c r="AN2648" s="35"/>
      <c r="AO2648" s="35"/>
      <c r="AP2648" s="35"/>
    </row>
    <row r="2649" spans="1:42" x14ac:dyDescent="0.2">
      <c r="A2649" s="126">
        <v>45474.955143171297</v>
      </c>
      <c r="B2649" s="28" t="s">
        <v>37</v>
      </c>
      <c r="C2649" s="41" t="s">
        <v>118</v>
      </c>
      <c r="D2649" s="26" t="s">
        <v>36</v>
      </c>
      <c r="E2649" s="26" t="s">
        <v>139</v>
      </c>
      <c r="F2649" s="26" t="s">
        <v>36</v>
      </c>
      <c r="G2649" s="26" t="s">
        <v>41</v>
      </c>
      <c r="H2649" s="26" t="s">
        <v>9126</v>
      </c>
      <c r="I2649" s="17">
        <f ca="1">IFERROR(__xludf.DUMMYFUNCTION("""COMPUTED_VALUE"""),45482)</f>
        <v>45482</v>
      </c>
      <c r="J2649" s="29" t="s">
        <v>9207</v>
      </c>
      <c r="K2649" s="26" t="s">
        <v>9208</v>
      </c>
      <c r="L2649" s="30">
        <v>346998711</v>
      </c>
      <c r="M2649" s="26" t="s">
        <v>80</v>
      </c>
      <c r="N2649" s="26" t="s">
        <v>1073</v>
      </c>
      <c r="O2649" s="26" t="s">
        <v>9209</v>
      </c>
      <c r="P2649" s="26" t="s">
        <v>9210</v>
      </c>
      <c r="Q2649" s="20"/>
      <c r="R2649" s="26" t="s">
        <v>36</v>
      </c>
      <c r="S2649" s="95">
        <f>200+1800</f>
        <v>2000</v>
      </c>
      <c r="T2649" s="83" t="s">
        <v>9211</v>
      </c>
      <c r="U2649" s="95">
        <v>13936</v>
      </c>
      <c r="V2649" s="148">
        <v>45504</v>
      </c>
      <c r="W2649" s="33" t="s">
        <v>9212</v>
      </c>
      <c r="X2649" s="26"/>
      <c r="Y2649" s="22"/>
      <c r="Z2649" s="26" t="s">
        <v>50</v>
      </c>
      <c r="AA2649" s="70" t="s">
        <v>9070</v>
      </c>
      <c r="AB2649" s="26"/>
      <c r="AC2649" s="26" t="s">
        <v>53</v>
      </c>
      <c r="AD2649" s="26" t="s">
        <v>54</v>
      </c>
      <c r="AE2649" s="26">
        <v>0</v>
      </c>
      <c r="AF2649" s="17">
        <v>45477</v>
      </c>
      <c r="AG2649" s="26"/>
      <c r="AH2649" s="26"/>
      <c r="AI2649" s="40"/>
      <c r="AJ2649" s="26"/>
      <c r="AK2649" s="26"/>
      <c r="AL2649" s="35"/>
      <c r="AM2649" s="35"/>
      <c r="AN2649" s="35"/>
      <c r="AO2649" s="35"/>
      <c r="AP2649" s="35"/>
    </row>
    <row r="2650" spans="1:42" x14ac:dyDescent="0.2">
      <c r="A2650" s="126">
        <v>45474.95704927083</v>
      </c>
      <c r="B2650" s="28" t="s">
        <v>37</v>
      </c>
      <c r="C2650" s="41" t="s">
        <v>118</v>
      </c>
      <c r="D2650" s="26" t="s">
        <v>36</v>
      </c>
      <c r="E2650" s="26" t="s">
        <v>119</v>
      </c>
      <c r="F2650" s="26" t="s">
        <v>36</v>
      </c>
      <c r="G2650" s="26" t="s">
        <v>108</v>
      </c>
      <c r="H2650" s="26" t="s">
        <v>8602</v>
      </c>
      <c r="I2650" s="17">
        <f ca="1">IFERROR(__xludf.DUMMYFUNCTION("""COMPUTED_VALUE"""),45485)</f>
        <v>45485</v>
      </c>
      <c r="J2650" s="29" t="s">
        <v>9213</v>
      </c>
      <c r="K2650" s="26" t="s">
        <v>9214</v>
      </c>
      <c r="L2650" s="30">
        <v>338434598</v>
      </c>
      <c r="M2650" s="26" t="s">
        <v>80</v>
      </c>
      <c r="N2650" s="26" t="s">
        <v>1073</v>
      </c>
      <c r="O2650" s="26" t="s">
        <v>9215</v>
      </c>
      <c r="P2650" s="26" t="s">
        <v>9216</v>
      </c>
      <c r="Q2650" s="20"/>
      <c r="R2650" s="26" t="s">
        <v>36</v>
      </c>
      <c r="S2650" s="95">
        <f>200+3800</f>
        <v>4000</v>
      </c>
      <c r="T2650" s="83" t="s">
        <v>9217</v>
      </c>
      <c r="U2650" s="95">
        <v>9968</v>
      </c>
      <c r="V2650" s="148">
        <v>45502</v>
      </c>
      <c r="W2650" s="33" t="s">
        <v>9218</v>
      </c>
      <c r="X2650" s="26"/>
      <c r="Y2650" s="22"/>
      <c r="Z2650" s="26" t="s">
        <v>50</v>
      </c>
      <c r="AA2650" s="70" t="s">
        <v>9070</v>
      </c>
      <c r="AB2650" s="26"/>
      <c r="AC2650" s="26" t="s">
        <v>53</v>
      </c>
      <c r="AD2650" s="26" t="s">
        <v>54</v>
      </c>
      <c r="AE2650" s="26">
        <v>450</v>
      </c>
      <c r="AF2650" s="17">
        <v>45481</v>
      </c>
      <c r="AG2650" s="26"/>
      <c r="AH2650" s="26"/>
      <c r="AI2650" s="40"/>
      <c r="AJ2650" s="26"/>
      <c r="AK2650" s="26"/>
      <c r="AL2650" s="35"/>
      <c r="AM2650" s="35"/>
      <c r="AN2650" s="35"/>
      <c r="AO2650" s="35"/>
      <c r="AP2650" s="35"/>
    </row>
    <row r="2651" spans="1:42" x14ac:dyDescent="0.2">
      <c r="A2651" s="126">
        <v>45475.338711168981</v>
      </c>
      <c r="B2651" s="28" t="s">
        <v>37</v>
      </c>
      <c r="C2651" s="41" t="s">
        <v>118</v>
      </c>
      <c r="D2651" s="26" t="s">
        <v>36</v>
      </c>
      <c r="E2651" s="26" t="s">
        <v>139</v>
      </c>
      <c r="F2651" s="26" t="s">
        <v>36</v>
      </c>
      <c r="G2651" s="26" t="s">
        <v>41</v>
      </c>
      <c r="H2651" s="26" t="s">
        <v>9177</v>
      </c>
      <c r="I2651" s="17">
        <f ca="1">IFERROR(__xludf.DUMMYFUNCTION("""COMPUTED_VALUE"""),45483)</f>
        <v>45483</v>
      </c>
      <c r="J2651" s="29" t="s">
        <v>9219</v>
      </c>
      <c r="K2651" s="26" t="s">
        <v>9220</v>
      </c>
      <c r="L2651" s="47">
        <v>384781170</v>
      </c>
      <c r="M2651" s="26" t="s">
        <v>292</v>
      </c>
      <c r="N2651" s="26" t="s">
        <v>1232</v>
      </c>
      <c r="O2651" s="26" t="s">
        <v>9221</v>
      </c>
      <c r="P2651" s="26" t="s">
        <v>9222</v>
      </c>
      <c r="Q2651" s="20"/>
      <c r="R2651" s="26" t="s">
        <v>36</v>
      </c>
      <c r="S2651" s="95">
        <f>1000+11000</f>
        <v>12000</v>
      </c>
      <c r="T2651" s="83" t="s">
        <v>9223</v>
      </c>
      <c r="U2651" s="95">
        <v>3936</v>
      </c>
      <c r="V2651" s="148">
        <v>45503</v>
      </c>
      <c r="W2651" s="33" t="s">
        <v>9224</v>
      </c>
      <c r="X2651" s="26"/>
      <c r="Y2651" s="22"/>
      <c r="Z2651" s="26" t="s">
        <v>50</v>
      </c>
      <c r="AA2651" s="70" t="s">
        <v>9070</v>
      </c>
      <c r="AB2651" s="26"/>
      <c r="AC2651" s="26" t="s">
        <v>53</v>
      </c>
      <c r="AD2651" s="26" t="s">
        <v>54</v>
      </c>
      <c r="AE2651" s="26">
        <v>250</v>
      </c>
      <c r="AF2651" s="17">
        <v>45481</v>
      </c>
      <c r="AG2651" s="26" t="s">
        <v>9225</v>
      </c>
      <c r="AH2651" s="26"/>
      <c r="AI2651" s="40"/>
      <c r="AJ2651" s="26"/>
      <c r="AK2651" s="26"/>
      <c r="AL2651" s="35"/>
      <c r="AM2651" s="35"/>
      <c r="AN2651" s="35"/>
      <c r="AO2651" s="35"/>
      <c r="AP2651" s="35"/>
    </row>
    <row r="2652" spans="1:42" x14ac:dyDescent="0.2">
      <c r="A2652" s="126">
        <v>45475.377169722226</v>
      </c>
      <c r="B2652" s="28" t="s">
        <v>37</v>
      </c>
      <c r="C2652" s="41" t="s">
        <v>118</v>
      </c>
      <c r="D2652" s="26" t="s">
        <v>36</v>
      </c>
      <c r="E2652" s="26" t="s">
        <v>119</v>
      </c>
      <c r="F2652" s="26" t="s">
        <v>40</v>
      </c>
      <c r="G2652" s="26" t="s">
        <v>108</v>
      </c>
      <c r="H2652" s="26" t="s">
        <v>9132</v>
      </c>
      <c r="I2652" s="17">
        <f ca="1">IFERROR(__xludf.DUMMYFUNCTION("""COMPUTED_VALUE"""),45484)</f>
        <v>45484</v>
      </c>
      <c r="J2652" s="29" t="s">
        <v>9226</v>
      </c>
      <c r="K2652" s="26" t="s">
        <v>9227</v>
      </c>
      <c r="L2652" s="47">
        <v>325520965</v>
      </c>
      <c r="M2652" s="26" t="s">
        <v>5518</v>
      </c>
      <c r="N2652" s="26" t="s">
        <v>9186</v>
      </c>
      <c r="O2652" s="26" t="s">
        <v>9228</v>
      </c>
      <c r="P2652" s="42" t="s">
        <v>9229</v>
      </c>
      <c r="Q2652" s="20"/>
      <c r="R2652" s="26" t="s">
        <v>36</v>
      </c>
      <c r="S2652" s="95">
        <f>200+3800</f>
        <v>4000</v>
      </c>
      <c r="T2652" s="83" t="s">
        <v>9230</v>
      </c>
      <c r="U2652" s="95">
        <v>9968</v>
      </c>
      <c r="V2652" s="148">
        <v>45499</v>
      </c>
      <c r="W2652" s="33" t="s">
        <v>9231</v>
      </c>
      <c r="X2652" s="26"/>
      <c r="Y2652" s="22"/>
      <c r="Z2652" s="26" t="s">
        <v>50</v>
      </c>
      <c r="AA2652" s="70" t="s">
        <v>9070</v>
      </c>
      <c r="AB2652" s="26" t="s">
        <v>9232</v>
      </c>
      <c r="AC2652" s="26" t="s">
        <v>53</v>
      </c>
      <c r="AD2652" s="26" t="s">
        <v>54</v>
      </c>
      <c r="AE2652" s="26">
        <v>410</v>
      </c>
      <c r="AF2652" s="17">
        <v>45482</v>
      </c>
      <c r="AG2652" s="26"/>
      <c r="AH2652" s="26"/>
      <c r="AI2652" s="40"/>
      <c r="AJ2652" s="26"/>
      <c r="AK2652" s="26"/>
      <c r="AL2652" s="35"/>
      <c r="AM2652" s="35"/>
      <c r="AN2652" s="35"/>
      <c r="AO2652" s="35"/>
      <c r="AP2652" s="35"/>
    </row>
    <row r="2653" spans="1:42" x14ac:dyDescent="0.2">
      <c r="A2653" s="126">
        <v>45475.487039872685</v>
      </c>
      <c r="B2653" s="28" t="s">
        <v>37</v>
      </c>
      <c r="C2653" s="41" t="s">
        <v>118</v>
      </c>
      <c r="D2653" s="26" t="s">
        <v>36</v>
      </c>
      <c r="E2653" s="26" t="s">
        <v>119</v>
      </c>
      <c r="F2653" s="26" t="s">
        <v>40</v>
      </c>
      <c r="G2653" s="26" t="s">
        <v>108</v>
      </c>
      <c r="H2653" s="26" t="s">
        <v>9132</v>
      </c>
      <c r="I2653" s="17">
        <f ca="1">IFERROR(__xludf.DUMMYFUNCTION("""COMPUTED_VALUE"""),45484)</f>
        <v>45484</v>
      </c>
      <c r="J2653" s="29" t="s">
        <v>9233</v>
      </c>
      <c r="K2653" s="26" t="s">
        <v>9234</v>
      </c>
      <c r="L2653" s="47">
        <v>382863576</v>
      </c>
      <c r="M2653" s="26" t="s">
        <v>45</v>
      </c>
      <c r="N2653" s="26" t="s">
        <v>571</v>
      </c>
      <c r="O2653" s="26" t="s">
        <v>9235</v>
      </c>
      <c r="P2653" s="26" t="s">
        <v>9236</v>
      </c>
      <c r="Q2653" s="20"/>
      <c r="R2653" s="26" t="s">
        <v>36</v>
      </c>
      <c r="S2653" s="95">
        <v>13968</v>
      </c>
      <c r="T2653" s="148">
        <v>45474</v>
      </c>
      <c r="U2653" s="31"/>
      <c r="V2653" s="32"/>
      <c r="W2653" s="33" t="s">
        <v>9237</v>
      </c>
      <c r="X2653" s="26"/>
      <c r="Y2653" s="22"/>
      <c r="Z2653" s="26" t="s">
        <v>50</v>
      </c>
      <c r="AA2653" s="70" t="s">
        <v>9070</v>
      </c>
      <c r="AB2653" s="26"/>
      <c r="AC2653" s="26" t="s">
        <v>53</v>
      </c>
      <c r="AD2653" s="26" t="s">
        <v>54</v>
      </c>
      <c r="AE2653" s="26">
        <v>470</v>
      </c>
      <c r="AF2653" s="17">
        <v>45477</v>
      </c>
      <c r="AG2653" s="26" t="s">
        <v>9238</v>
      </c>
      <c r="AH2653" s="26"/>
      <c r="AI2653" s="40"/>
      <c r="AJ2653" s="26"/>
      <c r="AK2653" s="26"/>
      <c r="AL2653" s="35"/>
      <c r="AM2653" s="35"/>
      <c r="AN2653" s="35"/>
      <c r="AO2653" s="35"/>
      <c r="AP2653" s="35"/>
    </row>
    <row r="2654" spans="1:42" x14ac:dyDescent="0.2">
      <c r="A2654" s="126">
        <v>45475.59715105324</v>
      </c>
      <c r="B2654" s="28" t="s">
        <v>37</v>
      </c>
      <c r="C2654" s="41" t="s">
        <v>118</v>
      </c>
      <c r="D2654" s="26" t="s">
        <v>36</v>
      </c>
      <c r="E2654" s="26" t="s">
        <v>56</v>
      </c>
      <c r="F2654" s="26" t="s">
        <v>91</v>
      </c>
      <c r="G2654" s="26" t="s">
        <v>41</v>
      </c>
      <c r="H2654" s="26" t="s">
        <v>8635</v>
      </c>
      <c r="I2654" s="17">
        <f ca="1">IFERROR(__xludf.DUMMYFUNCTION("""COMPUTED_VALUE"""),45496)</f>
        <v>45496</v>
      </c>
      <c r="J2654" s="29" t="s">
        <v>9239</v>
      </c>
      <c r="K2654" s="26" t="s">
        <v>2142</v>
      </c>
      <c r="L2654" s="30">
        <v>901729457</v>
      </c>
      <c r="M2654" s="26" t="s">
        <v>6309</v>
      </c>
      <c r="N2654" s="26" t="s">
        <v>1400</v>
      </c>
      <c r="O2654" s="26" t="s">
        <v>8827</v>
      </c>
      <c r="P2654" s="26" t="s">
        <v>3117</v>
      </c>
      <c r="Q2654" s="20"/>
      <c r="R2654" s="26" t="s">
        <v>36</v>
      </c>
      <c r="S2654" s="95">
        <v>9317</v>
      </c>
      <c r="T2654" s="148">
        <v>45475</v>
      </c>
      <c r="U2654" s="31"/>
      <c r="V2654" s="32"/>
      <c r="W2654" s="33" t="s">
        <v>9240</v>
      </c>
      <c r="X2654" s="26"/>
      <c r="Y2654" s="22"/>
      <c r="Z2654" s="26" t="s">
        <v>50</v>
      </c>
      <c r="AA2654" s="70" t="s">
        <v>9070</v>
      </c>
      <c r="AB2654" s="26" t="s">
        <v>36</v>
      </c>
      <c r="AC2654" s="26" t="s">
        <v>53</v>
      </c>
      <c r="AD2654" s="26" t="s">
        <v>138</v>
      </c>
      <c r="AE2654" s="26"/>
      <c r="AF2654" s="17">
        <v>45496</v>
      </c>
      <c r="AG2654" s="26" t="s">
        <v>4279</v>
      </c>
      <c r="AH2654" s="26"/>
      <c r="AI2654" s="40"/>
      <c r="AJ2654" s="26"/>
      <c r="AK2654" s="26"/>
      <c r="AL2654" s="35"/>
      <c r="AM2654" s="35"/>
      <c r="AN2654" s="35"/>
      <c r="AO2654" s="35"/>
      <c r="AP2654" s="35"/>
    </row>
    <row r="2655" spans="1:42" x14ac:dyDescent="0.2">
      <c r="A2655" s="126">
        <v>45475.952540347222</v>
      </c>
      <c r="B2655" s="28" t="s">
        <v>37</v>
      </c>
      <c r="C2655" s="41" t="s">
        <v>118</v>
      </c>
      <c r="D2655" s="26" t="s">
        <v>36</v>
      </c>
      <c r="E2655" s="26" t="s">
        <v>139</v>
      </c>
      <c r="F2655" s="26" t="s">
        <v>40</v>
      </c>
      <c r="G2655" s="26" t="s">
        <v>41</v>
      </c>
      <c r="H2655" s="26" t="s">
        <v>9241</v>
      </c>
      <c r="I2655" s="17">
        <f ca="1">IFERROR(__xludf.DUMMYFUNCTION("""COMPUTED_VALUE"""),45483)</f>
        <v>45483</v>
      </c>
      <c r="J2655" s="29" t="s">
        <v>9242</v>
      </c>
      <c r="K2655" s="26" t="s">
        <v>9243</v>
      </c>
      <c r="L2655" s="30">
        <v>889363888</v>
      </c>
      <c r="M2655" s="26" t="s">
        <v>5429</v>
      </c>
      <c r="N2655" s="26" t="s">
        <v>9180</v>
      </c>
      <c r="O2655" s="26" t="s">
        <v>9244</v>
      </c>
      <c r="P2655" s="26" t="s">
        <v>9245</v>
      </c>
      <c r="Q2655" s="20"/>
      <c r="R2655" s="26" t="s">
        <v>36</v>
      </c>
      <c r="S2655" s="95">
        <f>2000+13936</f>
        <v>15936</v>
      </c>
      <c r="T2655" s="83" t="s">
        <v>9246</v>
      </c>
      <c r="U2655" s="31"/>
      <c r="V2655" s="32"/>
      <c r="W2655" s="33" t="s">
        <v>9247</v>
      </c>
      <c r="X2655" s="26"/>
      <c r="Y2655" s="22"/>
      <c r="Z2655" s="26" t="s">
        <v>50</v>
      </c>
      <c r="AA2655" s="70" t="s">
        <v>9070</v>
      </c>
      <c r="AB2655" s="26"/>
      <c r="AC2655" s="26" t="s">
        <v>53</v>
      </c>
      <c r="AD2655" s="26" t="s">
        <v>54</v>
      </c>
      <c r="AE2655" s="26" t="s">
        <v>72</v>
      </c>
      <c r="AF2655" s="17">
        <v>45481</v>
      </c>
      <c r="AG2655" s="26"/>
      <c r="AH2655" s="26"/>
      <c r="AI2655" s="40"/>
      <c r="AJ2655" s="26"/>
      <c r="AK2655" s="26"/>
      <c r="AL2655" s="35"/>
      <c r="AM2655" s="35"/>
      <c r="AN2655" s="35"/>
      <c r="AO2655" s="35"/>
      <c r="AP2655" s="35"/>
    </row>
    <row r="2656" spans="1:42" x14ac:dyDescent="0.2">
      <c r="A2656" s="126">
        <v>45475.952540347222</v>
      </c>
      <c r="B2656" s="28" t="s">
        <v>37</v>
      </c>
      <c r="C2656" s="41" t="s">
        <v>118</v>
      </c>
      <c r="D2656" s="26" t="s">
        <v>36</v>
      </c>
      <c r="E2656" s="26" t="s">
        <v>139</v>
      </c>
      <c r="F2656" s="26" t="s">
        <v>40</v>
      </c>
      <c r="G2656" s="26" t="s">
        <v>41</v>
      </c>
      <c r="H2656" s="26" t="s">
        <v>9248</v>
      </c>
      <c r="I2656" s="17">
        <f ca="1">IFERROR(__xludf.DUMMYFUNCTION("""COMPUTED_VALUE"""),45482)</f>
        <v>45482</v>
      </c>
      <c r="J2656" s="29" t="s">
        <v>9249</v>
      </c>
      <c r="K2656" s="26" t="s">
        <v>9250</v>
      </c>
      <c r="L2656" s="30">
        <v>867713852</v>
      </c>
      <c r="M2656" s="26" t="s">
        <v>5429</v>
      </c>
      <c r="N2656" s="26" t="s">
        <v>9251</v>
      </c>
      <c r="O2656" s="26" t="s">
        <v>4626</v>
      </c>
      <c r="P2656" s="26" t="s">
        <v>9252</v>
      </c>
      <c r="Q2656" s="20"/>
      <c r="R2656" s="26" t="s">
        <v>36</v>
      </c>
      <c r="S2656" s="95">
        <v>2000</v>
      </c>
      <c r="T2656" s="148">
        <v>45475</v>
      </c>
      <c r="U2656" s="95">
        <v>13936</v>
      </c>
      <c r="V2656" s="148">
        <v>45504</v>
      </c>
      <c r="W2656" s="33" t="s">
        <v>9253</v>
      </c>
      <c r="X2656" s="26"/>
      <c r="Y2656" s="22"/>
      <c r="Z2656" s="26" t="s">
        <v>50</v>
      </c>
      <c r="AA2656" s="70" t="s">
        <v>9070</v>
      </c>
      <c r="AB2656" s="26"/>
      <c r="AC2656" s="26" t="s">
        <v>53</v>
      </c>
      <c r="AD2656" s="26" t="s">
        <v>54</v>
      </c>
      <c r="AE2656" s="26" t="s">
        <v>72</v>
      </c>
      <c r="AF2656" s="17">
        <v>45477</v>
      </c>
      <c r="AG2656" s="26"/>
      <c r="AH2656" s="26"/>
      <c r="AI2656" s="40"/>
      <c r="AJ2656" s="26"/>
      <c r="AK2656" s="26"/>
      <c r="AL2656" s="35"/>
      <c r="AM2656" s="35"/>
      <c r="AN2656" s="35"/>
      <c r="AO2656" s="35"/>
      <c r="AP2656" s="35"/>
    </row>
    <row r="2657" spans="1:42" x14ac:dyDescent="0.2">
      <c r="A2657" s="126">
        <v>45476.346238865735</v>
      </c>
      <c r="B2657" s="28" t="s">
        <v>37</v>
      </c>
      <c r="C2657" s="41" t="s">
        <v>118</v>
      </c>
      <c r="D2657" s="26" t="s">
        <v>36</v>
      </c>
      <c r="E2657" s="26" t="s">
        <v>139</v>
      </c>
      <c r="F2657" s="26" t="s">
        <v>36</v>
      </c>
      <c r="G2657" s="26" t="s">
        <v>41</v>
      </c>
      <c r="H2657" s="26" t="s">
        <v>9248</v>
      </c>
      <c r="I2657" s="17">
        <f ca="1">IFERROR(__xludf.DUMMYFUNCTION("""COMPUTED_VALUE"""),45482)</f>
        <v>45482</v>
      </c>
      <c r="J2657" s="29" t="s">
        <v>9254</v>
      </c>
      <c r="K2657" s="26" t="s">
        <v>9255</v>
      </c>
      <c r="L2657" s="30">
        <v>386962306</v>
      </c>
      <c r="M2657" s="26" t="s">
        <v>80</v>
      </c>
      <c r="N2657" s="26" t="s">
        <v>466</v>
      </c>
      <c r="O2657" s="26" t="s">
        <v>9256</v>
      </c>
      <c r="P2657" s="26" t="s">
        <v>9257</v>
      </c>
      <c r="Q2657" s="20"/>
      <c r="R2657" s="26" t="s">
        <v>36</v>
      </c>
      <c r="S2657" s="95">
        <v>2000</v>
      </c>
      <c r="T2657" s="148">
        <v>45475</v>
      </c>
      <c r="U2657" s="95">
        <v>13936</v>
      </c>
      <c r="V2657" s="148">
        <v>45501</v>
      </c>
      <c r="W2657" s="33" t="s">
        <v>9258</v>
      </c>
      <c r="X2657" s="26"/>
      <c r="Y2657" s="22"/>
      <c r="Z2657" s="26" t="s">
        <v>50</v>
      </c>
      <c r="AA2657" s="70" t="s">
        <v>9070</v>
      </c>
      <c r="AB2657" s="26"/>
      <c r="AC2657" s="26" t="s">
        <v>53</v>
      </c>
      <c r="AD2657" s="26" t="s">
        <v>54</v>
      </c>
      <c r="AE2657" s="26">
        <v>0</v>
      </c>
      <c r="AF2657" s="17">
        <v>45477</v>
      </c>
      <c r="AG2657" s="26"/>
      <c r="AH2657" s="26"/>
      <c r="AI2657" s="40"/>
      <c r="AJ2657" s="26"/>
      <c r="AK2657" s="26"/>
      <c r="AL2657" s="35"/>
      <c r="AM2657" s="35"/>
      <c r="AN2657" s="35"/>
      <c r="AO2657" s="35"/>
      <c r="AP2657" s="35"/>
    </row>
    <row r="2658" spans="1:42" x14ac:dyDescent="0.2">
      <c r="A2658" s="126">
        <v>45476.443815231483</v>
      </c>
      <c r="B2658" s="28" t="s">
        <v>37</v>
      </c>
      <c r="C2658" s="41" t="s">
        <v>118</v>
      </c>
      <c r="D2658" s="26" t="s">
        <v>36</v>
      </c>
      <c r="E2658" s="26" t="s">
        <v>219</v>
      </c>
      <c r="F2658" s="26" t="s">
        <v>1710</v>
      </c>
      <c r="G2658" s="26" t="s">
        <v>221</v>
      </c>
      <c r="H2658" s="26" t="s">
        <v>9259</v>
      </c>
      <c r="I2658" s="17" t="str">
        <f ca="1">IFERROR(__xludf.DUMMYFUNCTION("""COMPUTED_VALUE""")," ")</f>
        <v xml:space="preserve"> </v>
      </c>
      <c r="J2658" s="29" t="s">
        <v>1316</v>
      </c>
      <c r="K2658" s="26" t="s">
        <v>1317</v>
      </c>
      <c r="L2658" s="30">
        <v>337193808</v>
      </c>
      <c r="M2658" s="26" t="s">
        <v>1245</v>
      </c>
      <c r="N2658" s="26" t="s">
        <v>1246</v>
      </c>
      <c r="O2658" s="26" t="s">
        <v>1318</v>
      </c>
      <c r="P2658" s="42" t="s">
        <v>9260</v>
      </c>
      <c r="Q2658" s="20"/>
      <c r="R2658" s="26" t="s">
        <v>36</v>
      </c>
      <c r="S2658" s="95">
        <v>3968</v>
      </c>
      <c r="T2658" s="148">
        <v>45476</v>
      </c>
      <c r="U2658" s="31"/>
      <c r="V2658" s="38"/>
      <c r="W2658" s="33" t="s">
        <v>9261</v>
      </c>
      <c r="X2658" s="26"/>
      <c r="Y2658" s="22"/>
      <c r="Z2658" s="26" t="s">
        <v>50</v>
      </c>
      <c r="AA2658" s="70" t="s">
        <v>9070</v>
      </c>
      <c r="AB2658" s="26" t="s">
        <v>36</v>
      </c>
      <c r="AC2658" s="26" t="s">
        <v>53</v>
      </c>
      <c r="AD2658" s="26" t="s">
        <v>54</v>
      </c>
      <c r="AE2658" s="26" t="s">
        <v>1710</v>
      </c>
      <c r="AF2658" s="17">
        <v>45484</v>
      </c>
      <c r="AG2658" s="26"/>
      <c r="AH2658" s="26">
        <v>1</v>
      </c>
      <c r="AI2658" s="40" t="s">
        <v>55</v>
      </c>
      <c r="AJ2658" s="26"/>
      <c r="AK2658" s="26"/>
      <c r="AL2658" s="35"/>
      <c r="AM2658" s="35"/>
      <c r="AN2658" s="35"/>
      <c r="AO2658" s="35"/>
      <c r="AP2658" s="35"/>
    </row>
    <row r="2659" spans="1:42" x14ac:dyDescent="0.2">
      <c r="A2659" s="126">
        <v>45476.46461505787</v>
      </c>
      <c r="B2659" s="28" t="s">
        <v>37</v>
      </c>
      <c r="C2659" s="41" t="s">
        <v>118</v>
      </c>
      <c r="D2659" s="26" t="s">
        <v>36</v>
      </c>
      <c r="E2659" s="26" t="s">
        <v>106</v>
      </c>
      <c r="F2659" s="26" t="s">
        <v>91</v>
      </c>
      <c r="G2659" s="26" t="s">
        <v>108</v>
      </c>
      <c r="H2659" s="26" t="s">
        <v>6250</v>
      </c>
      <c r="I2659" s="17">
        <f ca="1">IFERROR(__xludf.DUMMYFUNCTION("""COMPUTED_VALUE"""),45495)</f>
        <v>45495</v>
      </c>
      <c r="J2659" s="29" t="s">
        <v>9262</v>
      </c>
      <c r="K2659" s="26" t="s">
        <v>9263</v>
      </c>
      <c r="L2659" s="30">
        <v>965527051</v>
      </c>
      <c r="M2659" s="26" t="s">
        <v>910</v>
      </c>
      <c r="N2659" s="19" t="s">
        <v>3525</v>
      </c>
      <c r="O2659" s="26" t="s">
        <v>3754</v>
      </c>
      <c r="P2659" s="26" t="s">
        <v>9264</v>
      </c>
      <c r="Q2659" s="20"/>
      <c r="R2659" s="26" t="s">
        <v>36</v>
      </c>
      <c r="S2659" s="95">
        <f>200+3768</f>
        <v>3968</v>
      </c>
      <c r="T2659" s="83" t="s">
        <v>9265</v>
      </c>
      <c r="U2659" s="31"/>
      <c r="V2659" s="32"/>
      <c r="W2659" s="33" t="s">
        <v>9266</v>
      </c>
      <c r="X2659" s="26"/>
      <c r="Y2659" s="22"/>
      <c r="Z2659" s="26" t="s">
        <v>50</v>
      </c>
      <c r="AA2659" s="70" t="s">
        <v>9070</v>
      </c>
      <c r="AB2659" s="26"/>
      <c r="AC2659" s="26" t="s">
        <v>53</v>
      </c>
      <c r="AD2659" s="26" t="s">
        <v>138</v>
      </c>
      <c r="AE2659" s="26"/>
      <c r="AF2659" s="17">
        <v>45495</v>
      </c>
      <c r="AG2659" s="26" t="s">
        <v>4279</v>
      </c>
      <c r="AH2659" s="26"/>
      <c r="AI2659" s="40"/>
      <c r="AJ2659" s="26"/>
      <c r="AK2659" s="26"/>
      <c r="AL2659" s="35"/>
      <c r="AM2659" s="35"/>
      <c r="AN2659" s="35"/>
      <c r="AO2659" s="35"/>
      <c r="AP2659" s="35"/>
    </row>
    <row r="2660" spans="1:42" x14ac:dyDescent="0.2">
      <c r="A2660" s="126">
        <v>45476.613868796296</v>
      </c>
      <c r="B2660" s="28" t="s">
        <v>37</v>
      </c>
      <c r="C2660" s="41" t="s">
        <v>118</v>
      </c>
      <c r="D2660" s="26" t="s">
        <v>36</v>
      </c>
      <c r="E2660" s="26" t="s">
        <v>77</v>
      </c>
      <c r="F2660" s="26" t="s">
        <v>36</v>
      </c>
      <c r="G2660" s="26" t="s">
        <v>41</v>
      </c>
      <c r="H2660" s="26" t="s">
        <v>9248</v>
      </c>
      <c r="I2660" s="17">
        <f ca="1">IFERROR(__xludf.DUMMYFUNCTION("""COMPUTED_VALUE"""),45482)</f>
        <v>45482</v>
      </c>
      <c r="J2660" s="29" t="s">
        <v>9267</v>
      </c>
      <c r="K2660" s="26" t="s">
        <v>9268</v>
      </c>
      <c r="L2660" s="30">
        <v>962489315</v>
      </c>
      <c r="M2660" s="26" t="s">
        <v>3728</v>
      </c>
      <c r="N2660" s="26" t="s">
        <v>5312</v>
      </c>
      <c r="O2660" s="26" t="s">
        <v>9269</v>
      </c>
      <c r="P2660" s="26" t="s">
        <v>9270</v>
      </c>
      <c r="Q2660" s="20"/>
      <c r="R2660" s="26" t="s">
        <v>36</v>
      </c>
      <c r="S2660" s="95">
        <f>200+1768</f>
        <v>1968</v>
      </c>
      <c r="T2660" s="83" t="s">
        <v>9271</v>
      </c>
      <c r="U2660" s="31"/>
      <c r="V2660" s="32"/>
      <c r="W2660" s="33" t="s">
        <v>9272</v>
      </c>
      <c r="X2660" s="26"/>
      <c r="Y2660" s="22"/>
      <c r="Z2660" s="26" t="s">
        <v>50</v>
      </c>
      <c r="AA2660" s="70" t="s">
        <v>9070</v>
      </c>
      <c r="AB2660" s="26" t="s">
        <v>36</v>
      </c>
      <c r="AC2660" s="26" t="s">
        <v>53</v>
      </c>
      <c r="AD2660" s="26" t="s">
        <v>54</v>
      </c>
      <c r="AE2660" s="26"/>
      <c r="AF2660" s="17">
        <v>45479</v>
      </c>
      <c r="AG2660" s="26"/>
      <c r="AH2660" s="26"/>
      <c r="AI2660" s="40"/>
      <c r="AJ2660" s="26"/>
      <c r="AK2660" s="26"/>
      <c r="AL2660" s="35"/>
      <c r="AM2660" s="35"/>
      <c r="AN2660" s="35"/>
      <c r="AO2660" s="35"/>
      <c r="AP2660" s="35"/>
    </row>
    <row r="2661" spans="1:42" x14ac:dyDescent="0.2">
      <c r="A2661" s="126">
        <v>45476.93272109954</v>
      </c>
      <c r="B2661" s="28" t="s">
        <v>37</v>
      </c>
      <c r="C2661" s="41" t="s">
        <v>118</v>
      </c>
      <c r="D2661" s="26" t="s">
        <v>36</v>
      </c>
      <c r="E2661" s="26" t="s">
        <v>139</v>
      </c>
      <c r="F2661" s="26" t="s">
        <v>36</v>
      </c>
      <c r="G2661" s="26" t="s">
        <v>41</v>
      </c>
      <c r="H2661" s="26" t="s">
        <v>9273</v>
      </c>
      <c r="I2661" s="17">
        <f ca="1">IFERROR(__xludf.DUMMYFUNCTION("""COMPUTED_VALUE"""),45482)</f>
        <v>45482</v>
      </c>
      <c r="J2661" s="29" t="s">
        <v>9274</v>
      </c>
      <c r="K2661" s="26" t="s">
        <v>9275</v>
      </c>
      <c r="L2661" s="30">
        <v>376312780</v>
      </c>
      <c r="M2661" s="26" t="s">
        <v>80</v>
      </c>
      <c r="N2661" s="26" t="s">
        <v>466</v>
      </c>
      <c r="O2661" s="26" t="s">
        <v>9276</v>
      </c>
      <c r="P2661" s="26" t="s">
        <v>9277</v>
      </c>
      <c r="Q2661" s="20"/>
      <c r="R2661" s="26" t="s">
        <v>70</v>
      </c>
      <c r="S2661" s="95">
        <f>200+1800</f>
        <v>2000</v>
      </c>
      <c r="T2661" s="83" t="s">
        <v>9271</v>
      </c>
      <c r="U2661" s="95">
        <v>13936</v>
      </c>
      <c r="V2661" s="148">
        <v>45503</v>
      </c>
      <c r="W2661" s="33" t="s">
        <v>9278</v>
      </c>
      <c r="X2661" s="26"/>
      <c r="Y2661" s="22"/>
      <c r="Z2661" s="26" t="s">
        <v>50</v>
      </c>
      <c r="AA2661" s="70" t="s">
        <v>9070</v>
      </c>
      <c r="AB2661" s="26" t="s">
        <v>36</v>
      </c>
      <c r="AC2661" s="26" t="s">
        <v>53</v>
      </c>
      <c r="AD2661" s="26" t="s">
        <v>54</v>
      </c>
      <c r="AE2661" s="26">
        <v>0</v>
      </c>
      <c r="AF2661" s="17">
        <v>45481</v>
      </c>
      <c r="AG2661" s="26"/>
      <c r="AH2661" s="26"/>
      <c r="AI2661" s="40"/>
      <c r="AJ2661" s="26"/>
      <c r="AK2661" s="26"/>
      <c r="AL2661" s="35"/>
      <c r="AM2661" s="35"/>
      <c r="AN2661" s="35"/>
      <c r="AO2661" s="35"/>
      <c r="AP2661" s="35"/>
    </row>
    <row r="2662" spans="1:42" x14ac:dyDescent="0.2">
      <c r="A2662" s="126">
        <v>45476.983380196762</v>
      </c>
      <c r="B2662" s="28" t="s">
        <v>37</v>
      </c>
      <c r="C2662" s="41" t="s">
        <v>118</v>
      </c>
      <c r="D2662" s="26" t="s">
        <v>36</v>
      </c>
      <c r="E2662" s="26" t="s">
        <v>119</v>
      </c>
      <c r="F2662" s="26" t="s">
        <v>36</v>
      </c>
      <c r="G2662" s="26" t="s">
        <v>108</v>
      </c>
      <c r="H2662" s="26" t="s">
        <v>8602</v>
      </c>
      <c r="I2662" s="17">
        <f ca="1">IFERROR(__xludf.DUMMYFUNCTION("""COMPUTED_VALUE"""),45485)</f>
        <v>45485</v>
      </c>
      <c r="J2662" s="29" t="s">
        <v>9279</v>
      </c>
      <c r="K2662" s="26" t="s">
        <v>9280</v>
      </c>
      <c r="L2662" s="30">
        <v>964853476</v>
      </c>
      <c r="M2662" s="26" t="s">
        <v>80</v>
      </c>
      <c r="N2662" s="26" t="s">
        <v>1073</v>
      </c>
      <c r="O2662" s="26" t="s">
        <v>9281</v>
      </c>
      <c r="P2662" s="26" t="s">
        <v>9282</v>
      </c>
      <c r="Q2662" s="20"/>
      <c r="R2662" s="26" t="s">
        <v>36</v>
      </c>
      <c r="S2662" s="95">
        <f>200+3800</f>
        <v>4000</v>
      </c>
      <c r="T2662" s="83" t="s">
        <v>9283</v>
      </c>
      <c r="U2662" s="95">
        <v>9968</v>
      </c>
      <c r="V2662" s="148">
        <v>45502</v>
      </c>
      <c r="W2662" s="33" t="s">
        <v>9284</v>
      </c>
      <c r="X2662" s="26"/>
      <c r="Y2662" s="22"/>
      <c r="Z2662" s="26" t="s">
        <v>50</v>
      </c>
      <c r="AA2662" s="70" t="s">
        <v>9070</v>
      </c>
      <c r="AB2662" s="26"/>
      <c r="AC2662" s="26" t="s">
        <v>53</v>
      </c>
      <c r="AD2662" s="26" t="s">
        <v>54</v>
      </c>
      <c r="AE2662" s="26">
        <v>480</v>
      </c>
      <c r="AF2662" s="17">
        <v>45484</v>
      </c>
      <c r="AG2662" s="26"/>
      <c r="AH2662" s="26"/>
      <c r="AI2662" s="40"/>
      <c r="AJ2662" s="26"/>
      <c r="AK2662" s="26"/>
      <c r="AL2662" s="35"/>
      <c r="AM2662" s="35"/>
      <c r="AN2662" s="35"/>
      <c r="AO2662" s="35"/>
      <c r="AP2662" s="35"/>
    </row>
    <row r="2663" spans="1:42" x14ac:dyDescent="0.2">
      <c r="A2663" s="126">
        <v>45477.350328287037</v>
      </c>
      <c r="B2663" s="28" t="s">
        <v>37</v>
      </c>
      <c r="C2663" s="41" t="s">
        <v>118</v>
      </c>
      <c r="D2663" s="26" t="s">
        <v>36</v>
      </c>
      <c r="E2663" s="26" t="s">
        <v>56</v>
      </c>
      <c r="F2663" s="26" t="s">
        <v>36</v>
      </c>
      <c r="G2663" s="26" t="s">
        <v>41</v>
      </c>
      <c r="H2663" s="26" t="s">
        <v>9273</v>
      </c>
      <c r="I2663" s="17">
        <f ca="1">IFERROR(__xludf.DUMMYFUNCTION("""COMPUTED_VALUE"""),45482)</f>
        <v>45482</v>
      </c>
      <c r="J2663" s="29" t="s">
        <v>9285</v>
      </c>
      <c r="K2663" s="26" t="s">
        <v>9286</v>
      </c>
      <c r="L2663" s="30">
        <v>376200206</v>
      </c>
      <c r="M2663" s="26" t="s">
        <v>59</v>
      </c>
      <c r="N2663" s="26" t="s">
        <v>9287</v>
      </c>
      <c r="O2663" s="26" t="s">
        <v>9288</v>
      </c>
      <c r="P2663" s="26" t="s">
        <v>9289</v>
      </c>
      <c r="Q2663" s="20"/>
      <c r="R2663" s="26" t="s">
        <v>36</v>
      </c>
      <c r="S2663" s="95">
        <f>1968+7249</f>
        <v>9217</v>
      </c>
      <c r="T2663" s="83" t="s">
        <v>9290</v>
      </c>
      <c r="U2663" s="31"/>
      <c r="V2663" s="32"/>
      <c r="W2663" s="33" t="s">
        <v>9291</v>
      </c>
      <c r="X2663" s="26"/>
      <c r="Y2663" s="22"/>
      <c r="Z2663" s="26" t="s">
        <v>50</v>
      </c>
      <c r="AA2663" s="70" t="s">
        <v>9070</v>
      </c>
      <c r="AB2663" s="26"/>
      <c r="AC2663" s="26" t="s">
        <v>53</v>
      </c>
      <c r="AD2663" s="26" t="s">
        <v>54</v>
      </c>
      <c r="AE2663" s="26" t="s">
        <v>72</v>
      </c>
      <c r="AF2663" s="17">
        <v>45477</v>
      </c>
      <c r="AG2663" s="26"/>
      <c r="AH2663" s="26"/>
      <c r="AI2663" s="40"/>
      <c r="AJ2663" s="26"/>
      <c r="AK2663" s="26"/>
      <c r="AL2663" s="35"/>
      <c r="AM2663" s="35"/>
      <c r="AN2663" s="35"/>
      <c r="AO2663" s="35"/>
      <c r="AP2663" s="35"/>
    </row>
    <row r="2664" spans="1:42" x14ac:dyDescent="0.2">
      <c r="A2664" s="126">
        <v>45477.356309282404</v>
      </c>
      <c r="B2664" s="28" t="s">
        <v>37</v>
      </c>
      <c r="C2664" s="41" t="s">
        <v>118</v>
      </c>
      <c r="D2664" s="26" t="s">
        <v>36</v>
      </c>
      <c r="E2664" s="26" t="s">
        <v>139</v>
      </c>
      <c r="F2664" s="26" t="s">
        <v>40</v>
      </c>
      <c r="G2664" s="26" t="s">
        <v>41</v>
      </c>
      <c r="H2664" s="26" t="s">
        <v>9273</v>
      </c>
      <c r="I2664" s="17">
        <f ca="1">IFERROR(__xludf.DUMMYFUNCTION("""COMPUTED_VALUE"""),45482)</f>
        <v>45482</v>
      </c>
      <c r="J2664" s="29" t="s">
        <v>9292</v>
      </c>
      <c r="K2664" s="26" t="s">
        <v>9293</v>
      </c>
      <c r="L2664" s="30">
        <v>981746826</v>
      </c>
      <c r="M2664" s="26" t="s">
        <v>59</v>
      </c>
      <c r="N2664" s="26" t="s">
        <v>9294</v>
      </c>
      <c r="O2664" s="26" t="s">
        <v>9295</v>
      </c>
      <c r="P2664" s="26" t="s">
        <v>9296</v>
      </c>
      <c r="Q2664" s="20"/>
      <c r="R2664" s="26" t="s">
        <v>36</v>
      </c>
      <c r="S2664" s="95">
        <v>2200</v>
      </c>
      <c r="T2664" s="83" t="s">
        <v>9297</v>
      </c>
      <c r="U2664" s="95">
        <v>13763</v>
      </c>
      <c r="V2664" s="148">
        <v>45504</v>
      </c>
      <c r="W2664" s="26" t="s">
        <v>9298</v>
      </c>
      <c r="X2664" s="26"/>
      <c r="Y2664" s="22"/>
      <c r="Z2664" s="26" t="s">
        <v>50</v>
      </c>
      <c r="AA2664" s="70" t="s">
        <v>9070</v>
      </c>
      <c r="AB2664" s="26"/>
      <c r="AC2664" s="26" t="s">
        <v>53</v>
      </c>
      <c r="AD2664" s="26" t="s">
        <v>54</v>
      </c>
      <c r="AE2664" s="26" t="s">
        <v>72</v>
      </c>
      <c r="AF2664" s="17">
        <v>45477</v>
      </c>
      <c r="AG2664" s="26"/>
      <c r="AH2664" s="26"/>
      <c r="AI2664" s="40"/>
      <c r="AJ2664" s="26"/>
      <c r="AK2664" s="26"/>
      <c r="AL2664" s="35"/>
      <c r="AM2664" s="35"/>
      <c r="AN2664" s="35"/>
      <c r="AO2664" s="35"/>
      <c r="AP2664" s="35"/>
    </row>
    <row r="2665" spans="1:42" x14ac:dyDescent="0.2">
      <c r="A2665" s="126">
        <v>45477.359940729162</v>
      </c>
      <c r="B2665" s="28" t="s">
        <v>37</v>
      </c>
      <c r="C2665" s="41" t="s">
        <v>118</v>
      </c>
      <c r="D2665" s="26" t="s">
        <v>36</v>
      </c>
      <c r="E2665" s="26" t="s">
        <v>77</v>
      </c>
      <c r="F2665" s="26" t="s">
        <v>36</v>
      </c>
      <c r="G2665" s="26" t="s">
        <v>41</v>
      </c>
      <c r="H2665" s="26" t="s">
        <v>8771</v>
      </c>
      <c r="I2665" s="17">
        <f ca="1">IFERROR(__xludf.DUMMYFUNCTION("""COMPUTED_VALUE"""),45481)</f>
        <v>45481</v>
      </c>
      <c r="J2665" s="29" t="s">
        <v>9299</v>
      </c>
      <c r="K2665" s="26" t="s">
        <v>9300</v>
      </c>
      <c r="L2665" s="30">
        <v>393814705</v>
      </c>
      <c r="M2665" s="26" t="s">
        <v>59</v>
      </c>
      <c r="N2665" s="26" t="s">
        <v>9301</v>
      </c>
      <c r="O2665" s="26" t="s">
        <v>9302</v>
      </c>
      <c r="P2665" s="26" t="s">
        <v>9303</v>
      </c>
      <c r="Q2665" s="20"/>
      <c r="R2665" s="26" t="s">
        <v>36</v>
      </c>
      <c r="S2665" s="95">
        <f>200+1768</f>
        <v>1968</v>
      </c>
      <c r="T2665" s="83" t="s">
        <v>9304</v>
      </c>
      <c r="U2665" s="31"/>
      <c r="V2665" s="32"/>
      <c r="W2665" s="26" t="s">
        <v>9305</v>
      </c>
      <c r="X2665" s="26"/>
      <c r="Y2665" s="22"/>
      <c r="Z2665" s="26" t="s">
        <v>50</v>
      </c>
      <c r="AA2665" s="70" t="s">
        <v>9070</v>
      </c>
      <c r="AB2665" s="26"/>
      <c r="AC2665" s="26" t="s">
        <v>53</v>
      </c>
      <c r="AD2665" s="26" t="s">
        <v>54</v>
      </c>
      <c r="AE2665" s="26" t="s">
        <v>72</v>
      </c>
      <c r="AF2665" s="17">
        <v>45477</v>
      </c>
      <c r="AG2665" s="26"/>
      <c r="AH2665" s="26"/>
      <c r="AI2665" s="40"/>
      <c r="AJ2665" s="26"/>
      <c r="AK2665" s="26"/>
      <c r="AL2665" s="35"/>
      <c r="AM2665" s="35"/>
      <c r="AN2665" s="35"/>
      <c r="AO2665" s="35"/>
      <c r="AP2665" s="35"/>
    </row>
    <row r="2666" spans="1:42" x14ac:dyDescent="0.2">
      <c r="A2666" s="126">
        <v>45477.362778958333</v>
      </c>
      <c r="B2666" s="28" t="s">
        <v>37</v>
      </c>
      <c r="C2666" s="41" t="s">
        <v>118</v>
      </c>
      <c r="D2666" s="26" t="s">
        <v>36</v>
      </c>
      <c r="E2666" s="26" t="s">
        <v>56</v>
      </c>
      <c r="F2666" s="26" t="s">
        <v>36</v>
      </c>
      <c r="G2666" s="26" t="s">
        <v>41</v>
      </c>
      <c r="H2666" s="26" t="s">
        <v>8635</v>
      </c>
      <c r="I2666" s="17">
        <f ca="1">IFERROR(__xludf.DUMMYFUNCTION("""COMPUTED_VALUE"""),45496)</f>
        <v>45496</v>
      </c>
      <c r="J2666" s="29" t="s">
        <v>9306</v>
      </c>
      <c r="K2666" s="26" t="s">
        <v>9307</v>
      </c>
      <c r="L2666" s="30">
        <v>964821455</v>
      </c>
      <c r="M2666" s="26" t="s">
        <v>59</v>
      </c>
      <c r="N2666" s="26" t="s">
        <v>68</v>
      </c>
      <c r="O2666" s="26" t="s">
        <v>9308</v>
      </c>
      <c r="P2666" s="26" t="s">
        <v>9309</v>
      </c>
      <c r="Q2666" s="20"/>
      <c r="R2666" s="26" t="s">
        <v>36</v>
      </c>
      <c r="S2666" s="95">
        <v>9317</v>
      </c>
      <c r="T2666" s="148">
        <v>45475</v>
      </c>
      <c r="U2666" s="31"/>
      <c r="V2666" s="32"/>
      <c r="W2666" s="33" t="s">
        <v>9310</v>
      </c>
      <c r="X2666" s="26"/>
      <c r="Y2666" s="22"/>
      <c r="Z2666" s="26" t="s">
        <v>50</v>
      </c>
      <c r="AA2666" s="70" t="s">
        <v>9070</v>
      </c>
      <c r="AB2666" s="26" t="s">
        <v>36</v>
      </c>
      <c r="AC2666" s="26" t="s">
        <v>53</v>
      </c>
      <c r="AD2666" s="26" t="s">
        <v>138</v>
      </c>
      <c r="AE2666" s="26" t="s">
        <v>72</v>
      </c>
      <c r="AF2666" s="17">
        <v>45496</v>
      </c>
      <c r="AG2666" s="26" t="s">
        <v>4279</v>
      </c>
      <c r="AH2666" s="26"/>
      <c r="AI2666" s="40"/>
      <c r="AJ2666" s="26"/>
      <c r="AK2666" s="26"/>
      <c r="AL2666" s="35"/>
      <c r="AM2666" s="35"/>
      <c r="AN2666" s="35"/>
      <c r="AO2666" s="35"/>
      <c r="AP2666" s="35"/>
    </row>
    <row r="2667" spans="1:42" x14ac:dyDescent="0.2">
      <c r="A2667" s="126">
        <v>45477.3648631713</v>
      </c>
      <c r="B2667" s="28" t="s">
        <v>37</v>
      </c>
      <c r="C2667" s="41" t="s">
        <v>118</v>
      </c>
      <c r="D2667" s="26" t="s">
        <v>36</v>
      </c>
      <c r="E2667" s="26" t="s">
        <v>56</v>
      </c>
      <c r="F2667" s="26" t="s">
        <v>36</v>
      </c>
      <c r="G2667" s="26" t="s">
        <v>41</v>
      </c>
      <c r="H2667" s="26" t="s">
        <v>7330</v>
      </c>
      <c r="I2667" s="17">
        <f ca="1">IFERROR(__xludf.DUMMYFUNCTION("""COMPUTED_VALUE"""),45509)</f>
        <v>45509</v>
      </c>
      <c r="J2667" s="29" t="s">
        <v>9311</v>
      </c>
      <c r="K2667" s="26" t="s">
        <v>9312</v>
      </c>
      <c r="L2667" s="30">
        <v>373170479</v>
      </c>
      <c r="M2667" s="26" t="s">
        <v>59</v>
      </c>
      <c r="N2667" s="26" t="s">
        <v>68</v>
      </c>
      <c r="O2667" s="26" t="s">
        <v>9313</v>
      </c>
      <c r="P2667" s="26" t="s">
        <v>9314</v>
      </c>
      <c r="Q2667" s="20"/>
      <c r="R2667" s="26" t="s">
        <v>36</v>
      </c>
      <c r="S2667" s="95">
        <v>9317</v>
      </c>
      <c r="T2667" s="148">
        <v>45475</v>
      </c>
      <c r="U2667" s="31"/>
      <c r="V2667" s="32"/>
      <c r="W2667" s="33" t="s">
        <v>9315</v>
      </c>
      <c r="X2667" s="26"/>
      <c r="Y2667" s="22"/>
      <c r="Z2667" s="26" t="s">
        <v>50</v>
      </c>
      <c r="AA2667" s="70" t="s">
        <v>9070</v>
      </c>
      <c r="AB2667" s="26"/>
      <c r="AC2667" s="26" t="s">
        <v>53</v>
      </c>
      <c r="AD2667" s="26" t="s">
        <v>138</v>
      </c>
      <c r="AE2667" s="26" t="s">
        <v>9316</v>
      </c>
      <c r="AF2667" s="17">
        <v>45509</v>
      </c>
      <c r="AG2667" s="26" t="s">
        <v>4279</v>
      </c>
      <c r="AH2667" s="26"/>
      <c r="AI2667" s="40"/>
      <c r="AJ2667" s="26"/>
      <c r="AK2667" s="26"/>
      <c r="AL2667" s="35"/>
      <c r="AM2667" s="35"/>
      <c r="AN2667" s="35"/>
      <c r="AO2667" s="35"/>
      <c r="AP2667" s="35"/>
    </row>
    <row r="2668" spans="1:42" x14ac:dyDescent="0.2">
      <c r="A2668" s="126">
        <v>45477.376166550923</v>
      </c>
      <c r="B2668" s="28" t="s">
        <v>37</v>
      </c>
      <c r="C2668" s="41" t="s">
        <v>118</v>
      </c>
      <c r="D2668" s="26" t="s">
        <v>36</v>
      </c>
      <c r="E2668" s="26" t="s">
        <v>56</v>
      </c>
      <c r="F2668" s="26" t="s">
        <v>40</v>
      </c>
      <c r="G2668" s="26" t="s">
        <v>41</v>
      </c>
      <c r="H2668" s="26" t="s">
        <v>9248</v>
      </c>
      <c r="I2668" s="17">
        <f ca="1">IFERROR(__xludf.DUMMYFUNCTION("""COMPUTED_VALUE"""),45482)</f>
        <v>45482</v>
      </c>
      <c r="J2668" s="29" t="s">
        <v>9317</v>
      </c>
      <c r="K2668" s="26" t="s">
        <v>9318</v>
      </c>
      <c r="L2668" s="30">
        <v>399354983</v>
      </c>
      <c r="M2668" s="26" t="s">
        <v>45</v>
      </c>
      <c r="N2668" s="26" t="s">
        <v>7814</v>
      </c>
      <c r="O2668" s="26" t="s">
        <v>9319</v>
      </c>
      <c r="P2668" s="26" t="s">
        <v>9320</v>
      </c>
      <c r="Q2668" s="20"/>
      <c r="R2668" s="26" t="s">
        <v>36</v>
      </c>
      <c r="S2668" s="95">
        <v>5736</v>
      </c>
      <c r="T2668" s="169">
        <v>45476</v>
      </c>
      <c r="U2668" s="31">
        <v>3581</v>
      </c>
      <c r="V2668" s="32">
        <v>45491</v>
      </c>
      <c r="W2668" s="55" t="s">
        <v>9321</v>
      </c>
      <c r="X2668" s="26"/>
      <c r="Y2668" s="22"/>
      <c r="Z2668" s="26" t="s">
        <v>50</v>
      </c>
      <c r="AA2668" s="70" t="s">
        <v>9070</v>
      </c>
      <c r="AB2668" s="26"/>
      <c r="AC2668" s="26" t="s">
        <v>53</v>
      </c>
      <c r="AD2668" s="26" t="s">
        <v>54</v>
      </c>
      <c r="AE2668" s="26">
        <v>0</v>
      </c>
      <c r="AF2668" s="17">
        <v>45477</v>
      </c>
      <c r="AG2668" s="26"/>
      <c r="AH2668" s="26"/>
      <c r="AI2668" s="40"/>
      <c r="AJ2668" s="26"/>
      <c r="AK2668" s="26"/>
      <c r="AL2668" s="35"/>
      <c r="AM2668" s="35"/>
      <c r="AN2668" s="35"/>
      <c r="AO2668" s="35"/>
      <c r="AP2668" s="35"/>
    </row>
    <row r="2669" spans="1:42" x14ac:dyDescent="0.2">
      <c r="A2669" s="126">
        <v>45477.378050937499</v>
      </c>
      <c r="B2669" s="28" t="s">
        <v>37</v>
      </c>
      <c r="C2669" s="41" t="s">
        <v>118</v>
      </c>
      <c r="D2669" s="26" t="s">
        <v>36</v>
      </c>
      <c r="E2669" s="26" t="s">
        <v>119</v>
      </c>
      <c r="F2669" s="26" t="s">
        <v>40</v>
      </c>
      <c r="G2669" s="26" t="s">
        <v>108</v>
      </c>
      <c r="H2669" s="26" t="s">
        <v>8602</v>
      </c>
      <c r="I2669" s="17">
        <f ca="1">IFERROR(__xludf.DUMMYFUNCTION("""COMPUTED_VALUE"""),45485)</f>
        <v>45485</v>
      </c>
      <c r="J2669" s="29" t="s">
        <v>9322</v>
      </c>
      <c r="K2669" s="26" t="s">
        <v>9323</v>
      </c>
      <c r="L2669" s="30">
        <v>397331206</v>
      </c>
      <c r="M2669" s="26" t="s">
        <v>45</v>
      </c>
      <c r="N2669" s="26" t="s">
        <v>557</v>
      </c>
      <c r="O2669" s="26" t="s">
        <v>9324</v>
      </c>
      <c r="P2669" s="26" t="s">
        <v>9325</v>
      </c>
      <c r="Q2669" s="20"/>
      <c r="R2669" s="26" t="s">
        <v>36</v>
      </c>
      <c r="S2669" s="95">
        <v>13968</v>
      </c>
      <c r="T2669" s="148">
        <v>45476</v>
      </c>
      <c r="U2669" s="31"/>
      <c r="V2669" s="32"/>
      <c r="W2669" s="55" t="s">
        <v>9326</v>
      </c>
      <c r="X2669" s="26"/>
      <c r="Y2669" s="22"/>
      <c r="Z2669" s="26" t="s">
        <v>50</v>
      </c>
      <c r="AA2669" s="70" t="s">
        <v>9070</v>
      </c>
      <c r="AB2669" s="26"/>
      <c r="AC2669" s="26" t="s">
        <v>53</v>
      </c>
      <c r="AD2669" s="26" t="s">
        <v>54</v>
      </c>
      <c r="AE2669" s="26">
        <v>480</v>
      </c>
      <c r="AF2669" s="17">
        <v>45478</v>
      </c>
      <c r="AG2669" s="26"/>
      <c r="AH2669" s="26"/>
      <c r="AI2669" s="40"/>
      <c r="AJ2669" s="26"/>
      <c r="AK2669" s="26"/>
      <c r="AL2669" s="35"/>
      <c r="AM2669" s="35"/>
      <c r="AN2669" s="35"/>
      <c r="AO2669" s="35"/>
      <c r="AP2669" s="35"/>
    </row>
    <row r="2670" spans="1:42" x14ac:dyDescent="0.2">
      <c r="A2670" s="126">
        <v>45477.447761099538</v>
      </c>
      <c r="B2670" s="28" t="s">
        <v>37</v>
      </c>
      <c r="C2670" s="41" t="s">
        <v>118</v>
      </c>
      <c r="D2670" s="26" t="s">
        <v>36</v>
      </c>
      <c r="E2670" s="26" t="s">
        <v>77</v>
      </c>
      <c r="F2670" s="26" t="s">
        <v>91</v>
      </c>
      <c r="G2670" s="26" t="s">
        <v>41</v>
      </c>
      <c r="H2670" s="26" t="s">
        <v>8830</v>
      </c>
      <c r="I2670" s="17">
        <f ca="1">IFERROR(__xludf.DUMMYFUNCTION("""COMPUTED_VALUE"""),45478)</f>
        <v>45478</v>
      </c>
      <c r="J2670" s="29" t="s">
        <v>9327</v>
      </c>
      <c r="K2670" s="26" t="s">
        <v>9328</v>
      </c>
      <c r="L2670" s="30">
        <v>982627548</v>
      </c>
      <c r="M2670" s="26" t="s">
        <v>123</v>
      </c>
      <c r="N2670" s="26" t="s">
        <v>327</v>
      </c>
      <c r="O2670" s="26" t="s">
        <v>4503</v>
      </c>
      <c r="P2670" s="26" t="s">
        <v>9329</v>
      </c>
      <c r="Q2670" s="20"/>
      <c r="R2670" s="26" t="s">
        <v>36</v>
      </c>
      <c r="S2670" s="95">
        <v>1968</v>
      </c>
      <c r="T2670" s="148">
        <v>45477</v>
      </c>
      <c r="U2670" s="31"/>
      <c r="V2670" s="32"/>
      <c r="W2670" s="33" t="s">
        <v>9330</v>
      </c>
      <c r="X2670" s="26"/>
      <c r="Y2670" s="22"/>
      <c r="Z2670" s="26" t="s">
        <v>50</v>
      </c>
      <c r="AA2670" s="70" t="s">
        <v>9070</v>
      </c>
      <c r="AB2670" s="26" t="s">
        <v>4503</v>
      </c>
      <c r="AC2670" s="26" t="s">
        <v>53</v>
      </c>
      <c r="AD2670" s="26" t="s">
        <v>54</v>
      </c>
      <c r="AE2670" s="26"/>
      <c r="AF2670" s="17">
        <v>45477</v>
      </c>
      <c r="AG2670" s="26"/>
      <c r="AH2670" s="26"/>
      <c r="AI2670" s="40"/>
      <c r="AJ2670" s="26"/>
      <c r="AK2670" s="26"/>
      <c r="AL2670" s="35"/>
      <c r="AM2670" s="35"/>
      <c r="AN2670" s="35"/>
      <c r="AO2670" s="35"/>
      <c r="AP2670" s="35"/>
    </row>
    <row r="2671" spans="1:42" x14ac:dyDescent="0.2">
      <c r="A2671" s="126">
        <v>45477.479440706018</v>
      </c>
      <c r="B2671" s="28" t="s">
        <v>37</v>
      </c>
      <c r="C2671" s="41" t="s">
        <v>118</v>
      </c>
      <c r="D2671" s="26" t="s">
        <v>36</v>
      </c>
      <c r="E2671" s="26" t="s">
        <v>77</v>
      </c>
      <c r="F2671" s="26" t="s">
        <v>36</v>
      </c>
      <c r="G2671" s="26" t="s">
        <v>41</v>
      </c>
      <c r="H2671" s="26" t="s">
        <v>9163</v>
      </c>
      <c r="I2671" s="17">
        <f ca="1">IFERROR(__xludf.DUMMYFUNCTION("""COMPUTED_VALUE"""),45484)</f>
        <v>45484</v>
      </c>
      <c r="J2671" s="29" t="s">
        <v>9331</v>
      </c>
      <c r="K2671" s="26" t="s">
        <v>9332</v>
      </c>
      <c r="L2671" s="30">
        <v>979308891</v>
      </c>
      <c r="M2671" s="26" t="s">
        <v>348</v>
      </c>
      <c r="N2671" s="26" t="s">
        <v>68</v>
      </c>
      <c r="O2671" s="26" t="s">
        <v>9333</v>
      </c>
      <c r="P2671" s="26" t="s">
        <v>9334</v>
      </c>
      <c r="Q2671" s="20"/>
      <c r="R2671" s="26" t="s">
        <v>36</v>
      </c>
      <c r="S2671" s="95">
        <f>500+1468</f>
        <v>1968</v>
      </c>
      <c r="T2671" s="83" t="s">
        <v>9335</v>
      </c>
      <c r="U2671" s="31"/>
      <c r="V2671" s="32"/>
      <c r="W2671" s="26" t="s">
        <v>9336</v>
      </c>
      <c r="X2671" s="26"/>
      <c r="Y2671" s="22"/>
      <c r="Z2671" s="26" t="s">
        <v>50</v>
      </c>
      <c r="AA2671" s="70" t="s">
        <v>9070</v>
      </c>
      <c r="AB2671" s="26"/>
      <c r="AC2671" s="26" t="s">
        <v>53</v>
      </c>
      <c r="AD2671" s="26" t="s">
        <v>54</v>
      </c>
      <c r="AE2671" s="26" t="s">
        <v>72</v>
      </c>
      <c r="AF2671" s="17">
        <v>45481</v>
      </c>
      <c r="AG2671" s="26"/>
      <c r="AH2671" s="26"/>
      <c r="AI2671" s="40"/>
      <c r="AJ2671" s="26"/>
      <c r="AK2671" s="26"/>
      <c r="AL2671" s="35"/>
      <c r="AM2671" s="35"/>
      <c r="AN2671" s="35"/>
      <c r="AO2671" s="35"/>
      <c r="AP2671" s="35"/>
    </row>
    <row r="2672" spans="1:42" x14ac:dyDescent="0.2">
      <c r="A2672" s="126">
        <v>45477.526526145833</v>
      </c>
      <c r="B2672" s="28" t="s">
        <v>37</v>
      </c>
      <c r="C2672" s="41" t="s">
        <v>118</v>
      </c>
      <c r="D2672" s="26" t="s">
        <v>36</v>
      </c>
      <c r="E2672" s="26" t="s">
        <v>1704</v>
      </c>
      <c r="F2672" s="26" t="s">
        <v>36</v>
      </c>
      <c r="G2672" s="26" t="s">
        <v>1705</v>
      </c>
      <c r="H2672" s="26" t="s">
        <v>8655</v>
      </c>
      <c r="I2672" s="17">
        <f ca="1">IFERROR(__xludf.DUMMYFUNCTION("""COMPUTED_VALUE"""),45495)</f>
        <v>45495</v>
      </c>
      <c r="J2672" s="29" t="s">
        <v>9337</v>
      </c>
      <c r="K2672" s="26" t="s">
        <v>9338</v>
      </c>
      <c r="L2672" s="30">
        <v>934521202</v>
      </c>
      <c r="M2672" s="26" t="s">
        <v>348</v>
      </c>
      <c r="N2672" s="26" t="s">
        <v>200</v>
      </c>
      <c r="O2672" s="26" t="s">
        <v>91</v>
      </c>
      <c r="P2672" s="26" t="s">
        <v>9339</v>
      </c>
      <c r="Q2672" s="20"/>
      <c r="R2672" s="26" t="s">
        <v>36</v>
      </c>
      <c r="S2672" s="95">
        <v>7730</v>
      </c>
      <c r="T2672" s="148">
        <v>45477</v>
      </c>
      <c r="U2672" s="31"/>
      <c r="V2672" s="32"/>
      <c r="W2672" s="33" t="s">
        <v>9340</v>
      </c>
      <c r="X2672" s="26"/>
      <c r="Y2672" s="22"/>
      <c r="Z2672" s="26" t="s">
        <v>50</v>
      </c>
      <c r="AA2672" s="70" t="s">
        <v>9070</v>
      </c>
      <c r="AB2672" s="26"/>
      <c r="AC2672" s="26" t="s">
        <v>53</v>
      </c>
      <c r="AD2672" s="26" t="s">
        <v>54</v>
      </c>
      <c r="AE2672" s="26" t="s">
        <v>9341</v>
      </c>
      <c r="AF2672" s="17">
        <v>45495</v>
      </c>
      <c r="AG2672" s="26"/>
      <c r="AH2672" s="26"/>
      <c r="AI2672" s="40"/>
      <c r="AJ2672" s="26"/>
      <c r="AK2672" s="26"/>
      <c r="AL2672" s="35"/>
      <c r="AM2672" s="35"/>
      <c r="AN2672" s="35"/>
      <c r="AO2672" s="35"/>
      <c r="AP2672" s="35"/>
    </row>
    <row r="2673" spans="1:42" x14ac:dyDescent="0.2">
      <c r="A2673" s="126">
        <v>45477.886562974541</v>
      </c>
      <c r="B2673" s="28" t="s">
        <v>37</v>
      </c>
      <c r="C2673" s="41" t="s">
        <v>118</v>
      </c>
      <c r="D2673" s="26" t="s">
        <v>36</v>
      </c>
      <c r="E2673" s="26" t="s">
        <v>39</v>
      </c>
      <c r="F2673" s="26" t="s">
        <v>91</v>
      </c>
      <c r="G2673" s="26" t="s">
        <v>41</v>
      </c>
      <c r="H2673" s="26" t="s">
        <v>9177</v>
      </c>
      <c r="I2673" s="17">
        <f ca="1">IFERROR(__xludf.DUMMYFUNCTION("""COMPUTED_VALUE"""),45483)</f>
        <v>45483</v>
      </c>
      <c r="J2673" s="29" t="s">
        <v>9342</v>
      </c>
      <c r="K2673" s="26" t="s">
        <v>9343</v>
      </c>
      <c r="L2673" s="30">
        <v>349283598</v>
      </c>
      <c r="M2673" s="26" t="s">
        <v>6309</v>
      </c>
      <c r="N2673" s="26" t="s">
        <v>9344</v>
      </c>
      <c r="O2673" s="26" t="s">
        <v>8827</v>
      </c>
      <c r="P2673" s="26" t="s">
        <v>9345</v>
      </c>
      <c r="Q2673" s="20"/>
      <c r="R2673" s="26" t="s">
        <v>36</v>
      </c>
      <c r="S2673" s="95">
        <v>5736</v>
      </c>
      <c r="T2673" s="148">
        <v>45477</v>
      </c>
      <c r="U2673" s="31"/>
      <c r="V2673" s="32"/>
      <c r="W2673" s="33" t="s">
        <v>9346</v>
      </c>
      <c r="X2673" s="26"/>
      <c r="Y2673" s="22"/>
      <c r="Z2673" s="26" t="s">
        <v>50</v>
      </c>
      <c r="AA2673" s="70" t="s">
        <v>9070</v>
      </c>
      <c r="AB2673" s="26"/>
      <c r="AC2673" s="26" t="s">
        <v>53</v>
      </c>
      <c r="AD2673" s="26" t="s">
        <v>54</v>
      </c>
      <c r="AE2673" s="26"/>
      <c r="AF2673" s="17">
        <v>45481</v>
      </c>
      <c r="AG2673" s="26"/>
      <c r="AH2673" s="26"/>
      <c r="AI2673" s="40"/>
      <c r="AJ2673" s="26"/>
      <c r="AK2673" s="26"/>
      <c r="AL2673" s="35"/>
      <c r="AM2673" s="35"/>
      <c r="AN2673" s="35"/>
      <c r="AO2673" s="35"/>
      <c r="AP2673" s="35"/>
    </row>
    <row r="2674" spans="1:42" x14ac:dyDescent="0.2">
      <c r="A2674" s="126">
        <v>45478.318349942128</v>
      </c>
      <c r="B2674" s="28" t="s">
        <v>37</v>
      </c>
      <c r="C2674" s="41" t="s">
        <v>118</v>
      </c>
      <c r="D2674" s="26" t="s">
        <v>36</v>
      </c>
      <c r="E2674" s="26" t="s">
        <v>4128</v>
      </c>
      <c r="F2674" s="26" t="s">
        <v>40</v>
      </c>
      <c r="G2674" s="26" t="s">
        <v>1705</v>
      </c>
      <c r="H2674" s="26" t="s">
        <v>8655</v>
      </c>
      <c r="I2674" s="17">
        <f ca="1">IFERROR(__xludf.DUMMYFUNCTION("""COMPUTED_VALUE"""),45495)</f>
        <v>45495</v>
      </c>
      <c r="J2674" s="29" t="s">
        <v>9347</v>
      </c>
      <c r="K2674" s="26" t="s">
        <v>9348</v>
      </c>
      <c r="L2674" s="30">
        <v>889217209</v>
      </c>
      <c r="M2674" s="26" t="s">
        <v>45</v>
      </c>
      <c r="N2674" s="26" t="s">
        <v>571</v>
      </c>
      <c r="O2674" s="26" t="s">
        <v>9349</v>
      </c>
      <c r="P2674" s="26" t="s">
        <v>9350</v>
      </c>
      <c r="Q2674" s="20"/>
      <c r="R2674" s="26" t="s">
        <v>36</v>
      </c>
      <c r="S2674" s="95">
        <v>3868</v>
      </c>
      <c r="T2674" s="148">
        <v>45477</v>
      </c>
      <c r="U2674" s="31"/>
      <c r="V2674" s="32"/>
      <c r="W2674" s="33" t="s">
        <v>9351</v>
      </c>
      <c r="X2674" s="26"/>
      <c r="Y2674" s="22"/>
      <c r="Z2674" s="26" t="s">
        <v>50</v>
      </c>
      <c r="AA2674" s="70" t="s">
        <v>9070</v>
      </c>
      <c r="AB2674" s="26"/>
      <c r="AC2674" s="26" t="s">
        <v>53</v>
      </c>
      <c r="AD2674" s="26" t="s">
        <v>54</v>
      </c>
      <c r="AE2674" s="26">
        <v>600</v>
      </c>
      <c r="AF2674" s="17">
        <v>45495</v>
      </c>
      <c r="AG2674" s="26"/>
      <c r="AH2674" s="26"/>
      <c r="AI2674" s="40"/>
      <c r="AJ2674" s="26"/>
      <c r="AK2674" s="26"/>
      <c r="AL2674" s="35"/>
      <c r="AM2674" s="35"/>
      <c r="AN2674" s="35"/>
      <c r="AO2674" s="35"/>
      <c r="AP2674" s="35"/>
    </row>
    <row r="2675" spans="1:42" x14ac:dyDescent="0.2">
      <c r="A2675" s="38">
        <v>45478</v>
      </c>
      <c r="B2675" s="28" t="s">
        <v>37</v>
      </c>
      <c r="C2675" s="41" t="s">
        <v>118</v>
      </c>
      <c r="D2675" s="26" t="s">
        <v>36</v>
      </c>
      <c r="E2675" s="26" t="s">
        <v>219</v>
      </c>
      <c r="F2675" s="26" t="s">
        <v>4931</v>
      </c>
      <c r="G2675" s="26" t="s">
        <v>221</v>
      </c>
      <c r="H2675" s="26" t="s">
        <v>6976</v>
      </c>
      <c r="I2675" s="17">
        <f ca="1">IFERROR(__xludf.DUMMYFUNCTION("""COMPUTED_VALUE"""),45489)</f>
        <v>45489</v>
      </c>
      <c r="J2675" s="29" t="s">
        <v>6803</v>
      </c>
      <c r="K2675" s="26" t="s">
        <v>6804</v>
      </c>
      <c r="L2675" s="30">
        <v>868465902</v>
      </c>
      <c r="M2675" s="26" t="s">
        <v>1245</v>
      </c>
      <c r="N2675" s="26" t="s">
        <v>1246</v>
      </c>
      <c r="O2675" s="26" t="s">
        <v>6805</v>
      </c>
      <c r="P2675" s="42" t="s">
        <v>9352</v>
      </c>
      <c r="Q2675" s="20"/>
      <c r="R2675" s="26" t="s">
        <v>36</v>
      </c>
      <c r="S2675" s="95">
        <v>3868</v>
      </c>
      <c r="T2675" s="170">
        <v>45478</v>
      </c>
      <c r="U2675" s="31"/>
      <c r="V2675" s="32"/>
      <c r="W2675" s="33" t="s">
        <v>9353</v>
      </c>
      <c r="X2675" s="26">
        <v>0</v>
      </c>
      <c r="Y2675" s="22"/>
      <c r="Z2675" s="26" t="s">
        <v>50</v>
      </c>
      <c r="AA2675" s="70" t="s">
        <v>9070</v>
      </c>
      <c r="AB2675" s="26" t="s">
        <v>36</v>
      </c>
      <c r="AC2675" s="26" t="s">
        <v>53</v>
      </c>
      <c r="AD2675" s="26" t="s">
        <v>138</v>
      </c>
      <c r="AE2675" s="26" t="s">
        <v>4931</v>
      </c>
      <c r="AF2675" s="17">
        <v>45484</v>
      </c>
      <c r="AG2675" s="26"/>
      <c r="AH2675" s="26"/>
      <c r="AI2675" s="40">
        <v>1</v>
      </c>
      <c r="AJ2675" s="26"/>
      <c r="AK2675" s="26"/>
      <c r="AL2675" s="35"/>
      <c r="AM2675" s="35"/>
      <c r="AN2675" s="35"/>
      <c r="AO2675" s="35"/>
      <c r="AP2675" s="35"/>
    </row>
    <row r="2676" spans="1:42" x14ac:dyDescent="0.2">
      <c r="A2676" s="126">
        <v>45478.782683229168</v>
      </c>
      <c r="B2676" s="28" t="s">
        <v>37</v>
      </c>
      <c r="C2676" s="41" t="s">
        <v>118</v>
      </c>
      <c r="D2676" s="26" t="s">
        <v>36</v>
      </c>
      <c r="E2676" s="26" t="s">
        <v>77</v>
      </c>
      <c r="F2676" s="26" t="s">
        <v>36</v>
      </c>
      <c r="G2676" s="26" t="s">
        <v>41</v>
      </c>
      <c r="H2676" s="26" t="s">
        <v>9354</v>
      </c>
      <c r="I2676" s="17" t="str">
        <f ca="1">IFERROR(__xludf.DUMMYFUNCTION("""COMPUTED_VALUE""")," ")</f>
        <v xml:space="preserve"> </v>
      </c>
      <c r="J2676" s="29" t="s">
        <v>9355</v>
      </c>
      <c r="K2676" s="26" t="s">
        <v>9356</v>
      </c>
      <c r="L2676" s="30">
        <v>941312706</v>
      </c>
      <c r="M2676" s="26" t="s">
        <v>3728</v>
      </c>
      <c r="N2676" s="26" t="s">
        <v>8725</v>
      </c>
      <c r="O2676" s="26" t="s">
        <v>9357</v>
      </c>
      <c r="P2676" s="26" t="s">
        <v>9358</v>
      </c>
      <c r="Q2676" s="20"/>
      <c r="R2676" s="26" t="s">
        <v>36</v>
      </c>
      <c r="S2676" s="95">
        <v>2000</v>
      </c>
      <c r="T2676" s="148">
        <v>45478</v>
      </c>
      <c r="U2676" s="31"/>
      <c r="V2676" s="32"/>
      <c r="W2676" s="33" t="s">
        <v>9359</v>
      </c>
      <c r="X2676" s="26"/>
      <c r="Y2676" s="22"/>
      <c r="Z2676" s="26" t="s">
        <v>50</v>
      </c>
      <c r="AA2676" s="70" t="s">
        <v>9070</v>
      </c>
      <c r="AB2676" s="26"/>
      <c r="AC2676" s="26" t="s">
        <v>53</v>
      </c>
      <c r="AD2676" s="26" t="s">
        <v>54</v>
      </c>
      <c r="AE2676" s="26"/>
      <c r="AF2676" s="17">
        <v>45479</v>
      </c>
      <c r="AG2676" s="26"/>
      <c r="AH2676" s="26"/>
      <c r="AI2676" s="40"/>
      <c r="AJ2676" s="26"/>
      <c r="AK2676" s="26"/>
      <c r="AL2676" s="35"/>
      <c r="AM2676" s="35"/>
      <c r="AN2676" s="35"/>
      <c r="AO2676" s="35"/>
      <c r="AP2676" s="35"/>
    </row>
    <row r="2677" spans="1:42" x14ac:dyDescent="0.2">
      <c r="A2677" s="126">
        <v>45478.969417314816</v>
      </c>
      <c r="B2677" s="28" t="s">
        <v>37</v>
      </c>
      <c r="C2677" s="41" t="s">
        <v>118</v>
      </c>
      <c r="D2677" s="26" t="s">
        <v>36</v>
      </c>
      <c r="E2677" s="26" t="s">
        <v>139</v>
      </c>
      <c r="F2677" s="26" t="s">
        <v>36</v>
      </c>
      <c r="G2677" s="26" t="s">
        <v>41</v>
      </c>
      <c r="H2677" s="26" t="s">
        <v>9360</v>
      </c>
      <c r="I2677" s="17">
        <f ca="1">IFERROR(__xludf.DUMMYFUNCTION("""COMPUTED_VALUE"""),45488)</f>
        <v>45488</v>
      </c>
      <c r="J2677" s="29" t="s">
        <v>9361</v>
      </c>
      <c r="K2677" s="26" t="s">
        <v>9362</v>
      </c>
      <c r="L2677" s="30">
        <v>867449475</v>
      </c>
      <c r="M2677" s="26" t="s">
        <v>80</v>
      </c>
      <c r="N2677" s="26" t="s">
        <v>466</v>
      </c>
      <c r="O2677" s="26" t="s">
        <v>9363</v>
      </c>
      <c r="P2677" s="26" t="s">
        <v>9364</v>
      </c>
      <c r="Q2677" s="20"/>
      <c r="R2677" s="26" t="s">
        <v>36</v>
      </c>
      <c r="S2677" s="95">
        <f>200+1800</f>
        <v>2000</v>
      </c>
      <c r="T2677" s="83" t="s">
        <v>9365</v>
      </c>
      <c r="U2677" s="95">
        <v>13936</v>
      </c>
      <c r="V2677" s="148">
        <v>45503</v>
      </c>
      <c r="W2677" s="33" t="s">
        <v>9366</v>
      </c>
      <c r="X2677" s="26"/>
      <c r="Y2677" s="22"/>
      <c r="Z2677" s="26" t="s">
        <v>50</v>
      </c>
      <c r="AA2677" s="70" t="s">
        <v>9070</v>
      </c>
      <c r="AB2677" s="26"/>
      <c r="AC2677" s="26" t="s">
        <v>53</v>
      </c>
      <c r="AD2677" s="26" t="s">
        <v>54</v>
      </c>
      <c r="AE2677" s="26">
        <v>0</v>
      </c>
      <c r="AF2677" s="17">
        <v>45486</v>
      </c>
      <c r="AG2677" s="26"/>
      <c r="AH2677" s="26"/>
      <c r="AI2677" s="40"/>
      <c r="AJ2677" s="26"/>
      <c r="AK2677" s="26"/>
      <c r="AL2677" s="35"/>
      <c r="AM2677" s="35"/>
      <c r="AN2677" s="35"/>
      <c r="AO2677" s="35"/>
      <c r="AP2677" s="35"/>
    </row>
    <row r="2678" spans="1:42" x14ac:dyDescent="0.2">
      <c r="A2678" s="126">
        <v>45479.003135405088</v>
      </c>
      <c r="B2678" s="28" t="s">
        <v>37</v>
      </c>
      <c r="C2678" s="41" t="s">
        <v>118</v>
      </c>
      <c r="D2678" s="26" t="s">
        <v>36</v>
      </c>
      <c r="E2678" s="26" t="s">
        <v>77</v>
      </c>
      <c r="F2678" s="26" t="s">
        <v>40</v>
      </c>
      <c r="G2678" s="26" t="s">
        <v>41</v>
      </c>
      <c r="H2678" s="26" t="s">
        <v>9367</v>
      </c>
      <c r="I2678" s="17">
        <f ca="1">IFERROR(__xludf.DUMMYFUNCTION("""COMPUTED_VALUE"""),45488)</f>
        <v>45488</v>
      </c>
      <c r="J2678" s="29" t="s">
        <v>9368</v>
      </c>
      <c r="K2678" s="26" t="s">
        <v>9369</v>
      </c>
      <c r="L2678" s="30">
        <v>968964840</v>
      </c>
      <c r="M2678" s="26" t="s">
        <v>348</v>
      </c>
      <c r="N2678" s="26" t="s">
        <v>68</v>
      </c>
      <c r="O2678" s="26" t="s">
        <v>9370</v>
      </c>
      <c r="P2678" s="54" t="s">
        <v>9371</v>
      </c>
      <c r="Q2678" s="20"/>
      <c r="R2678" s="26" t="s">
        <v>36</v>
      </c>
      <c r="S2678" s="95">
        <v>1968</v>
      </c>
      <c r="T2678" s="148">
        <v>45478</v>
      </c>
      <c r="U2678" s="31"/>
      <c r="V2678" s="32"/>
      <c r="W2678" s="33" t="s">
        <v>9372</v>
      </c>
      <c r="X2678" s="26"/>
      <c r="Y2678" s="22"/>
      <c r="Z2678" s="26" t="s">
        <v>50</v>
      </c>
      <c r="AA2678" s="70" t="s">
        <v>9070</v>
      </c>
      <c r="AB2678" s="26"/>
      <c r="AC2678" s="26" t="s">
        <v>53</v>
      </c>
      <c r="AD2678" s="26" t="s">
        <v>54</v>
      </c>
      <c r="AE2678" s="26" t="s">
        <v>4488</v>
      </c>
      <c r="AF2678" s="17">
        <v>45484</v>
      </c>
      <c r="AG2678" s="26"/>
      <c r="AH2678" s="26"/>
      <c r="AI2678" s="40"/>
      <c r="AJ2678" s="26"/>
      <c r="AK2678" s="26"/>
      <c r="AL2678" s="35"/>
      <c r="AM2678" s="35"/>
      <c r="AN2678" s="35"/>
      <c r="AO2678" s="35"/>
      <c r="AP2678" s="35"/>
    </row>
    <row r="2679" spans="1:42" x14ac:dyDescent="0.2">
      <c r="A2679" s="126">
        <v>45479.005079351853</v>
      </c>
      <c r="B2679" s="28" t="s">
        <v>37</v>
      </c>
      <c r="C2679" s="41" t="s">
        <v>118</v>
      </c>
      <c r="D2679" s="26" t="s">
        <v>36</v>
      </c>
      <c r="E2679" s="26" t="s">
        <v>119</v>
      </c>
      <c r="F2679" s="26" t="s">
        <v>40</v>
      </c>
      <c r="G2679" s="26" t="s">
        <v>108</v>
      </c>
      <c r="H2679" s="26" t="s">
        <v>8704</v>
      </c>
      <c r="I2679" s="17">
        <f ca="1">IFERROR(__xludf.DUMMYFUNCTION("""COMPUTED_VALUE"""),45490)</f>
        <v>45490</v>
      </c>
      <c r="J2679" s="29" t="s">
        <v>9373</v>
      </c>
      <c r="K2679" s="26" t="s">
        <v>9374</v>
      </c>
      <c r="L2679" s="30">
        <v>928988879</v>
      </c>
      <c r="M2679" s="26" t="s">
        <v>59</v>
      </c>
      <c r="N2679" s="26" t="s">
        <v>68</v>
      </c>
      <c r="O2679" s="26" t="s">
        <v>9375</v>
      </c>
      <c r="P2679" s="26" t="s">
        <v>9376</v>
      </c>
      <c r="Q2679" s="20"/>
      <c r="R2679" s="26" t="s">
        <v>36</v>
      </c>
      <c r="S2679" s="95">
        <v>13968</v>
      </c>
      <c r="T2679" s="148">
        <v>45478</v>
      </c>
      <c r="U2679" s="31"/>
      <c r="V2679" s="32"/>
      <c r="W2679" s="33" t="s">
        <v>9377</v>
      </c>
      <c r="X2679" s="26"/>
      <c r="Y2679" s="22"/>
      <c r="Z2679" s="26" t="s">
        <v>50</v>
      </c>
      <c r="AA2679" s="70" t="s">
        <v>9070</v>
      </c>
      <c r="AB2679" s="26"/>
      <c r="AC2679" s="26" t="s">
        <v>53</v>
      </c>
      <c r="AD2679" s="26" t="s">
        <v>54</v>
      </c>
      <c r="AE2679" s="26">
        <v>430</v>
      </c>
      <c r="AF2679" s="17">
        <v>45482</v>
      </c>
      <c r="AG2679" s="26"/>
      <c r="AH2679" s="26"/>
      <c r="AI2679" s="40"/>
      <c r="AJ2679" s="26"/>
      <c r="AK2679" s="26"/>
      <c r="AL2679" s="35"/>
      <c r="AM2679" s="35"/>
      <c r="AN2679" s="35"/>
      <c r="AO2679" s="35"/>
      <c r="AP2679" s="35"/>
    </row>
    <row r="2680" spans="1:42" x14ac:dyDescent="0.2">
      <c r="A2680" s="126">
        <v>45479.480039120375</v>
      </c>
      <c r="B2680" s="28" t="s">
        <v>37</v>
      </c>
      <c r="C2680" s="41" t="s">
        <v>118</v>
      </c>
      <c r="D2680" s="26" t="s">
        <v>36</v>
      </c>
      <c r="E2680" s="26" t="s">
        <v>139</v>
      </c>
      <c r="F2680" s="26" t="s">
        <v>36</v>
      </c>
      <c r="G2680" s="26" t="s">
        <v>41</v>
      </c>
      <c r="H2680" s="26" t="s">
        <v>9241</v>
      </c>
      <c r="I2680" s="17">
        <f ca="1">IFERROR(__xludf.DUMMYFUNCTION("""COMPUTED_VALUE"""),45483)</f>
        <v>45483</v>
      </c>
      <c r="J2680" s="29" t="s">
        <v>9378</v>
      </c>
      <c r="K2680" s="26" t="s">
        <v>9379</v>
      </c>
      <c r="L2680" s="30">
        <v>973680698</v>
      </c>
      <c r="M2680" s="26" t="s">
        <v>80</v>
      </c>
      <c r="N2680" s="26" t="s">
        <v>1073</v>
      </c>
      <c r="O2680" s="26" t="s">
        <v>9380</v>
      </c>
      <c r="P2680" s="26" t="s">
        <v>9381</v>
      </c>
      <c r="Q2680" s="20"/>
      <c r="R2680" s="26" t="s">
        <v>36</v>
      </c>
      <c r="S2680" s="95">
        <f>200+1800</f>
        <v>2000</v>
      </c>
      <c r="T2680" s="83" t="s">
        <v>9382</v>
      </c>
      <c r="U2680" s="95">
        <v>13936</v>
      </c>
      <c r="V2680" s="148">
        <v>45503</v>
      </c>
      <c r="W2680" s="33" t="s">
        <v>9383</v>
      </c>
      <c r="X2680" s="26"/>
      <c r="Y2680" s="22"/>
      <c r="Z2680" s="26" t="s">
        <v>50</v>
      </c>
      <c r="AA2680" s="70" t="s">
        <v>9070</v>
      </c>
      <c r="AB2680" s="26"/>
      <c r="AC2680" s="26" t="s">
        <v>53</v>
      </c>
      <c r="AD2680" s="26" t="s">
        <v>54</v>
      </c>
      <c r="AE2680" s="26">
        <v>0</v>
      </c>
      <c r="AF2680" s="17">
        <v>45481</v>
      </c>
      <c r="AG2680" s="26"/>
      <c r="AH2680" s="26"/>
      <c r="AI2680" s="40"/>
      <c r="AJ2680" s="26"/>
      <c r="AK2680" s="26"/>
      <c r="AL2680" s="35"/>
      <c r="AM2680" s="35"/>
      <c r="AN2680" s="35"/>
      <c r="AO2680" s="35"/>
      <c r="AP2680" s="35"/>
    </row>
    <row r="2681" spans="1:42" x14ac:dyDescent="0.2">
      <c r="A2681" s="126">
        <v>45480.47911049769</v>
      </c>
      <c r="B2681" s="28" t="s">
        <v>37</v>
      </c>
      <c r="C2681" s="41" t="s">
        <v>118</v>
      </c>
      <c r="D2681" s="26" t="s">
        <v>36</v>
      </c>
      <c r="E2681" s="26" t="s">
        <v>77</v>
      </c>
      <c r="F2681" s="26" t="s">
        <v>36</v>
      </c>
      <c r="G2681" s="26" t="s">
        <v>41</v>
      </c>
      <c r="H2681" s="26" t="s">
        <v>9241</v>
      </c>
      <c r="I2681" s="17">
        <f ca="1">IFERROR(__xludf.DUMMYFUNCTION("""COMPUTED_VALUE"""),45483)</f>
        <v>45483</v>
      </c>
      <c r="J2681" s="29" t="s">
        <v>9384</v>
      </c>
      <c r="K2681" s="26" t="s">
        <v>9385</v>
      </c>
      <c r="L2681" s="30">
        <v>931380310</v>
      </c>
      <c r="M2681" s="26" t="s">
        <v>2755</v>
      </c>
      <c r="N2681" s="26" t="s">
        <v>9386</v>
      </c>
      <c r="O2681" s="26" t="s">
        <v>4503</v>
      </c>
      <c r="P2681" s="26" t="s">
        <v>9387</v>
      </c>
      <c r="Q2681" s="20"/>
      <c r="R2681" s="26" t="s">
        <v>36</v>
      </c>
      <c r="S2681" s="95">
        <f>200+1768</f>
        <v>1968</v>
      </c>
      <c r="T2681" s="83" t="s">
        <v>9388</v>
      </c>
      <c r="U2681" s="31"/>
      <c r="V2681" s="32"/>
      <c r="W2681" s="33" t="s">
        <v>9389</v>
      </c>
      <c r="X2681" s="26"/>
      <c r="Y2681" s="22"/>
      <c r="Z2681" s="26" t="s">
        <v>50</v>
      </c>
      <c r="AA2681" s="70" t="s">
        <v>9070</v>
      </c>
      <c r="AB2681" s="26"/>
      <c r="AC2681" s="26" t="s">
        <v>53</v>
      </c>
      <c r="AD2681" s="26" t="s">
        <v>54</v>
      </c>
      <c r="AE2681" s="26" t="s">
        <v>4503</v>
      </c>
      <c r="AF2681" s="17">
        <v>45483</v>
      </c>
      <c r="AG2681" s="26"/>
      <c r="AH2681" s="26"/>
      <c r="AI2681" s="40"/>
      <c r="AJ2681" s="26"/>
      <c r="AK2681" s="26"/>
      <c r="AL2681" s="35"/>
      <c r="AM2681" s="35"/>
      <c r="AN2681" s="35"/>
      <c r="AO2681" s="35"/>
      <c r="AP2681" s="35"/>
    </row>
    <row r="2682" spans="1:42" x14ac:dyDescent="0.2">
      <c r="A2682" s="126">
        <v>45481.470518460643</v>
      </c>
      <c r="B2682" s="28" t="s">
        <v>37</v>
      </c>
      <c r="C2682" s="41" t="s">
        <v>118</v>
      </c>
      <c r="D2682" s="26" t="s">
        <v>36</v>
      </c>
      <c r="E2682" s="26" t="s">
        <v>77</v>
      </c>
      <c r="F2682" s="26" t="s">
        <v>9390</v>
      </c>
      <c r="G2682" s="26" t="s">
        <v>41</v>
      </c>
      <c r="H2682" s="26" t="s">
        <v>9367</v>
      </c>
      <c r="I2682" s="17">
        <f ca="1">IFERROR(__xludf.DUMMYFUNCTION("""COMPUTED_VALUE"""),45488)</f>
        <v>45488</v>
      </c>
      <c r="J2682" s="29" t="s">
        <v>9391</v>
      </c>
      <c r="K2682" s="26" t="s">
        <v>9392</v>
      </c>
      <c r="L2682" s="30">
        <v>375435309</v>
      </c>
      <c r="M2682" s="26" t="s">
        <v>1245</v>
      </c>
      <c r="N2682" s="26" t="s">
        <v>1246</v>
      </c>
      <c r="O2682" s="26" t="s">
        <v>9393</v>
      </c>
      <c r="P2682" s="26" t="s">
        <v>9394</v>
      </c>
      <c r="Q2682" s="20"/>
      <c r="R2682" s="26" t="s">
        <v>36</v>
      </c>
      <c r="S2682" s="95">
        <v>1968</v>
      </c>
      <c r="T2682" s="148">
        <v>45481</v>
      </c>
      <c r="U2682" s="31"/>
      <c r="V2682" s="32"/>
      <c r="W2682" s="33" t="s">
        <v>9395</v>
      </c>
      <c r="X2682" s="26"/>
      <c r="Y2682" s="22"/>
      <c r="Z2682" s="26" t="s">
        <v>50</v>
      </c>
      <c r="AA2682" s="70" t="s">
        <v>9070</v>
      </c>
      <c r="AB2682" s="26" t="s">
        <v>36</v>
      </c>
      <c r="AC2682" s="26" t="s">
        <v>53</v>
      </c>
      <c r="AD2682" s="26" t="s">
        <v>54</v>
      </c>
      <c r="AE2682" s="26" t="s">
        <v>72</v>
      </c>
      <c r="AF2682" s="17">
        <v>45484</v>
      </c>
      <c r="AG2682" s="26"/>
      <c r="AH2682" s="26"/>
      <c r="AI2682" s="40"/>
      <c r="AJ2682" s="26"/>
      <c r="AK2682" s="26"/>
      <c r="AL2682" s="35"/>
      <c r="AM2682" s="35"/>
      <c r="AN2682" s="35"/>
      <c r="AO2682" s="35"/>
      <c r="AP2682" s="35"/>
    </row>
    <row r="2683" spans="1:42" x14ac:dyDescent="0.2">
      <c r="A2683" s="126">
        <v>45481.684742696758</v>
      </c>
      <c r="B2683" s="28" t="s">
        <v>37</v>
      </c>
      <c r="C2683" s="41" t="s">
        <v>118</v>
      </c>
      <c r="D2683" s="26" t="s">
        <v>36</v>
      </c>
      <c r="E2683" s="26" t="s">
        <v>56</v>
      </c>
      <c r="F2683" s="26" t="s">
        <v>40</v>
      </c>
      <c r="G2683" s="26" t="s">
        <v>41</v>
      </c>
      <c r="H2683" s="26" t="s">
        <v>9360</v>
      </c>
      <c r="I2683" s="17">
        <f ca="1">IFERROR(__xludf.DUMMYFUNCTION("""COMPUTED_VALUE"""),45488)</f>
        <v>45488</v>
      </c>
      <c r="J2683" s="29" t="s">
        <v>9396</v>
      </c>
      <c r="K2683" s="26" t="s">
        <v>7838</v>
      </c>
      <c r="L2683" s="30">
        <v>904806491</v>
      </c>
      <c r="M2683" s="26" t="s">
        <v>45</v>
      </c>
      <c r="N2683" s="26" t="s">
        <v>7814</v>
      </c>
      <c r="O2683" s="26" t="s">
        <v>9397</v>
      </c>
      <c r="P2683" s="26" t="s">
        <v>9398</v>
      </c>
      <c r="Q2683" s="20"/>
      <c r="R2683" s="26" t="s">
        <v>36</v>
      </c>
      <c r="S2683" s="95">
        <v>1968</v>
      </c>
      <c r="T2683" s="148">
        <v>45481</v>
      </c>
      <c r="U2683" s="31">
        <v>3894</v>
      </c>
      <c r="V2683" s="32">
        <v>45490</v>
      </c>
      <c r="W2683" s="33" t="s">
        <v>9399</v>
      </c>
      <c r="X2683" s="26"/>
      <c r="Y2683" s="22"/>
      <c r="Z2683" s="26" t="s">
        <v>50</v>
      </c>
      <c r="AA2683" s="70" t="s">
        <v>9070</v>
      </c>
      <c r="AB2683" s="26"/>
      <c r="AC2683" s="26" t="s">
        <v>53</v>
      </c>
      <c r="AD2683" s="26" t="s">
        <v>54</v>
      </c>
      <c r="AE2683" s="26">
        <v>0</v>
      </c>
      <c r="AF2683" s="17">
        <v>45484</v>
      </c>
      <c r="AG2683" s="26"/>
      <c r="AH2683" s="26"/>
      <c r="AI2683" s="40"/>
      <c r="AJ2683" s="26"/>
      <c r="AK2683" s="26"/>
      <c r="AL2683" s="35"/>
      <c r="AM2683" s="35"/>
      <c r="AN2683" s="35"/>
      <c r="AO2683" s="35"/>
      <c r="AP2683" s="35"/>
    </row>
    <row r="2684" spans="1:42" x14ac:dyDescent="0.2">
      <c r="A2684" s="126">
        <v>45481.809885046299</v>
      </c>
      <c r="B2684" s="28" t="s">
        <v>37</v>
      </c>
      <c r="C2684" s="41" t="s">
        <v>118</v>
      </c>
      <c r="D2684" s="26" t="s">
        <v>36</v>
      </c>
      <c r="E2684" s="26" t="s">
        <v>119</v>
      </c>
      <c r="F2684" s="26" t="s">
        <v>36</v>
      </c>
      <c r="G2684" s="26" t="s">
        <v>108</v>
      </c>
      <c r="H2684" s="26" t="s">
        <v>8662</v>
      </c>
      <c r="I2684" s="17">
        <f ca="1">IFERROR(__xludf.DUMMYFUNCTION("""COMPUTED_VALUE"""),45524)</f>
        <v>45524</v>
      </c>
      <c r="J2684" s="29" t="s">
        <v>9400</v>
      </c>
      <c r="K2684" s="26" t="s">
        <v>9401</v>
      </c>
      <c r="L2684" s="30">
        <v>972670258</v>
      </c>
      <c r="M2684" s="26" t="s">
        <v>80</v>
      </c>
      <c r="N2684" s="26" t="s">
        <v>466</v>
      </c>
      <c r="O2684" s="26" t="s">
        <v>9402</v>
      </c>
      <c r="P2684" s="26" t="s">
        <v>9403</v>
      </c>
      <c r="Q2684" s="20"/>
      <c r="R2684" s="26" t="s">
        <v>36</v>
      </c>
      <c r="S2684" s="95">
        <v>3800</v>
      </c>
      <c r="T2684" s="148">
        <v>45481</v>
      </c>
      <c r="U2684" s="95">
        <v>10168</v>
      </c>
      <c r="V2684" s="148">
        <v>45500</v>
      </c>
      <c r="W2684" s="33" t="s">
        <v>9404</v>
      </c>
      <c r="X2684" s="26"/>
      <c r="Y2684" s="22"/>
      <c r="Z2684" s="26" t="s">
        <v>50</v>
      </c>
      <c r="AA2684" s="70" t="s">
        <v>9070</v>
      </c>
      <c r="AB2684" s="26"/>
      <c r="AC2684" s="26" t="s">
        <v>53</v>
      </c>
      <c r="AD2684" s="26" t="s">
        <v>54</v>
      </c>
      <c r="AE2684" s="26">
        <v>460</v>
      </c>
      <c r="AF2684" s="17">
        <v>45482</v>
      </c>
      <c r="AG2684" s="26"/>
      <c r="AH2684" s="26"/>
      <c r="AI2684" s="40"/>
      <c r="AJ2684" s="26"/>
      <c r="AK2684" s="26"/>
      <c r="AL2684" s="35"/>
      <c r="AM2684" s="35"/>
      <c r="AN2684" s="35"/>
      <c r="AO2684" s="35"/>
      <c r="AP2684" s="35"/>
    </row>
    <row r="2685" spans="1:42" x14ac:dyDescent="0.2">
      <c r="A2685" s="126">
        <v>45481.908800983801</v>
      </c>
      <c r="B2685" s="28" t="s">
        <v>37</v>
      </c>
      <c r="C2685" s="41" t="s">
        <v>118</v>
      </c>
      <c r="D2685" s="26" t="s">
        <v>36</v>
      </c>
      <c r="E2685" s="26" t="s">
        <v>56</v>
      </c>
      <c r="F2685" s="26" t="s">
        <v>36</v>
      </c>
      <c r="G2685" s="26" t="s">
        <v>41</v>
      </c>
      <c r="H2685" s="26" t="s">
        <v>9405</v>
      </c>
      <c r="I2685" s="17">
        <f ca="1">IFERROR(__xludf.DUMMYFUNCTION("""COMPUTED_VALUE"""),45488)</f>
        <v>45488</v>
      </c>
      <c r="J2685" s="29" t="s">
        <v>9406</v>
      </c>
      <c r="K2685" s="26" t="s">
        <v>9407</v>
      </c>
      <c r="L2685" s="30">
        <v>862249728</v>
      </c>
      <c r="M2685" s="26" t="s">
        <v>80</v>
      </c>
      <c r="N2685" s="26" t="s">
        <v>1073</v>
      </c>
      <c r="O2685" s="26" t="s">
        <v>9408</v>
      </c>
      <c r="P2685" s="26" t="s">
        <v>9409</v>
      </c>
      <c r="Q2685" s="20"/>
      <c r="R2685" s="26" t="s">
        <v>36</v>
      </c>
      <c r="S2685" s="95">
        <f>200+1800+7317</f>
        <v>9317</v>
      </c>
      <c r="T2685" s="83" t="s">
        <v>9410</v>
      </c>
      <c r="U2685" s="31"/>
      <c r="V2685" s="32"/>
      <c r="W2685" s="33" t="s">
        <v>9411</v>
      </c>
      <c r="X2685" s="26"/>
      <c r="Y2685" s="22"/>
      <c r="Z2685" s="26" t="s">
        <v>50</v>
      </c>
      <c r="AA2685" s="70" t="s">
        <v>9070</v>
      </c>
      <c r="AB2685" s="26"/>
      <c r="AC2685" s="26" t="s">
        <v>53</v>
      </c>
      <c r="AD2685" s="26" t="s">
        <v>54</v>
      </c>
      <c r="AE2685" s="26">
        <v>0</v>
      </c>
      <c r="AF2685" s="17">
        <v>45485</v>
      </c>
      <c r="AG2685" s="26"/>
      <c r="AH2685" s="26"/>
      <c r="AI2685" s="40"/>
      <c r="AJ2685" s="26"/>
      <c r="AK2685" s="26"/>
      <c r="AL2685" s="35"/>
      <c r="AM2685" s="35"/>
      <c r="AN2685" s="35"/>
      <c r="AO2685" s="35"/>
      <c r="AP2685" s="35"/>
    </row>
    <row r="2686" spans="1:42" x14ac:dyDescent="0.2">
      <c r="A2686" s="126">
        <v>45481.93823457176</v>
      </c>
      <c r="B2686" s="28" t="s">
        <v>37</v>
      </c>
      <c r="C2686" s="41" t="s">
        <v>118</v>
      </c>
      <c r="D2686" s="26" t="s">
        <v>36</v>
      </c>
      <c r="E2686" s="26" t="s">
        <v>77</v>
      </c>
      <c r="F2686" s="26" t="s">
        <v>91</v>
      </c>
      <c r="G2686" s="26" t="s">
        <v>41</v>
      </c>
      <c r="H2686" s="26" t="s">
        <v>9405</v>
      </c>
      <c r="I2686" s="17">
        <f ca="1">IFERROR(__xludf.DUMMYFUNCTION("""COMPUTED_VALUE"""),45488)</f>
        <v>45488</v>
      </c>
      <c r="J2686" s="29" t="s">
        <v>9412</v>
      </c>
      <c r="K2686" s="26" t="s">
        <v>341</v>
      </c>
      <c r="L2686" s="30">
        <v>355774626</v>
      </c>
      <c r="M2686" s="26" t="s">
        <v>348</v>
      </c>
      <c r="N2686" s="26" t="s">
        <v>200</v>
      </c>
      <c r="O2686" s="26" t="s">
        <v>9413</v>
      </c>
      <c r="P2686" s="26" t="s">
        <v>9414</v>
      </c>
      <c r="Q2686" s="20"/>
      <c r="R2686" s="26" t="s">
        <v>36</v>
      </c>
      <c r="S2686" s="95">
        <v>1968</v>
      </c>
      <c r="T2686" s="148">
        <v>45481</v>
      </c>
      <c r="U2686" s="31"/>
      <c r="V2686" s="32"/>
      <c r="W2686" s="33" t="s">
        <v>9415</v>
      </c>
      <c r="X2686" s="26"/>
      <c r="Y2686" s="22"/>
      <c r="Z2686" s="26" t="s">
        <v>50</v>
      </c>
      <c r="AA2686" s="70" t="s">
        <v>9070</v>
      </c>
      <c r="AB2686" s="26"/>
      <c r="AC2686" s="26" t="s">
        <v>53</v>
      </c>
      <c r="AD2686" s="26" t="s">
        <v>54</v>
      </c>
      <c r="AE2686" s="26" t="s">
        <v>4219</v>
      </c>
      <c r="AF2686" s="17">
        <v>45484</v>
      </c>
      <c r="AG2686" s="26"/>
      <c r="AH2686" s="26"/>
      <c r="AI2686" s="40"/>
      <c r="AJ2686" s="26"/>
      <c r="AK2686" s="26"/>
      <c r="AL2686" s="35"/>
      <c r="AM2686" s="35"/>
      <c r="AN2686" s="35"/>
      <c r="AO2686" s="35"/>
      <c r="AP2686" s="35"/>
    </row>
    <row r="2687" spans="1:42" x14ac:dyDescent="0.2">
      <c r="A2687" s="126">
        <v>45482.320128888889</v>
      </c>
      <c r="B2687" s="28" t="s">
        <v>37</v>
      </c>
      <c r="C2687" s="41" t="s">
        <v>118</v>
      </c>
      <c r="D2687" s="26" t="s">
        <v>36</v>
      </c>
      <c r="E2687" s="26" t="s">
        <v>139</v>
      </c>
      <c r="F2687" s="26" t="s">
        <v>91</v>
      </c>
      <c r="G2687" s="26" t="s">
        <v>41</v>
      </c>
      <c r="H2687" s="26" t="s">
        <v>8635</v>
      </c>
      <c r="I2687" s="17">
        <f ca="1">IFERROR(__xludf.DUMMYFUNCTION("""COMPUTED_VALUE"""),45496)</f>
        <v>45496</v>
      </c>
      <c r="J2687" s="29" t="s">
        <v>9416</v>
      </c>
      <c r="K2687" s="26" t="s">
        <v>9417</v>
      </c>
      <c r="L2687" s="30">
        <v>355021485</v>
      </c>
      <c r="M2687" s="26" t="s">
        <v>123</v>
      </c>
      <c r="N2687" s="26" t="s">
        <v>186</v>
      </c>
      <c r="O2687" s="26" t="s">
        <v>4503</v>
      </c>
      <c r="P2687" s="26" t="s">
        <v>3487</v>
      </c>
      <c r="Q2687" s="20"/>
      <c r="R2687" s="26" t="s">
        <v>36</v>
      </c>
      <c r="S2687" s="95">
        <f>200+15736</f>
        <v>15936</v>
      </c>
      <c r="T2687" s="148">
        <v>45485</v>
      </c>
      <c r="U2687" s="31"/>
      <c r="V2687" s="32"/>
      <c r="W2687" s="33" t="s">
        <v>9418</v>
      </c>
      <c r="X2687" s="26"/>
      <c r="Y2687" s="22"/>
      <c r="Z2687" s="26" t="s">
        <v>50</v>
      </c>
      <c r="AA2687" s="70" t="s">
        <v>9070</v>
      </c>
      <c r="AB2687" s="26" t="s">
        <v>36</v>
      </c>
      <c r="AC2687" s="26" t="s">
        <v>53</v>
      </c>
      <c r="AD2687" s="26" t="s">
        <v>138</v>
      </c>
      <c r="AE2687" s="26"/>
      <c r="AF2687" s="17">
        <v>45496</v>
      </c>
      <c r="AG2687" s="26" t="s">
        <v>4279</v>
      </c>
      <c r="AH2687" s="26"/>
      <c r="AI2687" s="40"/>
      <c r="AJ2687" s="26"/>
      <c r="AK2687" s="26"/>
      <c r="AL2687" s="35"/>
      <c r="AM2687" s="35"/>
      <c r="AN2687" s="35"/>
      <c r="AO2687" s="35"/>
      <c r="AP2687" s="35"/>
    </row>
    <row r="2688" spans="1:42" x14ac:dyDescent="0.2">
      <c r="A2688" s="126">
        <v>45482.362513125001</v>
      </c>
      <c r="B2688" s="28" t="s">
        <v>37</v>
      </c>
      <c r="C2688" s="41" t="s">
        <v>118</v>
      </c>
      <c r="D2688" s="26" t="s">
        <v>36</v>
      </c>
      <c r="E2688" s="26" t="s">
        <v>77</v>
      </c>
      <c r="F2688" s="26" t="s">
        <v>36</v>
      </c>
      <c r="G2688" s="26" t="s">
        <v>41</v>
      </c>
      <c r="H2688" s="26" t="s">
        <v>9419</v>
      </c>
      <c r="I2688" s="17">
        <f ca="1">IFERROR(__xludf.DUMMYFUNCTION("""COMPUTED_VALUE"""),45489)</f>
        <v>45489</v>
      </c>
      <c r="J2688" s="29" t="s">
        <v>9420</v>
      </c>
      <c r="K2688" s="26" t="s">
        <v>9421</v>
      </c>
      <c r="L2688" s="30">
        <v>389977131</v>
      </c>
      <c r="M2688" s="26" t="s">
        <v>9422</v>
      </c>
      <c r="N2688" s="26" t="s">
        <v>5574</v>
      </c>
      <c r="O2688" s="26" t="s">
        <v>2144</v>
      </c>
      <c r="P2688" s="26" t="s">
        <v>9423</v>
      </c>
      <c r="Q2688" s="20"/>
      <c r="R2688" s="26" t="s">
        <v>36</v>
      </c>
      <c r="S2688" s="95">
        <v>1968</v>
      </c>
      <c r="T2688" s="148">
        <v>45481</v>
      </c>
      <c r="U2688" s="31"/>
      <c r="V2688" s="32"/>
      <c r="W2688" s="33" t="s">
        <v>9424</v>
      </c>
      <c r="X2688" s="26"/>
      <c r="Y2688" s="22"/>
      <c r="Z2688" s="26" t="s">
        <v>50</v>
      </c>
      <c r="AA2688" s="70" t="s">
        <v>9070</v>
      </c>
      <c r="AB2688" s="26"/>
      <c r="AC2688" s="26" t="s">
        <v>53</v>
      </c>
      <c r="AD2688" s="26" t="s">
        <v>54</v>
      </c>
      <c r="AE2688" s="26"/>
      <c r="AF2688" s="17">
        <v>45484</v>
      </c>
      <c r="AG2688" s="26"/>
      <c r="AH2688" s="26"/>
      <c r="AI2688" s="40"/>
      <c r="AJ2688" s="26"/>
      <c r="AK2688" s="26"/>
      <c r="AL2688" s="35"/>
      <c r="AM2688" s="35"/>
      <c r="AN2688" s="35"/>
      <c r="AO2688" s="35"/>
      <c r="AP2688" s="35"/>
    </row>
    <row r="2689" spans="1:42" x14ac:dyDescent="0.2">
      <c r="A2689" s="126">
        <v>45482.467972199069</v>
      </c>
      <c r="B2689" s="28" t="s">
        <v>37</v>
      </c>
      <c r="C2689" s="41" t="s">
        <v>118</v>
      </c>
      <c r="D2689" s="26" t="s">
        <v>36</v>
      </c>
      <c r="E2689" s="26" t="s">
        <v>119</v>
      </c>
      <c r="F2689" s="26" t="s">
        <v>36</v>
      </c>
      <c r="G2689" s="26" t="s">
        <v>108</v>
      </c>
      <c r="H2689" s="26" t="s">
        <v>8691</v>
      </c>
      <c r="I2689" s="17">
        <f ca="1">IFERROR(__xludf.DUMMYFUNCTION("""COMPUTED_VALUE"""),45485)</f>
        <v>45485</v>
      </c>
      <c r="J2689" s="29" t="s">
        <v>9425</v>
      </c>
      <c r="K2689" s="26" t="s">
        <v>9426</v>
      </c>
      <c r="L2689" s="127">
        <v>336639234</v>
      </c>
      <c r="M2689" s="26" t="s">
        <v>80</v>
      </c>
      <c r="N2689" s="26" t="s">
        <v>466</v>
      </c>
      <c r="O2689" s="26" t="s">
        <v>9427</v>
      </c>
      <c r="P2689" s="26" t="s">
        <v>9428</v>
      </c>
      <c r="Q2689" s="20"/>
      <c r="R2689" s="26" t="s">
        <v>36</v>
      </c>
      <c r="S2689" s="95">
        <f>3800+10168</f>
        <v>13968</v>
      </c>
      <c r="T2689" s="83" t="s">
        <v>9429</v>
      </c>
      <c r="U2689" s="31"/>
      <c r="V2689" s="32"/>
      <c r="W2689" s="33" t="s">
        <v>9430</v>
      </c>
      <c r="X2689" s="26"/>
      <c r="Y2689" s="22"/>
      <c r="Z2689" s="26" t="s">
        <v>50</v>
      </c>
      <c r="AA2689" s="70" t="s">
        <v>9070</v>
      </c>
      <c r="AB2689" s="26"/>
      <c r="AC2689" s="26" t="s">
        <v>53</v>
      </c>
      <c r="AD2689" s="26" t="s">
        <v>54</v>
      </c>
      <c r="AE2689" s="26">
        <v>400</v>
      </c>
      <c r="AF2689" s="17">
        <v>45482</v>
      </c>
      <c r="AG2689" s="26"/>
      <c r="AH2689" s="26"/>
      <c r="AI2689" s="40"/>
      <c r="AJ2689" s="26"/>
      <c r="AK2689" s="26"/>
      <c r="AL2689" s="35"/>
      <c r="AM2689" s="35"/>
      <c r="AN2689" s="35"/>
      <c r="AO2689" s="35"/>
      <c r="AP2689" s="35"/>
    </row>
    <row r="2690" spans="1:42" x14ac:dyDescent="0.2">
      <c r="A2690" s="126">
        <v>45482.476154675925</v>
      </c>
      <c r="B2690" s="28" t="s">
        <v>37</v>
      </c>
      <c r="C2690" s="41" t="s">
        <v>118</v>
      </c>
      <c r="D2690" s="26" t="s">
        <v>36</v>
      </c>
      <c r="E2690" s="26" t="s">
        <v>56</v>
      </c>
      <c r="F2690" s="26" t="s">
        <v>36</v>
      </c>
      <c r="G2690" s="26" t="s">
        <v>41</v>
      </c>
      <c r="H2690" s="26" t="s">
        <v>9241</v>
      </c>
      <c r="I2690" s="17">
        <f ca="1">IFERROR(__xludf.DUMMYFUNCTION("""COMPUTED_VALUE"""),45483)</f>
        <v>45483</v>
      </c>
      <c r="J2690" s="29" t="s">
        <v>9431</v>
      </c>
      <c r="K2690" s="26" t="s">
        <v>9432</v>
      </c>
      <c r="L2690" s="30">
        <v>868339206</v>
      </c>
      <c r="M2690" s="26" t="s">
        <v>6309</v>
      </c>
      <c r="N2690" s="26" t="s">
        <v>9433</v>
      </c>
      <c r="O2690" s="26" t="s">
        <v>8827</v>
      </c>
      <c r="P2690" s="26" t="s">
        <v>9434</v>
      </c>
      <c r="Q2690" s="20"/>
      <c r="R2690" s="26" t="s">
        <v>36</v>
      </c>
      <c r="S2690" s="95">
        <v>9317</v>
      </c>
      <c r="T2690" s="148">
        <v>45482</v>
      </c>
      <c r="U2690" s="31"/>
      <c r="V2690" s="32"/>
      <c r="W2690" s="33" t="s">
        <v>9435</v>
      </c>
      <c r="X2690" s="26"/>
      <c r="Y2690" s="22"/>
      <c r="Z2690" s="26" t="s">
        <v>50</v>
      </c>
      <c r="AA2690" s="70" t="s">
        <v>9070</v>
      </c>
      <c r="AB2690" s="26"/>
      <c r="AC2690" s="26" t="s">
        <v>53</v>
      </c>
      <c r="AD2690" s="26" t="s">
        <v>54</v>
      </c>
      <c r="AE2690" s="26"/>
      <c r="AF2690" s="17">
        <v>45482</v>
      </c>
      <c r="AG2690" s="26" t="s">
        <v>9436</v>
      </c>
      <c r="AH2690" s="26"/>
      <c r="AI2690" s="40"/>
      <c r="AJ2690" s="26"/>
      <c r="AK2690" s="26"/>
      <c r="AL2690" s="35"/>
      <c r="AM2690" s="35"/>
      <c r="AN2690" s="35"/>
      <c r="AO2690" s="35"/>
      <c r="AP2690" s="35"/>
    </row>
    <row r="2691" spans="1:42" x14ac:dyDescent="0.2">
      <c r="A2691" s="126">
        <v>45482.569341111113</v>
      </c>
      <c r="B2691" s="28" t="s">
        <v>37</v>
      </c>
      <c r="C2691" s="41" t="s">
        <v>118</v>
      </c>
      <c r="D2691" s="26" t="s">
        <v>36</v>
      </c>
      <c r="E2691" s="26" t="s">
        <v>139</v>
      </c>
      <c r="F2691" s="26" t="s">
        <v>36</v>
      </c>
      <c r="G2691" s="26" t="s">
        <v>41</v>
      </c>
      <c r="H2691" s="26" t="s">
        <v>9360</v>
      </c>
      <c r="I2691" s="17">
        <f ca="1">IFERROR(__xludf.DUMMYFUNCTION("""COMPUTED_VALUE"""),45488)</f>
        <v>45488</v>
      </c>
      <c r="J2691" s="29" t="s">
        <v>9437</v>
      </c>
      <c r="K2691" s="26" t="s">
        <v>9438</v>
      </c>
      <c r="L2691" s="30">
        <v>978324263</v>
      </c>
      <c r="M2691" s="26" t="s">
        <v>9422</v>
      </c>
      <c r="N2691" s="26" t="s">
        <v>5574</v>
      </c>
      <c r="O2691" s="26" t="s">
        <v>9439</v>
      </c>
      <c r="P2691" s="26" t="s">
        <v>9440</v>
      </c>
      <c r="Q2691" s="20"/>
      <c r="R2691" s="26" t="s">
        <v>36</v>
      </c>
      <c r="S2691" s="95">
        <v>15936</v>
      </c>
      <c r="T2691" s="148">
        <v>45482</v>
      </c>
      <c r="U2691" s="31"/>
      <c r="V2691" s="32"/>
      <c r="W2691" s="33" t="s">
        <v>9441</v>
      </c>
      <c r="X2691" s="26"/>
      <c r="Y2691" s="22"/>
      <c r="Z2691" s="26" t="s">
        <v>50</v>
      </c>
      <c r="AA2691" s="70" t="s">
        <v>9070</v>
      </c>
      <c r="AB2691" s="26"/>
      <c r="AC2691" s="26" t="s">
        <v>53</v>
      </c>
      <c r="AD2691" s="26" t="s">
        <v>54</v>
      </c>
      <c r="AE2691" s="26"/>
      <c r="AF2691" s="17">
        <v>45484</v>
      </c>
      <c r="AG2691" s="26"/>
      <c r="AH2691" s="26"/>
      <c r="AI2691" s="40"/>
      <c r="AJ2691" s="26"/>
      <c r="AK2691" s="26"/>
      <c r="AL2691" s="35"/>
      <c r="AM2691" s="35"/>
      <c r="AN2691" s="35"/>
      <c r="AO2691" s="35"/>
      <c r="AP2691" s="35"/>
    </row>
    <row r="2692" spans="1:42" x14ac:dyDescent="0.2">
      <c r="A2692" s="126">
        <v>45482.6915859375</v>
      </c>
      <c r="B2692" s="28" t="s">
        <v>37</v>
      </c>
      <c r="C2692" s="41" t="s">
        <v>118</v>
      </c>
      <c r="D2692" s="26" t="s">
        <v>36</v>
      </c>
      <c r="E2692" s="26" t="s">
        <v>77</v>
      </c>
      <c r="F2692" s="26" t="s">
        <v>36</v>
      </c>
      <c r="G2692" s="26" t="s">
        <v>41</v>
      </c>
      <c r="H2692" s="26" t="s">
        <v>8801</v>
      </c>
      <c r="I2692" s="17">
        <f ca="1">IFERROR(__xludf.DUMMYFUNCTION("""COMPUTED_VALUE"""),45484)</f>
        <v>45484</v>
      </c>
      <c r="J2692" s="29" t="s">
        <v>9442</v>
      </c>
      <c r="K2692" s="26" t="s">
        <v>9443</v>
      </c>
      <c r="L2692" s="30">
        <v>869362506</v>
      </c>
      <c r="M2692" s="26" t="s">
        <v>80</v>
      </c>
      <c r="N2692" s="26" t="s">
        <v>466</v>
      </c>
      <c r="O2692" s="26" t="s">
        <v>9444</v>
      </c>
      <c r="P2692" s="54" t="s">
        <v>9445</v>
      </c>
      <c r="Q2692" s="20"/>
      <c r="R2692" s="26" t="s">
        <v>36</v>
      </c>
      <c r="S2692" s="95">
        <f>200+1800</f>
        <v>2000</v>
      </c>
      <c r="T2692" s="83" t="s">
        <v>9446</v>
      </c>
      <c r="U2692" s="31"/>
      <c r="V2692" s="32"/>
      <c r="W2692" s="33" t="s">
        <v>9447</v>
      </c>
      <c r="X2692" s="26"/>
      <c r="Y2692" s="22"/>
      <c r="Z2692" s="26" t="s">
        <v>50</v>
      </c>
      <c r="AA2692" s="70" t="s">
        <v>9070</v>
      </c>
      <c r="AB2692" s="26"/>
      <c r="AC2692" s="26" t="s">
        <v>53</v>
      </c>
      <c r="AD2692" s="26" t="s">
        <v>54</v>
      </c>
      <c r="AE2692" s="26">
        <v>0</v>
      </c>
      <c r="AF2692" s="17">
        <v>45483</v>
      </c>
      <c r="AG2692" s="26" t="s">
        <v>9119</v>
      </c>
      <c r="AH2692" s="26"/>
      <c r="AI2692" s="40"/>
      <c r="AJ2692" s="26"/>
      <c r="AK2692" s="26"/>
      <c r="AL2692" s="35"/>
      <c r="AM2692" s="35"/>
      <c r="AN2692" s="35"/>
      <c r="AO2692" s="35"/>
      <c r="AP2692" s="35"/>
    </row>
    <row r="2693" spans="1:42" x14ac:dyDescent="0.2">
      <c r="A2693" s="126">
        <v>45482.975041331018</v>
      </c>
      <c r="B2693" s="28" t="s">
        <v>37</v>
      </c>
      <c r="C2693" s="41" t="s">
        <v>118</v>
      </c>
      <c r="D2693" s="26" t="s">
        <v>36</v>
      </c>
      <c r="E2693" s="26" t="s">
        <v>139</v>
      </c>
      <c r="F2693" s="26" t="s">
        <v>40</v>
      </c>
      <c r="G2693" s="26" t="s">
        <v>41</v>
      </c>
      <c r="H2693" s="26" t="s">
        <v>9448</v>
      </c>
      <c r="I2693" s="17">
        <f ca="1">IFERROR(__xludf.DUMMYFUNCTION("""COMPUTED_VALUE"""),45489)</f>
        <v>45489</v>
      </c>
      <c r="J2693" s="29" t="s">
        <v>9449</v>
      </c>
      <c r="K2693" s="26" t="s">
        <v>9450</v>
      </c>
      <c r="L2693" s="30">
        <v>862655669</v>
      </c>
      <c r="M2693" s="26" t="s">
        <v>59</v>
      </c>
      <c r="N2693" s="26" t="s">
        <v>9287</v>
      </c>
      <c r="O2693" s="26" t="s">
        <v>9451</v>
      </c>
      <c r="P2693" s="26" t="s">
        <v>9452</v>
      </c>
      <c r="Q2693" s="20"/>
      <c r="R2693" s="26" t="s">
        <v>36</v>
      </c>
      <c r="S2693" s="95">
        <v>15936</v>
      </c>
      <c r="T2693" s="148">
        <v>45482</v>
      </c>
      <c r="U2693" s="31"/>
      <c r="V2693" s="32"/>
      <c r="W2693" s="33" t="s">
        <v>9453</v>
      </c>
      <c r="X2693" s="26"/>
      <c r="Y2693" s="22"/>
      <c r="Z2693" s="26" t="s">
        <v>50</v>
      </c>
      <c r="AA2693" s="70" t="s">
        <v>9070</v>
      </c>
      <c r="AB2693" s="26"/>
      <c r="AC2693" s="26" t="s">
        <v>53</v>
      </c>
      <c r="AD2693" s="26" t="s">
        <v>54</v>
      </c>
      <c r="AE2693" s="26" t="s">
        <v>430</v>
      </c>
      <c r="AF2693" s="17">
        <v>45484</v>
      </c>
      <c r="AG2693" s="26"/>
      <c r="AH2693" s="26"/>
      <c r="AI2693" s="40"/>
      <c r="AJ2693" s="26"/>
      <c r="AK2693" s="26"/>
      <c r="AL2693" s="35"/>
      <c r="AM2693" s="35"/>
      <c r="AN2693" s="35"/>
      <c r="AO2693" s="35"/>
      <c r="AP2693" s="35"/>
    </row>
    <row r="2694" spans="1:42" x14ac:dyDescent="0.2">
      <c r="A2694" s="126">
        <v>45483.341350972223</v>
      </c>
      <c r="B2694" s="28" t="s">
        <v>37</v>
      </c>
      <c r="C2694" s="41" t="s">
        <v>118</v>
      </c>
      <c r="D2694" s="26" t="s">
        <v>36</v>
      </c>
      <c r="E2694" s="26" t="s">
        <v>77</v>
      </c>
      <c r="F2694" s="26" t="s">
        <v>36</v>
      </c>
      <c r="G2694" s="26" t="s">
        <v>41</v>
      </c>
      <c r="H2694" s="26" t="s">
        <v>9419</v>
      </c>
      <c r="I2694" s="17">
        <f ca="1">IFERROR(__xludf.DUMMYFUNCTION("""COMPUTED_VALUE"""),45489)</f>
        <v>45489</v>
      </c>
      <c r="J2694" s="29" t="s">
        <v>9454</v>
      </c>
      <c r="K2694" s="26" t="s">
        <v>9455</v>
      </c>
      <c r="L2694" s="30">
        <v>345763345</v>
      </c>
      <c r="M2694" s="26" t="s">
        <v>9422</v>
      </c>
      <c r="N2694" s="26" t="s">
        <v>5574</v>
      </c>
      <c r="O2694" s="26" t="s">
        <v>2144</v>
      </c>
      <c r="P2694" s="26" t="s">
        <v>9456</v>
      </c>
      <c r="Q2694" s="20"/>
      <c r="R2694" s="26" t="s">
        <v>36</v>
      </c>
      <c r="S2694" s="95">
        <v>1968</v>
      </c>
      <c r="T2694" s="148">
        <v>45482</v>
      </c>
      <c r="U2694" s="31"/>
      <c r="V2694" s="32"/>
      <c r="W2694" s="33" t="s">
        <v>9457</v>
      </c>
      <c r="X2694" s="26"/>
      <c r="Y2694" s="22"/>
      <c r="Z2694" s="26" t="s">
        <v>50</v>
      </c>
      <c r="AA2694" s="70" t="s">
        <v>9070</v>
      </c>
      <c r="AB2694" s="26"/>
      <c r="AC2694" s="26" t="s">
        <v>53</v>
      </c>
      <c r="AD2694" s="26" t="s">
        <v>54</v>
      </c>
      <c r="AE2694" s="26">
        <v>340</v>
      </c>
      <c r="AF2694" s="17">
        <v>45484</v>
      </c>
      <c r="AG2694" s="26"/>
      <c r="AH2694" s="26"/>
      <c r="AI2694" s="40"/>
      <c r="AJ2694" s="26"/>
      <c r="AK2694" s="26"/>
      <c r="AL2694" s="35"/>
      <c r="AM2694" s="35"/>
      <c r="AN2694" s="35"/>
      <c r="AO2694" s="35"/>
      <c r="AP2694" s="35"/>
    </row>
    <row r="2695" spans="1:42" x14ac:dyDescent="0.2">
      <c r="A2695" s="126">
        <v>45483.57440085648</v>
      </c>
      <c r="B2695" s="28" t="s">
        <v>37</v>
      </c>
      <c r="C2695" s="41" t="s">
        <v>118</v>
      </c>
      <c r="D2695" s="26" t="s">
        <v>36</v>
      </c>
      <c r="E2695" s="26" t="s">
        <v>56</v>
      </c>
      <c r="F2695" s="26" t="s">
        <v>36</v>
      </c>
      <c r="G2695" s="26" t="s">
        <v>41</v>
      </c>
      <c r="H2695" s="26" t="s">
        <v>9419</v>
      </c>
      <c r="I2695" s="17">
        <f ca="1">IFERROR(__xludf.DUMMYFUNCTION("""COMPUTED_VALUE"""),45489)</f>
        <v>45489</v>
      </c>
      <c r="J2695" s="29" t="s">
        <v>9458</v>
      </c>
      <c r="K2695" s="26" t="s">
        <v>9459</v>
      </c>
      <c r="L2695" s="30">
        <v>981302862</v>
      </c>
      <c r="M2695" s="26" t="s">
        <v>45</v>
      </c>
      <c r="N2695" s="26" t="s">
        <v>8518</v>
      </c>
      <c r="O2695" s="26" t="s">
        <v>9460</v>
      </c>
      <c r="P2695" s="26" t="s">
        <v>9461</v>
      </c>
      <c r="Q2695" s="20"/>
      <c r="R2695" s="26" t="s">
        <v>36</v>
      </c>
      <c r="S2695" s="95">
        <v>9317</v>
      </c>
      <c r="T2695" s="148">
        <v>45483</v>
      </c>
      <c r="U2695" s="31"/>
      <c r="V2695" s="32"/>
      <c r="W2695" s="33" t="s">
        <v>9462</v>
      </c>
      <c r="X2695" s="26"/>
      <c r="Y2695" s="22"/>
      <c r="Z2695" s="26" t="s">
        <v>50</v>
      </c>
      <c r="AA2695" s="70" t="s">
        <v>9070</v>
      </c>
      <c r="AB2695" s="26"/>
      <c r="AC2695" s="26" t="s">
        <v>53</v>
      </c>
      <c r="AD2695" s="26" t="s">
        <v>54</v>
      </c>
      <c r="AE2695" s="26">
        <v>0</v>
      </c>
      <c r="AF2695" s="17">
        <v>45484</v>
      </c>
      <c r="AG2695" s="26"/>
      <c r="AH2695" s="26"/>
      <c r="AI2695" s="40"/>
      <c r="AJ2695" s="26"/>
      <c r="AK2695" s="26"/>
      <c r="AL2695" s="35"/>
      <c r="AM2695" s="35"/>
      <c r="AN2695" s="35"/>
      <c r="AO2695" s="35"/>
      <c r="AP2695" s="35"/>
    </row>
    <row r="2696" spans="1:42" x14ac:dyDescent="0.2">
      <c r="A2696" s="126">
        <v>45484.331357650459</v>
      </c>
      <c r="B2696" s="28" t="s">
        <v>37</v>
      </c>
      <c r="C2696" s="41" t="s">
        <v>118</v>
      </c>
      <c r="D2696" s="26" t="s">
        <v>36</v>
      </c>
      <c r="E2696" s="26" t="s">
        <v>106</v>
      </c>
      <c r="F2696" s="26" t="s">
        <v>36</v>
      </c>
      <c r="G2696" s="26" t="s">
        <v>108</v>
      </c>
      <c r="H2696" s="26" t="s">
        <v>8708</v>
      </c>
      <c r="I2696" s="17">
        <f ca="1">IFERROR(__xludf.DUMMYFUNCTION("""COMPUTED_VALUE"""),45492)</f>
        <v>45492</v>
      </c>
      <c r="J2696" s="29" t="s">
        <v>9463</v>
      </c>
      <c r="K2696" s="26" t="s">
        <v>9464</v>
      </c>
      <c r="L2696" s="30">
        <v>387974042</v>
      </c>
      <c r="M2696" s="26" t="s">
        <v>45</v>
      </c>
      <c r="N2696" s="26" t="s">
        <v>571</v>
      </c>
      <c r="O2696" s="26" t="s">
        <v>9465</v>
      </c>
      <c r="P2696" s="26" t="s">
        <v>9466</v>
      </c>
      <c r="Q2696" s="20"/>
      <c r="R2696" s="26" t="s">
        <v>36</v>
      </c>
      <c r="S2696" s="95">
        <v>3768</v>
      </c>
      <c r="T2696" s="148">
        <v>45483</v>
      </c>
      <c r="U2696" s="31"/>
      <c r="V2696" s="32"/>
      <c r="W2696" s="33" t="s">
        <v>9467</v>
      </c>
      <c r="X2696" s="26"/>
      <c r="Y2696" s="22"/>
      <c r="Z2696" s="26" t="s">
        <v>50</v>
      </c>
      <c r="AA2696" s="70" t="s">
        <v>9070</v>
      </c>
      <c r="AB2696" s="26"/>
      <c r="AC2696" s="26" t="s">
        <v>53</v>
      </c>
      <c r="AD2696" s="26" t="s">
        <v>54</v>
      </c>
      <c r="AE2696" s="26">
        <v>360</v>
      </c>
      <c r="AF2696" s="17">
        <v>45488</v>
      </c>
      <c r="AG2696" s="26"/>
      <c r="AH2696" s="26"/>
      <c r="AI2696" s="40"/>
      <c r="AJ2696" s="26"/>
      <c r="AK2696" s="26"/>
      <c r="AL2696" s="35"/>
      <c r="AM2696" s="35"/>
      <c r="AN2696" s="35"/>
      <c r="AO2696" s="35"/>
      <c r="AP2696" s="35"/>
    </row>
    <row r="2697" spans="1:42" x14ac:dyDescent="0.2">
      <c r="A2697" s="126">
        <v>45484.417921967593</v>
      </c>
      <c r="B2697" s="28" t="s">
        <v>37</v>
      </c>
      <c r="C2697" s="41" t="s">
        <v>118</v>
      </c>
      <c r="D2697" s="26" t="s">
        <v>36</v>
      </c>
      <c r="E2697" s="26" t="s">
        <v>148</v>
      </c>
      <c r="F2697" s="26" t="s">
        <v>36</v>
      </c>
      <c r="G2697" s="26" t="s">
        <v>108</v>
      </c>
      <c r="H2697" s="26" t="s">
        <v>8602</v>
      </c>
      <c r="I2697" s="17">
        <f ca="1">IFERROR(__xludf.DUMMYFUNCTION("""COMPUTED_VALUE"""),45485)</f>
        <v>45485</v>
      </c>
      <c r="J2697" s="29" t="s">
        <v>9468</v>
      </c>
      <c r="K2697" s="26" t="s">
        <v>9469</v>
      </c>
      <c r="L2697" s="30">
        <v>967026905</v>
      </c>
      <c r="M2697" s="26" t="s">
        <v>348</v>
      </c>
      <c r="N2697" s="26" t="s">
        <v>68</v>
      </c>
      <c r="O2697" s="26" t="s">
        <v>9470</v>
      </c>
      <c r="P2697" s="26" t="s">
        <v>9471</v>
      </c>
      <c r="Q2697" s="20"/>
      <c r="R2697" s="26" t="s">
        <v>36</v>
      </c>
      <c r="S2697" s="95">
        <v>7349</v>
      </c>
      <c r="T2697" s="148">
        <v>45484</v>
      </c>
      <c r="U2697" s="31"/>
      <c r="V2697" s="32"/>
      <c r="W2697" s="33" t="s">
        <v>9472</v>
      </c>
      <c r="X2697" s="26"/>
      <c r="Y2697" s="22"/>
      <c r="Z2697" s="26" t="s">
        <v>50</v>
      </c>
      <c r="AA2697" s="70" t="s">
        <v>9070</v>
      </c>
      <c r="AB2697" s="26"/>
      <c r="AC2697" s="26" t="s">
        <v>53</v>
      </c>
      <c r="AD2697" s="26" t="s">
        <v>54</v>
      </c>
      <c r="AE2697" s="26">
        <v>350</v>
      </c>
      <c r="AF2697" s="17">
        <v>45484</v>
      </c>
      <c r="AG2697" s="26"/>
      <c r="AH2697" s="26"/>
      <c r="AI2697" s="40"/>
      <c r="AJ2697" s="26"/>
      <c r="AK2697" s="26"/>
      <c r="AL2697" s="35"/>
      <c r="AM2697" s="35"/>
      <c r="AN2697" s="35"/>
      <c r="AO2697" s="35"/>
      <c r="AP2697" s="35"/>
    </row>
    <row r="2698" spans="1:42" x14ac:dyDescent="0.2">
      <c r="A2698" s="126">
        <v>45484.522339826392</v>
      </c>
      <c r="B2698" s="28" t="s">
        <v>37</v>
      </c>
      <c r="C2698" s="41" t="s">
        <v>118</v>
      </c>
      <c r="D2698" s="26" t="s">
        <v>106</v>
      </c>
      <c r="E2698" s="26" t="s">
        <v>219</v>
      </c>
      <c r="F2698" s="26" t="s">
        <v>3295</v>
      </c>
      <c r="G2698" s="26" t="s">
        <v>221</v>
      </c>
      <c r="H2698" s="26" t="s">
        <v>6615</v>
      </c>
      <c r="I2698" s="17">
        <f ca="1">IFERROR(__xludf.DUMMYFUNCTION("""COMPUTED_VALUE"""),45496)</f>
        <v>45496</v>
      </c>
      <c r="J2698" s="29" t="s">
        <v>9473</v>
      </c>
      <c r="K2698" s="26" t="s">
        <v>5597</v>
      </c>
      <c r="L2698" s="30">
        <v>328693544</v>
      </c>
      <c r="M2698" s="26" t="s">
        <v>2755</v>
      </c>
      <c r="N2698" s="26" t="s">
        <v>310</v>
      </c>
      <c r="O2698" s="26" t="s">
        <v>4503</v>
      </c>
      <c r="P2698" s="26" t="s">
        <v>9474</v>
      </c>
      <c r="Q2698" s="20"/>
      <c r="R2698" s="26" t="s">
        <v>36</v>
      </c>
      <c r="S2698" s="95">
        <v>3970</v>
      </c>
      <c r="T2698" s="148">
        <v>45484</v>
      </c>
      <c r="U2698" s="31"/>
      <c r="V2698" s="32"/>
      <c r="W2698" s="33" t="s">
        <v>9475</v>
      </c>
      <c r="X2698" s="26"/>
      <c r="Y2698" s="22"/>
      <c r="Z2698" s="26" t="s">
        <v>50</v>
      </c>
      <c r="AA2698" s="70" t="s">
        <v>9070</v>
      </c>
      <c r="AB2698" s="26"/>
      <c r="AC2698" s="26" t="s">
        <v>53</v>
      </c>
      <c r="AD2698" s="26" t="s">
        <v>54</v>
      </c>
      <c r="AE2698" s="26"/>
      <c r="AF2698" s="17">
        <v>45490</v>
      </c>
      <c r="AG2698" s="26"/>
      <c r="AH2698" s="26"/>
      <c r="AI2698" s="40"/>
      <c r="AJ2698" s="26"/>
      <c r="AK2698" s="26"/>
      <c r="AL2698" s="35"/>
      <c r="AM2698" s="35"/>
      <c r="AN2698" s="35"/>
      <c r="AO2698" s="35"/>
      <c r="AP2698" s="35"/>
    </row>
    <row r="2699" spans="1:42" x14ac:dyDescent="0.2">
      <c r="A2699" s="126">
        <v>45484.533308009261</v>
      </c>
      <c r="B2699" s="28" t="s">
        <v>37</v>
      </c>
      <c r="C2699" s="41" t="s">
        <v>118</v>
      </c>
      <c r="D2699" s="26" t="s">
        <v>36</v>
      </c>
      <c r="E2699" s="26" t="s">
        <v>148</v>
      </c>
      <c r="F2699" s="26" t="s">
        <v>36</v>
      </c>
      <c r="G2699" s="26" t="s">
        <v>108</v>
      </c>
      <c r="H2699" s="26" t="s">
        <v>8708</v>
      </c>
      <c r="I2699" s="17">
        <f ca="1">IFERROR(__xludf.DUMMYFUNCTION("""COMPUTED_VALUE"""),45492)</f>
        <v>45492</v>
      </c>
      <c r="J2699" s="29" t="s">
        <v>9476</v>
      </c>
      <c r="K2699" s="26" t="s">
        <v>9477</v>
      </c>
      <c r="L2699" s="30">
        <v>943396589</v>
      </c>
      <c r="M2699" s="26" t="s">
        <v>94</v>
      </c>
      <c r="N2699" s="26" t="s">
        <v>9478</v>
      </c>
      <c r="O2699" s="26" t="s">
        <v>9479</v>
      </c>
      <c r="P2699" s="26" t="s">
        <v>9480</v>
      </c>
      <c r="Q2699" s="20"/>
      <c r="R2699" s="26" t="s">
        <v>36</v>
      </c>
      <c r="S2699" s="95">
        <v>7349</v>
      </c>
      <c r="T2699" s="148">
        <v>45483</v>
      </c>
      <c r="U2699" s="31"/>
      <c r="V2699" s="32"/>
      <c r="W2699" s="33" t="s">
        <v>9481</v>
      </c>
      <c r="X2699" s="26"/>
      <c r="Y2699" s="22"/>
      <c r="Z2699" s="26" t="s">
        <v>50</v>
      </c>
      <c r="AA2699" s="70" t="s">
        <v>9070</v>
      </c>
      <c r="AB2699" s="26" t="s">
        <v>8827</v>
      </c>
      <c r="AC2699" s="26" t="s">
        <v>53</v>
      </c>
      <c r="AD2699" s="26" t="s">
        <v>54</v>
      </c>
      <c r="AE2699" s="26">
        <v>490</v>
      </c>
      <c r="AF2699" s="17">
        <v>45488</v>
      </c>
      <c r="AG2699" s="26"/>
      <c r="AH2699" s="26"/>
      <c r="AI2699" s="40"/>
      <c r="AJ2699" s="26"/>
      <c r="AK2699" s="26"/>
      <c r="AL2699" s="35"/>
      <c r="AM2699" s="35"/>
      <c r="AN2699" s="35"/>
      <c r="AO2699" s="35"/>
      <c r="AP2699" s="35"/>
    </row>
    <row r="2700" spans="1:42" x14ac:dyDescent="0.2">
      <c r="A2700" s="126">
        <v>45484.536704224534</v>
      </c>
      <c r="B2700" s="28" t="s">
        <v>37</v>
      </c>
      <c r="C2700" s="41" t="s">
        <v>118</v>
      </c>
      <c r="D2700" s="26" t="s">
        <v>36</v>
      </c>
      <c r="E2700" s="26" t="s">
        <v>119</v>
      </c>
      <c r="F2700" s="26" t="s">
        <v>36</v>
      </c>
      <c r="G2700" s="26" t="s">
        <v>108</v>
      </c>
      <c r="H2700" s="26" t="s">
        <v>8704</v>
      </c>
      <c r="I2700" s="17">
        <f ca="1">IFERROR(__xludf.DUMMYFUNCTION("""COMPUTED_VALUE"""),45490)</f>
        <v>45490</v>
      </c>
      <c r="J2700" s="29" t="s">
        <v>9482</v>
      </c>
      <c r="K2700" s="26" t="s">
        <v>9483</v>
      </c>
      <c r="L2700" s="30">
        <v>962764866</v>
      </c>
      <c r="M2700" s="26" t="s">
        <v>94</v>
      </c>
      <c r="N2700" s="26" t="s">
        <v>9478</v>
      </c>
      <c r="O2700" s="26" t="s">
        <v>9484</v>
      </c>
      <c r="P2700" s="26" t="s">
        <v>9485</v>
      </c>
      <c r="Q2700" s="20"/>
      <c r="R2700" s="26" t="s">
        <v>36</v>
      </c>
      <c r="S2700" s="95">
        <v>13968</v>
      </c>
      <c r="T2700" s="148">
        <v>45484</v>
      </c>
      <c r="U2700" s="31"/>
      <c r="V2700" s="32"/>
      <c r="W2700" s="33" t="s">
        <v>9486</v>
      </c>
      <c r="X2700" s="26"/>
      <c r="Y2700" s="22"/>
      <c r="Z2700" s="26" t="s">
        <v>50</v>
      </c>
      <c r="AA2700" s="70" t="s">
        <v>9070</v>
      </c>
      <c r="AB2700" s="26" t="s">
        <v>8827</v>
      </c>
      <c r="AC2700" s="26" t="s">
        <v>53</v>
      </c>
      <c r="AD2700" s="26" t="s">
        <v>54</v>
      </c>
      <c r="AE2700" s="26">
        <v>430</v>
      </c>
      <c r="AF2700" s="17">
        <v>45485</v>
      </c>
      <c r="AG2700" s="26"/>
      <c r="AH2700" s="26"/>
      <c r="AI2700" s="40"/>
      <c r="AJ2700" s="26"/>
      <c r="AK2700" s="26"/>
      <c r="AL2700" s="35"/>
      <c r="AM2700" s="35"/>
      <c r="AN2700" s="35"/>
      <c r="AO2700" s="35"/>
      <c r="AP2700" s="35"/>
    </row>
    <row r="2701" spans="1:42" x14ac:dyDescent="0.2">
      <c r="A2701" s="126">
        <v>45485.484984363429</v>
      </c>
      <c r="B2701" s="28" t="s">
        <v>37</v>
      </c>
      <c r="C2701" s="41" t="s">
        <v>118</v>
      </c>
      <c r="D2701" s="26" t="s">
        <v>36</v>
      </c>
      <c r="E2701" s="26" t="s">
        <v>56</v>
      </c>
      <c r="F2701" s="26" t="s">
        <v>40</v>
      </c>
      <c r="G2701" s="26" t="s">
        <v>41</v>
      </c>
      <c r="H2701" s="26" t="s">
        <v>9405</v>
      </c>
      <c r="I2701" s="17">
        <f ca="1">IFERROR(__xludf.DUMMYFUNCTION("""COMPUTED_VALUE"""),45488)</f>
        <v>45488</v>
      </c>
      <c r="J2701" s="29" t="s">
        <v>9487</v>
      </c>
      <c r="K2701" s="26" t="s">
        <v>9488</v>
      </c>
      <c r="L2701" s="30">
        <v>867449896</v>
      </c>
      <c r="M2701" s="26" t="s">
        <v>348</v>
      </c>
      <c r="N2701" s="26" t="s">
        <v>4299</v>
      </c>
      <c r="O2701" s="26" t="s">
        <v>9489</v>
      </c>
      <c r="P2701" s="26" t="s">
        <v>9490</v>
      </c>
      <c r="Q2701" s="20"/>
      <c r="R2701" s="26" t="s">
        <v>36</v>
      </c>
      <c r="S2701" s="95">
        <v>9317</v>
      </c>
      <c r="T2701" s="148">
        <v>45482</v>
      </c>
      <c r="U2701" s="31"/>
      <c r="V2701" s="32"/>
      <c r="W2701" s="33" t="s">
        <v>9491</v>
      </c>
      <c r="X2701" s="26"/>
      <c r="Y2701" s="22"/>
      <c r="Z2701" s="26" t="s">
        <v>50</v>
      </c>
      <c r="AA2701" s="70" t="s">
        <v>9070</v>
      </c>
      <c r="AB2701" s="26"/>
      <c r="AC2701" s="26" t="s">
        <v>53</v>
      </c>
      <c r="AD2701" s="26" t="s">
        <v>54</v>
      </c>
      <c r="AE2701" s="26" t="s">
        <v>3130</v>
      </c>
      <c r="AF2701" s="17">
        <v>45485</v>
      </c>
      <c r="AG2701" s="26"/>
      <c r="AH2701" s="26"/>
      <c r="AI2701" s="40"/>
      <c r="AJ2701" s="26"/>
      <c r="AK2701" s="26"/>
      <c r="AL2701" s="35"/>
      <c r="AM2701" s="35"/>
      <c r="AN2701" s="35"/>
      <c r="AO2701" s="35"/>
      <c r="AP2701" s="35"/>
    </row>
    <row r="2702" spans="1:42" x14ac:dyDescent="0.2">
      <c r="A2702" s="126">
        <v>45486.017803402778</v>
      </c>
      <c r="B2702" s="28" t="s">
        <v>37</v>
      </c>
      <c r="C2702" s="41" t="s">
        <v>118</v>
      </c>
      <c r="D2702" s="26" t="s">
        <v>36</v>
      </c>
      <c r="E2702" s="26" t="s">
        <v>56</v>
      </c>
      <c r="F2702" s="26" t="s">
        <v>36</v>
      </c>
      <c r="G2702" s="26" t="s">
        <v>41</v>
      </c>
      <c r="H2702" s="26" t="s">
        <v>7330</v>
      </c>
      <c r="I2702" s="17">
        <f ca="1">IFERROR(__xludf.DUMMYFUNCTION("""COMPUTED_VALUE"""),45509)</f>
        <v>45509</v>
      </c>
      <c r="J2702" s="29" t="s">
        <v>9492</v>
      </c>
      <c r="K2702" s="26" t="s">
        <v>9493</v>
      </c>
      <c r="L2702" s="30">
        <v>354261503</v>
      </c>
      <c r="M2702" s="26" t="s">
        <v>59</v>
      </c>
      <c r="N2702" s="26" t="s">
        <v>68</v>
      </c>
      <c r="O2702" s="26" t="s">
        <v>9494</v>
      </c>
      <c r="P2702" s="26" t="s">
        <v>9495</v>
      </c>
      <c r="Q2702" s="20"/>
      <c r="R2702" s="26" t="s">
        <v>36</v>
      </c>
      <c r="S2702" s="95">
        <v>9317</v>
      </c>
      <c r="T2702" s="148">
        <v>45485</v>
      </c>
      <c r="U2702" s="31"/>
      <c r="V2702" s="32"/>
      <c r="W2702" s="33" t="s">
        <v>9496</v>
      </c>
      <c r="X2702" s="26"/>
      <c r="Y2702" s="22"/>
      <c r="Z2702" s="26" t="s">
        <v>50</v>
      </c>
      <c r="AA2702" s="70" t="s">
        <v>9070</v>
      </c>
      <c r="AB2702" s="26"/>
      <c r="AC2702" s="26" t="s">
        <v>53</v>
      </c>
      <c r="AD2702" s="26" t="s">
        <v>138</v>
      </c>
      <c r="AE2702" s="26" t="s">
        <v>4488</v>
      </c>
      <c r="AF2702" s="17">
        <v>45509</v>
      </c>
      <c r="AG2702" s="26" t="s">
        <v>4279</v>
      </c>
      <c r="AH2702" s="26"/>
      <c r="AI2702" s="40"/>
      <c r="AJ2702" s="26"/>
      <c r="AK2702" s="26"/>
      <c r="AL2702" s="35"/>
      <c r="AM2702" s="35"/>
      <c r="AN2702" s="35"/>
      <c r="AO2702" s="35"/>
      <c r="AP2702" s="35"/>
    </row>
    <row r="2703" spans="1:42" x14ac:dyDescent="0.2">
      <c r="A2703" s="126">
        <v>45486.767881041669</v>
      </c>
      <c r="B2703" s="28" t="s">
        <v>37</v>
      </c>
      <c r="C2703" s="41" t="s">
        <v>118</v>
      </c>
      <c r="D2703" s="26" t="s">
        <v>36</v>
      </c>
      <c r="E2703" s="26" t="s">
        <v>77</v>
      </c>
      <c r="F2703" s="26" t="s">
        <v>36</v>
      </c>
      <c r="G2703" s="26" t="s">
        <v>41</v>
      </c>
      <c r="H2703" s="26" t="s">
        <v>9448</v>
      </c>
      <c r="I2703" s="17">
        <f ca="1">IFERROR(__xludf.DUMMYFUNCTION("""COMPUTED_VALUE"""),45489)</f>
        <v>45489</v>
      </c>
      <c r="J2703" s="29" t="s">
        <v>9497</v>
      </c>
      <c r="K2703" s="26" t="s">
        <v>9498</v>
      </c>
      <c r="L2703" s="30">
        <v>773361847</v>
      </c>
      <c r="M2703" s="26" t="s">
        <v>9422</v>
      </c>
      <c r="N2703" s="26" t="s">
        <v>327</v>
      </c>
      <c r="O2703" s="26" t="s">
        <v>9499</v>
      </c>
      <c r="P2703" s="26" t="s">
        <v>9500</v>
      </c>
      <c r="Q2703" s="20"/>
      <c r="R2703" s="26" t="s">
        <v>36</v>
      </c>
      <c r="S2703" s="95">
        <v>1968</v>
      </c>
      <c r="T2703" s="148">
        <v>45488</v>
      </c>
      <c r="U2703" s="31"/>
      <c r="V2703" s="32"/>
      <c r="W2703" s="33" t="s">
        <v>9501</v>
      </c>
      <c r="X2703" s="26"/>
      <c r="Y2703" s="22"/>
      <c r="Z2703" s="26" t="s">
        <v>50</v>
      </c>
      <c r="AA2703" s="70" t="s">
        <v>9070</v>
      </c>
      <c r="AB2703" s="26"/>
      <c r="AC2703" s="26" t="s">
        <v>53</v>
      </c>
      <c r="AD2703" s="26" t="s">
        <v>54</v>
      </c>
      <c r="AE2703" s="26" t="s">
        <v>2745</v>
      </c>
      <c r="AF2703" s="17">
        <v>45488</v>
      </c>
      <c r="AG2703" s="26"/>
      <c r="AH2703" s="26"/>
      <c r="AI2703" s="40"/>
      <c r="AJ2703" s="26"/>
      <c r="AK2703" s="26"/>
      <c r="AL2703" s="35"/>
      <c r="AM2703" s="35"/>
      <c r="AN2703" s="35"/>
      <c r="AO2703" s="35"/>
      <c r="AP2703" s="35"/>
    </row>
    <row r="2704" spans="1:42" x14ac:dyDescent="0.2">
      <c r="A2704" s="126">
        <v>45487.454899328703</v>
      </c>
      <c r="B2704" s="28" t="s">
        <v>37</v>
      </c>
      <c r="C2704" s="41" t="s">
        <v>118</v>
      </c>
      <c r="D2704" s="26" t="s">
        <v>36</v>
      </c>
      <c r="E2704" s="26" t="s">
        <v>77</v>
      </c>
      <c r="F2704" s="26" t="s">
        <v>36</v>
      </c>
      <c r="G2704" s="26" t="s">
        <v>41</v>
      </c>
      <c r="H2704" s="26" t="s">
        <v>9502</v>
      </c>
      <c r="I2704" s="17">
        <f ca="1">IFERROR(__xludf.DUMMYFUNCTION("""COMPUTED_VALUE"""),45491)</f>
        <v>45491</v>
      </c>
      <c r="J2704" s="29" t="s">
        <v>9503</v>
      </c>
      <c r="K2704" s="26" t="s">
        <v>9504</v>
      </c>
      <c r="L2704" s="30">
        <v>327876175</v>
      </c>
      <c r="M2704" s="26" t="s">
        <v>123</v>
      </c>
      <c r="N2704" s="26" t="s">
        <v>327</v>
      </c>
      <c r="O2704" s="26" t="s">
        <v>4503</v>
      </c>
      <c r="P2704" s="26" t="s">
        <v>9505</v>
      </c>
      <c r="Q2704" s="20"/>
      <c r="R2704" s="26" t="s">
        <v>36</v>
      </c>
      <c r="S2704" s="95">
        <v>1968</v>
      </c>
      <c r="T2704" s="148">
        <v>45487</v>
      </c>
      <c r="U2704" s="31"/>
      <c r="V2704" s="32"/>
      <c r="W2704" s="33" t="s">
        <v>9506</v>
      </c>
      <c r="X2704" s="26"/>
      <c r="Y2704" s="22"/>
      <c r="Z2704" s="26" t="s">
        <v>50</v>
      </c>
      <c r="AA2704" s="70" t="s">
        <v>9070</v>
      </c>
      <c r="AB2704" s="26"/>
      <c r="AC2704" s="26" t="s">
        <v>53</v>
      </c>
      <c r="AD2704" s="26" t="s">
        <v>54</v>
      </c>
      <c r="AE2704" s="26"/>
      <c r="AF2704" s="17">
        <v>45488</v>
      </c>
      <c r="AG2704" s="26"/>
      <c r="AH2704" s="26"/>
      <c r="AI2704" s="40"/>
      <c r="AJ2704" s="26"/>
      <c r="AK2704" s="26"/>
      <c r="AL2704" s="35"/>
      <c r="AM2704" s="35"/>
      <c r="AN2704" s="35"/>
      <c r="AO2704" s="35"/>
      <c r="AP2704" s="35"/>
    </row>
    <row r="2705" spans="1:42" x14ac:dyDescent="0.2">
      <c r="A2705" s="126">
        <v>45488.360678969912</v>
      </c>
      <c r="B2705" s="28" t="s">
        <v>37</v>
      </c>
      <c r="C2705" s="41" t="s">
        <v>118</v>
      </c>
      <c r="D2705" s="26" t="s">
        <v>36</v>
      </c>
      <c r="E2705" s="26" t="s">
        <v>139</v>
      </c>
      <c r="F2705" s="26" t="s">
        <v>40</v>
      </c>
      <c r="G2705" s="26" t="s">
        <v>41</v>
      </c>
      <c r="H2705" s="26" t="s">
        <v>9419</v>
      </c>
      <c r="I2705" s="17">
        <f ca="1">IFERROR(__xludf.DUMMYFUNCTION("""COMPUTED_VALUE"""),45489)</f>
        <v>45489</v>
      </c>
      <c r="J2705" s="29" t="s">
        <v>9507</v>
      </c>
      <c r="K2705" s="26" t="s">
        <v>9508</v>
      </c>
      <c r="L2705" s="30">
        <v>326669104</v>
      </c>
      <c r="M2705" s="26" t="s">
        <v>45</v>
      </c>
      <c r="N2705" s="26" t="s">
        <v>7814</v>
      </c>
      <c r="O2705" s="26" t="s">
        <v>9509</v>
      </c>
      <c r="P2705" s="26" t="s">
        <v>9510</v>
      </c>
      <c r="Q2705" s="20"/>
      <c r="R2705" s="26" t="s">
        <v>36</v>
      </c>
      <c r="S2705" s="95">
        <v>15968</v>
      </c>
      <c r="T2705" s="148">
        <v>45487</v>
      </c>
      <c r="U2705" s="31"/>
      <c r="V2705" s="32"/>
      <c r="W2705" s="26" t="s">
        <v>9511</v>
      </c>
      <c r="X2705" s="26"/>
      <c r="Y2705" s="22"/>
      <c r="Z2705" s="26" t="s">
        <v>50</v>
      </c>
      <c r="AA2705" s="70" t="s">
        <v>9070</v>
      </c>
      <c r="AB2705" s="26"/>
      <c r="AC2705" s="26" t="s">
        <v>53</v>
      </c>
      <c r="AD2705" s="26" t="s">
        <v>54</v>
      </c>
      <c r="AE2705" s="26">
        <v>0</v>
      </c>
      <c r="AF2705" s="17">
        <v>45488</v>
      </c>
      <c r="AG2705" s="26"/>
      <c r="AH2705" s="26"/>
      <c r="AI2705" s="40"/>
      <c r="AJ2705" s="26"/>
      <c r="AK2705" s="26"/>
      <c r="AL2705" s="35"/>
      <c r="AM2705" s="35"/>
      <c r="AN2705" s="35"/>
      <c r="AO2705" s="35"/>
      <c r="AP2705" s="35"/>
    </row>
    <row r="2706" spans="1:42" x14ac:dyDescent="0.2">
      <c r="A2706" s="126">
        <v>45488.630515208337</v>
      </c>
      <c r="B2706" s="28" t="s">
        <v>37</v>
      </c>
      <c r="C2706" s="41" t="s">
        <v>118</v>
      </c>
      <c r="D2706" s="26" t="s">
        <v>36</v>
      </c>
      <c r="E2706" s="26" t="s">
        <v>915</v>
      </c>
      <c r="F2706" s="26" t="s">
        <v>36</v>
      </c>
      <c r="G2706" s="26" t="s">
        <v>221</v>
      </c>
      <c r="H2706" s="26" t="s">
        <v>6615</v>
      </c>
      <c r="I2706" s="17">
        <f ca="1">IFERROR(__xludf.DUMMYFUNCTION("""COMPUTED_VALUE"""),45496)</f>
        <v>45496</v>
      </c>
      <c r="J2706" s="29" t="s">
        <v>9512</v>
      </c>
      <c r="K2706" s="26" t="s">
        <v>9513</v>
      </c>
      <c r="L2706" s="30">
        <v>356943507</v>
      </c>
      <c r="M2706" s="26" t="s">
        <v>5518</v>
      </c>
      <c r="N2706" s="26" t="s">
        <v>5524</v>
      </c>
      <c r="O2706" s="26" t="s">
        <v>9514</v>
      </c>
      <c r="P2706" s="26" t="s">
        <v>9515</v>
      </c>
      <c r="Q2706" s="20"/>
      <c r="R2706" s="26" t="s">
        <v>36</v>
      </c>
      <c r="S2706" s="95">
        <f>200+10694</f>
        <v>10894</v>
      </c>
      <c r="T2706" s="148">
        <v>45488</v>
      </c>
      <c r="U2706" s="31"/>
      <c r="V2706" s="32"/>
      <c r="W2706" s="33" t="s">
        <v>9516</v>
      </c>
      <c r="X2706" s="26"/>
      <c r="Y2706" s="22"/>
      <c r="Z2706" s="26" t="s">
        <v>50</v>
      </c>
      <c r="AA2706" s="70" t="s">
        <v>9070</v>
      </c>
      <c r="AB2706" s="26"/>
      <c r="AC2706" s="26" t="s">
        <v>53</v>
      </c>
      <c r="AD2706" s="26" t="s">
        <v>54</v>
      </c>
      <c r="AE2706" s="26">
        <v>580</v>
      </c>
      <c r="AF2706" s="17">
        <v>45490</v>
      </c>
      <c r="AG2706" s="26"/>
      <c r="AH2706" s="26"/>
      <c r="AI2706" s="40"/>
      <c r="AJ2706" s="26"/>
      <c r="AK2706" s="26"/>
      <c r="AL2706" s="35"/>
      <c r="AM2706" s="35"/>
      <c r="AN2706" s="35"/>
      <c r="AO2706" s="35"/>
      <c r="AP2706" s="35"/>
    </row>
    <row r="2707" spans="1:42" x14ac:dyDescent="0.2">
      <c r="A2707" s="126">
        <v>45489.337886168985</v>
      </c>
      <c r="B2707" s="28" t="s">
        <v>37</v>
      </c>
      <c r="C2707" s="41" t="s">
        <v>118</v>
      </c>
      <c r="D2707" s="26" t="s">
        <v>36</v>
      </c>
      <c r="E2707" s="26" t="s">
        <v>39</v>
      </c>
      <c r="F2707" s="26" t="s">
        <v>36</v>
      </c>
      <c r="G2707" s="26" t="s">
        <v>41</v>
      </c>
      <c r="H2707" s="26" t="s">
        <v>9419</v>
      </c>
      <c r="I2707" s="17">
        <f ca="1">IFERROR(__xludf.DUMMYFUNCTION("""COMPUTED_VALUE"""),45489)</f>
        <v>45489</v>
      </c>
      <c r="J2707" s="29" t="s">
        <v>9517</v>
      </c>
      <c r="K2707" s="26" t="s">
        <v>9518</v>
      </c>
      <c r="L2707" s="30">
        <v>981830999</v>
      </c>
      <c r="M2707" s="26" t="s">
        <v>3288</v>
      </c>
      <c r="N2707" s="26" t="s">
        <v>200</v>
      </c>
      <c r="O2707" s="26" t="s">
        <v>9519</v>
      </c>
      <c r="P2707" s="26" t="s">
        <v>9520</v>
      </c>
      <c r="Q2707" s="20"/>
      <c r="R2707" s="26" t="s">
        <v>36</v>
      </c>
      <c r="S2707" s="95">
        <v>5736</v>
      </c>
      <c r="T2707" s="148">
        <v>45488</v>
      </c>
      <c r="U2707" s="31"/>
      <c r="V2707" s="32"/>
      <c r="W2707" s="33" t="s">
        <v>9521</v>
      </c>
      <c r="X2707" s="26"/>
      <c r="Y2707" s="22"/>
      <c r="Z2707" s="26" t="s">
        <v>50</v>
      </c>
      <c r="AA2707" s="70" t="s">
        <v>9070</v>
      </c>
      <c r="AB2707" s="26"/>
      <c r="AC2707" s="26" t="s">
        <v>53</v>
      </c>
      <c r="AD2707" s="26" t="s">
        <v>54</v>
      </c>
      <c r="AE2707" s="26" t="s">
        <v>91</v>
      </c>
      <c r="AF2707" s="17">
        <v>45489</v>
      </c>
      <c r="AG2707" s="26"/>
      <c r="AH2707" s="26"/>
      <c r="AI2707" s="40"/>
      <c r="AJ2707" s="26"/>
      <c r="AK2707" s="26"/>
      <c r="AL2707" s="35"/>
      <c r="AM2707" s="35"/>
      <c r="AN2707" s="35"/>
      <c r="AO2707" s="35"/>
      <c r="AP2707" s="35"/>
    </row>
    <row r="2708" spans="1:42" x14ac:dyDescent="0.2">
      <c r="A2708" s="126">
        <v>45489.365318611111</v>
      </c>
      <c r="B2708" s="28" t="s">
        <v>37</v>
      </c>
      <c r="C2708" s="41" t="s">
        <v>118</v>
      </c>
      <c r="D2708" s="26" t="s">
        <v>36</v>
      </c>
      <c r="E2708" s="26" t="s">
        <v>56</v>
      </c>
      <c r="F2708" s="26" t="s">
        <v>36</v>
      </c>
      <c r="G2708" s="26" t="s">
        <v>41</v>
      </c>
      <c r="H2708" s="26" t="s">
        <v>8635</v>
      </c>
      <c r="I2708" s="17">
        <f ca="1">IFERROR(__xludf.DUMMYFUNCTION("""COMPUTED_VALUE"""),45496)</f>
        <v>45496</v>
      </c>
      <c r="J2708" s="29" t="s">
        <v>9522</v>
      </c>
      <c r="K2708" s="26" t="s">
        <v>6399</v>
      </c>
      <c r="L2708" s="30">
        <v>787086202</v>
      </c>
      <c r="M2708" s="26" t="s">
        <v>59</v>
      </c>
      <c r="N2708" s="26" t="s">
        <v>68</v>
      </c>
      <c r="O2708" s="26" t="s">
        <v>9523</v>
      </c>
      <c r="P2708" s="26" t="s">
        <v>9024</v>
      </c>
      <c r="Q2708" s="20"/>
      <c r="R2708" s="26" t="s">
        <v>70</v>
      </c>
      <c r="S2708" s="95">
        <v>9217</v>
      </c>
      <c r="T2708" s="148">
        <v>45488</v>
      </c>
      <c r="U2708" s="31"/>
      <c r="V2708" s="32"/>
      <c r="W2708" s="33" t="s">
        <v>9524</v>
      </c>
      <c r="X2708" s="26"/>
      <c r="Y2708" s="22"/>
      <c r="Z2708" s="26" t="s">
        <v>50</v>
      </c>
      <c r="AA2708" s="70" t="s">
        <v>9070</v>
      </c>
      <c r="AB2708" s="26" t="s">
        <v>36</v>
      </c>
      <c r="AC2708" s="26" t="s">
        <v>53</v>
      </c>
      <c r="AD2708" s="26" t="s">
        <v>138</v>
      </c>
      <c r="AE2708" s="26" t="s">
        <v>72</v>
      </c>
      <c r="AF2708" s="17">
        <v>45496</v>
      </c>
      <c r="AG2708" s="26" t="s">
        <v>4279</v>
      </c>
      <c r="AH2708" s="26"/>
      <c r="AI2708" s="40"/>
      <c r="AJ2708" s="26"/>
      <c r="AK2708" s="26"/>
      <c r="AL2708" s="35"/>
      <c r="AM2708" s="35"/>
      <c r="AN2708" s="35"/>
      <c r="AO2708" s="35"/>
      <c r="AP2708" s="35"/>
    </row>
    <row r="2709" spans="1:42" x14ac:dyDescent="0.2">
      <c r="A2709" s="126">
        <v>45489.371083969905</v>
      </c>
      <c r="B2709" s="28" t="s">
        <v>37</v>
      </c>
      <c r="C2709" s="41" t="s">
        <v>118</v>
      </c>
      <c r="D2709" s="26" t="s">
        <v>36</v>
      </c>
      <c r="E2709" s="26" t="s">
        <v>56</v>
      </c>
      <c r="F2709" s="26" t="s">
        <v>40</v>
      </c>
      <c r="G2709" s="26" t="s">
        <v>41</v>
      </c>
      <c r="H2709" s="26" t="s">
        <v>8635</v>
      </c>
      <c r="I2709" s="17">
        <f ca="1">IFERROR(__xludf.DUMMYFUNCTION("""COMPUTED_VALUE"""),45496)</f>
        <v>45496</v>
      </c>
      <c r="J2709" s="29" t="s">
        <v>9525</v>
      </c>
      <c r="K2709" s="26" t="s">
        <v>9526</v>
      </c>
      <c r="L2709" s="30">
        <v>817282123</v>
      </c>
      <c r="M2709" s="26" t="s">
        <v>59</v>
      </c>
      <c r="N2709" s="26" t="s">
        <v>68</v>
      </c>
      <c r="O2709" s="26" t="s">
        <v>9527</v>
      </c>
      <c r="P2709" s="26" t="s">
        <v>9528</v>
      </c>
      <c r="Q2709" s="20"/>
      <c r="R2709" s="26" t="s">
        <v>70</v>
      </c>
      <c r="S2709" s="95">
        <v>9217</v>
      </c>
      <c r="T2709" s="148">
        <v>45488</v>
      </c>
      <c r="U2709" s="31"/>
      <c r="V2709" s="32"/>
      <c r="W2709" s="33" t="s">
        <v>9529</v>
      </c>
      <c r="X2709" s="26"/>
      <c r="Y2709" s="22"/>
      <c r="Z2709" s="26" t="s">
        <v>50</v>
      </c>
      <c r="AA2709" s="70" t="s">
        <v>9070</v>
      </c>
      <c r="AB2709" s="26" t="s">
        <v>36</v>
      </c>
      <c r="AC2709" s="26" t="s">
        <v>2218</v>
      </c>
      <c r="AD2709" s="26" t="s">
        <v>138</v>
      </c>
      <c r="AE2709" s="26" t="s">
        <v>72</v>
      </c>
      <c r="AF2709" s="60" t="s">
        <v>2218</v>
      </c>
      <c r="AG2709" s="26" t="s">
        <v>9530</v>
      </c>
      <c r="AH2709" s="26"/>
      <c r="AI2709" s="40"/>
      <c r="AJ2709" s="26"/>
      <c r="AK2709" s="26"/>
      <c r="AL2709" s="35"/>
      <c r="AM2709" s="35"/>
      <c r="AN2709" s="35"/>
      <c r="AO2709" s="35"/>
      <c r="AP2709" s="35"/>
    </row>
    <row r="2710" spans="1:42" x14ac:dyDescent="0.2">
      <c r="A2710" s="126">
        <v>45489.662881828699</v>
      </c>
      <c r="B2710" s="28" t="s">
        <v>37</v>
      </c>
      <c r="C2710" s="41" t="s">
        <v>118</v>
      </c>
      <c r="D2710" s="26" t="s">
        <v>36</v>
      </c>
      <c r="E2710" s="26" t="s">
        <v>77</v>
      </c>
      <c r="F2710" s="26" t="s">
        <v>36</v>
      </c>
      <c r="G2710" s="26" t="s">
        <v>41</v>
      </c>
      <c r="H2710" s="26" t="s">
        <v>9531</v>
      </c>
      <c r="I2710" s="17">
        <f ca="1">IFERROR(__xludf.DUMMYFUNCTION("""COMPUTED_VALUE"""),45492)</f>
        <v>45492</v>
      </c>
      <c r="J2710" s="29" t="s">
        <v>9532</v>
      </c>
      <c r="K2710" s="26" t="s">
        <v>9533</v>
      </c>
      <c r="L2710" s="30">
        <v>333388721</v>
      </c>
      <c r="M2710" s="26" t="s">
        <v>80</v>
      </c>
      <c r="N2710" s="26" t="s">
        <v>466</v>
      </c>
      <c r="O2710" s="26" t="s">
        <v>9534</v>
      </c>
      <c r="P2710" s="26" t="s">
        <v>9535</v>
      </c>
      <c r="Q2710" s="20"/>
      <c r="R2710" s="26" t="s">
        <v>36</v>
      </c>
      <c r="S2710" s="95">
        <v>1968</v>
      </c>
      <c r="T2710" s="148">
        <v>45489</v>
      </c>
      <c r="U2710" s="31"/>
      <c r="V2710" s="32"/>
      <c r="W2710" s="33" t="s">
        <v>9536</v>
      </c>
      <c r="X2710" s="26"/>
      <c r="Y2710" s="22"/>
      <c r="Z2710" s="26" t="s">
        <v>50</v>
      </c>
      <c r="AA2710" s="70" t="s">
        <v>9070</v>
      </c>
      <c r="AB2710" s="26"/>
      <c r="AC2710" s="26" t="s">
        <v>53</v>
      </c>
      <c r="AD2710" s="26" t="s">
        <v>54</v>
      </c>
      <c r="AE2710" s="26">
        <v>0</v>
      </c>
      <c r="AF2710" s="17">
        <v>45490</v>
      </c>
      <c r="AG2710" s="26"/>
      <c r="AH2710" s="26"/>
      <c r="AI2710" s="40"/>
      <c r="AJ2710" s="26"/>
      <c r="AK2710" s="26"/>
      <c r="AL2710" s="35"/>
      <c r="AM2710" s="35"/>
      <c r="AN2710" s="35"/>
      <c r="AO2710" s="35"/>
      <c r="AP2710" s="35"/>
    </row>
    <row r="2711" spans="1:42" x14ac:dyDescent="0.2">
      <c r="A2711" s="126">
        <v>45490.64628483796</v>
      </c>
      <c r="B2711" s="28" t="s">
        <v>37</v>
      </c>
      <c r="C2711" s="41" t="s">
        <v>118</v>
      </c>
      <c r="D2711" s="26" t="s">
        <v>36</v>
      </c>
      <c r="E2711" s="26" t="s">
        <v>106</v>
      </c>
      <c r="F2711" s="26" t="s">
        <v>36</v>
      </c>
      <c r="G2711" s="26" t="s">
        <v>108</v>
      </c>
      <c r="H2711" s="26" t="s">
        <v>1565</v>
      </c>
      <c r="I2711" s="17">
        <f ca="1">IFERROR(__xludf.DUMMYFUNCTION("""COMPUTED_VALUE"""),45502)</f>
        <v>45502</v>
      </c>
      <c r="J2711" s="29" t="s">
        <v>9537</v>
      </c>
      <c r="K2711" s="26" t="s">
        <v>9538</v>
      </c>
      <c r="L2711" s="30">
        <v>947207962</v>
      </c>
      <c r="M2711" s="26" t="s">
        <v>1245</v>
      </c>
      <c r="N2711" s="26" t="s">
        <v>5092</v>
      </c>
      <c r="O2711" s="26" t="s">
        <v>9539</v>
      </c>
      <c r="P2711" s="26" t="s">
        <v>9540</v>
      </c>
      <c r="Q2711" s="20"/>
      <c r="R2711" s="26" t="s">
        <v>36</v>
      </c>
      <c r="S2711" s="95">
        <v>3768</v>
      </c>
      <c r="T2711" s="148">
        <v>45478</v>
      </c>
      <c r="U2711" s="31"/>
      <c r="V2711" s="32"/>
      <c r="W2711" s="33" t="s">
        <v>9541</v>
      </c>
      <c r="X2711" s="26"/>
      <c r="Y2711" s="22"/>
      <c r="Z2711" s="26" t="s">
        <v>50</v>
      </c>
      <c r="AA2711" s="70" t="s">
        <v>9070</v>
      </c>
      <c r="AB2711" s="26" t="s">
        <v>36</v>
      </c>
      <c r="AC2711" s="26" t="s">
        <v>53</v>
      </c>
      <c r="AD2711" s="26" t="s">
        <v>138</v>
      </c>
      <c r="AE2711" s="26">
        <v>400</v>
      </c>
      <c r="AF2711" s="17">
        <v>45502</v>
      </c>
      <c r="AG2711" s="26" t="s">
        <v>4279</v>
      </c>
      <c r="AH2711" s="26"/>
      <c r="AI2711" s="40"/>
      <c r="AJ2711" s="26"/>
      <c r="AK2711" s="26"/>
      <c r="AL2711" s="35"/>
      <c r="AM2711" s="35"/>
      <c r="AN2711" s="35"/>
      <c r="AO2711" s="35"/>
      <c r="AP2711" s="35"/>
    </row>
    <row r="2712" spans="1:42" x14ac:dyDescent="0.2">
      <c r="A2712" s="126">
        <v>45491.408766180553</v>
      </c>
      <c r="B2712" s="28" t="s">
        <v>37</v>
      </c>
      <c r="C2712" s="41" t="s">
        <v>118</v>
      </c>
      <c r="D2712" s="26" t="s">
        <v>36</v>
      </c>
      <c r="E2712" s="26" t="s">
        <v>39</v>
      </c>
      <c r="F2712" s="26" t="s">
        <v>36</v>
      </c>
      <c r="G2712" s="26" t="s">
        <v>41</v>
      </c>
      <c r="H2712" s="26" t="s">
        <v>7330</v>
      </c>
      <c r="I2712" s="17">
        <f ca="1">IFERROR(__xludf.DUMMYFUNCTION("""COMPUTED_VALUE"""),45509)</f>
        <v>45509</v>
      </c>
      <c r="J2712" s="29" t="s">
        <v>9542</v>
      </c>
      <c r="K2712" s="26" t="s">
        <v>9543</v>
      </c>
      <c r="L2712" s="30">
        <v>911944053</v>
      </c>
      <c r="M2712" s="26" t="s">
        <v>6309</v>
      </c>
      <c r="N2712" s="26" t="s">
        <v>9544</v>
      </c>
      <c r="O2712" s="26" t="s">
        <v>8827</v>
      </c>
      <c r="P2712" s="26" t="s">
        <v>9545</v>
      </c>
      <c r="Q2712" s="20"/>
      <c r="R2712" s="26" t="s">
        <v>36</v>
      </c>
      <c r="S2712" s="95">
        <f>5317+419</f>
        <v>5736</v>
      </c>
      <c r="T2712" s="148">
        <v>45491</v>
      </c>
      <c r="U2712" s="31"/>
      <c r="V2712" s="32"/>
      <c r="W2712" s="33" t="s">
        <v>9546</v>
      </c>
      <c r="X2712" s="26"/>
      <c r="Y2712" s="22"/>
      <c r="Z2712" s="26" t="s">
        <v>50</v>
      </c>
      <c r="AA2712" s="70" t="s">
        <v>9070</v>
      </c>
      <c r="AB2712" s="26"/>
      <c r="AC2712" s="26" t="s">
        <v>53</v>
      </c>
      <c r="AD2712" s="26" t="s">
        <v>138</v>
      </c>
      <c r="AE2712" s="26"/>
      <c r="AF2712" s="17">
        <v>45509</v>
      </c>
      <c r="AG2712" s="26" t="s">
        <v>4279</v>
      </c>
      <c r="AH2712" s="26"/>
      <c r="AI2712" s="40"/>
      <c r="AJ2712" s="26"/>
      <c r="AK2712" s="26"/>
      <c r="AL2712" s="35"/>
      <c r="AM2712" s="35"/>
      <c r="AN2712" s="35"/>
      <c r="AO2712" s="35"/>
      <c r="AP2712" s="35"/>
    </row>
    <row r="2713" spans="1:42" x14ac:dyDescent="0.2">
      <c r="A2713" s="126">
        <v>45491.502809247686</v>
      </c>
      <c r="B2713" s="28" t="s">
        <v>37</v>
      </c>
      <c r="C2713" s="41" t="s">
        <v>118</v>
      </c>
      <c r="D2713" s="26" t="s">
        <v>36</v>
      </c>
      <c r="E2713" s="26" t="s">
        <v>77</v>
      </c>
      <c r="F2713" s="26" t="s">
        <v>40</v>
      </c>
      <c r="G2713" s="26" t="s">
        <v>41</v>
      </c>
      <c r="H2713" s="26" t="s">
        <v>9547</v>
      </c>
      <c r="I2713" s="17">
        <f ca="1">IFERROR(__xludf.DUMMYFUNCTION("""COMPUTED_VALUE"""),45495)</f>
        <v>45495</v>
      </c>
      <c r="J2713" s="29" t="s">
        <v>9548</v>
      </c>
      <c r="K2713" s="26" t="s">
        <v>9549</v>
      </c>
      <c r="L2713" s="30">
        <v>395868219</v>
      </c>
      <c r="M2713" s="26" t="s">
        <v>5429</v>
      </c>
      <c r="N2713" s="26" t="s">
        <v>3065</v>
      </c>
      <c r="O2713" s="26" t="s">
        <v>9550</v>
      </c>
      <c r="P2713" s="26" t="s">
        <v>9551</v>
      </c>
      <c r="Q2713" s="20"/>
      <c r="R2713" s="26" t="s">
        <v>36</v>
      </c>
      <c r="S2713" s="95">
        <v>1968</v>
      </c>
      <c r="T2713" s="148">
        <v>45491</v>
      </c>
      <c r="U2713" s="31"/>
      <c r="V2713" s="32"/>
      <c r="W2713" s="33" t="s">
        <v>9552</v>
      </c>
      <c r="X2713" s="26"/>
      <c r="Y2713" s="22"/>
      <c r="Z2713" s="26" t="s">
        <v>50</v>
      </c>
      <c r="AA2713" s="70" t="s">
        <v>9070</v>
      </c>
      <c r="AB2713" s="26"/>
      <c r="AC2713" s="26" t="s">
        <v>53</v>
      </c>
      <c r="AD2713" s="26" t="s">
        <v>54</v>
      </c>
      <c r="AE2713" s="26" t="s">
        <v>72</v>
      </c>
      <c r="AF2713" s="17">
        <v>45491</v>
      </c>
      <c r="AG2713" s="26"/>
      <c r="AH2713" s="26"/>
      <c r="AI2713" s="40"/>
      <c r="AJ2713" s="26"/>
      <c r="AK2713" s="26"/>
      <c r="AL2713" s="35"/>
      <c r="AM2713" s="35"/>
      <c r="AN2713" s="35"/>
      <c r="AO2713" s="35"/>
      <c r="AP2713" s="35"/>
    </row>
    <row r="2714" spans="1:42" x14ac:dyDescent="0.2">
      <c r="A2714" s="126">
        <v>45492.629083125001</v>
      </c>
      <c r="B2714" s="28" t="s">
        <v>37</v>
      </c>
      <c r="C2714" s="41" t="s">
        <v>118</v>
      </c>
      <c r="D2714" s="26" t="s">
        <v>36</v>
      </c>
      <c r="E2714" s="26" t="s">
        <v>119</v>
      </c>
      <c r="F2714" s="26" t="s">
        <v>36</v>
      </c>
      <c r="G2714" s="26" t="s">
        <v>108</v>
      </c>
      <c r="H2714" s="26" t="s">
        <v>9553</v>
      </c>
      <c r="I2714" s="17">
        <f ca="1">IFERROR(__xludf.DUMMYFUNCTION("""COMPUTED_VALUE"""),45497)</f>
        <v>45497</v>
      </c>
      <c r="J2714" s="29" t="s">
        <v>9554</v>
      </c>
      <c r="K2714" s="26" t="s">
        <v>9555</v>
      </c>
      <c r="L2714" s="30">
        <v>961061892</v>
      </c>
      <c r="M2714" s="26" t="s">
        <v>9422</v>
      </c>
      <c r="N2714" s="26" t="s">
        <v>5574</v>
      </c>
      <c r="O2714" s="26" t="s">
        <v>9556</v>
      </c>
      <c r="P2714" s="26" t="s">
        <v>9557</v>
      </c>
      <c r="Q2714" s="20"/>
      <c r="R2714" s="26" t="s">
        <v>36</v>
      </c>
      <c r="S2714" s="95">
        <v>13936</v>
      </c>
      <c r="T2714" s="148">
        <v>45492</v>
      </c>
      <c r="U2714" s="31"/>
      <c r="V2714" s="32"/>
      <c r="W2714" s="33" t="s">
        <v>9558</v>
      </c>
      <c r="X2714" s="26"/>
      <c r="Y2714" s="22"/>
      <c r="Z2714" s="26" t="s">
        <v>50</v>
      </c>
      <c r="AA2714" s="70" t="s">
        <v>9070</v>
      </c>
      <c r="AB2714" s="26"/>
      <c r="AC2714" s="26" t="s">
        <v>53</v>
      </c>
      <c r="AD2714" s="26" t="s">
        <v>54</v>
      </c>
      <c r="AE2714" s="26">
        <v>360</v>
      </c>
      <c r="AF2714" s="17">
        <v>45492</v>
      </c>
      <c r="AG2714" s="26" t="s">
        <v>9559</v>
      </c>
      <c r="AH2714" s="26"/>
      <c r="AI2714" s="40"/>
      <c r="AJ2714" s="26"/>
      <c r="AK2714" s="26"/>
      <c r="AL2714" s="35"/>
      <c r="AM2714" s="35"/>
      <c r="AN2714" s="35"/>
      <c r="AO2714" s="35"/>
      <c r="AP2714" s="35"/>
    </row>
    <row r="2715" spans="1:42" x14ac:dyDescent="0.2">
      <c r="A2715" s="126">
        <v>45492.875842349538</v>
      </c>
      <c r="B2715" s="28" t="s">
        <v>37</v>
      </c>
      <c r="C2715" s="41" t="s">
        <v>118</v>
      </c>
      <c r="D2715" s="26" t="s">
        <v>36</v>
      </c>
      <c r="E2715" s="26" t="s">
        <v>77</v>
      </c>
      <c r="F2715" s="26" t="s">
        <v>36</v>
      </c>
      <c r="G2715" s="26" t="s">
        <v>41</v>
      </c>
      <c r="H2715" s="26" t="s">
        <v>9560</v>
      </c>
      <c r="I2715" s="17">
        <f ca="1">IFERROR(__xludf.DUMMYFUNCTION("""COMPUTED_VALUE"""),45503)</f>
        <v>45503</v>
      </c>
      <c r="J2715" s="29" t="s">
        <v>9561</v>
      </c>
      <c r="K2715" s="26" t="s">
        <v>9562</v>
      </c>
      <c r="L2715" s="30">
        <v>862436387</v>
      </c>
      <c r="M2715" s="26" t="s">
        <v>5558</v>
      </c>
      <c r="N2715" s="26" t="s">
        <v>5559</v>
      </c>
      <c r="O2715" s="26" t="s">
        <v>4503</v>
      </c>
      <c r="P2715" s="26" t="s">
        <v>9563</v>
      </c>
      <c r="Q2715" s="20"/>
      <c r="R2715" s="26" t="s">
        <v>36</v>
      </c>
      <c r="S2715" s="95">
        <v>1968</v>
      </c>
      <c r="T2715" s="148">
        <v>45492</v>
      </c>
      <c r="U2715" s="31"/>
      <c r="V2715" s="32"/>
      <c r="W2715" s="33" t="s">
        <v>9564</v>
      </c>
      <c r="X2715" s="26"/>
      <c r="Y2715" s="22"/>
      <c r="Z2715" s="26" t="s">
        <v>50</v>
      </c>
      <c r="AA2715" s="70" t="s">
        <v>9070</v>
      </c>
      <c r="AB2715" s="26"/>
      <c r="AC2715" s="26" t="s">
        <v>53</v>
      </c>
      <c r="AD2715" s="26" t="s">
        <v>54</v>
      </c>
      <c r="AE2715" s="26"/>
      <c r="AF2715" s="17">
        <v>45493</v>
      </c>
      <c r="AG2715" s="26"/>
      <c r="AH2715" s="26"/>
      <c r="AI2715" s="40"/>
      <c r="AJ2715" s="26"/>
      <c r="AK2715" s="26"/>
      <c r="AL2715" s="35"/>
      <c r="AM2715" s="35"/>
      <c r="AN2715" s="35"/>
      <c r="AO2715" s="35"/>
      <c r="AP2715" s="35"/>
    </row>
    <row r="2716" spans="1:42" x14ac:dyDescent="0.2">
      <c r="A2716" s="126">
        <v>45493.664689444442</v>
      </c>
      <c r="B2716" s="28" t="s">
        <v>37</v>
      </c>
      <c r="C2716" s="41" t="s">
        <v>118</v>
      </c>
      <c r="D2716" s="26" t="s">
        <v>36</v>
      </c>
      <c r="E2716" s="26" t="s">
        <v>77</v>
      </c>
      <c r="F2716" s="26" t="s">
        <v>36</v>
      </c>
      <c r="G2716" s="26" t="s">
        <v>41</v>
      </c>
      <c r="H2716" s="26" t="s">
        <v>9565</v>
      </c>
      <c r="I2716" s="17">
        <f ca="1">IFERROR(__xludf.DUMMYFUNCTION("""COMPUTED_VALUE"""),45504)</f>
        <v>45504</v>
      </c>
      <c r="J2716" s="29" t="s">
        <v>9566</v>
      </c>
      <c r="K2716" s="26" t="s">
        <v>9567</v>
      </c>
      <c r="L2716" s="30">
        <v>868191219</v>
      </c>
      <c r="M2716" s="26" t="s">
        <v>5558</v>
      </c>
      <c r="N2716" s="26" t="s">
        <v>9568</v>
      </c>
      <c r="O2716" s="26" t="s">
        <v>4503</v>
      </c>
      <c r="P2716" s="26" t="s">
        <v>9569</v>
      </c>
      <c r="Q2716" s="20"/>
      <c r="R2716" s="26" t="s">
        <v>36</v>
      </c>
      <c r="S2716" s="95">
        <v>1968</v>
      </c>
      <c r="T2716" s="148">
        <v>45493</v>
      </c>
      <c r="U2716" s="31"/>
      <c r="V2716" s="32"/>
      <c r="W2716" s="33" t="s">
        <v>9570</v>
      </c>
      <c r="X2716" s="26"/>
      <c r="Y2716" s="22"/>
      <c r="Z2716" s="26" t="s">
        <v>50</v>
      </c>
      <c r="AA2716" s="70" t="s">
        <v>9070</v>
      </c>
      <c r="AB2716" s="26"/>
      <c r="AC2716" s="26" t="s">
        <v>53</v>
      </c>
      <c r="AD2716" s="26" t="s">
        <v>54</v>
      </c>
      <c r="AE2716" s="26"/>
      <c r="AF2716" s="17">
        <v>45498</v>
      </c>
      <c r="AG2716" s="26"/>
      <c r="AH2716" s="26"/>
      <c r="AI2716" s="40"/>
      <c r="AJ2716" s="26"/>
      <c r="AK2716" s="26"/>
      <c r="AL2716" s="35"/>
      <c r="AM2716" s="35"/>
      <c r="AN2716" s="35"/>
      <c r="AO2716" s="35"/>
      <c r="AP2716" s="35"/>
    </row>
    <row r="2717" spans="1:42" x14ac:dyDescent="0.2">
      <c r="A2717" s="126">
        <v>45494.411515173611</v>
      </c>
      <c r="B2717" s="28" t="s">
        <v>37</v>
      </c>
      <c r="C2717" s="41" t="s">
        <v>118</v>
      </c>
      <c r="D2717" s="26" t="s">
        <v>36</v>
      </c>
      <c r="E2717" s="26" t="s">
        <v>77</v>
      </c>
      <c r="F2717" s="26" t="s">
        <v>36</v>
      </c>
      <c r="G2717" s="26" t="s">
        <v>41</v>
      </c>
      <c r="H2717" s="26" t="s">
        <v>9565</v>
      </c>
      <c r="I2717" s="17">
        <f ca="1">IFERROR(__xludf.DUMMYFUNCTION("""COMPUTED_VALUE"""),45504)</f>
        <v>45504</v>
      </c>
      <c r="J2717" s="29" t="s">
        <v>9571</v>
      </c>
      <c r="K2717" s="26" t="s">
        <v>9572</v>
      </c>
      <c r="L2717" s="30">
        <v>971282769</v>
      </c>
      <c r="M2717" s="26" t="s">
        <v>1245</v>
      </c>
      <c r="N2717" s="26" t="s">
        <v>1246</v>
      </c>
      <c r="O2717" s="26" t="s">
        <v>9573</v>
      </c>
      <c r="P2717" s="26" t="s">
        <v>9574</v>
      </c>
      <c r="Q2717" s="20"/>
      <c r="R2717" s="26" t="s">
        <v>36</v>
      </c>
      <c r="S2717" s="95">
        <v>1968</v>
      </c>
      <c r="T2717" s="148">
        <v>45493</v>
      </c>
      <c r="U2717" s="31"/>
      <c r="V2717" s="32"/>
      <c r="W2717" s="33" t="s">
        <v>9575</v>
      </c>
      <c r="X2717" s="26"/>
      <c r="Y2717" s="22"/>
      <c r="Z2717" s="26" t="s">
        <v>50</v>
      </c>
      <c r="AA2717" s="70" t="s">
        <v>9070</v>
      </c>
      <c r="AB2717" s="26" t="s">
        <v>36</v>
      </c>
      <c r="AC2717" s="26" t="s">
        <v>53</v>
      </c>
      <c r="AD2717" s="26" t="s">
        <v>54</v>
      </c>
      <c r="AE2717" s="26" t="s">
        <v>72</v>
      </c>
      <c r="AF2717" s="17">
        <v>45498</v>
      </c>
      <c r="AG2717" s="26"/>
      <c r="AH2717" s="26"/>
      <c r="AI2717" s="40"/>
      <c r="AJ2717" s="26"/>
      <c r="AK2717" s="26"/>
      <c r="AL2717" s="35"/>
      <c r="AM2717" s="35"/>
      <c r="AN2717" s="35"/>
      <c r="AO2717" s="35"/>
      <c r="AP2717" s="35"/>
    </row>
    <row r="2718" spans="1:42" x14ac:dyDescent="0.2">
      <c r="A2718" s="126">
        <v>45494.607950000005</v>
      </c>
      <c r="B2718" s="28" t="s">
        <v>37</v>
      </c>
      <c r="C2718" s="41" t="s">
        <v>118</v>
      </c>
      <c r="D2718" s="26" t="s">
        <v>36</v>
      </c>
      <c r="E2718" s="26" t="s">
        <v>119</v>
      </c>
      <c r="F2718" s="26" t="s">
        <v>36</v>
      </c>
      <c r="G2718" s="26" t="s">
        <v>108</v>
      </c>
      <c r="H2718" s="26" t="s">
        <v>6250</v>
      </c>
      <c r="I2718" s="17">
        <f ca="1">IFERROR(__xludf.DUMMYFUNCTION("""COMPUTED_VALUE"""),45495)</f>
        <v>45495</v>
      </c>
      <c r="J2718" s="29" t="s">
        <v>9576</v>
      </c>
      <c r="K2718" s="26" t="s">
        <v>9577</v>
      </c>
      <c r="L2718" s="30">
        <v>345138600</v>
      </c>
      <c r="M2718" s="26" t="s">
        <v>59</v>
      </c>
      <c r="N2718" s="26" t="s">
        <v>68</v>
      </c>
      <c r="O2718" s="26" t="s">
        <v>9578</v>
      </c>
      <c r="P2718" s="26" t="s">
        <v>9579</v>
      </c>
      <c r="Q2718" s="20"/>
      <c r="R2718" s="26" t="s">
        <v>36</v>
      </c>
      <c r="S2718" s="95">
        <v>13968</v>
      </c>
      <c r="T2718" s="148">
        <v>45494</v>
      </c>
      <c r="U2718" s="31"/>
      <c r="V2718" s="32"/>
      <c r="W2718" s="33" t="s">
        <v>9580</v>
      </c>
      <c r="X2718" s="26"/>
      <c r="Y2718" s="22"/>
      <c r="Z2718" s="26" t="s">
        <v>50</v>
      </c>
      <c r="AA2718" s="70" t="s">
        <v>9070</v>
      </c>
      <c r="AB2718" s="26"/>
      <c r="AC2718" s="26" t="s">
        <v>53</v>
      </c>
      <c r="AD2718" s="26" t="s">
        <v>138</v>
      </c>
      <c r="AE2718" s="26">
        <v>350</v>
      </c>
      <c r="AF2718" s="17">
        <v>45495</v>
      </c>
      <c r="AG2718" s="26" t="s">
        <v>4279</v>
      </c>
      <c r="AH2718" s="26"/>
      <c r="AI2718" s="40"/>
      <c r="AJ2718" s="26"/>
      <c r="AK2718" s="26"/>
      <c r="AL2718" s="35"/>
      <c r="AM2718" s="35"/>
      <c r="AN2718" s="35"/>
      <c r="AO2718" s="35"/>
      <c r="AP2718" s="35"/>
    </row>
    <row r="2719" spans="1:42" x14ac:dyDescent="0.2">
      <c r="A2719" s="126">
        <v>45494.88038736111</v>
      </c>
      <c r="B2719" s="28" t="s">
        <v>37</v>
      </c>
      <c r="C2719" s="41" t="s">
        <v>118</v>
      </c>
      <c r="D2719" s="26" t="s">
        <v>36</v>
      </c>
      <c r="E2719" s="26" t="s">
        <v>56</v>
      </c>
      <c r="F2719" s="26" t="s">
        <v>91</v>
      </c>
      <c r="G2719" s="26" t="s">
        <v>41</v>
      </c>
      <c r="H2719" s="26" t="s">
        <v>9581</v>
      </c>
      <c r="I2719" s="17">
        <f ca="1">IFERROR(__xludf.DUMMYFUNCTION("""COMPUTED_VALUE"""),45504)</f>
        <v>45504</v>
      </c>
      <c r="J2719" s="29" t="s">
        <v>9582</v>
      </c>
      <c r="K2719" s="26" t="s">
        <v>9583</v>
      </c>
      <c r="L2719" s="30">
        <v>386255273</v>
      </c>
      <c r="M2719" s="26" t="s">
        <v>59</v>
      </c>
      <c r="N2719" s="26" t="s">
        <v>4299</v>
      </c>
      <c r="O2719" s="26" t="s">
        <v>9584</v>
      </c>
      <c r="P2719" s="171" t="s">
        <v>9585</v>
      </c>
      <c r="Q2719" s="20"/>
      <c r="R2719" s="26" t="s">
        <v>36</v>
      </c>
      <c r="S2719" s="95">
        <v>9317</v>
      </c>
      <c r="T2719" s="148">
        <v>45494</v>
      </c>
      <c r="U2719" s="31"/>
      <c r="V2719" s="32"/>
      <c r="W2719" s="33" t="s">
        <v>9586</v>
      </c>
      <c r="X2719" s="26"/>
      <c r="Y2719" s="22"/>
      <c r="Z2719" s="26" t="s">
        <v>50</v>
      </c>
      <c r="AA2719" s="70" t="s">
        <v>9070</v>
      </c>
      <c r="AB2719" s="26"/>
      <c r="AC2719" s="26" t="s">
        <v>53</v>
      </c>
      <c r="AD2719" s="26" t="s">
        <v>54</v>
      </c>
      <c r="AE2719" s="26" t="s">
        <v>72</v>
      </c>
      <c r="AF2719" s="17">
        <v>45498</v>
      </c>
      <c r="AG2719" s="26"/>
      <c r="AH2719" s="26"/>
      <c r="AI2719" s="40"/>
      <c r="AJ2719" s="26"/>
      <c r="AK2719" s="26"/>
      <c r="AL2719" s="35"/>
      <c r="AM2719" s="35"/>
      <c r="AN2719" s="35"/>
      <c r="AO2719" s="35"/>
      <c r="AP2719" s="35"/>
    </row>
    <row r="2720" spans="1:42" x14ac:dyDescent="0.2">
      <c r="A2720" s="126">
        <v>45494.953058738422</v>
      </c>
      <c r="B2720" s="28" t="s">
        <v>37</v>
      </c>
      <c r="C2720" s="41" t="s">
        <v>118</v>
      </c>
      <c r="D2720" s="26" t="s">
        <v>36</v>
      </c>
      <c r="E2720" s="26" t="s">
        <v>39</v>
      </c>
      <c r="F2720" s="26" t="s">
        <v>36</v>
      </c>
      <c r="G2720" s="26" t="s">
        <v>41</v>
      </c>
      <c r="H2720" s="26" t="s">
        <v>9581</v>
      </c>
      <c r="I2720" s="17">
        <f ca="1">IFERROR(__xludf.DUMMYFUNCTION("""COMPUTED_VALUE"""),45504)</f>
        <v>45504</v>
      </c>
      <c r="J2720" s="29" t="s">
        <v>9587</v>
      </c>
      <c r="K2720" s="26" t="s">
        <v>9588</v>
      </c>
      <c r="L2720" s="30">
        <v>944845795</v>
      </c>
      <c r="M2720" s="26" t="s">
        <v>3728</v>
      </c>
      <c r="N2720" s="26" t="s">
        <v>8725</v>
      </c>
      <c r="O2720" s="26" t="s">
        <v>9589</v>
      </c>
      <c r="P2720" s="26" t="s">
        <v>9590</v>
      </c>
      <c r="Q2720" s="20"/>
      <c r="R2720" s="26" t="s">
        <v>36</v>
      </c>
      <c r="S2720" s="95">
        <v>5736</v>
      </c>
      <c r="T2720" s="148">
        <v>45494</v>
      </c>
      <c r="U2720" s="31"/>
      <c r="V2720" s="32"/>
      <c r="W2720" s="33" t="s">
        <v>9591</v>
      </c>
      <c r="X2720" s="26"/>
      <c r="Y2720" s="22"/>
      <c r="Z2720" s="26" t="s">
        <v>50</v>
      </c>
      <c r="AA2720" s="70" t="s">
        <v>9070</v>
      </c>
      <c r="AB2720" s="26"/>
      <c r="AC2720" s="26" t="s">
        <v>53</v>
      </c>
      <c r="AD2720" s="26" t="s">
        <v>54</v>
      </c>
      <c r="AE2720" s="26"/>
      <c r="AF2720" s="17">
        <v>45498</v>
      </c>
      <c r="AG2720" s="26"/>
      <c r="AH2720" s="26"/>
      <c r="AI2720" s="40"/>
      <c r="AJ2720" s="26"/>
      <c r="AK2720" s="26"/>
      <c r="AL2720" s="35"/>
      <c r="AM2720" s="35"/>
      <c r="AN2720" s="35"/>
      <c r="AO2720" s="35"/>
      <c r="AP2720" s="35"/>
    </row>
    <row r="2721" spans="1:42" x14ac:dyDescent="0.2">
      <c r="A2721" s="126">
        <v>45495.393271840279</v>
      </c>
      <c r="B2721" s="28" t="s">
        <v>37</v>
      </c>
      <c r="C2721" s="41" t="s">
        <v>118</v>
      </c>
      <c r="D2721" s="26" t="s">
        <v>219</v>
      </c>
      <c r="E2721" s="26" t="s">
        <v>219</v>
      </c>
      <c r="F2721" s="26" t="s">
        <v>36</v>
      </c>
      <c r="G2721" s="26" t="s">
        <v>221</v>
      </c>
      <c r="H2721" s="26" t="s">
        <v>8406</v>
      </c>
      <c r="I2721" s="17">
        <f ca="1">IFERROR(__xludf.DUMMYFUNCTION("""COMPUTED_VALUE"""),45499)</f>
        <v>45499</v>
      </c>
      <c r="J2721" s="44" t="s">
        <v>9592</v>
      </c>
      <c r="K2721" s="26" t="s">
        <v>9593</v>
      </c>
      <c r="L2721" s="30">
        <v>796117540</v>
      </c>
      <c r="M2721" s="26" t="s">
        <v>1245</v>
      </c>
      <c r="N2721" s="26" t="s">
        <v>1246</v>
      </c>
      <c r="O2721" s="26" t="s">
        <v>9594</v>
      </c>
      <c r="P2721" s="42" t="s">
        <v>9595</v>
      </c>
      <c r="Q2721" s="20"/>
      <c r="R2721" s="26" t="s">
        <v>36</v>
      </c>
      <c r="S2721" s="95">
        <v>1000</v>
      </c>
      <c r="T2721" s="148">
        <v>45495</v>
      </c>
      <c r="U2721" s="31">
        <v>2968</v>
      </c>
      <c r="V2721" s="32">
        <v>45499</v>
      </c>
      <c r="W2721" s="33" t="s">
        <v>9596</v>
      </c>
      <c r="X2721" s="26"/>
      <c r="Y2721" s="22"/>
      <c r="Z2721" s="26" t="s">
        <v>50</v>
      </c>
      <c r="AA2721" s="70" t="s">
        <v>9070</v>
      </c>
      <c r="AB2721" s="26" t="s">
        <v>36</v>
      </c>
      <c r="AC2721" s="26" t="s">
        <v>53</v>
      </c>
      <c r="AD2721" s="26" t="s">
        <v>54</v>
      </c>
      <c r="AE2721" s="26" t="s">
        <v>9597</v>
      </c>
      <c r="AF2721" s="17">
        <v>45495</v>
      </c>
      <c r="AG2721" s="26"/>
      <c r="AH2721" s="26"/>
      <c r="AI2721" s="40"/>
      <c r="AJ2721" s="26"/>
      <c r="AK2721" s="26"/>
      <c r="AL2721" s="35"/>
      <c r="AM2721" s="35"/>
      <c r="AN2721" s="35"/>
      <c r="AO2721" s="35"/>
      <c r="AP2721" s="35"/>
    </row>
    <row r="2722" spans="1:42" x14ac:dyDescent="0.2">
      <c r="A2722" s="126">
        <v>45495.421967141199</v>
      </c>
      <c r="B2722" s="28" t="s">
        <v>37</v>
      </c>
      <c r="C2722" s="41" t="s">
        <v>118</v>
      </c>
      <c r="D2722" s="26" t="s">
        <v>36</v>
      </c>
      <c r="E2722" s="26" t="s">
        <v>106</v>
      </c>
      <c r="F2722" s="26" t="s">
        <v>40</v>
      </c>
      <c r="G2722" s="26" t="s">
        <v>108</v>
      </c>
      <c r="H2722" s="26" t="s">
        <v>9553</v>
      </c>
      <c r="I2722" s="17">
        <f ca="1">IFERROR(__xludf.DUMMYFUNCTION("""COMPUTED_VALUE"""),45497)</f>
        <v>45497</v>
      </c>
      <c r="J2722" s="29" t="s">
        <v>9598</v>
      </c>
      <c r="K2722" s="26" t="s">
        <v>9599</v>
      </c>
      <c r="L2722" s="30">
        <v>379042195</v>
      </c>
      <c r="M2722" s="26" t="s">
        <v>9422</v>
      </c>
      <c r="N2722" s="26" t="s">
        <v>9600</v>
      </c>
      <c r="O2722" s="26" t="s">
        <v>9601</v>
      </c>
      <c r="P2722" s="26" t="s">
        <v>9602</v>
      </c>
      <c r="Q2722" s="20"/>
      <c r="R2722" s="26" t="s">
        <v>36</v>
      </c>
      <c r="S2722" s="95">
        <v>3768</v>
      </c>
      <c r="T2722" s="148">
        <v>45495</v>
      </c>
      <c r="U2722" s="31"/>
      <c r="V2722" s="32"/>
      <c r="W2722" s="33" t="s">
        <v>9603</v>
      </c>
      <c r="X2722" s="26"/>
      <c r="Y2722" s="22"/>
      <c r="Z2722" s="26" t="s">
        <v>50</v>
      </c>
      <c r="AA2722" s="70" t="s">
        <v>9070</v>
      </c>
      <c r="AB2722" s="26"/>
      <c r="AC2722" s="26" t="s">
        <v>53</v>
      </c>
      <c r="AD2722" s="26" t="s">
        <v>54</v>
      </c>
      <c r="AE2722" s="26">
        <v>420</v>
      </c>
      <c r="AF2722" s="17">
        <v>45495</v>
      </c>
      <c r="AG2722" s="26"/>
      <c r="AH2722" s="26"/>
      <c r="AI2722" s="40"/>
      <c r="AJ2722" s="26"/>
      <c r="AK2722" s="26"/>
      <c r="AL2722" s="35"/>
      <c r="AM2722" s="35"/>
      <c r="AN2722" s="35"/>
      <c r="AO2722" s="35"/>
      <c r="AP2722" s="35"/>
    </row>
    <row r="2723" spans="1:42" x14ac:dyDescent="0.2">
      <c r="A2723" s="126">
        <v>45495.56749494213</v>
      </c>
      <c r="B2723" s="28" t="s">
        <v>37</v>
      </c>
      <c r="C2723" s="41" t="s">
        <v>118</v>
      </c>
      <c r="D2723" s="26" t="s">
        <v>36</v>
      </c>
      <c r="E2723" s="26" t="s">
        <v>77</v>
      </c>
      <c r="F2723" s="26" t="s">
        <v>36</v>
      </c>
      <c r="G2723" s="26" t="s">
        <v>41</v>
      </c>
      <c r="H2723" s="26" t="s">
        <v>9581</v>
      </c>
      <c r="I2723" s="17">
        <f ca="1">IFERROR(__xludf.DUMMYFUNCTION("""COMPUTED_VALUE"""),45504)</f>
        <v>45504</v>
      </c>
      <c r="J2723" s="29" t="s">
        <v>9604</v>
      </c>
      <c r="K2723" s="26" t="s">
        <v>9605</v>
      </c>
      <c r="L2723" s="30">
        <v>359583217</v>
      </c>
      <c r="M2723" s="26" t="s">
        <v>45</v>
      </c>
      <c r="N2723" s="26" t="s">
        <v>557</v>
      </c>
      <c r="O2723" s="26" t="s">
        <v>9606</v>
      </c>
      <c r="P2723" s="26" t="s">
        <v>9607</v>
      </c>
      <c r="Q2723" s="20"/>
      <c r="R2723" s="26" t="s">
        <v>36</v>
      </c>
      <c r="S2723" s="95">
        <v>1000</v>
      </c>
      <c r="T2723" s="148">
        <v>45495</v>
      </c>
      <c r="U2723" s="95">
        <v>968</v>
      </c>
      <c r="V2723" s="148">
        <v>45503</v>
      </c>
      <c r="W2723" s="33" t="s">
        <v>9608</v>
      </c>
      <c r="X2723" s="26"/>
      <c r="Y2723" s="22"/>
      <c r="Z2723" s="26" t="s">
        <v>50</v>
      </c>
      <c r="AA2723" s="70" t="s">
        <v>9070</v>
      </c>
      <c r="AB2723" s="26"/>
      <c r="AC2723" s="26" t="s">
        <v>53</v>
      </c>
      <c r="AD2723" s="26" t="s">
        <v>54</v>
      </c>
      <c r="AE2723" s="26">
        <v>0</v>
      </c>
      <c r="AF2723" s="17">
        <v>45498</v>
      </c>
      <c r="AG2723" s="26"/>
      <c r="AH2723" s="26"/>
      <c r="AI2723" s="40"/>
      <c r="AJ2723" s="26"/>
      <c r="AK2723" s="26"/>
      <c r="AL2723" s="35"/>
      <c r="AM2723" s="35"/>
      <c r="AN2723" s="35"/>
      <c r="AO2723" s="35"/>
      <c r="AP2723" s="35"/>
    </row>
    <row r="2724" spans="1:42" x14ac:dyDescent="0.2">
      <c r="A2724" s="14">
        <v>45495</v>
      </c>
      <c r="B2724" s="28" t="s">
        <v>37</v>
      </c>
      <c r="C2724" s="41" t="s">
        <v>118</v>
      </c>
      <c r="D2724" s="26" t="s">
        <v>36</v>
      </c>
      <c r="E2724" s="26" t="s">
        <v>219</v>
      </c>
      <c r="F2724" s="26" t="s">
        <v>6106</v>
      </c>
      <c r="G2724" s="26" t="s">
        <v>221</v>
      </c>
      <c r="H2724" s="26" t="s">
        <v>8905</v>
      </c>
      <c r="I2724" s="17">
        <f ca="1">IFERROR(__xludf.DUMMYFUNCTION("""COMPUTED_VALUE"""),45504)</f>
        <v>45504</v>
      </c>
      <c r="J2724" s="29" t="s">
        <v>9609</v>
      </c>
      <c r="K2724" s="26" t="s">
        <v>9610</v>
      </c>
      <c r="L2724" s="30">
        <v>8051857075</v>
      </c>
      <c r="M2724" s="26" t="s">
        <v>1245</v>
      </c>
      <c r="N2724" s="26" t="s">
        <v>1246</v>
      </c>
      <c r="O2724" s="26" t="s">
        <v>9611</v>
      </c>
      <c r="P2724" s="42" t="s">
        <v>9612</v>
      </c>
      <c r="Q2724" s="20"/>
      <c r="R2724" s="26" t="s">
        <v>36</v>
      </c>
      <c r="S2724" s="95">
        <v>3968</v>
      </c>
      <c r="T2724" s="148">
        <v>45495</v>
      </c>
      <c r="U2724" s="31"/>
      <c r="V2724" s="32"/>
      <c r="W2724" s="33" t="s">
        <v>9613</v>
      </c>
      <c r="X2724" s="26">
        <v>0</v>
      </c>
      <c r="Y2724" s="22"/>
      <c r="Z2724" s="26" t="s">
        <v>50</v>
      </c>
      <c r="AA2724" s="70" t="s">
        <v>9070</v>
      </c>
      <c r="AB2724" s="26" t="s">
        <v>36</v>
      </c>
      <c r="AC2724" s="26" t="s">
        <v>53</v>
      </c>
      <c r="AD2724" s="26" t="s">
        <v>54</v>
      </c>
      <c r="AE2724" s="26" t="s">
        <v>6106</v>
      </c>
      <c r="AF2724" s="17">
        <v>45498</v>
      </c>
      <c r="AG2724" s="26"/>
      <c r="AH2724" s="26"/>
      <c r="AI2724" s="40" t="s">
        <v>55</v>
      </c>
      <c r="AJ2724" s="26"/>
      <c r="AK2724" s="26"/>
      <c r="AL2724" s="35"/>
      <c r="AM2724" s="35"/>
      <c r="AN2724" s="35"/>
      <c r="AO2724" s="35"/>
      <c r="AP2724" s="35"/>
    </row>
    <row r="2725" spans="1:42" x14ac:dyDescent="0.2">
      <c r="A2725" s="126">
        <v>45495.898812523148</v>
      </c>
      <c r="B2725" s="28" t="s">
        <v>37</v>
      </c>
      <c r="C2725" s="41" t="s">
        <v>118</v>
      </c>
      <c r="D2725" s="26" t="s">
        <v>36</v>
      </c>
      <c r="E2725" s="26" t="s">
        <v>77</v>
      </c>
      <c r="F2725" s="26" t="s">
        <v>40</v>
      </c>
      <c r="G2725" s="26" t="s">
        <v>41</v>
      </c>
      <c r="H2725" s="26" t="s">
        <v>9614</v>
      </c>
      <c r="I2725" s="17">
        <f ca="1">IFERROR(__xludf.DUMMYFUNCTION("""COMPUTED_VALUE"""),45552)</f>
        <v>45552</v>
      </c>
      <c r="J2725" s="29" t="s">
        <v>9615</v>
      </c>
      <c r="K2725" s="26" t="s">
        <v>9616</v>
      </c>
      <c r="L2725" s="30">
        <v>335463953</v>
      </c>
      <c r="M2725" s="26" t="s">
        <v>59</v>
      </c>
      <c r="N2725" s="26" t="s">
        <v>8342</v>
      </c>
      <c r="O2725" s="26" t="s">
        <v>9617</v>
      </c>
      <c r="P2725" s="26" t="s">
        <v>9618</v>
      </c>
      <c r="Q2725" s="20"/>
      <c r="R2725" s="26" t="s">
        <v>36</v>
      </c>
      <c r="S2725" s="95">
        <v>1968</v>
      </c>
      <c r="T2725" s="148">
        <v>45495</v>
      </c>
      <c r="U2725" s="31"/>
      <c r="V2725" s="32"/>
      <c r="W2725" s="33" t="s">
        <v>9619</v>
      </c>
      <c r="X2725" s="26"/>
      <c r="Y2725" s="22"/>
      <c r="Z2725" s="26" t="s">
        <v>50</v>
      </c>
      <c r="AA2725" s="70" t="s">
        <v>9070</v>
      </c>
      <c r="AB2725" s="26"/>
      <c r="AC2725" s="26" t="s">
        <v>53</v>
      </c>
      <c r="AD2725" s="26" t="s">
        <v>54</v>
      </c>
      <c r="AE2725" s="26" t="s">
        <v>430</v>
      </c>
      <c r="AF2725" s="17">
        <v>45507</v>
      </c>
      <c r="AG2725" s="26" t="s">
        <v>9620</v>
      </c>
      <c r="AH2725" s="26"/>
      <c r="AI2725" s="40"/>
      <c r="AJ2725" s="26"/>
      <c r="AK2725" s="26"/>
      <c r="AL2725" s="35"/>
      <c r="AM2725" s="35"/>
      <c r="AN2725" s="35"/>
      <c r="AO2725" s="35"/>
      <c r="AP2725" s="35"/>
    </row>
    <row r="2726" spans="1:42" x14ac:dyDescent="0.2">
      <c r="A2726" s="126">
        <v>45495.905017870369</v>
      </c>
      <c r="B2726" s="28" t="s">
        <v>37</v>
      </c>
      <c r="C2726" s="41" t="s">
        <v>118</v>
      </c>
      <c r="D2726" s="26" t="s">
        <v>36</v>
      </c>
      <c r="E2726" s="26" t="s">
        <v>39</v>
      </c>
      <c r="F2726" s="26" t="s">
        <v>40</v>
      </c>
      <c r="G2726" s="26" t="s">
        <v>41</v>
      </c>
      <c r="H2726" s="26" t="s">
        <v>9581</v>
      </c>
      <c r="I2726" s="17">
        <f ca="1">IFERROR(__xludf.DUMMYFUNCTION("""COMPUTED_VALUE"""),45504)</f>
        <v>45504</v>
      </c>
      <c r="J2726" s="29" t="s">
        <v>9621</v>
      </c>
      <c r="K2726" s="26" t="s">
        <v>9622</v>
      </c>
      <c r="L2726" s="30">
        <v>972172399</v>
      </c>
      <c r="M2726" s="26" t="s">
        <v>59</v>
      </c>
      <c r="N2726" s="26" t="s">
        <v>4299</v>
      </c>
      <c r="O2726" s="26" t="s">
        <v>9623</v>
      </c>
      <c r="P2726" s="26" t="s">
        <v>9624</v>
      </c>
      <c r="Q2726" s="20"/>
      <c r="R2726" s="26" t="s">
        <v>36</v>
      </c>
      <c r="S2726" s="95">
        <v>5736</v>
      </c>
      <c r="T2726" s="148">
        <v>45495</v>
      </c>
      <c r="U2726" s="31"/>
      <c r="V2726" s="32"/>
      <c r="W2726" s="33" t="s">
        <v>9625</v>
      </c>
      <c r="X2726" s="26"/>
      <c r="Y2726" s="22"/>
      <c r="Z2726" s="26" t="s">
        <v>50</v>
      </c>
      <c r="AA2726" s="70" t="s">
        <v>9070</v>
      </c>
      <c r="AB2726" s="26"/>
      <c r="AC2726" s="26" t="s">
        <v>53</v>
      </c>
      <c r="AD2726" s="26" t="s">
        <v>54</v>
      </c>
      <c r="AE2726" s="26" t="s">
        <v>3170</v>
      </c>
      <c r="AF2726" s="17">
        <v>45498</v>
      </c>
      <c r="AG2726" s="26"/>
      <c r="AH2726" s="26"/>
      <c r="AI2726" s="40"/>
      <c r="AJ2726" s="26"/>
      <c r="AK2726" s="26"/>
      <c r="AL2726" s="35"/>
      <c r="AM2726" s="35"/>
      <c r="AN2726" s="35"/>
      <c r="AO2726" s="35"/>
      <c r="AP2726" s="35"/>
    </row>
    <row r="2727" spans="1:42" x14ac:dyDescent="0.2">
      <c r="A2727" s="126">
        <v>45495.913902800923</v>
      </c>
      <c r="B2727" s="28" t="s">
        <v>37</v>
      </c>
      <c r="C2727" s="41" t="s">
        <v>118</v>
      </c>
      <c r="D2727" s="26" t="s">
        <v>36</v>
      </c>
      <c r="E2727" s="26" t="s">
        <v>139</v>
      </c>
      <c r="F2727" s="26" t="s">
        <v>40</v>
      </c>
      <c r="G2727" s="80" t="s">
        <v>41</v>
      </c>
      <c r="H2727" s="26" t="s">
        <v>9626</v>
      </c>
      <c r="I2727" s="17">
        <f ca="1">IFERROR(__xludf.DUMMYFUNCTION("""COMPUTED_VALUE"""),45559)</f>
        <v>45559</v>
      </c>
      <c r="J2727" s="29" t="s">
        <v>9627</v>
      </c>
      <c r="K2727" s="26" t="s">
        <v>9628</v>
      </c>
      <c r="L2727" s="30">
        <v>369692046</v>
      </c>
      <c r="M2727" s="26" t="s">
        <v>59</v>
      </c>
      <c r="N2727" s="26" t="s">
        <v>68</v>
      </c>
      <c r="O2727" s="26" t="s">
        <v>9629</v>
      </c>
      <c r="P2727" s="26" t="s">
        <v>9630</v>
      </c>
      <c r="Q2727" s="20"/>
      <c r="R2727" s="26" t="s">
        <v>36</v>
      </c>
      <c r="S2727" s="95">
        <v>15963</v>
      </c>
      <c r="T2727" s="148">
        <v>45495</v>
      </c>
      <c r="U2727" s="31"/>
      <c r="V2727" s="32"/>
      <c r="W2727" s="33" t="s">
        <v>9631</v>
      </c>
      <c r="X2727" s="26"/>
      <c r="Y2727" s="22"/>
      <c r="Z2727" s="26" t="s">
        <v>50</v>
      </c>
      <c r="AA2727" s="70" t="s">
        <v>9070</v>
      </c>
      <c r="AB2727" s="26"/>
      <c r="AC2727" s="26" t="s">
        <v>53</v>
      </c>
      <c r="AD2727" s="26" t="s">
        <v>138</v>
      </c>
      <c r="AE2727" s="26" t="s">
        <v>72</v>
      </c>
      <c r="AF2727" s="17">
        <v>45507</v>
      </c>
      <c r="AG2727" s="26" t="s">
        <v>9620</v>
      </c>
      <c r="AH2727" s="26"/>
      <c r="AI2727" s="40"/>
      <c r="AJ2727" s="26"/>
      <c r="AK2727" s="26"/>
      <c r="AL2727" s="35"/>
      <c r="AM2727" s="35"/>
      <c r="AN2727" s="35"/>
      <c r="AO2727" s="35"/>
      <c r="AP2727" s="35"/>
    </row>
    <row r="2728" spans="1:42" x14ac:dyDescent="0.2">
      <c r="A2728" s="126">
        <v>45496.430960428246</v>
      </c>
      <c r="B2728" s="28" t="s">
        <v>37</v>
      </c>
      <c r="C2728" s="41" t="s">
        <v>118</v>
      </c>
      <c r="D2728" s="26" t="s">
        <v>36</v>
      </c>
      <c r="E2728" s="26" t="s">
        <v>139</v>
      </c>
      <c r="F2728" s="26" t="s">
        <v>40</v>
      </c>
      <c r="G2728" s="26" t="s">
        <v>41</v>
      </c>
      <c r="H2728" s="26" t="s">
        <v>9565</v>
      </c>
      <c r="I2728" s="17">
        <f ca="1">IFERROR(__xludf.DUMMYFUNCTION("""COMPUTED_VALUE"""),45504)</f>
        <v>45504</v>
      </c>
      <c r="J2728" s="29" t="s">
        <v>9632</v>
      </c>
      <c r="K2728" s="26" t="s">
        <v>9633</v>
      </c>
      <c r="L2728" s="30">
        <v>918689257</v>
      </c>
      <c r="M2728" s="26" t="s">
        <v>9422</v>
      </c>
      <c r="N2728" s="26" t="s">
        <v>5574</v>
      </c>
      <c r="O2728" s="26" t="s">
        <v>9634</v>
      </c>
      <c r="P2728" s="26" t="s">
        <v>9635</v>
      </c>
      <c r="Q2728" s="20"/>
      <c r="R2728" s="26" t="s">
        <v>36</v>
      </c>
      <c r="S2728" s="95">
        <f>500+15436</f>
        <v>15936</v>
      </c>
      <c r="T2728" s="83" t="s">
        <v>9636</v>
      </c>
      <c r="U2728" s="31"/>
      <c r="V2728" s="32"/>
      <c r="W2728" s="33" t="s">
        <v>9637</v>
      </c>
      <c r="X2728" s="26"/>
      <c r="Y2728" s="22"/>
      <c r="Z2728" s="26" t="s">
        <v>50</v>
      </c>
      <c r="AA2728" s="70" t="s">
        <v>9070</v>
      </c>
      <c r="AB2728" s="26"/>
      <c r="AC2728" s="26" t="s">
        <v>53</v>
      </c>
      <c r="AD2728" s="26" t="s">
        <v>54</v>
      </c>
      <c r="AE2728" s="26"/>
      <c r="AF2728" s="17">
        <v>45498</v>
      </c>
      <c r="AG2728" s="26"/>
      <c r="AH2728" s="26"/>
      <c r="AI2728" s="40"/>
      <c r="AJ2728" s="26"/>
      <c r="AK2728" s="26"/>
      <c r="AL2728" s="35"/>
      <c r="AM2728" s="35"/>
      <c r="AN2728" s="35"/>
      <c r="AO2728" s="35"/>
      <c r="AP2728" s="35"/>
    </row>
    <row r="2729" spans="1:42" x14ac:dyDescent="0.2">
      <c r="A2729" s="126">
        <v>45496.466405127314</v>
      </c>
      <c r="B2729" s="28" t="s">
        <v>37</v>
      </c>
      <c r="C2729" s="41" t="s">
        <v>118</v>
      </c>
      <c r="D2729" s="26" t="s">
        <v>36</v>
      </c>
      <c r="E2729" s="26" t="s">
        <v>106</v>
      </c>
      <c r="F2729" s="26" t="s">
        <v>36</v>
      </c>
      <c r="G2729" s="26" t="s">
        <v>108</v>
      </c>
      <c r="H2729" s="26" t="s">
        <v>9553</v>
      </c>
      <c r="I2729" s="17">
        <f ca="1">IFERROR(__xludf.DUMMYFUNCTION("""COMPUTED_VALUE"""),45497)</f>
        <v>45497</v>
      </c>
      <c r="J2729" s="29" t="s">
        <v>9638</v>
      </c>
      <c r="K2729" s="26" t="s">
        <v>9639</v>
      </c>
      <c r="L2729" s="30">
        <v>395350026</v>
      </c>
      <c r="M2729" s="26" t="s">
        <v>9422</v>
      </c>
      <c r="N2729" s="26" t="s">
        <v>9640</v>
      </c>
      <c r="O2729" s="26" t="s">
        <v>9641</v>
      </c>
      <c r="P2729" s="26" t="s">
        <v>9642</v>
      </c>
      <c r="Q2729" s="20"/>
      <c r="R2729" s="26" t="s">
        <v>36</v>
      </c>
      <c r="S2729" s="95">
        <v>3768</v>
      </c>
      <c r="T2729" s="148">
        <v>45496</v>
      </c>
      <c r="U2729" s="31"/>
      <c r="V2729" s="32"/>
      <c r="W2729" s="33" t="s">
        <v>9643</v>
      </c>
      <c r="X2729" s="26"/>
      <c r="Y2729" s="22"/>
      <c r="Z2729" s="26" t="s">
        <v>50</v>
      </c>
      <c r="AA2729" s="70" t="s">
        <v>9070</v>
      </c>
      <c r="AB2729" s="26"/>
      <c r="AC2729" s="26" t="s">
        <v>53</v>
      </c>
      <c r="AD2729" s="26" t="s">
        <v>54</v>
      </c>
      <c r="AE2729" s="26"/>
      <c r="AF2729" s="17">
        <v>45496</v>
      </c>
      <c r="AG2729" s="26"/>
      <c r="AH2729" s="26"/>
      <c r="AI2729" s="40"/>
      <c r="AJ2729" s="26"/>
      <c r="AK2729" s="26"/>
      <c r="AL2729" s="35"/>
      <c r="AM2729" s="35"/>
      <c r="AN2729" s="35"/>
      <c r="AO2729" s="35"/>
      <c r="AP2729" s="35"/>
    </row>
    <row r="2730" spans="1:42" x14ac:dyDescent="0.2">
      <c r="A2730" s="126">
        <v>45496.510798657408</v>
      </c>
      <c r="B2730" s="28" t="s">
        <v>37</v>
      </c>
      <c r="C2730" s="41" t="s">
        <v>118</v>
      </c>
      <c r="D2730" s="26" t="s">
        <v>36</v>
      </c>
      <c r="E2730" s="26" t="s">
        <v>148</v>
      </c>
      <c r="F2730" s="26" t="s">
        <v>40</v>
      </c>
      <c r="G2730" s="26" t="s">
        <v>108</v>
      </c>
      <c r="H2730" s="26" t="s">
        <v>1565</v>
      </c>
      <c r="I2730" s="17">
        <f ca="1">IFERROR(__xludf.DUMMYFUNCTION("""COMPUTED_VALUE"""),45502)</f>
        <v>45502</v>
      </c>
      <c r="J2730" s="29" t="s">
        <v>9644</v>
      </c>
      <c r="K2730" s="26" t="s">
        <v>9645</v>
      </c>
      <c r="L2730" s="30">
        <v>974250085</v>
      </c>
      <c r="M2730" s="26" t="s">
        <v>3288</v>
      </c>
      <c r="N2730" s="26" t="s">
        <v>200</v>
      </c>
      <c r="O2730" s="26" t="s">
        <v>8827</v>
      </c>
      <c r="P2730" s="26" t="s">
        <v>6015</v>
      </c>
      <c r="Q2730" s="20"/>
      <c r="R2730" s="26" t="s">
        <v>36</v>
      </c>
      <c r="S2730" s="95">
        <v>7349</v>
      </c>
      <c r="T2730" s="148">
        <v>45496</v>
      </c>
      <c r="U2730" s="31"/>
      <c r="V2730" s="32"/>
      <c r="W2730" s="33" t="s">
        <v>9646</v>
      </c>
      <c r="X2730" s="26"/>
      <c r="Y2730" s="22"/>
      <c r="Z2730" s="26" t="s">
        <v>50</v>
      </c>
      <c r="AA2730" s="70" t="s">
        <v>9070</v>
      </c>
      <c r="AB2730" s="26"/>
      <c r="AC2730" s="26" t="s">
        <v>53</v>
      </c>
      <c r="AD2730" s="26" t="s">
        <v>138</v>
      </c>
      <c r="AE2730" s="26">
        <v>440</v>
      </c>
      <c r="AF2730" s="17">
        <v>45502</v>
      </c>
      <c r="AG2730" s="26" t="s">
        <v>4279</v>
      </c>
      <c r="AH2730" s="26"/>
      <c r="AI2730" s="40"/>
      <c r="AJ2730" s="26"/>
      <c r="AK2730" s="26"/>
      <c r="AL2730" s="35"/>
      <c r="AM2730" s="35"/>
      <c r="AN2730" s="35"/>
      <c r="AO2730" s="35"/>
      <c r="AP2730" s="35"/>
    </row>
    <row r="2731" spans="1:42" x14ac:dyDescent="0.2">
      <c r="A2731" s="126">
        <v>45496.622360925925</v>
      </c>
      <c r="B2731" s="137" t="s">
        <v>37</v>
      </c>
      <c r="C2731" s="41" t="s">
        <v>118</v>
      </c>
      <c r="D2731" s="80" t="s">
        <v>36</v>
      </c>
      <c r="E2731" s="80" t="s">
        <v>119</v>
      </c>
      <c r="F2731" s="80" t="s">
        <v>36</v>
      </c>
      <c r="G2731" s="80" t="s">
        <v>108</v>
      </c>
      <c r="H2731" s="80" t="s">
        <v>8931</v>
      </c>
      <c r="I2731" s="17">
        <f ca="1">IFERROR(__xludf.DUMMYFUNCTION("""COMPUTED_VALUE"""),45503)</f>
        <v>45503</v>
      </c>
      <c r="J2731" s="143" t="s">
        <v>9647</v>
      </c>
      <c r="K2731" s="80" t="s">
        <v>9648</v>
      </c>
      <c r="L2731" s="30">
        <v>367388021</v>
      </c>
      <c r="M2731" s="80" t="s">
        <v>1245</v>
      </c>
      <c r="N2731" s="80" t="s">
        <v>5092</v>
      </c>
      <c r="O2731" s="80" t="s">
        <v>9649</v>
      </c>
      <c r="P2731" s="80" t="s">
        <v>9650</v>
      </c>
      <c r="Q2731" s="20"/>
      <c r="R2731" s="80" t="s">
        <v>36</v>
      </c>
      <c r="S2731" s="95">
        <f>13000+968</f>
        <v>13968</v>
      </c>
      <c r="T2731" s="148">
        <v>38191</v>
      </c>
      <c r="U2731" s="95"/>
      <c r="V2731" s="148"/>
      <c r="W2731" s="80" t="s">
        <v>9651</v>
      </c>
      <c r="X2731" s="80"/>
      <c r="Y2731" s="22"/>
      <c r="Z2731" s="80" t="s">
        <v>50</v>
      </c>
      <c r="AA2731" s="70" t="s">
        <v>9070</v>
      </c>
      <c r="AB2731" s="80"/>
      <c r="AC2731" s="80" t="s">
        <v>53</v>
      </c>
      <c r="AD2731" s="80" t="s">
        <v>54</v>
      </c>
      <c r="AE2731" s="80" t="s">
        <v>9652</v>
      </c>
      <c r="AF2731" s="17">
        <v>45497</v>
      </c>
      <c r="AG2731" s="80"/>
      <c r="AH2731" s="80"/>
      <c r="AI2731" s="147"/>
      <c r="AJ2731" s="80"/>
      <c r="AK2731" s="80"/>
      <c r="AL2731" s="35"/>
      <c r="AM2731" s="35"/>
      <c r="AN2731" s="35"/>
      <c r="AO2731" s="35"/>
      <c r="AP2731" s="35"/>
    </row>
    <row r="2732" spans="1:42" x14ac:dyDescent="0.2">
      <c r="A2732" s="126">
        <v>45496.983498449074</v>
      </c>
      <c r="B2732" s="28" t="s">
        <v>37</v>
      </c>
      <c r="C2732" s="41" t="s">
        <v>118</v>
      </c>
      <c r="D2732" s="80" t="s">
        <v>36</v>
      </c>
      <c r="E2732" s="80" t="s">
        <v>106</v>
      </c>
      <c r="F2732" s="80" t="s">
        <v>36</v>
      </c>
      <c r="G2732" s="80" t="s">
        <v>108</v>
      </c>
      <c r="H2732" s="80" t="s">
        <v>8066</v>
      </c>
      <c r="I2732" s="17">
        <f ca="1">IFERROR(__xludf.DUMMYFUNCTION("""COMPUTED_VALUE"""),45509)</f>
        <v>45509</v>
      </c>
      <c r="J2732" s="172" t="s">
        <v>9653</v>
      </c>
      <c r="K2732" s="80" t="s">
        <v>9654</v>
      </c>
      <c r="L2732" s="30">
        <v>325760706</v>
      </c>
      <c r="M2732" s="80" t="s">
        <v>9422</v>
      </c>
      <c r="N2732" s="80" t="s">
        <v>7051</v>
      </c>
      <c r="O2732" s="80" t="s">
        <v>9655</v>
      </c>
      <c r="P2732" s="80" t="s">
        <v>9656</v>
      </c>
      <c r="Q2732" s="20"/>
      <c r="R2732" s="80" t="s">
        <v>36</v>
      </c>
      <c r="S2732" s="95">
        <v>3768</v>
      </c>
      <c r="T2732" s="148">
        <v>45496</v>
      </c>
      <c r="U2732" s="77"/>
      <c r="V2732" s="78"/>
      <c r="W2732" s="85" t="s">
        <v>9657</v>
      </c>
      <c r="X2732" s="80"/>
      <c r="Y2732" s="22"/>
      <c r="Z2732" s="80" t="s">
        <v>50</v>
      </c>
      <c r="AA2732" s="70" t="s">
        <v>9070</v>
      </c>
      <c r="AB2732" s="80"/>
      <c r="AC2732" s="80" t="s">
        <v>53</v>
      </c>
      <c r="AD2732" s="80" t="s">
        <v>54</v>
      </c>
      <c r="AE2732" s="80"/>
      <c r="AF2732" s="17">
        <v>45499</v>
      </c>
      <c r="AG2732" s="80"/>
      <c r="AH2732" s="80"/>
      <c r="AI2732" s="147"/>
      <c r="AJ2732" s="80"/>
      <c r="AK2732" s="80"/>
      <c r="AL2732" s="35"/>
      <c r="AM2732" s="35"/>
      <c r="AN2732" s="35"/>
      <c r="AO2732" s="35"/>
      <c r="AP2732" s="35"/>
    </row>
    <row r="2733" spans="1:42" x14ac:dyDescent="0.2">
      <c r="A2733" s="126">
        <v>45498.56822134259</v>
      </c>
      <c r="B2733" s="137" t="s">
        <v>37</v>
      </c>
      <c r="C2733" s="41" t="s">
        <v>118</v>
      </c>
      <c r="D2733" s="80" t="s">
        <v>36</v>
      </c>
      <c r="E2733" s="80" t="s">
        <v>139</v>
      </c>
      <c r="F2733" s="80" t="s">
        <v>36</v>
      </c>
      <c r="G2733" s="26" t="s">
        <v>41</v>
      </c>
      <c r="H2733" s="80" t="s">
        <v>7330</v>
      </c>
      <c r="I2733" s="17">
        <f ca="1">IFERROR(__xludf.DUMMYFUNCTION("""COMPUTED_VALUE"""),45509)</f>
        <v>45509</v>
      </c>
      <c r="J2733" s="143" t="s">
        <v>9658</v>
      </c>
      <c r="K2733" s="80" t="s">
        <v>9659</v>
      </c>
      <c r="L2733" s="30">
        <v>837322016</v>
      </c>
      <c r="M2733" s="80" t="s">
        <v>59</v>
      </c>
      <c r="N2733" s="80" t="s">
        <v>9660</v>
      </c>
      <c r="O2733" s="80" t="s">
        <v>9661</v>
      </c>
      <c r="P2733" s="80" t="s">
        <v>9662</v>
      </c>
      <c r="Q2733" s="20"/>
      <c r="R2733" s="80" t="s">
        <v>36</v>
      </c>
      <c r="S2733" s="95">
        <v>15963</v>
      </c>
      <c r="T2733" s="148">
        <v>45498</v>
      </c>
      <c r="U2733" s="77"/>
      <c r="V2733" s="78"/>
      <c r="W2733" s="85" t="s">
        <v>9663</v>
      </c>
      <c r="X2733" s="80"/>
      <c r="Y2733" s="22"/>
      <c r="Z2733" s="80" t="s">
        <v>50</v>
      </c>
      <c r="AA2733" s="70" t="s">
        <v>9070</v>
      </c>
      <c r="AB2733" s="80"/>
      <c r="AC2733" s="80" t="s">
        <v>53</v>
      </c>
      <c r="AD2733" s="80" t="s">
        <v>138</v>
      </c>
      <c r="AE2733" s="80" t="s">
        <v>72</v>
      </c>
      <c r="AF2733" s="17">
        <v>45498</v>
      </c>
      <c r="AG2733" s="80" t="s">
        <v>9664</v>
      </c>
      <c r="AH2733" s="80"/>
      <c r="AI2733" s="147"/>
      <c r="AJ2733" s="80"/>
      <c r="AK2733" s="80"/>
      <c r="AL2733" s="35"/>
      <c r="AM2733" s="35"/>
      <c r="AN2733" s="35"/>
      <c r="AO2733" s="35"/>
      <c r="AP2733" s="35"/>
    </row>
    <row r="2734" spans="1:42" x14ac:dyDescent="0.2">
      <c r="A2734" s="126">
        <v>45498.577435717598</v>
      </c>
      <c r="B2734" s="137" t="s">
        <v>37</v>
      </c>
      <c r="C2734" s="41" t="s">
        <v>118</v>
      </c>
      <c r="D2734" s="80" t="s">
        <v>36</v>
      </c>
      <c r="E2734" s="80" t="s">
        <v>106</v>
      </c>
      <c r="F2734" s="80" t="s">
        <v>36</v>
      </c>
      <c r="G2734" s="80" t="s">
        <v>108</v>
      </c>
      <c r="H2734" s="80" t="s">
        <v>8931</v>
      </c>
      <c r="I2734" s="17">
        <f ca="1">IFERROR(__xludf.DUMMYFUNCTION("""COMPUTED_VALUE"""),45503)</f>
        <v>45503</v>
      </c>
      <c r="J2734" s="143" t="s">
        <v>9665</v>
      </c>
      <c r="K2734" s="80" t="s">
        <v>9666</v>
      </c>
      <c r="L2734" s="30">
        <v>869813237</v>
      </c>
      <c r="M2734" s="80" t="s">
        <v>548</v>
      </c>
      <c r="N2734" s="80" t="s">
        <v>621</v>
      </c>
      <c r="O2734" s="80" t="s">
        <v>9667</v>
      </c>
      <c r="P2734" s="80" t="s">
        <v>9668</v>
      </c>
      <c r="Q2734" s="20"/>
      <c r="R2734" s="80" t="s">
        <v>36</v>
      </c>
      <c r="S2734" s="95">
        <v>3786</v>
      </c>
      <c r="T2734" s="148">
        <v>45498</v>
      </c>
      <c r="U2734" s="77"/>
      <c r="V2734" s="78"/>
      <c r="W2734" s="85" t="s">
        <v>9669</v>
      </c>
      <c r="X2734" s="80"/>
      <c r="Y2734" s="22"/>
      <c r="Z2734" s="80" t="s">
        <v>50</v>
      </c>
      <c r="AA2734" s="70" t="s">
        <v>9070</v>
      </c>
      <c r="AB2734" s="80"/>
      <c r="AC2734" s="80" t="s">
        <v>53</v>
      </c>
      <c r="AD2734" s="80" t="s">
        <v>54</v>
      </c>
      <c r="AE2734" s="80"/>
      <c r="AF2734" s="17">
        <v>45498</v>
      </c>
      <c r="AG2734" s="80"/>
      <c r="AH2734" s="80"/>
      <c r="AI2734" s="147"/>
      <c r="AJ2734" s="80"/>
      <c r="AK2734" s="80"/>
      <c r="AL2734" s="35"/>
      <c r="AM2734" s="35"/>
      <c r="AN2734" s="35"/>
      <c r="AO2734" s="35"/>
      <c r="AP2734" s="35"/>
    </row>
    <row r="2735" spans="1:42" x14ac:dyDescent="0.2">
      <c r="A2735" s="126">
        <v>45498.579799548606</v>
      </c>
      <c r="B2735" s="137" t="s">
        <v>37</v>
      </c>
      <c r="C2735" s="41" t="s">
        <v>118</v>
      </c>
      <c r="D2735" s="80" t="s">
        <v>36</v>
      </c>
      <c r="E2735" s="80" t="s">
        <v>139</v>
      </c>
      <c r="F2735" s="80" t="s">
        <v>40</v>
      </c>
      <c r="G2735" s="80" t="s">
        <v>41</v>
      </c>
      <c r="H2735" s="80" t="s">
        <v>5666</v>
      </c>
      <c r="I2735" s="17">
        <f ca="1">IFERROR(__xludf.DUMMYFUNCTION("""COMPUTED_VALUE"""),45540)</f>
        <v>45540</v>
      </c>
      <c r="J2735" s="143" t="s">
        <v>9670</v>
      </c>
      <c r="K2735" s="80" t="s">
        <v>9671</v>
      </c>
      <c r="L2735" s="30">
        <v>372790883</v>
      </c>
      <c r="M2735" s="80" t="s">
        <v>59</v>
      </c>
      <c r="N2735" s="80" t="s">
        <v>68</v>
      </c>
      <c r="O2735" s="80" t="s">
        <v>9672</v>
      </c>
      <c r="P2735" s="80" t="s">
        <v>9673</v>
      </c>
      <c r="Q2735" s="20"/>
      <c r="R2735" s="80" t="s">
        <v>36</v>
      </c>
      <c r="S2735" s="95">
        <v>15963</v>
      </c>
      <c r="T2735" s="148">
        <v>45498</v>
      </c>
      <c r="U2735" s="77"/>
      <c r="V2735" s="78"/>
      <c r="W2735" s="85" t="s">
        <v>9674</v>
      </c>
      <c r="X2735" s="80"/>
      <c r="Y2735" s="22"/>
      <c r="Z2735" s="80" t="s">
        <v>50</v>
      </c>
      <c r="AA2735" s="70" t="s">
        <v>9070</v>
      </c>
      <c r="AB2735" s="80"/>
      <c r="AC2735" s="80" t="s">
        <v>53</v>
      </c>
      <c r="AD2735" s="80" t="s">
        <v>138</v>
      </c>
      <c r="AE2735" s="80" t="s">
        <v>72</v>
      </c>
      <c r="AF2735" s="17">
        <v>45540</v>
      </c>
      <c r="AG2735" s="26" t="s">
        <v>3399</v>
      </c>
      <c r="AH2735" s="80"/>
      <c r="AI2735" s="147"/>
      <c r="AJ2735" s="80"/>
      <c r="AK2735" s="80"/>
      <c r="AL2735" s="35"/>
      <c r="AM2735" s="35"/>
      <c r="AN2735" s="35"/>
      <c r="AO2735" s="35"/>
      <c r="AP2735" s="35"/>
    </row>
    <row r="2736" spans="1:42" x14ac:dyDescent="0.2">
      <c r="A2736" s="126">
        <v>45498.584218344906</v>
      </c>
      <c r="B2736" s="137" t="s">
        <v>37</v>
      </c>
      <c r="C2736" s="41" t="s">
        <v>118</v>
      </c>
      <c r="D2736" s="80" t="s">
        <v>36</v>
      </c>
      <c r="E2736" s="80" t="s">
        <v>77</v>
      </c>
      <c r="F2736" s="80" t="s">
        <v>36</v>
      </c>
      <c r="G2736" s="80" t="s">
        <v>41</v>
      </c>
      <c r="H2736" s="80" t="s">
        <v>9675</v>
      </c>
      <c r="I2736" s="17">
        <f ca="1">IFERROR(__xludf.DUMMYFUNCTION("""COMPUTED_VALUE"""),45506)</f>
        <v>45506</v>
      </c>
      <c r="J2736" s="143" t="s">
        <v>9676</v>
      </c>
      <c r="K2736" s="80" t="s">
        <v>9677</v>
      </c>
      <c r="L2736" s="30">
        <v>981318556</v>
      </c>
      <c r="M2736" s="80" t="s">
        <v>59</v>
      </c>
      <c r="N2736" s="80" t="s">
        <v>68</v>
      </c>
      <c r="O2736" s="80" t="s">
        <v>9678</v>
      </c>
      <c r="P2736" s="80" t="s">
        <v>9679</v>
      </c>
      <c r="Q2736" s="20"/>
      <c r="R2736" s="80" t="s">
        <v>36</v>
      </c>
      <c r="S2736" s="95">
        <v>1968</v>
      </c>
      <c r="T2736" s="148">
        <v>45498</v>
      </c>
      <c r="U2736" s="77"/>
      <c r="V2736" s="78"/>
      <c r="W2736" s="85" t="s">
        <v>9680</v>
      </c>
      <c r="X2736" s="80"/>
      <c r="Y2736" s="22"/>
      <c r="Z2736" s="80" t="s">
        <v>50</v>
      </c>
      <c r="AA2736" s="70" t="s">
        <v>9070</v>
      </c>
      <c r="AB2736" s="80"/>
      <c r="AC2736" s="80" t="s">
        <v>53</v>
      </c>
      <c r="AD2736" s="80" t="s">
        <v>54</v>
      </c>
      <c r="AE2736" s="80" t="s">
        <v>72</v>
      </c>
      <c r="AF2736" s="17">
        <v>45499</v>
      </c>
      <c r="AG2736" s="80"/>
      <c r="AH2736" s="80"/>
      <c r="AI2736" s="147"/>
      <c r="AJ2736" s="80"/>
      <c r="AK2736" s="80"/>
      <c r="AL2736" s="35"/>
      <c r="AM2736" s="35"/>
      <c r="AN2736" s="35"/>
      <c r="AO2736" s="35"/>
      <c r="AP2736" s="35"/>
    </row>
    <row r="2737" spans="1:42" x14ac:dyDescent="0.2">
      <c r="A2737" s="126">
        <v>45498.964934074073</v>
      </c>
      <c r="B2737" s="137" t="s">
        <v>37</v>
      </c>
      <c r="C2737" s="41" t="s">
        <v>118</v>
      </c>
      <c r="D2737" s="80" t="s">
        <v>36</v>
      </c>
      <c r="E2737" s="80" t="s">
        <v>39</v>
      </c>
      <c r="F2737" s="80" t="s">
        <v>9681</v>
      </c>
      <c r="G2737" s="80" t="s">
        <v>41</v>
      </c>
      <c r="H2737" s="80" t="s">
        <v>9682</v>
      </c>
      <c r="I2737" s="17">
        <f ca="1">IFERROR(__xludf.DUMMYFUNCTION("""COMPUTED_VALUE"""),45505)</f>
        <v>45505</v>
      </c>
      <c r="J2737" s="143" t="s">
        <v>9683</v>
      </c>
      <c r="K2737" s="80" t="s">
        <v>9684</v>
      </c>
      <c r="L2737" s="30">
        <v>377092803</v>
      </c>
      <c r="M2737" s="80" t="s">
        <v>3288</v>
      </c>
      <c r="N2737" s="80" t="s">
        <v>200</v>
      </c>
      <c r="O2737" s="80" t="s">
        <v>9685</v>
      </c>
      <c r="P2737" s="80" t="s">
        <v>9686</v>
      </c>
      <c r="Q2737" s="20"/>
      <c r="R2737" s="80" t="s">
        <v>36</v>
      </c>
      <c r="S2737" s="95">
        <v>1000</v>
      </c>
      <c r="T2737" s="148">
        <v>45478</v>
      </c>
      <c r="U2737" s="95">
        <v>4736</v>
      </c>
      <c r="V2737" s="148">
        <v>45498</v>
      </c>
      <c r="W2737" s="80" t="s">
        <v>9687</v>
      </c>
      <c r="X2737" s="80"/>
      <c r="Y2737" s="22"/>
      <c r="Z2737" s="80" t="s">
        <v>50</v>
      </c>
      <c r="AA2737" s="70" t="s">
        <v>9070</v>
      </c>
      <c r="AB2737" s="80"/>
      <c r="AC2737" s="80" t="s">
        <v>53</v>
      </c>
      <c r="AD2737" s="80" t="s">
        <v>54</v>
      </c>
      <c r="AE2737" s="80" t="s">
        <v>91</v>
      </c>
      <c r="AF2737" s="17">
        <v>45499</v>
      </c>
      <c r="AG2737" s="80"/>
      <c r="AH2737" s="80"/>
      <c r="AI2737" s="147"/>
      <c r="AJ2737" s="80"/>
      <c r="AK2737" s="80"/>
      <c r="AL2737" s="35"/>
      <c r="AM2737" s="35"/>
      <c r="AN2737" s="35"/>
      <c r="AO2737" s="35"/>
      <c r="AP2737" s="35"/>
    </row>
    <row r="2738" spans="1:42" x14ac:dyDescent="0.2">
      <c r="A2738" s="126">
        <v>45498.996514965278</v>
      </c>
      <c r="B2738" s="137" t="s">
        <v>37</v>
      </c>
      <c r="C2738" s="41" t="s">
        <v>118</v>
      </c>
      <c r="D2738" s="80" t="s">
        <v>36</v>
      </c>
      <c r="E2738" s="80" t="s">
        <v>56</v>
      </c>
      <c r="F2738" s="80" t="s">
        <v>36</v>
      </c>
      <c r="G2738" s="26" t="s">
        <v>41</v>
      </c>
      <c r="H2738" s="80" t="s">
        <v>7330</v>
      </c>
      <c r="I2738" s="17">
        <f ca="1">IFERROR(__xludf.DUMMYFUNCTION("""COMPUTED_VALUE"""),45509)</f>
        <v>45509</v>
      </c>
      <c r="J2738" s="143" t="s">
        <v>9688</v>
      </c>
      <c r="K2738" s="80" t="s">
        <v>9689</v>
      </c>
      <c r="L2738" s="30">
        <v>347023303</v>
      </c>
      <c r="M2738" s="80" t="s">
        <v>59</v>
      </c>
      <c r="N2738" s="80" t="s">
        <v>68</v>
      </c>
      <c r="O2738" s="80" t="s">
        <v>9690</v>
      </c>
      <c r="P2738" s="80" t="s">
        <v>9691</v>
      </c>
      <c r="Q2738" s="20"/>
      <c r="R2738" s="80" t="s">
        <v>70</v>
      </c>
      <c r="S2738" s="95">
        <v>9217</v>
      </c>
      <c r="T2738" s="148">
        <v>45493</v>
      </c>
      <c r="U2738" s="77"/>
      <c r="V2738" s="78"/>
      <c r="W2738" s="85" t="s">
        <v>9692</v>
      </c>
      <c r="X2738" s="80"/>
      <c r="Y2738" s="22"/>
      <c r="Z2738" s="80" t="s">
        <v>50</v>
      </c>
      <c r="AA2738" s="70" t="s">
        <v>9070</v>
      </c>
      <c r="AB2738" s="80"/>
      <c r="AC2738" s="80" t="s">
        <v>53</v>
      </c>
      <c r="AD2738" s="80" t="s">
        <v>138</v>
      </c>
      <c r="AE2738" s="80" t="s">
        <v>3170</v>
      </c>
      <c r="AF2738" s="17">
        <v>45509</v>
      </c>
      <c r="AG2738" s="26" t="s">
        <v>4279</v>
      </c>
      <c r="AH2738" s="80"/>
      <c r="AI2738" s="147"/>
      <c r="AJ2738" s="80"/>
      <c r="AK2738" s="80"/>
      <c r="AL2738" s="35"/>
      <c r="AM2738" s="35"/>
      <c r="AN2738" s="35"/>
      <c r="AO2738" s="35"/>
      <c r="AP2738" s="35"/>
    </row>
    <row r="2739" spans="1:42" x14ac:dyDescent="0.2">
      <c r="A2739" s="126">
        <v>45499.871662488425</v>
      </c>
      <c r="B2739" s="137" t="s">
        <v>37</v>
      </c>
      <c r="C2739" s="41" t="s">
        <v>118</v>
      </c>
      <c r="D2739" s="80" t="s">
        <v>36</v>
      </c>
      <c r="E2739" s="80" t="s">
        <v>77</v>
      </c>
      <c r="F2739" s="80" t="s">
        <v>36</v>
      </c>
      <c r="G2739" s="80" t="s">
        <v>41</v>
      </c>
      <c r="H2739" s="80" t="s">
        <v>9693</v>
      </c>
      <c r="I2739" s="17">
        <f ca="1">IFERROR(__xludf.DUMMYFUNCTION("""COMPUTED_VALUE"""),45506)</f>
        <v>45506</v>
      </c>
      <c r="J2739" s="143" t="s">
        <v>9694</v>
      </c>
      <c r="K2739" s="80" t="s">
        <v>9695</v>
      </c>
      <c r="L2739" s="30">
        <v>372044640</v>
      </c>
      <c r="M2739" s="80" t="s">
        <v>548</v>
      </c>
      <c r="N2739" s="80" t="s">
        <v>621</v>
      </c>
      <c r="O2739" s="80" t="s">
        <v>9696</v>
      </c>
      <c r="P2739" s="80" t="s">
        <v>9697</v>
      </c>
      <c r="Q2739" s="20"/>
      <c r="R2739" s="80" t="s">
        <v>36</v>
      </c>
      <c r="S2739" s="95">
        <v>1968</v>
      </c>
      <c r="T2739" s="148">
        <v>45499</v>
      </c>
      <c r="U2739" s="77"/>
      <c r="V2739" s="78"/>
      <c r="W2739" s="85" t="s">
        <v>9698</v>
      </c>
      <c r="X2739" s="80"/>
      <c r="Y2739" s="22"/>
      <c r="Z2739" s="80" t="s">
        <v>50</v>
      </c>
      <c r="AA2739" s="70" t="s">
        <v>9070</v>
      </c>
      <c r="AB2739" s="80"/>
      <c r="AC2739" s="80" t="s">
        <v>53</v>
      </c>
      <c r="AD2739" s="80" t="s">
        <v>54</v>
      </c>
      <c r="AE2739" s="80" t="s">
        <v>8781</v>
      </c>
      <c r="AF2739" s="17">
        <v>45500</v>
      </c>
      <c r="AG2739" s="80"/>
      <c r="AH2739" s="80"/>
      <c r="AI2739" s="147"/>
      <c r="AJ2739" s="80"/>
      <c r="AK2739" s="80"/>
      <c r="AL2739" s="35"/>
      <c r="AM2739" s="35"/>
      <c r="AN2739" s="35"/>
      <c r="AO2739" s="35"/>
      <c r="AP2739" s="35"/>
    </row>
    <row r="2740" spans="1:42" x14ac:dyDescent="0.2">
      <c r="A2740" s="126">
        <v>45499.950200891202</v>
      </c>
      <c r="B2740" s="137" t="s">
        <v>37</v>
      </c>
      <c r="C2740" s="41" t="s">
        <v>118</v>
      </c>
      <c r="D2740" s="80" t="s">
        <v>36</v>
      </c>
      <c r="E2740" s="80" t="s">
        <v>77</v>
      </c>
      <c r="F2740" s="80" t="s">
        <v>36</v>
      </c>
      <c r="G2740" s="26" t="s">
        <v>41</v>
      </c>
      <c r="H2740" s="80" t="s">
        <v>7330</v>
      </c>
      <c r="I2740" s="17">
        <f ca="1">IFERROR(__xludf.DUMMYFUNCTION("""COMPUTED_VALUE"""),45509)</f>
        <v>45509</v>
      </c>
      <c r="J2740" s="143" t="s">
        <v>9699</v>
      </c>
      <c r="K2740" s="80" t="s">
        <v>9700</v>
      </c>
      <c r="L2740" s="30">
        <v>386171003</v>
      </c>
      <c r="M2740" s="80" t="s">
        <v>112</v>
      </c>
      <c r="N2740" s="80" t="s">
        <v>113</v>
      </c>
      <c r="O2740" s="80" t="s">
        <v>36</v>
      </c>
      <c r="P2740" s="80" t="s">
        <v>138</v>
      </c>
      <c r="Q2740" s="20"/>
      <c r="R2740" s="80" t="s">
        <v>36</v>
      </c>
      <c r="S2740" s="95">
        <v>1968</v>
      </c>
      <c r="T2740" s="148" t="s">
        <v>9701</v>
      </c>
      <c r="U2740" s="77"/>
      <c r="V2740" s="78"/>
      <c r="W2740" s="85" t="s">
        <v>9702</v>
      </c>
      <c r="X2740" s="80"/>
      <c r="Y2740" s="22"/>
      <c r="Z2740" s="80" t="s">
        <v>50</v>
      </c>
      <c r="AA2740" s="70" t="s">
        <v>9070</v>
      </c>
      <c r="AB2740" s="26" t="s">
        <v>36</v>
      </c>
      <c r="AC2740" s="80" t="s">
        <v>53</v>
      </c>
      <c r="AD2740" s="80" t="s">
        <v>138</v>
      </c>
      <c r="AE2740" s="80" t="s">
        <v>240</v>
      </c>
      <c r="AF2740" s="17">
        <v>45509</v>
      </c>
      <c r="AG2740" s="26" t="s">
        <v>4279</v>
      </c>
      <c r="AH2740" s="80"/>
      <c r="AI2740" s="147"/>
      <c r="AJ2740" s="80"/>
      <c r="AK2740" s="80"/>
      <c r="AL2740" s="35"/>
      <c r="AM2740" s="35"/>
      <c r="AN2740" s="35"/>
      <c r="AO2740" s="35"/>
      <c r="AP2740" s="35"/>
    </row>
    <row r="2741" spans="1:42" x14ac:dyDescent="0.2">
      <c r="A2741" s="126">
        <v>45499.957138576385</v>
      </c>
      <c r="B2741" s="137" t="s">
        <v>37</v>
      </c>
      <c r="C2741" s="41" t="s">
        <v>118</v>
      </c>
      <c r="D2741" s="80" t="s">
        <v>36</v>
      </c>
      <c r="E2741" s="80" t="s">
        <v>6528</v>
      </c>
      <c r="F2741" s="80" t="s">
        <v>36</v>
      </c>
      <c r="G2741" s="80" t="s">
        <v>1847</v>
      </c>
      <c r="H2741" s="80" t="s">
        <v>8917</v>
      </c>
      <c r="I2741" s="17">
        <f ca="1">IFERROR(__xludf.DUMMYFUNCTION("""COMPUTED_VALUE"""),45512)</f>
        <v>45512</v>
      </c>
      <c r="J2741" s="143" t="s">
        <v>9703</v>
      </c>
      <c r="K2741" s="80" t="s">
        <v>9704</v>
      </c>
      <c r="L2741" s="30">
        <v>327020826</v>
      </c>
      <c r="M2741" s="80" t="s">
        <v>112</v>
      </c>
      <c r="N2741" s="80" t="s">
        <v>113</v>
      </c>
      <c r="O2741" s="80" t="s">
        <v>36</v>
      </c>
      <c r="P2741" s="80" t="s">
        <v>9705</v>
      </c>
      <c r="Q2741" s="20"/>
      <c r="R2741" s="80" t="s">
        <v>36</v>
      </c>
      <c r="S2741" s="95">
        <v>4268</v>
      </c>
      <c r="T2741" s="148">
        <v>45499</v>
      </c>
      <c r="U2741" s="77"/>
      <c r="V2741" s="78"/>
      <c r="W2741" s="85" t="s">
        <v>9706</v>
      </c>
      <c r="X2741" s="80"/>
      <c r="Y2741" s="22"/>
      <c r="Z2741" s="80" t="s">
        <v>50</v>
      </c>
      <c r="AA2741" s="70" t="s">
        <v>9070</v>
      </c>
      <c r="AB2741" s="26" t="s">
        <v>36</v>
      </c>
      <c r="AC2741" s="80" t="s">
        <v>53</v>
      </c>
      <c r="AD2741" s="80" t="s">
        <v>54</v>
      </c>
      <c r="AE2741" s="80" t="s">
        <v>3473</v>
      </c>
      <c r="AF2741" s="17">
        <v>45506</v>
      </c>
      <c r="AG2741" s="80"/>
      <c r="AH2741" s="80"/>
      <c r="AI2741" s="147"/>
      <c r="AJ2741" s="80"/>
      <c r="AK2741" s="80"/>
      <c r="AL2741" s="35"/>
      <c r="AM2741" s="35"/>
      <c r="AN2741" s="35"/>
      <c r="AO2741" s="35"/>
      <c r="AP2741" s="35"/>
    </row>
    <row r="2742" spans="1:42" x14ac:dyDescent="0.2">
      <c r="A2742" s="126">
        <v>45501.674751342594</v>
      </c>
      <c r="B2742" s="137" t="s">
        <v>37</v>
      </c>
      <c r="C2742" s="41" t="s">
        <v>118</v>
      </c>
      <c r="D2742" s="80" t="s">
        <v>36</v>
      </c>
      <c r="E2742" s="80" t="s">
        <v>77</v>
      </c>
      <c r="F2742" s="80" t="s">
        <v>36</v>
      </c>
      <c r="G2742" s="80" t="s">
        <v>41</v>
      </c>
      <c r="H2742" s="80" t="s">
        <v>9565</v>
      </c>
      <c r="I2742" s="17">
        <f ca="1">IFERROR(__xludf.DUMMYFUNCTION("""COMPUTED_VALUE"""),45504)</f>
        <v>45504</v>
      </c>
      <c r="J2742" s="143" t="s">
        <v>9707</v>
      </c>
      <c r="K2742" s="80" t="s">
        <v>9708</v>
      </c>
      <c r="L2742" s="30">
        <v>329824020</v>
      </c>
      <c r="M2742" s="80" t="s">
        <v>1245</v>
      </c>
      <c r="N2742" s="80" t="s">
        <v>1246</v>
      </c>
      <c r="O2742" s="80" t="s">
        <v>9709</v>
      </c>
      <c r="P2742" s="80" t="s">
        <v>9710</v>
      </c>
      <c r="Q2742" s="20"/>
      <c r="R2742" s="80" t="s">
        <v>36</v>
      </c>
      <c r="S2742" s="95">
        <v>1968</v>
      </c>
      <c r="T2742" s="148">
        <v>45501</v>
      </c>
      <c r="U2742" s="77"/>
      <c r="V2742" s="78"/>
      <c r="W2742" s="85" t="s">
        <v>9711</v>
      </c>
      <c r="X2742" s="80"/>
      <c r="Y2742" s="22"/>
      <c r="Z2742" s="80" t="s">
        <v>50</v>
      </c>
      <c r="AA2742" s="70" t="s">
        <v>9070</v>
      </c>
      <c r="AB2742" s="26" t="s">
        <v>36</v>
      </c>
      <c r="AC2742" s="80" t="s">
        <v>53</v>
      </c>
      <c r="AD2742" s="80" t="s">
        <v>54</v>
      </c>
      <c r="AE2742" s="80" t="s">
        <v>72</v>
      </c>
      <c r="AF2742" s="17">
        <v>45502</v>
      </c>
      <c r="AG2742" s="80"/>
      <c r="AH2742" s="80"/>
      <c r="AI2742" s="147"/>
      <c r="AJ2742" s="80"/>
      <c r="AK2742" s="80"/>
      <c r="AL2742" s="35"/>
      <c r="AM2742" s="35"/>
      <c r="AN2742" s="35"/>
      <c r="AO2742" s="35"/>
      <c r="AP2742" s="35"/>
    </row>
    <row r="2743" spans="1:42" x14ac:dyDescent="0.2">
      <c r="A2743" s="126">
        <v>45501.693304166663</v>
      </c>
      <c r="B2743" s="137" t="s">
        <v>37</v>
      </c>
      <c r="C2743" s="41" t="s">
        <v>118</v>
      </c>
      <c r="D2743" s="80" t="s">
        <v>36</v>
      </c>
      <c r="E2743" s="80" t="s">
        <v>77</v>
      </c>
      <c r="F2743" s="80" t="s">
        <v>36</v>
      </c>
      <c r="G2743" s="80" t="s">
        <v>41</v>
      </c>
      <c r="H2743" s="80" t="s">
        <v>9675</v>
      </c>
      <c r="I2743" s="17">
        <f ca="1">IFERROR(__xludf.DUMMYFUNCTION("""COMPUTED_VALUE"""),45506)</f>
        <v>45506</v>
      </c>
      <c r="J2743" s="143" t="s">
        <v>9712</v>
      </c>
      <c r="K2743" s="80" t="s">
        <v>9713</v>
      </c>
      <c r="L2743" s="30">
        <v>968302379</v>
      </c>
      <c r="M2743" s="80" t="s">
        <v>2755</v>
      </c>
      <c r="N2743" s="80" t="s">
        <v>2756</v>
      </c>
      <c r="O2743" s="80" t="s">
        <v>4503</v>
      </c>
      <c r="P2743" s="80" t="s">
        <v>9714</v>
      </c>
      <c r="Q2743" s="20"/>
      <c r="R2743" s="80" t="s">
        <v>36</v>
      </c>
      <c r="S2743" s="95">
        <v>1968</v>
      </c>
      <c r="T2743" s="148">
        <v>45501</v>
      </c>
      <c r="U2743" s="77"/>
      <c r="V2743" s="78"/>
      <c r="W2743" s="85" t="s">
        <v>9715</v>
      </c>
      <c r="X2743" s="80"/>
      <c r="Y2743" s="22"/>
      <c r="Z2743" s="80" t="s">
        <v>50</v>
      </c>
      <c r="AA2743" s="70" t="s">
        <v>9070</v>
      </c>
      <c r="AB2743" s="80"/>
      <c r="AC2743" s="80" t="s">
        <v>53</v>
      </c>
      <c r="AD2743" s="80" t="s">
        <v>54</v>
      </c>
      <c r="AE2743" s="80"/>
      <c r="AF2743" s="17">
        <v>45502</v>
      </c>
      <c r="AG2743" s="80"/>
      <c r="AH2743" s="80"/>
      <c r="AI2743" s="147"/>
      <c r="AJ2743" s="80"/>
      <c r="AK2743" s="80"/>
      <c r="AL2743" s="35"/>
      <c r="AM2743" s="35"/>
      <c r="AN2743" s="35"/>
      <c r="AO2743" s="35"/>
      <c r="AP2743" s="35"/>
    </row>
    <row r="2744" spans="1:42" x14ac:dyDescent="0.2">
      <c r="A2744" s="126">
        <v>45501.954318240736</v>
      </c>
      <c r="B2744" s="137" t="s">
        <v>37</v>
      </c>
      <c r="C2744" s="41" t="s">
        <v>118</v>
      </c>
      <c r="D2744" s="80" t="s">
        <v>36</v>
      </c>
      <c r="E2744" s="80" t="s">
        <v>106</v>
      </c>
      <c r="F2744" s="80" t="s">
        <v>36</v>
      </c>
      <c r="G2744" s="80" t="s">
        <v>108</v>
      </c>
      <c r="H2744" s="80" t="s">
        <v>9716</v>
      </c>
      <c r="I2744" s="17" t="str">
        <f ca="1">IFERROR(__xludf.DUMMYFUNCTION("""COMPUTED_VALUE""")," ")</f>
        <v xml:space="preserve"> </v>
      </c>
      <c r="J2744" s="172" t="s">
        <v>9717</v>
      </c>
      <c r="K2744" s="80" t="s">
        <v>9718</v>
      </c>
      <c r="L2744" s="30">
        <v>965782189</v>
      </c>
      <c r="M2744" s="80" t="s">
        <v>348</v>
      </c>
      <c r="N2744" s="80" t="s">
        <v>68</v>
      </c>
      <c r="O2744" s="80" t="s">
        <v>9719</v>
      </c>
      <c r="P2744" s="80" t="s">
        <v>9720</v>
      </c>
      <c r="Q2744" s="20"/>
      <c r="R2744" s="80" t="s">
        <v>36</v>
      </c>
      <c r="S2744" s="95">
        <v>3768</v>
      </c>
      <c r="T2744" s="148">
        <v>45501</v>
      </c>
      <c r="U2744" s="77"/>
      <c r="V2744" s="78"/>
      <c r="W2744" s="85" t="s">
        <v>9721</v>
      </c>
      <c r="X2744" s="80"/>
      <c r="Y2744" s="22"/>
      <c r="Z2744" s="80" t="s">
        <v>50</v>
      </c>
      <c r="AA2744" s="70" t="s">
        <v>9070</v>
      </c>
      <c r="AB2744" s="80"/>
      <c r="AC2744" s="80" t="s">
        <v>53</v>
      </c>
      <c r="AD2744" s="80" t="s">
        <v>54</v>
      </c>
      <c r="AE2744" s="83">
        <v>360</v>
      </c>
      <c r="AF2744" s="17">
        <v>45502</v>
      </c>
      <c r="AG2744" s="80"/>
      <c r="AH2744" s="80"/>
      <c r="AI2744" s="147"/>
      <c r="AJ2744" s="80"/>
      <c r="AK2744" s="80"/>
      <c r="AL2744" s="35"/>
      <c r="AM2744" s="35"/>
      <c r="AN2744" s="35"/>
      <c r="AO2744" s="35"/>
      <c r="AP2744" s="35"/>
    </row>
    <row r="2745" spans="1:42" x14ac:dyDescent="0.2">
      <c r="A2745" s="126">
        <v>45503.33528954861</v>
      </c>
      <c r="B2745" s="137" t="s">
        <v>37</v>
      </c>
      <c r="C2745" s="41" t="s">
        <v>118</v>
      </c>
      <c r="D2745" s="80" t="s">
        <v>36</v>
      </c>
      <c r="E2745" s="80" t="s">
        <v>139</v>
      </c>
      <c r="F2745" s="80" t="s">
        <v>36</v>
      </c>
      <c r="G2745" s="80" t="s">
        <v>41</v>
      </c>
      <c r="H2745" s="80" t="s">
        <v>9614</v>
      </c>
      <c r="I2745" s="17">
        <f ca="1">IFERROR(__xludf.DUMMYFUNCTION("""COMPUTED_VALUE"""),45552)</f>
        <v>45552</v>
      </c>
      <c r="J2745" s="143" t="s">
        <v>9722</v>
      </c>
      <c r="K2745" s="80" t="s">
        <v>9723</v>
      </c>
      <c r="L2745" s="30">
        <v>948454895</v>
      </c>
      <c r="M2745" s="80" t="s">
        <v>59</v>
      </c>
      <c r="N2745" s="80" t="s">
        <v>9660</v>
      </c>
      <c r="O2745" s="80" t="s">
        <v>9724</v>
      </c>
      <c r="P2745" s="144" t="s">
        <v>9725</v>
      </c>
      <c r="Q2745" s="20"/>
      <c r="R2745" s="80" t="s">
        <v>36</v>
      </c>
      <c r="S2745" s="95">
        <v>15963</v>
      </c>
      <c r="T2745" s="148">
        <v>45500</v>
      </c>
      <c r="U2745" s="77"/>
      <c r="V2745" s="78"/>
      <c r="W2745" s="80" t="s">
        <v>9726</v>
      </c>
      <c r="X2745" s="80"/>
      <c r="Y2745" s="22"/>
      <c r="Z2745" s="80" t="s">
        <v>50</v>
      </c>
      <c r="AA2745" s="70" t="s">
        <v>9070</v>
      </c>
      <c r="AB2745" s="80"/>
      <c r="AC2745" s="80" t="s">
        <v>53</v>
      </c>
      <c r="AD2745" s="80" t="s">
        <v>54</v>
      </c>
      <c r="AE2745" s="80" t="s">
        <v>4488</v>
      </c>
      <c r="AF2745" s="17">
        <v>45507</v>
      </c>
      <c r="AG2745" s="26" t="s">
        <v>9620</v>
      </c>
      <c r="AH2745" s="80"/>
      <c r="AI2745" s="147"/>
      <c r="AJ2745" s="80"/>
      <c r="AK2745" s="80"/>
      <c r="AL2745" s="35"/>
      <c r="AM2745" s="35"/>
      <c r="AN2745" s="35"/>
      <c r="AO2745" s="35"/>
      <c r="AP2745" s="35"/>
    </row>
    <row r="2746" spans="1:42" x14ac:dyDescent="0.2">
      <c r="A2746" s="126">
        <v>45503.342557523152</v>
      </c>
      <c r="B2746" s="137" t="s">
        <v>37</v>
      </c>
      <c r="C2746" s="41" t="s">
        <v>118</v>
      </c>
      <c r="D2746" s="80" t="s">
        <v>219</v>
      </c>
      <c r="E2746" s="80" t="s">
        <v>1704</v>
      </c>
      <c r="F2746" s="80" t="s">
        <v>9727</v>
      </c>
      <c r="G2746" s="80" t="s">
        <v>9728</v>
      </c>
      <c r="H2746" s="80" t="s">
        <v>6519</v>
      </c>
      <c r="I2746" s="17">
        <f ca="1">IFERROR(__xludf.DUMMYFUNCTION("""COMPUTED_VALUE"""),45518)</f>
        <v>45518</v>
      </c>
      <c r="J2746" s="143" t="s">
        <v>3193</v>
      </c>
      <c r="K2746" s="80" t="s">
        <v>4276</v>
      </c>
      <c r="L2746" s="30">
        <v>823436698</v>
      </c>
      <c r="M2746" s="80" t="s">
        <v>59</v>
      </c>
      <c r="N2746" s="80" t="s">
        <v>68</v>
      </c>
      <c r="O2746" s="80" t="s">
        <v>3195</v>
      </c>
      <c r="P2746" s="80" t="s">
        <v>9729</v>
      </c>
      <c r="Q2746" s="20"/>
      <c r="R2746" s="80" t="s">
        <v>36</v>
      </c>
      <c r="S2746" s="95">
        <v>7629</v>
      </c>
      <c r="T2746" s="148">
        <v>45502</v>
      </c>
      <c r="U2746" s="77"/>
      <c r="V2746" s="78"/>
      <c r="W2746" s="85" t="s">
        <v>9730</v>
      </c>
      <c r="X2746" s="80"/>
      <c r="Y2746" s="22"/>
      <c r="Z2746" s="80" t="s">
        <v>50</v>
      </c>
      <c r="AA2746" s="70" t="s">
        <v>9070</v>
      </c>
      <c r="AB2746" s="80"/>
      <c r="AC2746" s="80" t="s">
        <v>53</v>
      </c>
      <c r="AD2746" s="80" t="s">
        <v>138</v>
      </c>
      <c r="AE2746" s="80" t="s">
        <v>9731</v>
      </c>
      <c r="AF2746" s="17">
        <v>45518</v>
      </c>
      <c r="AG2746" s="80" t="s">
        <v>3399</v>
      </c>
      <c r="AH2746" s="80"/>
      <c r="AI2746" s="147"/>
      <c r="AJ2746" s="80"/>
      <c r="AK2746" s="80"/>
      <c r="AL2746" s="35"/>
      <c r="AM2746" s="35"/>
      <c r="AN2746" s="35"/>
      <c r="AO2746" s="35"/>
      <c r="AP2746" s="35"/>
    </row>
    <row r="2747" spans="1:42" x14ac:dyDescent="0.2">
      <c r="A2747" s="126">
        <v>45504.335667071762</v>
      </c>
      <c r="B2747" s="137" t="s">
        <v>37</v>
      </c>
      <c r="C2747" s="41" t="s">
        <v>118</v>
      </c>
      <c r="D2747" s="80" t="s">
        <v>36</v>
      </c>
      <c r="E2747" s="80" t="s">
        <v>56</v>
      </c>
      <c r="F2747" s="80" t="s">
        <v>36</v>
      </c>
      <c r="G2747" s="80" t="s">
        <v>41</v>
      </c>
      <c r="H2747" s="80" t="s">
        <v>9682</v>
      </c>
      <c r="I2747" s="17">
        <f ca="1">IFERROR(__xludf.DUMMYFUNCTION("""COMPUTED_VALUE"""),45505)</f>
        <v>45505</v>
      </c>
      <c r="J2747" s="143" t="s">
        <v>9732</v>
      </c>
      <c r="K2747" s="80" t="s">
        <v>9733</v>
      </c>
      <c r="L2747" s="30">
        <v>984193657</v>
      </c>
      <c r="M2747" s="80" t="s">
        <v>348</v>
      </c>
      <c r="N2747" s="80" t="s">
        <v>4299</v>
      </c>
      <c r="O2747" s="80" t="s">
        <v>9734</v>
      </c>
      <c r="P2747" s="80" t="s">
        <v>9735</v>
      </c>
      <c r="Q2747" s="20"/>
      <c r="R2747" s="80" t="s">
        <v>1106</v>
      </c>
      <c r="S2747" s="95">
        <v>9317</v>
      </c>
      <c r="T2747" s="148">
        <v>45502</v>
      </c>
      <c r="U2747" s="77"/>
      <c r="V2747" s="78"/>
      <c r="W2747" s="85" t="s">
        <v>9736</v>
      </c>
      <c r="X2747" s="80"/>
      <c r="Y2747" s="22"/>
      <c r="Z2747" s="80" t="s">
        <v>50</v>
      </c>
      <c r="AA2747" s="70" t="s">
        <v>9070</v>
      </c>
      <c r="AB2747" s="80"/>
      <c r="AC2747" s="80" t="s">
        <v>53</v>
      </c>
      <c r="AD2747" s="80" t="s">
        <v>54</v>
      </c>
      <c r="AE2747" s="80" t="s">
        <v>72</v>
      </c>
      <c r="AF2747" s="17">
        <v>45504</v>
      </c>
      <c r="AG2747" s="80"/>
      <c r="AH2747" s="80"/>
      <c r="AI2747" s="147"/>
      <c r="AJ2747" s="80"/>
      <c r="AK2747" s="80"/>
      <c r="AL2747" s="35"/>
      <c r="AM2747" s="35"/>
      <c r="AN2747" s="35"/>
      <c r="AO2747" s="35"/>
      <c r="AP2747" s="35"/>
    </row>
    <row r="2748" spans="1:42" x14ac:dyDescent="0.2">
      <c r="A2748" s="126">
        <v>45504.344426365744</v>
      </c>
      <c r="B2748" s="28" t="s">
        <v>37</v>
      </c>
      <c r="C2748" s="41" t="s">
        <v>118</v>
      </c>
      <c r="D2748" s="80" t="s">
        <v>36</v>
      </c>
      <c r="E2748" s="80" t="s">
        <v>219</v>
      </c>
      <c r="F2748" s="80" t="s">
        <v>40</v>
      </c>
      <c r="G2748" s="80" t="s">
        <v>221</v>
      </c>
      <c r="H2748" s="80" t="s">
        <v>7477</v>
      </c>
      <c r="I2748" s="17">
        <f ca="1">IFERROR(__xludf.DUMMYFUNCTION("""COMPUTED_VALUE"""),45513)</f>
        <v>45513</v>
      </c>
      <c r="J2748" s="143" t="s">
        <v>9737</v>
      </c>
      <c r="K2748" s="80" t="s">
        <v>9738</v>
      </c>
      <c r="L2748" s="30">
        <v>382899362</v>
      </c>
      <c r="M2748" s="80" t="s">
        <v>348</v>
      </c>
      <c r="N2748" s="80" t="s">
        <v>68</v>
      </c>
      <c r="O2748" s="80" t="s">
        <v>9739</v>
      </c>
      <c r="P2748" s="80" t="s">
        <v>9740</v>
      </c>
      <c r="Q2748" s="20"/>
      <c r="R2748" s="80" t="s">
        <v>36</v>
      </c>
      <c r="S2748" s="95">
        <v>3968</v>
      </c>
      <c r="T2748" s="148">
        <v>45502</v>
      </c>
      <c r="U2748" s="77"/>
      <c r="V2748" s="78"/>
      <c r="W2748" s="85" t="s">
        <v>9741</v>
      </c>
      <c r="X2748" s="80"/>
      <c r="Y2748" s="22"/>
      <c r="Z2748" s="80" t="s">
        <v>50</v>
      </c>
      <c r="AA2748" s="70" t="s">
        <v>9070</v>
      </c>
      <c r="AB2748" s="80"/>
      <c r="AC2748" s="80" t="s">
        <v>53</v>
      </c>
      <c r="AD2748" s="80" t="s">
        <v>54</v>
      </c>
      <c r="AE2748" s="80" t="s">
        <v>3554</v>
      </c>
      <c r="AF2748" s="17">
        <v>45509</v>
      </c>
      <c r="AG2748" s="80"/>
      <c r="AH2748" s="80"/>
      <c r="AI2748" s="147"/>
      <c r="AJ2748" s="80"/>
      <c r="AK2748" s="80"/>
      <c r="AL2748" s="35"/>
      <c r="AM2748" s="35"/>
      <c r="AN2748" s="35"/>
      <c r="AO2748" s="35"/>
      <c r="AP2748" s="35"/>
    </row>
    <row r="2749" spans="1:42" x14ac:dyDescent="0.2">
      <c r="A2749" s="126">
        <v>45504.349641412038</v>
      </c>
      <c r="B2749" s="137" t="s">
        <v>37</v>
      </c>
      <c r="C2749" s="41" t="s">
        <v>118</v>
      </c>
      <c r="D2749" s="80" t="s">
        <v>36</v>
      </c>
      <c r="E2749" s="80" t="s">
        <v>39</v>
      </c>
      <c r="F2749" s="80" t="s">
        <v>36</v>
      </c>
      <c r="G2749" s="80" t="s">
        <v>41</v>
      </c>
      <c r="H2749" s="80" t="s">
        <v>9693</v>
      </c>
      <c r="I2749" s="17">
        <f ca="1">IFERROR(__xludf.DUMMYFUNCTION("""COMPUTED_VALUE"""),45506)</f>
        <v>45506</v>
      </c>
      <c r="J2749" s="143" t="s">
        <v>9742</v>
      </c>
      <c r="K2749" s="80" t="s">
        <v>9743</v>
      </c>
      <c r="L2749" s="30">
        <v>337532786</v>
      </c>
      <c r="M2749" s="80" t="s">
        <v>59</v>
      </c>
      <c r="N2749" s="80" t="s">
        <v>68</v>
      </c>
      <c r="O2749" s="80" t="s">
        <v>9744</v>
      </c>
      <c r="P2749" s="80" t="s">
        <v>9745</v>
      </c>
      <c r="Q2749" s="20"/>
      <c r="R2749" s="80" t="s">
        <v>36</v>
      </c>
      <c r="S2749" s="95">
        <v>5736</v>
      </c>
      <c r="T2749" s="148">
        <v>45503</v>
      </c>
      <c r="U2749" s="77"/>
      <c r="V2749" s="78"/>
      <c r="W2749" s="85" t="s">
        <v>9746</v>
      </c>
      <c r="X2749" s="80"/>
      <c r="Y2749" s="22"/>
      <c r="Z2749" s="80" t="s">
        <v>50</v>
      </c>
      <c r="AA2749" s="70" t="s">
        <v>9070</v>
      </c>
      <c r="AB2749" s="80"/>
      <c r="AC2749" s="80" t="s">
        <v>53</v>
      </c>
      <c r="AD2749" s="80" t="s">
        <v>54</v>
      </c>
      <c r="AE2749" s="80" t="s">
        <v>36</v>
      </c>
      <c r="AF2749" s="17">
        <v>45504</v>
      </c>
      <c r="AG2749" s="80"/>
      <c r="AH2749" s="80"/>
      <c r="AI2749" s="147"/>
      <c r="AJ2749" s="80"/>
      <c r="AK2749" s="80"/>
      <c r="AL2749" s="35"/>
      <c r="AM2749" s="35"/>
      <c r="AN2749" s="35"/>
      <c r="AO2749" s="35"/>
      <c r="AP2749" s="35"/>
    </row>
    <row r="2750" spans="1:42" x14ac:dyDescent="0.2">
      <c r="A2750" s="126">
        <v>45504.453560682872</v>
      </c>
      <c r="B2750" s="137" t="s">
        <v>37</v>
      </c>
      <c r="C2750" s="41" t="s">
        <v>118</v>
      </c>
      <c r="D2750" s="80" t="s">
        <v>36</v>
      </c>
      <c r="E2750" s="80" t="s">
        <v>77</v>
      </c>
      <c r="F2750" s="80" t="s">
        <v>36</v>
      </c>
      <c r="G2750" s="80" t="s">
        <v>41</v>
      </c>
      <c r="H2750" s="80" t="s">
        <v>9747</v>
      </c>
      <c r="I2750" s="17" t="str">
        <f ca="1">IFERROR(__xludf.DUMMYFUNCTION("""COMPUTED_VALUE""")," ")</f>
        <v xml:space="preserve"> </v>
      </c>
      <c r="J2750" s="143" t="s">
        <v>9748</v>
      </c>
      <c r="K2750" s="80" t="s">
        <v>9749</v>
      </c>
      <c r="L2750" s="30">
        <v>349593426</v>
      </c>
      <c r="M2750" s="80" t="s">
        <v>112</v>
      </c>
      <c r="N2750" s="80" t="s">
        <v>9750</v>
      </c>
      <c r="O2750" s="80" t="s">
        <v>9751</v>
      </c>
      <c r="P2750" s="80" t="s">
        <v>9752</v>
      </c>
      <c r="Q2750" s="20"/>
      <c r="R2750" s="80" t="s">
        <v>36</v>
      </c>
      <c r="S2750" s="95">
        <v>1968</v>
      </c>
      <c r="T2750" s="148">
        <v>45503</v>
      </c>
      <c r="U2750" s="77"/>
      <c r="V2750" s="78"/>
      <c r="W2750" s="85" t="s">
        <v>9753</v>
      </c>
      <c r="X2750" s="80"/>
      <c r="Y2750" s="22"/>
      <c r="Z2750" s="80" t="s">
        <v>50</v>
      </c>
      <c r="AA2750" s="70" t="s">
        <v>9070</v>
      </c>
      <c r="AB2750" s="80"/>
      <c r="AC2750" s="80" t="s">
        <v>53</v>
      </c>
      <c r="AD2750" s="80" t="s">
        <v>54</v>
      </c>
      <c r="AE2750" s="80" t="s">
        <v>76</v>
      </c>
      <c r="AF2750" s="17">
        <v>45507</v>
      </c>
      <c r="AG2750" s="80"/>
      <c r="AH2750" s="80"/>
      <c r="AI2750" s="147"/>
      <c r="AJ2750" s="80"/>
      <c r="AK2750" s="80"/>
      <c r="AL2750" s="35"/>
      <c r="AM2750" s="35"/>
      <c r="AN2750" s="35"/>
      <c r="AO2750" s="35"/>
      <c r="AP2750" s="35"/>
    </row>
    <row r="2751" spans="1:42" x14ac:dyDescent="0.2">
      <c r="A2751" s="126">
        <v>45504.478028460653</v>
      </c>
      <c r="B2751" s="28" t="s">
        <v>37</v>
      </c>
      <c r="C2751" s="41" t="s">
        <v>118</v>
      </c>
      <c r="D2751" s="80" t="s">
        <v>36</v>
      </c>
      <c r="E2751" s="80" t="s">
        <v>219</v>
      </c>
      <c r="F2751" s="80" t="s">
        <v>36</v>
      </c>
      <c r="G2751" s="80" t="s">
        <v>221</v>
      </c>
      <c r="H2751" s="80" t="s">
        <v>8406</v>
      </c>
      <c r="I2751" s="17">
        <f ca="1">IFERROR(__xludf.DUMMYFUNCTION("""COMPUTED_VALUE"""),45499)</f>
        <v>45499</v>
      </c>
      <c r="J2751" s="143" t="s">
        <v>9754</v>
      </c>
      <c r="K2751" s="80" t="s">
        <v>9755</v>
      </c>
      <c r="L2751" s="30">
        <v>398321759</v>
      </c>
      <c r="M2751" s="80" t="s">
        <v>112</v>
      </c>
      <c r="N2751" s="80" t="s">
        <v>113</v>
      </c>
      <c r="O2751" s="80" t="s">
        <v>36</v>
      </c>
      <c r="P2751" s="80" t="s">
        <v>9756</v>
      </c>
      <c r="Q2751" s="20"/>
      <c r="R2751" s="80" t="s">
        <v>36</v>
      </c>
      <c r="S2751" s="95">
        <v>3968</v>
      </c>
      <c r="T2751" s="148">
        <v>45504</v>
      </c>
      <c r="U2751" s="77"/>
      <c r="V2751" s="78"/>
      <c r="W2751" s="85" t="s">
        <v>9757</v>
      </c>
      <c r="X2751" s="80"/>
      <c r="Y2751" s="22"/>
      <c r="Z2751" s="80" t="s">
        <v>50</v>
      </c>
      <c r="AA2751" s="70" t="s">
        <v>9070</v>
      </c>
      <c r="AB2751" s="26" t="s">
        <v>36</v>
      </c>
      <c r="AC2751" s="80" t="s">
        <v>53</v>
      </c>
      <c r="AD2751" s="80" t="s">
        <v>54</v>
      </c>
      <c r="AE2751" s="83">
        <v>500</v>
      </c>
      <c r="AF2751" s="17">
        <v>45504</v>
      </c>
      <c r="AG2751" s="80"/>
      <c r="AH2751" s="80"/>
      <c r="AI2751" s="147"/>
      <c r="AJ2751" s="80"/>
      <c r="AK2751" s="80"/>
      <c r="AL2751" s="35"/>
      <c r="AM2751" s="35"/>
      <c r="AN2751" s="35"/>
      <c r="AO2751" s="35"/>
      <c r="AP2751" s="35"/>
    </row>
    <row r="2752" spans="1:42" x14ac:dyDescent="0.2">
      <c r="A2752" s="126">
        <v>45504.654365034723</v>
      </c>
      <c r="B2752" s="137" t="s">
        <v>37</v>
      </c>
      <c r="C2752" s="41" t="s">
        <v>118</v>
      </c>
      <c r="D2752" s="80" t="s">
        <v>36</v>
      </c>
      <c r="E2752" s="80" t="s">
        <v>106</v>
      </c>
      <c r="F2752" s="80" t="s">
        <v>36</v>
      </c>
      <c r="G2752" s="80" t="s">
        <v>108</v>
      </c>
      <c r="H2752" s="80" t="s">
        <v>1242</v>
      </c>
      <c r="I2752" s="17">
        <f ca="1">IFERROR(__xludf.DUMMYFUNCTION("""COMPUTED_VALUE"""),45510)</f>
        <v>45510</v>
      </c>
      <c r="J2752" s="143" t="s">
        <v>9758</v>
      </c>
      <c r="K2752" s="80" t="s">
        <v>9759</v>
      </c>
      <c r="L2752" s="30">
        <v>978955033</v>
      </c>
      <c r="M2752" s="80" t="s">
        <v>548</v>
      </c>
      <c r="N2752" s="80" t="s">
        <v>621</v>
      </c>
      <c r="O2752" s="80" t="s">
        <v>9760</v>
      </c>
      <c r="P2752" s="80" t="s">
        <v>9761</v>
      </c>
      <c r="Q2752" s="20"/>
      <c r="R2752" s="80" t="s">
        <v>36</v>
      </c>
      <c r="S2752" s="95">
        <v>3768</v>
      </c>
      <c r="T2752" s="148">
        <v>45504</v>
      </c>
      <c r="U2752" s="77"/>
      <c r="V2752" s="78"/>
      <c r="W2752" s="85" t="s">
        <v>9762</v>
      </c>
      <c r="X2752" s="80"/>
      <c r="Y2752" s="22"/>
      <c r="Z2752" s="80" t="s">
        <v>50</v>
      </c>
      <c r="AA2752" s="70" t="s">
        <v>9070</v>
      </c>
      <c r="AB2752" s="80"/>
      <c r="AC2752" s="80" t="s">
        <v>53</v>
      </c>
      <c r="AD2752" s="80" t="s">
        <v>54</v>
      </c>
      <c r="AE2752" s="83">
        <v>350</v>
      </c>
      <c r="AF2752" s="17">
        <v>45505</v>
      </c>
      <c r="AG2752" s="80"/>
      <c r="AH2752" s="80"/>
      <c r="AI2752" s="147"/>
      <c r="AJ2752" s="80"/>
      <c r="AK2752" s="80"/>
      <c r="AL2752" s="35"/>
      <c r="AM2752" s="35"/>
      <c r="AN2752" s="35"/>
      <c r="AO2752" s="35"/>
      <c r="AP2752" s="35"/>
    </row>
    <row r="2753" spans="1:42" x14ac:dyDescent="0.2">
      <c r="A2753" s="126">
        <v>45504.65795680556</v>
      </c>
      <c r="B2753" s="137" t="s">
        <v>37</v>
      </c>
      <c r="C2753" s="41" t="s">
        <v>118</v>
      </c>
      <c r="D2753" s="80" t="s">
        <v>36</v>
      </c>
      <c r="E2753" s="80" t="s">
        <v>139</v>
      </c>
      <c r="F2753" s="80" t="s">
        <v>36</v>
      </c>
      <c r="G2753" s="80" t="s">
        <v>41</v>
      </c>
      <c r="H2753" s="80" t="s">
        <v>9763</v>
      </c>
      <c r="I2753" s="17">
        <f ca="1">IFERROR(__xludf.DUMMYFUNCTION("""COMPUTED_VALUE"""),45512)</f>
        <v>45512</v>
      </c>
      <c r="J2753" s="143" t="s">
        <v>9764</v>
      </c>
      <c r="K2753" s="80" t="s">
        <v>9765</v>
      </c>
      <c r="L2753" s="30">
        <v>982588370</v>
      </c>
      <c r="M2753" s="80" t="s">
        <v>6309</v>
      </c>
      <c r="N2753" s="80" t="s">
        <v>1400</v>
      </c>
      <c r="O2753" s="80" t="s">
        <v>8827</v>
      </c>
      <c r="P2753" s="80" t="s">
        <v>9766</v>
      </c>
      <c r="Q2753" s="20"/>
      <c r="R2753" s="80" t="s">
        <v>36</v>
      </c>
      <c r="S2753" s="95">
        <v>15936</v>
      </c>
      <c r="T2753" s="148">
        <v>45504</v>
      </c>
      <c r="U2753" s="77"/>
      <c r="V2753" s="78"/>
      <c r="W2753" s="85" t="s">
        <v>9767</v>
      </c>
      <c r="X2753" s="80"/>
      <c r="Y2753" s="22"/>
      <c r="Z2753" s="80" t="s">
        <v>50</v>
      </c>
      <c r="AA2753" s="70" t="s">
        <v>9070</v>
      </c>
      <c r="AB2753" s="80"/>
      <c r="AC2753" s="80" t="s">
        <v>53</v>
      </c>
      <c r="AD2753" s="80" t="s">
        <v>54</v>
      </c>
      <c r="AE2753" s="80"/>
      <c r="AF2753" s="17">
        <v>45507</v>
      </c>
      <c r="AG2753" s="80"/>
      <c r="AH2753" s="80"/>
      <c r="AI2753" s="147"/>
      <c r="AJ2753" s="80"/>
      <c r="AK2753" s="80"/>
      <c r="AL2753" s="35"/>
      <c r="AM2753" s="35"/>
      <c r="AN2753" s="35"/>
      <c r="AO2753" s="35"/>
      <c r="AP2753" s="35"/>
    </row>
    <row r="2754" spans="1:42" x14ac:dyDescent="0.2">
      <c r="A2754" s="126">
        <v>45504.948822951388</v>
      </c>
      <c r="B2754" s="137" t="s">
        <v>37</v>
      </c>
      <c r="C2754" s="41" t="s">
        <v>118</v>
      </c>
      <c r="D2754" s="80" t="s">
        <v>36</v>
      </c>
      <c r="E2754" s="80" t="s">
        <v>148</v>
      </c>
      <c r="F2754" s="80" t="s">
        <v>36</v>
      </c>
      <c r="G2754" s="26" t="s">
        <v>108</v>
      </c>
      <c r="H2754" s="80" t="s">
        <v>9768</v>
      </c>
      <c r="I2754" s="17">
        <f ca="1">IFERROR(__xludf.DUMMYFUNCTION("""COMPUTED_VALUE"""),45578)</f>
        <v>45578</v>
      </c>
      <c r="J2754" s="143" t="s">
        <v>9769</v>
      </c>
      <c r="K2754" s="80" t="s">
        <v>9770</v>
      </c>
      <c r="L2754" s="30">
        <v>971108687</v>
      </c>
      <c r="M2754" s="80" t="s">
        <v>6309</v>
      </c>
      <c r="N2754" s="80" t="s">
        <v>1400</v>
      </c>
      <c r="O2754" s="80" t="s">
        <v>9771</v>
      </c>
      <c r="P2754" s="80" t="s">
        <v>9772</v>
      </c>
      <c r="Q2754" s="20"/>
      <c r="R2754" s="80" t="s">
        <v>36</v>
      </c>
      <c r="S2754" s="95">
        <v>7349</v>
      </c>
      <c r="T2754" s="148">
        <v>45504</v>
      </c>
      <c r="U2754" s="77"/>
      <c r="V2754" s="78"/>
      <c r="W2754" s="85" t="s">
        <v>9773</v>
      </c>
      <c r="X2754" s="80"/>
      <c r="Y2754" s="22"/>
      <c r="Z2754" s="80" t="s">
        <v>50</v>
      </c>
      <c r="AA2754" s="70" t="s">
        <v>9070</v>
      </c>
      <c r="AB2754" s="80"/>
      <c r="AC2754" s="80" t="s">
        <v>53</v>
      </c>
      <c r="AD2754" s="80" t="s">
        <v>138</v>
      </c>
      <c r="AE2754" s="83">
        <v>370</v>
      </c>
      <c r="AF2754" s="43">
        <v>45576</v>
      </c>
      <c r="AG2754" s="80" t="s">
        <v>9774</v>
      </c>
      <c r="AH2754" s="80"/>
      <c r="AI2754" s="147"/>
      <c r="AJ2754" s="80"/>
      <c r="AK2754" s="80"/>
      <c r="AL2754" s="35"/>
      <c r="AM2754" s="35"/>
      <c r="AN2754" s="35"/>
      <c r="AO2754" s="35"/>
      <c r="AP2754" s="35"/>
    </row>
    <row r="2755" spans="1:42" x14ac:dyDescent="0.2">
      <c r="A2755" s="126">
        <v>45505.370771655093</v>
      </c>
      <c r="B2755" s="137" t="s">
        <v>37</v>
      </c>
      <c r="C2755" s="41" t="s">
        <v>118</v>
      </c>
      <c r="D2755" s="80" t="s">
        <v>36</v>
      </c>
      <c r="E2755" s="80" t="s">
        <v>106</v>
      </c>
      <c r="F2755" s="80" t="s">
        <v>36</v>
      </c>
      <c r="G2755" s="80" t="s">
        <v>108</v>
      </c>
      <c r="H2755" s="80" t="s">
        <v>1242</v>
      </c>
      <c r="I2755" s="17">
        <f ca="1">IFERROR(__xludf.DUMMYFUNCTION("""COMPUTED_VALUE"""),45510)</f>
        <v>45510</v>
      </c>
      <c r="J2755" s="143" t="s">
        <v>9775</v>
      </c>
      <c r="K2755" s="80" t="s">
        <v>9776</v>
      </c>
      <c r="L2755" s="30">
        <v>369936604</v>
      </c>
      <c r="M2755" s="80" t="s">
        <v>548</v>
      </c>
      <c r="N2755" s="80" t="s">
        <v>621</v>
      </c>
      <c r="O2755" s="80" t="s">
        <v>9777</v>
      </c>
      <c r="P2755" s="80" t="s">
        <v>9778</v>
      </c>
      <c r="Q2755" s="20"/>
      <c r="R2755" s="80" t="s">
        <v>36</v>
      </c>
      <c r="S2755" s="95">
        <v>3768</v>
      </c>
      <c r="T2755" s="148">
        <v>45504</v>
      </c>
      <c r="U2755" s="77"/>
      <c r="V2755" s="78"/>
      <c r="W2755" s="85" t="s">
        <v>9779</v>
      </c>
      <c r="X2755" s="80"/>
      <c r="Y2755" s="22"/>
      <c r="Z2755" s="80" t="s">
        <v>50</v>
      </c>
      <c r="AA2755" s="70" t="s">
        <v>9070</v>
      </c>
      <c r="AB2755" s="80"/>
      <c r="AC2755" s="80" t="s">
        <v>53</v>
      </c>
      <c r="AD2755" s="80" t="s">
        <v>54</v>
      </c>
      <c r="AE2755" s="80" t="s">
        <v>9780</v>
      </c>
      <c r="AF2755" s="17">
        <v>45505</v>
      </c>
      <c r="AG2755" s="80"/>
      <c r="AH2755" s="80"/>
      <c r="AI2755" s="147"/>
      <c r="AJ2755" s="80"/>
      <c r="AK2755" s="80"/>
      <c r="AL2755" s="35"/>
      <c r="AM2755" s="35"/>
      <c r="AN2755" s="35"/>
      <c r="AO2755" s="35"/>
      <c r="AP2755" s="35"/>
    </row>
    <row r="2756" spans="1:42" x14ac:dyDescent="0.2">
      <c r="A2756" s="14">
        <v>45307</v>
      </c>
      <c r="B2756" s="28" t="s">
        <v>37</v>
      </c>
      <c r="C2756" s="41" t="s">
        <v>118</v>
      </c>
      <c r="D2756" s="26" t="s">
        <v>36</v>
      </c>
      <c r="E2756" s="26" t="s">
        <v>119</v>
      </c>
      <c r="F2756" s="26" t="s">
        <v>6128</v>
      </c>
      <c r="G2756" s="26" t="s">
        <v>1847</v>
      </c>
      <c r="H2756" s="26" t="s">
        <v>8403</v>
      </c>
      <c r="I2756" s="17">
        <f ca="1">IFERROR(__xludf.DUMMYFUNCTION("""COMPUTED_VALUE"""),45543)</f>
        <v>45543</v>
      </c>
      <c r="J2756" s="29" t="s">
        <v>2909</v>
      </c>
      <c r="K2756" s="26" t="s">
        <v>2910</v>
      </c>
      <c r="L2756" s="30">
        <v>964714862</v>
      </c>
      <c r="M2756" s="26" t="s">
        <v>80</v>
      </c>
      <c r="N2756" s="26" t="s">
        <v>299</v>
      </c>
      <c r="O2756" s="26" t="s">
        <v>2911</v>
      </c>
      <c r="P2756" s="42" t="s">
        <v>6130</v>
      </c>
      <c r="Q2756" s="20">
        <v>13968</v>
      </c>
      <c r="R2756" s="26" t="s">
        <v>36</v>
      </c>
      <c r="S2756" s="31">
        <v>4000</v>
      </c>
      <c r="T2756" s="32">
        <v>45186</v>
      </c>
      <c r="U2756" s="31">
        <v>9968</v>
      </c>
      <c r="V2756" s="32">
        <v>45197</v>
      </c>
      <c r="W2756" s="33" t="s">
        <v>2913</v>
      </c>
      <c r="X2756" s="26"/>
      <c r="Y2756" s="22">
        <v>0</v>
      </c>
      <c r="Z2756" s="26" t="s">
        <v>118</v>
      </c>
      <c r="AA2756" s="19" t="s">
        <v>2449</v>
      </c>
      <c r="AB2756" s="26" t="s">
        <v>36</v>
      </c>
      <c r="AC2756" s="26" t="s">
        <v>53</v>
      </c>
      <c r="AD2756" s="19" t="s">
        <v>138</v>
      </c>
      <c r="AE2756" s="26" t="s">
        <v>6128</v>
      </c>
      <c r="AF2756" s="17">
        <v>45555</v>
      </c>
      <c r="AG2756" s="26" t="s">
        <v>9053</v>
      </c>
      <c r="AH2756" s="26"/>
      <c r="AI2756" s="40"/>
      <c r="AJ2756" s="26"/>
      <c r="AK2756" s="26"/>
      <c r="AL2756" s="35"/>
      <c r="AM2756" s="35"/>
      <c r="AN2756" s="35"/>
      <c r="AO2756" s="35"/>
      <c r="AP2756" s="35"/>
    </row>
    <row r="2757" spans="1:42" x14ac:dyDescent="0.2">
      <c r="A2757" s="38">
        <v>45521</v>
      </c>
      <c r="B2757" s="28" t="s">
        <v>37</v>
      </c>
      <c r="C2757" s="41" t="s">
        <v>118</v>
      </c>
      <c r="D2757" s="26" t="s">
        <v>36</v>
      </c>
      <c r="E2757" s="26" t="s">
        <v>139</v>
      </c>
      <c r="F2757" s="26" t="s">
        <v>8763</v>
      </c>
      <c r="G2757" s="26" t="s">
        <v>108</v>
      </c>
      <c r="H2757" s="26" t="s">
        <v>9781</v>
      </c>
      <c r="I2757" s="17">
        <f ca="1">IFERROR(__xludf.DUMMYFUNCTION("""COMPUTED_VALUE"""),45534)</f>
        <v>45534</v>
      </c>
      <c r="J2757" s="29" t="s">
        <v>9090</v>
      </c>
      <c r="K2757" s="19" t="s">
        <v>9782</v>
      </c>
      <c r="L2757" s="47">
        <v>862050606</v>
      </c>
      <c r="M2757" s="19" t="s">
        <v>910</v>
      </c>
      <c r="N2757" s="19" t="s">
        <v>3525</v>
      </c>
      <c r="O2757" s="26" t="s">
        <v>9092</v>
      </c>
      <c r="P2757" s="42" t="s">
        <v>9783</v>
      </c>
      <c r="Q2757" s="20"/>
      <c r="R2757" s="26" t="s">
        <v>36</v>
      </c>
      <c r="S2757" s="95">
        <f>100+2000</f>
        <v>2100</v>
      </c>
      <c r="T2757" s="83" t="s">
        <v>9094</v>
      </c>
      <c r="U2757" s="31">
        <f>10000+3836</f>
        <v>13836</v>
      </c>
      <c r="V2757" s="32">
        <v>45481</v>
      </c>
      <c r="W2757" s="33" t="s">
        <v>9095</v>
      </c>
      <c r="X2757" s="26"/>
      <c r="Y2757" s="22"/>
      <c r="Z2757" s="26" t="s">
        <v>118</v>
      </c>
      <c r="AA2757" s="70" t="s">
        <v>9070</v>
      </c>
      <c r="AB2757" s="26" t="s">
        <v>36</v>
      </c>
      <c r="AC2757" s="26" t="s">
        <v>53</v>
      </c>
      <c r="AD2757" s="26" t="s">
        <v>54</v>
      </c>
      <c r="AE2757" s="26" t="s">
        <v>8763</v>
      </c>
      <c r="AF2757" s="17">
        <v>45529</v>
      </c>
      <c r="AG2757" s="26"/>
      <c r="AH2757" s="26"/>
      <c r="AI2757" s="40"/>
      <c r="AJ2757" s="26"/>
      <c r="AK2757" s="26"/>
      <c r="AL2757" s="35"/>
      <c r="AM2757" s="35"/>
      <c r="AN2757" s="35"/>
      <c r="AO2757" s="35"/>
      <c r="AP2757" s="35"/>
    </row>
    <row r="2758" spans="1:42" x14ac:dyDescent="0.2">
      <c r="A2758" s="38">
        <v>45521</v>
      </c>
      <c r="B2758" s="28" t="s">
        <v>37</v>
      </c>
      <c r="C2758" s="41" t="s">
        <v>118</v>
      </c>
      <c r="D2758" s="26" t="s">
        <v>36</v>
      </c>
      <c r="E2758" s="26" t="s">
        <v>39</v>
      </c>
      <c r="F2758" s="26" t="s">
        <v>8763</v>
      </c>
      <c r="G2758" s="26" t="s">
        <v>108</v>
      </c>
      <c r="H2758" s="26" t="s">
        <v>9781</v>
      </c>
      <c r="I2758" s="17">
        <f ca="1">IFERROR(__xludf.DUMMYFUNCTION("""COMPUTED_VALUE"""),45534)</f>
        <v>45534</v>
      </c>
      <c r="J2758" s="29" t="s">
        <v>9096</v>
      </c>
      <c r="K2758" s="19" t="s">
        <v>9784</v>
      </c>
      <c r="L2758" s="47">
        <v>383050067</v>
      </c>
      <c r="M2758" s="19" t="s">
        <v>910</v>
      </c>
      <c r="N2758" s="19" t="s">
        <v>3525</v>
      </c>
      <c r="O2758" s="26" t="s">
        <v>9098</v>
      </c>
      <c r="P2758" s="26" t="s">
        <v>9099</v>
      </c>
      <c r="Q2758" s="20"/>
      <c r="R2758" s="26" t="s">
        <v>36</v>
      </c>
      <c r="S2758" s="95">
        <f>100+1900</f>
        <v>2000</v>
      </c>
      <c r="T2758" s="83" t="s">
        <v>9100</v>
      </c>
      <c r="U2758" s="31">
        <v>3736</v>
      </c>
      <c r="V2758" s="32">
        <v>45477</v>
      </c>
      <c r="W2758" s="33" t="s">
        <v>9101</v>
      </c>
      <c r="X2758" s="26"/>
      <c r="Y2758" s="22"/>
      <c r="Z2758" s="26" t="s">
        <v>118</v>
      </c>
      <c r="AA2758" s="70" t="s">
        <v>9070</v>
      </c>
      <c r="AB2758" s="26" t="s">
        <v>36</v>
      </c>
      <c r="AC2758" s="26" t="s">
        <v>53</v>
      </c>
      <c r="AD2758" s="26" t="s">
        <v>54</v>
      </c>
      <c r="AE2758" s="26" t="s">
        <v>8763</v>
      </c>
      <c r="AF2758" s="17">
        <v>45529</v>
      </c>
      <c r="AG2758" s="26"/>
      <c r="AH2758" s="26"/>
      <c r="AI2758" s="40"/>
      <c r="AJ2758" s="26"/>
      <c r="AK2758" s="26"/>
      <c r="AL2758" s="35"/>
      <c r="AM2758" s="35"/>
      <c r="AN2758" s="35"/>
      <c r="AO2758" s="35"/>
      <c r="AP2758" s="35"/>
    </row>
    <row r="2759" spans="1:42" x14ac:dyDescent="0.2">
      <c r="A2759" s="38">
        <v>45521</v>
      </c>
      <c r="B2759" s="28" t="s">
        <v>37</v>
      </c>
      <c r="C2759" s="41" t="s">
        <v>118</v>
      </c>
      <c r="D2759" s="26" t="s">
        <v>36</v>
      </c>
      <c r="E2759" s="26" t="s">
        <v>56</v>
      </c>
      <c r="F2759" s="26" t="s">
        <v>8763</v>
      </c>
      <c r="G2759" s="26" t="s">
        <v>108</v>
      </c>
      <c r="H2759" s="26" t="s">
        <v>9785</v>
      </c>
      <c r="I2759" s="17">
        <f ca="1">IFERROR(__xludf.DUMMYFUNCTION("""COMPUTED_VALUE"""),45589)</f>
        <v>45589</v>
      </c>
      <c r="J2759" s="29" t="s">
        <v>9786</v>
      </c>
      <c r="K2759" s="26" t="s">
        <v>9787</v>
      </c>
      <c r="L2759" s="30">
        <v>329779818</v>
      </c>
      <c r="M2759" s="26" t="s">
        <v>5558</v>
      </c>
      <c r="N2759" s="26" t="s">
        <v>5559</v>
      </c>
      <c r="O2759" s="26" t="s">
        <v>4503</v>
      </c>
      <c r="P2759" s="42" t="s">
        <v>9788</v>
      </c>
      <c r="Q2759" s="20"/>
      <c r="R2759" s="26" t="s">
        <v>36</v>
      </c>
      <c r="S2759" s="95">
        <f>2317+4000</f>
        <v>6317</v>
      </c>
      <c r="T2759" s="83" t="s">
        <v>9789</v>
      </c>
      <c r="U2759" s="31"/>
      <c r="V2759" s="32"/>
      <c r="W2759" s="33" t="s">
        <v>9790</v>
      </c>
      <c r="X2759" s="26">
        <v>0</v>
      </c>
      <c r="Y2759" s="22"/>
      <c r="Z2759" s="26" t="s">
        <v>118</v>
      </c>
      <c r="AA2759" s="96"/>
      <c r="AB2759" s="26" t="s">
        <v>36</v>
      </c>
      <c r="AC2759" s="26" t="s">
        <v>53</v>
      </c>
      <c r="AD2759" s="26" t="s">
        <v>54</v>
      </c>
      <c r="AE2759" s="26" t="s">
        <v>8763</v>
      </c>
      <c r="AF2759" s="17">
        <v>45583</v>
      </c>
      <c r="AG2759" s="26"/>
      <c r="AH2759" s="26"/>
      <c r="AI2759" s="40"/>
      <c r="AJ2759" s="26"/>
      <c r="AK2759" s="26"/>
      <c r="AL2759" s="35"/>
      <c r="AM2759" s="35"/>
      <c r="AN2759" s="35"/>
      <c r="AO2759" s="35"/>
      <c r="AP2759" s="35"/>
    </row>
    <row r="2760" spans="1:42" x14ac:dyDescent="0.2">
      <c r="A2760" s="38">
        <v>45521</v>
      </c>
      <c r="B2760" s="28" t="s">
        <v>37</v>
      </c>
      <c r="C2760" s="41" t="s">
        <v>118</v>
      </c>
      <c r="D2760" s="26" t="s">
        <v>36</v>
      </c>
      <c r="E2760" s="26" t="s">
        <v>139</v>
      </c>
      <c r="F2760" s="26" t="s">
        <v>8763</v>
      </c>
      <c r="G2760" s="26" t="s">
        <v>108</v>
      </c>
      <c r="H2760" s="26" t="s">
        <v>9781</v>
      </c>
      <c r="I2760" s="17">
        <f ca="1">IFERROR(__xludf.DUMMYFUNCTION("""COMPUTED_VALUE"""),45534)</f>
        <v>45534</v>
      </c>
      <c r="J2760" s="29" t="s">
        <v>9791</v>
      </c>
      <c r="K2760" s="19" t="s">
        <v>9792</v>
      </c>
      <c r="L2760" s="47">
        <v>973826403</v>
      </c>
      <c r="M2760" s="19" t="s">
        <v>3728</v>
      </c>
      <c r="N2760" s="19" t="s">
        <v>8725</v>
      </c>
      <c r="O2760" s="26" t="s">
        <v>9793</v>
      </c>
      <c r="P2760" s="42" t="s">
        <v>9794</v>
      </c>
      <c r="Q2760" s="20"/>
      <c r="R2760" s="26" t="s">
        <v>1106</v>
      </c>
      <c r="S2760" s="95">
        <f t="shared" ref="S2760:S2761" si="5">200+1800</f>
        <v>2000</v>
      </c>
      <c r="T2760" s="83" t="s">
        <v>9795</v>
      </c>
      <c r="U2760" s="95">
        <v>13936</v>
      </c>
      <c r="V2760" s="148">
        <v>45519</v>
      </c>
      <c r="W2760" s="33" t="s">
        <v>9796</v>
      </c>
      <c r="X2760" s="26">
        <v>150</v>
      </c>
      <c r="Y2760" s="22"/>
      <c r="Z2760" s="26" t="s">
        <v>118</v>
      </c>
      <c r="AA2760" s="35"/>
      <c r="AB2760" s="26" t="s">
        <v>36</v>
      </c>
      <c r="AC2760" s="26" t="s">
        <v>53</v>
      </c>
      <c r="AD2760" s="26" t="s">
        <v>54</v>
      </c>
      <c r="AE2760" s="26" t="s">
        <v>8763</v>
      </c>
      <c r="AF2760" s="17">
        <v>45529</v>
      </c>
      <c r="AG2760" s="26"/>
      <c r="AH2760" s="26"/>
      <c r="AI2760" s="40"/>
      <c r="AJ2760" s="26"/>
      <c r="AK2760" s="26"/>
      <c r="AL2760" s="35"/>
      <c r="AM2760" s="35"/>
      <c r="AN2760" s="35"/>
      <c r="AO2760" s="35"/>
      <c r="AP2760" s="35"/>
    </row>
    <row r="2761" spans="1:42" x14ac:dyDescent="0.2">
      <c r="A2761" s="38">
        <v>45521</v>
      </c>
      <c r="B2761" s="28" t="s">
        <v>37</v>
      </c>
      <c r="C2761" s="41" t="s">
        <v>118</v>
      </c>
      <c r="D2761" s="26" t="s">
        <v>36</v>
      </c>
      <c r="E2761" s="26" t="s">
        <v>39</v>
      </c>
      <c r="F2761" s="26" t="s">
        <v>8763</v>
      </c>
      <c r="G2761" s="26" t="s">
        <v>108</v>
      </c>
      <c r="H2761" s="26" t="s">
        <v>9781</v>
      </c>
      <c r="I2761" s="17">
        <f ca="1">IFERROR(__xludf.DUMMYFUNCTION("""COMPUTED_VALUE"""),45534)</f>
        <v>45534</v>
      </c>
      <c r="J2761" s="29" t="s">
        <v>9797</v>
      </c>
      <c r="K2761" s="19" t="s">
        <v>9798</v>
      </c>
      <c r="L2761" s="47">
        <v>839936488</v>
      </c>
      <c r="M2761" s="19" t="s">
        <v>3728</v>
      </c>
      <c r="N2761" s="19" t="s">
        <v>8725</v>
      </c>
      <c r="O2761" s="26" t="s">
        <v>9799</v>
      </c>
      <c r="P2761" s="42" t="s">
        <v>9800</v>
      </c>
      <c r="Q2761" s="20">
        <v>5736</v>
      </c>
      <c r="R2761" s="26" t="s">
        <v>36</v>
      </c>
      <c r="S2761" s="95">
        <f t="shared" si="5"/>
        <v>2000</v>
      </c>
      <c r="T2761" s="83" t="s">
        <v>9801</v>
      </c>
      <c r="U2761" s="95">
        <v>3768</v>
      </c>
      <c r="V2761" s="148">
        <v>45509</v>
      </c>
      <c r="W2761" s="33" t="s">
        <v>9802</v>
      </c>
      <c r="X2761" s="26">
        <v>0</v>
      </c>
      <c r="Y2761" s="22"/>
      <c r="Z2761" s="26" t="s">
        <v>118</v>
      </c>
      <c r="AA2761" s="96"/>
      <c r="AB2761" s="26" t="s">
        <v>36</v>
      </c>
      <c r="AC2761" s="26" t="s">
        <v>53</v>
      </c>
      <c r="AD2761" s="26" t="s">
        <v>54</v>
      </c>
      <c r="AE2761" s="26" t="s">
        <v>8763</v>
      </c>
      <c r="AF2761" s="17">
        <v>45529</v>
      </c>
      <c r="AG2761" s="26"/>
      <c r="AH2761" s="26"/>
      <c r="AI2761" s="40"/>
      <c r="AJ2761" s="26"/>
      <c r="AK2761" s="26"/>
      <c r="AL2761" s="35"/>
      <c r="AM2761" s="35"/>
      <c r="AN2761" s="35"/>
      <c r="AO2761" s="35"/>
      <c r="AP2761" s="35"/>
    </row>
    <row r="2762" spans="1:42" x14ac:dyDescent="0.2">
      <c r="A2762" s="38">
        <v>45521</v>
      </c>
      <c r="B2762" s="28" t="s">
        <v>37</v>
      </c>
      <c r="C2762" s="41" t="s">
        <v>118</v>
      </c>
      <c r="D2762" s="26" t="s">
        <v>36</v>
      </c>
      <c r="E2762" s="26" t="s">
        <v>148</v>
      </c>
      <c r="F2762" s="26" t="s">
        <v>6600</v>
      </c>
      <c r="G2762" s="71" t="s">
        <v>221</v>
      </c>
      <c r="H2762" s="26" t="s">
        <v>6050</v>
      </c>
      <c r="I2762" s="17">
        <f ca="1">IFERROR(__xludf.DUMMYFUNCTION("""COMPUTED_VALUE"""),45539)</f>
        <v>45539</v>
      </c>
      <c r="J2762" s="29" t="s">
        <v>7439</v>
      </c>
      <c r="K2762" s="26" t="s">
        <v>7440</v>
      </c>
      <c r="L2762" s="30">
        <v>817868681</v>
      </c>
      <c r="M2762" s="26" t="s">
        <v>94</v>
      </c>
      <c r="N2762" s="26" t="s">
        <v>200</v>
      </c>
      <c r="O2762" s="26" t="s">
        <v>91</v>
      </c>
      <c r="P2762" s="42" t="s">
        <v>9803</v>
      </c>
      <c r="Q2762" s="20">
        <v>7349</v>
      </c>
      <c r="R2762" s="26" t="s">
        <v>36</v>
      </c>
      <c r="S2762" s="31">
        <v>7349</v>
      </c>
      <c r="T2762" s="32">
        <v>45098</v>
      </c>
      <c r="U2762" s="31"/>
      <c r="V2762" s="26"/>
      <c r="W2762" s="33" t="s">
        <v>7442</v>
      </c>
      <c r="X2762" s="26"/>
      <c r="Y2762" s="22"/>
      <c r="Z2762" s="26" t="s">
        <v>118</v>
      </c>
      <c r="AA2762" s="19" t="s">
        <v>3372</v>
      </c>
      <c r="AB2762" s="26" t="s">
        <v>36</v>
      </c>
      <c r="AC2762" s="26" t="s">
        <v>53</v>
      </c>
      <c r="AD2762" s="19" t="s">
        <v>54</v>
      </c>
      <c r="AE2762" s="26" t="s">
        <v>6600</v>
      </c>
      <c r="AF2762" s="17">
        <v>45539</v>
      </c>
      <c r="AG2762" s="40"/>
      <c r="AH2762" s="40"/>
      <c r="AI2762" s="126"/>
      <c r="AJ2762" s="26"/>
      <c r="AK2762" s="26"/>
      <c r="AL2762" s="26"/>
      <c r="AM2762" s="26"/>
      <c r="AN2762" s="26"/>
      <c r="AO2762" s="26"/>
      <c r="AP2762" s="35"/>
    </row>
    <row r="2763" spans="1:42" x14ac:dyDescent="0.2">
      <c r="A2763" s="38">
        <v>45521</v>
      </c>
      <c r="B2763" s="28" t="s">
        <v>37</v>
      </c>
      <c r="C2763" s="41" t="s">
        <v>118</v>
      </c>
      <c r="D2763" s="80" t="s">
        <v>36</v>
      </c>
      <c r="E2763" s="80" t="s">
        <v>148</v>
      </c>
      <c r="F2763" s="80" t="s">
        <v>5106</v>
      </c>
      <c r="G2763" s="71" t="s">
        <v>221</v>
      </c>
      <c r="H2763" s="26" t="s">
        <v>6050</v>
      </c>
      <c r="I2763" s="17">
        <f ca="1">IFERROR(__xludf.DUMMYFUNCTION("""COMPUTED_VALUE"""),45539)</f>
        <v>45539</v>
      </c>
      <c r="J2763" s="143" t="s">
        <v>4889</v>
      </c>
      <c r="K2763" s="80" t="s">
        <v>4890</v>
      </c>
      <c r="L2763" s="30">
        <v>397043478</v>
      </c>
      <c r="M2763" s="80" t="s">
        <v>1245</v>
      </c>
      <c r="N2763" s="80" t="s">
        <v>4957</v>
      </c>
      <c r="O2763" s="80"/>
      <c r="P2763" s="42" t="s">
        <v>9804</v>
      </c>
      <c r="Q2763" s="20">
        <v>7349</v>
      </c>
      <c r="R2763" s="80" t="s">
        <v>36</v>
      </c>
      <c r="S2763" s="173">
        <v>8000</v>
      </c>
      <c r="T2763" s="174">
        <v>44965</v>
      </c>
      <c r="U2763" s="77">
        <f>5780+3000</f>
        <v>8780</v>
      </c>
      <c r="V2763" s="78" t="s">
        <v>4892</v>
      </c>
      <c r="W2763" s="85" t="s">
        <v>4893</v>
      </c>
      <c r="X2763" s="80"/>
      <c r="Y2763" s="22"/>
      <c r="Z2763" s="41" t="s">
        <v>118</v>
      </c>
      <c r="AA2763" s="82" t="s">
        <v>5785</v>
      </c>
      <c r="AB2763" s="26" t="s">
        <v>36</v>
      </c>
      <c r="AC2763" s="80" t="s">
        <v>53</v>
      </c>
      <c r="AD2763" s="86" t="s">
        <v>138</v>
      </c>
      <c r="AE2763" s="80" t="s">
        <v>5106</v>
      </c>
      <c r="AF2763" s="17">
        <v>45539</v>
      </c>
      <c r="AG2763" s="80"/>
      <c r="AH2763" s="80"/>
      <c r="AI2763" s="147">
        <v>2</v>
      </c>
      <c r="AJ2763" s="80"/>
      <c r="AK2763" s="80"/>
      <c r="AL2763" s="86"/>
      <c r="AM2763" s="86"/>
      <c r="AN2763" s="86"/>
      <c r="AO2763" s="86"/>
      <c r="AP2763" s="35"/>
    </row>
    <row r="2764" spans="1:42" x14ac:dyDescent="0.2">
      <c r="A2764" s="38">
        <v>45521</v>
      </c>
      <c r="B2764" s="28" t="s">
        <v>37</v>
      </c>
      <c r="C2764" s="41" t="s">
        <v>118</v>
      </c>
      <c r="D2764" s="26" t="s">
        <v>36</v>
      </c>
      <c r="E2764" s="26" t="s">
        <v>56</v>
      </c>
      <c r="F2764" s="26" t="s">
        <v>8763</v>
      </c>
      <c r="G2764" s="26" t="s">
        <v>108</v>
      </c>
      <c r="H2764" s="26" t="s">
        <v>9781</v>
      </c>
      <c r="I2764" s="17">
        <f ca="1">IFERROR(__xludf.DUMMYFUNCTION("""COMPUTED_VALUE"""),45534)</f>
        <v>45534</v>
      </c>
      <c r="J2764" s="29" t="s">
        <v>8764</v>
      </c>
      <c r="K2764" s="26" t="s">
        <v>8765</v>
      </c>
      <c r="L2764" s="30">
        <v>942373828</v>
      </c>
      <c r="M2764" s="26" t="s">
        <v>6309</v>
      </c>
      <c r="N2764" s="26" t="s">
        <v>6899</v>
      </c>
      <c r="O2764" s="26" t="s">
        <v>36</v>
      </c>
      <c r="P2764" s="42" t="s">
        <v>8766</v>
      </c>
      <c r="Q2764" s="20">
        <v>9317</v>
      </c>
      <c r="R2764" s="26" t="s">
        <v>36</v>
      </c>
      <c r="S2764" s="31">
        <v>9317</v>
      </c>
      <c r="T2764" s="32">
        <v>45455</v>
      </c>
      <c r="U2764" s="31"/>
      <c r="V2764" s="32"/>
      <c r="W2764" s="33" t="s">
        <v>8767</v>
      </c>
      <c r="X2764" s="26"/>
      <c r="Y2764" s="22">
        <v>0</v>
      </c>
      <c r="Z2764" s="41" t="s">
        <v>118</v>
      </c>
      <c r="AA2764" s="19" t="s">
        <v>8721</v>
      </c>
      <c r="AB2764" s="26" t="s">
        <v>36</v>
      </c>
      <c r="AC2764" s="26" t="s">
        <v>53</v>
      </c>
      <c r="AD2764" s="19" t="s">
        <v>54</v>
      </c>
      <c r="AE2764" s="26" t="s">
        <v>8763</v>
      </c>
      <c r="AF2764" s="17">
        <v>45529</v>
      </c>
      <c r="AG2764" s="26"/>
      <c r="AH2764" s="26"/>
      <c r="AI2764" s="40"/>
      <c r="AJ2764" s="26"/>
      <c r="AK2764" s="26"/>
      <c r="AL2764" s="35"/>
      <c r="AM2764" s="35"/>
      <c r="AN2764" s="35"/>
      <c r="AO2764" s="35"/>
      <c r="AP2764" s="35"/>
    </row>
    <row r="2765" spans="1:42" x14ac:dyDescent="0.2">
      <c r="A2765" s="38">
        <v>45523</v>
      </c>
      <c r="B2765" s="28" t="s">
        <v>37</v>
      </c>
      <c r="C2765" s="41" t="s">
        <v>118</v>
      </c>
      <c r="D2765" s="26" t="s">
        <v>36</v>
      </c>
      <c r="E2765" s="26" t="s">
        <v>139</v>
      </c>
      <c r="F2765" s="26" t="s">
        <v>8763</v>
      </c>
      <c r="G2765" s="26" t="s">
        <v>108</v>
      </c>
      <c r="H2765" s="26" t="s">
        <v>9781</v>
      </c>
      <c r="I2765" s="17">
        <f ca="1">IFERROR(__xludf.DUMMYFUNCTION("""COMPUTED_VALUE"""),45534)</f>
        <v>45534</v>
      </c>
      <c r="J2765" s="29" t="s">
        <v>9805</v>
      </c>
      <c r="K2765" s="19" t="s">
        <v>9806</v>
      </c>
      <c r="L2765" s="47">
        <v>396832902</v>
      </c>
      <c r="M2765" s="19" t="s">
        <v>3728</v>
      </c>
      <c r="N2765" s="19" t="s">
        <v>8725</v>
      </c>
      <c r="O2765" s="26" t="s">
        <v>9807</v>
      </c>
      <c r="P2765" s="42" t="s">
        <v>9808</v>
      </c>
      <c r="Q2765" s="20">
        <v>15936</v>
      </c>
      <c r="R2765" s="26" t="s">
        <v>1106</v>
      </c>
      <c r="S2765" s="95">
        <f>200+1800</f>
        <v>2000</v>
      </c>
      <c r="T2765" s="83" t="s">
        <v>9795</v>
      </c>
      <c r="U2765" s="95">
        <v>13936</v>
      </c>
      <c r="V2765" s="148">
        <v>45513</v>
      </c>
      <c r="W2765" s="33" t="s">
        <v>9809</v>
      </c>
      <c r="X2765" s="26">
        <v>150</v>
      </c>
      <c r="Y2765" s="22">
        <v>-150</v>
      </c>
      <c r="Z2765" s="41" t="s">
        <v>118</v>
      </c>
      <c r="AA2765" s="96"/>
      <c r="AB2765" s="26" t="s">
        <v>36</v>
      </c>
      <c r="AC2765" s="26" t="s">
        <v>53</v>
      </c>
      <c r="AD2765" s="26" t="s">
        <v>54</v>
      </c>
      <c r="AE2765" s="26" t="s">
        <v>8763</v>
      </c>
      <c r="AF2765" s="17">
        <v>45529</v>
      </c>
      <c r="AG2765" s="26"/>
      <c r="AH2765" s="26"/>
      <c r="AI2765" s="40"/>
      <c r="AJ2765" s="26"/>
      <c r="AK2765" s="26"/>
      <c r="AL2765" s="35"/>
      <c r="AM2765" s="35"/>
      <c r="AN2765" s="35"/>
      <c r="AO2765" s="35"/>
      <c r="AP2765" s="35"/>
    </row>
    <row r="2766" spans="1:42" x14ac:dyDescent="0.2">
      <c r="A2766" s="38">
        <v>45523</v>
      </c>
      <c r="B2766" s="28" t="s">
        <v>37</v>
      </c>
      <c r="C2766" s="41" t="s">
        <v>118</v>
      </c>
      <c r="D2766" s="26" t="s">
        <v>36</v>
      </c>
      <c r="E2766" s="26" t="s">
        <v>56</v>
      </c>
      <c r="F2766" s="26" t="s">
        <v>4959</v>
      </c>
      <c r="G2766" s="71" t="s">
        <v>221</v>
      </c>
      <c r="H2766" s="26" t="s">
        <v>6050</v>
      </c>
      <c r="I2766" s="17">
        <f ca="1">IFERROR(__xludf.DUMMYFUNCTION("""COMPUTED_VALUE"""),45539)</f>
        <v>45539</v>
      </c>
      <c r="J2766" s="29" t="s">
        <v>3863</v>
      </c>
      <c r="K2766" s="26" t="s">
        <v>3864</v>
      </c>
      <c r="L2766" s="30">
        <v>377626418</v>
      </c>
      <c r="M2766" s="26" t="s">
        <v>2755</v>
      </c>
      <c r="N2766" s="26" t="s">
        <v>2756</v>
      </c>
      <c r="O2766" s="26" t="s">
        <v>3865</v>
      </c>
      <c r="P2766" s="42" t="s">
        <v>9810</v>
      </c>
      <c r="Q2766" s="20">
        <v>9317</v>
      </c>
      <c r="R2766" s="26" t="s">
        <v>36</v>
      </c>
      <c r="S2766" s="31">
        <v>2000</v>
      </c>
      <c r="T2766" s="32">
        <v>45193</v>
      </c>
      <c r="U2766" s="31">
        <v>7317</v>
      </c>
      <c r="V2766" s="32">
        <v>45215</v>
      </c>
      <c r="W2766" s="33" t="s">
        <v>3867</v>
      </c>
      <c r="X2766" s="26"/>
      <c r="Y2766" s="22">
        <v>0</v>
      </c>
      <c r="Z2766" s="26" t="s">
        <v>118</v>
      </c>
      <c r="AA2766" s="19" t="s">
        <v>4541</v>
      </c>
      <c r="AB2766" s="26" t="s">
        <v>36</v>
      </c>
      <c r="AC2766" s="26" t="s">
        <v>53</v>
      </c>
      <c r="AD2766" s="19" t="s">
        <v>54</v>
      </c>
      <c r="AE2766" s="26" t="s">
        <v>4959</v>
      </c>
      <c r="AF2766" s="17">
        <v>45539</v>
      </c>
      <c r="AG2766" s="26"/>
      <c r="AH2766" s="26"/>
      <c r="AI2766" s="40"/>
      <c r="AJ2766" s="26"/>
      <c r="AK2766" s="26"/>
      <c r="AL2766" s="35"/>
      <c r="AM2766" s="35"/>
      <c r="AN2766" s="35"/>
      <c r="AO2766" s="35"/>
      <c r="AP2766" s="35"/>
    </row>
    <row r="2767" spans="1:42" x14ac:dyDescent="0.2">
      <c r="A2767" s="38">
        <v>45524</v>
      </c>
      <c r="B2767" s="28" t="s">
        <v>37</v>
      </c>
      <c r="C2767" s="41" t="s">
        <v>118</v>
      </c>
      <c r="D2767" s="26" t="s">
        <v>36</v>
      </c>
      <c r="E2767" s="26" t="s">
        <v>139</v>
      </c>
      <c r="F2767" s="26" t="s">
        <v>9126</v>
      </c>
      <c r="G2767" s="26" t="s">
        <v>108</v>
      </c>
      <c r="H2767" s="26" t="s">
        <v>9768</v>
      </c>
      <c r="I2767" s="17">
        <f ca="1">IFERROR(__xludf.DUMMYFUNCTION("""COMPUTED_VALUE"""),45578)</f>
        <v>45578</v>
      </c>
      <c r="J2767" s="29" t="s">
        <v>9811</v>
      </c>
      <c r="K2767" s="26" t="s">
        <v>9812</v>
      </c>
      <c r="L2767" s="30">
        <v>396781961</v>
      </c>
      <c r="M2767" s="26" t="s">
        <v>3728</v>
      </c>
      <c r="N2767" s="26" t="s">
        <v>5312</v>
      </c>
      <c r="O2767" s="26" t="s">
        <v>9813</v>
      </c>
      <c r="P2767" s="26" t="s">
        <v>9814</v>
      </c>
      <c r="Q2767" s="20">
        <v>15936</v>
      </c>
      <c r="R2767" s="26" t="s">
        <v>36</v>
      </c>
      <c r="S2767" s="95">
        <f>200+1800</f>
        <v>2000</v>
      </c>
      <c r="T2767" s="83" t="s">
        <v>9815</v>
      </c>
      <c r="U2767" s="31">
        <v>13936</v>
      </c>
      <c r="V2767" s="32">
        <v>45512</v>
      </c>
      <c r="W2767" s="33" t="s">
        <v>9816</v>
      </c>
      <c r="X2767" s="26">
        <v>0</v>
      </c>
      <c r="Y2767" s="22">
        <v>0</v>
      </c>
      <c r="Z2767" s="26" t="s">
        <v>118</v>
      </c>
      <c r="AA2767" s="96"/>
      <c r="AB2767" s="26" t="s">
        <v>36</v>
      </c>
      <c r="AC2767" s="26" t="s">
        <v>53</v>
      </c>
      <c r="AD2767" s="26" t="s">
        <v>54</v>
      </c>
      <c r="AE2767" s="26" t="s">
        <v>9126</v>
      </c>
      <c r="AF2767" s="43">
        <v>45576</v>
      </c>
      <c r="AG2767" s="80" t="s">
        <v>9774</v>
      </c>
      <c r="AH2767" s="26"/>
      <c r="AI2767" s="40"/>
      <c r="AJ2767" s="26"/>
      <c r="AK2767" s="26"/>
      <c r="AL2767" s="35"/>
      <c r="AM2767" s="35"/>
      <c r="AN2767" s="35"/>
      <c r="AO2767" s="35"/>
      <c r="AP2767" s="35"/>
    </row>
    <row r="2768" spans="1:42" x14ac:dyDescent="0.2">
      <c r="A2768" s="38">
        <v>45524</v>
      </c>
      <c r="B2768" s="28" t="s">
        <v>37</v>
      </c>
      <c r="C2768" s="41" t="s">
        <v>118</v>
      </c>
      <c r="D2768" s="26" t="s">
        <v>36</v>
      </c>
      <c r="E2768" s="26" t="s">
        <v>139</v>
      </c>
      <c r="F2768" s="26" t="s">
        <v>8074</v>
      </c>
      <c r="G2768" s="71" t="s">
        <v>221</v>
      </c>
      <c r="H2768" s="26" t="s">
        <v>6050</v>
      </c>
      <c r="I2768" s="17">
        <f ca="1">IFERROR(__xludf.DUMMYFUNCTION("""COMPUTED_VALUE"""),45539)</f>
        <v>45539</v>
      </c>
      <c r="J2768" s="29" t="s">
        <v>8145</v>
      </c>
      <c r="K2768" s="26" t="s">
        <v>8146</v>
      </c>
      <c r="L2768" s="30">
        <v>968711205</v>
      </c>
      <c r="M2768" s="26" t="s">
        <v>2755</v>
      </c>
      <c r="N2768" s="26" t="s">
        <v>2756</v>
      </c>
      <c r="O2768" s="26" t="s">
        <v>4503</v>
      </c>
      <c r="P2768" s="42" t="s">
        <v>9817</v>
      </c>
      <c r="Q2768" s="20">
        <v>15936</v>
      </c>
      <c r="R2768" s="26" t="s">
        <v>36</v>
      </c>
      <c r="S2768" s="31">
        <v>2000</v>
      </c>
      <c r="T2768" s="32">
        <v>45356</v>
      </c>
      <c r="U2768" s="31">
        <v>13936</v>
      </c>
      <c r="V2768" s="32">
        <v>45407</v>
      </c>
      <c r="W2768" s="33" t="s">
        <v>8147</v>
      </c>
      <c r="X2768" s="26"/>
      <c r="Y2768" s="22">
        <v>0</v>
      </c>
      <c r="Z2768" s="26" t="s">
        <v>118</v>
      </c>
      <c r="AA2768" s="19" t="s">
        <v>8317</v>
      </c>
      <c r="AB2768" s="26" t="s">
        <v>36</v>
      </c>
      <c r="AC2768" s="26" t="s">
        <v>53</v>
      </c>
      <c r="AD2768" s="19" t="s">
        <v>138</v>
      </c>
      <c r="AE2768" s="26" t="s">
        <v>8074</v>
      </c>
      <c r="AF2768" s="17">
        <v>45539</v>
      </c>
      <c r="AG2768" s="26"/>
      <c r="AH2768" s="26"/>
      <c r="AI2768" s="40"/>
      <c r="AJ2768" s="26"/>
      <c r="AK2768" s="26"/>
      <c r="AL2768" s="35"/>
      <c r="AM2768" s="35"/>
      <c r="AN2768" s="35"/>
      <c r="AO2768" s="35"/>
      <c r="AP2768" s="35"/>
    </row>
    <row r="2769" spans="1:42" x14ac:dyDescent="0.2">
      <c r="A2769" s="38">
        <v>45524</v>
      </c>
      <c r="B2769" s="28" t="s">
        <v>37</v>
      </c>
      <c r="C2769" s="41" t="s">
        <v>118</v>
      </c>
      <c r="D2769" s="26" t="s">
        <v>36</v>
      </c>
      <c r="E2769" s="26" t="s">
        <v>139</v>
      </c>
      <c r="F2769" s="26" t="s">
        <v>8074</v>
      </c>
      <c r="G2769" s="71" t="s">
        <v>221</v>
      </c>
      <c r="H2769" s="26" t="s">
        <v>6050</v>
      </c>
      <c r="I2769" s="17">
        <f ca="1">IFERROR(__xludf.DUMMYFUNCTION("""COMPUTED_VALUE"""),45539)</f>
        <v>45539</v>
      </c>
      <c r="J2769" s="29" t="s">
        <v>8148</v>
      </c>
      <c r="K2769" s="26" t="s">
        <v>8149</v>
      </c>
      <c r="L2769" s="30">
        <v>396917775</v>
      </c>
      <c r="M2769" s="26" t="s">
        <v>2755</v>
      </c>
      <c r="N2769" s="26" t="s">
        <v>310</v>
      </c>
      <c r="O2769" s="26" t="s">
        <v>8150</v>
      </c>
      <c r="P2769" s="42" t="s">
        <v>9818</v>
      </c>
      <c r="Q2769" s="20">
        <v>15936</v>
      </c>
      <c r="R2769" s="26" t="s">
        <v>36</v>
      </c>
      <c r="S2769" s="31">
        <v>5000</v>
      </c>
      <c r="T2769" s="32">
        <v>45340</v>
      </c>
      <c r="U2769" s="31">
        <v>10936</v>
      </c>
      <c r="V2769" s="32">
        <v>45383</v>
      </c>
      <c r="W2769" s="33" t="s">
        <v>8151</v>
      </c>
      <c r="X2769" s="26"/>
      <c r="Y2769" s="22">
        <v>0</v>
      </c>
      <c r="Z2769" s="26" t="s">
        <v>118</v>
      </c>
      <c r="AA2769" s="19" t="s">
        <v>8317</v>
      </c>
      <c r="AB2769" s="26" t="s">
        <v>36</v>
      </c>
      <c r="AC2769" s="26" t="s">
        <v>53</v>
      </c>
      <c r="AD2769" s="19" t="s">
        <v>138</v>
      </c>
      <c r="AE2769" s="26" t="s">
        <v>8074</v>
      </c>
      <c r="AF2769" s="17">
        <v>45539</v>
      </c>
      <c r="AG2769" s="26"/>
      <c r="AH2769" s="26"/>
      <c r="AI2769" s="40"/>
      <c r="AJ2769" s="26"/>
      <c r="AK2769" s="26"/>
      <c r="AL2769" s="35"/>
      <c r="AM2769" s="35"/>
      <c r="AN2769" s="35"/>
      <c r="AO2769" s="35"/>
      <c r="AP2769" s="35"/>
    </row>
    <row r="2770" spans="1:42" x14ac:dyDescent="0.2">
      <c r="A2770" s="38">
        <v>45524</v>
      </c>
      <c r="B2770" s="28" t="s">
        <v>37</v>
      </c>
      <c r="C2770" s="41" t="s">
        <v>118</v>
      </c>
      <c r="D2770" s="26" t="s">
        <v>36</v>
      </c>
      <c r="E2770" s="26" t="s">
        <v>56</v>
      </c>
      <c r="F2770" s="26" t="s">
        <v>6637</v>
      </c>
      <c r="G2770" s="26" t="s">
        <v>108</v>
      </c>
      <c r="H2770" s="26" t="s">
        <v>7519</v>
      </c>
      <c r="I2770" s="17">
        <f ca="1">IFERROR(__xludf.DUMMYFUNCTION("""COMPUTED_VALUE"""),45543)</f>
        <v>45543</v>
      </c>
      <c r="J2770" s="29" t="s">
        <v>6638</v>
      </c>
      <c r="K2770" s="26" t="s">
        <v>6639</v>
      </c>
      <c r="L2770" s="30">
        <v>949342263</v>
      </c>
      <c r="M2770" s="26" t="s">
        <v>1245</v>
      </c>
      <c r="N2770" s="26" t="s">
        <v>6634</v>
      </c>
      <c r="O2770" s="26"/>
      <c r="P2770" s="42" t="s">
        <v>9819</v>
      </c>
      <c r="Q2770" s="20"/>
      <c r="R2770" s="26" t="s">
        <v>36</v>
      </c>
      <c r="S2770" s="31">
        <v>10000</v>
      </c>
      <c r="T2770" s="32">
        <v>44867</v>
      </c>
      <c r="U2770" s="31">
        <v>6779</v>
      </c>
      <c r="V2770" s="32">
        <v>44873</v>
      </c>
      <c r="W2770" s="33" t="s">
        <v>6641</v>
      </c>
      <c r="X2770" s="26"/>
      <c r="Y2770" s="22">
        <v>0</v>
      </c>
      <c r="Z2770" s="26" t="s">
        <v>118</v>
      </c>
      <c r="AA2770" s="19"/>
      <c r="AB2770" s="26" t="s">
        <v>36</v>
      </c>
      <c r="AC2770" s="26" t="s">
        <v>53</v>
      </c>
      <c r="AD2770" s="19" t="s">
        <v>54</v>
      </c>
      <c r="AE2770" s="26" t="s">
        <v>6637</v>
      </c>
      <c r="AF2770" s="17">
        <v>45538</v>
      </c>
      <c r="AG2770" s="91"/>
      <c r="AH2770" s="26"/>
      <c r="AI2770" s="92"/>
      <c r="AJ2770" s="35"/>
      <c r="AK2770" s="35"/>
      <c r="AL2770" s="35"/>
      <c r="AM2770" s="35"/>
      <c r="AN2770" s="26"/>
      <c r="AO2770" s="26"/>
      <c r="AP2770" s="26"/>
    </row>
    <row r="2771" spans="1:42" x14ac:dyDescent="0.2">
      <c r="A2771" s="38">
        <v>45526</v>
      </c>
      <c r="B2771" s="28" t="s">
        <v>37</v>
      </c>
      <c r="C2771" s="41" t="s">
        <v>118</v>
      </c>
      <c r="D2771" s="80" t="s">
        <v>36</v>
      </c>
      <c r="E2771" s="80" t="s">
        <v>915</v>
      </c>
      <c r="F2771" s="80" t="s">
        <v>36</v>
      </c>
      <c r="G2771" s="161" t="s">
        <v>221</v>
      </c>
      <c r="H2771" s="80" t="s">
        <v>9820</v>
      </c>
      <c r="I2771" s="17">
        <f ca="1">IFERROR(__xludf.DUMMYFUNCTION("""COMPUTED_VALUE"""),45578)</f>
        <v>45578</v>
      </c>
      <c r="J2771" s="29" t="s">
        <v>9821</v>
      </c>
      <c r="K2771" s="80" t="s">
        <v>9822</v>
      </c>
      <c r="L2771" s="30">
        <v>379512182</v>
      </c>
      <c r="M2771" s="80" t="s">
        <v>1245</v>
      </c>
      <c r="N2771" s="80" t="s">
        <v>6606</v>
      </c>
      <c r="O2771" s="26" t="s">
        <v>9823</v>
      </c>
      <c r="P2771" s="144" t="s">
        <v>9824</v>
      </c>
      <c r="Q2771" s="20">
        <v>15936</v>
      </c>
      <c r="R2771" s="80" t="s">
        <v>36</v>
      </c>
      <c r="S2771" s="77">
        <v>15936</v>
      </c>
      <c r="T2771" s="78">
        <v>45184</v>
      </c>
      <c r="U2771" s="77"/>
      <c r="V2771" s="78"/>
      <c r="W2771" s="85" t="s">
        <v>2883</v>
      </c>
      <c r="X2771" s="80"/>
      <c r="Y2771" s="22">
        <v>0</v>
      </c>
      <c r="Z2771" s="41" t="s">
        <v>118</v>
      </c>
      <c r="AA2771" s="82" t="s">
        <v>5785</v>
      </c>
      <c r="AB2771" s="26" t="s">
        <v>36</v>
      </c>
      <c r="AC2771" s="80" t="s">
        <v>53</v>
      </c>
      <c r="AD2771" s="19" t="s">
        <v>54</v>
      </c>
      <c r="AE2771" s="80"/>
      <c r="AF2771" s="17">
        <v>45573</v>
      </c>
      <c r="AG2771" s="143" t="s">
        <v>2879</v>
      </c>
      <c r="AH2771" s="80"/>
      <c r="AI2771" s="147" t="s">
        <v>147</v>
      </c>
      <c r="AJ2771" s="80"/>
      <c r="AK2771" s="80"/>
      <c r="AL2771" s="86"/>
      <c r="AM2771" s="86"/>
      <c r="AN2771" s="86"/>
      <c r="AO2771" s="86"/>
      <c r="AP2771" s="35"/>
    </row>
    <row r="2772" spans="1:42" x14ac:dyDescent="0.2">
      <c r="A2772" s="38">
        <v>45526</v>
      </c>
      <c r="B2772" s="28" t="s">
        <v>37</v>
      </c>
      <c r="C2772" s="41" t="s">
        <v>118</v>
      </c>
      <c r="D2772" s="26" t="s">
        <v>36</v>
      </c>
      <c r="E2772" s="26" t="s">
        <v>39</v>
      </c>
      <c r="F2772" s="26" t="s">
        <v>8771</v>
      </c>
      <c r="G2772" s="26" t="s">
        <v>108</v>
      </c>
      <c r="H2772" s="26" t="s">
        <v>9825</v>
      </c>
      <c r="I2772" s="17">
        <f ca="1">IFERROR(__xludf.DUMMYFUNCTION("""COMPUTED_VALUE"""),45548)</f>
        <v>45548</v>
      </c>
      <c r="J2772" s="29" t="s">
        <v>8791</v>
      </c>
      <c r="K2772" s="19" t="s">
        <v>8792</v>
      </c>
      <c r="L2772" s="47">
        <v>375970855</v>
      </c>
      <c r="M2772" s="19" t="s">
        <v>292</v>
      </c>
      <c r="N2772" s="19" t="s">
        <v>1232</v>
      </c>
      <c r="O2772" s="26" t="s">
        <v>8793</v>
      </c>
      <c r="P2772" s="26" t="s">
        <v>9826</v>
      </c>
      <c r="Q2772" s="20">
        <v>5736</v>
      </c>
      <c r="R2772" s="26" t="s">
        <v>36</v>
      </c>
      <c r="S2772" s="31">
        <v>5736</v>
      </c>
      <c r="T2772" s="32">
        <v>45464</v>
      </c>
      <c r="U2772" s="31"/>
      <c r="V2772" s="32"/>
      <c r="W2772" s="33" t="s">
        <v>8795</v>
      </c>
      <c r="X2772" s="26"/>
      <c r="Y2772" s="22">
        <v>0</v>
      </c>
      <c r="Z2772" s="41" t="s">
        <v>118</v>
      </c>
      <c r="AA2772" s="19" t="s">
        <v>8721</v>
      </c>
      <c r="AB2772" s="26" t="s">
        <v>36</v>
      </c>
      <c r="AC2772" s="26" t="s">
        <v>53</v>
      </c>
      <c r="AD2772" s="19" t="s">
        <v>54</v>
      </c>
      <c r="AE2772" s="26" t="s">
        <v>8771</v>
      </c>
      <c r="AF2772" s="17">
        <v>45548</v>
      </c>
      <c r="AG2772" s="26" t="s">
        <v>4996</v>
      </c>
      <c r="AH2772" s="26"/>
      <c r="AI2772" s="40"/>
      <c r="AJ2772" s="26"/>
      <c r="AK2772" s="26"/>
      <c r="AL2772" s="35"/>
      <c r="AM2772" s="35"/>
      <c r="AN2772" s="35"/>
      <c r="AO2772" s="35"/>
      <c r="AP2772" s="35"/>
    </row>
    <row r="2773" spans="1:42" x14ac:dyDescent="0.2">
      <c r="A2773" s="38">
        <v>45527</v>
      </c>
      <c r="B2773" s="28" t="s">
        <v>37</v>
      </c>
      <c r="C2773" s="41" t="s">
        <v>118</v>
      </c>
      <c r="D2773" s="26" t="s">
        <v>36</v>
      </c>
      <c r="E2773" s="26" t="s">
        <v>56</v>
      </c>
      <c r="F2773" s="26" t="s">
        <v>9531</v>
      </c>
      <c r="G2773" s="26" t="s">
        <v>108</v>
      </c>
      <c r="H2773" s="26" t="s">
        <v>9827</v>
      </c>
      <c r="I2773" s="17">
        <f ca="1">IFERROR(__xludf.DUMMYFUNCTION("""COMPUTED_VALUE"""),45567)</f>
        <v>45567</v>
      </c>
      <c r="J2773" s="29" t="s">
        <v>9828</v>
      </c>
      <c r="K2773" s="26" t="s">
        <v>9829</v>
      </c>
      <c r="L2773" s="30">
        <v>332481815</v>
      </c>
      <c r="M2773" s="26" t="s">
        <v>80</v>
      </c>
      <c r="N2773" s="26" t="s">
        <v>466</v>
      </c>
      <c r="O2773" s="26" t="s">
        <v>9830</v>
      </c>
      <c r="P2773" s="26" t="s">
        <v>9831</v>
      </c>
      <c r="Q2773" s="20">
        <v>15936</v>
      </c>
      <c r="R2773" s="26" t="s">
        <v>36</v>
      </c>
      <c r="S2773" s="95">
        <f>100+1900+7317</f>
        <v>9317</v>
      </c>
      <c r="T2773" s="83" t="s">
        <v>9832</v>
      </c>
      <c r="U2773" s="31"/>
      <c r="V2773" s="32"/>
      <c r="W2773" s="33" t="s">
        <v>9833</v>
      </c>
      <c r="X2773" s="26">
        <v>0</v>
      </c>
      <c r="Y2773" s="22">
        <v>0</v>
      </c>
      <c r="Z2773" s="26" t="s">
        <v>118</v>
      </c>
      <c r="AA2773" s="96"/>
      <c r="AB2773" s="26" t="s">
        <v>36</v>
      </c>
      <c r="AC2773" s="26" t="s">
        <v>53</v>
      </c>
      <c r="AD2773" s="26" t="s">
        <v>54</v>
      </c>
      <c r="AE2773" s="26" t="s">
        <v>9531</v>
      </c>
      <c r="AF2773" s="17">
        <v>45529</v>
      </c>
      <c r="AG2773" s="26"/>
      <c r="AH2773" s="26"/>
      <c r="AI2773" s="40"/>
      <c r="AJ2773" s="26"/>
      <c r="AK2773" s="26"/>
      <c r="AL2773" s="35"/>
      <c r="AM2773" s="35"/>
      <c r="AN2773" s="35"/>
      <c r="AO2773" s="35"/>
      <c r="AP2773" s="35"/>
    </row>
    <row r="2774" spans="1:42" x14ac:dyDescent="0.2">
      <c r="A2774" s="38">
        <v>45527</v>
      </c>
      <c r="B2774" s="28" t="s">
        <v>37</v>
      </c>
      <c r="C2774" s="41" t="s">
        <v>118</v>
      </c>
      <c r="D2774" s="26" t="s">
        <v>36</v>
      </c>
      <c r="E2774" s="26" t="s">
        <v>139</v>
      </c>
      <c r="F2774" s="26" t="s">
        <v>2016</v>
      </c>
      <c r="G2774" s="161" t="s">
        <v>221</v>
      </c>
      <c r="H2774" s="80" t="s">
        <v>9031</v>
      </c>
      <c r="I2774" s="17">
        <f ca="1">IFERROR(__xludf.DUMMYFUNCTION("""COMPUTED_VALUE"""),45540)</f>
        <v>45540</v>
      </c>
      <c r="J2774" s="29" t="s">
        <v>1441</v>
      </c>
      <c r="K2774" s="26" t="s">
        <v>9834</v>
      </c>
      <c r="L2774" s="30">
        <v>868043757</v>
      </c>
      <c r="M2774" s="26" t="s">
        <v>1245</v>
      </c>
      <c r="N2774" s="26" t="s">
        <v>4957</v>
      </c>
      <c r="O2774" s="26" t="s">
        <v>1443</v>
      </c>
      <c r="P2774" s="42" t="s">
        <v>9835</v>
      </c>
      <c r="Q2774" s="20">
        <v>15936</v>
      </c>
      <c r="R2774" s="26" t="s">
        <v>36</v>
      </c>
      <c r="S2774" s="31">
        <v>2000</v>
      </c>
      <c r="T2774" s="32">
        <v>45148</v>
      </c>
      <c r="U2774" s="31">
        <f>5000+8936</f>
        <v>13936</v>
      </c>
      <c r="V2774" s="26" t="s">
        <v>1445</v>
      </c>
      <c r="W2774" s="33" t="s">
        <v>1446</v>
      </c>
      <c r="X2774" s="26">
        <v>0</v>
      </c>
      <c r="Y2774" s="22">
        <v>0</v>
      </c>
      <c r="Z2774" s="26" t="s">
        <v>118</v>
      </c>
      <c r="AA2774" s="19" t="s">
        <v>901</v>
      </c>
      <c r="AB2774" s="26" t="s">
        <v>36</v>
      </c>
      <c r="AC2774" s="26" t="s">
        <v>53</v>
      </c>
      <c r="AD2774" s="19" t="s">
        <v>138</v>
      </c>
      <c r="AE2774" s="26" t="s">
        <v>2016</v>
      </c>
      <c r="AF2774" s="17">
        <v>45532</v>
      </c>
      <c r="AG2774" s="26"/>
      <c r="AH2774" s="26"/>
      <c r="AI2774" s="40" t="s">
        <v>147</v>
      </c>
      <c r="AJ2774" s="26"/>
      <c r="AK2774" s="26"/>
      <c r="AL2774" s="35"/>
      <c r="AM2774" s="35"/>
      <c r="AN2774" s="35"/>
      <c r="AO2774" s="35"/>
      <c r="AP2774" s="35"/>
    </row>
    <row r="2775" spans="1:42" x14ac:dyDescent="0.2">
      <c r="A2775" s="38">
        <v>45527</v>
      </c>
      <c r="B2775" s="28" t="s">
        <v>37</v>
      </c>
      <c r="C2775" s="41" t="s">
        <v>118</v>
      </c>
      <c r="D2775" s="26" t="s">
        <v>36</v>
      </c>
      <c r="E2775" s="26" t="s">
        <v>139</v>
      </c>
      <c r="F2775" s="26" t="s">
        <v>9163</v>
      </c>
      <c r="G2775" s="26" t="s">
        <v>108</v>
      </c>
      <c r="H2775" s="26" t="s">
        <v>9836</v>
      </c>
      <c r="I2775" s="17">
        <f ca="1">IFERROR(__xludf.DUMMYFUNCTION("""COMPUTED_VALUE"""),45539)</f>
        <v>45539</v>
      </c>
      <c r="J2775" s="29" t="s">
        <v>9837</v>
      </c>
      <c r="K2775" s="26" t="s">
        <v>9838</v>
      </c>
      <c r="L2775" s="30">
        <v>372889965</v>
      </c>
      <c r="M2775" s="26" t="s">
        <v>3728</v>
      </c>
      <c r="N2775" s="26" t="s">
        <v>8725</v>
      </c>
      <c r="O2775" s="26" t="s">
        <v>134</v>
      </c>
      <c r="P2775" s="42" t="s">
        <v>9839</v>
      </c>
      <c r="Q2775" s="20">
        <v>15936</v>
      </c>
      <c r="R2775" s="26" t="s">
        <v>36</v>
      </c>
      <c r="S2775" s="95">
        <f>200+1800</f>
        <v>2000</v>
      </c>
      <c r="T2775" s="83" t="s">
        <v>9840</v>
      </c>
      <c r="U2775" s="95">
        <v>13936</v>
      </c>
      <c r="V2775" s="148">
        <v>45519</v>
      </c>
      <c r="W2775" s="33" t="s">
        <v>9841</v>
      </c>
      <c r="X2775" s="26">
        <v>0</v>
      </c>
      <c r="Y2775" s="22">
        <v>0</v>
      </c>
      <c r="Z2775" s="41" t="s">
        <v>118</v>
      </c>
      <c r="AA2775" s="96"/>
      <c r="AB2775" s="26" t="s">
        <v>36</v>
      </c>
      <c r="AC2775" s="26" t="s">
        <v>53</v>
      </c>
      <c r="AD2775" s="26" t="s">
        <v>54</v>
      </c>
      <c r="AE2775" s="26" t="s">
        <v>9163</v>
      </c>
      <c r="AF2775" s="17">
        <v>45532</v>
      </c>
      <c r="AG2775" s="26"/>
      <c r="AH2775" s="26"/>
      <c r="AI2775" s="40"/>
      <c r="AJ2775" s="26"/>
      <c r="AK2775" s="26"/>
      <c r="AL2775" s="35"/>
      <c r="AM2775" s="35"/>
      <c r="AN2775" s="35"/>
      <c r="AO2775" s="35"/>
      <c r="AP2775" s="35"/>
    </row>
    <row r="2776" spans="1:42" x14ac:dyDescent="0.2">
      <c r="A2776" s="38">
        <v>45529</v>
      </c>
      <c r="B2776" s="28" t="s">
        <v>37</v>
      </c>
      <c r="C2776" s="41" t="s">
        <v>118</v>
      </c>
      <c r="D2776" s="26" t="s">
        <v>36</v>
      </c>
      <c r="E2776" s="26" t="s">
        <v>139</v>
      </c>
      <c r="F2776" s="26" t="s">
        <v>6389</v>
      </c>
      <c r="G2776" s="26" t="s">
        <v>1705</v>
      </c>
      <c r="H2776" s="26" t="s">
        <v>8912</v>
      </c>
      <c r="I2776" s="17"/>
      <c r="J2776" s="29" t="s">
        <v>3609</v>
      </c>
      <c r="K2776" s="26" t="s">
        <v>9842</v>
      </c>
      <c r="L2776" s="30">
        <v>343294525</v>
      </c>
      <c r="M2776" s="26" t="s">
        <v>80</v>
      </c>
      <c r="N2776" s="26" t="s">
        <v>81</v>
      </c>
      <c r="O2776" s="26" t="s">
        <v>3611</v>
      </c>
      <c r="P2776" s="42" t="s">
        <v>9843</v>
      </c>
      <c r="Q2776" s="20">
        <v>15936</v>
      </c>
      <c r="R2776" s="26" t="s">
        <v>36</v>
      </c>
      <c r="S2776" s="31">
        <v>2000</v>
      </c>
      <c r="T2776" s="32">
        <v>45185</v>
      </c>
      <c r="U2776" s="31">
        <v>13936</v>
      </c>
      <c r="V2776" s="32">
        <v>45207</v>
      </c>
      <c r="W2776" s="33" t="s">
        <v>3613</v>
      </c>
      <c r="X2776" s="26"/>
      <c r="Y2776" s="22">
        <v>0</v>
      </c>
      <c r="Z2776" s="26" t="s">
        <v>118</v>
      </c>
      <c r="AA2776" s="19" t="s">
        <v>5785</v>
      </c>
      <c r="AB2776" s="26" t="s">
        <v>36</v>
      </c>
      <c r="AC2776" s="26" t="s">
        <v>53</v>
      </c>
      <c r="AD2776" s="19" t="s">
        <v>138</v>
      </c>
      <c r="AE2776" s="26" t="s">
        <v>6389</v>
      </c>
      <c r="AF2776" s="17">
        <v>45538</v>
      </c>
      <c r="AG2776" s="26"/>
      <c r="AH2776" s="26"/>
      <c r="AI2776" s="40" t="s">
        <v>147</v>
      </c>
      <c r="AJ2776" s="26"/>
      <c r="AK2776" s="26"/>
      <c r="AL2776" s="35"/>
      <c r="AM2776" s="35"/>
      <c r="AN2776" s="35"/>
      <c r="AO2776" s="35"/>
      <c r="AP2776" s="35"/>
    </row>
    <row r="2777" spans="1:42" x14ac:dyDescent="0.2">
      <c r="A2777" s="38">
        <v>45529</v>
      </c>
      <c r="B2777" s="28" t="s">
        <v>37</v>
      </c>
      <c r="C2777" s="41" t="s">
        <v>118</v>
      </c>
      <c r="D2777" s="26" t="s">
        <v>36</v>
      </c>
      <c r="E2777" s="26" t="s">
        <v>56</v>
      </c>
      <c r="F2777" s="26" t="s">
        <v>9241</v>
      </c>
      <c r="G2777" s="26" t="s">
        <v>108</v>
      </c>
      <c r="H2777" s="26" t="s">
        <v>9836</v>
      </c>
      <c r="I2777" s="17">
        <f ca="1">IFERROR(__xludf.DUMMYFUNCTION("""COMPUTED_VALUE"""),45539)</f>
        <v>45539</v>
      </c>
      <c r="J2777" s="29" t="s">
        <v>9431</v>
      </c>
      <c r="K2777" s="26" t="s">
        <v>9432</v>
      </c>
      <c r="L2777" s="30">
        <v>868339206</v>
      </c>
      <c r="M2777" s="26" t="s">
        <v>6309</v>
      </c>
      <c r="N2777" s="26" t="s">
        <v>9433</v>
      </c>
      <c r="O2777" s="26" t="s">
        <v>8827</v>
      </c>
      <c r="P2777" s="42" t="s">
        <v>9434</v>
      </c>
      <c r="Q2777" s="20"/>
      <c r="R2777" s="26" t="s">
        <v>36</v>
      </c>
      <c r="S2777" s="95">
        <v>9317</v>
      </c>
      <c r="T2777" s="148">
        <v>45482</v>
      </c>
      <c r="U2777" s="31"/>
      <c r="V2777" s="32"/>
      <c r="W2777" s="33" t="s">
        <v>9435</v>
      </c>
      <c r="X2777" s="26"/>
      <c r="Y2777" s="22"/>
      <c r="Z2777" s="26" t="s">
        <v>118</v>
      </c>
      <c r="AA2777" s="70" t="s">
        <v>9070</v>
      </c>
      <c r="AB2777" s="26"/>
      <c r="AC2777" s="26" t="s">
        <v>53</v>
      </c>
      <c r="AD2777" s="26" t="s">
        <v>54</v>
      </c>
      <c r="AE2777" s="26" t="s">
        <v>9241</v>
      </c>
      <c r="AF2777" s="17">
        <v>45532</v>
      </c>
      <c r="AG2777" s="26" t="s">
        <v>9436</v>
      </c>
      <c r="AH2777" s="26"/>
      <c r="AI2777" s="40"/>
      <c r="AJ2777" s="26"/>
      <c r="AK2777" s="26"/>
      <c r="AL2777" s="35"/>
      <c r="AM2777" s="35"/>
      <c r="AN2777" s="35"/>
      <c r="AO2777" s="35"/>
      <c r="AP2777" s="35"/>
    </row>
    <row r="2778" spans="1:42" x14ac:dyDescent="0.2">
      <c r="A2778" s="38">
        <v>45529</v>
      </c>
      <c r="B2778" s="28" t="s">
        <v>37</v>
      </c>
      <c r="C2778" s="41" t="s">
        <v>118</v>
      </c>
      <c r="D2778" s="26" t="s">
        <v>36</v>
      </c>
      <c r="E2778" s="26" t="s">
        <v>139</v>
      </c>
      <c r="F2778" s="26" t="s">
        <v>8915</v>
      </c>
      <c r="G2778" s="26" t="s">
        <v>1847</v>
      </c>
      <c r="H2778" s="26" t="s">
        <v>9021</v>
      </c>
      <c r="I2778" s="17">
        <f ca="1">IFERROR(__xludf.DUMMYFUNCTION("""COMPUTED_VALUE"""),45539)</f>
        <v>45539</v>
      </c>
      <c r="J2778" s="29" t="s">
        <v>2990</v>
      </c>
      <c r="K2778" s="26" t="s">
        <v>2991</v>
      </c>
      <c r="L2778" s="30">
        <v>353115382</v>
      </c>
      <c r="M2778" s="26" t="s">
        <v>123</v>
      </c>
      <c r="N2778" s="26" t="s">
        <v>850</v>
      </c>
      <c r="O2778" s="26" t="s">
        <v>1226</v>
      </c>
      <c r="P2778" s="42" t="s">
        <v>3431</v>
      </c>
      <c r="Q2778" s="20">
        <v>15936</v>
      </c>
      <c r="R2778" s="26" t="s">
        <v>36</v>
      </c>
      <c r="S2778" s="31">
        <v>15936</v>
      </c>
      <c r="T2778" s="32">
        <v>45189</v>
      </c>
      <c r="U2778" s="31"/>
      <c r="V2778" s="26"/>
      <c r="W2778" s="33" t="s">
        <v>2992</v>
      </c>
      <c r="X2778" s="26"/>
      <c r="Y2778" s="22">
        <v>0</v>
      </c>
      <c r="Z2778" s="26" t="s">
        <v>118</v>
      </c>
      <c r="AA2778" s="19" t="s">
        <v>2449</v>
      </c>
      <c r="AB2778" s="26" t="s">
        <v>36</v>
      </c>
      <c r="AC2778" s="26" t="s">
        <v>53</v>
      </c>
      <c r="AD2778" s="19" t="s">
        <v>54</v>
      </c>
      <c r="AE2778" s="26" t="s">
        <v>8915</v>
      </c>
      <c r="AF2778" s="17">
        <v>45532</v>
      </c>
      <c r="AG2778" s="26"/>
      <c r="AH2778" s="26"/>
      <c r="AI2778" s="40"/>
      <c r="AJ2778" s="26"/>
      <c r="AK2778" s="26"/>
      <c r="AL2778" s="35"/>
      <c r="AM2778" s="35"/>
      <c r="AN2778" s="35"/>
      <c r="AO2778" s="35"/>
      <c r="AP2778" s="35"/>
    </row>
    <row r="2779" spans="1:42" x14ac:dyDescent="0.2">
      <c r="A2779" s="38">
        <v>45529</v>
      </c>
      <c r="B2779" s="28" t="s">
        <v>37</v>
      </c>
      <c r="C2779" s="41" t="s">
        <v>118</v>
      </c>
      <c r="D2779" s="26" t="s">
        <v>36</v>
      </c>
      <c r="E2779" s="26" t="s">
        <v>56</v>
      </c>
      <c r="F2779" s="26" t="s">
        <v>7313</v>
      </c>
      <c r="G2779" s="26" t="s">
        <v>108</v>
      </c>
      <c r="H2779" s="26" t="s">
        <v>9836</v>
      </c>
      <c r="I2779" s="17">
        <f ca="1">IFERROR(__xludf.DUMMYFUNCTION("""COMPUTED_VALUE"""),45539)</f>
        <v>45539</v>
      </c>
      <c r="J2779" s="29" t="s">
        <v>7320</v>
      </c>
      <c r="K2779" s="26" t="s">
        <v>7321</v>
      </c>
      <c r="L2779" s="30">
        <v>354020390</v>
      </c>
      <c r="M2779" s="26" t="s">
        <v>59</v>
      </c>
      <c r="N2779" s="26" t="s">
        <v>7316</v>
      </c>
      <c r="O2779" s="26" t="s">
        <v>7322</v>
      </c>
      <c r="P2779" s="42" t="s">
        <v>9844</v>
      </c>
      <c r="Q2779" s="20">
        <v>15936</v>
      </c>
      <c r="R2779" s="26" t="s">
        <v>70</v>
      </c>
      <c r="S2779" s="31">
        <v>9317</v>
      </c>
      <c r="T2779" s="32">
        <v>45351</v>
      </c>
      <c r="U2779" s="31">
        <v>6646</v>
      </c>
      <c r="V2779" s="32">
        <v>45351</v>
      </c>
      <c r="W2779" s="26" t="s">
        <v>7324</v>
      </c>
      <c r="X2779" s="26"/>
      <c r="Y2779" s="22">
        <v>-27</v>
      </c>
      <c r="Z2779" s="26" t="s">
        <v>118</v>
      </c>
      <c r="AA2779" s="19" t="s">
        <v>7077</v>
      </c>
      <c r="AB2779" s="26" t="s">
        <v>104</v>
      </c>
      <c r="AC2779" s="26" t="s">
        <v>53</v>
      </c>
      <c r="AD2779" s="19" t="s">
        <v>54</v>
      </c>
      <c r="AE2779" s="26" t="s">
        <v>7313</v>
      </c>
      <c r="AF2779" s="17">
        <v>45532</v>
      </c>
      <c r="AG2779" s="26"/>
      <c r="AH2779" s="26"/>
      <c r="AI2779" s="40" t="s">
        <v>147</v>
      </c>
      <c r="AJ2779" s="26"/>
      <c r="AK2779" s="26"/>
      <c r="AL2779" s="35"/>
      <c r="AM2779" s="35"/>
      <c r="AN2779" s="35"/>
      <c r="AO2779" s="35"/>
      <c r="AP2779" s="35"/>
    </row>
    <row r="2780" spans="1:42" x14ac:dyDescent="0.2">
      <c r="A2780" s="38">
        <v>45529</v>
      </c>
      <c r="B2780" s="28" t="s">
        <v>37</v>
      </c>
      <c r="C2780" s="41" t="s">
        <v>118</v>
      </c>
      <c r="D2780" s="26" t="s">
        <v>36</v>
      </c>
      <c r="E2780" s="26" t="s">
        <v>119</v>
      </c>
      <c r="F2780" s="26" t="s">
        <v>8338</v>
      </c>
      <c r="G2780" s="26" t="s">
        <v>1705</v>
      </c>
      <c r="H2780" s="26" t="s">
        <v>9845</v>
      </c>
      <c r="I2780" s="17">
        <f ca="1">IFERROR(__xludf.DUMMYFUNCTION("""COMPUTED_VALUE"""),45555)</f>
        <v>45555</v>
      </c>
      <c r="J2780" s="29" t="s">
        <v>1662</v>
      </c>
      <c r="K2780" s="26" t="s">
        <v>1663</v>
      </c>
      <c r="L2780" s="30">
        <v>334362815</v>
      </c>
      <c r="M2780" s="26" t="s">
        <v>1245</v>
      </c>
      <c r="N2780" s="26" t="s">
        <v>8342</v>
      </c>
      <c r="O2780" s="26" t="s">
        <v>91</v>
      </c>
      <c r="P2780" s="42" t="s">
        <v>5079</v>
      </c>
      <c r="Q2780" s="20">
        <v>13968</v>
      </c>
      <c r="R2780" s="26" t="s">
        <v>36</v>
      </c>
      <c r="S2780" s="31">
        <v>13968</v>
      </c>
      <c r="T2780" s="32">
        <v>45157</v>
      </c>
      <c r="U2780" s="31"/>
      <c r="V2780" s="26"/>
      <c r="W2780" s="33" t="s">
        <v>1665</v>
      </c>
      <c r="X2780" s="26">
        <v>0</v>
      </c>
      <c r="Y2780" s="22">
        <v>0</v>
      </c>
      <c r="Z2780" s="26" t="s">
        <v>118</v>
      </c>
      <c r="AA2780" s="19" t="s">
        <v>901</v>
      </c>
      <c r="AB2780" s="26" t="s">
        <v>36</v>
      </c>
      <c r="AC2780" s="26" t="s">
        <v>53</v>
      </c>
      <c r="AD2780" s="19" t="s">
        <v>54</v>
      </c>
      <c r="AE2780" s="26" t="s">
        <v>8338</v>
      </c>
      <c r="AF2780" s="17">
        <v>45534</v>
      </c>
      <c r="AG2780" s="26"/>
      <c r="AH2780" s="26">
        <v>1</v>
      </c>
      <c r="AI2780" s="40">
        <v>4</v>
      </c>
      <c r="AJ2780" s="26"/>
      <c r="AK2780" s="26"/>
      <c r="AL2780" s="35"/>
      <c r="AM2780" s="35"/>
      <c r="AN2780" s="35"/>
      <c r="AO2780" s="35"/>
      <c r="AP2780" s="35"/>
    </row>
    <row r="2781" spans="1:42" x14ac:dyDescent="0.2">
      <c r="A2781" s="38">
        <v>45529</v>
      </c>
      <c r="B2781" s="28" t="s">
        <v>37</v>
      </c>
      <c r="C2781" s="41" t="s">
        <v>118</v>
      </c>
      <c r="D2781" s="26" t="s">
        <v>36</v>
      </c>
      <c r="E2781" s="26" t="s">
        <v>119</v>
      </c>
      <c r="F2781" s="26" t="s">
        <v>2121</v>
      </c>
      <c r="G2781" s="26" t="s">
        <v>1847</v>
      </c>
      <c r="H2781" s="26" t="s">
        <v>9021</v>
      </c>
      <c r="I2781" s="17">
        <f ca="1">IFERROR(__xludf.DUMMYFUNCTION("""COMPUTED_VALUE"""),45539)</f>
        <v>45539</v>
      </c>
      <c r="J2781" s="29" t="s">
        <v>4903</v>
      </c>
      <c r="K2781" s="26" t="s">
        <v>279</v>
      </c>
      <c r="L2781" s="30">
        <v>868157092</v>
      </c>
      <c r="M2781" s="26" t="s">
        <v>112</v>
      </c>
      <c r="N2781" s="26" t="s">
        <v>379</v>
      </c>
      <c r="O2781" s="26" t="s">
        <v>280</v>
      </c>
      <c r="P2781" s="42" t="s">
        <v>281</v>
      </c>
      <c r="Q2781" s="20">
        <v>13968</v>
      </c>
      <c r="R2781" s="26" t="s">
        <v>36</v>
      </c>
      <c r="S2781" s="31">
        <v>13968</v>
      </c>
      <c r="T2781" s="32">
        <v>45116</v>
      </c>
      <c r="U2781" s="31"/>
      <c r="V2781" s="26"/>
      <c r="W2781" s="33" t="s">
        <v>282</v>
      </c>
      <c r="X2781" s="26"/>
      <c r="Y2781" s="22">
        <v>0</v>
      </c>
      <c r="Z2781" s="26" t="s">
        <v>118</v>
      </c>
      <c r="AA2781" s="19" t="s">
        <v>4541</v>
      </c>
      <c r="AB2781" s="26" t="s">
        <v>104</v>
      </c>
      <c r="AC2781" s="26" t="s">
        <v>53</v>
      </c>
      <c r="AD2781" s="19" t="s">
        <v>54</v>
      </c>
      <c r="AE2781" s="26" t="s">
        <v>2121</v>
      </c>
      <c r="AF2781" s="17">
        <v>45532</v>
      </c>
      <c r="AG2781" s="26"/>
      <c r="AH2781" s="26"/>
      <c r="AI2781" s="40"/>
      <c r="AJ2781" s="26"/>
      <c r="AK2781" s="26"/>
      <c r="AL2781" s="35"/>
      <c r="AM2781" s="35"/>
      <c r="AN2781" s="35"/>
      <c r="AO2781" s="35"/>
      <c r="AP2781" s="35"/>
    </row>
    <row r="2782" spans="1:42" x14ac:dyDescent="0.2">
      <c r="A2782" s="38">
        <v>45529</v>
      </c>
      <c r="B2782" s="28" t="s">
        <v>37</v>
      </c>
      <c r="C2782" s="41" t="s">
        <v>118</v>
      </c>
      <c r="D2782" s="80" t="s">
        <v>36</v>
      </c>
      <c r="E2782" s="80" t="s">
        <v>39</v>
      </c>
      <c r="F2782" s="86" t="s">
        <v>2134</v>
      </c>
      <c r="G2782" s="26" t="s">
        <v>108</v>
      </c>
      <c r="H2782" s="26" t="s">
        <v>9836</v>
      </c>
      <c r="I2782" s="17">
        <f ca="1">IFERROR(__xludf.DUMMYFUNCTION("""COMPUTED_VALUE"""),45539)</f>
        <v>45539</v>
      </c>
      <c r="J2782" s="143" t="s">
        <v>9846</v>
      </c>
      <c r="K2782" s="80" t="s">
        <v>9847</v>
      </c>
      <c r="L2782" s="30">
        <v>332345159</v>
      </c>
      <c r="M2782" s="80" t="s">
        <v>9848</v>
      </c>
      <c r="N2782" s="80" t="s">
        <v>9849</v>
      </c>
      <c r="O2782" s="162" t="s">
        <v>9850</v>
      </c>
      <c r="P2782" s="175" t="s">
        <v>9851</v>
      </c>
      <c r="Q2782" s="95"/>
      <c r="R2782" s="80" t="s">
        <v>36</v>
      </c>
      <c r="S2782" s="176">
        <v>5355</v>
      </c>
      <c r="T2782" s="78">
        <v>44885</v>
      </c>
      <c r="U2782" s="77">
        <v>281</v>
      </c>
      <c r="V2782" s="78">
        <v>44895</v>
      </c>
      <c r="W2782" s="85" t="s">
        <v>9852</v>
      </c>
      <c r="X2782" s="80">
        <v>0</v>
      </c>
      <c r="Y2782" s="22"/>
      <c r="Z2782" s="26" t="s">
        <v>118</v>
      </c>
      <c r="AA2782" s="86" t="s">
        <v>7450</v>
      </c>
      <c r="AB2782" s="80" t="s">
        <v>36</v>
      </c>
      <c r="AC2782" s="26" t="s">
        <v>53</v>
      </c>
      <c r="AD2782" s="19" t="s">
        <v>54</v>
      </c>
      <c r="AE2782" s="26" t="s">
        <v>9853</v>
      </c>
      <c r="AF2782" s="17">
        <v>45532</v>
      </c>
      <c r="AG2782" s="82"/>
      <c r="AH2782" s="150">
        <v>1.5</v>
      </c>
      <c r="AI2782" s="165"/>
      <c r="AJ2782" s="165">
        <v>44886.054453055556</v>
      </c>
      <c r="AK2782" s="82"/>
      <c r="AL2782" s="177" t="s">
        <v>9854</v>
      </c>
      <c r="AM2782" s="82"/>
      <c r="AN2782" s="80"/>
      <c r="AO2782" s="80"/>
      <c r="AP2782" s="35"/>
    </row>
    <row r="2783" spans="1:42" x14ac:dyDescent="0.2">
      <c r="A2783" s="38">
        <v>45530</v>
      </c>
      <c r="B2783" s="28" t="s">
        <v>37</v>
      </c>
      <c r="C2783" s="41" t="s">
        <v>118</v>
      </c>
      <c r="D2783" s="26" t="s">
        <v>36</v>
      </c>
      <c r="E2783" s="26" t="s">
        <v>148</v>
      </c>
      <c r="F2783" s="26" t="s">
        <v>4931</v>
      </c>
      <c r="G2783" s="26" t="s">
        <v>221</v>
      </c>
      <c r="H2783" s="26" t="s">
        <v>7024</v>
      </c>
      <c r="I2783" s="17">
        <f ca="1">IFERROR(__xludf.DUMMYFUNCTION("""COMPUTED_VALUE"""),45557)</f>
        <v>45557</v>
      </c>
      <c r="J2783" s="29" t="s">
        <v>7674</v>
      </c>
      <c r="K2783" s="26" t="s">
        <v>7675</v>
      </c>
      <c r="L2783" s="30">
        <v>963570856</v>
      </c>
      <c r="M2783" s="26" t="s">
        <v>45</v>
      </c>
      <c r="N2783" s="26" t="s">
        <v>3839</v>
      </c>
      <c r="O2783" s="26" t="s">
        <v>7676</v>
      </c>
      <c r="P2783" s="42" t="s">
        <v>9855</v>
      </c>
      <c r="Q2783" s="20">
        <v>7349</v>
      </c>
      <c r="R2783" s="26" t="s">
        <v>36</v>
      </c>
      <c r="S2783" s="31">
        <v>1000</v>
      </c>
      <c r="T2783" s="32">
        <v>45134</v>
      </c>
      <c r="U2783" s="31">
        <v>6349</v>
      </c>
      <c r="V2783" s="32">
        <v>45364</v>
      </c>
      <c r="W2783" s="33" t="s">
        <v>7678</v>
      </c>
      <c r="X2783" s="26"/>
      <c r="Y2783" s="22">
        <v>0</v>
      </c>
      <c r="Z2783" s="26" t="s">
        <v>118</v>
      </c>
      <c r="AA2783" s="19" t="s">
        <v>7361</v>
      </c>
      <c r="AB2783" s="80" t="s">
        <v>36</v>
      </c>
      <c r="AC2783" s="26" t="s">
        <v>53</v>
      </c>
      <c r="AD2783" s="19" t="s">
        <v>138</v>
      </c>
      <c r="AE2783" s="26" t="s">
        <v>4931</v>
      </c>
      <c r="AF2783" s="17">
        <v>45557</v>
      </c>
      <c r="AG2783" s="26" t="s">
        <v>1362</v>
      </c>
      <c r="AH2783" s="26"/>
      <c r="AI2783" s="40"/>
      <c r="AJ2783" s="26"/>
      <c r="AK2783" s="26"/>
      <c r="AL2783" s="35"/>
      <c r="AM2783" s="35"/>
      <c r="AN2783" s="35"/>
      <c r="AO2783" s="35"/>
      <c r="AP2783" s="35"/>
    </row>
    <row r="2784" spans="1:42" x14ac:dyDescent="0.2">
      <c r="A2784" s="38">
        <v>45530</v>
      </c>
      <c r="B2784" s="28" t="s">
        <v>37</v>
      </c>
      <c r="C2784" s="41" t="s">
        <v>118</v>
      </c>
      <c r="D2784" s="26" t="s">
        <v>36</v>
      </c>
      <c r="E2784" s="26" t="s">
        <v>139</v>
      </c>
      <c r="F2784" s="26" t="s">
        <v>9241</v>
      </c>
      <c r="G2784" s="26" t="s">
        <v>108</v>
      </c>
      <c r="H2784" s="26" t="s">
        <v>9856</v>
      </c>
      <c r="I2784" s="17">
        <f ca="1">IFERROR(__xludf.DUMMYFUNCTION("""COMPUTED_VALUE"""),45532)</f>
        <v>45532</v>
      </c>
      <c r="J2784" s="29" t="s">
        <v>9857</v>
      </c>
      <c r="K2784" s="19" t="s">
        <v>9858</v>
      </c>
      <c r="L2784" s="30">
        <v>329835829</v>
      </c>
      <c r="M2784" s="26" t="s">
        <v>80</v>
      </c>
      <c r="N2784" s="26" t="s">
        <v>1073</v>
      </c>
      <c r="O2784" s="26" t="s">
        <v>9859</v>
      </c>
      <c r="P2784" s="42" t="s">
        <v>9860</v>
      </c>
      <c r="Q2784" s="20">
        <v>15936</v>
      </c>
      <c r="R2784" s="26" t="s">
        <v>36</v>
      </c>
      <c r="S2784" s="95">
        <f t="shared" ref="S2784:S2785" si="6">200+1800</f>
        <v>2000</v>
      </c>
      <c r="T2784" s="83" t="s">
        <v>9861</v>
      </c>
      <c r="U2784" s="95">
        <v>13936</v>
      </c>
      <c r="V2784" s="148">
        <v>45515</v>
      </c>
      <c r="W2784" s="33" t="s">
        <v>9862</v>
      </c>
      <c r="X2784" s="26">
        <v>0</v>
      </c>
      <c r="Y2784" s="22">
        <v>0</v>
      </c>
      <c r="Z2784" s="26" t="s">
        <v>118</v>
      </c>
      <c r="AA2784" s="35"/>
      <c r="AB2784" s="80" t="s">
        <v>36</v>
      </c>
      <c r="AC2784" s="26" t="s">
        <v>53</v>
      </c>
      <c r="AD2784" s="26" t="s">
        <v>54</v>
      </c>
      <c r="AE2784" s="26" t="s">
        <v>9241</v>
      </c>
      <c r="AF2784" s="17">
        <v>45530</v>
      </c>
      <c r="AG2784" s="26"/>
      <c r="AH2784" s="26"/>
      <c r="AI2784" s="40"/>
      <c r="AJ2784" s="26"/>
      <c r="AK2784" s="26"/>
      <c r="AL2784" s="35"/>
      <c r="AM2784" s="35"/>
      <c r="AN2784" s="35"/>
      <c r="AO2784" s="35"/>
      <c r="AP2784" s="35"/>
    </row>
    <row r="2785" spans="1:42" x14ac:dyDescent="0.2">
      <c r="A2785" s="38">
        <v>45530</v>
      </c>
      <c r="B2785" s="28" t="s">
        <v>37</v>
      </c>
      <c r="C2785" s="41" t="s">
        <v>118</v>
      </c>
      <c r="D2785" s="26" t="s">
        <v>36</v>
      </c>
      <c r="E2785" s="26" t="s">
        <v>139</v>
      </c>
      <c r="F2785" s="26" t="s">
        <v>9241</v>
      </c>
      <c r="G2785" s="26" t="s">
        <v>108</v>
      </c>
      <c r="H2785" s="26" t="s">
        <v>9856</v>
      </c>
      <c r="I2785" s="17">
        <f ca="1">IFERROR(__xludf.DUMMYFUNCTION("""COMPUTED_VALUE"""),45532)</f>
        <v>45532</v>
      </c>
      <c r="J2785" s="29" t="s">
        <v>9378</v>
      </c>
      <c r="K2785" s="19" t="s">
        <v>9863</v>
      </c>
      <c r="L2785" s="30">
        <v>973680698</v>
      </c>
      <c r="M2785" s="26" t="s">
        <v>80</v>
      </c>
      <c r="N2785" s="26" t="s">
        <v>1073</v>
      </c>
      <c r="O2785" s="26" t="s">
        <v>9380</v>
      </c>
      <c r="P2785" s="42" t="s">
        <v>9864</v>
      </c>
      <c r="Q2785" s="20"/>
      <c r="R2785" s="26" t="s">
        <v>36</v>
      </c>
      <c r="S2785" s="95">
        <f t="shared" si="6"/>
        <v>2000</v>
      </c>
      <c r="T2785" s="83" t="s">
        <v>9382</v>
      </c>
      <c r="U2785" s="95">
        <v>13936</v>
      </c>
      <c r="V2785" s="148">
        <v>45503</v>
      </c>
      <c r="W2785" s="33" t="s">
        <v>9383</v>
      </c>
      <c r="X2785" s="26"/>
      <c r="Y2785" s="22"/>
      <c r="Z2785" s="26" t="s">
        <v>118</v>
      </c>
      <c r="AA2785" s="70" t="s">
        <v>9070</v>
      </c>
      <c r="AB2785" s="80" t="s">
        <v>36</v>
      </c>
      <c r="AC2785" s="26" t="s">
        <v>53</v>
      </c>
      <c r="AD2785" s="26" t="s">
        <v>54</v>
      </c>
      <c r="AE2785" s="26" t="s">
        <v>9241</v>
      </c>
      <c r="AF2785" s="17">
        <v>45530</v>
      </c>
      <c r="AG2785" s="26"/>
      <c r="AH2785" s="26"/>
      <c r="AI2785" s="40"/>
      <c r="AJ2785" s="26"/>
      <c r="AK2785" s="26"/>
      <c r="AL2785" s="35"/>
      <c r="AM2785" s="35"/>
      <c r="AN2785" s="35"/>
      <c r="AO2785" s="35"/>
      <c r="AP2785" s="35"/>
    </row>
    <row r="2786" spans="1:42" x14ac:dyDescent="0.2">
      <c r="A2786" s="38">
        <v>45530</v>
      </c>
      <c r="B2786" s="28" t="s">
        <v>37</v>
      </c>
      <c r="C2786" s="41" t="s">
        <v>118</v>
      </c>
      <c r="D2786" s="26" t="s">
        <v>36</v>
      </c>
      <c r="E2786" s="26" t="s">
        <v>56</v>
      </c>
      <c r="F2786" s="26" t="s">
        <v>9273</v>
      </c>
      <c r="G2786" s="26" t="s">
        <v>108</v>
      </c>
      <c r="H2786" s="26" t="s">
        <v>9865</v>
      </c>
      <c r="I2786" s="17">
        <f ca="1">IFERROR(__xludf.DUMMYFUNCTION("""COMPUTED_VALUE"""),45541)</f>
        <v>45541</v>
      </c>
      <c r="J2786" s="29" t="s">
        <v>9285</v>
      </c>
      <c r="K2786" s="26" t="s">
        <v>9286</v>
      </c>
      <c r="L2786" s="30">
        <v>376200206</v>
      </c>
      <c r="M2786" s="26" t="s">
        <v>59</v>
      </c>
      <c r="N2786" s="26" t="s">
        <v>9287</v>
      </c>
      <c r="O2786" s="26" t="s">
        <v>9288</v>
      </c>
      <c r="P2786" s="42" t="s">
        <v>9289</v>
      </c>
      <c r="Q2786" s="20"/>
      <c r="R2786" s="26" t="s">
        <v>36</v>
      </c>
      <c r="S2786" s="95">
        <f>1968+7249</f>
        <v>9217</v>
      </c>
      <c r="T2786" s="83" t="s">
        <v>9290</v>
      </c>
      <c r="U2786" s="31"/>
      <c r="V2786" s="32"/>
      <c r="W2786" s="33" t="s">
        <v>9291</v>
      </c>
      <c r="X2786" s="26"/>
      <c r="Y2786" s="22"/>
      <c r="Z2786" s="26" t="s">
        <v>118</v>
      </c>
      <c r="AA2786" s="70" t="s">
        <v>9070</v>
      </c>
      <c r="AB2786" s="80" t="s">
        <v>36</v>
      </c>
      <c r="AC2786" s="26" t="s">
        <v>53</v>
      </c>
      <c r="AD2786" s="26" t="s">
        <v>54</v>
      </c>
      <c r="AE2786" s="26" t="s">
        <v>9273</v>
      </c>
      <c r="AF2786" s="17">
        <v>45534</v>
      </c>
      <c r="AG2786" s="26"/>
      <c r="AH2786" s="26"/>
      <c r="AI2786" s="40"/>
      <c r="AJ2786" s="26"/>
      <c r="AK2786" s="26"/>
      <c r="AL2786" s="35"/>
      <c r="AM2786" s="35"/>
      <c r="AN2786" s="35"/>
      <c r="AO2786" s="35"/>
      <c r="AP2786" s="35"/>
    </row>
    <row r="2787" spans="1:42" x14ac:dyDescent="0.2">
      <c r="A2787" s="38">
        <v>45530</v>
      </c>
      <c r="B2787" s="28" t="s">
        <v>37</v>
      </c>
      <c r="C2787" s="41" t="s">
        <v>118</v>
      </c>
      <c r="D2787" s="26" t="s">
        <v>36</v>
      </c>
      <c r="E2787" s="26" t="s">
        <v>139</v>
      </c>
      <c r="F2787" s="26" t="s">
        <v>9273</v>
      </c>
      <c r="G2787" s="26" t="s">
        <v>108</v>
      </c>
      <c r="H2787" s="26" t="s">
        <v>8935</v>
      </c>
      <c r="I2787" s="17">
        <f ca="1">IFERROR(__xludf.DUMMYFUNCTION("""COMPUTED_VALUE"""),45557)</f>
        <v>45557</v>
      </c>
      <c r="J2787" s="29" t="s">
        <v>9274</v>
      </c>
      <c r="K2787" s="26" t="s">
        <v>9866</v>
      </c>
      <c r="L2787" s="30">
        <v>376312780</v>
      </c>
      <c r="M2787" s="26" t="s">
        <v>80</v>
      </c>
      <c r="N2787" s="26" t="s">
        <v>466</v>
      </c>
      <c r="O2787" s="26" t="s">
        <v>9276</v>
      </c>
      <c r="P2787" s="42" t="s">
        <v>9867</v>
      </c>
      <c r="Q2787" s="20"/>
      <c r="R2787" s="26" t="s">
        <v>70</v>
      </c>
      <c r="S2787" s="95">
        <f t="shared" ref="S2787:S2789" si="7">200+1800</f>
        <v>2000</v>
      </c>
      <c r="T2787" s="83" t="s">
        <v>9271</v>
      </c>
      <c r="U2787" s="95">
        <v>13936</v>
      </c>
      <c r="V2787" s="148">
        <v>45503</v>
      </c>
      <c r="W2787" s="33" t="s">
        <v>9278</v>
      </c>
      <c r="X2787" s="26"/>
      <c r="Y2787" s="22"/>
      <c r="Z2787" s="26" t="s">
        <v>118</v>
      </c>
      <c r="AA2787" s="70" t="s">
        <v>9070</v>
      </c>
      <c r="AB2787" s="80" t="s">
        <v>36</v>
      </c>
      <c r="AC2787" s="26" t="s">
        <v>53</v>
      </c>
      <c r="AD2787" s="26" t="s">
        <v>54</v>
      </c>
      <c r="AE2787" s="26" t="s">
        <v>9273</v>
      </c>
      <c r="AF2787" s="17">
        <v>45534</v>
      </c>
      <c r="AG2787" s="26"/>
      <c r="AH2787" s="26"/>
      <c r="AI2787" s="40"/>
      <c r="AJ2787" s="26"/>
      <c r="AK2787" s="26"/>
      <c r="AL2787" s="35"/>
      <c r="AM2787" s="35"/>
      <c r="AN2787" s="35"/>
      <c r="AO2787" s="35"/>
      <c r="AP2787" s="35"/>
    </row>
    <row r="2788" spans="1:42" x14ac:dyDescent="0.2">
      <c r="A2788" s="38">
        <v>45530</v>
      </c>
      <c r="B2788" s="28" t="s">
        <v>37</v>
      </c>
      <c r="C2788" s="41" t="s">
        <v>118</v>
      </c>
      <c r="D2788" s="26" t="s">
        <v>36</v>
      </c>
      <c r="E2788" s="26" t="s">
        <v>139</v>
      </c>
      <c r="F2788" s="26" t="s">
        <v>9273</v>
      </c>
      <c r="G2788" s="26" t="s">
        <v>108</v>
      </c>
      <c r="H2788" s="26" t="s">
        <v>9865</v>
      </c>
      <c r="I2788" s="17">
        <f ca="1">IFERROR(__xludf.DUMMYFUNCTION("""COMPUTED_VALUE"""),45541)</f>
        <v>45541</v>
      </c>
      <c r="J2788" s="29" t="s">
        <v>9868</v>
      </c>
      <c r="K2788" s="26" t="s">
        <v>9869</v>
      </c>
      <c r="L2788" s="30">
        <v>824436683</v>
      </c>
      <c r="M2788" s="26" t="s">
        <v>80</v>
      </c>
      <c r="N2788" s="26" t="s">
        <v>1073</v>
      </c>
      <c r="O2788" s="26" t="s">
        <v>9870</v>
      </c>
      <c r="P2788" s="42" t="s">
        <v>9871</v>
      </c>
      <c r="Q2788" s="20">
        <v>15936</v>
      </c>
      <c r="R2788" s="26" t="s">
        <v>36</v>
      </c>
      <c r="S2788" s="95">
        <f t="shared" si="7"/>
        <v>2000</v>
      </c>
      <c r="T2788" s="83" t="s">
        <v>9872</v>
      </c>
      <c r="U2788" s="95">
        <v>13936</v>
      </c>
      <c r="V2788" s="148">
        <v>45516</v>
      </c>
      <c r="W2788" s="33" t="s">
        <v>9873</v>
      </c>
      <c r="X2788" s="26">
        <v>0</v>
      </c>
      <c r="Y2788" s="22">
        <v>0</v>
      </c>
      <c r="Z2788" s="26" t="s">
        <v>118</v>
      </c>
      <c r="AA2788" s="35"/>
      <c r="AB2788" s="80" t="s">
        <v>36</v>
      </c>
      <c r="AC2788" s="26" t="s">
        <v>53</v>
      </c>
      <c r="AD2788" s="26" t="s">
        <v>54</v>
      </c>
      <c r="AE2788" s="26" t="s">
        <v>9273</v>
      </c>
      <c r="AF2788" s="17">
        <v>45534</v>
      </c>
      <c r="AG2788" s="26"/>
      <c r="AH2788" s="26"/>
      <c r="AI2788" s="40"/>
      <c r="AJ2788" s="26"/>
      <c r="AK2788" s="26"/>
      <c r="AL2788" s="35"/>
      <c r="AM2788" s="35"/>
      <c r="AN2788" s="35"/>
      <c r="AO2788" s="35"/>
      <c r="AP2788" s="35"/>
    </row>
    <row r="2789" spans="1:42" x14ac:dyDescent="0.2">
      <c r="A2789" s="38">
        <v>45530</v>
      </c>
      <c r="B2789" s="28" t="s">
        <v>37</v>
      </c>
      <c r="C2789" s="41" t="s">
        <v>118</v>
      </c>
      <c r="D2789" s="26" t="s">
        <v>36</v>
      </c>
      <c r="E2789" s="26" t="s">
        <v>139</v>
      </c>
      <c r="F2789" s="26" t="s">
        <v>9273</v>
      </c>
      <c r="G2789" s="26" t="s">
        <v>108</v>
      </c>
      <c r="H2789" s="26" t="s">
        <v>9865</v>
      </c>
      <c r="I2789" s="17">
        <f ca="1">IFERROR(__xludf.DUMMYFUNCTION("""COMPUTED_VALUE"""),45541)</f>
        <v>45541</v>
      </c>
      <c r="J2789" s="29" t="s">
        <v>9874</v>
      </c>
      <c r="K2789" s="26" t="s">
        <v>9875</v>
      </c>
      <c r="L2789" s="30">
        <v>344669206</v>
      </c>
      <c r="M2789" s="26" t="s">
        <v>80</v>
      </c>
      <c r="N2789" s="26" t="s">
        <v>466</v>
      </c>
      <c r="O2789" s="26" t="s">
        <v>9876</v>
      </c>
      <c r="P2789" s="42" t="s">
        <v>9877</v>
      </c>
      <c r="Q2789" s="20">
        <v>15936</v>
      </c>
      <c r="R2789" s="26" t="s">
        <v>36</v>
      </c>
      <c r="S2789" s="95">
        <f t="shared" si="7"/>
        <v>2000</v>
      </c>
      <c r="T2789" s="83" t="s">
        <v>9878</v>
      </c>
      <c r="U2789" s="95">
        <v>13968</v>
      </c>
      <c r="V2789" s="148">
        <v>45523</v>
      </c>
      <c r="W2789" s="33" t="s">
        <v>9879</v>
      </c>
      <c r="X2789" s="26">
        <v>0</v>
      </c>
      <c r="Y2789" s="22">
        <v>-32</v>
      </c>
      <c r="Z2789" s="26" t="s">
        <v>118</v>
      </c>
      <c r="AA2789" s="96"/>
      <c r="AB2789" s="80" t="s">
        <v>36</v>
      </c>
      <c r="AC2789" s="26" t="s">
        <v>53</v>
      </c>
      <c r="AD2789" s="26" t="s">
        <v>54</v>
      </c>
      <c r="AE2789" s="26" t="s">
        <v>9273</v>
      </c>
      <c r="AF2789" s="17">
        <v>45538</v>
      </c>
      <c r="AG2789" s="26"/>
      <c r="AH2789" s="26"/>
      <c r="AI2789" s="40"/>
      <c r="AJ2789" s="26"/>
      <c r="AK2789" s="26"/>
      <c r="AL2789" s="35"/>
      <c r="AM2789" s="35"/>
      <c r="AN2789" s="35"/>
      <c r="AO2789" s="35"/>
      <c r="AP2789" s="35"/>
    </row>
    <row r="2790" spans="1:42" x14ac:dyDescent="0.2">
      <c r="A2790" s="38">
        <v>45530</v>
      </c>
      <c r="B2790" s="28" t="s">
        <v>37</v>
      </c>
      <c r="C2790" s="41" t="s">
        <v>118</v>
      </c>
      <c r="D2790" s="26" t="s">
        <v>36</v>
      </c>
      <c r="E2790" s="26" t="s">
        <v>139</v>
      </c>
      <c r="F2790" s="26" t="s">
        <v>9273</v>
      </c>
      <c r="G2790" s="26" t="s">
        <v>108</v>
      </c>
      <c r="H2790" s="26" t="s">
        <v>9865</v>
      </c>
      <c r="I2790" s="17">
        <f ca="1">IFERROR(__xludf.DUMMYFUNCTION("""COMPUTED_VALUE"""),45541)</f>
        <v>45541</v>
      </c>
      <c r="J2790" s="44" t="s">
        <v>9880</v>
      </c>
      <c r="K2790" s="26" t="s">
        <v>9881</v>
      </c>
      <c r="L2790" s="30">
        <v>941671229</v>
      </c>
      <c r="M2790" s="26" t="s">
        <v>3728</v>
      </c>
      <c r="N2790" s="26" t="s">
        <v>8725</v>
      </c>
      <c r="O2790" s="26" t="s">
        <v>9882</v>
      </c>
      <c r="P2790" s="42" t="s">
        <v>9883</v>
      </c>
      <c r="Q2790" s="20">
        <v>15936</v>
      </c>
      <c r="R2790" s="26" t="s">
        <v>36</v>
      </c>
      <c r="S2790" s="95">
        <v>2000</v>
      </c>
      <c r="T2790" s="148">
        <v>45479</v>
      </c>
      <c r="U2790" s="95">
        <v>13936</v>
      </c>
      <c r="V2790" s="148">
        <v>45515</v>
      </c>
      <c r="W2790" s="33" t="s">
        <v>9884</v>
      </c>
      <c r="X2790" s="26">
        <v>0</v>
      </c>
      <c r="Y2790" s="22">
        <v>0</v>
      </c>
      <c r="Z2790" s="26" t="s">
        <v>118</v>
      </c>
      <c r="AA2790" s="35"/>
      <c r="AB2790" s="80" t="s">
        <v>36</v>
      </c>
      <c r="AC2790" s="26" t="s">
        <v>53</v>
      </c>
      <c r="AD2790" s="26" t="s">
        <v>54</v>
      </c>
      <c r="AE2790" s="26" t="s">
        <v>9273</v>
      </c>
      <c r="AF2790" s="17">
        <v>45534</v>
      </c>
      <c r="AG2790" s="26"/>
      <c r="AH2790" s="26"/>
      <c r="AI2790" s="40"/>
      <c r="AJ2790" s="26"/>
      <c r="AK2790" s="26"/>
      <c r="AL2790" s="35"/>
      <c r="AM2790" s="35"/>
      <c r="AN2790" s="35"/>
      <c r="AO2790" s="35"/>
      <c r="AP2790" s="35"/>
    </row>
    <row r="2791" spans="1:42" x14ac:dyDescent="0.2">
      <c r="A2791" s="38">
        <v>45530</v>
      </c>
      <c r="B2791" s="28" t="s">
        <v>37</v>
      </c>
      <c r="C2791" s="41" t="s">
        <v>118</v>
      </c>
      <c r="D2791" s="26" t="s">
        <v>36</v>
      </c>
      <c r="E2791" s="26" t="s">
        <v>139</v>
      </c>
      <c r="F2791" s="26" t="s">
        <v>9273</v>
      </c>
      <c r="G2791" s="26" t="s">
        <v>108</v>
      </c>
      <c r="H2791" s="26" t="s">
        <v>9865</v>
      </c>
      <c r="I2791" s="17">
        <f ca="1">IFERROR(__xludf.DUMMYFUNCTION("""COMPUTED_VALUE"""),45541)</f>
        <v>45541</v>
      </c>
      <c r="J2791" s="29" t="s">
        <v>9885</v>
      </c>
      <c r="K2791" s="26" t="s">
        <v>9886</v>
      </c>
      <c r="L2791" s="30">
        <v>946996872</v>
      </c>
      <c r="M2791" s="26" t="s">
        <v>3728</v>
      </c>
      <c r="N2791" s="26" t="s">
        <v>8725</v>
      </c>
      <c r="O2791" s="26" t="s">
        <v>9887</v>
      </c>
      <c r="P2791" s="42" t="s">
        <v>9888</v>
      </c>
      <c r="Q2791" s="20">
        <v>15936</v>
      </c>
      <c r="R2791" s="26" t="s">
        <v>36</v>
      </c>
      <c r="S2791" s="95">
        <f>200+1800</f>
        <v>2000</v>
      </c>
      <c r="T2791" s="83" t="s">
        <v>9889</v>
      </c>
      <c r="U2791" s="95">
        <v>13936</v>
      </c>
      <c r="V2791" s="148">
        <v>45517</v>
      </c>
      <c r="W2791" s="33" t="s">
        <v>9890</v>
      </c>
      <c r="X2791" s="26">
        <v>0</v>
      </c>
      <c r="Y2791" s="22">
        <v>0</v>
      </c>
      <c r="Z2791" s="26" t="s">
        <v>118</v>
      </c>
      <c r="AA2791" s="96"/>
      <c r="AB2791" s="80" t="s">
        <v>36</v>
      </c>
      <c r="AC2791" s="26" t="s">
        <v>53</v>
      </c>
      <c r="AD2791" s="26" t="s">
        <v>54</v>
      </c>
      <c r="AE2791" s="26" t="s">
        <v>9273</v>
      </c>
      <c r="AF2791" s="17">
        <v>45534</v>
      </c>
      <c r="AG2791" s="26"/>
      <c r="AH2791" s="26"/>
      <c r="AI2791" s="40"/>
      <c r="AJ2791" s="26"/>
      <c r="AK2791" s="26"/>
      <c r="AL2791" s="35"/>
      <c r="AM2791" s="35"/>
      <c r="AN2791" s="35"/>
      <c r="AO2791" s="35"/>
      <c r="AP2791" s="35"/>
    </row>
    <row r="2792" spans="1:42" x14ac:dyDescent="0.2">
      <c r="A2792" s="38">
        <v>45530</v>
      </c>
      <c r="B2792" s="28" t="s">
        <v>37</v>
      </c>
      <c r="C2792" s="41" t="s">
        <v>118</v>
      </c>
      <c r="D2792" s="26" t="s">
        <v>36</v>
      </c>
      <c r="E2792" s="26" t="s">
        <v>56</v>
      </c>
      <c r="F2792" s="26" t="s">
        <v>9273</v>
      </c>
      <c r="G2792" s="26" t="s">
        <v>108</v>
      </c>
      <c r="H2792" s="26" t="s">
        <v>9865</v>
      </c>
      <c r="I2792" s="17">
        <f ca="1">IFERROR(__xludf.DUMMYFUNCTION("""COMPUTED_VALUE"""),45541)</f>
        <v>45541</v>
      </c>
      <c r="J2792" s="29" t="s">
        <v>9891</v>
      </c>
      <c r="K2792" s="26" t="s">
        <v>9892</v>
      </c>
      <c r="L2792" s="30">
        <v>836222584</v>
      </c>
      <c r="M2792" s="26" t="s">
        <v>910</v>
      </c>
      <c r="N2792" s="26" t="s">
        <v>253</v>
      </c>
      <c r="O2792" s="26" t="s">
        <v>9893</v>
      </c>
      <c r="P2792" s="42" t="s">
        <v>9894</v>
      </c>
      <c r="Q2792" s="20">
        <v>15936</v>
      </c>
      <c r="R2792" s="26" t="s">
        <v>36</v>
      </c>
      <c r="S2792" s="95">
        <v>1968</v>
      </c>
      <c r="T2792" s="148">
        <v>45478</v>
      </c>
      <c r="U2792" s="31">
        <v>7349</v>
      </c>
      <c r="V2792" s="32">
        <v>45539</v>
      </c>
      <c r="W2792" s="33" t="s">
        <v>9895</v>
      </c>
      <c r="X2792" s="26">
        <v>0</v>
      </c>
      <c r="Y2792" s="22">
        <v>0</v>
      </c>
      <c r="Z2792" s="26" t="s">
        <v>118</v>
      </c>
      <c r="AA2792" s="35"/>
      <c r="AB2792" s="26" t="s">
        <v>36</v>
      </c>
      <c r="AC2792" s="26" t="s">
        <v>53</v>
      </c>
      <c r="AD2792" s="26" t="s">
        <v>54</v>
      </c>
      <c r="AE2792" s="26" t="s">
        <v>9273</v>
      </c>
      <c r="AF2792" s="17">
        <v>45533</v>
      </c>
      <c r="AG2792" s="26"/>
      <c r="AH2792" s="26"/>
      <c r="AI2792" s="40"/>
      <c r="AJ2792" s="26"/>
      <c r="AK2792" s="26"/>
      <c r="AL2792" s="35"/>
      <c r="AM2792" s="35"/>
      <c r="AN2792" s="35"/>
      <c r="AO2792" s="35"/>
      <c r="AP2792" s="35"/>
    </row>
    <row r="2793" spans="1:42" x14ac:dyDescent="0.2">
      <c r="A2793" s="38">
        <v>45530</v>
      </c>
      <c r="B2793" s="28" t="s">
        <v>37</v>
      </c>
      <c r="C2793" s="41" t="s">
        <v>118</v>
      </c>
      <c r="D2793" s="26" t="s">
        <v>36</v>
      </c>
      <c r="E2793" s="26" t="s">
        <v>56</v>
      </c>
      <c r="F2793" s="26" t="s">
        <v>8830</v>
      </c>
      <c r="G2793" s="26" t="s">
        <v>108</v>
      </c>
      <c r="H2793" s="26" t="s">
        <v>9896</v>
      </c>
      <c r="I2793" s="17">
        <f ca="1">IFERROR(__xludf.DUMMYFUNCTION("""COMPUTED_VALUE"""),45540)</f>
        <v>45540</v>
      </c>
      <c r="J2793" s="29" t="s">
        <v>8831</v>
      </c>
      <c r="K2793" s="26" t="s">
        <v>8832</v>
      </c>
      <c r="L2793" s="30">
        <v>343782726</v>
      </c>
      <c r="M2793" s="26" t="s">
        <v>94</v>
      </c>
      <c r="N2793" s="26" t="s">
        <v>8833</v>
      </c>
      <c r="O2793" s="26" t="s">
        <v>91</v>
      </c>
      <c r="P2793" s="54" t="s">
        <v>8834</v>
      </c>
      <c r="Q2793" s="20">
        <v>9317</v>
      </c>
      <c r="R2793" s="26" t="s">
        <v>36</v>
      </c>
      <c r="S2793" s="31">
        <v>9317</v>
      </c>
      <c r="T2793" s="32">
        <v>45469</v>
      </c>
      <c r="U2793" s="31"/>
      <c r="V2793" s="32"/>
      <c r="W2793" s="33" t="s">
        <v>8835</v>
      </c>
      <c r="X2793" s="26"/>
      <c r="Y2793" s="22">
        <v>0</v>
      </c>
      <c r="Z2793" s="26" t="s">
        <v>118</v>
      </c>
      <c r="AA2793" s="19" t="s">
        <v>8721</v>
      </c>
      <c r="AB2793" s="26" t="s">
        <v>36</v>
      </c>
      <c r="AC2793" s="26" t="s">
        <v>53</v>
      </c>
      <c r="AD2793" s="19" t="s">
        <v>54</v>
      </c>
      <c r="AE2793" s="26" t="s">
        <v>8830</v>
      </c>
      <c r="AF2793" s="17">
        <v>45532</v>
      </c>
      <c r="AG2793" s="26"/>
      <c r="AH2793" s="26"/>
      <c r="AI2793" s="40"/>
      <c r="AJ2793" s="26"/>
      <c r="AK2793" s="26"/>
      <c r="AL2793" s="35"/>
      <c r="AM2793" s="35"/>
      <c r="AN2793" s="35"/>
      <c r="AO2793" s="35"/>
      <c r="AP2793" s="35"/>
    </row>
    <row r="2794" spans="1:42" x14ac:dyDescent="0.2">
      <c r="A2794" s="38">
        <v>45530</v>
      </c>
      <c r="B2794" s="28" t="s">
        <v>37</v>
      </c>
      <c r="C2794" s="41" t="s">
        <v>118</v>
      </c>
      <c r="D2794" s="26" t="s">
        <v>36</v>
      </c>
      <c r="E2794" s="26" t="s">
        <v>56</v>
      </c>
      <c r="F2794" s="26" t="s">
        <v>7871</v>
      </c>
      <c r="G2794" s="26" t="s">
        <v>221</v>
      </c>
      <c r="H2794" s="26" t="s">
        <v>7024</v>
      </c>
      <c r="I2794" s="17">
        <f ca="1">IFERROR(__xludf.DUMMYFUNCTION("""COMPUTED_VALUE"""),45557)</f>
        <v>45557</v>
      </c>
      <c r="J2794" s="29" t="s">
        <v>7724</v>
      </c>
      <c r="K2794" s="26" t="s">
        <v>7725</v>
      </c>
      <c r="L2794" s="30">
        <v>963662981</v>
      </c>
      <c r="M2794" s="26" t="s">
        <v>391</v>
      </c>
      <c r="N2794" s="26" t="s">
        <v>7051</v>
      </c>
      <c r="O2794" s="26" t="s">
        <v>7726</v>
      </c>
      <c r="P2794" s="42" t="s">
        <v>7727</v>
      </c>
      <c r="Q2794" s="20">
        <v>9317</v>
      </c>
      <c r="R2794" s="26" t="s">
        <v>36</v>
      </c>
      <c r="S2794" s="31">
        <v>9317</v>
      </c>
      <c r="T2794" s="32">
        <v>45355</v>
      </c>
      <c r="U2794" s="31"/>
      <c r="V2794" s="32"/>
      <c r="W2794" s="26" t="s">
        <v>7728</v>
      </c>
      <c r="X2794" s="26"/>
      <c r="Y2794" s="22">
        <v>0</v>
      </c>
      <c r="Z2794" s="98" t="s">
        <v>118</v>
      </c>
      <c r="AA2794" s="19" t="s">
        <v>7361</v>
      </c>
      <c r="AB2794" s="26" t="s">
        <v>36</v>
      </c>
      <c r="AC2794" s="26" t="s">
        <v>53</v>
      </c>
      <c r="AD2794" s="19" t="s">
        <v>138</v>
      </c>
      <c r="AE2794" s="26" t="s">
        <v>7871</v>
      </c>
      <c r="AF2794" s="17">
        <v>45557</v>
      </c>
      <c r="AG2794" s="26" t="s">
        <v>3415</v>
      </c>
      <c r="AH2794" s="26"/>
      <c r="AI2794" s="40"/>
      <c r="AJ2794" s="26"/>
      <c r="AK2794" s="26"/>
      <c r="AL2794" s="35"/>
      <c r="AM2794" s="35"/>
      <c r="AN2794" s="35"/>
      <c r="AO2794" s="35"/>
      <c r="AP2794" s="35"/>
    </row>
    <row r="2795" spans="1:42" x14ac:dyDescent="0.2">
      <c r="A2795" s="38">
        <v>45530</v>
      </c>
      <c r="B2795" s="28" t="s">
        <v>37</v>
      </c>
      <c r="C2795" s="41" t="s">
        <v>118</v>
      </c>
      <c r="D2795" s="26" t="s">
        <v>36</v>
      </c>
      <c r="E2795" s="26" t="s">
        <v>56</v>
      </c>
      <c r="F2795" s="26" t="s">
        <v>1495</v>
      </c>
      <c r="G2795" s="26" t="s">
        <v>221</v>
      </c>
      <c r="H2795" s="26" t="s">
        <v>9031</v>
      </c>
      <c r="I2795" s="17">
        <f ca="1">IFERROR(__xludf.DUMMYFUNCTION("""COMPUTED_VALUE"""),45540)</f>
        <v>45540</v>
      </c>
      <c r="J2795" s="29" t="s">
        <v>1879</v>
      </c>
      <c r="K2795" s="26" t="s">
        <v>4588</v>
      </c>
      <c r="L2795" s="30">
        <v>917615773</v>
      </c>
      <c r="M2795" s="26" t="s">
        <v>112</v>
      </c>
      <c r="N2795" s="26" t="s">
        <v>578</v>
      </c>
      <c r="O2795" s="26" t="s">
        <v>91</v>
      </c>
      <c r="P2795" s="42" t="s">
        <v>4589</v>
      </c>
      <c r="Q2795" s="20">
        <v>9317</v>
      </c>
      <c r="R2795" s="26" t="s">
        <v>36</v>
      </c>
      <c r="S2795" s="31">
        <v>8000</v>
      </c>
      <c r="T2795" s="32">
        <v>44867</v>
      </c>
      <c r="U2795" s="31">
        <v>8799</v>
      </c>
      <c r="V2795" s="32">
        <v>44891</v>
      </c>
      <c r="W2795" s="26"/>
      <c r="X2795" s="26"/>
      <c r="Y2795" s="22">
        <v>-7482</v>
      </c>
      <c r="Z2795" s="26" t="s">
        <v>118</v>
      </c>
      <c r="AA2795" s="19" t="s">
        <v>4541</v>
      </c>
      <c r="AB2795" s="26" t="s">
        <v>36</v>
      </c>
      <c r="AC2795" s="26" t="s">
        <v>53</v>
      </c>
      <c r="AD2795" s="19" t="s">
        <v>54</v>
      </c>
      <c r="AE2795" s="26" t="s">
        <v>1495</v>
      </c>
      <c r="AF2795" s="17">
        <v>45532</v>
      </c>
      <c r="AG2795" s="26"/>
      <c r="AH2795" s="26"/>
      <c r="AI2795" s="40"/>
      <c r="AJ2795" s="26"/>
      <c r="AK2795" s="26"/>
      <c r="AL2795" s="35"/>
      <c r="AM2795" s="35"/>
      <c r="AN2795" s="35"/>
      <c r="AO2795" s="35"/>
      <c r="AP2795" s="35"/>
    </row>
    <row r="2796" spans="1:42" x14ac:dyDescent="0.2">
      <c r="A2796" s="38">
        <v>45530</v>
      </c>
      <c r="B2796" s="28" t="s">
        <v>37</v>
      </c>
      <c r="C2796" s="41" t="s">
        <v>118</v>
      </c>
      <c r="D2796" s="26" t="s">
        <v>36</v>
      </c>
      <c r="E2796" s="26" t="s">
        <v>139</v>
      </c>
      <c r="F2796" s="26" t="s">
        <v>9177</v>
      </c>
      <c r="G2796" s="26" t="s">
        <v>108</v>
      </c>
      <c r="H2796" s="26" t="s">
        <v>9897</v>
      </c>
      <c r="I2796" s="17">
        <f ca="1">IFERROR(__xludf.DUMMYFUNCTION("""COMPUTED_VALUE"""),45562)</f>
        <v>45562</v>
      </c>
      <c r="J2796" s="29" t="s">
        <v>9178</v>
      </c>
      <c r="K2796" s="26" t="s">
        <v>9898</v>
      </c>
      <c r="L2796" s="47">
        <v>392571109</v>
      </c>
      <c r="M2796" s="26" t="s">
        <v>5429</v>
      </c>
      <c r="N2796" s="26" t="s">
        <v>9180</v>
      </c>
      <c r="O2796" s="67" t="s">
        <v>9181</v>
      </c>
      <c r="P2796" s="26" t="s">
        <v>9182</v>
      </c>
      <c r="Q2796" s="20"/>
      <c r="R2796" s="26" t="s">
        <v>36</v>
      </c>
      <c r="S2796" s="95">
        <v>2000</v>
      </c>
      <c r="T2796" s="148">
        <v>45474</v>
      </c>
      <c r="U2796" s="31">
        <v>13936</v>
      </c>
      <c r="V2796" s="32">
        <v>45496</v>
      </c>
      <c r="W2796" s="33" t="s">
        <v>9183</v>
      </c>
      <c r="X2796" s="26"/>
      <c r="Y2796" s="22"/>
      <c r="Z2796" s="26" t="s">
        <v>118</v>
      </c>
      <c r="AA2796" s="70" t="s">
        <v>9070</v>
      </c>
      <c r="AB2796" s="26" t="s">
        <v>36</v>
      </c>
      <c r="AC2796" s="26" t="s">
        <v>53</v>
      </c>
      <c r="AD2796" s="26" t="s">
        <v>54</v>
      </c>
      <c r="AE2796" s="26" t="s">
        <v>9177</v>
      </c>
      <c r="AF2796" s="17">
        <v>45556</v>
      </c>
      <c r="AG2796" s="26"/>
      <c r="AH2796" s="26"/>
      <c r="AI2796" s="40"/>
      <c r="AJ2796" s="26"/>
      <c r="AK2796" s="26"/>
      <c r="AL2796" s="35"/>
      <c r="AM2796" s="35"/>
      <c r="AN2796" s="35"/>
      <c r="AO2796" s="35"/>
      <c r="AP2796" s="35"/>
    </row>
    <row r="2797" spans="1:42" x14ac:dyDescent="0.2">
      <c r="A2797" s="38">
        <v>45530</v>
      </c>
      <c r="B2797" s="28" t="s">
        <v>37</v>
      </c>
      <c r="C2797" s="41" t="s">
        <v>118</v>
      </c>
      <c r="D2797" s="26" t="s">
        <v>36</v>
      </c>
      <c r="E2797" s="26" t="s">
        <v>148</v>
      </c>
      <c r="F2797" s="26" t="s">
        <v>7871</v>
      </c>
      <c r="G2797" s="26" t="s">
        <v>221</v>
      </c>
      <c r="H2797" s="26" t="s">
        <v>7024</v>
      </c>
      <c r="I2797" s="17">
        <f ca="1">IFERROR(__xludf.DUMMYFUNCTION("""COMPUTED_VALUE"""),45557)</f>
        <v>45557</v>
      </c>
      <c r="J2797" s="29" t="s">
        <v>8069</v>
      </c>
      <c r="K2797" s="26" t="s">
        <v>8070</v>
      </c>
      <c r="L2797" s="30">
        <v>336868177</v>
      </c>
      <c r="M2797" s="26" t="s">
        <v>391</v>
      </c>
      <c r="N2797" s="26" t="s">
        <v>1246</v>
      </c>
      <c r="O2797" s="26" t="s">
        <v>91</v>
      </c>
      <c r="P2797" s="42" t="s">
        <v>9899</v>
      </c>
      <c r="Q2797" s="20">
        <v>16779</v>
      </c>
      <c r="R2797" s="26" t="s">
        <v>36</v>
      </c>
      <c r="S2797" s="31">
        <v>16779</v>
      </c>
      <c r="T2797" s="32">
        <v>44911</v>
      </c>
      <c r="U2797" s="31"/>
      <c r="V2797" s="32"/>
      <c r="W2797" s="33" t="s">
        <v>8072</v>
      </c>
      <c r="X2797" s="26">
        <v>0</v>
      </c>
      <c r="Y2797" s="22">
        <v>0</v>
      </c>
      <c r="Z2797" s="98" t="s">
        <v>118</v>
      </c>
      <c r="AA2797" s="19" t="s">
        <v>6985</v>
      </c>
      <c r="AB2797" s="26" t="s">
        <v>36</v>
      </c>
      <c r="AC2797" s="26" t="s">
        <v>53</v>
      </c>
      <c r="AD2797" s="14" t="s">
        <v>54</v>
      </c>
      <c r="AE2797" s="26" t="s">
        <v>7871</v>
      </c>
      <c r="AF2797" s="17">
        <v>45557</v>
      </c>
      <c r="AG2797" s="26" t="s">
        <v>3415</v>
      </c>
      <c r="AH2797" s="40"/>
      <c r="AI2797" s="126"/>
      <c r="AJ2797" s="26"/>
      <c r="AK2797" s="26"/>
      <c r="AL2797" s="26"/>
      <c r="AM2797" s="35"/>
      <c r="AN2797" s="35"/>
      <c r="AO2797" s="35"/>
      <c r="AP2797" s="35"/>
    </row>
    <row r="2798" spans="1:42" x14ac:dyDescent="0.2">
      <c r="A2798" s="38">
        <v>45530</v>
      </c>
      <c r="B2798" s="28" t="s">
        <v>37</v>
      </c>
      <c r="C2798" s="41" t="s">
        <v>118</v>
      </c>
      <c r="D2798" s="26" t="s">
        <v>36</v>
      </c>
      <c r="E2798" s="26" t="s">
        <v>56</v>
      </c>
      <c r="F2798" s="26" t="s">
        <v>8771</v>
      </c>
      <c r="G2798" s="26" t="s">
        <v>108</v>
      </c>
      <c r="H2798" s="26" t="s">
        <v>9900</v>
      </c>
      <c r="I2798" s="17">
        <f ca="1">IFERROR(__xludf.DUMMYFUNCTION("""COMPUTED_VALUE"""),45578)</f>
        <v>45578</v>
      </c>
      <c r="J2798" s="29" t="s">
        <v>9901</v>
      </c>
      <c r="K2798" s="26" t="s">
        <v>9902</v>
      </c>
      <c r="L2798" s="30">
        <v>385692086</v>
      </c>
      <c r="M2798" s="26" t="s">
        <v>910</v>
      </c>
      <c r="N2798" s="26" t="s">
        <v>355</v>
      </c>
      <c r="O2798" s="26" t="s">
        <v>9903</v>
      </c>
      <c r="P2798" s="42" t="s">
        <v>9904</v>
      </c>
      <c r="Q2798" s="20">
        <v>9317</v>
      </c>
      <c r="R2798" s="26" t="s">
        <v>36</v>
      </c>
      <c r="S2798" s="95">
        <v>5736</v>
      </c>
      <c r="T2798" s="148">
        <v>45478</v>
      </c>
      <c r="U2798" s="77">
        <v>7317</v>
      </c>
      <c r="V2798" s="78">
        <v>45217</v>
      </c>
      <c r="W2798" s="85" t="s">
        <v>4972</v>
      </c>
      <c r="X2798" s="80"/>
      <c r="Y2798" s="22">
        <v>0</v>
      </c>
      <c r="Z2798" s="26" t="s">
        <v>50</v>
      </c>
      <c r="AA2798" s="19" t="s">
        <v>9905</v>
      </c>
      <c r="AB2798" s="26" t="s">
        <v>36</v>
      </c>
      <c r="AC2798" s="26" t="s">
        <v>53</v>
      </c>
      <c r="AD2798" s="26" t="s">
        <v>54</v>
      </c>
      <c r="AE2798" s="26" t="s">
        <v>8771</v>
      </c>
      <c r="AF2798" s="17">
        <v>45531</v>
      </c>
      <c r="AG2798" s="26"/>
      <c r="AH2798" s="26"/>
      <c r="AI2798" s="40"/>
      <c r="AJ2798" s="26"/>
      <c r="AK2798" s="26"/>
      <c r="AL2798" s="35"/>
      <c r="AM2798" s="35"/>
      <c r="AN2798" s="35"/>
      <c r="AO2798" s="35"/>
      <c r="AP2798" s="35"/>
    </row>
    <row r="2799" spans="1:42" x14ac:dyDescent="0.2">
      <c r="A2799" s="38">
        <v>45532</v>
      </c>
      <c r="B2799" s="28" t="s">
        <v>37</v>
      </c>
      <c r="C2799" s="41" t="s">
        <v>118</v>
      </c>
      <c r="D2799" s="26" t="s">
        <v>36</v>
      </c>
      <c r="E2799" s="26" t="s">
        <v>139</v>
      </c>
      <c r="F2799" s="26" t="s">
        <v>8824</v>
      </c>
      <c r="G2799" s="26" t="s">
        <v>108</v>
      </c>
      <c r="H2799" s="26" t="s">
        <v>9906</v>
      </c>
      <c r="I2799" s="17">
        <f ca="1">IFERROR(__xludf.DUMMYFUNCTION("""COMPUTED_VALUE"""),45541)</f>
        <v>45541</v>
      </c>
      <c r="J2799" s="29" t="s">
        <v>9907</v>
      </c>
      <c r="K2799" s="26" t="s">
        <v>1305</v>
      </c>
      <c r="L2799" s="30">
        <v>978956383</v>
      </c>
      <c r="M2799" s="26" t="s">
        <v>80</v>
      </c>
      <c r="N2799" s="26" t="s">
        <v>1073</v>
      </c>
      <c r="O2799" s="26" t="s">
        <v>9908</v>
      </c>
      <c r="P2799" s="26" t="s">
        <v>9909</v>
      </c>
      <c r="Q2799" s="20">
        <v>15936</v>
      </c>
      <c r="R2799" s="26" t="s">
        <v>36</v>
      </c>
      <c r="S2799" s="95">
        <f>200+1800</f>
        <v>2000</v>
      </c>
      <c r="T2799" s="83" t="s">
        <v>9910</v>
      </c>
      <c r="U2799" s="95">
        <v>13936</v>
      </c>
      <c r="V2799" s="148">
        <v>45514</v>
      </c>
      <c r="W2799" s="33" t="s">
        <v>9911</v>
      </c>
      <c r="X2799" s="26">
        <v>0</v>
      </c>
      <c r="Y2799" s="22">
        <v>0</v>
      </c>
      <c r="Z2799" s="98" t="s">
        <v>118</v>
      </c>
      <c r="AA2799" s="96"/>
      <c r="AB2799" s="26" t="s">
        <v>36</v>
      </c>
      <c r="AC2799" s="26" t="s">
        <v>53</v>
      </c>
      <c r="AD2799" s="26" t="s">
        <v>54</v>
      </c>
      <c r="AE2799" s="26" t="s">
        <v>8824</v>
      </c>
      <c r="AF2799" s="17">
        <v>45534</v>
      </c>
      <c r="AG2799" s="26"/>
      <c r="AH2799" s="26"/>
      <c r="AI2799" s="40"/>
      <c r="AJ2799" s="26"/>
      <c r="AK2799" s="26"/>
      <c r="AL2799" s="35"/>
      <c r="AM2799" s="35"/>
      <c r="AN2799" s="35"/>
      <c r="AO2799" s="35"/>
      <c r="AP2799" s="35"/>
    </row>
    <row r="2800" spans="1:42" x14ac:dyDescent="0.2">
      <c r="A2800" s="38">
        <v>45532</v>
      </c>
      <c r="B2800" s="28" t="s">
        <v>37</v>
      </c>
      <c r="C2800" s="41" t="s">
        <v>118</v>
      </c>
      <c r="D2800" s="26" t="s">
        <v>36</v>
      </c>
      <c r="E2800" s="26" t="s">
        <v>56</v>
      </c>
      <c r="F2800" s="26" t="s">
        <v>8824</v>
      </c>
      <c r="G2800" s="26" t="s">
        <v>108</v>
      </c>
      <c r="H2800" s="26" t="s">
        <v>9906</v>
      </c>
      <c r="I2800" s="17">
        <f ca="1">IFERROR(__xludf.DUMMYFUNCTION("""COMPUTED_VALUE"""),45541)</f>
        <v>45541</v>
      </c>
      <c r="J2800" s="29" t="s">
        <v>8825</v>
      </c>
      <c r="K2800" s="26" t="s">
        <v>8826</v>
      </c>
      <c r="L2800" s="30">
        <v>329837858</v>
      </c>
      <c r="M2800" s="26" t="s">
        <v>6309</v>
      </c>
      <c r="N2800" s="26" t="s">
        <v>1400</v>
      </c>
      <c r="O2800" s="26" t="s">
        <v>8827</v>
      </c>
      <c r="P2800" s="42" t="s">
        <v>9912</v>
      </c>
      <c r="Q2800" s="20">
        <v>9317</v>
      </c>
      <c r="R2800" s="26" t="s">
        <v>36</v>
      </c>
      <c r="S2800" s="31">
        <v>9317</v>
      </c>
      <c r="T2800" s="32">
        <v>45471</v>
      </c>
      <c r="U2800" s="31"/>
      <c r="V2800" s="32"/>
      <c r="W2800" s="33" t="s">
        <v>8829</v>
      </c>
      <c r="X2800" s="26"/>
      <c r="Y2800" s="22">
        <v>0</v>
      </c>
      <c r="Z2800" s="98" t="s">
        <v>118</v>
      </c>
      <c r="AA2800" s="19" t="s">
        <v>8721</v>
      </c>
      <c r="AB2800" s="26" t="s">
        <v>36</v>
      </c>
      <c r="AC2800" s="26" t="s">
        <v>53</v>
      </c>
      <c r="AD2800" s="19" t="s">
        <v>54</v>
      </c>
      <c r="AE2800" s="26" t="s">
        <v>8824</v>
      </c>
      <c r="AF2800" s="17">
        <v>45534</v>
      </c>
      <c r="AG2800" s="26"/>
      <c r="AH2800" s="26"/>
      <c r="AI2800" s="40"/>
      <c r="AJ2800" s="26"/>
      <c r="AK2800" s="26"/>
      <c r="AL2800" s="35"/>
      <c r="AM2800" s="35"/>
      <c r="AN2800" s="35"/>
      <c r="AO2800" s="35"/>
      <c r="AP2800" s="35"/>
    </row>
    <row r="2801" spans="1:42" x14ac:dyDescent="0.2">
      <c r="A2801" s="38">
        <v>45532</v>
      </c>
      <c r="B2801" s="28" t="s">
        <v>37</v>
      </c>
      <c r="C2801" s="41" t="s">
        <v>118</v>
      </c>
      <c r="D2801" s="26" t="s">
        <v>36</v>
      </c>
      <c r="E2801" s="26" t="s">
        <v>139</v>
      </c>
      <c r="F2801" s="26" t="s">
        <v>8824</v>
      </c>
      <c r="G2801" s="26" t="s">
        <v>108</v>
      </c>
      <c r="H2801" s="26" t="s">
        <v>9906</v>
      </c>
      <c r="I2801" s="17">
        <f ca="1">IFERROR(__xludf.DUMMYFUNCTION("""COMPUTED_VALUE"""),45541)</f>
        <v>45541</v>
      </c>
      <c r="J2801" s="29" t="s">
        <v>9913</v>
      </c>
      <c r="K2801" s="26" t="s">
        <v>9914</v>
      </c>
      <c r="L2801" s="47">
        <v>797779618</v>
      </c>
      <c r="M2801" s="26" t="s">
        <v>5429</v>
      </c>
      <c r="N2801" s="26" t="s">
        <v>9166</v>
      </c>
      <c r="O2801" s="26" t="s">
        <v>9915</v>
      </c>
      <c r="P2801" s="42" t="s">
        <v>9916</v>
      </c>
      <c r="Q2801" s="20">
        <v>15936</v>
      </c>
      <c r="R2801" s="26" t="s">
        <v>36</v>
      </c>
      <c r="S2801" s="95">
        <f>200+1800+2000</f>
        <v>4000</v>
      </c>
      <c r="T2801" s="83" t="s">
        <v>9917</v>
      </c>
      <c r="U2801" s="95">
        <v>11936</v>
      </c>
      <c r="V2801" s="148">
        <v>45516</v>
      </c>
      <c r="W2801" s="33" t="s">
        <v>9918</v>
      </c>
      <c r="X2801" s="26">
        <v>0</v>
      </c>
      <c r="Y2801" s="22">
        <v>0</v>
      </c>
      <c r="Z2801" s="98" t="s">
        <v>118</v>
      </c>
      <c r="AA2801" s="96"/>
      <c r="AB2801" s="26" t="s">
        <v>36</v>
      </c>
      <c r="AC2801" s="26" t="s">
        <v>53</v>
      </c>
      <c r="AD2801" s="26" t="s">
        <v>54</v>
      </c>
      <c r="AE2801" s="26" t="s">
        <v>8824</v>
      </c>
      <c r="AF2801" s="17">
        <v>45533</v>
      </c>
      <c r="AG2801" s="26"/>
      <c r="AH2801" s="26"/>
      <c r="AI2801" s="40"/>
      <c r="AJ2801" s="26"/>
      <c r="AK2801" s="26"/>
      <c r="AL2801" s="35"/>
      <c r="AM2801" s="35"/>
      <c r="AN2801" s="35"/>
      <c r="AO2801" s="35"/>
      <c r="AP2801" s="35"/>
    </row>
    <row r="2802" spans="1:42" x14ac:dyDescent="0.2">
      <c r="A2802" s="38">
        <v>45532</v>
      </c>
      <c r="B2802" s="28" t="s">
        <v>37</v>
      </c>
      <c r="C2802" s="41" t="s">
        <v>118</v>
      </c>
      <c r="D2802" s="26" t="s">
        <v>36</v>
      </c>
      <c r="E2802" s="26" t="s">
        <v>39</v>
      </c>
      <c r="F2802" s="26" t="s">
        <v>8824</v>
      </c>
      <c r="G2802" s="26" t="s">
        <v>108</v>
      </c>
      <c r="H2802" s="26" t="s">
        <v>9906</v>
      </c>
      <c r="I2802" s="17">
        <f ca="1">IFERROR(__xludf.DUMMYFUNCTION("""COMPUTED_VALUE"""),45541)</f>
        <v>45541</v>
      </c>
      <c r="J2802" s="29" t="s">
        <v>9919</v>
      </c>
      <c r="K2802" s="26" t="s">
        <v>9920</v>
      </c>
      <c r="L2802" s="30">
        <v>868031822</v>
      </c>
      <c r="M2802" s="26" t="s">
        <v>123</v>
      </c>
      <c r="N2802" s="26" t="s">
        <v>327</v>
      </c>
      <c r="O2802" s="26" t="s">
        <v>4503</v>
      </c>
      <c r="P2802" s="26" t="s">
        <v>9921</v>
      </c>
      <c r="Q2802" s="20">
        <v>5736</v>
      </c>
      <c r="R2802" s="26" t="s">
        <v>36</v>
      </c>
      <c r="S2802" s="95">
        <f t="shared" ref="S2802:S2803" si="8">200+1800</f>
        <v>2000</v>
      </c>
      <c r="T2802" s="83" t="s">
        <v>9922</v>
      </c>
      <c r="U2802" s="95">
        <v>3736</v>
      </c>
      <c r="V2802" s="148">
        <v>45527</v>
      </c>
      <c r="W2802" s="33" t="s">
        <v>9923</v>
      </c>
      <c r="X2802" s="26">
        <v>0</v>
      </c>
      <c r="Y2802" s="22">
        <v>0</v>
      </c>
      <c r="Z2802" s="98" t="s">
        <v>118</v>
      </c>
      <c r="AA2802" s="35"/>
      <c r="AB2802" s="26" t="s">
        <v>36</v>
      </c>
      <c r="AC2802" s="26" t="s">
        <v>53</v>
      </c>
      <c r="AD2802" s="26" t="s">
        <v>54</v>
      </c>
      <c r="AE2802" s="26" t="s">
        <v>8824</v>
      </c>
      <c r="AF2802" s="17">
        <v>45534</v>
      </c>
      <c r="AG2802" s="26"/>
      <c r="AH2802" s="26"/>
      <c r="AI2802" s="40"/>
      <c r="AJ2802" s="26"/>
      <c r="AK2802" s="26"/>
      <c r="AL2802" s="35"/>
      <c r="AM2802" s="35"/>
      <c r="AN2802" s="35"/>
      <c r="AO2802" s="35"/>
      <c r="AP2802" s="35"/>
    </row>
    <row r="2803" spans="1:42" x14ac:dyDescent="0.2">
      <c r="A2803" s="38">
        <v>45532</v>
      </c>
      <c r="B2803" s="28" t="s">
        <v>37</v>
      </c>
      <c r="C2803" s="41" t="s">
        <v>118</v>
      </c>
      <c r="D2803" s="26" t="s">
        <v>36</v>
      </c>
      <c r="E2803" s="26" t="s">
        <v>139</v>
      </c>
      <c r="F2803" s="26" t="s">
        <v>9248</v>
      </c>
      <c r="G2803" s="26" t="s">
        <v>108</v>
      </c>
      <c r="H2803" s="26" t="s">
        <v>9906</v>
      </c>
      <c r="I2803" s="17">
        <f ca="1">IFERROR(__xludf.DUMMYFUNCTION("""COMPUTED_VALUE"""),45541)</f>
        <v>45541</v>
      </c>
      <c r="J2803" s="29" t="s">
        <v>9924</v>
      </c>
      <c r="K2803" s="26" t="s">
        <v>9925</v>
      </c>
      <c r="L2803" s="30">
        <v>972550575</v>
      </c>
      <c r="M2803" s="26" t="s">
        <v>80</v>
      </c>
      <c r="N2803" s="26" t="s">
        <v>1073</v>
      </c>
      <c r="O2803" s="26" t="s">
        <v>9926</v>
      </c>
      <c r="P2803" s="42" t="s">
        <v>9927</v>
      </c>
      <c r="Q2803" s="20">
        <v>15936</v>
      </c>
      <c r="R2803" s="26" t="s">
        <v>36</v>
      </c>
      <c r="S2803" s="95">
        <f t="shared" si="8"/>
        <v>2000</v>
      </c>
      <c r="T2803" s="83" t="s">
        <v>9928</v>
      </c>
      <c r="U2803" s="95">
        <v>13936</v>
      </c>
      <c r="V2803" s="148">
        <v>45511</v>
      </c>
      <c r="W2803" s="33" t="s">
        <v>9929</v>
      </c>
      <c r="X2803" s="26">
        <v>0</v>
      </c>
      <c r="Y2803" s="22">
        <v>0</v>
      </c>
      <c r="Z2803" s="98" t="s">
        <v>118</v>
      </c>
      <c r="AA2803" s="96"/>
      <c r="AB2803" s="26" t="s">
        <v>36</v>
      </c>
      <c r="AC2803" s="26" t="s">
        <v>53</v>
      </c>
      <c r="AD2803" s="26" t="s">
        <v>54</v>
      </c>
      <c r="AE2803" s="26" t="s">
        <v>9248</v>
      </c>
      <c r="AF2803" s="17">
        <v>45534</v>
      </c>
      <c r="AG2803" s="26"/>
      <c r="AH2803" s="26"/>
      <c r="AI2803" s="40"/>
      <c r="AJ2803" s="26"/>
      <c r="AK2803" s="26"/>
      <c r="AL2803" s="35"/>
      <c r="AM2803" s="35"/>
      <c r="AN2803" s="35"/>
      <c r="AO2803" s="35"/>
      <c r="AP2803" s="35"/>
    </row>
    <row r="2804" spans="1:42" x14ac:dyDescent="0.2">
      <c r="A2804" s="38">
        <v>45532</v>
      </c>
      <c r="B2804" s="28" t="s">
        <v>37</v>
      </c>
      <c r="C2804" s="41" t="s">
        <v>118</v>
      </c>
      <c r="D2804" s="26" t="s">
        <v>36</v>
      </c>
      <c r="E2804" s="26" t="s">
        <v>139</v>
      </c>
      <c r="F2804" s="26" t="s">
        <v>8771</v>
      </c>
      <c r="G2804" s="26" t="s">
        <v>108</v>
      </c>
      <c r="H2804" s="26" t="s">
        <v>9906</v>
      </c>
      <c r="I2804" s="17">
        <f ca="1">IFERROR(__xludf.DUMMYFUNCTION("""COMPUTED_VALUE"""),45541)</f>
        <v>45541</v>
      </c>
      <c r="J2804" s="29" t="s">
        <v>9930</v>
      </c>
      <c r="K2804" s="26" t="s">
        <v>9931</v>
      </c>
      <c r="L2804" s="30">
        <v>395046631</v>
      </c>
      <c r="M2804" s="26" t="s">
        <v>3728</v>
      </c>
      <c r="N2804" s="26" t="s">
        <v>8725</v>
      </c>
      <c r="O2804" s="26" t="s">
        <v>9932</v>
      </c>
      <c r="P2804" s="26" t="s">
        <v>9933</v>
      </c>
      <c r="Q2804" s="20">
        <v>15936</v>
      </c>
      <c r="R2804" s="26" t="s">
        <v>36</v>
      </c>
      <c r="S2804" s="95">
        <v>2000</v>
      </c>
      <c r="T2804" s="148">
        <v>45460</v>
      </c>
      <c r="U2804" s="95">
        <v>13936</v>
      </c>
      <c r="V2804" s="148">
        <v>45513</v>
      </c>
      <c r="W2804" s="33" t="s">
        <v>9934</v>
      </c>
      <c r="X2804" s="26">
        <v>0</v>
      </c>
      <c r="Y2804" s="22">
        <v>0</v>
      </c>
      <c r="Z2804" s="98" t="s">
        <v>118</v>
      </c>
      <c r="AA2804" s="35"/>
      <c r="AB2804" s="26" t="s">
        <v>36</v>
      </c>
      <c r="AC2804" s="26" t="s">
        <v>53</v>
      </c>
      <c r="AD2804" s="26" t="s">
        <v>54</v>
      </c>
      <c r="AE2804" s="26" t="s">
        <v>8771</v>
      </c>
      <c r="AF2804" s="17">
        <v>45534</v>
      </c>
      <c r="AG2804" s="26"/>
      <c r="AH2804" s="26"/>
      <c r="AI2804" s="40"/>
      <c r="AJ2804" s="26"/>
      <c r="AK2804" s="26"/>
      <c r="AL2804" s="35"/>
      <c r="AM2804" s="35"/>
      <c r="AN2804" s="35"/>
      <c r="AO2804" s="35"/>
      <c r="AP2804" s="35"/>
    </row>
    <row r="2805" spans="1:42" x14ac:dyDescent="0.2">
      <c r="A2805" s="38">
        <v>45532</v>
      </c>
      <c r="B2805" s="28" t="s">
        <v>37</v>
      </c>
      <c r="C2805" s="41" t="s">
        <v>118</v>
      </c>
      <c r="D2805" s="26" t="s">
        <v>36</v>
      </c>
      <c r="E2805" s="26" t="s">
        <v>139</v>
      </c>
      <c r="F2805" s="26" t="s">
        <v>8824</v>
      </c>
      <c r="G2805" s="26" t="s">
        <v>108</v>
      </c>
      <c r="H2805" s="26" t="s">
        <v>9906</v>
      </c>
      <c r="I2805" s="17">
        <f ca="1">IFERROR(__xludf.DUMMYFUNCTION("""COMPUTED_VALUE"""),45541)</f>
        <v>45541</v>
      </c>
      <c r="J2805" s="29" t="s">
        <v>9935</v>
      </c>
      <c r="K2805" s="26" t="s">
        <v>9936</v>
      </c>
      <c r="L2805" s="30">
        <v>846219678</v>
      </c>
      <c r="M2805" s="26" t="s">
        <v>910</v>
      </c>
      <c r="N2805" s="26" t="s">
        <v>3525</v>
      </c>
      <c r="O2805" s="26" t="s">
        <v>9937</v>
      </c>
      <c r="P2805" s="42" t="s">
        <v>9938</v>
      </c>
      <c r="Q2805" s="20">
        <v>15936</v>
      </c>
      <c r="R2805" s="26" t="s">
        <v>36</v>
      </c>
      <c r="S2805" s="95">
        <f>100+1900</f>
        <v>2000</v>
      </c>
      <c r="T2805" s="83" t="s">
        <v>9155</v>
      </c>
      <c r="U2805" s="95">
        <v>13936</v>
      </c>
      <c r="V2805" s="148">
        <v>45515</v>
      </c>
      <c r="W2805" s="33" t="s">
        <v>9939</v>
      </c>
      <c r="X2805" s="26">
        <v>0</v>
      </c>
      <c r="Y2805" s="22">
        <v>0</v>
      </c>
      <c r="Z2805" s="98" t="s">
        <v>118</v>
      </c>
      <c r="AA2805" s="96"/>
      <c r="AB2805" s="26" t="s">
        <v>36</v>
      </c>
      <c r="AC2805" s="26" t="s">
        <v>53</v>
      </c>
      <c r="AD2805" s="26" t="s">
        <v>54</v>
      </c>
      <c r="AE2805" s="26" t="s">
        <v>8824</v>
      </c>
      <c r="AF2805" s="17">
        <v>45533</v>
      </c>
      <c r="AG2805" s="26"/>
      <c r="AH2805" s="26"/>
      <c r="AI2805" s="40"/>
      <c r="AJ2805" s="26"/>
      <c r="AK2805" s="26"/>
      <c r="AL2805" s="35"/>
      <c r="AM2805" s="35"/>
      <c r="AN2805" s="35"/>
      <c r="AO2805" s="35"/>
      <c r="AP2805" s="35"/>
    </row>
    <row r="2806" spans="1:42" x14ac:dyDescent="0.2">
      <c r="A2806" s="38">
        <v>45533</v>
      </c>
      <c r="B2806" s="28" t="s">
        <v>37</v>
      </c>
      <c r="C2806" s="41" t="s">
        <v>118</v>
      </c>
      <c r="D2806" s="26" t="s">
        <v>36</v>
      </c>
      <c r="E2806" s="26" t="s">
        <v>139</v>
      </c>
      <c r="F2806" s="26" t="s">
        <v>8830</v>
      </c>
      <c r="G2806" s="26" t="s">
        <v>108</v>
      </c>
      <c r="H2806" s="26" t="s">
        <v>9856</v>
      </c>
      <c r="I2806" s="17">
        <f ca="1">IFERROR(__xludf.DUMMYFUNCTION("""COMPUTED_VALUE"""),45532)</f>
        <v>45532</v>
      </c>
      <c r="J2806" s="29" t="s">
        <v>9120</v>
      </c>
      <c r="K2806" s="26" t="s">
        <v>9940</v>
      </c>
      <c r="L2806" s="30">
        <v>367908695</v>
      </c>
      <c r="M2806" s="26" t="s">
        <v>80</v>
      </c>
      <c r="N2806" s="26" t="s">
        <v>466</v>
      </c>
      <c r="O2806" s="26" t="s">
        <v>9122</v>
      </c>
      <c r="P2806" s="42" t="s">
        <v>9123</v>
      </c>
      <c r="Q2806" s="20"/>
      <c r="R2806" s="26" t="s">
        <v>36</v>
      </c>
      <c r="S2806" s="168">
        <f>200+1800</f>
        <v>2000</v>
      </c>
      <c r="T2806" s="83" t="s">
        <v>9124</v>
      </c>
      <c r="U2806" s="95">
        <v>13936</v>
      </c>
      <c r="V2806" s="148">
        <v>45497</v>
      </c>
      <c r="W2806" s="33" t="s">
        <v>9125</v>
      </c>
      <c r="X2806" s="26"/>
      <c r="Y2806" s="22"/>
      <c r="Z2806" s="98" t="s">
        <v>118</v>
      </c>
      <c r="AA2806" s="70" t="s">
        <v>9070</v>
      </c>
      <c r="AB2806" s="26" t="s">
        <v>36</v>
      </c>
      <c r="AC2806" s="26" t="s">
        <v>53</v>
      </c>
      <c r="AD2806" s="26" t="s">
        <v>54</v>
      </c>
      <c r="AE2806" s="26" t="s">
        <v>8830</v>
      </c>
      <c r="AF2806" s="17">
        <v>45533</v>
      </c>
      <c r="AG2806" s="26"/>
      <c r="AH2806" s="26"/>
      <c r="AI2806" s="40"/>
      <c r="AJ2806" s="26"/>
      <c r="AK2806" s="26"/>
      <c r="AL2806" s="35"/>
      <c r="AM2806" s="35"/>
      <c r="AN2806" s="35"/>
      <c r="AO2806" s="35"/>
      <c r="AP2806" s="35"/>
    </row>
    <row r="2807" spans="1:42" x14ac:dyDescent="0.2">
      <c r="A2807" s="38">
        <v>45533</v>
      </c>
      <c r="B2807" s="28" t="s">
        <v>37</v>
      </c>
      <c r="C2807" s="41" t="s">
        <v>118</v>
      </c>
      <c r="D2807" s="26" t="s">
        <v>36</v>
      </c>
      <c r="E2807" s="26" t="s">
        <v>119</v>
      </c>
      <c r="F2807" s="26" t="s">
        <v>8921</v>
      </c>
      <c r="G2807" s="26" t="s">
        <v>1705</v>
      </c>
      <c r="H2807" s="26" t="s">
        <v>9845</v>
      </c>
      <c r="I2807" s="17">
        <f ca="1">IFERROR(__xludf.DUMMYFUNCTION("""COMPUTED_VALUE"""),45555)</f>
        <v>45555</v>
      </c>
      <c r="J2807" s="29" t="s">
        <v>2805</v>
      </c>
      <c r="K2807" s="26" t="s">
        <v>6097</v>
      </c>
      <c r="L2807" s="30">
        <v>979251613</v>
      </c>
      <c r="M2807" s="26" t="s">
        <v>80</v>
      </c>
      <c r="N2807" s="26" t="s">
        <v>299</v>
      </c>
      <c r="O2807" s="26" t="s">
        <v>2807</v>
      </c>
      <c r="P2807" s="42" t="s">
        <v>8945</v>
      </c>
      <c r="Q2807" s="20">
        <v>13968</v>
      </c>
      <c r="R2807" s="26" t="s">
        <v>36</v>
      </c>
      <c r="S2807" s="31">
        <v>3768</v>
      </c>
      <c r="T2807" s="32">
        <v>45183</v>
      </c>
      <c r="U2807" s="31">
        <v>10200</v>
      </c>
      <c r="V2807" s="32">
        <v>45197</v>
      </c>
      <c r="W2807" s="33" t="s">
        <v>2809</v>
      </c>
      <c r="X2807" s="26"/>
      <c r="Y2807" s="22">
        <v>0</v>
      </c>
      <c r="Z2807" s="26" t="s">
        <v>118</v>
      </c>
      <c r="AA2807" s="19" t="s">
        <v>2449</v>
      </c>
      <c r="AB2807" s="26" t="s">
        <v>36</v>
      </c>
      <c r="AC2807" s="26" t="s">
        <v>53</v>
      </c>
      <c r="AD2807" s="19" t="s">
        <v>54</v>
      </c>
      <c r="AE2807" s="26" t="s">
        <v>8921</v>
      </c>
      <c r="AF2807" s="17">
        <v>45538</v>
      </c>
      <c r="AG2807" s="26"/>
      <c r="AH2807" s="26"/>
      <c r="AI2807" s="40"/>
      <c r="AJ2807" s="26"/>
      <c r="AK2807" s="26"/>
      <c r="AL2807" s="35"/>
      <c r="AM2807" s="35"/>
      <c r="AN2807" s="35"/>
      <c r="AO2807" s="35"/>
      <c r="AP2807" s="35"/>
    </row>
    <row r="2808" spans="1:42" x14ac:dyDescent="0.2">
      <c r="A2808" s="38">
        <v>45533</v>
      </c>
      <c r="B2808" s="28" t="s">
        <v>37</v>
      </c>
      <c r="C2808" s="41" t="s">
        <v>118</v>
      </c>
      <c r="D2808" s="26" t="s">
        <v>36</v>
      </c>
      <c r="E2808" s="26" t="s">
        <v>119</v>
      </c>
      <c r="F2808" s="26" t="s">
        <v>2163</v>
      </c>
      <c r="G2808" s="26" t="s">
        <v>221</v>
      </c>
      <c r="H2808" s="26" t="s">
        <v>9941</v>
      </c>
      <c r="I2808" s="17">
        <f ca="1">IFERROR(__xludf.DUMMYFUNCTION("""COMPUTED_VALUE"""),45554)</f>
        <v>45554</v>
      </c>
      <c r="J2808" s="29" t="s">
        <v>8232</v>
      </c>
      <c r="K2808" s="26" t="s">
        <v>9942</v>
      </c>
      <c r="L2808" s="30">
        <v>931386930</v>
      </c>
      <c r="M2808" s="26" t="s">
        <v>45</v>
      </c>
      <c r="N2808" s="26" t="s">
        <v>3839</v>
      </c>
      <c r="O2808" s="26" t="s">
        <v>8234</v>
      </c>
      <c r="P2808" s="42" t="s">
        <v>9943</v>
      </c>
      <c r="Q2808" s="20">
        <v>13968</v>
      </c>
      <c r="R2808" s="26" t="s">
        <v>36</v>
      </c>
      <c r="S2808" s="31">
        <v>500</v>
      </c>
      <c r="T2808" s="32">
        <v>45387</v>
      </c>
      <c r="U2808" s="31">
        <v>13468</v>
      </c>
      <c r="V2808" s="32">
        <v>45391</v>
      </c>
      <c r="W2808" s="33" t="s">
        <v>8236</v>
      </c>
      <c r="X2808" s="26"/>
      <c r="Y2808" s="22">
        <v>0</v>
      </c>
      <c r="Z2808" s="26" t="s">
        <v>118</v>
      </c>
      <c r="AA2808" s="19" t="s">
        <v>8102</v>
      </c>
      <c r="AB2808" s="26" t="s">
        <v>36</v>
      </c>
      <c r="AC2808" s="26" t="s">
        <v>53</v>
      </c>
      <c r="AD2808" s="19" t="s">
        <v>54</v>
      </c>
      <c r="AE2808" s="26" t="s">
        <v>2163</v>
      </c>
      <c r="AF2808" s="17">
        <v>45540</v>
      </c>
      <c r="AG2808" s="26"/>
      <c r="AH2808" s="26"/>
      <c r="AI2808" s="40"/>
      <c r="AJ2808" s="26"/>
      <c r="AK2808" s="26"/>
      <c r="AL2808" s="35"/>
      <c r="AM2808" s="35"/>
      <c r="AN2808" s="35"/>
      <c r="AO2808" s="35"/>
      <c r="AP2808" s="35"/>
    </row>
    <row r="2809" spans="1:42" x14ac:dyDescent="0.2">
      <c r="A2809" s="38">
        <v>45534</v>
      </c>
      <c r="B2809" s="28" t="s">
        <v>37</v>
      </c>
      <c r="C2809" s="41" t="s">
        <v>118</v>
      </c>
      <c r="D2809" s="26" t="s">
        <v>36</v>
      </c>
      <c r="E2809" s="26" t="s">
        <v>56</v>
      </c>
      <c r="F2809" s="26" t="s">
        <v>4931</v>
      </c>
      <c r="G2809" s="26" t="s">
        <v>221</v>
      </c>
      <c r="H2809" s="26" t="s">
        <v>9944</v>
      </c>
      <c r="I2809" s="17">
        <f ca="1">IFERROR(__xludf.DUMMYFUNCTION("""COMPUTED_VALUE"""),45820)</f>
        <v>45820</v>
      </c>
      <c r="J2809" s="29" t="s">
        <v>5385</v>
      </c>
      <c r="K2809" s="26" t="s">
        <v>9945</v>
      </c>
      <c r="L2809" s="30">
        <v>867427218</v>
      </c>
      <c r="M2809" s="26" t="s">
        <v>910</v>
      </c>
      <c r="N2809" s="26" t="s">
        <v>1472</v>
      </c>
      <c r="O2809" s="26" t="s">
        <v>5387</v>
      </c>
      <c r="P2809" s="42" t="s">
        <v>5940</v>
      </c>
      <c r="Q2809" s="20">
        <v>9317</v>
      </c>
      <c r="R2809" s="26" t="s">
        <v>36</v>
      </c>
      <c r="S2809" s="31">
        <v>2000</v>
      </c>
      <c r="T2809" s="32">
        <v>45217</v>
      </c>
      <c r="U2809" s="31">
        <v>7317</v>
      </c>
      <c r="V2809" s="32">
        <v>45238</v>
      </c>
      <c r="W2809" s="33" t="s">
        <v>5389</v>
      </c>
      <c r="X2809" s="26"/>
      <c r="Y2809" s="22">
        <v>0</v>
      </c>
      <c r="Z2809" s="26" t="s">
        <v>118</v>
      </c>
      <c r="AA2809" s="19" t="s">
        <v>5785</v>
      </c>
      <c r="AB2809" s="26" t="s">
        <v>36</v>
      </c>
      <c r="AC2809" s="26" t="s">
        <v>53</v>
      </c>
      <c r="AD2809" s="19" t="s">
        <v>138</v>
      </c>
      <c r="AE2809" s="26" t="s">
        <v>4931</v>
      </c>
      <c r="AF2809" s="17">
        <v>45806</v>
      </c>
      <c r="AG2809" s="26" t="s">
        <v>9946</v>
      </c>
      <c r="AH2809" s="26"/>
      <c r="AI2809" s="40" t="s">
        <v>64</v>
      </c>
      <c r="AJ2809" s="26"/>
      <c r="AK2809" s="26"/>
      <c r="AL2809" s="35"/>
      <c r="AM2809" s="35"/>
      <c r="AN2809" s="35"/>
      <c r="AO2809" s="35"/>
      <c r="AP2809" s="35"/>
    </row>
    <row r="2810" spans="1:42" x14ac:dyDescent="0.2">
      <c r="A2810" s="38">
        <v>45534</v>
      </c>
      <c r="B2810" s="28" t="s">
        <v>37</v>
      </c>
      <c r="C2810" s="41" t="s">
        <v>118</v>
      </c>
      <c r="D2810" s="26" t="s">
        <v>36</v>
      </c>
      <c r="E2810" s="26" t="s">
        <v>139</v>
      </c>
      <c r="F2810" s="26" t="s">
        <v>9177</v>
      </c>
      <c r="G2810" s="26" t="s">
        <v>108</v>
      </c>
      <c r="H2810" s="26" t="s">
        <v>9825</v>
      </c>
      <c r="I2810" s="17">
        <f ca="1">IFERROR(__xludf.DUMMYFUNCTION("""COMPUTED_VALUE"""),45548)</f>
        <v>45548</v>
      </c>
      <c r="J2810" s="29" t="s">
        <v>9184</v>
      </c>
      <c r="K2810" s="26" t="s">
        <v>9947</v>
      </c>
      <c r="L2810" s="47">
        <v>931632144</v>
      </c>
      <c r="M2810" s="26" t="s">
        <v>5518</v>
      </c>
      <c r="N2810" s="26" t="s">
        <v>9186</v>
      </c>
      <c r="O2810" s="26" t="s">
        <v>9187</v>
      </c>
      <c r="P2810" s="42" t="s">
        <v>9188</v>
      </c>
      <c r="Q2810" s="20"/>
      <c r="R2810" s="26" t="s">
        <v>36</v>
      </c>
      <c r="S2810" s="95">
        <f>200+1800</f>
        <v>2000</v>
      </c>
      <c r="T2810" s="83" t="s">
        <v>9189</v>
      </c>
      <c r="U2810" s="95">
        <v>13936</v>
      </c>
      <c r="V2810" s="148">
        <v>45503</v>
      </c>
      <c r="W2810" s="33" t="s">
        <v>9190</v>
      </c>
      <c r="X2810" s="26"/>
      <c r="Y2810" s="22"/>
      <c r="Z2810" s="26" t="s">
        <v>118</v>
      </c>
      <c r="AA2810" s="70" t="s">
        <v>9070</v>
      </c>
      <c r="AB2810" s="26" t="s">
        <v>36</v>
      </c>
      <c r="AC2810" s="26" t="s">
        <v>53</v>
      </c>
      <c r="AD2810" s="26" t="s">
        <v>54</v>
      </c>
      <c r="AE2810" s="26" t="s">
        <v>9177</v>
      </c>
      <c r="AF2810" s="17">
        <v>45548</v>
      </c>
      <c r="AG2810" s="26" t="s">
        <v>4996</v>
      </c>
      <c r="AH2810" s="26"/>
      <c r="AI2810" s="40"/>
      <c r="AJ2810" s="26"/>
      <c r="AK2810" s="26"/>
      <c r="AL2810" s="35"/>
      <c r="AM2810" s="35"/>
      <c r="AN2810" s="35"/>
      <c r="AO2810" s="35"/>
      <c r="AP2810" s="35"/>
    </row>
    <row r="2811" spans="1:42" x14ac:dyDescent="0.2">
      <c r="A2811" s="38">
        <v>45534</v>
      </c>
      <c r="B2811" s="68" t="s">
        <v>37</v>
      </c>
      <c r="C2811" s="41" t="s">
        <v>118</v>
      </c>
      <c r="D2811" s="26" t="s">
        <v>36</v>
      </c>
      <c r="E2811" s="26" t="s">
        <v>39</v>
      </c>
      <c r="F2811" s="26" t="s">
        <v>8801</v>
      </c>
      <c r="G2811" s="26" t="s">
        <v>108</v>
      </c>
      <c r="H2811" s="26" t="s">
        <v>9896</v>
      </c>
      <c r="I2811" s="17">
        <f ca="1">IFERROR(__xludf.DUMMYFUNCTION("""COMPUTED_VALUE"""),45540)</f>
        <v>45540</v>
      </c>
      <c r="J2811" s="29" t="s">
        <v>9948</v>
      </c>
      <c r="K2811" s="26" t="s">
        <v>9949</v>
      </c>
      <c r="L2811" s="30">
        <v>364606399</v>
      </c>
      <c r="M2811" s="26" t="s">
        <v>910</v>
      </c>
      <c r="N2811" s="26" t="s">
        <v>3525</v>
      </c>
      <c r="O2811" s="26" t="s">
        <v>3754</v>
      </c>
      <c r="P2811" s="42" t="s">
        <v>9950</v>
      </c>
      <c r="Q2811" s="20">
        <v>5736</v>
      </c>
      <c r="R2811" s="26" t="s">
        <v>36</v>
      </c>
      <c r="S2811" s="95">
        <v>2000</v>
      </c>
      <c r="T2811" s="148">
        <v>45473</v>
      </c>
      <c r="U2811" s="95">
        <v>3736</v>
      </c>
      <c r="V2811" s="148">
        <v>45501</v>
      </c>
      <c r="W2811" s="33" t="s">
        <v>9951</v>
      </c>
      <c r="X2811" s="26">
        <v>0</v>
      </c>
      <c r="Y2811" s="22">
        <v>0</v>
      </c>
      <c r="Z2811" s="26" t="s">
        <v>118</v>
      </c>
      <c r="AA2811" s="96"/>
      <c r="AB2811" s="26"/>
      <c r="AC2811" s="26" t="s">
        <v>53</v>
      </c>
      <c r="AD2811" s="26" t="s">
        <v>54</v>
      </c>
      <c r="AE2811" s="26" t="s">
        <v>8801</v>
      </c>
      <c r="AF2811" s="17">
        <v>45534</v>
      </c>
      <c r="AG2811" s="26"/>
      <c r="AH2811" s="26"/>
      <c r="AI2811" s="40"/>
      <c r="AJ2811" s="26"/>
      <c r="AK2811" s="26"/>
      <c r="AL2811" s="35"/>
      <c r="AM2811" s="35"/>
      <c r="AN2811" s="35"/>
      <c r="AO2811" s="35"/>
      <c r="AP2811" s="35"/>
    </row>
    <row r="2812" spans="1:42" x14ac:dyDescent="0.2">
      <c r="A2812" s="38">
        <v>45534</v>
      </c>
      <c r="B2812" s="68" t="s">
        <v>37</v>
      </c>
      <c r="C2812" s="41" t="s">
        <v>118</v>
      </c>
      <c r="D2812" s="26" t="s">
        <v>36</v>
      </c>
      <c r="E2812" s="26" t="s">
        <v>139</v>
      </c>
      <c r="F2812" s="26" t="s">
        <v>8801</v>
      </c>
      <c r="G2812" s="26" t="s">
        <v>108</v>
      </c>
      <c r="H2812" s="26" t="s">
        <v>9896</v>
      </c>
      <c r="I2812" s="17">
        <f ca="1">IFERROR(__xludf.DUMMYFUNCTION("""COMPUTED_VALUE"""),45540)</f>
        <v>45540</v>
      </c>
      <c r="J2812" s="29" t="s">
        <v>9952</v>
      </c>
      <c r="K2812" s="26" t="s">
        <v>9953</v>
      </c>
      <c r="L2812" s="30">
        <v>839530644</v>
      </c>
      <c r="M2812" s="26" t="s">
        <v>80</v>
      </c>
      <c r="N2812" s="26" t="s">
        <v>1073</v>
      </c>
      <c r="O2812" s="26" t="s">
        <v>9954</v>
      </c>
      <c r="P2812" s="42" t="s">
        <v>9955</v>
      </c>
      <c r="Q2812" s="20">
        <v>15936</v>
      </c>
      <c r="R2812" s="26" t="s">
        <v>36</v>
      </c>
      <c r="S2812" s="95">
        <f>200+1800</f>
        <v>2000</v>
      </c>
      <c r="T2812" s="83" t="s">
        <v>9956</v>
      </c>
      <c r="U2812" s="95">
        <v>13936</v>
      </c>
      <c r="V2812" s="148">
        <v>45513</v>
      </c>
      <c r="W2812" s="33" t="s">
        <v>9957</v>
      </c>
      <c r="X2812" s="26">
        <v>0</v>
      </c>
      <c r="Y2812" s="22">
        <v>0</v>
      </c>
      <c r="Z2812" s="26" t="s">
        <v>118</v>
      </c>
      <c r="AA2812" s="35"/>
      <c r="AB2812" s="26"/>
      <c r="AC2812" s="26" t="s">
        <v>53</v>
      </c>
      <c r="AD2812" s="26" t="s">
        <v>54</v>
      </c>
      <c r="AE2812" s="26" t="s">
        <v>8801</v>
      </c>
      <c r="AF2812" s="17">
        <v>45534</v>
      </c>
      <c r="AG2812" s="26"/>
      <c r="AH2812" s="26"/>
      <c r="AI2812" s="40"/>
      <c r="AJ2812" s="26"/>
      <c r="AK2812" s="26"/>
      <c r="AL2812" s="35"/>
      <c r="AM2812" s="35"/>
      <c r="AN2812" s="35"/>
      <c r="AO2812" s="35"/>
      <c r="AP2812" s="35"/>
    </row>
    <row r="2813" spans="1:42" x14ac:dyDescent="0.2">
      <c r="A2813" s="38">
        <v>45534</v>
      </c>
      <c r="B2813" s="28" t="s">
        <v>37</v>
      </c>
      <c r="C2813" s="41" t="s">
        <v>118</v>
      </c>
      <c r="D2813" s="26" t="s">
        <v>36</v>
      </c>
      <c r="E2813" s="26" t="s">
        <v>56</v>
      </c>
      <c r="F2813" s="26" t="s">
        <v>6131</v>
      </c>
      <c r="G2813" s="26" t="s">
        <v>108</v>
      </c>
      <c r="H2813" s="26" t="s">
        <v>7519</v>
      </c>
      <c r="I2813" s="17">
        <f ca="1">IFERROR(__xludf.DUMMYFUNCTION("""COMPUTED_VALUE"""),45543)</f>
        <v>45543</v>
      </c>
      <c r="J2813" s="29" t="s">
        <v>5393</v>
      </c>
      <c r="K2813" s="26" t="s">
        <v>5394</v>
      </c>
      <c r="L2813" s="30">
        <v>392395361</v>
      </c>
      <c r="M2813" s="26" t="s">
        <v>3728</v>
      </c>
      <c r="N2813" s="26" t="s">
        <v>5377</v>
      </c>
      <c r="O2813" s="26" t="s">
        <v>5395</v>
      </c>
      <c r="P2813" s="42" t="s">
        <v>9958</v>
      </c>
      <c r="Q2813" s="20">
        <v>9317</v>
      </c>
      <c r="R2813" s="26" t="s">
        <v>36</v>
      </c>
      <c r="S2813" s="31">
        <v>2000</v>
      </c>
      <c r="T2813" s="32">
        <v>45217</v>
      </c>
      <c r="U2813" s="31">
        <v>7317</v>
      </c>
      <c r="V2813" s="32">
        <v>45245</v>
      </c>
      <c r="W2813" s="33" t="s">
        <v>5397</v>
      </c>
      <c r="X2813" s="26"/>
      <c r="Y2813" s="22">
        <v>0</v>
      </c>
      <c r="Z2813" s="26" t="s">
        <v>118</v>
      </c>
      <c r="AA2813" s="19" t="s">
        <v>5112</v>
      </c>
      <c r="AB2813" s="26" t="s">
        <v>104</v>
      </c>
      <c r="AC2813" s="26" t="s">
        <v>53</v>
      </c>
      <c r="AD2813" s="19" t="s">
        <v>54</v>
      </c>
      <c r="AE2813" s="26" t="s">
        <v>6131</v>
      </c>
      <c r="AF2813" s="17">
        <v>45538</v>
      </c>
      <c r="AG2813" s="26"/>
      <c r="AH2813" s="26"/>
      <c r="AI2813" s="40" t="s">
        <v>64</v>
      </c>
      <c r="AJ2813" s="26"/>
      <c r="AK2813" s="26"/>
      <c r="AL2813" s="35"/>
      <c r="AM2813" s="35"/>
      <c r="AN2813" s="35"/>
      <c r="AO2813" s="35"/>
      <c r="AP2813" s="35"/>
    </row>
    <row r="2814" spans="1:42" x14ac:dyDescent="0.2">
      <c r="A2814" s="38">
        <v>45534</v>
      </c>
      <c r="B2814" s="68" t="s">
        <v>37</v>
      </c>
      <c r="C2814" s="41" t="s">
        <v>118</v>
      </c>
      <c r="D2814" s="26" t="s">
        <v>36</v>
      </c>
      <c r="E2814" s="26" t="s">
        <v>139</v>
      </c>
      <c r="F2814" s="26" t="s">
        <v>8801</v>
      </c>
      <c r="G2814" s="26" t="s">
        <v>108</v>
      </c>
      <c r="H2814" s="26" t="s">
        <v>9896</v>
      </c>
      <c r="I2814" s="17">
        <f ca="1">IFERROR(__xludf.DUMMYFUNCTION("""COMPUTED_VALUE"""),45540)</f>
        <v>45540</v>
      </c>
      <c r="J2814" s="29" t="s">
        <v>9959</v>
      </c>
      <c r="K2814" s="26" t="s">
        <v>9960</v>
      </c>
      <c r="L2814" s="30">
        <v>829210398</v>
      </c>
      <c r="M2814" s="26" t="s">
        <v>80</v>
      </c>
      <c r="N2814" s="26" t="s">
        <v>1073</v>
      </c>
      <c r="O2814" s="26" t="s">
        <v>9961</v>
      </c>
      <c r="P2814" s="42" t="s">
        <v>9962</v>
      </c>
      <c r="Q2814" s="20">
        <v>15936</v>
      </c>
      <c r="R2814" s="26" t="s">
        <v>36</v>
      </c>
      <c r="S2814" s="95">
        <f t="shared" ref="S2814:S2815" si="9">200+1800</f>
        <v>2000</v>
      </c>
      <c r="T2814" s="83" t="s">
        <v>9124</v>
      </c>
      <c r="U2814" s="95">
        <v>13936</v>
      </c>
      <c r="V2814" s="148">
        <v>45510</v>
      </c>
      <c r="W2814" s="33" t="s">
        <v>9963</v>
      </c>
      <c r="X2814" s="26">
        <v>0</v>
      </c>
      <c r="Y2814" s="22">
        <v>0</v>
      </c>
      <c r="Z2814" s="26" t="s">
        <v>118</v>
      </c>
      <c r="AA2814" s="35"/>
      <c r="AB2814" s="26"/>
      <c r="AC2814" s="26" t="s">
        <v>53</v>
      </c>
      <c r="AD2814" s="26" t="s">
        <v>54</v>
      </c>
      <c r="AE2814" s="26" t="s">
        <v>8801</v>
      </c>
      <c r="AF2814" s="17">
        <v>45540</v>
      </c>
      <c r="AG2814" s="26"/>
      <c r="AH2814" s="26"/>
      <c r="AI2814" s="40"/>
      <c r="AJ2814" s="26"/>
      <c r="AK2814" s="26"/>
      <c r="AL2814" s="35"/>
      <c r="AM2814" s="35"/>
      <c r="AN2814" s="35"/>
      <c r="AO2814" s="35"/>
      <c r="AP2814" s="35"/>
    </row>
    <row r="2815" spans="1:42" x14ac:dyDescent="0.2">
      <c r="A2815" s="38">
        <v>45534</v>
      </c>
      <c r="B2815" s="68" t="s">
        <v>37</v>
      </c>
      <c r="C2815" s="41" t="s">
        <v>118</v>
      </c>
      <c r="D2815" s="26" t="s">
        <v>36</v>
      </c>
      <c r="E2815" s="26" t="s">
        <v>56</v>
      </c>
      <c r="F2815" s="26" t="s">
        <v>8801</v>
      </c>
      <c r="G2815" s="26" t="s">
        <v>108</v>
      </c>
      <c r="H2815" s="26" t="s">
        <v>9896</v>
      </c>
      <c r="I2815" s="17">
        <f ca="1">IFERROR(__xludf.DUMMYFUNCTION("""COMPUTED_VALUE"""),45540)</f>
        <v>45540</v>
      </c>
      <c r="J2815" s="29" t="s">
        <v>9964</v>
      </c>
      <c r="K2815" s="26" t="s">
        <v>9965</v>
      </c>
      <c r="L2815" s="30">
        <v>967607946</v>
      </c>
      <c r="M2815" s="26" t="s">
        <v>80</v>
      </c>
      <c r="N2815" s="26" t="s">
        <v>46</v>
      </c>
      <c r="O2815" s="26" t="s">
        <v>9966</v>
      </c>
      <c r="P2815" s="42" t="s">
        <v>9967</v>
      </c>
      <c r="Q2815" s="20">
        <v>9317</v>
      </c>
      <c r="R2815" s="26" t="s">
        <v>36</v>
      </c>
      <c r="S2815" s="95">
        <f t="shared" si="9"/>
        <v>2000</v>
      </c>
      <c r="T2815" s="83" t="s">
        <v>9968</v>
      </c>
      <c r="U2815" s="31">
        <v>7317</v>
      </c>
      <c r="V2815" s="32">
        <v>45538</v>
      </c>
      <c r="W2815" s="33" t="s">
        <v>9969</v>
      </c>
      <c r="X2815" s="26">
        <v>0</v>
      </c>
      <c r="Y2815" s="22">
        <v>0</v>
      </c>
      <c r="Z2815" s="26" t="s">
        <v>118</v>
      </c>
      <c r="AA2815" s="96"/>
      <c r="AB2815" s="26"/>
      <c r="AC2815" s="26" t="s">
        <v>53</v>
      </c>
      <c r="AD2815" s="26" t="s">
        <v>54</v>
      </c>
      <c r="AE2815" s="26" t="s">
        <v>8801</v>
      </c>
      <c r="AF2815" s="17">
        <v>45538</v>
      </c>
      <c r="AG2815" s="26"/>
      <c r="AH2815" s="26"/>
      <c r="AI2815" s="40"/>
      <c r="AJ2815" s="26"/>
      <c r="AK2815" s="26"/>
      <c r="AL2815" s="35"/>
      <c r="AM2815" s="35"/>
      <c r="AN2815" s="35"/>
      <c r="AO2815" s="35"/>
      <c r="AP2815" s="35"/>
    </row>
    <row r="2816" spans="1:42" x14ac:dyDescent="0.2">
      <c r="A2816" s="38">
        <v>45534</v>
      </c>
      <c r="B2816" s="28" t="s">
        <v>37</v>
      </c>
      <c r="C2816" s="41" t="s">
        <v>118</v>
      </c>
      <c r="D2816" s="26" t="s">
        <v>36</v>
      </c>
      <c r="E2816" s="26" t="s">
        <v>56</v>
      </c>
      <c r="F2816" s="26" t="s">
        <v>2163</v>
      </c>
      <c r="G2816" s="71" t="s">
        <v>221</v>
      </c>
      <c r="H2816" s="26" t="s">
        <v>9941</v>
      </c>
      <c r="I2816" s="17">
        <f ca="1">IFERROR(__xludf.DUMMYFUNCTION("""COMPUTED_VALUE"""),45554)</f>
        <v>45554</v>
      </c>
      <c r="J2816" s="29" t="s">
        <v>6215</v>
      </c>
      <c r="K2816" s="26" t="s">
        <v>6216</v>
      </c>
      <c r="L2816" s="30">
        <v>393587181</v>
      </c>
      <c r="M2816" s="26" t="s">
        <v>3288</v>
      </c>
      <c r="N2816" s="26" t="s">
        <v>200</v>
      </c>
      <c r="O2816" s="26" t="s">
        <v>6217</v>
      </c>
      <c r="P2816" s="42" t="s">
        <v>6218</v>
      </c>
      <c r="Q2816" s="20">
        <v>9317</v>
      </c>
      <c r="R2816" s="26" t="s">
        <v>36</v>
      </c>
      <c r="S2816" s="31">
        <v>2000</v>
      </c>
      <c r="T2816" s="32">
        <v>45233</v>
      </c>
      <c r="U2816" s="31">
        <v>7317</v>
      </c>
      <c r="V2816" s="32">
        <v>45282</v>
      </c>
      <c r="W2816" s="33" t="s">
        <v>6219</v>
      </c>
      <c r="X2816" s="26">
        <v>0</v>
      </c>
      <c r="Y2816" s="22">
        <v>0</v>
      </c>
      <c r="Z2816" s="98" t="s">
        <v>118</v>
      </c>
      <c r="AA2816" s="19" t="s">
        <v>6541</v>
      </c>
      <c r="AB2816" s="26" t="s">
        <v>36</v>
      </c>
      <c r="AC2816" s="26" t="s">
        <v>53</v>
      </c>
      <c r="AD2816" s="14" t="s">
        <v>54</v>
      </c>
      <c r="AE2816" s="26" t="s">
        <v>2163</v>
      </c>
      <c r="AF2816" s="17">
        <v>45540</v>
      </c>
      <c r="AG2816" s="40"/>
      <c r="AH2816" s="26">
        <v>2</v>
      </c>
      <c r="AI2816" s="40" t="s">
        <v>64</v>
      </c>
      <c r="AJ2816" s="26"/>
      <c r="AK2816" s="26"/>
      <c r="AL2816" s="35"/>
      <c r="AM2816" s="35"/>
      <c r="AN2816" s="35"/>
      <c r="AO2816" s="35"/>
      <c r="AP2816" s="35"/>
    </row>
    <row r="2817" spans="1:42" x14ac:dyDescent="0.2">
      <c r="A2817" s="38">
        <v>45535</v>
      </c>
      <c r="B2817" s="68" t="s">
        <v>37</v>
      </c>
      <c r="C2817" s="41" t="s">
        <v>118</v>
      </c>
      <c r="D2817" s="26" t="s">
        <v>36</v>
      </c>
      <c r="E2817" s="26" t="s">
        <v>139</v>
      </c>
      <c r="F2817" s="26" t="s">
        <v>8830</v>
      </c>
      <c r="G2817" s="26" t="s">
        <v>108</v>
      </c>
      <c r="H2817" s="26" t="s">
        <v>9970</v>
      </c>
      <c r="I2817" s="17">
        <f ca="1">IFERROR(__xludf.DUMMYFUNCTION("""COMPUTED_VALUE"""),45714)</f>
        <v>45714</v>
      </c>
      <c r="J2817" s="44" t="s">
        <v>9971</v>
      </c>
      <c r="K2817" s="26" t="s">
        <v>9972</v>
      </c>
      <c r="L2817" s="30">
        <v>943330996</v>
      </c>
      <c r="M2817" s="26" t="s">
        <v>80</v>
      </c>
      <c r="N2817" s="26" t="s">
        <v>1073</v>
      </c>
      <c r="O2817" s="26" t="s">
        <v>9110</v>
      </c>
      <c r="P2817" s="42" t="s">
        <v>9111</v>
      </c>
      <c r="Q2817" s="20"/>
      <c r="R2817" s="26" t="s">
        <v>36</v>
      </c>
      <c r="S2817" s="95">
        <v>2000</v>
      </c>
      <c r="T2817" s="148">
        <v>45472</v>
      </c>
      <c r="U2817" s="95">
        <v>13936</v>
      </c>
      <c r="V2817" s="148">
        <v>45498</v>
      </c>
      <c r="W2817" s="33" t="s">
        <v>9112</v>
      </c>
      <c r="X2817" s="26"/>
      <c r="Y2817" s="22"/>
      <c r="Z2817" s="98" t="s">
        <v>118</v>
      </c>
      <c r="AA2817" s="70" t="s">
        <v>9070</v>
      </c>
      <c r="AB2817" s="26" t="s">
        <v>36</v>
      </c>
      <c r="AC2817" s="26" t="s">
        <v>53</v>
      </c>
      <c r="AD2817" s="26" t="s">
        <v>54</v>
      </c>
      <c r="AE2817" s="26" t="s">
        <v>8830</v>
      </c>
      <c r="AF2817" s="17">
        <v>45535</v>
      </c>
      <c r="AG2817" s="26"/>
      <c r="AH2817" s="26"/>
      <c r="AI2817" s="40"/>
      <c r="AJ2817" s="26"/>
      <c r="AK2817" s="26"/>
      <c r="AL2817" s="35"/>
      <c r="AM2817" s="35"/>
      <c r="AN2817" s="35"/>
      <c r="AO2817" s="35"/>
      <c r="AP2817" s="35"/>
    </row>
    <row r="2818" spans="1:42" x14ac:dyDescent="0.2">
      <c r="A2818" s="38">
        <v>45535</v>
      </c>
      <c r="B2818" s="68" t="s">
        <v>37</v>
      </c>
      <c r="C2818" s="41" t="s">
        <v>118</v>
      </c>
      <c r="D2818" s="26" t="s">
        <v>36</v>
      </c>
      <c r="E2818" s="26" t="s">
        <v>39</v>
      </c>
      <c r="F2818" s="26" t="s">
        <v>8771</v>
      </c>
      <c r="G2818" s="26" t="s">
        <v>108</v>
      </c>
      <c r="H2818" s="26" t="s">
        <v>9973</v>
      </c>
      <c r="I2818" s="17">
        <f ca="1">IFERROR(__xludf.DUMMYFUNCTION("""COMPUTED_VALUE"""),45545)</f>
        <v>45545</v>
      </c>
      <c r="J2818" s="44" t="s">
        <v>9974</v>
      </c>
      <c r="K2818" s="19" t="s">
        <v>9975</v>
      </c>
      <c r="L2818" s="47">
        <v>792418719</v>
      </c>
      <c r="M2818" s="19" t="s">
        <v>910</v>
      </c>
      <c r="N2818" s="19" t="s">
        <v>3525</v>
      </c>
      <c r="O2818" s="26" t="s">
        <v>3754</v>
      </c>
      <c r="P2818" s="26" t="s">
        <v>9976</v>
      </c>
      <c r="Q2818" s="20">
        <v>15936</v>
      </c>
      <c r="R2818" s="26" t="s">
        <v>36</v>
      </c>
      <c r="S2818" s="95">
        <f>100+2000+3636</f>
        <v>5736</v>
      </c>
      <c r="T2818" s="83" t="s">
        <v>9977</v>
      </c>
      <c r="U2818" s="31"/>
      <c r="V2818" s="32"/>
      <c r="W2818" s="33" t="s">
        <v>9978</v>
      </c>
      <c r="X2818" s="26">
        <v>0</v>
      </c>
      <c r="Y2818" s="22">
        <v>0</v>
      </c>
      <c r="Z2818" s="26" t="s">
        <v>50</v>
      </c>
      <c r="AA2818" s="35"/>
      <c r="AB2818" s="26" t="s">
        <v>36</v>
      </c>
      <c r="AC2818" s="26" t="s">
        <v>53</v>
      </c>
      <c r="AD2818" s="26" t="s">
        <v>54</v>
      </c>
      <c r="AE2818" s="26" t="s">
        <v>8771</v>
      </c>
      <c r="AF2818" s="17">
        <v>45540</v>
      </c>
      <c r="AG2818" s="26"/>
      <c r="AH2818" s="26"/>
      <c r="AI2818" s="40"/>
      <c r="AJ2818" s="26"/>
      <c r="AK2818" s="26"/>
      <c r="AL2818" s="35"/>
      <c r="AM2818" s="35"/>
      <c r="AN2818" s="35"/>
      <c r="AO2818" s="35"/>
      <c r="AP2818" s="35"/>
    </row>
    <row r="2819" spans="1:42" x14ac:dyDescent="0.2">
      <c r="A2819" s="38">
        <v>45536</v>
      </c>
      <c r="B2819" s="137" t="s">
        <v>37</v>
      </c>
      <c r="C2819" s="41" t="s">
        <v>118</v>
      </c>
      <c r="D2819" s="26" t="s">
        <v>36</v>
      </c>
      <c r="E2819" s="26" t="s">
        <v>139</v>
      </c>
      <c r="F2819" s="26" t="s">
        <v>9177</v>
      </c>
      <c r="G2819" s="26" t="s">
        <v>108</v>
      </c>
      <c r="H2819" s="26" t="s">
        <v>9768</v>
      </c>
      <c r="I2819" s="17">
        <f ca="1">IFERROR(__xludf.DUMMYFUNCTION("""COMPUTED_VALUE"""),45578)</f>
        <v>45578</v>
      </c>
      <c r="J2819" s="29" t="s">
        <v>9979</v>
      </c>
      <c r="K2819" s="26" t="s">
        <v>9980</v>
      </c>
      <c r="L2819" s="47">
        <v>964570963</v>
      </c>
      <c r="M2819" s="26" t="s">
        <v>5429</v>
      </c>
      <c r="N2819" s="26" t="s">
        <v>9251</v>
      </c>
      <c r="O2819" s="26" t="s">
        <v>6822</v>
      </c>
      <c r="P2819" s="26" t="s">
        <v>9981</v>
      </c>
      <c r="Q2819" s="20">
        <v>15936</v>
      </c>
      <c r="R2819" s="26" t="s">
        <v>36</v>
      </c>
      <c r="S2819" s="95">
        <v>2000</v>
      </c>
      <c r="T2819" s="148">
        <v>45475</v>
      </c>
      <c r="U2819" s="95">
        <v>13936</v>
      </c>
      <c r="V2819" s="148">
        <v>45505</v>
      </c>
      <c r="W2819" s="33" t="s">
        <v>9982</v>
      </c>
      <c r="X2819" s="26">
        <v>0</v>
      </c>
      <c r="Y2819" s="22">
        <v>0</v>
      </c>
      <c r="Z2819" s="98" t="s">
        <v>118</v>
      </c>
      <c r="AA2819" s="96"/>
      <c r="AB2819" s="26"/>
      <c r="AC2819" s="26" t="s">
        <v>53</v>
      </c>
      <c r="AD2819" s="26" t="s">
        <v>54</v>
      </c>
      <c r="AE2819" s="26" t="s">
        <v>9177</v>
      </c>
      <c r="AF2819" s="43">
        <v>45576</v>
      </c>
      <c r="AG2819" s="80" t="s">
        <v>9774</v>
      </c>
      <c r="AH2819" s="26"/>
      <c r="AI2819" s="40"/>
      <c r="AJ2819" s="26"/>
      <c r="AK2819" s="26"/>
      <c r="AL2819" s="35"/>
      <c r="AM2819" s="35"/>
      <c r="AN2819" s="35"/>
      <c r="AO2819" s="35"/>
      <c r="AP2819" s="35"/>
    </row>
    <row r="2820" spans="1:42" x14ac:dyDescent="0.2">
      <c r="A2820" s="38">
        <v>45536</v>
      </c>
      <c r="B2820" s="137" t="s">
        <v>37</v>
      </c>
      <c r="C2820" s="41" t="s">
        <v>118</v>
      </c>
      <c r="D2820" s="26" t="s">
        <v>36</v>
      </c>
      <c r="E2820" s="26" t="s">
        <v>139</v>
      </c>
      <c r="F2820" s="26" t="s">
        <v>9248</v>
      </c>
      <c r="G2820" s="26" t="s">
        <v>108</v>
      </c>
      <c r="H2820" s="26" t="s">
        <v>9768</v>
      </c>
      <c r="I2820" s="17">
        <f ca="1">IFERROR(__xludf.DUMMYFUNCTION("""COMPUTED_VALUE"""),45578)</f>
        <v>45578</v>
      </c>
      <c r="J2820" s="29" t="s">
        <v>9249</v>
      </c>
      <c r="K2820" s="26" t="s">
        <v>9983</v>
      </c>
      <c r="L2820" s="30">
        <v>867713852</v>
      </c>
      <c r="M2820" s="26" t="s">
        <v>5429</v>
      </c>
      <c r="N2820" s="26" t="s">
        <v>9251</v>
      </c>
      <c r="O2820" s="26" t="s">
        <v>4626</v>
      </c>
      <c r="P2820" s="26" t="s">
        <v>9252</v>
      </c>
      <c r="Q2820" s="20"/>
      <c r="R2820" s="26" t="s">
        <v>36</v>
      </c>
      <c r="S2820" s="95">
        <v>2000</v>
      </c>
      <c r="T2820" s="148">
        <v>45475</v>
      </c>
      <c r="U2820" s="95">
        <v>13936</v>
      </c>
      <c r="V2820" s="148">
        <v>45504</v>
      </c>
      <c r="W2820" s="33" t="s">
        <v>9253</v>
      </c>
      <c r="X2820" s="26"/>
      <c r="Y2820" s="22"/>
      <c r="Z2820" s="98" t="s">
        <v>118</v>
      </c>
      <c r="AA2820" s="70" t="s">
        <v>9070</v>
      </c>
      <c r="AB2820" s="26"/>
      <c r="AC2820" s="26" t="s">
        <v>53</v>
      </c>
      <c r="AD2820" s="26" t="s">
        <v>54</v>
      </c>
      <c r="AE2820" s="26" t="s">
        <v>9248</v>
      </c>
      <c r="AF2820" s="43">
        <v>45576</v>
      </c>
      <c r="AG2820" s="80" t="s">
        <v>9774</v>
      </c>
      <c r="AH2820" s="26"/>
      <c r="AI2820" s="40"/>
      <c r="AJ2820" s="26"/>
      <c r="AK2820" s="26"/>
      <c r="AL2820" s="35"/>
      <c r="AM2820" s="35"/>
      <c r="AN2820" s="35"/>
      <c r="AO2820" s="35"/>
      <c r="AP2820" s="35"/>
    </row>
    <row r="2821" spans="1:42" x14ac:dyDescent="0.2">
      <c r="A2821" s="38">
        <v>45536</v>
      </c>
      <c r="B2821" s="68" t="s">
        <v>37</v>
      </c>
      <c r="C2821" s="41" t="s">
        <v>118</v>
      </c>
      <c r="D2821" s="26" t="s">
        <v>36</v>
      </c>
      <c r="E2821" s="26" t="s">
        <v>139</v>
      </c>
      <c r="F2821" s="26" t="s">
        <v>8830</v>
      </c>
      <c r="G2821" s="26" t="s">
        <v>108</v>
      </c>
      <c r="H2821" s="26" t="s">
        <v>9973</v>
      </c>
      <c r="I2821" s="17">
        <f ca="1">IFERROR(__xludf.DUMMYFUNCTION("""COMPUTED_VALUE"""),45545)</f>
        <v>45545</v>
      </c>
      <c r="J2821" s="29" t="s">
        <v>9192</v>
      </c>
      <c r="K2821" s="26" t="s">
        <v>9984</v>
      </c>
      <c r="L2821" s="47">
        <v>397784298</v>
      </c>
      <c r="M2821" s="26" t="s">
        <v>80</v>
      </c>
      <c r="N2821" s="26" t="s">
        <v>466</v>
      </c>
      <c r="O2821" s="26" t="s">
        <v>9194</v>
      </c>
      <c r="P2821" s="42" t="s">
        <v>9985</v>
      </c>
      <c r="Q2821" s="20"/>
      <c r="R2821" s="26" t="s">
        <v>36</v>
      </c>
      <c r="S2821" s="95">
        <v>2000</v>
      </c>
      <c r="T2821" s="148">
        <v>45474</v>
      </c>
      <c r="U2821" s="95">
        <v>13936</v>
      </c>
      <c r="V2821" s="148">
        <v>45497</v>
      </c>
      <c r="W2821" s="33" t="s">
        <v>9196</v>
      </c>
      <c r="X2821" s="26"/>
      <c r="Y2821" s="22"/>
      <c r="Z2821" s="98" t="s">
        <v>118</v>
      </c>
      <c r="AA2821" s="70" t="s">
        <v>9070</v>
      </c>
      <c r="AB2821" s="26" t="s">
        <v>36</v>
      </c>
      <c r="AC2821" s="26" t="s">
        <v>53</v>
      </c>
      <c r="AD2821" s="26" t="s">
        <v>54</v>
      </c>
      <c r="AE2821" s="26" t="s">
        <v>8830</v>
      </c>
      <c r="AF2821" s="17">
        <v>45540</v>
      </c>
      <c r="AG2821" s="26"/>
      <c r="AH2821" s="26"/>
      <c r="AI2821" s="40"/>
      <c r="AJ2821" s="26"/>
      <c r="AK2821" s="26"/>
      <c r="AL2821" s="35"/>
      <c r="AM2821" s="35"/>
      <c r="AN2821" s="35"/>
      <c r="AO2821" s="35"/>
      <c r="AP2821" s="35"/>
    </row>
    <row r="2822" spans="1:42" x14ac:dyDescent="0.2">
      <c r="A2822" s="38">
        <v>45536</v>
      </c>
      <c r="B2822" s="28" t="s">
        <v>37</v>
      </c>
      <c r="C2822" s="41" t="s">
        <v>118</v>
      </c>
      <c r="D2822" s="26" t="s">
        <v>36</v>
      </c>
      <c r="E2822" s="26" t="s">
        <v>139</v>
      </c>
      <c r="F2822" s="26" t="s">
        <v>9126</v>
      </c>
      <c r="G2822" s="26" t="s">
        <v>108</v>
      </c>
      <c r="H2822" s="26" t="s">
        <v>7519</v>
      </c>
      <c r="I2822" s="17">
        <f ca="1">IFERROR(__xludf.DUMMYFUNCTION("""COMPUTED_VALUE"""),45543)</f>
        <v>45543</v>
      </c>
      <c r="J2822" s="44" t="s">
        <v>9986</v>
      </c>
      <c r="K2822" s="26" t="s">
        <v>9128</v>
      </c>
      <c r="L2822" s="30">
        <v>981753328</v>
      </c>
      <c r="M2822" s="26" t="s">
        <v>80</v>
      </c>
      <c r="N2822" s="26" t="s">
        <v>1073</v>
      </c>
      <c r="O2822" s="26" t="s">
        <v>9129</v>
      </c>
      <c r="P2822" s="26" t="s">
        <v>9130</v>
      </c>
      <c r="Q2822" s="20"/>
      <c r="R2822" s="26" t="s">
        <v>36</v>
      </c>
      <c r="S2822" s="95">
        <v>2000</v>
      </c>
      <c r="T2822" s="148">
        <v>45473</v>
      </c>
      <c r="U2822" s="95">
        <v>13936</v>
      </c>
      <c r="V2822" s="148">
        <v>45499</v>
      </c>
      <c r="W2822" s="33" t="s">
        <v>9131</v>
      </c>
      <c r="X2822" s="26"/>
      <c r="Y2822" s="22"/>
      <c r="Z2822" s="98" t="s">
        <v>118</v>
      </c>
      <c r="AA2822" s="70" t="s">
        <v>9070</v>
      </c>
      <c r="AB2822" s="26"/>
      <c r="AC2822" s="26" t="s">
        <v>53</v>
      </c>
      <c r="AD2822" s="26" t="s">
        <v>54</v>
      </c>
      <c r="AE2822" s="26" t="s">
        <v>9126</v>
      </c>
      <c r="AF2822" s="17">
        <v>45538</v>
      </c>
      <c r="AG2822" s="26"/>
      <c r="AH2822" s="26"/>
      <c r="AI2822" s="40"/>
      <c r="AJ2822" s="26"/>
      <c r="AK2822" s="26"/>
      <c r="AL2822" s="35"/>
      <c r="AM2822" s="35"/>
      <c r="AN2822" s="35"/>
      <c r="AO2822" s="35"/>
      <c r="AP2822" s="35"/>
    </row>
    <row r="2823" spans="1:42" x14ac:dyDescent="0.2">
      <c r="A2823" s="38">
        <v>45537</v>
      </c>
      <c r="B2823" s="68" t="s">
        <v>37</v>
      </c>
      <c r="C2823" s="41" t="s">
        <v>118</v>
      </c>
      <c r="D2823" s="26" t="s">
        <v>36</v>
      </c>
      <c r="E2823" s="26" t="s">
        <v>139</v>
      </c>
      <c r="F2823" s="26" t="s">
        <v>9126</v>
      </c>
      <c r="G2823" s="26" t="s">
        <v>108</v>
      </c>
      <c r="H2823" s="26" t="s">
        <v>9973</v>
      </c>
      <c r="I2823" s="17">
        <f ca="1">IFERROR(__xludf.DUMMYFUNCTION("""COMPUTED_VALUE"""),45545)</f>
        <v>45545</v>
      </c>
      <c r="J2823" s="29" t="s">
        <v>9146</v>
      </c>
      <c r="K2823" s="26" t="s">
        <v>9987</v>
      </c>
      <c r="L2823" s="30">
        <v>395678117</v>
      </c>
      <c r="M2823" s="26" t="s">
        <v>80</v>
      </c>
      <c r="N2823" s="26" t="s">
        <v>1073</v>
      </c>
      <c r="O2823" s="26" t="s">
        <v>9148</v>
      </c>
      <c r="P2823" s="26" t="s">
        <v>9988</v>
      </c>
      <c r="Q2823" s="20"/>
      <c r="R2823" s="26" t="s">
        <v>36</v>
      </c>
      <c r="S2823" s="95">
        <v>2000</v>
      </c>
      <c r="T2823" s="148">
        <v>45473</v>
      </c>
      <c r="U2823" s="95">
        <v>13936</v>
      </c>
      <c r="V2823" s="148">
        <v>45504</v>
      </c>
      <c r="W2823" s="33" t="s">
        <v>9150</v>
      </c>
      <c r="X2823" s="26"/>
      <c r="Y2823" s="22"/>
      <c r="Z2823" s="98" t="s">
        <v>118</v>
      </c>
      <c r="AA2823" s="70" t="s">
        <v>9070</v>
      </c>
      <c r="AB2823" s="26"/>
      <c r="AC2823" s="26" t="s">
        <v>53</v>
      </c>
      <c r="AD2823" s="26" t="s">
        <v>54</v>
      </c>
      <c r="AE2823" s="26" t="s">
        <v>9126</v>
      </c>
      <c r="AF2823" s="17">
        <v>45540</v>
      </c>
      <c r="AG2823" s="26"/>
      <c r="AH2823" s="26"/>
      <c r="AI2823" s="40"/>
      <c r="AJ2823" s="26"/>
      <c r="AK2823" s="26"/>
      <c r="AL2823" s="35"/>
      <c r="AM2823" s="35"/>
      <c r="AN2823" s="35"/>
      <c r="AO2823" s="35"/>
      <c r="AP2823" s="35"/>
    </row>
    <row r="2824" spans="1:42" x14ac:dyDescent="0.2">
      <c r="A2824" s="38">
        <v>45537</v>
      </c>
      <c r="B2824" s="68" t="s">
        <v>37</v>
      </c>
      <c r="C2824" s="41" t="s">
        <v>118</v>
      </c>
      <c r="D2824" s="26" t="s">
        <v>36</v>
      </c>
      <c r="E2824" s="26" t="s">
        <v>139</v>
      </c>
      <c r="F2824" s="26" t="s">
        <v>9126</v>
      </c>
      <c r="G2824" s="26" t="s">
        <v>108</v>
      </c>
      <c r="H2824" s="26" t="s">
        <v>9973</v>
      </c>
      <c r="I2824" s="17">
        <f ca="1">IFERROR(__xludf.DUMMYFUNCTION("""COMPUTED_VALUE"""),45545)</f>
        <v>45545</v>
      </c>
      <c r="J2824" s="29" t="s">
        <v>9207</v>
      </c>
      <c r="K2824" s="26" t="s">
        <v>9989</v>
      </c>
      <c r="L2824" s="30">
        <v>346998711</v>
      </c>
      <c r="M2824" s="26" t="s">
        <v>80</v>
      </c>
      <c r="N2824" s="26" t="s">
        <v>1073</v>
      </c>
      <c r="O2824" s="26" t="s">
        <v>9209</v>
      </c>
      <c r="P2824" s="42" t="s">
        <v>9210</v>
      </c>
      <c r="Q2824" s="20"/>
      <c r="R2824" s="26" t="s">
        <v>36</v>
      </c>
      <c r="S2824" s="95">
        <f>200+1800</f>
        <v>2000</v>
      </c>
      <c r="T2824" s="83" t="s">
        <v>9211</v>
      </c>
      <c r="U2824" s="95">
        <v>13936</v>
      </c>
      <c r="V2824" s="148">
        <v>45504</v>
      </c>
      <c r="W2824" s="33" t="s">
        <v>9212</v>
      </c>
      <c r="X2824" s="26"/>
      <c r="Y2824" s="22"/>
      <c r="Z2824" s="98" t="s">
        <v>118</v>
      </c>
      <c r="AA2824" s="70" t="s">
        <v>9070</v>
      </c>
      <c r="AB2824" s="26"/>
      <c r="AC2824" s="26" t="s">
        <v>53</v>
      </c>
      <c r="AD2824" s="26" t="s">
        <v>54</v>
      </c>
      <c r="AE2824" s="26" t="s">
        <v>9126</v>
      </c>
      <c r="AF2824" s="17">
        <v>45540</v>
      </c>
      <c r="AG2824" s="26"/>
      <c r="AH2824" s="26"/>
      <c r="AI2824" s="40"/>
      <c r="AJ2824" s="26"/>
      <c r="AK2824" s="26"/>
      <c r="AL2824" s="35"/>
      <c r="AM2824" s="35"/>
      <c r="AN2824" s="35"/>
      <c r="AO2824" s="35"/>
      <c r="AP2824" s="35"/>
    </row>
    <row r="2825" spans="1:42" x14ac:dyDescent="0.2">
      <c r="A2825" s="38">
        <v>45537</v>
      </c>
      <c r="B2825" s="68" t="s">
        <v>37</v>
      </c>
      <c r="C2825" s="41" t="s">
        <v>118</v>
      </c>
      <c r="D2825" s="26" t="s">
        <v>36</v>
      </c>
      <c r="E2825" s="26" t="s">
        <v>139</v>
      </c>
      <c r="F2825" s="26" t="s">
        <v>9248</v>
      </c>
      <c r="G2825" s="26" t="s">
        <v>108</v>
      </c>
      <c r="H2825" s="26" t="s">
        <v>9973</v>
      </c>
      <c r="I2825" s="17">
        <f ca="1">IFERROR(__xludf.DUMMYFUNCTION("""COMPUTED_VALUE"""),45545)</f>
        <v>45545</v>
      </c>
      <c r="J2825" s="29" t="s">
        <v>9254</v>
      </c>
      <c r="K2825" s="26" t="s">
        <v>9990</v>
      </c>
      <c r="L2825" s="30">
        <v>386962306</v>
      </c>
      <c r="M2825" s="26" t="s">
        <v>80</v>
      </c>
      <c r="N2825" s="26" t="s">
        <v>466</v>
      </c>
      <c r="O2825" s="26" t="s">
        <v>9256</v>
      </c>
      <c r="P2825" s="115" t="s">
        <v>9991</v>
      </c>
      <c r="Q2825" s="20"/>
      <c r="R2825" s="26" t="s">
        <v>36</v>
      </c>
      <c r="S2825" s="95">
        <v>2000</v>
      </c>
      <c r="T2825" s="148">
        <v>45475</v>
      </c>
      <c r="U2825" s="95">
        <v>13936</v>
      </c>
      <c r="V2825" s="148">
        <v>45501</v>
      </c>
      <c r="W2825" s="33" t="s">
        <v>9258</v>
      </c>
      <c r="X2825" s="26"/>
      <c r="Y2825" s="22"/>
      <c r="Z2825" s="98" t="s">
        <v>118</v>
      </c>
      <c r="AA2825" s="70" t="s">
        <v>9070</v>
      </c>
      <c r="AB2825" s="26"/>
      <c r="AC2825" s="26" t="s">
        <v>53</v>
      </c>
      <c r="AD2825" s="26" t="s">
        <v>54</v>
      </c>
      <c r="AE2825" s="26" t="s">
        <v>9248</v>
      </c>
      <c r="AF2825" s="17">
        <v>45540</v>
      </c>
      <c r="AG2825" s="26"/>
      <c r="AH2825" s="26"/>
      <c r="AI2825" s="40"/>
      <c r="AJ2825" s="26"/>
      <c r="AK2825" s="26"/>
      <c r="AL2825" s="35"/>
      <c r="AM2825" s="35"/>
      <c r="AN2825" s="35"/>
      <c r="AO2825" s="35"/>
      <c r="AP2825" s="35"/>
    </row>
    <row r="2826" spans="1:42" x14ac:dyDescent="0.2">
      <c r="A2826" s="38">
        <v>45537</v>
      </c>
      <c r="B2826" s="68" t="s">
        <v>37</v>
      </c>
      <c r="C2826" s="41" t="s">
        <v>118</v>
      </c>
      <c r="D2826" s="26" t="s">
        <v>36</v>
      </c>
      <c r="E2826" s="26" t="s">
        <v>56</v>
      </c>
      <c r="F2826" s="26" t="s">
        <v>9248</v>
      </c>
      <c r="G2826" s="26" t="s">
        <v>108</v>
      </c>
      <c r="H2826" s="26" t="s">
        <v>9973</v>
      </c>
      <c r="I2826" s="17">
        <f ca="1">IFERROR(__xludf.DUMMYFUNCTION("""COMPUTED_VALUE"""),45545)</f>
        <v>45545</v>
      </c>
      <c r="J2826" s="29" t="s">
        <v>9317</v>
      </c>
      <c r="K2826" s="26" t="s">
        <v>9992</v>
      </c>
      <c r="L2826" s="30">
        <v>399354983</v>
      </c>
      <c r="M2826" s="26" t="s">
        <v>45</v>
      </c>
      <c r="N2826" s="26" t="s">
        <v>7814</v>
      </c>
      <c r="O2826" s="26" t="s">
        <v>9319</v>
      </c>
      <c r="P2826" s="42" t="s">
        <v>9993</v>
      </c>
      <c r="Q2826" s="20"/>
      <c r="R2826" s="26" t="s">
        <v>36</v>
      </c>
      <c r="S2826" s="95">
        <v>5736</v>
      </c>
      <c r="T2826" s="169">
        <v>45476</v>
      </c>
      <c r="U2826" s="31">
        <v>3581</v>
      </c>
      <c r="V2826" s="32">
        <v>45491</v>
      </c>
      <c r="W2826" s="55" t="s">
        <v>9321</v>
      </c>
      <c r="X2826" s="26"/>
      <c r="Y2826" s="22"/>
      <c r="Z2826" s="98" t="s">
        <v>118</v>
      </c>
      <c r="AA2826" s="70" t="s">
        <v>9070</v>
      </c>
      <c r="AB2826" s="26"/>
      <c r="AC2826" s="26" t="s">
        <v>53</v>
      </c>
      <c r="AD2826" s="26" t="s">
        <v>54</v>
      </c>
      <c r="AE2826" s="26" t="s">
        <v>9248</v>
      </c>
      <c r="AF2826" s="17">
        <v>45540</v>
      </c>
      <c r="AG2826" s="26"/>
      <c r="AH2826" s="26"/>
      <c r="AI2826" s="40"/>
      <c r="AJ2826" s="26"/>
      <c r="AK2826" s="26"/>
      <c r="AL2826" s="35"/>
      <c r="AM2826" s="35"/>
      <c r="AN2826" s="35"/>
      <c r="AO2826" s="35"/>
      <c r="AP2826" s="35"/>
    </row>
    <row r="2827" spans="1:42" x14ac:dyDescent="0.2">
      <c r="A2827" s="38">
        <v>45537</v>
      </c>
      <c r="B2827" s="68" t="s">
        <v>37</v>
      </c>
      <c r="C2827" s="41" t="s">
        <v>118</v>
      </c>
      <c r="D2827" s="26" t="s">
        <v>36</v>
      </c>
      <c r="E2827" s="26" t="s">
        <v>139</v>
      </c>
      <c r="F2827" s="26" t="s">
        <v>8801</v>
      </c>
      <c r="G2827" s="26" t="s">
        <v>41</v>
      </c>
      <c r="H2827" s="26" t="s">
        <v>9994</v>
      </c>
      <c r="I2827" s="17">
        <f ca="1">IFERROR(__xludf.DUMMYFUNCTION("""COMPUTED_VALUE"""),45545)</f>
        <v>45545</v>
      </c>
      <c r="J2827" s="29" t="s">
        <v>9995</v>
      </c>
      <c r="K2827" s="26" t="s">
        <v>9996</v>
      </c>
      <c r="L2827" s="47">
        <v>367740064</v>
      </c>
      <c r="M2827" s="26" t="s">
        <v>5429</v>
      </c>
      <c r="N2827" s="26" t="s">
        <v>9997</v>
      </c>
      <c r="O2827" s="26" t="s">
        <v>9998</v>
      </c>
      <c r="P2827" s="26" t="s">
        <v>9999</v>
      </c>
      <c r="Q2827" s="20">
        <v>15936</v>
      </c>
      <c r="R2827" s="26" t="s">
        <v>36</v>
      </c>
      <c r="S2827" s="95">
        <v>2000</v>
      </c>
      <c r="T2827" s="148">
        <v>45474</v>
      </c>
      <c r="U2827" s="95">
        <v>13936</v>
      </c>
      <c r="V2827" s="148">
        <v>45505</v>
      </c>
      <c r="W2827" s="33" t="s">
        <v>10000</v>
      </c>
      <c r="X2827" s="26">
        <v>0</v>
      </c>
      <c r="Y2827" s="22">
        <v>0</v>
      </c>
      <c r="Z2827" s="98" t="s">
        <v>118</v>
      </c>
      <c r="AA2827" s="96"/>
      <c r="AB2827" s="26"/>
      <c r="AC2827" s="26" t="s">
        <v>53</v>
      </c>
      <c r="AD2827" s="26" t="s">
        <v>54</v>
      </c>
      <c r="AE2827" s="26" t="s">
        <v>8801</v>
      </c>
      <c r="AF2827" s="17">
        <v>45481</v>
      </c>
      <c r="AG2827" s="26"/>
      <c r="AH2827" s="26"/>
      <c r="AI2827" s="40"/>
      <c r="AJ2827" s="26"/>
      <c r="AK2827" s="26"/>
      <c r="AL2827" s="35"/>
      <c r="AM2827" s="35"/>
      <c r="AN2827" s="35"/>
      <c r="AO2827" s="35"/>
      <c r="AP2827" s="35"/>
    </row>
    <row r="2828" spans="1:42" x14ac:dyDescent="0.2">
      <c r="A2828" s="38">
        <v>45537</v>
      </c>
      <c r="B2828" s="68" t="s">
        <v>37</v>
      </c>
      <c r="C2828" s="41" t="s">
        <v>118</v>
      </c>
      <c r="D2828" s="26" t="s">
        <v>36</v>
      </c>
      <c r="E2828" s="26" t="s">
        <v>139</v>
      </c>
      <c r="F2828" s="26" t="s">
        <v>9163</v>
      </c>
      <c r="G2828" s="26" t="s">
        <v>108</v>
      </c>
      <c r="H2828" s="26" t="s">
        <v>9973</v>
      </c>
      <c r="I2828" s="17">
        <f ca="1">IFERROR(__xludf.DUMMYFUNCTION("""COMPUTED_VALUE"""),45545)</f>
        <v>45545</v>
      </c>
      <c r="J2828" s="29" t="s">
        <v>10001</v>
      </c>
      <c r="K2828" s="26" t="s">
        <v>10002</v>
      </c>
      <c r="L2828" s="30">
        <v>337902369</v>
      </c>
      <c r="M2828" s="26" t="s">
        <v>3728</v>
      </c>
      <c r="N2828" s="26" t="s">
        <v>8725</v>
      </c>
      <c r="O2828" s="26" t="s">
        <v>10003</v>
      </c>
      <c r="P2828" s="42" t="s">
        <v>10004</v>
      </c>
      <c r="Q2828" s="20">
        <v>15936</v>
      </c>
      <c r="R2828" s="26" t="s">
        <v>36</v>
      </c>
      <c r="S2828" s="95">
        <f>200+1800</f>
        <v>2000</v>
      </c>
      <c r="T2828" s="83" t="s">
        <v>10005</v>
      </c>
      <c r="U2828" s="95">
        <v>13936</v>
      </c>
      <c r="V2828" s="148">
        <v>45534</v>
      </c>
      <c r="W2828" s="33" t="s">
        <v>10006</v>
      </c>
      <c r="X2828" s="26">
        <v>0</v>
      </c>
      <c r="Y2828" s="22">
        <v>0</v>
      </c>
      <c r="Z2828" s="98" t="s">
        <v>118</v>
      </c>
      <c r="AA2828" s="35"/>
      <c r="AB2828" s="26"/>
      <c r="AC2828" s="26" t="s">
        <v>53</v>
      </c>
      <c r="AD2828" s="26" t="s">
        <v>54</v>
      </c>
      <c r="AE2828" s="26" t="s">
        <v>9163</v>
      </c>
      <c r="AF2828" s="17">
        <v>45540</v>
      </c>
      <c r="AG2828" s="26"/>
      <c r="AH2828" s="26"/>
      <c r="AI2828" s="40"/>
      <c r="AJ2828" s="26"/>
      <c r="AK2828" s="26"/>
      <c r="AL2828" s="35"/>
      <c r="AM2828" s="35"/>
      <c r="AN2828" s="35"/>
      <c r="AO2828" s="35"/>
      <c r="AP2828" s="35"/>
    </row>
    <row r="2829" spans="1:42" x14ac:dyDescent="0.2">
      <c r="A2829" s="38">
        <v>45537</v>
      </c>
      <c r="B2829" s="28" t="s">
        <v>37</v>
      </c>
      <c r="C2829" s="41" t="s">
        <v>118</v>
      </c>
      <c r="D2829" s="80" t="s">
        <v>36</v>
      </c>
      <c r="E2829" s="80" t="s">
        <v>148</v>
      </c>
      <c r="F2829" s="80" t="s">
        <v>10007</v>
      </c>
      <c r="G2829" s="41" t="s">
        <v>108</v>
      </c>
      <c r="H2829" s="80" t="s">
        <v>9825</v>
      </c>
      <c r="I2829" s="164">
        <f ca="1">IFERROR(__xludf.DUMMYFUNCTION("""COMPUTED_VALUE"""),45548)</f>
        <v>45548</v>
      </c>
      <c r="J2829" s="143" t="s">
        <v>10008</v>
      </c>
      <c r="K2829" s="80" t="s">
        <v>10009</v>
      </c>
      <c r="L2829" s="30">
        <v>977433862</v>
      </c>
      <c r="M2829" s="80" t="s">
        <v>3288</v>
      </c>
      <c r="N2829" s="80" t="s">
        <v>200</v>
      </c>
      <c r="O2829" s="80" t="s">
        <v>10010</v>
      </c>
      <c r="P2829" s="144" t="s">
        <v>10011</v>
      </c>
      <c r="Q2829" s="20">
        <v>16779</v>
      </c>
      <c r="R2829" s="80" t="s">
        <v>36</v>
      </c>
      <c r="S2829" s="77">
        <v>16779</v>
      </c>
      <c r="T2829" s="78">
        <v>44967</v>
      </c>
      <c r="U2829" s="77"/>
      <c r="V2829" s="78"/>
      <c r="W2829" s="85" t="s">
        <v>10012</v>
      </c>
      <c r="X2829" s="80">
        <v>0</v>
      </c>
      <c r="Y2829" s="22">
        <v>0</v>
      </c>
      <c r="Z2829" s="41" t="s">
        <v>118</v>
      </c>
      <c r="AA2829" s="82" t="s">
        <v>7348</v>
      </c>
      <c r="AB2829" s="80" t="s">
        <v>10013</v>
      </c>
      <c r="AC2829" s="80" t="s">
        <v>53</v>
      </c>
      <c r="AD2829" s="80" t="s">
        <v>54</v>
      </c>
      <c r="AE2829" s="80" t="s">
        <v>10007</v>
      </c>
      <c r="AF2829" s="17">
        <v>45548</v>
      </c>
      <c r="AG2829" s="26" t="s">
        <v>4996</v>
      </c>
      <c r="AH2829" s="147">
        <v>5</v>
      </c>
      <c r="AI2829" s="147"/>
      <c r="AJ2829" s="80"/>
      <c r="AK2829" s="80"/>
      <c r="AL2829" s="80"/>
      <c r="AM2829" s="86"/>
      <c r="AN2829" s="86"/>
      <c r="AO2829" s="86"/>
      <c r="AP2829" s="35"/>
    </row>
    <row r="2830" spans="1:42" x14ac:dyDescent="0.2">
      <c r="A2830" s="38">
        <v>45539</v>
      </c>
      <c r="B2830" s="68" t="s">
        <v>37</v>
      </c>
      <c r="C2830" s="41" t="s">
        <v>118</v>
      </c>
      <c r="D2830" s="26" t="s">
        <v>36</v>
      </c>
      <c r="E2830" s="26" t="s">
        <v>139</v>
      </c>
      <c r="F2830" s="26" t="s">
        <v>9360</v>
      </c>
      <c r="G2830" s="26" t="s">
        <v>108</v>
      </c>
      <c r="H2830" s="26" t="s">
        <v>10014</v>
      </c>
      <c r="I2830" s="17">
        <f ca="1">IFERROR(__xludf.DUMMYFUNCTION("""COMPUTED_VALUE"""),45551)</f>
        <v>45551</v>
      </c>
      <c r="J2830" s="29" t="s">
        <v>9361</v>
      </c>
      <c r="K2830" s="26" t="s">
        <v>10015</v>
      </c>
      <c r="L2830" s="30">
        <v>867449475</v>
      </c>
      <c r="M2830" s="26" t="s">
        <v>80</v>
      </c>
      <c r="N2830" s="26" t="s">
        <v>466</v>
      </c>
      <c r="O2830" s="26" t="s">
        <v>9363</v>
      </c>
      <c r="P2830" s="42" t="s">
        <v>10016</v>
      </c>
      <c r="Q2830" s="20"/>
      <c r="R2830" s="26" t="s">
        <v>36</v>
      </c>
      <c r="S2830" s="95">
        <f>200+1800</f>
        <v>2000</v>
      </c>
      <c r="T2830" s="83" t="s">
        <v>9365</v>
      </c>
      <c r="U2830" s="95">
        <v>13936</v>
      </c>
      <c r="V2830" s="148">
        <v>45503</v>
      </c>
      <c r="W2830" s="33" t="s">
        <v>9366</v>
      </c>
      <c r="X2830" s="26"/>
      <c r="Y2830" s="22"/>
      <c r="Z2830" s="41" t="s">
        <v>118</v>
      </c>
      <c r="AA2830" s="70" t="s">
        <v>9070</v>
      </c>
      <c r="AB2830" s="26"/>
      <c r="AC2830" s="26" t="s">
        <v>53</v>
      </c>
      <c r="AD2830" s="26" t="s">
        <v>54</v>
      </c>
      <c r="AE2830" s="26" t="s">
        <v>9360</v>
      </c>
      <c r="AF2830" s="17">
        <v>45547</v>
      </c>
      <c r="AG2830" s="26"/>
      <c r="AH2830" s="26"/>
      <c r="AI2830" s="40"/>
      <c r="AJ2830" s="26"/>
      <c r="AK2830" s="26"/>
      <c r="AL2830" s="35"/>
      <c r="AM2830" s="35"/>
      <c r="AN2830" s="35"/>
      <c r="AO2830" s="35"/>
      <c r="AP2830" s="35"/>
    </row>
    <row r="2831" spans="1:42" x14ac:dyDescent="0.2">
      <c r="A2831" s="38">
        <v>45539</v>
      </c>
      <c r="B2831" s="68" t="s">
        <v>37</v>
      </c>
      <c r="C2831" s="41" t="s">
        <v>118</v>
      </c>
      <c r="D2831" s="26" t="s">
        <v>36</v>
      </c>
      <c r="E2831" s="26" t="s">
        <v>139</v>
      </c>
      <c r="F2831" s="26" t="s">
        <v>9360</v>
      </c>
      <c r="G2831" s="26" t="s">
        <v>108</v>
      </c>
      <c r="H2831" s="26" t="s">
        <v>10014</v>
      </c>
      <c r="I2831" s="17">
        <f ca="1">IFERROR(__xludf.DUMMYFUNCTION("""COMPUTED_VALUE"""),45551)</f>
        <v>45551</v>
      </c>
      <c r="J2831" s="29" t="s">
        <v>10017</v>
      </c>
      <c r="K2831" s="26" t="s">
        <v>10018</v>
      </c>
      <c r="L2831" s="30">
        <v>902075281</v>
      </c>
      <c r="M2831" s="26" t="s">
        <v>5558</v>
      </c>
      <c r="N2831" s="26" t="s">
        <v>5559</v>
      </c>
      <c r="O2831" s="26" t="s">
        <v>4503</v>
      </c>
      <c r="P2831" s="42" t="s">
        <v>10019</v>
      </c>
      <c r="Q2831" s="20">
        <v>15936</v>
      </c>
      <c r="R2831" s="26" t="s">
        <v>36</v>
      </c>
      <c r="S2831" s="95">
        <v>2000</v>
      </c>
      <c r="T2831" s="148">
        <v>45478</v>
      </c>
      <c r="U2831" s="31">
        <v>13936</v>
      </c>
      <c r="V2831" s="32">
        <v>45505</v>
      </c>
      <c r="W2831" s="33" t="s">
        <v>10020</v>
      </c>
      <c r="X2831" s="26">
        <v>0</v>
      </c>
      <c r="Y2831" s="22">
        <v>0</v>
      </c>
      <c r="Z2831" s="41" t="s">
        <v>118</v>
      </c>
      <c r="AA2831" s="96"/>
      <c r="AB2831" s="26"/>
      <c r="AC2831" s="26" t="s">
        <v>53</v>
      </c>
      <c r="AD2831" s="26" t="s">
        <v>54</v>
      </c>
      <c r="AE2831" s="26" t="s">
        <v>9360</v>
      </c>
      <c r="AF2831" s="17">
        <v>45547</v>
      </c>
      <c r="AG2831" s="80"/>
      <c r="AH2831" s="80"/>
      <c r="AI2831" s="147"/>
      <c r="AJ2831" s="80"/>
      <c r="AK2831" s="80"/>
      <c r="AL2831" s="35"/>
      <c r="AM2831" s="35"/>
      <c r="AN2831" s="35"/>
      <c r="AO2831" s="35"/>
      <c r="AP2831" s="35"/>
    </row>
    <row r="2832" spans="1:42" x14ac:dyDescent="0.2">
      <c r="A2832" s="38">
        <v>45539</v>
      </c>
      <c r="B2832" s="68" t="s">
        <v>37</v>
      </c>
      <c r="C2832" s="41" t="s">
        <v>118</v>
      </c>
      <c r="D2832" s="26" t="s">
        <v>36</v>
      </c>
      <c r="E2832" s="26" t="s">
        <v>139</v>
      </c>
      <c r="F2832" s="26" t="s">
        <v>10021</v>
      </c>
      <c r="G2832" s="26" t="s">
        <v>108</v>
      </c>
      <c r="H2832" s="26" t="s">
        <v>10014</v>
      </c>
      <c r="I2832" s="17">
        <f ca="1">IFERROR(__xludf.DUMMYFUNCTION("""COMPUTED_VALUE"""),45551)</f>
        <v>45551</v>
      </c>
      <c r="J2832" s="29" t="s">
        <v>10022</v>
      </c>
      <c r="K2832" s="26" t="s">
        <v>10023</v>
      </c>
      <c r="L2832" s="30">
        <v>987253519</v>
      </c>
      <c r="M2832" s="26" t="s">
        <v>5558</v>
      </c>
      <c r="N2832" s="26" t="s">
        <v>5559</v>
      </c>
      <c r="O2832" s="26" t="s">
        <v>4503</v>
      </c>
      <c r="P2832" s="42" t="s">
        <v>10024</v>
      </c>
      <c r="Q2832" s="20">
        <v>15936</v>
      </c>
      <c r="R2832" s="26" t="s">
        <v>36</v>
      </c>
      <c r="S2832" s="77">
        <v>2500</v>
      </c>
      <c r="T2832" s="78">
        <v>45490</v>
      </c>
      <c r="U2832" s="77">
        <v>13436</v>
      </c>
      <c r="V2832" s="78" t="s">
        <v>10025</v>
      </c>
      <c r="W2832" s="80" t="s">
        <v>10026</v>
      </c>
      <c r="X2832" s="86">
        <v>0</v>
      </c>
      <c r="Y2832" s="22">
        <v>0</v>
      </c>
      <c r="Z2832" s="80" t="s">
        <v>50</v>
      </c>
      <c r="AA2832" s="86" t="s">
        <v>3291</v>
      </c>
      <c r="AB2832" s="26"/>
      <c r="AC2832" s="26" t="s">
        <v>53</v>
      </c>
      <c r="AD2832" s="26" t="s">
        <v>54</v>
      </c>
      <c r="AE2832" s="26" t="s">
        <v>10021</v>
      </c>
      <c r="AF2832" s="17">
        <v>45547</v>
      </c>
      <c r="AG2832" s="26"/>
      <c r="AH2832" s="26"/>
      <c r="AI2832" s="40"/>
      <c r="AJ2832" s="26"/>
      <c r="AK2832" s="26"/>
      <c r="AL2832" s="35"/>
      <c r="AM2832" s="35"/>
      <c r="AN2832" s="35"/>
      <c r="AO2832" s="35"/>
      <c r="AP2832" s="35"/>
    </row>
    <row r="2833" spans="1:42" x14ac:dyDescent="0.2">
      <c r="A2833" s="38">
        <v>45539</v>
      </c>
      <c r="B2833" s="28" t="s">
        <v>37</v>
      </c>
      <c r="C2833" s="41" t="s">
        <v>118</v>
      </c>
      <c r="D2833" s="80" t="s">
        <v>36</v>
      </c>
      <c r="E2833" s="80" t="s">
        <v>219</v>
      </c>
      <c r="F2833" s="80" t="s">
        <v>7474</v>
      </c>
      <c r="G2833" s="142" t="s">
        <v>221</v>
      </c>
      <c r="H2833" s="80" t="s">
        <v>7024</v>
      </c>
      <c r="I2833" s="17">
        <f ca="1">IFERROR(__xludf.DUMMYFUNCTION("""COMPUTED_VALUE"""),45557)</f>
        <v>45557</v>
      </c>
      <c r="J2833" s="143" t="s">
        <v>5545</v>
      </c>
      <c r="K2833" s="80" t="s">
        <v>5899</v>
      </c>
      <c r="L2833" s="30">
        <v>868819333</v>
      </c>
      <c r="M2833" s="80" t="s">
        <v>1245</v>
      </c>
      <c r="N2833" s="26" t="s">
        <v>1750</v>
      </c>
      <c r="O2833" s="80" t="s">
        <v>2828</v>
      </c>
      <c r="P2833" s="144" t="s">
        <v>7475</v>
      </c>
      <c r="Q2833" s="20">
        <v>3768</v>
      </c>
      <c r="R2833" s="80" t="s">
        <v>36</v>
      </c>
      <c r="S2833" s="77">
        <v>3768</v>
      </c>
      <c r="T2833" s="78">
        <v>45236</v>
      </c>
      <c r="U2833" s="77"/>
      <c r="V2833" s="78"/>
      <c r="W2833" s="85" t="s">
        <v>5547</v>
      </c>
      <c r="X2833" s="80"/>
      <c r="Y2833" s="22">
        <v>0</v>
      </c>
      <c r="Z2833" s="41" t="s">
        <v>118</v>
      </c>
      <c r="AA2833" s="82" t="s">
        <v>5112</v>
      </c>
      <c r="AB2833" s="80" t="s">
        <v>36</v>
      </c>
      <c r="AC2833" s="80" t="s">
        <v>53</v>
      </c>
      <c r="AD2833" s="86" t="s">
        <v>54</v>
      </c>
      <c r="AE2833" s="80" t="s">
        <v>5096</v>
      </c>
      <c r="AF2833" s="17">
        <v>45557</v>
      </c>
      <c r="AG2833" s="80"/>
      <c r="AH2833" s="80"/>
      <c r="AI2833" s="147">
        <v>1</v>
      </c>
      <c r="AJ2833" s="80"/>
      <c r="AK2833" s="80"/>
      <c r="AL2833" s="86"/>
      <c r="AM2833" s="86"/>
      <c r="AN2833" s="86"/>
      <c r="AO2833" s="86"/>
      <c r="AP2833" s="86"/>
    </row>
    <row r="2834" spans="1:42" x14ac:dyDescent="0.2">
      <c r="A2834" s="38">
        <v>45540</v>
      </c>
      <c r="B2834" s="28" t="s">
        <v>37</v>
      </c>
      <c r="C2834" s="41" t="s">
        <v>118</v>
      </c>
      <c r="D2834" s="26" t="s">
        <v>36</v>
      </c>
      <c r="E2834" s="26" t="s">
        <v>119</v>
      </c>
      <c r="F2834" s="26" t="s">
        <v>7355</v>
      </c>
      <c r="G2834" s="142" t="s">
        <v>221</v>
      </c>
      <c r="H2834" s="80" t="s">
        <v>7024</v>
      </c>
      <c r="I2834" s="17">
        <f ca="1">IFERROR(__xludf.DUMMYFUNCTION("""COMPUTED_VALUE"""),45557)</f>
        <v>45557</v>
      </c>
      <c r="J2834" s="29" t="s">
        <v>8734</v>
      </c>
      <c r="K2834" s="26" t="s">
        <v>8735</v>
      </c>
      <c r="L2834" s="30">
        <v>878818999</v>
      </c>
      <c r="M2834" s="26" t="s">
        <v>348</v>
      </c>
      <c r="N2834" s="26" t="s">
        <v>200</v>
      </c>
      <c r="O2834" s="26" t="s">
        <v>8736</v>
      </c>
      <c r="P2834" s="26" t="s">
        <v>3117</v>
      </c>
      <c r="Q2834" s="20">
        <v>13968</v>
      </c>
      <c r="R2834" s="26" t="s">
        <v>36</v>
      </c>
      <c r="S2834" s="31">
        <f>1000+2768</f>
        <v>3768</v>
      </c>
      <c r="T2834" s="26" t="s">
        <v>8737</v>
      </c>
      <c r="U2834" s="31">
        <v>10200</v>
      </c>
      <c r="V2834" s="32">
        <v>45465</v>
      </c>
      <c r="W2834" s="33" t="s">
        <v>8738</v>
      </c>
      <c r="X2834" s="26"/>
      <c r="Y2834" s="22">
        <v>0</v>
      </c>
      <c r="Z2834" s="41" t="s">
        <v>118</v>
      </c>
      <c r="AA2834" s="19" t="s">
        <v>8721</v>
      </c>
      <c r="AB2834" s="26" t="s">
        <v>36</v>
      </c>
      <c r="AC2834" s="26" t="s">
        <v>53</v>
      </c>
      <c r="AD2834" s="19" t="s">
        <v>138</v>
      </c>
      <c r="AE2834" s="26" t="s">
        <v>7355</v>
      </c>
      <c r="AF2834" s="17">
        <v>45557</v>
      </c>
      <c r="AG2834" s="26" t="s">
        <v>7840</v>
      </c>
      <c r="AH2834" s="26"/>
      <c r="AI2834" s="40"/>
      <c r="AJ2834" s="26"/>
      <c r="AK2834" s="26"/>
      <c r="AL2834" s="35"/>
      <c r="AM2834" s="35"/>
      <c r="AN2834" s="35"/>
      <c r="AO2834" s="35"/>
      <c r="AP2834" s="35"/>
    </row>
    <row r="2835" spans="1:42" x14ac:dyDescent="0.2">
      <c r="A2835" s="38">
        <v>45540</v>
      </c>
      <c r="B2835" s="68" t="s">
        <v>37</v>
      </c>
      <c r="C2835" s="41" t="s">
        <v>118</v>
      </c>
      <c r="D2835" s="80" t="s">
        <v>36</v>
      </c>
      <c r="E2835" s="80" t="s">
        <v>148</v>
      </c>
      <c r="F2835" s="80" t="s">
        <v>10027</v>
      </c>
      <c r="G2835" s="41" t="s">
        <v>108</v>
      </c>
      <c r="H2835" s="80" t="s">
        <v>10028</v>
      </c>
      <c r="I2835" s="17">
        <f ca="1">IFERROR(__xludf.DUMMYFUNCTION("""COMPUTED_VALUE"""),45562)</f>
        <v>45562</v>
      </c>
      <c r="J2835" s="143" t="s">
        <v>10029</v>
      </c>
      <c r="K2835" s="80" t="s">
        <v>10030</v>
      </c>
      <c r="L2835" s="30">
        <v>985034413</v>
      </c>
      <c r="M2835" s="80" t="s">
        <v>3288</v>
      </c>
      <c r="N2835" s="80" t="s">
        <v>7509</v>
      </c>
      <c r="O2835" s="80" t="s">
        <v>91</v>
      </c>
      <c r="P2835" s="144" t="s">
        <v>10031</v>
      </c>
      <c r="Q2835" s="20">
        <v>10804</v>
      </c>
      <c r="R2835" s="80" t="s">
        <v>36</v>
      </c>
      <c r="S2835" s="77">
        <v>10900</v>
      </c>
      <c r="T2835" s="78">
        <v>44893</v>
      </c>
      <c r="U2835" s="95">
        <v>5879</v>
      </c>
      <c r="V2835" s="148">
        <v>44907</v>
      </c>
      <c r="W2835" s="80" t="s">
        <v>10032</v>
      </c>
      <c r="X2835" s="80"/>
      <c r="Y2835" s="22">
        <v>0</v>
      </c>
      <c r="Z2835" s="41" t="s">
        <v>118</v>
      </c>
      <c r="AA2835" s="82"/>
      <c r="AB2835" s="80" t="s">
        <v>36</v>
      </c>
      <c r="AC2835" s="80" t="s">
        <v>53</v>
      </c>
      <c r="AD2835" s="80" t="s">
        <v>54</v>
      </c>
      <c r="AE2835" s="26" t="s">
        <v>10027</v>
      </c>
      <c r="AF2835" s="17">
        <v>45562</v>
      </c>
      <c r="AG2835" s="80"/>
      <c r="AH2835" s="147"/>
      <c r="AI2835" s="147"/>
      <c r="AJ2835" s="80"/>
      <c r="AK2835" s="80"/>
      <c r="AL2835" s="80"/>
      <c r="AM2835" s="86"/>
      <c r="AN2835" s="86"/>
      <c r="AO2835" s="86"/>
      <c r="AP2835" s="86"/>
    </row>
    <row r="2836" spans="1:42" x14ac:dyDescent="0.2">
      <c r="A2836" s="38">
        <v>45540</v>
      </c>
      <c r="B2836" s="68" t="s">
        <v>37</v>
      </c>
      <c r="C2836" s="41" t="s">
        <v>118</v>
      </c>
      <c r="D2836" s="26" t="s">
        <v>36</v>
      </c>
      <c r="E2836" s="26" t="s">
        <v>139</v>
      </c>
      <c r="F2836" s="26" t="s">
        <v>9163</v>
      </c>
      <c r="G2836" s="26" t="s">
        <v>108</v>
      </c>
      <c r="H2836" s="26" t="s">
        <v>10033</v>
      </c>
      <c r="I2836" s="17">
        <f ca="1">IFERROR(__xludf.DUMMYFUNCTION("""COMPUTED_VALUE"""),45664)</f>
        <v>45664</v>
      </c>
      <c r="J2836" s="29" t="s">
        <v>10034</v>
      </c>
      <c r="K2836" s="26" t="s">
        <v>10035</v>
      </c>
      <c r="L2836" s="30">
        <v>375758874</v>
      </c>
      <c r="M2836" s="26" t="s">
        <v>2755</v>
      </c>
      <c r="N2836" s="26" t="s">
        <v>2756</v>
      </c>
      <c r="O2836" s="26" t="s">
        <v>4503</v>
      </c>
      <c r="P2836" s="42" t="s">
        <v>10036</v>
      </c>
      <c r="Q2836" s="20">
        <v>15936</v>
      </c>
      <c r="R2836" s="26" t="s">
        <v>36</v>
      </c>
      <c r="S2836" s="95">
        <f>300+3000</f>
        <v>3300</v>
      </c>
      <c r="T2836" s="83" t="s">
        <v>9956</v>
      </c>
      <c r="U2836" s="95">
        <v>12636</v>
      </c>
      <c r="V2836" s="148">
        <v>45515</v>
      </c>
      <c r="W2836" s="33" t="s">
        <v>10037</v>
      </c>
      <c r="X2836" s="26">
        <v>0</v>
      </c>
      <c r="Y2836" s="22">
        <v>0</v>
      </c>
      <c r="Z2836" s="41" t="s">
        <v>118</v>
      </c>
      <c r="AA2836" s="35"/>
      <c r="AB2836" s="26"/>
      <c r="AC2836" s="26" t="s">
        <v>53</v>
      </c>
      <c r="AD2836" s="26" t="s">
        <v>54</v>
      </c>
      <c r="AE2836" s="26" t="s">
        <v>9163</v>
      </c>
      <c r="AF2836" s="17">
        <v>45547</v>
      </c>
      <c r="AG2836" s="26"/>
      <c r="AH2836" s="26"/>
      <c r="AI2836" s="40"/>
      <c r="AJ2836" s="26"/>
      <c r="AK2836" s="26"/>
      <c r="AL2836" s="35"/>
      <c r="AM2836" s="35"/>
      <c r="AN2836" s="35"/>
      <c r="AO2836" s="35"/>
      <c r="AP2836" s="35"/>
    </row>
    <row r="2837" spans="1:42" x14ac:dyDescent="0.2">
      <c r="A2837" s="38">
        <v>45540</v>
      </c>
      <c r="B2837" s="28" t="s">
        <v>37</v>
      </c>
      <c r="C2837" s="41" t="s">
        <v>118</v>
      </c>
      <c r="D2837" s="26" t="s">
        <v>36</v>
      </c>
      <c r="E2837" s="26" t="s">
        <v>119</v>
      </c>
      <c r="F2837" s="26" t="s">
        <v>6959</v>
      </c>
      <c r="G2837" s="26" t="s">
        <v>1847</v>
      </c>
      <c r="H2837" s="26" t="s">
        <v>8403</v>
      </c>
      <c r="I2837" s="17">
        <f ca="1">IFERROR(__xludf.DUMMYFUNCTION("""COMPUTED_VALUE"""),45543)</f>
        <v>45543</v>
      </c>
      <c r="J2837" s="29" t="s">
        <v>6433</v>
      </c>
      <c r="K2837" s="26" t="s">
        <v>6434</v>
      </c>
      <c r="L2837" s="30">
        <v>836543689</v>
      </c>
      <c r="M2837" s="26" t="s">
        <v>292</v>
      </c>
      <c r="N2837" s="26" t="s">
        <v>1232</v>
      </c>
      <c r="O2837" s="67" t="s">
        <v>6435</v>
      </c>
      <c r="P2837" s="42" t="s">
        <v>8031</v>
      </c>
      <c r="Q2837" s="20">
        <v>13968</v>
      </c>
      <c r="R2837" s="26" t="s">
        <v>36</v>
      </c>
      <c r="S2837" s="31">
        <v>13968</v>
      </c>
      <c r="T2837" s="32">
        <v>45286</v>
      </c>
      <c r="U2837" s="31"/>
      <c r="V2837" s="32"/>
      <c r="W2837" s="33" t="s">
        <v>6437</v>
      </c>
      <c r="X2837" s="26"/>
      <c r="Y2837" s="22">
        <v>0</v>
      </c>
      <c r="Z2837" s="26" t="s">
        <v>118</v>
      </c>
      <c r="AA2837" s="19" t="s">
        <v>5961</v>
      </c>
      <c r="AB2837" s="26" t="s">
        <v>36</v>
      </c>
      <c r="AC2837" s="26" t="s">
        <v>53</v>
      </c>
      <c r="AD2837" s="19" t="s">
        <v>138</v>
      </c>
      <c r="AE2837" s="26" t="s">
        <v>6959</v>
      </c>
      <c r="AF2837" s="17">
        <v>45555</v>
      </c>
      <c r="AG2837" s="26" t="s">
        <v>9053</v>
      </c>
      <c r="AH2837" s="26">
        <v>1</v>
      </c>
      <c r="AI2837" s="40"/>
      <c r="AJ2837" s="26"/>
      <c r="AK2837" s="26"/>
      <c r="AL2837" s="35"/>
      <c r="AM2837" s="35"/>
      <c r="AN2837" s="35"/>
      <c r="AO2837" s="35"/>
      <c r="AP2837" s="35"/>
    </row>
    <row r="2838" spans="1:42" x14ac:dyDescent="0.2">
      <c r="A2838" s="38">
        <v>45541</v>
      </c>
      <c r="B2838" s="68" t="s">
        <v>37</v>
      </c>
      <c r="C2838" s="41" t="s">
        <v>118</v>
      </c>
      <c r="D2838" s="26" t="s">
        <v>36</v>
      </c>
      <c r="E2838" s="26" t="s">
        <v>412</v>
      </c>
      <c r="F2838" s="26" t="s">
        <v>1626</v>
      </c>
      <c r="G2838" s="26" t="s">
        <v>108</v>
      </c>
      <c r="H2838" s="26" t="s">
        <v>10038</v>
      </c>
      <c r="I2838" s="17">
        <f ca="1">IFERROR(__xludf.DUMMYFUNCTION("""COMPUTED_VALUE"""),45551)</f>
        <v>45551</v>
      </c>
      <c r="J2838" s="29" t="s">
        <v>4166</v>
      </c>
      <c r="K2838" s="26" t="s">
        <v>5004</v>
      </c>
      <c r="L2838" s="30">
        <v>964541017</v>
      </c>
      <c r="M2838" s="26" t="s">
        <v>80</v>
      </c>
      <c r="N2838" s="26" t="s">
        <v>466</v>
      </c>
      <c r="O2838" s="26" t="s">
        <v>1492</v>
      </c>
      <c r="P2838" s="42" t="s">
        <v>10039</v>
      </c>
      <c r="Q2838" s="20">
        <v>15936</v>
      </c>
      <c r="R2838" s="26" t="s">
        <v>36</v>
      </c>
      <c r="S2838" s="31">
        <v>15936</v>
      </c>
      <c r="T2838" s="32">
        <v>45209</v>
      </c>
      <c r="U2838" s="31"/>
      <c r="V2838" s="26"/>
      <c r="W2838" s="33" t="s">
        <v>4168</v>
      </c>
      <c r="X2838" s="26"/>
      <c r="Y2838" s="22">
        <v>0</v>
      </c>
      <c r="Z2838" s="26" t="s">
        <v>118</v>
      </c>
      <c r="AA2838" s="19" t="s">
        <v>3454</v>
      </c>
      <c r="AB2838" s="26" t="s">
        <v>104</v>
      </c>
      <c r="AC2838" s="26" t="s">
        <v>53</v>
      </c>
      <c r="AD2838" s="19" t="s">
        <v>138</v>
      </c>
      <c r="AE2838" s="26" t="s">
        <v>1626</v>
      </c>
      <c r="AF2838" s="43">
        <v>45272</v>
      </c>
      <c r="AG2838" s="26" t="s">
        <v>4996</v>
      </c>
      <c r="AH2838" s="26"/>
      <c r="AI2838" s="40"/>
      <c r="AJ2838" s="26"/>
      <c r="AK2838" s="26"/>
      <c r="AL2838" s="35"/>
      <c r="AM2838" s="35"/>
      <c r="AN2838" s="35"/>
      <c r="AO2838" s="35"/>
      <c r="AP2838" s="35"/>
    </row>
    <row r="2839" spans="1:42" x14ac:dyDescent="0.2">
      <c r="A2839" s="38">
        <v>45541</v>
      </c>
      <c r="B2839" s="28" t="s">
        <v>37</v>
      </c>
      <c r="C2839" s="41" t="s">
        <v>118</v>
      </c>
      <c r="D2839" s="26" t="s">
        <v>36</v>
      </c>
      <c r="E2839" s="26" t="s">
        <v>56</v>
      </c>
      <c r="F2839" s="26" t="s">
        <v>7355</v>
      </c>
      <c r="G2839" s="26" t="s">
        <v>221</v>
      </c>
      <c r="H2839" s="26" t="s">
        <v>10040</v>
      </c>
      <c r="I2839" s="17" t="str">
        <f ca="1">IFERROR(__xludf.DUMMYFUNCTION("""COMPUTED_VALUE""")," ")</f>
        <v xml:space="preserve"> </v>
      </c>
      <c r="J2839" s="49" t="s">
        <v>7227</v>
      </c>
      <c r="K2839" s="26" t="s">
        <v>7228</v>
      </c>
      <c r="L2839" s="30">
        <v>394612470</v>
      </c>
      <c r="M2839" s="26" t="s">
        <v>3288</v>
      </c>
      <c r="N2839" s="26" t="s">
        <v>200</v>
      </c>
      <c r="O2839" s="26" t="s">
        <v>7229</v>
      </c>
      <c r="P2839" s="26" t="s">
        <v>7230</v>
      </c>
      <c r="Q2839" s="20">
        <v>9317</v>
      </c>
      <c r="R2839" s="26" t="s">
        <v>36</v>
      </c>
      <c r="S2839" s="31">
        <v>9317</v>
      </c>
      <c r="T2839" s="32">
        <v>45346</v>
      </c>
      <c r="U2839" s="31"/>
      <c r="V2839" s="32"/>
      <c r="W2839" s="33" t="s">
        <v>7231</v>
      </c>
      <c r="X2839" s="26"/>
      <c r="Y2839" s="22">
        <v>0</v>
      </c>
      <c r="Z2839" s="26" t="s">
        <v>118</v>
      </c>
      <c r="AA2839" s="19" t="s">
        <v>7077</v>
      </c>
      <c r="AB2839" s="26" t="s">
        <v>36</v>
      </c>
      <c r="AC2839" s="26" t="s">
        <v>53</v>
      </c>
      <c r="AD2839" s="19" t="s">
        <v>54</v>
      </c>
      <c r="AE2839" s="26" t="s">
        <v>7355</v>
      </c>
      <c r="AF2839" s="17">
        <v>45557</v>
      </c>
      <c r="AG2839" s="26" t="s">
        <v>1362</v>
      </c>
      <c r="AH2839" s="26"/>
      <c r="AI2839" s="40" t="s">
        <v>64</v>
      </c>
      <c r="AJ2839" s="26"/>
      <c r="AK2839" s="26"/>
      <c r="AL2839" s="35"/>
      <c r="AM2839" s="35"/>
      <c r="AN2839" s="35"/>
      <c r="AO2839" s="35"/>
      <c r="AP2839" s="35"/>
    </row>
    <row r="2840" spans="1:42" x14ac:dyDescent="0.2">
      <c r="A2840" s="38">
        <v>45541</v>
      </c>
      <c r="B2840" s="28" t="s">
        <v>37</v>
      </c>
      <c r="C2840" s="41" t="s">
        <v>118</v>
      </c>
      <c r="D2840" s="26" t="s">
        <v>36</v>
      </c>
      <c r="E2840" s="26" t="s">
        <v>56</v>
      </c>
      <c r="F2840" s="26" t="s">
        <v>7355</v>
      </c>
      <c r="G2840" s="26" t="s">
        <v>221</v>
      </c>
      <c r="H2840" s="26" t="s">
        <v>8972</v>
      </c>
      <c r="I2840" s="17">
        <f ca="1">IFERROR(__xludf.DUMMYFUNCTION("""COMPUTED_VALUE"""),45625)</f>
        <v>45625</v>
      </c>
      <c r="J2840" s="29" t="s">
        <v>7875</v>
      </c>
      <c r="K2840" s="26" t="s">
        <v>10041</v>
      </c>
      <c r="L2840" s="30">
        <v>866993690</v>
      </c>
      <c r="M2840" s="26" t="s">
        <v>59</v>
      </c>
      <c r="N2840" s="26" t="s">
        <v>403</v>
      </c>
      <c r="O2840" s="26" t="s">
        <v>7877</v>
      </c>
      <c r="P2840" s="26" t="s">
        <v>7878</v>
      </c>
      <c r="Q2840" s="20">
        <v>9317</v>
      </c>
      <c r="R2840" s="26" t="s">
        <v>36</v>
      </c>
      <c r="S2840" s="31">
        <v>9317</v>
      </c>
      <c r="T2840" s="32">
        <v>45372</v>
      </c>
      <c r="U2840" s="31"/>
      <c r="V2840" s="32"/>
      <c r="W2840" s="33" t="s">
        <v>7879</v>
      </c>
      <c r="X2840" s="26"/>
      <c r="Y2840" s="22">
        <v>0</v>
      </c>
      <c r="Z2840" s="26" t="s">
        <v>118</v>
      </c>
      <c r="AA2840" s="19" t="s">
        <v>7361</v>
      </c>
      <c r="AB2840" s="26" t="s">
        <v>36</v>
      </c>
      <c r="AC2840" s="26" t="s">
        <v>53</v>
      </c>
      <c r="AD2840" s="19" t="s">
        <v>138</v>
      </c>
      <c r="AE2840" s="26" t="s">
        <v>7355</v>
      </c>
      <c r="AF2840" s="17">
        <v>45557</v>
      </c>
      <c r="AG2840" s="26" t="s">
        <v>1362</v>
      </c>
      <c r="AH2840" s="26"/>
      <c r="AI2840" s="40"/>
      <c r="AJ2840" s="26"/>
      <c r="AK2840" s="26"/>
      <c r="AL2840" s="35"/>
      <c r="AM2840" s="35"/>
      <c r="AN2840" s="35"/>
      <c r="AO2840" s="35"/>
      <c r="AP2840" s="35"/>
    </row>
    <row r="2841" spans="1:42" x14ac:dyDescent="0.2">
      <c r="A2841" s="38">
        <v>45541</v>
      </c>
      <c r="B2841" s="68" t="s">
        <v>37</v>
      </c>
      <c r="C2841" s="41" t="s">
        <v>118</v>
      </c>
      <c r="D2841" s="26" t="s">
        <v>36</v>
      </c>
      <c r="E2841" s="26" t="s">
        <v>139</v>
      </c>
      <c r="F2841" s="26" t="s">
        <v>8824</v>
      </c>
      <c r="G2841" s="26" t="s">
        <v>108</v>
      </c>
      <c r="H2841" s="26" t="s">
        <v>9906</v>
      </c>
      <c r="I2841" s="17">
        <f ca="1">IFERROR(__xludf.DUMMYFUNCTION("""COMPUTED_VALUE"""),45541)</f>
        <v>45541</v>
      </c>
      <c r="J2841" s="29" t="s">
        <v>10042</v>
      </c>
      <c r="K2841" s="26" t="s">
        <v>10043</v>
      </c>
      <c r="L2841" s="47">
        <v>362175505</v>
      </c>
      <c r="M2841" s="26" t="s">
        <v>2755</v>
      </c>
      <c r="N2841" s="26" t="s">
        <v>4402</v>
      </c>
      <c r="O2841" s="26" t="s">
        <v>4503</v>
      </c>
      <c r="P2841" s="42" t="s">
        <v>10044</v>
      </c>
      <c r="Q2841" s="20">
        <v>15936</v>
      </c>
      <c r="R2841" s="26" t="s">
        <v>36</v>
      </c>
      <c r="S2841" s="95">
        <f>200+1768</f>
        <v>1968</v>
      </c>
      <c r="T2841" s="83" t="s">
        <v>10045</v>
      </c>
      <c r="U2841" s="95">
        <v>13968</v>
      </c>
      <c r="V2841" s="148">
        <v>45515</v>
      </c>
      <c r="W2841" s="33" t="s">
        <v>10046</v>
      </c>
      <c r="X2841" s="26">
        <v>0</v>
      </c>
      <c r="Y2841" s="22">
        <v>0</v>
      </c>
      <c r="Z2841" s="26" t="s">
        <v>118</v>
      </c>
      <c r="AA2841" s="96"/>
      <c r="AB2841" s="26"/>
      <c r="AC2841" s="26" t="s">
        <v>53</v>
      </c>
      <c r="AD2841" s="26" t="s">
        <v>54</v>
      </c>
      <c r="AE2841" s="26" t="s">
        <v>8824</v>
      </c>
      <c r="AF2841" s="17">
        <v>45541</v>
      </c>
      <c r="AG2841" s="26"/>
      <c r="AH2841" s="26"/>
      <c r="AI2841" s="40"/>
      <c r="AJ2841" s="26"/>
      <c r="AK2841" s="26"/>
      <c r="AL2841" s="35"/>
      <c r="AM2841" s="35"/>
      <c r="AN2841" s="35"/>
      <c r="AO2841" s="35"/>
      <c r="AP2841" s="35"/>
    </row>
    <row r="2842" spans="1:42" x14ac:dyDescent="0.2">
      <c r="A2842" s="38">
        <v>45541</v>
      </c>
      <c r="B2842" s="68" t="s">
        <v>37</v>
      </c>
      <c r="C2842" s="41" t="s">
        <v>118</v>
      </c>
      <c r="D2842" s="26" t="s">
        <v>36</v>
      </c>
      <c r="E2842" s="26" t="s">
        <v>139</v>
      </c>
      <c r="F2842" s="26" t="s">
        <v>9367</v>
      </c>
      <c r="G2842" s="26" t="s">
        <v>108</v>
      </c>
      <c r="H2842" s="26" t="s">
        <v>10014</v>
      </c>
      <c r="I2842" s="17">
        <f ca="1">IFERROR(__xludf.DUMMYFUNCTION("""COMPUTED_VALUE"""),45551)</f>
        <v>45551</v>
      </c>
      <c r="J2842" s="29" t="s">
        <v>10047</v>
      </c>
      <c r="K2842" s="26" t="s">
        <v>10048</v>
      </c>
      <c r="L2842" s="30">
        <v>365321558</v>
      </c>
      <c r="M2842" s="26" t="s">
        <v>45</v>
      </c>
      <c r="N2842" s="26" t="s">
        <v>565</v>
      </c>
      <c r="O2842" s="26" t="s">
        <v>10049</v>
      </c>
      <c r="P2842" s="42" t="s">
        <v>10050</v>
      </c>
      <c r="Q2842" s="20">
        <v>15936</v>
      </c>
      <c r="R2842" s="26" t="s">
        <v>36</v>
      </c>
      <c r="S2842" s="95">
        <f>2000+5000</f>
        <v>7000</v>
      </c>
      <c r="T2842" s="83" t="s">
        <v>10051</v>
      </c>
      <c r="U2842" s="95">
        <v>8936</v>
      </c>
      <c r="V2842" s="148">
        <v>45524</v>
      </c>
      <c r="W2842" s="33" t="s">
        <v>10052</v>
      </c>
      <c r="X2842" s="26">
        <v>0</v>
      </c>
      <c r="Y2842" s="22">
        <v>0</v>
      </c>
      <c r="Z2842" s="26" t="s">
        <v>118</v>
      </c>
      <c r="AA2842" s="35"/>
      <c r="AB2842" s="26"/>
      <c r="AC2842" s="26" t="s">
        <v>53</v>
      </c>
      <c r="AD2842" s="26" t="s">
        <v>54</v>
      </c>
      <c r="AE2842" s="26" t="s">
        <v>9367</v>
      </c>
      <c r="AF2842" s="17">
        <v>45547</v>
      </c>
      <c r="AG2842" s="26"/>
      <c r="AH2842" s="26"/>
      <c r="AI2842" s="40"/>
      <c r="AJ2842" s="26"/>
      <c r="AK2842" s="26"/>
      <c r="AL2842" s="35"/>
      <c r="AM2842" s="35"/>
      <c r="AN2842" s="35"/>
      <c r="AO2842" s="35"/>
      <c r="AP2842" s="35"/>
    </row>
    <row r="2843" spans="1:42" x14ac:dyDescent="0.2">
      <c r="A2843" s="38">
        <v>45541</v>
      </c>
      <c r="B2843" s="28" t="s">
        <v>37</v>
      </c>
      <c r="C2843" s="41" t="s">
        <v>118</v>
      </c>
      <c r="D2843" s="26" t="s">
        <v>36</v>
      </c>
      <c r="E2843" s="26" t="s">
        <v>139</v>
      </c>
      <c r="F2843" s="26" t="s">
        <v>8635</v>
      </c>
      <c r="G2843" s="26" t="s">
        <v>108</v>
      </c>
      <c r="H2843" s="26" t="s">
        <v>6919</v>
      </c>
      <c r="I2843" s="17">
        <f ca="1">IFERROR(__xludf.DUMMYFUNCTION("""COMPUTED_VALUE"""),45552)</f>
        <v>45552</v>
      </c>
      <c r="J2843" s="29" t="s">
        <v>10053</v>
      </c>
      <c r="K2843" s="26" t="s">
        <v>10054</v>
      </c>
      <c r="L2843" s="47">
        <v>989570294</v>
      </c>
      <c r="M2843" s="26" t="s">
        <v>2755</v>
      </c>
      <c r="N2843" s="26" t="s">
        <v>2756</v>
      </c>
      <c r="O2843" s="26" t="s">
        <v>4503</v>
      </c>
      <c r="P2843" s="42" t="s">
        <v>10055</v>
      </c>
      <c r="Q2843" s="20">
        <v>15936</v>
      </c>
      <c r="R2843" s="26" t="s">
        <v>36</v>
      </c>
      <c r="S2843" s="77">
        <v>2000</v>
      </c>
      <c r="T2843" s="78">
        <v>45474</v>
      </c>
      <c r="U2843" s="77">
        <v>13936</v>
      </c>
      <c r="V2843" s="78">
        <v>45540</v>
      </c>
      <c r="W2843" s="79" t="s">
        <v>10056</v>
      </c>
      <c r="X2843" s="86">
        <v>0</v>
      </c>
      <c r="Y2843" s="22">
        <v>0</v>
      </c>
      <c r="Z2843" s="80" t="s">
        <v>50</v>
      </c>
      <c r="AA2843" s="82" t="s">
        <v>3291</v>
      </c>
      <c r="AB2843" s="26" t="s">
        <v>36</v>
      </c>
      <c r="AC2843" s="26" t="s">
        <v>53</v>
      </c>
      <c r="AD2843" s="26" t="s">
        <v>138</v>
      </c>
      <c r="AE2843" s="26" t="s">
        <v>8635</v>
      </c>
      <c r="AF2843" s="17">
        <v>45552</v>
      </c>
      <c r="AG2843" s="26"/>
      <c r="AH2843" s="26"/>
      <c r="AI2843" s="40"/>
      <c r="AJ2843" s="26"/>
      <c r="AK2843" s="26"/>
      <c r="AL2843" s="35"/>
      <c r="AM2843" s="35"/>
      <c r="AN2843" s="35"/>
      <c r="AO2843" s="35"/>
      <c r="AP2843" s="35"/>
    </row>
    <row r="2844" spans="1:42" x14ac:dyDescent="0.2">
      <c r="A2844" s="38">
        <v>45541</v>
      </c>
      <c r="B2844" s="68" t="s">
        <v>37</v>
      </c>
      <c r="C2844" s="41" t="s">
        <v>118</v>
      </c>
      <c r="D2844" s="26" t="s">
        <v>36</v>
      </c>
      <c r="E2844" s="26" t="s">
        <v>139</v>
      </c>
      <c r="F2844" s="26" t="s">
        <v>8635</v>
      </c>
      <c r="G2844" s="26" t="s">
        <v>108</v>
      </c>
      <c r="H2844" s="26" t="s">
        <v>10028</v>
      </c>
      <c r="I2844" s="17">
        <f ca="1">IFERROR(__xludf.DUMMYFUNCTION("""COMPUTED_VALUE"""),45562)</f>
        <v>45562</v>
      </c>
      <c r="J2844" s="29" t="s">
        <v>10057</v>
      </c>
      <c r="K2844" s="26" t="s">
        <v>10058</v>
      </c>
      <c r="L2844" s="30">
        <v>936655697</v>
      </c>
      <c r="M2844" s="26" t="s">
        <v>2755</v>
      </c>
      <c r="N2844" s="26" t="s">
        <v>2756</v>
      </c>
      <c r="O2844" s="26" t="s">
        <v>4503</v>
      </c>
      <c r="P2844" s="42" t="s">
        <v>10059</v>
      </c>
      <c r="Q2844" s="20">
        <v>15936</v>
      </c>
      <c r="R2844" s="26" t="s">
        <v>36</v>
      </c>
      <c r="S2844" s="95">
        <f>200+3800</f>
        <v>4000</v>
      </c>
      <c r="T2844" s="83" t="s">
        <v>10060</v>
      </c>
      <c r="U2844" s="95">
        <v>11936</v>
      </c>
      <c r="V2844" s="83" t="s">
        <v>10061</v>
      </c>
      <c r="W2844" s="33" t="s">
        <v>10062</v>
      </c>
      <c r="X2844" s="26">
        <v>0</v>
      </c>
      <c r="Y2844" s="22">
        <v>0</v>
      </c>
      <c r="Z2844" s="26" t="s">
        <v>50</v>
      </c>
      <c r="AA2844" s="35"/>
      <c r="AB2844" s="26" t="s">
        <v>36</v>
      </c>
      <c r="AC2844" s="26" t="s">
        <v>53</v>
      </c>
      <c r="AD2844" s="26" t="s">
        <v>54</v>
      </c>
      <c r="AE2844" s="26" t="s">
        <v>8635</v>
      </c>
      <c r="AF2844" s="17">
        <v>45562</v>
      </c>
      <c r="AG2844" s="26" t="s">
        <v>4279</v>
      </c>
      <c r="AH2844" s="26"/>
      <c r="AI2844" s="40"/>
      <c r="AJ2844" s="26"/>
      <c r="AK2844" s="26"/>
      <c r="AL2844" s="35"/>
      <c r="AM2844" s="35"/>
      <c r="AN2844" s="35"/>
      <c r="AO2844" s="35"/>
      <c r="AP2844" s="35"/>
    </row>
    <row r="2845" spans="1:42" x14ac:dyDescent="0.2">
      <c r="A2845" s="38">
        <v>45541</v>
      </c>
      <c r="B2845" s="28" t="s">
        <v>37</v>
      </c>
      <c r="C2845" s="41" t="s">
        <v>118</v>
      </c>
      <c r="D2845" s="26" t="s">
        <v>36</v>
      </c>
      <c r="E2845" s="26" t="s">
        <v>139</v>
      </c>
      <c r="F2845" s="26" t="s">
        <v>8635</v>
      </c>
      <c r="G2845" s="26" t="s">
        <v>108</v>
      </c>
      <c r="H2845" s="26" t="s">
        <v>6919</v>
      </c>
      <c r="I2845" s="17">
        <f ca="1">IFERROR(__xludf.DUMMYFUNCTION("""COMPUTED_VALUE"""),45552)</f>
        <v>45552</v>
      </c>
      <c r="J2845" s="29" t="s">
        <v>10063</v>
      </c>
      <c r="K2845" s="26" t="s">
        <v>10064</v>
      </c>
      <c r="L2845" s="30">
        <v>789892589</v>
      </c>
      <c r="M2845" s="26" t="s">
        <v>80</v>
      </c>
      <c r="N2845" s="26" t="s">
        <v>1073</v>
      </c>
      <c r="O2845" s="33" t="s">
        <v>10065</v>
      </c>
      <c r="P2845" s="42" t="s">
        <v>10066</v>
      </c>
      <c r="Q2845" s="20">
        <v>15936</v>
      </c>
      <c r="R2845" s="26" t="s">
        <v>3825</v>
      </c>
      <c r="S2845" s="95">
        <f t="shared" ref="S2845:S2846" si="10">200+1800</f>
        <v>2000</v>
      </c>
      <c r="T2845" s="83" t="s">
        <v>10067</v>
      </c>
      <c r="U2845" s="95">
        <v>13736</v>
      </c>
      <c r="V2845" s="148">
        <v>45530</v>
      </c>
      <c r="W2845" s="33" t="s">
        <v>10068</v>
      </c>
      <c r="X2845" s="26">
        <v>200</v>
      </c>
      <c r="Y2845" s="22">
        <v>0</v>
      </c>
      <c r="Z2845" s="26" t="s">
        <v>50</v>
      </c>
      <c r="AA2845" s="96"/>
      <c r="AB2845" s="26" t="s">
        <v>36</v>
      </c>
      <c r="AC2845" s="26" t="s">
        <v>53</v>
      </c>
      <c r="AD2845" s="26" t="s">
        <v>138</v>
      </c>
      <c r="AE2845" s="26" t="s">
        <v>8635</v>
      </c>
      <c r="AF2845" s="17">
        <v>45552</v>
      </c>
      <c r="AG2845" s="26"/>
      <c r="AH2845" s="26"/>
      <c r="AI2845" s="40"/>
      <c r="AJ2845" s="26"/>
      <c r="AK2845" s="26"/>
      <c r="AL2845" s="35"/>
      <c r="AM2845" s="35"/>
      <c r="AN2845" s="35"/>
      <c r="AO2845" s="35"/>
      <c r="AP2845" s="35"/>
    </row>
    <row r="2846" spans="1:42" x14ac:dyDescent="0.2">
      <c r="A2846" s="38">
        <v>45541</v>
      </c>
      <c r="B2846" s="28" t="s">
        <v>37</v>
      </c>
      <c r="C2846" s="41" t="s">
        <v>118</v>
      </c>
      <c r="D2846" s="26" t="s">
        <v>36</v>
      </c>
      <c r="E2846" s="26" t="s">
        <v>139</v>
      </c>
      <c r="F2846" s="26" t="s">
        <v>8635</v>
      </c>
      <c r="G2846" s="26" t="s">
        <v>108</v>
      </c>
      <c r="H2846" s="26" t="s">
        <v>6919</v>
      </c>
      <c r="I2846" s="17">
        <f ca="1">IFERROR(__xludf.DUMMYFUNCTION("""COMPUTED_VALUE"""),45552)</f>
        <v>45552</v>
      </c>
      <c r="J2846" s="29" t="s">
        <v>10069</v>
      </c>
      <c r="K2846" s="26" t="s">
        <v>10070</v>
      </c>
      <c r="L2846" s="30">
        <v>968675852</v>
      </c>
      <c r="M2846" s="26" t="s">
        <v>80</v>
      </c>
      <c r="N2846" s="26" t="s">
        <v>1073</v>
      </c>
      <c r="O2846" s="26" t="s">
        <v>10071</v>
      </c>
      <c r="P2846" s="42" t="s">
        <v>10072</v>
      </c>
      <c r="Q2846" s="20">
        <v>15936</v>
      </c>
      <c r="R2846" s="26" t="s">
        <v>36</v>
      </c>
      <c r="S2846" s="95">
        <f t="shared" si="10"/>
        <v>2000</v>
      </c>
      <c r="T2846" s="83" t="s">
        <v>10073</v>
      </c>
      <c r="U2846" s="95">
        <v>14000</v>
      </c>
      <c r="V2846" s="148">
        <v>45523</v>
      </c>
      <c r="W2846" s="33" t="s">
        <v>10074</v>
      </c>
      <c r="X2846" s="26">
        <v>0</v>
      </c>
      <c r="Y2846" s="22">
        <v>-64</v>
      </c>
      <c r="Z2846" s="26" t="s">
        <v>50</v>
      </c>
      <c r="AA2846" s="35"/>
      <c r="AB2846" s="26" t="s">
        <v>36</v>
      </c>
      <c r="AC2846" s="26" t="s">
        <v>53</v>
      </c>
      <c r="AD2846" s="26" t="s">
        <v>54</v>
      </c>
      <c r="AE2846" s="26" t="s">
        <v>8635</v>
      </c>
      <c r="AF2846" s="17">
        <v>45552</v>
      </c>
      <c r="AG2846" s="26"/>
      <c r="AH2846" s="26"/>
      <c r="AI2846" s="40"/>
      <c r="AJ2846" s="26"/>
      <c r="AK2846" s="26"/>
      <c r="AL2846" s="35"/>
      <c r="AM2846" s="35"/>
      <c r="AN2846" s="35"/>
      <c r="AO2846" s="35"/>
      <c r="AP2846" s="35"/>
    </row>
    <row r="2847" spans="1:42" x14ac:dyDescent="0.2">
      <c r="A2847" s="38">
        <v>45541</v>
      </c>
      <c r="B2847" s="28" t="s">
        <v>37</v>
      </c>
      <c r="C2847" s="41" t="s">
        <v>118</v>
      </c>
      <c r="D2847" s="26" t="s">
        <v>36</v>
      </c>
      <c r="E2847" s="26" t="s">
        <v>139</v>
      </c>
      <c r="F2847" s="26" t="s">
        <v>8635</v>
      </c>
      <c r="G2847" s="26" t="s">
        <v>108</v>
      </c>
      <c r="H2847" s="26" t="s">
        <v>6919</v>
      </c>
      <c r="I2847" s="17">
        <f ca="1">IFERROR(__xludf.DUMMYFUNCTION("""COMPUTED_VALUE"""),45552)</f>
        <v>45552</v>
      </c>
      <c r="J2847" s="29" t="s">
        <v>10075</v>
      </c>
      <c r="K2847" s="26" t="s">
        <v>10076</v>
      </c>
      <c r="L2847" s="30">
        <v>386683732</v>
      </c>
      <c r="M2847" s="26" t="s">
        <v>123</v>
      </c>
      <c r="N2847" s="26" t="s">
        <v>186</v>
      </c>
      <c r="O2847" s="26" t="s">
        <v>4503</v>
      </c>
      <c r="P2847" s="42" t="s">
        <v>10077</v>
      </c>
      <c r="Q2847" s="20">
        <v>15936</v>
      </c>
      <c r="R2847" s="26" t="s">
        <v>70</v>
      </c>
      <c r="S2847" s="95">
        <f>200+5000</f>
        <v>5200</v>
      </c>
      <c r="T2847" s="83" t="s">
        <v>10078</v>
      </c>
      <c r="U2847" s="95">
        <v>10736</v>
      </c>
      <c r="V2847" s="148">
        <v>45516</v>
      </c>
      <c r="W2847" s="33" t="s">
        <v>10079</v>
      </c>
      <c r="X2847" s="26">
        <v>100</v>
      </c>
      <c r="Y2847" s="22">
        <v>-100</v>
      </c>
      <c r="Z2847" s="26" t="s">
        <v>50</v>
      </c>
      <c r="AA2847" s="96"/>
      <c r="AB2847" s="26" t="s">
        <v>36</v>
      </c>
      <c r="AC2847" s="26" t="s">
        <v>53</v>
      </c>
      <c r="AD2847" s="26" t="s">
        <v>138</v>
      </c>
      <c r="AE2847" s="26" t="s">
        <v>8635</v>
      </c>
      <c r="AF2847" s="17">
        <v>45552</v>
      </c>
      <c r="AG2847" s="26"/>
      <c r="AH2847" s="26"/>
      <c r="AI2847" s="40"/>
      <c r="AJ2847" s="26"/>
      <c r="AK2847" s="26"/>
      <c r="AL2847" s="35"/>
      <c r="AM2847" s="35"/>
      <c r="AN2847" s="35"/>
      <c r="AO2847" s="35"/>
      <c r="AP2847" s="35"/>
    </row>
    <row r="2848" spans="1:42" x14ac:dyDescent="0.2">
      <c r="A2848" s="38">
        <v>45541</v>
      </c>
      <c r="B2848" s="28" t="s">
        <v>37</v>
      </c>
      <c r="C2848" s="41" t="s">
        <v>118</v>
      </c>
      <c r="D2848" s="26" t="s">
        <v>36</v>
      </c>
      <c r="E2848" s="26" t="s">
        <v>56</v>
      </c>
      <c r="F2848" s="26" t="s">
        <v>8635</v>
      </c>
      <c r="G2848" s="26" t="s">
        <v>108</v>
      </c>
      <c r="H2848" s="26" t="s">
        <v>6919</v>
      </c>
      <c r="I2848" s="17">
        <f ca="1">IFERROR(__xludf.DUMMYFUNCTION("""COMPUTED_VALUE"""),45552)</f>
        <v>45552</v>
      </c>
      <c r="J2848" s="29" t="s">
        <v>9522</v>
      </c>
      <c r="K2848" s="26" t="s">
        <v>6399</v>
      </c>
      <c r="L2848" s="30">
        <v>787086202</v>
      </c>
      <c r="M2848" s="26" t="s">
        <v>59</v>
      </c>
      <c r="N2848" s="26" t="s">
        <v>68</v>
      </c>
      <c r="O2848" s="26" t="s">
        <v>9523</v>
      </c>
      <c r="P2848" s="42" t="s">
        <v>10080</v>
      </c>
      <c r="Q2848" s="20"/>
      <c r="R2848" s="26" t="s">
        <v>70</v>
      </c>
      <c r="S2848" s="95">
        <v>9217</v>
      </c>
      <c r="T2848" s="148">
        <v>45488</v>
      </c>
      <c r="U2848" s="31"/>
      <c r="V2848" s="32"/>
      <c r="W2848" s="33" t="s">
        <v>9524</v>
      </c>
      <c r="X2848" s="26"/>
      <c r="Y2848" s="22"/>
      <c r="Z2848" s="26" t="s">
        <v>50</v>
      </c>
      <c r="AA2848" s="70" t="s">
        <v>9070</v>
      </c>
      <c r="AB2848" s="26" t="s">
        <v>36</v>
      </c>
      <c r="AC2848" s="26" t="s">
        <v>53</v>
      </c>
      <c r="AD2848" s="26" t="s">
        <v>138</v>
      </c>
      <c r="AE2848" s="26" t="s">
        <v>8635</v>
      </c>
      <c r="AF2848" s="17">
        <v>45552</v>
      </c>
      <c r="AG2848" s="139"/>
      <c r="AH2848" s="26"/>
      <c r="AI2848" s="40"/>
      <c r="AJ2848" s="26"/>
      <c r="AK2848" s="26"/>
      <c r="AL2848" s="35"/>
      <c r="AM2848" s="35"/>
      <c r="AN2848" s="35"/>
      <c r="AO2848" s="35"/>
      <c r="AP2848" s="35"/>
    </row>
    <row r="2849" spans="1:42" x14ac:dyDescent="0.2">
      <c r="A2849" s="38">
        <v>45541</v>
      </c>
      <c r="B2849" s="28" t="s">
        <v>37</v>
      </c>
      <c r="C2849" s="41" t="s">
        <v>118</v>
      </c>
      <c r="D2849" s="26" t="s">
        <v>36</v>
      </c>
      <c r="E2849" s="26" t="s">
        <v>56</v>
      </c>
      <c r="F2849" s="26" t="s">
        <v>8635</v>
      </c>
      <c r="G2849" s="26" t="s">
        <v>108</v>
      </c>
      <c r="H2849" s="26" t="s">
        <v>6919</v>
      </c>
      <c r="I2849" s="17">
        <f ca="1">IFERROR(__xludf.DUMMYFUNCTION("""COMPUTED_VALUE"""),45552)</f>
        <v>45552</v>
      </c>
      <c r="J2849" s="29" t="s">
        <v>9525</v>
      </c>
      <c r="K2849" s="26" t="s">
        <v>9526</v>
      </c>
      <c r="L2849" s="30">
        <v>817282123</v>
      </c>
      <c r="M2849" s="26" t="s">
        <v>59</v>
      </c>
      <c r="N2849" s="26" t="s">
        <v>68</v>
      </c>
      <c r="O2849" s="26" t="s">
        <v>9527</v>
      </c>
      <c r="P2849" s="26" t="s">
        <v>9528</v>
      </c>
      <c r="Q2849" s="20"/>
      <c r="R2849" s="26" t="s">
        <v>70</v>
      </c>
      <c r="S2849" s="95">
        <v>9217</v>
      </c>
      <c r="T2849" s="148">
        <v>45488</v>
      </c>
      <c r="U2849" s="31"/>
      <c r="V2849" s="32"/>
      <c r="W2849" s="33" t="s">
        <v>9529</v>
      </c>
      <c r="X2849" s="26"/>
      <c r="Y2849" s="22"/>
      <c r="Z2849" s="26" t="s">
        <v>50</v>
      </c>
      <c r="AA2849" s="70" t="s">
        <v>9070</v>
      </c>
      <c r="AB2849" s="26" t="s">
        <v>36</v>
      </c>
      <c r="AC2849" s="26" t="s">
        <v>2218</v>
      </c>
      <c r="AD2849" s="26" t="s">
        <v>138</v>
      </c>
      <c r="AE2849" s="26" t="s">
        <v>8635</v>
      </c>
      <c r="AF2849" s="17">
        <v>45552</v>
      </c>
      <c r="AG2849" s="26"/>
      <c r="AH2849" s="26"/>
      <c r="AI2849" s="40"/>
      <c r="AJ2849" s="26"/>
      <c r="AK2849" s="26"/>
      <c r="AL2849" s="35"/>
      <c r="AM2849" s="35"/>
      <c r="AN2849" s="35"/>
      <c r="AO2849" s="35"/>
      <c r="AP2849" s="35"/>
    </row>
    <row r="2850" spans="1:42" x14ac:dyDescent="0.2">
      <c r="A2850" s="38">
        <v>45541</v>
      </c>
      <c r="B2850" s="28" t="s">
        <v>37</v>
      </c>
      <c r="C2850" s="41" t="s">
        <v>118</v>
      </c>
      <c r="D2850" s="80" t="s">
        <v>36</v>
      </c>
      <c r="E2850" s="80" t="s">
        <v>56</v>
      </c>
      <c r="F2850" s="26" t="s">
        <v>8635</v>
      </c>
      <c r="G2850" s="26" t="s">
        <v>108</v>
      </c>
      <c r="H2850" s="26" t="s">
        <v>10014</v>
      </c>
      <c r="I2850" s="17">
        <f ca="1">IFERROR(__xludf.DUMMYFUNCTION("""COMPUTED_VALUE"""),45551)</f>
        <v>45551</v>
      </c>
      <c r="J2850" s="143" t="s">
        <v>9239</v>
      </c>
      <c r="K2850" s="80" t="s">
        <v>10081</v>
      </c>
      <c r="L2850" s="30">
        <v>901729457</v>
      </c>
      <c r="M2850" s="80" t="s">
        <v>6309</v>
      </c>
      <c r="N2850" s="80" t="s">
        <v>1400</v>
      </c>
      <c r="O2850" s="80" t="s">
        <v>8827</v>
      </c>
      <c r="P2850" s="144" t="s">
        <v>10082</v>
      </c>
      <c r="Q2850" s="20"/>
      <c r="R2850" s="80" t="s">
        <v>36</v>
      </c>
      <c r="S2850" s="95">
        <v>9317</v>
      </c>
      <c r="T2850" s="148">
        <v>45475</v>
      </c>
      <c r="U2850" s="77"/>
      <c r="V2850" s="78"/>
      <c r="W2850" s="85" t="s">
        <v>9240</v>
      </c>
      <c r="X2850" s="80"/>
      <c r="Y2850" s="22"/>
      <c r="Z2850" s="81" t="s">
        <v>50</v>
      </c>
      <c r="AA2850" s="86" t="s">
        <v>9070</v>
      </c>
      <c r="AB2850" s="80" t="s">
        <v>36</v>
      </c>
      <c r="AC2850" s="80" t="s">
        <v>53</v>
      </c>
      <c r="AD2850" s="80" t="s">
        <v>138</v>
      </c>
      <c r="AE2850" s="26" t="s">
        <v>8635</v>
      </c>
      <c r="AF2850" s="17">
        <v>45552</v>
      </c>
      <c r="AG2850" s="80"/>
      <c r="AH2850" s="80"/>
      <c r="AI2850" s="147"/>
      <c r="AJ2850" s="80"/>
      <c r="AK2850" s="80"/>
      <c r="AL2850" s="86"/>
      <c r="AM2850" s="86"/>
      <c r="AN2850" s="86"/>
      <c r="AO2850" s="86"/>
      <c r="AP2850" s="35"/>
    </row>
    <row r="2851" spans="1:42" x14ac:dyDescent="0.2">
      <c r="A2851" s="38">
        <v>45541</v>
      </c>
      <c r="B2851" s="28" t="s">
        <v>37</v>
      </c>
      <c r="C2851" s="41" t="s">
        <v>118</v>
      </c>
      <c r="D2851" s="26" t="s">
        <v>36</v>
      </c>
      <c r="E2851" s="26" t="s">
        <v>139</v>
      </c>
      <c r="F2851" s="26" t="s">
        <v>8635</v>
      </c>
      <c r="G2851" s="26" t="s">
        <v>108</v>
      </c>
      <c r="H2851" s="26" t="s">
        <v>6919</v>
      </c>
      <c r="I2851" s="17">
        <f ca="1">IFERROR(__xludf.DUMMYFUNCTION("""COMPUTED_VALUE"""),45552)</f>
        <v>45552</v>
      </c>
      <c r="J2851" s="29" t="s">
        <v>10083</v>
      </c>
      <c r="K2851" s="26" t="s">
        <v>10084</v>
      </c>
      <c r="L2851" s="30">
        <v>394722006</v>
      </c>
      <c r="M2851" s="26" t="s">
        <v>80</v>
      </c>
      <c r="N2851" s="26" t="s">
        <v>1073</v>
      </c>
      <c r="O2851" s="26" t="s">
        <v>10085</v>
      </c>
      <c r="P2851" s="26" t="s">
        <v>10086</v>
      </c>
      <c r="Q2851" s="20">
        <v>15936</v>
      </c>
      <c r="R2851" s="26" t="s">
        <v>3825</v>
      </c>
      <c r="S2851" s="178">
        <f>200+1800</f>
        <v>2000</v>
      </c>
      <c r="T2851" s="179" t="s">
        <v>10073</v>
      </c>
      <c r="U2851" s="95">
        <v>13736</v>
      </c>
      <c r="V2851" s="148">
        <v>45524</v>
      </c>
      <c r="W2851" s="33" t="s">
        <v>10087</v>
      </c>
      <c r="X2851" s="26">
        <v>200</v>
      </c>
      <c r="Y2851" s="22">
        <v>0</v>
      </c>
      <c r="Z2851" s="26" t="s">
        <v>50</v>
      </c>
      <c r="AA2851" s="96"/>
      <c r="AB2851" s="26" t="s">
        <v>36</v>
      </c>
      <c r="AC2851" s="26" t="s">
        <v>53</v>
      </c>
      <c r="AD2851" s="26" t="s">
        <v>54</v>
      </c>
      <c r="AE2851" s="26" t="s">
        <v>8635</v>
      </c>
      <c r="AF2851" s="17">
        <v>45552</v>
      </c>
      <c r="AG2851" s="26"/>
      <c r="AH2851" s="26"/>
      <c r="AI2851" s="40"/>
      <c r="AJ2851" s="26"/>
      <c r="AK2851" s="26"/>
      <c r="AL2851" s="35"/>
      <c r="AM2851" s="35"/>
      <c r="AN2851" s="35"/>
      <c r="AO2851" s="35"/>
      <c r="AP2851" s="35"/>
    </row>
    <row r="2852" spans="1:42" x14ac:dyDescent="0.2">
      <c r="A2852" s="38">
        <v>45541</v>
      </c>
      <c r="B2852" s="137" t="s">
        <v>37</v>
      </c>
      <c r="C2852" s="41" t="s">
        <v>118</v>
      </c>
      <c r="D2852" s="26" t="s">
        <v>36</v>
      </c>
      <c r="E2852" s="26" t="s">
        <v>139</v>
      </c>
      <c r="F2852" s="26" t="s">
        <v>9360</v>
      </c>
      <c r="G2852" s="26" t="s">
        <v>108</v>
      </c>
      <c r="H2852" s="26" t="s">
        <v>9768</v>
      </c>
      <c r="I2852" s="17">
        <f ca="1">IFERROR(__xludf.DUMMYFUNCTION("""COMPUTED_VALUE"""),45578)</f>
        <v>45578</v>
      </c>
      <c r="J2852" s="29" t="s">
        <v>9437</v>
      </c>
      <c r="K2852" s="26" t="s">
        <v>10088</v>
      </c>
      <c r="L2852" s="30">
        <v>978324263</v>
      </c>
      <c r="M2852" s="26" t="s">
        <v>9422</v>
      </c>
      <c r="N2852" s="26" t="s">
        <v>5574</v>
      </c>
      <c r="O2852" s="26" t="s">
        <v>9439</v>
      </c>
      <c r="P2852" s="42" t="s">
        <v>10089</v>
      </c>
      <c r="Q2852" s="20"/>
      <c r="R2852" s="26" t="s">
        <v>36</v>
      </c>
      <c r="S2852" s="95">
        <v>15936</v>
      </c>
      <c r="T2852" s="148">
        <v>45482</v>
      </c>
      <c r="U2852" s="31"/>
      <c r="V2852" s="32"/>
      <c r="W2852" s="33" t="s">
        <v>9441</v>
      </c>
      <c r="X2852" s="26"/>
      <c r="Y2852" s="22"/>
      <c r="Z2852" s="26" t="s">
        <v>50</v>
      </c>
      <c r="AA2852" s="70" t="s">
        <v>9070</v>
      </c>
      <c r="AB2852" s="26"/>
      <c r="AC2852" s="26" t="s">
        <v>53</v>
      </c>
      <c r="AD2852" s="26" t="s">
        <v>54</v>
      </c>
      <c r="AE2852" s="26" t="s">
        <v>9360</v>
      </c>
      <c r="AF2852" s="43">
        <v>45576</v>
      </c>
      <c r="AG2852" s="80" t="s">
        <v>9774</v>
      </c>
      <c r="AH2852" s="26"/>
      <c r="AI2852" s="40"/>
      <c r="AJ2852" s="26"/>
      <c r="AK2852" s="26"/>
      <c r="AL2852" s="35"/>
      <c r="AM2852" s="35"/>
      <c r="AN2852" s="35"/>
      <c r="AO2852" s="35"/>
      <c r="AP2852" s="35"/>
    </row>
    <row r="2853" spans="1:42" x14ac:dyDescent="0.2">
      <c r="A2853" s="38">
        <v>45541</v>
      </c>
      <c r="B2853" s="137" t="s">
        <v>37</v>
      </c>
      <c r="C2853" s="41" t="s">
        <v>118</v>
      </c>
      <c r="D2853" s="26" t="s">
        <v>36</v>
      </c>
      <c r="E2853" s="26" t="s">
        <v>139</v>
      </c>
      <c r="F2853" s="26" t="s">
        <v>9360</v>
      </c>
      <c r="G2853" s="26" t="s">
        <v>108</v>
      </c>
      <c r="H2853" s="26" t="s">
        <v>9768</v>
      </c>
      <c r="I2853" s="17">
        <f ca="1">IFERROR(__xludf.DUMMYFUNCTION("""COMPUTED_VALUE"""),45578)</f>
        <v>45578</v>
      </c>
      <c r="J2853" s="29" t="s">
        <v>10090</v>
      </c>
      <c r="K2853" s="26" t="s">
        <v>10091</v>
      </c>
      <c r="L2853" s="30">
        <v>362163006</v>
      </c>
      <c r="M2853" s="26" t="s">
        <v>123</v>
      </c>
      <c r="N2853" s="26" t="s">
        <v>327</v>
      </c>
      <c r="O2853" s="26" t="s">
        <v>4503</v>
      </c>
      <c r="P2853" s="26" t="s">
        <v>10092</v>
      </c>
      <c r="Q2853" s="20">
        <v>15936</v>
      </c>
      <c r="R2853" s="26" t="s">
        <v>36</v>
      </c>
      <c r="S2853" s="95">
        <v>2000</v>
      </c>
      <c r="T2853" s="148">
        <v>45475</v>
      </c>
      <c r="U2853" s="95">
        <f>7000+7000</f>
        <v>14000</v>
      </c>
      <c r="V2853" s="148">
        <v>45529</v>
      </c>
      <c r="W2853" s="33" t="s">
        <v>10093</v>
      </c>
      <c r="X2853" s="26">
        <v>0</v>
      </c>
      <c r="Y2853" s="22">
        <v>-64</v>
      </c>
      <c r="Z2853" s="26" t="s">
        <v>50</v>
      </c>
      <c r="AA2853" s="96"/>
      <c r="AB2853" s="26" t="s">
        <v>4503</v>
      </c>
      <c r="AC2853" s="26" t="s">
        <v>53</v>
      </c>
      <c r="AD2853" s="26" t="s">
        <v>54</v>
      </c>
      <c r="AE2853" s="26" t="s">
        <v>9360</v>
      </c>
      <c r="AF2853" s="43">
        <v>45576</v>
      </c>
      <c r="AG2853" s="80" t="s">
        <v>9774</v>
      </c>
      <c r="AH2853" s="26"/>
      <c r="AI2853" s="40"/>
      <c r="AJ2853" s="26"/>
      <c r="AK2853" s="26"/>
      <c r="AL2853" s="35"/>
      <c r="AM2853" s="35"/>
      <c r="AN2853" s="35"/>
      <c r="AO2853" s="35"/>
      <c r="AP2853" s="35"/>
    </row>
    <row r="2854" spans="1:42" x14ac:dyDescent="0.2">
      <c r="A2854" s="38">
        <v>45541</v>
      </c>
      <c r="B2854" s="28" t="s">
        <v>37</v>
      </c>
      <c r="C2854" s="41" t="s">
        <v>118</v>
      </c>
      <c r="D2854" s="26" t="s">
        <v>36</v>
      </c>
      <c r="E2854" s="26" t="s">
        <v>39</v>
      </c>
      <c r="F2854" s="26" t="s">
        <v>8635</v>
      </c>
      <c r="G2854" s="26" t="s">
        <v>108</v>
      </c>
      <c r="H2854" s="26" t="s">
        <v>6919</v>
      </c>
      <c r="I2854" s="17">
        <f ca="1">IFERROR(__xludf.DUMMYFUNCTION("""COMPUTED_VALUE"""),45552)</f>
        <v>45552</v>
      </c>
      <c r="J2854" s="29" t="s">
        <v>8777</v>
      </c>
      <c r="K2854" s="26" t="s">
        <v>8778</v>
      </c>
      <c r="L2854" s="30">
        <v>347761179</v>
      </c>
      <c r="M2854" s="26" t="s">
        <v>292</v>
      </c>
      <c r="N2854" s="26" t="s">
        <v>1232</v>
      </c>
      <c r="O2854" s="26" t="s">
        <v>8779</v>
      </c>
      <c r="P2854" s="26" t="s">
        <v>10094</v>
      </c>
      <c r="Q2854" s="20">
        <v>5736</v>
      </c>
      <c r="R2854" s="26" t="s">
        <v>36</v>
      </c>
      <c r="S2854" s="31">
        <v>5736</v>
      </c>
      <c r="T2854" s="32">
        <v>45462</v>
      </c>
      <c r="U2854" s="31"/>
      <c r="V2854" s="32"/>
      <c r="W2854" s="33" t="s">
        <v>8780</v>
      </c>
      <c r="X2854" s="26"/>
      <c r="Y2854" s="22">
        <v>0</v>
      </c>
      <c r="Z2854" s="26" t="s">
        <v>50</v>
      </c>
      <c r="AA2854" s="19" t="s">
        <v>8721</v>
      </c>
      <c r="AB2854" s="26" t="s">
        <v>36</v>
      </c>
      <c r="AC2854" s="26" t="s">
        <v>53</v>
      </c>
      <c r="AD2854" s="19" t="s">
        <v>138</v>
      </c>
      <c r="AE2854" s="26" t="s">
        <v>8635</v>
      </c>
      <c r="AF2854" s="17">
        <v>45552</v>
      </c>
      <c r="AG2854" s="26"/>
      <c r="AH2854" s="26"/>
      <c r="AI2854" s="40"/>
      <c r="AJ2854" s="26"/>
      <c r="AK2854" s="26"/>
      <c r="AL2854" s="35"/>
      <c r="AM2854" s="35"/>
      <c r="AN2854" s="35"/>
      <c r="AO2854" s="35"/>
      <c r="AP2854" s="35"/>
    </row>
    <row r="2855" spans="1:42" x14ac:dyDescent="0.2">
      <c r="A2855" s="38">
        <v>45541</v>
      </c>
      <c r="B2855" s="28" t="s">
        <v>37</v>
      </c>
      <c r="C2855" s="41" t="s">
        <v>118</v>
      </c>
      <c r="D2855" s="26" t="s">
        <v>36</v>
      </c>
      <c r="E2855" s="26" t="s">
        <v>139</v>
      </c>
      <c r="F2855" s="26" t="s">
        <v>8635</v>
      </c>
      <c r="G2855" s="26" t="s">
        <v>108</v>
      </c>
      <c r="H2855" s="26" t="s">
        <v>6919</v>
      </c>
      <c r="I2855" s="17">
        <f ca="1">IFERROR(__xludf.DUMMYFUNCTION("""COMPUTED_VALUE"""),45552)</f>
        <v>45552</v>
      </c>
      <c r="J2855" s="44" t="s">
        <v>10095</v>
      </c>
      <c r="K2855" s="26" t="s">
        <v>9417</v>
      </c>
      <c r="L2855" s="30">
        <v>355021485</v>
      </c>
      <c r="M2855" s="26" t="s">
        <v>123</v>
      </c>
      <c r="N2855" s="26" t="s">
        <v>186</v>
      </c>
      <c r="O2855" s="26" t="s">
        <v>4503</v>
      </c>
      <c r="P2855" s="26" t="s">
        <v>10096</v>
      </c>
      <c r="Q2855" s="20"/>
      <c r="R2855" s="26" t="s">
        <v>36</v>
      </c>
      <c r="S2855" s="95">
        <f>200+15736</f>
        <v>15936</v>
      </c>
      <c r="T2855" s="148">
        <v>45485</v>
      </c>
      <c r="U2855" s="31"/>
      <c r="V2855" s="32"/>
      <c r="W2855" s="33" t="s">
        <v>9418</v>
      </c>
      <c r="X2855" s="26"/>
      <c r="Y2855" s="22"/>
      <c r="Z2855" s="26" t="s">
        <v>50</v>
      </c>
      <c r="AA2855" s="70" t="s">
        <v>9070</v>
      </c>
      <c r="AB2855" s="26" t="s">
        <v>36</v>
      </c>
      <c r="AC2855" s="26" t="s">
        <v>53</v>
      </c>
      <c r="AD2855" s="26" t="s">
        <v>138</v>
      </c>
      <c r="AE2855" s="26" t="s">
        <v>8635</v>
      </c>
      <c r="AF2855" s="17">
        <v>45552</v>
      </c>
      <c r="AG2855" s="26"/>
      <c r="AH2855" s="26"/>
      <c r="AI2855" s="40"/>
      <c r="AJ2855" s="26"/>
      <c r="AK2855" s="26"/>
      <c r="AL2855" s="35"/>
      <c r="AM2855" s="35"/>
      <c r="AN2855" s="35"/>
      <c r="AO2855" s="35"/>
      <c r="AP2855" s="35"/>
    </row>
    <row r="2856" spans="1:42" x14ac:dyDescent="0.2">
      <c r="A2856" s="38">
        <v>45543</v>
      </c>
      <c r="B2856" s="28" t="s">
        <v>37</v>
      </c>
      <c r="C2856" s="41" t="s">
        <v>118</v>
      </c>
      <c r="D2856" s="26" t="s">
        <v>36</v>
      </c>
      <c r="E2856" s="26" t="s">
        <v>139</v>
      </c>
      <c r="F2856" s="26" t="s">
        <v>7355</v>
      </c>
      <c r="G2856" s="26" t="s">
        <v>221</v>
      </c>
      <c r="H2856" s="26" t="s">
        <v>7024</v>
      </c>
      <c r="I2856" s="17">
        <f ca="1">IFERROR(__xludf.DUMMYFUNCTION("""COMPUTED_VALUE"""),45557)</f>
        <v>45557</v>
      </c>
      <c r="J2856" s="29" t="s">
        <v>7356</v>
      </c>
      <c r="K2856" s="26" t="s">
        <v>7547</v>
      </c>
      <c r="L2856" s="30">
        <v>965295107</v>
      </c>
      <c r="M2856" s="26" t="s">
        <v>123</v>
      </c>
      <c r="N2856" s="26" t="s">
        <v>186</v>
      </c>
      <c r="O2856" s="26" t="s">
        <v>4503</v>
      </c>
      <c r="P2856" s="26" t="s">
        <v>10097</v>
      </c>
      <c r="Q2856" s="20">
        <v>15936</v>
      </c>
      <c r="R2856" s="26" t="s">
        <v>36</v>
      </c>
      <c r="S2856" s="31">
        <f>70+5000</f>
        <v>5070</v>
      </c>
      <c r="T2856" s="26" t="s">
        <v>7358</v>
      </c>
      <c r="U2856" s="31">
        <f>10766+100</f>
        <v>10866</v>
      </c>
      <c r="V2856" s="26" t="s">
        <v>7359</v>
      </c>
      <c r="W2856" s="33" t="s">
        <v>7360</v>
      </c>
      <c r="X2856" s="26"/>
      <c r="Y2856" s="22">
        <v>0</v>
      </c>
      <c r="Z2856" s="26" t="s">
        <v>50</v>
      </c>
      <c r="AA2856" s="19" t="s">
        <v>7361</v>
      </c>
      <c r="AB2856" s="26" t="s">
        <v>4503</v>
      </c>
      <c r="AC2856" s="26" t="s">
        <v>53</v>
      </c>
      <c r="AD2856" s="19" t="s">
        <v>138</v>
      </c>
      <c r="AE2856" s="26" t="s">
        <v>7355</v>
      </c>
      <c r="AF2856" s="17">
        <v>45557</v>
      </c>
      <c r="AG2856" s="26" t="s">
        <v>1362</v>
      </c>
      <c r="AH2856" s="26"/>
      <c r="AI2856" s="40" t="s">
        <v>147</v>
      </c>
      <c r="AJ2856" s="26"/>
      <c r="AK2856" s="26"/>
      <c r="AL2856" s="35"/>
      <c r="AM2856" s="35"/>
      <c r="AN2856" s="35"/>
      <c r="AO2856" s="35"/>
      <c r="AP2856" s="35"/>
    </row>
    <row r="2857" spans="1:42" x14ac:dyDescent="0.2">
      <c r="A2857" s="38">
        <v>45543</v>
      </c>
      <c r="B2857" s="28" t="s">
        <v>37</v>
      </c>
      <c r="C2857" s="41" t="s">
        <v>118</v>
      </c>
      <c r="D2857" s="26" t="s">
        <v>36</v>
      </c>
      <c r="E2857" s="26" t="s">
        <v>139</v>
      </c>
      <c r="F2857" s="26" t="s">
        <v>8824</v>
      </c>
      <c r="G2857" s="26" t="s">
        <v>108</v>
      </c>
      <c r="H2857" s="26" t="s">
        <v>10098</v>
      </c>
      <c r="I2857" s="17">
        <f ca="1">IFERROR(__xludf.DUMMYFUNCTION("""COMPUTED_VALUE"""),45624)</f>
        <v>45624</v>
      </c>
      <c r="J2857" s="29" t="s">
        <v>10099</v>
      </c>
      <c r="K2857" s="26" t="s">
        <v>10100</v>
      </c>
      <c r="L2857" s="30">
        <v>988392278</v>
      </c>
      <c r="M2857" s="26" t="s">
        <v>5558</v>
      </c>
      <c r="N2857" s="26" t="s">
        <v>5559</v>
      </c>
      <c r="O2857" s="26" t="s">
        <v>4503</v>
      </c>
      <c r="P2857" s="42" t="s">
        <v>10101</v>
      </c>
      <c r="Q2857" s="20">
        <v>15936</v>
      </c>
      <c r="R2857" s="26" t="s">
        <v>36</v>
      </c>
      <c r="S2857" s="95">
        <f>200+1800</f>
        <v>2000</v>
      </c>
      <c r="T2857" s="83" t="s">
        <v>10102</v>
      </c>
      <c r="U2857" s="95">
        <v>13936</v>
      </c>
      <c r="V2857" s="148">
        <v>45507</v>
      </c>
      <c r="W2857" s="33" t="s">
        <v>10103</v>
      </c>
      <c r="X2857" s="26">
        <v>0</v>
      </c>
      <c r="Y2857" s="22">
        <v>0</v>
      </c>
      <c r="Z2857" s="26" t="s">
        <v>50</v>
      </c>
      <c r="AA2857" s="96"/>
      <c r="AB2857" s="26"/>
      <c r="AC2857" s="26" t="s">
        <v>53</v>
      </c>
      <c r="AD2857" s="26" t="s">
        <v>54</v>
      </c>
      <c r="AE2857" s="26" t="s">
        <v>8824</v>
      </c>
      <c r="AF2857" s="17">
        <v>45624</v>
      </c>
      <c r="AG2857" s="26"/>
      <c r="AH2857" s="26"/>
      <c r="AI2857" s="40"/>
      <c r="AJ2857" s="26"/>
      <c r="AK2857" s="26"/>
      <c r="AL2857" s="35"/>
      <c r="AM2857" s="35"/>
      <c r="AN2857" s="35"/>
      <c r="AO2857" s="35"/>
      <c r="AP2857" s="35"/>
    </row>
    <row r="2858" spans="1:42" x14ac:dyDescent="0.2">
      <c r="A2858" s="38">
        <v>45543</v>
      </c>
      <c r="B2858" s="137" t="s">
        <v>37</v>
      </c>
      <c r="C2858" s="41" t="s">
        <v>118</v>
      </c>
      <c r="D2858" s="80" t="s">
        <v>36</v>
      </c>
      <c r="E2858" s="80" t="s">
        <v>7391</v>
      </c>
      <c r="F2858" s="80" t="s">
        <v>10104</v>
      </c>
      <c r="G2858" s="26" t="s">
        <v>108</v>
      </c>
      <c r="H2858" s="26" t="s">
        <v>9768</v>
      </c>
      <c r="I2858" s="17">
        <f ca="1">IFERROR(__xludf.DUMMYFUNCTION("""COMPUTED_VALUE"""),45578)</f>
        <v>45578</v>
      </c>
      <c r="J2858" s="143" t="s">
        <v>10105</v>
      </c>
      <c r="K2858" s="80" t="s">
        <v>10106</v>
      </c>
      <c r="L2858" s="30">
        <v>904805491</v>
      </c>
      <c r="M2858" s="80" t="s">
        <v>94</v>
      </c>
      <c r="N2858" s="80" t="s">
        <v>2348</v>
      </c>
      <c r="O2858" s="80" t="s">
        <v>40</v>
      </c>
      <c r="P2858" s="144" t="s">
        <v>10107</v>
      </c>
      <c r="Q2858" s="20">
        <v>10804</v>
      </c>
      <c r="R2858" s="80" t="s">
        <v>36</v>
      </c>
      <c r="S2858" s="77">
        <v>10804</v>
      </c>
      <c r="T2858" s="78">
        <v>45203</v>
      </c>
      <c r="U2858" s="77"/>
      <c r="V2858" s="78"/>
      <c r="W2858" s="85" t="s">
        <v>10108</v>
      </c>
      <c r="X2858" s="80">
        <v>0</v>
      </c>
      <c r="Y2858" s="22">
        <v>0</v>
      </c>
      <c r="Z2858" s="41" t="s">
        <v>118</v>
      </c>
      <c r="AA2858" s="86" t="s">
        <v>6541</v>
      </c>
      <c r="AB2858" s="80" t="s">
        <v>10013</v>
      </c>
      <c r="AC2858" s="80" t="s">
        <v>53</v>
      </c>
      <c r="AD2858" s="80" t="s">
        <v>54</v>
      </c>
      <c r="AE2858" s="80" t="s">
        <v>10104</v>
      </c>
      <c r="AF2858" s="43">
        <v>45576</v>
      </c>
      <c r="AG2858" s="80" t="s">
        <v>9774</v>
      </c>
      <c r="AH2858" s="147">
        <v>3</v>
      </c>
      <c r="AI2858" s="147"/>
      <c r="AJ2858" s="80"/>
      <c r="AK2858" s="80"/>
      <c r="AL2858" s="80"/>
      <c r="AM2858" s="86"/>
      <c r="AN2858" s="86"/>
      <c r="AO2858" s="86"/>
      <c r="AP2858" s="35"/>
    </row>
    <row r="2859" spans="1:42" x14ac:dyDescent="0.2">
      <c r="A2859" s="38">
        <v>45544</v>
      </c>
      <c r="B2859" s="28" t="s">
        <v>37</v>
      </c>
      <c r="C2859" s="41" t="s">
        <v>118</v>
      </c>
      <c r="D2859" s="26" t="s">
        <v>36</v>
      </c>
      <c r="E2859" s="26" t="s">
        <v>56</v>
      </c>
      <c r="F2859" s="26" t="s">
        <v>9405</v>
      </c>
      <c r="G2859" s="26" t="s">
        <v>108</v>
      </c>
      <c r="H2859" s="26" t="s">
        <v>7204</v>
      </c>
      <c r="I2859" s="17">
        <f ca="1">IFERROR(__xludf.DUMMYFUNCTION("""COMPUTED_VALUE"""),45555)</f>
        <v>45555</v>
      </c>
      <c r="J2859" s="29" t="s">
        <v>10109</v>
      </c>
      <c r="K2859" s="26" t="s">
        <v>6046</v>
      </c>
      <c r="L2859" s="30">
        <v>836892409</v>
      </c>
      <c r="M2859" s="26" t="s">
        <v>80</v>
      </c>
      <c r="N2859" s="26" t="s">
        <v>466</v>
      </c>
      <c r="O2859" s="26" t="s">
        <v>10110</v>
      </c>
      <c r="P2859" s="42" t="s">
        <v>10111</v>
      </c>
      <c r="Q2859" s="20">
        <v>9317</v>
      </c>
      <c r="R2859" s="26" t="s">
        <v>36</v>
      </c>
      <c r="S2859" s="95">
        <f>200+1800</f>
        <v>2000</v>
      </c>
      <c r="T2859" s="83" t="s">
        <v>10112</v>
      </c>
      <c r="U2859" s="95">
        <v>7317</v>
      </c>
      <c r="V2859" s="148">
        <v>45515</v>
      </c>
      <c r="W2859" s="33" t="s">
        <v>10113</v>
      </c>
      <c r="X2859" s="26">
        <v>0</v>
      </c>
      <c r="Y2859" s="22">
        <v>0</v>
      </c>
      <c r="Z2859" s="26" t="s">
        <v>50</v>
      </c>
      <c r="AA2859" s="96"/>
      <c r="AB2859" s="26"/>
      <c r="AC2859" s="26" t="s">
        <v>53</v>
      </c>
      <c r="AD2859" s="26" t="s">
        <v>54</v>
      </c>
      <c r="AE2859" s="26" t="s">
        <v>9405</v>
      </c>
      <c r="AF2859" s="17">
        <v>45551</v>
      </c>
      <c r="AG2859" s="26" t="s">
        <v>7078</v>
      </c>
      <c r="AH2859" s="26"/>
      <c r="AI2859" s="40"/>
      <c r="AJ2859" s="26"/>
      <c r="AK2859" s="26"/>
      <c r="AL2859" s="35"/>
      <c r="AM2859" s="35"/>
      <c r="AN2859" s="35"/>
      <c r="AO2859" s="35"/>
      <c r="AP2859" s="35"/>
    </row>
    <row r="2860" spans="1:42" x14ac:dyDescent="0.2">
      <c r="A2860" s="38">
        <v>45544</v>
      </c>
      <c r="B2860" s="68" t="s">
        <v>37</v>
      </c>
      <c r="C2860" s="41" t="s">
        <v>118</v>
      </c>
      <c r="D2860" s="26" t="s">
        <v>36</v>
      </c>
      <c r="E2860" s="26" t="s">
        <v>56</v>
      </c>
      <c r="F2860" s="26" t="s">
        <v>9448</v>
      </c>
      <c r="G2860" s="26" t="s">
        <v>108</v>
      </c>
      <c r="H2860" s="26" t="s">
        <v>10038</v>
      </c>
      <c r="I2860" s="17">
        <f ca="1">IFERROR(__xludf.DUMMYFUNCTION("""COMPUTED_VALUE"""),45551)</f>
        <v>45551</v>
      </c>
      <c r="J2860" s="29" t="s">
        <v>10114</v>
      </c>
      <c r="K2860" s="26" t="s">
        <v>10115</v>
      </c>
      <c r="L2860" s="30">
        <v>344927238</v>
      </c>
      <c r="M2860" s="26" t="s">
        <v>94</v>
      </c>
      <c r="N2860" s="26" t="s">
        <v>9478</v>
      </c>
      <c r="O2860" s="26" t="s">
        <v>10116</v>
      </c>
      <c r="P2860" s="42" t="s">
        <v>10117</v>
      </c>
      <c r="Q2860" s="20">
        <v>9317</v>
      </c>
      <c r="R2860" s="26" t="s">
        <v>36</v>
      </c>
      <c r="S2860" s="95">
        <v>4700</v>
      </c>
      <c r="T2860" s="148">
        <v>45484</v>
      </c>
      <c r="U2860" s="31">
        <v>4617</v>
      </c>
      <c r="V2860" s="32">
        <v>45539</v>
      </c>
      <c r="W2860" s="33" t="s">
        <v>10118</v>
      </c>
      <c r="X2860" s="26">
        <v>0</v>
      </c>
      <c r="Y2860" s="22">
        <v>0</v>
      </c>
      <c r="Z2860" s="80" t="s">
        <v>50</v>
      </c>
      <c r="AA2860" s="35"/>
      <c r="AB2860" s="26" t="s">
        <v>8827</v>
      </c>
      <c r="AC2860" s="26" t="s">
        <v>53</v>
      </c>
      <c r="AD2860" s="26" t="s">
        <v>54</v>
      </c>
      <c r="AE2860" s="26" t="s">
        <v>9448</v>
      </c>
      <c r="AF2860" s="17">
        <v>45547</v>
      </c>
      <c r="AG2860" s="26"/>
      <c r="AH2860" s="26"/>
      <c r="AI2860" s="40"/>
      <c r="AJ2860" s="26"/>
      <c r="AK2860" s="26"/>
      <c r="AL2860" s="35"/>
      <c r="AM2860" s="35"/>
      <c r="AN2860" s="35"/>
      <c r="AO2860" s="35"/>
      <c r="AP2860" s="35"/>
    </row>
    <row r="2861" spans="1:42" x14ac:dyDescent="0.2">
      <c r="A2861" s="38">
        <v>45544</v>
      </c>
      <c r="B2861" s="68" t="s">
        <v>37</v>
      </c>
      <c r="C2861" s="41" t="s">
        <v>118</v>
      </c>
      <c r="D2861" s="26" t="s">
        <v>36</v>
      </c>
      <c r="E2861" s="26" t="s">
        <v>139</v>
      </c>
      <c r="F2861" s="26" t="s">
        <v>9448</v>
      </c>
      <c r="G2861" s="26" t="s">
        <v>108</v>
      </c>
      <c r="H2861" s="26" t="s">
        <v>10038</v>
      </c>
      <c r="I2861" s="17">
        <f ca="1">IFERROR(__xludf.DUMMYFUNCTION("""COMPUTED_VALUE"""),45551)</f>
        <v>45551</v>
      </c>
      <c r="J2861" s="44" t="s">
        <v>10119</v>
      </c>
      <c r="K2861" s="26" t="s">
        <v>10120</v>
      </c>
      <c r="L2861" s="30">
        <v>869183205</v>
      </c>
      <c r="M2861" s="26" t="s">
        <v>80</v>
      </c>
      <c r="N2861" s="26" t="s">
        <v>10121</v>
      </c>
      <c r="O2861" s="26" t="s">
        <v>10122</v>
      </c>
      <c r="P2861" s="42" t="s">
        <v>10123</v>
      </c>
      <c r="Q2861" s="20">
        <v>15936</v>
      </c>
      <c r="R2861" s="26" t="s">
        <v>36</v>
      </c>
      <c r="S2861" s="95">
        <v>2000</v>
      </c>
      <c r="T2861" s="148">
        <v>45483</v>
      </c>
      <c r="U2861" s="95">
        <v>13936</v>
      </c>
      <c r="V2861" s="148">
        <v>45512</v>
      </c>
      <c r="W2861" s="33" t="s">
        <v>10124</v>
      </c>
      <c r="X2861" s="26">
        <v>0</v>
      </c>
      <c r="Y2861" s="22">
        <v>0</v>
      </c>
      <c r="Z2861" s="26" t="s">
        <v>50</v>
      </c>
      <c r="AA2861" s="96"/>
      <c r="AB2861" s="26"/>
      <c r="AC2861" s="26" t="s">
        <v>53</v>
      </c>
      <c r="AD2861" s="26" t="s">
        <v>54</v>
      </c>
      <c r="AE2861" s="26" t="s">
        <v>9448</v>
      </c>
      <c r="AF2861" s="17">
        <v>45547</v>
      </c>
      <c r="AG2861" s="26"/>
      <c r="AH2861" s="26"/>
      <c r="AI2861" s="40"/>
      <c r="AJ2861" s="26"/>
      <c r="AK2861" s="26"/>
      <c r="AL2861" s="35"/>
      <c r="AM2861" s="35"/>
      <c r="AN2861" s="35"/>
      <c r="AO2861" s="35"/>
      <c r="AP2861" s="35"/>
    </row>
    <row r="2862" spans="1:42" x14ac:dyDescent="0.2">
      <c r="A2862" s="38">
        <v>45544</v>
      </c>
      <c r="B2862" s="137" t="s">
        <v>37</v>
      </c>
      <c r="C2862" s="41" t="s">
        <v>118</v>
      </c>
      <c r="D2862" s="26" t="s">
        <v>36</v>
      </c>
      <c r="E2862" s="26" t="s">
        <v>148</v>
      </c>
      <c r="F2862" s="26" t="s">
        <v>2163</v>
      </c>
      <c r="G2862" s="26" t="s">
        <v>221</v>
      </c>
      <c r="H2862" s="26" t="s">
        <v>9941</v>
      </c>
      <c r="I2862" s="17">
        <f ca="1">IFERROR(__xludf.DUMMYFUNCTION("""COMPUTED_VALUE"""),45554)</f>
        <v>45554</v>
      </c>
      <c r="J2862" s="29" t="s">
        <v>8497</v>
      </c>
      <c r="K2862" s="26" t="s">
        <v>10125</v>
      </c>
      <c r="L2862" s="30">
        <v>867357791</v>
      </c>
      <c r="M2862" s="26" t="s">
        <v>45</v>
      </c>
      <c r="N2862" s="26" t="s">
        <v>8499</v>
      </c>
      <c r="O2862" s="26" t="s">
        <v>8500</v>
      </c>
      <c r="P2862" s="42" t="s">
        <v>10126</v>
      </c>
      <c r="Q2862" s="20">
        <v>7349</v>
      </c>
      <c r="R2862" s="26" t="s">
        <v>36</v>
      </c>
      <c r="S2862" s="31">
        <v>7349</v>
      </c>
      <c r="T2862" s="32">
        <v>45435</v>
      </c>
      <c r="U2862" s="31"/>
      <c r="V2862" s="32"/>
      <c r="W2862" s="33" t="s">
        <v>8502</v>
      </c>
      <c r="X2862" s="26"/>
      <c r="Y2862" s="22">
        <v>0</v>
      </c>
      <c r="Z2862" s="26" t="s">
        <v>50</v>
      </c>
      <c r="AA2862" s="19" t="s">
        <v>8410</v>
      </c>
      <c r="AB2862" s="26" t="s">
        <v>36</v>
      </c>
      <c r="AC2862" s="26" t="s">
        <v>53</v>
      </c>
      <c r="AD2862" s="19" t="s">
        <v>54</v>
      </c>
      <c r="AE2862" s="26" t="s">
        <v>2163</v>
      </c>
      <c r="AF2862" s="17">
        <v>45545</v>
      </c>
      <c r="AG2862" s="26"/>
      <c r="AH2862" s="26"/>
      <c r="AI2862" s="40"/>
      <c r="AJ2862" s="26"/>
      <c r="AK2862" s="26"/>
      <c r="AL2862" s="35"/>
      <c r="AM2862" s="35"/>
      <c r="AN2862" s="35"/>
      <c r="AO2862" s="35"/>
      <c r="AP2862" s="35"/>
    </row>
    <row r="2863" spans="1:42" x14ac:dyDescent="0.2">
      <c r="A2863" s="38">
        <v>45544</v>
      </c>
      <c r="B2863" s="28" t="s">
        <v>37</v>
      </c>
      <c r="C2863" s="41" t="s">
        <v>118</v>
      </c>
      <c r="D2863" s="26" t="s">
        <v>36</v>
      </c>
      <c r="E2863" s="26" t="s">
        <v>139</v>
      </c>
      <c r="F2863" s="26" t="s">
        <v>9405</v>
      </c>
      <c r="G2863" s="26" t="s">
        <v>108</v>
      </c>
      <c r="H2863" s="26" t="s">
        <v>7204</v>
      </c>
      <c r="I2863" s="17">
        <f ca="1">IFERROR(__xludf.DUMMYFUNCTION("""COMPUTED_VALUE"""),45555)</f>
        <v>45555</v>
      </c>
      <c r="J2863" s="29" t="s">
        <v>10127</v>
      </c>
      <c r="K2863" s="26" t="s">
        <v>10128</v>
      </c>
      <c r="L2863" s="30">
        <v>372255172</v>
      </c>
      <c r="M2863" s="26" t="s">
        <v>80</v>
      </c>
      <c r="N2863" s="26" t="s">
        <v>1073</v>
      </c>
      <c r="O2863" s="26" t="s">
        <v>10129</v>
      </c>
      <c r="P2863" s="42" t="s">
        <v>10130</v>
      </c>
      <c r="Q2863" s="20">
        <v>15936</v>
      </c>
      <c r="R2863" s="26" t="s">
        <v>36</v>
      </c>
      <c r="S2863" s="95">
        <f t="shared" ref="S2863:S2865" si="11">200+1800</f>
        <v>2000</v>
      </c>
      <c r="T2863" s="83" t="s">
        <v>10131</v>
      </c>
      <c r="U2863" s="95">
        <v>13936</v>
      </c>
      <c r="V2863" s="148">
        <v>45515</v>
      </c>
      <c r="W2863" s="33" t="s">
        <v>10132</v>
      </c>
      <c r="X2863" s="26">
        <v>0</v>
      </c>
      <c r="Y2863" s="22">
        <v>0</v>
      </c>
      <c r="Z2863" s="26" t="s">
        <v>50</v>
      </c>
      <c r="AA2863" s="96"/>
      <c r="AB2863" s="26"/>
      <c r="AC2863" s="26" t="s">
        <v>53</v>
      </c>
      <c r="AD2863" s="26" t="s">
        <v>54</v>
      </c>
      <c r="AE2863" s="26" t="s">
        <v>9405</v>
      </c>
      <c r="AF2863" s="17">
        <v>45551</v>
      </c>
      <c r="AG2863" s="26"/>
      <c r="AH2863" s="26"/>
      <c r="AI2863" s="40"/>
      <c r="AJ2863" s="26"/>
      <c r="AK2863" s="26"/>
      <c r="AL2863" s="35"/>
      <c r="AM2863" s="35"/>
      <c r="AN2863" s="35"/>
      <c r="AO2863" s="35"/>
      <c r="AP2863" s="35"/>
    </row>
    <row r="2864" spans="1:42" x14ac:dyDescent="0.2">
      <c r="A2864" s="38">
        <v>45544</v>
      </c>
      <c r="B2864" s="68" t="s">
        <v>37</v>
      </c>
      <c r="C2864" s="41" t="s">
        <v>118</v>
      </c>
      <c r="D2864" s="26" t="s">
        <v>36</v>
      </c>
      <c r="E2864" s="26" t="s">
        <v>56</v>
      </c>
      <c r="F2864" s="26" t="s">
        <v>9448</v>
      </c>
      <c r="G2864" s="26" t="s">
        <v>108</v>
      </c>
      <c r="H2864" s="26" t="s">
        <v>10038</v>
      </c>
      <c r="I2864" s="17">
        <f ca="1">IFERROR(__xludf.DUMMYFUNCTION("""COMPUTED_VALUE"""),45551)</f>
        <v>45551</v>
      </c>
      <c r="J2864" s="29" t="s">
        <v>10133</v>
      </c>
      <c r="K2864" s="26" t="s">
        <v>10134</v>
      </c>
      <c r="L2864" s="30">
        <v>912692515</v>
      </c>
      <c r="M2864" s="26" t="s">
        <v>3728</v>
      </c>
      <c r="N2864" s="26" t="s">
        <v>8725</v>
      </c>
      <c r="O2864" s="26" t="s">
        <v>10135</v>
      </c>
      <c r="P2864" s="42" t="s">
        <v>10136</v>
      </c>
      <c r="Q2864" s="20">
        <v>9317</v>
      </c>
      <c r="R2864" s="26" t="s">
        <v>36</v>
      </c>
      <c r="S2864" s="95">
        <f t="shared" si="11"/>
        <v>2000</v>
      </c>
      <c r="T2864" s="83" t="s">
        <v>10137</v>
      </c>
      <c r="U2864" s="95">
        <v>7317</v>
      </c>
      <c r="V2864" s="148">
        <v>45515</v>
      </c>
      <c r="W2864" s="33" t="s">
        <v>10138</v>
      </c>
      <c r="X2864" s="26">
        <v>0</v>
      </c>
      <c r="Y2864" s="22">
        <v>0</v>
      </c>
      <c r="Z2864" s="26" t="s">
        <v>50</v>
      </c>
      <c r="AA2864" s="35"/>
      <c r="AB2864" s="26"/>
      <c r="AC2864" s="26" t="s">
        <v>53</v>
      </c>
      <c r="AD2864" s="26" t="s">
        <v>54</v>
      </c>
      <c r="AE2864" s="26" t="s">
        <v>9448</v>
      </c>
      <c r="AF2864" s="17">
        <v>45547</v>
      </c>
      <c r="AG2864" s="26"/>
      <c r="AH2864" s="26"/>
      <c r="AI2864" s="40"/>
      <c r="AJ2864" s="26"/>
      <c r="AK2864" s="26"/>
      <c r="AL2864" s="35"/>
      <c r="AM2864" s="35"/>
      <c r="AN2864" s="35"/>
      <c r="AO2864" s="35"/>
      <c r="AP2864" s="35"/>
    </row>
    <row r="2865" spans="1:42" x14ac:dyDescent="0.2">
      <c r="A2865" s="38">
        <v>45544</v>
      </c>
      <c r="B2865" s="68" t="s">
        <v>37</v>
      </c>
      <c r="C2865" s="41" t="s">
        <v>118</v>
      </c>
      <c r="D2865" s="26" t="s">
        <v>36</v>
      </c>
      <c r="E2865" s="26" t="s">
        <v>139</v>
      </c>
      <c r="F2865" s="26" t="s">
        <v>9448</v>
      </c>
      <c r="G2865" s="26" t="s">
        <v>108</v>
      </c>
      <c r="H2865" s="26" t="s">
        <v>10038</v>
      </c>
      <c r="I2865" s="17">
        <f ca="1">IFERROR(__xludf.DUMMYFUNCTION("""COMPUTED_VALUE"""),45551)</f>
        <v>45551</v>
      </c>
      <c r="J2865" s="29" t="s">
        <v>10139</v>
      </c>
      <c r="K2865" s="26" t="s">
        <v>10140</v>
      </c>
      <c r="L2865" s="30">
        <v>355921362</v>
      </c>
      <c r="M2865" s="26" t="s">
        <v>123</v>
      </c>
      <c r="N2865" s="26" t="s">
        <v>327</v>
      </c>
      <c r="O2865" s="26" t="s">
        <v>4503</v>
      </c>
      <c r="P2865" s="26" t="s">
        <v>10141</v>
      </c>
      <c r="Q2865" s="20">
        <v>15936</v>
      </c>
      <c r="R2865" s="26" t="s">
        <v>36</v>
      </c>
      <c r="S2865" s="95">
        <f t="shared" si="11"/>
        <v>2000</v>
      </c>
      <c r="T2865" s="83" t="s">
        <v>10142</v>
      </c>
      <c r="U2865" s="95">
        <v>13936</v>
      </c>
      <c r="V2865" s="148">
        <v>45528</v>
      </c>
      <c r="W2865" s="33" t="s">
        <v>10143</v>
      </c>
      <c r="X2865" s="26">
        <v>0</v>
      </c>
      <c r="Y2865" s="22">
        <v>0</v>
      </c>
      <c r="Z2865" s="26" t="s">
        <v>50</v>
      </c>
      <c r="AA2865" s="96"/>
      <c r="AB2865" s="26" t="s">
        <v>4503</v>
      </c>
      <c r="AC2865" s="26" t="s">
        <v>53</v>
      </c>
      <c r="AD2865" s="26" t="s">
        <v>54</v>
      </c>
      <c r="AE2865" s="26" t="s">
        <v>9448</v>
      </c>
      <c r="AF2865" s="17">
        <v>45547</v>
      </c>
      <c r="AG2865" s="26"/>
      <c r="AH2865" s="26"/>
      <c r="AI2865" s="40"/>
      <c r="AJ2865" s="26"/>
      <c r="AK2865" s="26"/>
      <c r="AL2865" s="35"/>
      <c r="AM2865" s="35"/>
      <c r="AN2865" s="35"/>
      <c r="AO2865" s="35"/>
      <c r="AP2865" s="35"/>
    </row>
    <row r="2866" spans="1:42" x14ac:dyDescent="0.2">
      <c r="A2866" s="38">
        <v>45544</v>
      </c>
      <c r="B2866" s="68" t="s">
        <v>37</v>
      </c>
      <c r="C2866" s="41" t="s">
        <v>118</v>
      </c>
      <c r="D2866" s="26" t="s">
        <v>36</v>
      </c>
      <c r="E2866" s="26" t="s">
        <v>139</v>
      </c>
      <c r="F2866" s="26" t="s">
        <v>9448</v>
      </c>
      <c r="G2866" s="26" t="s">
        <v>108</v>
      </c>
      <c r="H2866" s="26" t="s">
        <v>10144</v>
      </c>
      <c r="I2866" s="17">
        <f ca="1">IFERROR(__xludf.DUMMYFUNCTION("""COMPUTED_VALUE"""),45593)</f>
        <v>45593</v>
      </c>
      <c r="J2866" s="29" t="s">
        <v>10145</v>
      </c>
      <c r="K2866" s="26" t="s">
        <v>10146</v>
      </c>
      <c r="L2866" s="30">
        <v>342259147</v>
      </c>
      <c r="M2866" s="26" t="s">
        <v>5429</v>
      </c>
      <c r="N2866" s="26" t="s">
        <v>9180</v>
      </c>
      <c r="O2866" s="26" t="s">
        <v>10147</v>
      </c>
      <c r="P2866" s="42" t="s">
        <v>10148</v>
      </c>
      <c r="Q2866" s="20">
        <v>15936</v>
      </c>
      <c r="R2866" s="26" t="s">
        <v>36</v>
      </c>
      <c r="S2866" s="95">
        <v>2000</v>
      </c>
      <c r="T2866" s="148">
        <v>45483</v>
      </c>
      <c r="U2866" s="95">
        <v>13936</v>
      </c>
      <c r="V2866" s="148">
        <v>45513</v>
      </c>
      <c r="W2866" s="33" t="s">
        <v>10149</v>
      </c>
      <c r="X2866" s="26">
        <v>0</v>
      </c>
      <c r="Y2866" s="22">
        <v>0</v>
      </c>
      <c r="Z2866" s="26" t="s">
        <v>50</v>
      </c>
      <c r="AA2866" s="35"/>
      <c r="AB2866" s="26"/>
      <c r="AC2866" s="26" t="s">
        <v>53</v>
      </c>
      <c r="AD2866" s="26" t="s">
        <v>54</v>
      </c>
      <c r="AE2866" s="26" t="s">
        <v>9448</v>
      </c>
      <c r="AF2866" s="17">
        <v>45547</v>
      </c>
      <c r="AG2866" s="26"/>
      <c r="AH2866" s="26"/>
      <c r="AI2866" s="40"/>
      <c r="AJ2866" s="26"/>
      <c r="AK2866" s="26"/>
      <c r="AL2866" s="35"/>
      <c r="AM2866" s="35"/>
      <c r="AN2866" s="35"/>
      <c r="AO2866" s="35"/>
      <c r="AP2866" s="35"/>
    </row>
    <row r="2867" spans="1:42" x14ac:dyDescent="0.2">
      <c r="A2867" s="38">
        <v>45544</v>
      </c>
      <c r="B2867" s="68" t="s">
        <v>37</v>
      </c>
      <c r="C2867" s="41" t="s">
        <v>118</v>
      </c>
      <c r="D2867" s="26" t="s">
        <v>36</v>
      </c>
      <c r="E2867" s="26" t="s">
        <v>139</v>
      </c>
      <c r="F2867" s="26" t="s">
        <v>9448</v>
      </c>
      <c r="G2867" s="26" t="s">
        <v>108</v>
      </c>
      <c r="H2867" s="26" t="s">
        <v>10038</v>
      </c>
      <c r="I2867" s="17">
        <f ca="1">IFERROR(__xludf.DUMMYFUNCTION("""COMPUTED_VALUE"""),45551)</f>
        <v>45551</v>
      </c>
      <c r="J2867" s="29" t="s">
        <v>9449</v>
      </c>
      <c r="K2867" s="26" t="s">
        <v>9450</v>
      </c>
      <c r="L2867" s="30">
        <v>862655669</v>
      </c>
      <c r="M2867" s="26" t="s">
        <v>59</v>
      </c>
      <c r="N2867" s="26" t="s">
        <v>9287</v>
      </c>
      <c r="O2867" s="26" t="s">
        <v>9451</v>
      </c>
      <c r="P2867" s="42" t="s">
        <v>9452</v>
      </c>
      <c r="Q2867" s="20"/>
      <c r="R2867" s="26" t="s">
        <v>36</v>
      </c>
      <c r="S2867" s="95">
        <v>15936</v>
      </c>
      <c r="T2867" s="148">
        <v>45482</v>
      </c>
      <c r="U2867" s="31"/>
      <c r="V2867" s="32"/>
      <c r="W2867" s="33" t="s">
        <v>9453</v>
      </c>
      <c r="X2867" s="26"/>
      <c r="Y2867" s="22"/>
      <c r="Z2867" s="26" t="s">
        <v>50</v>
      </c>
      <c r="AA2867" s="70" t="s">
        <v>9070</v>
      </c>
      <c r="AB2867" s="26"/>
      <c r="AC2867" s="26" t="s">
        <v>53</v>
      </c>
      <c r="AD2867" s="26" t="s">
        <v>54</v>
      </c>
      <c r="AE2867" s="26" t="s">
        <v>9448</v>
      </c>
      <c r="AF2867" s="17">
        <v>45547</v>
      </c>
      <c r="AG2867" s="26"/>
      <c r="AH2867" s="26"/>
      <c r="AI2867" s="40"/>
      <c r="AJ2867" s="26"/>
      <c r="AK2867" s="26"/>
      <c r="AL2867" s="35"/>
      <c r="AM2867" s="35"/>
      <c r="AN2867" s="35"/>
      <c r="AO2867" s="35"/>
      <c r="AP2867" s="35"/>
    </row>
    <row r="2868" spans="1:42" x14ac:dyDescent="0.2">
      <c r="A2868" s="38">
        <v>45544</v>
      </c>
      <c r="B2868" s="28" t="s">
        <v>37</v>
      </c>
      <c r="C2868" s="41" t="s">
        <v>118</v>
      </c>
      <c r="D2868" s="26" t="s">
        <v>36</v>
      </c>
      <c r="E2868" s="26" t="s">
        <v>119</v>
      </c>
      <c r="F2868" s="26" t="s">
        <v>5063</v>
      </c>
      <c r="G2868" s="26" t="s">
        <v>1705</v>
      </c>
      <c r="H2868" s="26" t="s">
        <v>9845</v>
      </c>
      <c r="I2868" s="17">
        <f ca="1">IFERROR(__xludf.DUMMYFUNCTION("""COMPUTED_VALUE"""),45555)</f>
        <v>45555</v>
      </c>
      <c r="J2868" s="29" t="s">
        <v>3924</v>
      </c>
      <c r="K2868" s="26" t="s">
        <v>3925</v>
      </c>
      <c r="L2868" s="30">
        <v>398766692</v>
      </c>
      <c r="M2868" s="26" t="s">
        <v>80</v>
      </c>
      <c r="N2868" s="26" t="s">
        <v>81</v>
      </c>
      <c r="O2868" s="26" t="s">
        <v>1492</v>
      </c>
      <c r="P2868" s="42" t="s">
        <v>3926</v>
      </c>
      <c r="Q2868" s="20">
        <v>13968</v>
      </c>
      <c r="R2868" s="26" t="s">
        <v>36</v>
      </c>
      <c r="S2868" s="31">
        <v>200</v>
      </c>
      <c r="T2868" s="32">
        <v>45196</v>
      </c>
      <c r="U2868" s="31">
        <f>3800 +9968</f>
        <v>13768</v>
      </c>
      <c r="V2868" s="26" t="s">
        <v>3927</v>
      </c>
      <c r="W2868" s="33" t="s">
        <v>3928</v>
      </c>
      <c r="X2868" s="26"/>
      <c r="Y2868" s="22">
        <v>0</v>
      </c>
      <c r="Z2868" s="26" t="s">
        <v>118</v>
      </c>
      <c r="AA2868" s="19" t="s">
        <v>3454</v>
      </c>
      <c r="AB2868" s="26" t="s">
        <v>104</v>
      </c>
      <c r="AC2868" s="26" t="s">
        <v>53</v>
      </c>
      <c r="AD2868" s="19" t="s">
        <v>54</v>
      </c>
      <c r="AE2868" s="26" t="s">
        <v>5063</v>
      </c>
      <c r="AF2868" s="17">
        <v>45551</v>
      </c>
      <c r="AG2868" s="26"/>
      <c r="AH2868" s="26"/>
      <c r="AI2868" s="40"/>
      <c r="AJ2868" s="26"/>
      <c r="AK2868" s="26"/>
      <c r="AL2868" s="35"/>
      <c r="AM2868" s="35"/>
      <c r="AN2868" s="35"/>
      <c r="AO2868" s="35"/>
      <c r="AP2868" s="35"/>
    </row>
    <row r="2869" spans="1:42" x14ac:dyDescent="0.2">
      <c r="A2869" s="38">
        <v>45545</v>
      </c>
      <c r="B2869" s="28" t="s">
        <v>37</v>
      </c>
      <c r="C2869" s="41" t="s">
        <v>118</v>
      </c>
      <c r="D2869" s="26" t="s">
        <v>36</v>
      </c>
      <c r="E2869" s="26" t="s">
        <v>139</v>
      </c>
      <c r="F2869" s="26" t="s">
        <v>9405</v>
      </c>
      <c r="G2869" s="26" t="s">
        <v>108</v>
      </c>
      <c r="H2869" s="26" t="s">
        <v>7204</v>
      </c>
      <c r="I2869" s="17">
        <f ca="1">IFERROR(__xludf.DUMMYFUNCTION("""COMPUTED_VALUE"""),45555)</f>
        <v>45555</v>
      </c>
      <c r="J2869" s="29" t="s">
        <v>10150</v>
      </c>
      <c r="K2869" s="26" t="s">
        <v>10151</v>
      </c>
      <c r="L2869" s="47">
        <v>392890467</v>
      </c>
      <c r="M2869" s="26" t="s">
        <v>80</v>
      </c>
      <c r="N2869" s="26" t="s">
        <v>466</v>
      </c>
      <c r="O2869" s="26" t="s">
        <v>10152</v>
      </c>
      <c r="P2869" s="42" t="s">
        <v>10153</v>
      </c>
      <c r="Q2869" s="20">
        <v>15936</v>
      </c>
      <c r="R2869" s="26" t="s">
        <v>36</v>
      </c>
      <c r="S2869" s="95">
        <f>200+1800</f>
        <v>2000</v>
      </c>
      <c r="T2869" s="83" t="s">
        <v>10154</v>
      </c>
      <c r="U2869" s="95">
        <v>13936</v>
      </c>
      <c r="V2869" s="148">
        <v>45532</v>
      </c>
      <c r="W2869" s="33" t="s">
        <v>10155</v>
      </c>
      <c r="X2869" s="26">
        <v>0</v>
      </c>
      <c r="Y2869" s="22">
        <v>0</v>
      </c>
      <c r="Z2869" s="26" t="s">
        <v>50</v>
      </c>
      <c r="AA2869" s="96"/>
      <c r="AB2869" s="26"/>
      <c r="AC2869" s="26" t="s">
        <v>53</v>
      </c>
      <c r="AD2869" s="26" t="s">
        <v>54</v>
      </c>
      <c r="AE2869" s="26" t="s">
        <v>9405</v>
      </c>
      <c r="AF2869" s="17">
        <v>45551</v>
      </c>
      <c r="AG2869" s="26"/>
      <c r="AH2869" s="26"/>
      <c r="AI2869" s="40"/>
      <c r="AJ2869" s="26"/>
      <c r="AK2869" s="26"/>
      <c r="AL2869" s="35"/>
      <c r="AM2869" s="35"/>
      <c r="AN2869" s="35"/>
      <c r="AO2869" s="35"/>
      <c r="AP2869" s="35"/>
    </row>
    <row r="2870" spans="1:42" x14ac:dyDescent="0.2">
      <c r="A2870" s="38">
        <v>45545</v>
      </c>
      <c r="B2870" s="28" t="s">
        <v>37</v>
      </c>
      <c r="C2870" s="41" t="s">
        <v>118</v>
      </c>
      <c r="D2870" s="26" t="s">
        <v>36</v>
      </c>
      <c r="E2870" s="26" t="s">
        <v>56</v>
      </c>
      <c r="F2870" s="26" t="s">
        <v>9405</v>
      </c>
      <c r="G2870" s="26" t="s">
        <v>108</v>
      </c>
      <c r="H2870" s="26" t="s">
        <v>7204</v>
      </c>
      <c r="I2870" s="17">
        <f ca="1">IFERROR(__xludf.DUMMYFUNCTION("""COMPUTED_VALUE"""),45555)</f>
        <v>45555</v>
      </c>
      <c r="J2870" s="29" t="s">
        <v>9406</v>
      </c>
      <c r="K2870" s="26" t="s">
        <v>10156</v>
      </c>
      <c r="L2870" s="30">
        <v>862249728</v>
      </c>
      <c r="M2870" s="26" t="s">
        <v>80</v>
      </c>
      <c r="N2870" s="26" t="s">
        <v>1073</v>
      </c>
      <c r="O2870" s="26" t="s">
        <v>9408</v>
      </c>
      <c r="P2870" s="42" t="s">
        <v>9409</v>
      </c>
      <c r="Q2870" s="20"/>
      <c r="R2870" s="26" t="s">
        <v>36</v>
      </c>
      <c r="S2870" s="95">
        <f>200+1800+7317</f>
        <v>9317</v>
      </c>
      <c r="T2870" s="83" t="s">
        <v>9410</v>
      </c>
      <c r="U2870" s="31"/>
      <c r="V2870" s="32"/>
      <c r="W2870" s="33" t="s">
        <v>9411</v>
      </c>
      <c r="X2870" s="26"/>
      <c r="Y2870" s="22"/>
      <c r="Z2870" s="26" t="s">
        <v>50</v>
      </c>
      <c r="AA2870" s="70" t="s">
        <v>9070</v>
      </c>
      <c r="AB2870" s="26"/>
      <c r="AC2870" s="26" t="s">
        <v>53</v>
      </c>
      <c r="AD2870" s="26" t="s">
        <v>54</v>
      </c>
      <c r="AE2870" s="26" t="s">
        <v>9405</v>
      </c>
      <c r="AF2870" s="17">
        <v>45551</v>
      </c>
      <c r="AG2870" s="26"/>
      <c r="AH2870" s="26"/>
      <c r="AI2870" s="40"/>
      <c r="AJ2870" s="26"/>
      <c r="AK2870" s="26"/>
      <c r="AL2870" s="35"/>
      <c r="AM2870" s="35"/>
      <c r="AN2870" s="35"/>
      <c r="AO2870" s="35"/>
      <c r="AP2870" s="35"/>
    </row>
    <row r="2871" spans="1:42" x14ac:dyDescent="0.2">
      <c r="A2871" s="38">
        <v>45545</v>
      </c>
      <c r="B2871" s="28" t="s">
        <v>37</v>
      </c>
      <c r="C2871" s="41" t="s">
        <v>118</v>
      </c>
      <c r="D2871" s="26" t="s">
        <v>36</v>
      </c>
      <c r="E2871" s="26" t="s">
        <v>139</v>
      </c>
      <c r="F2871" s="26" t="s">
        <v>9405</v>
      </c>
      <c r="G2871" s="26" t="s">
        <v>108</v>
      </c>
      <c r="H2871" s="26" t="s">
        <v>7204</v>
      </c>
      <c r="I2871" s="17">
        <f ca="1">IFERROR(__xludf.DUMMYFUNCTION("""COMPUTED_VALUE"""),45555)</f>
        <v>45555</v>
      </c>
      <c r="J2871" s="29" t="s">
        <v>10157</v>
      </c>
      <c r="K2871" s="26" t="s">
        <v>10158</v>
      </c>
      <c r="L2871" s="83">
        <v>348806493</v>
      </c>
      <c r="M2871" s="26" t="s">
        <v>2755</v>
      </c>
      <c r="N2871" s="26" t="s">
        <v>2756</v>
      </c>
      <c r="O2871" s="26" t="s">
        <v>4503</v>
      </c>
      <c r="P2871" s="42" t="s">
        <v>10159</v>
      </c>
      <c r="Q2871" s="20">
        <v>15936</v>
      </c>
      <c r="R2871" s="26" t="s">
        <v>36</v>
      </c>
      <c r="S2871" s="95">
        <f>200+3000+6000</f>
        <v>9200</v>
      </c>
      <c r="T2871" s="83" t="s">
        <v>10160</v>
      </c>
      <c r="U2871" s="95">
        <v>6736</v>
      </c>
      <c r="V2871" s="148">
        <v>45520</v>
      </c>
      <c r="W2871" s="33" t="s">
        <v>10161</v>
      </c>
      <c r="X2871" s="26">
        <v>0</v>
      </c>
      <c r="Y2871" s="22">
        <v>0</v>
      </c>
      <c r="Z2871" s="26" t="s">
        <v>50</v>
      </c>
      <c r="AA2871" s="96"/>
      <c r="AB2871" s="26"/>
      <c r="AC2871" s="26" t="s">
        <v>53</v>
      </c>
      <c r="AD2871" s="26" t="s">
        <v>54</v>
      </c>
      <c r="AE2871" s="26" t="s">
        <v>9405</v>
      </c>
      <c r="AF2871" s="17">
        <v>45551</v>
      </c>
      <c r="AG2871" s="26"/>
      <c r="AH2871" s="26"/>
      <c r="AI2871" s="40"/>
      <c r="AJ2871" s="26"/>
      <c r="AK2871" s="26"/>
      <c r="AL2871" s="35"/>
      <c r="AM2871" s="35"/>
      <c r="AN2871" s="35"/>
      <c r="AO2871" s="35"/>
      <c r="AP2871" s="35"/>
    </row>
    <row r="2872" spans="1:42" x14ac:dyDescent="0.2">
      <c r="A2872" s="38">
        <v>45545</v>
      </c>
      <c r="B2872" s="28" t="s">
        <v>37</v>
      </c>
      <c r="C2872" s="41" t="s">
        <v>118</v>
      </c>
      <c r="D2872" s="26" t="s">
        <v>36</v>
      </c>
      <c r="E2872" s="26" t="s">
        <v>139</v>
      </c>
      <c r="F2872" s="26" t="s">
        <v>9405</v>
      </c>
      <c r="G2872" s="26" t="s">
        <v>108</v>
      </c>
      <c r="H2872" s="26" t="s">
        <v>7204</v>
      </c>
      <c r="I2872" s="17">
        <f ca="1">IFERROR(__xludf.DUMMYFUNCTION("""COMPUTED_VALUE"""),45555)</f>
        <v>45555</v>
      </c>
      <c r="J2872" s="29" t="s">
        <v>10162</v>
      </c>
      <c r="K2872" s="26" t="s">
        <v>3687</v>
      </c>
      <c r="L2872" s="30">
        <v>328206258</v>
      </c>
      <c r="M2872" s="26" t="s">
        <v>3728</v>
      </c>
      <c r="N2872" s="26" t="s">
        <v>5277</v>
      </c>
      <c r="O2872" s="26" t="s">
        <v>10163</v>
      </c>
      <c r="P2872" s="42" t="s">
        <v>10164</v>
      </c>
      <c r="Q2872" s="20">
        <v>15936</v>
      </c>
      <c r="R2872" s="26" t="s">
        <v>36</v>
      </c>
      <c r="S2872" s="95">
        <v>2000</v>
      </c>
      <c r="T2872" s="148">
        <v>45484</v>
      </c>
      <c r="U2872" s="95">
        <v>13936</v>
      </c>
      <c r="V2872" s="148">
        <v>45519</v>
      </c>
      <c r="W2872" s="26" t="s">
        <v>10165</v>
      </c>
      <c r="X2872" s="26">
        <v>0</v>
      </c>
      <c r="Y2872" s="22">
        <v>0</v>
      </c>
      <c r="Z2872" s="26" t="s">
        <v>50</v>
      </c>
      <c r="AA2872" s="35"/>
      <c r="AB2872" s="26"/>
      <c r="AC2872" s="26" t="s">
        <v>53</v>
      </c>
      <c r="AD2872" s="26" t="s">
        <v>54</v>
      </c>
      <c r="AE2872" s="26" t="s">
        <v>9405</v>
      </c>
      <c r="AF2872" s="17">
        <v>45551</v>
      </c>
      <c r="AG2872" s="26"/>
      <c r="AH2872" s="26"/>
      <c r="AI2872" s="40"/>
      <c r="AJ2872" s="26"/>
      <c r="AK2872" s="26"/>
      <c r="AL2872" s="35"/>
      <c r="AM2872" s="35"/>
      <c r="AN2872" s="35"/>
      <c r="AO2872" s="35"/>
      <c r="AP2872" s="35"/>
    </row>
    <row r="2873" spans="1:42" x14ac:dyDescent="0.2">
      <c r="A2873" s="38">
        <v>45545</v>
      </c>
      <c r="B2873" s="68" t="s">
        <v>37</v>
      </c>
      <c r="C2873" s="41" t="s">
        <v>118</v>
      </c>
      <c r="D2873" s="26" t="s">
        <v>36</v>
      </c>
      <c r="E2873" s="26" t="s">
        <v>139</v>
      </c>
      <c r="F2873" s="26" t="s">
        <v>9502</v>
      </c>
      <c r="G2873" s="26" t="s">
        <v>108</v>
      </c>
      <c r="H2873" s="26" t="s">
        <v>10014</v>
      </c>
      <c r="I2873" s="17">
        <f ca="1">IFERROR(__xludf.DUMMYFUNCTION("""COMPUTED_VALUE"""),45551)</f>
        <v>45551</v>
      </c>
      <c r="J2873" s="29" t="s">
        <v>10166</v>
      </c>
      <c r="K2873" s="26" t="s">
        <v>10167</v>
      </c>
      <c r="L2873" s="30">
        <v>981962380</v>
      </c>
      <c r="M2873" s="26" t="s">
        <v>2755</v>
      </c>
      <c r="N2873" s="26" t="s">
        <v>4402</v>
      </c>
      <c r="O2873" s="26" t="s">
        <v>4503</v>
      </c>
      <c r="P2873" s="42" t="s">
        <v>10168</v>
      </c>
      <c r="Q2873" s="20">
        <v>15936</v>
      </c>
      <c r="R2873" s="26" t="s">
        <v>36</v>
      </c>
      <c r="S2873" s="95">
        <v>2000</v>
      </c>
      <c r="T2873" s="148">
        <v>45492</v>
      </c>
      <c r="U2873" s="95">
        <v>13936</v>
      </c>
      <c r="V2873" s="148">
        <v>45522</v>
      </c>
      <c r="W2873" s="26" t="s">
        <v>10169</v>
      </c>
      <c r="X2873" s="26">
        <v>0</v>
      </c>
      <c r="Y2873" s="22">
        <v>0</v>
      </c>
      <c r="Z2873" s="26" t="s">
        <v>50</v>
      </c>
      <c r="AA2873" s="96"/>
      <c r="AB2873" s="26"/>
      <c r="AC2873" s="26" t="s">
        <v>53</v>
      </c>
      <c r="AD2873" s="26" t="s">
        <v>54</v>
      </c>
      <c r="AE2873" s="26" t="s">
        <v>9502</v>
      </c>
      <c r="AF2873" s="17">
        <v>45547</v>
      </c>
      <c r="AG2873" s="26"/>
      <c r="AH2873" s="26"/>
      <c r="AI2873" s="40"/>
      <c r="AJ2873" s="26"/>
      <c r="AK2873" s="26"/>
      <c r="AL2873" s="35"/>
      <c r="AM2873" s="35"/>
      <c r="AN2873" s="35"/>
      <c r="AO2873" s="35"/>
      <c r="AP2873" s="35"/>
    </row>
    <row r="2874" spans="1:42" x14ac:dyDescent="0.2">
      <c r="A2874" s="38">
        <v>45545</v>
      </c>
      <c r="B2874" s="28" t="s">
        <v>37</v>
      </c>
      <c r="C2874" s="41" t="s">
        <v>118</v>
      </c>
      <c r="D2874" s="26" t="s">
        <v>36</v>
      </c>
      <c r="E2874" s="26" t="s">
        <v>119</v>
      </c>
      <c r="F2874" s="26" t="s">
        <v>6128</v>
      </c>
      <c r="G2874" s="26" t="s">
        <v>1847</v>
      </c>
      <c r="H2874" s="26" t="s">
        <v>8343</v>
      </c>
      <c r="I2874" s="17">
        <f ca="1">IFERROR(__xludf.DUMMYFUNCTION("""COMPUTED_VALUE"""),45555)</f>
        <v>45555</v>
      </c>
      <c r="J2874" s="29" t="s">
        <v>5336</v>
      </c>
      <c r="K2874" s="26" t="s">
        <v>5337</v>
      </c>
      <c r="L2874" s="30">
        <v>367191406</v>
      </c>
      <c r="M2874" s="26" t="s">
        <v>80</v>
      </c>
      <c r="N2874" s="26" t="s">
        <v>186</v>
      </c>
      <c r="O2874" s="26" t="s">
        <v>5338</v>
      </c>
      <c r="P2874" s="42" t="s">
        <v>10170</v>
      </c>
      <c r="Q2874" s="20">
        <v>13968</v>
      </c>
      <c r="R2874" s="26" t="s">
        <v>36</v>
      </c>
      <c r="S2874" s="31">
        <v>4000</v>
      </c>
      <c r="T2874" s="32">
        <v>45214</v>
      </c>
      <c r="U2874" s="31">
        <v>10000</v>
      </c>
      <c r="V2874" s="32">
        <v>45249</v>
      </c>
      <c r="W2874" s="33" t="s">
        <v>5339</v>
      </c>
      <c r="X2874" s="26"/>
      <c r="Y2874" s="22">
        <v>-32</v>
      </c>
      <c r="Z2874" s="26" t="s">
        <v>118</v>
      </c>
      <c r="AA2874" s="19" t="s">
        <v>5112</v>
      </c>
      <c r="AB2874" s="26" t="s">
        <v>104</v>
      </c>
      <c r="AC2874" s="26" t="s">
        <v>53</v>
      </c>
      <c r="AD2874" s="19" t="s">
        <v>138</v>
      </c>
      <c r="AE2874" s="26" t="s">
        <v>6128</v>
      </c>
      <c r="AF2874" s="17">
        <v>45554</v>
      </c>
      <c r="AG2874" s="26"/>
      <c r="AH2874" s="26"/>
      <c r="AI2874" s="40">
        <v>4</v>
      </c>
      <c r="AJ2874" s="26"/>
      <c r="AK2874" s="26"/>
      <c r="AL2874" s="35"/>
      <c r="AM2874" s="35"/>
      <c r="AN2874" s="35"/>
      <c r="AO2874" s="35"/>
      <c r="AP2874" s="35"/>
    </row>
    <row r="2875" spans="1:42" x14ac:dyDescent="0.2">
      <c r="A2875" s="38">
        <v>45545</v>
      </c>
      <c r="B2875" s="28" t="s">
        <v>37</v>
      </c>
      <c r="C2875" s="41" t="s">
        <v>118</v>
      </c>
      <c r="D2875" s="26" t="s">
        <v>36</v>
      </c>
      <c r="E2875" s="26" t="s">
        <v>139</v>
      </c>
      <c r="F2875" s="26" t="s">
        <v>9367</v>
      </c>
      <c r="G2875" s="26" t="s">
        <v>108</v>
      </c>
      <c r="H2875" s="26" t="s">
        <v>7204</v>
      </c>
      <c r="I2875" s="17">
        <f ca="1">IFERROR(__xludf.DUMMYFUNCTION("""COMPUTED_VALUE"""),45555)</f>
        <v>45555</v>
      </c>
      <c r="J2875" s="29" t="s">
        <v>10171</v>
      </c>
      <c r="K2875" s="26" t="s">
        <v>10172</v>
      </c>
      <c r="L2875" s="30">
        <v>973386602</v>
      </c>
      <c r="M2875" s="26" t="s">
        <v>80</v>
      </c>
      <c r="N2875" s="26" t="s">
        <v>466</v>
      </c>
      <c r="O2875" s="26" t="s">
        <v>10173</v>
      </c>
      <c r="P2875" s="42" t="s">
        <v>10174</v>
      </c>
      <c r="Q2875" s="20">
        <v>15936</v>
      </c>
      <c r="R2875" s="26" t="s">
        <v>36</v>
      </c>
      <c r="S2875" s="95">
        <f>200+1800</f>
        <v>2000</v>
      </c>
      <c r="T2875" s="83" t="s">
        <v>10175</v>
      </c>
      <c r="U2875" s="95">
        <v>13936</v>
      </c>
      <c r="V2875" s="148">
        <v>45531</v>
      </c>
      <c r="W2875" s="33" t="s">
        <v>10176</v>
      </c>
      <c r="X2875" s="26">
        <v>0</v>
      </c>
      <c r="Y2875" s="22">
        <v>0</v>
      </c>
      <c r="Z2875" s="26" t="s">
        <v>50</v>
      </c>
      <c r="AA2875" s="96"/>
      <c r="AB2875" s="26"/>
      <c r="AC2875" s="26" t="s">
        <v>53</v>
      </c>
      <c r="AD2875" s="26" t="s">
        <v>54</v>
      </c>
      <c r="AE2875" s="26" t="s">
        <v>9367</v>
      </c>
      <c r="AF2875" s="17">
        <v>45551</v>
      </c>
      <c r="AG2875" s="26"/>
      <c r="AH2875" s="26"/>
      <c r="AI2875" s="40"/>
      <c r="AJ2875" s="26"/>
      <c r="AK2875" s="26"/>
      <c r="AL2875" s="35"/>
      <c r="AM2875" s="35"/>
      <c r="AN2875" s="35"/>
      <c r="AO2875" s="35"/>
      <c r="AP2875" s="35"/>
    </row>
    <row r="2876" spans="1:42" x14ac:dyDescent="0.2">
      <c r="A2876" s="38">
        <v>45545</v>
      </c>
      <c r="B2876" s="28" t="s">
        <v>37</v>
      </c>
      <c r="C2876" s="41" t="s">
        <v>118</v>
      </c>
      <c r="D2876" s="26" t="s">
        <v>36</v>
      </c>
      <c r="E2876" s="26" t="s">
        <v>139</v>
      </c>
      <c r="F2876" s="26" t="s">
        <v>6128</v>
      </c>
      <c r="G2876" s="26" t="s">
        <v>1847</v>
      </c>
      <c r="H2876" s="26" t="s">
        <v>8343</v>
      </c>
      <c r="I2876" s="17">
        <f ca="1">IFERROR(__xludf.DUMMYFUNCTION("""COMPUTED_VALUE"""),45555)</f>
        <v>45555</v>
      </c>
      <c r="J2876" s="29" t="s">
        <v>2522</v>
      </c>
      <c r="K2876" s="26" t="s">
        <v>10177</v>
      </c>
      <c r="L2876" s="30">
        <v>904372750</v>
      </c>
      <c r="M2876" s="26" t="s">
        <v>80</v>
      </c>
      <c r="N2876" s="26" t="s">
        <v>299</v>
      </c>
      <c r="O2876" s="26" t="s">
        <v>2524</v>
      </c>
      <c r="P2876" s="42" t="s">
        <v>6622</v>
      </c>
      <c r="Q2876" s="20">
        <v>15936</v>
      </c>
      <c r="R2876" s="26" t="s">
        <v>36</v>
      </c>
      <c r="S2876" s="31">
        <v>2000</v>
      </c>
      <c r="T2876" s="32">
        <v>45160</v>
      </c>
      <c r="U2876" s="31">
        <v>13936</v>
      </c>
      <c r="V2876" s="32">
        <v>45190</v>
      </c>
      <c r="W2876" s="33" t="s">
        <v>2526</v>
      </c>
      <c r="X2876" s="26"/>
      <c r="Y2876" s="22">
        <v>0</v>
      </c>
      <c r="Z2876" s="26" t="s">
        <v>118</v>
      </c>
      <c r="AA2876" s="19" t="s">
        <v>4541</v>
      </c>
      <c r="AB2876" s="26" t="s">
        <v>104</v>
      </c>
      <c r="AC2876" s="26" t="s">
        <v>53</v>
      </c>
      <c r="AD2876" s="19" t="s">
        <v>138</v>
      </c>
      <c r="AE2876" s="26" t="s">
        <v>6128</v>
      </c>
      <c r="AF2876" s="17">
        <v>45554</v>
      </c>
      <c r="AG2876" s="26"/>
      <c r="AH2876" s="26"/>
      <c r="AI2876" s="40"/>
      <c r="AJ2876" s="26"/>
      <c r="AK2876" s="26"/>
      <c r="AL2876" s="35"/>
      <c r="AM2876" s="35"/>
      <c r="AN2876" s="35"/>
      <c r="AO2876" s="35"/>
      <c r="AP2876" s="35"/>
    </row>
    <row r="2877" spans="1:42" x14ac:dyDescent="0.2">
      <c r="A2877" s="38">
        <v>45545</v>
      </c>
      <c r="B2877" s="28" t="s">
        <v>37</v>
      </c>
      <c r="C2877" s="41" t="s">
        <v>118</v>
      </c>
      <c r="D2877" s="26" t="s">
        <v>36</v>
      </c>
      <c r="E2877" s="26" t="s">
        <v>119</v>
      </c>
      <c r="F2877" s="26" t="s">
        <v>8655</v>
      </c>
      <c r="G2877" s="26" t="s">
        <v>1847</v>
      </c>
      <c r="H2877" s="26" t="s">
        <v>8343</v>
      </c>
      <c r="I2877" s="17">
        <f ca="1">IFERROR(__xludf.DUMMYFUNCTION("""COMPUTED_VALUE"""),45555)</f>
        <v>45555</v>
      </c>
      <c r="J2877" s="29" t="s">
        <v>3576</v>
      </c>
      <c r="K2877" s="26" t="s">
        <v>5082</v>
      </c>
      <c r="L2877" s="30">
        <v>978331320</v>
      </c>
      <c r="M2877" s="26" t="s">
        <v>1245</v>
      </c>
      <c r="N2877" s="26" t="s">
        <v>4957</v>
      </c>
      <c r="O2877" s="26" t="s">
        <v>3578</v>
      </c>
      <c r="P2877" s="42" t="s">
        <v>8689</v>
      </c>
      <c r="Q2877" s="20">
        <v>13968</v>
      </c>
      <c r="R2877" s="26" t="s">
        <v>36</v>
      </c>
      <c r="S2877" s="31">
        <v>4000</v>
      </c>
      <c r="T2877" s="32">
        <v>45183</v>
      </c>
      <c r="U2877" s="31">
        <v>9968</v>
      </c>
      <c r="V2877" s="32">
        <v>45213</v>
      </c>
      <c r="W2877" s="33" t="s">
        <v>3580</v>
      </c>
      <c r="X2877" s="26"/>
      <c r="Y2877" s="22">
        <v>0</v>
      </c>
      <c r="Z2877" s="26" t="s">
        <v>118</v>
      </c>
      <c r="AA2877" s="19" t="s">
        <v>3454</v>
      </c>
      <c r="AB2877" s="26" t="s">
        <v>36</v>
      </c>
      <c r="AC2877" s="26" t="s">
        <v>53</v>
      </c>
      <c r="AD2877" s="19" t="s">
        <v>54</v>
      </c>
      <c r="AE2877" s="26" t="s">
        <v>8655</v>
      </c>
      <c r="AF2877" s="17">
        <v>45554</v>
      </c>
      <c r="AG2877" s="26"/>
      <c r="AH2877" s="26"/>
      <c r="AI2877" s="40"/>
      <c r="AJ2877" s="26"/>
      <c r="AK2877" s="26"/>
      <c r="AL2877" s="35"/>
      <c r="AM2877" s="35"/>
      <c r="AN2877" s="35"/>
      <c r="AO2877" s="35"/>
      <c r="AP2877" s="35"/>
    </row>
    <row r="2878" spans="1:42" x14ac:dyDescent="0.2">
      <c r="A2878" s="38">
        <v>45545</v>
      </c>
      <c r="B2878" s="28" t="s">
        <v>37</v>
      </c>
      <c r="C2878" s="41" t="s">
        <v>118</v>
      </c>
      <c r="D2878" s="26" t="s">
        <v>36</v>
      </c>
      <c r="E2878" s="26" t="s">
        <v>119</v>
      </c>
      <c r="F2878" s="26" t="s">
        <v>6128</v>
      </c>
      <c r="G2878" s="26" t="s">
        <v>1847</v>
      </c>
      <c r="H2878" s="26" t="s">
        <v>8343</v>
      </c>
      <c r="I2878" s="17">
        <f ca="1">IFERROR(__xludf.DUMMYFUNCTION("""COMPUTED_VALUE"""),45555)</f>
        <v>45555</v>
      </c>
      <c r="J2878" s="29" t="s">
        <v>5427</v>
      </c>
      <c r="K2878" s="26" t="s">
        <v>6625</v>
      </c>
      <c r="L2878" s="30">
        <v>941603226</v>
      </c>
      <c r="M2878" s="26" t="s">
        <v>5429</v>
      </c>
      <c r="N2878" s="26" t="s">
        <v>81</v>
      </c>
      <c r="O2878" s="26" t="s">
        <v>5430</v>
      </c>
      <c r="P2878" s="42" t="s">
        <v>10178</v>
      </c>
      <c r="Q2878" s="20">
        <v>13968</v>
      </c>
      <c r="R2878" s="26" t="s">
        <v>36</v>
      </c>
      <c r="S2878" s="31">
        <v>4000</v>
      </c>
      <c r="T2878" s="32">
        <v>45222</v>
      </c>
      <c r="U2878" s="31">
        <v>9968</v>
      </c>
      <c r="V2878" s="32">
        <v>45251</v>
      </c>
      <c r="W2878" s="33" t="s">
        <v>5432</v>
      </c>
      <c r="X2878" s="26"/>
      <c r="Y2878" s="22">
        <v>0</v>
      </c>
      <c r="Z2878" s="26" t="s">
        <v>118</v>
      </c>
      <c r="AA2878" s="19" t="s">
        <v>5112</v>
      </c>
      <c r="AB2878" s="26" t="s">
        <v>104</v>
      </c>
      <c r="AC2878" s="26" t="s">
        <v>53</v>
      </c>
      <c r="AD2878" s="19" t="s">
        <v>138</v>
      </c>
      <c r="AE2878" s="26" t="s">
        <v>6128</v>
      </c>
      <c r="AF2878" s="17">
        <v>45554</v>
      </c>
      <c r="AG2878" s="26"/>
      <c r="AH2878" s="26"/>
      <c r="AI2878" s="40">
        <v>4</v>
      </c>
      <c r="AJ2878" s="26"/>
      <c r="AK2878" s="26"/>
      <c r="AL2878" s="35"/>
      <c r="AM2878" s="35"/>
      <c r="AN2878" s="35"/>
      <c r="AO2878" s="35"/>
      <c r="AP2878" s="35"/>
    </row>
    <row r="2879" spans="1:42" x14ac:dyDescent="0.2">
      <c r="A2879" s="38">
        <v>45545</v>
      </c>
      <c r="B2879" s="28" t="s">
        <v>37</v>
      </c>
      <c r="C2879" s="41" t="s">
        <v>118</v>
      </c>
      <c r="D2879" s="26" t="s">
        <v>36</v>
      </c>
      <c r="E2879" s="26" t="s">
        <v>56</v>
      </c>
      <c r="F2879" s="26" t="s">
        <v>5106</v>
      </c>
      <c r="G2879" s="26" t="s">
        <v>221</v>
      </c>
      <c r="H2879" s="26" t="s">
        <v>7024</v>
      </c>
      <c r="I2879" s="17">
        <f ca="1">IFERROR(__xludf.DUMMYFUNCTION("""COMPUTED_VALUE"""),45557)</f>
        <v>45557</v>
      </c>
      <c r="J2879" s="29" t="s">
        <v>6013</v>
      </c>
      <c r="K2879" s="26" t="s">
        <v>6014</v>
      </c>
      <c r="L2879" s="30">
        <v>399102177</v>
      </c>
      <c r="M2879" s="26" t="s">
        <v>3498</v>
      </c>
      <c r="N2879" s="26" t="s">
        <v>3874</v>
      </c>
      <c r="O2879" s="26" t="s">
        <v>2819</v>
      </c>
      <c r="P2879" s="42" t="s">
        <v>10179</v>
      </c>
      <c r="Q2879" s="20">
        <v>9317</v>
      </c>
      <c r="R2879" s="26" t="s">
        <v>36</v>
      </c>
      <c r="S2879" s="58">
        <v>2000</v>
      </c>
      <c r="T2879" s="59">
        <v>45223</v>
      </c>
      <c r="U2879" s="58">
        <v>7317</v>
      </c>
      <c r="V2879" s="59">
        <v>45245</v>
      </c>
      <c r="W2879" s="33" t="s">
        <v>6016</v>
      </c>
      <c r="X2879" s="26"/>
      <c r="Y2879" s="22">
        <v>0</v>
      </c>
      <c r="Z2879" s="26" t="s">
        <v>118</v>
      </c>
      <c r="AA2879" s="19" t="s">
        <v>5785</v>
      </c>
      <c r="AB2879" s="26" t="s">
        <v>104</v>
      </c>
      <c r="AC2879" s="26" t="s">
        <v>53</v>
      </c>
      <c r="AD2879" s="19" t="s">
        <v>138</v>
      </c>
      <c r="AE2879" s="26" t="s">
        <v>5106</v>
      </c>
      <c r="AF2879" s="17">
        <v>45557</v>
      </c>
      <c r="AG2879" s="26" t="s">
        <v>5101</v>
      </c>
      <c r="AH2879" s="26"/>
      <c r="AI2879" s="40" t="s">
        <v>64</v>
      </c>
      <c r="AJ2879" s="26"/>
      <c r="AK2879" s="26"/>
      <c r="AL2879" s="35"/>
      <c r="AM2879" s="35"/>
      <c r="AN2879" s="35"/>
      <c r="AO2879" s="35"/>
      <c r="AP2879" s="35"/>
    </row>
    <row r="2880" spans="1:42" x14ac:dyDescent="0.2">
      <c r="A2880" s="38">
        <v>45545</v>
      </c>
      <c r="B2880" s="68" t="s">
        <v>37</v>
      </c>
      <c r="C2880" s="41" t="s">
        <v>118</v>
      </c>
      <c r="D2880" s="26" t="s">
        <v>36</v>
      </c>
      <c r="E2880" s="26" t="s">
        <v>139</v>
      </c>
      <c r="F2880" s="26" t="s">
        <v>9367</v>
      </c>
      <c r="G2880" s="26" t="s">
        <v>108</v>
      </c>
      <c r="H2880" s="26" t="s">
        <v>10014</v>
      </c>
      <c r="I2880" s="17">
        <f ca="1">IFERROR(__xludf.DUMMYFUNCTION("""COMPUTED_VALUE"""),45551)</f>
        <v>45551</v>
      </c>
      <c r="J2880" s="29" t="s">
        <v>10180</v>
      </c>
      <c r="K2880" s="26" t="s">
        <v>10181</v>
      </c>
      <c r="L2880" s="30">
        <v>363489965</v>
      </c>
      <c r="M2880" s="26" t="s">
        <v>3728</v>
      </c>
      <c r="N2880" s="26" t="s">
        <v>8725</v>
      </c>
      <c r="O2880" s="26" t="s">
        <v>10182</v>
      </c>
      <c r="P2880" s="42" t="s">
        <v>10183</v>
      </c>
      <c r="Q2880" s="20">
        <v>15936</v>
      </c>
      <c r="R2880" s="26" t="s">
        <v>36</v>
      </c>
      <c r="S2880" s="95">
        <v>2000</v>
      </c>
      <c r="T2880" s="148">
        <v>45488</v>
      </c>
      <c r="U2880" s="95">
        <v>13936</v>
      </c>
      <c r="V2880" s="148">
        <v>45517</v>
      </c>
      <c r="W2880" s="33" t="s">
        <v>10184</v>
      </c>
      <c r="X2880" s="26">
        <v>0</v>
      </c>
      <c r="Y2880" s="22">
        <v>0</v>
      </c>
      <c r="Z2880" s="26" t="s">
        <v>50</v>
      </c>
      <c r="AA2880" s="35"/>
      <c r="AB2880" s="26"/>
      <c r="AC2880" s="26" t="s">
        <v>53</v>
      </c>
      <c r="AD2880" s="26" t="s">
        <v>54</v>
      </c>
      <c r="AE2880" s="26" t="s">
        <v>9367</v>
      </c>
      <c r="AF2880" s="17">
        <v>45547</v>
      </c>
      <c r="AG2880" s="26"/>
      <c r="AH2880" s="26"/>
      <c r="AI2880" s="40"/>
      <c r="AJ2880" s="26"/>
      <c r="AK2880" s="26"/>
      <c r="AL2880" s="35"/>
      <c r="AM2880" s="35"/>
      <c r="AN2880" s="35"/>
      <c r="AO2880" s="35"/>
      <c r="AP2880" s="35"/>
    </row>
    <row r="2881" spans="1:42" x14ac:dyDescent="0.2">
      <c r="A2881" s="38">
        <v>45546</v>
      </c>
      <c r="B2881" s="137" t="s">
        <v>37</v>
      </c>
      <c r="C2881" s="41" t="s">
        <v>118</v>
      </c>
      <c r="D2881" s="26" t="s">
        <v>36</v>
      </c>
      <c r="E2881" s="26" t="s">
        <v>139</v>
      </c>
      <c r="F2881" s="26" t="s">
        <v>9419</v>
      </c>
      <c r="G2881" s="26" t="s">
        <v>108</v>
      </c>
      <c r="H2881" s="26" t="s">
        <v>9768</v>
      </c>
      <c r="I2881" s="17">
        <f ca="1">IFERROR(__xludf.DUMMYFUNCTION("""COMPUTED_VALUE"""),45578)</f>
        <v>45578</v>
      </c>
      <c r="J2881" s="29" t="s">
        <v>9507</v>
      </c>
      <c r="K2881" s="26" t="s">
        <v>10185</v>
      </c>
      <c r="L2881" s="30">
        <v>326669104</v>
      </c>
      <c r="M2881" s="26" t="s">
        <v>45</v>
      </c>
      <c r="N2881" s="26" t="s">
        <v>7814</v>
      </c>
      <c r="O2881" s="26" t="s">
        <v>9509</v>
      </c>
      <c r="P2881" s="42" t="s">
        <v>10186</v>
      </c>
      <c r="Q2881" s="20"/>
      <c r="R2881" s="26" t="s">
        <v>36</v>
      </c>
      <c r="S2881" s="95">
        <v>15968</v>
      </c>
      <c r="T2881" s="148">
        <v>45487</v>
      </c>
      <c r="U2881" s="31"/>
      <c r="V2881" s="32"/>
      <c r="W2881" s="26" t="s">
        <v>9511</v>
      </c>
      <c r="X2881" s="26"/>
      <c r="Y2881" s="22"/>
      <c r="Z2881" s="26" t="s">
        <v>50</v>
      </c>
      <c r="AA2881" s="70" t="s">
        <v>9070</v>
      </c>
      <c r="AB2881" s="26"/>
      <c r="AC2881" s="26" t="s">
        <v>53</v>
      </c>
      <c r="AD2881" s="26" t="s">
        <v>54</v>
      </c>
      <c r="AE2881" s="26" t="s">
        <v>9419</v>
      </c>
      <c r="AF2881" s="43">
        <v>45576</v>
      </c>
      <c r="AG2881" s="80" t="s">
        <v>9774</v>
      </c>
      <c r="AH2881" s="26"/>
      <c r="AI2881" s="40"/>
      <c r="AJ2881" s="26"/>
      <c r="AK2881" s="26"/>
      <c r="AL2881" s="35"/>
      <c r="AM2881" s="35"/>
      <c r="AN2881" s="35"/>
      <c r="AO2881" s="35"/>
      <c r="AP2881" s="35"/>
    </row>
    <row r="2882" spans="1:42" x14ac:dyDescent="0.2">
      <c r="A2882" s="38">
        <v>45546</v>
      </c>
      <c r="B2882" s="137" t="s">
        <v>37</v>
      </c>
      <c r="C2882" s="41" t="s">
        <v>118</v>
      </c>
      <c r="D2882" s="26" t="s">
        <v>36</v>
      </c>
      <c r="E2882" s="26" t="s">
        <v>119</v>
      </c>
      <c r="F2882" s="26" t="s">
        <v>8074</v>
      </c>
      <c r="G2882" s="26" t="s">
        <v>221</v>
      </c>
      <c r="H2882" s="26" t="s">
        <v>9941</v>
      </c>
      <c r="I2882" s="17">
        <f ca="1">IFERROR(__xludf.DUMMYFUNCTION("""COMPUTED_VALUE"""),45554)</f>
        <v>45554</v>
      </c>
      <c r="J2882" s="29" t="s">
        <v>7733</v>
      </c>
      <c r="K2882" s="26" t="s">
        <v>8076</v>
      </c>
      <c r="L2882" s="30">
        <v>383294297</v>
      </c>
      <c r="M2882" s="26" t="s">
        <v>123</v>
      </c>
      <c r="N2882" s="26" t="s">
        <v>186</v>
      </c>
      <c r="O2882" s="26" t="s">
        <v>1226</v>
      </c>
      <c r="P2882" s="26" t="s">
        <v>3487</v>
      </c>
      <c r="Q2882" s="20">
        <v>15936</v>
      </c>
      <c r="R2882" s="26" t="s">
        <v>70</v>
      </c>
      <c r="S2882" s="31">
        <f>200+2000</f>
        <v>2200</v>
      </c>
      <c r="T2882" s="26" t="s">
        <v>4054</v>
      </c>
      <c r="U2882" s="31">
        <v>13636</v>
      </c>
      <c r="V2882" s="32">
        <v>45226</v>
      </c>
      <c r="W2882" s="33" t="s">
        <v>4055</v>
      </c>
      <c r="X2882" s="26"/>
      <c r="Y2882" s="22">
        <v>100</v>
      </c>
      <c r="Z2882" s="98" t="s">
        <v>118</v>
      </c>
      <c r="AA2882" s="19" t="s">
        <v>3454</v>
      </c>
      <c r="AB2882" s="26" t="s">
        <v>36</v>
      </c>
      <c r="AC2882" s="26" t="s">
        <v>53</v>
      </c>
      <c r="AD2882" s="19" t="s">
        <v>138</v>
      </c>
      <c r="AE2882" s="26" t="s">
        <v>8074</v>
      </c>
      <c r="AF2882" s="17">
        <v>45551</v>
      </c>
      <c r="AG2882" s="42" t="s">
        <v>4056</v>
      </c>
      <c r="AH2882" s="26"/>
      <c r="AI2882" s="40"/>
      <c r="AJ2882" s="26"/>
      <c r="AK2882" s="26"/>
      <c r="AL2882" s="35"/>
      <c r="AM2882" s="35"/>
      <c r="AN2882" s="35"/>
      <c r="AO2882" s="35"/>
      <c r="AP2882" s="35"/>
    </row>
    <row r="2883" spans="1:42" x14ac:dyDescent="0.2">
      <c r="A2883" s="38">
        <v>45546</v>
      </c>
      <c r="B2883" s="137" t="s">
        <v>37</v>
      </c>
      <c r="C2883" s="41" t="s">
        <v>118</v>
      </c>
      <c r="D2883" s="26" t="s">
        <v>36</v>
      </c>
      <c r="E2883" s="26" t="s">
        <v>139</v>
      </c>
      <c r="F2883" s="26" t="s">
        <v>8771</v>
      </c>
      <c r="G2883" s="26" t="s">
        <v>108</v>
      </c>
      <c r="H2883" s="26" t="s">
        <v>9768</v>
      </c>
      <c r="I2883" s="17">
        <f ca="1">IFERROR(__xludf.DUMMYFUNCTION("""COMPUTED_VALUE"""),45578)</f>
        <v>45578</v>
      </c>
      <c r="J2883" s="29" t="s">
        <v>10187</v>
      </c>
      <c r="K2883" s="19" t="s">
        <v>10188</v>
      </c>
      <c r="L2883" s="47">
        <v>336218198</v>
      </c>
      <c r="M2883" s="19" t="s">
        <v>910</v>
      </c>
      <c r="N2883" s="19" t="s">
        <v>3525</v>
      </c>
      <c r="O2883" s="26" t="s">
        <v>10189</v>
      </c>
      <c r="P2883" s="26" t="s">
        <v>10190</v>
      </c>
      <c r="Q2883" s="20">
        <v>15936</v>
      </c>
      <c r="R2883" s="26" t="s">
        <v>36</v>
      </c>
      <c r="S2883" s="77">
        <v>9100</v>
      </c>
      <c r="T2883" s="80" t="s">
        <v>10191</v>
      </c>
      <c r="U2883" s="77">
        <v>6868</v>
      </c>
      <c r="V2883" s="78">
        <v>45554</v>
      </c>
      <c r="W2883" s="80" t="s">
        <v>10192</v>
      </c>
      <c r="X2883" s="86">
        <v>0</v>
      </c>
      <c r="Y2883" s="22">
        <v>-32</v>
      </c>
      <c r="Z2883" s="80" t="s">
        <v>50</v>
      </c>
      <c r="AA2883" s="180" t="s">
        <v>3291</v>
      </c>
      <c r="AB2883" s="26" t="s">
        <v>36</v>
      </c>
      <c r="AC2883" s="26" t="s">
        <v>53</v>
      </c>
      <c r="AD2883" s="26" t="s">
        <v>54</v>
      </c>
      <c r="AE2883" s="26" t="s">
        <v>8771</v>
      </c>
      <c r="AF2883" s="43">
        <v>45576</v>
      </c>
      <c r="AG2883" s="80" t="s">
        <v>9774</v>
      </c>
      <c r="AH2883" s="26"/>
      <c r="AI2883" s="40"/>
      <c r="AJ2883" s="26"/>
      <c r="AK2883" s="26"/>
      <c r="AL2883" s="35"/>
      <c r="AM2883" s="35"/>
      <c r="AN2883" s="35"/>
      <c r="AO2883" s="35"/>
      <c r="AP2883" s="35"/>
    </row>
    <row r="2884" spans="1:42" x14ac:dyDescent="0.2">
      <c r="A2884" s="38">
        <v>45547</v>
      </c>
      <c r="B2884" s="137" t="s">
        <v>37</v>
      </c>
      <c r="C2884" s="41" t="s">
        <v>118</v>
      </c>
      <c r="D2884" s="26" t="s">
        <v>36</v>
      </c>
      <c r="E2884" s="26" t="s">
        <v>139</v>
      </c>
      <c r="F2884" s="26" t="s">
        <v>9502</v>
      </c>
      <c r="G2884" s="26" t="s">
        <v>108</v>
      </c>
      <c r="H2884" s="26" t="s">
        <v>10193</v>
      </c>
      <c r="I2884" s="17">
        <f ca="1">IFERROR(__xludf.DUMMYFUNCTION("""COMPUTED_VALUE"""),45555)</f>
        <v>45555</v>
      </c>
      <c r="J2884" s="29" t="s">
        <v>10194</v>
      </c>
      <c r="K2884" s="26" t="s">
        <v>10195</v>
      </c>
      <c r="L2884" s="30">
        <v>814146184</v>
      </c>
      <c r="M2884" s="26" t="s">
        <v>3728</v>
      </c>
      <c r="N2884" s="26" t="s">
        <v>8725</v>
      </c>
      <c r="O2884" s="26" t="s">
        <v>10196</v>
      </c>
      <c r="P2884" s="42" t="s">
        <v>10197</v>
      </c>
      <c r="Q2884" s="20">
        <v>15936</v>
      </c>
      <c r="R2884" s="26" t="s">
        <v>36</v>
      </c>
      <c r="S2884" s="95">
        <v>2000</v>
      </c>
      <c r="T2884" s="148">
        <v>45487</v>
      </c>
      <c r="U2884" s="95">
        <v>13936</v>
      </c>
      <c r="V2884" s="148">
        <v>45525</v>
      </c>
      <c r="W2884" s="33" t="s">
        <v>10198</v>
      </c>
      <c r="X2884" s="26">
        <v>0</v>
      </c>
      <c r="Y2884" s="22">
        <v>0</v>
      </c>
      <c r="Z2884" s="26" t="s">
        <v>50</v>
      </c>
      <c r="AA2884" s="35"/>
      <c r="AB2884" s="26"/>
      <c r="AC2884" s="26" t="s">
        <v>53</v>
      </c>
      <c r="AD2884" s="26" t="s">
        <v>54</v>
      </c>
      <c r="AE2884" s="26" t="s">
        <v>9502</v>
      </c>
      <c r="AF2884" s="17">
        <v>45551</v>
      </c>
      <c r="AG2884" s="26"/>
      <c r="AH2884" s="26"/>
      <c r="AI2884" s="40"/>
      <c r="AJ2884" s="26"/>
      <c r="AK2884" s="26"/>
      <c r="AL2884" s="35"/>
      <c r="AM2884" s="35"/>
      <c r="AN2884" s="35"/>
      <c r="AO2884" s="35"/>
      <c r="AP2884" s="35"/>
    </row>
    <row r="2885" spans="1:42" x14ac:dyDescent="0.2">
      <c r="A2885" s="38">
        <v>45547</v>
      </c>
      <c r="B2885" s="137" t="s">
        <v>37</v>
      </c>
      <c r="C2885" s="41" t="s">
        <v>118</v>
      </c>
      <c r="D2885" s="26" t="s">
        <v>36</v>
      </c>
      <c r="E2885" s="26" t="s">
        <v>139</v>
      </c>
      <c r="F2885" s="26" t="s">
        <v>9502</v>
      </c>
      <c r="G2885" s="26" t="s">
        <v>108</v>
      </c>
      <c r="H2885" s="26" t="s">
        <v>10199</v>
      </c>
      <c r="I2885" s="17">
        <f ca="1">IFERROR(__xludf.DUMMYFUNCTION("""COMPUTED_VALUE"""),45600)</f>
        <v>45600</v>
      </c>
      <c r="J2885" s="29" t="s">
        <v>10200</v>
      </c>
      <c r="K2885" s="26" t="s">
        <v>10201</v>
      </c>
      <c r="L2885" s="30">
        <v>834167448</v>
      </c>
      <c r="M2885" s="26" t="s">
        <v>3728</v>
      </c>
      <c r="N2885" s="26" t="s">
        <v>8725</v>
      </c>
      <c r="O2885" s="26" t="s">
        <v>10202</v>
      </c>
      <c r="P2885" s="42" t="s">
        <v>10203</v>
      </c>
      <c r="Q2885" s="20">
        <v>15936</v>
      </c>
      <c r="R2885" s="26" t="s">
        <v>36</v>
      </c>
      <c r="S2885" s="95">
        <v>2000</v>
      </c>
      <c r="T2885" s="148">
        <v>45484</v>
      </c>
      <c r="U2885" s="95">
        <v>13936</v>
      </c>
      <c r="V2885" s="148">
        <v>45533</v>
      </c>
      <c r="W2885" s="33" t="s">
        <v>10204</v>
      </c>
      <c r="X2885" s="26">
        <v>0</v>
      </c>
      <c r="Y2885" s="22">
        <v>0</v>
      </c>
      <c r="Z2885" s="26" t="s">
        <v>50</v>
      </c>
      <c r="AA2885" s="96"/>
      <c r="AB2885" s="26"/>
      <c r="AC2885" s="26" t="s">
        <v>53</v>
      </c>
      <c r="AD2885" s="26" t="s">
        <v>54</v>
      </c>
      <c r="AE2885" s="26" t="s">
        <v>9502</v>
      </c>
      <c r="AF2885" s="17">
        <v>45551</v>
      </c>
      <c r="AG2885" s="26"/>
      <c r="AH2885" s="26"/>
      <c r="AI2885" s="40"/>
      <c r="AJ2885" s="26"/>
      <c r="AK2885" s="26"/>
      <c r="AL2885" s="35"/>
      <c r="AM2885" s="35"/>
      <c r="AN2885" s="35"/>
      <c r="AO2885" s="35"/>
      <c r="AP2885" s="35"/>
    </row>
    <row r="2886" spans="1:42" x14ac:dyDescent="0.2">
      <c r="A2886" s="38">
        <v>45547</v>
      </c>
      <c r="B2886" s="137" t="s">
        <v>37</v>
      </c>
      <c r="C2886" s="41" t="s">
        <v>118</v>
      </c>
      <c r="D2886" s="26" t="s">
        <v>36</v>
      </c>
      <c r="E2886" s="26" t="s">
        <v>39</v>
      </c>
      <c r="F2886" s="26" t="s">
        <v>9502</v>
      </c>
      <c r="G2886" s="26" t="s">
        <v>108</v>
      </c>
      <c r="H2886" s="26" t="s">
        <v>10205</v>
      </c>
      <c r="I2886" s="17">
        <f ca="1">IFERROR(__xludf.DUMMYFUNCTION("""COMPUTED_VALUE"""),45590)</f>
        <v>45590</v>
      </c>
      <c r="J2886" s="44" t="s">
        <v>10206</v>
      </c>
      <c r="K2886" s="26" t="s">
        <v>10207</v>
      </c>
      <c r="L2886" s="30">
        <v>824115993</v>
      </c>
      <c r="M2886" s="26" t="s">
        <v>3728</v>
      </c>
      <c r="N2886" s="26" t="s">
        <v>5277</v>
      </c>
      <c r="O2886" s="26" t="s">
        <v>10208</v>
      </c>
      <c r="P2886" s="42" t="s">
        <v>10209</v>
      </c>
      <c r="Q2886" s="20">
        <v>15936</v>
      </c>
      <c r="R2886" s="26" t="s">
        <v>36</v>
      </c>
      <c r="S2886" s="95">
        <v>2000</v>
      </c>
      <c r="T2886" s="148">
        <v>45488</v>
      </c>
      <c r="U2886" s="95">
        <v>13936</v>
      </c>
      <c r="V2886" s="148">
        <v>45522</v>
      </c>
      <c r="W2886" s="33" t="s">
        <v>10210</v>
      </c>
      <c r="X2886" s="26">
        <v>0</v>
      </c>
      <c r="Y2886" s="22">
        <v>0</v>
      </c>
      <c r="Z2886" s="26" t="s">
        <v>50</v>
      </c>
      <c r="AA2886" s="35"/>
      <c r="AB2886" s="26"/>
      <c r="AC2886" s="26" t="s">
        <v>53</v>
      </c>
      <c r="AD2886" s="26" t="s">
        <v>54</v>
      </c>
      <c r="AE2886" s="26" t="s">
        <v>9502</v>
      </c>
      <c r="AF2886" s="17">
        <v>45583</v>
      </c>
      <c r="AG2886" s="26"/>
      <c r="AH2886" s="26"/>
      <c r="AI2886" s="40"/>
      <c r="AJ2886" s="26"/>
      <c r="AK2886" s="26"/>
      <c r="AL2886" s="35"/>
      <c r="AM2886" s="35"/>
      <c r="AN2886" s="35"/>
      <c r="AO2886" s="35"/>
      <c r="AP2886" s="35"/>
    </row>
    <row r="2887" spans="1:42" x14ac:dyDescent="0.2">
      <c r="A2887" s="38">
        <v>45547</v>
      </c>
      <c r="B2887" s="28" t="s">
        <v>37</v>
      </c>
      <c r="C2887" s="41" t="s">
        <v>118</v>
      </c>
      <c r="D2887" s="26" t="s">
        <v>36</v>
      </c>
      <c r="E2887" s="26" t="s">
        <v>56</v>
      </c>
      <c r="F2887" s="26" t="s">
        <v>8635</v>
      </c>
      <c r="G2887" s="26" t="s">
        <v>108</v>
      </c>
      <c r="H2887" s="26" t="s">
        <v>6919</v>
      </c>
      <c r="I2887" s="17">
        <f ca="1">IFERROR(__xludf.DUMMYFUNCTION("""COMPUTED_VALUE"""),45552)</f>
        <v>45552</v>
      </c>
      <c r="J2887" s="29" t="s">
        <v>9306</v>
      </c>
      <c r="K2887" s="26" t="s">
        <v>9307</v>
      </c>
      <c r="L2887" s="30">
        <v>964821455</v>
      </c>
      <c r="M2887" s="26" t="s">
        <v>59</v>
      </c>
      <c r="N2887" s="26" t="s">
        <v>68</v>
      </c>
      <c r="O2887" s="26" t="s">
        <v>9308</v>
      </c>
      <c r="P2887" s="26" t="s">
        <v>9309</v>
      </c>
      <c r="Q2887" s="20"/>
      <c r="R2887" s="26" t="s">
        <v>36</v>
      </c>
      <c r="S2887" s="95">
        <v>9317</v>
      </c>
      <c r="T2887" s="148">
        <v>45475</v>
      </c>
      <c r="U2887" s="31"/>
      <c r="V2887" s="32"/>
      <c r="W2887" s="33" t="s">
        <v>9310</v>
      </c>
      <c r="X2887" s="26"/>
      <c r="Y2887" s="22"/>
      <c r="Z2887" s="26" t="s">
        <v>50</v>
      </c>
      <c r="AA2887" s="70" t="s">
        <v>9070</v>
      </c>
      <c r="AB2887" s="26" t="s">
        <v>36</v>
      </c>
      <c r="AC2887" s="26" t="s">
        <v>53</v>
      </c>
      <c r="AD2887" s="26" t="s">
        <v>138</v>
      </c>
      <c r="AE2887" s="26" t="s">
        <v>8635</v>
      </c>
      <c r="AF2887" s="17">
        <v>45552</v>
      </c>
      <c r="AG2887" s="26"/>
      <c r="AH2887" s="26"/>
      <c r="AI2887" s="40"/>
      <c r="AJ2887" s="26"/>
      <c r="AK2887" s="26"/>
      <c r="AL2887" s="35"/>
      <c r="AM2887" s="35"/>
      <c r="AN2887" s="35"/>
      <c r="AO2887" s="35"/>
      <c r="AP2887" s="35"/>
    </row>
    <row r="2888" spans="1:42" x14ac:dyDescent="0.2">
      <c r="A2888" s="38">
        <v>45547</v>
      </c>
      <c r="B2888" s="28" t="s">
        <v>37</v>
      </c>
      <c r="C2888" s="41" t="s">
        <v>118</v>
      </c>
      <c r="D2888" s="26" t="s">
        <v>36</v>
      </c>
      <c r="E2888" s="26" t="s">
        <v>119</v>
      </c>
      <c r="F2888" s="26" t="s">
        <v>6083</v>
      </c>
      <c r="G2888" s="26" t="s">
        <v>1847</v>
      </c>
      <c r="H2888" s="26" t="s">
        <v>8343</v>
      </c>
      <c r="I2888" s="17">
        <f ca="1">IFERROR(__xludf.DUMMYFUNCTION("""COMPUTED_VALUE"""),45555)</f>
        <v>45555</v>
      </c>
      <c r="J2888" s="29" t="s">
        <v>2746</v>
      </c>
      <c r="K2888" s="26" t="s">
        <v>2747</v>
      </c>
      <c r="L2888" s="30">
        <v>833782005</v>
      </c>
      <c r="M2888" s="26" t="s">
        <v>80</v>
      </c>
      <c r="N2888" s="26" t="s">
        <v>299</v>
      </c>
      <c r="O2888" s="26" t="s">
        <v>1492</v>
      </c>
      <c r="P2888" s="26" t="s">
        <v>10211</v>
      </c>
      <c r="Q2888" s="20">
        <v>13968</v>
      </c>
      <c r="R2888" s="26" t="s">
        <v>36</v>
      </c>
      <c r="S2888" s="31">
        <v>13968</v>
      </c>
      <c r="T2888" s="32">
        <v>45179</v>
      </c>
      <c r="U2888" s="31"/>
      <c r="V2888" s="26"/>
      <c r="W2888" s="33" t="s">
        <v>2748</v>
      </c>
      <c r="X2888" s="26"/>
      <c r="Y2888" s="22">
        <v>0</v>
      </c>
      <c r="Z2888" s="26" t="s">
        <v>118</v>
      </c>
      <c r="AA2888" s="19" t="s">
        <v>2449</v>
      </c>
      <c r="AB2888" s="26" t="s">
        <v>104</v>
      </c>
      <c r="AC2888" s="26" t="s">
        <v>53</v>
      </c>
      <c r="AD2888" s="19" t="s">
        <v>138</v>
      </c>
      <c r="AE2888" s="26" t="s">
        <v>6083</v>
      </c>
      <c r="AF2888" s="17">
        <v>45554</v>
      </c>
      <c r="AG2888" s="26"/>
      <c r="AH2888" s="26"/>
      <c r="AI2888" s="40"/>
      <c r="AJ2888" s="26"/>
      <c r="AK2888" s="26"/>
      <c r="AL2888" s="35"/>
      <c r="AM2888" s="35"/>
      <c r="AN2888" s="35"/>
      <c r="AO2888" s="35"/>
      <c r="AP2888" s="35"/>
    </row>
    <row r="2889" spans="1:42" x14ac:dyDescent="0.2">
      <c r="A2889" s="38">
        <v>45548</v>
      </c>
      <c r="B2889" s="28" t="s">
        <v>37</v>
      </c>
      <c r="C2889" s="41" t="s">
        <v>118</v>
      </c>
      <c r="D2889" s="26" t="s">
        <v>36</v>
      </c>
      <c r="E2889" s="26" t="s">
        <v>139</v>
      </c>
      <c r="F2889" s="26" t="s">
        <v>9367</v>
      </c>
      <c r="G2889" s="26" t="s">
        <v>108</v>
      </c>
      <c r="H2889" s="26" t="s">
        <v>10038</v>
      </c>
      <c r="I2889" s="17">
        <f ca="1">IFERROR(__xludf.DUMMYFUNCTION("""COMPUTED_VALUE"""),45551)</f>
        <v>45551</v>
      </c>
      <c r="J2889" s="29" t="s">
        <v>10212</v>
      </c>
      <c r="K2889" s="26" t="s">
        <v>10213</v>
      </c>
      <c r="L2889" s="30">
        <v>348974098</v>
      </c>
      <c r="M2889" s="26" t="s">
        <v>3498</v>
      </c>
      <c r="N2889" s="26" t="s">
        <v>2756</v>
      </c>
      <c r="O2889" s="26" t="s">
        <v>4503</v>
      </c>
      <c r="P2889" s="42" t="s">
        <v>10214</v>
      </c>
      <c r="Q2889" s="20">
        <v>15936</v>
      </c>
      <c r="R2889" s="26" t="s">
        <v>36</v>
      </c>
      <c r="S2889" s="95">
        <f>200+4000</f>
        <v>4200</v>
      </c>
      <c r="T2889" s="83" t="s">
        <v>10215</v>
      </c>
      <c r="U2889" s="95">
        <v>11736</v>
      </c>
      <c r="V2889" s="148">
        <v>45513</v>
      </c>
      <c r="W2889" s="33" t="s">
        <v>10216</v>
      </c>
      <c r="X2889" s="26">
        <v>0</v>
      </c>
      <c r="Y2889" s="22">
        <v>0</v>
      </c>
      <c r="Z2889" s="26" t="s">
        <v>50</v>
      </c>
      <c r="AA2889" s="96"/>
      <c r="AB2889" s="26"/>
      <c r="AC2889" s="26" t="s">
        <v>53</v>
      </c>
      <c r="AD2889" s="26" t="s">
        <v>54</v>
      </c>
      <c r="AE2889" s="26" t="s">
        <v>9367</v>
      </c>
      <c r="AF2889" s="17">
        <v>45548</v>
      </c>
      <c r="AG2889" s="26"/>
      <c r="AH2889" s="26"/>
      <c r="AI2889" s="40"/>
      <c r="AJ2889" s="26"/>
      <c r="AK2889" s="26"/>
      <c r="AL2889" s="35"/>
      <c r="AM2889" s="35"/>
      <c r="AN2889" s="35"/>
      <c r="AO2889" s="35"/>
      <c r="AP2889" s="35"/>
    </row>
    <row r="2890" spans="1:42" x14ac:dyDescent="0.2">
      <c r="A2890" s="38">
        <v>45548</v>
      </c>
      <c r="B2890" s="137" t="s">
        <v>37</v>
      </c>
      <c r="C2890" s="41" t="s">
        <v>118</v>
      </c>
      <c r="D2890" s="26" t="s">
        <v>36</v>
      </c>
      <c r="E2890" s="26" t="s">
        <v>139</v>
      </c>
      <c r="F2890" s="26" t="s">
        <v>8801</v>
      </c>
      <c r="G2890" s="26" t="s">
        <v>108</v>
      </c>
      <c r="H2890" s="26" t="s">
        <v>8935</v>
      </c>
      <c r="I2890" s="17">
        <f ca="1">IFERROR(__xludf.DUMMYFUNCTION("""COMPUTED_VALUE"""),45557)</f>
        <v>45557</v>
      </c>
      <c r="J2890" s="29" t="s">
        <v>10217</v>
      </c>
      <c r="K2890" s="26" t="s">
        <v>10218</v>
      </c>
      <c r="L2890" s="30">
        <v>989821372</v>
      </c>
      <c r="M2890" s="26" t="s">
        <v>80</v>
      </c>
      <c r="N2890" s="26" t="s">
        <v>466</v>
      </c>
      <c r="O2890" s="26" t="s">
        <v>10219</v>
      </c>
      <c r="P2890" s="26" t="s">
        <v>10220</v>
      </c>
      <c r="Q2890" s="20">
        <v>15936</v>
      </c>
      <c r="R2890" s="26" t="s">
        <v>36</v>
      </c>
      <c r="S2890" s="95">
        <f>200+1800</f>
        <v>2000</v>
      </c>
      <c r="T2890" s="83" t="s">
        <v>10221</v>
      </c>
      <c r="U2890" s="95">
        <v>13936</v>
      </c>
      <c r="V2890" s="148">
        <v>45509</v>
      </c>
      <c r="W2890" s="33" t="s">
        <v>10222</v>
      </c>
      <c r="X2890" s="26">
        <v>0</v>
      </c>
      <c r="Y2890" s="22">
        <v>0</v>
      </c>
      <c r="Z2890" s="26" t="s">
        <v>50</v>
      </c>
      <c r="AA2890" s="35"/>
      <c r="AB2890" s="26"/>
      <c r="AC2890" s="26" t="s">
        <v>53</v>
      </c>
      <c r="AD2890" s="26" t="s">
        <v>54</v>
      </c>
      <c r="AE2890" s="26" t="s">
        <v>8801</v>
      </c>
      <c r="AF2890" s="17">
        <v>45553</v>
      </c>
      <c r="AG2890" s="26"/>
      <c r="AH2890" s="26"/>
      <c r="AI2890" s="40"/>
      <c r="AJ2890" s="26"/>
      <c r="AK2890" s="26"/>
      <c r="AL2890" s="35"/>
      <c r="AM2890" s="35"/>
      <c r="AN2890" s="35"/>
      <c r="AO2890" s="35"/>
      <c r="AP2890" s="35"/>
    </row>
    <row r="2891" spans="1:42" x14ac:dyDescent="0.2">
      <c r="A2891" s="38">
        <v>45549</v>
      </c>
      <c r="B2891" s="28" t="s">
        <v>37</v>
      </c>
      <c r="C2891" s="41" t="s">
        <v>118</v>
      </c>
      <c r="D2891" s="26" t="s">
        <v>36</v>
      </c>
      <c r="E2891" s="26" t="s">
        <v>139</v>
      </c>
      <c r="F2891" s="26" t="s">
        <v>9560</v>
      </c>
      <c r="G2891" s="26" t="s">
        <v>108</v>
      </c>
      <c r="H2891" s="26" t="s">
        <v>10223</v>
      </c>
      <c r="I2891" s="17">
        <f ca="1">IFERROR(__xludf.DUMMYFUNCTION("""COMPUTED_VALUE"""),45578)</f>
        <v>45578</v>
      </c>
      <c r="J2891" s="29" t="s">
        <v>10224</v>
      </c>
      <c r="K2891" s="26" t="s">
        <v>10225</v>
      </c>
      <c r="L2891" s="30">
        <v>966767506</v>
      </c>
      <c r="M2891" s="26" t="s">
        <v>3728</v>
      </c>
      <c r="N2891" s="26" t="s">
        <v>5277</v>
      </c>
      <c r="O2891" s="26" t="s">
        <v>10226</v>
      </c>
      <c r="P2891" s="42" t="s">
        <v>10227</v>
      </c>
      <c r="Q2891" s="20">
        <v>15936</v>
      </c>
      <c r="R2891" s="26" t="s">
        <v>36</v>
      </c>
      <c r="S2891" s="95">
        <v>2000</v>
      </c>
      <c r="T2891" s="148">
        <v>45492</v>
      </c>
      <c r="U2891" s="95">
        <v>13936</v>
      </c>
      <c r="V2891" s="148">
        <v>45545</v>
      </c>
      <c r="W2891" s="33" t="s">
        <v>10228</v>
      </c>
      <c r="X2891" s="26">
        <v>0</v>
      </c>
      <c r="Y2891" s="22">
        <v>0</v>
      </c>
      <c r="Z2891" s="26" t="s">
        <v>50</v>
      </c>
      <c r="AA2891" s="96"/>
      <c r="AB2891" s="26"/>
      <c r="AC2891" s="26" t="s">
        <v>53</v>
      </c>
      <c r="AD2891" s="26" t="s">
        <v>54</v>
      </c>
      <c r="AE2891" s="26" t="s">
        <v>9560</v>
      </c>
      <c r="AF2891" s="17">
        <v>45576</v>
      </c>
      <c r="AG2891" s="26" t="s">
        <v>10229</v>
      </c>
      <c r="AH2891" s="26"/>
      <c r="AI2891" s="40"/>
      <c r="AJ2891" s="26"/>
      <c r="AK2891" s="26"/>
      <c r="AL2891" s="35"/>
      <c r="AM2891" s="35"/>
      <c r="AN2891" s="35"/>
      <c r="AO2891" s="35"/>
      <c r="AP2891" s="35"/>
    </row>
    <row r="2892" spans="1:42" x14ac:dyDescent="0.2">
      <c r="A2892" s="38">
        <v>45549</v>
      </c>
      <c r="B2892" s="137" t="s">
        <v>37</v>
      </c>
      <c r="C2892" s="41" t="s">
        <v>118</v>
      </c>
      <c r="D2892" s="26" t="s">
        <v>36</v>
      </c>
      <c r="E2892" s="26" t="s">
        <v>139</v>
      </c>
      <c r="F2892" s="26" t="s">
        <v>9560</v>
      </c>
      <c r="G2892" s="26" t="s">
        <v>108</v>
      </c>
      <c r="H2892" s="26" t="s">
        <v>9768</v>
      </c>
      <c r="I2892" s="17">
        <f ca="1">IFERROR(__xludf.DUMMYFUNCTION("""COMPUTED_VALUE"""),45578)</f>
        <v>45578</v>
      </c>
      <c r="J2892" s="29" t="s">
        <v>10230</v>
      </c>
      <c r="K2892" s="26" t="s">
        <v>10231</v>
      </c>
      <c r="L2892" s="30">
        <v>816123940</v>
      </c>
      <c r="M2892" s="26" t="s">
        <v>910</v>
      </c>
      <c r="N2892" s="26" t="s">
        <v>3525</v>
      </c>
      <c r="O2892" s="26" t="s">
        <v>10232</v>
      </c>
      <c r="P2892" s="26" t="s">
        <v>10233</v>
      </c>
      <c r="Q2892" s="20">
        <v>15936</v>
      </c>
      <c r="R2892" s="26" t="s">
        <v>36</v>
      </c>
      <c r="S2892" s="95">
        <v>2000</v>
      </c>
      <c r="T2892" s="148">
        <v>45492</v>
      </c>
      <c r="U2892" s="95">
        <v>13936</v>
      </c>
      <c r="V2892" s="148">
        <v>45522</v>
      </c>
      <c r="W2892" s="33" t="s">
        <v>10234</v>
      </c>
      <c r="X2892" s="26">
        <v>0</v>
      </c>
      <c r="Y2892" s="22">
        <v>0</v>
      </c>
      <c r="Z2892" s="26" t="s">
        <v>50</v>
      </c>
      <c r="AA2892" s="35"/>
      <c r="AB2892" s="26"/>
      <c r="AC2892" s="26" t="s">
        <v>53</v>
      </c>
      <c r="AD2892" s="26" t="s">
        <v>54</v>
      </c>
      <c r="AE2892" s="26" t="s">
        <v>9560</v>
      </c>
      <c r="AF2892" s="43">
        <v>45576</v>
      </c>
      <c r="AG2892" s="80" t="s">
        <v>9774</v>
      </c>
      <c r="AH2892" s="26"/>
      <c r="AI2892" s="40"/>
      <c r="AJ2892" s="26"/>
      <c r="AK2892" s="26"/>
      <c r="AL2892" s="35"/>
      <c r="AM2892" s="35"/>
      <c r="AN2892" s="35"/>
      <c r="AO2892" s="35"/>
      <c r="AP2892" s="35"/>
    </row>
    <row r="2893" spans="1:42" x14ac:dyDescent="0.2">
      <c r="A2893" s="38">
        <v>45550</v>
      </c>
      <c r="B2893" s="68" t="s">
        <v>37</v>
      </c>
      <c r="C2893" s="41" t="s">
        <v>118</v>
      </c>
      <c r="D2893" s="26" t="s">
        <v>36</v>
      </c>
      <c r="E2893" s="26" t="s">
        <v>39</v>
      </c>
      <c r="F2893" s="26" t="s">
        <v>8635</v>
      </c>
      <c r="G2893" s="26" t="s">
        <v>108</v>
      </c>
      <c r="H2893" s="26" t="s">
        <v>10028</v>
      </c>
      <c r="I2893" s="17">
        <f ca="1">IFERROR(__xludf.DUMMYFUNCTION("""COMPUTED_VALUE"""),45562)</f>
        <v>45562</v>
      </c>
      <c r="J2893" s="29" t="s">
        <v>10235</v>
      </c>
      <c r="K2893" s="26" t="s">
        <v>10236</v>
      </c>
      <c r="L2893" s="30">
        <v>877772553</v>
      </c>
      <c r="M2893" s="26" t="s">
        <v>123</v>
      </c>
      <c r="N2893" s="26" t="s">
        <v>327</v>
      </c>
      <c r="O2893" s="26" t="s">
        <v>4503</v>
      </c>
      <c r="P2893" s="42" t="s">
        <v>10237</v>
      </c>
      <c r="Q2893" s="20">
        <v>5736</v>
      </c>
      <c r="R2893" s="26" t="s">
        <v>36</v>
      </c>
      <c r="S2893" s="95">
        <v>5736</v>
      </c>
      <c r="T2893" s="148">
        <v>45487</v>
      </c>
      <c r="U2893" s="31"/>
      <c r="V2893" s="32"/>
      <c r="W2893" s="33" t="s">
        <v>10238</v>
      </c>
      <c r="X2893" s="26">
        <v>0</v>
      </c>
      <c r="Y2893" s="22">
        <v>0</v>
      </c>
      <c r="Z2893" s="26" t="s">
        <v>50</v>
      </c>
      <c r="AA2893" s="96"/>
      <c r="AB2893" s="26" t="s">
        <v>36</v>
      </c>
      <c r="AC2893" s="26" t="s">
        <v>53</v>
      </c>
      <c r="AD2893" s="26" t="s">
        <v>138</v>
      </c>
      <c r="AE2893" s="26" t="s">
        <v>8635</v>
      </c>
      <c r="AF2893" s="17">
        <v>45562</v>
      </c>
      <c r="AG2893" s="26" t="s">
        <v>7078</v>
      </c>
      <c r="AH2893" s="26"/>
      <c r="AI2893" s="40"/>
      <c r="AJ2893" s="26"/>
      <c r="AK2893" s="26"/>
      <c r="AL2893" s="35"/>
      <c r="AM2893" s="35"/>
      <c r="AN2893" s="35"/>
      <c r="AO2893" s="35"/>
      <c r="AP2893" s="35"/>
    </row>
    <row r="2894" spans="1:42" x14ac:dyDescent="0.2">
      <c r="A2894" s="38">
        <v>45550</v>
      </c>
      <c r="B2894" s="137" t="s">
        <v>37</v>
      </c>
      <c r="C2894" s="41" t="s">
        <v>118</v>
      </c>
      <c r="D2894" s="26" t="s">
        <v>36</v>
      </c>
      <c r="E2894" s="26" t="s">
        <v>56</v>
      </c>
      <c r="F2894" s="26" t="s">
        <v>9419</v>
      </c>
      <c r="G2894" s="26" t="s">
        <v>108</v>
      </c>
      <c r="H2894" s="26" t="s">
        <v>8935</v>
      </c>
      <c r="I2894" s="17">
        <f ca="1">IFERROR(__xludf.DUMMYFUNCTION("""COMPUTED_VALUE"""),45557)</f>
        <v>45557</v>
      </c>
      <c r="J2894" s="29" t="s">
        <v>10239</v>
      </c>
      <c r="K2894" s="26" t="s">
        <v>10240</v>
      </c>
      <c r="L2894" s="30">
        <v>975829062</v>
      </c>
      <c r="M2894" s="26" t="s">
        <v>3728</v>
      </c>
      <c r="N2894" s="26" t="s">
        <v>5312</v>
      </c>
      <c r="O2894" s="26" t="s">
        <v>10241</v>
      </c>
      <c r="P2894" s="42" t="s">
        <v>10242</v>
      </c>
      <c r="Q2894" s="20">
        <v>9317</v>
      </c>
      <c r="R2894" s="26" t="s">
        <v>36</v>
      </c>
      <c r="S2894" s="95">
        <v>2000</v>
      </c>
      <c r="T2894" s="148">
        <v>45483</v>
      </c>
      <c r="U2894" s="95">
        <v>7317</v>
      </c>
      <c r="V2894" s="148" t="s">
        <v>10243</v>
      </c>
      <c r="W2894" s="33" t="s">
        <v>10244</v>
      </c>
      <c r="X2894" s="26">
        <v>0</v>
      </c>
      <c r="Y2894" s="22">
        <v>0</v>
      </c>
      <c r="Z2894" s="26" t="s">
        <v>50</v>
      </c>
      <c r="AA2894" s="35"/>
      <c r="AB2894" s="26"/>
      <c r="AC2894" s="26" t="s">
        <v>53</v>
      </c>
      <c r="AD2894" s="26" t="s">
        <v>54</v>
      </c>
      <c r="AE2894" s="26" t="s">
        <v>9419</v>
      </c>
      <c r="AF2894" s="17">
        <v>45553</v>
      </c>
      <c r="AG2894" s="26"/>
      <c r="AH2894" s="26"/>
      <c r="AI2894" s="40"/>
      <c r="AJ2894" s="26"/>
      <c r="AK2894" s="26"/>
      <c r="AL2894" s="35"/>
      <c r="AM2894" s="35"/>
      <c r="AN2894" s="35"/>
      <c r="AO2894" s="35"/>
      <c r="AP2894" s="35"/>
    </row>
    <row r="2895" spans="1:42" x14ac:dyDescent="0.2">
      <c r="A2895" s="38">
        <v>45551</v>
      </c>
      <c r="B2895" s="137" t="s">
        <v>37</v>
      </c>
      <c r="C2895" s="41" t="s">
        <v>118</v>
      </c>
      <c r="D2895" s="26" t="s">
        <v>36</v>
      </c>
      <c r="E2895" s="26" t="s">
        <v>56</v>
      </c>
      <c r="F2895" s="26" t="s">
        <v>6596</v>
      </c>
      <c r="G2895" s="26" t="s">
        <v>221</v>
      </c>
      <c r="H2895" s="26" t="s">
        <v>9941</v>
      </c>
      <c r="I2895" s="17">
        <f ca="1">IFERROR(__xludf.DUMMYFUNCTION("""COMPUTED_VALUE"""),45554)</f>
        <v>45554</v>
      </c>
      <c r="J2895" s="29" t="s">
        <v>7639</v>
      </c>
      <c r="K2895" s="26" t="s">
        <v>7640</v>
      </c>
      <c r="L2895" s="30">
        <v>986009542</v>
      </c>
      <c r="M2895" s="26" t="s">
        <v>5518</v>
      </c>
      <c r="N2895" s="26" t="s">
        <v>186</v>
      </c>
      <c r="O2895" s="26" t="s">
        <v>7641</v>
      </c>
      <c r="P2895" s="42" t="s">
        <v>10245</v>
      </c>
      <c r="Q2895" s="20">
        <v>9317</v>
      </c>
      <c r="R2895" s="26" t="s">
        <v>36</v>
      </c>
      <c r="S2895" s="31">
        <v>4000</v>
      </c>
      <c r="T2895" s="32">
        <v>45343</v>
      </c>
      <c r="U2895" s="31">
        <v>5317</v>
      </c>
      <c r="V2895" s="32">
        <v>45374</v>
      </c>
      <c r="W2895" s="33" t="s">
        <v>7643</v>
      </c>
      <c r="X2895" s="26"/>
      <c r="Y2895" s="22">
        <v>0</v>
      </c>
      <c r="Z2895" s="26" t="s">
        <v>118</v>
      </c>
      <c r="AA2895" s="19" t="s">
        <v>7361</v>
      </c>
      <c r="AB2895" s="26" t="s">
        <v>36</v>
      </c>
      <c r="AC2895" s="26" t="s">
        <v>53</v>
      </c>
      <c r="AD2895" s="19" t="s">
        <v>54</v>
      </c>
      <c r="AE2895" s="26" t="s">
        <v>6596</v>
      </c>
      <c r="AF2895" s="17">
        <v>45551</v>
      </c>
      <c r="AG2895" s="26"/>
      <c r="AH2895" s="26"/>
      <c r="AI2895" s="40"/>
      <c r="AJ2895" s="26"/>
      <c r="AK2895" s="26"/>
      <c r="AL2895" s="35"/>
      <c r="AM2895" s="35"/>
      <c r="AN2895" s="35"/>
      <c r="AO2895" s="35"/>
      <c r="AP2895" s="35"/>
    </row>
    <row r="2896" spans="1:42" x14ac:dyDescent="0.2">
      <c r="A2896" s="38">
        <v>45551</v>
      </c>
      <c r="B2896" s="28" t="s">
        <v>37</v>
      </c>
      <c r="C2896" s="41" t="s">
        <v>118</v>
      </c>
      <c r="D2896" s="26" t="s">
        <v>36</v>
      </c>
      <c r="E2896" s="26" t="s">
        <v>139</v>
      </c>
      <c r="F2896" s="26" t="s">
        <v>8935</v>
      </c>
      <c r="G2896" s="26" t="s">
        <v>108</v>
      </c>
      <c r="H2896" s="26" t="s">
        <v>10246</v>
      </c>
      <c r="I2896" s="17">
        <f ca="1">IFERROR(__xludf.DUMMYFUNCTION("""COMPUTED_VALUE"""),45716)</f>
        <v>45716</v>
      </c>
      <c r="J2896" s="29" t="s">
        <v>10247</v>
      </c>
      <c r="K2896" s="26" t="s">
        <v>10248</v>
      </c>
      <c r="L2896" s="30">
        <v>865295156</v>
      </c>
      <c r="M2896" s="26" t="s">
        <v>3728</v>
      </c>
      <c r="N2896" s="26" t="s">
        <v>8725</v>
      </c>
      <c r="O2896" s="26" t="s">
        <v>10249</v>
      </c>
      <c r="P2896" s="42" t="s">
        <v>10250</v>
      </c>
      <c r="Q2896" s="20">
        <v>15936</v>
      </c>
      <c r="R2896" s="26" t="s">
        <v>36</v>
      </c>
      <c r="S2896" s="95">
        <v>2000</v>
      </c>
      <c r="T2896" s="148">
        <v>45493</v>
      </c>
      <c r="U2896" s="95">
        <v>13936</v>
      </c>
      <c r="V2896" s="148">
        <v>45524</v>
      </c>
      <c r="W2896" s="33" t="s">
        <v>10251</v>
      </c>
      <c r="X2896" s="26">
        <v>0</v>
      </c>
      <c r="Y2896" s="22">
        <v>0</v>
      </c>
      <c r="Z2896" s="26" t="s">
        <v>50</v>
      </c>
      <c r="AA2896" s="35"/>
      <c r="AB2896" s="26"/>
      <c r="AC2896" s="26" t="s">
        <v>53</v>
      </c>
      <c r="AD2896" s="26" t="s">
        <v>54</v>
      </c>
      <c r="AE2896" s="26" t="s">
        <v>9560</v>
      </c>
      <c r="AF2896" s="17">
        <v>45750</v>
      </c>
      <c r="AG2896" s="26" t="s">
        <v>10252</v>
      </c>
      <c r="AH2896" s="26"/>
      <c r="AI2896" s="40"/>
      <c r="AJ2896" s="26"/>
      <c r="AK2896" s="26"/>
      <c r="AL2896" s="35"/>
      <c r="AM2896" s="35"/>
      <c r="AN2896" s="35"/>
      <c r="AO2896" s="35"/>
      <c r="AP2896" s="35"/>
    </row>
    <row r="2897" spans="1:42" x14ac:dyDescent="0.2">
      <c r="A2897" s="38">
        <v>45551</v>
      </c>
      <c r="B2897" s="28" t="s">
        <v>37</v>
      </c>
      <c r="C2897" s="41" t="s">
        <v>118</v>
      </c>
      <c r="D2897" s="26" t="s">
        <v>36</v>
      </c>
      <c r="E2897" s="26" t="s">
        <v>56</v>
      </c>
      <c r="F2897" s="26" t="s">
        <v>7871</v>
      </c>
      <c r="G2897" s="26" t="s">
        <v>221</v>
      </c>
      <c r="H2897" s="26" t="s">
        <v>7024</v>
      </c>
      <c r="I2897" s="17">
        <f ca="1">IFERROR(__xludf.DUMMYFUNCTION("""COMPUTED_VALUE"""),45557)</f>
        <v>45557</v>
      </c>
      <c r="J2897" s="49" t="s">
        <v>7665</v>
      </c>
      <c r="K2897" s="26" t="s">
        <v>7666</v>
      </c>
      <c r="L2897" s="30">
        <v>389165406</v>
      </c>
      <c r="M2897" s="26" t="s">
        <v>5558</v>
      </c>
      <c r="N2897" s="26" t="s">
        <v>850</v>
      </c>
      <c r="O2897" s="26" t="s">
        <v>4503</v>
      </c>
      <c r="P2897" s="42" t="s">
        <v>10253</v>
      </c>
      <c r="Q2897" s="20">
        <v>9317</v>
      </c>
      <c r="R2897" s="26" t="s">
        <v>36</v>
      </c>
      <c r="S2897" s="31">
        <v>200</v>
      </c>
      <c r="T2897" s="32">
        <v>45326</v>
      </c>
      <c r="U2897" s="31">
        <f t="shared" ref="U2897:U2898" si="12">1800+7317</f>
        <v>9117</v>
      </c>
      <c r="V2897" s="26" t="s">
        <v>7668</v>
      </c>
      <c r="W2897" s="55" t="s">
        <v>7669</v>
      </c>
      <c r="X2897" s="26">
        <v>0</v>
      </c>
      <c r="Y2897" s="22">
        <v>0</v>
      </c>
      <c r="Z2897" s="26" t="s">
        <v>118</v>
      </c>
      <c r="AA2897" s="19" t="s">
        <v>7361</v>
      </c>
      <c r="AB2897" s="26" t="s">
        <v>36</v>
      </c>
      <c r="AC2897" s="26" t="s">
        <v>53</v>
      </c>
      <c r="AD2897" s="19" t="s">
        <v>138</v>
      </c>
      <c r="AE2897" s="26" t="s">
        <v>7871</v>
      </c>
      <c r="AF2897" s="17">
        <v>45557</v>
      </c>
      <c r="AG2897" s="26" t="s">
        <v>3415</v>
      </c>
      <c r="AH2897" s="40">
        <v>2.5</v>
      </c>
      <c r="AI2897" s="40"/>
      <c r="AJ2897" s="26"/>
      <c r="AK2897" s="26"/>
      <c r="AL2897" s="35"/>
      <c r="AM2897" s="35"/>
      <c r="AN2897" s="35"/>
      <c r="AO2897" s="35"/>
      <c r="AP2897" s="35"/>
    </row>
    <row r="2898" spans="1:42" x14ac:dyDescent="0.2">
      <c r="A2898" s="38">
        <v>45551</v>
      </c>
      <c r="B2898" s="28" t="s">
        <v>37</v>
      </c>
      <c r="C2898" s="41" t="s">
        <v>118</v>
      </c>
      <c r="D2898" s="26" t="s">
        <v>36</v>
      </c>
      <c r="E2898" s="26" t="s">
        <v>56</v>
      </c>
      <c r="F2898" s="26" t="s">
        <v>7871</v>
      </c>
      <c r="G2898" s="26" t="s">
        <v>221</v>
      </c>
      <c r="H2898" s="26" t="s">
        <v>7024</v>
      </c>
      <c r="I2898" s="17">
        <f ca="1">IFERROR(__xludf.DUMMYFUNCTION("""COMPUTED_VALUE"""),45557)</f>
        <v>45557</v>
      </c>
      <c r="J2898" s="49" t="s">
        <v>7670</v>
      </c>
      <c r="K2898" s="26" t="s">
        <v>7671</v>
      </c>
      <c r="L2898" s="30">
        <v>978329358</v>
      </c>
      <c r="M2898" s="26" t="s">
        <v>5558</v>
      </c>
      <c r="N2898" s="26" t="s">
        <v>850</v>
      </c>
      <c r="O2898" s="26" t="s">
        <v>4503</v>
      </c>
      <c r="P2898" s="42" t="s">
        <v>10254</v>
      </c>
      <c r="Q2898" s="20">
        <v>9317</v>
      </c>
      <c r="R2898" s="26" t="s">
        <v>36</v>
      </c>
      <c r="S2898" s="31">
        <v>200</v>
      </c>
      <c r="T2898" s="32">
        <v>45326</v>
      </c>
      <c r="U2898" s="31">
        <f t="shared" si="12"/>
        <v>9117</v>
      </c>
      <c r="V2898" s="26" t="s">
        <v>7672</v>
      </c>
      <c r="W2898" s="26" t="s">
        <v>7673</v>
      </c>
      <c r="X2898" s="26"/>
      <c r="Y2898" s="22">
        <v>0</v>
      </c>
      <c r="Z2898" s="26" t="s">
        <v>118</v>
      </c>
      <c r="AA2898" s="19" t="s">
        <v>7361</v>
      </c>
      <c r="AB2898" s="26" t="s">
        <v>36</v>
      </c>
      <c r="AC2898" s="26" t="s">
        <v>53</v>
      </c>
      <c r="AD2898" s="19" t="s">
        <v>138</v>
      </c>
      <c r="AE2898" s="26" t="s">
        <v>7871</v>
      </c>
      <c r="AF2898" s="17">
        <v>45557</v>
      </c>
      <c r="AG2898" s="26" t="s">
        <v>3415</v>
      </c>
      <c r="AH2898" s="26"/>
      <c r="AI2898" s="40"/>
      <c r="AJ2898" s="26"/>
      <c r="AK2898" s="26"/>
      <c r="AL2898" s="35"/>
      <c r="AM2898" s="35"/>
      <c r="AN2898" s="35"/>
      <c r="AO2898" s="35"/>
      <c r="AP2898" s="35"/>
    </row>
    <row r="2899" spans="1:42" x14ac:dyDescent="0.2">
      <c r="A2899" s="38">
        <v>45551</v>
      </c>
      <c r="B2899" s="137" t="s">
        <v>37</v>
      </c>
      <c r="C2899" s="41" t="s">
        <v>118</v>
      </c>
      <c r="D2899" s="26" t="s">
        <v>36</v>
      </c>
      <c r="E2899" s="26" t="s">
        <v>139</v>
      </c>
      <c r="F2899" s="26" t="s">
        <v>9177</v>
      </c>
      <c r="G2899" s="26" t="s">
        <v>108</v>
      </c>
      <c r="H2899" s="26" t="s">
        <v>10255</v>
      </c>
      <c r="I2899" s="17">
        <f ca="1">IFERROR(__xludf.DUMMYFUNCTION("""COMPUTED_VALUE"""),46006)</f>
        <v>46006</v>
      </c>
      <c r="J2899" s="29" t="s">
        <v>10256</v>
      </c>
      <c r="K2899" s="26" t="s">
        <v>10257</v>
      </c>
      <c r="L2899" s="47">
        <v>967550289</v>
      </c>
      <c r="M2899" s="26" t="s">
        <v>3498</v>
      </c>
      <c r="N2899" s="26" t="s">
        <v>2756</v>
      </c>
      <c r="O2899" s="26" t="s">
        <v>4503</v>
      </c>
      <c r="P2899" s="42" t="s">
        <v>10258</v>
      </c>
      <c r="Q2899" s="20">
        <v>15936</v>
      </c>
      <c r="R2899" s="26" t="s">
        <v>36</v>
      </c>
      <c r="S2899" s="95">
        <f>200+3500</f>
        <v>3700</v>
      </c>
      <c r="T2899" s="83" t="s">
        <v>10259</v>
      </c>
      <c r="U2899" s="95">
        <v>12436</v>
      </c>
      <c r="V2899" s="148">
        <v>45525</v>
      </c>
      <c r="W2899" s="33" t="s">
        <v>10260</v>
      </c>
      <c r="X2899" s="26">
        <v>0</v>
      </c>
      <c r="Y2899" s="22">
        <v>-200</v>
      </c>
      <c r="Z2899" s="26" t="s">
        <v>50</v>
      </c>
      <c r="AA2899" s="96"/>
      <c r="AB2899" s="26" t="s">
        <v>4503</v>
      </c>
      <c r="AC2899" s="26" t="s">
        <v>53</v>
      </c>
      <c r="AD2899" s="26" t="s">
        <v>54</v>
      </c>
      <c r="AE2899" s="26" t="s">
        <v>9177</v>
      </c>
      <c r="AF2899" s="17">
        <v>45554</v>
      </c>
      <c r="AG2899" s="26"/>
      <c r="AH2899" s="26"/>
      <c r="AI2899" s="40"/>
      <c r="AJ2899" s="26"/>
      <c r="AK2899" s="26"/>
      <c r="AL2899" s="35"/>
      <c r="AM2899" s="35"/>
      <c r="AN2899" s="35"/>
      <c r="AO2899" s="35"/>
      <c r="AP2899" s="35"/>
    </row>
    <row r="2900" spans="1:42" x14ac:dyDescent="0.2">
      <c r="A2900" s="38">
        <v>45552</v>
      </c>
      <c r="B2900" s="137" t="s">
        <v>37</v>
      </c>
      <c r="C2900" s="41" t="s">
        <v>118</v>
      </c>
      <c r="D2900" s="26" t="s">
        <v>36</v>
      </c>
      <c r="E2900" s="26" t="s">
        <v>139</v>
      </c>
      <c r="F2900" s="26" t="s">
        <v>9502</v>
      </c>
      <c r="G2900" s="26" t="s">
        <v>108</v>
      </c>
      <c r="H2900" s="26" t="s">
        <v>9171</v>
      </c>
      <c r="I2900" s="17">
        <f ca="1">IFERROR(__xludf.DUMMYFUNCTION("""COMPUTED_VALUE"""),45586)</f>
        <v>45586</v>
      </c>
      <c r="J2900" s="29" t="s">
        <v>10261</v>
      </c>
      <c r="K2900" s="26" t="s">
        <v>10262</v>
      </c>
      <c r="L2900" s="47">
        <v>962474038</v>
      </c>
      <c r="M2900" s="26" t="s">
        <v>2755</v>
      </c>
      <c r="N2900" s="26" t="s">
        <v>2756</v>
      </c>
      <c r="O2900" s="26" t="s">
        <v>4503</v>
      </c>
      <c r="P2900" s="42" t="s">
        <v>10263</v>
      </c>
      <c r="Q2900" s="20">
        <v>15936</v>
      </c>
      <c r="R2900" s="26" t="s">
        <v>36</v>
      </c>
      <c r="S2900" s="95">
        <v>2000</v>
      </c>
      <c r="T2900" s="148">
        <v>45485</v>
      </c>
      <c r="U2900" s="95">
        <v>13936</v>
      </c>
      <c r="V2900" s="148">
        <v>45517</v>
      </c>
      <c r="W2900" s="33" t="s">
        <v>10264</v>
      </c>
      <c r="X2900" s="26">
        <v>0</v>
      </c>
      <c r="Y2900" s="22">
        <v>0</v>
      </c>
      <c r="Z2900" s="26" t="s">
        <v>50</v>
      </c>
      <c r="AA2900" s="35"/>
      <c r="AB2900" s="26"/>
      <c r="AC2900" s="26" t="s">
        <v>53</v>
      </c>
      <c r="AD2900" s="26" t="s">
        <v>54</v>
      </c>
      <c r="AE2900" s="26" t="s">
        <v>9502</v>
      </c>
      <c r="AF2900" s="17">
        <v>45553</v>
      </c>
      <c r="AG2900" s="26"/>
      <c r="AH2900" s="26"/>
      <c r="AI2900" s="40"/>
      <c r="AJ2900" s="26"/>
      <c r="AK2900" s="26"/>
      <c r="AL2900" s="35"/>
      <c r="AM2900" s="35"/>
      <c r="AN2900" s="35"/>
      <c r="AO2900" s="35"/>
      <c r="AP2900" s="35"/>
    </row>
    <row r="2901" spans="1:42" x14ac:dyDescent="0.2">
      <c r="A2901" s="38">
        <v>45552</v>
      </c>
      <c r="B2901" s="137" t="s">
        <v>37</v>
      </c>
      <c r="C2901" s="41" t="s">
        <v>118</v>
      </c>
      <c r="D2901" s="26" t="s">
        <v>36</v>
      </c>
      <c r="E2901" s="26" t="s">
        <v>56</v>
      </c>
      <c r="F2901" s="26" t="s">
        <v>9560</v>
      </c>
      <c r="G2901" s="26" t="s">
        <v>108</v>
      </c>
      <c r="H2901" s="26" t="s">
        <v>8935</v>
      </c>
      <c r="I2901" s="17">
        <f ca="1">IFERROR(__xludf.DUMMYFUNCTION("""COMPUTED_VALUE"""),45557)</f>
        <v>45557</v>
      </c>
      <c r="J2901" s="29" t="s">
        <v>10265</v>
      </c>
      <c r="K2901" s="26" t="s">
        <v>10266</v>
      </c>
      <c r="L2901" s="30">
        <v>838403786</v>
      </c>
      <c r="M2901" s="26" t="s">
        <v>80</v>
      </c>
      <c r="N2901" s="26" t="s">
        <v>466</v>
      </c>
      <c r="O2901" s="26" t="s">
        <v>10267</v>
      </c>
      <c r="P2901" s="42" t="s">
        <v>10268</v>
      </c>
      <c r="Q2901" s="20">
        <v>9317</v>
      </c>
      <c r="R2901" s="26" t="s">
        <v>36</v>
      </c>
      <c r="S2901" s="95">
        <f>200+1800+7317</f>
        <v>9317</v>
      </c>
      <c r="T2901" s="83" t="s">
        <v>10269</v>
      </c>
      <c r="U2901" s="95"/>
      <c r="V2901" s="148"/>
      <c r="W2901" s="33" t="s">
        <v>10270</v>
      </c>
      <c r="X2901" s="26">
        <v>0</v>
      </c>
      <c r="Y2901" s="22">
        <v>0</v>
      </c>
      <c r="Z2901" s="26" t="s">
        <v>50</v>
      </c>
      <c r="AA2901" s="96"/>
      <c r="AB2901" s="26"/>
      <c r="AC2901" s="26" t="s">
        <v>53</v>
      </c>
      <c r="AD2901" s="26" t="s">
        <v>54</v>
      </c>
      <c r="AE2901" s="26" t="s">
        <v>9560</v>
      </c>
      <c r="AF2901" s="17">
        <v>45553</v>
      </c>
      <c r="AG2901" s="26" t="s">
        <v>7078</v>
      </c>
      <c r="AH2901" s="26"/>
      <c r="AI2901" s="40"/>
      <c r="AJ2901" s="26"/>
      <c r="AK2901" s="26"/>
      <c r="AL2901" s="35"/>
      <c r="AM2901" s="35"/>
      <c r="AN2901" s="35"/>
      <c r="AO2901" s="35"/>
      <c r="AP2901" s="35"/>
    </row>
    <row r="2902" spans="1:42" x14ac:dyDescent="0.2">
      <c r="A2902" s="38">
        <v>45552</v>
      </c>
      <c r="B2902" s="68" t="s">
        <v>37</v>
      </c>
      <c r="C2902" s="41" t="s">
        <v>118</v>
      </c>
      <c r="D2902" s="26" t="s">
        <v>36</v>
      </c>
      <c r="E2902" s="26" t="s">
        <v>139</v>
      </c>
      <c r="F2902" s="26" t="s">
        <v>9560</v>
      </c>
      <c r="G2902" s="26" t="s">
        <v>108</v>
      </c>
      <c r="H2902" s="26" t="s">
        <v>10028</v>
      </c>
      <c r="I2902" s="17">
        <f ca="1">IFERROR(__xludf.DUMMYFUNCTION("""COMPUTED_VALUE"""),45562)</f>
        <v>45562</v>
      </c>
      <c r="J2902" s="29" t="s">
        <v>10271</v>
      </c>
      <c r="K2902" s="26" t="s">
        <v>10272</v>
      </c>
      <c r="L2902" s="30">
        <v>333895210</v>
      </c>
      <c r="M2902" s="26" t="s">
        <v>3728</v>
      </c>
      <c r="N2902" s="26" t="s">
        <v>5312</v>
      </c>
      <c r="O2902" s="26" t="s">
        <v>10273</v>
      </c>
      <c r="P2902" s="26" t="s">
        <v>10274</v>
      </c>
      <c r="Q2902" s="20">
        <v>15936</v>
      </c>
      <c r="R2902" s="26" t="s">
        <v>36</v>
      </c>
      <c r="S2902" s="95">
        <f>200+1800</f>
        <v>2000</v>
      </c>
      <c r="T2902" s="83" t="s">
        <v>10275</v>
      </c>
      <c r="U2902" s="95">
        <v>13936</v>
      </c>
      <c r="V2902" s="148">
        <v>45532</v>
      </c>
      <c r="W2902" s="33" t="s">
        <v>10276</v>
      </c>
      <c r="X2902" s="26">
        <v>0</v>
      </c>
      <c r="Y2902" s="22">
        <v>0</v>
      </c>
      <c r="Z2902" s="26" t="s">
        <v>50</v>
      </c>
      <c r="AA2902" s="35"/>
      <c r="AB2902" s="26"/>
      <c r="AC2902" s="26" t="s">
        <v>53</v>
      </c>
      <c r="AD2902" s="26" t="s">
        <v>54</v>
      </c>
      <c r="AE2902" s="26" t="s">
        <v>9560</v>
      </c>
      <c r="AF2902" s="17">
        <v>45562</v>
      </c>
      <c r="AG2902" s="26"/>
      <c r="AH2902" s="26"/>
      <c r="AI2902" s="40"/>
      <c r="AJ2902" s="26"/>
      <c r="AK2902" s="26"/>
      <c r="AL2902" s="35"/>
      <c r="AM2902" s="35"/>
      <c r="AN2902" s="35"/>
      <c r="AO2902" s="35"/>
      <c r="AP2902" s="35"/>
    </row>
    <row r="2903" spans="1:42" x14ac:dyDescent="0.2">
      <c r="A2903" s="38">
        <v>45552</v>
      </c>
      <c r="B2903" s="137" t="s">
        <v>37</v>
      </c>
      <c r="C2903" s="41" t="s">
        <v>118</v>
      </c>
      <c r="D2903" s="26" t="s">
        <v>36</v>
      </c>
      <c r="E2903" s="26" t="s">
        <v>56</v>
      </c>
      <c r="F2903" s="26" t="s">
        <v>9405</v>
      </c>
      <c r="G2903" s="26" t="s">
        <v>108</v>
      </c>
      <c r="H2903" s="26" t="s">
        <v>10193</v>
      </c>
      <c r="I2903" s="17">
        <f ca="1">IFERROR(__xludf.DUMMYFUNCTION("""COMPUTED_VALUE"""),45555)</f>
        <v>45555</v>
      </c>
      <c r="J2903" s="29" t="s">
        <v>9487</v>
      </c>
      <c r="K2903" s="26" t="s">
        <v>9488</v>
      </c>
      <c r="L2903" s="30">
        <v>867449896</v>
      </c>
      <c r="M2903" s="26" t="s">
        <v>348</v>
      </c>
      <c r="N2903" s="26" t="s">
        <v>4299</v>
      </c>
      <c r="O2903" s="26" t="s">
        <v>9489</v>
      </c>
      <c r="P2903" s="42" t="s">
        <v>9490</v>
      </c>
      <c r="Q2903" s="20"/>
      <c r="R2903" s="26" t="s">
        <v>36</v>
      </c>
      <c r="S2903" s="95">
        <v>9317</v>
      </c>
      <c r="T2903" s="148">
        <v>45482</v>
      </c>
      <c r="U2903" s="31"/>
      <c r="V2903" s="32"/>
      <c r="W2903" s="33" t="s">
        <v>9491</v>
      </c>
      <c r="X2903" s="26"/>
      <c r="Y2903" s="22"/>
      <c r="Z2903" s="26" t="s">
        <v>50</v>
      </c>
      <c r="AA2903" s="70" t="s">
        <v>9070</v>
      </c>
      <c r="AB2903" s="26"/>
      <c r="AC2903" s="26" t="s">
        <v>53</v>
      </c>
      <c r="AD2903" s="26" t="s">
        <v>54</v>
      </c>
      <c r="AE2903" s="26" t="s">
        <v>9405</v>
      </c>
      <c r="AF2903" s="17">
        <v>45553</v>
      </c>
      <c r="AG2903" s="26"/>
      <c r="AH2903" s="26"/>
      <c r="AI2903" s="40"/>
      <c r="AJ2903" s="26"/>
      <c r="AK2903" s="26"/>
      <c r="AL2903" s="35"/>
      <c r="AM2903" s="35"/>
      <c r="AN2903" s="35"/>
      <c r="AO2903" s="35"/>
      <c r="AP2903" s="35"/>
    </row>
    <row r="2904" spans="1:42" x14ac:dyDescent="0.2">
      <c r="A2904" s="38">
        <v>45552</v>
      </c>
      <c r="B2904" s="137" t="s">
        <v>37</v>
      </c>
      <c r="C2904" s="41" t="s">
        <v>118</v>
      </c>
      <c r="D2904" s="26" t="s">
        <v>36</v>
      </c>
      <c r="E2904" s="26" t="s">
        <v>139</v>
      </c>
      <c r="F2904" s="26" t="s">
        <v>9547</v>
      </c>
      <c r="G2904" s="26" t="s">
        <v>108</v>
      </c>
      <c r="H2904" s="26" t="s">
        <v>8935</v>
      </c>
      <c r="I2904" s="17">
        <f ca="1">IFERROR(__xludf.DUMMYFUNCTION("""COMPUTED_VALUE"""),45557)</f>
        <v>45557</v>
      </c>
      <c r="J2904" s="29" t="s">
        <v>10277</v>
      </c>
      <c r="K2904" s="26" t="s">
        <v>5133</v>
      </c>
      <c r="L2904" s="30">
        <v>987461910</v>
      </c>
      <c r="M2904" s="26" t="s">
        <v>5429</v>
      </c>
      <c r="N2904" s="26" t="s">
        <v>1594</v>
      </c>
      <c r="O2904" s="26" t="s">
        <v>10278</v>
      </c>
      <c r="P2904" s="42" t="s">
        <v>10279</v>
      </c>
      <c r="Q2904" s="20">
        <v>15936</v>
      </c>
      <c r="R2904" s="26" t="s">
        <v>36</v>
      </c>
      <c r="S2904" s="95">
        <f>2000+3936</f>
        <v>5936</v>
      </c>
      <c r="T2904" s="148">
        <v>45478</v>
      </c>
      <c r="U2904" s="95">
        <v>10000</v>
      </c>
      <c r="V2904" s="83" t="s">
        <v>10280</v>
      </c>
      <c r="W2904" s="33" t="s">
        <v>10281</v>
      </c>
      <c r="X2904" s="26">
        <v>0</v>
      </c>
      <c r="Y2904" s="22">
        <v>0</v>
      </c>
      <c r="Z2904" s="26" t="s">
        <v>50</v>
      </c>
      <c r="AA2904" s="35"/>
      <c r="AB2904" s="26"/>
      <c r="AC2904" s="26" t="s">
        <v>53</v>
      </c>
      <c r="AD2904" s="26" t="s">
        <v>54</v>
      </c>
      <c r="AE2904" s="26" t="s">
        <v>9547</v>
      </c>
      <c r="AF2904" s="17">
        <v>45553</v>
      </c>
      <c r="AG2904" s="26"/>
      <c r="AH2904" s="26"/>
      <c r="AI2904" s="40"/>
      <c r="AJ2904" s="26"/>
      <c r="AK2904" s="26"/>
      <c r="AL2904" s="35"/>
      <c r="AM2904" s="35"/>
      <c r="AN2904" s="35"/>
      <c r="AO2904" s="35"/>
      <c r="AP2904" s="35"/>
    </row>
    <row r="2905" spans="1:42" x14ac:dyDescent="0.2">
      <c r="A2905" s="38">
        <v>45552</v>
      </c>
      <c r="B2905" s="137" t="s">
        <v>37</v>
      </c>
      <c r="C2905" s="41" t="s">
        <v>118</v>
      </c>
      <c r="D2905" s="26" t="s">
        <v>36</v>
      </c>
      <c r="E2905" s="26" t="s">
        <v>139</v>
      </c>
      <c r="F2905" s="26" t="s">
        <v>9163</v>
      </c>
      <c r="G2905" s="26" t="s">
        <v>108</v>
      </c>
      <c r="H2905" s="26" t="s">
        <v>10282</v>
      </c>
      <c r="I2905" s="17">
        <f ca="1">IFERROR(__xludf.DUMMYFUNCTION("""COMPUTED_VALUE"""),45560)</f>
        <v>45560</v>
      </c>
      <c r="J2905" s="29" t="s">
        <v>10283</v>
      </c>
      <c r="K2905" s="26" t="s">
        <v>10284</v>
      </c>
      <c r="L2905" s="30">
        <v>343630805</v>
      </c>
      <c r="M2905" s="26" t="s">
        <v>80</v>
      </c>
      <c r="N2905" s="26" t="s">
        <v>1073</v>
      </c>
      <c r="O2905" s="26" t="s">
        <v>10285</v>
      </c>
      <c r="P2905" s="42" t="s">
        <v>10286</v>
      </c>
      <c r="Q2905" s="20">
        <v>15936</v>
      </c>
      <c r="R2905" s="26" t="s">
        <v>70</v>
      </c>
      <c r="S2905" s="95">
        <f t="shared" ref="S2905:S2906" si="13">1000+3000</f>
        <v>4000</v>
      </c>
      <c r="T2905" s="83" t="s">
        <v>10287</v>
      </c>
      <c r="U2905" s="95">
        <v>11863</v>
      </c>
      <c r="V2905" s="170">
        <v>45506</v>
      </c>
      <c r="W2905" s="33" t="s">
        <v>10288</v>
      </c>
      <c r="X2905" s="26">
        <v>100</v>
      </c>
      <c r="Y2905" s="22">
        <v>-27</v>
      </c>
      <c r="Z2905" s="26" t="s">
        <v>50</v>
      </c>
      <c r="AA2905" s="96"/>
      <c r="AB2905" s="26"/>
      <c r="AC2905" s="26" t="s">
        <v>53</v>
      </c>
      <c r="AD2905" s="26" t="s">
        <v>54</v>
      </c>
      <c r="AE2905" s="26" t="s">
        <v>9163</v>
      </c>
      <c r="AF2905" s="17">
        <v>45554</v>
      </c>
      <c r="AG2905" s="26"/>
      <c r="AH2905" s="26"/>
      <c r="AI2905" s="40"/>
      <c r="AJ2905" s="26"/>
      <c r="AK2905" s="26"/>
      <c r="AL2905" s="35"/>
      <c r="AM2905" s="35"/>
      <c r="AN2905" s="35"/>
      <c r="AO2905" s="35"/>
      <c r="AP2905" s="35"/>
    </row>
    <row r="2906" spans="1:42" x14ac:dyDescent="0.2">
      <c r="A2906" s="38">
        <v>45552</v>
      </c>
      <c r="B2906" s="137" t="s">
        <v>37</v>
      </c>
      <c r="C2906" s="41" t="s">
        <v>118</v>
      </c>
      <c r="D2906" s="26" t="s">
        <v>36</v>
      </c>
      <c r="E2906" s="26" t="s">
        <v>139</v>
      </c>
      <c r="F2906" s="26" t="s">
        <v>9163</v>
      </c>
      <c r="G2906" s="26" t="s">
        <v>108</v>
      </c>
      <c r="H2906" s="26" t="s">
        <v>10282</v>
      </c>
      <c r="I2906" s="17">
        <f ca="1">IFERROR(__xludf.DUMMYFUNCTION("""COMPUTED_VALUE"""),45560)</f>
        <v>45560</v>
      </c>
      <c r="J2906" s="29" t="s">
        <v>10289</v>
      </c>
      <c r="K2906" s="26" t="s">
        <v>10290</v>
      </c>
      <c r="L2906" s="47">
        <v>339292125</v>
      </c>
      <c r="M2906" s="26" t="s">
        <v>348</v>
      </c>
      <c r="N2906" s="26" t="s">
        <v>68</v>
      </c>
      <c r="O2906" s="26" t="s">
        <v>10291</v>
      </c>
      <c r="P2906" s="42" t="s">
        <v>10292</v>
      </c>
      <c r="Q2906" s="20">
        <v>15936</v>
      </c>
      <c r="R2906" s="26" t="s">
        <v>70</v>
      </c>
      <c r="S2906" s="95">
        <f t="shared" si="13"/>
        <v>4000</v>
      </c>
      <c r="T2906" s="83" t="s">
        <v>10287</v>
      </c>
      <c r="U2906" s="95">
        <v>11863</v>
      </c>
      <c r="V2906" s="148">
        <v>45506</v>
      </c>
      <c r="W2906" s="33" t="s">
        <v>10293</v>
      </c>
      <c r="X2906" s="26">
        <v>100</v>
      </c>
      <c r="Y2906" s="22">
        <v>-27</v>
      </c>
      <c r="Z2906" s="26" t="s">
        <v>50</v>
      </c>
      <c r="AA2906" s="35"/>
      <c r="AB2906" s="26"/>
      <c r="AC2906" s="26" t="s">
        <v>53</v>
      </c>
      <c r="AD2906" s="26" t="s">
        <v>54</v>
      </c>
      <c r="AE2906" s="26" t="s">
        <v>9163</v>
      </c>
      <c r="AF2906" s="17">
        <v>45554</v>
      </c>
      <c r="AG2906" s="26"/>
      <c r="AH2906" s="26"/>
      <c r="AI2906" s="40"/>
      <c r="AJ2906" s="26"/>
      <c r="AK2906" s="26"/>
      <c r="AL2906" s="35"/>
      <c r="AM2906" s="35"/>
      <c r="AN2906" s="35"/>
      <c r="AO2906" s="35"/>
      <c r="AP2906" s="35"/>
    </row>
    <row r="2907" spans="1:42" x14ac:dyDescent="0.2">
      <c r="A2907" s="38">
        <v>45553</v>
      </c>
      <c r="B2907" s="137" t="s">
        <v>37</v>
      </c>
      <c r="C2907" s="41" t="s">
        <v>118</v>
      </c>
      <c r="D2907" s="26" t="s">
        <v>36</v>
      </c>
      <c r="E2907" s="26" t="s">
        <v>139</v>
      </c>
      <c r="F2907" s="26" t="s">
        <v>9163</v>
      </c>
      <c r="G2907" s="26" t="s">
        <v>108</v>
      </c>
      <c r="H2907" s="26" t="s">
        <v>10282</v>
      </c>
      <c r="I2907" s="17">
        <f ca="1">IFERROR(__xludf.DUMMYFUNCTION("""COMPUTED_VALUE"""),45560)</f>
        <v>45560</v>
      </c>
      <c r="J2907" s="29" t="s">
        <v>9164</v>
      </c>
      <c r="K2907" s="145" t="s">
        <v>10294</v>
      </c>
      <c r="L2907" s="30">
        <v>828621914</v>
      </c>
      <c r="M2907" s="26" t="s">
        <v>5429</v>
      </c>
      <c r="N2907" s="26" t="s">
        <v>9166</v>
      </c>
      <c r="O2907" s="26" t="s">
        <v>9167</v>
      </c>
      <c r="P2907" s="42" t="s">
        <v>10295</v>
      </c>
      <c r="Q2907" s="20"/>
      <c r="R2907" s="26" t="s">
        <v>36</v>
      </c>
      <c r="S2907" s="95">
        <f>200+1800</f>
        <v>2000</v>
      </c>
      <c r="T2907" s="83" t="s">
        <v>9169</v>
      </c>
      <c r="U2907" s="95">
        <v>13936</v>
      </c>
      <c r="V2907" s="148">
        <v>45500</v>
      </c>
      <c r="W2907" s="26" t="s">
        <v>9170</v>
      </c>
      <c r="X2907" s="26"/>
      <c r="Y2907" s="22"/>
      <c r="Z2907" s="26" t="s">
        <v>50</v>
      </c>
      <c r="AA2907" s="70" t="s">
        <v>9070</v>
      </c>
      <c r="AB2907" s="26"/>
      <c r="AC2907" s="26" t="s">
        <v>53</v>
      </c>
      <c r="AD2907" s="26" t="s">
        <v>54</v>
      </c>
      <c r="AE2907" s="26" t="s">
        <v>9163</v>
      </c>
      <c r="AF2907" s="17">
        <v>45554</v>
      </c>
      <c r="AG2907" s="26"/>
      <c r="AH2907" s="26"/>
      <c r="AI2907" s="40"/>
      <c r="AJ2907" s="26"/>
      <c r="AK2907" s="26"/>
      <c r="AL2907" s="35"/>
      <c r="AM2907" s="35"/>
      <c r="AN2907" s="35"/>
      <c r="AO2907" s="35"/>
      <c r="AP2907" s="35"/>
    </row>
    <row r="2908" spans="1:42" x14ac:dyDescent="0.2">
      <c r="A2908" s="38">
        <v>45553</v>
      </c>
      <c r="B2908" s="137" t="s">
        <v>37</v>
      </c>
      <c r="C2908" s="41" t="s">
        <v>118</v>
      </c>
      <c r="D2908" s="26" t="s">
        <v>36</v>
      </c>
      <c r="E2908" s="26" t="s">
        <v>148</v>
      </c>
      <c r="F2908" s="26" t="s">
        <v>7871</v>
      </c>
      <c r="G2908" s="26" t="s">
        <v>221</v>
      </c>
      <c r="H2908" s="26" t="s">
        <v>9941</v>
      </c>
      <c r="I2908" s="17">
        <f ca="1">IFERROR(__xludf.DUMMYFUNCTION("""COMPUTED_VALUE"""),45554)</f>
        <v>45554</v>
      </c>
      <c r="J2908" s="29" t="s">
        <v>7258</v>
      </c>
      <c r="K2908" s="26" t="s">
        <v>7259</v>
      </c>
      <c r="L2908" s="30">
        <v>357315133</v>
      </c>
      <c r="M2908" s="26" t="s">
        <v>59</v>
      </c>
      <c r="N2908" s="26" t="s">
        <v>68</v>
      </c>
      <c r="O2908" s="26" t="s">
        <v>7260</v>
      </c>
      <c r="P2908" s="42" t="s">
        <v>10296</v>
      </c>
      <c r="Q2908" s="20">
        <v>7349</v>
      </c>
      <c r="R2908" s="26" t="s">
        <v>36</v>
      </c>
      <c r="S2908" s="31">
        <v>7349</v>
      </c>
      <c r="T2908" s="32">
        <v>45375</v>
      </c>
      <c r="U2908" s="31"/>
      <c r="V2908" s="32"/>
      <c r="W2908" s="33" t="s">
        <v>7873</v>
      </c>
      <c r="X2908" s="26"/>
      <c r="Y2908" s="22">
        <v>0</v>
      </c>
      <c r="Z2908" s="26" t="s">
        <v>118</v>
      </c>
      <c r="AA2908" s="19" t="s">
        <v>7361</v>
      </c>
      <c r="AB2908" s="26" t="s">
        <v>36</v>
      </c>
      <c r="AC2908" s="26" t="s">
        <v>53</v>
      </c>
      <c r="AD2908" s="19" t="s">
        <v>138</v>
      </c>
      <c r="AE2908" s="26" t="s">
        <v>7871</v>
      </c>
      <c r="AF2908" s="17">
        <v>45553</v>
      </c>
      <c r="AG2908" s="26"/>
      <c r="AH2908" s="26"/>
      <c r="AI2908" s="40"/>
      <c r="AJ2908" s="26"/>
      <c r="AK2908" s="26"/>
      <c r="AL2908" s="35"/>
      <c r="AM2908" s="35"/>
      <c r="AN2908" s="35"/>
      <c r="AO2908" s="35"/>
      <c r="AP2908" s="35"/>
    </row>
    <row r="2909" spans="1:42" x14ac:dyDescent="0.2">
      <c r="A2909" s="38">
        <v>45554</v>
      </c>
      <c r="B2909" s="137" t="s">
        <v>37</v>
      </c>
      <c r="C2909" s="41" t="s">
        <v>118</v>
      </c>
      <c r="D2909" s="80" t="s">
        <v>36</v>
      </c>
      <c r="E2909" s="80" t="s">
        <v>56</v>
      </c>
      <c r="F2909" s="80" t="s">
        <v>9693</v>
      </c>
      <c r="G2909" s="26" t="s">
        <v>108</v>
      </c>
      <c r="H2909" s="26" t="s">
        <v>10297</v>
      </c>
      <c r="I2909" s="17">
        <f ca="1">IFERROR(__xludf.DUMMYFUNCTION("""COMPUTED_VALUE"""),45727)</f>
        <v>45727</v>
      </c>
      <c r="J2909" s="143" t="s">
        <v>10298</v>
      </c>
      <c r="K2909" s="80" t="s">
        <v>10299</v>
      </c>
      <c r="L2909" s="30">
        <v>936991713</v>
      </c>
      <c r="M2909" s="80" t="s">
        <v>45</v>
      </c>
      <c r="N2909" s="80" t="s">
        <v>2847</v>
      </c>
      <c r="O2909" s="80" t="s">
        <v>10300</v>
      </c>
      <c r="P2909" s="144" t="s">
        <v>10301</v>
      </c>
      <c r="Q2909" s="20">
        <v>9317</v>
      </c>
      <c r="R2909" s="80" t="s">
        <v>36</v>
      </c>
      <c r="S2909" s="95">
        <v>1000</v>
      </c>
      <c r="T2909" s="148">
        <v>45503</v>
      </c>
      <c r="U2909" s="95">
        <v>8317</v>
      </c>
      <c r="V2909" s="148">
        <v>45505</v>
      </c>
      <c r="W2909" s="85" t="s">
        <v>10302</v>
      </c>
      <c r="X2909" s="80">
        <v>0</v>
      </c>
      <c r="Y2909" s="22">
        <v>0</v>
      </c>
      <c r="Z2909" s="80" t="s">
        <v>50</v>
      </c>
      <c r="AA2909" s="82"/>
      <c r="AB2909" s="80"/>
      <c r="AC2909" s="26" t="s">
        <v>53</v>
      </c>
      <c r="AD2909" s="80" t="s">
        <v>54</v>
      </c>
      <c r="AE2909" s="80" t="s">
        <v>9693</v>
      </c>
      <c r="AF2909" s="181">
        <v>45554</v>
      </c>
      <c r="AG2909" s="80"/>
      <c r="AH2909" s="80"/>
      <c r="AI2909" s="147"/>
      <c r="AJ2909" s="80"/>
      <c r="AK2909" s="80"/>
      <c r="AL2909" s="35"/>
      <c r="AM2909" s="35"/>
      <c r="AN2909" s="35"/>
      <c r="AO2909" s="35"/>
      <c r="AP2909" s="35"/>
    </row>
    <row r="2910" spans="1:42" x14ac:dyDescent="0.2">
      <c r="A2910" s="38">
        <v>45554</v>
      </c>
      <c r="B2910" s="137" t="s">
        <v>37</v>
      </c>
      <c r="C2910" s="41" t="s">
        <v>118</v>
      </c>
      <c r="D2910" s="26" t="s">
        <v>36</v>
      </c>
      <c r="E2910" s="26" t="s">
        <v>139</v>
      </c>
      <c r="F2910" s="26" t="s">
        <v>7367</v>
      </c>
      <c r="G2910" s="26" t="s">
        <v>1847</v>
      </c>
      <c r="H2910" s="26" t="s">
        <v>8343</v>
      </c>
      <c r="I2910" s="17">
        <f ca="1">IFERROR(__xludf.DUMMYFUNCTION("""COMPUTED_VALUE"""),45555)</f>
        <v>45555</v>
      </c>
      <c r="J2910" s="29" t="s">
        <v>4033</v>
      </c>
      <c r="K2910" s="26" t="s">
        <v>4034</v>
      </c>
      <c r="L2910" s="30">
        <v>396530205</v>
      </c>
      <c r="M2910" s="26" t="s">
        <v>1245</v>
      </c>
      <c r="N2910" s="26" t="s">
        <v>4957</v>
      </c>
      <c r="O2910" s="26" t="s">
        <v>91</v>
      </c>
      <c r="P2910" s="42" t="s">
        <v>10303</v>
      </c>
      <c r="Q2910" s="20">
        <v>15936</v>
      </c>
      <c r="R2910" s="26" t="s">
        <v>36</v>
      </c>
      <c r="S2910" s="31">
        <v>2000</v>
      </c>
      <c r="T2910" s="32">
        <v>45202</v>
      </c>
      <c r="U2910" s="31">
        <v>13836</v>
      </c>
      <c r="V2910" s="32">
        <v>45223</v>
      </c>
      <c r="W2910" s="33" t="s">
        <v>4036</v>
      </c>
      <c r="X2910" s="26"/>
      <c r="Y2910" s="22">
        <v>100</v>
      </c>
      <c r="Z2910" s="26" t="s">
        <v>118</v>
      </c>
      <c r="AA2910" s="19" t="s">
        <v>3454</v>
      </c>
      <c r="AB2910" s="26" t="s">
        <v>104</v>
      </c>
      <c r="AC2910" s="26" t="s">
        <v>53</v>
      </c>
      <c r="AD2910" s="19" t="s">
        <v>138</v>
      </c>
      <c r="AE2910" s="26" t="s">
        <v>7367</v>
      </c>
      <c r="AF2910" s="17">
        <v>45554</v>
      </c>
      <c r="AG2910" s="26" t="s">
        <v>3399</v>
      </c>
      <c r="AH2910" s="26"/>
      <c r="AI2910" s="40"/>
      <c r="AJ2910" s="26"/>
      <c r="AK2910" s="26"/>
      <c r="AL2910" s="35"/>
      <c r="AM2910" s="35"/>
      <c r="AN2910" s="35"/>
      <c r="AO2910" s="35"/>
      <c r="AP2910" s="35"/>
    </row>
    <row r="2911" spans="1:42" x14ac:dyDescent="0.2">
      <c r="A2911" s="38">
        <v>45554</v>
      </c>
      <c r="B2911" s="137" t="s">
        <v>37</v>
      </c>
      <c r="C2911" s="41" t="s">
        <v>118</v>
      </c>
      <c r="D2911" s="26" t="s">
        <v>36</v>
      </c>
      <c r="E2911" s="26" t="s">
        <v>139</v>
      </c>
      <c r="F2911" s="26" t="s">
        <v>10304</v>
      </c>
      <c r="G2911" s="26" t="s">
        <v>108</v>
      </c>
      <c r="H2911" s="26" t="s">
        <v>10282</v>
      </c>
      <c r="I2911" s="17">
        <f ca="1">IFERROR(__xludf.DUMMYFUNCTION("""COMPUTED_VALUE"""),45560)</f>
        <v>45560</v>
      </c>
      <c r="J2911" s="29" t="s">
        <v>10305</v>
      </c>
      <c r="K2911" s="26" t="s">
        <v>10306</v>
      </c>
      <c r="L2911" s="30">
        <v>961870730</v>
      </c>
      <c r="M2911" s="26" t="s">
        <v>123</v>
      </c>
      <c r="N2911" s="26" t="s">
        <v>186</v>
      </c>
      <c r="O2911" s="26" t="s">
        <v>4503</v>
      </c>
      <c r="P2911" s="42" t="s">
        <v>10307</v>
      </c>
      <c r="Q2911" s="20">
        <v>15936</v>
      </c>
      <c r="R2911" s="26" t="s">
        <v>36</v>
      </c>
      <c r="S2911" s="95">
        <f>2000+6500</f>
        <v>8500</v>
      </c>
      <c r="T2911" s="148">
        <v>45127</v>
      </c>
      <c r="U2911" s="95">
        <v>7468</v>
      </c>
      <c r="V2911" s="148">
        <v>45518</v>
      </c>
      <c r="W2911" s="33" t="s">
        <v>10308</v>
      </c>
      <c r="X2911" s="26">
        <v>0</v>
      </c>
      <c r="Y2911" s="22">
        <v>-32</v>
      </c>
      <c r="Z2911" s="26" t="s">
        <v>50</v>
      </c>
      <c r="AA2911" s="96"/>
      <c r="AB2911" s="26"/>
      <c r="AC2911" s="26" t="s">
        <v>53</v>
      </c>
      <c r="AD2911" s="26" t="s">
        <v>54</v>
      </c>
      <c r="AE2911" s="26" t="s">
        <v>10304</v>
      </c>
      <c r="AF2911" s="17">
        <v>45556</v>
      </c>
      <c r="AG2911" s="26"/>
      <c r="AH2911" s="26"/>
      <c r="AI2911" s="40"/>
      <c r="AJ2911" s="26"/>
      <c r="AK2911" s="26"/>
      <c r="AL2911" s="35"/>
      <c r="AM2911" s="35"/>
      <c r="AN2911" s="35"/>
      <c r="AO2911" s="35"/>
      <c r="AP2911" s="35"/>
    </row>
    <row r="2912" spans="1:42" x14ac:dyDescent="0.2">
      <c r="A2912" s="126">
        <v>45428.785961979171</v>
      </c>
      <c r="B2912" s="28" t="s">
        <v>37</v>
      </c>
      <c r="C2912" s="41" t="s">
        <v>118</v>
      </c>
      <c r="D2912" s="26" t="s">
        <v>36</v>
      </c>
      <c r="E2912" s="26" t="s">
        <v>56</v>
      </c>
      <c r="F2912" s="26" t="s">
        <v>36</v>
      </c>
      <c r="G2912" s="26" t="s">
        <v>41</v>
      </c>
      <c r="H2912" s="26" t="s">
        <v>8635</v>
      </c>
      <c r="I2912" s="17">
        <f ca="1">IFERROR(__xludf.DUMMYFUNCTION("""COMPUTED_VALUE"""),45496)</f>
        <v>45496</v>
      </c>
      <c r="J2912" s="29" t="s">
        <v>10309</v>
      </c>
      <c r="K2912" s="26" t="s">
        <v>10310</v>
      </c>
      <c r="L2912" s="30">
        <v>334068020</v>
      </c>
      <c r="M2912" s="26" t="s">
        <v>3728</v>
      </c>
      <c r="N2912" s="26" t="s">
        <v>5277</v>
      </c>
      <c r="O2912" s="26" t="s">
        <v>10311</v>
      </c>
      <c r="P2912" s="42" t="s">
        <v>10312</v>
      </c>
      <c r="Q2912" s="20">
        <v>9317</v>
      </c>
      <c r="R2912" s="26" t="s">
        <v>70</v>
      </c>
      <c r="S2912" s="95">
        <v>2000</v>
      </c>
      <c r="T2912" s="148">
        <v>45428</v>
      </c>
      <c r="U2912" s="95">
        <v>7317</v>
      </c>
      <c r="V2912" s="148">
        <v>45513</v>
      </c>
      <c r="W2912" s="33" t="s">
        <v>10313</v>
      </c>
      <c r="X2912" s="26">
        <v>100</v>
      </c>
      <c r="Y2912" s="22">
        <v>-100</v>
      </c>
      <c r="Z2912" s="26" t="s">
        <v>50</v>
      </c>
      <c r="AA2912" s="35" t="s">
        <v>10314</v>
      </c>
      <c r="AB2912" s="26" t="s">
        <v>36</v>
      </c>
      <c r="AC2912" s="26" t="s">
        <v>53</v>
      </c>
      <c r="AD2912" s="26" t="s">
        <v>138</v>
      </c>
      <c r="AE2912" s="26"/>
      <c r="AF2912" s="17">
        <v>45496</v>
      </c>
      <c r="AG2912" s="26" t="s">
        <v>4279</v>
      </c>
      <c r="AH2912" s="26"/>
      <c r="AI2912" s="40"/>
      <c r="AJ2912" s="26"/>
      <c r="AK2912" s="26"/>
      <c r="AL2912" s="35"/>
      <c r="AM2912" s="35"/>
      <c r="AN2912" s="35"/>
      <c r="AO2912" s="35"/>
      <c r="AP2912" s="35"/>
    </row>
    <row r="2913" spans="1:42" x14ac:dyDescent="0.2">
      <c r="A2913" s="126">
        <v>45459.644113449074</v>
      </c>
      <c r="B2913" s="28" t="s">
        <v>37</v>
      </c>
      <c r="C2913" s="41" t="s">
        <v>118</v>
      </c>
      <c r="D2913" s="26" t="s">
        <v>36</v>
      </c>
      <c r="E2913" s="26" t="s">
        <v>106</v>
      </c>
      <c r="F2913" s="26" t="s">
        <v>40</v>
      </c>
      <c r="G2913" s="26" t="s">
        <v>108</v>
      </c>
      <c r="H2913" s="26" t="s">
        <v>7365</v>
      </c>
      <c r="I2913" s="17">
        <f ca="1">IFERROR(__xludf.DUMMYFUNCTION("""COMPUTED_VALUE"""),45468)</f>
        <v>45468</v>
      </c>
      <c r="J2913" s="29" t="s">
        <v>10315</v>
      </c>
      <c r="K2913" s="26" t="s">
        <v>10316</v>
      </c>
      <c r="L2913" s="30">
        <v>852276905</v>
      </c>
      <c r="M2913" s="26" t="s">
        <v>2755</v>
      </c>
      <c r="N2913" s="26" t="s">
        <v>3760</v>
      </c>
      <c r="O2913" s="26" t="s">
        <v>4503</v>
      </c>
      <c r="P2913" s="26" t="s">
        <v>10317</v>
      </c>
      <c r="Q2913" s="20">
        <v>3768</v>
      </c>
      <c r="R2913" s="26" t="s">
        <v>36</v>
      </c>
      <c r="S2913" s="95">
        <v>4000</v>
      </c>
      <c r="T2913" s="148">
        <v>45458</v>
      </c>
      <c r="U2913" s="31"/>
      <c r="V2913" s="32"/>
      <c r="W2913" s="33" t="s">
        <v>10318</v>
      </c>
      <c r="X2913" s="26">
        <v>0</v>
      </c>
      <c r="Y2913" s="22">
        <v>-232</v>
      </c>
      <c r="Z2913" s="26" t="s">
        <v>50</v>
      </c>
      <c r="AA2913" s="96" t="s">
        <v>10314</v>
      </c>
      <c r="AB2913" s="26" t="s">
        <v>36</v>
      </c>
      <c r="AC2913" s="26" t="s">
        <v>53</v>
      </c>
      <c r="AD2913" s="26" t="s">
        <v>54</v>
      </c>
      <c r="AE2913" s="26">
        <v>450</v>
      </c>
      <c r="AF2913" s="17">
        <v>45460</v>
      </c>
      <c r="AG2913" s="26" t="s">
        <v>7078</v>
      </c>
      <c r="AH2913" s="26"/>
      <c r="AI2913" s="40"/>
      <c r="AJ2913" s="26"/>
      <c r="AK2913" s="26"/>
      <c r="AL2913" s="35"/>
      <c r="AM2913" s="35"/>
      <c r="AN2913" s="35"/>
      <c r="AO2913" s="35"/>
      <c r="AP2913" s="35"/>
    </row>
    <row r="2914" spans="1:42" x14ac:dyDescent="0.2">
      <c r="A2914" s="126">
        <v>45461.39031072917</v>
      </c>
      <c r="B2914" s="28" t="s">
        <v>37</v>
      </c>
      <c r="C2914" s="41" t="s">
        <v>118</v>
      </c>
      <c r="D2914" s="26" t="s">
        <v>36</v>
      </c>
      <c r="E2914" s="26" t="s">
        <v>139</v>
      </c>
      <c r="F2914" s="26" t="s">
        <v>36</v>
      </c>
      <c r="G2914" s="26" t="s">
        <v>41</v>
      </c>
      <c r="H2914" s="26" t="s">
        <v>8771</v>
      </c>
      <c r="I2914" s="17">
        <f ca="1">IFERROR(__xludf.DUMMYFUNCTION("""COMPUTED_VALUE"""),45481)</f>
        <v>45481</v>
      </c>
      <c r="J2914" s="29" t="s">
        <v>9930</v>
      </c>
      <c r="K2914" s="26" t="s">
        <v>10319</v>
      </c>
      <c r="L2914" s="30">
        <v>395046631</v>
      </c>
      <c r="M2914" s="26" t="s">
        <v>3728</v>
      </c>
      <c r="N2914" s="26" t="s">
        <v>8725</v>
      </c>
      <c r="O2914" s="26" t="s">
        <v>9932</v>
      </c>
      <c r="P2914" s="26" t="s">
        <v>9933</v>
      </c>
      <c r="Q2914" s="20">
        <v>15936</v>
      </c>
      <c r="R2914" s="26" t="s">
        <v>36</v>
      </c>
      <c r="S2914" s="95">
        <v>2000</v>
      </c>
      <c r="T2914" s="148">
        <v>45460</v>
      </c>
      <c r="U2914" s="95">
        <v>13936</v>
      </c>
      <c r="V2914" s="148">
        <v>45513</v>
      </c>
      <c r="W2914" s="33" t="s">
        <v>9934</v>
      </c>
      <c r="X2914" s="26">
        <v>0</v>
      </c>
      <c r="Y2914" s="22">
        <v>0</v>
      </c>
      <c r="Z2914" s="26" t="s">
        <v>50</v>
      </c>
      <c r="AA2914" s="35" t="s">
        <v>10314</v>
      </c>
      <c r="AB2914" s="26" t="s">
        <v>36</v>
      </c>
      <c r="AC2914" s="26" t="s">
        <v>53</v>
      </c>
      <c r="AD2914" s="26" t="s">
        <v>54</v>
      </c>
      <c r="AE2914" s="26"/>
      <c r="AF2914" s="17">
        <v>45476</v>
      </c>
      <c r="AG2914" s="26"/>
      <c r="AH2914" s="26"/>
      <c r="AI2914" s="40"/>
      <c r="AJ2914" s="26"/>
      <c r="AK2914" s="26"/>
      <c r="AL2914" s="35"/>
      <c r="AM2914" s="35"/>
      <c r="AN2914" s="35"/>
      <c r="AO2914" s="35"/>
      <c r="AP2914" s="35"/>
    </row>
    <row r="2915" spans="1:42" x14ac:dyDescent="0.2">
      <c r="A2915" s="126">
        <v>45464.930092048613</v>
      </c>
      <c r="B2915" s="28" t="s">
        <v>37</v>
      </c>
      <c r="C2915" s="41" t="s">
        <v>118</v>
      </c>
      <c r="D2915" s="26" t="s">
        <v>36</v>
      </c>
      <c r="E2915" s="26" t="s">
        <v>139</v>
      </c>
      <c r="F2915" s="26" t="s">
        <v>36</v>
      </c>
      <c r="G2915" s="26" t="s">
        <v>41</v>
      </c>
      <c r="H2915" s="26" t="s">
        <v>8763</v>
      </c>
      <c r="I2915" s="17">
        <f ca="1">IFERROR(__xludf.DUMMYFUNCTION("""COMPUTED_VALUE"""),45478)</f>
        <v>45478</v>
      </c>
      <c r="J2915" s="29" t="s">
        <v>9805</v>
      </c>
      <c r="K2915" s="19" t="s">
        <v>9806</v>
      </c>
      <c r="L2915" s="47">
        <v>396832902</v>
      </c>
      <c r="M2915" s="19" t="s">
        <v>3728</v>
      </c>
      <c r="N2915" s="19" t="s">
        <v>8725</v>
      </c>
      <c r="O2915" s="26" t="s">
        <v>9807</v>
      </c>
      <c r="P2915" s="26" t="s">
        <v>10320</v>
      </c>
      <c r="Q2915" s="20">
        <v>15936</v>
      </c>
      <c r="R2915" s="26" t="s">
        <v>1106</v>
      </c>
      <c r="S2915" s="95">
        <f t="shared" ref="S2915:S2922" si="14">200+1800</f>
        <v>2000</v>
      </c>
      <c r="T2915" s="83" t="s">
        <v>9795</v>
      </c>
      <c r="U2915" s="95">
        <v>13936</v>
      </c>
      <c r="V2915" s="148">
        <v>45513</v>
      </c>
      <c r="W2915" s="33" t="s">
        <v>9809</v>
      </c>
      <c r="X2915" s="26">
        <v>150</v>
      </c>
      <c r="Y2915" s="22">
        <v>-150</v>
      </c>
      <c r="Z2915" s="26" t="s">
        <v>50</v>
      </c>
      <c r="AA2915" s="96" t="s">
        <v>10314</v>
      </c>
      <c r="AB2915" s="26" t="s">
        <v>36</v>
      </c>
      <c r="AC2915" s="26" t="s">
        <v>53</v>
      </c>
      <c r="AD2915" s="26" t="s">
        <v>54</v>
      </c>
      <c r="AE2915" s="26" t="s">
        <v>72</v>
      </c>
      <c r="AF2915" s="17">
        <v>45477</v>
      </c>
      <c r="AG2915" s="26"/>
      <c r="AH2915" s="26"/>
      <c r="AI2915" s="40"/>
      <c r="AJ2915" s="26"/>
      <c r="AK2915" s="26"/>
      <c r="AL2915" s="35"/>
      <c r="AM2915" s="35"/>
      <c r="AN2915" s="35"/>
      <c r="AO2915" s="35"/>
      <c r="AP2915" s="35"/>
    </row>
    <row r="2916" spans="1:42" x14ac:dyDescent="0.2">
      <c r="A2916" s="126">
        <v>45464.931551365742</v>
      </c>
      <c r="B2916" s="28" t="s">
        <v>37</v>
      </c>
      <c r="C2916" s="41" t="s">
        <v>118</v>
      </c>
      <c r="D2916" s="26" t="s">
        <v>36</v>
      </c>
      <c r="E2916" s="26" t="s">
        <v>139</v>
      </c>
      <c r="F2916" s="26" t="s">
        <v>36</v>
      </c>
      <c r="G2916" s="26" t="s">
        <v>41</v>
      </c>
      <c r="H2916" s="26" t="s">
        <v>8763</v>
      </c>
      <c r="I2916" s="17">
        <f ca="1">IFERROR(__xludf.DUMMYFUNCTION("""COMPUTED_VALUE"""),45478)</f>
        <v>45478</v>
      </c>
      <c r="J2916" s="29" t="s">
        <v>9791</v>
      </c>
      <c r="K2916" s="19" t="s">
        <v>9792</v>
      </c>
      <c r="L2916" s="47">
        <v>973826403</v>
      </c>
      <c r="M2916" s="19" t="s">
        <v>3728</v>
      </c>
      <c r="N2916" s="19" t="s">
        <v>8725</v>
      </c>
      <c r="O2916" s="26" t="s">
        <v>9793</v>
      </c>
      <c r="P2916" s="26" t="s">
        <v>10321</v>
      </c>
      <c r="Q2916" s="20">
        <v>15936</v>
      </c>
      <c r="R2916" s="26" t="s">
        <v>1106</v>
      </c>
      <c r="S2916" s="95">
        <f t="shared" si="14"/>
        <v>2000</v>
      </c>
      <c r="T2916" s="83" t="s">
        <v>9795</v>
      </c>
      <c r="U2916" s="95">
        <v>13936</v>
      </c>
      <c r="V2916" s="148">
        <v>45519</v>
      </c>
      <c r="W2916" s="33" t="s">
        <v>9796</v>
      </c>
      <c r="X2916" s="26">
        <v>150</v>
      </c>
      <c r="Y2916" s="22">
        <v>-150</v>
      </c>
      <c r="Z2916" s="26" t="s">
        <v>50</v>
      </c>
      <c r="AA2916" s="35" t="s">
        <v>10314</v>
      </c>
      <c r="AB2916" s="26" t="s">
        <v>36</v>
      </c>
      <c r="AC2916" s="26" t="s">
        <v>53</v>
      </c>
      <c r="AD2916" s="26" t="s">
        <v>54</v>
      </c>
      <c r="AE2916" s="26" t="s">
        <v>72</v>
      </c>
      <c r="AF2916" s="17">
        <v>45477</v>
      </c>
      <c r="AG2916" s="26"/>
      <c r="AH2916" s="26"/>
      <c r="AI2916" s="40"/>
      <c r="AJ2916" s="26"/>
      <c r="AK2916" s="26"/>
      <c r="AL2916" s="35"/>
      <c r="AM2916" s="35"/>
      <c r="AN2916" s="35"/>
      <c r="AO2916" s="35"/>
      <c r="AP2916" s="35"/>
    </row>
    <row r="2917" spans="1:42" x14ac:dyDescent="0.2">
      <c r="A2917" s="126">
        <v>45464.932684212967</v>
      </c>
      <c r="B2917" s="28" t="s">
        <v>37</v>
      </c>
      <c r="C2917" s="41" t="s">
        <v>118</v>
      </c>
      <c r="D2917" s="26" t="s">
        <v>36</v>
      </c>
      <c r="E2917" s="26" t="s">
        <v>77</v>
      </c>
      <c r="F2917" s="26" t="s">
        <v>36</v>
      </c>
      <c r="G2917" s="26" t="s">
        <v>41</v>
      </c>
      <c r="H2917" s="26" t="s">
        <v>8763</v>
      </c>
      <c r="I2917" s="17">
        <f ca="1">IFERROR(__xludf.DUMMYFUNCTION("""COMPUTED_VALUE"""),45478)</f>
        <v>45478</v>
      </c>
      <c r="J2917" s="29" t="s">
        <v>10322</v>
      </c>
      <c r="K2917" s="19" t="s">
        <v>10323</v>
      </c>
      <c r="L2917" s="47">
        <v>395446538</v>
      </c>
      <c r="M2917" s="19" t="s">
        <v>3728</v>
      </c>
      <c r="N2917" s="19" t="s">
        <v>8725</v>
      </c>
      <c r="O2917" s="26" t="s">
        <v>10324</v>
      </c>
      <c r="P2917" s="26" t="s">
        <v>10325</v>
      </c>
      <c r="Q2917" s="20">
        <v>1968</v>
      </c>
      <c r="R2917" s="26" t="s">
        <v>1106</v>
      </c>
      <c r="S2917" s="95">
        <f t="shared" si="14"/>
        <v>2000</v>
      </c>
      <c r="T2917" s="83" t="s">
        <v>9795</v>
      </c>
      <c r="U2917" s="31"/>
      <c r="V2917" s="32"/>
      <c r="W2917" s="33" t="s">
        <v>10326</v>
      </c>
      <c r="X2917" s="26">
        <v>150</v>
      </c>
      <c r="Y2917" s="22">
        <v>-182</v>
      </c>
      <c r="Z2917" s="26" t="s">
        <v>50</v>
      </c>
      <c r="AA2917" s="96" t="s">
        <v>10314</v>
      </c>
      <c r="AB2917" s="26" t="s">
        <v>36</v>
      </c>
      <c r="AC2917" s="26" t="s">
        <v>53</v>
      </c>
      <c r="AD2917" s="26" t="s">
        <v>54</v>
      </c>
      <c r="AE2917" s="26" t="s">
        <v>72</v>
      </c>
      <c r="AF2917" s="17">
        <v>45477</v>
      </c>
      <c r="AG2917" s="26" t="s">
        <v>10327</v>
      </c>
      <c r="AH2917" s="26"/>
      <c r="AI2917" s="40"/>
      <c r="AJ2917" s="26"/>
      <c r="AK2917" s="26"/>
      <c r="AL2917" s="35"/>
      <c r="AM2917" s="35"/>
      <c r="AN2917" s="35"/>
      <c r="AO2917" s="35"/>
      <c r="AP2917" s="35"/>
    </row>
    <row r="2918" spans="1:42" x14ac:dyDescent="0.2">
      <c r="A2918" s="126">
        <v>45464.933915578702</v>
      </c>
      <c r="B2918" s="28" t="s">
        <v>37</v>
      </c>
      <c r="C2918" s="41" t="s">
        <v>118</v>
      </c>
      <c r="D2918" s="26" t="s">
        <v>36</v>
      </c>
      <c r="E2918" s="26" t="s">
        <v>39</v>
      </c>
      <c r="F2918" s="26" t="s">
        <v>36</v>
      </c>
      <c r="G2918" s="26" t="s">
        <v>41</v>
      </c>
      <c r="H2918" s="26" t="s">
        <v>8763</v>
      </c>
      <c r="I2918" s="17">
        <f ca="1">IFERROR(__xludf.DUMMYFUNCTION("""COMPUTED_VALUE"""),45478)</f>
        <v>45478</v>
      </c>
      <c r="J2918" s="29" t="s">
        <v>9797</v>
      </c>
      <c r="K2918" s="19" t="s">
        <v>9798</v>
      </c>
      <c r="L2918" s="47">
        <v>839936488</v>
      </c>
      <c r="M2918" s="19" t="s">
        <v>3728</v>
      </c>
      <c r="N2918" s="19" t="s">
        <v>8725</v>
      </c>
      <c r="O2918" s="26" t="s">
        <v>9799</v>
      </c>
      <c r="P2918" s="26" t="s">
        <v>10328</v>
      </c>
      <c r="Q2918" s="20">
        <v>5736</v>
      </c>
      <c r="R2918" s="26" t="s">
        <v>36</v>
      </c>
      <c r="S2918" s="95">
        <f t="shared" si="14"/>
        <v>2000</v>
      </c>
      <c r="T2918" s="83" t="s">
        <v>9801</v>
      </c>
      <c r="U2918" s="95">
        <v>3768</v>
      </c>
      <c r="V2918" s="148">
        <v>45509</v>
      </c>
      <c r="W2918" s="33" t="s">
        <v>9802</v>
      </c>
      <c r="X2918" s="26">
        <v>0</v>
      </c>
      <c r="Y2918" s="22">
        <v>-32</v>
      </c>
      <c r="Z2918" s="26" t="s">
        <v>50</v>
      </c>
      <c r="AA2918" s="35" t="s">
        <v>10314</v>
      </c>
      <c r="AB2918" s="26" t="s">
        <v>36</v>
      </c>
      <c r="AC2918" s="26" t="s">
        <v>53</v>
      </c>
      <c r="AD2918" s="26" t="s">
        <v>54</v>
      </c>
      <c r="AE2918" s="26" t="s">
        <v>72</v>
      </c>
      <c r="AF2918" s="17">
        <v>45478</v>
      </c>
      <c r="AG2918" s="26" t="s">
        <v>10327</v>
      </c>
      <c r="AH2918" s="26"/>
      <c r="AI2918" s="40"/>
      <c r="AJ2918" s="26"/>
      <c r="AK2918" s="26"/>
      <c r="AL2918" s="35"/>
      <c r="AM2918" s="35"/>
      <c r="AN2918" s="35"/>
      <c r="AO2918" s="35"/>
      <c r="AP2918" s="35"/>
    </row>
    <row r="2919" spans="1:42" x14ac:dyDescent="0.2">
      <c r="A2919" s="126">
        <v>45465.842012604167</v>
      </c>
      <c r="B2919" s="28" t="s">
        <v>37</v>
      </c>
      <c r="C2919" s="41" t="s">
        <v>118</v>
      </c>
      <c r="D2919" s="26" t="s">
        <v>36</v>
      </c>
      <c r="E2919" s="26" t="s">
        <v>139</v>
      </c>
      <c r="F2919" s="26" t="s">
        <v>36</v>
      </c>
      <c r="G2919" s="26" t="s">
        <v>41</v>
      </c>
      <c r="H2919" s="26" t="s">
        <v>8830</v>
      </c>
      <c r="I2919" s="17">
        <f ca="1">IFERROR(__xludf.DUMMYFUNCTION("""COMPUTED_VALUE"""),45478)</f>
        <v>45478</v>
      </c>
      <c r="J2919" s="29" t="s">
        <v>10329</v>
      </c>
      <c r="K2919" s="19" t="s">
        <v>10330</v>
      </c>
      <c r="L2919" s="47">
        <v>869699831</v>
      </c>
      <c r="M2919" s="19" t="s">
        <v>3728</v>
      </c>
      <c r="N2919" s="19" t="s">
        <v>8725</v>
      </c>
      <c r="O2919" s="26" t="s">
        <v>10331</v>
      </c>
      <c r="P2919" s="42" t="s">
        <v>10332</v>
      </c>
      <c r="Q2919" s="20">
        <v>15936</v>
      </c>
      <c r="R2919" s="26" t="s">
        <v>36</v>
      </c>
      <c r="S2919" s="95">
        <f t="shared" si="14"/>
        <v>2000</v>
      </c>
      <c r="T2919" s="83" t="s">
        <v>10333</v>
      </c>
      <c r="U2919" s="95">
        <v>13936</v>
      </c>
      <c r="V2919" s="148">
        <v>45508</v>
      </c>
      <c r="W2919" s="33" t="s">
        <v>10334</v>
      </c>
      <c r="X2919" s="26">
        <v>0</v>
      </c>
      <c r="Y2919" s="22">
        <v>0</v>
      </c>
      <c r="Z2919" s="26" t="s">
        <v>50</v>
      </c>
      <c r="AA2919" s="96" t="s">
        <v>10314</v>
      </c>
      <c r="AB2919" s="26" t="s">
        <v>36</v>
      </c>
      <c r="AC2919" s="26" t="s">
        <v>53</v>
      </c>
      <c r="AD2919" s="26" t="s">
        <v>54</v>
      </c>
      <c r="AE2919" s="26" t="s">
        <v>72</v>
      </c>
      <c r="AF2919" s="17">
        <v>45474</v>
      </c>
      <c r="AG2919" s="26"/>
      <c r="AH2919" s="26"/>
      <c r="AI2919" s="40"/>
      <c r="AJ2919" s="26"/>
      <c r="AK2919" s="26"/>
      <c r="AL2919" s="35"/>
      <c r="AM2919" s="35"/>
      <c r="AN2919" s="35"/>
      <c r="AO2919" s="35"/>
      <c r="AP2919" s="35"/>
    </row>
    <row r="2920" spans="1:42" x14ac:dyDescent="0.2">
      <c r="A2920" s="126">
        <v>45469.002501342591</v>
      </c>
      <c r="B2920" s="28" t="s">
        <v>37</v>
      </c>
      <c r="C2920" s="41" t="s">
        <v>118</v>
      </c>
      <c r="D2920" s="26" t="s">
        <v>36</v>
      </c>
      <c r="E2920" s="26" t="s">
        <v>139</v>
      </c>
      <c r="F2920" s="26" t="s">
        <v>40</v>
      </c>
      <c r="G2920" s="26" t="s">
        <v>41</v>
      </c>
      <c r="H2920" s="26" t="s">
        <v>7330</v>
      </c>
      <c r="I2920" s="17">
        <f ca="1">IFERROR(__xludf.DUMMYFUNCTION("""COMPUTED_VALUE"""),45509)</f>
        <v>45509</v>
      </c>
      <c r="J2920" s="29" t="s">
        <v>10335</v>
      </c>
      <c r="K2920" s="26" t="s">
        <v>10336</v>
      </c>
      <c r="L2920" s="30">
        <v>342484956</v>
      </c>
      <c r="M2920" s="26" t="s">
        <v>5429</v>
      </c>
      <c r="N2920" s="26" t="s">
        <v>9166</v>
      </c>
      <c r="O2920" s="26" t="s">
        <v>10337</v>
      </c>
      <c r="P2920" s="26" t="s">
        <v>7107</v>
      </c>
      <c r="Q2920" s="20">
        <v>15936</v>
      </c>
      <c r="R2920" s="26" t="s">
        <v>3825</v>
      </c>
      <c r="S2920" s="95">
        <f t="shared" si="14"/>
        <v>2000</v>
      </c>
      <c r="T2920" s="83" t="s">
        <v>10338</v>
      </c>
      <c r="U2920" s="95">
        <v>13736</v>
      </c>
      <c r="V2920" s="148">
        <v>45526</v>
      </c>
      <c r="W2920" s="33" t="s">
        <v>10339</v>
      </c>
      <c r="X2920" s="26">
        <v>200</v>
      </c>
      <c r="Y2920" s="22">
        <v>0</v>
      </c>
      <c r="Z2920" s="26" t="s">
        <v>50</v>
      </c>
      <c r="AA2920" s="35" t="s">
        <v>10314</v>
      </c>
      <c r="AB2920" s="26"/>
      <c r="AC2920" s="26" t="s">
        <v>53</v>
      </c>
      <c r="AD2920" s="26" t="s">
        <v>138</v>
      </c>
      <c r="AE2920" s="26" t="s">
        <v>430</v>
      </c>
      <c r="AF2920" s="17">
        <v>45509</v>
      </c>
      <c r="AG2920" s="26" t="s">
        <v>4279</v>
      </c>
      <c r="AH2920" s="26"/>
      <c r="AI2920" s="40"/>
      <c r="AJ2920" s="26"/>
      <c r="AK2920" s="26"/>
      <c r="AL2920" s="35"/>
      <c r="AM2920" s="35"/>
      <c r="AN2920" s="35"/>
      <c r="AO2920" s="35"/>
      <c r="AP2920" s="35"/>
    </row>
    <row r="2921" spans="1:42" x14ac:dyDescent="0.2">
      <c r="A2921" s="126">
        <v>45469.004137187498</v>
      </c>
      <c r="B2921" s="28" t="s">
        <v>37</v>
      </c>
      <c r="C2921" s="41" t="s">
        <v>118</v>
      </c>
      <c r="D2921" s="26" t="s">
        <v>36</v>
      </c>
      <c r="E2921" s="26" t="s">
        <v>139</v>
      </c>
      <c r="F2921" s="26" t="s">
        <v>40</v>
      </c>
      <c r="G2921" s="26" t="s">
        <v>41</v>
      </c>
      <c r="H2921" s="26" t="s">
        <v>7330</v>
      </c>
      <c r="I2921" s="17">
        <f ca="1">IFERROR(__xludf.DUMMYFUNCTION("""COMPUTED_VALUE"""),45509)</f>
        <v>45509</v>
      </c>
      <c r="J2921" s="29" t="s">
        <v>10340</v>
      </c>
      <c r="K2921" s="26" t="s">
        <v>10341</v>
      </c>
      <c r="L2921" s="30">
        <v>981595683</v>
      </c>
      <c r="M2921" s="26" t="s">
        <v>5429</v>
      </c>
      <c r="N2921" s="26" t="s">
        <v>9166</v>
      </c>
      <c r="O2921" s="26" t="s">
        <v>10342</v>
      </c>
      <c r="P2921" s="26" t="s">
        <v>7107</v>
      </c>
      <c r="Q2921" s="20">
        <v>15936</v>
      </c>
      <c r="R2921" s="26" t="s">
        <v>3825</v>
      </c>
      <c r="S2921" s="95">
        <f t="shared" si="14"/>
        <v>2000</v>
      </c>
      <c r="T2921" s="83" t="s">
        <v>10338</v>
      </c>
      <c r="U2921" s="95">
        <v>13736</v>
      </c>
      <c r="V2921" s="148">
        <v>45526</v>
      </c>
      <c r="W2921" s="33" t="s">
        <v>10343</v>
      </c>
      <c r="X2921" s="26">
        <v>200</v>
      </c>
      <c r="Y2921" s="22">
        <v>0</v>
      </c>
      <c r="Z2921" s="26" t="s">
        <v>50</v>
      </c>
      <c r="AA2921" s="96" t="s">
        <v>10314</v>
      </c>
      <c r="AB2921" s="26"/>
      <c r="AC2921" s="26" t="s">
        <v>53</v>
      </c>
      <c r="AD2921" s="26" t="s">
        <v>138</v>
      </c>
      <c r="AE2921" s="26" t="s">
        <v>72</v>
      </c>
      <c r="AF2921" s="17">
        <v>45509</v>
      </c>
      <c r="AG2921" s="26" t="s">
        <v>4279</v>
      </c>
      <c r="AH2921" s="26"/>
      <c r="AI2921" s="40"/>
      <c r="AJ2921" s="26"/>
      <c r="AK2921" s="26"/>
      <c r="AL2921" s="35"/>
      <c r="AM2921" s="35"/>
      <c r="AN2921" s="35"/>
      <c r="AO2921" s="35"/>
      <c r="AP2921" s="35"/>
    </row>
    <row r="2922" spans="1:42" x14ac:dyDescent="0.2">
      <c r="A2922" s="126">
        <v>45469.006330729171</v>
      </c>
      <c r="B2922" s="28" t="s">
        <v>37</v>
      </c>
      <c r="C2922" s="41" t="s">
        <v>118</v>
      </c>
      <c r="D2922" s="26" t="s">
        <v>36</v>
      </c>
      <c r="E2922" s="26" t="s">
        <v>139</v>
      </c>
      <c r="F2922" s="26" t="s">
        <v>40</v>
      </c>
      <c r="G2922" s="26" t="s">
        <v>41</v>
      </c>
      <c r="H2922" s="26" t="s">
        <v>7330</v>
      </c>
      <c r="I2922" s="17">
        <f ca="1">IFERROR(__xludf.DUMMYFUNCTION("""COMPUTED_VALUE"""),45509)</f>
        <v>45509</v>
      </c>
      <c r="J2922" s="29" t="s">
        <v>10344</v>
      </c>
      <c r="K2922" s="26" t="s">
        <v>10345</v>
      </c>
      <c r="L2922" s="30">
        <v>868130505</v>
      </c>
      <c r="M2922" s="26" t="s">
        <v>5429</v>
      </c>
      <c r="N2922" s="26" t="s">
        <v>9166</v>
      </c>
      <c r="O2922" s="26" t="s">
        <v>10346</v>
      </c>
      <c r="P2922" s="26" t="s">
        <v>7107</v>
      </c>
      <c r="Q2922" s="20">
        <v>15936</v>
      </c>
      <c r="R2922" s="26" t="s">
        <v>3825</v>
      </c>
      <c r="S2922" s="95">
        <f t="shared" si="14"/>
        <v>2000</v>
      </c>
      <c r="T2922" s="83" t="s">
        <v>10347</v>
      </c>
      <c r="U2922" s="95">
        <v>13736</v>
      </c>
      <c r="V2922" s="148">
        <v>45526</v>
      </c>
      <c r="W2922" s="33" t="s">
        <v>10348</v>
      </c>
      <c r="X2922" s="26">
        <v>200</v>
      </c>
      <c r="Y2922" s="22">
        <v>0</v>
      </c>
      <c r="Z2922" s="26" t="s">
        <v>50</v>
      </c>
      <c r="AA2922" s="35" t="s">
        <v>10314</v>
      </c>
      <c r="AB2922" s="26"/>
      <c r="AC2922" s="26" t="s">
        <v>53</v>
      </c>
      <c r="AD2922" s="26" t="s">
        <v>138</v>
      </c>
      <c r="AE2922" s="26" t="s">
        <v>430</v>
      </c>
      <c r="AF2922" s="17">
        <v>45509</v>
      </c>
      <c r="AG2922" s="26" t="s">
        <v>4279</v>
      </c>
      <c r="AH2922" s="26"/>
      <c r="AI2922" s="40"/>
      <c r="AJ2922" s="26"/>
      <c r="AK2922" s="26"/>
      <c r="AL2922" s="35"/>
      <c r="AM2922" s="35"/>
      <c r="AN2922" s="35"/>
      <c r="AO2922" s="35"/>
      <c r="AP2922" s="35"/>
    </row>
    <row r="2923" spans="1:42" x14ac:dyDescent="0.2">
      <c r="A2923" s="126">
        <v>45469.0078096875</v>
      </c>
      <c r="B2923" s="28" t="s">
        <v>37</v>
      </c>
      <c r="C2923" s="41" t="s">
        <v>118</v>
      </c>
      <c r="D2923" s="26" t="s">
        <v>36</v>
      </c>
      <c r="E2923" s="26" t="s">
        <v>139</v>
      </c>
      <c r="F2923" s="26" t="s">
        <v>40</v>
      </c>
      <c r="G2923" s="26" t="s">
        <v>41</v>
      </c>
      <c r="H2923" s="26" t="s">
        <v>7330</v>
      </c>
      <c r="I2923" s="17">
        <f ca="1">IFERROR(__xludf.DUMMYFUNCTION("""COMPUTED_VALUE"""),45509)</f>
        <v>45509</v>
      </c>
      <c r="J2923" s="29" t="s">
        <v>10349</v>
      </c>
      <c r="K2923" s="26" t="s">
        <v>10350</v>
      </c>
      <c r="L2923" s="30">
        <v>368884893</v>
      </c>
      <c r="M2923" s="26" t="s">
        <v>5429</v>
      </c>
      <c r="N2923" s="26" t="s">
        <v>9166</v>
      </c>
      <c r="O2923" s="26" t="s">
        <v>10351</v>
      </c>
      <c r="P2923" s="26" t="s">
        <v>7107</v>
      </c>
      <c r="Q2923" s="20">
        <v>15936</v>
      </c>
      <c r="R2923" s="26" t="s">
        <v>3825</v>
      </c>
      <c r="S2923" s="95">
        <f>200+2000</f>
        <v>2200</v>
      </c>
      <c r="T2923" s="83" t="s">
        <v>10347</v>
      </c>
      <c r="U2923" s="95">
        <v>13536</v>
      </c>
      <c r="V2923" s="148">
        <v>45526</v>
      </c>
      <c r="W2923" s="33" t="s">
        <v>10352</v>
      </c>
      <c r="X2923" s="26">
        <v>200</v>
      </c>
      <c r="Y2923" s="22">
        <v>0</v>
      </c>
      <c r="Z2923" s="26" t="s">
        <v>50</v>
      </c>
      <c r="AA2923" s="96" t="s">
        <v>10314</v>
      </c>
      <c r="AB2923" s="26"/>
      <c r="AC2923" s="26" t="s">
        <v>53</v>
      </c>
      <c r="AD2923" s="26" t="s">
        <v>138</v>
      </c>
      <c r="AE2923" s="26" t="s">
        <v>430</v>
      </c>
      <c r="AF2923" s="17">
        <v>45509</v>
      </c>
      <c r="AG2923" s="26" t="s">
        <v>4279</v>
      </c>
      <c r="AH2923" s="26"/>
      <c r="AI2923" s="40"/>
      <c r="AJ2923" s="26"/>
      <c r="AK2923" s="26"/>
      <c r="AL2923" s="35"/>
      <c r="AM2923" s="35"/>
      <c r="AN2923" s="35"/>
      <c r="AO2923" s="35"/>
      <c r="AP2923" s="35"/>
    </row>
    <row r="2924" spans="1:42" x14ac:dyDescent="0.2">
      <c r="A2924" s="126">
        <v>45470.687030590278</v>
      </c>
      <c r="B2924" s="28" t="s">
        <v>37</v>
      </c>
      <c r="C2924" s="41" t="s">
        <v>118</v>
      </c>
      <c r="D2924" s="26" t="s">
        <v>77</v>
      </c>
      <c r="E2924" s="26" t="s">
        <v>106</v>
      </c>
      <c r="F2924" s="26" t="s">
        <v>7506</v>
      </c>
      <c r="G2924" s="26" t="s">
        <v>108</v>
      </c>
      <c r="H2924" s="26" t="s">
        <v>8238</v>
      </c>
      <c r="I2924" s="17">
        <f ca="1">IFERROR(__xludf.DUMMYFUNCTION("""COMPUTED_VALUE"""),45477)</f>
        <v>45477</v>
      </c>
      <c r="J2924" s="29" t="s">
        <v>10353</v>
      </c>
      <c r="K2924" s="26" t="s">
        <v>8225</v>
      </c>
      <c r="L2924" s="30">
        <v>375158875</v>
      </c>
      <c r="M2924" s="26" t="s">
        <v>5558</v>
      </c>
      <c r="N2924" s="26" t="s">
        <v>5559</v>
      </c>
      <c r="O2924" s="26" t="s">
        <v>36</v>
      </c>
      <c r="P2924" s="26" t="s">
        <v>10354</v>
      </c>
      <c r="Q2924" s="20">
        <v>3768</v>
      </c>
      <c r="R2924" s="26" t="s">
        <v>36</v>
      </c>
      <c r="S2924" s="95">
        <v>3736</v>
      </c>
      <c r="T2924" s="148">
        <v>45467</v>
      </c>
      <c r="U2924" s="95">
        <v>32</v>
      </c>
      <c r="V2924" s="148">
        <v>45506</v>
      </c>
      <c r="W2924" s="33" t="s">
        <v>10355</v>
      </c>
      <c r="X2924" s="26">
        <v>100</v>
      </c>
      <c r="Y2924" s="22">
        <v>-100</v>
      </c>
      <c r="Z2924" s="26" t="s">
        <v>50</v>
      </c>
      <c r="AA2924" s="35" t="s">
        <v>10314</v>
      </c>
      <c r="AB2924" s="26" t="s">
        <v>36</v>
      </c>
      <c r="AC2924" s="26" t="s">
        <v>53</v>
      </c>
      <c r="AD2924" s="26" t="s">
        <v>54</v>
      </c>
      <c r="AE2924" s="26" t="s">
        <v>7506</v>
      </c>
      <c r="AF2924" s="17">
        <v>45471</v>
      </c>
      <c r="AG2924" s="29" t="s">
        <v>10356</v>
      </c>
      <c r="AH2924" s="26"/>
      <c r="AI2924" s="40"/>
      <c r="AJ2924" s="26"/>
      <c r="AK2924" s="26"/>
      <c r="AL2924" s="35"/>
      <c r="AM2924" s="35"/>
      <c r="AN2924" s="35"/>
      <c r="AO2924" s="35"/>
      <c r="AP2924" s="35"/>
    </row>
    <row r="2925" spans="1:42" x14ac:dyDescent="0.2">
      <c r="A2925" s="126">
        <v>45472.394934050928</v>
      </c>
      <c r="B2925" s="28" t="s">
        <v>37</v>
      </c>
      <c r="C2925" s="41" t="s">
        <v>118</v>
      </c>
      <c r="D2925" s="26" t="s">
        <v>36</v>
      </c>
      <c r="E2925" s="26" t="s">
        <v>139</v>
      </c>
      <c r="F2925" s="26" t="s">
        <v>36</v>
      </c>
      <c r="G2925" s="26" t="s">
        <v>41</v>
      </c>
      <c r="H2925" s="26" t="s">
        <v>8824</v>
      </c>
      <c r="I2925" s="17">
        <f ca="1">IFERROR(__xludf.DUMMYFUNCTION("""COMPUTED_VALUE"""),45485)</f>
        <v>45485</v>
      </c>
      <c r="J2925" s="29" t="s">
        <v>10099</v>
      </c>
      <c r="K2925" s="26" t="s">
        <v>10357</v>
      </c>
      <c r="L2925" s="30">
        <v>988392278</v>
      </c>
      <c r="M2925" s="26" t="s">
        <v>5558</v>
      </c>
      <c r="N2925" s="26" t="s">
        <v>5559</v>
      </c>
      <c r="O2925" s="26" t="s">
        <v>4503</v>
      </c>
      <c r="P2925" s="26" t="s">
        <v>10358</v>
      </c>
      <c r="Q2925" s="20">
        <v>15936</v>
      </c>
      <c r="R2925" s="26" t="s">
        <v>36</v>
      </c>
      <c r="S2925" s="95">
        <f t="shared" ref="S2925:S2926" si="15">200+1800</f>
        <v>2000</v>
      </c>
      <c r="T2925" s="83" t="s">
        <v>10102</v>
      </c>
      <c r="U2925" s="95">
        <v>13936</v>
      </c>
      <c r="V2925" s="148">
        <v>45507</v>
      </c>
      <c r="W2925" s="33" t="s">
        <v>10103</v>
      </c>
      <c r="X2925" s="26">
        <v>0</v>
      </c>
      <c r="Y2925" s="22">
        <v>0</v>
      </c>
      <c r="Z2925" s="26" t="s">
        <v>50</v>
      </c>
      <c r="AA2925" s="96" t="s">
        <v>10314</v>
      </c>
      <c r="AB2925" s="26"/>
      <c r="AC2925" s="26" t="s">
        <v>53</v>
      </c>
      <c r="AD2925" s="26" t="s">
        <v>54</v>
      </c>
      <c r="AE2925" s="26"/>
      <c r="AF2925" s="17">
        <v>45481</v>
      </c>
      <c r="AG2925" s="26"/>
      <c r="AH2925" s="26"/>
      <c r="AI2925" s="40"/>
      <c r="AJ2925" s="26"/>
      <c r="AK2925" s="26"/>
      <c r="AL2925" s="35"/>
      <c r="AM2925" s="35"/>
      <c r="AN2925" s="35"/>
      <c r="AO2925" s="35"/>
      <c r="AP2925" s="35"/>
    </row>
    <row r="2926" spans="1:42" x14ac:dyDescent="0.2">
      <c r="A2926" s="126">
        <v>45472.741777094911</v>
      </c>
      <c r="B2926" s="28" t="s">
        <v>37</v>
      </c>
      <c r="C2926" s="41" t="s">
        <v>118</v>
      </c>
      <c r="D2926" s="26" t="s">
        <v>36</v>
      </c>
      <c r="E2926" s="26" t="s">
        <v>139</v>
      </c>
      <c r="F2926" s="26" t="s">
        <v>36</v>
      </c>
      <c r="G2926" s="26" t="s">
        <v>41</v>
      </c>
      <c r="H2926" s="26" t="s">
        <v>8801</v>
      </c>
      <c r="I2926" s="17">
        <f ca="1">IFERROR(__xludf.DUMMYFUNCTION("""COMPUTED_VALUE"""),45484)</f>
        <v>45484</v>
      </c>
      <c r="J2926" s="29" t="s">
        <v>9959</v>
      </c>
      <c r="K2926" s="26" t="s">
        <v>10359</v>
      </c>
      <c r="L2926" s="30">
        <v>829210398</v>
      </c>
      <c r="M2926" s="26" t="s">
        <v>80</v>
      </c>
      <c r="N2926" s="26" t="s">
        <v>1073</v>
      </c>
      <c r="O2926" s="26" t="s">
        <v>9961</v>
      </c>
      <c r="P2926" s="26" t="s">
        <v>10360</v>
      </c>
      <c r="Q2926" s="20">
        <v>15936</v>
      </c>
      <c r="R2926" s="26" t="s">
        <v>36</v>
      </c>
      <c r="S2926" s="95">
        <f t="shared" si="15"/>
        <v>2000</v>
      </c>
      <c r="T2926" s="83" t="s">
        <v>9124</v>
      </c>
      <c r="U2926" s="95">
        <v>13936</v>
      </c>
      <c r="V2926" s="148">
        <v>45510</v>
      </c>
      <c r="W2926" s="33" t="s">
        <v>9963</v>
      </c>
      <c r="X2926" s="26">
        <v>0</v>
      </c>
      <c r="Y2926" s="22">
        <v>0</v>
      </c>
      <c r="Z2926" s="26" t="s">
        <v>50</v>
      </c>
      <c r="AA2926" s="35" t="s">
        <v>10314</v>
      </c>
      <c r="AB2926" s="26"/>
      <c r="AC2926" s="26" t="s">
        <v>53</v>
      </c>
      <c r="AD2926" s="26" t="s">
        <v>54</v>
      </c>
      <c r="AE2926" s="26">
        <v>0</v>
      </c>
      <c r="AF2926" s="17">
        <v>45481</v>
      </c>
      <c r="AG2926" s="26"/>
      <c r="AH2926" s="26"/>
      <c r="AI2926" s="40"/>
      <c r="AJ2926" s="26"/>
      <c r="AK2926" s="26"/>
      <c r="AL2926" s="35"/>
      <c r="AM2926" s="35"/>
      <c r="AN2926" s="35"/>
      <c r="AO2926" s="35"/>
      <c r="AP2926" s="35"/>
    </row>
    <row r="2927" spans="1:42" x14ac:dyDescent="0.2">
      <c r="A2927" s="126">
        <v>45473.386198553242</v>
      </c>
      <c r="B2927" s="28" t="s">
        <v>37</v>
      </c>
      <c r="C2927" s="41" t="s">
        <v>118</v>
      </c>
      <c r="D2927" s="26" t="s">
        <v>36</v>
      </c>
      <c r="E2927" s="26" t="s">
        <v>77</v>
      </c>
      <c r="F2927" s="26" t="s">
        <v>40</v>
      </c>
      <c r="G2927" s="26" t="s">
        <v>41</v>
      </c>
      <c r="H2927" s="26" t="s">
        <v>9126</v>
      </c>
      <c r="I2927" s="17">
        <f ca="1">IFERROR(__xludf.DUMMYFUNCTION("""COMPUTED_VALUE"""),45482)</f>
        <v>45482</v>
      </c>
      <c r="J2927" s="29" t="s">
        <v>10361</v>
      </c>
      <c r="K2927" s="26" t="s">
        <v>10362</v>
      </c>
      <c r="L2927" s="30">
        <v>979211388</v>
      </c>
      <c r="M2927" s="26" t="s">
        <v>5518</v>
      </c>
      <c r="N2927" s="26" t="s">
        <v>5524</v>
      </c>
      <c r="O2927" s="26" t="s">
        <v>10363</v>
      </c>
      <c r="P2927" s="26" t="s">
        <v>10364</v>
      </c>
      <c r="Q2927" s="20">
        <v>1968</v>
      </c>
      <c r="R2927" s="26" t="s">
        <v>36</v>
      </c>
      <c r="S2927" s="95">
        <v>2000</v>
      </c>
      <c r="T2927" s="148">
        <v>45473</v>
      </c>
      <c r="U2927" s="31"/>
      <c r="V2927" s="32"/>
      <c r="W2927" s="33" t="s">
        <v>10365</v>
      </c>
      <c r="X2927" s="26">
        <v>0</v>
      </c>
      <c r="Y2927" s="22">
        <v>-32</v>
      </c>
      <c r="Z2927" s="26" t="s">
        <v>50</v>
      </c>
      <c r="AA2927" s="96" t="s">
        <v>10314</v>
      </c>
      <c r="AB2927" s="26"/>
      <c r="AC2927" s="26" t="s">
        <v>53</v>
      </c>
      <c r="AD2927" s="26" t="s">
        <v>54</v>
      </c>
      <c r="AE2927" s="26">
        <v>0</v>
      </c>
      <c r="AF2927" s="17">
        <v>45477</v>
      </c>
      <c r="AG2927" s="26" t="s">
        <v>7078</v>
      </c>
      <c r="AH2927" s="26"/>
      <c r="AI2927" s="40"/>
      <c r="AJ2927" s="26"/>
      <c r="AK2927" s="26"/>
      <c r="AL2927" s="35"/>
      <c r="AM2927" s="35"/>
      <c r="AN2927" s="35"/>
      <c r="AO2927" s="35"/>
      <c r="AP2927" s="35"/>
    </row>
    <row r="2928" spans="1:42" x14ac:dyDescent="0.2">
      <c r="A2928" s="126">
        <v>45473.414901192125</v>
      </c>
      <c r="B2928" s="28" t="s">
        <v>37</v>
      </c>
      <c r="C2928" s="41" t="s">
        <v>118</v>
      </c>
      <c r="D2928" s="26" t="s">
        <v>36</v>
      </c>
      <c r="E2928" s="26" t="s">
        <v>139</v>
      </c>
      <c r="F2928" s="26" t="s">
        <v>36</v>
      </c>
      <c r="G2928" s="26" t="s">
        <v>41</v>
      </c>
      <c r="H2928" s="26" t="s">
        <v>9126</v>
      </c>
      <c r="I2928" s="17">
        <f ca="1">IFERROR(__xludf.DUMMYFUNCTION("""COMPUTED_VALUE"""),45482)</f>
        <v>45482</v>
      </c>
      <c r="J2928" s="29" t="s">
        <v>9811</v>
      </c>
      <c r="K2928" s="26" t="s">
        <v>10366</v>
      </c>
      <c r="L2928" s="30">
        <v>396781961</v>
      </c>
      <c r="M2928" s="26" t="s">
        <v>3728</v>
      </c>
      <c r="N2928" s="26" t="s">
        <v>5312</v>
      </c>
      <c r="O2928" s="26" t="s">
        <v>9813</v>
      </c>
      <c r="P2928" s="26" t="s">
        <v>9814</v>
      </c>
      <c r="Q2928" s="20">
        <v>15936</v>
      </c>
      <c r="R2928" s="26" t="s">
        <v>36</v>
      </c>
      <c r="S2928" s="95">
        <f t="shared" ref="S2928:S2929" si="16">200+1800</f>
        <v>2000</v>
      </c>
      <c r="T2928" s="83" t="s">
        <v>10367</v>
      </c>
      <c r="U2928" s="31">
        <v>13936</v>
      </c>
      <c r="V2928" s="32">
        <v>45512</v>
      </c>
      <c r="W2928" s="33" t="s">
        <v>9816</v>
      </c>
      <c r="X2928" s="26">
        <v>0</v>
      </c>
      <c r="Y2928" s="22">
        <v>0</v>
      </c>
      <c r="Z2928" s="26" t="s">
        <v>50</v>
      </c>
      <c r="AA2928" s="35" t="s">
        <v>10314</v>
      </c>
      <c r="AB2928" s="26"/>
      <c r="AC2928" s="26" t="s">
        <v>53</v>
      </c>
      <c r="AD2928" s="26" t="s">
        <v>54</v>
      </c>
      <c r="AE2928" s="26"/>
      <c r="AF2928" s="17">
        <v>45477</v>
      </c>
      <c r="AG2928" s="26"/>
      <c r="AH2928" s="26"/>
      <c r="AI2928" s="40"/>
      <c r="AJ2928" s="26"/>
      <c r="AK2928" s="26"/>
      <c r="AL2928" s="35"/>
      <c r="AM2928" s="35"/>
      <c r="AN2928" s="35"/>
      <c r="AO2928" s="35"/>
      <c r="AP2928" s="35"/>
    </row>
    <row r="2929" spans="1:42" x14ac:dyDescent="0.2">
      <c r="A2929" s="126">
        <v>45473.460686863429</v>
      </c>
      <c r="B2929" s="28" t="s">
        <v>37</v>
      </c>
      <c r="C2929" s="41" t="s">
        <v>118</v>
      </c>
      <c r="D2929" s="26" t="s">
        <v>36</v>
      </c>
      <c r="E2929" s="26" t="s">
        <v>139</v>
      </c>
      <c r="F2929" s="26" t="s">
        <v>36</v>
      </c>
      <c r="G2929" s="26" t="s">
        <v>41</v>
      </c>
      <c r="H2929" s="26" t="s">
        <v>8824</v>
      </c>
      <c r="I2929" s="17">
        <f ca="1">IFERROR(__xludf.DUMMYFUNCTION("""COMPUTED_VALUE"""),45485)</f>
        <v>45485</v>
      </c>
      <c r="J2929" s="29" t="s">
        <v>9907</v>
      </c>
      <c r="K2929" s="26" t="s">
        <v>10368</v>
      </c>
      <c r="L2929" s="30">
        <v>978956383</v>
      </c>
      <c r="M2929" s="26" t="s">
        <v>80</v>
      </c>
      <c r="N2929" s="26" t="s">
        <v>1073</v>
      </c>
      <c r="O2929" s="26" t="s">
        <v>9908</v>
      </c>
      <c r="P2929" s="26" t="s">
        <v>9909</v>
      </c>
      <c r="Q2929" s="20">
        <v>15936</v>
      </c>
      <c r="R2929" s="26" t="s">
        <v>36</v>
      </c>
      <c r="S2929" s="95">
        <f t="shared" si="16"/>
        <v>2000</v>
      </c>
      <c r="T2929" s="83" t="s">
        <v>9910</v>
      </c>
      <c r="U2929" s="95">
        <v>13936</v>
      </c>
      <c r="V2929" s="148">
        <v>45514</v>
      </c>
      <c r="W2929" s="33" t="s">
        <v>9911</v>
      </c>
      <c r="X2929" s="26">
        <v>0</v>
      </c>
      <c r="Y2929" s="22">
        <v>0</v>
      </c>
      <c r="Z2929" s="26" t="s">
        <v>50</v>
      </c>
      <c r="AA2929" s="96" t="s">
        <v>10314</v>
      </c>
      <c r="AB2929" s="26"/>
      <c r="AC2929" s="26" t="s">
        <v>53</v>
      </c>
      <c r="AD2929" s="26" t="s">
        <v>54</v>
      </c>
      <c r="AE2929" s="26">
        <v>0</v>
      </c>
      <c r="AF2929" s="17">
        <v>45482</v>
      </c>
      <c r="AG2929" s="26"/>
      <c r="AH2929" s="26"/>
      <c r="AI2929" s="40"/>
      <c r="AJ2929" s="26"/>
      <c r="AK2929" s="26"/>
      <c r="AL2929" s="35"/>
      <c r="AM2929" s="35"/>
      <c r="AN2929" s="35"/>
      <c r="AO2929" s="35"/>
      <c r="AP2929" s="35"/>
    </row>
    <row r="2930" spans="1:42" x14ac:dyDescent="0.2">
      <c r="A2930" s="126">
        <v>45473.642176921298</v>
      </c>
      <c r="B2930" s="28" t="s">
        <v>37</v>
      </c>
      <c r="C2930" s="41" t="s">
        <v>118</v>
      </c>
      <c r="D2930" s="26" t="s">
        <v>36</v>
      </c>
      <c r="E2930" s="26" t="s">
        <v>119</v>
      </c>
      <c r="F2930" s="26" t="s">
        <v>36</v>
      </c>
      <c r="G2930" s="26" t="s">
        <v>108</v>
      </c>
      <c r="H2930" s="26" t="s">
        <v>2017</v>
      </c>
      <c r="I2930" s="17">
        <f ca="1">IFERROR(__xludf.DUMMYFUNCTION("""COMPUTED_VALUE"""),45485)</f>
        <v>45485</v>
      </c>
      <c r="J2930" s="29" t="s">
        <v>10369</v>
      </c>
      <c r="K2930" s="26" t="s">
        <v>10370</v>
      </c>
      <c r="L2930" s="127">
        <v>393577256</v>
      </c>
      <c r="M2930" s="26" t="s">
        <v>80</v>
      </c>
      <c r="N2930" s="26" t="s">
        <v>1073</v>
      </c>
      <c r="O2930" s="26" t="s">
        <v>10371</v>
      </c>
      <c r="P2930" s="42" t="s">
        <v>10372</v>
      </c>
      <c r="Q2930" s="20">
        <v>13968</v>
      </c>
      <c r="R2930" s="26" t="s">
        <v>36</v>
      </c>
      <c r="S2930" s="95">
        <f>200+3800</f>
        <v>4000</v>
      </c>
      <c r="T2930" s="83" t="s">
        <v>9169</v>
      </c>
      <c r="U2930" s="95">
        <v>9968</v>
      </c>
      <c r="V2930" s="148">
        <v>45523</v>
      </c>
      <c r="W2930" s="33" t="s">
        <v>10373</v>
      </c>
      <c r="X2930" s="26">
        <v>0</v>
      </c>
      <c r="Y2930" s="22">
        <v>0</v>
      </c>
      <c r="Z2930" s="26" t="s">
        <v>50</v>
      </c>
      <c r="AA2930" s="35" t="s">
        <v>10314</v>
      </c>
      <c r="AB2930" s="26"/>
      <c r="AC2930" s="26" t="s">
        <v>53</v>
      </c>
      <c r="AD2930" s="26" t="s">
        <v>54</v>
      </c>
      <c r="AE2930" s="26">
        <v>400</v>
      </c>
      <c r="AF2930" s="17">
        <v>45481</v>
      </c>
      <c r="AG2930" s="26"/>
      <c r="AH2930" s="26"/>
      <c r="AI2930" s="40"/>
      <c r="AJ2930" s="26"/>
      <c r="AK2930" s="26"/>
      <c r="AL2930" s="35"/>
      <c r="AM2930" s="35"/>
      <c r="AN2930" s="35"/>
      <c r="AO2930" s="35"/>
      <c r="AP2930" s="35"/>
    </row>
    <row r="2931" spans="1:42" x14ac:dyDescent="0.2">
      <c r="A2931" s="126">
        <v>45473.908452175921</v>
      </c>
      <c r="B2931" s="28" t="s">
        <v>37</v>
      </c>
      <c r="C2931" s="41" t="s">
        <v>118</v>
      </c>
      <c r="D2931" s="26" t="s">
        <v>36</v>
      </c>
      <c r="E2931" s="26" t="s">
        <v>139</v>
      </c>
      <c r="F2931" s="26" t="s">
        <v>36</v>
      </c>
      <c r="G2931" s="26" t="s">
        <v>41</v>
      </c>
      <c r="H2931" s="26" t="s">
        <v>9502</v>
      </c>
      <c r="I2931" s="17">
        <f ca="1">IFERROR(__xludf.DUMMYFUNCTION("""COMPUTED_VALUE"""),45491)</f>
        <v>45491</v>
      </c>
      <c r="J2931" s="29" t="s">
        <v>10374</v>
      </c>
      <c r="K2931" s="26" t="s">
        <v>10375</v>
      </c>
      <c r="L2931" s="30">
        <v>388654605</v>
      </c>
      <c r="M2931" s="26" t="s">
        <v>3728</v>
      </c>
      <c r="N2931" s="26" t="s">
        <v>8725</v>
      </c>
      <c r="O2931" s="26" t="s">
        <v>10376</v>
      </c>
      <c r="P2931" s="26" t="s">
        <v>10377</v>
      </c>
      <c r="Q2931" s="20">
        <v>15936</v>
      </c>
      <c r="R2931" s="26" t="s">
        <v>36</v>
      </c>
      <c r="S2931" s="95">
        <v>2000</v>
      </c>
      <c r="T2931" s="148">
        <v>45473</v>
      </c>
      <c r="U2931" s="95">
        <v>13936</v>
      </c>
      <c r="V2931" s="148">
        <v>45519</v>
      </c>
      <c r="W2931" s="33" t="s">
        <v>10378</v>
      </c>
      <c r="X2931" s="26">
        <v>0</v>
      </c>
      <c r="Y2931" s="22">
        <v>0</v>
      </c>
      <c r="Z2931" s="26" t="s">
        <v>50</v>
      </c>
      <c r="AA2931" s="96" t="s">
        <v>10314</v>
      </c>
      <c r="AB2931" s="26"/>
      <c r="AC2931" s="26" t="s">
        <v>53</v>
      </c>
      <c r="AD2931" s="26" t="s">
        <v>54</v>
      </c>
      <c r="AE2931" s="26"/>
      <c r="AF2931" s="17">
        <v>45481</v>
      </c>
      <c r="AG2931" s="26"/>
      <c r="AH2931" s="26"/>
      <c r="AI2931" s="40"/>
      <c r="AJ2931" s="26"/>
      <c r="AK2931" s="26"/>
      <c r="AL2931" s="35"/>
      <c r="AM2931" s="35"/>
      <c r="AN2931" s="35"/>
      <c r="AO2931" s="35"/>
      <c r="AP2931" s="35"/>
    </row>
    <row r="2932" spans="1:42" x14ac:dyDescent="0.2">
      <c r="A2932" s="126">
        <v>45473.922464212963</v>
      </c>
      <c r="B2932" s="28" t="s">
        <v>37</v>
      </c>
      <c r="C2932" s="41" t="s">
        <v>118</v>
      </c>
      <c r="D2932" s="26" t="s">
        <v>36</v>
      </c>
      <c r="E2932" s="26" t="s">
        <v>77</v>
      </c>
      <c r="F2932" s="26" t="s">
        <v>91</v>
      </c>
      <c r="G2932" s="26" t="s">
        <v>41</v>
      </c>
      <c r="H2932" s="26" t="s">
        <v>9126</v>
      </c>
      <c r="I2932" s="17">
        <f ca="1">IFERROR(__xludf.DUMMYFUNCTION("""COMPUTED_VALUE"""),45482)</f>
        <v>45482</v>
      </c>
      <c r="J2932" s="29" t="s">
        <v>10379</v>
      </c>
      <c r="K2932" s="26" t="s">
        <v>10380</v>
      </c>
      <c r="L2932" s="30">
        <v>387195083</v>
      </c>
      <c r="M2932" s="26" t="s">
        <v>123</v>
      </c>
      <c r="N2932" s="26" t="s">
        <v>327</v>
      </c>
      <c r="O2932" s="26" t="s">
        <v>4503</v>
      </c>
      <c r="P2932" s="26" t="s">
        <v>10381</v>
      </c>
      <c r="Q2932" s="20">
        <v>1968</v>
      </c>
      <c r="R2932" s="26" t="s">
        <v>36</v>
      </c>
      <c r="S2932" s="95">
        <f t="shared" ref="S2932:S2933" si="17">200+1800</f>
        <v>2000</v>
      </c>
      <c r="T2932" s="83" t="s">
        <v>9815</v>
      </c>
      <c r="U2932" s="31"/>
      <c r="V2932" s="32"/>
      <c r="W2932" s="33" t="s">
        <v>10382</v>
      </c>
      <c r="X2932" s="26">
        <v>0</v>
      </c>
      <c r="Y2932" s="22">
        <v>-32</v>
      </c>
      <c r="Z2932" s="26" t="s">
        <v>50</v>
      </c>
      <c r="AA2932" s="35" t="s">
        <v>10314</v>
      </c>
      <c r="AB2932" s="26" t="s">
        <v>4503</v>
      </c>
      <c r="AC2932" s="26" t="s">
        <v>53</v>
      </c>
      <c r="AD2932" s="26" t="s">
        <v>54</v>
      </c>
      <c r="AE2932" s="26"/>
      <c r="AF2932" s="17">
        <v>45477</v>
      </c>
      <c r="AG2932" s="26" t="s">
        <v>7078</v>
      </c>
      <c r="AH2932" s="26"/>
      <c r="AI2932" s="40"/>
      <c r="AJ2932" s="26"/>
      <c r="AK2932" s="26"/>
      <c r="AL2932" s="35"/>
      <c r="AM2932" s="35"/>
      <c r="AN2932" s="35"/>
      <c r="AO2932" s="35"/>
      <c r="AP2932" s="35"/>
    </row>
    <row r="2933" spans="1:42" x14ac:dyDescent="0.2">
      <c r="A2933" s="126">
        <v>45473.942753935189</v>
      </c>
      <c r="B2933" s="28" t="s">
        <v>37</v>
      </c>
      <c r="C2933" s="41" t="s">
        <v>118</v>
      </c>
      <c r="D2933" s="26" t="s">
        <v>36</v>
      </c>
      <c r="E2933" s="26" t="s">
        <v>77</v>
      </c>
      <c r="F2933" s="26" t="s">
        <v>36</v>
      </c>
      <c r="G2933" s="26" t="s">
        <v>41</v>
      </c>
      <c r="H2933" s="26" t="s">
        <v>9126</v>
      </c>
      <c r="I2933" s="17">
        <f ca="1">IFERROR(__xludf.DUMMYFUNCTION("""COMPUTED_VALUE"""),45482)</f>
        <v>45482</v>
      </c>
      <c r="J2933" s="29" t="s">
        <v>10383</v>
      </c>
      <c r="K2933" s="26" t="s">
        <v>10384</v>
      </c>
      <c r="L2933" s="30">
        <v>984914325</v>
      </c>
      <c r="M2933" s="26" t="s">
        <v>3728</v>
      </c>
      <c r="N2933" s="26" t="s">
        <v>8725</v>
      </c>
      <c r="O2933" s="26" t="s">
        <v>10385</v>
      </c>
      <c r="P2933" s="26" t="s">
        <v>10386</v>
      </c>
      <c r="Q2933" s="20">
        <v>1968</v>
      </c>
      <c r="R2933" s="26" t="s">
        <v>36</v>
      </c>
      <c r="S2933" s="95">
        <f t="shared" si="17"/>
        <v>2000</v>
      </c>
      <c r="T2933" s="83" t="s">
        <v>10387</v>
      </c>
      <c r="U2933" s="31"/>
      <c r="V2933" s="32"/>
      <c r="W2933" s="33" t="s">
        <v>10388</v>
      </c>
      <c r="X2933" s="26">
        <v>0</v>
      </c>
      <c r="Y2933" s="22">
        <v>-32</v>
      </c>
      <c r="Z2933" s="26" t="s">
        <v>50</v>
      </c>
      <c r="AA2933" s="96" t="s">
        <v>10314</v>
      </c>
      <c r="AB2933" s="26"/>
      <c r="AC2933" s="26" t="s">
        <v>53</v>
      </c>
      <c r="AD2933" s="26" t="s">
        <v>54</v>
      </c>
      <c r="AE2933" s="26"/>
      <c r="AF2933" s="17">
        <v>45477</v>
      </c>
      <c r="AG2933" s="26"/>
      <c r="AH2933" s="26"/>
      <c r="AI2933" s="40"/>
      <c r="AJ2933" s="26"/>
      <c r="AK2933" s="26"/>
      <c r="AL2933" s="35"/>
      <c r="AM2933" s="35"/>
      <c r="AN2933" s="35"/>
      <c r="AO2933" s="35"/>
      <c r="AP2933" s="35"/>
    </row>
    <row r="2934" spans="1:42" x14ac:dyDescent="0.2">
      <c r="A2934" s="126">
        <v>45473.949949907408</v>
      </c>
      <c r="B2934" s="28" t="s">
        <v>37</v>
      </c>
      <c r="C2934" s="41" t="s">
        <v>118</v>
      </c>
      <c r="D2934" s="26" t="s">
        <v>36</v>
      </c>
      <c r="E2934" s="26" t="s">
        <v>77</v>
      </c>
      <c r="F2934" s="26" t="s">
        <v>36</v>
      </c>
      <c r="G2934" s="26" t="s">
        <v>41</v>
      </c>
      <c r="H2934" s="26" t="s">
        <v>9126</v>
      </c>
      <c r="I2934" s="17">
        <f ca="1">IFERROR(__xludf.DUMMYFUNCTION("""COMPUTED_VALUE"""),45482)</f>
        <v>45482</v>
      </c>
      <c r="J2934" s="29" t="s">
        <v>10389</v>
      </c>
      <c r="K2934" s="26" t="s">
        <v>10390</v>
      </c>
      <c r="L2934" s="30">
        <v>972962985</v>
      </c>
      <c r="M2934" s="26" t="s">
        <v>80</v>
      </c>
      <c r="N2934" s="26" t="s">
        <v>1073</v>
      </c>
      <c r="O2934" s="26" t="s">
        <v>10391</v>
      </c>
      <c r="P2934" s="26" t="s">
        <v>10392</v>
      </c>
      <c r="Q2934" s="20">
        <v>1968</v>
      </c>
      <c r="R2934" s="26" t="s">
        <v>36</v>
      </c>
      <c r="S2934" s="95">
        <v>2000</v>
      </c>
      <c r="T2934" s="148">
        <v>45473</v>
      </c>
      <c r="U2934" s="31"/>
      <c r="V2934" s="32"/>
      <c r="W2934" s="33" t="s">
        <v>10393</v>
      </c>
      <c r="X2934" s="26">
        <v>0</v>
      </c>
      <c r="Y2934" s="22">
        <v>-32</v>
      </c>
      <c r="Z2934" s="26" t="s">
        <v>50</v>
      </c>
      <c r="AA2934" s="35" t="s">
        <v>10314</v>
      </c>
      <c r="AB2934" s="26"/>
      <c r="AC2934" s="26" t="s">
        <v>53</v>
      </c>
      <c r="AD2934" s="26" t="s">
        <v>54</v>
      </c>
      <c r="AE2934" s="26">
        <v>0</v>
      </c>
      <c r="AF2934" s="17">
        <v>45477</v>
      </c>
      <c r="AG2934" s="26" t="s">
        <v>7078</v>
      </c>
      <c r="AH2934" s="26"/>
      <c r="AI2934" s="40"/>
      <c r="AJ2934" s="26"/>
      <c r="AK2934" s="26"/>
      <c r="AL2934" s="35"/>
      <c r="AM2934" s="35"/>
      <c r="AN2934" s="35"/>
      <c r="AO2934" s="35"/>
      <c r="AP2934" s="35"/>
    </row>
    <row r="2935" spans="1:42" x14ac:dyDescent="0.2">
      <c r="A2935" s="126">
        <v>45474.330466608793</v>
      </c>
      <c r="B2935" s="28" t="s">
        <v>37</v>
      </c>
      <c r="C2935" s="41" t="s">
        <v>118</v>
      </c>
      <c r="D2935" s="26" t="s">
        <v>36</v>
      </c>
      <c r="E2935" s="26" t="s">
        <v>39</v>
      </c>
      <c r="F2935" s="26" t="s">
        <v>91</v>
      </c>
      <c r="G2935" s="26" t="s">
        <v>41</v>
      </c>
      <c r="H2935" s="26" t="s">
        <v>8801</v>
      </c>
      <c r="I2935" s="17">
        <f ca="1">IFERROR(__xludf.DUMMYFUNCTION("""COMPUTED_VALUE"""),45484)</f>
        <v>45484</v>
      </c>
      <c r="J2935" s="29" t="s">
        <v>9948</v>
      </c>
      <c r="K2935" s="26" t="s">
        <v>10394</v>
      </c>
      <c r="L2935" s="30">
        <v>364606399</v>
      </c>
      <c r="M2935" s="26" t="s">
        <v>910</v>
      </c>
      <c r="N2935" s="26" t="s">
        <v>3525</v>
      </c>
      <c r="O2935" s="26" t="s">
        <v>3754</v>
      </c>
      <c r="P2935" s="42" t="s">
        <v>10395</v>
      </c>
      <c r="Q2935" s="20">
        <v>5736</v>
      </c>
      <c r="R2935" s="26" t="s">
        <v>36</v>
      </c>
      <c r="S2935" s="95">
        <v>2000</v>
      </c>
      <c r="T2935" s="148">
        <v>45473</v>
      </c>
      <c r="U2935" s="95">
        <v>3736</v>
      </c>
      <c r="V2935" s="148">
        <v>45501</v>
      </c>
      <c r="W2935" s="33" t="s">
        <v>9951</v>
      </c>
      <c r="X2935" s="26">
        <v>0</v>
      </c>
      <c r="Y2935" s="22">
        <v>0</v>
      </c>
      <c r="Z2935" s="26" t="s">
        <v>50</v>
      </c>
      <c r="AA2935" s="96" t="s">
        <v>10314</v>
      </c>
      <c r="AB2935" s="26"/>
      <c r="AC2935" s="26" t="s">
        <v>53</v>
      </c>
      <c r="AD2935" s="26" t="s">
        <v>54</v>
      </c>
      <c r="AE2935" s="26"/>
      <c r="AF2935" s="17">
        <v>45481</v>
      </c>
      <c r="AG2935" s="26"/>
      <c r="AH2935" s="26"/>
      <c r="AI2935" s="40"/>
      <c r="AJ2935" s="26"/>
      <c r="AK2935" s="26"/>
      <c r="AL2935" s="35"/>
      <c r="AM2935" s="35"/>
      <c r="AN2935" s="35"/>
      <c r="AO2935" s="35"/>
      <c r="AP2935" s="35"/>
    </row>
    <row r="2936" spans="1:42" x14ac:dyDescent="0.2">
      <c r="A2936" s="126">
        <v>45474.349939791668</v>
      </c>
      <c r="B2936" s="28" t="s">
        <v>37</v>
      </c>
      <c r="C2936" s="41" t="s">
        <v>118</v>
      </c>
      <c r="D2936" s="26" t="s">
        <v>36</v>
      </c>
      <c r="E2936" s="26" t="s">
        <v>139</v>
      </c>
      <c r="F2936" s="26" t="s">
        <v>36</v>
      </c>
      <c r="G2936" s="26" t="s">
        <v>41</v>
      </c>
      <c r="H2936" s="26" t="s">
        <v>8824</v>
      </c>
      <c r="I2936" s="17">
        <f ca="1">IFERROR(__xludf.DUMMYFUNCTION("""COMPUTED_VALUE"""),45485)</f>
        <v>45485</v>
      </c>
      <c r="J2936" s="29" t="s">
        <v>9935</v>
      </c>
      <c r="K2936" s="26" t="s">
        <v>10396</v>
      </c>
      <c r="L2936" s="30">
        <v>846219678</v>
      </c>
      <c r="M2936" s="26" t="s">
        <v>910</v>
      </c>
      <c r="N2936" s="26" t="s">
        <v>3525</v>
      </c>
      <c r="O2936" s="26" t="s">
        <v>9937</v>
      </c>
      <c r="P2936" s="26" t="s">
        <v>9938</v>
      </c>
      <c r="Q2936" s="20">
        <v>15936</v>
      </c>
      <c r="R2936" s="26" t="s">
        <v>36</v>
      </c>
      <c r="S2936" s="95">
        <f>100+1900</f>
        <v>2000</v>
      </c>
      <c r="T2936" s="83" t="s">
        <v>9155</v>
      </c>
      <c r="U2936" s="95">
        <v>13936</v>
      </c>
      <c r="V2936" s="148">
        <v>45515</v>
      </c>
      <c r="W2936" s="33" t="s">
        <v>9939</v>
      </c>
      <c r="X2936" s="26">
        <v>0</v>
      </c>
      <c r="Y2936" s="22">
        <v>0</v>
      </c>
      <c r="Z2936" s="26" t="s">
        <v>50</v>
      </c>
      <c r="AA2936" s="35" t="s">
        <v>10314</v>
      </c>
      <c r="AB2936" s="26"/>
      <c r="AC2936" s="26" t="s">
        <v>53</v>
      </c>
      <c r="AD2936" s="26" t="s">
        <v>54</v>
      </c>
      <c r="AE2936" s="26"/>
      <c r="AF2936" s="17">
        <v>45481</v>
      </c>
      <c r="AG2936" s="26"/>
      <c r="AH2936" s="26"/>
      <c r="AI2936" s="40"/>
      <c r="AJ2936" s="26"/>
      <c r="AK2936" s="26"/>
      <c r="AL2936" s="35"/>
      <c r="AM2936" s="35"/>
      <c r="AN2936" s="35"/>
      <c r="AO2936" s="35"/>
      <c r="AP2936" s="35"/>
    </row>
    <row r="2937" spans="1:42" x14ac:dyDescent="0.2">
      <c r="A2937" s="126">
        <v>45474.398635543985</v>
      </c>
      <c r="B2937" s="28" t="s">
        <v>37</v>
      </c>
      <c r="C2937" s="41" t="s">
        <v>118</v>
      </c>
      <c r="D2937" s="26" t="s">
        <v>36</v>
      </c>
      <c r="E2937" s="26" t="s">
        <v>119</v>
      </c>
      <c r="F2937" s="26" t="s">
        <v>91</v>
      </c>
      <c r="G2937" s="26" t="s">
        <v>108</v>
      </c>
      <c r="H2937" s="26" t="s">
        <v>9132</v>
      </c>
      <c r="I2937" s="17">
        <f ca="1">IFERROR(__xludf.DUMMYFUNCTION("""COMPUTED_VALUE"""),45484)</f>
        <v>45484</v>
      </c>
      <c r="J2937" s="29" t="s">
        <v>10397</v>
      </c>
      <c r="K2937" s="26" t="s">
        <v>10398</v>
      </c>
      <c r="L2937" s="47">
        <v>375509943</v>
      </c>
      <c r="M2937" s="26" t="s">
        <v>5558</v>
      </c>
      <c r="N2937" s="26" t="s">
        <v>850</v>
      </c>
      <c r="O2937" s="26" t="s">
        <v>4503</v>
      </c>
      <c r="P2937" s="26" t="s">
        <v>10399</v>
      </c>
      <c r="Q2937" s="20">
        <v>13968</v>
      </c>
      <c r="R2937" s="55" t="s">
        <v>36</v>
      </c>
      <c r="S2937" s="95">
        <f>2000+2000</f>
        <v>4000</v>
      </c>
      <c r="T2937" s="83" t="s">
        <v>10400</v>
      </c>
      <c r="U2937" s="95">
        <v>9968</v>
      </c>
      <c r="V2937" s="148">
        <v>45497</v>
      </c>
      <c r="W2937" s="33" t="s">
        <v>10401</v>
      </c>
      <c r="X2937" s="26">
        <v>0</v>
      </c>
      <c r="Y2937" s="22">
        <v>0</v>
      </c>
      <c r="Z2937" s="26" t="s">
        <v>50</v>
      </c>
      <c r="AA2937" s="96" t="s">
        <v>10314</v>
      </c>
      <c r="AB2937" s="26"/>
      <c r="AC2937" s="26" t="s">
        <v>53</v>
      </c>
      <c r="AD2937" s="26" t="s">
        <v>54</v>
      </c>
      <c r="AE2937" s="26"/>
      <c r="AF2937" s="17">
        <v>45478</v>
      </c>
      <c r="AG2937" s="26"/>
      <c r="AH2937" s="26"/>
      <c r="AI2937" s="40"/>
      <c r="AJ2937" s="26"/>
      <c r="AK2937" s="26"/>
      <c r="AL2937" s="35"/>
      <c r="AM2937" s="35"/>
      <c r="AN2937" s="35"/>
      <c r="AO2937" s="35"/>
      <c r="AP2937" s="35"/>
    </row>
    <row r="2938" spans="1:42" x14ac:dyDescent="0.2">
      <c r="A2938" s="126">
        <v>45474.553993657406</v>
      </c>
      <c r="B2938" s="28" t="s">
        <v>37</v>
      </c>
      <c r="C2938" s="41" t="s">
        <v>118</v>
      </c>
      <c r="D2938" s="26" t="s">
        <v>36</v>
      </c>
      <c r="E2938" s="26" t="s">
        <v>139</v>
      </c>
      <c r="F2938" s="26" t="s">
        <v>36</v>
      </c>
      <c r="G2938" s="26" t="s">
        <v>41</v>
      </c>
      <c r="H2938" s="26" t="s">
        <v>8824</v>
      </c>
      <c r="I2938" s="17">
        <f ca="1">IFERROR(__xludf.DUMMYFUNCTION("""COMPUTED_VALUE"""),45485)</f>
        <v>45485</v>
      </c>
      <c r="J2938" s="29" t="s">
        <v>9913</v>
      </c>
      <c r="K2938" s="26" t="s">
        <v>10402</v>
      </c>
      <c r="L2938" s="47">
        <v>797779618</v>
      </c>
      <c r="M2938" s="26" t="s">
        <v>5429</v>
      </c>
      <c r="N2938" s="26" t="s">
        <v>9166</v>
      </c>
      <c r="O2938" s="26" t="s">
        <v>9915</v>
      </c>
      <c r="P2938" s="26" t="s">
        <v>10403</v>
      </c>
      <c r="Q2938" s="20">
        <v>15936</v>
      </c>
      <c r="R2938" s="26" t="s">
        <v>36</v>
      </c>
      <c r="S2938" s="95">
        <f>200+1800+2000</f>
        <v>4000</v>
      </c>
      <c r="T2938" s="83" t="s">
        <v>9917</v>
      </c>
      <c r="U2938" s="95">
        <v>11936</v>
      </c>
      <c r="V2938" s="148">
        <v>45516</v>
      </c>
      <c r="W2938" s="33" t="s">
        <v>9918</v>
      </c>
      <c r="X2938" s="26">
        <v>0</v>
      </c>
      <c r="Y2938" s="22">
        <v>0</v>
      </c>
      <c r="Z2938" s="26" t="s">
        <v>50</v>
      </c>
      <c r="AA2938" s="35" t="s">
        <v>10314</v>
      </c>
      <c r="AB2938" s="26"/>
      <c r="AC2938" s="26" t="s">
        <v>53</v>
      </c>
      <c r="AD2938" s="26" t="s">
        <v>54</v>
      </c>
      <c r="AE2938" s="26" t="s">
        <v>72</v>
      </c>
      <c r="AF2938" s="17">
        <v>45481</v>
      </c>
      <c r="AG2938" s="26"/>
      <c r="AH2938" s="26"/>
      <c r="AI2938" s="40"/>
      <c r="AJ2938" s="26"/>
      <c r="AK2938" s="26"/>
      <c r="AL2938" s="35"/>
      <c r="AM2938" s="35"/>
      <c r="AN2938" s="35"/>
      <c r="AO2938" s="35"/>
      <c r="AP2938" s="35"/>
    </row>
    <row r="2939" spans="1:42" x14ac:dyDescent="0.2">
      <c r="A2939" s="126">
        <v>45474.68659957176</v>
      </c>
      <c r="B2939" s="28" t="s">
        <v>37</v>
      </c>
      <c r="C2939" s="41" t="s">
        <v>118</v>
      </c>
      <c r="D2939" s="26" t="s">
        <v>36</v>
      </c>
      <c r="E2939" s="26" t="s">
        <v>139</v>
      </c>
      <c r="F2939" s="26" t="s">
        <v>36</v>
      </c>
      <c r="G2939" s="26" t="s">
        <v>41</v>
      </c>
      <c r="H2939" s="26" t="s">
        <v>9547</v>
      </c>
      <c r="I2939" s="17">
        <f ca="1">IFERROR(__xludf.DUMMYFUNCTION("""COMPUTED_VALUE"""),45495)</f>
        <v>45495</v>
      </c>
      <c r="J2939" s="44" t="s">
        <v>10404</v>
      </c>
      <c r="K2939" s="26" t="s">
        <v>10405</v>
      </c>
      <c r="L2939" s="47">
        <v>852364361</v>
      </c>
      <c r="M2939" s="26" t="s">
        <v>80</v>
      </c>
      <c r="N2939" s="26" t="s">
        <v>466</v>
      </c>
      <c r="O2939" s="26" t="s">
        <v>10406</v>
      </c>
      <c r="P2939" s="26" t="s">
        <v>10407</v>
      </c>
      <c r="Q2939" s="20">
        <v>15936</v>
      </c>
      <c r="R2939" s="26" t="s">
        <v>36</v>
      </c>
      <c r="S2939" s="95">
        <f>100+1900</f>
        <v>2000</v>
      </c>
      <c r="T2939" s="83" t="s">
        <v>9223</v>
      </c>
      <c r="U2939" s="95">
        <v>13936</v>
      </c>
      <c r="V2939" s="148">
        <v>45512</v>
      </c>
      <c r="W2939" s="33" t="s">
        <v>10408</v>
      </c>
      <c r="X2939" s="26">
        <v>0</v>
      </c>
      <c r="Y2939" s="22">
        <v>0</v>
      </c>
      <c r="Z2939" s="26" t="s">
        <v>50</v>
      </c>
      <c r="AA2939" s="96" t="s">
        <v>10314</v>
      </c>
      <c r="AB2939" s="26"/>
      <c r="AC2939" s="26" t="s">
        <v>53</v>
      </c>
      <c r="AD2939" s="26" t="s">
        <v>54</v>
      </c>
      <c r="AE2939" s="26">
        <v>0</v>
      </c>
      <c r="AF2939" s="17">
        <v>45490</v>
      </c>
      <c r="AG2939" s="26"/>
      <c r="AH2939" s="26"/>
      <c r="AI2939" s="40"/>
      <c r="AJ2939" s="26"/>
      <c r="AK2939" s="26"/>
      <c r="AL2939" s="35"/>
      <c r="AM2939" s="35"/>
      <c r="AN2939" s="35"/>
      <c r="AO2939" s="35"/>
      <c r="AP2939" s="35"/>
    </row>
    <row r="2940" spans="1:42" x14ac:dyDescent="0.2">
      <c r="A2940" s="126">
        <v>45474.874379224537</v>
      </c>
      <c r="B2940" s="28" t="s">
        <v>37</v>
      </c>
      <c r="C2940" s="41" t="s">
        <v>118</v>
      </c>
      <c r="D2940" s="26" t="s">
        <v>36</v>
      </c>
      <c r="E2940" s="26" t="s">
        <v>139</v>
      </c>
      <c r="F2940" s="26" t="s">
        <v>36</v>
      </c>
      <c r="G2940" s="26" t="s">
        <v>41</v>
      </c>
      <c r="H2940" s="26" t="s">
        <v>8824</v>
      </c>
      <c r="I2940" s="17">
        <f ca="1">IFERROR(__xludf.DUMMYFUNCTION("""COMPUTED_VALUE"""),45485)</f>
        <v>45485</v>
      </c>
      <c r="J2940" s="29" t="s">
        <v>10042</v>
      </c>
      <c r="K2940" s="26" t="s">
        <v>10409</v>
      </c>
      <c r="L2940" s="47">
        <v>362175505</v>
      </c>
      <c r="M2940" s="26" t="s">
        <v>2755</v>
      </c>
      <c r="N2940" s="26" t="s">
        <v>4402</v>
      </c>
      <c r="O2940" s="26" t="s">
        <v>4503</v>
      </c>
      <c r="P2940" s="26" t="s">
        <v>10410</v>
      </c>
      <c r="Q2940" s="20">
        <v>15936</v>
      </c>
      <c r="R2940" s="26" t="s">
        <v>36</v>
      </c>
      <c r="S2940" s="95">
        <f>200+1768</f>
        <v>1968</v>
      </c>
      <c r="T2940" s="83" t="s">
        <v>10045</v>
      </c>
      <c r="U2940" s="95">
        <v>13968</v>
      </c>
      <c r="V2940" s="148">
        <v>45515</v>
      </c>
      <c r="W2940" s="33" t="s">
        <v>10046</v>
      </c>
      <c r="X2940" s="26">
        <v>0</v>
      </c>
      <c r="Y2940" s="22">
        <v>0</v>
      </c>
      <c r="Z2940" s="26" t="s">
        <v>50</v>
      </c>
      <c r="AA2940" s="35" t="s">
        <v>10314</v>
      </c>
      <c r="AB2940" s="26"/>
      <c r="AC2940" s="26" t="s">
        <v>53</v>
      </c>
      <c r="AD2940" s="26" t="s">
        <v>54</v>
      </c>
      <c r="AE2940" s="26" t="s">
        <v>4503</v>
      </c>
      <c r="AF2940" s="17">
        <v>45483</v>
      </c>
      <c r="AG2940" s="26"/>
      <c r="AH2940" s="26"/>
      <c r="AI2940" s="40"/>
      <c r="AJ2940" s="26"/>
      <c r="AK2940" s="26"/>
      <c r="AL2940" s="35"/>
      <c r="AM2940" s="35"/>
      <c r="AN2940" s="35"/>
      <c r="AO2940" s="35"/>
      <c r="AP2940" s="35"/>
    </row>
    <row r="2941" spans="1:42" x14ac:dyDescent="0.2">
      <c r="A2941" s="126">
        <v>45474.932009976852</v>
      </c>
      <c r="B2941" s="28" t="s">
        <v>37</v>
      </c>
      <c r="C2941" s="41" t="s">
        <v>118</v>
      </c>
      <c r="D2941" s="26" t="s">
        <v>36</v>
      </c>
      <c r="E2941" s="26" t="s">
        <v>139</v>
      </c>
      <c r="F2941" s="26" t="s">
        <v>40</v>
      </c>
      <c r="G2941" s="26" t="s">
        <v>41</v>
      </c>
      <c r="H2941" s="26" t="s">
        <v>8801</v>
      </c>
      <c r="I2941" s="17">
        <f ca="1">IFERROR(__xludf.DUMMYFUNCTION("""COMPUTED_VALUE"""),45484)</f>
        <v>45484</v>
      </c>
      <c r="J2941" s="29" t="s">
        <v>9995</v>
      </c>
      <c r="K2941" s="26" t="s">
        <v>10411</v>
      </c>
      <c r="L2941" s="47">
        <v>367740064</v>
      </c>
      <c r="M2941" s="26" t="s">
        <v>5429</v>
      </c>
      <c r="N2941" s="26" t="s">
        <v>9997</v>
      </c>
      <c r="O2941" s="26" t="s">
        <v>9998</v>
      </c>
      <c r="P2941" s="26" t="s">
        <v>9999</v>
      </c>
      <c r="Q2941" s="20">
        <v>15936</v>
      </c>
      <c r="R2941" s="26" t="s">
        <v>36</v>
      </c>
      <c r="S2941" s="95">
        <v>2000</v>
      </c>
      <c r="T2941" s="148">
        <v>45474</v>
      </c>
      <c r="U2941" s="95">
        <v>13936</v>
      </c>
      <c r="V2941" s="148">
        <v>45505</v>
      </c>
      <c r="W2941" s="33" t="s">
        <v>10000</v>
      </c>
      <c r="X2941" s="26">
        <v>0</v>
      </c>
      <c r="Y2941" s="22">
        <v>0</v>
      </c>
      <c r="Z2941" s="26" t="s">
        <v>50</v>
      </c>
      <c r="AA2941" s="96" t="s">
        <v>10314</v>
      </c>
      <c r="AB2941" s="26"/>
      <c r="AC2941" s="26" t="s">
        <v>53</v>
      </c>
      <c r="AD2941" s="26" t="s">
        <v>54</v>
      </c>
      <c r="AE2941" s="26" t="s">
        <v>430</v>
      </c>
      <c r="AF2941" s="17">
        <v>45481</v>
      </c>
      <c r="AG2941" s="26"/>
      <c r="AH2941" s="26"/>
      <c r="AI2941" s="40"/>
      <c r="AJ2941" s="26"/>
      <c r="AK2941" s="26"/>
      <c r="AL2941" s="35"/>
      <c r="AM2941" s="35"/>
      <c r="AN2941" s="35"/>
      <c r="AO2941" s="35"/>
      <c r="AP2941" s="35"/>
    </row>
    <row r="2942" spans="1:42" x14ac:dyDescent="0.2">
      <c r="A2942" s="126">
        <v>45474.934039976855</v>
      </c>
      <c r="B2942" s="28" t="s">
        <v>37</v>
      </c>
      <c r="C2942" s="41" t="s">
        <v>118</v>
      </c>
      <c r="D2942" s="26" t="s">
        <v>36</v>
      </c>
      <c r="E2942" s="26" t="s">
        <v>139</v>
      </c>
      <c r="F2942" s="26" t="s">
        <v>40</v>
      </c>
      <c r="G2942" s="26" t="s">
        <v>41</v>
      </c>
      <c r="H2942" s="26" t="s">
        <v>9675</v>
      </c>
      <c r="I2942" s="17">
        <f ca="1">IFERROR(__xludf.DUMMYFUNCTION("""COMPUTED_VALUE"""),45506)</f>
        <v>45506</v>
      </c>
      <c r="J2942" s="29" t="s">
        <v>10412</v>
      </c>
      <c r="K2942" s="26" t="s">
        <v>10413</v>
      </c>
      <c r="L2942" s="47">
        <v>396489748</v>
      </c>
      <c r="M2942" s="26" t="s">
        <v>5429</v>
      </c>
      <c r="N2942" s="26" t="s">
        <v>9180</v>
      </c>
      <c r="O2942" s="26" t="s">
        <v>10414</v>
      </c>
      <c r="P2942" s="26" t="s">
        <v>10415</v>
      </c>
      <c r="Q2942" s="20">
        <v>15936</v>
      </c>
      <c r="R2942" s="26" t="s">
        <v>36</v>
      </c>
      <c r="S2942" s="95">
        <f>200+1800</f>
        <v>2000</v>
      </c>
      <c r="T2942" s="83" t="s">
        <v>10416</v>
      </c>
      <c r="U2942" s="95">
        <v>13936</v>
      </c>
      <c r="V2942" s="148">
        <v>45518</v>
      </c>
      <c r="W2942" s="33" t="s">
        <v>10417</v>
      </c>
      <c r="X2942" s="26">
        <v>0</v>
      </c>
      <c r="Y2942" s="22">
        <v>0</v>
      </c>
      <c r="Z2942" s="26" t="s">
        <v>50</v>
      </c>
      <c r="AA2942" s="35" t="s">
        <v>10314</v>
      </c>
      <c r="AB2942" s="26"/>
      <c r="AC2942" s="26" t="s">
        <v>53</v>
      </c>
      <c r="AD2942" s="26" t="s">
        <v>54</v>
      </c>
      <c r="AE2942" s="26" t="s">
        <v>430</v>
      </c>
      <c r="AF2942" s="17">
        <v>45500</v>
      </c>
      <c r="AG2942" s="26"/>
      <c r="AH2942" s="26"/>
      <c r="AI2942" s="40"/>
      <c r="AJ2942" s="26"/>
      <c r="AK2942" s="26"/>
      <c r="AL2942" s="35"/>
      <c r="AM2942" s="35"/>
      <c r="AN2942" s="35"/>
      <c r="AO2942" s="35"/>
      <c r="AP2942" s="35"/>
    </row>
    <row r="2943" spans="1:42" x14ac:dyDescent="0.2">
      <c r="A2943" s="126">
        <v>45474.936640925924</v>
      </c>
      <c r="B2943" s="28" t="s">
        <v>37</v>
      </c>
      <c r="C2943" s="41" t="s">
        <v>118</v>
      </c>
      <c r="D2943" s="26" t="s">
        <v>36</v>
      </c>
      <c r="E2943" s="26" t="s">
        <v>77</v>
      </c>
      <c r="F2943" s="26" t="s">
        <v>40</v>
      </c>
      <c r="G2943" s="26" t="s">
        <v>41</v>
      </c>
      <c r="H2943" s="26" t="s">
        <v>9177</v>
      </c>
      <c r="I2943" s="17">
        <f ca="1">IFERROR(__xludf.DUMMYFUNCTION("""COMPUTED_VALUE"""),45483)</f>
        <v>45483</v>
      </c>
      <c r="J2943" s="29" t="s">
        <v>10418</v>
      </c>
      <c r="K2943" s="26" t="s">
        <v>10419</v>
      </c>
      <c r="L2943" s="47">
        <v>327243861</v>
      </c>
      <c r="M2943" s="26" t="s">
        <v>5558</v>
      </c>
      <c r="N2943" s="26" t="s">
        <v>5559</v>
      </c>
      <c r="O2943" s="26" t="s">
        <v>4503</v>
      </c>
      <c r="P2943" s="26" t="s">
        <v>10420</v>
      </c>
      <c r="Q2943" s="20">
        <v>1968</v>
      </c>
      <c r="R2943" s="26" t="s">
        <v>36</v>
      </c>
      <c r="S2943" s="95">
        <v>2000</v>
      </c>
      <c r="T2943" s="148">
        <v>45474</v>
      </c>
      <c r="U2943" s="31"/>
      <c r="V2943" s="32"/>
      <c r="W2943" s="33" t="s">
        <v>10421</v>
      </c>
      <c r="X2943" s="26">
        <v>0</v>
      </c>
      <c r="Y2943" s="22">
        <v>-32</v>
      </c>
      <c r="Z2943" s="26" t="s">
        <v>50</v>
      </c>
      <c r="AA2943" s="96" t="s">
        <v>10314</v>
      </c>
      <c r="AB2943" s="26"/>
      <c r="AC2943" s="26" t="s">
        <v>53</v>
      </c>
      <c r="AD2943" s="26" t="s">
        <v>54</v>
      </c>
      <c r="AE2943" s="26"/>
      <c r="AF2943" s="17">
        <v>45481</v>
      </c>
      <c r="AG2943" s="26" t="s">
        <v>7078</v>
      </c>
      <c r="AH2943" s="26"/>
      <c r="AI2943" s="40"/>
      <c r="AJ2943" s="26"/>
      <c r="AK2943" s="26"/>
      <c r="AL2943" s="35"/>
      <c r="AM2943" s="35"/>
      <c r="AN2943" s="35"/>
      <c r="AO2943" s="35"/>
      <c r="AP2943" s="35"/>
    </row>
    <row r="2944" spans="1:42" x14ac:dyDescent="0.2">
      <c r="A2944" s="126">
        <v>45474.959705983798</v>
      </c>
      <c r="B2944" s="28" t="s">
        <v>37</v>
      </c>
      <c r="C2944" s="41" t="s">
        <v>118</v>
      </c>
      <c r="D2944" s="26" t="s">
        <v>36</v>
      </c>
      <c r="E2944" s="26" t="s">
        <v>139</v>
      </c>
      <c r="F2944" s="26" t="s">
        <v>36</v>
      </c>
      <c r="G2944" s="26" t="s">
        <v>41</v>
      </c>
      <c r="H2944" s="26" t="s">
        <v>8635</v>
      </c>
      <c r="I2944" s="17">
        <f ca="1">IFERROR(__xludf.DUMMYFUNCTION("""COMPUTED_VALUE"""),45496)</f>
        <v>45496</v>
      </c>
      <c r="J2944" s="29" t="s">
        <v>10083</v>
      </c>
      <c r="K2944" s="26" t="s">
        <v>10084</v>
      </c>
      <c r="L2944" s="30">
        <v>394722006</v>
      </c>
      <c r="M2944" s="26" t="s">
        <v>80</v>
      </c>
      <c r="N2944" s="26" t="s">
        <v>1073</v>
      </c>
      <c r="O2944" s="26" t="s">
        <v>10085</v>
      </c>
      <c r="P2944" s="26" t="s">
        <v>10086</v>
      </c>
      <c r="Q2944" s="20">
        <v>15936</v>
      </c>
      <c r="R2944" s="26" t="s">
        <v>3825</v>
      </c>
      <c r="S2944" s="178">
        <f t="shared" ref="S2944:S2947" si="18">200+1800</f>
        <v>2000</v>
      </c>
      <c r="T2944" s="179" t="s">
        <v>10073</v>
      </c>
      <c r="U2944" s="95">
        <v>13736</v>
      </c>
      <c r="V2944" s="148">
        <v>45524</v>
      </c>
      <c r="W2944" s="33" t="s">
        <v>10087</v>
      </c>
      <c r="X2944" s="26">
        <v>200</v>
      </c>
      <c r="Y2944" s="22">
        <v>0</v>
      </c>
      <c r="Z2944" s="26" t="s">
        <v>50</v>
      </c>
      <c r="AA2944" s="35" t="s">
        <v>10314</v>
      </c>
      <c r="AB2944" s="26" t="s">
        <v>36</v>
      </c>
      <c r="AC2944" s="26" t="s">
        <v>53</v>
      </c>
      <c r="AD2944" s="26" t="s">
        <v>54</v>
      </c>
      <c r="AE2944" s="26">
        <v>0</v>
      </c>
      <c r="AF2944" s="17">
        <v>45494</v>
      </c>
      <c r="AG2944" s="26" t="s">
        <v>10422</v>
      </c>
      <c r="AH2944" s="26"/>
      <c r="AI2944" s="40"/>
      <c r="AJ2944" s="26"/>
      <c r="AK2944" s="26"/>
      <c r="AL2944" s="35"/>
      <c r="AM2944" s="35"/>
      <c r="AN2944" s="35"/>
      <c r="AO2944" s="35"/>
      <c r="AP2944" s="35"/>
    </row>
    <row r="2945" spans="1:42" x14ac:dyDescent="0.2">
      <c r="A2945" s="126">
        <v>45474.960997002316</v>
      </c>
      <c r="B2945" s="28" t="s">
        <v>37</v>
      </c>
      <c r="C2945" s="41" t="s">
        <v>118</v>
      </c>
      <c r="D2945" s="26" t="s">
        <v>36</v>
      </c>
      <c r="E2945" s="26" t="s">
        <v>139</v>
      </c>
      <c r="F2945" s="26" t="s">
        <v>36</v>
      </c>
      <c r="G2945" s="26" t="s">
        <v>41</v>
      </c>
      <c r="H2945" s="26" t="s">
        <v>8635</v>
      </c>
      <c r="I2945" s="17">
        <f ca="1">IFERROR(__xludf.DUMMYFUNCTION("""COMPUTED_VALUE"""),45496)</f>
        <v>45496</v>
      </c>
      <c r="J2945" s="29" t="s">
        <v>10063</v>
      </c>
      <c r="K2945" s="26" t="s">
        <v>10064</v>
      </c>
      <c r="L2945" s="30">
        <v>789892589</v>
      </c>
      <c r="M2945" s="26" t="s">
        <v>80</v>
      </c>
      <c r="N2945" s="26" t="s">
        <v>1073</v>
      </c>
      <c r="O2945" s="33" t="s">
        <v>10065</v>
      </c>
      <c r="P2945" s="26" t="s">
        <v>10423</v>
      </c>
      <c r="Q2945" s="20">
        <v>15936</v>
      </c>
      <c r="R2945" s="26" t="s">
        <v>3825</v>
      </c>
      <c r="S2945" s="95">
        <f t="shared" si="18"/>
        <v>2000</v>
      </c>
      <c r="T2945" s="83" t="s">
        <v>10067</v>
      </c>
      <c r="U2945" s="95">
        <v>13736</v>
      </c>
      <c r="V2945" s="148">
        <v>45530</v>
      </c>
      <c r="W2945" s="33" t="s">
        <v>10068</v>
      </c>
      <c r="X2945" s="26">
        <v>200</v>
      </c>
      <c r="Y2945" s="22">
        <v>0</v>
      </c>
      <c r="Z2945" s="26" t="s">
        <v>50</v>
      </c>
      <c r="AA2945" s="96" t="s">
        <v>10314</v>
      </c>
      <c r="AB2945" s="26" t="s">
        <v>36</v>
      </c>
      <c r="AC2945" s="26" t="s">
        <v>53</v>
      </c>
      <c r="AD2945" s="26" t="s">
        <v>138</v>
      </c>
      <c r="AE2945" s="26">
        <v>0</v>
      </c>
      <c r="AF2945" s="17">
        <v>45496</v>
      </c>
      <c r="AG2945" s="26" t="s">
        <v>4279</v>
      </c>
      <c r="AH2945" s="26"/>
      <c r="AI2945" s="40"/>
      <c r="AJ2945" s="26"/>
      <c r="AK2945" s="26"/>
      <c r="AL2945" s="35"/>
      <c r="AM2945" s="35"/>
      <c r="AN2945" s="35"/>
      <c r="AO2945" s="35"/>
      <c r="AP2945" s="35"/>
    </row>
    <row r="2946" spans="1:42" x14ac:dyDescent="0.2">
      <c r="A2946" s="126">
        <v>45474.962153819448</v>
      </c>
      <c r="B2946" s="28" t="s">
        <v>37</v>
      </c>
      <c r="C2946" s="41" t="s">
        <v>118</v>
      </c>
      <c r="D2946" s="26" t="s">
        <v>36</v>
      </c>
      <c r="E2946" s="26" t="s">
        <v>139</v>
      </c>
      <c r="F2946" s="26" t="s">
        <v>36</v>
      </c>
      <c r="G2946" s="26" t="s">
        <v>41</v>
      </c>
      <c r="H2946" s="26" t="s">
        <v>8635</v>
      </c>
      <c r="I2946" s="17">
        <f ca="1">IFERROR(__xludf.DUMMYFUNCTION("""COMPUTED_VALUE"""),45496)</f>
        <v>45496</v>
      </c>
      <c r="J2946" s="29" t="s">
        <v>10069</v>
      </c>
      <c r="K2946" s="26" t="s">
        <v>10070</v>
      </c>
      <c r="L2946" s="30">
        <v>968675852</v>
      </c>
      <c r="M2946" s="26" t="s">
        <v>80</v>
      </c>
      <c r="N2946" s="26" t="s">
        <v>1073</v>
      </c>
      <c r="O2946" s="26" t="s">
        <v>10071</v>
      </c>
      <c r="P2946" s="26" t="s">
        <v>10424</v>
      </c>
      <c r="Q2946" s="20">
        <v>15936</v>
      </c>
      <c r="R2946" s="26" t="s">
        <v>36</v>
      </c>
      <c r="S2946" s="95">
        <f t="shared" si="18"/>
        <v>2000</v>
      </c>
      <c r="T2946" s="83" t="s">
        <v>10073</v>
      </c>
      <c r="U2946" s="95">
        <v>14000</v>
      </c>
      <c r="V2946" s="148">
        <v>45523</v>
      </c>
      <c r="W2946" s="33" t="s">
        <v>10074</v>
      </c>
      <c r="X2946" s="26">
        <v>0</v>
      </c>
      <c r="Y2946" s="22">
        <v>-64</v>
      </c>
      <c r="Z2946" s="26" t="s">
        <v>50</v>
      </c>
      <c r="AA2946" s="35" t="s">
        <v>10314</v>
      </c>
      <c r="AB2946" s="26" t="s">
        <v>36</v>
      </c>
      <c r="AC2946" s="26" t="s">
        <v>53</v>
      </c>
      <c r="AD2946" s="26" t="s">
        <v>54</v>
      </c>
      <c r="AE2946" s="26">
        <v>0</v>
      </c>
      <c r="AF2946" s="17">
        <v>45494</v>
      </c>
      <c r="AG2946" s="26" t="s">
        <v>10422</v>
      </c>
      <c r="AH2946" s="26"/>
      <c r="AI2946" s="40"/>
      <c r="AJ2946" s="26"/>
      <c r="AK2946" s="26"/>
      <c r="AL2946" s="35"/>
      <c r="AM2946" s="35"/>
      <c r="AN2946" s="35"/>
      <c r="AO2946" s="35"/>
      <c r="AP2946" s="35"/>
    </row>
    <row r="2947" spans="1:42" x14ac:dyDescent="0.2">
      <c r="A2947" s="126">
        <v>45475.35129416667</v>
      </c>
      <c r="B2947" s="28" t="s">
        <v>37</v>
      </c>
      <c r="C2947" s="41" t="s">
        <v>118</v>
      </c>
      <c r="D2947" s="26" t="s">
        <v>36</v>
      </c>
      <c r="E2947" s="26" t="s">
        <v>139</v>
      </c>
      <c r="F2947" s="26" t="s">
        <v>36</v>
      </c>
      <c r="G2947" s="26" t="s">
        <v>41</v>
      </c>
      <c r="H2947" s="26" t="s">
        <v>9405</v>
      </c>
      <c r="I2947" s="17">
        <f ca="1">IFERROR(__xludf.DUMMYFUNCTION("""COMPUTED_VALUE"""),45488)</f>
        <v>45488</v>
      </c>
      <c r="J2947" s="29" t="s">
        <v>10150</v>
      </c>
      <c r="K2947" s="26" t="s">
        <v>10425</v>
      </c>
      <c r="L2947" s="47">
        <v>392890467</v>
      </c>
      <c r="M2947" s="26" t="s">
        <v>80</v>
      </c>
      <c r="N2947" s="26" t="s">
        <v>466</v>
      </c>
      <c r="O2947" s="26" t="s">
        <v>10152</v>
      </c>
      <c r="P2947" s="26" t="s">
        <v>10426</v>
      </c>
      <c r="Q2947" s="20">
        <v>15936</v>
      </c>
      <c r="R2947" s="26" t="s">
        <v>36</v>
      </c>
      <c r="S2947" s="95">
        <f t="shared" si="18"/>
        <v>2000</v>
      </c>
      <c r="T2947" s="83" t="s">
        <v>10154</v>
      </c>
      <c r="U2947" s="95">
        <v>13936</v>
      </c>
      <c r="V2947" s="148">
        <v>45532</v>
      </c>
      <c r="W2947" s="33" t="s">
        <v>10155</v>
      </c>
      <c r="X2947" s="26">
        <v>0</v>
      </c>
      <c r="Y2947" s="22">
        <v>0</v>
      </c>
      <c r="Z2947" s="26" t="s">
        <v>50</v>
      </c>
      <c r="AA2947" s="96" t="s">
        <v>10314</v>
      </c>
      <c r="AB2947" s="26"/>
      <c r="AC2947" s="26" t="s">
        <v>53</v>
      </c>
      <c r="AD2947" s="26" t="s">
        <v>54</v>
      </c>
      <c r="AE2947" s="26">
        <v>0</v>
      </c>
      <c r="AF2947" s="17">
        <v>45484</v>
      </c>
      <c r="AG2947" s="26"/>
      <c r="AH2947" s="26"/>
      <c r="AI2947" s="40"/>
      <c r="AJ2947" s="26"/>
      <c r="AK2947" s="26"/>
      <c r="AL2947" s="35"/>
      <c r="AM2947" s="35"/>
      <c r="AN2947" s="35"/>
      <c r="AO2947" s="35"/>
      <c r="AP2947" s="35"/>
    </row>
    <row r="2948" spans="1:42" x14ac:dyDescent="0.2">
      <c r="A2948" s="126">
        <v>45475.353188587964</v>
      </c>
      <c r="B2948" s="28" t="s">
        <v>37</v>
      </c>
      <c r="C2948" s="41" t="s">
        <v>118</v>
      </c>
      <c r="D2948" s="26" t="s">
        <v>36</v>
      </c>
      <c r="E2948" s="26" t="s">
        <v>119</v>
      </c>
      <c r="F2948" s="26" t="s">
        <v>91</v>
      </c>
      <c r="G2948" s="26" t="s">
        <v>108</v>
      </c>
      <c r="H2948" s="26" t="s">
        <v>8602</v>
      </c>
      <c r="I2948" s="17">
        <f ca="1">IFERROR(__xludf.DUMMYFUNCTION("""COMPUTED_VALUE"""),45485)</f>
        <v>45485</v>
      </c>
      <c r="J2948" s="29" t="s">
        <v>10427</v>
      </c>
      <c r="K2948" s="26" t="s">
        <v>10428</v>
      </c>
      <c r="L2948" s="47">
        <v>966535844</v>
      </c>
      <c r="M2948" s="26" t="s">
        <v>9422</v>
      </c>
      <c r="N2948" s="26" t="s">
        <v>68</v>
      </c>
      <c r="O2948" s="26" t="s">
        <v>10429</v>
      </c>
      <c r="P2948" s="26" t="s">
        <v>10430</v>
      </c>
      <c r="Q2948" s="20">
        <v>13968</v>
      </c>
      <c r="R2948" s="26" t="s">
        <v>36</v>
      </c>
      <c r="S2948" s="95">
        <v>4000</v>
      </c>
      <c r="T2948" s="148">
        <v>45474</v>
      </c>
      <c r="U2948" s="95">
        <v>9968</v>
      </c>
      <c r="V2948" s="148">
        <v>45506</v>
      </c>
      <c r="W2948" s="33" t="s">
        <v>10431</v>
      </c>
      <c r="X2948" s="26">
        <v>0</v>
      </c>
      <c r="Y2948" s="22">
        <v>0</v>
      </c>
      <c r="Z2948" s="26" t="s">
        <v>50</v>
      </c>
      <c r="AA2948" s="35" t="s">
        <v>10314</v>
      </c>
      <c r="AB2948" s="26"/>
      <c r="AC2948" s="26" t="s">
        <v>53</v>
      </c>
      <c r="AD2948" s="26" t="s">
        <v>54</v>
      </c>
      <c r="AE2948" s="26">
        <v>420</v>
      </c>
      <c r="AF2948" s="17">
        <v>45478</v>
      </c>
      <c r="AG2948" s="26"/>
      <c r="AH2948" s="26"/>
      <c r="AI2948" s="40"/>
      <c r="AJ2948" s="26"/>
      <c r="AK2948" s="26"/>
      <c r="AL2948" s="35"/>
      <c r="AM2948" s="35"/>
      <c r="AN2948" s="35"/>
      <c r="AO2948" s="35"/>
      <c r="AP2948" s="35"/>
    </row>
    <row r="2949" spans="1:42" x14ac:dyDescent="0.2">
      <c r="A2949" s="126">
        <v>45475.367006921297</v>
      </c>
      <c r="B2949" s="28" t="s">
        <v>37</v>
      </c>
      <c r="C2949" s="41" t="s">
        <v>118</v>
      </c>
      <c r="D2949" s="26" t="s">
        <v>36</v>
      </c>
      <c r="E2949" s="26" t="s">
        <v>139</v>
      </c>
      <c r="F2949" s="26" t="s">
        <v>40</v>
      </c>
      <c r="G2949" s="26" t="s">
        <v>41</v>
      </c>
      <c r="H2949" s="26" t="s">
        <v>9177</v>
      </c>
      <c r="I2949" s="17">
        <f ca="1">IFERROR(__xludf.DUMMYFUNCTION("""COMPUTED_VALUE"""),45483)</f>
        <v>45483</v>
      </c>
      <c r="J2949" s="29" t="s">
        <v>9979</v>
      </c>
      <c r="K2949" s="26" t="s">
        <v>10432</v>
      </c>
      <c r="L2949" s="47">
        <v>964570963</v>
      </c>
      <c r="M2949" s="26" t="s">
        <v>5429</v>
      </c>
      <c r="N2949" s="26" t="s">
        <v>9251</v>
      </c>
      <c r="O2949" s="26" t="s">
        <v>6822</v>
      </c>
      <c r="P2949" s="26" t="s">
        <v>9981</v>
      </c>
      <c r="Q2949" s="20">
        <v>15936</v>
      </c>
      <c r="R2949" s="26" t="s">
        <v>36</v>
      </c>
      <c r="S2949" s="95">
        <v>2000</v>
      </c>
      <c r="T2949" s="148">
        <v>45475</v>
      </c>
      <c r="U2949" s="95">
        <v>13936</v>
      </c>
      <c r="V2949" s="148">
        <v>45505</v>
      </c>
      <c r="W2949" s="33" t="s">
        <v>9982</v>
      </c>
      <c r="X2949" s="26">
        <v>0</v>
      </c>
      <c r="Y2949" s="22">
        <v>0</v>
      </c>
      <c r="Z2949" s="26" t="s">
        <v>50</v>
      </c>
      <c r="AA2949" s="96" t="s">
        <v>10314</v>
      </c>
      <c r="AB2949" s="26"/>
      <c r="AC2949" s="26" t="s">
        <v>53</v>
      </c>
      <c r="AD2949" s="26" t="s">
        <v>54</v>
      </c>
      <c r="AE2949" s="26" t="s">
        <v>72</v>
      </c>
      <c r="AF2949" s="17">
        <v>45481</v>
      </c>
      <c r="AG2949" s="26"/>
      <c r="AH2949" s="26"/>
      <c r="AI2949" s="40"/>
      <c r="AJ2949" s="26"/>
      <c r="AK2949" s="26"/>
      <c r="AL2949" s="35"/>
      <c r="AM2949" s="35"/>
      <c r="AN2949" s="35"/>
      <c r="AO2949" s="35"/>
      <c r="AP2949" s="35"/>
    </row>
    <row r="2950" spans="1:42" x14ac:dyDescent="0.2">
      <c r="A2950" s="126">
        <v>45475.409742233795</v>
      </c>
      <c r="B2950" s="28" t="s">
        <v>37</v>
      </c>
      <c r="C2950" s="41" t="s">
        <v>118</v>
      </c>
      <c r="D2950" s="26" t="s">
        <v>36</v>
      </c>
      <c r="E2950" s="26" t="s">
        <v>119</v>
      </c>
      <c r="F2950" s="26" t="s">
        <v>36</v>
      </c>
      <c r="G2950" s="26" t="s">
        <v>108</v>
      </c>
      <c r="H2950" s="26" t="s">
        <v>6250</v>
      </c>
      <c r="I2950" s="17">
        <f ca="1">IFERROR(__xludf.DUMMYFUNCTION("""COMPUTED_VALUE"""),45495)</f>
        <v>45495</v>
      </c>
      <c r="J2950" s="29" t="s">
        <v>10433</v>
      </c>
      <c r="K2950" s="26" t="s">
        <v>10434</v>
      </c>
      <c r="L2950" s="47">
        <v>367235311</v>
      </c>
      <c r="M2950" s="26" t="s">
        <v>80</v>
      </c>
      <c r="N2950" s="26" t="s">
        <v>466</v>
      </c>
      <c r="O2950" s="26" t="s">
        <v>10435</v>
      </c>
      <c r="P2950" s="26" t="s">
        <v>10436</v>
      </c>
      <c r="Q2950" s="20">
        <v>13968</v>
      </c>
      <c r="R2950" s="26" t="s">
        <v>36</v>
      </c>
      <c r="S2950" s="95">
        <f>200+3800</f>
        <v>4000</v>
      </c>
      <c r="T2950" s="83" t="s">
        <v>10437</v>
      </c>
      <c r="U2950" s="95">
        <v>9968</v>
      </c>
      <c r="V2950" s="148">
        <v>45512</v>
      </c>
      <c r="W2950" s="33" t="s">
        <v>10438</v>
      </c>
      <c r="X2950" s="26">
        <v>0</v>
      </c>
      <c r="Y2950" s="22">
        <v>0</v>
      </c>
      <c r="Z2950" s="26" t="s">
        <v>50</v>
      </c>
      <c r="AA2950" s="35" t="s">
        <v>10314</v>
      </c>
      <c r="AB2950" s="26"/>
      <c r="AC2950" s="26" t="s">
        <v>53</v>
      </c>
      <c r="AD2950" s="26" t="s">
        <v>138</v>
      </c>
      <c r="AE2950" s="26">
        <v>430</v>
      </c>
      <c r="AF2950" s="17">
        <v>45495</v>
      </c>
      <c r="AG2950" s="26" t="s">
        <v>4279</v>
      </c>
      <c r="AH2950" s="26"/>
      <c r="AI2950" s="40"/>
      <c r="AJ2950" s="26"/>
      <c r="AK2950" s="26"/>
      <c r="AL2950" s="35"/>
      <c r="AM2950" s="35"/>
      <c r="AN2950" s="35"/>
      <c r="AO2950" s="35"/>
      <c r="AP2950" s="35"/>
    </row>
    <row r="2951" spans="1:42" x14ac:dyDescent="0.2">
      <c r="A2951" s="126">
        <v>45475.606720925927</v>
      </c>
      <c r="B2951" s="28" t="s">
        <v>37</v>
      </c>
      <c r="C2951" s="41" t="s">
        <v>118</v>
      </c>
      <c r="D2951" s="26" t="s">
        <v>36</v>
      </c>
      <c r="E2951" s="26" t="s">
        <v>77</v>
      </c>
      <c r="F2951" s="26" t="s">
        <v>40</v>
      </c>
      <c r="G2951" s="26" t="s">
        <v>41</v>
      </c>
      <c r="H2951" s="26" t="s">
        <v>9177</v>
      </c>
      <c r="I2951" s="17">
        <f ca="1">IFERROR(__xludf.DUMMYFUNCTION("""COMPUTED_VALUE"""),45483)</f>
        <v>45483</v>
      </c>
      <c r="J2951" s="29" t="s">
        <v>10439</v>
      </c>
      <c r="K2951" s="26" t="s">
        <v>10440</v>
      </c>
      <c r="L2951" s="47">
        <v>847110806</v>
      </c>
      <c r="M2951" s="26" t="s">
        <v>5429</v>
      </c>
      <c r="N2951" s="26" t="s">
        <v>9251</v>
      </c>
      <c r="O2951" s="26" t="s">
        <v>10441</v>
      </c>
      <c r="P2951" s="26" t="s">
        <v>10442</v>
      </c>
      <c r="Q2951" s="20">
        <v>1968</v>
      </c>
      <c r="R2951" s="26" t="s">
        <v>36</v>
      </c>
      <c r="S2951" s="95">
        <v>2000</v>
      </c>
      <c r="T2951" s="148">
        <v>45475</v>
      </c>
      <c r="U2951" s="31"/>
      <c r="V2951" s="32"/>
      <c r="W2951" s="33" t="s">
        <v>10443</v>
      </c>
      <c r="X2951" s="26">
        <v>0</v>
      </c>
      <c r="Y2951" s="22">
        <v>-32</v>
      </c>
      <c r="Z2951" s="26" t="s">
        <v>50</v>
      </c>
      <c r="AA2951" s="96" t="s">
        <v>10314</v>
      </c>
      <c r="AB2951" s="26"/>
      <c r="AC2951" s="26" t="s">
        <v>53</v>
      </c>
      <c r="AD2951" s="26" t="s">
        <v>54</v>
      </c>
      <c r="AE2951" s="26" t="s">
        <v>430</v>
      </c>
      <c r="AF2951" s="17">
        <v>45481</v>
      </c>
      <c r="AG2951" s="26" t="s">
        <v>7078</v>
      </c>
      <c r="AH2951" s="26"/>
      <c r="AI2951" s="40"/>
      <c r="AJ2951" s="26"/>
      <c r="AK2951" s="26"/>
      <c r="AL2951" s="35"/>
      <c r="AM2951" s="35"/>
      <c r="AN2951" s="35"/>
      <c r="AO2951" s="35"/>
      <c r="AP2951" s="35"/>
    </row>
    <row r="2952" spans="1:42" x14ac:dyDescent="0.2">
      <c r="A2952" s="126">
        <v>45475.640670312496</v>
      </c>
      <c r="B2952" s="28" t="s">
        <v>37</v>
      </c>
      <c r="C2952" s="41" t="s">
        <v>118</v>
      </c>
      <c r="D2952" s="26" t="s">
        <v>36</v>
      </c>
      <c r="E2952" s="26" t="s">
        <v>77</v>
      </c>
      <c r="F2952" s="26" t="s">
        <v>40</v>
      </c>
      <c r="G2952" s="26" t="s">
        <v>41</v>
      </c>
      <c r="H2952" s="26" t="s">
        <v>10444</v>
      </c>
      <c r="I2952" s="17">
        <f ca="1">IFERROR(__xludf.DUMMYFUNCTION("""COMPUTED_VALUE"""),45515)</f>
        <v>45515</v>
      </c>
      <c r="J2952" s="29" t="s">
        <v>10445</v>
      </c>
      <c r="K2952" s="26" t="s">
        <v>10446</v>
      </c>
      <c r="L2952" s="47">
        <v>329447016</v>
      </c>
      <c r="M2952" s="26" t="s">
        <v>5429</v>
      </c>
      <c r="N2952" s="26" t="s">
        <v>9478</v>
      </c>
      <c r="O2952" s="26" t="s">
        <v>10447</v>
      </c>
      <c r="P2952" s="42" t="s">
        <v>10448</v>
      </c>
      <c r="Q2952" s="20">
        <v>1968</v>
      </c>
      <c r="R2952" s="26" t="s">
        <v>36</v>
      </c>
      <c r="S2952" s="95">
        <f>200+1768</f>
        <v>1968</v>
      </c>
      <c r="T2952" s="83" t="s">
        <v>10449</v>
      </c>
      <c r="U2952" s="31"/>
      <c r="V2952" s="32"/>
      <c r="W2952" s="33" t="s">
        <v>10450</v>
      </c>
      <c r="X2952" s="26">
        <v>0</v>
      </c>
      <c r="Y2952" s="22">
        <v>0</v>
      </c>
      <c r="Z2952" s="26" t="s">
        <v>50</v>
      </c>
      <c r="AA2952" s="35" t="s">
        <v>10314</v>
      </c>
      <c r="AB2952" s="26"/>
      <c r="AC2952" s="26" t="s">
        <v>53</v>
      </c>
      <c r="AD2952" s="26" t="s">
        <v>54</v>
      </c>
      <c r="AE2952" s="26" t="s">
        <v>72</v>
      </c>
      <c r="AF2952" s="17">
        <v>45512</v>
      </c>
      <c r="AG2952" s="26" t="s">
        <v>7078</v>
      </c>
      <c r="AH2952" s="26"/>
      <c r="AI2952" s="40"/>
      <c r="AJ2952" s="26"/>
      <c r="AK2952" s="26"/>
      <c r="AL2952" s="35"/>
      <c r="AM2952" s="35"/>
      <c r="AN2952" s="35"/>
      <c r="AO2952" s="35"/>
      <c r="AP2952" s="35"/>
    </row>
    <row r="2953" spans="1:42" x14ac:dyDescent="0.2">
      <c r="A2953" s="126">
        <v>45475.730367060183</v>
      </c>
      <c r="B2953" s="28" t="s">
        <v>37</v>
      </c>
      <c r="C2953" s="41" t="s">
        <v>118</v>
      </c>
      <c r="D2953" s="26" t="s">
        <v>36</v>
      </c>
      <c r="E2953" s="26" t="s">
        <v>139</v>
      </c>
      <c r="F2953" s="26" t="s">
        <v>40</v>
      </c>
      <c r="G2953" s="26" t="s">
        <v>41</v>
      </c>
      <c r="H2953" s="26" t="s">
        <v>9177</v>
      </c>
      <c r="I2953" s="17">
        <f ca="1">IFERROR(__xludf.DUMMYFUNCTION("""COMPUTED_VALUE"""),45483)</f>
        <v>45483</v>
      </c>
      <c r="J2953" s="29" t="s">
        <v>10256</v>
      </c>
      <c r="K2953" s="26" t="s">
        <v>10451</v>
      </c>
      <c r="L2953" s="47">
        <v>967550289</v>
      </c>
      <c r="M2953" s="26" t="s">
        <v>3498</v>
      </c>
      <c r="N2953" s="26" t="s">
        <v>2756</v>
      </c>
      <c r="O2953" s="26" t="s">
        <v>4503</v>
      </c>
      <c r="P2953" s="26" t="s">
        <v>10452</v>
      </c>
      <c r="Q2953" s="20">
        <v>15936</v>
      </c>
      <c r="R2953" s="26" t="s">
        <v>36</v>
      </c>
      <c r="S2953" s="95">
        <f>200+3500</f>
        <v>3700</v>
      </c>
      <c r="T2953" s="83" t="s">
        <v>10259</v>
      </c>
      <c r="U2953" s="95">
        <v>12436</v>
      </c>
      <c r="V2953" s="148">
        <v>45525</v>
      </c>
      <c r="W2953" s="33" t="s">
        <v>10260</v>
      </c>
      <c r="X2953" s="26">
        <v>0</v>
      </c>
      <c r="Y2953" s="22">
        <v>-200</v>
      </c>
      <c r="Z2953" s="26" t="s">
        <v>50</v>
      </c>
      <c r="AA2953" s="96" t="s">
        <v>10314</v>
      </c>
      <c r="AB2953" s="26" t="s">
        <v>4503</v>
      </c>
      <c r="AC2953" s="26" t="s">
        <v>53</v>
      </c>
      <c r="AD2953" s="26" t="s">
        <v>54</v>
      </c>
      <c r="AE2953" s="26" t="s">
        <v>4503</v>
      </c>
      <c r="AF2953" s="17">
        <v>45483</v>
      </c>
      <c r="AG2953" s="26"/>
      <c r="AH2953" s="26"/>
      <c r="AI2953" s="40"/>
      <c r="AJ2953" s="26"/>
      <c r="AK2953" s="26"/>
      <c r="AL2953" s="35"/>
      <c r="AM2953" s="35"/>
      <c r="AN2953" s="35"/>
      <c r="AO2953" s="35"/>
      <c r="AP2953" s="35"/>
    </row>
    <row r="2954" spans="1:42" x14ac:dyDescent="0.2">
      <c r="A2954" s="126">
        <v>45475.914880902783</v>
      </c>
      <c r="B2954" s="28" t="s">
        <v>37</v>
      </c>
      <c r="C2954" s="41" t="s">
        <v>118</v>
      </c>
      <c r="D2954" s="26" t="s">
        <v>36</v>
      </c>
      <c r="E2954" s="26" t="s">
        <v>148</v>
      </c>
      <c r="F2954" s="26" t="s">
        <v>36</v>
      </c>
      <c r="G2954" s="26" t="s">
        <v>108</v>
      </c>
      <c r="H2954" s="26" t="s">
        <v>8668</v>
      </c>
      <c r="I2954" s="17">
        <f ca="1">IFERROR(__xludf.DUMMYFUNCTION("""COMPUTED_VALUE"""),45488)</f>
        <v>45488</v>
      </c>
      <c r="J2954" s="29" t="s">
        <v>10453</v>
      </c>
      <c r="K2954" s="26" t="s">
        <v>10454</v>
      </c>
      <c r="L2954" s="47">
        <v>947184306</v>
      </c>
      <c r="M2954" s="26" t="s">
        <v>3728</v>
      </c>
      <c r="N2954" s="26" t="s">
        <v>8725</v>
      </c>
      <c r="O2954" s="26" t="s">
        <v>10455</v>
      </c>
      <c r="P2954" s="26" t="s">
        <v>10456</v>
      </c>
      <c r="Q2954" s="20">
        <v>7349</v>
      </c>
      <c r="R2954" s="26" t="s">
        <v>36</v>
      </c>
      <c r="S2954" s="95">
        <f>200+3800</f>
        <v>4000</v>
      </c>
      <c r="T2954" s="83" t="s">
        <v>10457</v>
      </c>
      <c r="U2954" s="95">
        <v>3349</v>
      </c>
      <c r="V2954" s="148">
        <v>45518</v>
      </c>
      <c r="W2954" s="33" t="s">
        <v>10458</v>
      </c>
      <c r="X2954" s="26">
        <v>0</v>
      </c>
      <c r="Y2954" s="22">
        <v>0</v>
      </c>
      <c r="Z2954" s="26" t="s">
        <v>50</v>
      </c>
      <c r="AA2954" s="35" t="s">
        <v>10314</v>
      </c>
      <c r="AB2954" s="26"/>
      <c r="AC2954" s="26" t="s">
        <v>53</v>
      </c>
      <c r="AD2954" s="26" t="s">
        <v>54</v>
      </c>
      <c r="AE2954" s="26"/>
      <c r="AF2954" s="17">
        <v>45488</v>
      </c>
      <c r="AG2954" s="26"/>
      <c r="AH2954" s="26"/>
      <c r="AI2954" s="40"/>
      <c r="AJ2954" s="26"/>
      <c r="AK2954" s="26"/>
      <c r="AL2954" s="35"/>
      <c r="AM2954" s="35"/>
      <c r="AN2954" s="35"/>
      <c r="AO2954" s="35"/>
      <c r="AP2954" s="35"/>
    </row>
    <row r="2955" spans="1:42" x14ac:dyDescent="0.2">
      <c r="A2955" s="126">
        <v>45475.954310474539</v>
      </c>
      <c r="B2955" s="28" t="s">
        <v>37</v>
      </c>
      <c r="C2955" s="41" t="s">
        <v>118</v>
      </c>
      <c r="D2955" s="26" t="s">
        <v>36</v>
      </c>
      <c r="E2955" s="26" t="s">
        <v>139</v>
      </c>
      <c r="F2955" s="26" t="s">
        <v>36</v>
      </c>
      <c r="G2955" s="26" t="s">
        <v>41</v>
      </c>
      <c r="H2955" s="26" t="s">
        <v>9248</v>
      </c>
      <c r="I2955" s="17">
        <f ca="1">IFERROR(__xludf.DUMMYFUNCTION("""COMPUTED_VALUE"""),45482)</f>
        <v>45482</v>
      </c>
      <c r="J2955" s="29" t="s">
        <v>9924</v>
      </c>
      <c r="K2955" s="26" t="s">
        <v>10459</v>
      </c>
      <c r="L2955" s="30">
        <v>972550575</v>
      </c>
      <c r="M2955" s="26" t="s">
        <v>80</v>
      </c>
      <c r="N2955" s="26" t="s">
        <v>1073</v>
      </c>
      <c r="O2955" s="26" t="s">
        <v>9926</v>
      </c>
      <c r="P2955" s="42" t="s">
        <v>9927</v>
      </c>
      <c r="Q2955" s="20">
        <v>15936</v>
      </c>
      <c r="R2955" s="26" t="s">
        <v>36</v>
      </c>
      <c r="S2955" s="95">
        <f t="shared" ref="S2955:S2957" si="19">200+1800</f>
        <v>2000</v>
      </c>
      <c r="T2955" s="83" t="s">
        <v>9928</v>
      </c>
      <c r="U2955" s="95">
        <v>13936</v>
      </c>
      <c r="V2955" s="148">
        <v>45511</v>
      </c>
      <c r="W2955" s="33" t="s">
        <v>9929</v>
      </c>
      <c r="X2955" s="26">
        <v>0</v>
      </c>
      <c r="Y2955" s="22">
        <v>0</v>
      </c>
      <c r="Z2955" s="26" t="s">
        <v>50</v>
      </c>
      <c r="AA2955" s="96" t="s">
        <v>10314</v>
      </c>
      <c r="AB2955" s="26"/>
      <c r="AC2955" s="26" t="s">
        <v>53</v>
      </c>
      <c r="AD2955" s="26" t="s">
        <v>54</v>
      </c>
      <c r="AE2955" s="26">
        <v>0</v>
      </c>
      <c r="AF2955" s="17">
        <v>45477</v>
      </c>
      <c r="AG2955" s="26"/>
      <c r="AH2955" s="26"/>
      <c r="AI2955" s="40"/>
      <c r="AJ2955" s="26"/>
      <c r="AK2955" s="26"/>
      <c r="AL2955" s="35"/>
      <c r="AM2955" s="35"/>
      <c r="AN2955" s="35"/>
      <c r="AO2955" s="35"/>
      <c r="AP2955" s="35"/>
    </row>
    <row r="2956" spans="1:42" x14ac:dyDescent="0.2">
      <c r="A2956" s="126">
        <v>45475.965342326388</v>
      </c>
      <c r="B2956" s="28" t="s">
        <v>37</v>
      </c>
      <c r="C2956" s="41" t="s">
        <v>118</v>
      </c>
      <c r="D2956" s="26" t="s">
        <v>36</v>
      </c>
      <c r="E2956" s="26" t="s">
        <v>139</v>
      </c>
      <c r="F2956" s="26" t="s">
        <v>36</v>
      </c>
      <c r="G2956" s="26" t="s">
        <v>41</v>
      </c>
      <c r="H2956" s="26" t="s">
        <v>8801</v>
      </c>
      <c r="I2956" s="17">
        <f ca="1">IFERROR(__xludf.DUMMYFUNCTION("""COMPUTED_VALUE"""),45484)</f>
        <v>45484</v>
      </c>
      <c r="J2956" s="29" t="s">
        <v>10217</v>
      </c>
      <c r="K2956" s="26" t="s">
        <v>10460</v>
      </c>
      <c r="L2956" s="30">
        <v>989821372</v>
      </c>
      <c r="M2956" s="26" t="s">
        <v>80</v>
      </c>
      <c r="N2956" s="26" t="s">
        <v>466</v>
      </c>
      <c r="O2956" s="26" t="s">
        <v>10219</v>
      </c>
      <c r="P2956" s="26" t="s">
        <v>10220</v>
      </c>
      <c r="Q2956" s="20">
        <v>15936</v>
      </c>
      <c r="R2956" s="26" t="s">
        <v>36</v>
      </c>
      <c r="S2956" s="95">
        <f t="shared" si="19"/>
        <v>2000</v>
      </c>
      <c r="T2956" s="83" t="s">
        <v>10221</v>
      </c>
      <c r="U2956" s="95">
        <v>13936</v>
      </c>
      <c r="V2956" s="148">
        <v>45509</v>
      </c>
      <c r="W2956" s="33" t="s">
        <v>10222</v>
      </c>
      <c r="X2956" s="26">
        <v>0</v>
      </c>
      <c r="Y2956" s="22">
        <v>0</v>
      </c>
      <c r="Z2956" s="26" t="s">
        <v>50</v>
      </c>
      <c r="AA2956" s="35" t="s">
        <v>10314</v>
      </c>
      <c r="AB2956" s="26"/>
      <c r="AC2956" s="26" t="s">
        <v>53</v>
      </c>
      <c r="AD2956" s="26" t="s">
        <v>54</v>
      </c>
      <c r="AE2956" s="26">
        <v>0</v>
      </c>
      <c r="AF2956" s="17">
        <v>45481</v>
      </c>
      <c r="AG2956" s="26"/>
      <c r="AH2956" s="26"/>
      <c r="AI2956" s="40"/>
      <c r="AJ2956" s="26"/>
      <c r="AK2956" s="26"/>
      <c r="AL2956" s="35"/>
      <c r="AM2956" s="35"/>
      <c r="AN2956" s="35"/>
      <c r="AO2956" s="35"/>
      <c r="AP2956" s="35"/>
    </row>
    <row r="2957" spans="1:42" x14ac:dyDescent="0.2">
      <c r="A2957" s="126">
        <v>45476.377833541672</v>
      </c>
      <c r="B2957" s="28" t="s">
        <v>37</v>
      </c>
      <c r="C2957" s="41" t="s">
        <v>118</v>
      </c>
      <c r="D2957" s="26" t="s">
        <v>36</v>
      </c>
      <c r="E2957" s="26" t="s">
        <v>77</v>
      </c>
      <c r="F2957" s="26" t="s">
        <v>36</v>
      </c>
      <c r="G2957" s="26" t="s">
        <v>41</v>
      </c>
      <c r="H2957" s="26" t="s">
        <v>9248</v>
      </c>
      <c r="I2957" s="17">
        <f ca="1">IFERROR(__xludf.DUMMYFUNCTION("""COMPUTED_VALUE"""),45482)</f>
        <v>45482</v>
      </c>
      <c r="J2957" s="29" t="s">
        <v>10461</v>
      </c>
      <c r="K2957" s="26" t="s">
        <v>7897</v>
      </c>
      <c r="L2957" s="30">
        <v>328443010</v>
      </c>
      <c r="M2957" s="26" t="s">
        <v>3728</v>
      </c>
      <c r="N2957" s="26" t="s">
        <v>5312</v>
      </c>
      <c r="O2957" s="26" t="s">
        <v>10462</v>
      </c>
      <c r="P2957" s="26" t="s">
        <v>10463</v>
      </c>
      <c r="Q2957" s="20">
        <v>1968</v>
      </c>
      <c r="R2957" s="26" t="s">
        <v>36</v>
      </c>
      <c r="S2957" s="95">
        <f t="shared" si="19"/>
        <v>2000</v>
      </c>
      <c r="T2957" s="83" t="s">
        <v>10464</v>
      </c>
      <c r="U2957" s="31"/>
      <c r="V2957" s="32"/>
      <c r="W2957" s="33" t="s">
        <v>10465</v>
      </c>
      <c r="X2957" s="26">
        <v>0</v>
      </c>
      <c r="Y2957" s="22">
        <v>-32</v>
      </c>
      <c r="Z2957" s="26" t="s">
        <v>50</v>
      </c>
      <c r="AA2957" s="96" t="s">
        <v>10314</v>
      </c>
      <c r="AB2957" s="26" t="s">
        <v>36</v>
      </c>
      <c r="AC2957" s="26" t="s">
        <v>53</v>
      </c>
      <c r="AD2957" s="26" t="s">
        <v>54</v>
      </c>
      <c r="AE2957" s="26"/>
      <c r="AF2957" s="17">
        <v>45479</v>
      </c>
      <c r="AG2957" s="26" t="s">
        <v>7078</v>
      </c>
      <c r="AH2957" s="26"/>
      <c r="AI2957" s="40"/>
      <c r="AJ2957" s="26"/>
      <c r="AK2957" s="26"/>
      <c r="AL2957" s="35"/>
      <c r="AM2957" s="35"/>
      <c r="AN2957" s="35"/>
      <c r="AO2957" s="35"/>
      <c r="AP2957" s="35"/>
    </row>
    <row r="2958" spans="1:42" x14ac:dyDescent="0.2">
      <c r="A2958" s="126">
        <v>45476.514627500001</v>
      </c>
      <c r="B2958" s="28" t="s">
        <v>37</v>
      </c>
      <c r="C2958" s="41" t="s">
        <v>118</v>
      </c>
      <c r="D2958" s="26" t="s">
        <v>36</v>
      </c>
      <c r="E2958" s="26" t="s">
        <v>148</v>
      </c>
      <c r="F2958" s="26" t="s">
        <v>36</v>
      </c>
      <c r="G2958" s="26" t="s">
        <v>108</v>
      </c>
      <c r="H2958" s="26" t="s">
        <v>8668</v>
      </c>
      <c r="I2958" s="17">
        <f ca="1">IFERROR(__xludf.DUMMYFUNCTION("""COMPUTED_VALUE"""),45488)</f>
        <v>45488</v>
      </c>
      <c r="J2958" s="29" t="s">
        <v>10466</v>
      </c>
      <c r="K2958" s="26" t="s">
        <v>10467</v>
      </c>
      <c r="L2958" s="30">
        <v>378770519</v>
      </c>
      <c r="M2958" s="26" t="s">
        <v>3728</v>
      </c>
      <c r="N2958" s="26" t="s">
        <v>5312</v>
      </c>
      <c r="O2958" s="26" t="s">
        <v>10468</v>
      </c>
      <c r="P2958" s="26" t="s">
        <v>10469</v>
      </c>
      <c r="Q2958" s="20">
        <v>7349</v>
      </c>
      <c r="R2958" s="26" t="s">
        <v>36</v>
      </c>
      <c r="S2958" s="95">
        <f>200+4000</f>
        <v>4200</v>
      </c>
      <c r="T2958" s="83" t="s">
        <v>10470</v>
      </c>
      <c r="U2958" s="95">
        <v>3349</v>
      </c>
      <c r="V2958" s="148">
        <v>45519</v>
      </c>
      <c r="W2958" s="33" t="s">
        <v>10471</v>
      </c>
      <c r="X2958" s="26">
        <v>0</v>
      </c>
      <c r="Y2958" s="22">
        <v>-200</v>
      </c>
      <c r="Z2958" s="26" t="s">
        <v>50</v>
      </c>
      <c r="AA2958" s="35" t="s">
        <v>10314</v>
      </c>
      <c r="AB2958" s="26"/>
      <c r="AC2958" s="26" t="s">
        <v>53</v>
      </c>
      <c r="AD2958" s="26" t="s">
        <v>54</v>
      </c>
      <c r="AE2958" s="26"/>
      <c r="AF2958" s="17">
        <v>45485</v>
      </c>
      <c r="AG2958" s="26"/>
      <c r="AH2958" s="26"/>
      <c r="AI2958" s="40"/>
      <c r="AJ2958" s="26"/>
      <c r="AK2958" s="26"/>
      <c r="AL2958" s="35"/>
      <c r="AM2958" s="35"/>
      <c r="AN2958" s="35"/>
      <c r="AO2958" s="35"/>
      <c r="AP2958" s="35"/>
    </row>
    <row r="2959" spans="1:42" x14ac:dyDescent="0.2">
      <c r="A2959" s="126">
        <v>45476.838044930555</v>
      </c>
      <c r="B2959" s="28" t="s">
        <v>37</v>
      </c>
      <c r="C2959" s="41" t="s">
        <v>118</v>
      </c>
      <c r="D2959" s="26" t="s">
        <v>36</v>
      </c>
      <c r="E2959" s="26" t="s">
        <v>139</v>
      </c>
      <c r="F2959" s="26" t="s">
        <v>91</v>
      </c>
      <c r="G2959" s="26" t="s">
        <v>41</v>
      </c>
      <c r="H2959" s="26" t="s">
        <v>9248</v>
      </c>
      <c r="I2959" s="17">
        <f ca="1">IFERROR(__xludf.DUMMYFUNCTION("""COMPUTED_VALUE"""),45482)</f>
        <v>45482</v>
      </c>
      <c r="J2959" s="29" t="s">
        <v>10472</v>
      </c>
      <c r="K2959" s="26" t="s">
        <v>10473</v>
      </c>
      <c r="L2959" s="30">
        <v>961099542</v>
      </c>
      <c r="M2959" s="26" t="s">
        <v>5558</v>
      </c>
      <c r="N2959" s="26" t="s">
        <v>5559</v>
      </c>
      <c r="O2959" s="26" t="s">
        <v>4503</v>
      </c>
      <c r="P2959" s="26" t="s">
        <v>10474</v>
      </c>
      <c r="Q2959" s="20">
        <v>15936</v>
      </c>
      <c r="R2959" s="26" t="s">
        <v>36</v>
      </c>
      <c r="S2959" s="95">
        <f>2000+9000</f>
        <v>11000</v>
      </c>
      <c r="T2959" s="148">
        <v>45476</v>
      </c>
      <c r="U2959" s="95">
        <v>4936</v>
      </c>
      <c r="V2959" s="148">
        <v>45511</v>
      </c>
      <c r="W2959" s="33" t="s">
        <v>10475</v>
      </c>
      <c r="X2959" s="26">
        <v>0</v>
      </c>
      <c r="Y2959" s="22">
        <v>0</v>
      </c>
      <c r="Z2959" s="26" t="s">
        <v>50</v>
      </c>
      <c r="AA2959" s="96" t="s">
        <v>10314</v>
      </c>
      <c r="AB2959" s="26"/>
      <c r="AC2959" s="26" t="s">
        <v>53</v>
      </c>
      <c r="AD2959" s="26" t="s">
        <v>54</v>
      </c>
      <c r="AE2959" s="26"/>
      <c r="AF2959" s="17">
        <v>45477</v>
      </c>
      <c r="AG2959" s="26"/>
      <c r="AH2959" s="26"/>
      <c r="AI2959" s="40"/>
      <c r="AJ2959" s="26"/>
      <c r="AK2959" s="26"/>
      <c r="AL2959" s="35"/>
      <c r="AM2959" s="35"/>
      <c r="AN2959" s="35"/>
      <c r="AO2959" s="35"/>
      <c r="AP2959" s="35"/>
    </row>
    <row r="2960" spans="1:42" x14ac:dyDescent="0.2">
      <c r="A2960" s="126">
        <v>45476.87790097222</v>
      </c>
      <c r="B2960" s="28" t="s">
        <v>37</v>
      </c>
      <c r="C2960" s="41" t="s">
        <v>118</v>
      </c>
      <c r="D2960" s="26" t="s">
        <v>36</v>
      </c>
      <c r="E2960" s="26" t="s">
        <v>56</v>
      </c>
      <c r="F2960" s="26" t="s">
        <v>91</v>
      </c>
      <c r="G2960" s="26" t="s">
        <v>41</v>
      </c>
      <c r="H2960" s="26" t="s">
        <v>8763</v>
      </c>
      <c r="I2960" s="17">
        <f ca="1">IFERROR(__xludf.DUMMYFUNCTION("""COMPUTED_VALUE"""),45478)</f>
        <v>45478</v>
      </c>
      <c r="J2960" s="29" t="s">
        <v>9786</v>
      </c>
      <c r="K2960" s="26" t="s">
        <v>10476</v>
      </c>
      <c r="L2960" s="30">
        <v>329779818</v>
      </c>
      <c r="M2960" s="26" t="s">
        <v>5558</v>
      </c>
      <c r="N2960" s="26" t="s">
        <v>5559</v>
      </c>
      <c r="O2960" s="26" t="s">
        <v>4503</v>
      </c>
      <c r="P2960" s="26" t="s">
        <v>9788</v>
      </c>
      <c r="Q2960" s="20">
        <v>9317</v>
      </c>
      <c r="R2960" s="26" t="s">
        <v>36</v>
      </c>
      <c r="S2960" s="95">
        <f>2317+4000</f>
        <v>6317</v>
      </c>
      <c r="T2960" s="83" t="s">
        <v>9789</v>
      </c>
      <c r="U2960" s="95">
        <v>3000</v>
      </c>
      <c r="V2960" s="148">
        <v>45525</v>
      </c>
      <c r="W2960" s="33" t="s">
        <v>10477</v>
      </c>
      <c r="X2960" s="26">
        <v>0</v>
      </c>
      <c r="Y2960" s="22">
        <v>0</v>
      </c>
      <c r="Z2960" s="26" t="s">
        <v>50</v>
      </c>
      <c r="AA2960" s="35" t="s">
        <v>10314</v>
      </c>
      <c r="AB2960" s="26" t="s">
        <v>36</v>
      </c>
      <c r="AC2960" s="26" t="s">
        <v>53</v>
      </c>
      <c r="AD2960" s="26" t="s">
        <v>54</v>
      </c>
      <c r="AE2960" s="26"/>
      <c r="AF2960" s="17">
        <v>45477</v>
      </c>
      <c r="AG2960" s="26"/>
      <c r="AH2960" s="26"/>
      <c r="AI2960" s="40"/>
      <c r="AJ2960" s="26"/>
      <c r="AK2960" s="26"/>
      <c r="AL2960" s="35"/>
      <c r="AM2960" s="35"/>
      <c r="AN2960" s="35"/>
      <c r="AO2960" s="35"/>
      <c r="AP2960" s="35"/>
    </row>
    <row r="2961" spans="1:42" x14ac:dyDescent="0.2">
      <c r="A2961" s="126">
        <v>45476.887517303243</v>
      </c>
      <c r="B2961" s="28" t="s">
        <v>37</v>
      </c>
      <c r="C2961" s="41" t="s">
        <v>118</v>
      </c>
      <c r="D2961" s="26" t="s">
        <v>36</v>
      </c>
      <c r="E2961" s="26" t="s">
        <v>139</v>
      </c>
      <c r="F2961" s="26" t="s">
        <v>36</v>
      </c>
      <c r="G2961" s="26" t="s">
        <v>41</v>
      </c>
      <c r="H2961" s="26" t="s">
        <v>8830</v>
      </c>
      <c r="I2961" s="17">
        <f ca="1">IFERROR(__xludf.DUMMYFUNCTION("""COMPUTED_VALUE"""),45478)</f>
        <v>45478</v>
      </c>
      <c r="J2961" s="29" t="s">
        <v>10478</v>
      </c>
      <c r="K2961" s="26" t="s">
        <v>10479</v>
      </c>
      <c r="L2961" s="30">
        <v>366528455</v>
      </c>
      <c r="M2961" s="26" t="s">
        <v>3728</v>
      </c>
      <c r="N2961" s="26" t="s">
        <v>8725</v>
      </c>
      <c r="O2961" s="26" t="s">
        <v>10480</v>
      </c>
      <c r="P2961" s="26" t="s">
        <v>10481</v>
      </c>
      <c r="Q2961" s="20">
        <v>15936</v>
      </c>
      <c r="R2961" s="26" t="s">
        <v>36</v>
      </c>
      <c r="S2961" s="95">
        <v>2000</v>
      </c>
      <c r="T2961" s="148">
        <v>45476</v>
      </c>
      <c r="U2961" s="95">
        <v>13936</v>
      </c>
      <c r="V2961" s="148">
        <v>45510</v>
      </c>
      <c r="W2961" s="33" t="s">
        <v>10482</v>
      </c>
      <c r="X2961" s="26">
        <v>0</v>
      </c>
      <c r="Y2961" s="22">
        <v>0</v>
      </c>
      <c r="Z2961" s="26" t="s">
        <v>50</v>
      </c>
      <c r="AA2961" s="96" t="s">
        <v>10314</v>
      </c>
      <c r="AB2961" s="26"/>
      <c r="AC2961" s="26" t="s">
        <v>53</v>
      </c>
      <c r="AD2961" s="26" t="s">
        <v>54</v>
      </c>
      <c r="AE2961" s="26"/>
      <c r="AF2961" s="17">
        <v>45477</v>
      </c>
      <c r="AG2961" s="26"/>
      <c r="AH2961" s="26"/>
      <c r="AI2961" s="40"/>
      <c r="AJ2961" s="26"/>
      <c r="AK2961" s="26"/>
      <c r="AL2961" s="35"/>
      <c r="AM2961" s="35"/>
      <c r="AN2961" s="35"/>
      <c r="AO2961" s="35"/>
      <c r="AP2961" s="35"/>
    </row>
    <row r="2962" spans="1:42" x14ac:dyDescent="0.2">
      <c r="A2962" s="126">
        <v>45476.93149393519</v>
      </c>
      <c r="B2962" s="28" t="s">
        <v>37</v>
      </c>
      <c r="C2962" s="41" t="s">
        <v>118</v>
      </c>
      <c r="D2962" s="26" t="s">
        <v>36</v>
      </c>
      <c r="E2962" s="26" t="s">
        <v>139</v>
      </c>
      <c r="F2962" s="26" t="s">
        <v>36</v>
      </c>
      <c r="G2962" s="26" t="s">
        <v>41</v>
      </c>
      <c r="H2962" s="26" t="s">
        <v>9273</v>
      </c>
      <c r="I2962" s="17">
        <f ca="1">IFERROR(__xludf.DUMMYFUNCTION("""COMPUTED_VALUE"""),45482)</f>
        <v>45482</v>
      </c>
      <c r="J2962" s="29" t="s">
        <v>9874</v>
      </c>
      <c r="K2962" s="26" t="s">
        <v>10483</v>
      </c>
      <c r="L2962" s="127">
        <v>344669206</v>
      </c>
      <c r="M2962" s="26" t="s">
        <v>80</v>
      </c>
      <c r="N2962" s="26" t="s">
        <v>466</v>
      </c>
      <c r="O2962" s="26" t="s">
        <v>9876</v>
      </c>
      <c r="P2962" s="26" t="s">
        <v>10484</v>
      </c>
      <c r="Q2962" s="20">
        <v>15936</v>
      </c>
      <c r="R2962" s="26" t="s">
        <v>36</v>
      </c>
      <c r="S2962" s="95">
        <f>200+1800</f>
        <v>2000</v>
      </c>
      <c r="T2962" s="83" t="s">
        <v>9878</v>
      </c>
      <c r="U2962" s="95">
        <v>13968</v>
      </c>
      <c r="V2962" s="148">
        <v>45523</v>
      </c>
      <c r="W2962" s="33" t="s">
        <v>9879</v>
      </c>
      <c r="X2962" s="26">
        <v>0</v>
      </c>
      <c r="Y2962" s="22">
        <v>-32</v>
      </c>
      <c r="Z2962" s="26" t="s">
        <v>50</v>
      </c>
      <c r="AA2962" s="35" t="s">
        <v>10314</v>
      </c>
      <c r="AB2962" s="26" t="s">
        <v>36</v>
      </c>
      <c r="AC2962" s="26" t="s">
        <v>53</v>
      </c>
      <c r="AD2962" s="26" t="s">
        <v>54</v>
      </c>
      <c r="AE2962" s="26">
        <v>0</v>
      </c>
      <c r="AF2962" s="17">
        <v>45481</v>
      </c>
      <c r="AG2962" s="26"/>
      <c r="AH2962" s="26"/>
      <c r="AI2962" s="40"/>
      <c r="AJ2962" s="26"/>
      <c r="AK2962" s="26"/>
      <c r="AL2962" s="35"/>
      <c r="AM2962" s="35"/>
      <c r="AN2962" s="35"/>
      <c r="AO2962" s="35"/>
      <c r="AP2962" s="35"/>
    </row>
    <row r="2963" spans="1:42" x14ac:dyDescent="0.2">
      <c r="A2963" s="126">
        <v>45476.957105694441</v>
      </c>
      <c r="B2963" s="28" t="s">
        <v>37</v>
      </c>
      <c r="C2963" s="41" t="s">
        <v>118</v>
      </c>
      <c r="D2963" s="26" t="s">
        <v>36</v>
      </c>
      <c r="E2963" s="26" t="s">
        <v>106</v>
      </c>
      <c r="F2963" s="26" t="s">
        <v>36</v>
      </c>
      <c r="G2963" s="26" t="s">
        <v>108</v>
      </c>
      <c r="H2963" s="26" t="s">
        <v>8708</v>
      </c>
      <c r="I2963" s="17">
        <f ca="1">IFERROR(__xludf.DUMMYFUNCTION("""COMPUTED_VALUE"""),45492)</f>
        <v>45492</v>
      </c>
      <c r="J2963" s="29" t="s">
        <v>10485</v>
      </c>
      <c r="K2963" s="26" t="s">
        <v>10486</v>
      </c>
      <c r="L2963" s="30">
        <v>385727194</v>
      </c>
      <c r="M2963" s="26" t="s">
        <v>80</v>
      </c>
      <c r="N2963" s="26" t="s">
        <v>1073</v>
      </c>
      <c r="O2963" s="26" t="s">
        <v>10487</v>
      </c>
      <c r="P2963" s="26" t="s">
        <v>10488</v>
      </c>
      <c r="Q2963" s="20">
        <v>3768</v>
      </c>
      <c r="R2963" s="26" t="s">
        <v>36</v>
      </c>
      <c r="S2963" s="95">
        <f>200+3800</f>
        <v>4000</v>
      </c>
      <c r="T2963" s="83" t="s">
        <v>9878</v>
      </c>
      <c r="U2963" s="31"/>
      <c r="V2963" s="32"/>
      <c r="W2963" s="33" t="s">
        <v>10489</v>
      </c>
      <c r="X2963" s="26">
        <v>0</v>
      </c>
      <c r="Y2963" s="22">
        <v>-232</v>
      </c>
      <c r="Z2963" s="26" t="s">
        <v>50</v>
      </c>
      <c r="AA2963" s="96" t="s">
        <v>10314</v>
      </c>
      <c r="AB2963" s="26"/>
      <c r="AC2963" s="26" t="s">
        <v>53</v>
      </c>
      <c r="AD2963" s="26" t="s">
        <v>54</v>
      </c>
      <c r="AE2963" s="26">
        <v>470</v>
      </c>
      <c r="AF2963" s="17">
        <v>45488</v>
      </c>
      <c r="AG2963" s="26" t="s">
        <v>10490</v>
      </c>
      <c r="AH2963" s="26"/>
      <c r="AI2963" s="40"/>
      <c r="AJ2963" s="26"/>
      <c r="AK2963" s="26"/>
      <c r="AL2963" s="35"/>
      <c r="AM2963" s="35"/>
      <c r="AN2963" s="35"/>
      <c r="AO2963" s="35"/>
      <c r="AP2963" s="35"/>
    </row>
    <row r="2964" spans="1:42" x14ac:dyDescent="0.2">
      <c r="A2964" s="126">
        <v>45477.036599606479</v>
      </c>
      <c r="B2964" s="28" t="s">
        <v>37</v>
      </c>
      <c r="C2964" s="41" t="s">
        <v>118</v>
      </c>
      <c r="D2964" s="26" t="s">
        <v>36</v>
      </c>
      <c r="E2964" s="26" t="s">
        <v>139</v>
      </c>
      <c r="F2964" s="26" t="s">
        <v>36</v>
      </c>
      <c r="G2964" s="26" t="s">
        <v>41</v>
      </c>
      <c r="H2964" s="26" t="s">
        <v>9163</v>
      </c>
      <c r="I2964" s="17">
        <f ca="1">IFERROR(__xludf.DUMMYFUNCTION("""COMPUTED_VALUE"""),45484)</f>
        <v>45484</v>
      </c>
      <c r="J2964" s="29" t="s">
        <v>10034</v>
      </c>
      <c r="K2964" s="26" t="s">
        <v>10491</v>
      </c>
      <c r="L2964" s="30">
        <v>375758874</v>
      </c>
      <c r="M2964" s="26" t="s">
        <v>2755</v>
      </c>
      <c r="N2964" s="26" t="s">
        <v>2756</v>
      </c>
      <c r="O2964" s="26" t="s">
        <v>4503</v>
      </c>
      <c r="P2964" s="26" t="s">
        <v>10492</v>
      </c>
      <c r="Q2964" s="20">
        <v>15936</v>
      </c>
      <c r="R2964" s="26" t="s">
        <v>36</v>
      </c>
      <c r="S2964" s="95">
        <f>300+3000</f>
        <v>3300</v>
      </c>
      <c r="T2964" s="83" t="s">
        <v>9956</v>
      </c>
      <c r="U2964" s="95">
        <v>12636</v>
      </c>
      <c r="V2964" s="148">
        <v>45515</v>
      </c>
      <c r="W2964" s="33" t="s">
        <v>10037</v>
      </c>
      <c r="X2964" s="26">
        <v>0</v>
      </c>
      <c r="Y2964" s="22">
        <v>0</v>
      </c>
      <c r="Z2964" s="26" t="s">
        <v>50</v>
      </c>
      <c r="AA2964" s="35" t="s">
        <v>10314</v>
      </c>
      <c r="AB2964" s="26"/>
      <c r="AC2964" s="26" t="s">
        <v>53</v>
      </c>
      <c r="AD2964" s="26" t="s">
        <v>54</v>
      </c>
      <c r="AE2964" s="26" t="s">
        <v>4503</v>
      </c>
      <c r="AF2964" s="17">
        <v>45484</v>
      </c>
      <c r="AG2964" s="26"/>
      <c r="AH2964" s="26"/>
      <c r="AI2964" s="40"/>
      <c r="AJ2964" s="26"/>
      <c r="AK2964" s="26"/>
      <c r="AL2964" s="35"/>
      <c r="AM2964" s="35"/>
      <c r="AN2964" s="35"/>
      <c r="AO2964" s="35"/>
      <c r="AP2964" s="35"/>
    </row>
    <row r="2965" spans="1:42" x14ac:dyDescent="0.2">
      <c r="A2965" s="126">
        <v>45477.333789004631</v>
      </c>
      <c r="B2965" s="28" t="s">
        <v>37</v>
      </c>
      <c r="C2965" s="41" t="s">
        <v>118</v>
      </c>
      <c r="D2965" s="26" t="s">
        <v>36</v>
      </c>
      <c r="E2965" s="26" t="s">
        <v>139</v>
      </c>
      <c r="F2965" s="26" t="s">
        <v>91</v>
      </c>
      <c r="G2965" s="26" t="s">
        <v>41</v>
      </c>
      <c r="H2965" s="26" t="s">
        <v>8635</v>
      </c>
      <c r="I2965" s="17">
        <f ca="1">IFERROR(__xludf.DUMMYFUNCTION("""COMPUTED_VALUE"""),45496)</f>
        <v>45496</v>
      </c>
      <c r="J2965" s="29" t="s">
        <v>10075</v>
      </c>
      <c r="K2965" s="26" t="s">
        <v>10076</v>
      </c>
      <c r="L2965" s="30">
        <v>386683732</v>
      </c>
      <c r="M2965" s="26" t="s">
        <v>123</v>
      </c>
      <c r="N2965" s="26" t="s">
        <v>186</v>
      </c>
      <c r="O2965" s="26" t="s">
        <v>4503</v>
      </c>
      <c r="P2965" s="26" t="s">
        <v>3487</v>
      </c>
      <c r="Q2965" s="20">
        <v>15936</v>
      </c>
      <c r="R2965" s="26" t="s">
        <v>70</v>
      </c>
      <c r="S2965" s="95">
        <f>200+5000</f>
        <v>5200</v>
      </c>
      <c r="T2965" s="83" t="s">
        <v>10078</v>
      </c>
      <c r="U2965" s="95">
        <v>10736</v>
      </c>
      <c r="V2965" s="148">
        <v>45516</v>
      </c>
      <c r="W2965" s="33" t="s">
        <v>10079</v>
      </c>
      <c r="X2965" s="26">
        <v>100</v>
      </c>
      <c r="Y2965" s="22">
        <v>-100</v>
      </c>
      <c r="Z2965" s="26" t="s">
        <v>50</v>
      </c>
      <c r="AA2965" s="96" t="s">
        <v>10314</v>
      </c>
      <c r="AB2965" s="26" t="s">
        <v>36</v>
      </c>
      <c r="AC2965" s="26" t="s">
        <v>53</v>
      </c>
      <c r="AD2965" s="26" t="s">
        <v>138</v>
      </c>
      <c r="AE2965" s="26"/>
      <c r="AF2965" s="17">
        <v>45496</v>
      </c>
      <c r="AG2965" s="26" t="s">
        <v>4279</v>
      </c>
      <c r="AH2965" s="26"/>
      <c r="AI2965" s="40"/>
      <c r="AJ2965" s="26"/>
      <c r="AK2965" s="26"/>
      <c r="AL2965" s="35"/>
      <c r="AM2965" s="35"/>
      <c r="AN2965" s="35"/>
      <c r="AO2965" s="35"/>
      <c r="AP2965" s="35"/>
    </row>
    <row r="2966" spans="1:42" x14ac:dyDescent="0.2">
      <c r="A2966" s="126">
        <v>45477.33695114583</v>
      </c>
      <c r="B2966" s="28" t="s">
        <v>37</v>
      </c>
      <c r="C2966" s="41" t="s">
        <v>118</v>
      </c>
      <c r="D2966" s="26" t="s">
        <v>36</v>
      </c>
      <c r="E2966" s="26" t="s">
        <v>139</v>
      </c>
      <c r="F2966" s="26" t="s">
        <v>36</v>
      </c>
      <c r="G2966" s="26" t="s">
        <v>41</v>
      </c>
      <c r="H2966" s="26" t="s">
        <v>9360</v>
      </c>
      <c r="I2966" s="17">
        <f ca="1">IFERROR(__xludf.DUMMYFUNCTION("""COMPUTED_VALUE"""),45488)</f>
        <v>45488</v>
      </c>
      <c r="J2966" s="29" t="s">
        <v>10090</v>
      </c>
      <c r="K2966" s="26" t="s">
        <v>10493</v>
      </c>
      <c r="L2966" s="30">
        <v>362163006</v>
      </c>
      <c r="M2966" s="26" t="s">
        <v>123</v>
      </c>
      <c r="N2966" s="26" t="s">
        <v>327</v>
      </c>
      <c r="O2966" s="26" t="s">
        <v>4503</v>
      </c>
      <c r="P2966" s="26" t="s">
        <v>10092</v>
      </c>
      <c r="Q2966" s="20">
        <v>15936</v>
      </c>
      <c r="R2966" s="26" t="s">
        <v>36</v>
      </c>
      <c r="S2966" s="95">
        <v>2000</v>
      </c>
      <c r="T2966" s="148">
        <v>45475</v>
      </c>
      <c r="U2966" s="95">
        <f>7000+7000</f>
        <v>14000</v>
      </c>
      <c r="V2966" s="148">
        <v>45529</v>
      </c>
      <c r="W2966" s="33" t="s">
        <v>10093</v>
      </c>
      <c r="X2966" s="26">
        <v>0</v>
      </c>
      <c r="Y2966" s="22">
        <v>-64</v>
      </c>
      <c r="Z2966" s="26" t="s">
        <v>50</v>
      </c>
      <c r="AA2966" s="35" t="s">
        <v>10314</v>
      </c>
      <c r="AB2966" s="26" t="s">
        <v>4503</v>
      </c>
      <c r="AC2966" s="26" t="s">
        <v>53</v>
      </c>
      <c r="AD2966" s="26" t="s">
        <v>54</v>
      </c>
      <c r="AE2966" s="26"/>
      <c r="AF2966" s="17">
        <v>45484</v>
      </c>
      <c r="AG2966" s="26"/>
      <c r="AH2966" s="26"/>
      <c r="AI2966" s="40"/>
      <c r="AJ2966" s="26"/>
      <c r="AK2966" s="26"/>
      <c r="AL2966" s="35"/>
      <c r="AM2966" s="35"/>
      <c r="AN2966" s="35"/>
      <c r="AO2966" s="35"/>
      <c r="AP2966" s="35"/>
    </row>
    <row r="2967" spans="1:42" x14ac:dyDescent="0.2">
      <c r="A2967" s="126">
        <v>45477.343487951388</v>
      </c>
      <c r="B2967" s="28" t="s">
        <v>37</v>
      </c>
      <c r="C2967" s="41" t="s">
        <v>118</v>
      </c>
      <c r="D2967" s="26" t="s">
        <v>36</v>
      </c>
      <c r="E2967" s="26" t="s">
        <v>77</v>
      </c>
      <c r="F2967" s="26" t="s">
        <v>36</v>
      </c>
      <c r="G2967" s="26" t="s">
        <v>41</v>
      </c>
      <c r="H2967" s="26" t="s">
        <v>10494</v>
      </c>
      <c r="I2967" s="17" t="str">
        <f ca="1">IFERROR(__xludf.DUMMYFUNCTION("""COMPUTED_VALUE""")," ")</f>
        <v xml:space="preserve"> </v>
      </c>
      <c r="J2967" s="29" t="s">
        <v>10495</v>
      </c>
      <c r="K2967" s="26" t="s">
        <v>10496</v>
      </c>
      <c r="L2967" s="30">
        <v>986318697</v>
      </c>
      <c r="M2967" s="26" t="s">
        <v>123</v>
      </c>
      <c r="N2967" s="26" t="s">
        <v>327</v>
      </c>
      <c r="O2967" s="26" t="s">
        <v>4503</v>
      </c>
      <c r="P2967" s="54" t="s">
        <v>10497</v>
      </c>
      <c r="Q2967" s="20">
        <v>1968</v>
      </c>
      <c r="R2967" s="26" t="s">
        <v>36</v>
      </c>
      <c r="S2967" s="95">
        <f t="shared" ref="S2967:S2972" si="20">200+1800</f>
        <v>2000</v>
      </c>
      <c r="T2967" s="83" t="s">
        <v>10498</v>
      </c>
      <c r="U2967" s="31"/>
      <c r="V2967" s="32"/>
      <c r="W2967" s="26" t="s">
        <v>10499</v>
      </c>
      <c r="X2967" s="26">
        <v>0</v>
      </c>
      <c r="Y2967" s="22">
        <v>-32</v>
      </c>
      <c r="Z2967" s="26" t="s">
        <v>50</v>
      </c>
      <c r="AA2967" s="96" t="s">
        <v>10314</v>
      </c>
      <c r="AB2967" s="26" t="s">
        <v>4503</v>
      </c>
      <c r="AC2967" s="26" t="s">
        <v>53</v>
      </c>
      <c r="AD2967" s="26" t="s">
        <v>54</v>
      </c>
      <c r="AE2967" s="26"/>
      <c r="AF2967" s="17">
        <v>45477</v>
      </c>
      <c r="AG2967" s="26" t="s">
        <v>7078</v>
      </c>
      <c r="AH2967" s="26"/>
      <c r="AI2967" s="40"/>
      <c r="AJ2967" s="26"/>
      <c r="AK2967" s="26"/>
      <c r="AL2967" s="35"/>
      <c r="AM2967" s="35"/>
      <c r="AN2967" s="35"/>
      <c r="AO2967" s="35"/>
      <c r="AP2967" s="35"/>
    </row>
    <row r="2968" spans="1:42" x14ac:dyDescent="0.2">
      <c r="A2968" s="126">
        <v>45477.345316006948</v>
      </c>
      <c r="B2968" s="28" t="s">
        <v>37</v>
      </c>
      <c r="C2968" s="41" t="s">
        <v>118</v>
      </c>
      <c r="D2968" s="26" t="s">
        <v>36</v>
      </c>
      <c r="E2968" s="26" t="s">
        <v>39</v>
      </c>
      <c r="F2968" s="26" t="s">
        <v>36</v>
      </c>
      <c r="G2968" s="26" t="s">
        <v>41</v>
      </c>
      <c r="H2968" s="26" t="s">
        <v>8824</v>
      </c>
      <c r="I2968" s="17">
        <f ca="1">IFERROR(__xludf.DUMMYFUNCTION("""COMPUTED_VALUE"""),45485)</f>
        <v>45485</v>
      </c>
      <c r="J2968" s="29" t="s">
        <v>9919</v>
      </c>
      <c r="K2968" s="26" t="s">
        <v>10500</v>
      </c>
      <c r="L2968" s="30">
        <v>868031822</v>
      </c>
      <c r="M2968" s="26" t="s">
        <v>123</v>
      </c>
      <c r="N2968" s="26" t="s">
        <v>327</v>
      </c>
      <c r="O2968" s="26" t="s">
        <v>4503</v>
      </c>
      <c r="P2968" s="26" t="s">
        <v>9921</v>
      </c>
      <c r="Q2968" s="20">
        <v>5736</v>
      </c>
      <c r="R2968" s="26" t="s">
        <v>36</v>
      </c>
      <c r="S2968" s="95">
        <f t="shared" si="20"/>
        <v>2000</v>
      </c>
      <c r="T2968" s="83" t="s">
        <v>9922</v>
      </c>
      <c r="U2968" s="95">
        <v>3736</v>
      </c>
      <c r="V2968" s="148">
        <v>45527</v>
      </c>
      <c r="W2968" s="33" t="s">
        <v>9923</v>
      </c>
      <c r="X2968" s="26">
        <v>0</v>
      </c>
      <c r="Y2968" s="22">
        <v>0</v>
      </c>
      <c r="Z2968" s="26" t="s">
        <v>50</v>
      </c>
      <c r="AA2968" s="35" t="s">
        <v>10314</v>
      </c>
      <c r="AB2968" s="26" t="s">
        <v>4503</v>
      </c>
      <c r="AC2968" s="26" t="s">
        <v>53</v>
      </c>
      <c r="AD2968" s="26" t="s">
        <v>54</v>
      </c>
      <c r="AE2968" s="26"/>
      <c r="AF2968" s="17">
        <v>45483</v>
      </c>
      <c r="AG2968" s="26"/>
      <c r="AH2968" s="26"/>
      <c r="AI2968" s="40"/>
      <c r="AJ2968" s="26"/>
      <c r="AK2968" s="26"/>
      <c r="AL2968" s="35"/>
      <c r="AM2968" s="35"/>
      <c r="AN2968" s="35"/>
      <c r="AO2968" s="35"/>
      <c r="AP2968" s="35"/>
    </row>
    <row r="2969" spans="1:42" x14ac:dyDescent="0.2">
      <c r="A2969" s="126">
        <v>45477.466466516205</v>
      </c>
      <c r="B2969" s="28" t="s">
        <v>37</v>
      </c>
      <c r="C2969" s="41" t="s">
        <v>118</v>
      </c>
      <c r="D2969" s="26" t="s">
        <v>36</v>
      </c>
      <c r="E2969" s="26" t="s">
        <v>139</v>
      </c>
      <c r="F2969" s="26" t="s">
        <v>36</v>
      </c>
      <c r="G2969" s="26" t="s">
        <v>41</v>
      </c>
      <c r="H2969" s="26" t="s">
        <v>8801</v>
      </c>
      <c r="I2969" s="17">
        <f ca="1">IFERROR(__xludf.DUMMYFUNCTION("""COMPUTED_VALUE"""),45484)</f>
        <v>45484</v>
      </c>
      <c r="J2969" s="29" t="s">
        <v>9952</v>
      </c>
      <c r="K2969" s="26" t="s">
        <v>10501</v>
      </c>
      <c r="L2969" s="30">
        <v>839530644</v>
      </c>
      <c r="M2969" s="26" t="s">
        <v>80</v>
      </c>
      <c r="N2969" s="26" t="s">
        <v>1073</v>
      </c>
      <c r="O2969" s="26" t="s">
        <v>9954</v>
      </c>
      <c r="P2969" s="26" t="s">
        <v>9955</v>
      </c>
      <c r="Q2969" s="20">
        <v>15936</v>
      </c>
      <c r="R2969" s="26" t="s">
        <v>36</v>
      </c>
      <c r="S2969" s="95">
        <f t="shared" si="20"/>
        <v>2000</v>
      </c>
      <c r="T2969" s="83" t="s">
        <v>9956</v>
      </c>
      <c r="U2969" s="95">
        <v>13936</v>
      </c>
      <c r="V2969" s="148">
        <v>45513</v>
      </c>
      <c r="W2969" s="33" t="s">
        <v>9957</v>
      </c>
      <c r="X2969" s="26">
        <v>0</v>
      </c>
      <c r="Y2969" s="22">
        <v>0</v>
      </c>
      <c r="Z2969" s="26" t="s">
        <v>50</v>
      </c>
      <c r="AA2969" s="96" t="s">
        <v>10314</v>
      </c>
      <c r="AB2969" s="26"/>
      <c r="AC2969" s="26" t="s">
        <v>53</v>
      </c>
      <c r="AD2969" s="26" t="s">
        <v>54</v>
      </c>
      <c r="AE2969" s="26">
        <v>0</v>
      </c>
      <c r="AF2969" s="17">
        <v>45482</v>
      </c>
      <c r="AG2969" s="26"/>
      <c r="AH2969" s="26"/>
      <c r="AI2969" s="40"/>
      <c r="AJ2969" s="26"/>
      <c r="AK2969" s="26"/>
      <c r="AL2969" s="35"/>
      <c r="AM2969" s="35"/>
      <c r="AN2969" s="35"/>
      <c r="AO2969" s="35"/>
      <c r="AP2969" s="35"/>
    </row>
    <row r="2970" spans="1:42" x14ac:dyDescent="0.2">
      <c r="A2970" s="126">
        <v>45477.525790046297</v>
      </c>
      <c r="B2970" s="28" t="s">
        <v>37</v>
      </c>
      <c r="C2970" s="41" t="s">
        <v>118</v>
      </c>
      <c r="D2970" s="26" t="s">
        <v>36</v>
      </c>
      <c r="E2970" s="26" t="s">
        <v>139</v>
      </c>
      <c r="F2970" s="26" t="s">
        <v>36</v>
      </c>
      <c r="G2970" s="26" t="s">
        <v>41</v>
      </c>
      <c r="H2970" s="26" t="s">
        <v>9163</v>
      </c>
      <c r="I2970" s="17">
        <f ca="1">IFERROR(__xludf.DUMMYFUNCTION("""COMPUTED_VALUE"""),45484)</f>
        <v>45484</v>
      </c>
      <c r="J2970" s="29" t="s">
        <v>10001</v>
      </c>
      <c r="K2970" s="26" t="s">
        <v>10002</v>
      </c>
      <c r="L2970" s="30">
        <v>337902369</v>
      </c>
      <c r="M2970" s="26" t="s">
        <v>3728</v>
      </c>
      <c r="N2970" s="26" t="s">
        <v>8725</v>
      </c>
      <c r="O2970" s="26" t="s">
        <v>10003</v>
      </c>
      <c r="P2970" s="26" t="s">
        <v>10004</v>
      </c>
      <c r="Q2970" s="20">
        <v>15936</v>
      </c>
      <c r="R2970" s="26" t="s">
        <v>36</v>
      </c>
      <c r="S2970" s="95">
        <f t="shared" si="20"/>
        <v>2000</v>
      </c>
      <c r="T2970" s="83" t="s">
        <v>10005</v>
      </c>
      <c r="U2970" s="95">
        <v>13936</v>
      </c>
      <c r="V2970" s="148">
        <v>45534</v>
      </c>
      <c r="W2970" s="33" t="s">
        <v>10006</v>
      </c>
      <c r="X2970" s="26">
        <v>0</v>
      </c>
      <c r="Y2970" s="22">
        <v>0</v>
      </c>
      <c r="Z2970" s="26" t="s">
        <v>50</v>
      </c>
      <c r="AA2970" s="35" t="s">
        <v>10314</v>
      </c>
      <c r="AB2970" s="26"/>
      <c r="AC2970" s="26" t="s">
        <v>53</v>
      </c>
      <c r="AD2970" s="26" t="s">
        <v>54</v>
      </c>
      <c r="AE2970" s="26"/>
      <c r="AF2970" s="17">
        <v>45485</v>
      </c>
      <c r="AG2970" s="26"/>
      <c r="AH2970" s="26"/>
      <c r="AI2970" s="40"/>
      <c r="AJ2970" s="26"/>
      <c r="AK2970" s="26"/>
      <c r="AL2970" s="35"/>
      <c r="AM2970" s="35"/>
      <c r="AN2970" s="35"/>
      <c r="AO2970" s="35"/>
      <c r="AP2970" s="35"/>
    </row>
    <row r="2971" spans="1:42" x14ac:dyDescent="0.2">
      <c r="A2971" s="126">
        <v>45477.526907974534</v>
      </c>
      <c r="B2971" s="28" t="s">
        <v>37</v>
      </c>
      <c r="C2971" s="41" t="s">
        <v>118</v>
      </c>
      <c r="D2971" s="26" t="s">
        <v>36</v>
      </c>
      <c r="E2971" s="26" t="s">
        <v>77</v>
      </c>
      <c r="F2971" s="26" t="s">
        <v>36</v>
      </c>
      <c r="G2971" s="26" t="s">
        <v>41</v>
      </c>
      <c r="H2971" s="26" t="s">
        <v>9241</v>
      </c>
      <c r="I2971" s="17">
        <f ca="1">IFERROR(__xludf.DUMMYFUNCTION("""COMPUTED_VALUE"""),45483)</f>
        <v>45483</v>
      </c>
      <c r="J2971" s="29" t="s">
        <v>10502</v>
      </c>
      <c r="K2971" s="26" t="s">
        <v>10503</v>
      </c>
      <c r="L2971" s="30">
        <v>946469256</v>
      </c>
      <c r="M2971" s="26" t="s">
        <v>3728</v>
      </c>
      <c r="N2971" s="26" t="s">
        <v>8725</v>
      </c>
      <c r="O2971" s="26" t="s">
        <v>10504</v>
      </c>
      <c r="P2971" s="26" t="s">
        <v>10505</v>
      </c>
      <c r="Q2971" s="20">
        <v>1968</v>
      </c>
      <c r="R2971" s="26" t="s">
        <v>36</v>
      </c>
      <c r="S2971" s="95">
        <f t="shared" si="20"/>
        <v>2000</v>
      </c>
      <c r="T2971" s="83" t="s">
        <v>10506</v>
      </c>
      <c r="U2971" s="31"/>
      <c r="V2971" s="32"/>
      <c r="W2971" s="33" t="s">
        <v>10507</v>
      </c>
      <c r="X2971" s="26">
        <v>0</v>
      </c>
      <c r="Y2971" s="22">
        <v>-32</v>
      </c>
      <c r="Z2971" s="26" t="s">
        <v>50</v>
      </c>
      <c r="AA2971" s="96" t="s">
        <v>10314</v>
      </c>
      <c r="AB2971" s="26"/>
      <c r="AC2971" s="26" t="s">
        <v>53</v>
      </c>
      <c r="AD2971" s="26" t="s">
        <v>54</v>
      </c>
      <c r="AE2971" s="26"/>
      <c r="AF2971" s="17">
        <v>45484</v>
      </c>
      <c r="AG2971" s="26" t="s">
        <v>7078</v>
      </c>
      <c r="AH2971" s="26"/>
      <c r="AI2971" s="40"/>
      <c r="AJ2971" s="26"/>
      <c r="AK2971" s="26"/>
      <c r="AL2971" s="35"/>
      <c r="AM2971" s="35"/>
      <c r="AN2971" s="35"/>
      <c r="AO2971" s="35"/>
      <c r="AP2971" s="35"/>
    </row>
    <row r="2972" spans="1:42" x14ac:dyDescent="0.2">
      <c r="A2972" s="126">
        <v>45477.529244502315</v>
      </c>
      <c r="B2972" s="28" t="s">
        <v>37</v>
      </c>
      <c r="C2972" s="41" t="s">
        <v>118</v>
      </c>
      <c r="D2972" s="26" t="s">
        <v>36</v>
      </c>
      <c r="E2972" s="26" t="s">
        <v>139</v>
      </c>
      <c r="F2972" s="26" t="s">
        <v>36</v>
      </c>
      <c r="G2972" s="26" t="s">
        <v>41</v>
      </c>
      <c r="H2972" s="26" t="s">
        <v>9163</v>
      </c>
      <c r="I2972" s="17">
        <f ca="1">IFERROR(__xludf.DUMMYFUNCTION("""COMPUTED_VALUE"""),45484)</f>
        <v>45484</v>
      </c>
      <c r="J2972" s="29" t="s">
        <v>9837</v>
      </c>
      <c r="K2972" s="26" t="s">
        <v>9838</v>
      </c>
      <c r="L2972" s="30">
        <v>372889965</v>
      </c>
      <c r="M2972" s="26" t="s">
        <v>3728</v>
      </c>
      <c r="N2972" s="26" t="s">
        <v>8725</v>
      </c>
      <c r="O2972" s="26" t="s">
        <v>134</v>
      </c>
      <c r="P2972" s="26" t="s">
        <v>9839</v>
      </c>
      <c r="Q2972" s="20">
        <v>15936</v>
      </c>
      <c r="R2972" s="26" t="s">
        <v>36</v>
      </c>
      <c r="S2972" s="95">
        <f t="shared" si="20"/>
        <v>2000</v>
      </c>
      <c r="T2972" s="83" t="s">
        <v>9840</v>
      </c>
      <c r="U2972" s="95">
        <v>13936</v>
      </c>
      <c r="V2972" s="148">
        <v>45519</v>
      </c>
      <c r="W2972" s="33" t="s">
        <v>9841</v>
      </c>
      <c r="X2972" s="26">
        <v>0</v>
      </c>
      <c r="Y2972" s="22">
        <v>0</v>
      </c>
      <c r="Z2972" s="26" t="s">
        <v>50</v>
      </c>
      <c r="AA2972" s="35" t="s">
        <v>10314</v>
      </c>
      <c r="AB2972" s="26"/>
      <c r="AC2972" s="26" t="s">
        <v>53</v>
      </c>
      <c r="AD2972" s="26" t="s">
        <v>54</v>
      </c>
      <c r="AE2972" s="26"/>
      <c r="AF2972" s="17">
        <v>45481</v>
      </c>
      <c r="AG2972" s="26"/>
      <c r="AH2972" s="26"/>
      <c r="AI2972" s="40"/>
      <c r="AJ2972" s="26"/>
      <c r="AK2972" s="26"/>
      <c r="AL2972" s="35"/>
      <c r="AM2972" s="35"/>
      <c r="AN2972" s="35"/>
      <c r="AO2972" s="35"/>
      <c r="AP2972" s="35"/>
    </row>
    <row r="2973" spans="1:42" x14ac:dyDescent="0.2">
      <c r="A2973" s="126">
        <v>45477.628879479162</v>
      </c>
      <c r="B2973" s="28" t="s">
        <v>37</v>
      </c>
      <c r="C2973" s="41" t="s">
        <v>118</v>
      </c>
      <c r="D2973" s="26" t="s">
        <v>36</v>
      </c>
      <c r="E2973" s="26" t="s">
        <v>56</v>
      </c>
      <c r="F2973" s="26" t="s">
        <v>36</v>
      </c>
      <c r="G2973" s="26" t="s">
        <v>41</v>
      </c>
      <c r="H2973" s="26" t="s">
        <v>7330</v>
      </c>
      <c r="I2973" s="17">
        <f ca="1">IFERROR(__xludf.DUMMYFUNCTION("""COMPUTED_VALUE"""),45509)</f>
        <v>45509</v>
      </c>
      <c r="J2973" s="29" t="s">
        <v>10508</v>
      </c>
      <c r="K2973" s="26" t="s">
        <v>10509</v>
      </c>
      <c r="L2973" s="30">
        <v>373396072</v>
      </c>
      <c r="M2973" s="26" t="s">
        <v>9422</v>
      </c>
      <c r="N2973" s="26" t="s">
        <v>8785</v>
      </c>
      <c r="O2973" s="26" t="s">
        <v>10510</v>
      </c>
      <c r="P2973" s="26" t="s">
        <v>8819</v>
      </c>
      <c r="Q2973" s="20">
        <v>9317</v>
      </c>
      <c r="R2973" s="26" t="s">
        <v>36</v>
      </c>
      <c r="S2973" s="95">
        <v>1000</v>
      </c>
      <c r="T2973" s="148">
        <v>45477</v>
      </c>
      <c r="U2973" s="95">
        <v>8317</v>
      </c>
      <c r="V2973" s="148">
        <v>45508</v>
      </c>
      <c r="W2973" s="33" t="s">
        <v>10511</v>
      </c>
      <c r="X2973" s="26">
        <v>0</v>
      </c>
      <c r="Y2973" s="22">
        <v>0</v>
      </c>
      <c r="Z2973" s="26" t="s">
        <v>50</v>
      </c>
      <c r="AA2973" s="96" t="s">
        <v>10314</v>
      </c>
      <c r="AB2973" s="26"/>
      <c r="AC2973" s="26" t="s">
        <v>53</v>
      </c>
      <c r="AD2973" s="26" t="s">
        <v>138</v>
      </c>
      <c r="AE2973" s="26">
        <v>200</v>
      </c>
      <c r="AF2973" s="17">
        <v>45509</v>
      </c>
      <c r="AG2973" s="26" t="s">
        <v>4279</v>
      </c>
      <c r="AH2973" s="26"/>
      <c r="AI2973" s="40"/>
      <c r="AJ2973" s="26"/>
      <c r="AK2973" s="26"/>
      <c r="AL2973" s="35"/>
      <c r="AM2973" s="35"/>
      <c r="AN2973" s="35"/>
      <c r="AO2973" s="35"/>
      <c r="AP2973" s="35"/>
    </row>
    <row r="2974" spans="1:42" x14ac:dyDescent="0.2">
      <c r="A2974" s="126">
        <v>45477.928153125002</v>
      </c>
      <c r="B2974" s="28" t="s">
        <v>37</v>
      </c>
      <c r="C2974" s="41" t="s">
        <v>118</v>
      </c>
      <c r="D2974" s="26" t="s">
        <v>36</v>
      </c>
      <c r="E2974" s="26" t="s">
        <v>139</v>
      </c>
      <c r="F2974" s="26" t="s">
        <v>36</v>
      </c>
      <c r="G2974" s="26" t="s">
        <v>41</v>
      </c>
      <c r="H2974" s="26" t="s">
        <v>9273</v>
      </c>
      <c r="I2974" s="17">
        <f ca="1">IFERROR(__xludf.DUMMYFUNCTION("""COMPUTED_VALUE"""),45482)</f>
        <v>45482</v>
      </c>
      <c r="J2974" s="29" t="s">
        <v>9868</v>
      </c>
      <c r="K2974" s="26" t="s">
        <v>10512</v>
      </c>
      <c r="L2974" s="30">
        <v>824436683</v>
      </c>
      <c r="M2974" s="26" t="s">
        <v>80</v>
      </c>
      <c r="N2974" s="26" t="s">
        <v>1073</v>
      </c>
      <c r="O2974" s="26" t="s">
        <v>9870</v>
      </c>
      <c r="P2974" s="26" t="s">
        <v>9871</v>
      </c>
      <c r="Q2974" s="20">
        <v>15936</v>
      </c>
      <c r="R2974" s="26" t="s">
        <v>36</v>
      </c>
      <c r="S2974" s="95">
        <f>200+1800</f>
        <v>2000</v>
      </c>
      <c r="T2974" s="83" t="s">
        <v>9872</v>
      </c>
      <c r="U2974" s="95">
        <v>13936</v>
      </c>
      <c r="V2974" s="148">
        <v>45516</v>
      </c>
      <c r="W2974" s="33" t="s">
        <v>9873</v>
      </c>
      <c r="X2974" s="26">
        <v>0</v>
      </c>
      <c r="Y2974" s="22">
        <v>0</v>
      </c>
      <c r="Z2974" s="26" t="s">
        <v>50</v>
      </c>
      <c r="AA2974" s="35" t="s">
        <v>10314</v>
      </c>
      <c r="AB2974" s="26" t="s">
        <v>36</v>
      </c>
      <c r="AC2974" s="26" t="s">
        <v>53</v>
      </c>
      <c r="AD2974" s="26" t="s">
        <v>54</v>
      </c>
      <c r="AE2974" s="26">
        <v>0</v>
      </c>
      <c r="AF2974" s="17">
        <v>45481</v>
      </c>
      <c r="AG2974" s="26"/>
      <c r="AH2974" s="26"/>
      <c r="AI2974" s="40"/>
      <c r="AJ2974" s="26"/>
      <c r="AK2974" s="26"/>
      <c r="AL2974" s="35"/>
      <c r="AM2974" s="35"/>
      <c r="AN2974" s="35"/>
      <c r="AO2974" s="35"/>
      <c r="AP2974" s="35"/>
    </row>
    <row r="2975" spans="1:42" x14ac:dyDescent="0.2">
      <c r="A2975" s="126">
        <v>45477.930162025463</v>
      </c>
      <c r="B2975" s="28" t="s">
        <v>37</v>
      </c>
      <c r="C2975" s="41" t="s">
        <v>118</v>
      </c>
      <c r="D2975" s="26" t="s">
        <v>36</v>
      </c>
      <c r="E2975" s="26" t="s">
        <v>139</v>
      </c>
      <c r="F2975" s="26" t="s">
        <v>36</v>
      </c>
      <c r="G2975" s="26" t="s">
        <v>41</v>
      </c>
      <c r="H2975" s="26" t="s">
        <v>9163</v>
      </c>
      <c r="I2975" s="17">
        <f ca="1">IFERROR(__xludf.DUMMYFUNCTION("""COMPUTED_VALUE"""),45484)</f>
        <v>45484</v>
      </c>
      <c r="J2975" s="29" t="s">
        <v>10283</v>
      </c>
      <c r="K2975" s="26" t="s">
        <v>10513</v>
      </c>
      <c r="L2975" s="30">
        <v>343630805</v>
      </c>
      <c r="M2975" s="26" t="s">
        <v>80</v>
      </c>
      <c r="N2975" s="26" t="s">
        <v>1073</v>
      </c>
      <c r="O2975" s="26" t="s">
        <v>10285</v>
      </c>
      <c r="P2975" s="26" t="s">
        <v>10514</v>
      </c>
      <c r="Q2975" s="20">
        <v>15936</v>
      </c>
      <c r="R2975" s="26" t="s">
        <v>70</v>
      </c>
      <c r="S2975" s="95">
        <f t="shared" ref="S2975:S2976" si="21">1000+3000</f>
        <v>4000</v>
      </c>
      <c r="T2975" s="83" t="s">
        <v>10287</v>
      </c>
      <c r="U2975" s="95">
        <v>11863</v>
      </c>
      <c r="V2975" s="170">
        <v>45506</v>
      </c>
      <c r="W2975" s="33" t="s">
        <v>10288</v>
      </c>
      <c r="X2975" s="26">
        <v>100</v>
      </c>
      <c r="Y2975" s="22">
        <v>-27</v>
      </c>
      <c r="Z2975" s="26" t="s">
        <v>50</v>
      </c>
      <c r="AA2975" s="96" t="s">
        <v>10314</v>
      </c>
      <c r="AB2975" s="26"/>
      <c r="AC2975" s="26" t="s">
        <v>53</v>
      </c>
      <c r="AD2975" s="26" t="s">
        <v>54</v>
      </c>
      <c r="AE2975" s="26">
        <v>0</v>
      </c>
      <c r="AF2975" s="17">
        <v>45481</v>
      </c>
      <c r="AG2975" s="26"/>
      <c r="AH2975" s="26"/>
      <c r="AI2975" s="40"/>
      <c r="AJ2975" s="26"/>
      <c r="AK2975" s="26"/>
      <c r="AL2975" s="35"/>
      <c r="AM2975" s="35"/>
      <c r="AN2975" s="35"/>
      <c r="AO2975" s="35"/>
      <c r="AP2975" s="35"/>
    </row>
    <row r="2976" spans="1:42" x14ac:dyDescent="0.2">
      <c r="A2976" s="126">
        <v>45478.403097719907</v>
      </c>
      <c r="B2976" s="28" t="s">
        <v>37</v>
      </c>
      <c r="C2976" s="41" t="s">
        <v>118</v>
      </c>
      <c r="D2976" s="26" t="s">
        <v>36</v>
      </c>
      <c r="E2976" s="26" t="s">
        <v>139</v>
      </c>
      <c r="F2976" s="26" t="s">
        <v>40</v>
      </c>
      <c r="G2976" s="26" t="s">
        <v>41</v>
      </c>
      <c r="H2976" s="26" t="s">
        <v>9163</v>
      </c>
      <c r="I2976" s="17">
        <f ca="1">IFERROR(__xludf.DUMMYFUNCTION("""COMPUTED_VALUE"""),45484)</f>
        <v>45484</v>
      </c>
      <c r="J2976" s="29" t="s">
        <v>10289</v>
      </c>
      <c r="K2976" s="26" t="s">
        <v>10290</v>
      </c>
      <c r="L2976" s="140">
        <v>339292125</v>
      </c>
      <c r="M2976" s="26" t="s">
        <v>348</v>
      </c>
      <c r="N2976" s="26" t="s">
        <v>68</v>
      </c>
      <c r="O2976" s="26" t="s">
        <v>10291</v>
      </c>
      <c r="P2976" s="26" t="s">
        <v>10515</v>
      </c>
      <c r="Q2976" s="20">
        <v>15936</v>
      </c>
      <c r="R2976" s="26" t="s">
        <v>70</v>
      </c>
      <c r="S2976" s="95">
        <f t="shared" si="21"/>
        <v>4000</v>
      </c>
      <c r="T2976" s="83" t="s">
        <v>10287</v>
      </c>
      <c r="U2976" s="95">
        <v>11863</v>
      </c>
      <c r="V2976" s="148">
        <v>45506</v>
      </c>
      <c r="W2976" s="33" t="s">
        <v>10293</v>
      </c>
      <c r="X2976" s="26">
        <v>100</v>
      </c>
      <c r="Y2976" s="22">
        <v>-27</v>
      </c>
      <c r="Z2976" s="26" t="s">
        <v>50</v>
      </c>
      <c r="AA2976" s="35" t="s">
        <v>10314</v>
      </c>
      <c r="AB2976" s="26"/>
      <c r="AC2976" s="26" t="s">
        <v>53</v>
      </c>
      <c r="AD2976" s="26" t="s">
        <v>54</v>
      </c>
      <c r="AE2976" s="26" t="s">
        <v>5672</v>
      </c>
      <c r="AF2976" s="17">
        <v>45481</v>
      </c>
      <c r="AG2976" s="26"/>
      <c r="AH2976" s="26"/>
      <c r="AI2976" s="40"/>
      <c r="AJ2976" s="26"/>
      <c r="AK2976" s="26"/>
      <c r="AL2976" s="35"/>
      <c r="AM2976" s="35"/>
      <c r="AN2976" s="35"/>
      <c r="AO2976" s="35"/>
      <c r="AP2976" s="35"/>
    </row>
    <row r="2977" spans="1:42" x14ac:dyDescent="0.2">
      <c r="A2977" s="126">
        <v>45478.758086250004</v>
      </c>
      <c r="B2977" s="28" t="s">
        <v>37</v>
      </c>
      <c r="C2977" s="41" t="s">
        <v>118</v>
      </c>
      <c r="D2977" s="26" t="s">
        <v>36</v>
      </c>
      <c r="E2977" s="26" t="s">
        <v>139</v>
      </c>
      <c r="F2977" s="26" t="s">
        <v>36</v>
      </c>
      <c r="G2977" s="26" t="s">
        <v>41</v>
      </c>
      <c r="H2977" s="26" t="s">
        <v>9241</v>
      </c>
      <c r="I2977" s="17">
        <f ca="1">IFERROR(__xludf.DUMMYFUNCTION("""COMPUTED_VALUE"""),45483)</f>
        <v>45483</v>
      </c>
      <c r="J2977" s="29" t="s">
        <v>9857</v>
      </c>
      <c r="K2977" s="26" t="s">
        <v>10516</v>
      </c>
      <c r="L2977" s="30">
        <v>329835829</v>
      </c>
      <c r="M2977" s="26" t="s">
        <v>80</v>
      </c>
      <c r="N2977" s="26" t="s">
        <v>1073</v>
      </c>
      <c r="O2977" s="26" t="s">
        <v>9859</v>
      </c>
      <c r="P2977" s="26" t="s">
        <v>9860</v>
      </c>
      <c r="Q2977" s="20">
        <v>15936</v>
      </c>
      <c r="R2977" s="26" t="s">
        <v>36</v>
      </c>
      <c r="S2977" s="95">
        <f>200+1800</f>
        <v>2000</v>
      </c>
      <c r="T2977" s="83" t="s">
        <v>9861</v>
      </c>
      <c r="U2977" s="95">
        <v>13936</v>
      </c>
      <c r="V2977" s="148">
        <v>45515</v>
      </c>
      <c r="W2977" s="33" t="s">
        <v>9862</v>
      </c>
      <c r="X2977" s="26">
        <v>0</v>
      </c>
      <c r="Y2977" s="22">
        <v>0</v>
      </c>
      <c r="Z2977" s="26" t="s">
        <v>50</v>
      </c>
      <c r="AA2977" s="96" t="s">
        <v>10314</v>
      </c>
      <c r="AB2977" s="26"/>
      <c r="AC2977" s="26" t="s">
        <v>53</v>
      </c>
      <c r="AD2977" s="26" t="s">
        <v>54</v>
      </c>
      <c r="AE2977" s="26">
        <v>0</v>
      </c>
      <c r="AF2977" s="17">
        <v>45482</v>
      </c>
      <c r="AG2977" s="26"/>
      <c r="AH2977" s="26"/>
      <c r="AI2977" s="40"/>
      <c r="AJ2977" s="26"/>
      <c r="AK2977" s="26"/>
      <c r="AL2977" s="35"/>
      <c r="AM2977" s="35"/>
      <c r="AN2977" s="35"/>
      <c r="AO2977" s="35"/>
      <c r="AP2977" s="35"/>
    </row>
    <row r="2978" spans="1:42" x14ac:dyDescent="0.2">
      <c r="A2978" s="126">
        <v>45478.825306782412</v>
      </c>
      <c r="B2978" s="28" t="s">
        <v>37</v>
      </c>
      <c r="C2978" s="41" t="s">
        <v>118</v>
      </c>
      <c r="D2978" s="26" t="s">
        <v>36</v>
      </c>
      <c r="E2978" s="26" t="s">
        <v>39</v>
      </c>
      <c r="F2978" s="26" t="s">
        <v>36</v>
      </c>
      <c r="G2978" s="26" t="s">
        <v>41</v>
      </c>
      <c r="H2978" s="26" t="s">
        <v>9241</v>
      </c>
      <c r="I2978" s="17">
        <f ca="1">IFERROR(__xludf.DUMMYFUNCTION("""COMPUTED_VALUE"""),45483)</f>
        <v>45483</v>
      </c>
      <c r="J2978" s="29" t="s">
        <v>10517</v>
      </c>
      <c r="K2978" s="26" t="s">
        <v>10518</v>
      </c>
      <c r="L2978" s="30">
        <v>768479019</v>
      </c>
      <c r="M2978" s="26" t="s">
        <v>3728</v>
      </c>
      <c r="N2978" s="26" t="s">
        <v>5312</v>
      </c>
      <c r="O2978" s="26" t="s">
        <v>10519</v>
      </c>
      <c r="P2978" s="26" t="s">
        <v>10520</v>
      </c>
      <c r="Q2978" s="20">
        <v>5736</v>
      </c>
      <c r="R2978" s="26" t="s">
        <v>36</v>
      </c>
      <c r="S2978" s="95">
        <v>2000</v>
      </c>
      <c r="T2978" s="148">
        <v>45478</v>
      </c>
      <c r="U2978" s="95">
        <v>3768</v>
      </c>
      <c r="V2978" s="148">
        <v>45517</v>
      </c>
      <c r="W2978" s="33" t="s">
        <v>10521</v>
      </c>
      <c r="X2978" s="26">
        <v>0</v>
      </c>
      <c r="Y2978" s="22">
        <v>-32</v>
      </c>
      <c r="Z2978" s="26" t="s">
        <v>50</v>
      </c>
      <c r="AA2978" s="35" t="s">
        <v>10314</v>
      </c>
      <c r="AB2978" s="26"/>
      <c r="AC2978" s="26" t="s">
        <v>53</v>
      </c>
      <c r="AD2978" s="26" t="s">
        <v>54</v>
      </c>
      <c r="AE2978" s="26"/>
      <c r="AF2978" s="17">
        <v>45481</v>
      </c>
      <c r="AG2978" s="26"/>
      <c r="AH2978" s="26"/>
      <c r="AI2978" s="40"/>
      <c r="AJ2978" s="26"/>
      <c r="AK2978" s="26"/>
      <c r="AL2978" s="35"/>
      <c r="AM2978" s="35"/>
      <c r="AN2978" s="35"/>
      <c r="AO2978" s="35"/>
      <c r="AP2978" s="35"/>
    </row>
    <row r="2979" spans="1:42" x14ac:dyDescent="0.2">
      <c r="A2979" s="126">
        <v>45478.825306782412</v>
      </c>
      <c r="B2979" s="28" t="s">
        <v>37</v>
      </c>
      <c r="C2979" s="41" t="s">
        <v>118</v>
      </c>
      <c r="D2979" s="26" t="s">
        <v>36</v>
      </c>
      <c r="E2979" s="26" t="s">
        <v>139</v>
      </c>
      <c r="F2979" s="26" t="s">
        <v>36</v>
      </c>
      <c r="G2979" s="26" t="s">
        <v>41</v>
      </c>
      <c r="H2979" s="26" t="s">
        <v>9273</v>
      </c>
      <c r="I2979" s="17">
        <f ca="1">IFERROR(__xludf.DUMMYFUNCTION("""COMPUTED_VALUE"""),45482)</f>
        <v>45482</v>
      </c>
      <c r="J2979" s="29" t="s">
        <v>9885</v>
      </c>
      <c r="K2979" s="26" t="s">
        <v>10522</v>
      </c>
      <c r="L2979" s="30">
        <v>946996872</v>
      </c>
      <c r="M2979" s="26" t="s">
        <v>3728</v>
      </c>
      <c r="N2979" s="26" t="s">
        <v>8725</v>
      </c>
      <c r="O2979" s="26" t="s">
        <v>9887</v>
      </c>
      <c r="P2979" s="26" t="s">
        <v>9888</v>
      </c>
      <c r="Q2979" s="20">
        <v>15936</v>
      </c>
      <c r="R2979" s="26" t="s">
        <v>36</v>
      </c>
      <c r="S2979" s="95">
        <f t="shared" ref="S2979:S2980" si="22">200+1800</f>
        <v>2000</v>
      </c>
      <c r="T2979" s="83" t="s">
        <v>9889</v>
      </c>
      <c r="U2979" s="95">
        <v>13936</v>
      </c>
      <c r="V2979" s="148">
        <v>45517</v>
      </c>
      <c r="W2979" s="33" t="s">
        <v>9890</v>
      </c>
      <c r="X2979" s="26">
        <v>0</v>
      </c>
      <c r="Y2979" s="22">
        <v>0</v>
      </c>
      <c r="Z2979" s="26" t="s">
        <v>50</v>
      </c>
      <c r="AA2979" s="96" t="s">
        <v>10314</v>
      </c>
      <c r="AB2979" s="26"/>
      <c r="AC2979" s="26" t="s">
        <v>53</v>
      </c>
      <c r="AD2979" s="26" t="s">
        <v>54</v>
      </c>
      <c r="AE2979" s="26"/>
      <c r="AF2979" s="17">
        <v>45482</v>
      </c>
      <c r="AG2979" s="26"/>
      <c r="AH2979" s="26"/>
      <c r="AI2979" s="40"/>
      <c r="AJ2979" s="26"/>
      <c r="AK2979" s="26"/>
      <c r="AL2979" s="35"/>
      <c r="AM2979" s="35"/>
      <c r="AN2979" s="35"/>
      <c r="AO2979" s="35"/>
      <c r="AP2979" s="35"/>
    </row>
    <row r="2980" spans="1:42" x14ac:dyDescent="0.2">
      <c r="A2980" s="126">
        <v>45478.865298275465</v>
      </c>
      <c r="B2980" s="28" t="s">
        <v>37</v>
      </c>
      <c r="C2980" s="41" t="s">
        <v>118</v>
      </c>
      <c r="D2980" s="26" t="s">
        <v>36</v>
      </c>
      <c r="E2980" s="26" t="s">
        <v>77</v>
      </c>
      <c r="F2980" s="26" t="s">
        <v>36</v>
      </c>
      <c r="G2980" s="26" t="s">
        <v>41</v>
      </c>
      <c r="H2980" s="26" t="s">
        <v>9367</v>
      </c>
      <c r="I2980" s="17">
        <f ca="1">IFERROR(__xludf.DUMMYFUNCTION("""COMPUTED_VALUE"""),45488)</f>
        <v>45488</v>
      </c>
      <c r="J2980" s="29" t="s">
        <v>10523</v>
      </c>
      <c r="K2980" s="26" t="s">
        <v>10524</v>
      </c>
      <c r="L2980" s="30">
        <v>369054593</v>
      </c>
      <c r="M2980" s="26" t="s">
        <v>3728</v>
      </c>
      <c r="N2980" s="26" t="s">
        <v>8725</v>
      </c>
      <c r="O2980" s="26" t="s">
        <v>10525</v>
      </c>
      <c r="P2980" s="26" t="s">
        <v>10526</v>
      </c>
      <c r="Q2980" s="20">
        <v>1968</v>
      </c>
      <c r="R2980" s="26" t="s">
        <v>36</v>
      </c>
      <c r="S2980" s="95">
        <f t="shared" si="22"/>
        <v>2000</v>
      </c>
      <c r="T2980" s="83" t="s">
        <v>10527</v>
      </c>
      <c r="U2980" s="31"/>
      <c r="V2980" s="32"/>
      <c r="W2980" s="26" t="s">
        <v>10528</v>
      </c>
      <c r="X2980" s="26">
        <v>0</v>
      </c>
      <c r="Y2980" s="22">
        <v>-32</v>
      </c>
      <c r="Z2980" s="26" t="s">
        <v>50</v>
      </c>
      <c r="AA2980" s="35" t="s">
        <v>10314</v>
      </c>
      <c r="AB2980" s="26"/>
      <c r="AC2980" s="26" t="s">
        <v>53</v>
      </c>
      <c r="AD2980" s="26" t="s">
        <v>54</v>
      </c>
      <c r="AE2980" s="26"/>
      <c r="AF2980" s="17">
        <v>45488</v>
      </c>
      <c r="AG2980" s="26" t="s">
        <v>7078</v>
      </c>
      <c r="AH2980" s="26"/>
      <c r="AI2980" s="40"/>
      <c r="AJ2980" s="26"/>
      <c r="AK2980" s="26"/>
      <c r="AL2980" s="35"/>
      <c r="AM2980" s="35"/>
      <c r="AN2980" s="35"/>
      <c r="AO2980" s="35"/>
      <c r="AP2980" s="35"/>
    </row>
    <row r="2981" spans="1:42" x14ac:dyDescent="0.2">
      <c r="A2981" s="126">
        <v>45478.882648854167</v>
      </c>
      <c r="B2981" s="28" t="s">
        <v>37</v>
      </c>
      <c r="C2981" s="41" t="s">
        <v>118</v>
      </c>
      <c r="D2981" s="26" t="s">
        <v>36</v>
      </c>
      <c r="E2981" s="26" t="s">
        <v>139</v>
      </c>
      <c r="F2981" s="26" t="s">
        <v>91</v>
      </c>
      <c r="G2981" s="26" t="s">
        <v>41</v>
      </c>
      <c r="H2981" s="26" t="s">
        <v>9360</v>
      </c>
      <c r="I2981" s="17">
        <f ca="1">IFERROR(__xludf.DUMMYFUNCTION("""COMPUTED_VALUE"""),45488)</f>
        <v>45488</v>
      </c>
      <c r="J2981" s="29" t="s">
        <v>10017</v>
      </c>
      <c r="K2981" s="26" t="s">
        <v>10529</v>
      </c>
      <c r="L2981" s="30">
        <v>902075281</v>
      </c>
      <c r="M2981" s="26" t="s">
        <v>5558</v>
      </c>
      <c r="N2981" s="26" t="s">
        <v>5559</v>
      </c>
      <c r="O2981" s="26" t="s">
        <v>4503</v>
      </c>
      <c r="P2981" s="26" t="s">
        <v>10530</v>
      </c>
      <c r="Q2981" s="20">
        <v>15936</v>
      </c>
      <c r="R2981" s="26" t="s">
        <v>36</v>
      </c>
      <c r="S2981" s="95">
        <v>2000</v>
      </c>
      <c r="T2981" s="148">
        <v>45478</v>
      </c>
      <c r="U2981" s="31">
        <v>13936</v>
      </c>
      <c r="V2981" s="32">
        <v>45505</v>
      </c>
      <c r="W2981" s="33" t="s">
        <v>10020</v>
      </c>
      <c r="X2981" s="26">
        <v>0</v>
      </c>
      <c r="Y2981" s="22">
        <v>0</v>
      </c>
      <c r="Z2981" s="26" t="s">
        <v>50</v>
      </c>
      <c r="AA2981" s="96" t="s">
        <v>10314</v>
      </c>
      <c r="AB2981" s="26"/>
      <c r="AC2981" s="26" t="s">
        <v>53</v>
      </c>
      <c r="AD2981" s="26" t="s">
        <v>54</v>
      </c>
      <c r="AE2981" s="26"/>
      <c r="AF2981" s="17">
        <v>45484</v>
      </c>
      <c r="AG2981" s="26"/>
      <c r="AH2981" s="26"/>
      <c r="AI2981" s="40"/>
      <c r="AJ2981" s="26"/>
      <c r="AK2981" s="26"/>
      <c r="AL2981" s="35"/>
      <c r="AM2981" s="35"/>
      <c r="AN2981" s="35"/>
      <c r="AO2981" s="35"/>
      <c r="AP2981" s="35"/>
    </row>
    <row r="2982" spans="1:42" x14ac:dyDescent="0.2">
      <c r="A2982" s="126">
        <v>45478.897758969906</v>
      </c>
      <c r="B2982" s="28" t="s">
        <v>37</v>
      </c>
      <c r="C2982" s="41" t="s">
        <v>118</v>
      </c>
      <c r="D2982" s="26" t="s">
        <v>36</v>
      </c>
      <c r="E2982" s="26" t="s">
        <v>139</v>
      </c>
      <c r="F2982" s="26" t="s">
        <v>40</v>
      </c>
      <c r="G2982" s="26" t="s">
        <v>41</v>
      </c>
      <c r="H2982" s="26" t="s">
        <v>9547</v>
      </c>
      <c r="I2982" s="17">
        <f ca="1">IFERROR(__xludf.DUMMYFUNCTION("""COMPUTED_VALUE"""),45495)</f>
        <v>45495</v>
      </c>
      <c r="J2982" s="29" t="s">
        <v>10277</v>
      </c>
      <c r="K2982" s="26" t="s">
        <v>10531</v>
      </c>
      <c r="L2982" s="30">
        <v>987461910</v>
      </c>
      <c r="M2982" s="26" t="s">
        <v>5429</v>
      </c>
      <c r="N2982" s="26" t="s">
        <v>1594</v>
      </c>
      <c r="O2982" s="26" t="s">
        <v>10278</v>
      </c>
      <c r="P2982" s="26" t="s">
        <v>10532</v>
      </c>
      <c r="Q2982" s="20">
        <v>15936</v>
      </c>
      <c r="R2982" s="26" t="s">
        <v>36</v>
      </c>
      <c r="S2982" s="95">
        <f>2000+3936</f>
        <v>5936</v>
      </c>
      <c r="T2982" s="148">
        <v>45478</v>
      </c>
      <c r="U2982" s="95">
        <v>10000</v>
      </c>
      <c r="V2982" s="83" t="s">
        <v>10280</v>
      </c>
      <c r="W2982" s="33" t="s">
        <v>10281</v>
      </c>
      <c r="X2982" s="26">
        <v>0</v>
      </c>
      <c r="Y2982" s="22">
        <v>0</v>
      </c>
      <c r="Z2982" s="26" t="s">
        <v>50</v>
      </c>
      <c r="AA2982" s="35" t="s">
        <v>10314</v>
      </c>
      <c r="AB2982" s="26"/>
      <c r="AC2982" s="26" t="s">
        <v>53</v>
      </c>
      <c r="AD2982" s="26" t="s">
        <v>54</v>
      </c>
      <c r="AE2982" s="26" t="s">
        <v>430</v>
      </c>
      <c r="AF2982" s="17">
        <v>45491</v>
      </c>
      <c r="AG2982" s="26"/>
      <c r="AH2982" s="26"/>
      <c r="AI2982" s="40"/>
      <c r="AJ2982" s="26"/>
      <c r="AK2982" s="26"/>
      <c r="AL2982" s="35"/>
      <c r="AM2982" s="35"/>
      <c r="AN2982" s="35"/>
      <c r="AO2982" s="35"/>
      <c r="AP2982" s="35"/>
    </row>
    <row r="2983" spans="1:42" x14ac:dyDescent="0.2">
      <c r="A2983" s="126">
        <v>45478.94854232639</v>
      </c>
      <c r="B2983" s="28" t="s">
        <v>37</v>
      </c>
      <c r="C2983" s="41" t="s">
        <v>118</v>
      </c>
      <c r="D2983" s="26" t="s">
        <v>36</v>
      </c>
      <c r="E2983" s="26" t="s">
        <v>139</v>
      </c>
      <c r="F2983" s="26" t="s">
        <v>36</v>
      </c>
      <c r="G2983" s="26" t="s">
        <v>41</v>
      </c>
      <c r="H2983" s="26" t="s">
        <v>9360</v>
      </c>
      <c r="I2983" s="17">
        <f ca="1">IFERROR(__xludf.DUMMYFUNCTION("""COMPUTED_VALUE"""),45488)</f>
        <v>45488</v>
      </c>
      <c r="J2983" s="29" t="s">
        <v>10533</v>
      </c>
      <c r="K2983" s="26" t="s">
        <v>10534</v>
      </c>
      <c r="L2983" s="30">
        <v>326715309</v>
      </c>
      <c r="M2983" s="26" t="s">
        <v>5518</v>
      </c>
      <c r="N2983" s="26" t="s">
        <v>186</v>
      </c>
      <c r="O2983" s="26" t="s">
        <v>10535</v>
      </c>
      <c r="P2983" s="26" t="s">
        <v>10536</v>
      </c>
      <c r="Q2983" s="20">
        <v>15936</v>
      </c>
      <c r="R2983" s="26" t="s">
        <v>36</v>
      </c>
      <c r="S2983" s="95">
        <v>2000</v>
      </c>
      <c r="T2983" s="148">
        <v>45478</v>
      </c>
      <c r="U2983" s="95">
        <f>9936+4000</f>
        <v>13936</v>
      </c>
      <c r="V2983" s="83" t="s">
        <v>10537</v>
      </c>
      <c r="W2983" s="33" t="s">
        <v>10538</v>
      </c>
      <c r="X2983" s="26">
        <v>0</v>
      </c>
      <c r="Y2983" s="22">
        <v>0</v>
      </c>
      <c r="Z2983" s="26" t="s">
        <v>50</v>
      </c>
      <c r="AA2983" s="96" t="s">
        <v>10314</v>
      </c>
      <c r="AB2983" s="26"/>
      <c r="AC2983" s="26" t="s">
        <v>53</v>
      </c>
      <c r="AD2983" s="26" t="s">
        <v>54</v>
      </c>
      <c r="AE2983" s="26">
        <v>0</v>
      </c>
      <c r="AF2983" s="17">
        <v>45484</v>
      </c>
      <c r="AG2983" s="26"/>
      <c r="AH2983" s="26"/>
      <c r="AI2983" s="40"/>
      <c r="AJ2983" s="26"/>
      <c r="AK2983" s="26"/>
      <c r="AL2983" s="35"/>
      <c r="AM2983" s="35"/>
      <c r="AN2983" s="35"/>
      <c r="AO2983" s="35"/>
      <c r="AP2983" s="35"/>
    </row>
    <row r="2984" spans="1:42" x14ac:dyDescent="0.2">
      <c r="A2984" s="126">
        <v>45478.960801956018</v>
      </c>
      <c r="B2984" s="28" t="s">
        <v>37</v>
      </c>
      <c r="C2984" s="41" t="s">
        <v>118</v>
      </c>
      <c r="D2984" s="26" t="s">
        <v>36</v>
      </c>
      <c r="E2984" s="26" t="s">
        <v>119</v>
      </c>
      <c r="F2984" s="26" t="s">
        <v>36</v>
      </c>
      <c r="G2984" s="26" t="s">
        <v>108</v>
      </c>
      <c r="H2984" s="26" t="s">
        <v>8708</v>
      </c>
      <c r="I2984" s="17">
        <f ca="1">IFERROR(__xludf.DUMMYFUNCTION("""COMPUTED_VALUE"""),45492)</f>
        <v>45492</v>
      </c>
      <c r="J2984" s="29" t="s">
        <v>10539</v>
      </c>
      <c r="K2984" s="26" t="s">
        <v>10540</v>
      </c>
      <c r="L2984" s="30">
        <v>868601098</v>
      </c>
      <c r="M2984" s="26" t="s">
        <v>80</v>
      </c>
      <c r="N2984" s="26" t="s">
        <v>1073</v>
      </c>
      <c r="O2984" s="26" t="s">
        <v>10541</v>
      </c>
      <c r="P2984" s="26" t="s">
        <v>10542</v>
      </c>
      <c r="Q2984" s="20">
        <v>13968</v>
      </c>
      <c r="R2984" s="26" t="s">
        <v>36</v>
      </c>
      <c r="S2984" s="95">
        <f>200+3800</f>
        <v>4000</v>
      </c>
      <c r="T2984" s="83" t="s">
        <v>10543</v>
      </c>
      <c r="U2984" s="95">
        <v>9968</v>
      </c>
      <c r="V2984" s="148">
        <v>45512</v>
      </c>
      <c r="W2984" s="33" t="s">
        <v>10544</v>
      </c>
      <c r="X2984" s="26">
        <v>0</v>
      </c>
      <c r="Y2984" s="22">
        <v>0</v>
      </c>
      <c r="Z2984" s="26" t="s">
        <v>50</v>
      </c>
      <c r="AA2984" s="35" t="s">
        <v>10314</v>
      </c>
      <c r="AB2984" s="26"/>
      <c r="AC2984" s="26" t="s">
        <v>53</v>
      </c>
      <c r="AD2984" s="26" t="s">
        <v>54</v>
      </c>
      <c r="AE2984" s="26">
        <v>550</v>
      </c>
      <c r="AF2984" s="17">
        <v>45489</v>
      </c>
      <c r="AG2984" s="26"/>
      <c r="AH2984" s="26"/>
      <c r="AI2984" s="40"/>
      <c r="AJ2984" s="26"/>
      <c r="AK2984" s="26"/>
      <c r="AL2984" s="35"/>
      <c r="AM2984" s="35"/>
      <c r="AN2984" s="35"/>
      <c r="AO2984" s="35"/>
      <c r="AP2984" s="35"/>
    </row>
    <row r="2985" spans="1:42" x14ac:dyDescent="0.2">
      <c r="A2985" s="126">
        <v>45478.989398923615</v>
      </c>
      <c r="B2985" s="28" t="s">
        <v>37</v>
      </c>
      <c r="C2985" s="41" t="s">
        <v>118</v>
      </c>
      <c r="D2985" s="26" t="s">
        <v>36</v>
      </c>
      <c r="E2985" s="26" t="s">
        <v>77</v>
      </c>
      <c r="F2985" s="26" t="s">
        <v>91</v>
      </c>
      <c r="G2985" s="26" t="s">
        <v>41</v>
      </c>
      <c r="H2985" s="26" t="s">
        <v>9367</v>
      </c>
      <c r="I2985" s="17">
        <f ca="1">IFERROR(__xludf.DUMMYFUNCTION("""COMPUTED_VALUE"""),45488)</f>
        <v>45488</v>
      </c>
      <c r="J2985" s="29" t="s">
        <v>10545</v>
      </c>
      <c r="K2985" s="26" t="s">
        <v>10546</v>
      </c>
      <c r="L2985" s="30">
        <v>373119215</v>
      </c>
      <c r="M2985" s="26" t="s">
        <v>5558</v>
      </c>
      <c r="N2985" s="26" t="s">
        <v>5559</v>
      </c>
      <c r="O2985" s="26" t="s">
        <v>4503</v>
      </c>
      <c r="P2985" s="26" t="s">
        <v>10547</v>
      </c>
      <c r="Q2985" s="20">
        <v>1968</v>
      </c>
      <c r="R2985" s="26" t="s">
        <v>36</v>
      </c>
      <c r="S2985" s="95">
        <v>2000</v>
      </c>
      <c r="T2985" s="148">
        <v>45478</v>
      </c>
      <c r="U2985" s="31"/>
      <c r="V2985" s="32"/>
      <c r="W2985" s="55" t="s">
        <v>10548</v>
      </c>
      <c r="X2985" s="26">
        <v>0</v>
      </c>
      <c r="Y2985" s="22">
        <v>-32</v>
      </c>
      <c r="Z2985" s="26" t="s">
        <v>50</v>
      </c>
      <c r="AA2985" s="96" t="s">
        <v>10314</v>
      </c>
      <c r="AB2985" s="26"/>
      <c r="AC2985" s="26" t="s">
        <v>53</v>
      </c>
      <c r="AD2985" s="26" t="s">
        <v>54</v>
      </c>
      <c r="AE2985" s="26"/>
      <c r="AF2985" s="17">
        <v>45484</v>
      </c>
      <c r="AG2985" s="26" t="s">
        <v>7078</v>
      </c>
      <c r="AH2985" s="26"/>
      <c r="AI2985" s="40"/>
      <c r="AJ2985" s="26"/>
      <c r="AK2985" s="26"/>
      <c r="AL2985" s="35"/>
      <c r="AM2985" s="35"/>
      <c r="AN2985" s="35"/>
      <c r="AO2985" s="35"/>
      <c r="AP2985" s="35"/>
    </row>
    <row r="2986" spans="1:42" x14ac:dyDescent="0.2">
      <c r="A2986" s="126">
        <v>45478.998388148146</v>
      </c>
      <c r="B2986" s="28" t="s">
        <v>37</v>
      </c>
      <c r="C2986" s="41" t="s">
        <v>118</v>
      </c>
      <c r="D2986" s="26" t="s">
        <v>36</v>
      </c>
      <c r="E2986" s="26" t="s">
        <v>77</v>
      </c>
      <c r="F2986" s="26" t="s">
        <v>36</v>
      </c>
      <c r="G2986" s="26" t="s">
        <v>41</v>
      </c>
      <c r="H2986" s="26" t="s">
        <v>9367</v>
      </c>
      <c r="I2986" s="17">
        <f ca="1">IFERROR(__xludf.DUMMYFUNCTION("""COMPUTED_VALUE"""),45488)</f>
        <v>45488</v>
      </c>
      <c r="J2986" s="29" t="s">
        <v>10549</v>
      </c>
      <c r="K2986" s="26" t="s">
        <v>10550</v>
      </c>
      <c r="L2986" s="30">
        <v>867285495</v>
      </c>
      <c r="M2986" s="26" t="s">
        <v>80</v>
      </c>
      <c r="N2986" s="26" t="s">
        <v>1073</v>
      </c>
      <c r="O2986" s="26" t="s">
        <v>10551</v>
      </c>
      <c r="P2986" s="26" t="s">
        <v>10552</v>
      </c>
      <c r="Q2986" s="20">
        <v>1968</v>
      </c>
      <c r="R2986" s="26" t="s">
        <v>36</v>
      </c>
      <c r="S2986" s="95">
        <f>200+1800</f>
        <v>2000</v>
      </c>
      <c r="T2986" s="83" t="s">
        <v>9889</v>
      </c>
      <c r="U2986" s="31"/>
      <c r="V2986" s="32"/>
      <c r="W2986" s="33" t="s">
        <v>10553</v>
      </c>
      <c r="X2986" s="26">
        <v>0</v>
      </c>
      <c r="Y2986" s="22">
        <v>-32</v>
      </c>
      <c r="Z2986" s="26" t="s">
        <v>50</v>
      </c>
      <c r="AA2986" s="35" t="s">
        <v>10314</v>
      </c>
      <c r="AB2986" s="26"/>
      <c r="AC2986" s="26" t="s">
        <v>53</v>
      </c>
      <c r="AD2986" s="26" t="s">
        <v>54</v>
      </c>
      <c r="AE2986" s="26">
        <v>0</v>
      </c>
      <c r="AF2986" s="17">
        <v>45485</v>
      </c>
      <c r="AG2986" s="26" t="s">
        <v>7078</v>
      </c>
      <c r="AH2986" s="26"/>
      <c r="AI2986" s="40"/>
      <c r="AJ2986" s="26"/>
      <c r="AK2986" s="26"/>
      <c r="AL2986" s="35"/>
      <c r="AM2986" s="35"/>
      <c r="AN2986" s="35"/>
      <c r="AO2986" s="35"/>
      <c r="AP2986" s="35"/>
    </row>
    <row r="2987" spans="1:42" x14ac:dyDescent="0.2">
      <c r="A2987" s="126">
        <v>45479.515142916665</v>
      </c>
      <c r="B2987" s="28" t="s">
        <v>37</v>
      </c>
      <c r="C2987" s="41" t="s">
        <v>118</v>
      </c>
      <c r="D2987" s="26" t="s">
        <v>36</v>
      </c>
      <c r="E2987" s="26" t="s">
        <v>139</v>
      </c>
      <c r="F2987" s="26" t="s">
        <v>36</v>
      </c>
      <c r="G2987" s="26" t="s">
        <v>41</v>
      </c>
      <c r="H2987" s="26" t="s">
        <v>9273</v>
      </c>
      <c r="I2987" s="17">
        <f ca="1">IFERROR(__xludf.DUMMYFUNCTION("""COMPUTED_VALUE"""),45482)</f>
        <v>45482</v>
      </c>
      <c r="J2987" s="29" t="s">
        <v>10554</v>
      </c>
      <c r="K2987" s="26" t="s">
        <v>9881</v>
      </c>
      <c r="L2987" s="30">
        <v>941671229</v>
      </c>
      <c r="M2987" s="26" t="s">
        <v>3728</v>
      </c>
      <c r="N2987" s="26" t="s">
        <v>8725</v>
      </c>
      <c r="O2987" s="26" t="s">
        <v>9882</v>
      </c>
      <c r="P2987" s="26" t="s">
        <v>10555</v>
      </c>
      <c r="Q2987" s="20">
        <v>15936</v>
      </c>
      <c r="R2987" s="26" t="s">
        <v>36</v>
      </c>
      <c r="S2987" s="95">
        <v>2000</v>
      </c>
      <c r="T2987" s="148">
        <v>45479</v>
      </c>
      <c r="U2987" s="95">
        <v>13936</v>
      </c>
      <c r="V2987" s="148">
        <v>45515</v>
      </c>
      <c r="W2987" s="33" t="s">
        <v>9884</v>
      </c>
      <c r="X2987" s="26">
        <v>0</v>
      </c>
      <c r="Y2987" s="22">
        <v>0</v>
      </c>
      <c r="Z2987" s="26" t="s">
        <v>50</v>
      </c>
      <c r="AA2987" s="96" t="s">
        <v>10314</v>
      </c>
      <c r="AB2987" s="26"/>
      <c r="AC2987" s="26" t="s">
        <v>53</v>
      </c>
      <c r="AD2987" s="26" t="s">
        <v>54</v>
      </c>
      <c r="AE2987" s="26"/>
      <c r="AF2987" s="17">
        <v>45479</v>
      </c>
      <c r="AG2987" s="26"/>
      <c r="AH2987" s="26"/>
      <c r="AI2987" s="40"/>
      <c r="AJ2987" s="26"/>
      <c r="AK2987" s="26"/>
      <c r="AL2987" s="35"/>
      <c r="AM2987" s="35"/>
      <c r="AN2987" s="35"/>
      <c r="AO2987" s="35"/>
      <c r="AP2987" s="35"/>
    </row>
    <row r="2988" spans="1:42" x14ac:dyDescent="0.2">
      <c r="A2988" s="126">
        <v>45480.348284108797</v>
      </c>
      <c r="B2988" s="28" t="s">
        <v>37</v>
      </c>
      <c r="C2988" s="41" t="s">
        <v>118</v>
      </c>
      <c r="D2988" s="26" t="s">
        <v>36</v>
      </c>
      <c r="E2988" s="26" t="s">
        <v>119</v>
      </c>
      <c r="F2988" s="26" t="s">
        <v>40</v>
      </c>
      <c r="G2988" s="26" t="s">
        <v>108</v>
      </c>
      <c r="H2988" s="26" t="s">
        <v>1242</v>
      </c>
      <c r="I2988" s="17">
        <f ca="1">IFERROR(__xludf.DUMMYFUNCTION("""COMPUTED_VALUE"""),45510)</f>
        <v>45510</v>
      </c>
      <c r="J2988" s="29" t="s">
        <v>10556</v>
      </c>
      <c r="K2988" s="26" t="s">
        <v>10557</v>
      </c>
      <c r="L2988" s="30">
        <v>971214206</v>
      </c>
      <c r="M2988" s="26" t="s">
        <v>5429</v>
      </c>
      <c r="N2988" s="26" t="s">
        <v>9997</v>
      </c>
      <c r="O2988" s="26" t="s">
        <v>10558</v>
      </c>
      <c r="P2988" s="26" t="s">
        <v>10559</v>
      </c>
      <c r="Q2988" s="20">
        <v>13968</v>
      </c>
      <c r="R2988" s="26" t="s">
        <v>36</v>
      </c>
      <c r="S2988" s="95">
        <f>200+3800</f>
        <v>4000</v>
      </c>
      <c r="T2988" s="83" t="s">
        <v>10560</v>
      </c>
      <c r="U2988" s="95">
        <v>9968</v>
      </c>
      <c r="V2988" s="148">
        <v>45524</v>
      </c>
      <c r="W2988" s="33" t="s">
        <v>10561</v>
      </c>
      <c r="X2988" s="26">
        <v>0</v>
      </c>
      <c r="Y2988" s="22">
        <v>0</v>
      </c>
      <c r="Z2988" s="26" t="s">
        <v>50</v>
      </c>
      <c r="AA2988" s="35" t="s">
        <v>10314</v>
      </c>
      <c r="AB2988" s="26"/>
      <c r="AC2988" s="26" t="s">
        <v>53</v>
      </c>
      <c r="AD2988" s="26" t="s">
        <v>54</v>
      </c>
      <c r="AE2988" s="26">
        <v>640</v>
      </c>
      <c r="AF2988" s="17">
        <v>45505</v>
      </c>
      <c r="AG2988" s="26"/>
      <c r="AH2988" s="26"/>
      <c r="AI2988" s="40"/>
      <c r="AJ2988" s="26"/>
      <c r="AK2988" s="26"/>
      <c r="AL2988" s="35"/>
      <c r="AM2988" s="35"/>
      <c r="AN2988" s="35"/>
      <c r="AO2988" s="35"/>
      <c r="AP2988" s="35"/>
    </row>
    <row r="2989" spans="1:42" x14ac:dyDescent="0.2">
      <c r="A2989" s="126">
        <v>45480.401630717592</v>
      </c>
      <c r="B2989" s="28" t="s">
        <v>37</v>
      </c>
      <c r="C2989" s="41" t="s">
        <v>118</v>
      </c>
      <c r="D2989" s="26" t="s">
        <v>36</v>
      </c>
      <c r="E2989" s="26" t="s">
        <v>119</v>
      </c>
      <c r="F2989" s="26" t="s">
        <v>36</v>
      </c>
      <c r="G2989" s="26" t="s">
        <v>108</v>
      </c>
      <c r="H2989" s="26" t="s">
        <v>8704</v>
      </c>
      <c r="I2989" s="17">
        <f ca="1">IFERROR(__xludf.DUMMYFUNCTION("""COMPUTED_VALUE"""),45490)</f>
        <v>45490</v>
      </c>
      <c r="J2989" s="29" t="s">
        <v>10562</v>
      </c>
      <c r="K2989" s="26" t="s">
        <v>10563</v>
      </c>
      <c r="L2989" s="30">
        <v>398378429</v>
      </c>
      <c r="M2989" s="26" t="s">
        <v>3498</v>
      </c>
      <c r="N2989" s="26" t="s">
        <v>2756</v>
      </c>
      <c r="O2989" s="26" t="s">
        <v>4503</v>
      </c>
      <c r="P2989" s="26" t="s">
        <v>10564</v>
      </c>
      <c r="Q2989" s="20">
        <v>13968</v>
      </c>
      <c r="R2989" s="26" t="s">
        <v>36</v>
      </c>
      <c r="S2989" s="95">
        <v>3768</v>
      </c>
      <c r="T2989" s="148">
        <v>45476</v>
      </c>
      <c r="U2989" s="95">
        <v>10200</v>
      </c>
      <c r="V2989" s="148">
        <v>45507</v>
      </c>
      <c r="W2989" s="26" t="s">
        <v>10565</v>
      </c>
      <c r="X2989" s="26">
        <v>0</v>
      </c>
      <c r="Y2989" s="22">
        <v>0</v>
      </c>
      <c r="Z2989" s="26" t="s">
        <v>50</v>
      </c>
      <c r="AA2989" s="96" t="s">
        <v>10314</v>
      </c>
      <c r="AB2989" s="26"/>
      <c r="AC2989" s="26" t="s">
        <v>53</v>
      </c>
      <c r="AD2989" s="26" t="s">
        <v>54</v>
      </c>
      <c r="AE2989" s="26">
        <v>540</v>
      </c>
      <c r="AF2989" s="17">
        <v>45482</v>
      </c>
      <c r="AG2989" s="26"/>
      <c r="AH2989" s="26"/>
      <c r="AI2989" s="40"/>
      <c r="AJ2989" s="26"/>
      <c r="AK2989" s="26"/>
      <c r="AL2989" s="35"/>
      <c r="AM2989" s="35"/>
      <c r="AN2989" s="35"/>
      <c r="AO2989" s="35"/>
      <c r="AP2989" s="35"/>
    </row>
    <row r="2990" spans="1:42" x14ac:dyDescent="0.2">
      <c r="A2990" s="126">
        <v>45480.493433032403</v>
      </c>
      <c r="B2990" s="28" t="s">
        <v>37</v>
      </c>
      <c r="C2990" s="41" t="s">
        <v>118</v>
      </c>
      <c r="D2990" s="26" t="s">
        <v>36</v>
      </c>
      <c r="E2990" s="26" t="s">
        <v>106</v>
      </c>
      <c r="F2990" s="26" t="s">
        <v>36</v>
      </c>
      <c r="G2990" s="26" t="s">
        <v>108</v>
      </c>
      <c r="H2990" s="26" t="s">
        <v>8708</v>
      </c>
      <c r="I2990" s="17">
        <f ca="1">IFERROR(__xludf.DUMMYFUNCTION("""COMPUTED_VALUE"""),45492)</f>
        <v>45492</v>
      </c>
      <c r="J2990" s="29" t="s">
        <v>10566</v>
      </c>
      <c r="K2990" s="26" t="s">
        <v>10567</v>
      </c>
      <c r="L2990" s="30">
        <v>865162006</v>
      </c>
      <c r="M2990" s="26" t="s">
        <v>80</v>
      </c>
      <c r="N2990" s="26" t="s">
        <v>1073</v>
      </c>
      <c r="O2990" s="26" t="s">
        <v>10568</v>
      </c>
      <c r="P2990" s="26" t="s">
        <v>10569</v>
      </c>
      <c r="Q2990" s="20">
        <v>3768</v>
      </c>
      <c r="R2990" s="26" t="s">
        <v>36</v>
      </c>
      <c r="S2990" s="95">
        <f>200+3800</f>
        <v>4000</v>
      </c>
      <c r="T2990" s="83" t="s">
        <v>10570</v>
      </c>
      <c r="U2990" s="31"/>
      <c r="V2990" s="32"/>
      <c r="W2990" s="33" t="s">
        <v>10571</v>
      </c>
      <c r="X2990" s="26">
        <v>0</v>
      </c>
      <c r="Y2990" s="22">
        <v>-232</v>
      </c>
      <c r="Z2990" s="26" t="s">
        <v>50</v>
      </c>
      <c r="AA2990" s="35" t="s">
        <v>10314</v>
      </c>
      <c r="AB2990" s="26"/>
      <c r="AC2990" s="26" t="s">
        <v>53</v>
      </c>
      <c r="AD2990" s="26" t="s">
        <v>54</v>
      </c>
      <c r="AE2990" s="26">
        <v>440</v>
      </c>
      <c r="AF2990" s="17">
        <v>45488</v>
      </c>
      <c r="AG2990" s="26" t="s">
        <v>7078</v>
      </c>
      <c r="AH2990" s="26"/>
      <c r="AI2990" s="40"/>
      <c r="AJ2990" s="26"/>
      <c r="AK2990" s="26"/>
      <c r="AL2990" s="35"/>
      <c r="AM2990" s="35"/>
      <c r="AN2990" s="35"/>
      <c r="AO2990" s="35"/>
      <c r="AP2990" s="35"/>
    </row>
    <row r="2991" spans="1:42" x14ac:dyDescent="0.2">
      <c r="A2991" s="126">
        <v>45480.971806712958</v>
      </c>
      <c r="B2991" s="28" t="s">
        <v>37</v>
      </c>
      <c r="C2991" s="41" t="s">
        <v>118</v>
      </c>
      <c r="D2991" s="26" t="s">
        <v>36</v>
      </c>
      <c r="E2991" s="26" t="s">
        <v>119</v>
      </c>
      <c r="F2991" s="26" t="s">
        <v>36</v>
      </c>
      <c r="G2991" s="26" t="s">
        <v>108</v>
      </c>
      <c r="H2991" s="26" t="s">
        <v>8602</v>
      </c>
      <c r="I2991" s="17">
        <f ca="1">IFERROR(__xludf.DUMMYFUNCTION("""COMPUTED_VALUE"""),45485)</f>
        <v>45485</v>
      </c>
      <c r="J2991" s="29" t="s">
        <v>10572</v>
      </c>
      <c r="K2991" s="26" t="s">
        <v>10573</v>
      </c>
      <c r="L2991" s="30">
        <v>382458066</v>
      </c>
      <c r="M2991" s="26" t="s">
        <v>3728</v>
      </c>
      <c r="N2991" s="26" t="s">
        <v>5312</v>
      </c>
      <c r="O2991" s="26" t="s">
        <v>10574</v>
      </c>
      <c r="P2991" s="26" t="s">
        <v>10575</v>
      </c>
      <c r="Q2991" s="20">
        <v>13968</v>
      </c>
      <c r="R2991" s="26" t="s">
        <v>36</v>
      </c>
      <c r="S2991" s="95">
        <v>4000</v>
      </c>
      <c r="T2991" s="148">
        <v>45480</v>
      </c>
      <c r="U2991" s="95">
        <v>9968</v>
      </c>
      <c r="V2991" s="148">
        <v>45507</v>
      </c>
      <c r="W2991" s="33" t="s">
        <v>10576</v>
      </c>
      <c r="X2991" s="26">
        <v>0</v>
      </c>
      <c r="Y2991" s="22">
        <v>0</v>
      </c>
      <c r="Z2991" s="26" t="s">
        <v>50</v>
      </c>
      <c r="AA2991" s="96" t="s">
        <v>10314</v>
      </c>
      <c r="AB2991" s="26"/>
      <c r="AC2991" s="26" t="s">
        <v>53</v>
      </c>
      <c r="AD2991" s="26" t="s">
        <v>54</v>
      </c>
      <c r="AE2991" s="26">
        <v>400</v>
      </c>
      <c r="AF2991" s="17">
        <v>45481</v>
      </c>
      <c r="AG2991" s="26"/>
      <c r="AH2991" s="26"/>
      <c r="AI2991" s="40"/>
      <c r="AJ2991" s="26"/>
      <c r="AK2991" s="26"/>
      <c r="AL2991" s="35"/>
      <c r="AM2991" s="35"/>
      <c r="AN2991" s="35"/>
      <c r="AO2991" s="35"/>
      <c r="AP2991" s="35"/>
    </row>
    <row r="2992" spans="1:42" x14ac:dyDescent="0.2">
      <c r="A2992" s="126">
        <v>45481.001325937497</v>
      </c>
      <c r="B2992" s="28" t="s">
        <v>37</v>
      </c>
      <c r="C2992" s="41" t="s">
        <v>118</v>
      </c>
      <c r="D2992" s="26" t="s">
        <v>36</v>
      </c>
      <c r="E2992" s="26" t="s">
        <v>77</v>
      </c>
      <c r="F2992" s="26" t="s">
        <v>36</v>
      </c>
      <c r="G2992" s="26" t="s">
        <v>41</v>
      </c>
      <c r="H2992" s="26" t="s">
        <v>9405</v>
      </c>
      <c r="I2992" s="17">
        <f ca="1">IFERROR(__xludf.DUMMYFUNCTION("""COMPUTED_VALUE"""),45488)</f>
        <v>45488</v>
      </c>
      <c r="J2992" s="29" t="s">
        <v>10577</v>
      </c>
      <c r="K2992" s="26" t="s">
        <v>10578</v>
      </c>
      <c r="L2992" s="30">
        <v>339518198</v>
      </c>
      <c r="M2992" s="26" t="s">
        <v>2755</v>
      </c>
      <c r="N2992" s="26" t="s">
        <v>2756</v>
      </c>
      <c r="O2992" s="26" t="s">
        <v>4503</v>
      </c>
      <c r="P2992" s="26" t="s">
        <v>10579</v>
      </c>
      <c r="Q2992" s="20">
        <v>1968</v>
      </c>
      <c r="R2992" s="26" t="s">
        <v>36</v>
      </c>
      <c r="S2992" s="95">
        <f>200+1768</f>
        <v>1968</v>
      </c>
      <c r="T2992" s="83" t="s">
        <v>10580</v>
      </c>
      <c r="U2992" s="31"/>
      <c r="V2992" s="32"/>
      <c r="W2992" s="33" t="s">
        <v>10581</v>
      </c>
      <c r="X2992" s="26">
        <v>0</v>
      </c>
      <c r="Y2992" s="22">
        <v>0</v>
      </c>
      <c r="Z2992" s="26" t="s">
        <v>50</v>
      </c>
      <c r="AA2992" s="35" t="s">
        <v>10314</v>
      </c>
      <c r="AB2992" s="26"/>
      <c r="AC2992" s="26" t="s">
        <v>53</v>
      </c>
      <c r="AD2992" s="26" t="s">
        <v>54</v>
      </c>
      <c r="AE2992" s="26" t="s">
        <v>72</v>
      </c>
      <c r="AF2992" s="17">
        <v>45485</v>
      </c>
      <c r="AG2992" s="26" t="s">
        <v>7078</v>
      </c>
      <c r="AH2992" s="26"/>
      <c r="AI2992" s="40"/>
      <c r="AJ2992" s="26"/>
      <c r="AK2992" s="26"/>
      <c r="AL2992" s="35"/>
      <c r="AM2992" s="35"/>
      <c r="AN2992" s="35"/>
      <c r="AO2992" s="35"/>
      <c r="AP2992" s="35"/>
    </row>
    <row r="2993" spans="1:42" x14ac:dyDescent="0.2">
      <c r="A2993" s="126">
        <v>45481.382524456014</v>
      </c>
      <c r="B2993" s="28" t="s">
        <v>37</v>
      </c>
      <c r="C2993" s="41" t="s">
        <v>118</v>
      </c>
      <c r="D2993" s="26" t="s">
        <v>36</v>
      </c>
      <c r="E2993" s="26" t="s">
        <v>139</v>
      </c>
      <c r="F2993" s="26" t="s">
        <v>40</v>
      </c>
      <c r="G2993" s="26" t="s">
        <v>41</v>
      </c>
      <c r="H2993" s="26" t="s">
        <v>9367</v>
      </c>
      <c r="I2993" s="17">
        <f ca="1">IFERROR(__xludf.DUMMYFUNCTION("""COMPUTED_VALUE"""),45488)</f>
        <v>45488</v>
      </c>
      <c r="J2993" s="29" t="s">
        <v>10212</v>
      </c>
      <c r="K2993" s="26" t="s">
        <v>10213</v>
      </c>
      <c r="L2993" s="30">
        <v>348974098</v>
      </c>
      <c r="M2993" s="26" t="s">
        <v>3498</v>
      </c>
      <c r="N2993" s="26" t="s">
        <v>2756</v>
      </c>
      <c r="O2993" s="26" t="s">
        <v>4503</v>
      </c>
      <c r="P2993" s="42" t="s">
        <v>10582</v>
      </c>
      <c r="Q2993" s="20">
        <v>15936</v>
      </c>
      <c r="R2993" s="26" t="s">
        <v>36</v>
      </c>
      <c r="S2993" s="95">
        <f>200+4000</f>
        <v>4200</v>
      </c>
      <c r="T2993" s="83" t="s">
        <v>10215</v>
      </c>
      <c r="U2993" s="95">
        <v>11736</v>
      </c>
      <c r="V2993" s="148">
        <v>45513</v>
      </c>
      <c r="W2993" s="33" t="s">
        <v>10216</v>
      </c>
      <c r="X2993" s="26">
        <v>0</v>
      </c>
      <c r="Y2993" s="22">
        <v>0</v>
      </c>
      <c r="Z2993" s="26" t="s">
        <v>50</v>
      </c>
      <c r="AA2993" s="96" t="s">
        <v>10314</v>
      </c>
      <c r="AB2993" s="26"/>
      <c r="AC2993" s="26" t="s">
        <v>53</v>
      </c>
      <c r="AD2993" s="26" t="s">
        <v>54</v>
      </c>
      <c r="AE2993" s="26" t="s">
        <v>72</v>
      </c>
      <c r="AF2993" s="17">
        <v>45485</v>
      </c>
      <c r="AG2993" s="26"/>
      <c r="AH2993" s="26"/>
      <c r="AI2993" s="40"/>
      <c r="AJ2993" s="26"/>
      <c r="AK2993" s="26"/>
      <c r="AL2993" s="35"/>
      <c r="AM2993" s="35"/>
      <c r="AN2993" s="35"/>
      <c r="AO2993" s="35"/>
      <c r="AP2993" s="35"/>
    </row>
    <row r="2994" spans="1:42" x14ac:dyDescent="0.2">
      <c r="A2994" s="126">
        <v>45481.449171469911</v>
      </c>
      <c r="B2994" s="28" t="s">
        <v>37</v>
      </c>
      <c r="C2994" s="41" t="s">
        <v>118</v>
      </c>
      <c r="D2994" s="26" t="s">
        <v>36</v>
      </c>
      <c r="E2994" s="26" t="s">
        <v>139</v>
      </c>
      <c r="F2994" s="26" t="s">
        <v>36</v>
      </c>
      <c r="G2994" s="26" t="s">
        <v>41</v>
      </c>
      <c r="H2994" s="26" t="s">
        <v>9241</v>
      </c>
      <c r="I2994" s="17">
        <f ca="1">IFERROR(__xludf.DUMMYFUNCTION("""COMPUTED_VALUE"""),45483)</f>
        <v>45483</v>
      </c>
      <c r="J2994" s="29" t="s">
        <v>10583</v>
      </c>
      <c r="K2994" s="26" t="s">
        <v>10584</v>
      </c>
      <c r="L2994" s="30">
        <v>813375655</v>
      </c>
      <c r="M2994" s="26" t="s">
        <v>3728</v>
      </c>
      <c r="N2994" s="26" t="s">
        <v>5312</v>
      </c>
      <c r="O2994" s="26" t="s">
        <v>10585</v>
      </c>
      <c r="P2994" s="26" t="s">
        <v>10586</v>
      </c>
      <c r="Q2994" s="20">
        <v>15936</v>
      </c>
      <c r="R2994" s="26" t="s">
        <v>36</v>
      </c>
      <c r="S2994" s="95">
        <v>2000</v>
      </c>
      <c r="T2994" s="148">
        <v>45481</v>
      </c>
      <c r="U2994" s="95">
        <v>13936</v>
      </c>
      <c r="V2994" s="148">
        <v>45516</v>
      </c>
      <c r="W2994" s="33" t="s">
        <v>10587</v>
      </c>
      <c r="X2994" s="26">
        <v>0</v>
      </c>
      <c r="Y2994" s="22">
        <v>0</v>
      </c>
      <c r="Z2994" s="26" t="s">
        <v>50</v>
      </c>
      <c r="AA2994" s="35" t="s">
        <v>10314</v>
      </c>
      <c r="AB2994" s="26"/>
      <c r="AC2994" s="26" t="s">
        <v>53</v>
      </c>
      <c r="AD2994" s="26" t="s">
        <v>54</v>
      </c>
      <c r="AE2994" s="26"/>
      <c r="AF2994" s="17">
        <v>45482</v>
      </c>
      <c r="AG2994" s="26"/>
      <c r="AH2994" s="26"/>
      <c r="AI2994" s="40"/>
      <c r="AJ2994" s="26"/>
      <c r="AK2994" s="26"/>
      <c r="AL2994" s="35"/>
      <c r="AM2994" s="35"/>
      <c r="AN2994" s="35"/>
      <c r="AO2994" s="35"/>
      <c r="AP2994" s="35"/>
    </row>
    <row r="2995" spans="1:42" x14ac:dyDescent="0.2">
      <c r="A2995" s="126">
        <v>45481.638438738424</v>
      </c>
      <c r="B2995" s="28" t="s">
        <v>37</v>
      </c>
      <c r="C2995" s="41" t="s">
        <v>118</v>
      </c>
      <c r="D2995" s="26" t="s">
        <v>36</v>
      </c>
      <c r="E2995" s="26" t="s">
        <v>77</v>
      </c>
      <c r="F2995" s="26" t="s">
        <v>36</v>
      </c>
      <c r="G2995" s="26" t="s">
        <v>41</v>
      </c>
      <c r="H2995" s="26" t="s">
        <v>8801</v>
      </c>
      <c r="I2995" s="17">
        <f ca="1">IFERROR(__xludf.DUMMYFUNCTION("""COMPUTED_VALUE"""),45484)</f>
        <v>45484</v>
      </c>
      <c r="J2995" s="44" t="s">
        <v>10588</v>
      </c>
      <c r="K2995" s="26" t="s">
        <v>10589</v>
      </c>
      <c r="L2995" s="30">
        <v>862210906</v>
      </c>
      <c r="M2995" s="26" t="s">
        <v>80</v>
      </c>
      <c r="N2995" s="26" t="s">
        <v>466</v>
      </c>
      <c r="O2995" s="26" t="s">
        <v>10590</v>
      </c>
      <c r="P2995" s="26" t="s">
        <v>10591</v>
      </c>
      <c r="Q2995" s="20">
        <v>1968</v>
      </c>
      <c r="R2995" s="26" t="s">
        <v>36</v>
      </c>
      <c r="S2995" s="95">
        <f>200+1800</f>
        <v>2000</v>
      </c>
      <c r="T2995" s="83" t="s">
        <v>10045</v>
      </c>
      <c r="U2995" s="31"/>
      <c r="V2995" s="32"/>
      <c r="W2995" s="26" t="s">
        <v>10592</v>
      </c>
      <c r="X2995" s="26">
        <v>0</v>
      </c>
      <c r="Y2995" s="22">
        <v>-32</v>
      </c>
      <c r="Z2995" s="26" t="s">
        <v>50</v>
      </c>
      <c r="AA2995" s="96" t="s">
        <v>10314</v>
      </c>
      <c r="AB2995" s="26"/>
      <c r="AC2995" s="26" t="s">
        <v>53</v>
      </c>
      <c r="AD2995" s="26" t="s">
        <v>54</v>
      </c>
      <c r="AE2995" s="26">
        <v>0</v>
      </c>
      <c r="AF2995" s="17">
        <v>45482</v>
      </c>
      <c r="AG2995" s="26" t="s">
        <v>7078</v>
      </c>
      <c r="AH2995" s="26"/>
      <c r="AI2995" s="40"/>
      <c r="AJ2995" s="26"/>
      <c r="AK2995" s="26"/>
      <c r="AL2995" s="35"/>
      <c r="AM2995" s="35"/>
      <c r="AN2995" s="35"/>
      <c r="AO2995" s="35"/>
      <c r="AP2995" s="35"/>
    </row>
    <row r="2996" spans="1:42" x14ac:dyDescent="0.2">
      <c r="A2996" s="126">
        <v>45481.677203101848</v>
      </c>
      <c r="B2996" s="28" t="s">
        <v>37</v>
      </c>
      <c r="C2996" s="41" t="s">
        <v>118</v>
      </c>
      <c r="D2996" s="26" t="s">
        <v>36</v>
      </c>
      <c r="E2996" s="26" t="s">
        <v>139</v>
      </c>
      <c r="F2996" s="26" t="s">
        <v>40</v>
      </c>
      <c r="G2996" s="26" t="s">
        <v>41</v>
      </c>
      <c r="H2996" s="26" t="s">
        <v>9367</v>
      </c>
      <c r="I2996" s="17">
        <f ca="1">IFERROR(__xludf.DUMMYFUNCTION("""COMPUTED_VALUE"""),45488)</f>
        <v>45488</v>
      </c>
      <c r="J2996" s="29" t="s">
        <v>10047</v>
      </c>
      <c r="K2996" s="26" t="s">
        <v>10593</v>
      </c>
      <c r="L2996" s="30">
        <v>365321558</v>
      </c>
      <c r="M2996" s="26" t="s">
        <v>45</v>
      </c>
      <c r="N2996" s="26" t="s">
        <v>565</v>
      </c>
      <c r="O2996" s="26" t="s">
        <v>10049</v>
      </c>
      <c r="P2996" s="26" t="s">
        <v>10594</v>
      </c>
      <c r="Q2996" s="20">
        <v>15936</v>
      </c>
      <c r="R2996" s="26" t="s">
        <v>36</v>
      </c>
      <c r="S2996" s="95">
        <f>2000+5000</f>
        <v>7000</v>
      </c>
      <c r="T2996" s="83" t="s">
        <v>10051</v>
      </c>
      <c r="U2996" s="95">
        <v>8936</v>
      </c>
      <c r="V2996" s="148">
        <v>45524</v>
      </c>
      <c r="W2996" s="33" t="s">
        <v>10052</v>
      </c>
      <c r="X2996" s="26">
        <v>0</v>
      </c>
      <c r="Y2996" s="22">
        <v>0</v>
      </c>
      <c r="Z2996" s="26" t="s">
        <v>50</v>
      </c>
      <c r="AA2996" s="35" t="s">
        <v>10314</v>
      </c>
      <c r="AB2996" s="26"/>
      <c r="AC2996" s="26" t="s">
        <v>53</v>
      </c>
      <c r="AD2996" s="26" t="s">
        <v>54</v>
      </c>
      <c r="AE2996" s="26">
        <v>0</v>
      </c>
      <c r="AF2996" s="17">
        <v>45484</v>
      </c>
      <c r="AG2996" s="26"/>
      <c r="AH2996" s="26"/>
      <c r="AI2996" s="40"/>
      <c r="AJ2996" s="26"/>
      <c r="AK2996" s="26"/>
      <c r="AL2996" s="35"/>
      <c r="AM2996" s="35"/>
      <c r="AN2996" s="35"/>
      <c r="AO2996" s="35"/>
      <c r="AP2996" s="35"/>
    </row>
    <row r="2997" spans="1:42" x14ac:dyDescent="0.2">
      <c r="A2997" s="126">
        <v>45481.684271805556</v>
      </c>
      <c r="B2997" s="28" t="s">
        <v>37</v>
      </c>
      <c r="C2997" s="41" t="s">
        <v>118</v>
      </c>
      <c r="D2997" s="26" t="s">
        <v>36</v>
      </c>
      <c r="E2997" s="26" t="s">
        <v>39</v>
      </c>
      <c r="F2997" s="26" t="s">
        <v>36</v>
      </c>
      <c r="G2997" s="26" t="s">
        <v>41</v>
      </c>
      <c r="H2997" s="26" t="s">
        <v>9241</v>
      </c>
      <c r="I2997" s="17">
        <f ca="1">IFERROR(__xludf.DUMMYFUNCTION("""COMPUTED_VALUE"""),45483)</f>
        <v>45483</v>
      </c>
      <c r="J2997" s="29" t="s">
        <v>10595</v>
      </c>
      <c r="K2997" s="26" t="s">
        <v>10596</v>
      </c>
      <c r="L2997" s="30">
        <v>384870050</v>
      </c>
      <c r="M2997" s="26" t="s">
        <v>45</v>
      </c>
      <c r="N2997" s="26" t="s">
        <v>571</v>
      </c>
      <c r="O2997" s="26" t="s">
        <v>10597</v>
      </c>
      <c r="P2997" s="26" t="s">
        <v>10598</v>
      </c>
      <c r="Q2997" s="20">
        <v>5736</v>
      </c>
      <c r="R2997" s="26" t="s">
        <v>36</v>
      </c>
      <c r="S2997" s="95">
        <v>2500</v>
      </c>
      <c r="T2997" s="148">
        <v>45481</v>
      </c>
      <c r="U2997" s="95">
        <v>3236</v>
      </c>
      <c r="V2997" s="148">
        <v>45505</v>
      </c>
      <c r="W2997" s="33" t="s">
        <v>10599</v>
      </c>
      <c r="X2997" s="26">
        <v>0</v>
      </c>
      <c r="Y2997" s="22">
        <v>0</v>
      </c>
      <c r="Z2997" s="26" t="s">
        <v>50</v>
      </c>
      <c r="AA2997" s="96" t="s">
        <v>10314</v>
      </c>
      <c r="AB2997" s="26"/>
      <c r="AC2997" s="26" t="s">
        <v>53</v>
      </c>
      <c r="AD2997" s="26" t="s">
        <v>54</v>
      </c>
      <c r="AE2997" s="26">
        <v>0</v>
      </c>
      <c r="AF2997" s="17">
        <v>45482</v>
      </c>
      <c r="AG2997" s="26"/>
      <c r="AH2997" s="26"/>
      <c r="AI2997" s="40"/>
      <c r="AJ2997" s="26"/>
      <c r="AK2997" s="26"/>
      <c r="AL2997" s="35"/>
      <c r="AM2997" s="35"/>
      <c r="AN2997" s="35"/>
      <c r="AO2997" s="35"/>
      <c r="AP2997" s="35"/>
    </row>
    <row r="2998" spans="1:42" x14ac:dyDescent="0.2">
      <c r="A2998" s="126">
        <v>45481.723577048615</v>
      </c>
      <c r="B2998" s="28" t="s">
        <v>37</v>
      </c>
      <c r="C2998" s="41" t="s">
        <v>118</v>
      </c>
      <c r="D2998" s="26" t="s">
        <v>36</v>
      </c>
      <c r="E2998" s="26" t="s">
        <v>139</v>
      </c>
      <c r="F2998" s="26" t="s">
        <v>36</v>
      </c>
      <c r="G2998" s="26" t="s">
        <v>41</v>
      </c>
      <c r="H2998" s="26" t="s">
        <v>9367</v>
      </c>
      <c r="I2998" s="17">
        <f ca="1">IFERROR(__xludf.DUMMYFUNCTION("""COMPUTED_VALUE"""),45488)</f>
        <v>45488</v>
      </c>
      <c r="J2998" s="29" t="s">
        <v>10171</v>
      </c>
      <c r="K2998" s="26" t="s">
        <v>10600</v>
      </c>
      <c r="L2998" s="30">
        <v>973386602</v>
      </c>
      <c r="M2998" s="26" t="s">
        <v>80</v>
      </c>
      <c r="N2998" s="26" t="s">
        <v>466</v>
      </c>
      <c r="O2998" s="26" t="s">
        <v>10173</v>
      </c>
      <c r="P2998" s="26" t="s">
        <v>10174</v>
      </c>
      <c r="Q2998" s="20">
        <v>15936</v>
      </c>
      <c r="R2998" s="26" t="s">
        <v>36</v>
      </c>
      <c r="S2998" s="95">
        <f>200+1800</f>
        <v>2000</v>
      </c>
      <c r="T2998" s="83" t="s">
        <v>10175</v>
      </c>
      <c r="U2998" s="95">
        <v>13936</v>
      </c>
      <c r="V2998" s="148">
        <v>45531</v>
      </c>
      <c r="W2998" s="33" t="s">
        <v>10176</v>
      </c>
      <c r="X2998" s="26">
        <v>0</v>
      </c>
      <c r="Y2998" s="22">
        <v>0</v>
      </c>
      <c r="Z2998" s="26" t="s">
        <v>50</v>
      </c>
      <c r="AA2998" s="35" t="s">
        <v>10314</v>
      </c>
      <c r="AB2998" s="26"/>
      <c r="AC2998" s="26" t="s">
        <v>53</v>
      </c>
      <c r="AD2998" s="26" t="s">
        <v>54</v>
      </c>
      <c r="AE2998" s="26">
        <v>0</v>
      </c>
      <c r="AF2998" s="17">
        <v>45488</v>
      </c>
      <c r="AG2998" s="26"/>
      <c r="AH2998" s="26"/>
      <c r="AI2998" s="40"/>
      <c r="AJ2998" s="26"/>
      <c r="AK2998" s="26"/>
      <c r="AL2998" s="35"/>
      <c r="AM2998" s="35"/>
      <c r="AN2998" s="35"/>
      <c r="AO2998" s="35"/>
      <c r="AP2998" s="35"/>
    </row>
    <row r="2999" spans="1:42" x14ac:dyDescent="0.2">
      <c r="A2999" s="126">
        <v>45481.733668506946</v>
      </c>
      <c r="B2999" s="68" t="s">
        <v>37</v>
      </c>
      <c r="C2999" s="41" t="s">
        <v>118</v>
      </c>
      <c r="D2999" s="26" t="s">
        <v>36</v>
      </c>
      <c r="E2999" s="26" t="s">
        <v>119</v>
      </c>
      <c r="F2999" s="26" t="s">
        <v>36</v>
      </c>
      <c r="G2999" s="26" t="s">
        <v>108</v>
      </c>
      <c r="H2999" s="26" t="s">
        <v>1565</v>
      </c>
      <c r="I2999" s="17">
        <f ca="1">IFERROR(__xludf.DUMMYFUNCTION("""COMPUTED_VALUE"""),45502)</f>
        <v>45502</v>
      </c>
      <c r="J2999" s="29" t="s">
        <v>10601</v>
      </c>
      <c r="K2999" s="26" t="s">
        <v>10602</v>
      </c>
      <c r="L2999" s="30">
        <v>965543676</v>
      </c>
      <c r="M2999" s="26" t="s">
        <v>80</v>
      </c>
      <c r="N2999" s="26" t="s">
        <v>466</v>
      </c>
      <c r="O2999" s="26" t="s">
        <v>10603</v>
      </c>
      <c r="P2999" s="26" t="s">
        <v>10604</v>
      </c>
      <c r="Q2999" s="20">
        <v>13968</v>
      </c>
      <c r="R2999" s="26" t="s">
        <v>36</v>
      </c>
      <c r="S2999" s="95">
        <f>200+3600</f>
        <v>3800</v>
      </c>
      <c r="T2999" s="83" t="s">
        <v>10605</v>
      </c>
      <c r="U2999" s="95">
        <v>10168</v>
      </c>
      <c r="V2999" s="148">
        <v>45521</v>
      </c>
      <c r="W2999" s="33" t="s">
        <v>10606</v>
      </c>
      <c r="X2999" s="26">
        <v>0</v>
      </c>
      <c r="Y2999" s="22">
        <v>0</v>
      </c>
      <c r="Z2999" s="26" t="s">
        <v>50</v>
      </c>
      <c r="AA2999" s="96" t="s">
        <v>10314</v>
      </c>
      <c r="AB2999" s="26"/>
      <c r="AC2999" s="26" t="s">
        <v>53</v>
      </c>
      <c r="AD2999" s="26" t="s">
        <v>138</v>
      </c>
      <c r="AE2999" s="26">
        <v>0</v>
      </c>
      <c r="AF2999" s="17">
        <v>45502</v>
      </c>
      <c r="AG2999" s="26" t="s">
        <v>4279</v>
      </c>
      <c r="AH2999" s="26"/>
      <c r="AI2999" s="40"/>
      <c r="AJ2999" s="26"/>
      <c r="AK2999" s="26"/>
      <c r="AL2999" s="35"/>
      <c r="AM2999" s="35"/>
      <c r="AN2999" s="35"/>
      <c r="AO2999" s="35"/>
      <c r="AP2999" s="35"/>
    </row>
    <row r="3000" spans="1:42" x14ac:dyDescent="0.2">
      <c r="A3000" s="126">
        <v>45481.945647418979</v>
      </c>
      <c r="B3000" s="28" t="s">
        <v>37</v>
      </c>
      <c r="C3000" s="41" t="s">
        <v>118</v>
      </c>
      <c r="D3000" s="26" t="s">
        <v>36</v>
      </c>
      <c r="E3000" s="26" t="s">
        <v>148</v>
      </c>
      <c r="F3000" s="26" t="s">
        <v>36</v>
      </c>
      <c r="G3000" s="26" t="s">
        <v>108</v>
      </c>
      <c r="H3000" s="26" t="s">
        <v>9132</v>
      </c>
      <c r="I3000" s="17">
        <f ca="1">IFERROR(__xludf.DUMMYFUNCTION("""COMPUTED_VALUE"""),45484)</f>
        <v>45484</v>
      </c>
      <c r="J3000" s="29" t="s">
        <v>10607</v>
      </c>
      <c r="K3000" s="26" t="s">
        <v>10608</v>
      </c>
      <c r="L3000" s="30">
        <v>946108798</v>
      </c>
      <c r="M3000" s="26" t="s">
        <v>3728</v>
      </c>
      <c r="N3000" s="26" t="s">
        <v>5312</v>
      </c>
      <c r="O3000" s="26"/>
      <c r="P3000" s="42" t="s">
        <v>10609</v>
      </c>
      <c r="Q3000" s="20">
        <v>7349</v>
      </c>
      <c r="R3000" s="26" t="s">
        <v>36</v>
      </c>
      <c r="S3000" s="95">
        <f>200+3800</f>
        <v>4000</v>
      </c>
      <c r="T3000" s="83" t="s">
        <v>10610</v>
      </c>
      <c r="U3000" s="95">
        <v>3349</v>
      </c>
      <c r="V3000" s="148">
        <v>45513</v>
      </c>
      <c r="W3000" s="33" t="s">
        <v>10611</v>
      </c>
      <c r="X3000" s="26">
        <v>0</v>
      </c>
      <c r="Y3000" s="22">
        <v>0</v>
      </c>
      <c r="Z3000" s="26" t="s">
        <v>50</v>
      </c>
      <c r="AA3000" s="35" t="s">
        <v>10314</v>
      </c>
      <c r="AB3000" s="26"/>
      <c r="AC3000" s="26" t="s">
        <v>53</v>
      </c>
      <c r="AD3000" s="26" t="s">
        <v>54</v>
      </c>
      <c r="AE3000" s="26">
        <v>600</v>
      </c>
      <c r="AF3000" s="17">
        <v>45484</v>
      </c>
      <c r="AG3000" s="26"/>
      <c r="AH3000" s="26"/>
      <c r="AI3000" s="40"/>
      <c r="AJ3000" s="26"/>
      <c r="AK3000" s="26"/>
      <c r="AL3000" s="35"/>
      <c r="AM3000" s="35"/>
      <c r="AN3000" s="35"/>
      <c r="AO3000" s="35"/>
      <c r="AP3000" s="35"/>
    </row>
    <row r="3001" spans="1:42" x14ac:dyDescent="0.2">
      <c r="A3001" s="126">
        <v>45482.315688912036</v>
      </c>
      <c r="B3001" s="28" t="s">
        <v>37</v>
      </c>
      <c r="C3001" s="41" t="s">
        <v>118</v>
      </c>
      <c r="D3001" s="26" t="s">
        <v>36</v>
      </c>
      <c r="E3001" s="26" t="s">
        <v>139</v>
      </c>
      <c r="F3001" s="26" t="s">
        <v>36</v>
      </c>
      <c r="G3001" s="26" t="s">
        <v>41</v>
      </c>
      <c r="H3001" s="26" t="s">
        <v>9448</v>
      </c>
      <c r="I3001" s="17">
        <f ca="1">IFERROR(__xludf.DUMMYFUNCTION("""COMPUTED_VALUE"""),45489)</f>
        <v>45489</v>
      </c>
      <c r="J3001" s="29" t="s">
        <v>10139</v>
      </c>
      <c r="K3001" s="26" t="s">
        <v>10612</v>
      </c>
      <c r="L3001" s="30">
        <v>355921362</v>
      </c>
      <c r="M3001" s="26" t="s">
        <v>123</v>
      </c>
      <c r="N3001" s="26" t="s">
        <v>327</v>
      </c>
      <c r="O3001" s="26" t="s">
        <v>4503</v>
      </c>
      <c r="P3001" s="42" t="s">
        <v>10613</v>
      </c>
      <c r="Q3001" s="20">
        <v>15936</v>
      </c>
      <c r="R3001" s="26" t="s">
        <v>36</v>
      </c>
      <c r="S3001" s="95">
        <f t="shared" ref="S3001:S3003" si="23">200+1800</f>
        <v>2000</v>
      </c>
      <c r="T3001" s="83" t="s">
        <v>10142</v>
      </c>
      <c r="U3001" s="95">
        <v>13936</v>
      </c>
      <c r="V3001" s="148">
        <v>45528</v>
      </c>
      <c r="W3001" s="33" t="s">
        <v>10143</v>
      </c>
      <c r="X3001" s="26">
        <v>0</v>
      </c>
      <c r="Y3001" s="22">
        <v>0</v>
      </c>
      <c r="Z3001" s="26" t="s">
        <v>50</v>
      </c>
      <c r="AA3001" s="96" t="s">
        <v>10314</v>
      </c>
      <c r="AB3001" s="26" t="s">
        <v>4503</v>
      </c>
      <c r="AC3001" s="26" t="s">
        <v>53</v>
      </c>
      <c r="AD3001" s="26" t="s">
        <v>54</v>
      </c>
      <c r="AE3001" s="26"/>
      <c r="AF3001" s="17">
        <v>45489</v>
      </c>
      <c r="AG3001" s="26"/>
      <c r="AH3001" s="26"/>
      <c r="AI3001" s="40"/>
      <c r="AJ3001" s="26"/>
      <c r="AK3001" s="26"/>
      <c r="AL3001" s="35"/>
      <c r="AM3001" s="35"/>
      <c r="AN3001" s="35"/>
      <c r="AO3001" s="35"/>
      <c r="AP3001" s="35"/>
    </row>
    <row r="3002" spans="1:42" x14ac:dyDescent="0.2">
      <c r="A3002" s="126">
        <v>45482.355412314813</v>
      </c>
      <c r="B3002" s="28" t="s">
        <v>37</v>
      </c>
      <c r="C3002" s="41" t="s">
        <v>118</v>
      </c>
      <c r="D3002" s="26" t="s">
        <v>36</v>
      </c>
      <c r="E3002" s="26" t="s">
        <v>56</v>
      </c>
      <c r="F3002" s="26" t="s">
        <v>36</v>
      </c>
      <c r="G3002" s="26" t="s">
        <v>41</v>
      </c>
      <c r="H3002" s="26" t="s">
        <v>9405</v>
      </c>
      <c r="I3002" s="17">
        <f ca="1">IFERROR(__xludf.DUMMYFUNCTION("""COMPUTED_VALUE"""),45488)</f>
        <v>45488</v>
      </c>
      <c r="J3002" s="29" t="s">
        <v>10109</v>
      </c>
      <c r="K3002" s="26" t="s">
        <v>10614</v>
      </c>
      <c r="L3002" s="30">
        <v>836892409</v>
      </c>
      <c r="M3002" s="26" t="s">
        <v>80</v>
      </c>
      <c r="N3002" s="26" t="s">
        <v>466</v>
      </c>
      <c r="O3002" s="26" t="s">
        <v>10110</v>
      </c>
      <c r="P3002" s="26" t="s">
        <v>10615</v>
      </c>
      <c r="Q3002" s="20">
        <v>9317</v>
      </c>
      <c r="R3002" s="26" t="s">
        <v>36</v>
      </c>
      <c r="S3002" s="95">
        <f t="shared" si="23"/>
        <v>2000</v>
      </c>
      <c r="T3002" s="83" t="s">
        <v>10112</v>
      </c>
      <c r="U3002" s="95">
        <v>7317</v>
      </c>
      <c r="V3002" s="148">
        <v>45515</v>
      </c>
      <c r="W3002" s="33" t="s">
        <v>10113</v>
      </c>
      <c r="X3002" s="26">
        <v>0</v>
      </c>
      <c r="Y3002" s="22">
        <v>0</v>
      </c>
      <c r="Z3002" s="26" t="s">
        <v>50</v>
      </c>
      <c r="AA3002" s="35" t="s">
        <v>10314</v>
      </c>
      <c r="AB3002" s="26"/>
      <c r="AC3002" s="26" t="s">
        <v>53</v>
      </c>
      <c r="AD3002" s="26" t="s">
        <v>54</v>
      </c>
      <c r="AE3002" s="26">
        <v>0</v>
      </c>
      <c r="AF3002" s="17">
        <v>45484</v>
      </c>
      <c r="AG3002" s="26" t="s">
        <v>7078</v>
      </c>
      <c r="AH3002" s="26"/>
      <c r="AI3002" s="40"/>
      <c r="AJ3002" s="26"/>
      <c r="AK3002" s="26"/>
      <c r="AL3002" s="35"/>
      <c r="AM3002" s="35"/>
      <c r="AN3002" s="35"/>
      <c r="AO3002" s="35"/>
      <c r="AP3002" s="35"/>
    </row>
    <row r="3003" spans="1:42" x14ac:dyDescent="0.2">
      <c r="A3003" s="126">
        <v>45482.356673472226</v>
      </c>
      <c r="B3003" s="28" t="s">
        <v>37</v>
      </c>
      <c r="C3003" s="41" t="s">
        <v>118</v>
      </c>
      <c r="D3003" s="26" t="s">
        <v>36</v>
      </c>
      <c r="E3003" s="26" t="s">
        <v>139</v>
      </c>
      <c r="F3003" s="26" t="s">
        <v>36</v>
      </c>
      <c r="G3003" s="26" t="s">
        <v>41</v>
      </c>
      <c r="H3003" s="26" t="s">
        <v>9405</v>
      </c>
      <c r="I3003" s="17">
        <f ca="1">IFERROR(__xludf.DUMMYFUNCTION("""COMPUTED_VALUE"""),45488)</f>
        <v>45488</v>
      </c>
      <c r="J3003" s="29" t="s">
        <v>10127</v>
      </c>
      <c r="K3003" s="26" t="s">
        <v>10616</v>
      </c>
      <c r="L3003" s="30">
        <v>372255172</v>
      </c>
      <c r="M3003" s="26" t="s">
        <v>80</v>
      </c>
      <c r="N3003" s="26" t="s">
        <v>1073</v>
      </c>
      <c r="O3003" s="26" t="s">
        <v>10129</v>
      </c>
      <c r="P3003" s="26" t="s">
        <v>10617</v>
      </c>
      <c r="Q3003" s="20">
        <v>15936</v>
      </c>
      <c r="R3003" s="26" t="s">
        <v>36</v>
      </c>
      <c r="S3003" s="95">
        <f t="shared" si="23"/>
        <v>2000</v>
      </c>
      <c r="T3003" s="83" t="s">
        <v>10131</v>
      </c>
      <c r="U3003" s="95">
        <v>13936</v>
      </c>
      <c r="V3003" s="148">
        <v>45515</v>
      </c>
      <c r="W3003" s="33" t="s">
        <v>10132</v>
      </c>
      <c r="X3003" s="26">
        <v>0</v>
      </c>
      <c r="Y3003" s="22">
        <v>0</v>
      </c>
      <c r="Z3003" s="26" t="s">
        <v>50</v>
      </c>
      <c r="AA3003" s="96" t="s">
        <v>10314</v>
      </c>
      <c r="AB3003" s="26"/>
      <c r="AC3003" s="26" t="s">
        <v>53</v>
      </c>
      <c r="AD3003" s="26" t="s">
        <v>54</v>
      </c>
      <c r="AE3003" s="26">
        <v>0</v>
      </c>
      <c r="AF3003" s="17">
        <v>45484</v>
      </c>
      <c r="AG3003" s="26"/>
      <c r="AH3003" s="26"/>
      <c r="AI3003" s="40"/>
      <c r="AJ3003" s="26"/>
      <c r="AK3003" s="26"/>
      <c r="AL3003" s="35"/>
      <c r="AM3003" s="35"/>
      <c r="AN3003" s="35"/>
      <c r="AO3003" s="35"/>
      <c r="AP3003" s="35"/>
    </row>
    <row r="3004" spans="1:42" x14ac:dyDescent="0.2">
      <c r="A3004" s="126">
        <v>45482.634936238421</v>
      </c>
      <c r="B3004" s="28" t="s">
        <v>37</v>
      </c>
      <c r="C3004" s="41" t="s">
        <v>118</v>
      </c>
      <c r="D3004" s="26" t="s">
        <v>36</v>
      </c>
      <c r="E3004" s="26" t="s">
        <v>139</v>
      </c>
      <c r="F3004" s="26" t="s">
        <v>36</v>
      </c>
      <c r="G3004" s="26" t="s">
        <v>41</v>
      </c>
      <c r="H3004" s="26" t="s">
        <v>9531</v>
      </c>
      <c r="I3004" s="17">
        <f ca="1">IFERROR(__xludf.DUMMYFUNCTION("""COMPUTED_VALUE"""),45492)</f>
        <v>45492</v>
      </c>
      <c r="J3004" s="29" t="s">
        <v>10618</v>
      </c>
      <c r="K3004" s="26" t="s">
        <v>10619</v>
      </c>
      <c r="L3004" s="30">
        <v>373342217</v>
      </c>
      <c r="M3004" s="26" t="s">
        <v>910</v>
      </c>
      <c r="N3004" s="26" t="s">
        <v>3525</v>
      </c>
      <c r="O3004" s="26" t="s">
        <v>10620</v>
      </c>
      <c r="P3004" s="26" t="s">
        <v>10621</v>
      </c>
      <c r="Q3004" s="20">
        <v>15936</v>
      </c>
      <c r="R3004" s="26" t="s">
        <v>36</v>
      </c>
      <c r="S3004" s="95">
        <v>2000</v>
      </c>
      <c r="T3004" s="148">
        <v>45482</v>
      </c>
      <c r="U3004" s="95">
        <v>13936</v>
      </c>
      <c r="V3004" s="148">
        <v>45514</v>
      </c>
      <c r="W3004" s="33" t="s">
        <v>10622</v>
      </c>
      <c r="X3004" s="26">
        <v>0</v>
      </c>
      <c r="Y3004" s="22">
        <v>0</v>
      </c>
      <c r="Z3004" s="26" t="s">
        <v>50</v>
      </c>
      <c r="AA3004" s="35" t="s">
        <v>10314</v>
      </c>
      <c r="AB3004" s="26"/>
      <c r="AC3004" s="26" t="s">
        <v>53</v>
      </c>
      <c r="AD3004" s="26" t="s">
        <v>54</v>
      </c>
      <c r="AE3004" s="26"/>
      <c r="AF3004" s="17">
        <v>45486</v>
      </c>
      <c r="AG3004" s="26"/>
      <c r="AH3004" s="26"/>
      <c r="AI3004" s="40"/>
      <c r="AJ3004" s="26"/>
      <c r="AK3004" s="26"/>
      <c r="AL3004" s="35"/>
      <c r="AM3004" s="35"/>
      <c r="AN3004" s="35"/>
      <c r="AO3004" s="35"/>
      <c r="AP3004" s="35"/>
    </row>
    <row r="3005" spans="1:42" x14ac:dyDescent="0.2">
      <c r="A3005" s="126">
        <v>45482.896014259255</v>
      </c>
      <c r="B3005" s="28" t="s">
        <v>37</v>
      </c>
      <c r="C3005" s="41" t="s">
        <v>118</v>
      </c>
      <c r="D3005" s="26" t="s">
        <v>36</v>
      </c>
      <c r="E3005" s="26" t="s">
        <v>77</v>
      </c>
      <c r="F3005" s="26" t="s">
        <v>36</v>
      </c>
      <c r="G3005" s="26" t="s">
        <v>41</v>
      </c>
      <c r="H3005" s="26" t="s">
        <v>9419</v>
      </c>
      <c r="I3005" s="17">
        <f ca="1">IFERROR(__xludf.DUMMYFUNCTION("""COMPUTED_VALUE"""),45489)</f>
        <v>45489</v>
      </c>
      <c r="J3005" s="29" t="s">
        <v>10623</v>
      </c>
      <c r="K3005" s="26" t="s">
        <v>10624</v>
      </c>
      <c r="L3005" s="30">
        <v>866586732</v>
      </c>
      <c r="M3005" s="26" t="s">
        <v>3728</v>
      </c>
      <c r="N3005" s="26" t="s">
        <v>8725</v>
      </c>
      <c r="O3005" s="26" t="s">
        <v>10625</v>
      </c>
      <c r="P3005" s="26" t="s">
        <v>10626</v>
      </c>
      <c r="Q3005" s="20">
        <v>1968</v>
      </c>
      <c r="R3005" s="26" t="s">
        <v>36</v>
      </c>
      <c r="S3005" s="95">
        <f>200+1800</f>
        <v>2000</v>
      </c>
      <c r="T3005" s="83" t="s">
        <v>10627</v>
      </c>
      <c r="U3005" s="31"/>
      <c r="V3005" s="32"/>
      <c r="W3005" s="33" t="s">
        <v>10628</v>
      </c>
      <c r="X3005" s="26">
        <v>0</v>
      </c>
      <c r="Y3005" s="22">
        <v>-32</v>
      </c>
      <c r="Z3005" s="26" t="s">
        <v>50</v>
      </c>
      <c r="AA3005" s="96" t="s">
        <v>10314</v>
      </c>
      <c r="AB3005" s="26"/>
      <c r="AC3005" s="26" t="s">
        <v>53</v>
      </c>
      <c r="AD3005" s="26" t="s">
        <v>54</v>
      </c>
      <c r="AE3005" s="26"/>
      <c r="AF3005" s="17">
        <v>45488</v>
      </c>
      <c r="AG3005" s="26" t="s">
        <v>7078</v>
      </c>
      <c r="AH3005" s="26"/>
      <c r="AI3005" s="40"/>
      <c r="AJ3005" s="26"/>
      <c r="AK3005" s="26"/>
      <c r="AL3005" s="35"/>
      <c r="AM3005" s="35"/>
      <c r="AN3005" s="35"/>
      <c r="AO3005" s="35"/>
      <c r="AP3005" s="35"/>
    </row>
    <row r="3006" spans="1:42" x14ac:dyDescent="0.2">
      <c r="A3006" s="126">
        <v>45482.96290017361</v>
      </c>
      <c r="B3006" s="28" t="s">
        <v>37</v>
      </c>
      <c r="C3006" s="41" t="s">
        <v>118</v>
      </c>
      <c r="D3006" s="26" t="s">
        <v>36</v>
      </c>
      <c r="E3006" s="26" t="s">
        <v>119</v>
      </c>
      <c r="F3006" s="26" t="s">
        <v>36</v>
      </c>
      <c r="G3006" s="26" t="s">
        <v>108</v>
      </c>
      <c r="H3006" s="26" t="s">
        <v>8691</v>
      </c>
      <c r="I3006" s="17">
        <f ca="1">IFERROR(__xludf.DUMMYFUNCTION("""COMPUTED_VALUE"""),45485)</f>
        <v>45485</v>
      </c>
      <c r="J3006" s="29" t="s">
        <v>10629</v>
      </c>
      <c r="K3006" s="26" t="s">
        <v>10630</v>
      </c>
      <c r="L3006" s="30">
        <v>961014819</v>
      </c>
      <c r="M3006" s="26" t="s">
        <v>80</v>
      </c>
      <c r="N3006" s="26" t="s">
        <v>466</v>
      </c>
      <c r="O3006" s="26" t="s">
        <v>10631</v>
      </c>
      <c r="P3006" s="26" t="s">
        <v>10632</v>
      </c>
      <c r="Q3006" s="20">
        <v>13968</v>
      </c>
      <c r="R3006" s="26" t="s">
        <v>36</v>
      </c>
      <c r="S3006" s="95">
        <v>3800</v>
      </c>
      <c r="T3006" s="148">
        <v>45482</v>
      </c>
      <c r="U3006" s="95">
        <v>10168</v>
      </c>
      <c r="V3006" s="148">
        <v>45523</v>
      </c>
      <c r="W3006" s="33" t="s">
        <v>10633</v>
      </c>
      <c r="X3006" s="26">
        <v>0</v>
      </c>
      <c r="Y3006" s="22">
        <v>0</v>
      </c>
      <c r="Z3006" s="26" t="s">
        <v>50</v>
      </c>
      <c r="AA3006" s="35" t="s">
        <v>10314</v>
      </c>
      <c r="AB3006" s="26"/>
      <c r="AC3006" s="26" t="s">
        <v>53</v>
      </c>
      <c r="AD3006" s="26" t="s">
        <v>54</v>
      </c>
      <c r="AE3006" s="26">
        <v>450</v>
      </c>
      <c r="AF3006" s="17">
        <v>45483</v>
      </c>
      <c r="AG3006" s="26"/>
      <c r="AH3006" s="26"/>
      <c r="AI3006" s="40"/>
      <c r="AJ3006" s="26"/>
      <c r="AK3006" s="26"/>
      <c r="AL3006" s="35"/>
      <c r="AM3006" s="35"/>
      <c r="AN3006" s="35"/>
      <c r="AO3006" s="35"/>
      <c r="AP3006" s="35"/>
    </row>
    <row r="3007" spans="1:42" x14ac:dyDescent="0.2">
      <c r="A3007" s="126">
        <v>45483.42417515046</v>
      </c>
      <c r="B3007" s="28" t="s">
        <v>37</v>
      </c>
      <c r="C3007" s="41" t="s">
        <v>118</v>
      </c>
      <c r="D3007" s="26" t="s">
        <v>36</v>
      </c>
      <c r="E3007" s="26" t="s">
        <v>56</v>
      </c>
      <c r="F3007" s="26" t="s">
        <v>36</v>
      </c>
      <c r="G3007" s="26" t="s">
        <v>41</v>
      </c>
      <c r="H3007" s="26" t="s">
        <v>9419</v>
      </c>
      <c r="I3007" s="17">
        <f ca="1">IFERROR(__xludf.DUMMYFUNCTION("""COMPUTED_VALUE"""),45489)</f>
        <v>45489</v>
      </c>
      <c r="J3007" s="29" t="s">
        <v>10239</v>
      </c>
      <c r="K3007" s="26" t="s">
        <v>10634</v>
      </c>
      <c r="L3007" s="30">
        <v>975829062</v>
      </c>
      <c r="M3007" s="26" t="s">
        <v>3728</v>
      </c>
      <c r="N3007" s="26" t="s">
        <v>5312</v>
      </c>
      <c r="O3007" s="26" t="s">
        <v>10241</v>
      </c>
      <c r="P3007" s="26" t="s">
        <v>10635</v>
      </c>
      <c r="Q3007" s="20">
        <v>9317</v>
      </c>
      <c r="R3007" s="26" t="s">
        <v>36</v>
      </c>
      <c r="S3007" s="95">
        <v>2000</v>
      </c>
      <c r="T3007" s="148">
        <v>45483</v>
      </c>
      <c r="U3007" s="95">
        <v>7317</v>
      </c>
      <c r="V3007" s="148" t="s">
        <v>10243</v>
      </c>
      <c r="W3007" s="33" t="s">
        <v>10244</v>
      </c>
      <c r="X3007" s="26">
        <v>0</v>
      </c>
      <c r="Y3007" s="22">
        <v>0</v>
      </c>
      <c r="Z3007" s="26" t="s">
        <v>50</v>
      </c>
      <c r="AA3007" s="96" t="s">
        <v>10314</v>
      </c>
      <c r="AB3007" s="26"/>
      <c r="AC3007" s="26" t="s">
        <v>53</v>
      </c>
      <c r="AD3007" s="26" t="s">
        <v>54</v>
      </c>
      <c r="AE3007" s="26"/>
      <c r="AF3007" s="17">
        <v>45484</v>
      </c>
      <c r="AG3007" s="26"/>
      <c r="AH3007" s="26"/>
      <c r="AI3007" s="40"/>
      <c r="AJ3007" s="26"/>
      <c r="AK3007" s="26"/>
      <c r="AL3007" s="35"/>
      <c r="AM3007" s="35"/>
      <c r="AN3007" s="35"/>
      <c r="AO3007" s="35"/>
      <c r="AP3007" s="35"/>
    </row>
    <row r="3008" spans="1:42" x14ac:dyDescent="0.2">
      <c r="A3008" s="126">
        <v>45483.654457187498</v>
      </c>
      <c r="B3008" s="28" t="s">
        <v>37</v>
      </c>
      <c r="C3008" s="41" t="s">
        <v>118</v>
      </c>
      <c r="D3008" s="26" t="s">
        <v>36</v>
      </c>
      <c r="E3008" s="26" t="s">
        <v>119</v>
      </c>
      <c r="F3008" s="26" t="s">
        <v>36</v>
      </c>
      <c r="G3008" s="26" t="s">
        <v>108</v>
      </c>
      <c r="H3008" s="26" t="s">
        <v>8704</v>
      </c>
      <c r="I3008" s="17">
        <f ca="1">IFERROR(__xludf.DUMMYFUNCTION("""COMPUTED_VALUE"""),45490)</f>
        <v>45490</v>
      </c>
      <c r="J3008" s="29" t="s">
        <v>10636</v>
      </c>
      <c r="K3008" s="26" t="s">
        <v>10637</v>
      </c>
      <c r="L3008" s="30">
        <v>363278262</v>
      </c>
      <c r="M3008" s="26" t="s">
        <v>5558</v>
      </c>
      <c r="N3008" s="26" t="s">
        <v>2847</v>
      </c>
      <c r="O3008" s="26" t="s">
        <v>4503</v>
      </c>
      <c r="P3008" s="26" t="s">
        <v>10638</v>
      </c>
      <c r="Q3008" s="20">
        <v>13968</v>
      </c>
      <c r="R3008" s="26" t="s">
        <v>36</v>
      </c>
      <c r="S3008" s="95">
        <v>4000</v>
      </c>
      <c r="T3008" s="148">
        <v>45483</v>
      </c>
      <c r="U3008" s="95">
        <v>9968</v>
      </c>
      <c r="V3008" s="148">
        <v>45506</v>
      </c>
      <c r="W3008" s="33" t="s">
        <v>10639</v>
      </c>
      <c r="X3008" s="26">
        <v>0</v>
      </c>
      <c r="Y3008" s="22">
        <v>0</v>
      </c>
      <c r="Z3008" s="26" t="s">
        <v>50</v>
      </c>
      <c r="AA3008" s="35" t="s">
        <v>10314</v>
      </c>
      <c r="AB3008" s="26"/>
      <c r="AC3008" s="26" t="s">
        <v>53</v>
      </c>
      <c r="AD3008" s="26" t="s">
        <v>54</v>
      </c>
      <c r="AE3008" s="26"/>
      <c r="AF3008" s="17">
        <v>45483</v>
      </c>
      <c r="AG3008" s="26"/>
      <c r="AH3008" s="26"/>
      <c r="AI3008" s="40"/>
      <c r="AJ3008" s="26"/>
      <c r="AK3008" s="26"/>
      <c r="AL3008" s="35"/>
      <c r="AM3008" s="35"/>
      <c r="AN3008" s="35"/>
      <c r="AO3008" s="35"/>
      <c r="AP3008" s="35"/>
    </row>
    <row r="3009" spans="1:42" x14ac:dyDescent="0.2">
      <c r="A3009" s="126">
        <v>45483.660890937499</v>
      </c>
      <c r="B3009" s="28" t="s">
        <v>37</v>
      </c>
      <c r="C3009" s="41" t="s">
        <v>118</v>
      </c>
      <c r="D3009" s="26" t="s">
        <v>36</v>
      </c>
      <c r="E3009" s="26" t="s">
        <v>106</v>
      </c>
      <c r="F3009" s="26" t="s">
        <v>36</v>
      </c>
      <c r="G3009" s="26" t="s">
        <v>108</v>
      </c>
      <c r="H3009" s="26" t="s">
        <v>8691</v>
      </c>
      <c r="I3009" s="17">
        <f ca="1">IFERROR(__xludf.DUMMYFUNCTION("""COMPUTED_VALUE"""),45485)</f>
        <v>45485</v>
      </c>
      <c r="J3009" s="29" t="s">
        <v>10640</v>
      </c>
      <c r="K3009" s="26" t="s">
        <v>10641</v>
      </c>
      <c r="L3009" s="30">
        <v>332926751</v>
      </c>
      <c r="M3009" s="26" t="s">
        <v>80</v>
      </c>
      <c r="N3009" s="26" t="s">
        <v>466</v>
      </c>
      <c r="O3009" s="26" t="s">
        <v>10642</v>
      </c>
      <c r="P3009" s="26" t="s">
        <v>10643</v>
      </c>
      <c r="Q3009" s="20">
        <v>3768</v>
      </c>
      <c r="R3009" s="26" t="s">
        <v>36</v>
      </c>
      <c r="S3009" s="95">
        <v>3800</v>
      </c>
      <c r="T3009" s="148">
        <v>45483</v>
      </c>
      <c r="U3009" s="31"/>
      <c r="V3009" s="32"/>
      <c r="W3009" s="33" t="s">
        <v>10644</v>
      </c>
      <c r="X3009" s="26">
        <v>0</v>
      </c>
      <c r="Y3009" s="22">
        <v>-32</v>
      </c>
      <c r="Z3009" s="26" t="s">
        <v>50</v>
      </c>
      <c r="AA3009" s="96" t="s">
        <v>10314</v>
      </c>
      <c r="AB3009" s="26"/>
      <c r="AC3009" s="26" t="s">
        <v>53</v>
      </c>
      <c r="AD3009" s="26" t="s">
        <v>54</v>
      </c>
      <c r="AE3009" s="26">
        <v>500</v>
      </c>
      <c r="AF3009" s="17">
        <v>45483</v>
      </c>
      <c r="AG3009" s="26" t="s">
        <v>7078</v>
      </c>
      <c r="AH3009" s="26"/>
      <c r="AI3009" s="40"/>
      <c r="AJ3009" s="26"/>
      <c r="AK3009" s="26"/>
      <c r="AL3009" s="35"/>
      <c r="AM3009" s="35"/>
      <c r="AN3009" s="35"/>
      <c r="AO3009" s="35"/>
      <c r="AP3009" s="35"/>
    </row>
    <row r="3010" spans="1:42" x14ac:dyDescent="0.2">
      <c r="A3010" s="126">
        <v>45483.867783495371</v>
      </c>
      <c r="B3010" s="28" t="s">
        <v>37</v>
      </c>
      <c r="C3010" s="41" t="s">
        <v>118</v>
      </c>
      <c r="D3010" s="26" t="s">
        <v>36</v>
      </c>
      <c r="E3010" s="26" t="s">
        <v>139</v>
      </c>
      <c r="F3010" s="26" t="s">
        <v>40</v>
      </c>
      <c r="G3010" s="26" t="s">
        <v>41</v>
      </c>
      <c r="H3010" s="26" t="s">
        <v>9448</v>
      </c>
      <c r="I3010" s="17">
        <f ca="1">IFERROR(__xludf.DUMMYFUNCTION("""COMPUTED_VALUE"""),45489)</f>
        <v>45489</v>
      </c>
      <c r="J3010" s="29" t="s">
        <v>10145</v>
      </c>
      <c r="K3010" s="26" t="s">
        <v>10645</v>
      </c>
      <c r="L3010" s="30">
        <v>342259147</v>
      </c>
      <c r="M3010" s="26" t="s">
        <v>5429</v>
      </c>
      <c r="N3010" s="26" t="s">
        <v>9180</v>
      </c>
      <c r="O3010" s="26" t="s">
        <v>10147</v>
      </c>
      <c r="P3010" s="26" t="s">
        <v>10646</v>
      </c>
      <c r="Q3010" s="20">
        <v>15936</v>
      </c>
      <c r="R3010" s="26" t="s">
        <v>36</v>
      </c>
      <c r="S3010" s="95">
        <v>2000</v>
      </c>
      <c r="T3010" s="148">
        <v>45483</v>
      </c>
      <c r="U3010" s="95">
        <v>13936</v>
      </c>
      <c r="V3010" s="148">
        <v>45513</v>
      </c>
      <c r="W3010" s="33" t="s">
        <v>10149</v>
      </c>
      <c r="X3010" s="26">
        <v>0</v>
      </c>
      <c r="Y3010" s="22">
        <v>0</v>
      </c>
      <c r="Z3010" s="26" t="s">
        <v>50</v>
      </c>
      <c r="AA3010" s="35" t="s">
        <v>10314</v>
      </c>
      <c r="AB3010" s="26"/>
      <c r="AC3010" s="26" t="s">
        <v>53</v>
      </c>
      <c r="AD3010" s="26" t="s">
        <v>54</v>
      </c>
      <c r="AE3010" s="26" t="s">
        <v>72</v>
      </c>
      <c r="AF3010" s="17">
        <v>45484</v>
      </c>
      <c r="AG3010" s="26"/>
      <c r="AH3010" s="26"/>
      <c r="AI3010" s="40"/>
      <c r="AJ3010" s="26"/>
      <c r="AK3010" s="26"/>
      <c r="AL3010" s="35"/>
      <c r="AM3010" s="35"/>
      <c r="AN3010" s="35"/>
      <c r="AO3010" s="35"/>
      <c r="AP3010" s="35"/>
    </row>
    <row r="3011" spans="1:42" x14ac:dyDescent="0.2">
      <c r="A3011" s="126">
        <v>45483.870743032407</v>
      </c>
      <c r="B3011" s="28" t="s">
        <v>37</v>
      </c>
      <c r="C3011" s="41" t="s">
        <v>118</v>
      </c>
      <c r="D3011" s="26" t="s">
        <v>36</v>
      </c>
      <c r="E3011" s="26" t="s">
        <v>56</v>
      </c>
      <c r="F3011" s="26" t="s">
        <v>36</v>
      </c>
      <c r="G3011" s="26" t="s">
        <v>41</v>
      </c>
      <c r="H3011" s="26" t="s">
        <v>9448</v>
      </c>
      <c r="I3011" s="17">
        <f ca="1">IFERROR(__xludf.DUMMYFUNCTION("""COMPUTED_VALUE"""),45489)</f>
        <v>45489</v>
      </c>
      <c r="J3011" s="29" t="s">
        <v>10133</v>
      </c>
      <c r="K3011" s="26" t="s">
        <v>10647</v>
      </c>
      <c r="L3011" s="30">
        <v>912692515</v>
      </c>
      <c r="M3011" s="26" t="s">
        <v>3728</v>
      </c>
      <c r="N3011" s="26" t="s">
        <v>8725</v>
      </c>
      <c r="O3011" s="26" t="s">
        <v>10135</v>
      </c>
      <c r="P3011" s="26" t="s">
        <v>10648</v>
      </c>
      <c r="Q3011" s="20">
        <v>9317</v>
      </c>
      <c r="R3011" s="26" t="s">
        <v>36</v>
      </c>
      <c r="S3011" s="95">
        <f>200+1800</f>
        <v>2000</v>
      </c>
      <c r="T3011" s="83" t="s">
        <v>10137</v>
      </c>
      <c r="U3011" s="95">
        <v>7317</v>
      </c>
      <c r="V3011" s="148">
        <v>45515</v>
      </c>
      <c r="W3011" s="33" t="s">
        <v>10138</v>
      </c>
      <c r="X3011" s="26">
        <v>0</v>
      </c>
      <c r="Y3011" s="22">
        <v>0</v>
      </c>
      <c r="Z3011" s="26" t="s">
        <v>50</v>
      </c>
      <c r="AA3011" s="96" t="s">
        <v>10314</v>
      </c>
      <c r="AB3011" s="26"/>
      <c r="AC3011" s="26" t="s">
        <v>53</v>
      </c>
      <c r="AD3011" s="26" t="s">
        <v>54</v>
      </c>
      <c r="AE3011" s="26"/>
      <c r="AF3011" s="17">
        <v>45488</v>
      </c>
      <c r="AG3011" s="26"/>
      <c r="AH3011" s="26"/>
      <c r="AI3011" s="40"/>
      <c r="AJ3011" s="26"/>
      <c r="AK3011" s="26"/>
      <c r="AL3011" s="35"/>
      <c r="AM3011" s="35"/>
      <c r="AN3011" s="35"/>
      <c r="AO3011" s="35"/>
      <c r="AP3011" s="35"/>
    </row>
    <row r="3012" spans="1:42" x14ac:dyDescent="0.2">
      <c r="A3012" s="126">
        <v>45483.918727662036</v>
      </c>
      <c r="B3012" s="28" t="s">
        <v>37</v>
      </c>
      <c r="C3012" s="41" t="s">
        <v>118</v>
      </c>
      <c r="D3012" s="26" t="s">
        <v>36</v>
      </c>
      <c r="E3012" s="26" t="s">
        <v>139</v>
      </c>
      <c r="F3012" s="26" t="s">
        <v>36</v>
      </c>
      <c r="G3012" s="26" t="s">
        <v>41</v>
      </c>
      <c r="H3012" s="26" t="s">
        <v>9448</v>
      </c>
      <c r="I3012" s="17">
        <f ca="1">IFERROR(__xludf.DUMMYFUNCTION("""COMPUTED_VALUE"""),45489)</f>
        <v>45489</v>
      </c>
      <c r="J3012" s="44" t="s">
        <v>10119</v>
      </c>
      <c r="K3012" s="26" t="s">
        <v>10649</v>
      </c>
      <c r="L3012" s="30">
        <v>869183205</v>
      </c>
      <c r="M3012" s="26" t="s">
        <v>80</v>
      </c>
      <c r="N3012" s="26" t="s">
        <v>10121</v>
      </c>
      <c r="O3012" s="26" t="s">
        <v>10122</v>
      </c>
      <c r="P3012" s="26" t="s">
        <v>10123</v>
      </c>
      <c r="Q3012" s="20">
        <v>15936</v>
      </c>
      <c r="R3012" s="26" t="s">
        <v>36</v>
      </c>
      <c r="S3012" s="95">
        <v>2000</v>
      </c>
      <c r="T3012" s="148">
        <v>45483</v>
      </c>
      <c r="U3012" s="95">
        <v>13936</v>
      </c>
      <c r="V3012" s="148">
        <v>45512</v>
      </c>
      <c r="W3012" s="33" t="s">
        <v>10124</v>
      </c>
      <c r="X3012" s="26">
        <v>0</v>
      </c>
      <c r="Y3012" s="22">
        <v>0</v>
      </c>
      <c r="Z3012" s="26" t="s">
        <v>50</v>
      </c>
      <c r="AA3012" s="35" t="s">
        <v>10314</v>
      </c>
      <c r="AB3012" s="26"/>
      <c r="AC3012" s="26" t="s">
        <v>53</v>
      </c>
      <c r="AD3012" s="26" t="s">
        <v>54</v>
      </c>
      <c r="AE3012" s="26">
        <v>0</v>
      </c>
      <c r="AF3012" s="17">
        <v>45484</v>
      </c>
      <c r="AG3012" s="26"/>
      <c r="AH3012" s="26"/>
      <c r="AI3012" s="40"/>
      <c r="AJ3012" s="26"/>
      <c r="AK3012" s="26"/>
      <c r="AL3012" s="35"/>
      <c r="AM3012" s="35"/>
      <c r="AN3012" s="35"/>
      <c r="AO3012" s="35"/>
      <c r="AP3012" s="35"/>
    </row>
    <row r="3013" spans="1:42" x14ac:dyDescent="0.2">
      <c r="A3013" s="126">
        <v>45483.949169814819</v>
      </c>
      <c r="B3013" s="28" t="s">
        <v>37</v>
      </c>
      <c r="C3013" s="41" t="s">
        <v>118</v>
      </c>
      <c r="D3013" s="26" t="s">
        <v>36</v>
      </c>
      <c r="E3013" s="26" t="s">
        <v>139</v>
      </c>
      <c r="F3013" s="26" t="s">
        <v>36</v>
      </c>
      <c r="G3013" s="26" t="s">
        <v>41</v>
      </c>
      <c r="H3013" s="26" t="s">
        <v>9448</v>
      </c>
      <c r="I3013" s="17">
        <f ca="1">IFERROR(__xludf.DUMMYFUNCTION("""COMPUTED_VALUE"""),45489)</f>
        <v>45489</v>
      </c>
      <c r="J3013" s="29" t="s">
        <v>10650</v>
      </c>
      <c r="K3013" s="26" t="s">
        <v>10651</v>
      </c>
      <c r="L3013" s="30">
        <v>768629605</v>
      </c>
      <c r="M3013" s="26" t="s">
        <v>80</v>
      </c>
      <c r="N3013" s="26" t="s">
        <v>1073</v>
      </c>
      <c r="O3013" s="26" t="s">
        <v>10652</v>
      </c>
      <c r="P3013" s="26" t="s">
        <v>10653</v>
      </c>
      <c r="Q3013" s="20">
        <v>15936</v>
      </c>
      <c r="R3013" s="26" t="s">
        <v>36</v>
      </c>
      <c r="S3013" s="95">
        <f>200+2000+200</f>
        <v>2400</v>
      </c>
      <c r="T3013" s="83" t="s">
        <v>10654</v>
      </c>
      <c r="U3013" s="95">
        <v>13736</v>
      </c>
      <c r="V3013" s="148">
        <v>45513</v>
      </c>
      <c r="W3013" s="33" t="s">
        <v>10655</v>
      </c>
      <c r="X3013" s="26">
        <v>0</v>
      </c>
      <c r="Y3013" s="22">
        <v>-200</v>
      </c>
      <c r="Z3013" s="26" t="s">
        <v>50</v>
      </c>
      <c r="AA3013" s="96" t="s">
        <v>10314</v>
      </c>
      <c r="AB3013" s="26"/>
      <c r="AC3013" s="26" t="s">
        <v>53</v>
      </c>
      <c r="AD3013" s="26" t="s">
        <v>54</v>
      </c>
      <c r="AE3013" s="26">
        <v>0</v>
      </c>
      <c r="AF3013" s="17">
        <v>45488</v>
      </c>
      <c r="AG3013" s="26"/>
      <c r="AH3013" s="26"/>
      <c r="AI3013" s="40"/>
      <c r="AJ3013" s="26"/>
      <c r="AK3013" s="26"/>
      <c r="AL3013" s="35"/>
      <c r="AM3013" s="35"/>
      <c r="AN3013" s="35"/>
      <c r="AO3013" s="35"/>
      <c r="AP3013" s="35"/>
    </row>
    <row r="3014" spans="1:42" x14ac:dyDescent="0.2">
      <c r="A3014" s="126">
        <v>45484.434966504632</v>
      </c>
      <c r="B3014" s="28" t="s">
        <v>37</v>
      </c>
      <c r="C3014" s="41" t="s">
        <v>118</v>
      </c>
      <c r="D3014" s="26" t="s">
        <v>36</v>
      </c>
      <c r="E3014" s="26" t="s">
        <v>119</v>
      </c>
      <c r="F3014" s="26" t="s">
        <v>36</v>
      </c>
      <c r="G3014" s="26" t="s">
        <v>108</v>
      </c>
      <c r="H3014" s="26" t="s">
        <v>8708</v>
      </c>
      <c r="I3014" s="17">
        <f ca="1">IFERROR(__xludf.DUMMYFUNCTION("""COMPUTED_VALUE"""),45492)</f>
        <v>45492</v>
      </c>
      <c r="J3014" s="29" t="s">
        <v>10656</v>
      </c>
      <c r="K3014" s="26" t="s">
        <v>10657</v>
      </c>
      <c r="L3014" s="30">
        <v>912874414</v>
      </c>
      <c r="M3014" s="26" t="s">
        <v>80</v>
      </c>
      <c r="N3014" s="26" t="s">
        <v>466</v>
      </c>
      <c r="O3014" s="26" t="s">
        <v>10658</v>
      </c>
      <c r="P3014" s="26" t="s">
        <v>10659</v>
      </c>
      <c r="Q3014" s="20">
        <v>13968</v>
      </c>
      <c r="R3014" s="26" t="s">
        <v>36</v>
      </c>
      <c r="S3014" s="95">
        <f>200+3600</f>
        <v>3800</v>
      </c>
      <c r="T3014" s="83" t="s">
        <v>10660</v>
      </c>
      <c r="U3014" s="95">
        <v>10168</v>
      </c>
      <c r="V3014" s="148">
        <v>45512</v>
      </c>
      <c r="W3014" s="33" t="s">
        <v>10661</v>
      </c>
      <c r="X3014" s="26">
        <v>0</v>
      </c>
      <c r="Y3014" s="22">
        <v>0</v>
      </c>
      <c r="Z3014" s="26" t="s">
        <v>50</v>
      </c>
      <c r="AA3014" s="35" t="s">
        <v>10314</v>
      </c>
      <c r="AB3014" s="26"/>
      <c r="AC3014" s="26" t="s">
        <v>53</v>
      </c>
      <c r="AD3014" s="26" t="s">
        <v>54</v>
      </c>
      <c r="AE3014" s="26">
        <v>500</v>
      </c>
      <c r="AF3014" s="17">
        <v>45489</v>
      </c>
      <c r="AG3014" s="26"/>
      <c r="AH3014" s="26"/>
      <c r="AI3014" s="40"/>
      <c r="AJ3014" s="26"/>
      <c r="AK3014" s="26"/>
      <c r="AL3014" s="35"/>
      <c r="AM3014" s="35"/>
      <c r="AN3014" s="35"/>
      <c r="AO3014" s="35"/>
      <c r="AP3014" s="35"/>
    </row>
    <row r="3015" spans="1:42" x14ac:dyDescent="0.2">
      <c r="A3015" s="126">
        <v>45484.448562777776</v>
      </c>
      <c r="B3015" s="28" t="s">
        <v>37</v>
      </c>
      <c r="C3015" s="41" t="s">
        <v>118</v>
      </c>
      <c r="D3015" s="26" t="s">
        <v>36</v>
      </c>
      <c r="E3015" s="26" t="s">
        <v>139</v>
      </c>
      <c r="F3015" s="26" t="s">
        <v>36</v>
      </c>
      <c r="G3015" s="26" t="s">
        <v>41</v>
      </c>
      <c r="H3015" s="26" t="s">
        <v>9405</v>
      </c>
      <c r="I3015" s="17">
        <f ca="1">IFERROR(__xludf.DUMMYFUNCTION("""COMPUTED_VALUE"""),45488)</f>
        <v>45488</v>
      </c>
      <c r="J3015" s="29" t="s">
        <v>10157</v>
      </c>
      <c r="K3015" s="26" t="s">
        <v>10158</v>
      </c>
      <c r="L3015" s="83">
        <v>348806493</v>
      </c>
      <c r="M3015" s="26" t="s">
        <v>2755</v>
      </c>
      <c r="N3015" s="26" t="s">
        <v>2756</v>
      </c>
      <c r="O3015" s="26" t="s">
        <v>4503</v>
      </c>
      <c r="P3015" s="26" t="s">
        <v>10159</v>
      </c>
      <c r="Q3015" s="20">
        <v>15936</v>
      </c>
      <c r="R3015" s="26" t="s">
        <v>36</v>
      </c>
      <c r="S3015" s="95">
        <f>200+3000+6000</f>
        <v>9200</v>
      </c>
      <c r="T3015" s="83" t="s">
        <v>10160</v>
      </c>
      <c r="U3015" s="95">
        <v>6736</v>
      </c>
      <c r="V3015" s="148">
        <v>45520</v>
      </c>
      <c r="W3015" s="33" t="s">
        <v>10161</v>
      </c>
      <c r="X3015" s="26">
        <v>0</v>
      </c>
      <c r="Y3015" s="22">
        <v>0</v>
      </c>
      <c r="Z3015" s="26" t="s">
        <v>50</v>
      </c>
      <c r="AA3015" s="96" t="s">
        <v>10314</v>
      </c>
      <c r="AB3015" s="26"/>
      <c r="AC3015" s="26" t="s">
        <v>53</v>
      </c>
      <c r="AD3015" s="26" t="s">
        <v>54</v>
      </c>
      <c r="AE3015" s="26"/>
      <c r="AF3015" s="17">
        <v>45488</v>
      </c>
      <c r="AG3015" s="26"/>
      <c r="AH3015" s="26"/>
      <c r="AI3015" s="40"/>
      <c r="AJ3015" s="26"/>
      <c r="AK3015" s="26"/>
      <c r="AL3015" s="35"/>
      <c r="AM3015" s="35"/>
      <c r="AN3015" s="35"/>
      <c r="AO3015" s="35"/>
      <c r="AP3015" s="35"/>
    </row>
    <row r="3016" spans="1:42" x14ac:dyDescent="0.2">
      <c r="A3016" s="126">
        <v>45484.503265312502</v>
      </c>
      <c r="B3016" s="28" t="s">
        <v>37</v>
      </c>
      <c r="C3016" s="41" t="s">
        <v>118</v>
      </c>
      <c r="D3016" s="26" t="s">
        <v>36</v>
      </c>
      <c r="E3016" s="26" t="s">
        <v>119</v>
      </c>
      <c r="F3016" s="26" t="s">
        <v>36</v>
      </c>
      <c r="G3016" s="26" t="s">
        <v>108</v>
      </c>
      <c r="H3016" s="26" t="s">
        <v>8708</v>
      </c>
      <c r="I3016" s="17">
        <f ca="1">IFERROR(__xludf.DUMMYFUNCTION("""COMPUTED_VALUE"""),45492)</f>
        <v>45492</v>
      </c>
      <c r="J3016" s="44" t="s">
        <v>10662</v>
      </c>
      <c r="K3016" s="26" t="s">
        <v>10663</v>
      </c>
      <c r="L3016" s="30">
        <v>326778369</v>
      </c>
      <c r="M3016" s="26" t="s">
        <v>80</v>
      </c>
      <c r="N3016" s="26" t="s">
        <v>1073</v>
      </c>
      <c r="O3016" s="26" t="s">
        <v>10664</v>
      </c>
      <c r="P3016" s="26" t="s">
        <v>10665</v>
      </c>
      <c r="Q3016" s="20">
        <v>13968</v>
      </c>
      <c r="R3016" s="26" t="s">
        <v>36</v>
      </c>
      <c r="S3016" s="95">
        <f>200+3800</f>
        <v>4000</v>
      </c>
      <c r="T3016" s="83" t="s">
        <v>10660</v>
      </c>
      <c r="U3016" s="95">
        <v>9968</v>
      </c>
      <c r="V3016" s="148">
        <v>45513</v>
      </c>
      <c r="W3016" s="33" t="s">
        <v>10666</v>
      </c>
      <c r="X3016" s="26">
        <v>0</v>
      </c>
      <c r="Y3016" s="22">
        <v>0</v>
      </c>
      <c r="Z3016" s="26" t="s">
        <v>50</v>
      </c>
      <c r="AA3016" s="35" t="s">
        <v>10314</v>
      </c>
      <c r="AB3016" s="26"/>
      <c r="AC3016" s="26" t="s">
        <v>53</v>
      </c>
      <c r="AD3016" s="26" t="s">
        <v>54</v>
      </c>
      <c r="AE3016" s="26">
        <v>500</v>
      </c>
      <c r="AF3016" s="17">
        <v>45490</v>
      </c>
      <c r="AG3016" s="26"/>
      <c r="AH3016" s="26"/>
      <c r="AI3016" s="40"/>
      <c r="AJ3016" s="26"/>
      <c r="AK3016" s="26"/>
      <c r="AL3016" s="35"/>
      <c r="AM3016" s="35"/>
      <c r="AN3016" s="35"/>
      <c r="AO3016" s="35"/>
      <c r="AP3016" s="35"/>
    </row>
    <row r="3017" spans="1:42" x14ac:dyDescent="0.2">
      <c r="A3017" s="126">
        <v>45484.932568946759</v>
      </c>
      <c r="B3017" s="28" t="s">
        <v>37</v>
      </c>
      <c r="C3017" s="41" t="s">
        <v>118</v>
      </c>
      <c r="D3017" s="26" t="s">
        <v>36</v>
      </c>
      <c r="E3017" s="26" t="s">
        <v>139</v>
      </c>
      <c r="F3017" s="26" t="s">
        <v>36</v>
      </c>
      <c r="G3017" s="26" t="s">
        <v>41</v>
      </c>
      <c r="H3017" s="26" t="s">
        <v>9419</v>
      </c>
      <c r="I3017" s="17">
        <f ca="1">IFERROR(__xludf.DUMMYFUNCTION("""COMPUTED_VALUE"""),45489)</f>
        <v>45489</v>
      </c>
      <c r="J3017" s="29" t="s">
        <v>10667</v>
      </c>
      <c r="K3017" s="26" t="s">
        <v>10668</v>
      </c>
      <c r="L3017" s="30">
        <v>396381097</v>
      </c>
      <c r="M3017" s="26" t="s">
        <v>80</v>
      </c>
      <c r="N3017" s="26" t="s">
        <v>466</v>
      </c>
      <c r="O3017" s="26" t="s">
        <v>10669</v>
      </c>
      <c r="P3017" s="26" t="s">
        <v>10670</v>
      </c>
      <c r="Q3017" s="20">
        <v>15936</v>
      </c>
      <c r="R3017" s="26" t="s">
        <v>36</v>
      </c>
      <c r="S3017" s="95">
        <f>200+1800</f>
        <v>2000</v>
      </c>
      <c r="T3017" s="148">
        <v>45484</v>
      </c>
      <c r="U3017" s="95">
        <v>13968</v>
      </c>
      <c r="V3017" s="148">
        <v>45532</v>
      </c>
      <c r="W3017" s="33" t="s">
        <v>10671</v>
      </c>
      <c r="X3017" s="26">
        <v>0</v>
      </c>
      <c r="Y3017" s="22">
        <v>-32</v>
      </c>
      <c r="Z3017" s="26" t="s">
        <v>50</v>
      </c>
      <c r="AA3017" s="96" t="s">
        <v>10314</v>
      </c>
      <c r="AB3017" s="26"/>
      <c r="AC3017" s="26" t="s">
        <v>53</v>
      </c>
      <c r="AD3017" s="26" t="s">
        <v>54</v>
      </c>
      <c r="AE3017" s="26">
        <v>0</v>
      </c>
      <c r="AF3017" s="17">
        <v>45485</v>
      </c>
      <c r="AG3017" s="26"/>
      <c r="AH3017" s="26"/>
      <c r="AI3017" s="40"/>
      <c r="AJ3017" s="26"/>
      <c r="AK3017" s="26"/>
      <c r="AL3017" s="35"/>
      <c r="AM3017" s="35"/>
      <c r="AN3017" s="35"/>
      <c r="AO3017" s="35"/>
      <c r="AP3017" s="35"/>
    </row>
    <row r="3018" spans="1:42" x14ac:dyDescent="0.2">
      <c r="A3018" s="126">
        <v>45484.935166331023</v>
      </c>
      <c r="B3018" s="28" t="s">
        <v>90</v>
      </c>
      <c r="C3018" s="41" t="s">
        <v>118</v>
      </c>
      <c r="D3018" s="26" t="s">
        <v>36</v>
      </c>
      <c r="E3018" s="26" t="s">
        <v>106</v>
      </c>
      <c r="F3018" s="26" t="s">
        <v>36</v>
      </c>
      <c r="G3018" s="26" t="s">
        <v>108</v>
      </c>
      <c r="H3018" s="26" t="s">
        <v>1565</v>
      </c>
      <c r="I3018" s="17">
        <f ca="1">IFERROR(__xludf.DUMMYFUNCTION("""COMPUTED_VALUE"""),45502)</f>
        <v>45502</v>
      </c>
      <c r="J3018" s="29" t="s">
        <v>10672</v>
      </c>
      <c r="K3018" s="26" t="s">
        <v>10673</v>
      </c>
      <c r="L3018" s="30">
        <v>777294550</v>
      </c>
      <c r="M3018" s="26" t="s">
        <v>80</v>
      </c>
      <c r="N3018" s="26" t="s">
        <v>466</v>
      </c>
      <c r="O3018" s="26" t="s">
        <v>10674</v>
      </c>
      <c r="P3018" s="26" t="s">
        <v>10675</v>
      </c>
      <c r="Q3018" s="20">
        <v>3768</v>
      </c>
      <c r="R3018" s="26" t="s">
        <v>36</v>
      </c>
      <c r="S3018" s="95">
        <f>200+3800</f>
        <v>4000</v>
      </c>
      <c r="T3018" s="83" t="s">
        <v>10676</v>
      </c>
      <c r="U3018" s="31"/>
      <c r="V3018" s="32"/>
      <c r="W3018" s="33" t="s">
        <v>10677</v>
      </c>
      <c r="X3018" s="26">
        <v>0</v>
      </c>
      <c r="Y3018" s="22">
        <v>-232</v>
      </c>
      <c r="Z3018" s="26" t="s">
        <v>50</v>
      </c>
      <c r="AA3018" s="35" t="s">
        <v>10314</v>
      </c>
      <c r="AB3018" s="26"/>
      <c r="AC3018" s="26" t="s">
        <v>53</v>
      </c>
      <c r="AD3018" s="26" t="s">
        <v>54</v>
      </c>
      <c r="AE3018" s="26">
        <v>460</v>
      </c>
      <c r="AF3018" s="17">
        <v>45512</v>
      </c>
      <c r="AG3018" s="26" t="s">
        <v>7078</v>
      </c>
      <c r="AH3018" s="26"/>
      <c r="AI3018" s="40"/>
      <c r="AJ3018" s="26"/>
      <c r="AK3018" s="26"/>
      <c r="AL3018" s="35"/>
      <c r="AM3018" s="35"/>
      <c r="AN3018" s="35"/>
      <c r="AO3018" s="35"/>
      <c r="AP3018" s="35"/>
    </row>
    <row r="3019" spans="1:42" x14ac:dyDescent="0.2">
      <c r="A3019" s="126">
        <v>45484.935856469907</v>
      </c>
      <c r="B3019" s="28" t="s">
        <v>37</v>
      </c>
      <c r="C3019" s="41" t="s">
        <v>118</v>
      </c>
      <c r="D3019" s="26" t="s">
        <v>36</v>
      </c>
      <c r="E3019" s="26" t="s">
        <v>139</v>
      </c>
      <c r="F3019" s="26" t="s">
        <v>36</v>
      </c>
      <c r="G3019" s="26" t="s">
        <v>41</v>
      </c>
      <c r="H3019" s="26" t="s">
        <v>9405</v>
      </c>
      <c r="I3019" s="17">
        <f ca="1">IFERROR(__xludf.DUMMYFUNCTION("""COMPUTED_VALUE"""),45488)</f>
        <v>45488</v>
      </c>
      <c r="J3019" s="29" t="s">
        <v>10162</v>
      </c>
      <c r="K3019" s="26" t="s">
        <v>3687</v>
      </c>
      <c r="L3019" s="30">
        <v>328206258</v>
      </c>
      <c r="M3019" s="26" t="s">
        <v>3728</v>
      </c>
      <c r="N3019" s="26" t="s">
        <v>5277</v>
      </c>
      <c r="O3019" s="26" t="s">
        <v>10163</v>
      </c>
      <c r="P3019" s="26" t="s">
        <v>10678</v>
      </c>
      <c r="Q3019" s="20">
        <v>15936</v>
      </c>
      <c r="R3019" s="26" t="s">
        <v>36</v>
      </c>
      <c r="S3019" s="95">
        <v>2000</v>
      </c>
      <c r="T3019" s="148">
        <v>45484</v>
      </c>
      <c r="U3019" s="95">
        <v>13936</v>
      </c>
      <c r="V3019" s="148">
        <v>45519</v>
      </c>
      <c r="W3019" s="26" t="s">
        <v>10165</v>
      </c>
      <c r="X3019" s="26">
        <v>0</v>
      </c>
      <c r="Y3019" s="22">
        <v>0</v>
      </c>
      <c r="Z3019" s="26" t="s">
        <v>50</v>
      </c>
      <c r="AA3019" s="96" t="s">
        <v>10314</v>
      </c>
      <c r="AB3019" s="26"/>
      <c r="AC3019" s="26" t="s">
        <v>53</v>
      </c>
      <c r="AD3019" s="26" t="s">
        <v>54</v>
      </c>
      <c r="AE3019" s="26"/>
      <c r="AF3019" s="17">
        <v>45485</v>
      </c>
      <c r="AG3019" s="26"/>
      <c r="AH3019" s="26"/>
      <c r="AI3019" s="40"/>
      <c r="AJ3019" s="26"/>
      <c r="AK3019" s="26"/>
      <c r="AL3019" s="35"/>
      <c r="AM3019" s="35"/>
      <c r="AN3019" s="35"/>
      <c r="AO3019" s="35"/>
      <c r="AP3019" s="35"/>
    </row>
    <row r="3020" spans="1:42" x14ac:dyDescent="0.2">
      <c r="A3020" s="126">
        <v>45484.978301585652</v>
      </c>
      <c r="B3020" s="28" t="s">
        <v>37</v>
      </c>
      <c r="C3020" s="41" t="s">
        <v>118</v>
      </c>
      <c r="D3020" s="26" t="s">
        <v>36</v>
      </c>
      <c r="E3020" s="26" t="s">
        <v>119</v>
      </c>
      <c r="F3020" s="26" t="s">
        <v>36</v>
      </c>
      <c r="G3020" s="26" t="s">
        <v>108</v>
      </c>
      <c r="H3020" s="26" t="s">
        <v>8704</v>
      </c>
      <c r="I3020" s="17">
        <f ca="1">IFERROR(__xludf.DUMMYFUNCTION("""COMPUTED_VALUE"""),45490)</f>
        <v>45490</v>
      </c>
      <c r="J3020" s="29" t="s">
        <v>10679</v>
      </c>
      <c r="K3020" s="26" t="s">
        <v>10680</v>
      </c>
      <c r="L3020" s="30">
        <v>983093268</v>
      </c>
      <c r="M3020" s="26" t="s">
        <v>80</v>
      </c>
      <c r="N3020" s="26" t="s">
        <v>466</v>
      </c>
      <c r="O3020" s="26" t="s">
        <v>10681</v>
      </c>
      <c r="P3020" s="26" t="s">
        <v>10682</v>
      </c>
      <c r="Q3020" s="20">
        <v>13968</v>
      </c>
      <c r="R3020" s="26" t="s">
        <v>36</v>
      </c>
      <c r="S3020" s="95">
        <v>3800</v>
      </c>
      <c r="T3020" s="148">
        <v>45484</v>
      </c>
      <c r="U3020" s="95">
        <v>10168</v>
      </c>
      <c r="V3020" s="148">
        <v>45528</v>
      </c>
      <c r="W3020" s="33" t="s">
        <v>10683</v>
      </c>
      <c r="X3020" s="26">
        <v>0</v>
      </c>
      <c r="Y3020" s="22">
        <v>0</v>
      </c>
      <c r="Z3020" s="26" t="s">
        <v>50</v>
      </c>
      <c r="AA3020" s="35" t="s">
        <v>10314</v>
      </c>
      <c r="AB3020" s="26"/>
      <c r="AC3020" s="26" t="s">
        <v>53</v>
      </c>
      <c r="AD3020" s="26" t="s">
        <v>54</v>
      </c>
      <c r="AE3020" s="26">
        <v>500</v>
      </c>
      <c r="AF3020" s="17">
        <v>45485</v>
      </c>
      <c r="AG3020" s="26"/>
      <c r="AH3020" s="26"/>
      <c r="AI3020" s="40"/>
      <c r="AJ3020" s="26"/>
      <c r="AK3020" s="26"/>
      <c r="AL3020" s="35"/>
      <c r="AM3020" s="35"/>
      <c r="AN3020" s="35"/>
      <c r="AO3020" s="35"/>
      <c r="AP3020" s="35"/>
    </row>
    <row r="3021" spans="1:42" x14ac:dyDescent="0.2">
      <c r="A3021" s="126">
        <v>45484.980033032407</v>
      </c>
      <c r="B3021" s="28" t="s">
        <v>37</v>
      </c>
      <c r="C3021" s="41" t="s">
        <v>118</v>
      </c>
      <c r="D3021" s="26" t="s">
        <v>36</v>
      </c>
      <c r="E3021" s="26" t="s">
        <v>119</v>
      </c>
      <c r="F3021" s="26" t="s">
        <v>36</v>
      </c>
      <c r="G3021" s="26" t="s">
        <v>108</v>
      </c>
      <c r="H3021" s="26" t="s">
        <v>9553</v>
      </c>
      <c r="I3021" s="17">
        <f ca="1">IFERROR(__xludf.DUMMYFUNCTION("""COMPUTED_VALUE"""),45497)</f>
        <v>45497</v>
      </c>
      <c r="J3021" s="29" t="s">
        <v>10684</v>
      </c>
      <c r="K3021" s="26" t="s">
        <v>10685</v>
      </c>
      <c r="L3021" s="30">
        <v>964481397</v>
      </c>
      <c r="M3021" s="26" t="s">
        <v>80</v>
      </c>
      <c r="N3021" s="26" t="s">
        <v>466</v>
      </c>
      <c r="O3021" s="26" t="s">
        <v>10686</v>
      </c>
      <c r="P3021" s="26" t="s">
        <v>10687</v>
      </c>
      <c r="Q3021" s="20">
        <v>13968</v>
      </c>
      <c r="R3021" s="26" t="s">
        <v>36</v>
      </c>
      <c r="S3021" s="95">
        <f t="shared" ref="S3021:S3022" si="24">200+3600</f>
        <v>3800</v>
      </c>
      <c r="T3021" s="83" t="s">
        <v>10688</v>
      </c>
      <c r="U3021" s="95">
        <v>10168</v>
      </c>
      <c r="V3021" s="148">
        <v>45524</v>
      </c>
      <c r="W3021" s="33" t="s">
        <v>10689</v>
      </c>
      <c r="X3021" s="26">
        <v>0</v>
      </c>
      <c r="Y3021" s="22">
        <v>0</v>
      </c>
      <c r="Z3021" s="26" t="s">
        <v>50</v>
      </c>
      <c r="AA3021" s="96" t="s">
        <v>10314</v>
      </c>
      <c r="AB3021" s="26"/>
      <c r="AC3021" s="26" t="s">
        <v>53</v>
      </c>
      <c r="AD3021" s="26" t="s">
        <v>54</v>
      </c>
      <c r="AE3021" s="26">
        <v>400</v>
      </c>
      <c r="AF3021" s="17">
        <v>45492</v>
      </c>
      <c r="AG3021" s="26"/>
      <c r="AH3021" s="26"/>
      <c r="AI3021" s="40"/>
      <c r="AJ3021" s="26"/>
      <c r="AK3021" s="26"/>
      <c r="AL3021" s="35"/>
      <c r="AM3021" s="35"/>
      <c r="AN3021" s="35"/>
      <c r="AO3021" s="35"/>
      <c r="AP3021" s="35"/>
    </row>
    <row r="3022" spans="1:42" x14ac:dyDescent="0.2">
      <c r="A3022" s="126">
        <v>45485.45676483796</v>
      </c>
      <c r="B3022" s="28" t="s">
        <v>37</v>
      </c>
      <c r="C3022" s="41" t="s">
        <v>118</v>
      </c>
      <c r="D3022" s="26" t="s">
        <v>36</v>
      </c>
      <c r="E3022" s="26" t="s">
        <v>119</v>
      </c>
      <c r="F3022" s="26" t="s">
        <v>36</v>
      </c>
      <c r="G3022" s="26" t="s">
        <v>108</v>
      </c>
      <c r="H3022" s="26" t="s">
        <v>8704</v>
      </c>
      <c r="I3022" s="17">
        <f ca="1">IFERROR(__xludf.DUMMYFUNCTION("""COMPUTED_VALUE"""),45490)</f>
        <v>45490</v>
      </c>
      <c r="J3022" s="29" t="s">
        <v>10690</v>
      </c>
      <c r="K3022" s="26" t="s">
        <v>10691</v>
      </c>
      <c r="L3022" s="30">
        <v>972837338</v>
      </c>
      <c r="M3022" s="26" t="s">
        <v>80</v>
      </c>
      <c r="N3022" s="26" t="s">
        <v>466</v>
      </c>
      <c r="O3022" s="26" t="s">
        <v>10692</v>
      </c>
      <c r="P3022" s="26" t="s">
        <v>10693</v>
      </c>
      <c r="Q3022" s="20">
        <v>13968</v>
      </c>
      <c r="R3022" s="26" t="s">
        <v>36</v>
      </c>
      <c r="S3022" s="95">
        <f t="shared" si="24"/>
        <v>3800</v>
      </c>
      <c r="T3022" s="83" t="s">
        <v>10694</v>
      </c>
      <c r="U3022" s="95">
        <v>10168</v>
      </c>
      <c r="V3022" s="148">
        <v>45519</v>
      </c>
      <c r="W3022" s="33" t="s">
        <v>10695</v>
      </c>
      <c r="X3022" s="26">
        <v>0</v>
      </c>
      <c r="Y3022" s="22">
        <v>0</v>
      </c>
      <c r="Z3022" s="26" t="s">
        <v>50</v>
      </c>
      <c r="AA3022" s="35" t="s">
        <v>10314</v>
      </c>
      <c r="AB3022" s="26"/>
      <c r="AC3022" s="26" t="s">
        <v>53</v>
      </c>
      <c r="AD3022" s="26" t="s">
        <v>54</v>
      </c>
      <c r="AE3022" s="26">
        <v>500</v>
      </c>
      <c r="AF3022" s="17">
        <v>45493</v>
      </c>
      <c r="AG3022" s="26"/>
      <c r="AH3022" s="26"/>
      <c r="AI3022" s="40"/>
      <c r="AJ3022" s="26"/>
      <c r="AK3022" s="26"/>
      <c r="AL3022" s="35"/>
      <c r="AM3022" s="35"/>
      <c r="AN3022" s="35"/>
      <c r="AO3022" s="35"/>
      <c r="AP3022" s="35"/>
    </row>
    <row r="3023" spans="1:42" x14ac:dyDescent="0.2">
      <c r="A3023" s="126">
        <v>45485.539398287037</v>
      </c>
      <c r="B3023" s="28" t="s">
        <v>37</v>
      </c>
      <c r="C3023" s="41" t="s">
        <v>118</v>
      </c>
      <c r="D3023" s="26" t="s">
        <v>36</v>
      </c>
      <c r="E3023" s="26" t="s">
        <v>119</v>
      </c>
      <c r="F3023" s="26" t="s">
        <v>36</v>
      </c>
      <c r="G3023" s="26" t="s">
        <v>108</v>
      </c>
      <c r="H3023" s="26" t="s">
        <v>8708</v>
      </c>
      <c r="I3023" s="17">
        <f ca="1">IFERROR(__xludf.DUMMYFUNCTION("""COMPUTED_VALUE"""),45492)</f>
        <v>45492</v>
      </c>
      <c r="J3023" s="29" t="s">
        <v>10696</v>
      </c>
      <c r="K3023" s="26" t="s">
        <v>10697</v>
      </c>
      <c r="L3023" s="30">
        <v>967007462</v>
      </c>
      <c r="M3023" s="26" t="s">
        <v>5518</v>
      </c>
      <c r="N3023" s="26" t="s">
        <v>10698</v>
      </c>
      <c r="O3023" s="26" t="s">
        <v>10699</v>
      </c>
      <c r="P3023" s="26" t="s">
        <v>10700</v>
      </c>
      <c r="Q3023" s="20">
        <v>13968</v>
      </c>
      <c r="R3023" s="26" t="s">
        <v>36</v>
      </c>
      <c r="S3023" s="95">
        <f>500+3500</f>
        <v>4000</v>
      </c>
      <c r="T3023" s="148">
        <v>45485</v>
      </c>
      <c r="U3023" s="95">
        <v>9968</v>
      </c>
      <c r="V3023" s="148">
        <v>45510</v>
      </c>
      <c r="W3023" s="33" t="s">
        <v>10701</v>
      </c>
      <c r="X3023" s="26">
        <v>0</v>
      </c>
      <c r="Y3023" s="22">
        <v>0</v>
      </c>
      <c r="Z3023" s="26" t="s">
        <v>50</v>
      </c>
      <c r="AA3023" s="96" t="s">
        <v>10314</v>
      </c>
      <c r="AB3023" s="26"/>
      <c r="AC3023" s="26" t="s">
        <v>53</v>
      </c>
      <c r="AD3023" s="26" t="s">
        <v>54</v>
      </c>
      <c r="AE3023" s="26">
        <v>480</v>
      </c>
      <c r="AF3023" s="17">
        <v>45488</v>
      </c>
      <c r="AG3023" s="26"/>
      <c r="AH3023" s="26"/>
      <c r="AI3023" s="40"/>
      <c r="AJ3023" s="26"/>
      <c r="AK3023" s="26"/>
      <c r="AL3023" s="35"/>
      <c r="AM3023" s="35"/>
      <c r="AN3023" s="35"/>
      <c r="AO3023" s="35"/>
      <c r="AP3023" s="35"/>
    </row>
    <row r="3024" spans="1:42" x14ac:dyDescent="0.2">
      <c r="A3024" s="126">
        <v>45485.736051944448</v>
      </c>
      <c r="B3024" s="28" t="s">
        <v>37</v>
      </c>
      <c r="C3024" s="41" t="s">
        <v>118</v>
      </c>
      <c r="D3024" s="26" t="s">
        <v>36</v>
      </c>
      <c r="E3024" s="26" t="s">
        <v>77</v>
      </c>
      <c r="F3024" s="26" t="s">
        <v>36</v>
      </c>
      <c r="G3024" s="26" t="s">
        <v>41</v>
      </c>
      <c r="H3024" s="26" t="s">
        <v>9419</v>
      </c>
      <c r="I3024" s="17">
        <f ca="1">IFERROR(__xludf.DUMMYFUNCTION("""COMPUTED_VALUE"""),45489)</f>
        <v>45489</v>
      </c>
      <c r="J3024" s="29" t="s">
        <v>10702</v>
      </c>
      <c r="K3024" s="26" t="s">
        <v>10703</v>
      </c>
      <c r="L3024" s="30">
        <v>983428536</v>
      </c>
      <c r="M3024" s="26" t="s">
        <v>5518</v>
      </c>
      <c r="N3024" s="26" t="s">
        <v>10698</v>
      </c>
      <c r="O3024" s="26" t="s">
        <v>10704</v>
      </c>
      <c r="P3024" s="26" t="s">
        <v>10705</v>
      </c>
      <c r="Q3024" s="20">
        <v>1968</v>
      </c>
      <c r="R3024" s="26" t="s">
        <v>36</v>
      </c>
      <c r="S3024" s="95">
        <v>2200</v>
      </c>
      <c r="T3024" s="148">
        <v>45485</v>
      </c>
      <c r="U3024" s="31"/>
      <c r="V3024" s="32"/>
      <c r="W3024" s="33" t="s">
        <v>10706</v>
      </c>
      <c r="X3024" s="26">
        <v>0</v>
      </c>
      <c r="Y3024" s="22">
        <v>-232</v>
      </c>
      <c r="Z3024" s="26" t="s">
        <v>50</v>
      </c>
      <c r="AA3024" s="35" t="s">
        <v>10314</v>
      </c>
      <c r="AB3024" s="26"/>
      <c r="AC3024" s="26" t="s">
        <v>53</v>
      </c>
      <c r="AD3024" s="26" t="s">
        <v>54</v>
      </c>
      <c r="AE3024" s="26">
        <v>0</v>
      </c>
      <c r="AF3024" s="17">
        <v>45486</v>
      </c>
      <c r="AG3024" s="26" t="s">
        <v>7078</v>
      </c>
      <c r="AH3024" s="26"/>
      <c r="AI3024" s="40"/>
      <c r="AJ3024" s="26"/>
      <c r="AK3024" s="26"/>
      <c r="AL3024" s="35"/>
      <c r="AM3024" s="35"/>
      <c r="AN3024" s="35"/>
      <c r="AO3024" s="35"/>
      <c r="AP3024" s="35"/>
    </row>
    <row r="3025" spans="1:42" x14ac:dyDescent="0.2">
      <c r="A3025" s="126">
        <v>45485.743978750004</v>
      </c>
      <c r="B3025" s="28" t="s">
        <v>37</v>
      </c>
      <c r="C3025" s="41" t="s">
        <v>118</v>
      </c>
      <c r="D3025" s="26" t="s">
        <v>36</v>
      </c>
      <c r="E3025" s="26" t="s">
        <v>119</v>
      </c>
      <c r="F3025" s="26" t="s">
        <v>40</v>
      </c>
      <c r="G3025" s="26" t="s">
        <v>108</v>
      </c>
      <c r="H3025" s="26" t="s">
        <v>8691</v>
      </c>
      <c r="I3025" s="17">
        <f ca="1">IFERROR(__xludf.DUMMYFUNCTION("""COMPUTED_VALUE"""),45485)</f>
        <v>45485</v>
      </c>
      <c r="J3025" s="29" t="s">
        <v>10707</v>
      </c>
      <c r="K3025" s="26" t="s">
        <v>10708</v>
      </c>
      <c r="L3025" s="30">
        <v>962199042</v>
      </c>
      <c r="M3025" s="26" t="s">
        <v>80</v>
      </c>
      <c r="N3025" s="26" t="s">
        <v>466</v>
      </c>
      <c r="O3025" s="26" t="s">
        <v>10709</v>
      </c>
      <c r="P3025" s="26" t="s">
        <v>10710</v>
      </c>
      <c r="Q3025" s="20">
        <v>13968</v>
      </c>
      <c r="R3025" s="26" t="s">
        <v>36</v>
      </c>
      <c r="S3025" s="95">
        <v>3800</v>
      </c>
      <c r="T3025" s="148">
        <v>45485</v>
      </c>
      <c r="U3025" s="95">
        <v>10168</v>
      </c>
      <c r="V3025" s="148">
        <v>45506</v>
      </c>
      <c r="W3025" s="33" t="s">
        <v>10711</v>
      </c>
      <c r="X3025" s="26">
        <v>0</v>
      </c>
      <c r="Y3025" s="22">
        <v>0</v>
      </c>
      <c r="Z3025" s="26" t="s">
        <v>50</v>
      </c>
      <c r="AA3025" s="96" t="s">
        <v>10314</v>
      </c>
      <c r="AB3025" s="26"/>
      <c r="AC3025" s="26" t="s">
        <v>53</v>
      </c>
      <c r="AD3025" s="26" t="s">
        <v>54</v>
      </c>
      <c r="AE3025" s="26">
        <v>400</v>
      </c>
      <c r="AF3025" s="17">
        <v>45485</v>
      </c>
      <c r="AG3025" s="26"/>
      <c r="AH3025" s="26"/>
      <c r="AI3025" s="40"/>
      <c r="AJ3025" s="26"/>
      <c r="AK3025" s="26"/>
      <c r="AL3025" s="35"/>
      <c r="AM3025" s="35"/>
      <c r="AN3025" s="35"/>
      <c r="AO3025" s="35"/>
      <c r="AP3025" s="35"/>
    </row>
    <row r="3026" spans="1:42" x14ac:dyDescent="0.2">
      <c r="A3026" s="126">
        <v>45485.787387245371</v>
      </c>
      <c r="B3026" s="28" t="s">
        <v>37</v>
      </c>
      <c r="C3026" s="41" t="s">
        <v>118</v>
      </c>
      <c r="D3026" s="26" t="s">
        <v>36</v>
      </c>
      <c r="E3026" s="26" t="s">
        <v>139</v>
      </c>
      <c r="F3026" s="26" t="s">
        <v>36</v>
      </c>
      <c r="G3026" s="26" t="s">
        <v>41</v>
      </c>
      <c r="H3026" s="26" t="s">
        <v>9502</v>
      </c>
      <c r="I3026" s="17">
        <f ca="1">IFERROR(__xludf.DUMMYFUNCTION("""COMPUTED_VALUE"""),45491)</f>
        <v>45491</v>
      </c>
      <c r="J3026" s="29" t="s">
        <v>10200</v>
      </c>
      <c r="K3026" s="26" t="s">
        <v>10712</v>
      </c>
      <c r="L3026" s="30">
        <v>834167448</v>
      </c>
      <c r="M3026" s="26" t="s">
        <v>3728</v>
      </c>
      <c r="N3026" s="26" t="s">
        <v>8725</v>
      </c>
      <c r="O3026" s="26" t="s">
        <v>10202</v>
      </c>
      <c r="P3026" s="26" t="s">
        <v>10713</v>
      </c>
      <c r="Q3026" s="20">
        <v>15936</v>
      </c>
      <c r="R3026" s="26" t="s">
        <v>36</v>
      </c>
      <c r="S3026" s="95">
        <v>2000</v>
      </c>
      <c r="T3026" s="148">
        <v>45484</v>
      </c>
      <c r="U3026" s="95">
        <v>13936</v>
      </c>
      <c r="V3026" s="148">
        <v>45533</v>
      </c>
      <c r="W3026" s="33" t="s">
        <v>10204</v>
      </c>
      <c r="X3026" s="26">
        <v>0</v>
      </c>
      <c r="Y3026" s="22">
        <v>0</v>
      </c>
      <c r="Z3026" s="26" t="s">
        <v>50</v>
      </c>
      <c r="AA3026" s="35" t="s">
        <v>10314</v>
      </c>
      <c r="AB3026" s="26"/>
      <c r="AC3026" s="26" t="s">
        <v>53</v>
      </c>
      <c r="AD3026" s="26" t="s">
        <v>54</v>
      </c>
      <c r="AE3026" s="26"/>
      <c r="AF3026" s="17">
        <v>45486</v>
      </c>
      <c r="AG3026" s="26"/>
      <c r="AH3026" s="26"/>
      <c r="AI3026" s="40"/>
      <c r="AJ3026" s="26"/>
      <c r="AK3026" s="26"/>
      <c r="AL3026" s="35"/>
      <c r="AM3026" s="35"/>
      <c r="AN3026" s="35"/>
      <c r="AO3026" s="35"/>
      <c r="AP3026" s="35"/>
    </row>
    <row r="3027" spans="1:42" x14ac:dyDescent="0.2">
      <c r="A3027" s="126">
        <v>45485.963080243055</v>
      </c>
      <c r="B3027" s="28" t="s">
        <v>37</v>
      </c>
      <c r="C3027" s="41" t="s">
        <v>118</v>
      </c>
      <c r="D3027" s="26" t="s">
        <v>36</v>
      </c>
      <c r="E3027" s="26" t="s">
        <v>119</v>
      </c>
      <c r="F3027" s="26" t="s">
        <v>36</v>
      </c>
      <c r="G3027" s="26" t="s">
        <v>108</v>
      </c>
      <c r="H3027" s="26" t="s">
        <v>8704</v>
      </c>
      <c r="I3027" s="17">
        <f ca="1">IFERROR(__xludf.DUMMYFUNCTION("""COMPUTED_VALUE"""),45490)</f>
        <v>45490</v>
      </c>
      <c r="J3027" s="29" t="s">
        <v>10714</v>
      </c>
      <c r="K3027" s="26" t="s">
        <v>10715</v>
      </c>
      <c r="L3027" s="30">
        <v>941672906</v>
      </c>
      <c r="M3027" s="26" t="s">
        <v>80</v>
      </c>
      <c r="N3027" s="26" t="s">
        <v>466</v>
      </c>
      <c r="O3027" s="26" t="s">
        <v>10716</v>
      </c>
      <c r="P3027" s="26" t="s">
        <v>10717</v>
      </c>
      <c r="Q3027" s="20">
        <v>13968</v>
      </c>
      <c r="R3027" s="26" t="s">
        <v>36</v>
      </c>
      <c r="S3027" s="95">
        <f>200+3600</f>
        <v>3800</v>
      </c>
      <c r="T3027" s="83" t="s">
        <v>10718</v>
      </c>
      <c r="U3027" s="95">
        <v>10168</v>
      </c>
      <c r="V3027" s="148">
        <v>45525</v>
      </c>
      <c r="W3027" s="33" t="s">
        <v>10719</v>
      </c>
      <c r="X3027" s="26">
        <v>0</v>
      </c>
      <c r="Y3027" s="22">
        <v>0</v>
      </c>
      <c r="Z3027" s="26" t="s">
        <v>50</v>
      </c>
      <c r="AA3027" s="96" t="s">
        <v>10314</v>
      </c>
      <c r="AB3027" s="26"/>
      <c r="AC3027" s="26" t="s">
        <v>53</v>
      </c>
      <c r="AD3027" s="26" t="s">
        <v>54</v>
      </c>
      <c r="AE3027" s="26">
        <v>500</v>
      </c>
      <c r="AF3027" s="17">
        <v>45489</v>
      </c>
      <c r="AG3027" s="26"/>
      <c r="AH3027" s="26"/>
      <c r="AI3027" s="40"/>
      <c r="AJ3027" s="26"/>
      <c r="AK3027" s="26"/>
      <c r="AL3027" s="35"/>
      <c r="AM3027" s="35"/>
      <c r="AN3027" s="35"/>
      <c r="AO3027" s="35"/>
      <c r="AP3027" s="35"/>
    </row>
    <row r="3028" spans="1:42" x14ac:dyDescent="0.2">
      <c r="A3028" s="126">
        <v>45485.964305624999</v>
      </c>
      <c r="B3028" s="28" t="s">
        <v>37</v>
      </c>
      <c r="C3028" s="41" t="s">
        <v>118</v>
      </c>
      <c r="D3028" s="26" t="s">
        <v>36</v>
      </c>
      <c r="E3028" s="26" t="s">
        <v>77</v>
      </c>
      <c r="F3028" s="26" t="s">
        <v>36</v>
      </c>
      <c r="G3028" s="26" t="s">
        <v>41</v>
      </c>
      <c r="H3028" s="26" t="s">
        <v>9531</v>
      </c>
      <c r="I3028" s="17">
        <f ca="1">IFERROR(__xludf.DUMMYFUNCTION("""COMPUTED_VALUE"""),45492)</f>
        <v>45492</v>
      </c>
      <c r="J3028" s="29" t="s">
        <v>10720</v>
      </c>
      <c r="K3028" s="26" t="s">
        <v>10721</v>
      </c>
      <c r="L3028" s="30">
        <v>343299128</v>
      </c>
      <c r="M3028" s="26" t="s">
        <v>80</v>
      </c>
      <c r="N3028" s="26" t="s">
        <v>1073</v>
      </c>
      <c r="O3028" s="26" t="s">
        <v>10722</v>
      </c>
      <c r="P3028" s="26" t="s">
        <v>10723</v>
      </c>
      <c r="Q3028" s="20">
        <v>1968</v>
      </c>
      <c r="R3028" s="26" t="s">
        <v>36</v>
      </c>
      <c r="S3028" s="95">
        <f>200+1800</f>
        <v>2000</v>
      </c>
      <c r="T3028" s="83" t="s">
        <v>10724</v>
      </c>
      <c r="U3028" s="31"/>
      <c r="V3028" s="32"/>
      <c r="W3028" s="33" t="s">
        <v>10725</v>
      </c>
      <c r="X3028" s="26">
        <v>0</v>
      </c>
      <c r="Y3028" s="22">
        <v>-32</v>
      </c>
      <c r="Z3028" s="26" t="s">
        <v>50</v>
      </c>
      <c r="AA3028" s="35" t="s">
        <v>10314</v>
      </c>
      <c r="AB3028" s="26"/>
      <c r="AC3028" s="26" t="s">
        <v>53</v>
      </c>
      <c r="AD3028" s="26" t="s">
        <v>54</v>
      </c>
      <c r="AE3028" s="26">
        <v>0</v>
      </c>
      <c r="AF3028" s="17">
        <v>45489</v>
      </c>
      <c r="AG3028" s="26" t="s">
        <v>7078</v>
      </c>
      <c r="AH3028" s="26"/>
      <c r="AI3028" s="40"/>
      <c r="AJ3028" s="26"/>
      <c r="AK3028" s="26"/>
      <c r="AL3028" s="35"/>
      <c r="AM3028" s="35"/>
      <c r="AN3028" s="35"/>
      <c r="AO3028" s="35"/>
      <c r="AP3028" s="35"/>
    </row>
    <row r="3029" spans="1:42" x14ac:dyDescent="0.2">
      <c r="A3029" s="126">
        <v>45486.475437974535</v>
      </c>
      <c r="B3029" s="28" t="s">
        <v>37</v>
      </c>
      <c r="C3029" s="41" t="s">
        <v>118</v>
      </c>
      <c r="D3029" s="26" t="s">
        <v>36</v>
      </c>
      <c r="E3029" s="26" t="s">
        <v>139</v>
      </c>
      <c r="F3029" s="26" t="s">
        <v>36</v>
      </c>
      <c r="G3029" s="26" t="s">
        <v>41</v>
      </c>
      <c r="H3029" s="26" t="s">
        <v>8635</v>
      </c>
      <c r="I3029" s="17">
        <f ca="1">IFERROR(__xludf.DUMMYFUNCTION("""COMPUTED_VALUE"""),45496)</f>
        <v>45496</v>
      </c>
      <c r="J3029" s="29" t="s">
        <v>10057</v>
      </c>
      <c r="K3029" s="26" t="s">
        <v>10726</v>
      </c>
      <c r="L3029" s="30">
        <v>936655697</v>
      </c>
      <c r="M3029" s="26" t="s">
        <v>2755</v>
      </c>
      <c r="N3029" s="26" t="s">
        <v>2756</v>
      </c>
      <c r="O3029" s="26" t="s">
        <v>4503</v>
      </c>
      <c r="P3029" s="26" t="s">
        <v>3694</v>
      </c>
      <c r="Q3029" s="20">
        <v>15936</v>
      </c>
      <c r="R3029" s="26" t="s">
        <v>36</v>
      </c>
      <c r="S3029" s="95">
        <f>200+3800</f>
        <v>4000</v>
      </c>
      <c r="T3029" s="83" t="s">
        <v>10060</v>
      </c>
      <c r="U3029" s="95">
        <v>11936</v>
      </c>
      <c r="V3029" s="83" t="s">
        <v>10061</v>
      </c>
      <c r="W3029" s="33" t="s">
        <v>10062</v>
      </c>
      <c r="X3029" s="26">
        <v>0</v>
      </c>
      <c r="Y3029" s="22">
        <v>0</v>
      </c>
      <c r="Z3029" s="26" t="s">
        <v>50</v>
      </c>
      <c r="AA3029" s="96" t="s">
        <v>10314</v>
      </c>
      <c r="AB3029" s="26" t="s">
        <v>36</v>
      </c>
      <c r="AC3029" s="26" t="s">
        <v>53</v>
      </c>
      <c r="AD3029" s="26" t="s">
        <v>54</v>
      </c>
      <c r="AE3029" s="26"/>
      <c r="AF3029" s="17">
        <v>45496</v>
      </c>
      <c r="AG3029" s="26" t="s">
        <v>4279</v>
      </c>
      <c r="AH3029" s="26"/>
      <c r="AI3029" s="40"/>
      <c r="AJ3029" s="26"/>
      <c r="AK3029" s="26"/>
      <c r="AL3029" s="35"/>
      <c r="AM3029" s="35"/>
      <c r="AN3029" s="35"/>
      <c r="AO3029" s="35"/>
      <c r="AP3029" s="35"/>
    </row>
    <row r="3030" spans="1:42" x14ac:dyDescent="0.2">
      <c r="A3030" s="126">
        <v>45486.798322071758</v>
      </c>
      <c r="B3030" s="28" t="s">
        <v>37</v>
      </c>
      <c r="C3030" s="41" t="s">
        <v>118</v>
      </c>
      <c r="D3030" s="26" t="s">
        <v>36</v>
      </c>
      <c r="E3030" s="26" t="s">
        <v>56</v>
      </c>
      <c r="F3030" s="26" t="s">
        <v>36</v>
      </c>
      <c r="G3030" s="26" t="s">
        <v>41</v>
      </c>
      <c r="H3030" s="26" t="s">
        <v>9531</v>
      </c>
      <c r="I3030" s="17">
        <f ca="1">IFERROR(__xludf.DUMMYFUNCTION("""COMPUTED_VALUE"""),45492)</f>
        <v>45492</v>
      </c>
      <c r="J3030" s="29" t="s">
        <v>10727</v>
      </c>
      <c r="K3030" s="26" t="s">
        <v>10728</v>
      </c>
      <c r="L3030" s="30">
        <v>373822180</v>
      </c>
      <c r="M3030" s="26" t="s">
        <v>910</v>
      </c>
      <c r="N3030" s="26" t="s">
        <v>3525</v>
      </c>
      <c r="O3030" s="26" t="s">
        <v>91</v>
      </c>
      <c r="P3030" s="26" t="s">
        <v>10729</v>
      </c>
      <c r="Q3030" s="20">
        <v>9317</v>
      </c>
      <c r="R3030" s="26" t="s">
        <v>36</v>
      </c>
      <c r="S3030" s="95">
        <v>2000</v>
      </c>
      <c r="T3030" s="148">
        <v>45486</v>
      </c>
      <c r="U3030" s="95">
        <v>7317</v>
      </c>
      <c r="V3030" s="148">
        <v>45507</v>
      </c>
      <c r="W3030" s="33" t="s">
        <v>10730</v>
      </c>
      <c r="X3030" s="26">
        <v>0</v>
      </c>
      <c r="Y3030" s="22">
        <v>0</v>
      </c>
      <c r="Z3030" s="26" t="s">
        <v>50</v>
      </c>
      <c r="AA3030" s="35" t="s">
        <v>10314</v>
      </c>
      <c r="AB3030" s="26"/>
      <c r="AC3030" s="26" t="s">
        <v>53</v>
      </c>
      <c r="AD3030" s="26" t="s">
        <v>54</v>
      </c>
      <c r="AE3030" s="26"/>
      <c r="AF3030" s="17">
        <v>45489</v>
      </c>
      <c r="AG3030" s="26"/>
      <c r="AH3030" s="26"/>
      <c r="AI3030" s="40"/>
      <c r="AJ3030" s="26"/>
      <c r="AK3030" s="26"/>
      <c r="AL3030" s="35"/>
      <c r="AM3030" s="35"/>
      <c r="AN3030" s="35"/>
      <c r="AO3030" s="35"/>
      <c r="AP3030" s="35"/>
    </row>
    <row r="3031" spans="1:42" x14ac:dyDescent="0.2">
      <c r="A3031" s="126">
        <v>45486.845617800922</v>
      </c>
      <c r="B3031" s="28" t="s">
        <v>37</v>
      </c>
      <c r="C3031" s="41" t="s">
        <v>118</v>
      </c>
      <c r="D3031" s="26" t="s">
        <v>36</v>
      </c>
      <c r="E3031" s="26" t="s">
        <v>139</v>
      </c>
      <c r="F3031" s="26" t="s">
        <v>36</v>
      </c>
      <c r="G3031" s="26" t="s">
        <v>41</v>
      </c>
      <c r="H3031" s="26" t="s">
        <v>9531</v>
      </c>
      <c r="I3031" s="17">
        <f ca="1">IFERROR(__xludf.DUMMYFUNCTION("""COMPUTED_VALUE"""),45492)</f>
        <v>45492</v>
      </c>
      <c r="J3031" s="29" t="s">
        <v>10731</v>
      </c>
      <c r="K3031" s="26" t="s">
        <v>10732</v>
      </c>
      <c r="L3031" s="30">
        <v>978741402</v>
      </c>
      <c r="M3031" s="26" t="s">
        <v>5518</v>
      </c>
      <c r="N3031" s="26" t="s">
        <v>186</v>
      </c>
      <c r="O3031" s="26" t="s">
        <v>10733</v>
      </c>
      <c r="P3031" s="26" t="s">
        <v>10734</v>
      </c>
      <c r="Q3031" s="20">
        <v>15936</v>
      </c>
      <c r="R3031" s="26" t="s">
        <v>36</v>
      </c>
      <c r="S3031" s="95">
        <v>2000</v>
      </c>
      <c r="T3031" s="148">
        <v>45486</v>
      </c>
      <c r="U3031" s="95">
        <v>13936</v>
      </c>
      <c r="V3031" s="148">
        <v>45517</v>
      </c>
      <c r="W3031" s="55" t="s">
        <v>10735</v>
      </c>
      <c r="X3031" s="26">
        <v>0</v>
      </c>
      <c r="Y3031" s="22">
        <v>0</v>
      </c>
      <c r="Z3031" s="26" t="s">
        <v>50</v>
      </c>
      <c r="AA3031" s="96" t="s">
        <v>10314</v>
      </c>
      <c r="AB3031" s="26"/>
      <c r="AC3031" s="26" t="s">
        <v>53</v>
      </c>
      <c r="AD3031" s="26" t="s">
        <v>54</v>
      </c>
      <c r="AE3031" s="26">
        <v>0</v>
      </c>
      <c r="AF3031" s="17">
        <v>45489</v>
      </c>
      <c r="AG3031" s="26"/>
      <c r="AH3031" s="26"/>
      <c r="AI3031" s="40"/>
      <c r="AJ3031" s="26"/>
      <c r="AK3031" s="26"/>
      <c r="AL3031" s="35"/>
      <c r="AM3031" s="35"/>
      <c r="AN3031" s="35"/>
      <c r="AO3031" s="35"/>
      <c r="AP3031" s="35"/>
    </row>
    <row r="3032" spans="1:42" x14ac:dyDescent="0.2">
      <c r="A3032" s="126">
        <v>45487.305578611107</v>
      </c>
      <c r="B3032" s="28" t="s">
        <v>37</v>
      </c>
      <c r="C3032" s="41" t="s">
        <v>118</v>
      </c>
      <c r="D3032" s="26" t="s">
        <v>36</v>
      </c>
      <c r="E3032" s="26" t="s">
        <v>106</v>
      </c>
      <c r="F3032" s="26" t="s">
        <v>36</v>
      </c>
      <c r="G3032" s="26" t="s">
        <v>108</v>
      </c>
      <c r="H3032" s="26" t="s">
        <v>10736</v>
      </c>
      <c r="I3032" s="17" t="str">
        <f ca="1">IFERROR(__xludf.DUMMYFUNCTION("""COMPUTED_VALUE""")," ")</f>
        <v xml:space="preserve"> </v>
      </c>
      <c r="J3032" s="29" t="s">
        <v>10737</v>
      </c>
      <c r="K3032" s="26" t="s">
        <v>10738</v>
      </c>
      <c r="L3032" s="30">
        <v>359808774</v>
      </c>
      <c r="M3032" s="26" t="s">
        <v>80</v>
      </c>
      <c r="N3032" s="26" t="s">
        <v>1073</v>
      </c>
      <c r="O3032" s="26" t="s">
        <v>10739</v>
      </c>
      <c r="P3032" s="26" t="s">
        <v>10740</v>
      </c>
      <c r="Q3032" s="20">
        <v>3768</v>
      </c>
      <c r="R3032" s="26" t="s">
        <v>36</v>
      </c>
      <c r="S3032" s="95">
        <f>200+3800</f>
        <v>4000</v>
      </c>
      <c r="T3032" s="83" t="s">
        <v>10741</v>
      </c>
      <c r="U3032" s="31"/>
      <c r="V3032" s="32"/>
      <c r="W3032" s="33" t="s">
        <v>10742</v>
      </c>
      <c r="X3032" s="26">
        <v>0</v>
      </c>
      <c r="Y3032" s="22">
        <v>-232</v>
      </c>
      <c r="Z3032" s="26" t="s">
        <v>50</v>
      </c>
      <c r="AA3032" s="35" t="s">
        <v>10314</v>
      </c>
      <c r="AB3032" s="26"/>
      <c r="AC3032" s="26" t="s">
        <v>53</v>
      </c>
      <c r="AD3032" s="26" t="s">
        <v>54</v>
      </c>
      <c r="AE3032" s="26">
        <v>500</v>
      </c>
      <c r="AF3032" s="17">
        <v>45502</v>
      </c>
      <c r="AG3032" s="26" t="s">
        <v>7078</v>
      </c>
      <c r="AH3032" s="26"/>
      <c r="AI3032" s="40"/>
      <c r="AJ3032" s="26"/>
      <c r="AK3032" s="26"/>
      <c r="AL3032" s="35"/>
      <c r="AM3032" s="35"/>
      <c r="AN3032" s="35"/>
      <c r="AO3032" s="35"/>
      <c r="AP3032" s="35"/>
    </row>
    <row r="3033" spans="1:42" x14ac:dyDescent="0.2">
      <c r="A3033" s="126">
        <v>45487.45974431713</v>
      </c>
      <c r="B3033" s="28" t="s">
        <v>37</v>
      </c>
      <c r="C3033" s="41" t="s">
        <v>118</v>
      </c>
      <c r="D3033" s="26" t="s">
        <v>36</v>
      </c>
      <c r="E3033" s="26" t="s">
        <v>77</v>
      </c>
      <c r="F3033" s="26" t="s">
        <v>36</v>
      </c>
      <c r="G3033" s="26" t="s">
        <v>41</v>
      </c>
      <c r="H3033" s="26" t="s">
        <v>9448</v>
      </c>
      <c r="I3033" s="17">
        <f ca="1">IFERROR(__xludf.DUMMYFUNCTION("""COMPUTED_VALUE"""),45489)</f>
        <v>45489</v>
      </c>
      <c r="J3033" s="44" t="s">
        <v>10743</v>
      </c>
      <c r="K3033" s="26" t="s">
        <v>10744</v>
      </c>
      <c r="L3033" s="30">
        <v>969417543</v>
      </c>
      <c r="M3033" s="26" t="s">
        <v>123</v>
      </c>
      <c r="N3033" s="26" t="s">
        <v>186</v>
      </c>
      <c r="O3033" s="26" t="s">
        <v>4503</v>
      </c>
      <c r="P3033" s="26" t="s">
        <v>10745</v>
      </c>
      <c r="Q3033" s="20">
        <v>1968</v>
      </c>
      <c r="R3033" s="26" t="s">
        <v>36</v>
      </c>
      <c r="S3033" s="95">
        <f>1000+968</f>
        <v>1968</v>
      </c>
      <c r="T3033" s="83" t="s">
        <v>10746</v>
      </c>
      <c r="U3033" s="31"/>
      <c r="V3033" s="32"/>
      <c r="W3033" s="33" t="s">
        <v>10747</v>
      </c>
      <c r="X3033" s="26">
        <v>0</v>
      </c>
      <c r="Y3033" s="22">
        <v>0</v>
      </c>
      <c r="Z3033" s="26" t="s">
        <v>50</v>
      </c>
      <c r="AA3033" s="96" t="s">
        <v>10314</v>
      </c>
      <c r="AB3033" s="26" t="s">
        <v>4503</v>
      </c>
      <c r="AC3033" s="26" t="s">
        <v>53</v>
      </c>
      <c r="AD3033" s="26" t="s">
        <v>54</v>
      </c>
      <c r="AE3033" s="26"/>
      <c r="AF3033" s="17">
        <v>45488</v>
      </c>
      <c r="AG3033" s="26" t="s">
        <v>7078</v>
      </c>
      <c r="AH3033" s="26"/>
      <c r="AI3033" s="40"/>
      <c r="AJ3033" s="26"/>
      <c r="AK3033" s="26"/>
      <c r="AL3033" s="35"/>
      <c r="AM3033" s="35"/>
      <c r="AN3033" s="35"/>
      <c r="AO3033" s="35"/>
      <c r="AP3033" s="35"/>
    </row>
    <row r="3034" spans="1:42" x14ac:dyDescent="0.2">
      <c r="A3034" s="126">
        <v>45487.60535868055</v>
      </c>
      <c r="B3034" s="28" t="s">
        <v>37</v>
      </c>
      <c r="C3034" s="41" t="s">
        <v>118</v>
      </c>
      <c r="D3034" s="26" t="s">
        <v>36</v>
      </c>
      <c r="E3034" s="26" t="s">
        <v>39</v>
      </c>
      <c r="F3034" s="26" t="s">
        <v>36</v>
      </c>
      <c r="G3034" s="26" t="s">
        <v>41</v>
      </c>
      <c r="H3034" s="26" t="s">
        <v>8635</v>
      </c>
      <c r="I3034" s="17">
        <f ca="1">IFERROR(__xludf.DUMMYFUNCTION("""COMPUTED_VALUE"""),45496)</f>
        <v>45496</v>
      </c>
      <c r="J3034" s="29" t="s">
        <v>10235</v>
      </c>
      <c r="K3034" s="26" t="s">
        <v>10236</v>
      </c>
      <c r="L3034" s="30">
        <v>877772553</v>
      </c>
      <c r="M3034" s="26" t="s">
        <v>123</v>
      </c>
      <c r="N3034" s="26" t="s">
        <v>327</v>
      </c>
      <c r="O3034" s="26" t="s">
        <v>4503</v>
      </c>
      <c r="P3034" s="26" t="s">
        <v>3487</v>
      </c>
      <c r="Q3034" s="20">
        <v>5736</v>
      </c>
      <c r="R3034" s="26" t="s">
        <v>36</v>
      </c>
      <c r="S3034" s="95">
        <v>5736</v>
      </c>
      <c r="T3034" s="148">
        <v>45487</v>
      </c>
      <c r="U3034" s="31"/>
      <c r="V3034" s="32"/>
      <c r="W3034" s="33" t="s">
        <v>10238</v>
      </c>
      <c r="X3034" s="26">
        <v>0</v>
      </c>
      <c r="Y3034" s="22">
        <v>0</v>
      </c>
      <c r="Z3034" s="26" t="s">
        <v>50</v>
      </c>
      <c r="AA3034" s="35" t="s">
        <v>10314</v>
      </c>
      <c r="AB3034" s="26" t="s">
        <v>36</v>
      </c>
      <c r="AC3034" s="26" t="s">
        <v>53</v>
      </c>
      <c r="AD3034" s="26" t="s">
        <v>138</v>
      </c>
      <c r="AE3034" s="26"/>
      <c r="AF3034" s="17">
        <v>45496</v>
      </c>
      <c r="AG3034" s="26" t="s">
        <v>7078</v>
      </c>
      <c r="AH3034" s="26"/>
      <c r="AI3034" s="40"/>
      <c r="AJ3034" s="26"/>
      <c r="AK3034" s="26"/>
      <c r="AL3034" s="35"/>
      <c r="AM3034" s="35"/>
      <c r="AN3034" s="35"/>
      <c r="AO3034" s="35"/>
      <c r="AP3034" s="35"/>
    </row>
    <row r="3035" spans="1:42" x14ac:dyDescent="0.2">
      <c r="A3035" s="126">
        <v>45487.8135453125</v>
      </c>
      <c r="B3035" s="28" t="s">
        <v>37</v>
      </c>
      <c r="C3035" s="41" t="s">
        <v>118</v>
      </c>
      <c r="D3035" s="26" t="s">
        <v>36</v>
      </c>
      <c r="E3035" s="26" t="s">
        <v>139</v>
      </c>
      <c r="F3035" s="26" t="s">
        <v>36</v>
      </c>
      <c r="G3035" s="26" t="s">
        <v>41</v>
      </c>
      <c r="H3035" s="26" t="s">
        <v>9502</v>
      </c>
      <c r="I3035" s="17">
        <f ca="1">IFERROR(__xludf.DUMMYFUNCTION("""COMPUTED_VALUE"""),45491)</f>
        <v>45491</v>
      </c>
      <c r="J3035" s="29" t="s">
        <v>10194</v>
      </c>
      <c r="K3035" s="26" t="s">
        <v>10195</v>
      </c>
      <c r="L3035" s="30">
        <v>814146184</v>
      </c>
      <c r="M3035" s="26" t="s">
        <v>3728</v>
      </c>
      <c r="N3035" s="26" t="s">
        <v>8725</v>
      </c>
      <c r="O3035" s="26" t="s">
        <v>10196</v>
      </c>
      <c r="P3035" s="26" t="s">
        <v>10197</v>
      </c>
      <c r="Q3035" s="20">
        <v>15936</v>
      </c>
      <c r="R3035" s="26" t="s">
        <v>36</v>
      </c>
      <c r="S3035" s="95">
        <v>2000</v>
      </c>
      <c r="T3035" s="148">
        <v>45487</v>
      </c>
      <c r="U3035" s="95">
        <v>13936</v>
      </c>
      <c r="V3035" s="148">
        <v>45525</v>
      </c>
      <c r="W3035" s="33" t="s">
        <v>10198</v>
      </c>
      <c r="X3035" s="26">
        <v>0</v>
      </c>
      <c r="Y3035" s="22">
        <v>0</v>
      </c>
      <c r="Z3035" s="26" t="s">
        <v>50</v>
      </c>
      <c r="AA3035" s="96" t="s">
        <v>10314</v>
      </c>
      <c r="AB3035" s="26"/>
      <c r="AC3035" s="26" t="s">
        <v>53</v>
      </c>
      <c r="AD3035" s="26" t="s">
        <v>54</v>
      </c>
      <c r="AE3035" s="26"/>
      <c r="AF3035" s="17">
        <v>45488</v>
      </c>
      <c r="AG3035" s="26"/>
      <c r="AH3035" s="26"/>
      <c r="AI3035" s="40"/>
      <c r="AJ3035" s="26"/>
      <c r="AK3035" s="26"/>
      <c r="AL3035" s="35"/>
      <c r="AM3035" s="35"/>
      <c r="AN3035" s="35"/>
      <c r="AO3035" s="35"/>
      <c r="AP3035" s="35"/>
    </row>
    <row r="3036" spans="1:42" x14ac:dyDescent="0.2">
      <c r="A3036" s="126">
        <v>45487.870215798612</v>
      </c>
      <c r="B3036" s="28" t="s">
        <v>37</v>
      </c>
      <c r="C3036" s="41" t="s">
        <v>118</v>
      </c>
      <c r="D3036" s="26" t="s">
        <v>36</v>
      </c>
      <c r="E3036" s="26" t="s">
        <v>56</v>
      </c>
      <c r="F3036" s="26" t="s">
        <v>36</v>
      </c>
      <c r="G3036" s="26" t="s">
        <v>41</v>
      </c>
      <c r="H3036" s="26" t="s">
        <v>9531</v>
      </c>
      <c r="I3036" s="17">
        <f ca="1">IFERROR(__xludf.DUMMYFUNCTION("""COMPUTED_VALUE"""),45492)</f>
        <v>45492</v>
      </c>
      <c r="J3036" s="29" t="s">
        <v>9828</v>
      </c>
      <c r="K3036" s="26" t="s">
        <v>10748</v>
      </c>
      <c r="L3036" s="30">
        <v>332481815</v>
      </c>
      <c r="M3036" s="26" t="s">
        <v>80</v>
      </c>
      <c r="N3036" s="26" t="s">
        <v>466</v>
      </c>
      <c r="O3036" s="26" t="s">
        <v>9830</v>
      </c>
      <c r="P3036" s="26" t="s">
        <v>9831</v>
      </c>
      <c r="Q3036" s="20">
        <v>9317</v>
      </c>
      <c r="R3036" s="26" t="s">
        <v>36</v>
      </c>
      <c r="S3036" s="95">
        <f>100+1900+7317</f>
        <v>9317</v>
      </c>
      <c r="T3036" s="83" t="s">
        <v>9832</v>
      </c>
      <c r="U3036" s="31"/>
      <c r="V3036" s="32"/>
      <c r="W3036" s="33" t="s">
        <v>9833</v>
      </c>
      <c r="X3036" s="26">
        <v>0</v>
      </c>
      <c r="Y3036" s="22">
        <v>0</v>
      </c>
      <c r="Z3036" s="26" t="s">
        <v>50</v>
      </c>
      <c r="AA3036" s="35" t="s">
        <v>10314</v>
      </c>
      <c r="AB3036" s="26"/>
      <c r="AC3036" s="26" t="s">
        <v>53</v>
      </c>
      <c r="AD3036" s="26" t="s">
        <v>54</v>
      </c>
      <c r="AE3036" s="26">
        <v>0</v>
      </c>
      <c r="AF3036" s="17">
        <v>45489</v>
      </c>
      <c r="AG3036" s="26" t="s">
        <v>7078</v>
      </c>
      <c r="AH3036" s="26"/>
      <c r="AI3036" s="40"/>
      <c r="AJ3036" s="26"/>
      <c r="AK3036" s="26"/>
      <c r="AL3036" s="35"/>
      <c r="AM3036" s="35"/>
      <c r="AN3036" s="35"/>
      <c r="AO3036" s="35"/>
      <c r="AP3036" s="35"/>
    </row>
    <row r="3037" spans="1:42" x14ac:dyDescent="0.2">
      <c r="A3037" s="126">
        <v>45488.317899548609</v>
      </c>
      <c r="B3037" s="28" t="s">
        <v>37</v>
      </c>
      <c r="C3037" s="41" t="s">
        <v>118</v>
      </c>
      <c r="D3037" s="26" t="s">
        <v>36</v>
      </c>
      <c r="E3037" s="26" t="s">
        <v>139</v>
      </c>
      <c r="F3037" s="26" t="s">
        <v>36</v>
      </c>
      <c r="G3037" s="26" t="s">
        <v>41</v>
      </c>
      <c r="H3037" s="26" t="s">
        <v>9502</v>
      </c>
      <c r="I3037" s="17">
        <f ca="1">IFERROR(__xludf.DUMMYFUNCTION("""COMPUTED_VALUE"""),45491)</f>
        <v>45491</v>
      </c>
      <c r="J3037" s="29" t="s">
        <v>10261</v>
      </c>
      <c r="K3037" s="26" t="s">
        <v>7023</v>
      </c>
      <c r="L3037" s="47">
        <v>962474038</v>
      </c>
      <c r="M3037" s="26" t="s">
        <v>2755</v>
      </c>
      <c r="N3037" s="26" t="s">
        <v>2756</v>
      </c>
      <c r="O3037" s="26" t="s">
        <v>4503</v>
      </c>
      <c r="P3037" s="26" t="s">
        <v>10749</v>
      </c>
      <c r="Q3037" s="20">
        <v>15936</v>
      </c>
      <c r="R3037" s="26" t="s">
        <v>36</v>
      </c>
      <c r="S3037" s="95">
        <v>2000</v>
      </c>
      <c r="T3037" s="148">
        <v>45485</v>
      </c>
      <c r="U3037" s="95">
        <v>13936</v>
      </c>
      <c r="V3037" s="148">
        <v>45517</v>
      </c>
      <c r="W3037" s="33" t="s">
        <v>10264</v>
      </c>
      <c r="X3037" s="26">
        <v>0</v>
      </c>
      <c r="Y3037" s="22">
        <v>0</v>
      </c>
      <c r="Z3037" s="26" t="s">
        <v>50</v>
      </c>
      <c r="AA3037" s="96" t="s">
        <v>10314</v>
      </c>
      <c r="AB3037" s="26"/>
      <c r="AC3037" s="26" t="s">
        <v>53</v>
      </c>
      <c r="AD3037" s="26" t="s">
        <v>54</v>
      </c>
      <c r="AE3037" s="26"/>
      <c r="AF3037" s="17">
        <v>45488</v>
      </c>
      <c r="AG3037" s="26"/>
      <c r="AH3037" s="26"/>
      <c r="AI3037" s="40"/>
      <c r="AJ3037" s="26"/>
      <c r="AK3037" s="26"/>
      <c r="AL3037" s="35"/>
      <c r="AM3037" s="35"/>
      <c r="AN3037" s="35"/>
      <c r="AO3037" s="35"/>
      <c r="AP3037" s="35"/>
    </row>
    <row r="3038" spans="1:42" x14ac:dyDescent="0.2">
      <c r="A3038" s="126">
        <v>45488.33301376157</v>
      </c>
      <c r="B3038" s="28" t="s">
        <v>37</v>
      </c>
      <c r="C3038" s="41" t="s">
        <v>118</v>
      </c>
      <c r="D3038" s="26" t="s">
        <v>36</v>
      </c>
      <c r="E3038" s="26" t="s">
        <v>139</v>
      </c>
      <c r="F3038" s="26" t="s">
        <v>36</v>
      </c>
      <c r="G3038" s="26" t="s">
        <v>41</v>
      </c>
      <c r="H3038" s="26" t="s">
        <v>9367</v>
      </c>
      <c r="I3038" s="17">
        <f ca="1">IFERROR(__xludf.DUMMYFUNCTION("""COMPUTED_VALUE"""),45488)</f>
        <v>45488</v>
      </c>
      <c r="J3038" s="29" t="s">
        <v>10180</v>
      </c>
      <c r="K3038" s="26" t="s">
        <v>10750</v>
      </c>
      <c r="L3038" s="30">
        <v>363489965</v>
      </c>
      <c r="M3038" s="26" t="s">
        <v>3728</v>
      </c>
      <c r="N3038" s="26" t="s">
        <v>8725</v>
      </c>
      <c r="O3038" s="26" t="s">
        <v>10182</v>
      </c>
      <c r="P3038" s="26" t="s">
        <v>10751</v>
      </c>
      <c r="Q3038" s="20">
        <v>15936</v>
      </c>
      <c r="R3038" s="26" t="s">
        <v>36</v>
      </c>
      <c r="S3038" s="95">
        <v>2000</v>
      </c>
      <c r="T3038" s="148">
        <v>45488</v>
      </c>
      <c r="U3038" s="95">
        <v>13936</v>
      </c>
      <c r="V3038" s="148">
        <v>45517</v>
      </c>
      <c r="W3038" s="33" t="s">
        <v>10184</v>
      </c>
      <c r="X3038" s="26">
        <v>0</v>
      </c>
      <c r="Y3038" s="22">
        <v>0</v>
      </c>
      <c r="Z3038" s="26" t="s">
        <v>50</v>
      </c>
      <c r="AA3038" s="35" t="s">
        <v>10314</v>
      </c>
      <c r="AB3038" s="26"/>
      <c r="AC3038" s="26" t="s">
        <v>53</v>
      </c>
      <c r="AD3038" s="26" t="s">
        <v>54</v>
      </c>
      <c r="AE3038" s="26"/>
      <c r="AF3038" s="17">
        <v>45488</v>
      </c>
      <c r="AG3038" s="26"/>
      <c r="AH3038" s="26"/>
      <c r="AI3038" s="40"/>
      <c r="AJ3038" s="26"/>
      <c r="AK3038" s="26"/>
      <c r="AL3038" s="35"/>
      <c r="AM3038" s="35"/>
      <c r="AN3038" s="35"/>
      <c r="AO3038" s="35"/>
      <c r="AP3038" s="35"/>
    </row>
    <row r="3039" spans="1:42" x14ac:dyDescent="0.2">
      <c r="A3039" s="126">
        <v>45488.510981493055</v>
      </c>
      <c r="B3039" s="28" t="s">
        <v>37</v>
      </c>
      <c r="C3039" s="41" t="s">
        <v>118</v>
      </c>
      <c r="D3039" s="26" t="s">
        <v>36</v>
      </c>
      <c r="E3039" s="26" t="s">
        <v>39</v>
      </c>
      <c r="F3039" s="26" t="s">
        <v>36</v>
      </c>
      <c r="G3039" s="26" t="s">
        <v>41</v>
      </c>
      <c r="H3039" s="26" t="s">
        <v>9502</v>
      </c>
      <c r="I3039" s="17">
        <f ca="1">IFERROR(__xludf.DUMMYFUNCTION("""COMPUTED_VALUE"""),45491)</f>
        <v>45491</v>
      </c>
      <c r="J3039" s="44" t="s">
        <v>10206</v>
      </c>
      <c r="K3039" s="26" t="s">
        <v>10752</v>
      </c>
      <c r="L3039" s="30">
        <v>824115993</v>
      </c>
      <c r="M3039" s="26" t="s">
        <v>3728</v>
      </c>
      <c r="N3039" s="26" t="s">
        <v>5277</v>
      </c>
      <c r="O3039" s="26" t="s">
        <v>10208</v>
      </c>
      <c r="P3039" s="26" t="s">
        <v>10753</v>
      </c>
      <c r="Q3039" s="20">
        <v>15936</v>
      </c>
      <c r="R3039" s="26" t="s">
        <v>36</v>
      </c>
      <c r="S3039" s="95">
        <v>2000</v>
      </c>
      <c r="T3039" s="148">
        <v>45488</v>
      </c>
      <c r="U3039" s="95">
        <v>13936</v>
      </c>
      <c r="V3039" s="148">
        <v>45522</v>
      </c>
      <c r="W3039" s="33" t="s">
        <v>10210</v>
      </c>
      <c r="X3039" s="26">
        <v>0</v>
      </c>
      <c r="Y3039" s="22">
        <v>0</v>
      </c>
      <c r="Z3039" s="26" t="s">
        <v>50</v>
      </c>
      <c r="AA3039" s="96" t="s">
        <v>10314</v>
      </c>
      <c r="AB3039" s="26"/>
      <c r="AC3039" s="26" t="s">
        <v>53</v>
      </c>
      <c r="AD3039" s="26" t="s">
        <v>54</v>
      </c>
      <c r="AE3039" s="26"/>
      <c r="AF3039" s="17">
        <v>45488</v>
      </c>
      <c r="AG3039" s="26"/>
      <c r="AH3039" s="26"/>
      <c r="AI3039" s="40"/>
      <c r="AJ3039" s="26"/>
      <c r="AK3039" s="26"/>
      <c r="AL3039" s="35"/>
      <c r="AM3039" s="35"/>
      <c r="AN3039" s="35"/>
      <c r="AO3039" s="35"/>
      <c r="AP3039" s="35"/>
    </row>
    <row r="3040" spans="1:42" x14ac:dyDescent="0.2">
      <c r="A3040" s="126">
        <v>45489.340703553244</v>
      </c>
      <c r="B3040" s="28" t="s">
        <v>37</v>
      </c>
      <c r="C3040" s="41" t="s">
        <v>118</v>
      </c>
      <c r="D3040" s="26" t="s">
        <v>36</v>
      </c>
      <c r="E3040" s="26" t="s">
        <v>119</v>
      </c>
      <c r="F3040" s="26" t="s">
        <v>91</v>
      </c>
      <c r="G3040" s="26" t="s">
        <v>108</v>
      </c>
      <c r="H3040" s="26" t="s">
        <v>8867</v>
      </c>
      <c r="I3040" s="17">
        <f ca="1">IFERROR(__xludf.DUMMYFUNCTION("""COMPUTED_VALUE"""),45496)</f>
        <v>45496</v>
      </c>
      <c r="J3040" s="29" t="s">
        <v>10754</v>
      </c>
      <c r="K3040" s="26" t="s">
        <v>810</v>
      </c>
      <c r="L3040" s="30">
        <v>942665938</v>
      </c>
      <c r="M3040" s="26" t="s">
        <v>348</v>
      </c>
      <c r="N3040" s="26" t="s">
        <v>200</v>
      </c>
      <c r="O3040" s="26" t="s">
        <v>10755</v>
      </c>
      <c r="P3040" s="26" t="s">
        <v>10756</v>
      </c>
      <c r="Q3040" s="20">
        <v>13968</v>
      </c>
      <c r="R3040" s="26" t="s">
        <v>36</v>
      </c>
      <c r="S3040" s="95">
        <f>1000+2680</f>
        <v>3680</v>
      </c>
      <c r="T3040" s="83" t="s">
        <v>10757</v>
      </c>
      <c r="U3040" s="95">
        <v>10288</v>
      </c>
      <c r="V3040" s="148">
        <v>45505</v>
      </c>
      <c r="W3040" s="33" t="s">
        <v>10758</v>
      </c>
      <c r="X3040" s="26">
        <v>0</v>
      </c>
      <c r="Y3040" s="22">
        <v>0</v>
      </c>
      <c r="Z3040" s="26" t="s">
        <v>50</v>
      </c>
      <c r="AA3040" s="35" t="s">
        <v>10314</v>
      </c>
      <c r="AB3040" s="26"/>
      <c r="AC3040" s="26" t="s">
        <v>53</v>
      </c>
      <c r="AD3040" s="26" t="s">
        <v>54</v>
      </c>
      <c r="AE3040" s="26" t="s">
        <v>203</v>
      </c>
      <c r="AF3040" s="17">
        <v>45491</v>
      </c>
      <c r="AG3040" s="26"/>
      <c r="AH3040" s="26"/>
      <c r="AI3040" s="40"/>
      <c r="AJ3040" s="26"/>
      <c r="AK3040" s="26"/>
      <c r="AL3040" s="35"/>
      <c r="AM3040" s="35"/>
      <c r="AN3040" s="35"/>
      <c r="AO3040" s="35"/>
      <c r="AP3040" s="35"/>
    </row>
    <row r="3041" spans="1:42" x14ac:dyDescent="0.2">
      <c r="A3041" s="126">
        <v>45489.355125439819</v>
      </c>
      <c r="B3041" s="28" t="s">
        <v>37</v>
      </c>
      <c r="C3041" s="41" t="s">
        <v>118</v>
      </c>
      <c r="D3041" s="26" t="s">
        <v>36</v>
      </c>
      <c r="E3041" s="26" t="s">
        <v>56</v>
      </c>
      <c r="F3041" s="26" t="s">
        <v>40</v>
      </c>
      <c r="G3041" s="26" t="s">
        <v>41</v>
      </c>
      <c r="H3041" s="26" t="s">
        <v>9502</v>
      </c>
      <c r="I3041" s="17">
        <f ca="1">IFERROR(__xludf.DUMMYFUNCTION("""COMPUTED_VALUE"""),45491)</f>
        <v>45491</v>
      </c>
      <c r="J3041" s="29" t="s">
        <v>10759</v>
      </c>
      <c r="K3041" s="26" t="s">
        <v>10760</v>
      </c>
      <c r="L3041" s="30">
        <v>392221051</v>
      </c>
      <c r="M3041" s="26" t="s">
        <v>59</v>
      </c>
      <c r="N3041" s="26" t="s">
        <v>68</v>
      </c>
      <c r="O3041" s="26" t="s">
        <v>10761</v>
      </c>
      <c r="P3041" s="26" t="s">
        <v>10762</v>
      </c>
      <c r="Q3041" s="20">
        <v>9317</v>
      </c>
      <c r="R3041" s="26" t="s">
        <v>36</v>
      </c>
      <c r="S3041" s="95">
        <f>8000+1317</f>
        <v>9317</v>
      </c>
      <c r="T3041" s="83" t="s">
        <v>10763</v>
      </c>
      <c r="U3041" s="95"/>
      <c r="V3041" s="148"/>
      <c r="W3041" s="33" t="s">
        <v>10764</v>
      </c>
      <c r="X3041" s="26">
        <v>0</v>
      </c>
      <c r="Y3041" s="22">
        <v>0</v>
      </c>
      <c r="Z3041" s="26" t="s">
        <v>50</v>
      </c>
      <c r="AA3041" s="96" t="s">
        <v>10314</v>
      </c>
      <c r="AB3041" s="26"/>
      <c r="AC3041" s="26" t="s">
        <v>53</v>
      </c>
      <c r="AD3041" s="26" t="s">
        <v>54</v>
      </c>
      <c r="AE3041" s="26" t="s">
        <v>72</v>
      </c>
      <c r="AF3041" s="17">
        <v>45489</v>
      </c>
      <c r="AG3041" s="26"/>
      <c r="AH3041" s="26"/>
      <c r="AI3041" s="40"/>
      <c r="AJ3041" s="26"/>
      <c r="AK3041" s="26"/>
      <c r="AL3041" s="35"/>
      <c r="AM3041" s="35"/>
      <c r="AN3041" s="35"/>
      <c r="AO3041" s="35"/>
      <c r="AP3041" s="35"/>
    </row>
    <row r="3042" spans="1:42" x14ac:dyDescent="0.2">
      <c r="A3042" s="126">
        <v>45489.497623993055</v>
      </c>
      <c r="B3042" s="28" t="s">
        <v>37</v>
      </c>
      <c r="C3042" s="41" t="s">
        <v>118</v>
      </c>
      <c r="D3042" s="26" t="s">
        <v>36</v>
      </c>
      <c r="E3042" s="26" t="s">
        <v>77</v>
      </c>
      <c r="F3042" s="26" t="s">
        <v>40</v>
      </c>
      <c r="G3042" s="26" t="s">
        <v>41</v>
      </c>
      <c r="H3042" s="26" t="s">
        <v>10021</v>
      </c>
      <c r="I3042" s="17">
        <f ca="1">IFERROR(__xludf.DUMMYFUNCTION("""COMPUTED_VALUE"""),45496)</f>
        <v>45496</v>
      </c>
      <c r="J3042" s="29" t="s">
        <v>10765</v>
      </c>
      <c r="K3042" s="26" t="s">
        <v>10766</v>
      </c>
      <c r="L3042" s="30">
        <v>826729234</v>
      </c>
      <c r="M3042" s="26" t="s">
        <v>5429</v>
      </c>
      <c r="N3042" s="26" t="s">
        <v>10767</v>
      </c>
      <c r="O3042" s="26" t="s">
        <v>10768</v>
      </c>
      <c r="P3042" s="26" t="s">
        <v>10769</v>
      </c>
      <c r="Q3042" s="20">
        <v>1968</v>
      </c>
      <c r="R3042" s="26" t="s">
        <v>36</v>
      </c>
      <c r="S3042" s="95">
        <v>2000</v>
      </c>
      <c r="T3042" s="148">
        <v>45489</v>
      </c>
      <c r="U3042" s="31"/>
      <c r="V3042" s="32"/>
      <c r="W3042" s="33" t="s">
        <v>10770</v>
      </c>
      <c r="X3042" s="26">
        <v>0</v>
      </c>
      <c r="Y3042" s="22">
        <v>-32</v>
      </c>
      <c r="Z3042" s="26" t="s">
        <v>50</v>
      </c>
      <c r="AA3042" s="35" t="s">
        <v>10314</v>
      </c>
      <c r="AB3042" s="26"/>
      <c r="AC3042" s="26" t="s">
        <v>53</v>
      </c>
      <c r="AD3042" s="26" t="s">
        <v>54</v>
      </c>
      <c r="AE3042" s="26" t="s">
        <v>430</v>
      </c>
      <c r="AF3042" s="17">
        <v>45490</v>
      </c>
      <c r="AG3042" s="26" t="s">
        <v>7078</v>
      </c>
      <c r="AH3042" s="26"/>
      <c r="AI3042" s="40"/>
      <c r="AJ3042" s="26"/>
      <c r="AK3042" s="26"/>
      <c r="AL3042" s="35"/>
      <c r="AM3042" s="35"/>
      <c r="AN3042" s="35"/>
      <c r="AO3042" s="35"/>
      <c r="AP3042" s="35"/>
    </row>
    <row r="3043" spans="1:42" x14ac:dyDescent="0.2">
      <c r="A3043" s="126">
        <v>45489.572516284723</v>
      </c>
      <c r="B3043" s="28" t="s">
        <v>37</v>
      </c>
      <c r="C3043" s="41" t="s">
        <v>118</v>
      </c>
      <c r="D3043" s="26" t="s">
        <v>36</v>
      </c>
      <c r="E3043" s="26" t="s">
        <v>119</v>
      </c>
      <c r="F3043" s="26" t="s">
        <v>36</v>
      </c>
      <c r="G3043" s="26" t="s">
        <v>108</v>
      </c>
      <c r="H3043" s="26" t="s">
        <v>8867</v>
      </c>
      <c r="I3043" s="17">
        <f ca="1">IFERROR(__xludf.DUMMYFUNCTION("""COMPUTED_VALUE"""),45496)</f>
        <v>45496</v>
      </c>
      <c r="J3043" s="29" t="s">
        <v>10771</v>
      </c>
      <c r="K3043" s="26" t="s">
        <v>10772</v>
      </c>
      <c r="L3043" s="30">
        <v>989310426</v>
      </c>
      <c r="M3043" s="26" t="s">
        <v>2755</v>
      </c>
      <c r="N3043" s="26" t="s">
        <v>2756</v>
      </c>
      <c r="O3043" s="26" t="s">
        <v>4503</v>
      </c>
      <c r="P3043" s="26" t="s">
        <v>10773</v>
      </c>
      <c r="Q3043" s="20">
        <v>13968</v>
      </c>
      <c r="R3043" s="26" t="s">
        <v>36</v>
      </c>
      <c r="S3043" s="95">
        <v>4000</v>
      </c>
      <c r="T3043" s="148">
        <v>45489</v>
      </c>
      <c r="U3043" s="95">
        <v>9968</v>
      </c>
      <c r="V3043" s="148">
        <v>45516</v>
      </c>
      <c r="W3043" s="33" t="s">
        <v>10774</v>
      </c>
      <c r="X3043" s="26">
        <v>0</v>
      </c>
      <c r="Y3043" s="22">
        <v>0</v>
      </c>
      <c r="Z3043" s="26" t="s">
        <v>50</v>
      </c>
      <c r="AA3043" s="96" t="s">
        <v>10314</v>
      </c>
      <c r="AB3043" s="26"/>
      <c r="AC3043" s="26" t="s">
        <v>53</v>
      </c>
      <c r="AD3043" s="26" t="s">
        <v>54</v>
      </c>
      <c r="AE3043" s="26"/>
      <c r="AF3043" s="17">
        <v>45490</v>
      </c>
      <c r="AG3043" s="26"/>
      <c r="AH3043" s="26"/>
      <c r="AI3043" s="40"/>
      <c r="AJ3043" s="26"/>
      <c r="AK3043" s="26"/>
      <c r="AL3043" s="35"/>
      <c r="AM3043" s="35"/>
      <c r="AN3043" s="35"/>
      <c r="AO3043" s="35"/>
      <c r="AP3043" s="35"/>
    </row>
    <row r="3044" spans="1:42" x14ac:dyDescent="0.2">
      <c r="A3044" s="126">
        <v>45489.699758078699</v>
      </c>
      <c r="B3044" s="28" t="s">
        <v>37</v>
      </c>
      <c r="C3044" s="41" t="s">
        <v>118</v>
      </c>
      <c r="D3044" s="26" t="s">
        <v>36</v>
      </c>
      <c r="E3044" s="26" t="s">
        <v>77</v>
      </c>
      <c r="F3044" s="26" t="s">
        <v>36</v>
      </c>
      <c r="G3044" s="26" t="s">
        <v>41</v>
      </c>
      <c r="H3044" s="26" t="s">
        <v>10021</v>
      </c>
      <c r="I3044" s="17">
        <f ca="1">IFERROR(__xludf.DUMMYFUNCTION("""COMPUTED_VALUE"""),45496)</f>
        <v>45496</v>
      </c>
      <c r="J3044" s="29" t="s">
        <v>10775</v>
      </c>
      <c r="K3044" s="26" t="s">
        <v>10776</v>
      </c>
      <c r="L3044" s="30">
        <v>945323035</v>
      </c>
      <c r="M3044" s="26" t="s">
        <v>2755</v>
      </c>
      <c r="N3044" s="26" t="s">
        <v>2756</v>
      </c>
      <c r="O3044" s="26" t="s">
        <v>4503</v>
      </c>
      <c r="P3044" s="26" t="s">
        <v>10777</v>
      </c>
      <c r="Q3044" s="20">
        <v>1968</v>
      </c>
      <c r="R3044" s="26" t="s">
        <v>36</v>
      </c>
      <c r="S3044" s="95">
        <v>1968</v>
      </c>
      <c r="T3044" s="148">
        <v>45489</v>
      </c>
      <c r="U3044" s="31"/>
      <c r="V3044" s="32"/>
      <c r="W3044" s="33" t="s">
        <v>10778</v>
      </c>
      <c r="X3044" s="26">
        <v>0</v>
      </c>
      <c r="Y3044" s="22">
        <v>0</v>
      </c>
      <c r="Z3044" s="26" t="s">
        <v>50</v>
      </c>
      <c r="AA3044" s="35" t="s">
        <v>10314</v>
      </c>
      <c r="AB3044" s="26"/>
      <c r="AC3044" s="26" t="s">
        <v>53</v>
      </c>
      <c r="AD3044" s="26" t="s">
        <v>54</v>
      </c>
      <c r="AE3044" s="26"/>
      <c r="AF3044" s="17">
        <v>45490</v>
      </c>
      <c r="AG3044" s="26"/>
      <c r="AH3044" s="26"/>
      <c r="AI3044" s="40"/>
      <c r="AJ3044" s="26"/>
      <c r="AK3044" s="26"/>
      <c r="AL3044" s="35"/>
      <c r="AM3044" s="35"/>
      <c r="AN3044" s="35"/>
      <c r="AO3044" s="35"/>
      <c r="AP3044" s="35"/>
    </row>
    <row r="3045" spans="1:42" x14ac:dyDescent="0.2">
      <c r="A3045" s="126">
        <v>45489.874540856486</v>
      </c>
      <c r="B3045" s="28" t="s">
        <v>37</v>
      </c>
      <c r="C3045" s="41" t="s">
        <v>118</v>
      </c>
      <c r="D3045" s="26" t="s">
        <v>36</v>
      </c>
      <c r="E3045" s="26" t="s">
        <v>139</v>
      </c>
      <c r="F3045" s="26" t="s">
        <v>36</v>
      </c>
      <c r="G3045" s="26" t="s">
        <v>41</v>
      </c>
      <c r="H3045" s="26" t="s">
        <v>10021</v>
      </c>
      <c r="I3045" s="17">
        <f ca="1">IFERROR(__xludf.DUMMYFUNCTION("""COMPUTED_VALUE"""),45496)</f>
        <v>45496</v>
      </c>
      <c r="J3045" s="29" t="s">
        <v>10779</v>
      </c>
      <c r="K3045" s="26" t="s">
        <v>10780</v>
      </c>
      <c r="L3045" s="30">
        <v>865440133</v>
      </c>
      <c r="M3045" s="26" t="s">
        <v>3498</v>
      </c>
      <c r="N3045" s="26" t="s">
        <v>4402</v>
      </c>
      <c r="O3045" s="26" t="s">
        <v>4503</v>
      </c>
      <c r="P3045" s="42" t="s">
        <v>10781</v>
      </c>
      <c r="Q3045" s="20">
        <v>15936</v>
      </c>
      <c r="R3045" s="26" t="s">
        <v>36</v>
      </c>
      <c r="S3045" s="95">
        <v>2000</v>
      </c>
      <c r="T3045" s="148">
        <v>45489</v>
      </c>
      <c r="U3045" s="95">
        <v>13936</v>
      </c>
      <c r="V3045" s="148">
        <v>45531</v>
      </c>
      <c r="W3045" s="33" t="s">
        <v>10782</v>
      </c>
      <c r="X3045" s="26">
        <v>0</v>
      </c>
      <c r="Y3045" s="22">
        <v>0</v>
      </c>
      <c r="Z3045" s="26" t="s">
        <v>50</v>
      </c>
      <c r="AA3045" s="96" t="s">
        <v>10314</v>
      </c>
      <c r="AB3045" s="26"/>
      <c r="AC3045" s="26" t="s">
        <v>53</v>
      </c>
      <c r="AD3045" s="26" t="s">
        <v>54</v>
      </c>
      <c r="AE3045" s="26"/>
      <c r="AF3045" s="17">
        <v>45490</v>
      </c>
      <c r="AG3045" s="26"/>
      <c r="AH3045" s="26"/>
      <c r="AI3045" s="40"/>
      <c r="AJ3045" s="26"/>
      <c r="AK3045" s="26"/>
      <c r="AL3045" s="35"/>
      <c r="AM3045" s="35"/>
      <c r="AN3045" s="35"/>
      <c r="AO3045" s="35"/>
      <c r="AP3045" s="35"/>
    </row>
    <row r="3046" spans="1:42" x14ac:dyDescent="0.2">
      <c r="A3046" s="126">
        <v>45489.932388275462</v>
      </c>
      <c r="B3046" s="28" t="s">
        <v>37</v>
      </c>
      <c r="C3046" s="41" t="s">
        <v>118</v>
      </c>
      <c r="D3046" s="26" t="s">
        <v>36</v>
      </c>
      <c r="E3046" s="26" t="s">
        <v>56</v>
      </c>
      <c r="F3046" s="26" t="s">
        <v>36</v>
      </c>
      <c r="G3046" s="26" t="s">
        <v>41</v>
      </c>
      <c r="H3046" s="26" t="s">
        <v>9547</v>
      </c>
      <c r="I3046" s="17">
        <f ca="1">IFERROR(__xludf.DUMMYFUNCTION("""COMPUTED_VALUE"""),45495)</f>
        <v>45495</v>
      </c>
      <c r="J3046" s="29" t="s">
        <v>10783</v>
      </c>
      <c r="K3046" s="26" t="s">
        <v>10784</v>
      </c>
      <c r="L3046" s="30">
        <v>393704389</v>
      </c>
      <c r="M3046" s="26" t="s">
        <v>3728</v>
      </c>
      <c r="N3046" s="26" t="s">
        <v>5312</v>
      </c>
      <c r="O3046" s="26" t="s">
        <v>10785</v>
      </c>
      <c r="P3046" s="26" t="s">
        <v>10786</v>
      </c>
      <c r="Q3046" s="20">
        <v>9317</v>
      </c>
      <c r="R3046" s="26" t="s">
        <v>36</v>
      </c>
      <c r="S3046" s="95">
        <f>200+1800</f>
        <v>2000</v>
      </c>
      <c r="T3046" s="83" t="s">
        <v>10787</v>
      </c>
      <c r="U3046" s="95">
        <v>7317</v>
      </c>
      <c r="V3046" s="148">
        <v>45531</v>
      </c>
      <c r="W3046" s="33" t="s">
        <v>10788</v>
      </c>
      <c r="X3046" s="26">
        <v>0</v>
      </c>
      <c r="Y3046" s="22">
        <v>0</v>
      </c>
      <c r="Z3046" s="26" t="s">
        <v>50</v>
      </c>
      <c r="AA3046" s="35" t="s">
        <v>10314</v>
      </c>
      <c r="AB3046" s="26"/>
      <c r="AC3046" s="26" t="s">
        <v>53</v>
      </c>
      <c r="AD3046" s="26" t="s">
        <v>54</v>
      </c>
      <c r="AE3046" s="26"/>
      <c r="AF3046" s="17">
        <v>45491</v>
      </c>
      <c r="AG3046" s="26" t="s">
        <v>7078</v>
      </c>
      <c r="AH3046" s="26"/>
      <c r="AI3046" s="40"/>
      <c r="AJ3046" s="26"/>
      <c r="AK3046" s="26"/>
      <c r="AL3046" s="35"/>
      <c r="AM3046" s="35"/>
      <c r="AN3046" s="35"/>
      <c r="AO3046" s="35"/>
      <c r="AP3046" s="35"/>
    </row>
    <row r="3047" spans="1:42" x14ac:dyDescent="0.2">
      <c r="A3047" s="126">
        <v>45490.413247337958</v>
      </c>
      <c r="B3047" s="28" t="s">
        <v>37</v>
      </c>
      <c r="C3047" s="41" t="s">
        <v>118</v>
      </c>
      <c r="D3047" s="26" t="s">
        <v>36</v>
      </c>
      <c r="E3047" s="26" t="s">
        <v>119</v>
      </c>
      <c r="F3047" s="26" t="s">
        <v>40</v>
      </c>
      <c r="G3047" s="26" t="s">
        <v>108</v>
      </c>
      <c r="H3047" s="26" t="s">
        <v>450</v>
      </c>
      <c r="I3047" s="17">
        <f ca="1">IFERROR(__xludf.DUMMYFUNCTION("""COMPUTED_VALUE"""),45525)</f>
        <v>45525</v>
      </c>
      <c r="J3047" s="29" t="s">
        <v>10789</v>
      </c>
      <c r="K3047" s="26" t="s">
        <v>10790</v>
      </c>
      <c r="L3047" s="30">
        <v>972885806</v>
      </c>
      <c r="M3047" s="26" t="s">
        <v>45</v>
      </c>
      <c r="N3047" s="26" t="s">
        <v>565</v>
      </c>
      <c r="O3047" s="26" t="s">
        <v>10791</v>
      </c>
      <c r="P3047" s="26" t="s">
        <v>10792</v>
      </c>
      <c r="Q3047" s="20">
        <v>13968</v>
      </c>
      <c r="R3047" s="26" t="s">
        <v>36</v>
      </c>
      <c r="S3047" s="95">
        <f>200+7000</f>
        <v>7200</v>
      </c>
      <c r="T3047" s="83" t="s">
        <v>10793</v>
      </c>
      <c r="U3047" s="95">
        <v>6768</v>
      </c>
      <c r="V3047" s="148">
        <v>45519</v>
      </c>
      <c r="W3047" s="33" t="s">
        <v>10794</v>
      </c>
      <c r="X3047" s="26">
        <v>0</v>
      </c>
      <c r="Y3047" s="22">
        <v>0</v>
      </c>
      <c r="Z3047" s="26" t="s">
        <v>50</v>
      </c>
      <c r="AA3047" s="96" t="s">
        <v>10314</v>
      </c>
      <c r="AB3047" s="26"/>
      <c r="AC3047" s="26" t="s">
        <v>53</v>
      </c>
      <c r="AD3047" s="26" t="s">
        <v>54</v>
      </c>
      <c r="AE3047" s="26">
        <v>470</v>
      </c>
      <c r="AF3047" s="17">
        <v>45495</v>
      </c>
      <c r="AG3047" s="26" t="s">
        <v>9238</v>
      </c>
      <c r="AH3047" s="26"/>
      <c r="AI3047" s="40"/>
      <c r="AJ3047" s="26"/>
      <c r="AK3047" s="26"/>
      <c r="AL3047" s="35"/>
      <c r="AM3047" s="35"/>
      <c r="AN3047" s="35"/>
      <c r="AO3047" s="35"/>
      <c r="AP3047" s="35"/>
    </row>
    <row r="3048" spans="1:42" x14ac:dyDescent="0.2">
      <c r="A3048" s="126">
        <v>45490.971253506941</v>
      </c>
      <c r="B3048" s="28" t="s">
        <v>37</v>
      </c>
      <c r="C3048" s="41" t="s">
        <v>118</v>
      </c>
      <c r="D3048" s="26" t="s">
        <v>36</v>
      </c>
      <c r="E3048" s="26" t="s">
        <v>119</v>
      </c>
      <c r="F3048" s="26" t="s">
        <v>36</v>
      </c>
      <c r="G3048" s="26" t="s">
        <v>108</v>
      </c>
      <c r="H3048" s="26" t="s">
        <v>8867</v>
      </c>
      <c r="I3048" s="17">
        <f ca="1">IFERROR(__xludf.DUMMYFUNCTION("""COMPUTED_VALUE"""),45496)</f>
        <v>45496</v>
      </c>
      <c r="J3048" s="29" t="s">
        <v>10795</v>
      </c>
      <c r="K3048" s="26" t="s">
        <v>10796</v>
      </c>
      <c r="L3048" s="30">
        <v>862989849</v>
      </c>
      <c r="M3048" s="26" t="s">
        <v>5429</v>
      </c>
      <c r="N3048" s="26" t="s">
        <v>756</v>
      </c>
      <c r="O3048" s="26" t="s">
        <v>10797</v>
      </c>
      <c r="P3048" s="26" t="s">
        <v>10798</v>
      </c>
      <c r="Q3048" s="20">
        <v>13968</v>
      </c>
      <c r="R3048" s="26" t="s">
        <v>36</v>
      </c>
      <c r="S3048" s="95">
        <f>200+3800</f>
        <v>4000</v>
      </c>
      <c r="T3048" s="83" t="s">
        <v>10799</v>
      </c>
      <c r="U3048" s="95">
        <v>9968</v>
      </c>
      <c r="V3048" s="148">
        <v>45515</v>
      </c>
      <c r="W3048" s="33" t="s">
        <v>10800</v>
      </c>
      <c r="X3048" s="26">
        <v>0</v>
      </c>
      <c r="Y3048" s="22">
        <v>0</v>
      </c>
      <c r="Z3048" s="26" t="s">
        <v>50</v>
      </c>
      <c r="AA3048" s="35" t="s">
        <v>10314</v>
      </c>
      <c r="AB3048" s="26"/>
      <c r="AC3048" s="26" t="s">
        <v>53</v>
      </c>
      <c r="AD3048" s="26" t="s">
        <v>54</v>
      </c>
      <c r="AE3048" s="26">
        <v>470</v>
      </c>
      <c r="AF3048" s="17">
        <v>45493</v>
      </c>
      <c r="AG3048" s="26"/>
      <c r="AH3048" s="26"/>
      <c r="AI3048" s="40"/>
      <c r="AJ3048" s="26"/>
      <c r="AK3048" s="26"/>
      <c r="AL3048" s="35"/>
      <c r="AM3048" s="35"/>
      <c r="AN3048" s="35"/>
      <c r="AO3048" s="35"/>
      <c r="AP3048" s="35"/>
    </row>
    <row r="3049" spans="1:42" x14ac:dyDescent="0.2">
      <c r="A3049" s="126">
        <v>45491.362909351854</v>
      </c>
      <c r="B3049" s="28" t="s">
        <v>37</v>
      </c>
      <c r="C3049" s="41" t="s">
        <v>118</v>
      </c>
      <c r="D3049" s="26" t="s">
        <v>36</v>
      </c>
      <c r="E3049" s="26" t="s">
        <v>139</v>
      </c>
      <c r="F3049" s="26" t="s">
        <v>36</v>
      </c>
      <c r="G3049" s="26" t="s">
        <v>41</v>
      </c>
      <c r="H3049" s="26" t="s">
        <v>9547</v>
      </c>
      <c r="I3049" s="17">
        <f ca="1">IFERROR(__xludf.DUMMYFUNCTION("""COMPUTED_VALUE"""),45495)</f>
        <v>45495</v>
      </c>
      <c r="J3049" s="29" t="s">
        <v>10801</v>
      </c>
      <c r="K3049" s="26" t="s">
        <v>10802</v>
      </c>
      <c r="L3049" s="30">
        <v>949758555</v>
      </c>
      <c r="M3049" s="26" t="s">
        <v>3728</v>
      </c>
      <c r="N3049" s="26" t="s">
        <v>8725</v>
      </c>
      <c r="O3049" s="26" t="s">
        <v>10803</v>
      </c>
      <c r="P3049" s="26" t="s">
        <v>10804</v>
      </c>
      <c r="Q3049" s="20">
        <v>15936</v>
      </c>
      <c r="R3049" s="26" t="s">
        <v>36</v>
      </c>
      <c r="S3049" s="95">
        <f>200+1800</f>
        <v>2000</v>
      </c>
      <c r="T3049" s="83" t="s">
        <v>10805</v>
      </c>
      <c r="U3049" s="95">
        <v>13936</v>
      </c>
      <c r="V3049" s="148">
        <v>45525</v>
      </c>
      <c r="W3049" s="33" t="s">
        <v>10806</v>
      </c>
      <c r="X3049" s="26">
        <v>0</v>
      </c>
      <c r="Y3049" s="22">
        <v>0</v>
      </c>
      <c r="Z3049" s="26" t="s">
        <v>50</v>
      </c>
      <c r="AA3049" s="96" t="s">
        <v>10314</v>
      </c>
      <c r="AB3049" s="26"/>
      <c r="AC3049" s="26" t="s">
        <v>53</v>
      </c>
      <c r="AD3049" s="26" t="s">
        <v>54</v>
      </c>
      <c r="AE3049" s="26"/>
      <c r="AF3049" s="17">
        <v>45494</v>
      </c>
      <c r="AG3049" s="26"/>
      <c r="AH3049" s="26"/>
      <c r="AI3049" s="40"/>
      <c r="AJ3049" s="26"/>
      <c r="AK3049" s="26"/>
      <c r="AL3049" s="35"/>
      <c r="AM3049" s="35"/>
      <c r="AN3049" s="35"/>
      <c r="AO3049" s="35"/>
      <c r="AP3049" s="35"/>
    </row>
    <row r="3050" spans="1:42" x14ac:dyDescent="0.2">
      <c r="A3050" s="126">
        <v>45491.706770682867</v>
      </c>
      <c r="B3050" s="28" t="s">
        <v>37</v>
      </c>
      <c r="C3050" s="41" t="s">
        <v>118</v>
      </c>
      <c r="D3050" s="26" t="s">
        <v>36</v>
      </c>
      <c r="E3050" s="26" t="s">
        <v>139</v>
      </c>
      <c r="F3050" s="26" t="s">
        <v>36</v>
      </c>
      <c r="G3050" s="26" t="s">
        <v>41</v>
      </c>
      <c r="H3050" s="26" t="s">
        <v>9531</v>
      </c>
      <c r="I3050" s="17">
        <f ca="1">IFERROR(__xludf.DUMMYFUNCTION("""COMPUTED_VALUE"""),45492)</f>
        <v>45492</v>
      </c>
      <c r="J3050" s="29" t="s">
        <v>10807</v>
      </c>
      <c r="K3050" s="26" t="s">
        <v>10808</v>
      </c>
      <c r="L3050" s="30">
        <v>374471706</v>
      </c>
      <c r="M3050" s="26" t="s">
        <v>80</v>
      </c>
      <c r="N3050" s="26" t="s">
        <v>1073</v>
      </c>
      <c r="O3050" s="26" t="s">
        <v>10809</v>
      </c>
      <c r="P3050" s="26" t="s">
        <v>10810</v>
      </c>
      <c r="Q3050" s="20">
        <v>15936</v>
      </c>
      <c r="R3050" s="26" t="s">
        <v>36</v>
      </c>
      <c r="S3050" s="95">
        <v>2000</v>
      </c>
      <c r="T3050" s="148">
        <v>45491</v>
      </c>
      <c r="U3050" s="95">
        <v>13968</v>
      </c>
      <c r="V3050" s="148">
        <v>45510</v>
      </c>
      <c r="W3050" s="33" t="s">
        <v>10811</v>
      </c>
      <c r="X3050" s="26">
        <v>0</v>
      </c>
      <c r="Y3050" s="22">
        <v>-32</v>
      </c>
      <c r="Z3050" s="26" t="s">
        <v>50</v>
      </c>
      <c r="AA3050" s="35" t="s">
        <v>10314</v>
      </c>
      <c r="AB3050" s="26"/>
      <c r="AC3050" s="26" t="s">
        <v>53</v>
      </c>
      <c r="AD3050" s="26" t="s">
        <v>54</v>
      </c>
      <c r="AE3050" s="26">
        <v>0</v>
      </c>
      <c r="AF3050" s="17">
        <v>45491</v>
      </c>
      <c r="AG3050" s="26"/>
      <c r="AH3050" s="26"/>
      <c r="AI3050" s="40"/>
      <c r="AJ3050" s="26"/>
      <c r="AK3050" s="26"/>
      <c r="AL3050" s="35"/>
      <c r="AM3050" s="35"/>
      <c r="AN3050" s="35"/>
      <c r="AO3050" s="35"/>
      <c r="AP3050" s="35"/>
    </row>
    <row r="3051" spans="1:42" x14ac:dyDescent="0.2">
      <c r="A3051" s="126">
        <v>45491.709299548616</v>
      </c>
      <c r="B3051" s="28" t="s">
        <v>37</v>
      </c>
      <c r="C3051" s="41" t="s">
        <v>118</v>
      </c>
      <c r="D3051" s="26" t="s">
        <v>36</v>
      </c>
      <c r="E3051" s="26" t="s">
        <v>139</v>
      </c>
      <c r="F3051" s="26" t="s">
        <v>36</v>
      </c>
      <c r="G3051" s="26" t="s">
        <v>41</v>
      </c>
      <c r="H3051" s="26" t="s">
        <v>7330</v>
      </c>
      <c r="I3051" s="17">
        <f ca="1">IFERROR(__xludf.DUMMYFUNCTION("""COMPUTED_VALUE"""),45509)</f>
        <v>45509</v>
      </c>
      <c r="J3051" s="29" t="s">
        <v>10812</v>
      </c>
      <c r="K3051" s="26" t="s">
        <v>10813</v>
      </c>
      <c r="L3051" s="30">
        <v>868914206</v>
      </c>
      <c r="M3051" s="26" t="s">
        <v>80</v>
      </c>
      <c r="N3051" s="26" t="s">
        <v>1073</v>
      </c>
      <c r="O3051" s="26" t="s">
        <v>1492</v>
      </c>
      <c r="P3051" s="26" t="s">
        <v>4126</v>
      </c>
      <c r="Q3051" s="20">
        <v>15936</v>
      </c>
      <c r="R3051" s="26" t="s">
        <v>36</v>
      </c>
      <c r="S3051" s="95">
        <v>2000</v>
      </c>
      <c r="T3051" s="148">
        <v>45491</v>
      </c>
      <c r="U3051" s="95">
        <v>13936</v>
      </c>
      <c r="V3051" s="148">
        <v>45530</v>
      </c>
      <c r="W3051" s="33" t="s">
        <v>10814</v>
      </c>
      <c r="X3051" s="26">
        <v>0</v>
      </c>
      <c r="Y3051" s="22">
        <v>0</v>
      </c>
      <c r="Z3051" s="26" t="s">
        <v>50</v>
      </c>
      <c r="AA3051" s="96" t="s">
        <v>10314</v>
      </c>
      <c r="AB3051" s="26"/>
      <c r="AC3051" s="26" t="s">
        <v>53</v>
      </c>
      <c r="AD3051" s="26" t="s">
        <v>138</v>
      </c>
      <c r="AE3051" s="26">
        <v>0</v>
      </c>
      <c r="AF3051" s="17">
        <v>45509</v>
      </c>
      <c r="AG3051" s="26" t="s">
        <v>4279</v>
      </c>
      <c r="AH3051" s="26"/>
      <c r="AI3051" s="40"/>
      <c r="AJ3051" s="26"/>
      <c r="AK3051" s="26"/>
      <c r="AL3051" s="35"/>
      <c r="AM3051" s="35"/>
      <c r="AN3051" s="35"/>
      <c r="AO3051" s="35"/>
      <c r="AP3051" s="35"/>
    </row>
    <row r="3052" spans="1:42" x14ac:dyDescent="0.2">
      <c r="A3052" s="126">
        <v>45491.710514467588</v>
      </c>
      <c r="B3052" s="28" t="s">
        <v>37</v>
      </c>
      <c r="C3052" s="41" t="s">
        <v>118</v>
      </c>
      <c r="D3052" s="26" t="s">
        <v>36</v>
      </c>
      <c r="E3052" s="26" t="s">
        <v>139</v>
      </c>
      <c r="F3052" s="26" t="s">
        <v>36</v>
      </c>
      <c r="G3052" s="26" t="s">
        <v>41</v>
      </c>
      <c r="H3052" s="26" t="s">
        <v>7330</v>
      </c>
      <c r="I3052" s="17">
        <f ca="1">IFERROR(__xludf.DUMMYFUNCTION("""COMPUTED_VALUE"""),45509)</f>
        <v>45509</v>
      </c>
      <c r="J3052" s="29" t="s">
        <v>10815</v>
      </c>
      <c r="K3052" s="26" t="s">
        <v>10816</v>
      </c>
      <c r="L3052" s="30">
        <v>968311050</v>
      </c>
      <c r="M3052" s="26" t="s">
        <v>80</v>
      </c>
      <c r="N3052" s="26" t="s">
        <v>1073</v>
      </c>
      <c r="O3052" s="26" t="s">
        <v>1492</v>
      </c>
      <c r="P3052" s="26" t="s">
        <v>2641</v>
      </c>
      <c r="Q3052" s="20">
        <v>15936</v>
      </c>
      <c r="R3052" s="26" t="s">
        <v>36</v>
      </c>
      <c r="S3052" s="95">
        <v>2000</v>
      </c>
      <c r="T3052" s="148">
        <v>45491</v>
      </c>
      <c r="U3052" s="95">
        <v>13936</v>
      </c>
      <c r="V3052" s="148">
        <v>45530</v>
      </c>
      <c r="W3052" s="33" t="s">
        <v>10817</v>
      </c>
      <c r="X3052" s="26">
        <v>0</v>
      </c>
      <c r="Y3052" s="22">
        <v>0</v>
      </c>
      <c r="Z3052" s="26" t="s">
        <v>50</v>
      </c>
      <c r="AA3052" s="35" t="s">
        <v>10314</v>
      </c>
      <c r="AB3052" s="26"/>
      <c r="AC3052" s="26" t="s">
        <v>53</v>
      </c>
      <c r="AD3052" s="26" t="s">
        <v>138</v>
      </c>
      <c r="AE3052" s="26">
        <v>0</v>
      </c>
      <c r="AF3052" s="17">
        <v>45509</v>
      </c>
      <c r="AG3052" s="26" t="s">
        <v>4279</v>
      </c>
      <c r="AH3052" s="26"/>
      <c r="AI3052" s="40"/>
      <c r="AJ3052" s="26"/>
      <c r="AK3052" s="26"/>
      <c r="AL3052" s="35"/>
      <c r="AM3052" s="35"/>
      <c r="AN3052" s="35"/>
      <c r="AO3052" s="35"/>
      <c r="AP3052" s="35"/>
    </row>
    <row r="3053" spans="1:42" x14ac:dyDescent="0.2">
      <c r="A3053" s="126">
        <v>45491.959852025466</v>
      </c>
      <c r="B3053" s="28" t="s">
        <v>37</v>
      </c>
      <c r="C3053" s="41" t="s">
        <v>118</v>
      </c>
      <c r="D3053" s="26" t="s">
        <v>36</v>
      </c>
      <c r="E3053" s="26" t="s">
        <v>139</v>
      </c>
      <c r="F3053" s="26" t="s">
        <v>36</v>
      </c>
      <c r="G3053" s="26" t="s">
        <v>41</v>
      </c>
      <c r="H3053" s="26" t="s">
        <v>9560</v>
      </c>
      <c r="I3053" s="17">
        <f ca="1">IFERROR(__xludf.DUMMYFUNCTION("""COMPUTED_VALUE"""),45503)</f>
        <v>45503</v>
      </c>
      <c r="J3053" s="29" t="s">
        <v>10818</v>
      </c>
      <c r="K3053" s="26" t="s">
        <v>10819</v>
      </c>
      <c r="L3053" s="30">
        <v>354381239</v>
      </c>
      <c r="M3053" s="26" t="s">
        <v>80</v>
      </c>
      <c r="N3053" s="26" t="s">
        <v>466</v>
      </c>
      <c r="O3053" s="26" t="s">
        <v>10820</v>
      </c>
      <c r="P3053" s="26" t="s">
        <v>10821</v>
      </c>
      <c r="Q3053" s="20">
        <v>15936</v>
      </c>
      <c r="R3053" s="26" t="s">
        <v>36</v>
      </c>
      <c r="S3053" s="95">
        <f>200+1800</f>
        <v>2000</v>
      </c>
      <c r="T3053" s="83" t="s">
        <v>10822</v>
      </c>
      <c r="U3053" s="95">
        <v>13936</v>
      </c>
      <c r="V3053" s="148">
        <v>45530</v>
      </c>
      <c r="W3053" s="33" t="s">
        <v>10823</v>
      </c>
      <c r="X3053" s="26">
        <v>0</v>
      </c>
      <c r="Y3053" s="22">
        <v>0</v>
      </c>
      <c r="Z3053" s="26" t="s">
        <v>50</v>
      </c>
      <c r="AA3053" s="96" t="s">
        <v>10314</v>
      </c>
      <c r="AB3053" s="26"/>
      <c r="AC3053" s="26" t="s">
        <v>53</v>
      </c>
      <c r="AD3053" s="26" t="s">
        <v>54</v>
      </c>
      <c r="AE3053" s="26">
        <v>0</v>
      </c>
      <c r="AF3053" s="17">
        <v>45504</v>
      </c>
      <c r="AG3053" s="26"/>
      <c r="AH3053" s="26"/>
      <c r="AI3053" s="40"/>
      <c r="AJ3053" s="26"/>
      <c r="AK3053" s="26"/>
      <c r="AL3053" s="35"/>
      <c r="AM3053" s="35"/>
      <c r="AN3053" s="35"/>
      <c r="AO3053" s="35"/>
      <c r="AP3053" s="35"/>
    </row>
    <row r="3054" spans="1:42" x14ac:dyDescent="0.2">
      <c r="A3054" s="126">
        <v>45491.961022210649</v>
      </c>
      <c r="B3054" s="28" t="s">
        <v>37</v>
      </c>
      <c r="C3054" s="41" t="s">
        <v>118</v>
      </c>
      <c r="D3054" s="26" t="s">
        <v>36</v>
      </c>
      <c r="E3054" s="26" t="s">
        <v>119</v>
      </c>
      <c r="F3054" s="26" t="s">
        <v>36</v>
      </c>
      <c r="G3054" s="26" t="s">
        <v>108</v>
      </c>
      <c r="H3054" s="26" t="s">
        <v>8867</v>
      </c>
      <c r="I3054" s="17">
        <f ca="1">IFERROR(__xludf.DUMMYFUNCTION("""COMPUTED_VALUE"""),45496)</f>
        <v>45496</v>
      </c>
      <c r="J3054" s="29" t="s">
        <v>10824</v>
      </c>
      <c r="K3054" s="26" t="s">
        <v>10825</v>
      </c>
      <c r="L3054" s="30">
        <v>942285298</v>
      </c>
      <c r="M3054" s="26" t="s">
        <v>80</v>
      </c>
      <c r="N3054" s="26" t="s">
        <v>1073</v>
      </c>
      <c r="O3054" s="26" t="s">
        <v>10826</v>
      </c>
      <c r="P3054" s="26" t="s">
        <v>10827</v>
      </c>
      <c r="Q3054" s="20">
        <v>13968</v>
      </c>
      <c r="R3054" s="26" t="s">
        <v>36</v>
      </c>
      <c r="S3054" s="95">
        <f>200+4000</f>
        <v>4200</v>
      </c>
      <c r="T3054" s="83" t="s">
        <v>10828</v>
      </c>
      <c r="U3054" s="95">
        <v>9768</v>
      </c>
      <c r="V3054" s="148">
        <v>45523</v>
      </c>
      <c r="W3054" s="33" t="s">
        <v>10829</v>
      </c>
      <c r="X3054" s="26">
        <v>0</v>
      </c>
      <c r="Y3054" s="22">
        <v>0</v>
      </c>
      <c r="Z3054" s="26" t="s">
        <v>50</v>
      </c>
      <c r="AA3054" s="35" t="s">
        <v>10314</v>
      </c>
      <c r="AB3054" s="26"/>
      <c r="AC3054" s="26" t="s">
        <v>53</v>
      </c>
      <c r="AD3054" s="26" t="s">
        <v>54</v>
      </c>
      <c r="AE3054" s="26">
        <v>500</v>
      </c>
      <c r="AF3054" s="17">
        <v>45492</v>
      </c>
      <c r="AG3054" s="26"/>
      <c r="AH3054" s="26"/>
      <c r="AI3054" s="40"/>
      <c r="AJ3054" s="26"/>
      <c r="AK3054" s="26"/>
      <c r="AL3054" s="35"/>
      <c r="AM3054" s="35"/>
      <c r="AN3054" s="35"/>
      <c r="AO3054" s="35"/>
      <c r="AP3054" s="35"/>
    </row>
    <row r="3055" spans="1:42" x14ac:dyDescent="0.2">
      <c r="A3055" s="126">
        <v>45491.962260023152</v>
      </c>
      <c r="B3055" s="28" t="s">
        <v>37</v>
      </c>
      <c r="C3055" s="41" t="s">
        <v>118</v>
      </c>
      <c r="D3055" s="26" t="s">
        <v>36</v>
      </c>
      <c r="E3055" s="26" t="s">
        <v>56</v>
      </c>
      <c r="F3055" s="26" t="s">
        <v>36</v>
      </c>
      <c r="G3055" s="26" t="s">
        <v>41</v>
      </c>
      <c r="H3055" s="26" t="s">
        <v>9560</v>
      </c>
      <c r="I3055" s="17">
        <f ca="1">IFERROR(__xludf.DUMMYFUNCTION("""COMPUTED_VALUE"""),45503)</f>
        <v>45503</v>
      </c>
      <c r="J3055" s="29" t="s">
        <v>10265</v>
      </c>
      <c r="K3055" s="26" t="s">
        <v>10830</v>
      </c>
      <c r="L3055" s="30">
        <v>838403786</v>
      </c>
      <c r="M3055" s="26" t="s">
        <v>80</v>
      </c>
      <c r="N3055" s="26" t="s">
        <v>466</v>
      </c>
      <c r="O3055" s="26" t="s">
        <v>10267</v>
      </c>
      <c r="P3055" s="26" t="s">
        <v>10831</v>
      </c>
      <c r="Q3055" s="20">
        <v>9317</v>
      </c>
      <c r="R3055" s="26" t="s">
        <v>36</v>
      </c>
      <c r="S3055" s="95">
        <f>200+1800+7317</f>
        <v>9317</v>
      </c>
      <c r="T3055" s="83" t="s">
        <v>10269</v>
      </c>
      <c r="U3055" s="95"/>
      <c r="V3055" s="148"/>
      <c r="W3055" s="33" t="s">
        <v>10270</v>
      </c>
      <c r="X3055" s="26">
        <v>0</v>
      </c>
      <c r="Y3055" s="22">
        <v>0</v>
      </c>
      <c r="Z3055" s="26" t="s">
        <v>50</v>
      </c>
      <c r="AA3055" s="96" t="s">
        <v>10314</v>
      </c>
      <c r="AB3055" s="26"/>
      <c r="AC3055" s="26" t="s">
        <v>53</v>
      </c>
      <c r="AD3055" s="26" t="s">
        <v>54</v>
      </c>
      <c r="AE3055" s="26">
        <v>0</v>
      </c>
      <c r="AF3055" s="17">
        <v>45502</v>
      </c>
      <c r="AG3055" s="26" t="s">
        <v>7078</v>
      </c>
      <c r="AH3055" s="26"/>
      <c r="AI3055" s="40"/>
      <c r="AJ3055" s="26"/>
      <c r="AK3055" s="26"/>
      <c r="AL3055" s="35"/>
      <c r="AM3055" s="35"/>
      <c r="AN3055" s="35"/>
      <c r="AO3055" s="35"/>
      <c r="AP3055" s="35"/>
    </row>
    <row r="3056" spans="1:42" x14ac:dyDescent="0.2">
      <c r="A3056" s="126">
        <v>45492.330973912038</v>
      </c>
      <c r="B3056" s="28" t="s">
        <v>37</v>
      </c>
      <c r="C3056" s="41" t="s">
        <v>118</v>
      </c>
      <c r="D3056" s="26" t="s">
        <v>36</v>
      </c>
      <c r="E3056" s="26" t="s">
        <v>139</v>
      </c>
      <c r="F3056" s="26" t="s">
        <v>36</v>
      </c>
      <c r="G3056" s="26" t="s">
        <v>41</v>
      </c>
      <c r="H3056" s="26" t="s">
        <v>10021</v>
      </c>
      <c r="I3056" s="17">
        <f ca="1">IFERROR(__xludf.DUMMYFUNCTION("""COMPUTED_VALUE"""),45496)</f>
        <v>45496</v>
      </c>
      <c r="J3056" s="29" t="s">
        <v>10832</v>
      </c>
      <c r="K3056" s="26" t="s">
        <v>10833</v>
      </c>
      <c r="L3056" s="30">
        <v>358395716</v>
      </c>
      <c r="M3056" s="26" t="s">
        <v>80</v>
      </c>
      <c r="N3056" s="26" t="s">
        <v>1073</v>
      </c>
      <c r="O3056" s="26" t="s">
        <v>10834</v>
      </c>
      <c r="P3056" s="26" t="s">
        <v>10835</v>
      </c>
      <c r="Q3056" s="20">
        <v>15936</v>
      </c>
      <c r="R3056" s="26" t="s">
        <v>36</v>
      </c>
      <c r="S3056" s="95">
        <f>200+1800</f>
        <v>2000</v>
      </c>
      <c r="T3056" s="83" t="s">
        <v>10828</v>
      </c>
      <c r="U3056" s="95">
        <v>13936</v>
      </c>
      <c r="V3056" s="148">
        <v>45523</v>
      </c>
      <c r="W3056" s="33" t="s">
        <v>10836</v>
      </c>
      <c r="X3056" s="26">
        <v>0</v>
      </c>
      <c r="Y3056" s="22">
        <v>0</v>
      </c>
      <c r="Z3056" s="26" t="s">
        <v>50</v>
      </c>
      <c r="AA3056" s="35" t="s">
        <v>10314</v>
      </c>
      <c r="AB3056" s="26"/>
      <c r="AC3056" s="26" t="s">
        <v>53</v>
      </c>
      <c r="AD3056" s="26" t="s">
        <v>54</v>
      </c>
      <c r="AE3056" s="26">
        <v>0</v>
      </c>
      <c r="AF3056" s="17">
        <v>45492</v>
      </c>
      <c r="AG3056" s="26"/>
      <c r="AH3056" s="26"/>
      <c r="AI3056" s="40"/>
      <c r="AJ3056" s="26"/>
      <c r="AK3056" s="26"/>
      <c r="AL3056" s="35"/>
      <c r="AM3056" s="35"/>
      <c r="AN3056" s="35"/>
      <c r="AO3056" s="35"/>
      <c r="AP3056" s="35"/>
    </row>
    <row r="3057" spans="1:42" x14ac:dyDescent="0.2">
      <c r="A3057" s="126">
        <v>45492.406120902779</v>
      </c>
      <c r="B3057" s="28" t="s">
        <v>37</v>
      </c>
      <c r="C3057" s="41" t="s">
        <v>118</v>
      </c>
      <c r="D3057" s="26" t="s">
        <v>36</v>
      </c>
      <c r="E3057" s="26" t="s">
        <v>56</v>
      </c>
      <c r="F3057" s="26" t="s">
        <v>36</v>
      </c>
      <c r="G3057" s="26" t="s">
        <v>41</v>
      </c>
      <c r="H3057" s="26" t="s">
        <v>9675</v>
      </c>
      <c r="I3057" s="17">
        <f ca="1">IFERROR(__xludf.DUMMYFUNCTION("""COMPUTED_VALUE"""),45506)</f>
        <v>45506</v>
      </c>
      <c r="J3057" s="29" t="s">
        <v>10837</v>
      </c>
      <c r="K3057" s="26" t="s">
        <v>10838</v>
      </c>
      <c r="L3057" s="30">
        <v>981546220</v>
      </c>
      <c r="M3057" s="26" t="s">
        <v>80</v>
      </c>
      <c r="N3057" s="26" t="s">
        <v>466</v>
      </c>
      <c r="O3057" s="26" t="s">
        <v>10839</v>
      </c>
      <c r="P3057" s="42" t="s">
        <v>10840</v>
      </c>
      <c r="Q3057" s="20">
        <v>9317</v>
      </c>
      <c r="R3057" s="26" t="s">
        <v>36</v>
      </c>
      <c r="S3057" s="95">
        <f>200+1800+7317</f>
        <v>9317</v>
      </c>
      <c r="T3057" s="83" t="s">
        <v>10841</v>
      </c>
      <c r="U3057" s="31"/>
      <c r="V3057" s="32"/>
      <c r="W3057" s="33" t="s">
        <v>10842</v>
      </c>
      <c r="X3057" s="26">
        <v>0</v>
      </c>
      <c r="Y3057" s="22">
        <v>0</v>
      </c>
      <c r="Z3057" s="26" t="s">
        <v>50</v>
      </c>
      <c r="AA3057" s="96" t="s">
        <v>10314</v>
      </c>
      <c r="AB3057" s="26"/>
      <c r="AC3057" s="26" t="s">
        <v>53</v>
      </c>
      <c r="AD3057" s="26" t="s">
        <v>54</v>
      </c>
      <c r="AE3057" s="26">
        <v>0</v>
      </c>
      <c r="AF3057" s="17">
        <v>45502</v>
      </c>
      <c r="AG3057" s="26" t="s">
        <v>7078</v>
      </c>
      <c r="AH3057" s="26"/>
      <c r="AI3057" s="40"/>
      <c r="AJ3057" s="26"/>
      <c r="AK3057" s="26"/>
      <c r="AL3057" s="35"/>
      <c r="AM3057" s="35"/>
      <c r="AN3057" s="35"/>
      <c r="AO3057" s="35"/>
      <c r="AP3057" s="35"/>
    </row>
    <row r="3058" spans="1:42" x14ac:dyDescent="0.2">
      <c r="A3058" s="126">
        <v>45492.581998414353</v>
      </c>
      <c r="B3058" s="28" t="s">
        <v>37</v>
      </c>
      <c r="C3058" s="41" t="s">
        <v>118</v>
      </c>
      <c r="D3058" s="26" t="s">
        <v>39</v>
      </c>
      <c r="E3058" s="26" t="s">
        <v>219</v>
      </c>
      <c r="F3058" s="26" t="s">
        <v>4633</v>
      </c>
      <c r="G3058" s="26" t="s">
        <v>221</v>
      </c>
      <c r="H3058" s="26" t="s">
        <v>10843</v>
      </c>
      <c r="I3058" s="17">
        <f ca="1">IFERROR(__xludf.DUMMYFUNCTION("""COMPUTED_VALUE"""),45606)</f>
        <v>45606</v>
      </c>
      <c r="J3058" s="29" t="s">
        <v>10844</v>
      </c>
      <c r="K3058" s="26" t="s">
        <v>10845</v>
      </c>
      <c r="L3058" s="30">
        <v>394166110</v>
      </c>
      <c r="M3058" s="26" t="s">
        <v>5558</v>
      </c>
      <c r="N3058" s="26" t="s">
        <v>5559</v>
      </c>
      <c r="O3058" s="26" t="s">
        <v>4503</v>
      </c>
      <c r="P3058" s="26" t="s">
        <v>10846</v>
      </c>
      <c r="Q3058" s="20">
        <v>3968</v>
      </c>
      <c r="R3058" s="26" t="s">
        <v>36</v>
      </c>
      <c r="S3058" s="95">
        <v>3968</v>
      </c>
      <c r="T3058" s="148">
        <v>45492</v>
      </c>
      <c r="U3058" s="31"/>
      <c r="V3058" s="32"/>
      <c r="W3058" s="33" t="s">
        <v>10847</v>
      </c>
      <c r="X3058" s="26">
        <v>100</v>
      </c>
      <c r="Y3058" s="22">
        <v>-100</v>
      </c>
      <c r="Z3058" s="26" t="s">
        <v>50</v>
      </c>
      <c r="AA3058" s="35" t="s">
        <v>10314</v>
      </c>
      <c r="AB3058" s="26"/>
      <c r="AC3058" s="26" t="s">
        <v>53</v>
      </c>
      <c r="AD3058" s="26" t="s">
        <v>54</v>
      </c>
      <c r="AE3058" s="26"/>
      <c r="AF3058" s="17">
        <v>45498</v>
      </c>
      <c r="AG3058" s="26" t="s">
        <v>7078</v>
      </c>
      <c r="AH3058" s="26"/>
      <c r="AI3058" s="40"/>
      <c r="AJ3058" s="26"/>
      <c r="AK3058" s="26"/>
      <c r="AL3058" s="35"/>
      <c r="AM3058" s="35"/>
      <c r="AN3058" s="35"/>
      <c r="AO3058" s="35"/>
      <c r="AP3058" s="35"/>
    </row>
    <row r="3059" spans="1:42" x14ac:dyDescent="0.2">
      <c r="A3059" s="126">
        <v>45492.685428078708</v>
      </c>
      <c r="B3059" s="28" t="s">
        <v>37</v>
      </c>
      <c r="C3059" s="41" t="s">
        <v>118</v>
      </c>
      <c r="D3059" s="26" t="s">
        <v>36</v>
      </c>
      <c r="E3059" s="26" t="s">
        <v>139</v>
      </c>
      <c r="F3059" s="26" t="s">
        <v>36</v>
      </c>
      <c r="G3059" s="26" t="s">
        <v>41</v>
      </c>
      <c r="H3059" s="26" t="s">
        <v>9502</v>
      </c>
      <c r="I3059" s="17">
        <f ca="1">IFERROR(__xludf.DUMMYFUNCTION("""COMPUTED_VALUE"""),45491)</f>
        <v>45491</v>
      </c>
      <c r="J3059" s="29" t="s">
        <v>10166</v>
      </c>
      <c r="K3059" s="26" t="s">
        <v>10167</v>
      </c>
      <c r="L3059" s="30">
        <v>981962380</v>
      </c>
      <c r="M3059" s="26" t="s">
        <v>2755</v>
      </c>
      <c r="N3059" s="26" t="s">
        <v>4402</v>
      </c>
      <c r="O3059" s="26" t="s">
        <v>4503</v>
      </c>
      <c r="P3059" s="26" t="s">
        <v>10848</v>
      </c>
      <c r="Q3059" s="20">
        <v>15936</v>
      </c>
      <c r="R3059" s="26" t="s">
        <v>36</v>
      </c>
      <c r="S3059" s="95">
        <v>2000</v>
      </c>
      <c r="T3059" s="148">
        <v>45492</v>
      </c>
      <c r="U3059" s="95">
        <v>13936</v>
      </c>
      <c r="V3059" s="148">
        <v>45522</v>
      </c>
      <c r="W3059" s="26" t="s">
        <v>10169</v>
      </c>
      <c r="X3059" s="26">
        <v>0</v>
      </c>
      <c r="Y3059" s="22">
        <v>0</v>
      </c>
      <c r="Z3059" s="26" t="s">
        <v>50</v>
      </c>
      <c r="AA3059" s="96" t="s">
        <v>10314</v>
      </c>
      <c r="AB3059" s="26"/>
      <c r="AC3059" s="26" t="s">
        <v>53</v>
      </c>
      <c r="AD3059" s="26" t="s">
        <v>54</v>
      </c>
      <c r="AE3059" s="26"/>
      <c r="AF3059" s="17">
        <v>45492</v>
      </c>
      <c r="AG3059" s="26"/>
      <c r="AH3059" s="26"/>
      <c r="AI3059" s="40"/>
      <c r="AJ3059" s="26"/>
      <c r="AK3059" s="26"/>
      <c r="AL3059" s="35"/>
      <c r="AM3059" s="35"/>
      <c r="AN3059" s="35"/>
      <c r="AO3059" s="35"/>
      <c r="AP3059" s="35"/>
    </row>
    <row r="3060" spans="1:42" x14ac:dyDescent="0.2">
      <c r="A3060" s="126">
        <v>45492.695868958333</v>
      </c>
      <c r="B3060" s="28" t="s">
        <v>37</v>
      </c>
      <c r="C3060" s="41" t="s">
        <v>118</v>
      </c>
      <c r="D3060" s="26" t="s">
        <v>36</v>
      </c>
      <c r="E3060" s="26" t="s">
        <v>77</v>
      </c>
      <c r="F3060" s="26" t="s">
        <v>36</v>
      </c>
      <c r="G3060" s="26" t="s">
        <v>41</v>
      </c>
      <c r="H3060" s="26" t="s">
        <v>8635</v>
      </c>
      <c r="I3060" s="17">
        <f ca="1">IFERROR(__xludf.DUMMYFUNCTION("""COMPUTED_VALUE"""),45496)</f>
        <v>45496</v>
      </c>
      <c r="J3060" s="29" t="s">
        <v>10849</v>
      </c>
      <c r="K3060" s="26" t="s">
        <v>10850</v>
      </c>
      <c r="L3060" s="30">
        <v>987668731</v>
      </c>
      <c r="M3060" s="26" t="s">
        <v>2755</v>
      </c>
      <c r="N3060" s="26" t="s">
        <v>2756</v>
      </c>
      <c r="O3060" s="26" t="s">
        <v>4503</v>
      </c>
      <c r="P3060" s="26" t="s">
        <v>3694</v>
      </c>
      <c r="Q3060" s="20">
        <v>1968</v>
      </c>
      <c r="R3060" s="26" t="s">
        <v>36</v>
      </c>
      <c r="S3060" s="95">
        <v>1968</v>
      </c>
      <c r="T3060" s="148">
        <v>45492</v>
      </c>
      <c r="U3060" s="31"/>
      <c r="V3060" s="32"/>
      <c r="W3060" s="33" t="s">
        <v>10851</v>
      </c>
      <c r="X3060" s="26">
        <v>0</v>
      </c>
      <c r="Y3060" s="22">
        <v>0</v>
      </c>
      <c r="Z3060" s="26" t="s">
        <v>50</v>
      </c>
      <c r="AA3060" s="35" t="s">
        <v>10314</v>
      </c>
      <c r="AB3060" s="26" t="s">
        <v>36</v>
      </c>
      <c r="AC3060" s="26" t="s">
        <v>53</v>
      </c>
      <c r="AD3060" s="26" t="s">
        <v>138</v>
      </c>
      <c r="AE3060" s="26"/>
      <c r="AF3060" s="17">
        <v>45496</v>
      </c>
      <c r="AG3060" s="26" t="s">
        <v>7078</v>
      </c>
      <c r="AH3060" s="26"/>
      <c r="AI3060" s="40"/>
      <c r="AJ3060" s="26"/>
      <c r="AK3060" s="26"/>
      <c r="AL3060" s="35"/>
      <c r="AM3060" s="35"/>
      <c r="AN3060" s="35"/>
      <c r="AO3060" s="35"/>
      <c r="AP3060" s="35"/>
    </row>
    <row r="3061" spans="1:42" x14ac:dyDescent="0.2">
      <c r="A3061" s="126">
        <v>45492.745883020834</v>
      </c>
      <c r="B3061" s="28" t="s">
        <v>37</v>
      </c>
      <c r="C3061" s="41" t="s">
        <v>118</v>
      </c>
      <c r="D3061" s="26" t="s">
        <v>36</v>
      </c>
      <c r="E3061" s="26" t="s">
        <v>139</v>
      </c>
      <c r="F3061" s="26" t="s">
        <v>36</v>
      </c>
      <c r="G3061" s="26" t="s">
        <v>41</v>
      </c>
      <c r="H3061" s="26" t="s">
        <v>9581</v>
      </c>
      <c r="I3061" s="17">
        <f ca="1">IFERROR(__xludf.DUMMYFUNCTION("""COMPUTED_VALUE"""),45504)</f>
        <v>45504</v>
      </c>
      <c r="J3061" s="29" t="s">
        <v>10852</v>
      </c>
      <c r="K3061" s="26" t="s">
        <v>10853</v>
      </c>
      <c r="L3061" s="30">
        <v>974839231</v>
      </c>
      <c r="M3061" s="26" t="s">
        <v>80</v>
      </c>
      <c r="N3061" s="26" t="s">
        <v>1073</v>
      </c>
      <c r="O3061" s="26" t="s">
        <v>10854</v>
      </c>
      <c r="P3061" s="26" t="s">
        <v>10855</v>
      </c>
      <c r="Q3061" s="20">
        <v>15936</v>
      </c>
      <c r="R3061" s="26" t="s">
        <v>36</v>
      </c>
      <c r="S3061" s="95">
        <f>200+1800</f>
        <v>2000</v>
      </c>
      <c r="T3061" s="83" t="s">
        <v>10856</v>
      </c>
      <c r="U3061" s="95">
        <v>13968</v>
      </c>
      <c r="V3061" s="148">
        <v>45529</v>
      </c>
      <c r="W3061" s="33" t="s">
        <v>10857</v>
      </c>
      <c r="X3061" s="26">
        <v>0</v>
      </c>
      <c r="Y3061" s="22">
        <v>-32</v>
      </c>
      <c r="Z3061" s="26" t="s">
        <v>50</v>
      </c>
      <c r="AA3061" s="96" t="s">
        <v>10314</v>
      </c>
      <c r="AB3061" s="26"/>
      <c r="AC3061" s="26" t="s">
        <v>53</v>
      </c>
      <c r="AD3061" s="26" t="s">
        <v>54</v>
      </c>
      <c r="AE3061" s="26">
        <v>0</v>
      </c>
      <c r="AF3061" s="17">
        <v>45498</v>
      </c>
      <c r="AG3061" s="26"/>
      <c r="AH3061" s="26"/>
      <c r="AI3061" s="40"/>
      <c r="AJ3061" s="26"/>
      <c r="AK3061" s="26"/>
      <c r="AL3061" s="35"/>
      <c r="AM3061" s="35"/>
      <c r="AN3061" s="35"/>
      <c r="AO3061" s="35"/>
      <c r="AP3061" s="35"/>
    </row>
    <row r="3062" spans="1:42" x14ac:dyDescent="0.2">
      <c r="A3062" s="126">
        <v>45492.757344317128</v>
      </c>
      <c r="B3062" s="28" t="s">
        <v>37</v>
      </c>
      <c r="C3062" s="41" t="s">
        <v>118</v>
      </c>
      <c r="D3062" s="26" t="s">
        <v>36</v>
      </c>
      <c r="E3062" s="26" t="s">
        <v>119</v>
      </c>
      <c r="F3062" s="26" t="s">
        <v>36</v>
      </c>
      <c r="G3062" s="26" t="s">
        <v>108</v>
      </c>
      <c r="H3062" s="26" t="s">
        <v>8066</v>
      </c>
      <c r="I3062" s="17">
        <f ca="1">IFERROR(__xludf.DUMMYFUNCTION("""COMPUTED_VALUE"""),45509)</f>
        <v>45509</v>
      </c>
      <c r="J3062" s="44" t="s">
        <v>10858</v>
      </c>
      <c r="K3062" s="26" t="s">
        <v>10859</v>
      </c>
      <c r="L3062" s="30">
        <v>967831595</v>
      </c>
      <c r="M3062" s="26" t="s">
        <v>80</v>
      </c>
      <c r="N3062" s="26" t="s">
        <v>1073</v>
      </c>
      <c r="O3062" s="26" t="s">
        <v>10860</v>
      </c>
      <c r="P3062" s="26" t="s">
        <v>10861</v>
      </c>
      <c r="Q3062" s="20">
        <v>13968</v>
      </c>
      <c r="R3062" s="26" t="s">
        <v>36</v>
      </c>
      <c r="S3062" s="95">
        <f>200+3800</f>
        <v>4000</v>
      </c>
      <c r="T3062" s="83" t="s">
        <v>10862</v>
      </c>
      <c r="U3062" s="95">
        <f>9936+32</f>
        <v>9968</v>
      </c>
      <c r="V3062" s="83" t="s">
        <v>10863</v>
      </c>
      <c r="W3062" s="33" t="s">
        <v>10864</v>
      </c>
      <c r="X3062" s="26">
        <v>0</v>
      </c>
      <c r="Y3062" s="22">
        <v>0</v>
      </c>
      <c r="Z3062" s="26" t="s">
        <v>50</v>
      </c>
      <c r="AA3062" s="35" t="s">
        <v>10314</v>
      </c>
      <c r="AB3062" s="26"/>
      <c r="AC3062" s="26" t="s">
        <v>53</v>
      </c>
      <c r="AD3062" s="26" t="s">
        <v>54</v>
      </c>
      <c r="AE3062" s="26">
        <v>500</v>
      </c>
      <c r="AF3062" s="17">
        <v>45499</v>
      </c>
      <c r="AG3062" s="26"/>
      <c r="AH3062" s="26"/>
      <c r="AI3062" s="40"/>
      <c r="AJ3062" s="26"/>
      <c r="AK3062" s="26"/>
      <c r="AL3062" s="35"/>
      <c r="AM3062" s="35"/>
      <c r="AN3062" s="35"/>
      <c r="AO3062" s="35"/>
      <c r="AP3062" s="35"/>
    </row>
    <row r="3063" spans="1:42" x14ac:dyDescent="0.2">
      <c r="A3063" s="126">
        <v>45492.810191099532</v>
      </c>
      <c r="B3063" s="28" t="s">
        <v>37</v>
      </c>
      <c r="C3063" s="41" t="s">
        <v>118</v>
      </c>
      <c r="D3063" s="26" t="s">
        <v>36</v>
      </c>
      <c r="E3063" s="26" t="s">
        <v>139</v>
      </c>
      <c r="F3063" s="26" t="s">
        <v>36</v>
      </c>
      <c r="G3063" s="26" t="s">
        <v>41</v>
      </c>
      <c r="H3063" s="26" t="s">
        <v>9560</v>
      </c>
      <c r="I3063" s="17">
        <f ca="1">IFERROR(__xludf.DUMMYFUNCTION("""COMPUTED_VALUE"""),45503)</f>
        <v>45503</v>
      </c>
      <c r="J3063" s="29" t="s">
        <v>10230</v>
      </c>
      <c r="K3063" s="26" t="s">
        <v>10865</v>
      </c>
      <c r="L3063" s="30">
        <v>816123940</v>
      </c>
      <c r="M3063" s="26" t="s">
        <v>910</v>
      </c>
      <c r="N3063" s="26" t="s">
        <v>3525</v>
      </c>
      <c r="O3063" s="26" t="s">
        <v>10232</v>
      </c>
      <c r="P3063" s="26" t="s">
        <v>10233</v>
      </c>
      <c r="Q3063" s="20">
        <v>15936</v>
      </c>
      <c r="R3063" s="26" t="s">
        <v>36</v>
      </c>
      <c r="S3063" s="95">
        <v>2000</v>
      </c>
      <c r="T3063" s="148">
        <v>45492</v>
      </c>
      <c r="U3063" s="95">
        <v>13936</v>
      </c>
      <c r="V3063" s="148">
        <v>45522</v>
      </c>
      <c r="W3063" s="33" t="s">
        <v>10234</v>
      </c>
      <c r="X3063" s="26">
        <v>0</v>
      </c>
      <c r="Y3063" s="22">
        <v>0</v>
      </c>
      <c r="Z3063" s="26" t="s">
        <v>50</v>
      </c>
      <c r="AA3063" s="96" t="s">
        <v>10314</v>
      </c>
      <c r="AB3063" s="26"/>
      <c r="AC3063" s="26" t="s">
        <v>53</v>
      </c>
      <c r="AD3063" s="26" t="s">
        <v>54</v>
      </c>
      <c r="AE3063" s="26"/>
      <c r="AF3063" s="17">
        <v>45497</v>
      </c>
      <c r="AG3063" s="26"/>
      <c r="AH3063" s="26"/>
      <c r="AI3063" s="40"/>
      <c r="AJ3063" s="26"/>
      <c r="AK3063" s="26"/>
      <c r="AL3063" s="35"/>
      <c r="AM3063" s="35"/>
      <c r="AN3063" s="35"/>
      <c r="AO3063" s="35"/>
      <c r="AP3063" s="35"/>
    </row>
    <row r="3064" spans="1:42" x14ac:dyDescent="0.2">
      <c r="A3064" s="126">
        <v>45492.967241712962</v>
      </c>
      <c r="B3064" s="28" t="s">
        <v>37</v>
      </c>
      <c r="C3064" s="41" t="s">
        <v>118</v>
      </c>
      <c r="D3064" s="26" t="s">
        <v>36</v>
      </c>
      <c r="E3064" s="26" t="s">
        <v>139</v>
      </c>
      <c r="F3064" s="26" t="s">
        <v>36</v>
      </c>
      <c r="G3064" s="26" t="s">
        <v>41</v>
      </c>
      <c r="H3064" s="26" t="s">
        <v>9565</v>
      </c>
      <c r="I3064" s="17">
        <f ca="1">IFERROR(__xludf.DUMMYFUNCTION("""COMPUTED_VALUE"""),45504)</f>
        <v>45504</v>
      </c>
      <c r="J3064" s="29" t="s">
        <v>10866</v>
      </c>
      <c r="K3064" s="26" t="s">
        <v>10867</v>
      </c>
      <c r="L3064" s="30">
        <v>379952076</v>
      </c>
      <c r="M3064" s="26" t="s">
        <v>80</v>
      </c>
      <c r="N3064" s="26" t="s">
        <v>466</v>
      </c>
      <c r="O3064" s="26" t="s">
        <v>10868</v>
      </c>
      <c r="P3064" s="26" t="s">
        <v>10869</v>
      </c>
      <c r="Q3064" s="20">
        <v>15936</v>
      </c>
      <c r="R3064" s="26" t="s">
        <v>36</v>
      </c>
      <c r="S3064" s="95">
        <f>200+1800</f>
        <v>2000</v>
      </c>
      <c r="T3064" s="83" t="s">
        <v>10870</v>
      </c>
      <c r="U3064" s="95">
        <v>13936</v>
      </c>
      <c r="V3064" s="148">
        <v>45531</v>
      </c>
      <c r="W3064" s="33" t="s">
        <v>10871</v>
      </c>
      <c r="X3064" s="26">
        <v>0</v>
      </c>
      <c r="Y3064" s="22">
        <v>0</v>
      </c>
      <c r="Z3064" s="26" t="s">
        <v>50</v>
      </c>
      <c r="AA3064" s="35" t="s">
        <v>10314</v>
      </c>
      <c r="AB3064" s="26"/>
      <c r="AC3064" s="26" t="s">
        <v>53</v>
      </c>
      <c r="AD3064" s="26" t="s">
        <v>54</v>
      </c>
      <c r="AE3064" s="26">
        <v>0</v>
      </c>
      <c r="AF3064" s="17">
        <v>45498</v>
      </c>
      <c r="AG3064" s="26"/>
      <c r="AH3064" s="26"/>
      <c r="AI3064" s="40"/>
      <c r="AJ3064" s="26"/>
      <c r="AK3064" s="26"/>
      <c r="AL3064" s="35"/>
      <c r="AM3064" s="35"/>
      <c r="AN3064" s="35"/>
      <c r="AO3064" s="35"/>
      <c r="AP3064" s="35"/>
    </row>
    <row r="3065" spans="1:42" x14ac:dyDescent="0.2">
      <c r="A3065" s="126">
        <v>45492.978078668981</v>
      </c>
      <c r="B3065" s="28" t="s">
        <v>37</v>
      </c>
      <c r="C3065" s="41" t="s">
        <v>118</v>
      </c>
      <c r="D3065" s="26" t="s">
        <v>36</v>
      </c>
      <c r="E3065" s="26" t="s">
        <v>119</v>
      </c>
      <c r="F3065" s="26" t="s">
        <v>36</v>
      </c>
      <c r="G3065" s="26" t="s">
        <v>108</v>
      </c>
      <c r="H3065" s="26" t="s">
        <v>8867</v>
      </c>
      <c r="I3065" s="17">
        <f ca="1">IFERROR(__xludf.DUMMYFUNCTION("""COMPUTED_VALUE"""),45496)</f>
        <v>45496</v>
      </c>
      <c r="J3065" s="44" t="s">
        <v>10872</v>
      </c>
      <c r="K3065" s="26" t="s">
        <v>10873</v>
      </c>
      <c r="L3065" s="30">
        <v>911948513</v>
      </c>
      <c r="M3065" s="26" t="s">
        <v>5518</v>
      </c>
      <c r="N3065" s="26" t="s">
        <v>253</v>
      </c>
      <c r="O3065" s="26" t="s">
        <v>10874</v>
      </c>
      <c r="P3065" s="26" t="s">
        <v>10875</v>
      </c>
      <c r="Q3065" s="20">
        <v>13968</v>
      </c>
      <c r="R3065" s="26" t="s">
        <v>36</v>
      </c>
      <c r="S3065" s="95">
        <v>4000</v>
      </c>
      <c r="T3065" s="148">
        <v>45492</v>
      </c>
      <c r="U3065" s="95">
        <v>9968</v>
      </c>
      <c r="V3065" s="148">
        <v>45511</v>
      </c>
      <c r="W3065" s="33" t="s">
        <v>10876</v>
      </c>
      <c r="X3065" s="26">
        <v>0</v>
      </c>
      <c r="Y3065" s="22">
        <v>0</v>
      </c>
      <c r="Z3065" s="26" t="s">
        <v>50</v>
      </c>
      <c r="AA3065" s="96" t="s">
        <v>10314</v>
      </c>
      <c r="AB3065" s="26"/>
      <c r="AC3065" s="26" t="s">
        <v>53</v>
      </c>
      <c r="AD3065" s="26" t="s">
        <v>54</v>
      </c>
      <c r="AE3065" s="26">
        <v>480</v>
      </c>
      <c r="AF3065" s="17">
        <v>45493</v>
      </c>
      <c r="AG3065" s="26"/>
      <c r="AH3065" s="26"/>
      <c r="AI3065" s="40"/>
      <c r="AJ3065" s="26"/>
      <c r="AK3065" s="26"/>
      <c r="AL3065" s="35"/>
      <c r="AM3065" s="35"/>
      <c r="AN3065" s="35"/>
      <c r="AO3065" s="35"/>
      <c r="AP3065" s="35"/>
    </row>
    <row r="3066" spans="1:42" x14ac:dyDescent="0.2">
      <c r="A3066" s="126">
        <v>45493.417878796296</v>
      </c>
      <c r="B3066" s="28" t="s">
        <v>37</v>
      </c>
      <c r="C3066" s="41" t="s">
        <v>118</v>
      </c>
      <c r="D3066" s="26" t="s">
        <v>36</v>
      </c>
      <c r="E3066" s="26" t="s">
        <v>139</v>
      </c>
      <c r="F3066" s="26" t="s">
        <v>36</v>
      </c>
      <c r="G3066" s="26" t="s">
        <v>41</v>
      </c>
      <c r="H3066" s="26" t="s">
        <v>9560</v>
      </c>
      <c r="I3066" s="17">
        <f ca="1">IFERROR(__xludf.DUMMYFUNCTION("""COMPUTED_VALUE"""),45503)</f>
        <v>45503</v>
      </c>
      <c r="J3066" s="29" t="s">
        <v>10271</v>
      </c>
      <c r="K3066" s="26" t="s">
        <v>10877</v>
      </c>
      <c r="L3066" s="30">
        <v>333895210</v>
      </c>
      <c r="M3066" s="26" t="s">
        <v>3728</v>
      </c>
      <c r="N3066" s="26" t="s">
        <v>5312</v>
      </c>
      <c r="O3066" s="26" t="s">
        <v>10273</v>
      </c>
      <c r="P3066" s="26" t="s">
        <v>10878</v>
      </c>
      <c r="Q3066" s="20">
        <v>15936</v>
      </c>
      <c r="R3066" s="26" t="s">
        <v>36</v>
      </c>
      <c r="S3066" s="95">
        <f>200+1800</f>
        <v>2000</v>
      </c>
      <c r="T3066" s="83" t="s">
        <v>10275</v>
      </c>
      <c r="U3066" s="95">
        <v>13936</v>
      </c>
      <c r="V3066" s="148">
        <v>45532</v>
      </c>
      <c r="W3066" s="33" t="s">
        <v>10276</v>
      </c>
      <c r="X3066" s="26">
        <v>0</v>
      </c>
      <c r="Y3066" s="22">
        <v>0</v>
      </c>
      <c r="Z3066" s="26" t="s">
        <v>50</v>
      </c>
      <c r="AA3066" s="35" t="s">
        <v>10314</v>
      </c>
      <c r="AB3066" s="26"/>
      <c r="AC3066" s="26" t="s">
        <v>53</v>
      </c>
      <c r="AD3066" s="26" t="s">
        <v>54</v>
      </c>
      <c r="AE3066" s="26"/>
      <c r="AF3066" s="17">
        <v>45502</v>
      </c>
      <c r="AG3066" s="26"/>
      <c r="AH3066" s="26"/>
      <c r="AI3066" s="40"/>
      <c r="AJ3066" s="26"/>
      <c r="AK3066" s="26"/>
      <c r="AL3066" s="35"/>
      <c r="AM3066" s="35"/>
      <c r="AN3066" s="35"/>
      <c r="AO3066" s="35"/>
      <c r="AP3066" s="35"/>
    </row>
    <row r="3067" spans="1:42" x14ac:dyDescent="0.2">
      <c r="A3067" s="126">
        <v>45493.586325914352</v>
      </c>
      <c r="B3067" s="28" t="s">
        <v>37</v>
      </c>
      <c r="C3067" s="41" t="s">
        <v>118</v>
      </c>
      <c r="D3067" s="26" t="s">
        <v>36</v>
      </c>
      <c r="E3067" s="26" t="s">
        <v>139</v>
      </c>
      <c r="F3067" s="26" t="s">
        <v>36</v>
      </c>
      <c r="G3067" s="26" t="s">
        <v>41</v>
      </c>
      <c r="H3067" s="26" t="s">
        <v>9547</v>
      </c>
      <c r="I3067" s="17">
        <f ca="1">IFERROR(__xludf.DUMMYFUNCTION("""COMPUTED_VALUE"""),45495)</f>
        <v>45495</v>
      </c>
      <c r="J3067" s="29" t="s">
        <v>10879</v>
      </c>
      <c r="K3067" s="26" t="s">
        <v>10880</v>
      </c>
      <c r="L3067" s="30">
        <v>379408112</v>
      </c>
      <c r="M3067" s="26" t="s">
        <v>5558</v>
      </c>
      <c r="N3067" s="26" t="s">
        <v>850</v>
      </c>
      <c r="O3067" s="26" t="s">
        <v>10881</v>
      </c>
      <c r="P3067" s="26" t="s">
        <v>10882</v>
      </c>
      <c r="Q3067" s="20">
        <v>15936</v>
      </c>
      <c r="R3067" s="26" t="s">
        <v>36</v>
      </c>
      <c r="S3067" s="95">
        <v>2000</v>
      </c>
      <c r="T3067" s="148">
        <v>45493</v>
      </c>
      <c r="U3067" s="95">
        <v>13936</v>
      </c>
      <c r="V3067" s="148">
        <v>45519</v>
      </c>
      <c r="W3067" s="33" t="s">
        <v>10883</v>
      </c>
      <c r="X3067" s="26">
        <v>0</v>
      </c>
      <c r="Y3067" s="22">
        <v>0</v>
      </c>
      <c r="Z3067" s="26" t="s">
        <v>50</v>
      </c>
      <c r="AA3067" s="96" t="s">
        <v>10314</v>
      </c>
      <c r="AB3067" s="26"/>
      <c r="AC3067" s="26" t="s">
        <v>53</v>
      </c>
      <c r="AD3067" s="26" t="s">
        <v>54</v>
      </c>
      <c r="AE3067" s="26" t="s">
        <v>72</v>
      </c>
      <c r="AF3067" s="17">
        <v>45493</v>
      </c>
      <c r="AG3067" s="26"/>
      <c r="AH3067" s="26"/>
      <c r="AI3067" s="40"/>
      <c r="AJ3067" s="26"/>
      <c r="AK3067" s="26"/>
      <c r="AL3067" s="35"/>
      <c r="AM3067" s="35"/>
      <c r="AN3067" s="35"/>
      <c r="AO3067" s="35"/>
      <c r="AP3067" s="35"/>
    </row>
    <row r="3068" spans="1:42" x14ac:dyDescent="0.2">
      <c r="A3068" s="126">
        <v>45493.702410266204</v>
      </c>
      <c r="B3068" s="28" t="s">
        <v>37</v>
      </c>
      <c r="C3068" s="41" t="s">
        <v>118</v>
      </c>
      <c r="D3068" s="26" t="s">
        <v>36</v>
      </c>
      <c r="E3068" s="26" t="s">
        <v>106</v>
      </c>
      <c r="F3068" s="26" t="s">
        <v>36</v>
      </c>
      <c r="G3068" s="26" t="s">
        <v>108</v>
      </c>
      <c r="H3068" s="26" t="s">
        <v>8867</v>
      </c>
      <c r="I3068" s="17">
        <f ca="1">IFERROR(__xludf.DUMMYFUNCTION("""COMPUTED_VALUE"""),45496)</f>
        <v>45496</v>
      </c>
      <c r="J3068" s="29" t="s">
        <v>10884</v>
      </c>
      <c r="K3068" s="26" t="s">
        <v>10885</v>
      </c>
      <c r="L3068" s="30">
        <v>348207625</v>
      </c>
      <c r="M3068" s="26" t="s">
        <v>80</v>
      </c>
      <c r="N3068" s="26" t="s">
        <v>1073</v>
      </c>
      <c r="O3068" s="26" t="s">
        <v>10886</v>
      </c>
      <c r="P3068" s="26" t="s">
        <v>10887</v>
      </c>
      <c r="Q3068" s="20">
        <v>3768</v>
      </c>
      <c r="R3068" s="26" t="s">
        <v>36</v>
      </c>
      <c r="S3068" s="95">
        <f>200+3800</f>
        <v>4000</v>
      </c>
      <c r="T3068" s="83" t="s">
        <v>10888</v>
      </c>
      <c r="U3068" s="31"/>
      <c r="V3068" s="32"/>
      <c r="W3068" s="33" t="s">
        <v>10889</v>
      </c>
      <c r="X3068" s="26">
        <v>0</v>
      </c>
      <c r="Y3068" s="22">
        <v>-232</v>
      </c>
      <c r="Z3068" s="26" t="s">
        <v>50</v>
      </c>
      <c r="AA3068" s="35" t="s">
        <v>10314</v>
      </c>
      <c r="AB3068" s="26"/>
      <c r="AC3068" s="26" t="s">
        <v>53</v>
      </c>
      <c r="AD3068" s="26" t="s">
        <v>54</v>
      </c>
      <c r="AE3068" s="26">
        <v>500</v>
      </c>
      <c r="AF3068" s="17">
        <v>45494</v>
      </c>
      <c r="AG3068" s="26" t="s">
        <v>10890</v>
      </c>
      <c r="AH3068" s="26"/>
      <c r="AI3068" s="40"/>
      <c r="AJ3068" s="26"/>
      <c r="AK3068" s="26"/>
      <c r="AL3068" s="35"/>
      <c r="AM3068" s="35"/>
      <c r="AN3068" s="35"/>
      <c r="AO3068" s="35"/>
      <c r="AP3068" s="35"/>
    </row>
    <row r="3069" spans="1:42" x14ac:dyDescent="0.2">
      <c r="A3069" s="126">
        <v>45493.851027199074</v>
      </c>
      <c r="B3069" s="28" t="s">
        <v>37</v>
      </c>
      <c r="C3069" s="41" t="s">
        <v>118</v>
      </c>
      <c r="D3069" s="26" t="s">
        <v>36</v>
      </c>
      <c r="E3069" s="26" t="s">
        <v>77</v>
      </c>
      <c r="F3069" s="26" t="s">
        <v>36</v>
      </c>
      <c r="G3069" s="26" t="s">
        <v>41</v>
      </c>
      <c r="H3069" s="26" t="s">
        <v>10021</v>
      </c>
      <c r="I3069" s="17">
        <f ca="1">IFERROR(__xludf.DUMMYFUNCTION("""COMPUTED_VALUE"""),45496)</f>
        <v>45496</v>
      </c>
      <c r="J3069" s="29" t="s">
        <v>10891</v>
      </c>
      <c r="K3069" s="26" t="s">
        <v>10892</v>
      </c>
      <c r="L3069" s="30">
        <v>978508443</v>
      </c>
      <c r="M3069" s="26" t="s">
        <v>2755</v>
      </c>
      <c r="N3069" s="26" t="s">
        <v>2756</v>
      </c>
      <c r="O3069" s="26" t="s">
        <v>4503</v>
      </c>
      <c r="P3069" s="26" t="s">
        <v>10893</v>
      </c>
      <c r="Q3069" s="20">
        <v>1968</v>
      </c>
      <c r="R3069" s="26" t="s">
        <v>36</v>
      </c>
      <c r="S3069" s="95">
        <v>1968</v>
      </c>
      <c r="T3069" s="148">
        <v>45493</v>
      </c>
      <c r="U3069" s="31"/>
      <c r="V3069" s="32"/>
      <c r="W3069" s="26" t="s">
        <v>10894</v>
      </c>
      <c r="X3069" s="26">
        <v>0</v>
      </c>
      <c r="Y3069" s="22">
        <v>0</v>
      </c>
      <c r="Z3069" s="26" t="s">
        <v>50</v>
      </c>
      <c r="AA3069" s="96" t="s">
        <v>10314</v>
      </c>
      <c r="AB3069" s="26"/>
      <c r="AC3069" s="26" t="s">
        <v>53</v>
      </c>
      <c r="AD3069" s="26" t="s">
        <v>54</v>
      </c>
      <c r="AE3069" s="26"/>
      <c r="AF3069" s="17">
        <v>45495</v>
      </c>
      <c r="AG3069" s="26" t="s">
        <v>7078</v>
      </c>
      <c r="AH3069" s="26"/>
      <c r="AI3069" s="40"/>
      <c r="AJ3069" s="26"/>
      <c r="AK3069" s="26"/>
      <c r="AL3069" s="35"/>
      <c r="AM3069" s="35"/>
      <c r="AN3069" s="35"/>
      <c r="AO3069" s="35"/>
      <c r="AP3069" s="35"/>
    </row>
    <row r="3070" spans="1:42" x14ac:dyDescent="0.2">
      <c r="A3070" s="126">
        <v>45493.859282650461</v>
      </c>
      <c r="B3070" s="28" t="s">
        <v>37</v>
      </c>
      <c r="C3070" s="41" t="s">
        <v>118</v>
      </c>
      <c r="D3070" s="26" t="s">
        <v>36</v>
      </c>
      <c r="E3070" s="26" t="s">
        <v>139</v>
      </c>
      <c r="F3070" s="26" t="s">
        <v>36</v>
      </c>
      <c r="G3070" s="26" t="s">
        <v>41</v>
      </c>
      <c r="H3070" s="26" t="s">
        <v>9560</v>
      </c>
      <c r="I3070" s="17">
        <f ca="1">IFERROR(__xludf.DUMMYFUNCTION("""COMPUTED_VALUE"""),45503)</f>
        <v>45503</v>
      </c>
      <c r="J3070" s="29" t="s">
        <v>10247</v>
      </c>
      <c r="K3070" s="26" t="s">
        <v>10895</v>
      </c>
      <c r="L3070" s="30">
        <v>865295156</v>
      </c>
      <c r="M3070" s="26" t="s">
        <v>3728</v>
      </c>
      <c r="N3070" s="26" t="s">
        <v>8725</v>
      </c>
      <c r="O3070" s="26" t="s">
        <v>10249</v>
      </c>
      <c r="P3070" s="26" t="s">
        <v>10896</v>
      </c>
      <c r="Q3070" s="20">
        <v>15936</v>
      </c>
      <c r="R3070" s="26" t="s">
        <v>36</v>
      </c>
      <c r="S3070" s="95">
        <v>2000</v>
      </c>
      <c r="T3070" s="148">
        <v>45493</v>
      </c>
      <c r="U3070" s="95">
        <v>13936</v>
      </c>
      <c r="V3070" s="148">
        <v>45524</v>
      </c>
      <c r="W3070" s="33" t="s">
        <v>10251</v>
      </c>
      <c r="X3070" s="26">
        <v>0</v>
      </c>
      <c r="Y3070" s="22">
        <v>0</v>
      </c>
      <c r="Z3070" s="26" t="s">
        <v>50</v>
      </c>
      <c r="AA3070" s="35" t="s">
        <v>10314</v>
      </c>
      <c r="AB3070" s="26"/>
      <c r="AC3070" s="26" t="s">
        <v>53</v>
      </c>
      <c r="AD3070" s="26" t="s">
        <v>54</v>
      </c>
      <c r="AE3070" s="26"/>
      <c r="AF3070" s="17">
        <v>45497</v>
      </c>
      <c r="AG3070" s="26"/>
      <c r="AH3070" s="26"/>
      <c r="AI3070" s="40"/>
      <c r="AJ3070" s="26"/>
      <c r="AK3070" s="26"/>
      <c r="AL3070" s="35"/>
      <c r="AM3070" s="35"/>
      <c r="AN3070" s="35"/>
      <c r="AO3070" s="35"/>
      <c r="AP3070" s="35"/>
    </row>
    <row r="3071" spans="1:42" x14ac:dyDescent="0.2">
      <c r="A3071" s="126">
        <v>45493.906900208334</v>
      </c>
      <c r="B3071" s="28" t="s">
        <v>37</v>
      </c>
      <c r="C3071" s="41" t="s">
        <v>118</v>
      </c>
      <c r="D3071" s="26" t="s">
        <v>36</v>
      </c>
      <c r="E3071" s="26" t="s">
        <v>139</v>
      </c>
      <c r="F3071" s="26" t="s">
        <v>40</v>
      </c>
      <c r="G3071" s="26" t="s">
        <v>41</v>
      </c>
      <c r="H3071" s="26" t="s">
        <v>10304</v>
      </c>
      <c r="I3071" s="17">
        <f ca="1">IFERROR(__xludf.DUMMYFUNCTION("""COMPUTED_VALUE"""),45503)</f>
        <v>45503</v>
      </c>
      <c r="J3071" s="29" t="s">
        <v>10897</v>
      </c>
      <c r="K3071" s="26" t="s">
        <v>10898</v>
      </c>
      <c r="L3071" s="30">
        <v>969640616</v>
      </c>
      <c r="M3071" s="26" t="s">
        <v>910</v>
      </c>
      <c r="N3071" s="26" t="s">
        <v>3525</v>
      </c>
      <c r="O3071" s="26" t="s">
        <v>10899</v>
      </c>
      <c r="P3071" s="26" t="s">
        <v>10900</v>
      </c>
      <c r="Q3071" s="20">
        <v>15936</v>
      </c>
      <c r="R3071" s="26" t="s">
        <v>36</v>
      </c>
      <c r="S3071" s="95">
        <v>2000</v>
      </c>
      <c r="T3071" s="148">
        <v>45493</v>
      </c>
      <c r="U3071" s="95">
        <v>13936</v>
      </c>
      <c r="V3071" s="148">
        <v>45529</v>
      </c>
      <c r="W3071" s="33" t="s">
        <v>10901</v>
      </c>
      <c r="X3071" s="26">
        <v>0</v>
      </c>
      <c r="Y3071" s="22">
        <v>0</v>
      </c>
      <c r="Z3071" s="26" t="s">
        <v>50</v>
      </c>
      <c r="AA3071" s="96" t="s">
        <v>10314</v>
      </c>
      <c r="AB3071" s="26"/>
      <c r="AC3071" s="26" t="s">
        <v>53</v>
      </c>
      <c r="AD3071" s="26" t="s">
        <v>54</v>
      </c>
      <c r="AE3071" s="26"/>
      <c r="AF3071" s="17">
        <v>45497</v>
      </c>
      <c r="AG3071" s="26"/>
      <c r="AH3071" s="26"/>
      <c r="AI3071" s="40"/>
      <c r="AJ3071" s="26"/>
      <c r="AK3071" s="26"/>
      <c r="AL3071" s="35"/>
      <c r="AM3071" s="35"/>
      <c r="AN3071" s="35"/>
      <c r="AO3071" s="35"/>
      <c r="AP3071" s="35"/>
    </row>
    <row r="3072" spans="1:42" x14ac:dyDescent="0.2">
      <c r="A3072" s="126">
        <v>45494.067089918986</v>
      </c>
      <c r="B3072" s="28" t="s">
        <v>37</v>
      </c>
      <c r="C3072" s="41" t="s">
        <v>118</v>
      </c>
      <c r="D3072" s="26" t="s">
        <v>36</v>
      </c>
      <c r="E3072" s="26" t="s">
        <v>139</v>
      </c>
      <c r="F3072" s="26" t="s">
        <v>40</v>
      </c>
      <c r="G3072" s="26" t="s">
        <v>41</v>
      </c>
      <c r="H3072" s="26" t="s">
        <v>10304</v>
      </c>
      <c r="I3072" s="17">
        <f ca="1">IFERROR(__xludf.DUMMYFUNCTION("""COMPUTED_VALUE"""),45503)</f>
        <v>45503</v>
      </c>
      <c r="J3072" s="29" t="s">
        <v>10305</v>
      </c>
      <c r="K3072" s="26" t="s">
        <v>10902</v>
      </c>
      <c r="L3072" s="30">
        <v>961870730</v>
      </c>
      <c r="M3072" s="26" t="s">
        <v>123</v>
      </c>
      <c r="N3072" s="26" t="s">
        <v>186</v>
      </c>
      <c r="O3072" s="26" t="s">
        <v>4503</v>
      </c>
      <c r="P3072" s="26" t="s">
        <v>10903</v>
      </c>
      <c r="Q3072" s="20">
        <v>15936</v>
      </c>
      <c r="R3072" s="26" t="s">
        <v>36</v>
      </c>
      <c r="S3072" s="95">
        <f>2000+6500</f>
        <v>8500</v>
      </c>
      <c r="T3072" s="148">
        <v>45127</v>
      </c>
      <c r="U3072" s="95">
        <v>7468</v>
      </c>
      <c r="V3072" s="148">
        <v>45518</v>
      </c>
      <c r="W3072" s="33" t="s">
        <v>10308</v>
      </c>
      <c r="X3072" s="26">
        <v>0</v>
      </c>
      <c r="Y3072" s="22">
        <v>-32</v>
      </c>
      <c r="Z3072" s="26" t="s">
        <v>50</v>
      </c>
      <c r="AA3072" s="35" t="s">
        <v>10314</v>
      </c>
      <c r="AB3072" s="26"/>
      <c r="AC3072" s="26" t="s">
        <v>53</v>
      </c>
      <c r="AD3072" s="26" t="s">
        <v>54</v>
      </c>
      <c r="AE3072" s="26"/>
      <c r="AF3072" s="17">
        <v>45497</v>
      </c>
      <c r="AG3072" s="26"/>
      <c r="AH3072" s="26"/>
      <c r="AI3072" s="40"/>
      <c r="AJ3072" s="26"/>
      <c r="AK3072" s="26"/>
      <c r="AL3072" s="35"/>
      <c r="AM3072" s="35"/>
      <c r="AN3072" s="35"/>
      <c r="AO3072" s="35"/>
      <c r="AP3072" s="35"/>
    </row>
    <row r="3073" spans="1:42" x14ac:dyDescent="0.2">
      <c r="A3073" s="126">
        <v>45494.068527118055</v>
      </c>
      <c r="B3073" s="28" t="s">
        <v>37</v>
      </c>
      <c r="C3073" s="41" t="s">
        <v>118</v>
      </c>
      <c r="D3073" s="26" t="s">
        <v>36</v>
      </c>
      <c r="E3073" s="26" t="s">
        <v>119</v>
      </c>
      <c r="F3073" s="26" t="s">
        <v>36</v>
      </c>
      <c r="G3073" s="26" t="s">
        <v>108</v>
      </c>
      <c r="H3073" s="26" t="s">
        <v>9553</v>
      </c>
      <c r="I3073" s="17">
        <f ca="1">IFERROR(__xludf.DUMMYFUNCTION("""COMPUTED_VALUE"""),45497)</f>
        <v>45497</v>
      </c>
      <c r="J3073" s="29" t="s">
        <v>10904</v>
      </c>
      <c r="K3073" s="26" t="s">
        <v>10905</v>
      </c>
      <c r="L3073" s="30">
        <v>812279006</v>
      </c>
      <c r="M3073" s="26" t="s">
        <v>123</v>
      </c>
      <c r="N3073" s="26" t="s">
        <v>186</v>
      </c>
      <c r="O3073" s="26" t="s">
        <v>4503</v>
      </c>
      <c r="P3073" s="26" t="s">
        <v>10906</v>
      </c>
      <c r="Q3073" s="20">
        <v>13968</v>
      </c>
      <c r="R3073" s="26" t="s">
        <v>36</v>
      </c>
      <c r="S3073" s="95">
        <f>2000+1768</f>
        <v>3768</v>
      </c>
      <c r="T3073" s="83" t="s">
        <v>10907</v>
      </c>
      <c r="U3073" s="95">
        <v>10200</v>
      </c>
      <c r="V3073" s="148">
        <v>45529</v>
      </c>
      <c r="W3073" s="33" t="s">
        <v>10908</v>
      </c>
      <c r="X3073" s="26">
        <v>0</v>
      </c>
      <c r="Y3073" s="22">
        <v>0</v>
      </c>
      <c r="Z3073" s="26" t="s">
        <v>50</v>
      </c>
      <c r="AA3073" s="96" t="s">
        <v>10314</v>
      </c>
      <c r="AB3073" s="26"/>
      <c r="AC3073" s="26" t="s">
        <v>53</v>
      </c>
      <c r="AD3073" s="26" t="s">
        <v>54</v>
      </c>
      <c r="AE3073" s="26"/>
      <c r="AF3073" s="17">
        <v>45495</v>
      </c>
      <c r="AG3073" s="26"/>
      <c r="AH3073" s="26"/>
      <c r="AI3073" s="40"/>
      <c r="AJ3073" s="26"/>
      <c r="AK3073" s="26"/>
      <c r="AL3073" s="35"/>
      <c r="AM3073" s="35"/>
      <c r="AN3073" s="35"/>
      <c r="AO3073" s="35"/>
      <c r="AP3073" s="35"/>
    </row>
    <row r="3074" spans="1:42" x14ac:dyDescent="0.2">
      <c r="A3074" s="126">
        <v>45494.429504872685</v>
      </c>
      <c r="B3074" s="28" t="s">
        <v>37</v>
      </c>
      <c r="C3074" s="41" t="s">
        <v>118</v>
      </c>
      <c r="D3074" s="26" t="s">
        <v>36</v>
      </c>
      <c r="E3074" s="26" t="s">
        <v>139</v>
      </c>
      <c r="F3074" s="26" t="s">
        <v>36</v>
      </c>
      <c r="G3074" s="26" t="s">
        <v>41</v>
      </c>
      <c r="H3074" s="26" t="s">
        <v>9581</v>
      </c>
      <c r="I3074" s="17">
        <f ca="1">IFERROR(__xludf.DUMMYFUNCTION("""COMPUTED_VALUE"""),45504)</f>
        <v>45504</v>
      </c>
      <c r="J3074" s="29" t="s">
        <v>10909</v>
      </c>
      <c r="K3074" s="26" t="s">
        <v>10910</v>
      </c>
      <c r="L3074" s="30">
        <v>962617450</v>
      </c>
      <c r="M3074" s="26" t="s">
        <v>5518</v>
      </c>
      <c r="N3074" s="26" t="s">
        <v>10698</v>
      </c>
      <c r="O3074" s="26" t="s">
        <v>10911</v>
      </c>
      <c r="P3074" s="42" t="s">
        <v>10912</v>
      </c>
      <c r="Q3074" s="20">
        <v>15936</v>
      </c>
      <c r="R3074" s="26" t="s">
        <v>36</v>
      </c>
      <c r="S3074" s="95">
        <v>2000</v>
      </c>
      <c r="T3074" s="148">
        <v>45493</v>
      </c>
      <c r="U3074" s="95">
        <v>13936</v>
      </c>
      <c r="V3074" s="148">
        <v>45525</v>
      </c>
      <c r="W3074" s="33" t="s">
        <v>10913</v>
      </c>
      <c r="X3074" s="26">
        <v>0</v>
      </c>
      <c r="Y3074" s="22">
        <v>0</v>
      </c>
      <c r="Z3074" s="26" t="s">
        <v>50</v>
      </c>
      <c r="AA3074" s="35" t="s">
        <v>10314</v>
      </c>
      <c r="AB3074" s="26"/>
      <c r="AC3074" s="26" t="s">
        <v>53</v>
      </c>
      <c r="AD3074" s="26" t="s">
        <v>54</v>
      </c>
      <c r="AE3074" s="26">
        <v>0</v>
      </c>
      <c r="AF3074" s="17">
        <v>45498</v>
      </c>
      <c r="AG3074" s="26"/>
      <c r="AH3074" s="26"/>
      <c r="AI3074" s="40"/>
      <c r="AJ3074" s="26"/>
      <c r="AK3074" s="26"/>
      <c r="AL3074" s="35"/>
      <c r="AM3074" s="35"/>
      <c r="AN3074" s="35"/>
      <c r="AO3074" s="35"/>
      <c r="AP3074" s="35"/>
    </row>
    <row r="3075" spans="1:42" x14ac:dyDescent="0.2">
      <c r="A3075" s="126">
        <v>45494.78208819445</v>
      </c>
      <c r="B3075" s="28" t="s">
        <v>37</v>
      </c>
      <c r="C3075" s="41" t="s">
        <v>118</v>
      </c>
      <c r="D3075" s="26" t="s">
        <v>36</v>
      </c>
      <c r="E3075" s="26" t="s">
        <v>148</v>
      </c>
      <c r="F3075" s="26" t="s">
        <v>36</v>
      </c>
      <c r="G3075" s="26" t="s">
        <v>108</v>
      </c>
      <c r="H3075" s="26" t="s">
        <v>8931</v>
      </c>
      <c r="I3075" s="17">
        <f ca="1">IFERROR(__xludf.DUMMYFUNCTION("""COMPUTED_VALUE"""),45503)</f>
        <v>45503</v>
      </c>
      <c r="J3075" s="29" t="s">
        <v>10914</v>
      </c>
      <c r="K3075" s="26" t="s">
        <v>10915</v>
      </c>
      <c r="L3075" s="30">
        <v>971239460</v>
      </c>
      <c r="M3075" s="26" t="s">
        <v>80</v>
      </c>
      <c r="N3075" s="26" t="s">
        <v>1073</v>
      </c>
      <c r="O3075" s="26" t="s">
        <v>10916</v>
      </c>
      <c r="P3075" s="26" t="s">
        <v>10917</v>
      </c>
      <c r="Q3075" s="20">
        <v>7349</v>
      </c>
      <c r="R3075" s="26" t="s">
        <v>36</v>
      </c>
      <c r="S3075" s="95">
        <f>200+3800+3349</f>
        <v>7349</v>
      </c>
      <c r="T3075" s="83" t="s">
        <v>10918</v>
      </c>
      <c r="U3075" s="31"/>
      <c r="V3075" s="32"/>
      <c r="W3075" s="33" t="s">
        <v>10919</v>
      </c>
      <c r="X3075" s="26">
        <v>0</v>
      </c>
      <c r="Y3075" s="22">
        <v>0</v>
      </c>
      <c r="Z3075" s="26" t="s">
        <v>50</v>
      </c>
      <c r="AA3075" s="96" t="s">
        <v>10314</v>
      </c>
      <c r="AB3075" s="26"/>
      <c r="AC3075" s="26" t="s">
        <v>53</v>
      </c>
      <c r="AD3075" s="26" t="s">
        <v>54</v>
      </c>
      <c r="AE3075" s="26">
        <v>460</v>
      </c>
      <c r="AF3075" s="17">
        <v>45497</v>
      </c>
      <c r="AG3075" s="26" t="s">
        <v>7078</v>
      </c>
      <c r="AH3075" s="26"/>
      <c r="AI3075" s="40"/>
      <c r="AJ3075" s="26"/>
      <c r="AK3075" s="26"/>
      <c r="AL3075" s="35"/>
      <c r="AM3075" s="35"/>
      <c r="AN3075" s="35"/>
      <c r="AO3075" s="35"/>
      <c r="AP3075" s="35"/>
    </row>
    <row r="3076" spans="1:42" x14ac:dyDescent="0.2">
      <c r="A3076" s="126">
        <v>45494.78395405093</v>
      </c>
      <c r="B3076" s="28" t="s">
        <v>37</v>
      </c>
      <c r="C3076" s="41" t="s">
        <v>118</v>
      </c>
      <c r="D3076" s="26" t="s">
        <v>36</v>
      </c>
      <c r="E3076" s="26" t="s">
        <v>139</v>
      </c>
      <c r="F3076" s="26" t="s">
        <v>36</v>
      </c>
      <c r="G3076" s="26" t="s">
        <v>41</v>
      </c>
      <c r="H3076" s="26" t="s">
        <v>9581</v>
      </c>
      <c r="I3076" s="17">
        <f ca="1">IFERROR(__xludf.DUMMYFUNCTION("""COMPUTED_VALUE"""),45504)</f>
        <v>45504</v>
      </c>
      <c r="J3076" s="29" t="s">
        <v>10920</v>
      </c>
      <c r="K3076" s="26" t="s">
        <v>10921</v>
      </c>
      <c r="L3076" s="30">
        <v>982845117</v>
      </c>
      <c r="M3076" s="26" t="s">
        <v>80</v>
      </c>
      <c r="N3076" s="26" t="s">
        <v>1073</v>
      </c>
      <c r="O3076" s="26" t="s">
        <v>10922</v>
      </c>
      <c r="P3076" s="26" t="s">
        <v>10923</v>
      </c>
      <c r="Q3076" s="20">
        <v>15936</v>
      </c>
      <c r="R3076" s="26" t="s">
        <v>36</v>
      </c>
      <c r="S3076" s="95">
        <f>200+1800</f>
        <v>2000</v>
      </c>
      <c r="T3076" s="83" t="s">
        <v>10924</v>
      </c>
      <c r="U3076" s="95">
        <v>13936</v>
      </c>
      <c r="V3076" s="148">
        <v>45533</v>
      </c>
      <c r="W3076" s="33" t="s">
        <v>10925</v>
      </c>
      <c r="X3076" s="26">
        <v>0</v>
      </c>
      <c r="Y3076" s="22">
        <v>0</v>
      </c>
      <c r="Z3076" s="26" t="s">
        <v>50</v>
      </c>
      <c r="AA3076" s="35" t="s">
        <v>10314</v>
      </c>
      <c r="AB3076" s="26"/>
      <c r="AC3076" s="26" t="s">
        <v>53</v>
      </c>
      <c r="AD3076" s="26" t="s">
        <v>54</v>
      </c>
      <c r="AE3076" s="26">
        <v>0</v>
      </c>
      <c r="AF3076" s="17">
        <v>45498</v>
      </c>
      <c r="AG3076" s="26"/>
      <c r="AH3076" s="26"/>
      <c r="AI3076" s="40"/>
      <c r="AJ3076" s="26"/>
      <c r="AK3076" s="26"/>
      <c r="AL3076" s="35"/>
      <c r="AM3076" s="35"/>
      <c r="AN3076" s="35"/>
      <c r="AO3076" s="35"/>
      <c r="AP3076" s="35"/>
    </row>
    <row r="3077" spans="1:42" x14ac:dyDescent="0.2">
      <c r="A3077" s="126">
        <v>45494.877427743057</v>
      </c>
      <c r="B3077" s="28" t="s">
        <v>37</v>
      </c>
      <c r="C3077" s="41" t="s">
        <v>118</v>
      </c>
      <c r="D3077" s="26" t="s">
        <v>36</v>
      </c>
      <c r="E3077" s="26" t="s">
        <v>77</v>
      </c>
      <c r="F3077" s="26" t="s">
        <v>36</v>
      </c>
      <c r="G3077" s="26" t="s">
        <v>41</v>
      </c>
      <c r="H3077" s="26" t="s">
        <v>10021</v>
      </c>
      <c r="I3077" s="17">
        <f ca="1">IFERROR(__xludf.DUMMYFUNCTION("""COMPUTED_VALUE"""),45496)</f>
        <v>45496</v>
      </c>
      <c r="J3077" s="29" t="s">
        <v>10926</v>
      </c>
      <c r="K3077" s="26" t="s">
        <v>10927</v>
      </c>
      <c r="L3077" s="30">
        <v>329397374</v>
      </c>
      <c r="M3077" s="26" t="s">
        <v>59</v>
      </c>
      <c r="N3077" s="26" t="s">
        <v>68</v>
      </c>
      <c r="O3077" s="26" t="s">
        <v>10928</v>
      </c>
      <c r="P3077" s="26" t="s">
        <v>10929</v>
      </c>
      <c r="Q3077" s="20">
        <v>1968</v>
      </c>
      <c r="R3077" s="26" t="s">
        <v>36</v>
      </c>
      <c r="S3077" s="95">
        <v>1968</v>
      </c>
      <c r="T3077" s="148">
        <v>45491</v>
      </c>
      <c r="U3077" s="31"/>
      <c r="V3077" s="32"/>
      <c r="W3077" s="33" t="s">
        <v>10930</v>
      </c>
      <c r="X3077" s="26">
        <v>0</v>
      </c>
      <c r="Y3077" s="22">
        <v>0</v>
      </c>
      <c r="Z3077" s="26" t="s">
        <v>50</v>
      </c>
      <c r="AA3077" s="96" t="s">
        <v>10314</v>
      </c>
      <c r="AB3077" s="26"/>
      <c r="AC3077" s="26" t="s">
        <v>53</v>
      </c>
      <c r="AD3077" s="26" t="s">
        <v>54</v>
      </c>
      <c r="AE3077" s="26" t="s">
        <v>72</v>
      </c>
      <c r="AF3077" s="17">
        <v>45495</v>
      </c>
      <c r="AG3077" s="26" t="s">
        <v>7078</v>
      </c>
      <c r="AH3077" s="26"/>
      <c r="AI3077" s="40"/>
      <c r="AJ3077" s="26"/>
      <c r="AK3077" s="26"/>
      <c r="AL3077" s="35"/>
      <c r="AM3077" s="35"/>
      <c r="AN3077" s="35"/>
      <c r="AO3077" s="35"/>
      <c r="AP3077" s="35"/>
    </row>
    <row r="3078" spans="1:42" x14ac:dyDescent="0.2">
      <c r="A3078" s="126">
        <v>45494.878303622681</v>
      </c>
      <c r="B3078" s="28" t="s">
        <v>37</v>
      </c>
      <c r="C3078" s="41" t="s">
        <v>118</v>
      </c>
      <c r="D3078" s="26" t="s">
        <v>36</v>
      </c>
      <c r="E3078" s="26" t="s">
        <v>119</v>
      </c>
      <c r="F3078" s="26" t="s">
        <v>36</v>
      </c>
      <c r="G3078" s="26" t="s">
        <v>108</v>
      </c>
      <c r="H3078" s="26" t="s">
        <v>8867</v>
      </c>
      <c r="I3078" s="17">
        <f ca="1">IFERROR(__xludf.DUMMYFUNCTION("""COMPUTED_VALUE"""),45496)</f>
        <v>45496</v>
      </c>
      <c r="J3078" s="29" t="s">
        <v>10931</v>
      </c>
      <c r="K3078" s="26" t="s">
        <v>10932</v>
      </c>
      <c r="L3078" s="30">
        <v>366331267</v>
      </c>
      <c r="M3078" s="26" t="s">
        <v>80</v>
      </c>
      <c r="N3078" s="26" t="s">
        <v>466</v>
      </c>
      <c r="O3078" s="26" t="s">
        <v>10933</v>
      </c>
      <c r="P3078" s="26" t="s">
        <v>10934</v>
      </c>
      <c r="Q3078" s="20">
        <v>13968</v>
      </c>
      <c r="R3078" s="26" t="s">
        <v>36</v>
      </c>
      <c r="S3078" s="95">
        <v>3800</v>
      </c>
      <c r="T3078" s="148">
        <v>45494</v>
      </c>
      <c r="U3078" s="95">
        <v>10168</v>
      </c>
      <c r="V3078" s="148">
        <v>45517</v>
      </c>
      <c r="W3078" s="33" t="s">
        <v>10935</v>
      </c>
      <c r="X3078" s="26">
        <v>0</v>
      </c>
      <c r="Y3078" s="22">
        <v>0</v>
      </c>
      <c r="Z3078" s="26" t="s">
        <v>50</v>
      </c>
      <c r="AA3078" s="35" t="s">
        <v>10314</v>
      </c>
      <c r="AB3078" s="26"/>
      <c r="AC3078" s="26" t="s">
        <v>53</v>
      </c>
      <c r="AD3078" s="26" t="s">
        <v>54</v>
      </c>
      <c r="AE3078" s="26">
        <v>500</v>
      </c>
      <c r="AF3078" s="17">
        <v>45495</v>
      </c>
      <c r="AG3078" s="26"/>
      <c r="AH3078" s="26"/>
      <c r="AI3078" s="40"/>
      <c r="AJ3078" s="26"/>
      <c r="AK3078" s="26"/>
      <c r="AL3078" s="35"/>
      <c r="AM3078" s="35"/>
      <c r="AN3078" s="35"/>
      <c r="AO3078" s="35"/>
      <c r="AP3078" s="35"/>
    </row>
    <row r="3079" spans="1:42" x14ac:dyDescent="0.2">
      <c r="A3079" s="126">
        <v>45495.688206990744</v>
      </c>
      <c r="B3079" s="28" t="s">
        <v>37</v>
      </c>
      <c r="C3079" s="41" t="s">
        <v>118</v>
      </c>
      <c r="D3079" s="26" t="s">
        <v>36</v>
      </c>
      <c r="E3079" s="26" t="s">
        <v>77</v>
      </c>
      <c r="F3079" s="26" t="s">
        <v>36</v>
      </c>
      <c r="G3079" s="26" t="s">
        <v>41</v>
      </c>
      <c r="H3079" s="26" t="s">
        <v>10304</v>
      </c>
      <c r="I3079" s="17">
        <f ca="1">IFERROR(__xludf.DUMMYFUNCTION("""COMPUTED_VALUE"""),45503)</f>
        <v>45503</v>
      </c>
      <c r="J3079" s="29" t="s">
        <v>10936</v>
      </c>
      <c r="K3079" s="26" t="s">
        <v>10937</v>
      </c>
      <c r="L3079" s="30">
        <v>337069811</v>
      </c>
      <c r="M3079" s="26" t="s">
        <v>5518</v>
      </c>
      <c r="N3079" s="26" t="s">
        <v>186</v>
      </c>
      <c r="O3079" s="26" t="s">
        <v>7637</v>
      </c>
      <c r="P3079" s="26" t="s">
        <v>10938</v>
      </c>
      <c r="Q3079" s="20">
        <v>1968</v>
      </c>
      <c r="R3079" s="26" t="s">
        <v>36</v>
      </c>
      <c r="S3079" s="95">
        <v>2000</v>
      </c>
      <c r="T3079" s="148">
        <v>45495</v>
      </c>
      <c r="U3079" s="31"/>
      <c r="V3079" s="32"/>
      <c r="W3079" s="33" t="s">
        <v>10939</v>
      </c>
      <c r="X3079" s="26">
        <v>0</v>
      </c>
      <c r="Y3079" s="22">
        <v>-32</v>
      </c>
      <c r="Z3079" s="26" t="s">
        <v>50</v>
      </c>
      <c r="AA3079" s="96" t="s">
        <v>10314</v>
      </c>
      <c r="AB3079" s="26"/>
      <c r="AC3079" s="26" t="s">
        <v>2218</v>
      </c>
      <c r="AD3079" s="26" t="s">
        <v>54</v>
      </c>
      <c r="AE3079" s="26">
        <v>0</v>
      </c>
      <c r="AF3079" s="60" t="s">
        <v>2218</v>
      </c>
      <c r="AG3079" s="26" t="s">
        <v>7078</v>
      </c>
      <c r="AH3079" s="26"/>
      <c r="AI3079" s="40"/>
      <c r="AJ3079" s="26"/>
      <c r="AK3079" s="26"/>
      <c r="AL3079" s="35"/>
      <c r="AM3079" s="35"/>
      <c r="AN3079" s="35"/>
      <c r="AO3079" s="35"/>
      <c r="AP3079" s="35"/>
    </row>
    <row r="3080" spans="1:42" x14ac:dyDescent="0.2">
      <c r="A3080" s="126">
        <v>45495.772712476857</v>
      </c>
      <c r="B3080" s="28" t="s">
        <v>37</v>
      </c>
      <c r="C3080" s="41" t="s">
        <v>118</v>
      </c>
      <c r="D3080" s="26" t="s">
        <v>36</v>
      </c>
      <c r="E3080" s="26" t="s">
        <v>77</v>
      </c>
      <c r="F3080" s="26" t="s">
        <v>40</v>
      </c>
      <c r="G3080" s="26" t="s">
        <v>41</v>
      </c>
      <c r="H3080" s="26" t="s">
        <v>10304</v>
      </c>
      <c r="I3080" s="17">
        <f ca="1">IFERROR(__xludf.DUMMYFUNCTION("""COMPUTED_VALUE"""),45503)</f>
        <v>45503</v>
      </c>
      <c r="J3080" s="29" t="s">
        <v>10940</v>
      </c>
      <c r="K3080" s="26" t="s">
        <v>10941</v>
      </c>
      <c r="L3080" s="30">
        <v>961262688</v>
      </c>
      <c r="M3080" s="26" t="s">
        <v>5429</v>
      </c>
      <c r="N3080" s="26" t="s">
        <v>81</v>
      </c>
      <c r="O3080" s="26" t="s">
        <v>10942</v>
      </c>
      <c r="P3080" s="26" t="s">
        <v>10943</v>
      </c>
      <c r="Q3080" s="20">
        <v>1968</v>
      </c>
      <c r="R3080" s="26" t="s">
        <v>36</v>
      </c>
      <c r="S3080" s="95">
        <v>2000</v>
      </c>
      <c r="T3080" s="148">
        <v>45495</v>
      </c>
      <c r="U3080" s="31"/>
      <c r="V3080" s="32"/>
      <c r="W3080" s="33" t="s">
        <v>10944</v>
      </c>
      <c r="X3080" s="26">
        <v>0</v>
      </c>
      <c r="Y3080" s="22">
        <v>-32</v>
      </c>
      <c r="Z3080" s="26" t="s">
        <v>50</v>
      </c>
      <c r="AA3080" s="35" t="s">
        <v>10314</v>
      </c>
      <c r="AB3080" s="26"/>
      <c r="AC3080" s="26" t="s">
        <v>53</v>
      </c>
      <c r="AD3080" s="26" t="s">
        <v>54</v>
      </c>
      <c r="AE3080" s="26" t="s">
        <v>430</v>
      </c>
      <c r="AF3080" s="17">
        <v>45497</v>
      </c>
      <c r="AG3080" s="26" t="s">
        <v>7078</v>
      </c>
      <c r="AH3080" s="26"/>
      <c r="AI3080" s="40"/>
      <c r="AJ3080" s="26"/>
      <c r="AK3080" s="26"/>
      <c r="AL3080" s="35"/>
      <c r="AM3080" s="35"/>
      <c r="AN3080" s="35"/>
      <c r="AO3080" s="35"/>
      <c r="AP3080" s="35"/>
    </row>
    <row r="3081" spans="1:42" x14ac:dyDescent="0.2">
      <c r="A3081" s="126">
        <v>45495.896649988426</v>
      </c>
      <c r="B3081" s="28" t="s">
        <v>37</v>
      </c>
      <c r="C3081" s="41" t="s">
        <v>118</v>
      </c>
      <c r="D3081" s="26" t="s">
        <v>36</v>
      </c>
      <c r="E3081" s="26" t="s">
        <v>139</v>
      </c>
      <c r="F3081" s="26" t="s">
        <v>40</v>
      </c>
      <c r="G3081" s="26" t="s">
        <v>41</v>
      </c>
      <c r="H3081" s="26" t="s">
        <v>10304</v>
      </c>
      <c r="I3081" s="17">
        <f ca="1">IFERROR(__xludf.DUMMYFUNCTION("""COMPUTED_VALUE"""),45503)</f>
        <v>45503</v>
      </c>
      <c r="J3081" s="29" t="s">
        <v>10945</v>
      </c>
      <c r="K3081" s="26" t="s">
        <v>10946</v>
      </c>
      <c r="L3081" s="30">
        <v>343462274</v>
      </c>
      <c r="M3081" s="26" t="s">
        <v>59</v>
      </c>
      <c r="N3081" s="26" t="s">
        <v>10947</v>
      </c>
      <c r="O3081" s="26" t="s">
        <v>10948</v>
      </c>
      <c r="P3081" s="26" t="s">
        <v>10948</v>
      </c>
      <c r="Q3081" s="20">
        <v>15936</v>
      </c>
      <c r="R3081" s="26" t="s">
        <v>36</v>
      </c>
      <c r="S3081" s="95">
        <v>2000</v>
      </c>
      <c r="T3081" s="148">
        <v>45492</v>
      </c>
      <c r="U3081" s="95">
        <v>13936</v>
      </c>
      <c r="V3081" s="148">
        <v>45532</v>
      </c>
      <c r="W3081" s="33" t="s">
        <v>10949</v>
      </c>
      <c r="X3081" s="26">
        <v>0</v>
      </c>
      <c r="Y3081" s="22">
        <v>0</v>
      </c>
      <c r="Z3081" s="26" t="s">
        <v>50</v>
      </c>
      <c r="AA3081" s="96" t="s">
        <v>10314</v>
      </c>
      <c r="AB3081" s="26"/>
      <c r="AC3081" s="26" t="s">
        <v>53</v>
      </c>
      <c r="AD3081" s="26" t="s">
        <v>54</v>
      </c>
      <c r="AE3081" s="26" t="s">
        <v>72</v>
      </c>
      <c r="AF3081" s="17">
        <v>45497</v>
      </c>
      <c r="AG3081" s="26"/>
      <c r="AH3081" s="26"/>
      <c r="AI3081" s="40"/>
      <c r="AJ3081" s="26"/>
      <c r="AK3081" s="26"/>
      <c r="AL3081" s="35"/>
      <c r="AM3081" s="35"/>
      <c r="AN3081" s="35"/>
      <c r="AO3081" s="35"/>
      <c r="AP3081" s="35"/>
    </row>
    <row r="3082" spans="1:42" x14ac:dyDescent="0.2">
      <c r="A3082" s="126">
        <v>45495.908582141201</v>
      </c>
      <c r="B3082" s="28" t="s">
        <v>37</v>
      </c>
      <c r="C3082" s="41" t="s">
        <v>118</v>
      </c>
      <c r="D3082" s="26" t="s">
        <v>36</v>
      </c>
      <c r="E3082" s="26" t="s">
        <v>139</v>
      </c>
      <c r="F3082" s="26" t="s">
        <v>36</v>
      </c>
      <c r="G3082" s="26" t="s">
        <v>41</v>
      </c>
      <c r="H3082" s="26" t="s">
        <v>10304</v>
      </c>
      <c r="I3082" s="17">
        <f ca="1">IFERROR(__xludf.DUMMYFUNCTION("""COMPUTED_VALUE"""),45503)</f>
        <v>45503</v>
      </c>
      <c r="J3082" s="29" t="s">
        <v>10950</v>
      </c>
      <c r="K3082" s="26" t="s">
        <v>10951</v>
      </c>
      <c r="L3082" s="30">
        <v>964381420</v>
      </c>
      <c r="M3082" s="26" t="s">
        <v>80</v>
      </c>
      <c r="N3082" s="26" t="s">
        <v>1073</v>
      </c>
      <c r="O3082" s="26" t="s">
        <v>10952</v>
      </c>
      <c r="P3082" s="26" t="s">
        <v>10953</v>
      </c>
      <c r="Q3082" s="20">
        <v>15936</v>
      </c>
      <c r="R3082" s="26" t="s">
        <v>36</v>
      </c>
      <c r="S3082" s="95">
        <f t="shared" ref="S3082:S3083" si="25">200+1800</f>
        <v>2000</v>
      </c>
      <c r="T3082" s="83" t="s">
        <v>10954</v>
      </c>
      <c r="U3082" s="95">
        <v>13936</v>
      </c>
      <c r="V3082" s="148">
        <v>45534</v>
      </c>
      <c r="W3082" s="33" t="s">
        <v>10955</v>
      </c>
      <c r="X3082" s="26">
        <v>0</v>
      </c>
      <c r="Y3082" s="22">
        <v>0</v>
      </c>
      <c r="Z3082" s="26" t="s">
        <v>50</v>
      </c>
      <c r="AA3082" s="35" t="s">
        <v>10314</v>
      </c>
      <c r="AB3082" s="26"/>
      <c r="AC3082" s="26" t="s">
        <v>53</v>
      </c>
      <c r="AD3082" s="26" t="s">
        <v>54</v>
      </c>
      <c r="AE3082" s="26"/>
      <c r="AF3082" s="17">
        <v>45498</v>
      </c>
      <c r="AG3082" s="26"/>
      <c r="AH3082" s="26"/>
      <c r="AI3082" s="40"/>
      <c r="AJ3082" s="26"/>
      <c r="AK3082" s="26"/>
      <c r="AL3082" s="35"/>
      <c r="AM3082" s="35"/>
      <c r="AN3082" s="35"/>
      <c r="AO3082" s="35"/>
      <c r="AP3082" s="35"/>
    </row>
    <row r="3083" spans="1:42" x14ac:dyDescent="0.2">
      <c r="A3083" s="126">
        <v>45495.910718738422</v>
      </c>
      <c r="B3083" s="28" t="s">
        <v>37</v>
      </c>
      <c r="C3083" s="41" t="s">
        <v>118</v>
      </c>
      <c r="D3083" s="26" t="s">
        <v>36</v>
      </c>
      <c r="E3083" s="26" t="s">
        <v>56</v>
      </c>
      <c r="F3083" s="26" t="s">
        <v>36</v>
      </c>
      <c r="G3083" s="26" t="s">
        <v>41</v>
      </c>
      <c r="H3083" s="26" t="s">
        <v>9693</v>
      </c>
      <c r="I3083" s="17">
        <f ca="1">IFERROR(__xludf.DUMMYFUNCTION("""COMPUTED_VALUE"""),45506)</f>
        <v>45506</v>
      </c>
      <c r="J3083" s="44" t="s">
        <v>10956</v>
      </c>
      <c r="K3083" s="26" t="s">
        <v>10957</v>
      </c>
      <c r="L3083" s="30">
        <v>328839190</v>
      </c>
      <c r="M3083" s="26" t="s">
        <v>80</v>
      </c>
      <c r="N3083" s="26" t="s">
        <v>1073</v>
      </c>
      <c r="O3083" s="26" t="s">
        <v>10958</v>
      </c>
      <c r="P3083" s="42" t="s">
        <v>10959</v>
      </c>
      <c r="Q3083" s="20">
        <v>9317</v>
      </c>
      <c r="R3083" s="26" t="s">
        <v>36</v>
      </c>
      <c r="S3083" s="95">
        <f t="shared" si="25"/>
        <v>2000</v>
      </c>
      <c r="T3083" s="83" t="s">
        <v>10960</v>
      </c>
      <c r="U3083" s="95">
        <v>7317</v>
      </c>
      <c r="V3083" s="148">
        <v>45527</v>
      </c>
      <c r="W3083" s="33" t="s">
        <v>10961</v>
      </c>
      <c r="X3083" s="26">
        <v>0</v>
      </c>
      <c r="Y3083" s="22">
        <v>0</v>
      </c>
      <c r="Z3083" s="26" t="s">
        <v>50</v>
      </c>
      <c r="AA3083" s="96" t="s">
        <v>10314</v>
      </c>
      <c r="AB3083" s="26"/>
      <c r="AC3083" s="26" t="s">
        <v>53</v>
      </c>
      <c r="AD3083" s="26" t="s">
        <v>54</v>
      </c>
      <c r="AE3083" s="26">
        <v>0</v>
      </c>
      <c r="AF3083" s="17">
        <v>45505</v>
      </c>
      <c r="AG3083" s="26"/>
      <c r="AH3083" s="26"/>
      <c r="AI3083" s="40"/>
      <c r="AJ3083" s="26"/>
      <c r="AK3083" s="26"/>
      <c r="AL3083" s="35"/>
      <c r="AM3083" s="35"/>
      <c r="AN3083" s="35"/>
      <c r="AO3083" s="35"/>
      <c r="AP3083" s="35"/>
    </row>
    <row r="3084" spans="1:42" x14ac:dyDescent="0.2">
      <c r="A3084" s="126">
        <v>45495.913477361115</v>
      </c>
      <c r="B3084" s="28" t="s">
        <v>37</v>
      </c>
      <c r="C3084" s="41" t="s">
        <v>118</v>
      </c>
      <c r="D3084" s="26" t="s">
        <v>36</v>
      </c>
      <c r="E3084" s="26" t="s">
        <v>56</v>
      </c>
      <c r="F3084" s="26" t="s">
        <v>36</v>
      </c>
      <c r="G3084" s="26" t="s">
        <v>41</v>
      </c>
      <c r="H3084" s="26" t="s">
        <v>9581</v>
      </c>
      <c r="I3084" s="17">
        <f ca="1">IFERROR(__xludf.DUMMYFUNCTION("""COMPUTED_VALUE"""),45504)</f>
        <v>45504</v>
      </c>
      <c r="J3084" s="29" t="s">
        <v>10962</v>
      </c>
      <c r="K3084" s="26" t="s">
        <v>10963</v>
      </c>
      <c r="L3084" s="30">
        <v>346307213</v>
      </c>
      <c r="M3084" s="26" t="s">
        <v>5429</v>
      </c>
      <c r="N3084" s="26" t="s">
        <v>756</v>
      </c>
      <c r="O3084" s="26" t="s">
        <v>10964</v>
      </c>
      <c r="P3084" s="26" t="s">
        <v>10965</v>
      </c>
      <c r="Q3084" s="20">
        <v>9317</v>
      </c>
      <c r="R3084" s="26" t="s">
        <v>36</v>
      </c>
      <c r="S3084" s="95">
        <v>2000</v>
      </c>
      <c r="T3084" s="148">
        <v>45495</v>
      </c>
      <c r="U3084" s="95">
        <v>7317</v>
      </c>
      <c r="V3084" s="148">
        <v>45528</v>
      </c>
      <c r="W3084" s="33" t="s">
        <v>10966</v>
      </c>
      <c r="X3084" s="26">
        <v>0</v>
      </c>
      <c r="Y3084" s="22">
        <v>0</v>
      </c>
      <c r="Z3084" s="26" t="s">
        <v>50</v>
      </c>
      <c r="AA3084" s="35" t="s">
        <v>10314</v>
      </c>
      <c r="AB3084" s="26"/>
      <c r="AC3084" s="26" t="s">
        <v>53</v>
      </c>
      <c r="AD3084" s="26" t="s">
        <v>54</v>
      </c>
      <c r="AE3084" s="26" t="s">
        <v>72</v>
      </c>
      <c r="AF3084" s="17">
        <v>45498</v>
      </c>
      <c r="AG3084" s="26"/>
      <c r="AH3084" s="26"/>
      <c r="AI3084" s="40"/>
      <c r="AJ3084" s="26"/>
      <c r="AK3084" s="26"/>
      <c r="AL3084" s="35"/>
      <c r="AM3084" s="35"/>
      <c r="AN3084" s="35"/>
      <c r="AO3084" s="35"/>
      <c r="AP3084" s="35"/>
    </row>
    <row r="3085" spans="1:42" x14ac:dyDescent="0.2">
      <c r="A3085" s="126">
        <v>45495.924427905091</v>
      </c>
      <c r="B3085" s="28" t="s">
        <v>37</v>
      </c>
      <c r="C3085" s="41" t="s">
        <v>118</v>
      </c>
      <c r="D3085" s="26" t="s">
        <v>36</v>
      </c>
      <c r="E3085" s="26" t="s">
        <v>119</v>
      </c>
      <c r="F3085" s="26" t="s">
        <v>36</v>
      </c>
      <c r="G3085" s="26" t="s">
        <v>108</v>
      </c>
      <c r="H3085" s="26" t="s">
        <v>9553</v>
      </c>
      <c r="I3085" s="17">
        <f ca="1">IFERROR(__xludf.DUMMYFUNCTION("""COMPUTED_VALUE"""),45497)</f>
        <v>45497</v>
      </c>
      <c r="J3085" s="29" t="s">
        <v>10967</v>
      </c>
      <c r="K3085" s="26" t="s">
        <v>10968</v>
      </c>
      <c r="L3085" s="30">
        <v>345599262</v>
      </c>
      <c r="M3085" s="26" t="s">
        <v>80</v>
      </c>
      <c r="N3085" s="26" t="s">
        <v>466</v>
      </c>
      <c r="O3085" s="26" t="s">
        <v>10969</v>
      </c>
      <c r="P3085" s="26" t="s">
        <v>10970</v>
      </c>
      <c r="Q3085" s="20">
        <v>13968</v>
      </c>
      <c r="R3085" s="26" t="s">
        <v>36</v>
      </c>
      <c r="S3085" s="95">
        <v>3800</v>
      </c>
      <c r="T3085" s="148">
        <v>45495</v>
      </c>
      <c r="U3085" s="95">
        <v>10168</v>
      </c>
      <c r="V3085" s="148">
        <v>45513</v>
      </c>
      <c r="W3085" s="26" t="s">
        <v>10971</v>
      </c>
      <c r="X3085" s="26">
        <v>0</v>
      </c>
      <c r="Y3085" s="22">
        <v>0</v>
      </c>
      <c r="Z3085" s="26" t="s">
        <v>50</v>
      </c>
      <c r="AA3085" s="96" t="s">
        <v>10314</v>
      </c>
      <c r="AB3085" s="26"/>
      <c r="AC3085" s="26" t="s">
        <v>53</v>
      </c>
      <c r="AD3085" s="26" t="s">
        <v>54</v>
      </c>
      <c r="AE3085" s="26">
        <v>500</v>
      </c>
      <c r="AF3085" s="17">
        <v>45496</v>
      </c>
      <c r="AG3085" s="26"/>
      <c r="AH3085" s="26"/>
      <c r="AI3085" s="40"/>
      <c r="AJ3085" s="26"/>
      <c r="AK3085" s="26"/>
      <c r="AL3085" s="35"/>
      <c r="AM3085" s="35"/>
      <c r="AN3085" s="35"/>
      <c r="AO3085" s="35"/>
      <c r="AP3085" s="35"/>
    </row>
    <row r="3086" spans="1:42" x14ac:dyDescent="0.2">
      <c r="A3086" s="126">
        <v>45496.319340057875</v>
      </c>
      <c r="B3086" s="28" t="s">
        <v>37</v>
      </c>
      <c r="C3086" s="41" t="s">
        <v>118</v>
      </c>
      <c r="D3086" s="26" t="s">
        <v>36</v>
      </c>
      <c r="E3086" s="26" t="s">
        <v>915</v>
      </c>
      <c r="F3086" s="26" t="s">
        <v>36</v>
      </c>
      <c r="G3086" s="26" t="s">
        <v>221</v>
      </c>
      <c r="H3086" s="26" t="s">
        <v>8406</v>
      </c>
      <c r="I3086" s="17">
        <f ca="1">IFERROR(__xludf.DUMMYFUNCTION("""COMPUTED_VALUE"""),45499)</f>
        <v>45499</v>
      </c>
      <c r="J3086" s="29" t="s">
        <v>10972</v>
      </c>
      <c r="K3086" s="26" t="s">
        <v>10973</v>
      </c>
      <c r="L3086" s="30">
        <v>359737515</v>
      </c>
      <c r="M3086" s="26" t="s">
        <v>80</v>
      </c>
      <c r="N3086" s="26" t="s">
        <v>1073</v>
      </c>
      <c r="O3086" s="26" t="s">
        <v>10974</v>
      </c>
      <c r="P3086" s="26" t="s">
        <v>10975</v>
      </c>
      <c r="Q3086" s="20">
        <v>10894</v>
      </c>
      <c r="R3086" s="26" t="s">
        <v>36</v>
      </c>
      <c r="S3086" s="95">
        <f>200+3800</f>
        <v>4000</v>
      </c>
      <c r="T3086" s="83" t="s">
        <v>10954</v>
      </c>
      <c r="U3086" s="95">
        <v>6894</v>
      </c>
      <c r="V3086" s="148">
        <v>45529</v>
      </c>
      <c r="W3086" s="33" t="s">
        <v>10976</v>
      </c>
      <c r="X3086" s="26">
        <v>0</v>
      </c>
      <c r="Y3086" s="22">
        <v>0</v>
      </c>
      <c r="Z3086" s="26" t="s">
        <v>50</v>
      </c>
      <c r="AA3086" s="35" t="s">
        <v>10314</v>
      </c>
      <c r="AB3086" s="26"/>
      <c r="AC3086" s="26" t="s">
        <v>53</v>
      </c>
      <c r="AD3086" s="26" t="s">
        <v>54</v>
      </c>
      <c r="AE3086" s="26">
        <v>520</v>
      </c>
      <c r="AF3086" s="17">
        <v>45498</v>
      </c>
      <c r="AG3086" s="26"/>
      <c r="AH3086" s="26"/>
      <c r="AI3086" s="40"/>
      <c r="AJ3086" s="26"/>
      <c r="AK3086" s="26"/>
      <c r="AL3086" s="35"/>
      <c r="AM3086" s="35"/>
      <c r="AN3086" s="35"/>
      <c r="AO3086" s="35"/>
      <c r="AP3086" s="35"/>
    </row>
    <row r="3087" spans="1:42" x14ac:dyDescent="0.2">
      <c r="A3087" s="126">
        <v>45496.402799317133</v>
      </c>
      <c r="B3087" s="28" t="s">
        <v>37</v>
      </c>
      <c r="C3087" s="41" t="s">
        <v>118</v>
      </c>
      <c r="D3087" s="26" t="s">
        <v>36</v>
      </c>
      <c r="E3087" s="26" t="s">
        <v>56</v>
      </c>
      <c r="F3087" s="26" t="s">
        <v>40</v>
      </c>
      <c r="G3087" s="26" t="s">
        <v>41</v>
      </c>
      <c r="H3087" s="26" t="s">
        <v>7330</v>
      </c>
      <c r="I3087" s="17">
        <f ca="1">IFERROR(__xludf.DUMMYFUNCTION("""COMPUTED_VALUE"""),45509)</f>
        <v>45509</v>
      </c>
      <c r="J3087" s="29" t="s">
        <v>10977</v>
      </c>
      <c r="K3087" s="26" t="s">
        <v>10978</v>
      </c>
      <c r="L3087" s="30">
        <v>876467588</v>
      </c>
      <c r="M3087" s="26" t="s">
        <v>59</v>
      </c>
      <c r="N3087" s="26" t="s">
        <v>68</v>
      </c>
      <c r="O3087" s="26" t="s">
        <v>10979</v>
      </c>
      <c r="P3087" s="26" t="s">
        <v>10980</v>
      </c>
      <c r="Q3087" s="20">
        <v>9317</v>
      </c>
      <c r="R3087" s="26" t="s">
        <v>36</v>
      </c>
      <c r="S3087" s="95">
        <f>200+1800</f>
        <v>2000</v>
      </c>
      <c r="T3087" s="83" t="s">
        <v>10981</v>
      </c>
      <c r="U3087" s="95">
        <v>7317</v>
      </c>
      <c r="V3087" s="148">
        <v>45517</v>
      </c>
      <c r="W3087" s="26" t="s">
        <v>10982</v>
      </c>
      <c r="X3087" s="26">
        <v>0</v>
      </c>
      <c r="Y3087" s="22">
        <v>0</v>
      </c>
      <c r="Z3087" s="26" t="s">
        <v>50</v>
      </c>
      <c r="AA3087" s="96" t="s">
        <v>10314</v>
      </c>
      <c r="AB3087" s="26"/>
      <c r="AC3087" s="26" t="s">
        <v>53</v>
      </c>
      <c r="AD3087" s="26" t="s">
        <v>138</v>
      </c>
      <c r="AE3087" s="26" t="s">
        <v>72</v>
      </c>
      <c r="AF3087" s="17">
        <v>45509</v>
      </c>
      <c r="AG3087" s="26" t="s">
        <v>4279</v>
      </c>
      <c r="AH3087" s="26"/>
      <c r="AI3087" s="40"/>
      <c r="AJ3087" s="26"/>
      <c r="AK3087" s="26"/>
      <c r="AL3087" s="35"/>
      <c r="AM3087" s="35"/>
      <c r="AN3087" s="35"/>
      <c r="AO3087" s="35"/>
      <c r="AP3087" s="35"/>
    </row>
    <row r="3088" spans="1:42" x14ac:dyDescent="0.2">
      <c r="A3088" s="126">
        <v>45496.752756863425</v>
      </c>
      <c r="B3088" s="137" t="s">
        <v>37</v>
      </c>
      <c r="C3088" s="41" t="s">
        <v>118</v>
      </c>
      <c r="D3088" s="80" t="s">
        <v>36</v>
      </c>
      <c r="E3088" s="80" t="s">
        <v>119</v>
      </c>
      <c r="F3088" s="26" t="s">
        <v>36</v>
      </c>
      <c r="G3088" s="80" t="s">
        <v>108</v>
      </c>
      <c r="H3088" s="80" t="s">
        <v>8931</v>
      </c>
      <c r="I3088" s="17">
        <f ca="1">IFERROR(__xludf.DUMMYFUNCTION("""COMPUTED_VALUE"""),45503)</f>
        <v>45503</v>
      </c>
      <c r="J3088" s="143" t="s">
        <v>10983</v>
      </c>
      <c r="K3088" s="80" t="s">
        <v>10984</v>
      </c>
      <c r="L3088" s="30">
        <v>946131225</v>
      </c>
      <c r="M3088" s="80" t="s">
        <v>5558</v>
      </c>
      <c r="N3088" s="80" t="s">
        <v>850</v>
      </c>
      <c r="O3088" s="80" t="s">
        <v>4503</v>
      </c>
      <c r="P3088" s="80" t="s">
        <v>10985</v>
      </c>
      <c r="Q3088" s="20">
        <v>13968</v>
      </c>
      <c r="R3088" s="80" t="s">
        <v>36</v>
      </c>
      <c r="S3088" s="95">
        <v>4000</v>
      </c>
      <c r="T3088" s="148">
        <v>45496</v>
      </c>
      <c r="U3088" s="95">
        <v>9968</v>
      </c>
      <c r="V3088" s="148">
        <v>45520</v>
      </c>
      <c r="W3088" s="85" t="s">
        <v>10986</v>
      </c>
      <c r="X3088" s="80">
        <v>0</v>
      </c>
      <c r="Y3088" s="22">
        <v>0</v>
      </c>
      <c r="Z3088" s="80" t="s">
        <v>50</v>
      </c>
      <c r="AA3088" s="35" t="s">
        <v>10314</v>
      </c>
      <c r="AB3088" s="80"/>
      <c r="AC3088" s="80" t="s">
        <v>53</v>
      </c>
      <c r="AD3088" s="80" t="s">
        <v>54</v>
      </c>
      <c r="AE3088" s="83">
        <v>490</v>
      </c>
      <c r="AF3088" s="17">
        <v>45497</v>
      </c>
      <c r="AG3088" s="80"/>
      <c r="AH3088" s="80"/>
      <c r="AI3088" s="147"/>
      <c r="AJ3088" s="80"/>
      <c r="AK3088" s="80"/>
      <c r="AL3088" s="35"/>
      <c r="AM3088" s="35"/>
      <c r="AN3088" s="35"/>
      <c r="AO3088" s="35"/>
      <c r="AP3088" s="35"/>
    </row>
    <row r="3089" spans="1:42" x14ac:dyDescent="0.2">
      <c r="A3089" s="126">
        <v>45496.856423356483</v>
      </c>
      <c r="B3089" s="137" t="s">
        <v>37</v>
      </c>
      <c r="C3089" s="41" t="s">
        <v>118</v>
      </c>
      <c r="D3089" s="80" t="s">
        <v>36</v>
      </c>
      <c r="E3089" s="80" t="s">
        <v>119</v>
      </c>
      <c r="F3089" s="80" t="s">
        <v>36</v>
      </c>
      <c r="G3089" s="80" t="s">
        <v>108</v>
      </c>
      <c r="H3089" s="80" t="s">
        <v>9553</v>
      </c>
      <c r="I3089" s="17">
        <f ca="1">IFERROR(__xludf.DUMMYFUNCTION("""COMPUTED_VALUE"""),45497)</f>
        <v>45497</v>
      </c>
      <c r="J3089" s="143" t="s">
        <v>10987</v>
      </c>
      <c r="K3089" s="80" t="s">
        <v>10988</v>
      </c>
      <c r="L3089" s="30">
        <v>978013649</v>
      </c>
      <c r="M3089" s="80" t="s">
        <v>5518</v>
      </c>
      <c r="N3089" s="80" t="s">
        <v>10698</v>
      </c>
      <c r="O3089" s="80" t="s">
        <v>10989</v>
      </c>
      <c r="P3089" s="80" t="s">
        <v>10990</v>
      </c>
      <c r="Q3089" s="20">
        <v>13968</v>
      </c>
      <c r="R3089" s="80" t="s">
        <v>36</v>
      </c>
      <c r="S3089" s="95">
        <v>4000</v>
      </c>
      <c r="T3089" s="148">
        <v>45496</v>
      </c>
      <c r="U3089" s="95">
        <v>9968</v>
      </c>
      <c r="V3089" s="148">
        <v>45513</v>
      </c>
      <c r="W3089" s="85" t="s">
        <v>10991</v>
      </c>
      <c r="X3089" s="80">
        <v>0</v>
      </c>
      <c r="Y3089" s="22">
        <v>0</v>
      </c>
      <c r="Z3089" s="80" t="s">
        <v>50</v>
      </c>
      <c r="AA3089" s="96" t="s">
        <v>10314</v>
      </c>
      <c r="AB3089" s="80"/>
      <c r="AC3089" s="80" t="s">
        <v>53</v>
      </c>
      <c r="AD3089" s="80" t="s">
        <v>54</v>
      </c>
      <c r="AE3089" s="83">
        <v>610</v>
      </c>
      <c r="AF3089" s="17">
        <v>45497</v>
      </c>
      <c r="AG3089" s="80"/>
      <c r="AH3089" s="80"/>
      <c r="AI3089" s="147"/>
      <c r="AJ3089" s="80"/>
      <c r="AK3089" s="80"/>
      <c r="AL3089" s="35"/>
      <c r="AM3089" s="35"/>
      <c r="AN3089" s="35"/>
      <c r="AO3089" s="35"/>
      <c r="AP3089" s="35"/>
    </row>
    <row r="3090" spans="1:42" x14ac:dyDescent="0.2">
      <c r="A3090" s="126">
        <v>45497.321175196761</v>
      </c>
      <c r="B3090" s="28" t="s">
        <v>37</v>
      </c>
      <c r="C3090" s="41" t="s">
        <v>118</v>
      </c>
      <c r="D3090" s="80" t="s">
        <v>36</v>
      </c>
      <c r="E3090" s="80" t="s">
        <v>139</v>
      </c>
      <c r="F3090" s="80" t="s">
        <v>36</v>
      </c>
      <c r="G3090" s="80" t="s">
        <v>41</v>
      </c>
      <c r="H3090" s="80" t="s">
        <v>10992</v>
      </c>
      <c r="I3090" s="17">
        <f ca="1">IFERROR(__xludf.DUMMYFUNCTION("""COMPUTED_VALUE"""),45565)</f>
        <v>45565</v>
      </c>
      <c r="J3090" s="143" t="s">
        <v>10993</v>
      </c>
      <c r="K3090" s="80" t="s">
        <v>10994</v>
      </c>
      <c r="L3090" s="30">
        <v>345632917</v>
      </c>
      <c r="M3090" s="80" t="s">
        <v>910</v>
      </c>
      <c r="N3090" s="80" t="s">
        <v>3525</v>
      </c>
      <c r="O3090" s="80" t="s">
        <v>10995</v>
      </c>
      <c r="P3090" s="144" t="s">
        <v>10996</v>
      </c>
      <c r="Q3090" s="20">
        <v>15936</v>
      </c>
      <c r="R3090" s="80" t="s">
        <v>36</v>
      </c>
      <c r="S3090" s="95">
        <f>200+2000</f>
        <v>2200</v>
      </c>
      <c r="T3090" s="83" t="s">
        <v>10997</v>
      </c>
      <c r="U3090" s="95">
        <v>13736</v>
      </c>
      <c r="V3090" s="148">
        <v>45523</v>
      </c>
      <c r="W3090" s="85" t="s">
        <v>10998</v>
      </c>
      <c r="X3090" s="80">
        <v>0</v>
      </c>
      <c r="Y3090" s="22">
        <v>0</v>
      </c>
      <c r="Z3090" s="80" t="s">
        <v>50</v>
      </c>
      <c r="AA3090" s="35" t="s">
        <v>10314</v>
      </c>
      <c r="AB3090" s="80"/>
      <c r="AC3090" s="80" t="s">
        <v>53</v>
      </c>
      <c r="AD3090" s="80" t="s">
        <v>54</v>
      </c>
      <c r="AE3090" s="80"/>
      <c r="AF3090" s="17">
        <v>45502</v>
      </c>
      <c r="AG3090" s="80"/>
      <c r="AH3090" s="80"/>
      <c r="AI3090" s="147"/>
      <c r="AJ3090" s="80"/>
      <c r="AK3090" s="80"/>
      <c r="AL3090" s="35"/>
      <c r="AM3090" s="35"/>
      <c r="AN3090" s="35"/>
      <c r="AO3090" s="35"/>
      <c r="AP3090" s="35"/>
    </row>
    <row r="3091" spans="1:42" x14ac:dyDescent="0.2">
      <c r="A3091" s="126">
        <v>45497.443630358801</v>
      </c>
      <c r="B3091" s="28" t="s">
        <v>37</v>
      </c>
      <c r="C3091" s="41" t="s">
        <v>118</v>
      </c>
      <c r="D3091" s="80" t="s">
        <v>36</v>
      </c>
      <c r="E3091" s="80" t="s">
        <v>139</v>
      </c>
      <c r="F3091" s="80" t="s">
        <v>36</v>
      </c>
      <c r="G3091" s="80" t="s">
        <v>41</v>
      </c>
      <c r="H3091" s="80" t="s">
        <v>10999</v>
      </c>
      <c r="I3091" s="17">
        <f ca="1">IFERROR(__xludf.DUMMYFUNCTION("""COMPUTED_VALUE"""),45506)</f>
        <v>45506</v>
      </c>
      <c r="J3091" s="143" t="s">
        <v>11000</v>
      </c>
      <c r="K3091" s="80" t="s">
        <v>11001</v>
      </c>
      <c r="L3091" s="30">
        <v>325035997</v>
      </c>
      <c r="M3091" s="80" t="s">
        <v>3728</v>
      </c>
      <c r="N3091" s="80" t="s">
        <v>8725</v>
      </c>
      <c r="O3091" s="80" t="s">
        <v>11002</v>
      </c>
      <c r="P3091" s="80" t="s">
        <v>11003</v>
      </c>
      <c r="Q3091" s="20">
        <v>15936</v>
      </c>
      <c r="R3091" s="80" t="s">
        <v>36</v>
      </c>
      <c r="S3091" s="95">
        <v>2000</v>
      </c>
      <c r="T3091" s="148">
        <v>45497</v>
      </c>
      <c r="U3091" s="95">
        <v>13936</v>
      </c>
      <c r="V3091" s="148">
        <v>45533</v>
      </c>
      <c r="W3091" s="85" t="s">
        <v>11004</v>
      </c>
      <c r="X3091" s="80">
        <v>0</v>
      </c>
      <c r="Y3091" s="22">
        <v>0</v>
      </c>
      <c r="Z3091" s="80" t="s">
        <v>50</v>
      </c>
      <c r="AA3091" s="96" t="s">
        <v>10314</v>
      </c>
      <c r="AB3091" s="80"/>
      <c r="AC3091" s="80" t="s">
        <v>53</v>
      </c>
      <c r="AD3091" s="80" t="s">
        <v>54</v>
      </c>
      <c r="AE3091" s="80"/>
      <c r="AF3091" s="17">
        <v>45499</v>
      </c>
      <c r="AG3091" s="80"/>
      <c r="AH3091" s="80"/>
      <c r="AI3091" s="147"/>
      <c r="AJ3091" s="80"/>
      <c r="AK3091" s="80"/>
      <c r="AL3091" s="35"/>
      <c r="AM3091" s="35"/>
      <c r="AN3091" s="35"/>
      <c r="AO3091" s="35"/>
      <c r="AP3091" s="35"/>
    </row>
    <row r="3092" spans="1:42" x14ac:dyDescent="0.2">
      <c r="A3092" s="126">
        <v>45497.793989687503</v>
      </c>
      <c r="B3092" s="28" t="s">
        <v>37</v>
      </c>
      <c r="C3092" s="41" t="s">
        <v>118</v>
      </c>
      <c r="D3092" s="80" t="s">
        <v>36</v>
      </c>
      <c r="E3092" s="80" t="s">
        <v>77</v>
      </c>
      <c r="F3092" s="80" t="s">
        <v>36</v>
      </c>
      <c r="G3092" s="80" t="s">
        <v>41</v>
      </c>
      <c r="H3092" s="80" t="s">
        <v>10999</v>
      </c>
      <c r="I3092" s="17">
        <f ca="1">IFERROR(__xludf.DUMMYFUNCTION("""COMPUTED_VALUE"""),45506)</f>
        <v>45506</v>
      </c>
      <c r="J3092" s="143" t="s">
        <v>11005</v>
      </c>
      <c r="K3092" s="80" t="s">
        <v>11006</v>
      </c>
      <c r="L3092" s="30">
        <v>342889023</v>
      </c>
      <c r="M3092" s="80" t="s">
        <v>80</v>
      </c>
      <c r="N3092" s="80" t="s">
        <v>1073</v>
      </c>
      <c r="O3092" s="80" t="s">
        <v>1492</v>
      </c>
      <c r="P3092" s="144" t="s">
        <v>11007</v>
      </c>
      <c r="Q3092" s="20">
        <v>1968</v>
      </c>
      <c r="R3092" s="80" t="s">
        <v>36</v>
      </c>
      <c r="S3092" s="95">
        <f>200+1800</f>
        <v>2000</v>
      </c>
      <c r="T3092" s="83" t="s">
        <v>11008</v>
      </c>
      <c r="U3092" s="77"/>
      <c r="V3092" s="78"/>
      <c r="W3092" s="85" t="s">
        <v>11009</v>
      </c>
      <c r="X3092" s="80">
        <v>0</v>
      </c>
      <c r="Y3092" s="22">
        <v>-32</v>
      </c>
      <c r="Z3092" s="80" t="s">
        <v>50</v>
      </c>
      <c r="AA3092" s="35" t="s">
        <v>10314</v>
      </c>
      <c r="AB3092" s="80"/>
      <c r="AC3092" s="80" t="s">
        <v>53</v>
      </c>
      <c r="AD3092" s="80" t="s">
        <v>54</v>
      </c>
      <c r="AE3092" s="83">
        <v>0</v>
      </c>
      <c r="AF3092" s="17">
        <v>45500</v>
      </c>
      <c r="AG3092" s="80" t="s">
        <v>7078</v>
      </c>
      <c r="AH3092" s="80"/>
      <c r="AI3092" s="147"/>
      <c r="AJ3092" s="80"/>
      <c r="AK3092" s="80"/>
      <c r="AL3092" s="35"/>
      <c r="AM3092" s="35"/>
      <c r="AN3092" s="35"/>
      <c r="AO3092" s="35"/>
      <c r="AP3092" s="35"/>
    </row>
    <row r="3093" spans="1:42" x14ac:dyDescent="0.2">
      <c r="A3093" s="126">
        <v>45497.914691076388</v>
      </c>
      <c r="B3093" s="137" t="s">
        <v>37</v>
      </c>
      <c r="C3093" s="41" t="s">
        <v>118</v>
      </c>
      <c r="D3093" s="80" t="s">
        <v>36</v>
      </c>
      <c r="E3093" s="80" t="s">
        <v>139</v>
      </c>
      <c r="F3093" s="80" t="s">
        <v>36</v>
      </c>
      <c r="G3093" s="80" t="s">
        <v>41</v>
      </c>
      <c r="H3093" s="80" t="s">
        <v>10999</v>
      </c>
      <c r="I3093" s="17">
        <f ca="1">IFERROR(__xludf.DUMMYFUNCTION("""COMPUTED_VALUE"""),45506)</f>
        <v>45506</v>
      </c>
      <c r="J3093" s="143" t="s">
        <v>11010</v>
      </c>
      <c r="K3093" s="80" t="s">
        <v>11011</v>
      </c>
      <c r="L3093" s="30">
        <v>985876405</v>
      </c>
      <c r="M3093" s="80" t="s">
        <v>3728</v>
      </c>
      <c r="N3093" s="80" t="s">
        <v>8725</v>
      </c>
      <c r="O3093" s="80" t="s">
        <v>11012</v>
      </c>
      <c r="P3093" s="80" t="s">
        <v>11013</v>
      </c>
      <c r="Q3093" s="20">
        <v>15936</v>
      </c>
      <c r="R3093" s="80" t="s">
        <v>36</v>
      </c>
      <c r="S3093" s="95">
        <v>2000</v>
      </c>
      <c r="T3093" s="148">
        <v>45497</v>
      </c>
      <c r="U3093" s="95">
        <v>13836</v>
      </c>
      <c r="V3093" s="148">
        <v>45526</v>
      </c>
      <c r="W3093" s="80" t="s">
        <v>11014</v>
      </c>
      <c r="X3093" s="80">
        <v>0</v>
      </c>
      <c r="Y3093" s="22">
        <v>100</v>
      </c>
      <c r="Z3093" s="80" t="s">
        <v>50</v>
      </c>
      <c r="AA3093" s="96" t="s">
        <v>10314</v>
      </c>
      <c r="AB3093" s="80"/>
      <c r="AC3093" s="80" t="s">
        <v>53</v>
      </c>
      <c r="AD3093" s="80" t="s">
        <v>54</v>
      </c>
      <c r="AE3093" s="80"/>
      <c r="AF3093" s="17">
        <v>45499</v>
      </c>
      <c r="AG3093" s="80"/>
      <c r="AH3093" s="80"/>
      <c r="AI3093" s="147"/>
      <c r="AJ3093" s="80"/>
      <c r="AK3093" s="80"/>
      <c r="AL3093" s="35"/>
      <c r="AM3093" s="35"/>
      <c r="AN3093" s="35"/>
      <c r="AO3093" s="35"/>
      <c r="AP3093" s="35"/>
    </row>
    <row r="3094" spans="1:42" x14ac:dyDescent="0.2">
      <c r="A3094" s="126">
        <v>45497.981738078699</v>
      </c>
      <c r="B3094" s="137" t="s">
        <v>37</v>
      </c>
      <c r="C3094" s="41" t="s">
        <v>118</v>
      </c>
      <c r="D3094" s="80" t="s">
        <v>36</v>
      </c>
      <c r="E3094" s="80" t="s">
        <v>56</v>
      </c>
      <c r="F3094" s="80" t="s">
        <v>36</v>
      </c>
      <c r="G3094" s="80" t="s">
        <v>41</v>
      </c>
      <c r="H3094" s="80" t="s">
        <v>11015</v>
      </c>
      <c r="I3094" s="17">
        <f ca="1">IFERROR(__xludf.DUMMYFUNCTION("""COMPUTED_VALUE"""),45519)</f>
        <v>45519</v>
      </c>
      <c r="J3094" s="143" t="s">
        <v>11016</v>
      </c>
      <c r="K3094" s="80" t="s">
        <v>11017</v>
      </c>
      <c r="L3094" s="30">
        <v>333703089</v>
      </c>
      <c r="M3094" s="80" t="s">
        <v>3728</v>
      </c>
      <c r="N3094" s="80" t="s">
        <v>8725</v>
      </c>
      <c r="O3094" s="80" t="s">
        <v>11018</v>
      </c>
      <c r="P3094" s="80" t="s">
        <v>11019</v>
      </c>
      <c r="Q3094" s="20">
        <v>9317</v>
      </c>
      <c r="R3094" s="80" t="s">
        <v>36</v>
      </c>
      <c r="S3094" s="95">
        <f t="shared" ref="S3094:S3095" si="26">200+1800</f>
        <v>2000</v>
      </c>
      <c r="T3094" s="83" t="s">
        <v>11020</v>
      </c>
      <c r="U3094" s="95">
        <v>7317</v>
      </c>
      <c r="V3094" s="148">
        <v>45529</v>
      </c>
      <c r="W3094" s="85" t="s">
        <v>11021</v>
      </c>
      <c r="X3094" s="80">
        <v>0</v>
      </c>
      <c r="Y3094" s="22">
        <v>0</v>
      </c>
      <c r="Z3094" s="80" t="s">
        <v>50</v>
      </c>
      <c r="AA3094" s="35" t="s">
        <v>10314</v>
      </c>
      <c r="AB3094" s="80"/>
      <c r="AC3094" s="80" t="s">
        <v>53</v>
      </c>
      <c r="AD3094" s="80" t="s">
        <v>54</v>
      </c>
      <c r="AE3094" s="80"/>
      <c r="AF3094" s="17">
        <v>45499</v>
      </c>
      <c r="AG3094" s="80" t="s">
        <v>7078</v>
      </c>
      <c r="AH3094" s="80"/>
      <c r="AI3094" s="147"/>
      <c r="AJ3094" s="80"/>
      <c r="AK3094" s="80"/>
      <c r="AL3094" s="35"/>
      <c r="AM3094" s="35"/>
      <c r="AN3094" s="35"/>
      <c r="AO3094" s="35"/>
      <c r="AP3094" s="35"/>
    </row>
    <row r="3095" spans="1:42" x14ac:dyDescent="0.2">
      <c r="A3095" s="126">
        <v>45498.433285324078</v>
      </c>
      <c r="B3095" s="137" t="s">
        <v>37</v>
      </c>
      <c r="C3095" s="41" t="s">
        <v>118</v>
      </c>
      <c r="D3095" s="80" t="s">
        <v>36</v>
      </c>
      <c r="E3095" s="80" t="s">
        <v>139</v>
      </c>
      <c r="F3095" s="80" t="s">
        <v>36</v>
      </c>
      <c r="G3095" s="80" t="s">
        <v>41</v>
      </c>
      <c r="H3095" s="80" t="s">
        <v>10304</v>
      </c>
      <c r="I3095" s="17">
        <f ca="1">IFERROR(__xludf.DUMMYFUNCTION("""COMPUTED_VALUE"""),45503)</f>
        <v>45503</v>
      </c>
      <c r="J3095" s="143" t="s">
        <v>11022</v>
      </c>
      <c r="K3095" s="80" t="s">
        <v>11023</v>
      </c>
      <c r="L3095" s="30">
        <v>917162006</v>
      </c>
      <c r="M3095" s="80" t="s">
        <v>80</v>
      </c>
      <c r="N3095" s="80" t="s">
        <v>1073</v>
      </c>
      <c r="O3095" s="80" t="s">
        <v>11024</v>
      </c>
      <c r="P3095" s="80" t="s">
        <v>11025</v>
      </c>
      <c r="Q3095" s="20">
        <v>15936</v>
      </c>
      <c r="R3095" s="80" t="s">
        <v>36</v>
      </c>
      <c r="S3095" s="95">
        <f t="shared" si="26"/>
        <v>2000</v>
      </c>
      <c r="T3095" s="83" t="s">
        <v>11026</v>
      </c>
      <c r="U3095" s="95">
        <v>13968</v>
      </c>
      <c r="V3095" s="148">
        <v>45525</v>
      </c>
      <c r="W3095" s="85" t="s">
        <v>11027</v>
      </c>
      <c r="X3095" s="80">
        <v>0</v>
      </c>
      <c r="Y3095" s="22">
        <v>-32</v>
      </c>
      <c r="Z3095" s="80" t="s">
        <v>50</v>
      </c>
      <c r="AA3095" s="96" t="s">
        <v>10314</v>
      </c>
      <c r="AB3095" s="80"/>
      <c r="AC3095" s="80" t="s">
        <v>53</v>
      </c>
      <c r="AD3095" s="80" t="s">
        <v>54</v>
      </c>
      <c r="AE3095" s="83">
        <v>0</v>
      </c>
      <c r="AF3095" s="17">
        <v>45500</v>
      </c>
      <c r="AG3095" s="80"/>
      <c r="AH3095" s="80"/>
      <c r="AI3095" s="147"/>
      <c r="AJ3095" s="80"/>
      <c r="AK3095" s="80"/>
      <c r="AL3095" s="35"/>
      <c r="AM3095" s="35"/>
      <c r="AN3095" s="35"/>
      <c r="AO3095" s="35"/>
      <c r="AP3095" s="35"/>
    </row>
    <row r="3096" spans="1:42" x14ac:dyDescent="0.2">
      <c r="A3096" s="126">
        <v>45498.43555490741</v>
      </c>
      <c r="B3096" s="137" t="s">
        <v>37</v>
      </c>
      <c r="C3096" s="41" t="s">
        <v>118</v>
      </c>
      <c r="D3096" s="80" t="s">
        <v>36</v>
      </c>
      <c r="E3096" s="80" t="s">
        <v>148</v>
      </c>
      <c r="F3096" s="80" t="s">
        <v>36</v>
      </c>
      <c r="G3096" s="80" t="s">
        <v>108</v>
      </c>
      <c r="H3096" s="80" t="s">
        <v>8931</v>
      </c>
      <c r="I3096" s="17">
        <f ca="1">IFERROR(__xludf.DUMMYFUNCTION("""COMPUTED_VALUE"""),45503)</f>
        <v>45503</v>
      </c>
      <c r="J3096" s="143" t="s">
        <v>11028</v>
      </c>
      <c r="K3096" s="80" t="s">
        <v>11029</v>
      </c>
      <c r="L3096" s="30">
        <v>948684703</v>
      </c>
      <c r="M3096" s="80" t="s">
        <v>80</v>
      </c>
      <c r="N3096" s="80" t="s">
        <v>1073</v>
      </c>
      <c r="O3096" s="80" t="s">
        <v>11030</v>
      </c>
      <c r="P3096" s="80" t="s">
        <v>11031</v>
      </c>
      <c r="Q3096" s="20">
        <v>7349</v>
      </c>
      <c r="R3096" s="80" t="s">
        <v>36</v>
      </c>
      <c r="S3096" s="95">
        <f t="shared" ref="S3096:S3097" si="27">200+3600</f>
        <v>3800</v>
      </c>
      <c r="T3096" s="83" t="s">
        <v>11032</v>
      </c>
      <c r="U3096" s="95">
        <f>3349+200</f>
        <v>3549</v>
      </c>
      <c r="V3096" s="83" t="s">
        <v>11033</v>
      </c>
      <c r="W3096" s="85" t="s">
        <v>11034</v>
      </c>
      <c r="X3096" s="80">
        <v>0</v>
      </c>
      <c r="Y3096" s="22">
        <v>0</v>
      </c>
      <c r="Z3096" s="80" t="s">
        <v>50</v>
      </c>
      <c r="AA3096" s="35" t="s">
        <v>10314</v>
      </c>
      <c r="AB3096" s="80"/>
      <c r="AC3096" s="80" t="s">
        <v>53</v>
      </c>
      <c r="AD3096" s="80" t="s">
        <v>54</v>
      </c>
      <c r="AE3096" s="83">
        <v>420</v>
      </c>
      <c r="AF3096" s="17">
        <v>45502</v>
      </c>
      <c r="AG3096" s="80" t="s">
        <v>9053</v>
      </c>
      <c r="AH3096" s="80"/>
      <c r="AI3096" s="147"/>
      <c r="AJ3096" s="80"/>
      <c r="AK3096" s="80"/>
      <c r="AL3096" s="35"/>
      <c r="AM3096" s="35"/>
      <c r="AN3096" s="35"/>
      <c r="AO3096" s="35"/>
      <c r="AP3096" s="35"/>
    </row>
    <row r="3097" spans="1:42" x14ac:dyDescent="0.2">
      <c r="A3097" s="126">
        <v>45498.438514513888</v>
      </c>
      <c r="B3097" s="137" t="s">
        <v>37</v>
      </c>
      <c r="C3097" s="41" t="s">
        <v>118</v>
      </c>
      <c r="D3097" s="80" t="s">
        <v>36</v>
      </c>
      <c r="E3097" s="80" t="s">
        <v>119</v>
      </c>
      <c r="F3097" s="80" t="s">
        <v>36</v>
      </c>
      <c r="G3097" s="80" t="s">
        <v>108</v>
      </c>
      <c r="H3097" s="80" t="s">
        <v>8931</v>
      </c>
      <c r="I3097" s="17">
        <f ca="1">IFERROR(__xludf.DUMMYFUNCTION("""COMPUTED_VALUE"""),45503)</f>
        <v>45503</v>
      </c>
      <c r="J3097" s="143" t="s">
        <v>11035</v>
      </c>
      <c r="K3097" s="80" t="s">
        <v>11036</v>
      </c>
      <c r="L3097" s="30">
        <v>985621883</v>
      </c>
      <c r="M3097" s="80" t="s">
        <v>80</v>
      </c>
      <c r="N3097" s="80" t="s">
        <v>1073</v>
      </c>
      <c r="O3097" s="80" t="s">
        <v>11037</v>
      </c>
      <c r="P3097" s="80" t="s">
        <v>11038</v>
      </c>
      <c r="Q3097" s="20">
        <v>13968</v>
      </c>
      <c r="R3097" s="80" t="s">
        <v>36</v>
      </c>
      <c r="S3097" s="95">
        <f t="shared" si="27"/>
        <v>3800</v>
      </c>
      <c r="T3097" s="83" t="s">
        <v>11039</v>
      </c>
      <c r="U3097" s="95">
        <v>10168</v>
      </c>
      <c r="V3097" s="148">
        <v>45535</v>
      </c>
      <c r="W3097" s="85" t="s">
        <v>11040</v>
      </c>
      <c r="X3097" s="80">
        <v>0</v>
      </c>
      <c r="Y3097" s="22">
        <v>0</v>
      </c>
      <c r="Z3097" s="80" t="s">
        <v>50</v>
      </c>
      <c r="AA3097" s="96" t="s">
        <v>10314</v>
      </c>
      <c r="AB3097" s="80"/>
      <c r="AC3097" s="80" t="s">
        <v>53</v>
      </c>
      <c r="AD3097" s="80" t="s">
        <v>54</v>
      </c>
      <c r="AE3097" s="83">
        <v>460</v>
      </c>
      <c r="AF3097" s="17">
        <v>45500</v>
      </c>
      <c r="AG3097" s="80"/>
      <c r="AH3097" s="80"/>
      <c r="AI3097" s="147"/>
      <c r="AJ3097" s="80"/>
      <c r="AK3097" s="80"/>
      <c r="AL3097" s="35"/>
      <c r="AM3097" s="35"/>
      <c r="AN3097" s="35"/>
      <c r="AO3097" s="35"/>
      <c r="AP3097" s="35"/>
    </row>
    <row r="3098" spans="1:42" x14ac:dyDescent="0.2">
      <c r="A3098" s="126">
        <v>45498.440329618054</v>
      </c>
      <c r="B3098" s="137" t="s">
        <v>37</v>
      </c>
      <c r="C3098" s="41" t="s">
        <v>118</v>
      </c>
      <c r="D3098" s="80" t="s">
        <v>36</v>
      </c>
      <c r="E3098" s="80" t="s">
        <v>119</v>
      </c>
      <c r="F3098" s="80" t="s">
        <v>36</v>
      </c>
      <c r="G3098" s="80" t="s">
        <v>108</v>
      </c>
      <c r="H3098" s="80" t="s">
        <v>8931</v>
      </c>
      <c r="I3098" s="17">
        <f ca="1">IFERROR(__xludf.DUMMYFUNCTION("""COMPUTED_VALUE"""),45503)</f>
        <v>45503</v>
      </c>
      <c r="J3098" s="143" t="s">
        <v>11041</v>
      </c>
      <c r="K3098" s="80" t="s">
        <v>11042</v>
      </c>
      <c r="L3098" s="30">
        <v>942273986</v>
      </c>
      <c r="M3098" s="80" t="s">
        <v>80</v>
      </c>
      <c r="N3098" s="80" t="s">
        <v>466</v>
      </c>
      <c r="O3098" s="80" t="s">
        <v>11043</v>
      </c>
      <c r="P3098" s="80" t="s">
        <v>11044</v>
      </c>
      <c r="Q3098" s="20">
        <v>13968</v>
      </c>
      <c r="R3098" s="80" t="s">
        <v>36</v>
      </c>
      <c r="S3098" s="95">
        <f>200+1800+2000</f>
        <v>4000</v>
      </c>
      <c r="T3098" s="83" t="s">
        <v>11045</v>
      </c>
      <c r="U3098" s="95">
        <v>9968</v>
      </c>
      <c r="V3098" s="148">
        <v>45526</v>
      </c>
      <c r="W3098" s="85" t="s">
        <v>11046</v>
      </c>
      <c r="X3098" s="80">
        <v>0</v>
      </c>
      <c r="Y3098" s="22">
        <v>0</v>
      </c>
      <c r="Z3098" s="80" t="s">
        <v>50</v>
      </c>
      <c r="AA3098" s="35" t="s">
        <v>10314</v>
      </c>
      <c r="AB3098" s="80"/>
      <c r="AC3098" s="80" t="s">
        <v>53</v>
      </c>
      <c r="AD3098" s="80" t="s">
        <v>54</v>
      </c>
      <c r="AE3098" s="83">
        <v>520</v>
      </c>
      <c r="AF3098" s="17">
        <v>45503</v>
      </c>
      <c r="AG3098" s="80"/>
      <c r="AH3098" s="80"/>
      <c r="AI3098" s="147"/>
      <c r="AJ3098" s="80"/>
      <c r="AK3098" s="80"/>
      <c r="AL3098" s="35"/>
      <c r="AM3098" s="35"/>
      <c r="AN3098" s="35"/>
      <c r="AO3098" s="35"/>
      <c r="AP3098" s="35"/>
    </row>
    <row r="3099" spans="1:42" x14ac:dyDescent="0.2">
      <c r="A3099" s="126">
        <v>45498.47522537037</v>
      </c>
      <c r="B3099" s="28" t="s">
        <v>37</v>
      </c>
      <c r="C3099" s="41" t="s">
        <v>118</v>
      </c>
      <c r="D3099" s="80" t="s">
        <v>36</v>
      </c>
      <c r="E3099" s="80" t="s">
        <v>139</v>
      </c>
      <c r="F3099" s="80" t="s">
        <v>36</v>
      </c>
      <c r="G3099" s="80" t="s">
        <v>41</v>
      </c>
      <c r="H3099" s="80" t="s">
        <v>10999</v>
      </c>
      <c r="I3099" s="17">
        <f ca="1">IFERROR(__xludf.DUMMYFUNCTION("""COMPUTED_VALUE"""),45506)</f>
        <v>45506</v>
      </c>
      <c r="J3099" s="143" t="s">
        <v>11047</v>
      </c>
      <c r="K3099" s="80" t="s">
        <v>11048</v>
      </c>
      <c r="L3099" s="30">
        <v>377477105</v>
      </c>
      <c r="M3099" s="80" t="s">
        <v>3728</v>
      </c>
      <c r="N3099" s="80" t="s">
        <v>8725</v>
      </c>
      <c r="O3099" s="80" t="s">
        <v>11049</v>
      </c>
      <c r="P3099" s="80" t="s">
        <v>11050</v>
      </c>
      <c r="Q3099" s="20">
        <v>15936</v>
      </c>
      <c r="R3099" s="80" t="s">
        <v>70</v>
      </c>
      <c r="S3099" s="95">
        <f>2000+6836</f>
        <v>8836</v>
      </c>
      <c r="T3099" s="83" t="s">
        <v>11051</v>
      </c>
      <c r="U3099" s="95">
        <v>7000</v>
      </c>
      <c r="V3099" s="148">
        <v>45527</v>
      </c>
      <c r="W3099" s="85" t="s">
        <v>11052</v>
      </c>
      <c r="X3099" s="80">
        <v>100</v>
      </c>
      <c r="Y3099" s="22">
        <v>0</v>
      </c>
      <c r="Z3099" s="80" t="s">
        <v>50</v>
      </c>
      <c r="AA3099" s="96" t="s">
        <v>10314</v>
      </c>
      <c r="AB3099" s="80"/>
      <c r="AC3099" s="80" t="s">
        <v>53</v>
      </c>
      <c r="AD3099" s="80" t="s">
        <v>54</v>
      </c>
      <c r="AE3099" s="80"/>
      <c r="AF3099" s="17">
        <v>45499</v>
      </c>
      <c r="AG3099" s="80"/>
      <c r="AH3099" s="80"/>
      <c r="AI3099" s="147"/>
      <c r="AJ3099" s="80"/>
      <c r="AK3099" s="80"/>
      <c r="AL3099" s="35"/>
      <c r="AM3099" s="35"/>
      <c r="AN3099" s="35"/>
      <c r="AO3099" s="35"/>
      <c r="AP3099" s="35"/>
    </row>
    <row r="3100" spans="1:42" x14ac:dyDescent="0.2">
      <c r="A3100" s="126">
        <v>45498.928731863431</v>
      </c>
      <c r="B3100" s="137" t="s">
        <v>37</v>
      </c>
      <c r="C3100" s="41" t="s">
        <v>118</v>
      </c>
      <c r="D3100" s="80" t="s">
        <v>36</v>
      </c>
      <c r="E3100" s="80" t="s">
        <v>139</v>
      </c>
      <c r="F3100" s="80" t="s">
        <v>36</v>
      </c>
      <c r="G3100" s="80" t="s">
        <v>41</v>
      </c>
      <c r="H3100" s="80" t="s">
        <v>9675</v>
      </c>
      <c r="I3100" s="17">
        <f ca="1">IFERROR(__xludf.DUMMYFUNCTION("""COMPUTED_VALUE"""),45506)</f>
        <v>45506</v>
      </c>
      <c r="J3100" s="143" t="s">
        <v>11053</v>
      </c>
      <c r="K3100" s="80" t="s">
        <v>11054</v>
      </c>
      <c r="L3100" s="30">
        <v>989494136</v>
      </c>
      <c r="M3100" s="80" t="s">
        <v>3728</v>
      </c>
      <c r="N3100" s="80" t="s">
        <v>5312</v>
      </c>
      <c r="O3100" s="80" t="s">
        <v>11055</v>
      </c>
      <c r="P3100" s="80" t="s">
        <v>11056</v>
      </c>
      <c r="Q3100" s="20">
        <v>15936</v>
      </c>
      <c r="R3100" s="80" t="s">
        <v>36</v>
      </c>
      <c r="S3100" s="95">
        <f>200+1800</f>
        <v>2000</v>
      </c>
      <c r="T3100" s="83" t="s">
        <v>11057</v>
      </c>
      <c r="U3100" s="95">
        <f>7000+6936</f>
        <v>13936</v>
      </c>
      <c r="V3100" s="83" t="s">
        <v>11058</v>
      </c>
      <c r="W3100" s="85" t="s">
        <v>11059</v>
      </c>
      <c r="X3100" s="80">
        <v>0</v>
      </c>
      <c r="Y3100" s="22">
        <v>0</v>
      </c>
      <c r="Z3100" s="80" t="s">
        <v>50</v>
      </c>
      <c r="AA3100" s="35" t="s">
        <v>10314</v>
      </c>
      <c r="AB3100" s="80"/>
      <c r="AC3100" s="80" t="s">
        <v>53</v>
      </c>
      <c r="AD3100" s="80" t="s">
        <v>54</v>
      </c>
      <c r="AE3100" s="80"/>
      <c r="AF3100" s="17">
        <v>45504</v>
      </c>
      <c r="AG3100" s="80"/>
      <c r="AH3100" s="80"/>
      <c r="AI3100" s="147"/>
      <c r="AJ3100" s="80"/>
      <c r="AK3100" s="80"/>
      <c r="AL3100" s="35"/>
      <c r="AM3100" s="35"/>
      <c r="AN3100" s="35"/>
      <c r="AO3100" s="35"/>
      <c r="AP3100" s="35"/>
    </row>
    <row r="3101" spans="1:42" x14ac:dyDescent="0.2">
      <c r="A3101" s="126">
        <v>45499.325457002313</v>
      </c>
      <c r="B3101" s="137" t="s">
        <v>37</v>
      </c>
      <c r="C3101" s="41" t="s">
        <v>118</v>
      </c>
      <c r="D3101" s="80" t="s">
        <v>36</v>
      </c>
      <c r="E3101" s="80" t="s">
        <v>139</v>
      </c>
      <c r="F3101" s="80" t="s">
        <v>36</v>
      </c>
      <c r="G3101" s="80" t="s">
        <v>41</v>
      </c>
      <c r="H3101" s="80" t="s">
        <v>9565</v>
      </c>
      <c r="I3101" s="17">
        <f ca="1">IFERROR(__xludf.DUMMYFUNCTION("""COMPUTED_VALUE"""),45504)</f>
        <v>45504</v>
      </c>
      <c r="J3101" s="143" t="s">
        <v>11060</v>
      </c>
      <c r="K3101" s="80" t="s">
        <v>11061</v>
      </c>
      <c r="L3101" s="30">
        <v>392973512</v>
      </c>
      <c r="M3101" s="80" t="s">
        <v>123</v>
      </c>
      <c r="N3101" s="80" t="s">
        <v>327</v>
      </c>
      <c r="O3101" s="80" t="s">
        <v>4503</v>
      </c>
      <c r="P3101" s="80" t="s">
        <v>11062</v>
      </c>
      <c r="Q3101" s="20">
        <v>15936</v>
      </c>
      <c r="R3101" s="80" t="s">
        <v>36</v>
      </c>
      <c r="S3101" s="95">
        <v>2000</v>
      </c>
      <c r="T3101" s="148">
        <v>45498</v>
      </c>
      <c r="U3101" s="77">
        <f>10000+3936</f>
        <v>13936</v>
      </c>
      <c r="V3101" s="78">
        <v>45525</v>
      </c>
      <c r="W3101" s="85" t="s">
        <v>11063</v>
      </c>
      <c r="X3101" s="80">
        <v>0</v>
      </c>
      <c r="Y3101" s="22">
        <v>0</v>
      </c>
      <c r="Z3101" s="80" t="s">
        <v>50</v>
      </c>
      <c r="AA3101" s="96" t="s">
        <v>10314</v>
      </c>
      <c r="AB3101" s="80"/>
      <c r="AC3101" s="80" t="s">
        <v>53</v>
      </c>
      <c r="AD3101" s="80" t="s">
        <v>54</v>
      </c>
      <c r="AE3101" s="80"/>
      <c r="AF3101" s="17">
        <v>45499</v>
      </c>
      <c r="AG3101" s="80"/>
      <c r="AH3101" s="80"/>
      <c r="AI3101" s="147"/>
      <c r="AJ3101" s="80"/>
      <c r="AK3101" s="80"/>
      <c r="AL3101" s="35"/>
      <c r="AM3101" s="35"/>
      <c r="AN3101" s="35"/>
      <c r="AO3101" s="35"/>
      <c r="AP3101" s="35"/>
    </row>
    <row r="3102" spans="1:42" x14ac:dyDescent="0.2">
      <c r="A3102" s="126">
        <v>45499.469230844908</v>
      </c>
      <c r="B3102" s="137" t="s">
        <v>37</v>
      </c>
      <c r="C3102" s="41" t="s">
        <v>118</v>
      </c>
      <c r="D3102" s="80" t="s">
        <v>36</v>
      </c>
      <c r="E3102" s="80" t="s">
        <v>139</v>
      </c>
      <c r="F3102" s="80" t="s">
        <v>36</v>
      </c>
      <c r="G3102" s="80" t="s">
        <v>41</v>
      </c>
      <c r="H3102" s="80" t="s">
        <v>9693</v>
      </c>
      <c r="I3102" s="17">
        <f ca="1">IFERROR(__xludf.DUMMYFUNCTION("""COMPUTED_VALUE"""),45506)</f>
        <v>45506</v>
      </c>
      <c r="J3102" s="143" t="s">
        <v>11064</v>
      </c>
      <c r="K3102" s="80" t="s">
        <v>11065</v>
      </c>
      <c r="L3102" s="30">
        <v>911207358</v>
      </c>
      <c r="M3102" s="80" t="s">
        <v>3728</v>
      </c>
      <c r="N3102" s="80" t="s">
        <v>8725</v>
      </c>
      <c r="O3102" s="80" t="s">
        <v>11066</v>
      </c>
      <c r="P3102" s="80" t="s">
        <v>11067</v>
      </c>
      <c r="Q3102" s="20">
        <v>15936</v>
      </c>
      <c r="R3102" s="80" t="s">
        <v>36</v>
      </c>
      <c r="S3102" s="95">
        <f>200+1800</f>
        <v>2000</v>
      </c>
      <c r="T3102" s="83" t="s">
        <v>11068</v>
      </c>
      <c r="U3102" s="95">
        <v>13936</v>
      </c>
      <c r="V3102" s="148">
        <v>45531</v>
      </c>
      <c r="W3102" s="85" t="s">
        <v>11069</v>
      </c>
      <c r="X3102" s="80">
        <v>0</v>
      </c>
      <c r="Y3102" s="22">
        <v>0</v>
      </c>
      <c r="Z3102" s="80" t="s">
        <v>50</v>
      </c>
      <c r="AA3102" s="35" t="s">
        <v>10314</v>
      </c>
      <c r="AB3102" s="80"/>
      <c r="AC3102" s="80" t="s">
        <v>53</v>
      </c>
      <c r="AD3102" s="80" t="s">
        <v>54</v>
      </c>
      <c r="AE3102" s="80"/>
      <c r="AF3102" s="17">
        <v>45504</v>
      </c>
      <c r="AG3102" s="80"/>
      <c r="AH3102" s="80"/>
      <c r="AI3102" s="147"/>
      <c r="AJ3102" s="80"/>
      <c r="AK3102" s="80"/>
      <c r="AL3102" s="35"/>
      <c r="AM3102" s="35"/>
      <c r="AN3102" s="35"/>
      <c r="AO3102" s="35"/>
      <c r="AP3102" s="35"/>
    </row>
    <row r="3103" spans="1:42" x14ac:dyDescent="0.2">
      <c r="A3103" s="126">
        <v>45499.683592384259</v>
      </c>
      <c r="B3103" s="137" t="s">
        <v>37</v>
      </c>
      <c r="C3103" s="41" t="s">
        <v>118</v>
      </c>
      <c r="D3103" s="80" t="s">
        <v>36</v>
      </c>
      <c r="E3103" s="80" t="s">
        <v>139</v>
      </c>
      <c r="F3103" s="26" t="s">
        <v>36</v>
      </c>
      <c r="G3103" s="80" t="s">
        <v>41</v>
      </c>
      <c r="H3103" s="80" t="s">
        <v>9560</v>
      </c>
      <c r="I3103" s="17">
        <f ca="1">IFERROR(__xludf.DUMMYFUNCTION("""COMPUTED_VALUE"""),45503)</f>
        <v>45503</v>
      </c>
      <c r="J3103" s="143" t="s">
        <v>11070</v>
      </c>
      <c r="K3103" s="80" t="s">
        <v>11071</v>
      </c>
      <c r="L3103" s="30">
        <v>362421865</v>
      </c>
      <c r="M3103" s="80" t="s">
        <v>2755</v>
      </c>
      <c r="N3103" s="80" t="s">
        <v>4402</v>
      </c>
      <c r="O3103" s="80" t="s">
        <v>4503</v>
      </c>
      <c r="P3103" s="80" t="s">
        <v>11072</v>
      </c>
      <c r="Q3103" s="20">
        <v>15936</v>
      </c>
      <c r="R3103" s="80" t="s">
        <v>36</v>
      </c>
      <c r="S3103" s="95">
        <v>2000</v>
      </c>
      <c r="T3103" s="148">
        <v>45498</v>
      </c>
      <c r="U3103" s="95">
        <v>13936</v>
      </c>
      <c r="V3103" s="148">
        <v>45519</v>
      </c>
      <c r="W3103" s="80" t="s">
        <v>11073</v>
      </c>
      <c r="X3103" s="80">
        <v>0</v>
      </c>
      <c r="Y3103" s="22">
        <v>0</v>
      </c>
      <c r="Z3103" s="80" t="s">
        <v>50</v>
      </c>
      <c r="AA3103" s="96" t="s">
        <v>10314</v>
      </c>
      <c r="AB3103" s="80"/>
      <c r="AC3103" s="80" t="s">
        <v>53</v>
      </c>
      <c r="AD3103" s="80" t="s">
        <v>54</v>
      </c>
      <c r="AE3103" s="80"/>
      <c r="AF3103" s="17">
        <v>45500</v>
      </c>
      <c r="AG3103" s="80"/>
      <c r="AH3103" s="80"/>
      <c r="AI3103" s="147"/>
      <c r="AJ3103" s="80"/>
      <c r="AK3103" s="80"/>
      <c r="AL3103" s="35"/>
      <c r="AM3103" s="35"/>
      <c r="AN3103" s="35"/>
      <c r="AO3103" s="35"/>
      <c r="AP3103" s="35"/>
    </row>
    <row r="3104" spans="1:42" x14ac:dyDescent="0.2">
      <c r="A3104" s="126">
        <v>45499.928814155093</v>
      </c>
      <c r="B3104" s="137" t="s">
        <v>37</v>
      </c>
      <c r="C3104" s="41" t="s">
        <v>118</v>
      </c>
      <c r="D3104" s="80" t="s">
        <v>36</v>
      </c>
      <c r="E3104" s="80" t="s">
        <v>139</v>
      </c>
      <c r="F3104" s="80" t="s">
        <v>36</v>
      </c>
      <c r="G3104" s="80" t="s">
        <v>41</v>
      </c>
      <c r="H3104" s="80" t="s">
        <v>10999</v>
      </c>
      <c r="I3104" s="17">
        <f ca="1">IFERROR(__xludf.DUMMYFUNCTION("""COMPUTED_VALUE"""),45506)</f>
        <v>45506</v>
      </c>
      <c r="J3104" s="143" t="s">
        <v>11074</v>
      </c>
      <c r="K3104" s="80" t="s">
        <v>11075</v>
      </c>
      <c r="L3104" s="30">
        <v>903269673</v>
      </c>
      <c r="M3104" s="80" t="s">
        <v>80</v>
      </c>
      <c r="N3104" s="80" t="s">
        <v>1073</v>
      </c>
      <c r="O3104" s="80" t="s">
        <v>11076</v>
      </c>
      <c r="P3104" s="80" t="s">
        <v>11077</v>
      </c>
      <c r="Q3104" s="20">
        <v>15936</v>
      </c>
      <c r="R3104" s="80" t="s">
        <v>36</v>
      </c>
      <c r="S3104" s="95">
        <f t="shared" ref="S3104:S3105" si="28">200+1800</f>
        <v>2000</v>
      </c>
      <c r="T3104" s="83" t="s">
        <v>11078</v>
      </c>
      <c r="U3104" s="95">
        <f>13500+436</f>
        <v>13936</v>
      </c>
      <c r="V3104" s="83" t="s">
        <v>11079</v>
      </c>
      <c r="W3104" s="85" t="s">
        <v>11080</v>
      </c>
      <c r="X3104" s="80">
        <v>0</v>
      </c>
      <c r="Y3104" s="22">
        <v>0</v>
      </c>
      <c r="Z3104" s="80" t="s">
        <v>50</v>
      </c>
      <c r="AA3104" s="35" t="s">
        <v>10314</v>
      </c>
      <c r="AB3104" s="80"/>
      <c r="AC3104" s="80" t="s">
        <v>53</v>
      </c>
      <c r="AD3104" s="80" t="s">
        <v>54</v>
      </c>
      <c r="AE3104" s="83">
        <v>0</v>
      </c>
      <c r="AF3104" s="17">
        <v>45502</v>
      </c>
      <c r="AG3104" s="80"/>
      <c r="AH3104" s="80"/>
      <c r="AI3104" s="147"/>
      <c r="AJ3104" s="80"/>
      <c r="AK3104" s="80"/>
      <c r="AL3104" s="35"/>
      <c r="AM3104" s="35"/>
      <c r="AN3104" s="35"/>
      <c r="AO3104" s="35"/>
      <c r="AP3104" s="35"/>
    </row>
    <row r="3105" spans="1:42" x14ac:dyDescent="0.2">
      <c r="A3105" s="126">
        <v>45499.930414328701</v>
      </c>
      <c r="B3105" s="137" t="s">
        <v>37</v>
      </c>
      <c r="C3105" s="41" t="s">
        <v>118</v>
      </c>
      <c r="D3105" s="80" t="s">
        <v>36</v>
      </c>
      <c r="E3105" s="80" t="s">
        <v>139</v>
      </c>
      <c r="F3105" s="80" t="s">
        <v>36</v>
      </c>
      <c r="G3105" s="80" t="s">
        <v>41</v>
      </c>
      <c r="H3105" s="80" t="s">
        <v>9682</v>
      </c>
      <c r="I3105" s="17">
        <f ca="1">IFERROR(__xludf.DUMMYFUNCTION("""COMPUTED_VALUE"""),45505)</f>
        <v>45505</v>
      </c>
      <c r="J3105" s="143" t="s">
        <v>11081</v>
      </c>
      <c r="K3105" s="80" t="s">
        <v>11082</v>
      </c>
      <c r="L3105" s="30">
        <v>329465472</v>
      </c>
      <c r="M3105" s="80" t="s">
        <v>80</v>
      </c>
      <c r="N3105" s="80" t="s">
        <v>466</v>
      </c>
      <c r="O3105" s="80" t="s">
        <v>11083</v>
      </c>
      <c r="P3105" s="80" t="s">
        <v>11084</v>
      </c>
      <c r="Q3105" s="20">
        <v>15936</v>
      </c>
      <c r="R3105" s="80" t="s">
        <v>36</v>
      </c>
      <c r="S3105" s="95">
        <f t="shared" si="28"/>
        <v>2000</v>
      </c>
      <c r="T3105" s="83" t="s">
        <v>11085</v>
      </c>
      <c r="U3105" s="95">
        <v>13936</v>
      </c>
      <c r="V3105" s="148">
        <v>45524</v>
      </c>
      <c r="W3105" s="85" t="s">
        <v>11086</v>
      </c>
      <c r="X3105" s="80">
        <v>0</v>
      </c>
      <c r="Y3105" s="22">
        <v>0</v>
      </c>
      <c r="Z3105" s="80" t="s">
        <v>50</v>
      </c>
      <c r="AA3105" s="96" t="s">
        <v>10314</v>
      </c>
      <c r="AB3105" s="80"/>
      <c r="AC3105" s="80" t="s">
        <v>53</v>
      </c>
      <c r="AD3105" s="80" t="s">
        <v>54</v>
      </c>
      <c r="AE3105" s="83">
        <v>0</v>
      </c>
      <c r="AF3105" s="17">
        <v>45504</v>
      </c>
      <c r="AG3105" s="80"/>
      <c r="AH3105" s="80"/>
      <c r="AI3105" s="147"/>
      <c r="AJ3105" s="80"/>
      <c r="AK3105" s="80"/>
      <c r="AL3105" s="35"/>
      <c r="AM3105" s="35"/>
      <c r="AN3105" s="35"/>
      <c r="AO3105" s="35"/>
      <c r="AP3105" s="35"/>
    </row>
    <row r="3106" spans="1:42" x14ac:dyDescent="0.2">
      <c r="A3106" s="126">
        <v>45499.932703287035</v>
      </c>
      <c r="B3106" s="137" t="s">
        <v>37</v>
      </c>
      <c r="C3106" s="41" t="s">
        <v>118</v>
      </c>
      <c r="D3106" s="80" t="s">
        <v>36</v>
      </c>
      <c r="E3106" s="80" t="s">
        <v>119</v>
      </c>
      <c r="F3106" s="80" t="s">
        <v>36</v>
      </c>
      <c r="G3106" s="80" t="s">
        <v>108</v>
      </c>
      <c r="H3106" s="80" t="s">
        <v>8931</v>
      </c>
      <c r="I3106" s="17">
        <f ca="1">IFERROR(__xludf.DUMMYFUNCTION("""COMPUTED_VALUE"""),45503)</f>
        <v>45503</v>
      </c>
      <c r="J3106" s="143" t="s">
        <v>11087</v>
      </c>
      <c r="K3106" s="80" t="s">
        <v>11088</v>
      </c>
      <c r="L3106" s="30">
        <v>981470106</v>
      </c>
      <c r="M3106" s="80" t="s">
        <v>80</v>
      </c>
      <c r="N3106" s="80" t="s">
        <v>466</v>
      </c>
      <c r="O3106" s="80" t="s">
        <v>11089</v>
      </c>
      <c r="P3106" s="80" t="s">
        <v>11090</v>
      </c>
      <c r="Q3106" s="20">
        <v>13968</v>
      </c>
      <c r="R3106" s="80" t="s">
        <v>36</v>
      </c>
      <c r="S3106" s="95">
        <f>200+3600</f>
        <v>3800</v>
      </c>
      <c r="T3106" s="83" t="s">
        <v>11091</v>
      </c>
      <c r="U3106" s="95">
        <v>10168</v>
      </c>
      <c r="V3106" s="148">
        <v>45532</v>
      </c>
      <c r="W3106" s="85" t="s">
        <v>11092</v>
      </c>
      <c r="X3106" s="80">
        <v>0</v>
      </c>
      <c r="Y3106" s="22">
        <v>0</v>
      </c>
      <c r="Z3106" s="80" t="s">
        <v>50</v>
      </c>
      <c r="AA3106" s="35" t="s">
        <v>10314</v>
      </c>
      <c r="AB3106" s="80"/>
      <c r="AC3106" s="80" t="s">
        <v>53</v>
      </c>
      <c r="AD3106" s="80" t="s">
        <v>54</v>
      </c>
      <c r="AE3106" s="83">
        <v>500</v>
      </c>
      <c r="AF3106" s="17">
        <v>45502</v>
      </c>
      <c r="AG3106" s="80"/>
      <c r="AH3106" s="80"/>
      <c r="AI3106" s="147"/>
      <c r="AJ3106" s="80"/>
      <c r="AK3106" s="80"/>
      <c r="AL3106" s="35"/>
      <c r="AM3106" s="35"/>
      <c r="AN3106" s="35"/>
      <c r="AO3106" s="35"/>
      <c r="AP3106" s="35"/>
    </row>
    <row r="3107" spans="1:42" x14ac:dyDescent="0.2">
      <c r="A3107" s="126">
        <v>45500.387193356481</v>
      </c>
      <c r="B3107" s="137" t="s">
        <v>37</v>
      </c>
      <c r="C3107" s="41" t="s">
        <v>118</v>
      </c>
      <c r="D3107" s="80" t="s">
        <v>36</v>
      </c>
      <c r="E3107" s="80" t="s">
        <v>139</v>
      </c>
      <c r="F3107" s="80" t="s">
        <v>40</v>
      </c>
      <c r="G3107" s="80" t="s">
        <v>41</v>
      </c>
      <c r="H3107" s="80" t="s">
        <v>9675</v>
      </c>
      <c r="I3107" s="17">
        <f ca="1">IFERROR(__xludf.DUMMYFUNCTION("""COMPUTED_VALUE"""),45506)</f>
        <v>45506</v>
      </c>
      <c r="J3107" s="143" t="s">
        <v>11093</v>
      </c>
      <c r="K3107" s="80" t="s">
        <v>11094</v>
      </c>
      <c r="L3107" s="30">
        <v>986432032</v>
      </c>
      <c r="M3107" s="80" t="s">
        <v>5429</v>
      </c>
      <c r="N3107" s="80" t="s">
        <v>11095</v>
      </c>
      <c r="O3107" s="80" t="s">
        <v>4626</v>
      </c>
      <c r="P3107" s="80" t="s">
        <v>11096</v>
      </c>
      <c r="Q3107" s="20">
        <v>15936</v>
      </c>
      <c r="R3107" s="80" t="s">
        <v>36</v>
      </c>
      <c r="S3107" s="95">
        <v>2000</v>
      </c>
      <c r="T3107" s="148">
        <v>45500</v>
      </c>
      <c r="U3107" s="95">
        <v>13936</v>
      </c>
      <c r="V3107" s="148">
        <v>45529</v>
      </c>
      <c r="W3107" s="85" t="s">
        <v>11097</v>
      </c>
      <c r="X3107" s="80">
        <v>0</v>
      </c>
      <c r="Y3107" s="22">
        <v>0</v>
      </c>
      <c r="Z3107" s="80" t="s">
        <v>50</v>
      </c>
      <c r="AA3107" s="96" t="s">
        <v>10314</v>
      </c>
      <c r="AB3107" s="80"/>
      <c r="AC3107" s="80" t="s">
        <v>53</v>
      </c>
      <c r="AD3107" s="80" t="s">
        <v>54</v>
      </c>
      <c r="AE3107" s="80" t="s">
        <v>430</v>
      </c>
      <c r="AF3107" s="17">
        <v>45500</v>
      </c>
      <c r="AG3107" s="80"/>
      <c r="AH3107" s="80"/>
      <c r="AI3107" s="147"/>
      <c r="AJ3107" s="80"/>
      <c r="AK3107" s="80"/>
      <c r="AL3107" s="35"/>
      <c r="AM3107" s="35"/>
      <c r="AN3107" s="35"/>
      <c r="AO3107" s="35"/>
      <c r="AP3107" s="35"/>
    </row>
    <row r="3108" spans="1:42" x14ac:dyDescent="0.2">
      <c r="A3108" s="126">
        <v>45500.64254976852</v>
      </c>
      <c r="B3108" s="137" t="s">
        <v>37</v>
      </c>
      <c r="C3108" s="41" t="s">
        <v>118</v>
      </c>
      <c r="D3108" s="80" t="s">
        <v>36</v>
      </c>
      <c r="E3108" s="80" t="s">
        <v>119</v>
      </c>
      <c r="F3108" s="80" t="s">
        <v>36</v>
      </c>
      <c r="G3108" s="80" t="s">
        <v>108</v>
      </c>
      <c r="H3108" s="80" t="s">
        <v>1242</v>
      </c>
      <c r="I3108" s="17">
        <f ca="1">IFERROR(__xludf.DUMMYFUNCTION("""COMPUTED_VALUE"""),45510)</f>
        <v>45510</v>
      </c>
      <c r="J3108" s="143" t="s">
        <v>11098</v>
      </c>
      <c r="K3108" s="80" t="s">
        <v>11099</v>
      </c>
      <c r="L3108" s="30">
        <v>967085134</v>
      </c>
      <c r="M3108" s="80" t="s">
        <v>80</v>
      </c>
      <c r="N3108" s="80" t="s">
        <v>1073</v>
      </c>
      <c r="O3108" s="80" t="s">
        <v>11100</v>
      </c>
      <c r="P3108" s="80" t="s">
        <v>11101</v>
      </c>
      <c r="Q3108" s="20">
        <v>13968</v>
      </c>
      <c r="R3108" s="80" t="s">
        <v>36</v>
      </c>
      <c r="S3108" s="95">
        <v>4000</v>
      </c>
      <c r="T3108" s="148">
        <v>45500</v>
      </c>
      <c r="U3108" s="95">
        <v>9968</v>
      </c>
      <c r="V3108" s="148">
        <v>45526</v>
      </c>
      <c r="W3108" s="85" t="s">
        <v>11102</v>
      </c>
      <c r="X3108" s="80">
        <v>0</v>
      </c>
      <c r="Y3108" s="22">
        <v>0</v>
      </c>
      <c r="Z3108" s="80" t="s">
        <v>50</v>
      </c>
      <c r="AA3108" s="35" t="s">
        <v>10314</v>
      </c>
      <c r="AB3108" s="80"/>
      <c r="AC3108" s="80" t="s">
        <v>53</v>
      </c>
      <c r="AD3108" s="80" t="s">
        <v>54</v>
      </c>
      <c r="AE3108" s="83">
        <v>480</v>
      </c>
      <c r="AF3108" s="17">
        <v>45505</v>
      </c>
      <c r="AG3108" s="80"/>
      <c r="AH3108" s="80"/>
      <c r="AI3108" s="147"/>
      <c r="AJ3108" s="80"/>
      <c r="AK3108" s="80"/>
      <c r="AL3108" s="35"/>
      <c r="AM3108" s="35"/>
      <c r="AN3108" s="35"/>
      <c r="AO3108" s="35"/>
      <c r="AP3108" s="35"/>
    </row>
    <row r="3109" spans="1:42" x14ac:dyDescent="0.2">
      <c r="A3109" s="126">
        <v>45500.919615289356</v>
      </c>
      <c r="B3109" s="137" t="s">
        <v>37</v>
      </c>
      <c r="C3109" s="41" t="s">
        <v>118</v>
      </c>
      <c r="D3109" s="80" t="s">
        <v>36</v>
      </c>
      <c r="E3109" s="80" t="s">
        <v>77</v>
      </c>
      <c r="F3109" s="80" t="s">
        <v>40</v>
      </c>
      <c r="G3109" s="80" t="s">
        <v>41</v>
      </c>
      <c r="H3109" s="80" t="s">
        <v>9693</v>
      </c>
      <c r="I3109" s="17">
        <f ca="1">IFERROR(__xludf.DUMMYFUNCTION("""COMPUTED_VALUE"""),45506)</f>
        <v>45506</v>
      </c>
      <c r="J3109" s="143" t="s">
        <v>11103</v>
      </c>
      <c r="K3109" s="80" t="s">
        <v>11104</v>
      </c>
      <c r="L3109" s="30">
        <v>398496556</v>
      </c>
      <c r="M3109" s="80" t="s">
        <v>5429</v>
      </c>
      <c r="N3109" s="80" t="s">
        <v>9180</v>
      </c>
      <c r="O3109" s="83" t="s">
        <v>36</v>
      </c>
      <c r="P3109" s="80" t="s">
        <v>11105</v>
      </c>
      <c r="Q3109" s="20">
        <v>1968</v>
      </c>
      <c r="R3109" s="80" t="s">
        <v>36</v>
      </c>
      <c r="S3109" s="95">
        <v>2000</v>
      </c>
      <c r="T3109" s="148">
        <v>45500</v>
      </c>
      <c r="U3109" s="77"/>
      <c r="V3109" s="78"/>
      <c r="W3109" s="85" t="s">
        <v>11106</v>
      </c>
      <c r="X3109" s="80">
        <v>0</v>
      </c>
      <c r="Y3109" s="22">
        <v>-32</v>
      </c>
      <c r="Z3109" s="80" t="s">
        <v>50</v>
      </c>
      <c r="AA3109" s="96" t="s">
        <v>10314</v>
      </c>
      <c r="AB3109" s="80"/>
      <c r="AC3109" s="80" t="s">
        <v>53</v>
      </c>
      <c r="AD3109" s="80" t="s">
        <v>54</v>
      </c>
      <c r="AE3109" s="80" t="s">
        <v>430</v>
      </c>
      <c r="AF3109" s="17">
        <v>45502</v>
      </c>
      <c r="AG3109" s="80" t="s">
        <v>7078</v>
      </c>
      <c r="AH3109" s="80"/>
      <c r="AI3109" s="147"/>
      <c r="AJ3109" s="80"/>
      <c r="AK3109" s="80"/>
      <c r="AL3109" s="35"/>
      <c r="AM3109" s="35"/>
      <c r="AN3109" s="35"/>
      <c r="AO3109" s="35"/>
      <c r="AP3109" s="35"/>
    </row>
    <row r="3110" spans="1:42" x14ac:dyDescent="0.2">
      <c r="A3110" s="126">
        <v>45501.899081331023</v>
      </c>
      <c r="B3110" s="137" t="s">
        <v>37</v>
      </c>
      <c r="C3110" s="41" t="s">
        <v>118</v>
      </c>
      <c r="D3110" s="80" t="s">
        <v>36</v>
      </c>
      <c r="E3110" s="80" t="s">
        <v>139</v>
      </c>
      <c r="F3110" s="80" t="s">
        <v>36</v>
      </c>
      <c r="G3110" s="80" t="s">
        <v>41</v>
      </c>
      <c r="H3110" s="80" t="s">
        <v>9675</v>
      </c>
      <c r="I3110" s="17">
        <f ca="1">IFERROR(__xludf.DUMMYFUNCTION("""COMPUTED_VALUE"""),45506)</f>
        <v>45506</v>
      </c>
      <c r="J3110" s="143" t="s">
        <v>11107</v>
      </c>
      <c r="K3110" s="80" t="s">
        <v>11108</v>
      </c>
      <c r="L3110" s="30">
        <v>976879010</v>
      </c>
      <c r="M3110" s="80" t="s">
        <v>80</v>
      </c>
      <c r="N3110" s="80" t="s">
        <v>1073</v>
      </c>
      <c r="O3110" s="80" t="s">
        <v>11109</v>
      </c>
      <c r="P3110" s="80" t="s">
        <v>11110</v>
      </c>
      <c r="Q3110" s="20">
        <v>15936</v>
      </c>
      <c r="R3110" s="80" t="s">
        <v>36</v>
      </c>
      <c r="S3110" s="95">
        <f>200+1800</f>
        <v>2000</v>
      </c>
      <c r="T3110" s="83" t="s">
        <v>11111</v>
      </c>
      <c r="U3110" s="95">
        <v>13836</v>
      </c>
      <c r="V3110" s="148">
        <v>45528</v>
      </c>
      <c r="W3110" s="85" t="s">
        <v>11112</v>
      </c>
      <c r="X3110" s="80">
        <v>0</v>
      </c>
      <c r="Y3110" s="22">
        <v>100</v>
      </c>
      <c r="Z3110" s="80" t="s">
        <v>50</v>
      </c>
      <c r="AA3110" s="35" t="s">
        <v>10314</v>
      </c>
      <c r="AB3110" s="80"/>
      <c r="AC3110" s="80" t="s">
        <v>53</v>
      </c>
      <c r="AD3110" s="80" t="s">
        <v>54</v>
      </c>
      <c r="AE3110" s="83">
        <v>0</v>
      </c>
      <c r="AF3110" s="17">
        <v>45504</v>
      </c>
      <c r="AG3110" s="80"/>
      <c r="AH3110" s="80"/>
      <c r="AI3110" s="147"/>
      <c r="AJ3110" s="80"/>
      <c r="AK3110" s="80"/>
      <c r="AL3110" s="35"/>
      <c r="AM3110" s="35"/>
      <c r="AN3110" s="35"/>
      <c r="AO3110" s="35"/>
      <c r="AP3110" s="35"/>
    </row>
    <row r="3111" spans="1:42" x14ac:dyDescent="0.2">
      <c r="A3111" s="126">
        <v>45502.640456782407</v>
      </c>
      <c r="B3111" s="137" t="s">
        <v>37</v>
      </c>
      <c r="C3111" s="41" t="s">
        <v>118</v>
      </c>
      <c r="D3111" s="80" t="s">
        <v>36</v>
      </c>
      <c r="E3111" s="80" t="s">
        <v>139</v>
      </c>
      <c r="F3111" s="26" t="s">
        <v>36</v>
      </c>
      <c r="G3111" s="80" t="s">
        <v>41</v>
      </c>
      <c r="H3111" s="80" t="s">
        <v>10304</v>
      </c>
      <c r="I3111" s="17">
        <f ca="1">IFERROR(__xludf.DUMMYFUNCTION("""COMPUTED_VALUE"""),45503)</f>
        <v>45503</v>
      </c>
      <c r="J3111" s="143" t="s">
        <v>11113</v>
      </c>
      <c r="K3111" s="80" t="s">
        <v>11114</v>
      </c>
      <c r="L3111" s="30">
        <v>337340260</v>
      </c>
      <c r="M3111" s="80" t="s">
        <v>123</v>
      </c>
      <c r="N3111" s="80" t="s">
        <v>327</v>
      </c>
      <c r="O3111" s="80" t="s">
        <v>4503</v>
      </c>
      <c r="P3111" s="80" t="s">
        <v>11115</v>
      </c>
      <c r="Q3111" s="20">
        <v>15936</v>
      </c>
      <c r="R3111" s="80" t="s">
        <v>36</v>
      </c>
      <c r="S3111" s="95">
        <f>100+1900</f>
        <v>2000</v>
      </c>
      <c r="T3111" s="83" t="s">
        <v>11116</v>
      </c>
      <c r="U3111" s="95">
        <v>13936</v>
      </c>
      <c r="V3111" s="148">
        <v>45525</v>
      </c>
      <c r="W3111" s="80" t="s">
        <v>11117</v>
      </c>
      <c r="X3111" s="80">
        <v>0</v>
      </c>
      <c r="Y3111" s="22">
        <v>0</v>
      </c>
      <c r="Z3111" s="80" t="s">
        <v>50</v>
      </c>
      <c r="AA3111" s="96" t="s">
        <v>10314</v>
      </c>
      <c r="AB3111" s="80"/>
      <c r="AC3111" s="80" t="s">
        <v>53</v>
      </c>
      <c r="AD3111" s="80" t="s">
        <v>54</v>
      </c>
      <c r="AE3111" s="80"/>
      <c r="AF3111" s="17">
        <v>45502</v>
      </c>
      <c r="AG3111" s="80"/>
      <c r="AH3111" s="80"/>
      <c r="AI3111" s="147"/>
      <c r="AJ3111" s="80"/>
      <c r="AK3111" s="80"/>
      <c r="AL3111" s="35"/>
      <c r="AM3111" s="35"/>
      <c r="AN3111" s="35"/>
      <c r="AO3111" s="35"/>
      <c r="AP3111" s="35"/>
    </row>
    <row r="3112" spans="1:42" x14ac:dyDescent="0.2">
      <c r="A3112" s="126">
        <v>45503.345365312503</v>
      </c>
      <c r="B3112" s="137" t="s">
        <v>37</v>
      </c>
      <c r="C3112" s="41" t="s">
        <v>118</v>
      </c>
      <c r="D3112" s="80" t="s">
        <v>36</v>
      </c>
      <c r="E3112" s="80" t="s">
        <v>219</v>
      </c>
      <c r="F3112" s="80" t="s">
        <v>36</v>
      </c>
      <c r="G3112" s="80" t="s">
        <v>221</v>
      </c>
      <c r="H3112" s="80" t="s">
        <v>8905</v>
      </c>
      <c r="I3112" s="17">
        <f ca="1">IFERROR(__xludf.DUMMYFUNCTION("""COMPUTED_VALUE"""),45504)</f>
        <v>45504</v>
      </c>
      <c r="J3112" s="143" t="s">
        <v>11118</v>
      </c>
      <c r="K3112" s="80" t="s">
        <v>11119</v>
      </c>
      <c r="L3112" s="30">
        <v>889235688</v>
      </c>
      <c r="M3112" s="80" t="s">
        <v>59</v>
      </c>
      <c r="N3112" s="80" t="s">
        <v>68</v>
      </c>
      <c r="O3112" s="80" t="s">
        <v>11120</v>
      </c>
      <c r="P3112" s="80" t="s">
        <v>11121</v>
      </c>
      <c r="Q3112" s="20">
        <v>3968</v>
      </c>
      <c r="R3112" s="80" t="s">
        <v>36</v>
      </c>
      <c r="S3112" s="95">
        <v>3000</v>
      </c>
      <c r="T3112" s="148">
        <v>45502</v>
      </c>
      <c r="U3112" s="95">
        <v>968</v>
      </c>
      <c r="V3112" s="148">
        <v>45506</v>
      </c>
      <c r="W3112" s="85" t="s">
        <v>11122</v>
      </c>
      <c r="X3112" s="80">
        <v>0</v>
      </c>
      <c r="Y3112" s="22">
        <v>0</v>
      </c>
      <c r="Z3112" s="80" t="s">
        <v>50</v>
      </c>
      <c r="AA3112" s="35" t="s">
        <v>10314</v>
      </c>
      <c r="AB3112" s="80"/>
      <c r="AC3112" s="80" t="s">
        <v>53</v>
      </c>
      <c r="AD3112" s="80" t="s">
        <v>54</v>
      </c>
      <c r="AE3112" s="80" t="s">
        <v>3554</v>
      </c>
      <c r="AF3112" s="17">
        <v>45503</v>
      </c>
      <c r="AG3112" s="80"/>
      <c r="AH3112" s="80"/>
      <c r="AI3112" s="147"/>
      <c r="AJ3112" s="80"/>
      <c r="AK3112" s="80"/>
      <c r="AL3112" s="35"/>
      <c r="AM3112" s="35"/>
      <c r="AN3112" s="35"/>
      <c r="AO3112" s="35"/>
      <c r="AP3112" s="35"/>
    </row>
    <row r="3113" spans="1:42" x14ac:dyDescent="0.2">
      <c r="A3113" s="126">
        <v>45503.417392175921</v>
      </c>
      <c r="B3113" s="137" t="s">
        <v>37</v>
      </c>
      <c r="C3113" s="41" t="s">
        <v>118</v>
      </c>
      <c r="D3113" s="80" t="s">
        <v>36</v>
      </c>
      <c r="E3113" s="80" t="s">
        <v>56</v>
      </c>
      <c r="F3113" s="80" t="s">
        <v>40</v>
      </c>
      <c r="G3113" s="80" t="s">
        <v>41</v>
      </c>
      <c r="H3113" s="80" t="s">
        <v>9693</v>
      </c>
      <c r="I3113" s="17">
        <f ca="1">IFERROR(__xludf.DUMMYFUNCTION("""COMPUTED_VALUE"""),45506)</f>
        <v>45506</v>
      </c>
      <c r="J3113" s="143" t="s">
        <v>10298</v>
      </c>
      <c r="K3113" s="80" t="s">
        <v>11123</v>
      </c>
      <c r="L3113" s="30">
        <v>936991713</v>
      </c>
      <c r="M3113" s="80" t="s">
        <v>45</v>
      </c>
      <c r="N3113" s="80" t="s">
        <v>2847</v>
      </c>
      <c r="O3113" s="80" t="s">
        <v>10300</v>
      </c>
      <c r="P3113" s="80" t="s">
        <v>11124</v>
      </c>
      <c r="Q3113" s="20">
        <v>9317</v>
      </c>
      <c r="R3113" s="80" t="s">
        <v>36</v>
      </c>
      <c r="S3113" s="95">
        <v>1000</v>
      </c>
      <c r="T3113" s="148">
        <v>45503</v>
      </c>
      <c r="U3113" s="95">
        <v>8317</v>
      </c>
      <c r="V3113" s="148">
        <v>45505</v>
      </c>
      <c r="W3113" s="85" t="s">
        <v>10302</v>
      </c>
      <c r="X3113" s="80">
        <v>0</v>
      </c>
      <c r="Y3113" s="22">
        <v>0</v>
      </c>
      <c r="Z3113" s="80" t="s">
        <v>50</v>
      </c>
      <c r="AA3113" s="96" t="s">
        <v>10314</v>
      </c>
      <c r="AB3113" s="80"/>
      <c r="AC3113" s="80" t="s">
        <v>2218</v>
      </c>
      <c r="AD3113" s="80" t="s">
        <v>54</v>
      </c>
      <c r="AE3113" s="83">
        <v>340</v>
      </c>
      <c r="AF3113" s="17">
        <v>45503</v>
      </c>
      <c r="AG3113" s="80" t="s">
        <v>9238</v>
      </c>
      <c r="AH3113" s="80"/>
      <c r="AI3113" s="147"/>
      <c r="AJ3113" s="80"/>
      <c r="AK3113" s="80"/>
      <c r="AL3113" s="35"/>
      <c r="AM3113" s="35"/>
      <c r="AN3113" s="35"/>
      <c r="AO3113" s="35"/>
      <c r="AP3113" s="35"/>
    </row>
    <row r="3114" spans="1:42" x14ac:dyDescent="0.2">
      <c r="A3114" s="126">
        <v>45503.558863344908</v>
      </c>
      <c r="B3114" s="137" t="s">
        <v>37</v>
      </c>
      <c r="C3114" s="41" t="s">
        <v>118</v>
      </c>
      <c r="D3114" s="80" t="s">
        <v>36</v>
      </c>
      <c r="E3114" s="80" t="s">
        <v>77</v>
      </c>
      <c r="F3114" s="80" t="s">
        <v>36</v>
      </c>
      <c r="G3114" s="80" t="s">
        <v>41</v>
      </c>
      <c r="H3114" s="80" t="s">
        <v>9675</v>
      </c>
      <c r="I3114" s="17">
        <f ca="1">IFERROR(__xludf.DUMMYFUNCTION("""COMPUTED_VALUE"""),45506)</f>
        <v>45506</v>
      </c>
      <c r="J3114" s="143" t="s">
        <v>11125</v>
      </c>
      <c r="K3114" s="80" t="s">
        <v>11126</v>
      </c>
      <c r="L3114" s="30">
        <v>359833857</v>
      </c>
      <c r="M3114" s="80" t="s">
        <v>80</v>
      </c>
      <c r="N3114" s="80" t="s">
        <v>1073</v>
      </c>
      <c r="O3114" s="80" t="s">
        <v>11127</v>
      </c>
      <c r="P3114" s="80" t="s">
        <v>11128</v>
      </c>
      <c r="Q3114" s="20">
        <v>1968</v>
      </c>
      <c r="R3114" s="80" t="s">
        <v>36</v>
      </c>
      <c r="S3114" s="95">
        <f t="shared" ref="S3114:S3115" si="29">200+1800</f>
        <v>2000</v>
      </c>
      <c r="T3114" s="78" t="s">
        <v>11129</v>
      </c>
      <c r="U3114" s="77"/>
      <c r="V3114" s="78"/>
      <c r="W3114" s="80" t="s">
        <v>11130</v>
      </c>
      <c r="X3114" s="26">
        <v>0</v>
      </c>
      <c r="Y3114" s="22">
        <v>-32</v>
      </c>
      <c r="Z3114" s="26" t="s">
        <v>50</v>
      </c>
      <c r="AA3114" s="35" t="s">
        <v>10314</v>
      </c>
      <c r="AB3114" s="26"/>
      <c r="AC3114" s="80" t="s">
        <v>53</v>
      </c>
      <c r="AD3114" s="80" t="s">
        <v>54</v>
      </c>
      <c r="AE3114" s="26"/>
      <c r="AF3114" s="17">
        <v>45504</v>
      </c>
      <c r="AG3114" s="26" t="s">
        <v>7078</v>
      </c>
      <c r="AH3114" s="26"/>
      <c r="AI3114" s="40"/>
      <c r="AJ3114" s="26"/>
      <c r="AK3114" s="26"/>
      <c r="AL3114" s="35"/>
      <c r="AM3114" s="35"/>
      <c r="AN3114" s="35"/>
      <c r="AO3114" s="35"/>
      <c r="AP3114" s="35"/>
    </row>
    <row r="3115" spans="1:42" x14ac:dyDescent="0.2">
      <c r="A3115" s="126">
        <v>45503.895850034722</v>
      </c>
      <c r="B3115" s="137" t="s">
        <v>37</v>
      </c>
      <c r="C3115" s="41" t="s">
        <v>118</v>
      </c>
      <c r="D3115" s="80" t="s">
        <v>36</v>
      </c>
      <c r="E3115" s="80" t="s">
        <v>77</v>
      </c>
      <c r="F3115" s="80" t="s">
        <v>36</v>
      </c>
      <c r="G3115" s="80" t="s">
        <v>41</v>
      </c>
      <c r="H3115" s="80" t="s">
        <v>9693</v>
      </c>
      <c r="I3115" s="17">
        <f ca="1">IFERROR(__xludf.DUMMYFUNCTION("""COMPUTED_VALUE"""),45506)</f>
        <v>45506</v>
      </c>
      <c r="J3115" s="143" t="s">
        <v>11131</v>
      </c>
      <c r="K3115" s="80" t="s">
        <v>11132</v>
      </c>
      <c r="L3115" s="30">
        <v>365618941</v>
      </c>
      <c r="M3115" s="80" t="s">
        <v>80</v>
      </c>
      <c r="N3115" s="80" t="s">
        <v>1073</v>
      </c>
      <c r="O3115" s="80" t="s">
        <v>11133</v>
      </c>
      <c r="P3115" s="80" t="s">
        <v>11134</v>
      </c>
      <c r="Q3115" s="20">
        <v>1968</v>
      </c>
      <c r="R3115" s="80" t="s">
        <v>36</v>
      </c>
      <c r="S3115" s="95">
        <f t="shared" si="29"/>
        <v>2000</v>
      </c>
      <c r="T3115" s="83" t="s">
        <v>11135</v>
      </c>
      <c r="U3115" s="95"/>
      <c r="V3115" s="148"/>
      <c r="W3115" s="80" t="s">
        <v>11136</v>
      </c>
      <c r="X3115" s="80">
        <v>0</v>
      </c>
      <c r="Y3115" s="22">
        <v>-32</v>
      </c>
      <c r="Z3115" s="80" t="s">
        <v>50</v>
      </c>
      <c r="AA3115" s="96" t="s">
        <v>10314</v>
      </c>
      <c r="AB3115" s="80"/>
      <c r="AC3115" s="80" t="s">
        <v>53</v>
      </c>
      <c r="AD3115" s="80" t="s">
        <v>54</v>
      </c>
      <c r="AE3115" s="83">
        <v>0</v>
      </c>
      <c r="AF3115" s="17">
        <v>45504</v>
      </c>
      <c r="AG3115" s="80" t="s">
        <v>7078</v>
      </c>
      <c r="AH3115" s="80"/>
      <c r="AI3115" s="147"/>
      <c r="AJ3115" s="80"/>
      <c r="AK3115" s="80"/>
      <c r="AL3115" s="35"/>
      <c r="AM3115" s="35"/>
      <c r="AN3115" s="35"/>
      <c r="AO3115" s="35"/>
      <c r="AP3115" s="35"/>
    </row>
    <row r="3116" spans="1:42" x14ac:dyDescent="0.2">
      <c r="A3116" s="126">
        <v>45505.839601331019</v>
      </c>
      <c r="B3116" s="137" t="s">
        <v>37</v>
      </c>
      <c r="C3116" s="41" t="s">
        <v>118</v>
      </c>
      <c r="D3116" s="80" t="s">
        <v>36</v>
      </c>
      <c r="E3116" s="80" t="s">
        <v>119</v>
      </c>
      <c r="F3116" s="80" t="s">
        <v>36</v>
      </c>
      <c r="G3116" s="80" t="s">
        <v>108</v>
      </c>
      <c r="H3116" s="80" t="s">
        <v>8066</v>
      </c>
      <c r="I3116" s="17">
        <f ca="1">IFERROR(__xludf.DUMMYFUNCTION("""COMPUTED_VALUE"""),45509)</f>
        <v>45509</v>
      </c>
      <c r="J3116" s="143" t="s">
        <v>11137</v>
      </c>
      <c r="K3116" s="80" t="s">
        <v>11138</v>
      </c>
      <c r="L3116" s="30">
        <v>965544802</v>
      </c>
      <c r="M3116" s="80" t="s">
        <v>5429</v>
      </c>
      <c r="N3116" s="80" t="s">
        <v>756</v>
      </c>
      <c r="O3116" s="80" t="s">
        <v>11139</v>
      </c>
      <c r="P3116" s="80" t="s">
        <v>11140</v>
      </c>
      <c r="Q3116" s="20">
        <v>13968</v>
      </c>
      <c r="R3116" s="80" t="s">
        <v>36</v>
      </c>
      <c r="S3116" s="95">
        <v>4000</v>
      </c>
      <c r="T3116" s="148">
        <v>45504</v>
      </c>
      <c r="U3116" s="95">
        <v>9968</v>
      </c>
      <c r="V3116" s="148">
        <v>45528</v>
      </c>
      <c r="W3116" s="85" t="s">
        <v>11141</v>
      </c>
      <c r="X3116" s="80">
        <v>0</v>
      </c>
      <c r="Y3116" s="22">
        <v>0</v>
      </c>
      <c r="Z3116" s="80" t="s">
        <v>50</v>
      </c>
      <c r="AA3116" s="35" t="s">
        <v>10314</v>
      </c>
      <c r="AB3116" s="80"/>
      <c r="AC3116" s="80" t="s">
        <v>53</v>
      </c>
      <c r="AD3116" s="80" t="s">
        <v>54</v>
      </c>
      <c r="AE3116" s="83">
        <v>600</v>
      </c>
      <c r="AF3116" s="17">
        <v>45505</v>
      </c>
      <c r="AG3116" s="80"/>
      <c r="AH3116" s="80"/>
      <c r="AI3116" s="147"/>
      <c r="AJ3116" s="80"/>
      <c r="AK3116" s="80"/>
      <c r="AL3116" s="35"/>
      <c r="AM3116" s="35"/>
      <c r="AN3116" s="35"/>
      <c r="AO3116" s="35"/>
      <c r="AP3116" s="35"/>
    </row>
    <row r="3117" spans="1:42" x14ac:dyDescent="0.2">
      <c r="A3117" s="126">
        <v>45505.839601331019</v>
      </c>
      <c r="B3117" s="137" t="s">
        <v>37</v>
      </c>
      <c r="C3117" s="41" t="s">
        <v>118</v>
      </c>
      <c r="D3117" s="80" t="s">
        <v>106</v>
      </c>
      <c r="E3117" s="80" t="s">
        <v>219</v>
      </c>
      <c r="F3117" s="80" t="s">
        <v>2057</v>
      </c>
      <c r="G3117" s="80" t="s">
        <v>221</v>
      </c>
      <c r="H3117" s="80" t="s">
        <v>8091</v>
      </c>
      <c r="I3117" s="17">
        <f ca="1">IFERROR(__xludf.DUMMYFUNCTION("""COMPUTED_VALUE"""),45519)</f>
        <v>45519</v>
      </c>
      <c r="J3117" s="143" t="s">
        <v>8228</v>
      </c>
      <c r="K3117" s="80" t="s">
        <v>8229</v>
      </c>
      <c r="L3117" s="30">
        <v>333263901</v>
      </c>
      <c r="M3117" s="80" t="s">
        <v>292</v>
      </c>
      <c r="N3117" s="80" t="s">
        <v>1232</v>
      </c>
      <c r="O3117" s="80" t="s">
        <v>4503</v>
      </c>
      <c r="P3117" s="80" t="s">
        <v>11142</v>
      </c>
      <c r="Q3117" s="20">
        <v>3968</v>
      </c>
      <c r="R3117" s="80" t="s">
        <v>36</v>
      </c>
      <c r="S3117" s="95">
        <v>3968</v>
      </c>
      <c r="T3117" s="148">
        <v>45505</v>
      </c>
      <c r="U3117" s="77"/>
      <c r="V3117" s="78"/>
      <c r="W3117" s="85" t="s">
        <v>11143</v>
      </c>
      <c r="X3117" s="80">
        <v>100</v>
      </c>
      <c r="Y3117" s="22">
        <v>-100</v>
      </c>
      <c r="Z3117" s="80" t="s">
        <v>50</v>
      </c>
      <c r="AA3117" s="96" t="s">
        <v>10314</v>
      </c>
      <c r="AB3117" s="80"/>
      <c r="AC3117" s="80" t="s">
        <v>53</v>
      </c>
      <c r="AD3117" s="80" t="s">
        <v>54</v>
      </c>
      <c r="AE3117" s="83">
        <v>500</v>
      </c>
      <c r="AF3117" s="17">
        <v>45512</v>
      </c>
      <c r="AG3117" s="80"/>
      <c r="AH3117" s="80"/>
      <c r="AI3117" s="147"/>
      <c r="AJ3117" s="80"/>
      <c r="AK3117" s="80"/>
      <c r="AL3117" s="35"/>
      <c r="AM3117" s="35"/>
      <c r="AN3117" s="35"/>
      <c r="AO3117" s="35"/>
      <c r="AP3117" s="35"/>
    </row>
    <row r="3118" spans="1:42" x14ac:dyDescent="0.2">
      <c r="A3118" s="126">
        <v>45506.333943067133</v>
      </c>
      <c r="B3118" s="137" t="s">
        <v>37</v>
      </c>
      <c r="C3118" s="41" t="s">
        <v>118</v>
      </c>
      <c r="D3118" s="80" t="s">
        <v>36</v>
      </c>
      <c r="E3118" s="80" t="s">
        <v>77</v>
      </c>
      <c r="F3118" s="80" t="s">
        <v>36</v>
      </c>
      <c r="G3118" s="80" t="s">
        <v>41</v>
      </c>
      <c r="H3118" s="80" t="s">
        <v>11144</v>
      </c>
      <c r="I3118" s="17">
        <f ca="1">IFERROR(__xludf.DUMMYFUNCTION("""COMPUTED_VALUE"""),45523)</f>
        <v>45523</v>
      </c>
      <c r="J3118" s="143" t="s">
        <v>11145</v>
      </c>
      <c r="K3118" s="80" t="s">
        <v>11146</v>
      </c>
      <c r="L3118" s="30">
        <v>325453298</v>
      </c>
      <c r="M3118" s="80" t="s">
        <v>1245</v>
      </c>
      <c r="N3118" s="80" t="s">
        <v>1246</v>
      </c>
      <c r="O3118" s="80" t="s">
        <v>11147</v>
      </c>
      <c r="P3118" s="144" t="s">
        <v>11148</v>
      </c>
      <c r="Q3118" s="20">
        <v>1968</v>
      </c>
      <c r="R3118" s="80" t="s">
        <v>36</v>
      </c>
      <c r="S3118" s="95">
        <f>1000+968</f>
        <v>1968</v>
      </c>
      <c r="T3118" s="83" t="s">
        <v>11149</v>
      </c>
      <c r="U3118" s="77"/>
      <c r="V3118" s="78"/>
      <c r="W3118" s="85" t="s">
        <v>11150</v>
      </c>
      <c r="X3118" s="80">
        <v>0</v>
      </c>
      <c r="Y3118" s="22">
        <v>0</v>
      </c>
      <c r="Z3118" s="80" t="s">
        <v>50</v>
      </c>
      <c r="AA3118" s="35" t="s">
        <v>10314</v>
      </c>
      <c r="AB3118" s="26" t="s">
        <v>36</v>
      </c>
      <c r="AC3118" s="80" t="s">
        <v>53</v>
      </c>
      <c r="AD3118" s="80" t="s">
        <v>54</v>
      </c>
      <c r="AE3118" s="80" t="s">
        <v>72</v>
      </c>
      <c r="AF3118" s="17">
        <v>45517</v>
      </c>
      <c r="AG3118" s="80"/>
      <c r="AH3118" s="80"/>
      <c r="AI3118" s="147"/>
      <c r="AJ3118" s="80"/>
      <c r="AK3118" s="80"/>
      <c r="AL3118" s="35"/>
      <c r="AM3118" s="35"/>
      <c r="AN3118" s="35"/>
      <c r="AO3118" s="35"/>
      <c r="AP3118" s="35"/>
    </row>
    <row r="3119" spans="1:42" x14ac:dyDescent="0.2">
      <c r="A3119" s="126">
        <v>45506.339105497682</v>
      </c>
      <c r="B3119" s="137" t="s">
        <v>37</v>
      </c>
      <c r="C3119" s="41" t="s">
        <v>118</v>
      </c>
      <c r="D3119" s="80" t="s">
        <v>36</v>
      </c>
      <c r="E3119" s="80" t="s">
        <v>39</v>
      </c>
      <c r="F3119" s="80" t="s">
        <v>40</v>
      </c>
      <c r="G3119" s="80" t="s">
        <v>41</v>
      </c>
      <c r="H3119" s="80" t="s">
        <v>11151</v>
      </c>
      <c r="I3119" s="17">
        <f ca="1">IFERROR(__xludf.DUMMYFUNCTION("""COMPUTED_VALUE"""),45511)</f>
        <v>45511</v>
      </c>
      <c r="J3119" s="143" t="s">
        <v>11152</v>
      </c>
      <c r="K3119" s="80" t="s">
        <v>11153</v>
      </c>
      <c r="L3119" s="57">
        <v>333816280</v>
      </c>
      <c r="M3119" s="80" t="s">
        <v>45</v>
      </c>
      <c r="N3119" s="80" t="s">
        <v>3839</v>
      </c>
      <c r="O3119" s="80" t="s">
        <v>11154</v>
      </c>
      <c r="P3119" s="80" t="s">
        <v>11155</v>
      </c>
      <c r="Q3119" s="20">
        <v>5736</v>
      </c>
      <c r="R3119" s="80" t="s">
        <v>36</v>
      </c>
      <c r="S3119" s="95">
        <v>5736</v>
      </c>
      <c r="T3119" s="148">
        <v>45505</v>
      </c>
      <c r="U3119" s="77"/>
      <c r="V3119" s="78"/>
      <c r="W3119" s="85" t="s">
        <v>11156</v>
      </c>
      <c r="X3119" s="80">
        <v>0</v>
      </c>
      <c r="Y3119" s="22">
        <v>0</v>
      </c>
      <c r="Z3119" s="80" t="s">
        <v>50</v>
      </c>
      <c r="AA3119" s="96" t="s">
        <v>10314</v>
      </c>
      <c r="AB3119" s="80"/>
      <c r="AC3119" s="80" t="s">
        <v>53</v>
      </c>
      <c r="AD3119" s="80" t="s">
        <v>54</v>
      </c>
      <c r="AE3119" s="83">
        <v>0</v>
      </c>
      <c r="AF3119" s="17">
        <v>45507</v>
      </c>
      <c r="AG3119" s="80"/>
      <c r="AH3119" s="80"/>
      <c r="AI3119" s="147"/>
      <c r="AJ3119" s="80"/>
      <c r="AK3119" s="80"/>
      <c r="AL3119" s="35"/>
      <c r="AM3119" s="35"/>
      <c r="AN3119" s="35"/>
      <c r="AO3119" s="35"/>
      <c r="AP3119" s="35"/>
    </row>
    <row r="3120" spans="1:42" x14ac:dyDescent="0.2">
      <c r="A3120" s="126">
        <v>45506.341448298612</v>
      </c>
      <c r="B3120" s="137" t="s">
        <v>37</v>
      </c>
      <c r="C3120" s="41" t="s">
        <v>118</v>
      </c>
      <c r="D3120" s="80" t="s">
        <v>36</v>
      </c>
      <c r="E3120" s="80" t="s">
        <v>139</v>
      </c>
      <c r="F3120" s="80" t="s">
        <v>36</v>
      </c>
      <c r="G3120" s="80" t="s">
        <v>41</v>
      </c>
      <c r="H3120" s="80" t="s">
        <v>9675</v>
      </c>
      <c r="I3120" s="17">
        <f ca="1">IFERROR(__xludf.DUMMYFUNCTION("""COMPUTED_VALUE"""),45506)</f>
        <v>45506</v>
      </c>
      <c r="J3120" s="143" t="s">
        <v>11157</v>
      </c>
      <c r="K3120" s="86" t="s">
        <v>11158</v>
      </c>
      <c r="L3120" s="57">
        <v>967355856</v>
      </c>
      <c r="M3120" s="80" t="s">
        <v>45</v>
      </c>
      <c r="N3120" s="80" t="s">
        <v>8420</v>
      </c>
      <c r="O3120" s="80" t="s">
        <v>11159</v>
      </c>
      <c r="P3120" s="86" t="s">
        <v>11160</v>
      </c>
      <c r="Q3120" s="20">
        <v>15936</v>
      </c>
      <c r="R3120" s="80" t="s">
        <v>36</v>
      </c>
      <c r="S3120" s="95">
        <v>15968</v>
      </c>
      <c r="T3120" s="148">
        <v>45505</v>
      </c>
      <c r="U3120" s="77"/>
      <c r="V3120" s="78"/>
      <c r="W3120" s="85" t="s">
        <v>11161</v>
      </c>
      <c r="X3120" s="80">
        <v>0</v>
      </c>
      <c r="Y3120" s="22">
        <v>-32</v>
      </c>
      <c r="Z3120" s="80" t="s">
        <v>50</v>
      </c>
      <c r="AA3120" s="35" t="s">
        <v>10314</v>
      </c>
      <c r="AB3120" s="80"/>
      <c r="AC3120" s="80" t="s">
        <v>53</v>
      </c>
      <c r="AD3120" s="80" t="s">
        <v>54</v>
      </c>
      <c r="AE3120" s="83">
        <v>0</v>
      </c>
      <c r="AF3120" s="17">
        <v>45506</v>
      </c>
      <c r="AG3120" s="80"/>
      <c r="AH3120" s="80"/>
      <c r="AI3120" s="147"/>
      <c r="AJ3120" s="80"/>
      <c r="AK3120" s="80"/>
      <c r="AL3120" s="35"/>
      <c r="AM3120" s="35"/>
      <c r="AN3120" s="35"/>
      <c r="AO3120" s="35"/>
      <c r="AP3120" s="35"/>
    </row>
    <row r="3121" spans="1:42" x14ac:dyDescent="0.2">
      <c r="A3121" s="126">
        <v>45506.344774907411</v>
      </c>
      <c r="B3121" s="137" t="s">
        <v>37</v>
      </c>
      <c r="C3121" s="41" t="s">
        <v>118</v>
      </c>
      <c r="D3121" s="80" t="s">
        <v>36</v>
      </c>
      <c r="E3121" s="80" t="s">
        <v>77</v>
      </c>
      <c r="F3121" s="80" t="s">
        <v>36</v>
      </c>
      <c r="G3121" s="80" t="s">
        <v>41</v>
      </c>
      <c r="H3121" s="80" t="s">
        <v>9763</v>
      </c>
      <c r="I3121" s="17">
        <f ca="1">IFERROR(__xludf.DUMMYFUNCTION("""COMPUTED_VALUE"""),45512)</f>
        <v>45512</v>
      </c>
      <c r="J3121" s="143" t="s">
        <v>11162</v>
      </c>
      <c r="K3121" s="80" t="s">
        <v>11163</v>
      </c>
      <c r="L3121" s="47">
        <v>967527281</v>
      </c>
      <c r="M3121" s="80" t="s">
        <v>80</v>
      </c>
      <c r="N3121" s="80" t="s">
        <v>466</v>
      </c>
      <c r="O3121" s="80" t="s">
        <v>11164</v>
      </c>
      <c r="P3121" s="80" t="s">
        <v>11165</v>
      </c>
      <c r="Q3121" s="20">
        <v>1968</v>
      </c>
      <c r="R3121" s="80" t="s">
        <v>36</v>
      </c>
      <c r="S3121" s="95">
        <f t="shared" ref="S3121:S3122" si="30">200+1800</f>
        <v>2000</v>
      </c>
      <c r="T3121" s="83" t="s">
        <v>11166</v>
      </c>
      <c r="U3121" s="77"/>
      <c r="V3121" s="78"/>
      <c r="W3121" s="85" t="s">
        <v>11059</v>
      </c>
      <c r="X3121" s="80">
        <v>0</v>
      </c>
      <c r="Y3121" s="22">
        <v>-32</v>
      </c>
      <c r="Z3121" s="80" t="s">
        <v>50</v>
      </c>
      <c r="AA3121" s="96" t="s">
        <v>10314</v>
      </c>
      <c r="AB3121" s="80"/>
      <c r="AC3121" s="80" t="s">
        <v>53</v>
      </c>
      <c r="AD3121" s="80" t="s">
        <v>54</v>
      </c>
      <c r="AE3121" s="83">
        <v>0</v>
      </c>
      <c r="AF3121" s="17">
        <v>45510</v>
      </c>
      <c r="AG3121" s="80" t="s">
        <v>7078</v>
      </c>
      <c r="AH3121" s="80"/>
      <c r="AI3121" s="147"/>
      <c r="AJ3121" s="80"/>
      <c r="AK3121" s="80"/>
      <c r="AL3121" s="35"/>
      <c r="AM3121" s="35"/>
      <c r="AN3121" s="35"/>
      <c r="AO3121" s="35"/>
      <c r="AP3121" s="35"/>
    </row>
    <row r="3122" spans="1:42" x14ac:dyDescent="0.2">
      <c r="A3122" s="126">
        <v>45506.346907337967</v>
      </c>
      <c r="B3122" s="137" t="s">
        <v>37</v>
      </c>
      <c r="C3122" s="41" t="s">
        <v>118</v>
      </c>
      <c r="D3122" s="80" t="s">
        <v>36</v>
      </c>
      <c r="E3122" s="80" t="s">
        <v>77</v>
      </c>
      <c r="F3122" s="80" t="s">
        <v>36</v>
      </c>
      <c r="G3122" s="80" t="s">
        <v>41</v>
      </c>
      <c r="H3122" s="80" t="s">
        <v>9763</v>
      </c>
      <c r="I3122" s="17">
        <f ca="1">IFERROR(__xludf.DUMMYFUNCTION("""COMPUTED_VALUE"""),45512)</f>
        <v>45512</v>
      </c>
      <c r="J3122" s="143" t="s">
        <v>11167</v>
      </c>
      <c r="K3122" s="80" t="s">
        <v>11168</v>
      </c>
      <c r="L3122" s="47">
        <v>386703585</v>
      </c>
      <c r="M3122" s="80" t="s">
        <v>80</v>
      </c>
      <c r="N3122" s="80" t="s">
        <v>466</v>
      </c>
      <c r="O3122" s="80" t="s">
        <v>11169</v>
      </c>
      <c r="P3122" s="137" t="s">
        <v>11170</v>
      </c>
      <c r="Q3122" s="20">
        <v>1968</v>
      </c>
      <c r="R3122" s="80" t="s">
        <v>36</v>
      </c>
      <c r="S3122" s="95">
        <f t="shared" si="30"/>
        <v>2000</v>
      </c>
      <c r="T3122" s="83" t="s">
        <v>11166</v>
      </c>
      <c r="U3122" s="77"/>
      <c r="V3122" s="78"/>
      <c r="W3122" s="85" t="s">
        <v>11171</v>
      </c>
      <c r="X3122" s="80">
        <v>0</v>
      </c>
      <c r="Y3122" s="22">
        <v>-32</v>
      </c>
      <c r="Z3122" s="80" t="s">
        <v>50</v>
      </c>
      <c r="AA3122" s="35" t="s">
        <v>10314</v>
      </c>
      <c r="AB3122" s="80"/>
      <c r="AC3122" s="80" t="s">
        <v>53</v>
      </c>
      <c r="AD3122" s="80" t="s">
        <v>54</v>
      </c>
      <c r="AE3122" s="83">
        <v>0</v>
      </c>
      <c r="AF3122" s="17">
        <v>45510</v>
      </c>
      <c r="AG3122" s="80" t="s">
        <v>7078</v>
      </c>
      <c r="AH3122" s="80"/>
      <c r="AI3122" s="147"/>
      <c r="AJ3122" s="80"/>
      <c r="AK3122" s="80"/>
      <c r="AL3122" s="35"/>
      <c r="AM3122" s="35"/>
      <c r="AN3122" s="35"/>
      <c r="AO3122" s="35"/>
      <c r="AP3122" s="35"/>
    </row>
    <row r="3123" spans="1:42" x14ac:dyDescent="0.2">
      <c r="A3123" s="126">
        <v>45506.347483749996</v>
      </c>
      <c r="B3123" s="137" t="s">
        <v>37</v>
      </c>
      <c r="C3123" s="41" t="s">
        <v>118</v>
      </c>
      <c r="D3123" s="80" t="s">
        <v>36</v>
      </c>
      <c r="E3123" s="80" t="s">
        <v>106</v>
      </c>
      <c r="F3123" s="80" t="s">
        <v>36</v>
      </c>
      <c r="G3123" s="80" t="s">
        <v>108</v>
      </c>
      <c r="H3123" s="80" t="s">
        <v>8066</v>
      </c>
      <c r="I3123" s="17">
        <f ca="1">IFERROR(__xludf.DUMMYFUNCTION("""COMPUTED_VALUE"""),45509)</f>
        <v>45509</v>
      </c>
      <c r="J3123" s="143" t="s">
        <v>11172</v>
      </c>
      <c r="K3123" s="80" t="s">
        <v>11173</v>
      </c>
      <c r="L3123" s="47">
        <v>973536159</v>
      </c>
      <c r="M3123" s="80" t="s">
        <v>45</v>
      </c>
      <c r="N3123" s="80" t="s">
        <v>1450</v>
      </c>
      <c r="O3123" s="86" t="s">
        <v>11174</v>
      </c>
      <c r="P3123" s="86" t="s">
        <v>11175</v>
      </c>
      <c r="Q3123" s="20">
        <v>3768</v>
      </c>
      <c r="R3123" s="80" t="s">
        <v>36</v>
      </c>
      <c r="S3123" s="95">
        <v>1000</v>
      </c>
      <c r="T3123" s="148">
        <v>45505</v>
      </c>
      <c r="U3123" s="95">
        <v>2768</v>
      </c>
      <c r="V3123" s="148">
        <v>45506</v>
      </c>
      <c r="W3123" s="85" t="s">
        <v>11176</v>
      </c>
      <c r="X3123" s="80">
        <v>0</v>
      </c>
      <c r="Y3123" s="22">
        <v>0</v>
      </c>
      <c r="Z3123" s="80" t="s">
        <v>50</v>
      </c>
      <c r="AA3123" s="96" t="s">
        <v>10314</v>
      </c>
      <c r="AB3123" s="80"/>
      <c r="AC3123" s="80" t="s">
        <v>53</v>
      </c>
      <c r="AD3123" s="80" t="s">
        <v>54</v>
      </c>
      <c r="AE3123" s="83">
        <v>480</v>
      </c>
      <c r="AF3123" s="17">
        <v>45506</v>
      </c>
      <c r="AG3123" s="80"/>
      <c r="AH3123" s="80"/>
      <c r="AI3123" s="147"/>
      <c r="AJ3123" s="80"/>
      <c r="AK3123" s="80"/>
      <c r="AL3123" s="35"/>
      <c r="AM3123" s="35"/>
      <c r="AN3123" s="35"/>
      <c r="AO3123" s="35"/>
      <c r="AP3123" s="35"/>
    </row>
    <row r="3124" spans="1:42" x14ac:dyDescent="0.2">
      <c r="A3124" s="126">
        <v>45506.349678136576</v>
      </c>
      <c r="B3124" s="137" t="s">
        <v>37</v>
      </c>
      <c r="C3124" s="41" t="s">
        <v>118</v>
      </c>
      <c r="D3124" s="80" t="s">
        <v>36</v>
      </c>
      <c r="E3124" s="80" t="s">
        <v>139</v>
      </c>
      <c r="F3124" s="80" t="s">
        <v>36</v>
      </c>
      <c r="G3124" s="80" t="s">
        <v>41</v>
      </c>
      <c r="H3124" s="80" t="s">
        <v>9763</v>
      </c>
      <c r="I3124" s="17">
        <f ca="1">IFERROR(__xludf.DUMMYFUNCTION("""COMPUTED_VALUE"""),45512)</f>
        <v>45512</v>
      </c>
      <c r="J3124" s="143" t="s">
        <v>11177</v>
      </c>
      <c r="K3124" s="80" t="s">
        <v>11178</v>
      </c>
      <c r="L3124" s="47">
        <v>988703929</v>
      </c>
      <c r="M3124" s="80" t="s">
        <v>80</v>
      </c>
      <c r="N3124" s="80" t="s">
        <v>1073</v>
      </c>
      <c r="O3124" s="86" t="s">
        <v>11179</v>
      </c>
      <c r="P3124" s="86" t="s">
        <v>11180</v>
      </c>
      <c r="Q3124" s="20">
        <v>15936</v>
      </c>
      <c r="R3124" s="80" t="s">
        <v>36</v>
      </c>
      <c r="S3124" s="95">
        <f>200+1800</f>
        <v>2000</v>
      </c>
      <c r="T3124" s="83" t="s">
        <v>11181</v>
      </c>
      <c r="U3124" s="95">
        <v>13936</v>
      </c>
      <c r="V3124" s="148">
        <v>45535</v>
      </c>
      <c r="W3124" s="85" t="s">
        <v>11182</v>
      </c>
      <c r="X3124" s="80">
        <v>0</v>
      </c>
      <c r="Y3124" s="22">
        <v>0</v>
      </c>
      <c r="Z3124" s="80" t="s">
        <v>50</v>
      </c>
      <c r="AA3124" s="35" t="s">
        <v>10314</v>
      </c>
      <c r="AB3124" s="80"/>
      <c r="AC3124" s="80" t="s">
        <v>53</v>
      </c>
      <c r="AD3124" s="80" t="s">
        <v>54</v>
      </c>
      <c r="AE3124" s="83">
        <v>0</v>
      </c>
      <c r="AF3124" s="17">
        <v>45509</v>
      </c>
      <c r="AG3124" s="80"/>
      <c r="AH3124" s="80"/>
      <c r="AI3124" s="147"/>
      <c r="AJ3124" s="80"/>
      <c r="AK3124" s="80"/>
      <c r="AL3124" s="35"/>
      <c r="AM3124" s="35"/>
      <c r="AN3124" s="35"/>
      <c r="AO3124" s="35"/>
      <c r="AP3124" s="35"/>
    </row>
    <row r="3125" spans="1:42" x14ac:dyDescent="0.2">
      <c r="A3125" s="126">
        <v>45506.351067557873</v>
      </c>
      <c r="B3125" s="137" t="s">
        <v>37</v>
      </c>
      <c r="C3125" s="41" t="s">
        <v>118</v>
      </c>
      <c r="D3125" s="80" t="s">
        <v>36</v>
      </c>
      <c r="E3125" s="80" t="s">
        <v>77</v>
      </c>
      <c r="F3125" s="80" t="s">
        <v>40</v>
      </c>
      <c r="G3125" s="80" t="s">
        <v>41</v>
      </c>
      <c r="H3125" s="80" t="s">
        <v>11183</v>
      </c>
      <c r="I3125" s="17">
        <f ca="1">IFERROR(__xludf.DUMMYFUNCTION("""COMPUTED_VALUE"""),45554)</f>
        <v>45554</v>
      </c>
      <c r="J3125" s="143" t="s">
        <v>11184</v>
      </c>
      <c r="K3125" s="80" t="s">
        <v>11185</v>
      </c>
      <c r="L3125" s="47">
        <v>987062606</v>
      </c>
      <c r="M3125" s="80" t="s">
        <v>80</v>
      </c>
      <c r="N3125" s="80" t="s">
        <v>1073</v>
      </c>
      <c r="O3125" s="86" t="s">
        <v>11186</v>
      </c>
      <c r="P3125" s="86" t="s">
        <v>11187</v>
      </c>
      <c r="Q3125" s="20">
        <v>1968</v>
      </c>
      <c r="R3125" s="80" t="s">
        <v>36</v>
      </c>
      <c r="S3125" s="95">
        <f>500+1468</f>
        <v>1968</v>
      </c>
      <c r="T3125" s="83" t="s">
        <v>11188</v>
      </c>
      <c r="U3125" s="77"/>
      <c r="V3125" s="78"/>
      <c r="W3125" s="85" t="s">
        <v>11189</v>
      </c>
      <c r="X3125" s="80">
        <v>0</v>
      </c>
      <c r="Y3125" s="22">
        <v>0</v>
      </c>
      <c r="Z3125" s="80" t="s">
        <v>50</v>
      </c>
      <c r="AA3125" s="96" t="s">
        <v>10314</v>
      </c>
      <c r="AB3125" s="80"/>
      <c r="AC3125" s="80" t="s">
        <v>53</v>
      </c>
      <c r="AD3125" s="80" t="s">
        <v>54</v>
      </c>
      <c r="AE3125" s="83">
        <v>0</v>
      </c>
      <c r="AF3125" s="17">
        <v>45554</v>
      </c>
      <c r="AG3125" s="80"/>
      <c r="AH3125" s="80"/>
      <c r="AI3125" s="147"/>
      <c r="AJ3125" s="80"/>
      <c r="AK3125" s="80"/>
      <c r="AL3125" s="35"/>
      <c r="AM3125" s="35"/>
      <c r="AN3125" s="35"/>
      <c r="AO3125" s="35"/>
      <c r="AP3125" s="35"/>
    </row>
    <row r="3126" spans="1:42" x14ac:dyDescent="0.2">
      <c r="A3126" s="126">
        <v>45506.542935659723</v>
      </c>
      <c r="B3126" s="137" t="s">
        <v>37</v>
      </c>
      <c r="C3126" s="41" t="s">
        <v>118</v>
      </c>
      <c r="D3126" s="80" t="s">
        <v>36</v>
      </c>
      <c r="E3126" s="80" t="s">
        <v>56</v>
      </c>
      <c r="F3126" s="80" t="s">
        <v>36</v>
      </c>
      <c r="G3126" s="80" t="s">
        <v>41</v>
      </c>
      <c r="H3126" s="80" t="s">
        <v>10999</v>
      </c>
      <c r="I3126" s="17">
        <f ca="1">IFERROR(__xludf.DUMMYFUNCTION("""COMPUTED_VALUE"""),45506)</f>
        <v>45506</v>
      </c>
      <c r="J3126" s="143" t="s">
        <v>11190</v>
      </c>
      <c r="K3126" s="80" t="s">
        <v>11191</v>
      </c>
      <c r="L3126" s="30">
        <v>949498637</v>
      </c>
      <c r="M3126" s="80" t="s">
        <v>9422</v>
      </c>
      <c r="N3126" s="80" t="s">
        <v>5574</v>
      </c>
      <c r="O3126" s="80" t="s">
        <v>11192</v>
      </c>
      <c r="P3126" s="80" t="s">
        <v>11193</v>
      </c>
      <c r="Q3126" s="20">
        <v>9317</v>
      </c>
      <c r="R3126" s="80" t="s">
        <v>36</v>
      </c>
      <c r="S3126" s="95">
        <v>2000</v>
      </c>
      <c r="T3126" s="148">
        <v>45506</v>
      </c>
      <c r="U3126" s="95">
        <v>7317</v>
      </c>
      <c r="V3126" s="148">
        <v>45518</v>
      </c>
      <c r="W3126" s="85" t="s">
        <v>11194</v>
      </c>
      <c r="X3126" s="80">
        <v>0</v>
      </c>
      <c r="Y3126" s="22">
        <v>0</v>
      </c>
      <c r="Z3126" s="80" t="s">
        <v>50</v>
      </c>
      <c r="AA3126" s="35" t="s">
        <v>10314</v>
      </c>
      <c r="AB3126" s="80"/>
      <c r="AC3126" s="80" t="s">
        <v>53</v>
      </c>
      <c r="AD3126" s="80" t="s">
        <v>54</v>
      </c>
      <c r="AE3126" s="80"/>
      <c r="AF3126" s="17">
        <v>45506</v>
      </c>
      <c r="AG3126" s="80"/>
      <c r="AH3126" s="80"/>
      <c r="AI3126" s="147"/>
      <c r="AJ3126" s="80"/>
      <c r="AK3126" s="80"/>
      <c r="AL3126" s="35"/>
      <c r="AM3126" s="35"/>
      <c r="AN3126" s="35"/>
      <c r="AO3126" s="35"/>
      <c r="AP3126" s="35"/>
    </row>
    <row r="3127" spans="1:42" x14ac:dyDescent="0.2">
      <c r="A3127" s="126">
        <v>45506.720452928239</v>
      </c>
      <c r="B3127" s="137" t="s">
        <v>37</v>
      </c>
      <c r="C3127" s="41" t="s">
        <v>118</v>
      </c>
      <c r="D3127" s="80" t="s">
        <v>36</v>
      </c>
      <c r="E3127" s="80" t="s">
        <v>77</v>
      </c>
      <c r="F3127" s="80" t="s">
        <v>36</v>
      </c>
      <c r="G3127" s="80" t="s">
        <v>41</v>
      </c>
      <c r="H3127" s="80" t="s">
        <v>11195</v>
      </c>
      <c r="I3127" s="17" t="str">
        <f ca="1">IFERROR(__xludf.DUMMYFUNCTION("""COMPUTED_VALUE""")," ")</f>
        <v xml:space="preserve"> </v>
      </c>
      <c r="J3127" s="143" t="s">
        <v>11196</v>
      </c>
      <c r="K3127" s="80" t="s">
        <v>11197</v>
      </c>
      <c r="L3127" s="30">
        <v>915010566</v>
      </c>
      <c r="M3127" s="80" t="s">
        <v>5429</v>
      </c>
      <c r="N3127" s="80" t="s">
        <v>9180</v>
      </c>
      <c r="O3127" s="80" t="s">
        <v>4626</v>
      </c>
      <c r="P3127" s="80" t="s">
        <v>11198</v>
      </c>
      <c r="Q3127" s="20">
        <v>1968</v>
      </c>
      <c r="R3127" s="80" t="s">
        <v>36</v>
      </c>
      <c r="S3127" s="95">
        <v>2000</v>
      </c>
      <c r="T3127" s="148">
        <v>45506</v>
      </c>
      <c r="U3127" s="77"/>
      <c r="V3127" s="78"/>
      <c r="W3127" s="85" t="s">
        <v>11199</v>
      </c>
      <c r="X3127" s="80">
        <v>0</v>
      </c>
      <c r="Y3127" s="22">
        <v>-32</v>
      </c>
      <c r="Z3127" s="80" t="s">
        <v>50</v>
      </c>
      <c r="AA3127" s="96" t="s">
        <v>10314</v>
      </c>
      <c r="AB3127" s="80"/>
      <c r="AC3127" s="80" t="s">
        <v>53</v>
      </c>
      <c r="AD3127" s="80" t="s">
        <v>54</v>
      </c>
      <c r="AE3127" s="80" t="s">
        <v>430</v>
      </c>
      <c r="AF3127" s="17">
        <v>45507</v>
      </c>
      <c r="AG3127" s="80" t="s">
        <v>7078</v>
      </c>
      <c r="AH3127" s="80"/>
      <c r="AI3127" s="147"/>
      <c r="AJ3127" s="80"/>
      <c r="AK3127" s="80"/>
      <c r="AL3127" s="35"/>
      <c r="AM3127" s="35"/>
      <c r="AN3127" s="35"/>
      <c r="AO3127" s="35"/>
      <c r="AP3127" s="35"/>
    </row>
    <row r="3128" spans="1:42" x14ac:dyDescent="0.2">
      <c r="A3128" s="126">
        <v>45507.41149741898</v>
      </c>
      <c r="B3128" s="137" t="s">
        <v>37</v>
      </c>
      <c r="C3128" s="41" t="s">
        <v>118</v>
      </c>
      <c r="D3128" s="80" t="s">
        <v>36</v>
      </c>
      <c r="E3128" s="80" t="s">
        <v>106</v>
      </c>
      <c r="F3128" s="80" t="s">
        <v>36</v>
      </c>
      <c r="G3128" s="80" t="s">
        <v>108</v>
      </c>
      <c r="H3128" s="80" t="s">
        <v>7524</v>
      </c>
      <c r="I3128" s="17">
        <f ca="1">IFERROR(__xludf.DUMMYFUNCTION("""COMPUTED_VALUE"""),45509)</f>
        <v>45509</v>
      </c>
      <c r="J3128" s="143" t="s">
        <v>11200</v>
      </c>
      <c r="K3128" s="80" t="s">
        <v>11201</v>
      </c>
      <c r="L3128" s="30">
        <v>346371387</v>
      </c>
      <c r="M3128" s="80" t="s">
        <v>45</v>
      </c>
      <c r="N3128" s="80" t="s">
        <v>565</v>
      </c>
      <c r="O3128" s="80" t="s">
        <v>11202</v>
      </c>
      <c r="P3128" s="80" t="s">
        <v>11203</v>
      </c>
      <c r="Q3128" s="20">
        <v>3768</v>
      </c>
      <c r="R3128" s="80" t="s">
        <v>36</v>
      </c>
      <c r="S3128" s="95">
        <v>3768</v>
      </c>
      <c r="T3128" s="148">
        <v>45507</v>
      </c>
      <c r="U3128" s="77"/>
      <c r="V3128" s="78"/>
      <c r="W3128" s="80" t="s">
        <v>11204</v>
      </c>
      <c r="X3128" s="80">
        <v>0</v>
      </c>
      <c r="Y3128" s="22">
        <v>0</v>
      </c>
      <c r="Z3128" s="80" t="s">
        <v>50</v>
      </c>
      <c r="AA3128" s="35" t="s">
        <v>10314</v>
      </c>
      <c r="AB3128" s="80"/>
      <c r="AC3128" s="80" t="s">
        <v>53</v>
      </c>
      <c r="AD3128" s="80" t="s">
        <v>54</v>
      </c>
      <c r="AE3128" s="83">
        <v>680</v>
      </c>
      <c r="AF3128" s="17">
        <v>45507</v>
      </c>
      <c r="AG3128" s="80"/>
      <c r="AH3128" s="80"/>
      <c r="AI3128" s="147"/>
      <c r="AJ3128" s="80"/>
      <c r="AK3128" s="80"/>
      <c r="AL3128" s="35"/>
      <c r="AM3128" s="35"/>
      <c r="AN3128" s="35"/>
      <c r="AO3128" s="35"/>
      <c r="AP3128" s="35"/>
    </row>
    <row r="3129" spans="1:42" x14ac:dyDescent="0.2">
      <c r="A3129" s="126">
        <v>45507.58170969908</v>
      </c>
      <c r="B3129" s="137" t="s">
        <v>37</v>
      </c>
      <c r="C3129" s="41" t="s">
        <v>118</v>
      </c>
      <c r="D3129" s="80" t="s">
        <v>36</v>
      </c>
      <c r="E3129" s="80" t="s">
        <v>56</v>
      </c>
      <c r="F3129" s="80" t="s">
        <v>36</v>
      </c>
      <c r="G3129" s="80" t="s">
        <v>41</v>
      </c>
      <c r="H3129" s="80" t="s">
        <v>9763</v>
      </c>
      <c r="I3129" s="17">
        <f ca="1">IFERROR(__xludf.DUMMYFUNCTION("""COMPUTED_VALUE"""),45512)</f>
        <v>45512</v>
      </c>
      <c r="J3129" s="143" t="s">
        <v>11205</v>
      </c>
      <c r="K3129" s="80" t="s">
        <v>11206</v>
      </c>
      <c r="L3129" s="30">
        <v>343372006</v>
      </c>
      <c r="M3129" s="80" t="s">
        <v>910</v>
      </c>
      <c r="N3129" s="80" t="s">
        <v>3525</v>
      </c>
      <c r="O3129" s="80" t="s">
        <v>11207</v>
      </c>
      <c r="P3129" s="80" t="s">
        <v>11208</v>
      </c>
      <c r="Q3129" s="20">
        <v>9317</v>
      </c>
      <c r="R3129" s="80" t="s">
        <v>36</v>
      </c>
      <c r="S3129" s="95">
        <f>200+9117</f>
        <v>9317</v>
      </c>
      <c r="T3129" s="83" t="s">
        <v>11209</v>
      </c>
      <c r="U3129" s="95"/>
      <c r="V3129" s="148"/>
      <c r="W3129" s="80" t="s">
        <v>11210</v>
      </c>
      <c r="X3129" s="80">
        <v>0</v>
      </c>
      <c r="Y3129" s="22">
        <v>0</v>
      </c>
      <c r="Z3129" s="80" t="s">
        <v>50</v>
      </c>
      <c r="AA3129" s="96" t="s">
        <v>10314</v>
      </c>
      <c r="AB3129" s="80"/>
      <c r="AC3129" s="80" t="s">
        <v>53</v>
      </c>
      <c r="AD3129" s="80" t="s">
        <v>54</v>
      </c>
      <c r="AE3129" s="80"/>
      <c r="AF3129" s="17">
        <v>45507</v>
      </c>
      <c r="AG3129" s="80"/>
      <c r="AH3129" s="80"/>
      <c r="AI3129" s="147"/>
      <c r="AJ3129" s="80"/>
      <c r="AK3129" s="80"/>
      <c r="AL3129" s="35"/>
      <c r="AM3129" s="35"/>
      <c r="AN3129" s="35"/>
      <c r="AO3129" s="35"/>
      <c r="AP3129" s="35"/>
    </row>
    <row r="3130" spans="1:42" x14ac:dyDescent="0.2">
      <c r="A3130" s="126">
        <v>45507.701024942129</v>
      </c>
      <c r="B3130" s="137" t="s">
        <v>37</v>
      </c>
      <c r="C3130" s="41" t="s">
        <v>118</v>
      </c>
      <c r="D3130" s="80" t="s">
        <v>36</v>
      </c>
      <c r="E3130" s="80" t="s">
        <v>139</v>
      </c>
      <c r="F3130" s="80" t="s">
        <v>36</v>
      </c>
      <c r="G3130" s="80" t="s">
        <v>41</v>
      </c>
      <c r="H3130" s="80" t="s">
        <v>11211</v>
      </c>
      <c r="I3130" s="17">
        <f ca="1">IFERROR(__xludf.DUMMYFUNCTION("""COMPUTED_VALUE"""),45519)</f>
        <v>45519</v>
      </c>
      <c r="J3130" s="143" t="s">
        <v>11212</v>
      </c>
      <c r="K3130" s="80" t="s">
        <v>11213</v>
      </c>
      <c r="L3130" s="30">
        <v>865871518</v>
      </c>
      <c r="M3130" s="80" t="s">
        <v>1245</v>
      </c>
      <c r="N3130" s="80" t="s">
        <v>1246</v>
      </c>
      <c r="O3130" s="80" t="s">
        <v>11214</v>
      </c>
      <c r="P3130" s="144" t="s">
        <v>11215</v>
      </c>
      <c r="Q3130" s="20">
        <v>15936</v>
      </c>
      <c r="R3130" s="80" t="s">
        <v>36</v>
      </c>
      <c r="S3130" s="95">
        <v>2000</v>
      </c>
      <c r="T3130" s="148">
        <v>45507</v>
      </c>
      <c r="U3130" s="77">
        <v>13936</v>
      </c>
      <c r="V3130" s="78">
        <v>45534</v>
      </c>
      <c r="W3130" s="79" t="s">
        <v>11216</v>
      </c>
      <c r="X3130" s="80">
        <v>0</v>
      </c>
      <c r="Y3130" s="22">
        <v>0</v>
      </c>
      <c r="Z3130" s="80" t="s">
        <v>50</v>
      </c>
      <c r="AA3130" s="35" t="s">
        <v>10314</v>
      </c>
      <c r="AB3130" s="26" t="s">
        <v>36</v>
      </c>
      <c r="AC3130" s="80" t="s">
        <v>53</v>
      </c>
      <c r="AD3130" s="80" t="s">
        <v>54</v>
      </c>
      <c r="AE3130" s="80" t="s">
        <v>72</v>
      </c>
      <c r="AF3130" s="17">
        <v>45507</v>
      </c>
      <c r="AG3130" s="80"/>
      <c r="AH3130" s="80"/>
      <c r="AI3130" s="147"/>
      <c r="AJ3130" s="80"/>
      <c r="AK3130" s="80"/>
      <c r="AL3130" s="35"/>
      <c r="AM3130" s="35"/>
      <c r="AN3130" s="35"/>
      <c r="AO3130" s="35"/>
      <c r="AP3130" s="35"/>
    </row>
    <row r="3131" spans="1:42" x14ac:dyDescent="0.2">
      <c r="A3131" s="126">
        <v>45507.902524212965</v>
      </c>
      <c r="B3131" s="137" t="s">
        <v>37</v>
      </c>
      <c r="C3131" s="41" t="s">
        <v>118</v>
      </c>
      <c r="D3131" s="80" t="s">
        <v>36</v>
      </c>
      <c r="E3131" s="80" t="s">
        <v>77</v>
      </c>
      <c r="F3131" s="80" t="s">
        <v>36</v>
      </c>
      <c r="G3131" s="80" t="s">
        <v>41</v>
      </c>
      <c r="H3131" s="80" t="s">
        <v>11217</v>
      </c>
      <c r="I3131" s="17" t="str">
        <f ca="1">IFERROR(__xludf.DUMMYFUNCTION("""COMPUTED_VALUE""")," ")</f>
        <v xml:space="preserve"> </v>
      </c>
      <c r="J3131" s="143" t="s">
        <v>11218</v>
      </c>
      <c r="K3131" s="80" t="s">
        <v>11219</v>
      </c>
      <c r="L3131" s="30">
        <v>869826623</v>
      </c>
      <c r="M3131" s="80" t="s">
        <v>5558</v>
      </c>
      <c r="N3131" s="80" t="s">
        <v>5559</v>
      </c>
      <c r="O3131" s="80" t="s">
        <v>4503</v>
      </c>
      <c r="P3131" s="80" t="s">
        <v>11220</v>
      </c>
      <c r="Q3131" s="20">
        <v>1968</v>
      </c>
      <c r="R3131" s="80" t="s">
        <v>36</v>
      </c>
      <c r="S3131" s="95">
        <v>2000</v>
      </c>
      <c r="T3131" s="148">
        <v>45507</v>
      </c>
      <c r="U3131" s="77"/>
      <c r="V3131" s="78"/>
      <c r="W3131" s="85" t="s">
        <v>11221</v>
      </c>
      <c r="X3131" s="80">
        <v>0</v>
      </c>
      <c r="Y3131" s="22">
        <v>-32</v>
      </c>
      <c r="Z3131" s="80" t="s">
        <v>50</v>
      </c>
      <c r="AA3131" s="96" t="s">
        <v>10314</v>
      </c>
      <c r="AB3131" s="80"/>
      <c r="AC3131" s="80" t="s">
        <v>53</v>
      </c>
      <c r="AD3131" s="80" t="s">
        <v>54</v>
      </c>
      <c r="AE3131" s="80"/>
      <c r="AF3131" s="17">
        <v>45509</v>
      </c>
      <c r="AG3131" s="80" t="s">
        <v>7078</v>
      </c>
      <c r="AH3131" s="80"/>
      <c r="AI3131" s="147"/>
      <c r="AJ3131" s="80"/>
      <c r="AK3131" s="80"/>
      <c r="AL3131" s="35"/>
      <c r="AM3131" s="35"/>
      <c r="AN3131" s="35"/>
      <c r="AO3131" s="35"/>
      <c r="AP3131" s="35"/>
    </row>
    <row r="3132" spans="1:42" x14ac:dyDescent="0.2">
      <c r="A3132" s="126">
        <v>45508.865970023151</v>
      </c>
      <c r="B3132" s="137" t="s">
        <v>37</v>
      </c>
      <c r="C3132" s="41" t="s">
        <v>118</v>
      </c>
      <c r="D3132" s="80" t="s">
        <v>36</v>
      </c>
      <c r="E3132" s="80" t="s">
        <v>139</v>
      </c>
      <c r="F3132" s="80" t="s">
        <v>36</v>
      </c>
      <c r="G3132" s="80" t="s">
        <v>41</v>
      </c>
      <c r="H3132" s="80" t="s">
        <v>10444</v>
      </c>
      <c r="I3132" s="17">
        <f ca="1">IFERROR(__xludf.DUMMYFUNCTION("""COMPUTED_VALUE"""),45515)</f>
        <v>45515</v>
      </c>
      <c r="J3132" s="143" t="s">
        <v>11222</v>
      </c>
      <c r="K3132" s="80" t="s">
        <v>11223</v>
      </c>
      <c r="L3132" s="30">
        <v>776369392</v>
      </c>
      <c r="M3132" s="80" t="s">
        <v>3728</v>
      </c>
      <c r="N3132" s="80" t="s">
        <v>5277</v>
      </c>
      <c r="O3132" s="80" t="s">
        <v>11224</v>
      </c>
      <c r="P3132" s="80" t="s">
        <v>11225</v>
      </c>
      <c r="Q3132" s="20">
        <v>15936</v>
      </c>
      <c r="R3132" s="80" t="s">
        <v>36</v>
      </c>
      <c r="S3132" s="95">
        <v>2000</v>
      </c>
      <c r="T3132" s="148">
        <v>45508</v>
      </c>
      <c r="U3132" s="95">
        <v>13936</v>
      </c>
      <c r="V3132" s="148">
        <v>45535</v>
      </c>
      <c r="W3132" s="85" t="s">
        <v>11226</v>
      </c>
      <c r="X3132" s="80">
        <v>0</v>
      </c>
      <c r="Y3132" s="22">
        <v>0</v>
      </c>
      <c r="Z3132" s="80" t="s">
        <v>50</v>
      </c>
      <c r="AA3132" s="35" t="s">
        <v>10314</v>
      </c>
      <c r="AB3132" s="80"/>
      <c r="AC3132" s="80" t="s">
        <v>53</v>
      </c>
      <c r="AD3132" s="80" t="s">
        <v>54</v>
      </c>
      <c r="AE3132" s="80"/>
      <c r="AF3132" s="17">
        <v>45509</v>
      </c>
      <c r="AG3132" s="80"/>
      <c r="AH3132" s="80"/>
      <c r="AI3132" s="147"/>
      <c r="AJ3132" s="80"/>
      <c r="AK3132" s="80"/>
      <c r="AL3132" s="35"/>
      <c r="AM3132" s="35"/>
      <c r="AN3132" s="35"/>
      <c r="AO3132" s="35"/>
      <c r="AP3132" s="35"/>
    </row>
    <row r="3133" spans="1:42" x14ac:dyDescent="0.2">
      <c r="A3133" s="126">
        <v>45509.326264432872</v>
      </c>
      <c r="B3133" s="137" t="s">
        <v>37</v>
      </c>
      <c r="C3133" s="41" t="s">
        <v>118</v>
      </c>
      <c r="D3133" s="80" t="s">
        <v>36</v>
      </c>
      <c r="E3133" s="80" t="s">
        <v>139</v>
      </c>
      <c r="F3133" s="80" t="s">
        <v>36</v>
      </c>
      <c r="G3133" s="80" t="s">
        <v>41</v>
      </c>
      <c r="H3133" s="80" t="s">
        <v>9763</v>
      </c>
      <c r="I3133" s="17">
        <f ca="1">IFERROR(__xludf.DUMMYFUNCTION("""COMPUTED_VALUE"""),45512)</f>
        <v>45512</v>
      </c>
      <c r="J3133" s="143" t="s">
        <v>11227</v>
      </c>
      <c r="K3133" s="80" t="s">
        <v>11228</v>
      </c>
      <c r="L3133" s="30">
        <v>352988238</v>
      </c>
      <c r="M3133" s="80" t="s">
        <v>45</v>
      </c>
      <c r="N3133" s="80" t="s">
        <v>2847</v>
      </c>
      <c r="O3133" s="80" t="s">
        <v>11229</v>
      </c>
      <c r="P3133" s="80" t="s">
        <v>11230</v>
      </c>
      <c r="Q3133" s="20">
        <v>15936</v>
      </c>
      <c r="R3133" s="80" t="s">
        <v>36</v>
      </c>
      <c r="S3133" s="95">
        <v>15936</v>
      </c>
      <c r="T3133" s="148">
        <v>45508</v>
      </c>
      <c r="U3133" s="77"/>
      <c r="V3133" s="78"/>
      <c r="W3133" s="85" t="s">
        <v>11231</v>
      </c>
      <c r="X3133" s="80">
        <v>0</v>
      </c>
      <c r="Y3133" s="22">
        <v>0</v>
      </c>
      <c r="Z3133" s="80" t="s">
        <v>50</v>
      </c>
      <c r="AA3133" s="96" t="s">
        <v>10314</v>
      </c>
      <c r="AB3133" s="80"/>
      <c r="AC3133" s="80" t="s">
        <v>53</v>
      </c>
      <c r="AD3133" s="80" t="s">
        <v>54</v>
      </c>
      <c r="AE3133" s="83">
        <v>0</v>
      </c>
      <c r="AF3133" s="17">
        <v>45509</v>
      </c>
      <c r="AG3133" s="80"/>
      <c r="AH3133" s="80"/>
      <c r="AI3133" s="147"/>
      <c r="AJ3133" s="80"/>
      <c r="AK3133" s="80"/>
      <c r="AL3133" s="35"/>
      <c r="AM3133" s="35"/>
      <c r="AN3133" s="35"/>
      <c r="AO3133" s="35"/>
      <c r="AP3133" s="35"/>
    </row>
    <row r="3134" spans="1:42" x14ac:dyDescent="0.2">
      <c r="A3134" s="126">
        <v>45509.451992106478</v>
      </c>
      <c r="B3134" s="137" t="s">
        <v>37</v>
      </c>
      <c r="C3134" s="41" t="s">
        <v>118</v>
      </c>
      <c r="D3134" s="80" t="s">
        <v>36</v>
      </c>
      <c r="E3134" s="80" t="s">
        <v>106</v>
      </c>
      <c r="F3134" s="80" t="s">
        <v>36</v>
      </c>
      <c r="G3134" s="80" t="s">
        <v>108</v>
      </c>
      <c r="H3134" s="80" t="s">
        <v>1242</v>
      </c>
      <c r="I3134" s="17">
        <f ca="1">IFERROR(__xludf.DUMMYFUNCTION("""COMPUTED_VALUE"""),45510)</f>
        <v>45510</v>
      </c>
      <c r="J3134" s="143" t="s">
        <v>11232</v>
      </c>
      <c r="K3134" s="80" t="s">
        <v>11233</v>
      </c>
      <c r="L3134" s="30">
        <v>898153803</v>
      </c>
      <c r="M3134" s="80" t="s">
        <v>9422</v>
      </c>
      <c r="N3134" s="80" t="s">
        <v>327</v>
      </c>
      <c r="O3134" s="80" t="s">
        <v>11234</v>
      </c>
      <c r="P3134" s="80" t="s">
        <v>11235</v>
      </c>
      <c r="Q3134" s="20">
        <v>3768</v>
      </c>
      <c r="R3134" s="80" t="s">
        <v>36</v>
      </c>
      <c r="S3134" s="95">
        <v>1000</v>
      </c>
      <c r="T3134" s="148">
        <v>45507</v>
      </c>
      <c r="U3134" s="95">
        <v>2768</v>
      </c>
      <c r="V3134" s="148">
        <v>45514</v>
      </c>
      <c r="W3134" s="85" t="s">
        <v>11236</v>
      </c>
      <c r="X3134" s="80">
        <v>0</v>
      </c>
      <c r="Y3134" s="22">
        <v>0</v>
      </c>
      <c r="Z3134" s="80" t="s">
        <v>50</v>
      </c>
      <c r="AA3134" s="35" t="s">
        <v>10314</v>
      </c>
      <c r="AB3134" s="80"/>
      <c r="AC3134" s="80" t="s">
        <v>53</v>
      </c>
      <c r="AD3134" s="80" t="s">
        <v>54</v>
      </c>
      <c r="AE3134" s="83">
        <v>400</v>
      </c>
      <c r="AF3134" s="17">
        <v>45509</v>
      </c>
      <c r="AG3134" s="80"/>
      <c r="AH3134" s="80"/>
      <c r="AI3134" s="147"/>
      <c r="AJ3134" s="80"/>
      <c r="AK3134" s="80"/>
      <c r="AL3134" s="35"/>
      <c r="AM3134" s="35"/>
      <c r="AN3134" s="35"/>
      <c r="AO3134" s="35"/>
      <c r="AP3134" s="35"/>
    </row>
    <row r="3135" spans="1:42" x14ac:dyDescent="0.2">
      <c r="A3135" s="126">
        <v>45509.453636041668</v>
      </c>
      <c r="B3135" s="137" t="s">
        <v>37</v>
      </c>
      <c r="C3135" s="41" t="s">
        <v>118</v>
      </c>
      <c r="D3135" s="80" t="s">
        <v>36</v>
      </c>
      <c r="E3135" s="80" t="s">
        <v>139</v>
      </c>
      <c r="F3135" s="80" t="s">
        <v>36</v>
      </c>
      <c r="G3135" s="80" t="s">
        <v>41</v>
      </c>
      <c r="H3135" s="80" t="s">
        <v>9682</v>
      </c>
      <c r="I3135" s="17">
        <f ca="1">IFERROR(__xludf.DUMMYFUNCTION("""COMPUTED_VALUE"""),45505)</f>
        <v>45505</v>
      </c>
      <c r="J3135" s="143" t="s">
        <v>11237</v>
      </c>
      <c r="K3135" s="80" t="s">
        <v>11238</v>
      </c>
      <c r="L3135" s="30">
        <v>373653025</v>
      </c>
      <c r="M3135" s="80" t="s">
        <v>9422</v>
      </c>
      <c r="N3135" s="80" t="s">
        <v>68</v>
      </c>
      <c r="O3135" s="80" t="s">
        <v>11239</v>
      </c>
      <c r="P3135" s="80" t="s">
        <v>11240</v>
      </c>
      <c r="Q3135" s="20">
        <v>15936</v>
      </c>
      <c r="R3135" s="80" t="s">
        <v>36</v>
      </c>
      <c r="S3135" s="95">
        <v>5000</v>
      </c>
      <c r="T3135" s="148">
        <v>45505</v>
      </c>
      <c r="U3135" s="95">
        <v>10936</v>
      </c>
      <c r="V3135" s="148">
        <v>45522</v>
      </c>
      <c r="W3135" s="85" t="s">
        <v>11241</v>
      </c>
      <c r="X3135" s="80">
        <v>0</v>
      </c>
      <c r="Y3135" s="22">
        <v>0</v>
      </c>
      <c r="Z3135" s="80" t="s">
        <v>50</v>
      </c>
      <c r="AA3135" s="96" t="s">
        <v>10314</v>
      </c>
      <c r="AB3135" s="80"/>
      <c r="AC3135" s="80" t="s">
        <v>53</v>
      </c>
      <c r="AD3135" s="80" t="s">
        <v>54</v>
      </c>
      <c r="AE3135" s="80"/>
      <c r="AF3135" s="17">
        <v>45505</v>
      </c>
      <c r="AG3135" s="80" t="s">
        <v>11240</v>
      </c>
      <c r="AH3135" s="80"/>
      <c r="AI3135" s="147"/>
      <c r="AJ3135" s="80"/>
      <c r="AK3135" s="80"/>
      <c r="AL3135" s="35"/>
      <c r="AM3135" s="35"/>
      <c r="AN3135" s="35"/>
      <c r="AO3135" s="35"/>
      <c r="AP3135" s="35"/>
    </row>
    <row r="3136" spans="1:42" x14ac:dyDescent="0.2">
      <c r="A3136" s="126">
        <v>45509.943225740746</v>
      </c>
      <c r="B3136" s="137" t="s">
        <v>37</v>
      </c>
      <c r="C3136" s="41" t="s">
        <v>118</v>
      </c>
      <c r="D3136" s="80" t="s">
        <v>36</v>
      </c>
      <c r="E3136" s="80" t="s">
        <v>119</v>
      </c>
      <c r="F3136" s="80" t="s">
        <v>36</v>
      </c>
      <c r="G3136" s="80" t="s">
        <v>108</v>
      </c>
      <c r="H3136" s="80" t="s">
        <v>1242</v>
      </c>
      <c r="I3136" s="17">
        <f ca="1">IFERROR(__xludf.DUMMYFUNCTION("""COMPUTED_VALUE"""),45510)</f>
        <v>45510</v>
      </c>
      <c r="J3136" s="143" t="s">
        <v>11242</v>
      </c>
      <c r="K3136" s="80" t="s">
        <v>11243</v>
      </c>
      <c r="L3136" s="30">
        <v>387608900</v>
      </c>
      <c r="M3136" s="80" t="s">
        <v>348</v>
      </c>
      <c r="N3136" s="80" t="s">
        <v>200</v>
      </c>
      <c r="O3136" s="80" t="s">
        <v>11244</v>
      </c>
      <c r="P3136" s="80" t="s">
        <v>11245</v>
      </c>
      <c r="Q3136" s="20">
        <v>13968</v>
      </c>
      <c r="R3136" s="80" t="s">
        <v>36</v>
      </c>
      <c r="S3136" s="95">
        <v>3768</v>
      </c>
      <c r="T3136" s="148">
        <v>45509</v>
      </c>
      <c r="U3136" s="95">
        <v>10200</v>
      </c>
      <c r="V3136" s="148">
        <v>45510</v>
      </c>
      <c r="W3136" s="85" t="s">
        <v>11246</v>
      </c>
      <c r="X3136" s="80">
        <v>0</v>
      </c>
      <c r="Y3136" s="22">
        <v>0</v>
      </c>
      <c r="Z3136" s="80" t="s">
        <v>50</v>
      </c>
      <c r="AA3136" s="35" t="s">
        <v>10314</v>
      </c>
      <c r="AB3136" s="80"/>
      <c r="AC3136" s="80" t="s">
        <v>53</v>
      </c>
      <c r="AD3136" s="80" t="s">
        <v>54</v>
      </c>
      <c r="AE3136" s="83">
        <v>400</v>
      </c>
      <c r="AF3136" s="17">
        <v>45510</v>
      </c>
      <c r="AG3136" s="80" t="s">
        <v>2075</v>
      </c>
      <c r="AH3136" s="80"/>
      <c r="AI3136" s="147"/>
      <c r="AJ3136" s="80"/>
      <c r="AK3136" s="80"/>
      <c r="AL3136" s="35"/>
      <c r="AM3136" s="35"/>
      <c r="AN3136" s="35"/>
      <c r="AO3136" s="35"/>
      <c r="AP3136" s="35"/>
    </row>
    <row r="3137" spans="1:42" x14ac:dyDescent="0.2">
      <c r="A3137" s="126">
        <v>45509.952894861111</v>
      </c>
      <c r="B3137" s="137" t="s">
        <v>37</v>
      </c>
      <c r="C3137" s="41" t="s">
        <v>118</v>
      </c>
      <c r="D3137" s="80" t="s">
        <v>36</v>
      </c>
      <c r="E3137" s="80" t="s">
        <v>219</v>
      </c>
      <c r="F3137" s="80" t="s">
        <v>6596</v>
      </c>
      <c r="G3137" s="80" t="s">
        <v>221</v>
      </c>
      <c r="H3137" s="80" t="s">
        <v>11247</v>
      </c>
      <c r="I3137" s="17" t="str">
        <f ca="1">IFERROR(__xludf.DUMMYFUNCTION("""COMPUTED_VALUE""")," ")</f>
        <v xml:space="preserve"> </v>
      </c>
      <c r="J3137" s="143" t="s">
        <v>7141</v>
      </c>
      <c r="K3137" s="80" t="s">
        <v>7142</v>
      </c>
      <c r="L3137" s="30">
        <v>944344288</v>
      </c>
      <c r="M3137" s="80" t="s">
        <v>3288</v>
      </c>
      <c r="N3137" s="80" t="s">
        <v>200</v>
      </c>
      <c r="O3137" s="80" t="s">
        <v>8440</v>
      </c>
      <c r="P3137" s="144" t="s">
        <v>11248</v>
      </c>
      <c r="Q3137" s="20">
        <v>3968</v>
      </c>
      <c r="R3137" s="80" t="s">
        <v>36</v>
      </c>
      <c r="S3137" s="95">
        <v>3968</v>
      </c>
      <c r="T3137" s="148">
        <v>45509</v>
      </c>
      <c r="U3137" s="77"/>
      <c r="V3137" s="78"/>
      <c r="W3137" s="85" t="s">
        <v>11249</v>
      </c>
      <c r="X3137" s="80">
        <v>100</v>
      </c>
      <c r="Y3137" s="22">
        <v>-100</v>
      </c>
      <c r="Z3137" s="80" t="s">
        <v>50</v>
      </c>
      <c r="AA3137" s="96" t="s">
        <v>10314</v>
      </c>
      <c r="AB3137" s="80"/>
      <c r="AC3137" s="80" t="s">
        <v>53</v>
      </c>
      <c r="AD3137" s="80" t="s">
        <v>54</v>
      </c>
      <c r="AE3137" s="80" t="s">
        <v>6596</v>
      </c>
      <c r="AF3137" s="17">
        <v>45520</v>
      </c>
      <c r="AG3137" s="80"/>
      <c r="AH3137" s="80"/>
      <c r="AI3137" s="147"/>
      <c r="AJ3137" s="80"/>
      <c r="AK3137" s="80"/>
      <c r="AL3137" s="35"/>
      <c r="AM3137" s="35"/>
      <c r="AN3137" s="35"/>
      <c r="AO3137" s="35"/>
      <c r="AP3137" s="35"/>
    </row>
    <row r="3138" spans="1:42" x14ac:dyDescent="0.2">
      <c r="A3138" s="126">
        <v>45510.316986898149</v>
      </c>
      <c r="B3138" s="137" t="s">
        <v>37</v>
      </c>
      <c r="C3138" s="41" t="s">
        <v>118</v>
      </c>
      <c r="D3138" s="80" t="s">
        <v>36</v>
      </c>
      <c r="E3138" s="80" t="s">
        <v>119</v>
      </c>
      <c r="F3138" s="80" t="s">
        <v>36</v>
      </c>
      <c r="G3138" s="80" t="s">
        <v>108</v>
      </c>
      <c r="H3138" s="80" t="s">
        <v>1242</v>
      </c>
      <c r="I3138" s="17">
        <f ca="1">IFERROR(__xludf.DUMMYFUNCTION("""COMPUTED_VALUE"""),45510)</f>
        <v>45510</v>
      </c>
      <c r="J3138" s="143" t="s">
        <v>11250</v>
      </c>
      <c r="K3138" s="80" t="s">
        <v>11251</v>
      </c>
      <c r="L3138" s="30">
        <v>399107609</v>
      </c>
      <c r="M3138" s="80" t="s">
        <v>11252</v>
      </c>
      <c r="N3138" s="80" t="s">
        <v>1306</v>
      </c>
      <c r="O3138" s="80"/>
      <c r="P3138" s="137" t="s">
        <v>11253</v>
      </c>
      <c r="Q3138" s="20">
        <v>13968</v>
      </c>
      <c r="R3138" s="80" t="s">
        <v>36</v>
      </c>
      <c r="S3138" s="95">
        <v>6984</v>
      </c>
      <c r="T3138" s="148">
        <v>45509</v>
      </c>
      <c r="U3138" s="95">
        <v>6984</v>
      </c>
      <c r="V3138" s="148">
        <v>45521</v>
      </c>
      <c r="W3138" s="85" t="s">
        <v>11254</v>
      </c>
      <c r="X3138" s="80">
        <v>0</v>
      </c>
      <c r="Y3138" s="22">
        <v>0</v>
      </c>
      <c r="Z3138" s="80" t="s">
        <v>50</v>
      </c>
      <c r="AA3138" s="35" t="s">
        <v>10314</v>
      </c>
      <c r="AB3138" s="80"/>
      <c r="AC3138" s="80" t="s">
        <v>53</v>
      </c>
      <c r="AD3138" s="80" t="s">
        <v>54</v>
      </c>
      <c r="AE3138" s="83">
        <v>400</v>
      </c>
      <c r="AF3138" s="17">
        <v>45510</v>
      </c>
      <c r="AG3138" s="80"/>
      <c r="AH3138" s="80"/>
      <c r="AI3138" s="147"/>
      <c r="AJ3138" s="80"/>
      <c r="AK3138" s="80"/>
      <c r="AL3138" s="35"/>
      <c r="AM3138" s="35"/>
      <c r="AN3138" s="35"/>
      <c r="AO3138" s="35"/>
      <c r="AP3138" s="35"/>
    </row>
    <row r="3139" spans="1:42" x14ac:dyDescent="0.2">
      <c r="A3139" s="126">
        <v>45510.348307002314</v>
      </c>
      <c r="B3139" s="137" t="s">
        <v>37</v>
      </c>
      <c r="C3139" s="41" t="s">
        <v>118</v>
      </c>
      <c r="D3139" s="80" t="s">
        <v>36</v>
      </c>
      <c r="E3139" s="80" t="s">
        <v>39</v>
      </c>
      <c r="F3139" s="80" t="s">
        <v>36</v>
      </c>
      <c r="G3139" s="80" t="s">
        <v>41</v>
      </c>
      <c r="H3139" s="80" t="s">
        <v>10444</v>
      </c>
      <c r="I3139" s="17">
        <f ca="1">IFERROR(__xludf.DUMMYFUNCTION("""COMPUTED_VALUE"""),45515)</f>
        <v>45515</v>
      </c>
      <c r="J3139" s="143" t="s">
        <v>11255</v>
      </c>
      <c r="K3139" s="80" t="s">
        <v>11256</v>
      </c>
      <c r="L3139" s="30">
        <v>358058900</v>
      </c>
      <c r="M3139" s="80" t="s">
        <v>348</v>
      </c>
      <c r="N3139" s="80" t="s">
        <v>200</v>
      </c>
      <c r="O3139" s="80" t="s">
        <v>11257</v>
      </c>
      <c r="P3139" s="80" t="s">
        <v>11258</v>
      </c>
      <c r="Q3139" s="20">
        <v>5736</v>
      </c>
      <c r="R3139" s="80" t="s">
        <v>36</v>
      </c>
      <c r="S3139" s="95">
        <v>2000</v>
      </c>
      <c r="T3139" s="148">
        <v>45510</v>
      </c>
      <c r="U3139" s="95">
        <v>3736</v>
      </c>
      <c r="V3139" s="148">
        <v>45516</v>
      </c>
      <c r="W3139" s="85" t="s">
        <v>11259</v>
      </c>
      <c r="X3139" s="80">
        <v>0</v>
      </c>
      <c r="Y3139" s="22">
        <v>0</v>
      </c>
      <c r="Z3139" s="80" t="s">
        <v>50</v>
      </c>
      <c r="AA3139" s="96" t="s">
        <v>10314</v>
      </c>
      <c r="AB3139" s="80"/>
      <c r="AC3139" s="80" t="s">
        <v>53</v>
      </c>
      <c r="AD3139" s="80" t="s">
        <v>54</v>
      </c>
      <c r="AE3139" s="80" t="s">
        <v>1327</v>
      </c>
      <c r="AF3139" s="17">
        <v>45510</v>
      </c>
      <c r="AG3139" s="80"/>
      <c r="AH3139" s="80"/>
      <c r="AI3139" s="147"/>
      <c r="AJ3139" s="80"/>
      <c r="AK3139" s="80"/>
      <c r="AL3139" s="35"/>
      <c r="AM3139" s="35"/>
      <c r="AN3139" s="35"/>
      <c r="AO3139" s="35"/>
      <c r="AP3139" s="35"/>
    </row>
    <row r="3140" spans="1:42" x14ac:dyDescent="0.2">
      <c r="A3140" s="38">
        <v>45510</v>
      </c>
      <c r="B3140" s="28" t="s">
        <v>37</v>
      </c>
      <c r="C3140" s="41" t="s">
        <v>118</v>
      </c>
      <c r="D3140" s="26" t="s">
        <v>77</v>
      </c>
      <c r="E3140" s="26" t="s">
        <v>106</v>
      </c>
      <c r="F3140" s="26" t="s">
        <v>7497</v>
      </c>
      <c r="G3140" s="26" t="s">
        <v>41</v>
      </c>
      <c r="H3140" s="26" t="s">
        <v>8986</v>
      </c>
      <c r="I3140" s="17">
        <f ca="1">IFERROR(__xludf.DUMMYFUNCTION("""COMPUTED_VALUE"""),45531)</f>
        <v>45531</v>
      </c>
      <c r="J3140" s="29" t="s">
        <v>9080</v>
      </c>
      <c r="K3140" s="19" t="s">
        <v>9081</v>
      </c>
      <c r="L3140" s="47">
        <v>975544305</v>
      </c>
      <c r="M3140" s="19" t="s">
        <v>80</v>
      </c>
      <c r="N3140" s="19" t="s">
        <v>11260</v>
      </c>
      <c r="O3140" s="26" t="s">
        <v>1492</v>
      </c>
      <c r="P3140" s="42" t="s">
        <v>9082</v>
      </c>
      <c r="Q3140" s="20">
        <v>3768</v>
      </c>
      <c r="R3140" s="26" t="s">
        <v>36</v>
      </c>
      <c r="S3140" s="95">
        <f>900+2768</f>
        <v>3668</v>
      </c>
      <c r="T3140" s="148">
        <v>45514</v>
      </c>
      <c r="U3140" s="31"/>
      <c r="V3140" s="32"/>
      <c r="W3140" s="85" t="s">
        <v>11261</v>
      </c>
      <c r="X3140" s="26">
        <v>100</v>
      </c>
      <c r="Y3140" s="22">
        <v>0</v>
      </c>
      <c r="Z3140" s="26" t="s">
        <v>50</v>
      </c>
      <c r="AA3140" s="35" t="s">
        <v>10314</v>
      </c>
      <c r="AB3140" s="26" t="s">
        <v>36</v>
      </c>
      <c r="AC3140" s="80" t="s">
        <v>53</v>
      </c>
      <c r="AD3140" s="26" t="s">
        <v>54</v>
      </c>
      <c r="AE3140" s="26" t="s">
        <v>7497</v>
      </c>
      <c r="AF3140" s="17">
        <v>45527</v>
      </c>
      <c r="AG3140" s="26"/>
      <c r="AH3140" s="26"/>
      <c r="AI3140" s="40"/>
      <c r="AJ3140" s="26"/>
      <c r="AK3140" s="26"/>
      <c r="AL3140" s="35"/>
      <c r="AM3140" s="35"/>
      <c r="AN3140" s="35"/>
      <c r="AO3140" s="35"/>
      <c r="AP3140" s="35"/>
    </row>
    <row r="3141" spans="1:42" x14ac:dyDescent="0.2">
      <c r="A3141" s="38">
        <v>45510</v>
      </c>
      <c r="B3141" s="28" t="s">
        <v>37</v>
      </c>
      <c r="C3141" s="41" t="s">
        <v>118</v>
      </c>
      <c r="D3141" s="80" t="s">
        <v>36</v>
      </c>
      <c r="E3141" s="26" t="s">
        <v>119</v>
      </c>
      <c r="F3141" s="80" t="s">
        <v>36</v>
      </c>
      <c r="G3141" s="26" t="s">
        <v>108</v>
      </c>
      <c r="H3141" s="26" t="s">
        <v>1242</v>
      </c>
      <c r="I3141" s="17">
        <f ca="1">IFERROR(__xludf.DUMMYFUNCTION("""COMPUTED_VALUE"""),45510)</f>
        <v>45510</v>
      </c>
      <c r="J3141" s="29" t="s">
        <v>11262</v>
      </c>
      <c r="K3141" s="26" t="s">
        <v>11263</v>
      </c>
      <c r="L3141" s="30">
        <v>975877639</v>
      </c>
      <c r="M3141" s="26" t="s">
        <v>1245</v>
      </c>
      <c r="N3141" s="26" t="s">
        <v>5092</v>
      </c>
      <c r="O3141" s="80" t="s">
        <v>9649</v>
      </c>
      <c r="P3141" s="42" t="s">
        <v>11264</v>
      </c>
      <c r="Q3141" s="20">
        <v>13968</v>
      </c>
      <c r="R3141" s="80" t="s">
        <v>36</v>
      </c>
      <c r="S3141" s="95">
        <v>13968</v>
      </c>
      <c r="T3141" s="148">
        <v>45510</v>
      </c>
      <c r="U3141" s="31"/>
      <c r="V3141" s="32"/>
      <c r="W3141" s="33" t="s">
        <v>11265</v>
      </c>
      <c r="X3141" s="26">
        <v>0</v>
      </c>
      <c r="Y3141" s="22">
        <v>0</v>
      </c>
      <c r="Z3141" s="26" t="s">
        <v>50</v>
      </c>
      <c r="AA3141" s="96" t="s">
        <v>10314</v>
      </c>
      <c r="AB3141" s="26"/>
      <c r="AC3141" s="80" t="s">
        <v>53</v>
      </c>
      <c r="AD3141" s="80" t="s">
        <v>54</v>
      </c>
      <c r="AE3141" s="26">
        <v>400</v>
      </c>
      <c r="AF3141" s="17">
        <v>45511</v>
      </c>
      <c r="AG3141" s="26"/>
      <c r="AH3141" s="26"/>
      <c r="AI3141" s="40"/>
      <c r="AJ3141" s="26"/>
      <c r="AK3141" s="26"/>
      <c r="AL3141" s="35"/>
      <c r="AM3141" s="35"/>
      <c r="AN3141" s="35"/>
      <c r="AO3141" s="35"/>
      <c r="AP3141" s="35"/>
    </row>
    <row r="3142" spans="1:42" x14ac:dyDescent="0.2">
      <c r="A3142" s="126">
        <v>45510.480034560183</v>
      </c>
      <c r="B3142" s="137" t="s">
        <v>37</v>
      </c>
      <c r="C3142" s="41" t="s">
        <v>118</v>
      </c>
      <c r="D3142" s="80" t="s">
        <v>36</v>
      </c>
      <c r="E3142" s="80" t="s">
        <v>119</v>
      </c>
      <c r="F3142" s="80" t="s">
        <v>36</v>
      </c>
      <c r="G3142" s="80" t="s">
        <v>108</v>
      </c>
      <c r="H3142" s="80" t="s">
        <v>7524</v>
      </c>
      <c r="I3142" s="17">
        <f ca="1">IFERROR(__xludf.DUMMYFUNCTION("""COMPUTED_VALUE"""),45509)</f>
        <v>45509</v>
      </c>
      <c r="J3142" s="143" t="s">
        <v>11266</v>
      </c>
      <c r="K3142" s="80" t="s">
        <v>11267</v>
      </c>
      <c r="L3142" s="30">
        <v>862432205</v>
      </c>
      <c r="M3142" s="80" t="s">
        <v>45</v>
      </c>
      <c r="N3142" s="80" t="s">
        <v>3839</v>
      </c>
      <c r="O3142" s="80" t="s">
        <v>11268</v>
      </c>
      <c r="P3142" s="80" t="s">
        <v>11269</v>
      </c>
      <c r="Q3142" s="20">
        <v>13968</v>
      </c>
      <c r="R3142" s="80" t="s">
        <v>36</v>
      </c>
      <c r="S3142" s="95">
        <v>13968</v>
      </c>
      <c r="T3142" s="148">
        <v>45510</v>
      </c>
      <c r="U3142" s="77"/>
      <c r="V3142" s="78"/>
      <c r="W3142" s="80" t="s">
        <v>11270</v>
      </c>
      <c r="X3142" s="80">
        <v>0</v>
      </c>
      <c r="Y3142" s="22">
        <v>0</v>
      </c>
      <c r="Z3142" s="80" t="s">
        <v>50</v>
      </c>
      <c r="AA3142" s="35" t="s">
        <v>10314</v>
      </c>
      <c r="AB3142" s="80"/>
      <c r="AC3142" s="80" t="s">
        <v>53</v>
      </c>
      <c r="AD3142" s="80" t="s">
        <v>54</v>
      </c>
      <c r="AE3142" s="83">
        <v>480</v>
      </c>
      <c r="AF3142" s="17">
        <v>45510</v>
      </c>
      <c r="AG3142" s="80" t="s">
        <v>2075</v>
      </c>
      <c r="AH3142" s="80"/>
      <c r="AI3142" s="147"/>
      <c r="AJ3142" s="80"/>
      <c r="AK3142" s="80"/>
      <c r="AL3142" s="35"/>
      <c r="AM3142" s="35"/>
      <c r="AN3142" s="35"/>
      <c r="AO3142" s="35"/>
      <c r="AP3142" s="35"/>
    </row>
    <row r="3143" spans="1:42" x14ac:dyDescent="0.2">
      <c r="A3143" s="126">
        <v>45510.520734895836</v>
      </c>
      <c r="B3143" s="137" t="s">
        <v>37</v>
      </c>
      <c r="C3143" s="41" t="s">
        <v>118</v>
      </c>
      <c r="D3143" s="80" t="s">
        <v>36</v>
      </c>
      <c r="E3143" s="80" t="s">
        <v>219</v>
      </c>
      <c r="F3143" s="80" t="s">
        <v>8093</v>
      </c>
      <c r="G3143" s="80" t="s">
        <v>221</v>
      </c>
      <c r="H3143" s="80" t="s">
        <v>8608</v>
      </c>
      <c r="I3143" s="17">
        <f ca="1">IFERROR(__xludf.DUMMYFUNCTION("""COMPUTED_VALUE"""),45527)</f>
        <v>45527</v>
      </c>
      <c r="J3143" s="143" t="s">
        <v>7651</v>
      </c>
      <c r="K3143" s="80" t="s">
        <v>11271</v>
      </c>
      <c r="L3143" s="30">
        <v>963594680</v>
      </c>
      <c r="M3143" s="80" t="s">
        <v>910</v>
      </c>
      <c r="N3143" s="80" t="s">
        <v>3525</v>
      </c>
      <c r="O3143" s="80" t="s">
        <v>7653</v>
      </c>
      <c r="P3143" s="144" t="s">
        <v>11272</v>
      </c>
      <c r="Q3143" s="20">
        <v>3968</v>
      </c>
      <c r="R3143" s="80" t="s">
        <v>36</v>
      </c>
      <c r="S3143" s="95">
        <v>3968</v>
      </c>
      <c r="T3143" s="148">
        <v>45510</v>
      </c>
      <c r="U3143" s="77"/>
      <c r="V3143" s="78"/>
      <c r="W3143" s="85" t="s">
        <v>11273</v>
      </c>
      <c r="X3143" s="80">
        <v>100</v>
      </c>
      <c r="Y3143" s="22">
        <v>-100</v>
      </c>
      <c r="Z3143" s="80" t="s">
        <v>50</v>
      </c>
      <c r="AA3143" s="96" t="s">
        <v>10314</v>
      </c>
      <c r="AB3143" s="80"/>
      <c r="AC3143" s="80" t="s">
        <v>53</v>
      </c>
      <c r="AD3143" s="80" t="s">
        <v>54</v>
      </c>
      <c r="AE3143" s="80" t="s">
        <v>8093</v>
      </c>
      <c r="AF3143" s="17">
        <v>45520</v>
      </c>
      <c r="AG3143" s="80"/>
      <c r="AH3143" s="80"/>
      <c r="AI3143" s="147"/>
      <c r="AJ3143" s="80"/>
      <c r="AK3143" s="80"/>
      <c r="AL3143" s="35"/>
      <c r="AM3143" s="35"/>
      <c r="AN3143" s="35"/>
      <c r="AO3143" s="35"/>
      <c r="AP3143" s="35"/>
    </row>
    <row r="3144" spans="1:42" x14ac:dyDescent="0.2">
      <c r="A3144" s="126">
        <v>45510.684395821758</v>
      </c>
      <c r="B3144" s="137" t="s">
        <v>37</v>
      </c>
      <c r="C3144" s="41" t="s">
        <v>118</v>
      </c>
      <c r="D3144" s="80" t="s">
        <v>36</v>
      </c>
      <c r="E3144" s="80" t="s">
        <v>219</v>
      </c>
      <c r="F3144" s="80" t="s">
        <v>36</v>
      </c>
      <c r="G3144" s="80" t="s">
        <v>221</v>
      </c>
      <c r="H3144" s="80" t="s">
        <v>8091</v>
      </c>
      <c r="I3144" s="17">
        <f ca="1">IFERROR(__xludf.DUMMYFUNCTION("""COMPUTED_VALUE"""),45519)</f>
        <v>45519</v>
      </c>
      <c r="J3144" s="143" t="s">
        <v>11274</v>
      </c>
      <c r="K3144" s="145" t="s">
        <v>1515</v>
      </c>
      <c r="L3144" s="30">
        <v>919991625</v>
      </c>
      <c r="M3144" s="80" t="s">
        <v>45</v>
      </c>
      <c r="N3144" s="80" t="s">
        <v>1472</v>
      </c>
      <c r="O3144" s="80" t="s">
        <v>11275</v>
      </c>
      <c r="P3144" s="80" t="s">
        <v>11276</v>
      </c>
      <c r="Q3144" s="20">
        <v>3968</v>
      </c>
      <c r="R3144" s="80" t="s">
        <v>36</v>
      </c>
      <c r="S3144" s="95">
        <v>3968</v>
      </c>
      <c r="T3144" s="148">
        <v>45509</v>
      </c>
      <c r="U3144" s="77"/>
      <c r="V3144" s="78"/>
      <c r="W3144" s="85" t="s">
        <v>11277</v>
      </c>
      <c r="X3144" s="80">
        <v>0</v>
      </c>
      <c r="Y3144" s="22">
        <v>0</v>
      </c>
      <c r="Z3144" s="80" t="s">
        <v>50</v>
      </c>
      <c r="AA3144" s="35" t="s">
        <v>10314</v>
      </c>
      <c r="AB3144" s="80"/>
      <c r="AC3144" s="80" t="s">
        <v>53</v>
      </c>
      <c r="AD3144" s="80" t="s">
        <v>54</v>
      </c>
      <c r="AE3144" s="83">
        <v>520</v>
      </c>
      <c r="AF3144" s="17">
        <v>45512</v>
      </c>
      <c r="AG3144" s="80"/>
      <c r="AH3144" s="80"/>
      <c r="AI3144" s="147"/>
      <c r="AJ3144" s="80"/>
      <c r="AK3144" s="80"/>
      <c r="AL3144" s="35"/>
      <c r="AM3144" s="35"/>
      <c r="AN3144" s="35"/>
      <c r="AO3144" s="35"/>
      <c r="AP3144" s="35"/>
    </row>
    <row r="3145" spans="1:42" x14ac:dyDescent="0.2">
      <c r="A3145" s="126">
        <v>45510.790654386576</v>
      </c>
      <c r="B3145" s="137" t="s">
        <v>37</v>
      </c>
      <c r="C3145" s="41" t="s">
        <v>118</v>
      </c>
      <c r="D3145" s="80" t="s">
        <v>36</v>
      </c>
      <c r="E3145" s="80" t="s">
        <v>139</v>
      </c>
      <c r="F3145" s="80" t="s">
        <v>36</v>
      </c>
      <c r="G3145" s="80" t="s">
        <v>41</v>
      </c>
      <c r="H3145" s="80" t="s">
        <v>10444</v>
      </c>
      <c r="I3145" s="17">
        <f ca="1">IFERROR(__xludf.DUMMYFUNCTION("""COMPUTED_VALUE"""),45515)</f>
        <v>45515</v>
      </c>
      <c r="J3145" s="143" t="s">
        <v>11278</v>
      </c>
      <c r="K3145" s="80" t="s">
        <v>11279</v>
      </c>
      <c r="L3145" s="30">
        <v>829223387</v>
      </c>
      <c r="M3145" s="80" t="s">
        <v>123</v>
      </c>
      <c r="N3145" s="80" t="s">
        <v>327</v>
      </c>
      <c r="O3145" s="80" t="s">
        <v>4503</v>
      </c>
      <c r="P3145" s="80" t="s">
        <v>11280</v>
      </c>
      <c r="Q3145" s="20">
        <v>15936</v>
      </c>
      <c r="R3145" s="80" t="s">
        <v>36</v>
      </c>
      <c r="S3145" s="95">
        <v>2000</v>
      </c>
      <c r="T3145" s="148">
        <v>45510</v>
      </c>
      <c r="U3145" s="95">
        <v>13936</v>
      </c>
      <c r="V3145" s="148">
        <v>45530</v>
      </c>
      <c r="W3145" s="85" t="s">
        <v>11281</v>
      </c>
      <c r="X3145" s="80">
        <v>0</v>
      </c>
      <c r="Y3145" s="22">
        <v>0</v>
      </c>
      <c r="Z3145" s="80" t="s">
        <v>50</v>
      </c>
      <c r="AA3145" s="96" t="s">
        <v>10314</v>
      </c>
      <c r="AB3145" s="80"/>
      <c r="AC3145" s="80" t="s">
        <v>53</v>
      </c>
      <c r="AD3145" s="80" t="s">
        <v>54</v>
      </c>
      <c r="AE3145" s="80"/>
      <c r="AF3145" s="17">
        <v>45511</v>
      </c>
      <c r="AG3145" s="80"/>
      <c r="AH3145" s="80"/>
      <c r="AI3145" s="147"/>
      <c r="AJ3145" s="80"/>
      <c r="AK3145" s="80"/>
      <c r="AL3145" s="35"/>
      <c r="AM3145" s="35"/>
      <c r="AN3145" s="35"/>
      <c r="AO3145" s="35"/>
      <c r="AP3145" s="35"/>
    </row>
    <row r="3146" spans="1:42" x14ac:dyDescent="0.2">
      <c r="A3146" s="126">
        <v>45510.877540520829</v>
      </c>
      <c r="B3146" s="137" t="s">
        <v>37</v>
      </c>
      <c r="C3146" s="41" t="s">
        <v>118</v>
      </c>
      <c r="D3146" s="80" t="s">
        <v>36</v>
      </c>
      <c r="E3146" s="80" t="s">
        <v>139</v>
      </c>
      <c r="F3146" s="80" t="s">
        <v>36</v>
      </c>
      <c r="G3146" s="80" t="s">
        <v>41</v>
      </c>
      <c r="H3146" s="80" t="s">
        <v>8635</v>
      </c>
      <c r="I3146" s="17">
        <f ca="1">IFERROR(__xludf.DUMMYFUNCTION("""COMPUTED_VALUE"""),45496)</f>
        <v>45496</v>
      </c>
      <c r="J3146" s="143" t="s">
        <v>11282</v>
      </c>
      <c r="K3146" s="80" t="s">
        <v>11283</v>
      </c>
      <c r="L3146" s="30">
        <v>988563706</v>
      </c>
      <c r="M3146" s="80" t="s">
        <v>80</v>
      </c>
      <c r="N3146" s="80" t="s">
        <v>1073</v>
      </c>
      <c r="O3146" s="80" t="s">
        <v>11284</v>
      </c>
      <c r="P3146" s="80" t="s">
        <v>2218</v>
      </c>
      <c r="Q3146" s="20">
        <v>15936</v>
      </c>
      <c r="R3146" s="80" t="s">
        <v>3825</v>
      </c>
      <c r="S3146" s="95">
        <v>2000</v>
      </c>
      <c r="T3146" s="148">
        <v>45510</v>
      </c>
      <c r="U3146" s="95">
        <v>13736</v>
      </c>
      <c r="V3146" s="148">
        <v>45527</v>
      </c>
      <c r="W3146" s="85" t="s">
        <v>11285</v>
      </c>
      <c r="X3146" s="80">
        <v>200</v>
      </c>
      <c r="Y3146" s="22">
        <v>0</v>
      </c>
      <c r="Z3146" s="80" t="s">
        <v>50</v>
      </c>
      <c r="AA3146" s="35" t="s">
        <v>10314</v>
      </c>
      <c r="AB3146" s="80"/>
      <c r="AC3146" s="80" t="s">
        <v>53</v>
      </c>
      <c r="AD3146" s="80" t="s">
        <v>54</v>
      </c>
      <c r="AE3146" s="83">
        <v>0</v>
      </c>
      <c r="AF3146" s="17">
        <v>45510</v>
      </c>
      <c r="AG3146" s="80" t="s">
        <v>2075</v>
      </c>
      <c r="AH3146" s="80"/>
      <c r="AI3146" s="147"/>
      <c r="AJ3146" s="80"/>
      <c r="AK3146" s="80"/>
      <c r="AL3146" s="35"/>
      <c r="AM3146" s="35"/>
      <c r="AN3146" s="35"/>
      <c r="AO3146" s="35"/>
      <c r="AP3146" s="35"/>
    </row>
    <row r="3147" spans="1:42" x14ac:dyDescent="0.2">
      <c r="A3147" s="126">
        <v>45511.457868043981</v>
      </c>
      <c r="B3147" s="137" t="s">
        <v>37</v>
      </c>
      <c r="C3147" s="41" t="s">
        <v>118</v>
      </c>
      <c r="D3147" s="80" t="s">
        <v>36</v>
      </c>
      <c r="E3147" s="80" t="s">
        <v>77</v>
      </c>
      <c r="F3147" s="80" t="s">
        <v>36</v>
      </c>
      <c r="G3147" s="80" t="s">
        <v>41</v>
      </c>
      <c r="H3147" s="80" t="s">
        <v>10444</v>
      </c>
      <c r="I3147" s="17">
        <f ca="1">IFERROR(__xludf.DUMMYFUNCTION("""COMPUTED_VALUE"""),45515)</f>
        <v>45515</v>
      </c>
      <c r="J3147" s="143" t="s">
        <v>11286</v>
      </c>
      <c r="K3147" s="80" t="s">
        <v>11287</v>
      </c>
      <c r="L3147" s="30">
        <v>968111385</v>
      </c>
      <c r="M3147" s="80" t="s">
        <v>59</v>
      </c>
      <c r="N3147" s="80" t="s">
        <v>9301</v>
      </c>
      <c r="O3147" s="80" t="s">
        <v>11288</v>
      </c>
      <c r="P3147" s="80" t="s">
        <v>11289</v>
      </c>
      <c r="Q3147" s="20">
        <v>1968</v>
      </c>
      <c r="R3147" s="80" t="s">
        <v>36</v>
      </c>
      <c r="S3147" s="95">
        <v>1968</v>
      </c>
      <c r="T3147" s="148">
        <v>45510</v>
      </c>
      <c r="U3147" s="77"/>
      <c r="V3147" s="78"/>
      <c r="W3147" s="85" t="s">
        <v>11290</v>
      </c>
      <c r="X3147" s="80">
        <v>0</v>
      </c>
      <c r="Y3147" s="22">
        <v>0</v>
      </c>
      <c r="Z3147" s="80" t="s">
        <v>50</v>
      </c>
      <c r="AA3147" s="96" t="s">
        <v>10314</v>
      </c>
      <c r="AB3147" s="80"/>
      <c r="AC3147" s="80" t="s">
        <v>53</v>
      </c>
      <c r="AD3147" s="80" t="s">
        <v>54</v>
      </c>
      <c r="AE3147" s="80" t="s">
        <v>72</v>
      </c>
      <c r="AF3147" s="17">
        <v>45511</v>
      </c>
      <c r="AG3147" s="80" t="s">
        <v>7078</v>
      </c>
      <c r="AH3147" s="80"/>
      <c r="AI3147" s="147"/>
      <c r="AJ3147" s="80"/>
      <c r="AK3147" s="80"/>
      <c r="AL3147" s="35"/>
      <c r="AM3147" s="35"/>
      <c r="AN3147" s="35"/>
      <c r="AO3147" s="35"/>
      <c r="AP3147" s="35"/>
    </row>
    <row r="3148" spans="1:42" x14ac:dyDescent="0.2">
      <c r="A3148" s="126">
        <v>45511.566144988421</v>
      </c>
      <c r="B3148" s="137" t="s">
        <v>37</v>
      </c>
      <c r="C3148" s="41" t="s">
        <v>118</v>
      </c>
      <c r="D3148" s="80" t="s">
        <v>36</v>
      </c>
      <c r="E3148" s="80" t="s">
        <v>77</v>
      </c>
      <c r="F3148" s="80" t="s">
        <v>36</v>
      </c>
      <c r="G3148" s="80" t="s">
        <v>41</v>
      </c>
      <c r="H3148" s="80" t="s">
        <v>11015</v>
      </c>
      <c r="I3148" s="17">
        <f ca="1">IFERROR(__xludf.DUMMYFUNCTION("""COMPUTED_VALUE"""),45519)</f>
        <v>45519</v>
      </c>
      <c r="J3148" s="143" t="s">
        <v>11291</v>
      </c>
      <c r="K3148" s="80" t="s">
        <v>11292</v>
      </c>
      <c r="L3148" s="30">
        <v>962815369</v>
      </c>
      <c r="M3148" s="80" t="s">
        <v>112</v>
      </c>
      <c r="N3148" s="80" t="s">
        <v>438</v>
      </c>
      <c r="O3148" s="80" t="s">
        <v>11293</v>
      </c>
      <c r="P3148" s="80" t="s">
        <v>11294</v>
      </c>
      <c r="Q3148" s="20">
        <v>1968</v>
      </c>
      <c r="R3148" s="80" t="s">
        <v>36</v>
      </c>
      <c r="S3148" s="95">
        <v>1968</v>
      </c>
      <c r="T3148" s="148">
        <v>45509</v>
      </c>
      <c r="U3148" s="77"/>
      <c r="V3148" s="78"/>
      <c r="W3148" s="85" t="s">
        <v>11295</v>
      </c>
      <c r="X3148" s="80">
        <v>0</v>
      </c>
      <c r="Y3148" s="22">
        <v>0</v>
      </c>
      <c r="Z3148" s="80" t="s">
        <v>50</v>
      </c>
      <c r="AA3148" s="35" t="s">
        <v>10314</v>
      </c>
      <c r="AB3148" s="80"/>
      <c r="AC3148" s="80" t="s">
        <v>53</v>
      </c>
      <c r="AD3148" s="80" t="s">
        <v>54</v>
      </c>
      <c r="AE3148" s="80" t="s">
        <v>420</v>
      </c>
      <c r="AF3148" s="17">
        <v>45512</v>
      </c>
      <c r="AG3148" s="80"/>
      <c r="AH3148" s="80"/>
      <c r="AI3148" s="147"/>
      <c r="AJ3148" s="80"/>
      <c r="AK3148" s="80"/>
      <c r="AL3148" s="35"/>
      <c r="AM3148" s="35"/>
      <c r="AN3148" s="35"/>
      <c r="AO3148" s="35"/>
      <c r="AP3148" s="35"/>
    </row>
    <row r="3149" spans="1:42" x14ac:dyDescent="0.2">
      <c r="A3149" s="126">
        <v>45511.570235787032</v>
      </c>
      <c r="B3149" s="137" t="s">
        <v>37</v>
      </c>
      <c r="C3149" s="41" t="s">
        <v>118</v>
      </c>
      <c r="D3149" s="80" t="s">
        <v>36</v>
      </c>
      <c r="E3149" s="80" t="s">
        <v>77</v>
      </c>
      <c r="F3149" s="80" t="s">
        <v>36</v>
      </c>
      <c r="G3149" s="80" t="s">
        <v>41</v>
      </c>
      <c r="H3149" s="80" t="s">
        <v>11015</v>
      </c>
      <c r="I3149" s="17">
        <f ca="1">IFERROR(__xludf.DUMMYFUNCTION("""COMPUTED_VALUE"""),45519)</f>
        <v>45519</v>
      </c>
      <c r="J3149" s="143" t="s">
        <v>11296</v>
      </c>
      <c r="K3149" s="80" t="s">
        <v>11297</v>
      </c>
      <c r="L3149" s="30">
        <v>325548265</v>
      </c>
      <c r="M3149" s="80" t="s">
        <v>112</v>
      </c>
      <c r="N3149" s="80" t="s">
        <v>438</v>
      </c>
      <c r="O3149" s="80" t="s">
        <v>11298</v>
      </c>
      <c r="P3149" s="80" t="s">
        <v>11299</v>
      </c>
      <c r="Q3149" s="20">
        <v>1968</v>
      </c>
      <c r="R3149" s="80" t="s">
        <v>36</v>
      </c>
      <c r="S3149" s="95">
        <v>1968</v>
      </c>
      <c r="T3149" s="148">
        <v>45510</v>
      </c>
      <c r="U3149" s="77"/>
      <c r="V3149" s="78"/>
      <c r="W3149" s="85" t="s">
        <v>11300</v>
      </c>
      <c r="X3149" s="80">
        <v>0</v>
      </c>
      <c r="Y3149" s="22">
        <v>0</v>
      </c>
      <c r="Z3149" s="80" t="s">
        <v>50</v>
      </c>
      <c r="AA3149" s="96" t="s">
        <v>10314</v>
      </c>
      <c r="AB3149" s="80"/>
      <c r="AC3149" s="80" t="s">
        <v>53</v>
      </c>
      <c r="AD3149" s="80" t="s">
        <v>54</v>
      </c>
      <c r="AE3149" s="80" t="s">
        <v>420</v>
      </c>
      <c r="AF3149" s="17">
        <v>45512</v>
      </c>
      <c r="AG3149" s="80"/>
      <c r="AH3149" s="80"/>
      <c r="AI3149" s="147"/>
      <c r="AJ3149" s="80"/>
      <c r="AK3149" s="80"/>
      <c r="AL3149" s="35"/>
      <c r="AM3149" s="35"/>
      <c r="AN3149" s="35"/>
      <c r="AO3149" s="35"/>
      <c r="AP3149" s="35"/>
    </row>
    <row r="3150" spans="1:42" x14ac:dyDescent="0.2">
      <c r="A3150" s="126">
        <v>45511.719622673612</v>
      </c>
      <c r="B3150" s="137" t="s">
        <v>37</v>
      </c>
      <c r="C3150" s="41" t="s">
        <v>118</v>
      </c>
      <c r="D3150" s="80" t="s">
        <v>36</v>
      </c>
      <c r="E3150" s="80" t="s">
        <v>77</v>
      </c>
      <c r="F3150" s="80" t="s">
        <v>40</v>
      </c>
      <c r="G3150" s="80" t="s">
        <v>41</v>
      </c>
      <c r="H3150" s="80" t="s">
        <v>11211</v>
      </c>
      <c r="I3150" s="17">
        <f ca="1">IFERROR(__xludf.DUMMYFUNCTION("""COMPUTED_VALUE"""),45519)</f>
        <v>45519</v>
      </c>
      <c r="J3150" s="143" t="s">
        <v>11301</v>
      </c>
      <c r="K3150" s="80" t="s">
        <v>11302</v>
      </c>
      <c r="L3150" s="30">
        <v>834041910</v>
      </c>
      <c r="M3150" s="80" t="s">
        <v>5429</v>
      </c>
      <c r="N3150" s="80" t="s">
        <v>11095</v>
      </c>
      <c r="O3150" s="80" t="s">
        <v>11303</v>
      </c>
      <c r="P3150" s="80" t="s">
        <v>11304</v>
      </c>
      <c r="Q3150" s="20">
        <v>1968</v>
      </c>
      <c r="R3150" s="80" t="s">
        <v>36</v>
      </c>
      <c r="S3150" s="95">
        <v>2000</v>
      </c>
      <c r="T3150" s="148">
        <v>45511</v>
      </c>
      <c r="U3150" s="77"/>
      <c r="V3150" s="78"/>
      <c r="W3150" s="85" t="s">
        <v>11305</v>
      </c>
      <c r="X3150" s="80">
        <v>0</v>
      </c>
      <c r="Y3150" s="22">
        <v>-32</v>
      </c>
      <c r="Z3150" s="80" t="s">
        <v>50</v>
      </c>
      <c r="AA3150" s="35" t="s">
        <v>10314</v>
      </c>
      <c r="AB3150" s="80"/>
      <c r="AC3150" s="80" t="s">
        <v>53</v>
      </c>
      <c r="AD3150" s="80" t="s">
        <v>54</v>
      </c>
      <c r="AE3150" s="80" t="s">
        <v>72</v>
      </c>
      <c r="AF3150" s="17">
        <v>45512</v>
      </c>
      <c r="AG3150" s="80"/>
      <c r="AH3150" s="80"/>
      <c r="AI3150" s="147"/>
      <c r="AJ3150" s="80"/>
      <c r="AK3150" s="80"/>
      <c r="AL3150" s="35"/>
      <c r="AM3150" s="35"/>
      <c r="AN3150" s="35"/>
      <c r="AO3150" s="35"/>
      <c r="AP3150" s="35"/>
    </row>
    <row r="3151" spans="1:42" x14ac:dyDescent="0.2">
      <c r="A3151" s="126">
        <v>45512.619236539351</v>
      </c>
      <c r="B3151" s="137" t="s">
        <v>37</v>
      </c>
      <c r="C3151" s="41" t="s">
        <v>118</v>
      </c>
      <c r="D3151" s="80" t="s">
        <v>36</v>
      </c>
      <c r="E3151" s="80" t="s">
        <v>77</v>
      </c>
      <c r="F3151" s="80" t="s">
        <v>40</v>
      </c>
      <c r="G3151" s="80" t="s">
        <v>41</v>
      </c>
      <c r="H3151" s="80" t="s">
        <v>11211</v>
      </c>
      <c r="I3151" s="17">
        <f ca="1">IFERROR(__xludf.DUMMYFUNCTION("""COMPUTED_VALUE"""),45519)</f>
        <v>45519</v>
      </c>
      <c r="J3151" s="143" t="s">
        <v>11306</v>
      </c>
      <c r="K3151" s="80" t="s">
        <v>11307</v>
      </c>
      <c r="L3151" s="30">
        <v>912561722</v>
      </c>
      <c r="M3151" s="80" t="s">
        <v>3728</v>
      </c>
      <c r="N3151" s="80" t="s">
        <v>8725</v>
      </c>
      <c r="O3151" s="80" t="s">
        <v>11308</v>
      </c>
      <c r="P3151" s="80" t="s">
        <v>11309</v>
      </c>
      <c r="Q3151" s="20">
        <v>1968</v>
      </c>
      <c r="R3151" s="80" t="s">
        <v>36</v>
      </c>
      <c r="S3151" s="95">
        <v>2000</v>
      </c>
      <c r="T3151" s="148">
        <v>45512</v>
      </c>
      <c r="U3151" s="77"/>
      <c r="V3151" s="78"/>
      <c r="W3151" s="85" t="s">
        <v>11310</v>
      </c>
      <c r="X3151" s="80">
        <v>0</v>
      </c>
      <c r="Y3151" s="22">
        <v>-32</v>
      </c>
      <c r="Z3151" s="80" t="s">
        <v>50</v>
      </c>
      <c r="AA3151" s="96" t="s">
        <v>10314</v>
      </c>
      <c r="AB3151" s="80"/>
      <c r="AC3151" s="80" t="s">
        <v>53</v>
      </c>
      <c r="AD3151" s="80" t="s">
        <v>54</v>
      </c>
      <c r="AE3151" s="80" t="s">
        <v>72</v>
      </c>
      <c r="AF3151" s="17">
        <v>45512</v>
      </c>
      <c r="AG3151" s="80" t="s">
        <v>7078</v>
      </c>
      <c r="AH3151" s="80"/>
      <c r="AI3151" s="147"/>
      <c r="AJ3151" s="80"/>
      <c r="AK3151" s="80"/>
      <c r="AL3151" s="35"/>
      <c r="AM3151" s="35"/>
      <c r="AN3151" s="35"/>
      <c r="AO3151" s="35"/>
      <c r="AP3151" s="35"/>
    </row>
    <row r="3152" spans="1:42" x14ac:dyDescent="0.2">
      <c r="A3152" s="126">
        <v>45512.963459699073</v>
      </c>
      <c r="B3152" s="137" t="s">
        <v>37</v>
      </c>
      <c r="C3152" s="41" t="s">
        <v>118</v>
      </c>
      <c r="D3152" s="80" t="s">
        <v>36</v>
      </c>
      <c r="E3152" s="80" t="s">
        <v>106</v>
      </c>
      <c r="F3152" s="80" t="s">
        <v>40</v>
      </c>
      <c r="G3152" s="80" t="s">
        <v>108</v>
      </c>
      <c r="H3152" s="80" t="s">
        <v>450</v>
      </c>
      <c r="I3152" s="17">
        <f ca="1">IFERROR(__xludf.DUMMYFUNCTION("""COMPUTED_VALUE"""),45525)</f>
        <v>45525</v>
      </c>
      <c r="J3152" s="143" t="s">
        <v>11311</v>
      </c>
      <c r="K3152" s="80" t="s">
        <v>11312</v>
      </c>
      <c r="L3152" s="30">
        <v>862141206</v>
      </c>
      <c r="M3152" s="80" t="s">
        <v>5429</v>
      </c>
      <c r="N3152" s="80" t="s">
        <v>81</v>
      </c>
      <c r="O3152" s="80" t="s">
        <v>11313</v>
      </c>
      <c r="P3152" s="80" t="s">
        <v>11314</v>
      </c>
      <c r="Q3152" s="20">
        <v>3768</v>
      </c>
      <c r="R3152" s="80" t="s">
        <v>36</v>
      </c>
      <c r="S3152" s="95">
        <v>3768</v>
      </c>
      <c r="T3152" s="148">
        <v>45512</v>
      </c>
      <c r="U3152" s="77"/>
      <c r="V3152" s="78"/>
      <c r="W3152" s="85" t="s">
        <v>11315</v>
      </c>
      <c r="X3152" s="80">
        <v>0</v>
      </c>
      <c r="Y3152" s="22">
        <v>0</v>
      </c>
      <c r="Z3152" s="80" t="s">
        <v>50</v>
      </c>
      <c r="AA3152" s="35" t="s">
        <v>10314</v>
      </c>
      <c r="AB3152" s="80"/>
      <c r="AC3152" s="80" t="s">
        <v>53</v>
      </c>
      <c r="AD3152" s="80" t="s">
        <v>54</v>
      </c>
      <c r="AE3152" s="83">
        <v>660</v>
      </c>
      <c r="AF3152" s="17">
        <v>45517</v>
      </c>
      <c r="AG3152" s="80"/>
      <c r="AH3152" s="80"/>
      <c r="AI3152" s="147"/>
      <c r="AJ3152" s="80"/>
      <c r="AK3152" s="80"/>
      <c r="AL3152" s="35"/>
      <c r="AM3152" s="35"/>
      <c r="AN3152" s="35"/>
      <c r="AO3152" s="35"/>
      <c r="AP3152" s="35"/>
    </row>
    <row r="3153" spans="1:42" x14ac:dyDescent="0.2">
      <c r="A3153" s="126">
        <v>45513.344386018522</v>
      </c>
      <c r="B3153" s="137" t="s">
        <v>37</v>
      </c>
      <c r="C3153" s="41" t="s">
        <v>118</v>
      </c>
      <c r="D3153" s="80" t="s">
        <v>36</v>
      </c>
      <c r="E3153" s="80" t="s">
        <v>77</v>
      </c>
      <c r="F3153" s="80" t="s">
        <v>40</v>
      </c>
      <c r="G3153" s="80" t="s">
        <v>41</v>
      </c>
      <c r="H3153" s="80" t="s">
        <v>10444</v>
      </c>
      <c r="I3153" s="17">
        <f ca="1">IFERROR(__xludf.DUMMYFUNCTION("""COMPUTED_VALUE"""),45515)</f>
        <v>45515</v>
      </c>
      <c r="J3153" s="143" t="s">
        <v>11316</v>
      </c>
      <c r="K3153" s="80" t="s">
        <v>11317</v>
      </c>
      <c r="L3153" s="30">
        <v>971422507</v>
      </c>
      <c r="M3153" s="80" t="s">
        <v>348</v>
      </c>
      <c r="N3153" s="80" t="s">
        <v>68</v>
      </c>
      <c r="O3153" s="80" t="s">
        <v>11318</v>
      </c>
      <c r="P3153" s="80" t="s">
        <v>11319</v>
      </c>
      <c r="Q3153" s="20">
        <v>1968</v>
      </c>
      <c r="R3153" s="80" t="s">
        <v>36</v>
      </c>
      <c r="S3153" s="95">
        <f>200+1768</f>
        <v>1968</v>
      </c>
      <c r="T3153" s="83" t="s">
        <v>11320</v>
      </c>
      <c r="U3153" s="77"/>
      <c r="V3153" s="78"/>
      <c r="W3153" s="85" t="s">
        <v>11321</v>
      </c>
      <c r="X3153" s="80">
        <v>0</v>
      </c>
      <c r="Y3153" s="22">
        <v>0</v>
      </c>
      <c r="Z3153" s="80" t="s">
        <v>50</v>
      </c>
      <c r="AA3153" s="96" t="s">
        <v>10314</v>
      </c>
      <c r="AB3153" s="80"/>
      <c r="AC3153" s="80" t="s">
        <v>53</v>
      </c>
      <c r="AD3153" s="80" t="s">
        <v>54</v>
      </c>
      <c r="AE3153" s="80" t="s">
        <v>4488</v>
      </c>
      <c r="AF3153" s="17">
        <v>45516</v>
      </c>
      <c r="AG3153" s="80"/>
      <c r="AH3153" s="80"/>
      <c r="AI3153" s="147"/>
      <c r="AJ3153" s="80"/>
      <c r="AK3153" s="80"/>
      <c r="AL3153" s="35"/>
      <c r="AM3153" s="35"/>
      <c r="AN3153" s="35"/>
      <c r="AO3153" s="35"/>
      <c r="AP3153" s="35"/>
    </row>
    <row r="3154" spans="1:42" x14ac:dyDescent="0.2">
      <c r="A3154" s="126">
        <v>45513.348689236111</v>
      </c>
      <c r="B3154" s="137" t="s">
        <v>37</v>
      </c>
      <c r="C3154" s="41" t="s">
        <v>118</v>
      </c>
      <c r="D3154" s="80" t="s">
        <v>106</v>
      </c>
      <c r="E3154" s="80" t="s">
        <v>219</v>
      </c>
      <c r="F3154" s="26" t="s">
        <v>3439</v>
      </c>
      <c r="G3154" s="80" t="s">
        <v>221</v>
      </c>
      <c r="H3154" s="80" t="s">
        <v>8997</v>
      </c>
      <c r="I3154" s="17">
        <f ca="1">IFERROR(__xludf.DUMMYFUNCTION("""COMPUTED_VALUE"""),45526)</f>
        <v>45526</v>
      </c>
      <c r="J3154" s="143" t="s">
        <v>7308</v>
      </c>
      <c r="K3154" s="80" t="s">
        <v>7309</v>
      </c>
      <c r="L3154" s="30">
        <v>379438727</v>
      </c>
      <c r="M3154" s="80" t="s">
        <v>59</v>
      </c>
      <c r="N3154" s="80" t="s">
        <v>68</v>
      </c>
      <c r="O3154" s="80" t="s">
        <v>7310</v>
      </c>
      <c r="P3154" s="26" t="s">
        <v>7794</v>
      </c>
      <c r="Q3154" s="20">
        <v>3968</v>
      </c>
      <c r="R3154" s="80" t="s">
        <v>36</v>
      </c>
      <c r="S3154" s="95">
        <v>3968</v>
      </c>
      <c r="T3154" s="148">
        <v>45511</v>
      </c>
      <c r="U3154" s="77"/>
      <c r="V3154" s="78"/>
      <c r="W3154" s="85" t="s">
        <v>11322</v>
      </c>
      <c r="X3154" s="80">
        <v>100</v>
      </c>
      <c r="Y3154" s="22">
        <v>-100</v>
      </c>
      <c r="Z3154" s="80" t="s">
        <v>50</v>
      </c>
      <c r="AA3154" s="35" t="s">
        <v>10314</v>
      </c>
      <c r="AB3154" s="26" t="s">
        <v>36</v>
      </c>
      <c r="AC3154" s="80" t="s">
        <v>53</v>
      </c>
      <c r="AD3154" s="80" t="s">
        <v>138</v>
      </c>
      <c r="AE3154" s="26" t="s">
        <v>3439</v>
      </c>
      <c r="AF3154" s="17">
        <v>45526</v>
      </c>
      <c r="AG3154" s="26" t="s">
        <v>1362</v>
      </c>
      <c r="AH3154" s="80"/>
      <c r="AI3154" s="147"/>
      <c r="AJ3154" s="80"/>
      <c r="AK3154" s="80"/>
      <c r="AL3154" s="35"/>
      <c r="AM3154" s="35"/>
      <c r="AN3154" s="35"/>
      <c r="AO3154" s="35"/>
      <c r="AP3154" s="35"/>
    </row>
    <row r="3155" spans="1:42" x14ac:dyDescent="0.2">
      <c r="A3155" s="38">
        <v>45514</v>
      </c>
      <c r="B3155" s="28" t="s">
        <v>37</v>
      </c>
      <c r="C3155" s="41" t="s">
        <v>118</v>
      </c>
      <c r="D3155" s="26" t="s">
        <v>36</v>
      </c>
      <c r="E3155" s="26" t="s">
        <v>106</v>
      </c>
      <c r="F3155" s="26" t="s">
        <v>7497</v>
      </c>
      <c r="G3155" s="26" t="s">
        <v>108</v>
      </c>
      <c r="H3155" s="26" t="s">
        <v>8986</v>
      </c>
      <c r="I3155" s="17">
        <f ca="1">IFERROR(__xludf.DUMMYFUNCTION("""COMPUTED_VALUE"""),45531)</f>
        <v>45531</v>
      </c>
      <c r="J3155" s="29" t="s">
        <v>8873</v>
      </c>
      <c r="K3155" s="26" t="s">
        <v>11323</v>
      </c>
      <c r="L3155" s="30">
        <v>379519775</v>
      </c>
      <c r="M3155" s="26" t="s">
        <v>1245</v>
      </c>
      <c r="N3155" s="26" t="s">
        <v>1246</v>
      </c>
      <c r="O3155" s="26" t="s">
        <v>36</v>
      </c>
      <c r="P3155" s="42" t="s">
        <v>8875</v>
      </c>
      <c r="Q3155" s="20">
        <v>3768</v>
      </c>
      <c r="R3155" s="26" t="s">
        <v>36</v>
      </c>
      <c r="S3155" s="95">
        <v>2281</v>
      </c>
      <c r="T3155" s="148">
        <v>45520</v>
      </c>
      <c r="U3155" s="31"/>
      <c r="V3155" s="32"/>
      <c r="W3155" s="85" t="s">
        <v>11324</v>
      </c>
      <c r="X3155" s="26">
        <v>0</v>
      </c>
      <c r="Y3155" s="22">
        <v>0</v>
      </c>
      <c r="Z3155" s="26" t="s">
        <v>50</v>
      </c>
      <c r="AA3155" s="96" t="s">
        <v>10314</v>
      </c>
      <c r="AB3155" s="26" t="s">
        <v>36</v>
      </c>
      <c r="AC3155" s="26" t="s">
        <v>53</v>
      </c>
      <c r="AD3155" s="19" t="s">
        <v>54</v>
      </c>
      <c r="AE3155" s="26" t="s">
        <v>7497</v>
      </c>
      <c r="AF3155" s="17">
        <v>45524</v>
      </c>
      <c r="AG3155" s="72" t="s">
        <v>11325</v>
      </c>
      <c r="AH3155" s="26"/>
      <c r="AI3155" s="40"/>
      <c r="AJ3155" s="26"/>
      <c r="AK3155" s="26"/>
      <c r="AL3155" s="35"/>
      <c r="AM3155" s="35"/>
      <c r="AN3155" s="35"/>
      <c r="AO3155" s="35"/>
      <c r="AP3155" s="35"/>
    </row>
    <row r="3156" spans="1:42" x14ac:dyDescent="0.2">
      <c r="A3156" s="126">
        <v>45515.995652685189</v>
      </c>
      <c r="B3156" s="137" t="s">
        <v>37</v>
      </c>
      <c r="C3156" s="41" t="s">
        <v>118</v>
      </c>
      <c r="D3156" s="80" t="s">
        <v>36</v>
      </c>
      <c r="E3156" s="80" t="s">
        <v>77</v>
      </c>
      <c r="F3156" s="80" t="s">
        <v>40</v>
      </c>
      <c r="G3156" s="80" t="s">
        <v>41</v>
      </c>
      <c r="H3156" s="80" t="s">
        <v>11015</v>
      </c>
      <c r="I3156" s="17">
        <f ca="1">IFERROR(__xludf.DUMMYFUNCTION("""COMPUTED_VALUE"""),45519)</f>
        <v>45519</v>
      </c>
      <c r="J3156" s="143" t="s">
        <v>11326</v>
      </c>
      <c r="K3156" s="80" t="s">
        <v>11327</v>
      </c>
      <c r="L3156" s="30">
        <v>916053900</v>
      </c>
      <c r="M3156" s="80" t="s">
        <v>348</v>
      </c>
      <c r="N3156" s="80" t="s">
        <v>4299</v>
      </c>
      <c r="O3156" s="80" t="s">
        <v>11328</v>
      </c>
      <c r="P3156" s="80" t="s">
        <v>11329</v>
      </c>
      <c r="Q3156" s="20">
        <v>1968</v>
      </c>
      <c r="R3156" s="80" t="s">
        <v>36</v>
      </c>
      <c r="S3156" s="95">
        <v>1968</v>
      </c>
      <c r="T3156" s="148">
        <v>45515</v>
      </c>
      <c r="U3156" s="77"/>
      <c r="V3156" s="78"/>
      <c r="W3156" s="85" t="s">
        <v>11330</v>
      </c>
      <c r="X3156" s="80">
        <v>0</v>
      </c>
      <c r="Y3156" s="22">
        <v>0</v>
      </c>
      <c r="Z3156" s="80" t="s">
        <v>50</v>
      </c>
      <c r="AA3156" s="35" t="s">
        <v>10314</v>
      </c>
      <c r="AB3156" s="80"/>
      <c r="AC3156" s="80" t="s">
        <v>53</v>
      </c>
      <c r="AD3156" s="80" t="s">
        <v>54</v>
      </c>
      <c r="AE3156" s="80" t="s">
        <v>72</v>
      </c>
      <c r="AF3156" s="17">
        <v>45516</v>
      </c>
      <c r="AG3156" s="80"/>
      <c r="AH3156" s="80"/>
      <c r="AI3156" s="147"/>
      <c r="AJ3156" s="80"/>
      <c r="AK3156" s="80"/>
      <c r="AL3156" s="35"/>
      <c r="AM3156" s="35"/>
      <c r="AN3156" s="35"/>
      <c r="AO3156" s="35"/>
      <c r="AP3156" s="35"/>
    </row>
    <row r="3157" spans="1:42" x14ac:dyDescent="0.2">
      <c r="A3157" s="126">
        <v>45515.997749386574</v>
      </c>
      <c r="B3157" s="137" t="s">
        <v>37</v>
      </c>
      <c r="C3157" s="41" t="s">
        <v>118</v>
      </c>
      <c r="D3157" s="80" t="s">
        <v>36</v>
      </c>
      <c r="E3157" s="80" t="s">
        <v>77</v>
      </c>
      <c r="F3157" s="80" t="s">
        <v>40</v>
      </c>
      <c r="G3157" s="80" t="s">
        <v>41</v>
      </c>
      <c r="H3157" s="80" t="s">
        <v>11015</v>
      </c>
      <c r="I3157" s="17">
        <f ca="1">IFERROR(__xludf.DUMMYFUNCTION("""COMPUTED_VALUE"""),45519)</f>
        <v>45519</v>
      </c>
      <c r="J3157" s="143" t="s">
        <v>11331</v>
      </c>
      <c r="K3157" s="80" t="s">
        <v>11332</v>
      </c>
      <c r="L3157" s="30">
        <v>973349629</v>
      </c>
      <c r="M3157" s="80" t="s">
        <v>348</v>
      </c>
      <c r="N3157" s="80" t="s">
        <v>4299</v>
      </c>
      <c r="O3157" s="80" t="s">
        <v>11333</v>
      </c>
      <c r="P3157" s="115" t="s">
        <v>11334</v>
      </c>
      <c r="Q3157" s="20">
        <v>1968</v>
      </c>
      <c r="R3157" s="80" t="s">
        <v>36</v>
      </c>
      <c r="S3157" s="95">
        <v>1968</v>
      </c>
      <c r="T3157" s="148">
        <v>45515</v>
      </c>
      <c r="U3157" s="77"/>
      <c r="V3157" s="78"/>
      <c r="W3157" s="85" t="s">
        <v>11335</v>
      </c>
      <c r="X3157" s="80">
        <v>0</v>
      </c>
      <c r="Y3157" s="22">
        <v>0</v>
      </c>
      <c r="Z3157" s="80" t="s">
        <v>50</v>
      </c>
      <c r="AA3157" s="96" t="s">
        <v>10314</v>
      </c>
      <c r="AB3157" s="80"/>
      <c r="AC3157" s="80" t="s">
        <v>53</v>
      </c>
      <c r="AD3157" s="80" t="s">
        <v>54</v>
      </c>
      <c r="AE3157" s="80" t="s">
        <v>430</v>
      </c>
      <c r="AF3157" s="17">
        <v>45516</v>
      </c>
      <c r="AG3157" s="80"/>
      <c r="AH3157" s="80"/>
      <c r="AI3157" s="147"/>
      <c r="AJ3157" s="80"/>
      <c r="AK3157" s="80"/>
      <c r="AL3157" s="35"/>
      <c r="AM3157" s="35"/>
      <c r="AN3157" s="35"/>
      <c r="AO3157" s="35"/>
      <c r="AP3157" s="35"/>
    </row>
    <row r="3158" spans="1:42" x14ac:dyDescent="0.2">
      <c r="A3158" s="126">
        <v>45516.325391840277</v>
      </c>
      <c r="B3158" s="137" t="s">
        <v>37</v>
      </c>
      <c r="C3158" s="41" t="s">
        <v>118</v>
      </c>
      <c r="D3158" s="80" t="s">
        <v>36</v>
      </c>
      <c r="E3158" s="80" t="s">
        <v>56</v>
      </c>
      <c r="F3158" s="80" t="s">
        <v>40</v>
      </c>
      <c r="G3158" s="80" t="s">
        <v>41</v>
      </c>
      <c r="H3158" s="80" t="s">
        <v>11211</v>
      </c>
      <c r="I3158" s="17">
        <f ca="1">IFERROR(__xludf.DUMMYFUNCTION("""COMPUTED_VALUE"""),45519)</f>
        <v>45519</v>
      </c>
      <c r="J3158" s="143" t="s">
        <v>11336</v>
      </c>
      <c r="K3158" s="80" t="s">
        <v>11337</v>
      </c>
      <c r="L3158" s="30">
        <v>983475916</v>
      </c>
      <c r="M3158" s="80" t="s">
        <v>123</v>
      </c>
      <c r="N3158" s="80" t="s">
        <v>186</v>
      </c>
      <c r="O3158" s="80" t="s">
        <v>4503</v>
      </c>
      <c r="P3158" s="80" t="s">
        <v>11338</v>
      </c>
      <c r="Q3158" s="20">
        <v>9317</v>
      </c>
      <c r="R3158" s="80" t="s">
        <v>36</v>
      </c>
      <c r="S3158" s="95">
        <f t="shared" ref="S3158:S3159" si="31">200+9117</f>
        <v>9317</v>
      </c>
      <c r="T3158" s="148">
        <v>45494</v>
      </c>
      <c r="U3158" s="95"/>
      <c r="V3158" s="148">
        <v>45515</v>
      </c>
      <c r="W3158" s="80" t="s">
        <v>11339</v>
      </c>
      <c r="X3158" s="80">
        <v>0</v>
      </c>
      <c r="Y3158" s="22">
        <v>0</v>
      </c>
      <c r="Z3158" s="80" t="s">
        <v>50</v>
      </c>
      <c r="AA3158" s="35" t="s">
        <v>10314</v>
      </c>
      <c r="AB3158" s="80"/>
      <c r="AC3158" s="80" t="s">
        <v>53</v>
      </c>
      <c r="AD3158" s="80" t="s">
        <v>54</v>
      </c>
      <c r="AE3158" s="80"/>
      <c r="AF3158" s="17">
        <v>45516</v>
      </c>
      <c r="AG3158" s="80"/>
      <c r="AH3158" s="80"/>
      <c r="AI3158" s="147"/>
      <c r="AJ3158" s="80"/>
      <c r="AK3158" s="80"/>
      <c r="AL3158" s="35"/>
      <c r="AM3158" s="35"/>
      <c r="AN3158" s="35"/>
      <c r="AO3158" s="35"/>
      <c r="AP3158" s="35"/>
    </row>
    <row r="3159" spans="1:42" x14ac:dyDescent="0.2">
      <c r="A3159" s="126">
        <v>45516.327373969907</v>
      </c>
      <c r="B3159" s="137" t="s">
        <v>37</v>
      </c>
      <c r="C3159" s="41" t="s">
        <v>118</v>
      </c>
      <c r="D3159" s="80" t="s">
        <v>36</v>
      </c>
      <c r="E3159" s="80" t="s">
        <v>56</v>
      </c>
      <c r="F3159" s="80" t="s">
        <v>40</v>
      </c>
      <c r="G3159" s="80" t="s">
        <v>41</v>
      </c>
      <c r="H3159" s="80" t="s">
        <v>11211</v>
      </c>
      <c r="I3159" s="17">
        <f ca="1">IFERROR(__xludf.DUMMYFUNCTION("""COMPUTED_VALUE"""),45519)</f>
        <v>45519</v>
      </c>
      <c r="J3159" s="143" t="s">
        <v>11340</v>
      </c>
      <c r="K3159" s="80" t="s">
        <v>11341</v>
      </c>
      <c r="L3159" s="30">
        <v>986933123</v>
      </c>
      <c r="M3159" s="80" t="s">
        <v>123</v>
      </c>
      <c r="N3159" s="80" t="s">
        <v>186</v>
      </c>
      <c r="O3159" s="80" t="s">
        <v>4503</v>
      </c>
      <c r="P3159" s="80" t="s">
        <v>11342</v>
      </c>
      <c r="Q3159" s="20">
        <v>9317</v>
      </c>
      <c r="R3159" s="80" t="s">
        <v>36</v>
      </c>
      <c r="S3159" s="95">
        <f t="shared" si="31"/>
        <v>9317</v>
      </c>
      <c r="T3159" s="148">
        <v>45496</v>
      </c>
      <c r="U3159" s="95"/>
      <c r="V3159" s="148">
        <v>45515</v>
      </c>
      <c r="W3159" s="80" t="s">
        <v>11343</v>
      </c>
      <c r="X3159" s="80">
        <v>0</v>
      </c>
      <c r="Y3159" s="22">
        <v>0</v>
      </c>
      <c r="Z3159" s="80" t="s">
        <v>50</v>
      </c>
      <c r="AA3159" s="96" t="s">
        <v>10314</v>
      </c>
      <c r="AB3159" s="80"/>
      <c r="AC3159" s="80" t="s">
        <v>53</v>
      </c>
      <c r="AD3159" s="80" t="s">
        <v>54</v>
      </c>
      <c r="AE3159" s="80"/>
      <c r="AF3159" s="17">
        <v>45516</v>
      </c>
      <c r="AG3159" s="80"/>
      <c r="AH3159" s="80"/>
      <c r="AI3159" s="147"/>
      <c r="AJ3159" s="80"/>
      <c r="AK3159" s="80"/>
      <c r="AL3159" s="35"/>
      <c r="AM3159" s="35"/>
      <c r="AN3159" s="35"/>
      <c r="AO3159" s="35"/>
      <c r="AP3159" s="35"/>
    </row>
    <row r="3160" spans="1:42" x14ac:dyDescent="0.2">
      <c r="A3160" s="126">
        <v>45516.435026273146</v>
      </c>
      <c r="B3160" s="137" t="s">
        <v>37</v>
      </c>
      <c r="C3160" s="41" t="s">
        <v>118</v>
      </c>
      <c r="D3160" s="80" t="s">
        <v>36</v>
      </c>
      <c r="E3160" s="80" t="s">
        <v>39</v>
      </c>
      <c r="F3160" s="80" t="s">
        <v>40</v>
      </c>
      <c r="G3160" s="80" t="s">
        <v>41</v>
      </c>
      <c r="H3160" s="80" t="s">
        <v>9626</v>
      </c>
      <c r="I3160" s="17">
        <f ca="1">IFERROR(__xludf.DUMMYFUNCTION("""COMPUTED_VALUE"""),45559)</f>
        <v>45559</v>
      </c>
      <c r="J3160" s="143" t="s">
        <v>11344</v>
      </c>
      <c r="K3160" s="80" t="s">
        <v>11345</v>
      </c>
      <c r="L3160" s="30">
        <v>978584264</v>
      </c>
      <c r="M3160" s="80" t="s">
        <v>348</v>
      </c>
      <c r="N3160" s="80" t="s">
        <v>200</v>
      </c>
      <c r="O3160" s="80" t="s">
        <v>91</v>
      </c>
      <c r="P3160" s="80" t="s">
        <v>3117</v>
      </c>
      <c r="Q3160" s="20">
        <v>5736</v>
      </c>
      <c r="R3160" s="80" t="s">
        <v>36</v>
      </c>
      <c r="S3160" s="95">
        <v>1000</v>
      </c>
      <c r="T3160" s="148">
        <v>45515</v>
      </c>
      <c r="U3160" s="95">
        <v>4736</v>
      </c>
      <c r="V3160" s="148">
        <v>45519</v>
      </c>
      <c r="W3160" s="85" t="s">
        <v>11346</v>
      </c>
      <c r="X3160" s="80">
        <v>0</v>
      </c>
      <c r="Y3160" s="22">
        <v>0</v>
      </c>
      <c r="Z3160" s="80" t="s">
        <v>50</v>
      </c>
      <c r="AA3160" s="35" t="s">
        <v>10314</v>
      </c>
      <c r="AB3160" s="80"/>
      <c r="AC3160" s="80" t="s">
        <v>53</v>
      </c>
      <c r="AD3160" s="80" t="s">
        <v>138</v>
      </c>
      <c r="AE3160" s="80" t="s">
        <v>91</v>
      </c>
      <c r="AF3160" s="17">
        <v>45559</v>
      </c>
      <c r="AG3160" s="80"/>
      <c r="AH3160" s="80"/>
      <c r="AI3160" s="147"/>
      <c r="AJ3160" s="80"/>
      <c r="AK3160" s="80"/>
      <c r="AL3160" s="35"/>
      <c r="AM3160" s="35"/>
      <c r="AN3160" s="35"/>
      <c r="AO3160" s="35"/>
      <c r="AP3160" s="35"/>
    </row>
    <row r="3161" spans="1:42" x14ac:dyDescent="0.2">
      <c r="A3161" s="126">
        <v>45516.47340884259</v>
      </c>
      <c r="B3161" s="137" t="s">
        <v>37</v>
      </c>
      <c r="C3161" s="41" t="s">
        <v>118</v>
      </c>
      <c r="D3161" s="80" t="s">
        <v>36</v>
      </c>
      <c r="E3161" s="80" t="s">
        <v>39</v>
      </c>
      <c r="F3161" s="26" t="s">
        <v>36</v>
      </c>
      <c r="G3161" s="26" t="s">
        <v>41</v>
      </c>
      <c r="H3161" s="80" t="s">
        <v>11347</v>
      </c>
      <c r="I3161" s="17">
        <f ca="1">IFERROR(__xludf.DUMMYFUNCTION("""COMPUTED_VALUE"""),45551)</f>
        <v>45551</v>
      </c>
      <c r="J3161" s="143" t="s">
        <v>11348</v>
      </c>
      <c r="K3161" s="80" t="s">
        <v>11349</v>
      </c>
      <c r="L3161" s="30">
        <v>929396989</v>
      </c>
      <c r="M3161" s="80" t="s">
        <v>348</v>
      </c>
      <c r="N3161" s="80" t="s">
        <v>200</v>
      </c>
      <c r="O3161" s="80" t="s">
        <v>91</v>
      </c>
      <c r="P3161" s="80" t="s">
        <v>3117</v>
      </c>
      <c r="Q3161" s="20">
        <v>5736</v>
      </c>
      <c r="R3161" s="80" t="s">
        <v>36</v>
      </c>
      <c r="S3161" s="95">
        <v>1000</v>
      </c>
      <c r="T3161" s="148">
        <v>45514</v>
      </c>
      <c r="U3161" s="95">
        <v>4736</v>
      </c>
      <c r="V3161" s="148">
        <v>45519</v>
      </c>
      <c r="W3161" s="85" t="s">
        <v>11350</v>
      </c>
      <c r="X3161" s="80">
        <v>0</v>
      </c>
      <c r="Y3161" s="22">
        <v>0</v>
      </c>
      <c r="Z3161" s="80" t="s">
        <v>50</v>
      </c>
      <c r="AA3161" s="96" t="s">
        <v>10314</v>
      </c>
      <c r="AB3161" s="80"/>
      <c r="AC3161" s="80" t="s">
        <v>53</v>
      </c>
      <c r="AD3161" s="80" t="s">
        <v>138</v>
      </c>
      <c r="AE3161" s="80" t="s">
        <v>91</v>
      </c>
      <c r="AF3161" s="17">
        <v>45551</v>
      </c>
      <c r="AG3161" s="80"/>
      <c r="AH3161" s="80"/>
      <c r="AI3161" s="147"/>
      <c r="AJ3161" s="80"/>
      <c r="AK3161" s="80"/>
      <c r="AL3161" s="35"/>
      <c r="AM3161" s="35"/>
      <c r="AN3161" s="35"/>
      <c r="AO3161" s="35"/>
      <c r="AP3161" s="35"/>
    </row>
    <row r="3162" spans="1:42" x14ac:dyDescent="0.2">
      <c r="A3162" s="126">
        <v>45516.475455891203</v>
      </c>
      <c r="B3162" s="28" t="s">
        <v>37</v>
      </c>
      <c r="C3162" s="41" t="s">
        <v>118</v>
      </c>
      <c r="D3162" s="80" t="s">
        <v>36</v>
      </c>
      <c r="E3162" s="80" t="s">
        <v>119</v>
      </c>
      <c r="F3162" s="80" t="s">
        <v>40</v>
      </c>
      <c r="G3162" s="80" t="s">
        <v>108</v>
      </c>
      <c r="H3162" s="80" t="s">
        <v>9781</v>
      </c>
      <c r="I3162" s="17">
        <f ca="1">IFERROR(__xludf.DUMMYFUNCTION("""COMPUTED_VALUE"""),45534)</f>
        <v>45534</v>
      </c>
      <c r="J3162" s="143" t="s">
        <v>11351</v>
      </c>
      <c r="K3162" s="80" t="s">
        <v>11352</v>
      </c>
      <c r="L3162" s="30">
        <v>336960734</v>
      </c>
      <c r="M3162" s="80" t="s">
        <v>3288</v>
      </c>
      <c r="N3162" s="80" t="s">
        <v>200</v>
      </c>
      <c r="O3162" s="80" t="s">
        <v>11353</v>
      </c>
      <c r="P3162" s="80" t="s">
        <v>11354</v>
      </c>
      <c r="Q3162" s="20">
        <v>13968</v>
      </c>
      <c r="R3162" s="80" t="s">
        <v>36</v>
      </c>
      <c r="S3162" s="95">
        <v>13968</v>
      </c>
      <c r="T3162" s="148">
        <v>45515</v>
      </c>
      <c r="U3162" s="77"/>
      <c r="V3162" s="78"/>
      <c r="W3162" s="85" t="s">
        <v>11355</v>
      </c>
      <c r="X3162" s="80">
        <v>0</v>
      </c>
      <c r="Y3162" s="22">
        <v>0</v>
      </c>
      <c r="Z3162" s="80" t="s">
        <v>50</v>
      </c>
      <c r="AA3162" s="35" t="s">
        <v>10314</v>
      </c>
      <c r="AB3162" s="80"/>
      <c r="AC3162" s="80" t="s">
        <v>53</v>
      </c>
      <c r="AD3162" s="80" t="s">
        <v>54</v>
      </c>
      <c r="AE3162" s="83">
        <v>350</v>
      </c>
      <c r="AF3162" s="17">
        <v>45527</v>
      </c>
      <c r="AG3162" s="80"/>
      <c r="AH3162" s="80"/>
      <c r="AI3162" s="147"/>
      <c r="AJ3162" s="80"/>
      <c r="AK3162" s="80"/>
      <c r="AL3162" s="35"/>
      <c r="AM3162" s="35"/>
      <c r="AN3162" s="35"/>
      <c r="AO3162" s="35"/>
      <c r="AP3162" s="35"/>
    </row>
    <row r="3163" spans="1:42" x14ac:dyDescent="0.2">
      <c r="A3163" s="126">
        <v>45516.477524189817</v>
      </c>
      <c r="B3163" s="137" t="s">
        <v>37</v>
      </c>
      <c r="C3163" s="41" t="s">
        <v>118</v>
      </c>
      <c r="D3163" s="80" t="s">
        <v>36</v>
      </c>
      <c r="E3163" s="80" t="s">
        <v>39</v>
      </c>
      <c r="F3163" s="80" t="s">
        <v>40</v>
      </c>
      <c r="G3163" s="80" t="s">
        <v>41</v>
      </c>
      <c r="H3163" s="80" t="s">
        <v>9626</v>
      </c>
      <c r="I3163" s="17">
        <f ca="1">IFERROR(__xludf.DUMMYFUNCTION("""COMPUTED_VALUE"""),45559)</f>
        <v>45559</v>
      </c>
      <c r="J3163" s="143" t="s">
        <v>11356</v>
      </c>
      <c r="K3163" s="80" t="s">
        <v>11357</v>
      </c>
      <c r="L3163" s="30">
        <v>568023381</v>
      </c>
      <c r="M3163" s="80" t="s">
        <v>3288</v>
      </c>
      <c r="N3163" s="80" t="s">
        <v>200</v>
      </c>
      <c r="O3163" s="80" t="s">
        <v>91</v>
      </c>
      <c r="P3163" s="80" t="s">
        <v>3117</v>
      </c>
      <c r="Q3163" s="20">
        <v>5736</v>
      </c>
      <c r="R3163" s="80" t="s">
        <v>1106</v>
      </c>
      <c r="S3163" s="95">
        <v>1000</v>
      </c>
      <c r="T3163" s="148">
        <v>45515</v>
      </c>
      <c r="U3163" s="95">
        <v>4586</v>
      </c>
      <c r="V3163" s="148">
        <v>45521</v>
      </c>
      <c r="W3163" s="85" t="s">
        <v>11358</v>
      </c>
      <c r="X3163" s="80">
        <v>150</v>
      </c>
      <c r="Y3163" s="22">
        <v>0</v>
      </c>
      <c r="Z3163" s="80" t="s">
        <v>50</v>
      </c>
      <c r="AA3163" s="96" t="s">
        <v>10314</v>
      </c>
      <c r="AB3163" s="80"/>
      <c r="AC3163" s="80" t="s">
        <v>53</v>
      </c>
      <c r="AD3163" s="80" t="s">
        <v>138</v>
      </c>
      <c r="AE3163" s="80" t="s">
        <v>91</v>
      </c>
      <c r="AF3163" s="17">
        <v>45559</v>
      </c>
      <c r="AG3163" s="80"/>
      <c r="AH3163" s="80"/>
      <c r="AI3163" s="147"/>
      <c r="AJ3163" s="80"/>
      <c r="AK3163" s="80"/>
      <c r="AL3163" s="35"/>
      <c r="AM3163" s="35"/>
      <c r="AN3163" s="35"/>
      <c r="AO3163" s="35"/>
      <c r="AP3163" s="35"/>
    </row>
    <row r="3164" spans="1:42" x14ac:dyDescent="0.2">
      <c r="A3164" s="126">
        <v>45516.511598703699</v>
      </c>
      <c r="B3164" s="137" t="s">
        <v>37</v>
      </c>
      <c r="C3164" s="41" t="s">
        <v>118</v>
      </c>
      <c r="D3164" s="80" t="s">
        <v>36</v>
      </c>
      <c r="E3164" s="80" t="s">
        <v>148</v>
      </c>
      <c r="F3164" s="80" t="s">
        <v>40</v>
      </c>
      <c r="G3164" s="80" t="s">
        <v>108</v>
      </c>
      <c r="H3164" s="80" t="s">
        <v>9896</v>
      </c>
      <c r="I3164" s="17">
        <f ca="1">IFERROR(__xludf.DUMMYFUNCTION("""COMPUTED_VALUE"""),45540)</f>
        <v>45540</v>
      </c>
      <c r="J3164" s="143" t="s">
        <v>11359</v>
      </c>
      <c r="K3164" s="80" t="s">
        <v>11360</v>
      </c>
      <c r="L3164" s="30">
        <v>336823332</v>
      </c>
      <c r="M3164" s="80" t="s">
        <v>3288</v>
      </c>
      <c r="N3164" s="80" t="s">
        <v>200</v>
      </c>
      <c r="O3164" s="80" t="s">
        <v>91</v>
      </c>
      <c r="P3164" s="144" t="s">
        <v>11361</v>
      </c>
      <c r="Q3164" s="20">
        <v>7349</v>
      </c>
      <c r="R3164" s="80" t="s">
        <v>36</v>
      </c>
      <c r="S3164" s="95">
        <v>1000</v>
      </c>
      <c r="T3164" s="148">
        <v>45507</v>
      </c>
      <c r="U3164" s="95">
        <v>6349</v>
      </c>
      <c r="V3164" s="148">
        <v>45530</v>
      </c>
      <c r="W3164" s="85" t="s">
        <v>11362</v>
      </c>
      <c r="X3164" s="80">
        <v>0</v>
      </c>
      <c r="Y3164" s="22">
        <v>0</v>
      </c>
      <c r="Z3164" s="80" t="s">
        <v>50</v>
      </c>
      <c r="AA3164" s="35" t="s">
        <v>10314</v>
      </c>
      <c r="AB3164" s="80"/>
      <c r="AC3164" s="80" t="s">
        <v>53</v>
      </c>
      <c r="AD3164" s="80" t="s">
        <v>54</v>
      </c>
      <c r="AE3164" s="83">
        <v>370</v>
      </c>
      <c r="AF3164" s="17">
        <v>45532</v>
      </c>
      <c r="AG3164" s="80"/>
      <c r="AH3164" s="80"/>
      <c r="AI3164" s="147"/>
      <c r="AJ3164" s="80"/>
      <c r="AK3164" s="80"/>
      <c r="AL3164" s="35"/>
      <c r="AM3164" s="35"/>
      <c r="AN3164" s="35"/>
      <c r="AO3164" s="35"/>
      <c r="AP3164" s="35"/>
    </row>
    <row r="3165" spans="1:42" x14ac:dyDescent="0.2">
      <c r="A3165" s="126">
        <v>45516.514220578705</v>
      </c>
      <c r="B3165" s="137" t="s">
        <v>37</v>
      </c>
      <c r="C3165" s="41" t="s">
        <v>118</v>
      </c>
      <c r="D3165" s="80" t="s">
        <v>36</v>
      </c>
      <c r="E3165" s="80" t="s">
        <v>148</v>
      </c>
      <c r="F3165" s="80" t="s">
        <v>40</v>
      </c>
      <c r="G3165" s="80" t="s">
        <v>108</v>
      </c>
      <c r="H3165" s="80" t="s">
        <v>7519</v>
      </c>
      <c r="I3165" s="17">
        <f ca="1">IFERROR(__xludf.DUMMYFUNCTION("""COMPUTED_VALUE"""),45543)</f>
        <v>45543</v>
      </c>
      <c r="J3165" s="143" t="s">
        <v>11363</v>
      </c>
      <c r="K3165" s="80" t="s">
        <v>11364</v>
      </c>
      <c r="L3165" s="30">
        <v>839830584</v>
      </c>
      <c r="M3165" s="80" t="s">
        <v>3288</v>
      </c>
      <c r="N3165" s="80" t="s">
        <v>200</v>
      </c>
      <c r="O3165" s="80" t="s">
        <v>11365</v>
      </c>
      <c r="P3165" s="80" t="s">
        <v>11366</v>
      </c>
      <c r="Q3165" s="20">
        <v>7349</v>
      </c>
      <c r="R3165" s="80" t="s">
        <v>70</v>
      </c>
      <c r="S3165" s="95">
        <f>1000+2768</f>
        <v>3768</v>
      </c>
      <c r="T3165" s="83" t="s">
        <v>11367</v>
      </c>
      <c r="U3165" s="95">
        <v>3481</v>
      </c>
      <c r="V3165" s="148">
        <v>45534</v>
      </c>
      <c r="W3165" s="85" t="s">
        <v>11368</v>
      </c>
      <c r="X3165" s="80">
        <v>100</v>
      </c>
      <c r="Y3165" s="22">
        <v>0</v>
      </c>
      <c r="Z3165" s="80" t="s">
        <v>50</v>
      </c>
      <c r="AA3165" s="96" t="s">
        <v>10314</v>
      </c>
      <c r="AB3165" s="80"/>
      <c r="AC3165" s="80" t="s">
        <v>53</v>
      </c>
      <c r="AD3165" s="80" t="s">
        <v>54</v>
      </c>
      <c r="AE3165" s="83">
        <v>450</v>
      </c>
      <c r="AF3165" s="17">
        <v>45525</v>
      </c>
      <c r="AG3165" s="80"/>
      <c r="AH3165" s="80"/>
      <c r="AI3165" s="147"/>
      <c r="AJ3165" s="80"/>
      <c r="AK3165" s="80"/>
      <c r="AL3165" s="35"/>
      <c r="AM3165" s="35"/>
      <c r="AN3165" s="35"/>
      <c r="AO3165" s="35"/>
      <c r="AP3165" s="35"/>
    </row>
    <row r="3166" spans="1:42" x14ac:dyDescent="0.2">
      <c r="A3166" s="126">
        <v>45516.516587395832</v>
      </c>
      <c r="B3166" s="137" t="s">
        <v>90</v>
      </c>
      <c r="C3166" s="41" t="s">
        <v>118</v>
      </c>
      <c r="D3166" s="80" t="s">
        <v>36</v>
      </c>
      <c r="E3166" s="80" t="s">
        <v>148</v>
      </c>
      <c r="F3166" s="80" t="s">
        <v>40</v>
      </c>
      <c r="G3166" s="80" t="s">
        <v>108</v>
      </c>
      <c r="H3166" s="80" t="s">
        <v>7519</v>
      </c>
      <c r="I3166" s="17">
        <f ca="1">IFERROR(__xludf.DUMMYFUNCTION("""COMPUTED_VALUE"""),45543)</f>
        <v>45543</v>
      </c>
      <c r="J3166" s="143" t="s">
        <v>11369</v>
      </c>
      <c r="K3166" s="145" t="s">
        <v>11370</v>
      </c>
      <c r="L3166" s="30">
        <v>832760109</v>
      </c>
      <c r="M3166" s="80" t="s">
        <v>3288</v>
      </c>
      <c r="N3166" s="80" t="s">
        <v>200</v>
      </c>
      <c r="O3166" s="80" t="s">
        <v>11371</v>
      </c>
      <c r="P3166" s="80" t="s">
        <v>11372</v>
      </c>
      <c r="Q3166" s="20">
        <v>7349</v>
      </c>
      <c r="R3166" s="80" t="s">
        <v>70</v>
      </c>
      <c r="S3166" s="95">
        <v>1249</v>
      </c>
      <c r="T3166" s="148">
        <v>45511</v>
      </c>
      <c r="U3166" s="95">
        <v>6000</v>
      </c>
      <c r="V3166" s="148">
        <v>45517</v>
      </c>
      <c r="W3166" s="85" t="s">
        <v>11373</v>
      </c>
      <c r="X3166" s="80">
        <v>100</v>
      </c>
      <c r="Y3166" s="22">
        <v>0</v>
      </c>
      <c r="Z3166" s="80" t="s">
        <v>50</v>
      </c>
      <c r="AA3166" s="35" t="s">
        <v>10314</v>
      </c>
      <c r="AB3166" s="80"/>
      <c r="AC3166" s="80" t="s">
        <v>53</v>
      </c>
      <c r="AD3166" s="80" t="s">
        <v>54</v>
      </c>
      <c r="AE3166" s="83">
        <v>550</v>
      </c>
      <c r="AF3166" s="17">
        <v>45525</v>
      </c>
      <c r="AG3166" s="80"/>
      <c r="AH3166" s="80"/>
      <c r="AI3166" s="147"/>
      <c r="AJ3166" s="80"/>
      <c r="AK3166" s="80"/>
      <c r="AL3166" s="35"/>
      <c r="AM3166" s="35"/>
      <c r="AN3166" s="35"/>
      <c r="AO3166" s="35"/>
      <c r="AP3166" s="35"/>
    </row>
    <row r="3167" spans="1:42" x14ac:dyDescent="0.2">
      <c r="A3167" s="126">
        <v>45516.753819861115</v>
      </c>
      <c r="B3167" s="137" t="s">
        <v>37</v>
      </c>
      <c r="C3167" s="41" t="s">
        <v>118</v>
      </c>
      <c r="D3167" s="80" t="s">
        <v>36</v>
      </c>
      <c r="E3167" s="80" t="s">
        <v>77</v>
      </c>
      <c r="F3167" s="80" t="s">
        <v>40</v>
      </c>
      <c r="G3167" s="80" t="s">
        <v>41</v>
      </c>
      <c r="H3167" s="80" t="s">
        <v>11144</v>
      </c>
      <c r="I3167" s="17">
        <f ca="1">IFERROR(__xludf.DUMMYFUNCTION("""COMPUTED_VALUE"""),45523)</f>
        <v>45523</v>
      </c>
      <c r="J3167" s="143" t="s">
        <v>11374</v>
      </c>
      <c r="K3167" s="80" t="s">
        <v>11375</v>
      </c>
      <c r="L3167" s="30">
        <v>333973141</v>
      </c>
      <c r="M3167" s="80" t="s">
        <v>80</v>
      </c>
      <c r="N3167" s="80" t="s">
        <v>466</v>
      </c>
      <c r="O3167" s="80" t="s">
        <v>11376</v>
      </c>
      <c r="P3167" s="80" t="s">
        <v>11377</v>
      </c>
      <c r="Q3167" s="20">
        <v>1968</v>
      </c>
      <c r="R3167" s="80" t="s">
        <v>36</v>
      </c>
      <c r="S3167" s="95">
        <v>1968</v>
      </c>
      <c r="T3167" s="148">
        <v>45516</v>
      </c>
      <c r="U3167" s="77"/>
      <c r="V3167" s="78"/>
      <c r="W3167" s="85" t="s">
        <v>11378</v>
      </c>
      <c r="X3167" s="80">
        <v>0</v>
      </c>
      <c r="Y3167" s="22">
        <v>0</v>
      </c>
      <c r="Z3167" s="80" t="s">
        <v>50</v>
      </c>
      <c r="AA3167" s="96" t="s">
        <v>10314</v>
      </c>
      <c r="AB3167" s="80"/>
      <c r="AC3167" s="80" t="s">
        <v>53</v>
      </c>
      <c r="AD3167" s="80" t="s">
        <v>54</v>
      </c>
      <c r="AE3167" s="83">
        <v>0</v>
      </c>
      <c r="AF3167" s="17">
        <v>45517</v>
      </c>
      <c r="AG3167" s="80"/>
      <c r="AH3167" s="80"/>
      <c r="AI3167" s="147"/>
      <c r="AJ3167" s="80"/>
      <c r="AK3167" s="80"/>
      <c r="AL3167" s="35"/>
      <c r="AM3167" s="35"/>
      <c r="AN3167" s="35"/>
      <c r="AO3167" s="35"/>
      <c r="AP3167" s="35"/>
    </row>
    <row r="3168" spans="1:42" x14ac:dyDescent="0.2">
      <c r="A3168" s="126">
        <v>45517.337596273152</v>
      </c>
      <c r="B3168" s="137" t="s">
        <v>37</v>
      </c>
      <c r="C3168" s="41" t="s">
        <v>118</v>
      </c>
      <c r="D3168" s="80" t="s">
        <v>36</v>
      </c>
      <c r="E3168" s="80" t="s">
        <v>77</v>
      </c>
      <c r="F3168" s="80" t="s">
        <v>40</v>
      </c>
      <c r="G3168" s="80" t="s">
        <v>41</v>
      </c>
      <c r="H3168" s="80" t="s">
        <v>11015</v>
      </c>
      <c r="I3168" s="17">
        <f ca="1">IFERROR(__xludf.DUMMYFUNCTION("""COMPUTED_VALUE"""),45519)</f>
        <v>45519</v>
      </c>
      <c r="J3168" s="143" t="s">
        <v>11379</v>
      </c>
      <c r="K3168" s="80" t="s">
        <v>11380</v>
      </c>
      <c r="L3168" s="30">
        <v>943055208</v>
      </c>
      <c r="M3168" s="80" t="s">
        <v>59</v>
      </c>
      <c r="N3168" s="80" t="s">
        <v>68</v>
      </c>
      <c r="O3168" s="80" t="s">
        <v>11381</v>
      </c>
      <c r="P3168" s="80" t="s">
        <v>11382</v>
      </c>
      <c r="Q3168" s="20">
        <v>1968</v>
      </c>
      <c r="R3168" s="80" t="s">
        <v>36</v>
      </c>
      <c r="S3168" s="95">
        <v>2000</v>
      </c>
      <c r="T3168" s="148">
        <v>45516</v>
      </c>
      <c r="U3168" s="77"/>
      <c r="V3168" s="78"/>
      <c r="W3168" s="85" t="s">
        <v>11383</v>
      </c>
      <c r="X3168" s="80">
        <v>0</v>
      </c>
      <c r="Y3168" s="22">
        <v>-32</v>
      </c>
      <c r="Z3168" s="80" t="s">
        <v>50</v>
      </c>
      <c r="AA3168" s="35" t="s">
        <v>10314</v>
      </c>
      <c r="AB3168" s="80"/>
      <c r="AC3168" s="80" t="s">
        <v>53</v>
      </c>
      <c r="AD3168" s="80" t="s">
        <v>54</v>
      </c>
      <c r="AE3168" s="80" t="s">
        <v>72</v>
      </c>
      <c r="AF3168" s="17">
        <v>45517</v>
      </c>
      <c r="AG3168" s="80" t="s">
        <v>7078</v>
      </c>
      <c r="AH3168" s="80"/>
      <c r="AI3168" s="147"/>
      <c r="AJ3168" s="80"/>
      <c r="AK3168" s="80"/>
      <c r="AL3168" s="35"/>
      <c r="AM3168" s="35"/>
      <c r="AN3168" s="35"/>
      <c r="AO3168" s="35"/>
      <c r="AP3168" s="35"/>
    </row>
    <row r="3169" spans="1:42" x14ac:dyDescent="0.2">
      <c r="A3169" s="126">
        <v>45517.340674328705</v>
      </c>
      <c r="B3169" s="137" t="s">
        <v>37</v>
      </c>
      <c r="C3169" s="41" t="s">
        <v>118</v>
      </c>
      <c r="D3169" s="80" t="s">
        <v>36</v>
      </c>
      <c r="E3169" s="80" t="s">
        <v>39</v>
      </c>
      <c r="F3169" s="80" t="s">
        <v>40</v>
      </c>
      <c r="G3169" s="80" t="s">
        <v>41</v>
      </c>
      <c r="H3169" s="80" t="s">
        <v>11144</v>
      </c>
      <c r="I3169" s="17">
        <f ca="1">IFERROR(__xludf.DUMMYFUNCTION("""COMPUTED_VALUE"""),45523)</f>
        <v>45523</v>
      </c>
      <c r="J3169" s="143" t="s">
        <v>11384</v>
      </c>
      <c r="K3169" s="80" t="s">
        <v>11385</v>
      </c>
      <c r="L3169" s="30">
        <v>911597697</v>
      </c>
      <c r="M3169" s="80" t="s">
        <v>59</v>
      </c>
      <c r="N3169" s="80" t="s">
        <v>68</v>
      </c>
      <c r="O3169" s="80" t="s">
        <v>11386</v>
      </c>
      <c r="P3169" s="80" t="s">
        <v>11387</v>
      </c>
      <c r="Q3169" s="20">
        <v>5736</v>
      </c>
      <c r="R3169" s="80" t="s">
        <v>36</v>
      </c>
      <c r="S3169" s="95">
        <v>5744</v>
      </c>
      <c r="T3169" s="148">
        <v>45516</v>
      </c>
      <c r="U3169" s="77"/>
      <c r="V3169" s="78"/>
      <c r="W3169" s="85" t="s">
        <v>11388</v>
      </c>
      <c r="X3169" s="80">
        <v>0</v>
      </c>
      <c r="Y3169" s="22">
        <v>-8</v>
      </c>
      <c r="Z3169" s="80" t="s">
        <v>50</v>
      </c>
      <c r="AA3169" s="96" t="s">
        <v>10314</v>
      </c>
      <c r="AB3169" s="80"/>
      <c r="AC3169" s="80" t="s">
        <v>53</v>
      </c>
      <c r="AD3169" s="80" t="s">
        <v>54</v>
      </c>
      <c r="AE3169" s="80" t="s">
        <v>72</v>
      </c>
      <c r="AF3169" s="17">
        <v>45517</v>
      </c>
      <c r="AG3169" s="80"/>
      <c r="AH3169" s="80"/>
      <c r="AI3169" s="147"/>
      <c r="AJ3169" s="80"/>
      <c r="AK3169" s="80"/>
      <c r="AL3169" s="35"/>
      <c r="AM3169" s="35"/>
      <c r="AN3169" s="35"/>
      <c r="AO3169" s="35"/>
      <c r="AP3169" s="35"/>
    </row>
    <row r="3170" spans="1:42" x14ac:dyDescent="0.2">
      <c r="A3170" s="126">
        <v>45517.342897696755</v>
      </c>
      <c r="B3170" s="137" t="s">
        <v>37</v>
      </c>
      <c r="C3170" s="41" t="s">
        <v>118</v>
      </c>
      <c r="D3170" s="80" t="s">
        <v>36</v>
      </c>
      <c r="E3170" s="80" t="s">
        <v>77</v>
      </c>
      <c r="F3170" s="80" t="s">
        <v>36</v>
      </c>
      <c r="G3170" s="80" t="s">
        <v>41</v>
      </c>
      <c r="H3170" s="80" t="s">
        <v>11015</v>
      </c>
      <c r="I3170" s="17">
        <f ca="1">IFERROR(__xludf.DUMMYFUNCTION("""COMPUTED_VALUE"""),45519)</f>
        <v>45519</v>
      </c>
      <c r="J3170" s="143" t="s">
        <v>11389</v>
      </c>
      <c r="K3170" s="80" t="s">
        <v>1305</v>
      </c>
      <c r="L3170" s="30">
        <v>989768886</v>
      </c>
      <c r="M3170" s="80" t="s">
        <v>112</v>
      </c>
      <c r="N3170" s="80" t="s">
        <v>113</v>
      </c>
      <c r="O3170" s="80" t="s">
        <v>36</v>
      </c>
      <c r="P3170" s="80" t="s">
        <v>11390</v>
      </c>
      <c r="Q3170" s="20">
        <v>1968</v>
      </c>
      <c r="R3170" s="80" t="s">
        <v>36</v>
      </c>
      <c r="S3170" s="95">
        <v>1868</v>
      </c>
      <c r="T3170" s="148">
        <v>45517</v>
      </c>
      <c r="U3170" s="77"/>
      <c r="V3170" s="78"/>
      <c r="W3170" s="85" t="s">
        <v>11391</v>
      </c>
      <c r="X3170" s="80">
        <v>0</v>
      </c>
      <c r="Y3170" s="22">
        <v>100</v>
      </c>
      <c r="Z3170" s="80" t="s">
        <v>50</v>
      </c>
      <c r="AA3170" s="35" t="s">
        <v>10314</v>
      </c>
      <c r="AB3170" s="80"/>
      <c r="AC3170" s="80" t="s">
        <v>1828</v>
      </c>
      <c r="AD3170" s="80" t="s">
        <v>54</v>
      </c>
      <c r="AE3170" s="80" t="s">
        <v>72</v>
      </c>
      <c r="AF3170" s="60" t="s">
        <v>1829</v>
      </c>
      <c r="AG3170" s="80" t="s">
        <v>1830</v>
      </c>
      <c r="AH3170" s="80"/>
      <c r="AI3170" s="147"/>
      <c r="AJ3170" s="80"/>
      <c r="AK3170" s="80"/>
      <c r="AL3170" s="35"/>
      <c r="AM3170" s="35"/>
      <c r="AN3170" s="35"/>
      <c r="AO3170" s="35"/>
      <c r="AP3170" s="35"/>
    </row>
    <row r="3171" spans="1:42" x14ac:dyDescent="0.2">
      <c r="A3171" s="126">
        <v>45517.346672905092</v>
      </c>
      <c r="B3171" s="137" t="s">
        <v>37</v>
      </c>
      <c r="C3171" s="41" t="s">
        <v>118</v>
      </c>
      <c r="D3171" s="80" t="s">
        <v>36</v>
      </c>
      <c r="E3171" s="80" t="s">
        <v>56</v>
      </c>
      <c r="F3171" s="80" t="s">
        <v>40</v>
      </c>
      <c r="G3171" s="80" t="s">
        <v>6516</v>
      </c>
      <c r="H3171" s="80" t="s">
        <v>11392</v>
      </c>
      <c r="I3171" s="17">
        <f ca="1">IFERROR(__xludf.DUMMYFUNCTION("""COMPUTED_VALUE"""),45540)</f>
        <v>45540</v>
      </c>
      <c r="J3171" s="143" t="s">
        <v>11393</v>
      </c>
      <c r="K3171" s="80" t="s">
        <v>11394</v>
      </c>
      <c r="L3171" s="30">
        <v>377769969</v>
      </c>
      <c r="M3171" s="80" t="s">
        <v>59</v>
      </c>
      <c r="N3171" s="80" t="s">
        <v>9294</v>
      </c>
      <c r="O3171" s="80" t="s">
        <v>11395</v>
      </c>
      <c r="P3171" s="115" t="s">
        <v>11396</v>
      </c>
      <c r="Q3171" s="20">
        <v>9317</v>
      </c>
      <c r="R3171" s="80" t="s">
        <v>36</v>
      </c>
      <c r="S3171" s="95">
        <f>200+9117</f>
        <v>9317</v>
      </c>
      <c r="T3171" s="148">
        <v>45516</v>
      </c>
      <c r="U3171" s="95"/>
      <c r="V3171" s="148">
        <v>45534</v>
      </c>
      <c r="W3171" s="85" t="s">
        <v>11397</v>
      </c>
      <c r="X3171" s="80">
        <v>0</v>
      </c>
      <c r="Y3171" s="22">
        <v>0</v>
      </c>
      <c r="Z3171" s="80" t="s">
        <v>50</v>
      </c>
      <c r="AA3171" s="96" t="s">
        <v>10314</v>
      </c>
      <c r="AB3171" s="80"/>
      <c r="AC3171" s="80" t="s">
        <v>53</v>
      </c>
      <c r="AD3171" s="80" t="s">
        <v>138</v>
      </c>
      <c r="AE3171" s="80" t="s">
        <v>72</v>
      </c>
      <c r="AF3171" s="17">
        <v>45538</v>
      </c>
      <c r="AG3171" s="80"/>
      <c r="AH3171" s="80"/>
      <c r="AI3171" s="147"/>
      <c r="AJ3171" s="80"/>
      <c r="AK3171" s="80"/>
      <c r="AL3171" s="35"/>
      <c r="AM3171" s="35"/>
      <c r="AN3171" s="35"/>
      <c r="AO3171" s="35"/>
      <c r="AP3171" s="35"/>
    </row>
    <row r="3172" spans="1:42" x14ac:dyDescent="0.2">
      <c r="A3172" s="126">
        <v>45517.385359814813</v>
      </c>
      <c r="B3172" s="137" t="s">
        <v>37</v>
      </c>
      <c r="C3172" s="41" t="s">
        <v>118</v>
      </c>
      <c r="D3172" s="80" t="s">
        <v>77</v>
      </c>
      <c r="E3172" s="80" t="s">
        <v>106</v>
      </c>
      <c r="F3172" s="80" t="s">
        <v>7313</v>
      </c>
      <c r="G3172" s="80" t="s">
        <v>108</v>
      </c>
      <c r="H3172" s="80" t="s">
        <v>8662</v>
      </c>
      <c r="I3172" s="17">
        <f ca="1">IFERROR(__xludf.DUMMYFUNCTION("""COMPUTED_VALUE"""),45524)</f>
        <v>45524</v>
      </c>
      <c r="J3172" s="143" t="s">
        <v>7913</v>
      </c>
      <c r="K3172" s="80" t="s">
        <v>11398</v>
      </c>
      <c r="L3172" s="30">
        <v>384541909</v>
      </c>
      <c r="M3172" s="80" t="s">
        <v>59</v>
      </c>
      <c r="N3172" s="80" t="s">
        <v>68</v>
      </c>
      <c r="O3172" s="80" t="s">
        <v>11399</v>
      </c>
      <c r="P3172" s="137" t="s">
        <v>11400</v>
      </c>
      <c r="Q3172" s="20">
        <v>3768</v>
      </c>
      <c r="R3172" s="80" t="s">
        <v>36</v>
      </c>
      <c r="S3172" s="95">
        <v>3768</v>
      </c>
      <c r="T3172" s="148">
        <v>45516</v>
      </c>
      <c r="U3172" s="77"/>
      <c r="V3172" s="78"/>
      <c r="W3172" s="85" t="s">
        <v>11401</v>
      </c>
      <c r="X3172" s="80">
        <v>100</v>
      </c>
      <c r="Y3172" s="22">
        <v>-100</v>
      </c>
      <c r="Z3172" s="80" t="s">
        <v>50</v>
      </c>
      <c r="AA3172" s="35" t="s">
        <v>10314</v>
      </c>
      <c r="AB3172" s="80"/>
      <c r="AC3172" s="80" t="s">
        <v>53</v>
      </c>
      <c r="AD3172" s="80" t="s">
        <v>54</v>
      </c>
      <c r="AE3172" s="80" t="s">
        <v>2752</v>
      </c>
      <c r="AF3172" s="17">
        <v>45517</v>
      </c>
      <c r="AG3172" s="80"/>
      <c r="AH3172" s="80"/>
      <c r="AI3172" s="147"/>
      <c r="AJ3172" s="80"/>
      <c r="AK3172" s="80"/>
      <c r="AL3172" s="35"/>
      <c r="AM3172" s="35"/>
      <c r="AN3172" s="35"/>
      <c r="AO3172" s="35"/>
      <c r="AP3172" s="35"/>
    </row>
    <row r="3173" spans="1:42" x14ac:dyDescent="0.2">
      <c r="A3173" s="126">
        <v>45517.387657233798</v>
      </c>
      <c r="B3173" s="137" t="s">
        <v>37</v>
      </c>
      <c r="C3173" s="41" t="s">
        <v>118</v>
      </c>
      <c r="D3173" s="80" t="s">
        <v>36</v>
      </c>
      <c r="E3173" s="80" t="s">
        <v>106</v>
      </c>
      <c r="F3173" s="80" t="s">
        <v>40</v>
      </c>
      <c r="G3173" s="80" t="s">
        <v>108</v>
      </c>
      <c r="H3173" s="80" t="s">
        <v>8662</v>
      </c>
      <c r="I3173" s="17">
        <f ca="1">IFERROR(__xludf.DUMMYFUNCTION("""COMPUTED_VALUE"""),45524)</f>
        <v>45524</v>
      </c>
      <c r="J3173" s="143" t="s">
        <v>11402</v>
      </c>
      <c r="K3173" s="80" t="s">
        <v>11403</v>
      </c>
      <c r="L3173" s="30">
        <v>394390231</v>
      </c>
      <c r="M3173" s="80" t="s">
        <v>59</v>
      </c>
      <c r="N3173" s="80" t="s">
        <v>68</v>
      </c>
      <c r="O3173" s="80" t="s">
        <v>11399</v>
      </c>
      <c r="P3173" s="80" t="s">
        <v>11404</v>
      </c>
      <c r="Q3173" s="20">
        <v>3768</v>
      </c>
      <c r="R3173" s="80" t="s">
        <v>36</v>
      </c>
      <c r="S3173" s="95">
        <v>3768</v>
      </c>
      <c r="T3173" s="148">
        <v>45517</v>
      </c>
      <c r="U3173" s="77"/>
      <c r="V3173" s="78"/>
      <c r="W3173" s="85" t="s">
        <v>11405</v>
      </c>
      <c r="X3173" s="80">
        <v>0</v>
      </c>
      <c r="Y3173" s="22">
        <v>0</v>
      </c>
      <c r="Z3173" s="80" t="s">
        <v>50</v>
      </c>
      <c r="AA3173" s="96" t="s">
        <v>10314</v>
      </c>
      <c r="AB3173" s="80"/>
      <c r="AC3173" s="80" t="s">
        <v>53</v>
      </c>
      <c r="AD3173" s="80" t="s">
        <v>54</v>
      </c>
      <c r="AE3173" s="80" t="s">
        <v>2752</v>
      </c>
      <c r="AF3173" s="17">
        <v>45517</v>
      </c>
      <c r="AG3173" s="80"/>
      <c r="AH3173" s="80"/>
      <c r="AI3173" s="147"/>
      <c r="AJ3173" s="80"/>
      <c r="AK3173" s="80"/>
      <c r="AL3173" s="35"/>
      <c r="AM3173" s="35"/>
      <c r="AN3173" s="35"/>
      <c r="AO3173" s="35"/>
      <c r="AP3173" s="35"/>
    </row>
    <row r="3174" spans="1:42" x14ac:dyDescent="0.2">
      <c r="A3174" s="126">
        <v>45517.586677245374</v>
      </c>
      <c r="B3174" s="137" t="s">
        <v>37</v>
      </c>
      <c r="C3174" s="41" t="s">
        <v>118</v>
      </c>
      <c r="D3174" s="80" t="s">
        <v>36</v>
      </c>
      <c r="E3174" s="80" t="s">
        <v>39</v>
      </c>
      <c r="F3174" s="80" t="s">
        <v>40</v>
      </c>
      <c r="G3174" s="80" t="s">
        <v>41</v>
      </c>
      <c r="H3174" s="80" t="s">
        <v>11144</v>
      </c>
      <c r="I3174" s="17">
        <f ca="1">IFERROR(__xludf.DUMMYFUNCTION("""COMPUTED_VALUE"""),45523)</f>
        <v>45523</v>
      </c>
      <c r="J3174" s="143" t="s">
        <v>11406</v>
      </c>
      <c r="K3174" s="80" t="s">
        <v>11407</v>
      </c>
      <c r="L3174" s="30">
        <v>382276935</v>
      </c>
      <c r="M3174" s="80" t="s">
        <v>45</v>
      </c>
      <c r="N3174" s="80" t="s">
        <v>1472</v>
      </c>
      <c r="O3174" s="80" t="s">
        <v>11408</v>
      </c>
      <c r="P3174" s="80" t="s">
        <v>11409</v>
      </c>
      <c r="Q3174" s="20">
        <v>5736</v>
      </c>
      <c r="R3174" s="80" t="s">
        <v>36</v>
      </c>
      <c r="S3174" s="95">
        <v>5736</v>
      </c>
      <c r="T3174" s="148">
        <v>45516</v>
      </c>
      <c r="U3174" s="77"/>
      <c r="V3174" s="78"/>
      <c r="W3174" s="85" t="s">
        <v>11410</v>
      </c>
      <c r="X3174" s="80">
        <v>0</v>
      </c>
      <c r="Y3174" s="22">
        <v>0</v>
      </c>
      <c r="Z3174" s="80" t="s">
        <v>50</v>
      </c>
      <c r="AA3174" s="35" t="s">
        <v>10314</v>
      </c>
      <c r="AB3174" s="80"/>
      <c r="AC3174" s="80" t="s">
        <v>53</v>
      </c>
      <c r="AD3174" s="80" t="s">
        <v>54</v>
      </c>
      <c r="AE3174" s="83">
        <v>260</v>
      </c>
      <c r="AF3174" s="17">
        <v>45517</v>
      </c>
      <c r="AG3174" s="80"/>
      <c r="AH3174" s="80"/>
      <c r="AI3174" s="147"/>
      <c r="AJ3174" s="80"/>
      <c r="AK3174" s="80"/>
      <c r="AL3174" s="35"/>
      <c r="AM3174" s="35"/>
      <c r="AN3174" s="35"/>
      <c r="AO3174" s="35"/>
      <c r="AP3174" s="35"/>
    </row>
    <row r="3175" spans="1:42" x14ac:dyDescent="0.2">
      <c r="A3175" s="126">
        <v>45517.675590902778</v>
      </c>
      <c r="B3175" s="137" t="s">
        <v>37</v>
      </c>
      <c r="C3175" s="41" t="s">
        <v>118</v>
      </c>
      <c r="D3175" s="80" t="s">
        <v>36</v>
      </c>
      <c r="E3175" s="80" t="s">
        <v>77</v>
      </c>
      <c r="F3175" s="80" t="s">
        <v>36</v>
      </c>
      <c r="G3175" s="80" t="s">
        <v>41</v>
      </c>
      <c r="H3175" s="80" t="s">
        <v>11144</v>
      </c>
      <c r="I3175" s="17">
        <f ca="1">IFERROR(__xludf.DUMMYFUNCTION("""COMPUTED_VALUE"""),45523)</f>
        <v>45523</v>
      </c>
      <c r="J3175" s="143" t="s">
        <v>11411</v>
      </c>
      <c r="K3175" s="80" t="s">
        <v>11412</v>
      </c>
      <c r="L3175" s="30">
        <v>978613532</v>
      </c>
      <c r="M3175" s="80" t="s">
        <v>11413</v>
      </c>
      <c r="N3175" s="80" t="s">
        <v>1246</v>
      </c>
      <c r="O3175" s="80" t="s">
        <v>11414</v>
      </c>
      <c r="P3175" s="144" t="s">
        <v>11415</v>
      </c>
      <c r="Q3175" s="20">
        <v>1968</v>
      </c>
      <c r="R3175" s="80" t="s">
        <v>36</v>
      </c>
      <c r="S3175" s="95">
        <v>1000</v>
      </c>
      <c r="T3175" s="148">
        <v>45517</v>
      </c>
      <c r="U3175" s="77">
        <v>968</v>
      </c>
      <c r="V3175" s="78">
        <v>45519</v>
      </c>
      <c r="W3175" s="85" t="s">
        <v>11416</v>
      </c>
      <c r="X3175" s="80">
        <v>0</v>
      </c>
      <c r="Y3175" s="22">
        <v>0</v>
      </c>
      <c r="Z3175" s="80" t="s">
        <v>50</v>
      </c>
      <c r="AA3175" s="96" t="s">
        <v>10314</v>
      </c>
      <c r="AB3175" s="26" t="s">
        <v>36</v>
      </c>
      <c r="AC3175" s="80" t="s">
        <v>53</v>
      </c>
      <c r="AD3175" s="80" t="s">
        <v>54</v>
      </c>
      <c r="AE3175" s="80" t="s">
        <v>72</v>
      </c>
      <c r="AF3175" s="17">
        <v>45517</v>
      </c>
      <c r="AG3175" s="80"/>
      <c r="AH3175" s="80"/>
      <c r="AI3175" s="147"/>
      <c r="AJ3175" s="80"/>
      <c r="AK3175" s="80"/>
      <c r="AL3175" s="35"/>
      <c r="AM3175" s="35"/>
      <c r="AN3175" s="35"/>
      <c r="AO3175" s="35"/>
      <c r="AP3175" s="35"/>
    </row>
    <row r="3176" spans="1:42" x14ac:dyDescent="0.2">
      <c r="A3176" s="126">
        <v>45517.688069050928</v>
      </c>
      <c r="B3176" s="137" t="s">
        <v>37</v>
      </c>
      <c r="C3176" s="41" t="s">
        <v>118</v>
      </c>
      <c r="D3176" s="80" t="s">
        <v>36</v>
      </c>
      <c r="E3176" s="80" t="s">
        <v>106</v>
      </c>
      <c r="F3176" s="80" t="s">
        <v>36</v>
      </c>
      <c r="G3176" s="80" t="s">
        <v>108</v>
      </c>
      <c r="H3176" s="80" t="s">
        <v>9836</v>
      </c>
      <c r="I3176" s="17">
        <f ca="1">IFERROR(__xludf.DUMMYFUNCTION("""COMPUTED_VALUE"""),45539)</f>
        <v>45539</v>
      </c>
      <c r="J3176" s="143" t="s">
        <v>11417</v>
      </c>
      <c r="K3176" s="80" t="s">
        <v>11418</v>
      </c>
      <c r="L3176" s="30">
        <v>395109618</v>
      </c>
      <c r="M3176" s="80" t="s">
        <v>9422</v>
      </c>
      <c r="N3176" s="80" t="s">
        <v>2157</v>
      </c>
      <c r="O3176" s="80" t="s">
        <v>11419</v>
      </c>
      <c r="P3176" s="80" t="s">
        <v>11420</v>
      </c>
      <c r="Q3176" s="20">
        <v>3768</v>
      </c>
      <c r="R3176" s="80" t="s">
        <v>11421</v>
      </c>
      <c r="S3176" s="95">
        <v>3468</v>
      </c>
      <c r="T3176" s="148">
        <v>45517</v>
      </c>
      <c r="U3176" s="77"/>
      <c r="V3176" s="78"/>
      <c r="W3176" s="79" t="s">
        <v>11422</v>
      </c>
      <c r="X3176" s="80">
        <v>300</v>
      </c>
      <c r="Y3176" s="22">
        <v>0</v>
      </c>
      <c r="Z3176" s="80" t="s">
        <v>50</v>
      </c>
      <c r="AA3176" s="35" t="s">
        <v>10314</v>
      </c>
      <c r="AB3176" s="80"/>
      <c r="AC3176" s="80" t="s">
        <v>53</v>
      </c>
      <c r="AD3176" s="80" t="s">
        <v>138</v>
      </c>
      <c r="AE3176" s="83">
        <v>400</v>
      </c>
      <c r="AF3176" s="17">
        <v>45532</v>
      </c>
      <c r="AG3176" s="80"/>
      <c r="AH3176" s="80"/>
      <c r="AI3176" s="147"/>
      <c r="AJ3176" s="80"/>
      <c r="AK3176" s="80"/>
      <c r="AL3176" s="35"/>
      <c r="AM3176" s="35"/>
      <c r="AN3176" s="35"/>
      <c r="AO3176" s="35"/>
      <c r="AP3176" s="35"/>
    </row>
    <row r="3177" spans="1:42" x14ac:dyDescent="0.2">
      <c r="A3177" s="126">
        <v>45517.900786770835</v>
      </c>
      <c r="B3177" s="137" t="s">
        <v>37</v>
      </c>
      <c r="C3177" s="41" t="s">
        <v>118</v>
      </c>
      <c r="D3177" s="80" t="s">
        <v>219</v>
      </c>
      <c r="E3177" s="80" t="s">
        <v>4128</v>
      </c>
      <c r="F3177" s="80" t="s">
        <v>4275</v>
      </c>
      <c r="G3177" s="80" t="s">
        <v>1705</v>
      </c>
      <c r="H3177" s="80" t="s">
        <v>6519</v>
      </c>
      <c r="I3177" s="17">
        <f ca="1">IFERROR(__xludf.DUMMYFUNCTION("""COMPUTED_VALUE"""),45518)</f>
        <v>45518</v>
      </c>
      <c r="J3177" s="143" t="s">
        <v>11423</v>
      </c>
      <c r="K3177" s="80" t="s">
        <v>11424</v>
      </c>
      <c r="L3177" s="30">
        <v>922222583</v>
      </c>
      <c r="M3177" s="80" t="s">
        <v>9422</v>
      </c>
      <c r="N3177" s="80" t="s">
        <v>327</v>
      </c>
      <c r="O3177" s="80" t="s">
        <v>11425</v>
      </c>
      <c r="P3177" s="80" t="s">
        <v>11426</v>
      </c>
      <c r="Q3177" s="20">
        <v>3868</v>
      </c>
      <c r="R3177" s="80" t="s">
        <v>36</v>
      </c>
      <c r="S3177" s="95">
        <v>3868</v>
      </c>
      <c r="T3177" s="148">
        <v>45517</v>
      </c>
      <c r="U3177" s="77"/>
      <c r="V3177" s="78"/>
      <c r="W3177" s="85" t="s">
        <v>11427</v>
      </c>
      <c r="X3177" s="80">
        <v>0</v>
      </c>
      <c r="Y3177" s="22">
        <v>0</v>
      </c>
      <c r="Z3177" s="80" t="s">
        <v>50</v>
      </c>
      <c r="AA3177" s="96" t="s">
        <v>10314</v>
      </c>
      <c r="AB3177" s="80"/>
      <c r="AC3177" s="80" t="s">
        <v>53</v>
      </c>
      <c r="AD3177" s="80" t="s">
        <v>138</v>
      </c>
      <c r="AE3177" s="80"/>
      <c r="AF3177" s="17">
        <v>45518</v>
      </c>
      <c r="AG3177" s="80" t="s">
        <v>3399</v>
      </c>
      <c r="AH3177" s="80"/>
      <c r="AI3177" s="147"/>
      <c r="AJ3177" s="80"/>
      <c r="AK3177" s="80"/>
      <c r="AL3177" s="35"/>
      <c r="AM3177" s="35"/>
      <c r="AN3177" s="35"/>
      <c r="AO3177" s="35"/>
      <c r="AP3177" s="35"/>
    </row>
    <row r="3178" spans="1:42" x14ac:dyDescent="0.2">
      <c r="A3178" s="126">
        <v>45518.444971412042</v>
      </c>
      <c r="B3178" s="137" t="s">
        <v>37</v>
      </c>
      <c r="C3178" s="41" t="s">
        <v>118</v>
      </c>
      <c r="D3178" s="80" t="s">
        <v>36</v>
      </c>
      <c r="E3178" s="80" t="s">
        <v>139</v>
      </c>
      <c r="F3178" s="80" t="s">
        <v>36</v>
      </c>
      <c r="G3178" s="80" t="s">
        <v>41</v>
      </c>
      <c r="H3178" s="80" t="s">
        <v>11428</v>
      </c>
      <c r="I3178" s="17">
        <f ca="1">IFERROR(__xludf.DUMMYFUNCTION("""COMPUTED_VALUE"""),45527)</f>
        <v>45527</v>
      </c>
      <c r="J3178" s="143" t="s">
        <v>11429</v>
      </c>
      <c r="K3178" s="80" t="s">
        <v>4515</v>
      </c>
      <c r="L3178" s="30">
        <v>353486229</v>
      </c>
      <c r="M3178" s="80" t="s">
        <v>45</v>
      </c>
      <c r="N3178" s="80" t="s">
        <v>7814</v>
      </c>
      <c r="O3178" s="80" t="s">
        <v>11430</v>
      </c>
      <c r="P3178" s="80" t="s">
        <v>11431</v>
      </c>
      <c r="Q3178" s="20">
        <v>15936</v>
      </c>
      <c r="R3178" s="80" t="s">
        <v>36</v>
      </c>
      <c r="S3178" s="95">
        <v>10000</v>
      </c>
      <c r="T3178" s="148">
        <v>45517</v>
      </c>
      <c r="U3178" s="95">
        <v>5936</v>
      </c>
      <c r="V3178" s="148">
        <v>45535</v>
      </c>
      <c r="W3178" s="85" t="s">
        <v>11432</v>
      </c>
      <c r="X3178" s="80">
        <v>0</v>
      </c>
      <c r="Y3178" s="22">
        <v>0</v>
      </c>
      <c r="Z3178" s="80" t="s">
        <v>50</v>
      </c>
      <c r="AA3178" s="35" t="s">
        <v>10314</v>
      </c>
      <c r="AB3178" s="80"/>
      <c r="AC3178" s="80" t="s">
        <v>53</v>
      </c>
      <c r="AD3178" s="80" t="s">
        <v>54</v>
      </c>
      <c r="AE3178" s="83">
        <v>0</v>
      </c>
      <c r="AF3178" s="17">
        <v>45520</v>
      </c>
      <c r="AG3178" s="80"/>
      <c r="AH3178" s="80"/>
      <c r="AI3178" s="147"/>
      <c r="AJ3178" s="80"/>
      <c r="AK3178" s="80"/>
      <c r="AL3178" s="35"/>
      <c r="AM3178" s="35"/>
      <c r="AN3178" s="35"/>
      <c r="AO3178" s="35"/>
      <c r="AP3178" s="35"/>
    </row>
    <row r="3179" spans="1:42" x14ac:dyDescent="0.2">
      <c r="A3179" s="14">
        <v>45518</v>
      </c>
      <c r="B3179" s="28" t="s">
        <v>37</v>
      </c>
      <c r="C3179" s="41" t="s">
        <v>118</v>
      </c>
      <c r="D3179" s="26" t="s">
        <v>36</v>
      </c>
      <c r="E3179" s="26" t="s">
        <v>219</v>
      </c>
      <c r="F3179" s="26" t="s">
        <v>338</v>
      </c>
      <c r="G3179" s="26" t="s">
        <v>221</v>
      </c>
      <c r="H3179" s="26" t="s">
        <v>9031</v>
      </c>
      <c r="I3179" s="17">
        <f ca="1">IFERROR(__xludf.DUMMYFUNCTION("""COMPUTED_VALUE"""),45540)</f>
        <v>45540</v>
      </c>
      <c r="J3179" s="29" t="s">
        <v>432</v>
      </c>
      <c r="K3179" s="26" t="s">
        <v>11433</v>
      </c>
      <c r="L3179" s="30">
        <v>559645820</v>
      </c>
      <c r="M3179" s="26" t="s">
        <v>1245</v>
      </c>
      <c r="N3179" s="26" t="s">
        <v>1246</v>
      </c>
      <c r="O3179" s="26" t="s">
        <v>134</v>
      </c>
      <c r="P3179" s="42" t="s">
        <v>11434</v>
      </c>
      <c r="Q3179" s="20">
        <v>3968</v>
      </c>
      <c r="R3179" s="26" t="s">
        <v>36</v>
      </c>
      <c r="S3179" s="95">
        <f>200+3768</f>
        <v>3968</v>
      </c>
      <c r="T3179" s="170">
        <v>45519</v>
      </c>
      <c r="U3179" s="31"/>
      <c r="V3179" s="26"/>
      <c r="W3179" s="85" t="s">
        <v>11435</v>
      </c>
      <c r="X3179" s="26">
        <v>0</v>
      </c>
      <c r="Y3179" s="22">
        <v>0</v>
      </c>
      <c r="Z3179" s="26" t="s">
        <v>50</v>
      </c>
      <c r="AA3179" s="96" t="s">
        <v>10314</v>
      </c>
      <c r="AB3179" s="26" t="s">
        <v>36</v>
      </c>
      <c r="AC3179" s="26" t="s">
        <v>53</v>
      </c>
      <c r="AD3179" s="19" t="s">
        <v>54</v>
      </c>
      <c r="AE3179" s="26" t="s">
        <v>338</v>
      </c>
      <c r="AF3179" s="17">
        <v>45523</v>
      </c>
      <c r="AG3179" s="26"/>
      <c r="AH3179" s="26">
        <v>1</v>
      </c>
      <c r="AI3179" s="40">
        <v>1</v>
      </c>
      <c r="AJ3179" s="26"/>
      <c r="AK3179" s="26"/>
      <c r="AL3179" s="35"/>
      <c r="AM3179" s="35"/>
      <c r="AN3179" s="35"/>
      <c r="AO3179" s="35"/>
      <c r="AP3179" s="35"/>
    </row>
    <row r="3180" spans="1:42" x14ac:dyDescent="0.2">
      <c r="A3180" s="126">
        <v>45518.58470295139</v>
      </c>
      <c r="B3180" s="137" t="s">
        <v>37</v>
      </c>
      <c r="C3180" s="41" t="s">
        <v>118</v>
      </c>
      <c r="D3180" s="80" t="s">
        <v>36</v>
      </c>
      <c r="E3180" s="80" t="s">
        <v>219</v>
      </c>
      <c r="F3180" s="80" t="s">
        <v>1242</v>
      </c>
      <c r="G3180" s="80" t="s">
        <v>221</v>
      </c>
      <c r="H3180" s="80" t="s">
        <v>11436</v>
      </c>
      <c r="I3180" s="17">
        <f ca="1">IFERROR(__xludf.DUMMYFUNCTION("""COMPUTED_VALUE"""),45624)</f>
        <v>45624</v>
      </c>
      <c r="J3180" s="143" t="s">
        <v>9775</v>
      </c>
      <c r="K3180" s="80" t="s">
        <v>9776</v>
      </c>
      <c r="L3180" s="30">
        <v>369936604</v>
      </c>
      <c r="M3180" s="80" t="s">
        <v>9422</v>
      </c>
      <c r="N3180" s="80" t="s">
        <v>621</v>
      </c>
      <c r="O3180" s="80" t="s">
        <v>9777</v>
      </c>
      <c r="P3180" s="144" t="s">
        <v>9778</v>
      </c>
      <c r="Q3180" s="20">
        <v>3968</v>
      </c>
      <c r="R3180" s="80" t="s">
        <v>36</v>
      </c>
      <c r="S3180" s="95">
        <v>3581</v>
      </c>
      <c r="T3180" s="148">
        <v>45516</v>
      </c>
      <c r="U3180" s="95">
        <v>287</v>
      </c>
      <c r="V3180" s="148">
        <v>45517</v>
      </c>
      <c r="W3180" s="80" t="s">
        <v>11437</v>
      </c>
      <c r="X3180" s="80">
        <v>100</v>
      </c>
      <c r="Y3180" s="22">
        <v>0</v>
      </c>
      <c r="Z3180" s="80" t="s">
        <v>50</v>
      </c>
      <c r="AA3180" s="35" t="s">
        <v>10314</v>
      </c>
      <c r="AB3180" s="80"/>
      <c r="AC3180" s="80" t="s">
        <v>53</v>
      </c>
      <c r="AD3180" s="80" t="s">
        <v>54</v>
      </c>
      <c r="AE3180" s="80"/>
      <c r="AF3180" s="17">
        <v>45617</v>
      </c>
      <c r="AG3180" s="80"/>
      <c r="AH3180" s="80"/>
      <c r="AI3180" s="147"/>
      <c r="AJ3180" s="80"/>
      <c r="AK3180" s="80"/>
      <c r="AL3180" s="35"/>
      <c r="AM3180" s="35"/>
      <c r="AN3180" s="35"/>
      <c r="AO3180" s="35"/>
      <c r="AP3180" s="35"/>
    </row>
    <row r="3181" spans="1:42" x14ac:dyDescent="0.2">
      <c r="A3181" s="126">
        <v>45519.418872037037</v>
      </c>
      <c r="B3181" s="137" t="s">
        <v>37</v>
      </c>
      <c r="C3181" s="41" t="s">
        <v>118</v>
      </c>
      <c r="D3181" s="80" t="s">
        <v>219</v>
      </c>
      <c r="E3181" s="80" t="s">
        <v>1704</v>
      </c>
      <c r="F3181" s="80" t="s">
        <v>7413</v>
      </c>
      <c r="G3181" s="80" t="s">
        <v>11438</v>
      </c>
      <c r="H3181" s="80" t="s">
        <v>8403</v>
      </c>
      <c r="I3181" s="17">
        <f ca="1">IFERROR(__xludf.DUMMYFUNCTION("""COMPUTED_VALUE"""),45543)</f>
        <v>45543</v>
      </c>
      <c r="J3181" s="143" t="s">
        <v>4303</v>
      </c>
      <c r="K3181" s="80" t="s">
        <v>11439</v>
      </c>
      <c r="L3181" s="30">
        <v>395476207</v>
      </c>
      <c r="M3181" s="80" t="s">
        <v>11413</v>
      </c>
      <c r="N3181" s="80" t="s">
        <v>1246</v>
      </c>
      <c r="O3181" s="80" t="s">
        <v>4305</v>
      </c>
      <c r="P3181" s="144" t="s">
        <v>11440</v>
      </c>
      <c r="Q3181" s="20">
        <v>7729</v>
      </c>
      <c r="R3181" s="80" t="s">
        <v>36</v>
      </c>
      <c r="S3181" s="95">
        <v>7729</v>
      </c>
      <c r="T3181" s="148">
        <v>45519</v>
      </c>
      <c r="U3181" s="77"/>
      <c r="V3181" s="78"/>
      <c r="W3181" s="85" t="s">
        <v>11441</v>
      </c>
      <c r="X3181" s="80">
        <v>0</v>
      </c>
      <c r="Y3181" s="22">
        <v>0</v>
      </c>
      <c r="Z3181" s="80" t="s">
        <v>50</v>
      </c>
      <c r="AA3181" s="96" t="s">
        <v>10314</v>
      </c>
      <c r="AB3181" s="26" t="s">
        <v>36</v>
      </c>
      <c r="AC3181" s="80" t="s">
        <v>53</v>
      </c>
      <c r="AD3181" s="80" t="s">
        <v>138</v>
      </c>
      <c r="AE3181" s="80" t="s">
        <v>7413</v>
      </c>
      <c r="AF3181" s="17">
        <v>45555</v>
      </c>
      <c r="AG3181" s="80" t="s">
        <v>863</v>
      </c>
      <c r="AH3181" s="80"/>
      <c r="AI3181" s="147"/>
      <c r="AJ3181" s="80"/>
      <c r="AK3181" s="80"/>
      <c r="AL3181" s="35"/>
      <c r="AM3181" s="35"/>
      <c r="AN3181" s="35"/>
      <c r="AO3181" s="35"/>
      <c r="AP3181" s="35"/>
    </row>
    <row r="3182" spans="1:42" x14ac:dyDescent="0.2">
      <c r="A3182" s="14">
        <v>45519</v>
      </c>
      <c r="B3182" s="28" t="s">
        <v>37</v>
      </c>
      <c r="C3182" s="41" t="s">
        <v>118</v>
      </c>
      <c r="D3182" s="26" t="s">
        <v>106</v>
      </c>
      <c r="E3182" s="26" t="s">
        <v>219</v>
      </c>
      <c r="F3182" s="26" t="s">
        <v>5106</v>
      </c>
      <c r="G3182" s="26" t="s">
        <v>221</v>
      </c>
      <c r="H3182" s="26" t="s">
        <v>9032</v>
      </c>
      <c r="I3182" s="17">
        <f ca="1">IFERROR(__xludf.DUMMYFUNCTION("""COMPUTED_VALUE"""),45548)</f>
        <v>45548</v>
      </c>
      <c r="J3182" s="29" t="s">
        <v>4318</v>
      </c>
      <c r="K3182" s="26" t="s">
        <v>4319</v>
      </c>
      <c r="L3182" s="30">
        <v>865902247</v>
      </c>
      <c r="M3182" s="26" t="s">
        <v>1245</v>
      </c>
      <c r="N3182" s="26" t="s">
        <v>1246</v>
      </c>
      <c r="O3182" s="26" t="s">
        <v>4503</v>
      </c>
      <c r="P3182" s="26" t="s">
        <v>5794</v>
      </c>
      <c r="Q3182" s="20">
        <v>3968</v>
      </c>
      <c r="R3182" s="26" t="s">
        <v>36</v>
      </c>
      <c r="S3182" s="95">
        <v>3968</v>
      </c>
      <c r="T3182" s="148">
        <v>45519</v>
      </c>
      <c r="U3182" s="31"/>
      <c r="V3182" s="32"/>
      <c r="W3182" s="85" t="s">
        <v>11442</v>
      </c>
      <c r="X3182" s="26">
        <v>0</v>
      </c>
      <c r="Y3182" s="22">
        <v>0</v>
      </c>
      <c r="Z3182" s="26" t="s">
        <v>50</v>
      </c>
      <c r="AA3182" s="35" t="s">
        <v>10314</v>
      </c>
      <c r="AB3182" s="26" t="s">
        <v>36</v>
      </c>
      <c r="AC3182" s="26" t="s">
        <v>53</v>
      </c>
      <c r="AD3182" s="19" t="s">
        <v>138</v>
      </c>
      <c r="AE3182" s="26" t="s">
        <v>5106</v>
      </c>
      <c r="AF3182" s="17">
        <v>45548</v>
      </c>
      <c r="AG3182" s="26" t="s">
        <v>4092</v>
      </c>
      <c r="AH3182" s="26">
        <v>2</v>
      </c>
      <c r="AI3182" s="40"/>
      <c r="AJ3182" s="26"/>
      <c r="AK3182" s="26"/>
      <c r="AL3182" s="35"/>
      <c r="AM3182" s="35"/>
      <c r="AN3182" s="35"/>
      <c r="AO3182" s="35"/>
      <c r="AP3182" s="35"/>
    </row>
    <row r="3183" spans="1:42" x14ac:dyDescent="0.2">
      <c r="A3183" s="126">
        <v>45520.330101400468</v>
      </c>
      <c r="B3183" s="137" t="s">
        <v>37</v>
      </c>
      <c r="C3183" s="41" t="s">
        <v>118</v>
      </c>
      <c r="D3183" s="80" t="s">
        <v>36</v>
      </c>
      <c r="E3183" s="80" t="s">
        <v>106</v>
      </c>
      <c r="F3183" s="26" t="s">
        <v>36</v>
      </c>
      <c r="G3183" s="26" t="s">
        <v>108</v>
      </c>
      <c r="H3183" s="80" t="s">
        <v>9825</v>
      </c>
      <c r="I3183" s="17">
        <f ca="1">IFERROR(__xludf.DUMMYFUNCTION("""COMPUTED_VALUE"""),45548)</f>
        <v>45548</v>
      </c>
      <c r="J3183" s="143" t="s">
        <v>11443</v>
      </c>
      <c r="K3183" s="80" t="s">
        <v>11444</v>
      </c>
      <c r="L3183" s="30">
        <v>359302271</v>
      </c>
      <c r="M3183" s="80" t="s">
        <v>3288</v>
      </c>
      <c r="N3183" s="80" t="s">
        <v>200</v>
      </c>
      <c r="O3183" s="80" t="s">
        <v>91</v>
      </c>
      <c r="P3183" s="80" t="s">
        <v>3117</v>
      </c>
      <c r="Q3183" s="20">
        <v>3768</v>
      </c>
      <c r="R3183" s="80" t="s">
        <v>36</v>
      </c>
      <c r="S3183" s="95">
        <v>3493</v>
      </c>
      <c r="T3183" s="148">
        <v>45518</v>
      </c>
      <c r="U3183" s="77"/>
      <c r="V3183" s="78"/>
      <c r="W3183" s="85" t="s">
        <v>11445</v>
      </c>
      <c r="X3183" s="80">
        <v>0</v>
      </c>
      <c r="Y3183" s="22">
        <v>275</v>
      </c>
      <c r="Z3183" s="80" t="s">
        <v>50</v>
      </c>
      <c r="AA3183" s="96" t="s">
        <v>10314</v>
      </c>
      <c r="AB3183" s="80"/>
      <c r="AC3183" s="80" t="s">
        <v>53</v>
      </c>
      <c r="AD3183" s="80" t="s">
        <v>138</v>
      </c>
      <c r="AE3183" s="83">
        <v>570</v>
      </c>
      <c r="AF3183" s="17">
        <v>45548</v>
      </c>
      <c r="AG3183" s="26" t="s">
        <v>4996</v>
      </c>
      <c r="AH3183" s="80"/>
      <c r="AI3183" s="147"/>
      <c r="AJ3183" s="80"/>
      <c r="AK3183" s="80"/>
      <c r="AL3183" s="35"/>
      <c r="AM3183" s="35"/>
      <c r="AN3183" s="35"/>
      <c r="AO3183" s="35"/>
      <c r="AP3183" s="35"/>
    </row>
    <row r="3184" spans="1:42" x14ac:dyDescent="0.2">
      <c r="A3184" s="126">
        <v>45520.369938969903</v>
      </c>
      <c r="B3184" s="137" t="s">
        <v>37</v>
      </c>
      <c r="C3184" s="41" t="s">
        <v>118</v>
      </c>
      <c r="D3184" s="80" t="s">
        <v>36</v>
      </c>
      <c r="E3184" s="80" t="s">
        <v>77</v>
      </c>
      <c r="F3184" s="80" t="s">
        <v>36</v>
      </c>
      <c r="G3184" s="80" t="s">
        <v>41</v>
      </c>
      <c r="H3184" s="80" t="s">
        <v>11446</v>
      </c>
      <c r="I3184" s="17">
        <f ca="1">IFERROR(__xludf.DUMMYFUNCTION("""COMPUTED_VALUE"""),45527)</f>
        <v>45527</v>
      </c>
      <c r="J3184" s="143" t="s">
        <v>11447</v>
      </c>
      <c r="K3184" s="80" t="s">
        <v>11448</v>
      </c>
      <c r="L3184" s="30">
        <v>335029767</v>
      </c>
      <c r="M3184" s="80" t="s">
        <v>348</v>
      </c>
      <c r="N3184" s="80" t="s">
        <v>4299</v>
      </c>
      <c r="O3184" s="80" t="s">
        <v>11449</v>
      </c>
      <c r="P3184" s="80" t="s">
        <v>11450</v>
      </c>
      <c r="Q3184" s="20">
        <v>1968</v>
      </c>
      <c r="R3184" s="80" t="s">
        <v>36</v>
      </c>
      <c r="S3184" s="95">
        <v>1968</v>
      </c>
      <c r="T3184" s="148">
        <v>45520</v>
      </c>
      <c r="U3184" s="77"/>
      <c r="V3184" s="78"/>
      <c r="W3184" s="85" t="s">
        <v>11451</v>
      </c>
      <c r="X3184" s="80">
        <v>0</v>
      </c>
      <c r="Y3184" s="22">
        <v>0</v>
      </c>
      <c r="Z3184" s="80" t="s">
        <v>50</v>
      </c>
      <c r="AA3184" s="35" t="s">
        <v>10314</v>
      </c>
      <c r="AB3184" s="80"/>
      <c r="AC3184" s="80" t="s">
        <v>53</v>
      </c>
      <c r="AD3184" s="80" t="s">
        <v>54</v>
      </c>
      <c r="AE3184" s="80" t="s">
        <v>72</v>
      </c>
      <c r="AF3184" s="17">
        <v>45520</v>
      </c>
      <c r="AG3184" s="80"/>
      <c r="AH3184" s="80"/>
      <c r="AI3184" s="147"/>
      <c r="AJ3184" s="80"/>
      <c r="AK3184" s="80"/>
      <c r="AL3184" s="35"/>
      <c r="AM3184" s="35"/>
      <c r="AN3184" s="35"/>
      <c r="AO3184" s="35"/>
      <c r="AP3184" s="35"/>
    </row>
    <row r="3185" spans="1:42" x14ac:dyDescent="0.2">
      <c r="A3185" s="126">
        <v>45521.476346631942</v>
      </c>
      <c r="B3185" s="137" t="s">
        <v>37</v>
      </c>
      <c r="C3185" s="41" t="s">
        <v>118</v>
      </c>
      <c r="D3185" s="80" t="s">
        <v>36</v>
      </c>
      <c r="E3185" s="80" t="s">
        <v>219</v>
      </c>
      <c r="F3185" s="80" t="s">
        <v>36</v>
      </c>
      <c r="G3185" s="80" t="s">
        <v>221</v>
      </c>
      <c r="H3185" s="80" t="s">
        <v>6050</v>
      </c>
      <c r="I3185" s="17">
        <f ca="1">IFERROR(__xludf.DUMMYFUNCTION("""COMPUTED_VALUE"""),45539)</f>
        <v>45539</v>
      </c>
      <c r="J3185" s="143" t="s">
        <v>11452</v>
      </c>
      <c r="K3185" s="80" t="s">
        <v>11453</v>
      </c>
      <c r="L3185" s="30">
        <v>389145572</v>
      </c>
      <c r="M3185" s="80" t="s">
        <v>112</v>
      </c>
      <c r="N3185" s="80" t="s">
        <v>113</v>
      </c>
      <c r="O3185" s="80" t="s">
        <v>91</v>
      </c>
      <c r="P3185" s="80" t="s">
        <v>11454</v>
      </c>
      <c r="Q3185" s="20">
        <v>3968</v>
      </c>
      <c r="R3185" s="80" t="s">
        <v>36</v>
      </c>
      <c r="S3185" s="95">
        <v>3968</v>
      </c>
      <c r="T3185" s="148">
        <v>45521</v>
      </c>
      <c r="U3185" s="77"/>
      <c r="V3185" s="78"/>
      <c r="W3185" s="85" t="s">
        <v>11455</v>
      </c>
      <c r="X3185" s="80">
        <v>0</v>
      </c>
      <c r="Y3185" s="22">
        <v>0</v>
      </c>
      <c r="Z3185" s="80" t="s">
        <v>50</v>
      </c>
      <c r="AA3185" s="96" t="s">
        <v>10314</v>
      </c>
      <c r="AB3185" s="80"/>
      <c r="AC3185" s="80" t="s">
        <v>53</v>
      </c>
      <c r="AD3185" s="80" t="s">
        <v>54</v>
      </c>
      <c r="AE3185" s="80" t="s">
        <v>3554</v>
      </c>
      <c r="AF3185" s="17">
        <v>45539</v>
      </c>
      <c r="AG3185" s="80"/>
      <c r="AH3185" s="80"/>
      <c r="AI3185" s="147"/>
      <c r="AJ3185" s="80"/>
      <c r="AK3185" s="80"/>
      <c r="AL3185" s="35"/>
      <c r="AM3185" s="35"/>
      <c r="AN3185" s="35"/>
      <c r="AO3185" s="35"/>
      <c r="AP3185" s="35"/>
    </row>
    <row r="3186" spans="1:42" x14ac:dyDescent="0.2">
      <c r="A3186" s="126">
        <v>45521.727923229162</v>
      </c>
      <c r="B3186" s="137" t="s">
        <v>37</v>
      </c>
      <c r="C3186" s="41" t="s">
        <v>118</v>
      </c>
      <c r="D3186" s="80" t="s">
        <v>36</v>
      </c>
      <c r="E3186" s="80" t="s">
        <v>39</v>
      </c>
      <c r="F3186" s="80" t="s">
        <v>36</v>
      </c>
      <c r="G3186" s="80" t="s">
        <v>41</v>
      </c>
      <c r="H3186" s="80" t="s">
        <v>11446</v>
      </c>
      <c r="I3186" s="17">
        <f ca="1">IFERROR(__xludf.DUMMYFUNCTION("""COMPUTED_VALUE"""),45527)</f>
        <v>45527</v>
      </c>
      <c r="J3186" s="143" t="s">
        <v>11456</v>
      </c>
      <c r="K3186" s="80" t="s">
        <v>11457</v>
      </c>
      <c r="L3186" s="30">
        <v>379791640</v>
      </c>
      <c r="M3186" s="80" t="s">
        <v>80</v>
      </c>
      <c r="N3186" s="80" t="s">
        <v>1073</v>
      </c>
      <c r="O3186" s="80" t="s">
        <v>11458</v>
      </c>
      <c r="P3186" s="80" t="s">
        <v>11459</v>
      </c>
      <c r="Q3186" s="20">
        <v>5736</v>
      </c>
      <c r="R3186" s="80" t="s">
        <v>36</v>
      </c>
      <c r="S3186" s="95">
        <v>5736</v>
      </c>
      <c r="T3186" s="148">
        <v>45521</v>
      </c>
      <c r="U3186" s="77"/>
      <c r="V3186" s="78"/>
      <c r="W3186" s="80" t="s">
        <v>11460</v>
      </c>
      <c r="X3186" s="80">
        <v>0</v>
      </c>
      <c r="Y3186" s="22">
        <v>0</v>
      </c>
      <c r="Z3186" s="80" t="s">
        <v>50</v>
      </c>
      <c r="AA3186" s="35" t="s">
        <v>10314</v>
      </c>
      <c r="AB3186" s="80"/>
      <c r="AC3186" s="80" t="s">
        <v>53</v>
      </c>
      <c r="AD3186" s="80" t="s">
        <v>54</v>
      </c>
      <c r="AE3186" s="83">
        <v>0</v>
      </c>
      <c r="AF3186" s="17">
        <v>45523</v>
      </c>
      <c r="AG3186" s="80"/>
      <c r="AH3186" s="80"/>
      <c r="AI3186" s="147"/>
      <c r="AJ3186" s="80"/>
      <c r="AK3186" s="80"/>
      <c r="AL3186" s="35"/>
      <c r="AM3186" s="35"/>
      <c r="AN3186" s="35"/>
      <c r="AO3186" s="35"/>
      <c r="AP3186" s="35"/>
    </row>
    <row r="3187" spans="1:42" x14ac:dyDescent="0.2">
      <c r="A3187" s="126">
        <v>45521.823122141199</v>
      </c>
      <c r="B3187" s="137" t="s">
        <v>37</v>
      </c>
      <c r="C3187" s="41" t="s">
        <v>118</v>
      </c>
      <c r="D3187" s="80" t="s">
        <v>36</v>
      </c>
      <c r="E3187" s="80" t="s">
        <v>39</v>
      </c>
      <c r="F3187" s="80" t="s">
        <v>36</v>
      </c>
      <c r="G3187" s="80" t="s">
        <v>41</v>
      </c>
      <c r="H3187" s="80" t="s">
        <v>9626</v>
      </c>
      <c r="I3187" s="17">
        <f ca="1">IFERROR(__xludf.DUMMYFUNCTION("""COMPUTED_VALUE"""),45559)</f>
        <v>45559</v>
      </c>
      <c r="J3187" s="143" t="s">
        <v>11461</v>
      </c>
      <c r="K3187" s="80" t="s">
        <v>11462</v>
      </c>
      <c r="L3187" s="30">
        <v>789323248</v>
      </c>
      <c r="M3187" s="80" t="s">
        <v>3288</v>
      </c>
      <c r="N3187" s="80" t="s">
        <v>200</v>
      </c>
      <c r="O3187" s="80" t="s">
        <v>91</v>
      </c>
      <c r="P3187" s="80" t="s">
        <v>3117</v>
      </c>
      <c r="Q3187" s="20">
        <v>5736</v>
      </c>
      <c r="R3187" s="80" t="s">
        <v>1106</v>
      </c>
      <c r="S3187" s="95">
        <v>5586</v>
      </c>
      <c r="T3187" s="148">
        <v>45521</v>
      </c>
      <c r="U3187" s="77"/>
      <c r="V3187" s="78"/>
      <c r="W3187" s="85" t="s">
        <v>11463</v>
      </c>
      <c r="X3187" s="80">
        <v>150</v>
      </c>
      <c r="Y3187" s="22">
        <v>0</v>
      </c>
      <c r="Z3187" s="80" t="s">
        <v>50</v>
      </c>
      <c r="AA3187" s="96" t="s">
        <v>10314</v>
      </c>
      <c r="AB3187" s="80"/>
      <c r="AC3187" s="80" t="s">
        <v>53</v>
      </c>
      <c r="AD3187" s="80" t="s">
        <v>138</v>
      </c>
      <c r="AE3187" s="80" t="s">
        <v>11464</v>
      </c>
      <c r="AF3187" s="17">
        <v>45559</v>
      </c>
      <c r="AG3187" s="80"/>
      <c r="AH3187" s="80"/>
      <c r="AI3187" s="147"/>
      <c r="AJ3187" s="80"/>
      <c r="AK3187" s="80"/>
      <c r="AL3187" s="35"/>
      <c r="AM3187" s="35"/>
      <c r="AN3187" s="35"/>
      <c r="AO3187" s="35"/>
      <c r="AP3187" s="35"/>
    </row>
    <row r="3188" spans="1:42" x14ac:dyDescent="0.2">
      <c r="A3188" s="126">
        <v>45521.825744976857</v>
      </c>
      <c r="B3188" s="137" t="s">
        <v>37</v>
      </c>
      <c r="C3188" s="41" t="s">
        <v>118</v>
      </c>
      <c r="D3188" s="80" t="s">
        <v>36</v>
      </c>
      <c r="E3188" s="80" t="s">
        <v>39</v>
      </c>
      <c r="F3188" s="80" t="s">
        <v>36</v>
      </c>
      <c r="G3188" s="80" t="s">
        <v>41</v>
      </c>
      <c r="H3188" s="80" t="s">
        <v>9626</v>
      </c>
      <c r="I3188" s="17">
        <f ca="1">IFERROR(__xludf.DUMMYFUNCTION("""COMPUTED_VALUE"""),45559)</f>
        <v>45559</v>
      </c>
      <c r="J3188" s="143" t="s">
        <v>11465</v>
      </c>
      <c r="K3188" s="80" t="s">
        <v>11466</v>
      </c>
      <c r="L3188" s="30">
        <v>329272811</v>
      </c>
      <c r="M3188" s="80" t="s">
        <v>3288</v>
      </c>
      <c r="N3188" s="80" t="s">
        <v>200</v>
      </c>
      <c r="O3188" s="80" t="s">
        <v>91</v>
      </c>
      <c r="P3188" s="80" t="s">
        <v>3117</v>
      </c>
      <c r="Q3188" s="20">
        <v>5736</v>
      </c>
      <c r="R3188" s="80" t="s">
        <v>1106</v>
      </c>
      <c r="S3188" s="95">
        <v>2000</v>
      </c>
      <c r="T3188" s="148">
        <v>45521</v>
      </c>
      <c r="U3188" s="95">
        <v>3586</v>
      </c>
      <c r="V3188" s="148">
        <v>45529</v>
      </c>
      <c r="W3188" s="85" t="s">
        <v>11467</v>
      </c>
      <c r="X3188" s="80">
        <v>150</v>
      </c>
      <c r="Y3188" s="22">
        <v>0</v>
      </c>
      <c r="Z3188" s="80" t="s">
        <v>50</v>
      </c>
      <c r="AA3188" s="35" t="s">
        <v>10314</v>
      </c>
      <c r="AB3188" s="80"/>
      <c r="AC3188" s="80" t="s">
        <v>53</v>
      </c>
      <c r="AD3188" s="80" t="s">
        <v>138</v>
      </c>
      <c r="AE3188" s="80" t="s">
        <v>11468</v>
      </c>
      <c r="AF3188" s="17">
        <v>45559</v>
      </c>
      <c r="AG3188" s="80"/>
      <c r="AH3188" s="80"/>
      <c r="AI3188" s="147"/>
      <c r="AJ3188" s="80"/>
      <c r="AK3188" s="80"/>
      <c r="AL3188" s="35"/>
      <c r="AM3188" s="35"/>
      <c r="AN3188" s="35"/>
      <c r="AO3188" s="35"/>
      <c r="AP3188" s="35"/>
    </row>
    <row r="3189" spans="1:42" x14ac:dyDescent="0.2">
      <c r="A3189" s="126">
        <v>45523.340805949076</v>
      </c>
      <c r="B3189" s="137" t="s">
        <v>37</v>
      </c>
      <c r="C3189" s="41" t="s">
        <v>118</v>
      </c>
      <c r="D3189" s="80" t="s">
        <v>36</v>
      </c>
      <c r="E3189" s="80" t="s">
        <v>106</v>
      </c>
      <c r="F3189" s="80" t="s">
        <v>36</v>
      </c>
      <c r="G3189" s="80" t="s">
        <v>108</v>
      </c>
      <c r="H3189" s="80" t="s">
        <v>8662</v>
      </c>
      <c r="I3189" s="17">
        <f ca="1">IFERROR(__xludf.DUMMYFUNCTION("""COMPUTED_VALUE"""),45524)</f>
        <v>45524</v>
      </c>
      <c r="J3189" s="143" t="s">
        <v>11469</v>
      </c>
      <c r="K3189" s="80" t="s">
        <v>11470</v>
      </c>
      <c r="L3189" s="30">
        <v>392400171</v>
      </c>
      <c r="M3189" s="80" t="s">
        <v>348</v>
      </c>
      <c r="N3189" s="80" t="s">
        <v>68</v>
      </c>
      <c r="O3189" s="80" t="s">
        <v>11471</v>
      </c>
      <c r="P3189" s="80" t="s">
        <v>11472</v>
      </c>
      <c r="Q3189" s="20">
        <v>3768</v>
      </c>
      <c r="R3189" s="80" t="s">
        <v>36</v>
      </c>
      <c r="S3189" s="95">
        <v>3768</v>
      </c>
      <c r="T3189" s="148">
        <v>45520</v>
      </c>
      <c r="U3189" s="77"/>
      <c r="V3189" s="78"/>
      <c r="W3189" s="85" t="s">
        <v>11473</v>
      </c>
      <c r="X3189" s="80">
        <v>0</v>
      </c>
      <c r="Y3189" s="22">
        <v>0</v>
      </c>
      <c r="Z3189" s="80" t="s">
        <v>50</v>
      </c>
      <c r="AA3189" s="96" t="s">
        <v>10314</v>
      </c>
      <c r="AB3189" s="80"/>
      <c r="AC3189" s="80" t="s">
        <v>53</v>
      </c>
      <c r="AD3189" s="80" t="s">
        <v>54</v>
      </c>
      <c r="AE3189" s="83">
        <v>400</v>
      </c>
      <c r="AF3189" s="17">
        <v>45523</v>
      </c>
      <c r="AG3189" s="80"/>
      <c r="AH3189" s="80"/>
      <c r="AI3189" s="147"/>
      <c r="AJ3189" s="80"/>
      <c r="AK3189" s="80"/>
      <c r="AL3189" s="35"/>
      <c r="AM3189" s="35"/>
      <c r="AN3189" s="35"/>
      <c r="AO3189" s="35"/>
      <c r="AP3189" s="35"/>
    </row>
    <row r="3190" spans="1:42" x14ac:dyDescent="0.2">
      <c r="A3190" s="126">
        <v>45523.344364131946</v>
      </c>
      <c r="B3190" s="137" t="s">
        <v>37</v>
      </c>
      <c r="C3190" s="41" t="s">
        <v>118</v>
      </c>
      <c r="D3190" s="80" t="s">
        <v>36</v>
      </c>
      <c r="E3190" s="80" t="s">
        <v>56</v>
      </c>
      <c r="F3190" s="80" t="s">
        <v>36</v>
      </c>
      <c r="G3190" s="80" t="s">
        <v>41</v>
      </c>
      <c r="H3190" s="80" t="s">
        <v>11446</v>
      </c>
      <c r="I3190" s="17">
        <f ca="1">IFERROR(__xludf.DUMMYFUNCTION("""COMPUTED_VALUE"""),45527)</f>
        <v>45527</v>
      </c>
      <c r="J3190" s="143" t="s">
        <v>11474</v>
      </c>
      <c r="K3190" s="80" t="s">
        <v>11475</v>
      </c>
      <c r="L3190" s="30">
        <v>352389647</v>
      </c>
      <c r="M3190" s="80" t="s">
        <v>59</v>
      </c>
      <c r="N3190" s="80" t="s">
        <v>11476</v>
      </c>
      <c r="O3190" s="80" t="s">
        <v>11477</v>
      </c>
      <c r="P3190" s="80" t="s">
        <v>11478</v>
      </c>
      <c r="Q3190" s="20">
        <v>9317</v>
      </c>
      <c r="R3190" s="80" t="s">
        <v>36</v>
      </c>
      <c r="S3190" s="95">
        <f>2000+7317</f>
        <v>9317</v>
      </c>
      <c r="T3190" s="83" t="s">
        <v>11479</v>
      </c>
      <c r="U3190" s="77"/>
      <c r="V3190" s="78"/>
      <c r="W3190" s="85" t="s">
        <v>11480</v>
      </c>
      <c r="X3190" s="80">
        <v>0</v>
      </c>
      <c r="Y3190" s="22">
        <v>0</v>
      </c>
      <c r="Z3190" s="80" t="s">
        <v>50</v>
      </c>
      <c r="AA3190" s="35" t="s">
        <v>10314</v>
      </c>
      <c r="AB3190" s="80"/>
      <c r="AC3190" s="80" t="s">
        <v>53</v>
      </c>
      <c r="AD3190" s="80" t="s">
        <v>54</v>
      </c>
      <c r="AE3190" s="80" t="s">
        <v>76</v>
      </c>
      <c r="AF3190" s="17">
        <v>45523</v>
      </c>
      <c r="AG3190" s="80" t="s">
        <v>7078</v>
      </c>
      <c r="AH3190" s="80"/>
      <c r="AI3190" s="147"/>
      <c r="AJ3190" s="80"/>
      <c r="AK3190" s="80"/>
      <c r="AL3190" s="35"/>
      <c r="AM3190" s="35"/>
      <c r="AN3190" s="35"/>
      <c r="AO3190" s="35"/>
      <c r="AP3190" s="35"/>
    </row>
    <row r="3191" spans="1:42" x14ac:dyDescent="0.2">
      <c r="A3191" s="126">
        <v>45523.371732662039</v>
      </c>
      <c r="B3191" s="137" t="s">
        <v>37</v>
      </c>
      <c r="C3191" s="41" t="s">
        <v>118</v>
      </c>
      <c r="D3191" s="80" t="s">
        <v>36</v>
      </c>
      <c r="E3191" s="80" t="s">
        <v>39</v>
      </c>
      <c r="F3191" s="26" t="s">
        <v>36</v>
      </c>
      <c r="G3191" s="26" t="s">
        <v>41</v>
      </c>
      <c r="H3191" s="80" t="s">
        <v>5666</v>
      </c>
      <c r="I3191" s="17">
        <f ca="1">IFERROR(__xludf.DUMMYFUNCTION("""COMPUTED_VALUE"""),45540)</f>
        <v>45540</v>
      </c>
      <c r="J3191" s="143" t="s">
        <v>11481</v>
      </c>
      <c r="K3191" s="80" t="s">
        <v>11482</v>
      </c>
      <c r="L3191" s="30">
        <v>354079220</v>
      </c>
      <c r="M3191" s="80" t="s">
        <v>348</v>
      </c>
      <c r="N3191" s="80" t="s">
        <v>68</v>
      </c>
      <c r="O3191" s="80" t="s">
        <v>11483</v>
      </c>
      <c r="P3191" s="144" t="s">
        <v>11484</v>
      </c>
      <c r="Q3191" s="20">
        <v>5736</v>
      </c>
      <c r="R3191" s="80" t="s">
        <v>36</v>
      </c>
      <c r="S3191" s="95">
        <v>2000</v>
      </c>
      <c r="T3191" s="148">
        <v>45521</v>
      </c>
      <c r="U3191" s="95">
        <v>3736</v>
      </c>
      <c r="V3191" s="148">
        <v>45535</v>
      </c>
      <c r="W3191" s="85" t="s">
        <v>11485</v>
      </c>
      <c r="X3191" s="80">
        <v>0</v>
      </c>
      <c r="Y3191" s="22">
        <v>0</v>
      </c>
      <c r="Z3191" s="80" t="s">
        <v>50</v>
      </c>
      <c r="AA3191" s="96" t="s">
        <v>10314</v>
      </c>
      <c r="AB3191" s="80"/>
      <c r="AC3191" s="80" t="s">
        <v>53</v>
      </c>
      <c r="AD3191" s="80" t="s">
        <v>138</v>
      </c>
      <c r="AE3191" s="80" t="s">
        <v>72</v>
      </c>
      <c r="AF3191" s="17">
        <v>45540</v>
      </c>
      <c r="AG3191" s="26" t="s">
        <v>3399</v>
      </c>
      <c r="AH3191" s="80"/>
      <c r="AI3191" s="147"/>
      <c r="AJ3191" s="80"/>
      <c r="AK3191" s="80"/>
      <c r="AL3191" s="35"/>
      <c r="AM3191" s="35"/>
      <c r="AN3191" s="35"/>
      <c r="AO3191" s="35"/>
      <c r="AP3191" s="35"/>
    </row>
    <row r="3192" spans="1:42" x14ac:dyDescent="0.2">
      <c r="A3192" s="126">
        <v>45524.330268993057</v>
      </c>
      <c r="B3192" s="137" t="s">
        <v>37</v>
      </c>
      <c r="C3192" s="41" t="s">
        <v>118</v>
      </c>
      <c r="D3192" s="80" t="s">
        <v>36</v>
      </c>
      <c r="E3192" s="80" t="s">
        <v>106</v>
      </c>
      <c r="F3192" s="80" t="s">
        <v>36</v>
      </c>
      <c r="G3192" s="80" t="s">
        <v>108</v>
      </c>
      <c r="H3192" s="80" t="s">
        <v>9781</v>
      </c>
      <c r="I3192" s="17">
        <f ca="1">IFERROR(__xludf.DUMMYFUNCTION("""COMPUTED_VALUE"""),45534)</f>
        <v>45534</v>
      </c>
      <c r="J3192" s="143" t="s">
        <v>11486</v>
      </c>
      <c r="K3192" s="80" t="s">
        <v>11487</v>
      </c>
      <c r="L3192" s="30">
        <v>528551916</v>
      </c>
      <c r="M3192" s="80" t="s">
        <v>123</v>
      </c>
      <c r="N3192" s="80" t="s">
        <v>327</v>
      </c>
      <c r="O3192" s="80" t="s">
        <v>11488</v>
      </c>
      <c r="P3192" s="80" t="s">
        <v>11489</v>
      </c>
      <c r="Q3192" s="20">
        <v>3768</v>
      </c>
      <c r="R3192" s="80" t="s">
        <v>36</v>
      </c>
      <c r="S3192" s="95">
        <f>200+3578</f>
        <v>3778</v>
      </c>
      <c r="T3192" s="83" t="s">
        <v>11490</v>
      </c>
      <c r="U3192" s="95"/>
      <c r="V3192" s="148"/>
      <c r="W3192" s="80" t="s">
        <v>11491</v>
      </c>
      <c r="X3192" s="80">
        <v>0</v>
      </c>
      <c r="Y3192" s="22">
        <v>-10</v>
      </c>
      <c r="Z3192" s="80" t="s">
        <v>50</v>
      </c>
      <c r="AA3192" s="35" t="s">
        <v>10314</v>
      </c>
      <c r="AB3192" s="80"/>
      <c r="AC3192" s="80" t="s">
        <v>53</v>
      </c>
      <c r="AD3192" s="80" t="s">
        <v>54</v>
      </c>
      <c r="AE3192" s="80"/>
      <c r="AF3192" s="17">
        <v>45529</v>
      </c>
      <c r="AG3192" s="80"/>
      <c r="AH3192" s="80"/>
      <c r="AI3192" s="147"/>
      <c r="AJ3192" s="80"/>
      <c r="AK3192" s="80"/>
      <c r="AL3192" s="35"/>
      <c r="AM3192" s="35"/>
      <c r="AN3192" s="35"/>
      <c r="AO3192" s="35"/>
      <c r="AP3192" s="35"/>
    </row>
    <row r="3193" spans="1:42" x14ac:dyDescent="0.2">
      <c r="A3193" s="126">
        <v>45524.331814039353</v>
      </c>
      <c r="B3193" s="137" t="s">
        <v>37</v>
      </c>
      <c r="C3193" s="41" t="s">
        <v>118</v>
      </c>
      <c r="D3193" s="80" t="s">
        <v>36</v>
      </c>
      <c r="E3193" s="80" t="s">
        <v>106</v>
      </c>
      <c r="F3193" s="26" t="s">
        <v>36</v>
      </c>
      <c r="G3193" s="26" t="s">
        <v>108</v>
      </c>
      <c r="H3193" s="80" t="s">
        <v>9825</v>
      </c>
      <c r="I3193" s="17">
        <f ca="1">IFERROR(__xludf.DUMMYFUNCTION("""COMPUTED_VALUE"""),45548)</f>
        <v>45548</v>
      </c>
      <c r="J3193" s="143" t="s">
        <v>11492</v>
      </c>
      <c r="K3193" s="80" t="s">
        <v>11493</v>
      </c>
      <c r="L3193" s="30">
        <v>912815196</v>
      </c>
      <c r="M3193" s="80" t="s">
        <v>348</v>
      </c>
      <c r="N3193" s="80" t="s">
        <v>4299</v>
      </c>
      <c r="O3193" s="80" t="s">
        <v>11494</v>
      </c>
      <c r="P3193" s="80" t="s">
        <v>11495</v>
      </c>
      <c r="Q3193" s="20">
        <v>3768</v>
      </c>
      <c r="R3193" s="80" t="s">
        <v>36</v>
      </c>
      <c r="S3193" s="95">
        <v>3768</v>
      </c>
      <c r="T3193" s="148">
        <v>45523</v>
      </c>
      <c r="U3193" s="77"/>
      <c r="V3193" s="78"/>
      <c r="W3193" s="85" t="s">
        <v>11496</v>
      </c>
      <c r="X3193" s="80">
        <v>0</v>
      </c>
      <c r="Y3193" s="22">
        <v>0</v>
      </c>
      <c r="Z3193" s="80" t="s">
        <v>50</v>
      </c>
      <c r="AA3193" s="96" t="s">
        <v>10314</v>
      </c>
      <c r="AB3193" s="80"/>
      <c r="AC3193" s="80" t="s">
        <v>53</v>
      </c>
      <c r="AD3193" s="80" t="s">
        <v>138</v>
      </c>
      <c r="AE3193" s="80" t="s">
        <v>72</v>
      </c>
      <c r="AF3193" s="17">
        <v>45548</v>
      </c>
      <c r="AG3193" s="26" t="s">
        <v>4996</v>
      </c>
      <c r="AH3193" s="80"/>
      <c r="AI3193" s="147"/>
      <c r="AJ3193" s="80"/>
      <c r="AK3193" s="80"/>
      <c r="AL3193" s="35"/>
      <c r="AM3193" s="35"/>
      <c r="AN3193" s="35"/>
      <c r="AO3193" s="35"/>
      <c r="AP3193" s="35"/>
    </row>
    <row r="3194" spans="1:42" x14ac:dyDescent="0.2">
      <c r="A3194" s="126">
        <v>45524.340471053241</v>
      </c>
      <c r="B3194" s="137" t="s">
        <v>37</v>
      </c>
      <c r="C3194" s="41" t="s">
        <v>118</v>
      </c>
      <c r="D3194" s="80" t="s">
        <v>36</v>
      </c>
      <c r="E3194" s="80" t="s">
        <v>77</v>
      </c>
      <c r="F3194" s="80" t="s">
        <v>36</v>
      </c>
      <c r="G3194" s="80" t="s">
        <v>41</v>
      </c>
      <c r="H3194" s="80" t="s">
        <v>11497</v>
      </c>
      <c r="I3194" s="17">
        <f ca="1">IFERROR(__xludf.DUMMYFUNCTION("""COMPUTED_VALUE"""),45530)</f>
        <v>45530</v>
      </c>
      <c r="J3194" s="143" t="s">
        <v>11498</v>
      </c>
      <c r="K3194" s="80" t="s">
        <v>11499</v>
      </c>
      <c r="L3194" s="30">
        <v>332691306</v>
      </c>
      <c r="M3194" s="80" t="s">
        <v>123</v>
      </c>
      <c r="N3194" s="80" t="s">
        <v>186</v>
      </c>
      <c r="O3194" s="80" t="s">
        <v>4503</v>
      </c>
      <c r="P3194" s="80" t="s">
        <v>11500</v>
      </c>
      <c r="Q3194" s="20">
        <v>1968</v>
      </c>
      <c r="R3194" s="80" t="s">
        <v>36</v>
      </c>
      <c r="S3194" s="95">
        <f>400+1568</f>
        <v>1968</v>
      </c>
      <c r="T3194" s="148">
        <v>45523</v>
      </c>
      <c r="U3194" s="95"/>
      <c r="V3194" s="148"/>
      <c r="W3194" s="80" t="s">
        <v>11501</v>
      </c>
      <c r="X3194" s="80">
        <v>0</v>
      </c>
      <c r="Y3194" s="22">
        <v>0</v>
      </c>
      <c r="Z3194" s="80" t="s">
        <v>50</v>
      </c>
      <c r="AA3194" s="35" t="s">
        <v>10314</v>
      </c>
      <c r="AB3194" s="80"/>
      <c r="AC3194" s="80" t="s">
        <v>53</v>
      </c>
      <c r="AD3194" s="80" t="s">
        <v>54</v>
      </c>
      <c r="AE3194" s="80"/>
      <c r="AF3194" s="17">
        <v>45524</v>
      </c>
      <c r="AG3194" s="80"/>
      <c r="AH3194" s="80"/>
      <c r="AI3194" s="147"/>
      <c r="AJ3194" s="80"/>
      <c r="AK3194" s="80"/>
      <c r="AL3194" s="35"/>
      <c r="AM3194" s="35"/>
      <c r="AN3194" s="35"/>
      <c r="AO3194" s="35"/>
      <c r="AP3194" s="35"/>
    </row>
    <row r="3195" spans="1:42" x14ac:dyDescent="0.2">
      <c r="A3195" s="126">
        <v>45524.895236435186</v>
      </c>
      <c r="B3195" s="137" t="s">
        <v>37</v>
      </c>
      <c r="C3195" s="41" t="s">
        <v>118</v>
      </c>
      <c r="D3195" s="80" t="s">
        <v>36</v>
      </c>
      <c r="E3195" s="80" t="s">
        <v>148</v>
      </c>
      <c r="F3195" s="80" t="s">
        <v>36</v>
      </c>
      <c r="G3195" s="80" t="s">
        <v>108</v>
      </c>
      <c r="H3195" s="80" t="s">
        <v>10223</v>
      </c>
      <c r="I3195" s="17">
        <f ca="1">IFERROR(__xludf.DUMMYFUNCTION("""COMPUTED_VALUE"""),45578)</f>
        <v>45578</v>
      </c>
      <c r="J3195" s="143" t="s">
        <v>9532</v>
      </c>
      <c r="K3195" s="80" t="s">
        <v>11502</v>
      </c>
      <c r="L3195" s="30">
        <v>333388721</v>
      </c>
      <c r="M3195" s="80" t="s">
        <v>80</v>
      </c>
      <c r="N3195" s="80" t="s">
        <v>466</v>
      </c>
      <c r="O3195" s="80" t="s">
        <v>9534</v>
      </c>
      <c r="P3195" s="80" t="s">
        <v>11503</v>
      </c>
      <c r="Q3195" s="20">
        <v>7349</v>
      </c>
      <c r="R3195" s="80" t="s">
        <v>36</v>
      </c>
      <c r="S3195" s="95">
        <v>7349</v>
      </c>
      <c r="T3195" s="148">
        <v>45524</v>
      </c>
      <c r="U3195" s="77"/>
      <c r="V3195" s="78"/>
      <c r="W3195" s="85" t="s">
        <v>11504</v>
      </c>
      <c r="X3195" s="80">
        <v>0</v>
      </c>
      <c r="Y3195" s="22">
        <v>0</v>
      </c>
      <c r="Z3195" s="80" t="s">
        <v>50</v>
      </c>
      <c r="AA3195" s="96" t="s">
        <v>10314</v>
      </c>
      <c r="AB3195" s="80"/>
      <c r="AC3195" s="80" t="s">
        <v>53</v>
      </c>
      <c r="AD3195" s="80" t="s">
        <v>54</v>
      </c>
      <c r="AE3195" s="83">
        <v>400</v>
      </c>
      <c r="AF3195" s="17">
        <v>45576</v>
      </c>
      <c r="AG3195" s="26" t="s">
        <v>10229</v>
      </c>
      <c r="AH3195" s="80"/>
      <c r="AI3195" s="147"/>
      <c r="AJ3195" s="80"/>
      <c r="AK3195" s="80"/>
      <c r="AL3195" s="35"/>
      <c r="AM3195" s="35"/>
      <c r="AN3195" s="35"/>
      <c r="AO3195" s="35"/>
      <c r="AP3195" s="35"/>
    </row>
    <row r="3196" spans="1:42" x14ac:dyDescent="0.2">
      <c r="A3196" s="126">
        <v>45524.912775914352</v>
      </c>
      <c r="B3196" s="137" t="s">
        <v>37</v>
      </c>
      <c r="C3196" s="41" t="s">
        <v>118</v>
      </c>
      <c r="D3196" s="80" t="s">
        <v>36</v>
      </c>
      <c r="E3196" s="80" t="s">
        <v>148</v>
      </c>
      <c r="F3196" s="80" t="s">
        <v>36</v>
      </c>
      <c r="G3196" s="80" t="s">
        <v>108</v>
      </c>
      <c r="H3196" s="80" t="s">
        <v>9865</v>
      </c>
      <c r="I3196" s="17">
        <f ca="1">IFERROR(__xludf.DUMMYFUNCTION("""COMPUTED_VALUE"""),45541)</f>
        <v>45541</v>
      </c>
      <c r="J3196" s="143" t="s">
        <v>11505</v>
      </c>
      <c r="K3196" s="80" t="s">
        <v>11506</v>
      </c>
      <c r="L3196" s="30">
        <v>354396784</v>
      </c>
      <c r="M3196" s="80" t="s">
        <v>9422</v>
      </c>
      <c r="N3196" s="80" t="s">
        <v>68</v>
      </c>
      <c r="O3196" s="80" t="s">
        <v>11507</v>
      </c>
      <c r="P3196" s="80" t="s">
        <v>11508</v>
      </c>
      <c r="Q3196" s="20">
        <v>7349</v>
      </c>
      <c r="R3196" s="80" t="s">
        <v>36</v>
      </c>
      <c r="S3196" s="95">
        <v>7349</v>
      </c>
      <c r="T3196" s="148">
        <v>45524</v>
      </c>
      <c r="U3196" s="77"/>
      <c r="V3196" s="78"/>
      <c r="W3196" s="85" t="s">
        <v>11509</v>
      </c>
      <c r="X3196" s="80">
        <v>0</v>
      </c>
      <c r="Y3196" s="22">
        <v>0</v>
      </c>
      <c r="Z3196" s="80" t="s">
        <v>50</v>
      </c>
      <c r="AA3196" s="35" t="s">
        <v>10314</v>
      </c>
      <c r="AB3196" s="80"/>
      <c r="AC3196" s="80" t="s">
        <v>53</v>
      </c>
      <c r="AD3196" s="80" t="s">
        <v>54</v>
      </c>
      <c r="AE3196" s="83">
        <v>445</v>
      </c>
      <c r="AF3196" s="17">
        <v>45533</v>
      </c>
      <c r="AG3196" s="80"/>
      <c r="AH3196" s="80"/>
      <c r="AI3196" s="147"/>
      <c r="AJ3196" s="80"/>
      <c r="AK3196" s="80"/>
      <c r="AL3196" s="35"/>
      <c r="AM3196" s="35"/>
      <c r="AN3196" s="35"/>
      <c r="AO3196" s="35"/>
      <c r="AP3196" s="35"/>
    </row>
    <row r="3197" spans="1:42" x14ac:dyDescent="0.2">
      <c r="A3197" s="126">
        <v>45524.96688511574</v>
      </c>
      <c r="B3197" s="137" t="s">
        <v>37</v>
      </c>
      <c r="C3197" s="41" t="s">
        <v>118</v>
      </c>
      <c r="D3197" s="80" t="s">
        <v>36</v>
      </c>
      <c r="E3197" s="80" t="s">
        <v>106</v>
      </c>
      <c r="F3197" s="80" t="s">
        <v>36</v>
      </c>
      <c r="G3197" s="80" t="s">
        <v>108</v>
      </c>
      <c r="H3197" s="80" t="s">
        <v>9836</v>
      </c>
      <c r="I3197" s="17">
        <f ca="1">IFERROR(__xludf.DUMMYFUNCTION("""COMPUTED_VALUE"""),45539)</f>
        <v>45539</v>
      </c>
      <c r="J3197" s="172" t="s">
        <v>11510</v>
      </c>
      <c r="K3197" s="80" t="s">
        <v>11511</v>
      </c>
      <c r="L3197" s="30">
        <v>928875697</v>
      </c>
      <c r="M3197" s="80" t="s">
        <v>348</v>
      </c>
      <c r="N3197" s="80" t="s">
        <v>4299</v>
      </c>
      <c r="O3197" s="80" t="s">
        <v>11512</v>
      </c>
      <c r="P3197" s="80" t="s">
        <v>11513</v>
      </c>
      <c r="Q3197" s="20">
        <v>3768</v>
      </c>
      <c r="R3197" s="80" t="s">
        <v>36</v>
      </c>
      <c r="S3197" s="95">
        <v>3768</v>
      </c>
      <c r="T3197" s="148">
        <v>45524</v>
      </c>
      <c r="U3197" s="77"/>
      <c r="V3197" s="78"/>
      <c r="W3197" s="85" t="s">
        <v>11514</v>
      </c>
      <c r="X3197" s="80">
        <v>0</v>
      </c>
      <c r="Y3197" s="22">
        <v>0</v>
      </c>
      <c r="Z3197" s="80" t="s">
        <v>50</v>
      </c>
      <c r="AA3197" s="96" t="s">
        <v>10314</v>
      </c>
      <c r="AB3197" s="80"/>
      <c r="AC3197" s="80" t="s">
        <v>53</v>
      </c>
      <c r="AD3197" s="80" t="s">
        <v>54</v>
      </c>
      <c r="AE3197" s="80" t="s">
        <v>72</v>
      </c>
      <c r="AF3197" s="17">
        <v>45532</v>
      </c>
      <c r="AG3197" s="80"/>
      <c r="AH3197" s="80"/>
      <c r="AI3197" s="147"/>
      <c r="AJ3197" s="80"/>
      <c r="AK3197" s="80"/>
      <c r="AL3197" s="35"/>
      <c r="AM3197" s="35"/>
      <c r="AN3197" s="35"/>
      <c r="AO3197" s="35"/>
      <c r="AP3197" s="35"/>
    </row>
    <row r="3198" spans="1:42" x14ac:dyDescent="0.2">
      <c r="A3198" s="126">
        <v>45524.971407777775</v>
      </c>
      <c r="B3198" s="137" t="s">
        <v>37</v>
      </c>
      <c r="C3198" s="41" t="s">
        <v>118</v>
      </c>
      <c r="D3198" s="80" t="s">
        <v>36</v>
      </c>
      <c r="E3198" s="80" t="s">
        <v>77</v>
      </c>
      <c r="F3198" s="80" t="s">
        <v>40</v>
      </c>
      <c r="G3198" s="80" t="s">
        <v>41</v>
      </c>
      <c r="H3198" s="80" t="s">
        <v>11183</v>
      </c>
      <c r="I3198" s="17">
        <f ca="1">IFERROR(__xludf.DUMMYFUNCTION("""COMPUTED_VALUE"""),45554)</f>
        <v>45554</v>
      </c>
      <c r="J3198" s="143" t="s">
        <v>11515</v>
      </c>
      <c r="K3198" s="80" t="s">
        <v>11516</v>
      </c>
      <c r="L3198" s="30">
        <v>979445283</v>
      </c>
      <c r="M3198" s="80" t="s">
        <v>59</v>
      </c>
      <c r="N3198" s="80" t="s">
        <v>9660</v>
      </c>
      <c r="O3198" s="80" t="s">
        <v>11517</v>
      </c>
      <c r="P3198" s="80" t="s">
        <v>11518</v>
      </c>
      <c r="Q3198" s="20">
        <v>1968</v>
      </c>
      <c r="R3198" s="80" t="s">
        <v>36</v>
      </c>
      <c r="S3198" s="95">
        <f>200+2000</f>
        <v>2200</v>
      </c>
      <c r="T3198" s="83" t="s">
        <v>11519</v>
      </c>
      <c r="U3198" s="77"/>
      <c r="V3198" s="78"/>
      <c r="W3198" s="85" t="s">
        <v>11520</v>
      </c>
      <c r="X3198" s="80">
        <v>0</v>
      </c>
      <c r="Y3198" s="22">
        <v>-232</v>
      </c>
      <c r="Z3198" s="80" t="s">
        <v>50</v>
      </c>
      <c r="AA3198" s="35" t="s">
        <v>10314</v>
      </c>
      <c r="AB3198" s="80"/>
      <c r="AC3198" s="80" t="s">
        <v>53</v>
      </c>
      <c r="AD3198" s="80" t="s">
        <v>138</v>
      </c>
      <c r="AE3198" s="80" t="s">
        <v>72</v>
      </c>
      <c r="AF3198" s="17">
        <v>45554</v>
      </c>
      <c r="AG3198" s="80" t="s">
        <v>7078</v>
      </c>
      <c r="AH3198" s="80"/>
      <c r="AI3198" s="147"/>
      <c r="AJ3198" s="80"/>
      <c r="AK3198" s="80"/>
      <c r="AL3198" s="35"/>
      <c r="AM3198" s="35"/>
      <c r="AN3198" s="35"/>
      <c r="AO3198" s="35"/>
      <c r="AP3198" s="35"/>
    </row>
    <row r="3199" spans="1:42" x14ac:dyDescent="0.2">
      <c r="A3199" s="126">
        <v>45525.353814120375</v>
      </c>
      <c r="B3199" s="137" t="s">
        <v>37</v>
      </c>
      <c r="C3199" s="41" t="s">
        <v>118</v>
      </c>
      <c r="D3199" s="80" t="s">
        <v>36</v>
      </c>
      <c r="E3199" s="80" t="s">
        <v>77</v>
      </c>
      <c r="F3199" s="80" t="s">
        <v>36</v>
      </c>
      <c r="G3199" s="80" t="s">
        <v>41</v>
      </c>
      <c r="H3199" s="80" t="s">
        <v>11428</v>
      </c>
      <c r="I3199" s="17">
        <f ca="1">IFERROR(__xludf.DUMMYFUNCTION("""COMPUTED_VALUE"""),45527)</f>
        <v>45527</v>
      </c>
      <c r="J3199" s="143" t="s">
        <v>11521</v>
      </c>
      <c r="K3199" s="80" t="s">
        <v>11522</v>
      </c>
      <c r="L3199" s="30">
        <v>343094506</v>
      </c>
      <c r="M3199" s="80" t="s">
        <v>348</v>
      </c>
      <c r="N3199" s="80" t="s">
        <v>200</v>
      </c>
      <c r="O3199" s="80" t="s">
        <v>11523</v>
      </c>
      <c r="P3199" s="80" t="s">
        <v>11524</v>
      </c>
      <c r="Q3199" s="20">
        <v>1968</v>
      </c>
      <c r="R3199" s="80" t="s">
        <v>36</v>
      </c>
      <c r="S3199" s="95">
        <f>1000+968</f>
        <v>1968</v>
      </c>
      <c r="T3199" s="83" t="s">
        <v>11525</v>
      </c>
      <c r="U3199" s="95"/>
      <c r="V3199" s="148"/>
      <c r="W3199" s="80" t="s">
        <v>11526</v>
      </c>
      <c r="X3199" s="80">
        <v>0</v>
      </c>
      <c r="Y3199" s="22">
        <v>0</v>
      </c>
      <c r="Z3199" s="80" t="s">
        <v>50</v>
      </c>
      <c r="AA3199" s="96" t="s">
        <v>10314</v>
      </c>
      <c r="AB3199" s="80"/>
      <c r="AC3199" s="80" t="s">
        <v>53</v>
      </c>
      <c r="AD3199" s="80" t="s">
        <v>54</v>
      </c>
      <c r="AE3199" s="83">
        <v>330</v>
      </c>
      <c r="AF3199" s="17">
        <v>45525</v>
      </c>
      <c r="AG3199" s="80"/>
      <c r="AH3199" s="80"/>
      <c r="AI3199" s="147"/>
      <c r="AJ3199" s="80"/>
      <c r="AK3199" s="80"/>
      <c r="AL3199" s="35"/>
      <c r="AM3199" s="35"/>
      <c r="AN3199" s="35"/>
      <c r="AO3199" s="35"/>
      <c r="AP3199" s="35"/>
    </row>
    <row r="3200" spans="1:42" x14ac:dyDescent="0.2">
      <c r="A3200" s="126">
        <v>45525.845677592588</v>
      </c>
      <c r="B3200" s="137" t="s">
        <v>37</v>
      </c>
      <c r="C3200" s="41" t="s">
        <v>118</v>
      </c>
      <c r="D3200" s="80" t="s">
        <v>36</v>
      </c>
      <c r="E3200" s="80" t="s">
        <v>77</v>
      </c>
      <c r="F3200" s="80" t="s">
        <v>36</v>
      </c>
      <c r="G3200" s="80" t="s">
        <v>41</v>
      </c>
      <c r="H3200" s="80" t="s">
        <v>11527</v>
      </c>
      <c r="I3200" s="17">
        <f ca="1">IFERROR(__xludf.DUMMYFUNCTION("""COMPUTED_VALUE"""),45534)</f>
        <v>45534</v>
      </c>
      <c r="J3200" s="143" t="s">
        <v>11528</v>
      </c>
      <c r="K3200" s="80" t="s">
        <v>11529</v>
      </c>
      <c r="L3200" s="30">
        <v>974237078</v>
      </c>
      <c r="M3200" s="80" t="s">
        <v>3728</v>
      </c>
      <c r="N3200" s="80" t="s">
        <v>5277</v>
      </c>
      <c r="O3200" s="80" t="s">
        <v>11530</v>
      </c>
      <c r="P3200" s="80" t="s">
        <v>11531</v>
      </c>
      <c r="Q3200" s="20">
        <v>1968</v>
      </c>
      <c r="R3200" s="80" t="s">
        <v>36</v>
      </c>
      <c r="S3200" s="95">
        <v>1968</v>
      </c>
      <c r="T3200" s="148">
        <v>45525</v>
      </c>
      <c r="U3200" s="77"/>
      <c r="V3200" s="78"/>
      <c r="W3200" s="85" t="s">
        <v>11532</v>
      </c>
      <c r="X3200" s="80">
        <v>0</v>
      </c>
      <c r="Y3200" s="22">
        <v>0</v>
      </c>
      <c r="Z3200" s="80" t="s">
        <v>50</v>
      </c>
      <c r="AA3200" s="35" t="s">
        <v>10314</v>
      </c>
      <c r="AB3200" s="80"/>
      <c r="AC3200" s="80" t="s">
        <v>53</v>
      </c>
      <c r="AD3200" s="80" t="s">
        <v>54</v>
      </c>
      <c r="AE3200" s="80"/>
      <c r="AF3200" s="17">
        <v>45527</v>
      </c>
      <c r="AG3200" s="80"/>
      <c r="AH3200" s="80"/>
      <c r="AI3200" s="147"/>
      <c r="AJ3200" s="80"/>
      <c r="AK3200" s="80"/>
      <c r="AL3200" s="35"/>
      <c r="AM3200" s="35"/>
      <c r="AN3200" s="35"/>
      <c r="AO3200" s="35"/>
      <c r="AP3200" s="35"/>
    </row>
    <row r="3201" spans="1:42" x14ac:dyDescent="0.2">
      <c r="A3201" s="126">
        <v>45525.913387939814</v>
      </c>
      <c r="B3201" s="137" t="s">
        <v>37</v>
      </c>
      <c r="C3201" s="41" t="s">
        <v>118</v>
      </c>
      <c r="D3201" s="80" t="s">
        <v>36</v>
      </c>
      <c r="E3201" s="80" t="s">
        <v>148</v>
      </c>
      <c r="F3201" s="80" t="s">
        <v>36</v>
      </c>
      <c r="G3201" s="80" t="s">
        <v>108</v>
      </c>
      <c r="H3201" s="80" t="s">
        <v>9856</v>
      </c>
      <c r="I3201" s="17">
        <f ca="1">IFERROR(__xludf.DUMMYFUNCTION("""COMPUTED_VALUE"""),45532)</f>
        <v>45532</v>
      </c>
      <c r="J3201" s="143" t="s">
        <v>11533</v>
      </c>
      <c r="K3201" s="145" t="s">
        <v>11534</v>
      </c>
      <c r="L3201" s="30">
        <v>961433146</v>
      </c>
      <c r="M3201" s="80" t="s">
        <v>80</v>
      </c>
      <c r="N3201" s="80" t="s">
        <v>466</v>
      </c>
      <c r="O3201" s="80" t="s">
        <v>11535</v>
      </c>
      <c r="P3201" s="80" t="s">
        <v>11536</v>
      </c>
      <c r="Q3201" s="20">
        <v>7349</v>
      </c>
      <c r="R3201" s="80" t="s">
        <v>36</v>
      </c>
      <c r="S3201" s="95">
        <f>200+7149</f>
        <v>7349</v>
      </c>
      <c r="T3201" s="83" t="s">
        <v>11537</v>
      </c>
      <c r="U3201" s="77"/>
      <c r="V3201" s="78"/>
      <c r="W3201" s="85" t="s">
        <v>11538</v>
      </c>
      <c r="X3201" s="80">
        <v>0</v>
      </c>
      <c r="Y3201" s="22">
        <v>0</v>
      </c>
      <c r="Z3201" s="80" t="s">
        <v>50</v>
      </c>
      <c r="AA3201" s="96" t="s">
        <v>10314</v>
      </c>
      <c r="AB3201" s="80"/>
      <c r="AC3201" s="80" t="s">
        <v>53</v>
      </c>
      <c r="AD3201" s="80" t="s">
        <v>54</v>
      </c>
      <c r="AE3201" s="83">
        <v>430</v>
      </c>
      <c r="AF3201" s="17">
        <v>45529</v>
      </c>
      <c r="AG3201" s="80" t="s">
        <v>7078</v>
      </c>
      <c r="AH3201" s="80"/>
      <c r="AI3201" s="147"/>
      <c r="AJ3201" s="80"/>
      <c r="AK3201" s="80"/>
      <c r="AL3201" s="35"/>
      <c r="AM3201" s="35"/>
      <c r="AN3201" s="35"/>
      <c r="AO3201" s="35"/>
      <c r="AP3201" s="35"/>
    </row>
    <row r="3202" spans="1:42" x14ac:dyDescent="0.2">
      <c r="A3202" s="126">
        <v>45526.322930335649</v>
      </c>
      <c r="B3202" s="137" t="s">
        <v>37</v>
      </c>
      <c r="C3202" s="41" t="s">
        <v>118</v>
      </c>
      <c r="D3202" s="80" t="s">
        <v>36</v>
      </c>
      <c r="E3202" s="80" t="s">
        <v>106</v>
      </c>
      <c r="F3202" s="80" t="s">
        <v>36</v>
      </c>
      <c r="G3202" s="80" t="s">
        <v>108</v>
      </c>
      <c r="H3202" s="80" t="s">
        <v>9856</v>
      </c>
      <c r="I3202" s="17">
        <f ca="1">IFERROR(__xludf.DUMMYFUNCTION("""COMPUTED_VALUE"""),45532)</f>
        <v>45532</v>
      </c>
      <c r="J3202" s="143" t="s">
        <v>11539</v>
      </c>
      <c r="K3202" s="145" t="s">
        <v>11540</v>
      </c>
      <c r="L3202" s="30">
        <v>336631395</v>
      </c>
      <c r="M3202" s="80" t="s">
        <v>45</v>
      </c>
      <c r="N3202" s="80" t="s">
        <v>3839</v>
      </c>
      <c r="O3202" s="80" t="s">
        <v>11541</v>
      </c>
      <c r="P3202" s="80" t="s">
        <v>11542</v>
      </c>
      <c r="Q3202" s="20">
        <v>3768</v>
      </c>
      <c r="R3202" s="80" t="s">
        <v>36</v>
      </c>
      <c r="S3202" s="95">
        <f>500+3268</f>
        <v>3768</v>
      </c>
      <c r="T3202" s="83" t="s">
        <v>11543</v>
      </c>
      <c r="U3202" s="95"/>
      <c r="V3202" s="148"/>
      <c r="W3202" s="85" t="s">
        <v>11544</v>
      </c>
      <c r="X3202" s="80">
        <v>0</v>
      </c>
      <c r="Y3202" s="22">
        <v>0</v>
      </c>
      <c r="Z3202" s="80" t="s">
        <v>50</v>
      </c>
      <c r="AA3202" s="35" t="s">
        <v>10314</v>
      </c>
      <c r="AB3202" s="80"/>
      <c r="AC3202" s="80" t="s">
        <v>53</v>
      </c>
      <c r="AD3202" s="80" t="s">
        <v>54</v>
      </c>
      <c r="AE3202" s="83">
        <v>470</v>
      </c>
      <c r="AF3202" s="17">
        <v>45530</v>
      </c>
      <c r="AG3202" s="80"/>
      <c r="AH3202" s="80"/>
      <c r="AI3202" s="147"/>
      <c r="AJ3202" s="80"/>
      <c r="AK3202" s="80"/>
      <c r="AL3202" s="35"/>
      <c r="AM3202" s="35"/>
      <c r="AN3202" s="35"/>
      <c r="AO3202" s="35"/>
      <c r="AP3202" s="35"/>
    </row>
    <row r="3203" spans="1:42" x14ac:dyDescent="0.2">
      <c r="A3203" s="126">
        <v>45526.349643067129</v>
      </c>
      <c r="B3203" s="137" t="s">
        <v>37</v>
      </c>
      <c r="C3203" s="41" t="s">
        <v>118</v>
      </c>
      <c r="D3203" s="80" t="s">
        <v>36</v>
      </c>
      <c r="E3203" s="80" t="s">
        <v>39</v>
      </c>
      <c r="F3203" s="80" t="s">
        <v>36</v>
      </c>
      <c r="G3203" s="80" t="s">
        <v>41</v>
      </c>
      <c r="H3203" s="80" t="s">
        <v>11545</v>
      </c>
      <c r="I3203" s="17">
        <f ca="1">IFERROR(__xludf.DUMMYFUNCTION("""COMPUTED_VALUE"""),45540)</f>
        <v>45540</v>
      </c>
      <c r="J3203" s="143" t="s">
        <v>11546</v>
      </c>
      <c r="K3203" s="80" t="s">
        <v>11547</v>
      </c>
      <c r="L3203" s="30">
        <v>373476693</v>
      </c>
      <c r="M3203" s="80" t="s">
        <v>112</v>
      </c>
      <c r="N3203" s="80" t="s">
        <v>438</v>
      </c>
      <c r="O3203" s="80" t="s">
        <v>11548</v>
      </c>
      <c r="P3203" s="80" t="s">
        <v>11549</v>
      </c>
      <c r="Q3203" s="20">
        <v>5736</v>
      </c>
      <c r="R3203" s="80" t="s">
        <v>36</v>
      </c>
      <c r="S3203" s="95">
        <v>5736</v>
      </c>
      <c r="T3203" s="148">
        <v>45525</v>
      </c>
      <c r="U3203" s="77"/>
      <c r="V3203" s="78"/>
      <c r="W3203" s="85" t="s">
        <v>11550</v>
      </c>
      <c r="X3203" s="80">
        <v>0</v>
      </c>
      <c r="Y3203" s="22">
        <v>0</v>
      </c>
      <c r="Z3203" s="80" t="s">
        <v>50</v>
      </c>
      <c r="AA3203" s="96" t="s">
        <v>10314</v>
      </c>
      <c r="AB3203" s="80"/>
      <c r="AC3203" s="80" t="s">
        <v>53</v>
      </c>
      <c r="AD3203" s="80" t="s">
        <v>54</v>
      </c>
      <c r="AE3203" s="80" t="s">
        <v>420</v>
      </c>
      <c r="AF3203" s="17">
        <v>45526</v>
      </c>
      <c r="AG3203" s="80"/>
      <c r="AH3203" s="80"/>
      <c r="AI3203" s="147"/>
      <c r="AJ3203" s="80"/>
      <c r="AK3203" s="80"/>
      <c r="AL3203" s="35"/>
      <c r="AM3203" s="35"/>
      <c r="AN3203" s="35"/>
      <c r="AO3203" s="35"/>
      <c r="AP3203" s="35"/>
    </row>
    <row r="3204" spans="1:42" x14ac:dyDescent="0.2">
      <c r="A3204" s="126">
        <v>45526.90355880787</v>
      </c>
      <c r="B3204" s="137" t="s">
        <v>37</v>
      </c>
      <c r="C3204" s="41" t="s">
        <v>118</v>
      </c>
      <c r="D3204" s="80" t="s">
        <v>36</v>
      </c>
      <c r="E3204" s="80" t="s">
        <v>119</v>
      </c>
      <c r="F3204" s="80" t="s">
        <v>36</v>
      </c>
      <c r="G3204" s="80" t="s">
        <v>108</v>
      </c>
      <c r="H3204" s="80" t="s">
        <v>9865</v>
      </c>
      <c r="I3204" s="17">
        <f ca="1">IFERROR(__xludf.DUMMYFUNCTION("""COMPUTED_VALUE"""),45541)</f>
        <v>45541</v>
      </c>
      <c r="J3204" s="143" t="s">
        <v>11551</v>
      </c>
      <c r="K3204" s="80" t="s">
        <v>11552</v>
      </c>
      <c r="L3204" s="30">
        <v>774793622</v>
      </c>
      <c r="M3204" s="80" t="s">
        <v>59</v>
      </c>
      <c r="N3204" s="80" t="s">
        <v>68</v>
      </c>
      <c r="O3204" s="80" t="s">
        <v>11553</v>
      </c>
      <c r="P3204" s="144" t="s">
        <v>11554</v>
      </c>
      <c r="Q3204" s="20">
        <v>13968</v>
      </c>
      <c r="R3204" s="80" t="s">
        <v>36</v>
      </c>
      <c r="S3204" s="95">
        <v>13968</v>
      </c>
      <c r="T3204" s="148">
        <v>45524</v>
      </c>
      <c r="U3204" s="77"/>
      <c r="V3204" s="78"/>
      <c r="W3204" s="85" t="s">
        <v>11555</v>
      </c>
      <c r="X3204" s="80">
        <v>0</v>
      </c>
      <c r="Y3204" s="22">
        <v>0</v>
      </c>
      <c r="Z3204" s="80" t="s">
        <v>50</v>
      </c>
      <c r="AA3204" s="35" t="s">
        <v>10314</v>
      </c>
      <c r="AB3204" s="80"/>
      <c r="AC3204" s="80" t="s">
        <v>53</v>
      </c>
      <c r="AD3204" s="80"/>
      <c r="AE3204" s="83">
        <v>540</v>
      </c>
      <c r="AF3204" s="17">
        <v>45533</v>
      </c>
      <c r="AG3204" s="80"/>
      <c r="AH3204" s="80"/>
      <c r="AI3204" s="147"/>
      <c r="AJ3204" s="80"/>
      <c r="AK3204" s="80"/>
      <c r="AL3204" s="35"/>
      <c r="AM3204" s="35"/>
      <c r="AN3204" s="35"/>
      <c r="AO3204" s="35"/>
      <c r="AP3204" s="35"/>
    </row>
    <row r="3205" spans="1:42" x14ac:dyDescent="0.2">
      <c r="A3205" s="126">
        <v>45526.926788275465</v>
      </c>
      <c r="B3205" s="137" t="s">
        <v>37</v>
      </c>
      <c r="C3205" s="41" t="s">
        <v>118</v>
      </c>
      <c r="D3205" s="80" t="s">
        <v>36</v>
      </c>
      <c r="E3205" s="80" t="s">
        <v>77</v>
      </c>
      <c r="F3205" s="80" t="s">
        <v>36</v>
      </c>
      <c r="G3205" s="80" t="s">
        <v>41</v>
      </c>
      <c r="H3205" s="80" t="s">
        <v>9626</v>
      </c>
      <c r="I3205" s="17">
        <f ca="1">IFERROR(__xludf.DUMMYFUNCTION("""COMPUTED_VALUE"""),45559)</f>
        <v>45559</v>
      </c>
      <c r="J3205" s="143" t="s">
        <v>11556</v>
      </c>
      <c r="K3205" s="80" t="s">
        <v>11557</v>
      </c>
      <c r="L3205" s="30">
        <v>386822891</v>
      </c>
      <c r="M3205" s="80" t="s">
        <v>348</v>
      </c>
      <c r="N3205" s="80" t="s">
        <v>68</v>
      </c>
      <c r="O3205" s="80" t="s">
        <v>11558</v>
      </c>
      <c r="P3205" s="80" t="s">
        <v>11559</v>
      </c>
      <c r="Q3205" s="20">
        <v>1968</v>
      </c>
      <c r="R3205" s="80" t="s">
        <v>70</v>
      </c>
      <c r="S3205" s="95">
        <v>1968</v>
      </c>
      <c r="T3205" s="148">
        <v>45526</v>
      </c>
      <c r="U3205" s="77"/>
      <c r="V3205" s="78"/>
      <c r="W3205" s="85" t="s">
        <v>11560</v>
      </c>
      <c r="X3205" s="80">
        <v>100</v>
      </c>
      <c r="Y3205" s="22">
        <v>-100</v>
      </c>
      <c r="Z3205" s="80" t="s">
        <v>50</v>
      </c>
      <c r="AA3205" s="96" t="s">
        <v>10314</v>
      </c>
      <c r="AB3205" s="80"/>
      <c r="AC3205" s="80" t="s">
        <v>53</v>
      </c>
      <c r="AD3205" s="80" t="s">
        <v>138</v>
      </c>
      <c r="AE3205" s="80" t="s">
        <v>11561</v>
      </c>
      <c r="AF3205" s="17">
        <v>45559</v>
      </c>
      <c r="AG3205" s="80"/>
      <c r="AH3205" s="80"/>
      <c r="AI3205" s="147"/>
      <c r="AJ3205" s="80"/>
      <c r="AK3205" s="80"/>
      <c r="AL3205" s="35"/>
      <c r="AM3205" s="35"/>
      <c r="AN3205" s="35"/>
      <c r="AO3205" s="35"/>
      <c r="AP3205" s="35"/>
    </row>
    <row r="3206" spans="1:42" x14ac:dyDescent="0.2">
      <c r="A3206" s="126">
        <v>45526.930403703707</v>
      </c>
      <c r="B3206" s="137" t="s">
        <v>37</v>
      </c>
      <c r="C3206" s="41" t="s">
        <v>118</v>
      </c>
      <c r="D3206" s="80" t="s">
        <v>36</v>
      </c>
      <c r="E3206" s="80" t="s">
        <v>77</v>
      </c>
      <c r="F3206" s="80" t="s">
        <v>36</v>
      </c>
      <c r="G3206" s="80" t="s">
        <v>41</v>
      </c>
      <c r="H3206" s="80" t="s">
        <v>9626</v>
      </c>
      <c r="I3206" s="17">
        <f ca="1">IFERROR(__xludf.DUMMYFUNCTION("""COMPUTED_VALUE"""),45559)</f>
        <v>45559</v>
      </c>
      <c r="J3206" s="143" t="s">
        <v>11562</v>
      </c>
      <c r="K3206" s="80" t="s">
        <v>11563</v>
      </c>
      <c r="L3206" s="30">
        <v>358403798</v>
      </c>
      <c r="M3206" s="80" t="s">
        <v>348</v>
      </c>
      <c r="N3206" s="80" t="s">
        <v>4299</v>
      </c>
      <c r="O3206" s="80" t="s">
        <v>7310</v>
      </c>
      <c r="P3206" s="80" t="s">
        <v>11518</v>
      </c>
      <c r="Q3206" s="20">
        <v>1968</v>
      </c>
      <c r="R3206" s="80" t="s">
        <v>70</v>
      </c>
      <c r="S3206" s="95">
        <v>1968</v>
      </c>
      <c r="T3206" s="148">
        <v>45526</v>
      </c>
      <c r="U3206" s="77"/>
      <c r="V3206" s="78"/>
      <c r="W3206" s="85" t="s">
        <v>11564</v>
      </c>
      <c r="X3206" s="80">
        <v>100</v>
      </c>
      <c r="Y3206" s="22">
        <v>-100</v>
      </c>
      <c r="Z3206" s="80" t="s">
        <v>50</v>
      </c>
      <c r="AA3206" s="35" t="s">
        <v>10314</v>
      </c>
      <c r="AB3206" s="80"/>
      <c r="AC3206" s="80" t="s">
        <v>53</v>
      </c>
      <c r="AD3206" s="80" t="s">
        <v>138</v>
      </c>
      <c r="AE3206" s="80" t="s">
        <v>72</v>
      </c>
      <c r="AF3206" s="17">
        <v>45559</v>
      </c>
      <c r="AG3206" s="80"/>
      <c r="AH3206" s="80"/>
      <c r="AI3206" s="147"/>
      <c r="AJ3206" s="80"/>
      <c r="AK3206" s="80"/>
      <c r="AL3206" s="35"/>
      <c r="AM3206" s="35"/>
      <c r="AN3206" s="35"/>
      <c r="AO3206" s="35"/>
      <c r="AP3206" s="35"/>
    </row>
    <row r="3207" spans="1:42" x14ac:dyDescent="0.2">
      <c r="A3207" s="126">
        <v>45526.93460734954</v>
      </c>
      <c r="B3207" s="137" t="s">
        <v>37</v>
      </c>
      <c r="C3207" s="41" t="s">
        <v>118</v>
      </c>
      <c r="D3207" s="80" t="s">
        <v>36</v>
      </c>
      <c r="E3207" s="80" t="s">
        <v>77</v>
      </c>
      <c r="F3207" s="80" t="s">
        <v>36</v>
      </c>
      <c r="G3207" s="80" t="s">
        <v>41</v>
      </c>
      <c r="H3207" s="80" t="s">
        <v>11527</v>
      </c>
      <c r="I3207" s="17">
        <f ca="1">IFERROR(__xludf.DUMMYFUNCTION("""COMPUTED_VALUE"""),45534)</f>
        <v>45534</v>
      </c>
      <c r="J3207" s="143" t="s">
        <v>11565</v>
      </c>
      <c r="K3207" s="80" t="s">
        <v>11566</v>
      </c>
      <c r="L3207" s="30">
        <v>325280049</v>
      </c>
      <c r="M3207" s="80" t="s">
        <v>348</v>
      </c>
      <c r="N3207" s="80" t="s">
        <v>68</v>
      </c>
      <c r="O3207" s="80" t="s">
        <v>7310</v>
      </c>
      <c r="P3207" s="80" t="s">
        <v>11567</v>
      </c>
      <c r="Q3207" s="20">
        <v>1968</v>
      </c>
      <c r="R3207" s="80" t="s">
        <v>36</v>
      </c>
      <c r="S3207" s="95">
        <v>1968</v>
      </c>
      <c r="T3207" s="148">
        <v>45525</v>
      </c>
      <c r="U3207" s="77"/>
      <c r="V3207" s="78"/>
      <c r="W3207" s="85" t="s">
        <v>11568</v>
      </c>
      <c r="X3207" s="80">
        <v>0</v>
      </c>
      <c r="Y3207" s="22">
        <v>0</v>
      </c>
      <c r="Z3207" s="80" t="s">
        <v>50</v>
      </c>
      <c r="AA3207" s="96" t="s">
        <v>10314</v>
      </c>
      <c r="AB3207" s="80"/>
      <c r="AC3207" s="80" t="s">
        <v>53</v>
      </c>
      <c r="AD3207" s="80" t="s">
        <v>54</v>
      </c>
      <c r="AE3207" s="80" t="s">
        <v>72</v>
      </c>
      <c r="AF3207" s="17">
        <v>45527</v>
      </c>
      <c r="AG3207" s="80"/>
      <c r="AH3207" s="80"/>
      <c r="AI3207" s="147"/>
      <c r="AJ3207" s="80"/>
      <c r="AK3207" s="80"/>
      <c r="AL3207" s="35"/>
      <c r="AM3207" s="35"/>
      <c r="AN3207" s="35"/>
      <c r="AO3207" s="35"/>
      <c r="AP3207" s="35"/>
    </row>
    <row r="3208" spans="1:42" x14ac:dyDescent="0.2">
      <c r="A3208" s="126">
        <v>45526.937354803245</v>
      </c>
      <c r="B3208" s="137" t="s">
        <v>37</v>
      </c>
      <c r="C3208" s="41" t="s">
        <v>118</v>
      </c>
      <c r="D3208" s="80" t="s">
        <v>36</v>
      </c>
      <c r="E3208" s="80" t="s">
        <v>77</v>
      </c>
      <c r="F3208" s="80" t="s">
        <v>36</v>
      </c>
      <c r="G3208" s="80" t="s">
        <v>41</v>
      </c>
      <c r="H3208" s="80" t="s">
        <v>8392</v>
      </c>
      <c r="I3208" s="17">
        <f ca="1">IFERROR(__xludf.DUMMYFUNCTION("""COMPUTED_VALUE"""),45540)</f>
        <v>45540</v>
      </c>
      <c r="J3208" s="143" t="s">
        <v>11569</v>
      </c>
      <c r="K3208" s="80" t="s">
        <v>11570</v>
      </c>
      <c r="L3208" s="30">
        <v>986233971</v>
      </c>
      <c r="M3208" s="80" t="s">
        <v>80</v>
      </c>
      <c r="N3208" s="80" t="s">
        <v>1073</v>
      </c>
      <c r="O3208" s="80" t="s">
        <v>11571</v>
      </c>
      <c r="P3208" s="80" t="s">
        <v>11572</v>
      </c>
      <c r="Q3208" s="20">
        <v>1968</v>
      </c>
      <c r="R3208" s="80" t="s">
        <v>36</v>
      </c>
      <c r="S3208" s="95">
        <v>1968</v>
      </c>
      <c r="T3208" s="148">
        <v>45526</v>
      </c>
      <c r="U3208" s="77"/>
      <c r="V3208" s="78"/>
      <c r="W3208" s="85" t="s">
        <v>11573</v>
      </c>
      <c r="X3208" s="80">
        <v>0</v>
      </c>
      <c r="Y3208" s="22">
        <v>0</v>
      </c>
      <c r="Z3208" s="80" t="s">
        <v>50</v>
      </c>
      <c r="AA3208" s="35" t="s">
        <v>10314</v>
      </c>
      <c r="AB3208" s="80"/>
      <c r="AC3208" s="80" t="s">
        <v>53</v>
      </c>
      <c r="AD3208" s="80" t="s">
        <v>54</v>
      </c>
      <c r="AE3208" s="83">
        <v>0</v>
      </c>
      <c r="AF3208" s="17">
        <v>45532</v>
      </c>
      <c r="AG3208" s="80" t="s">
        <v>7078</v>
      </c>
      <c r="AH3208" s="80"/>
      <c r="AI3208" s="147"/>
      <c r="AJ3208" s="80"/>
      <c r="AK3208" s="80"/>
      <c r="AL3208" s="35"/>
      <c r="AM3208" s="35"/>
      <c r="AN3208" s="35"/>
      <c r="AO3208" s="35"/>
      <c r="AP3208" s="35"/>
    </row>
    <row r="3209" spans="1:42" x14ac:dyDescent="0.2">
      <c r="A3209" s="126">
        <v>45527.377482546297</v>
      </c>
      <c r="B3209" s="137" t="s">
        <v>37</v>
      </c>
      <c r="C3209" s="41" t="s">
        <v>118</v>
      </c>
      <c r="D3209" s="80" t="s">
        <v>36</v>
      </c>
      <c r="E3209" s="80" t="s">
        <v>39</v>
      </c>
      <c r="F3209" s="80" t="s">
        <v>36</v>
      </c>
      <c r="G3209" s="80" t="s">
        <v>41</v>
      </c>
      <c r="H3209" s="80" t="s">
        <v>11347</v>
      </c>
      <c r="I3209" s="17">
        <f ca="1">IFERROR(__xludf.DUMMYFUNCTION("""COMPUTED_VALUE"""),45551)</f>
        <v>45551</v>
      </c>
      <c r="J3209" s="143" t="s">
        <v>11574</v>
      </c>
      <c r="K3209" s="80" t="s">
        <v>11575</v>
      </c>
      <c r="L3209" s="30">
        <v>829165116</v>
      </c>
      <c r="M3209" s="80" t="s">
        <v>59</v>
      </c>
      <c r="N3209" s="80" t="s">
        <v>11476</v>
      </c>
      <c r="O3209" s="80" t="s">
        <v>11576</v>
      </c>
      <c r="P3209" s="80" t="s">
        <v>11577</v>
      </c>
      <c r="Q3209" s="20">
        <v>5736</v>
      </c>
      <c r="R3209" s="80" t="s">
        <v>36</v>
      </c>
      <c r="S3209" s="95">
        <f>200+5536</f>
        <v>5736</v>
      </c>
      <c r="T3209" s="148">
        <v>45518</v>
      </c>
      <c r="U3209" s="95"/>
      <c r="V3209" s="148">
        <v>45526</v>
      </c>
      <c r="W3209" s="80" t="s">
        <v>11578</v>
      </c>
      <c r="X3209" s="80">
        <v>0</v>
      </c>
      <c r="Y3209" s="22">
        <v>0</v>
      </c>
      <c r="Z3209" s="80" t="s">
        <v>50</v>
      </c>
      <c r="AA3209" s="96" t="s">
        <v>10314</v>
      </c>
      <c r="AB3209" s="80"/>
      <c r="AC3209" s="80" t="s">
        <v>53</v>
      </c>
      <c r="AD3209" s="80" t="s">
        <v>138</v>
      </c>
      <c r="AE3209" s="80" t="s">
        <v>4488</v>
      </c>
      <c r="AF3209" s="17">
        <v>45551</v>
      </c>
      <c r="AG3209" s="80"/>
      <c r="AH3209" s="80"/>
      <c r="AI3209" s="147"/>
      <c r="AJ3209" s="80"/>
      <c r="AK3209" s="80"/>
      <c r="AL3209" s="35"/>
      <c r="AM3209" s="35"/>
      <c r="AN3209" s="35"/>
      <c r="AO3209" s="35"/>
      <c r="AP3209" s="35"/>
    </row>
    <row r="3210" spans="1:42" x14ac:dyDescent="0.2">
      <c r="A3210" s="126">
        <v>45527.41064991898</v>
      </c>
      <c r="B3210" s="137" t="s">
        <v>37</v>
      </c>
      <c r="C3210" s="41" t="s">
        <v>118</v>
      </c>
      <c r="D3210" s="80" t="s">
        <v>36</v>
      </c>
      <c r="E3210" s="80" t="s">
        <v>77</v>
      </c>
      <c r="F3210" s="80" t="s">
        <v>36</v>
      </c>
      <c r="G3210" s="80" t="s">
        <v>41</v>
      </c>
      <c r="H3210" s="80" t="s">
        <v>11497</v>
      </c>
      <c r="I3210" s="17">
        <f ca="1">IFERROR(__xludf.DUMMYFUNCTION("""COMPUTED_VALUE"""),45530)</f>
        <v>45530</v>
      </c>
      <c r="J3210" s="143" t="s">
        <v>11579</v>
      </c>
      <c r="K3210" s="80" t="s">
        <v>11580</v>
      </c>
      <c r="L3210" s="30">
        <v>971248063</v>
      </c>
      <c r="M3210" s="80" t="s">
        <v>5558</v>
      </c>
      <c r="N3210" s="80" t="s">
        <v>5277</v>
      </c>
      <c r="O3210" s="80" t="s">
        <v>4503</v>
      </c>
      <c r="P3210" s="80" t="s">
        <v>11581</v>
      </c>
      <c r="Q3210" s="20">
        <v>1968</v>
      </c>
      <c r="R3210" s="80" t="s">
        <v>36</v>
      </c>
      <c r="S3210" s="95">
        <f>200+1768</f>
        <v>1968</v>
      </c>
      <c r="T3210" s="83" t="s">
        <v>11582</v>
      </c>
      <c r="U3210" s="95"/>
      <c r="V3210" s="148">
        <v>45527</v>
      </c>
      <c r="W3210" s="80" t="s">
        <v>11583</v>
      </c>
      <c r="X3210" s="80">
        <v>0</v>
      </c>
      <c r="Y3210" s="22">
        <v>0</v>
      </c>
      <c r="Z3210" s="80" t="s">
        <v>50</v>
      </c>
      <c r="AA3210" s="35" t="s">
        <v>10314</v>
      </c>
      <c r="AB3210" s="80"/>
      <c r="AC3210" s="80" t="s">
        <v>53</v>
      </c>
      <c r="AD3210" s="80" t="s">
        <v>54</v>
      </c>
      <c r="AE3210" s="80"/>
      <c r="AF3210" s="17">
        <v>45527</v>
      </c>
      <c r="AG3210" s="80"/>
      <c r="AH3210" s="80"/>
      <c r="AI3210" s="147"/>
      <c r="AJ3210" s="80"/>
      <c r="AK3210" s="80"/>
      <c r="AL3210" s="35"/>
      <c r="AM3210" s="35"/>
      <c r="AN3210" s="35"/>
      <c r="AO3210" s="35"/>
      <c r="AP3210" s="35"/>
    </row>
    <row r="3211" spans="1:42" x14ac:dyDescent="0.2">
      <c r="A3211" s="126">
        <v>45527.434233229171</v>
      </c>
      <c r="B3211" s="137" t="s">
        <v>37</v>
      </c>
      <c r="C3211" s="41" t="s">
        <v>118</v>
      </c>
      <c r="D3211" s="80" t="s">
        <v>36</v>
      </c>
      <c r="E3211" s="80" t="s">
        <v>77</v>
      </c>
      <c r="F3211" s="80" t="s">
        <v>36</v>
      </c>
      <c r="G3211" s="80" t="s">
        <v>41</v>
      </c>
      <c r="H3211" s="80" t="s">
        <v>11527</v>
      </c>
      <c r="I3211" s="17">
        <f ca="1">IFERROR(__xludf.DUMMYFUNCTION("""COMPUTED_VALUE"""),45534)</f>
        <v>45534</v>
      </c>
      <c r="J3211" s="143" t="s">
        <v>11584</v>
      </c>
      <c r="K3211" s="80" t="s">
        <v>11585</v>
      </c>
      <c r="L3211" s="30">
        <v>368057578</v>
      </c>
      <c r="M3211" s="80" t="s">
        <v>11413</v>
      </c>
      <c r="N3211" s="80" t="s">
        <v>1246</v>
      </c>
      <c r="O3211" s="80" t="s">
        <v>11586</v>
      </c>
      <c r="P3211" s="80" t="s">
        <v>11587</v>
      </c>
      <c r="Q3211" s="20">
        <v>1968</v>
      </c>
      <c r="R3211" s="80" t="s">
        <v>36</v>
      </c>
      <c r="S3211" s="95">
        <v>1000</v>
      </c>
      <c r="T3211" s="148">
        <v>45526</v>
      </c>
      <c r="U3211" s="77">
        <v>968</v>
      </c>
      <c r="V3211" s="78">
        <v>45532</v>
      </c>
      <c r="W3211" s="85" t="s">
        <v>11588</v>
      </c>
      <c r="X3211" s="80">
        <v>0</v>
      </c>
      <c r="Y3211" s="22">
        <v>0</v>
      </c>
      <c r="Z3211" s="80" t="s">
        <v>50</v>
      </c>
      <c r="AA3211" s="96" t="s">
        <v>10314</v>
      </c>
      <c r="AB3211" s="26" t="s">
        <v>36</v>
      </c>
      <c r="AC3211" s="80" t="s">
        <v>53</v>
      </c>
      <c r="AD3211" s="80" t="s">
        <v>54</v>
      </c>
      <c r="AE3211" s="80" t="s">
        <v>72</v>
      </c>
      <c r="AF3211" s="17">
        <v>45526</v>
      </c>
      <c r="AG3211" s="80"/>
      <c r="AH3211" s="80"/>
      <c r="AI3211" s="147"/>
      <c r="AJ3211" s="80"/>
      <c r="AK3211" s="80"/>
      <c r="AL3211" s="35"/>
      <c r="AM3211" s="35"/>
      <c r="AN3211" s="35"/>
      <c r="AO3211" s="35"/>
      <c r="AP3211" s="35"/>
    </row>
    <row r="3212" spans="1:42" x14ac:dyDescent="0.2">
      <c r="A3212" s="126">
        <v>45527.573697615742</v>
      </c>
      <c r="B3212" s="137" t="s">
        <v>37</v>
      </c>
      <c r="C3212" s="41" t="s">
        <v>118</v>
      </c>
      <c r="D3212" s="80" t="s">
        <v>36</v>
      </c>
      <c r="E3212" s="80" t="s">
        <v>77</v>
      </c>
      <c r="F3212" s="80" t="s">
        <v>36</v>
      </c>
      <c r="G3212" s="80" t="s">
        <v>41</v>
      </c>
      <c r="H3212" s="80" t="s">
        <v>11589</v>
      </c>
      <c r="I3212" s="17">
        <f ca="1">IFERROR(__xludf.DUMMYFUNCTION("""COMPUTED_VALUE"""),45541)</f>
        <v>45541</v>
      </c>
      <c r="J3212" s="143" t="s">
        <v>11590</v>
      </c>
      <c r="K3212" s="80" t="s">
        <v>11591</v>
      </c>
      <c r="L3212" s="30">
        <v>777919663</v>
      </c>
      <c r="M3212" s="80" t="s">
        <v>11413</v>
      </c>
      <c r="N3212" s="80" t="s">
        <v>1246</v>
      </c>
      <c r="O3212" s="80" t="s">
        <v>11592</v>
      </c>
      <c r="P3212" s="80" t="s">
        <v>11593</v>
      </c>
      <c r="Q3212" s="20">
        <v>1968</v>
      </c>
      <c r="R3212" s="80" t="s">
        <v>36</v>
      </c>
      <c r="S3212" s="95">
        <v>1968</v>
      </c>
      <c r="T3212" s="148">
        <v>45527</v>
      </c>
      <c r="U3212" s="77"/>
      <c r="V3212" s="78"/>
      <c r="W3212" s="85" t="s">
        <v>11594</v>
      </c>
      <c r="X3212" s="80">
        <v>0</v>
      </c>
      <c r="Y3212" s="22">
        <v>0</v>
      </c>
      <c r="Z3212" s="80" t="s">
        <v>50</v>
      </c>
      <c r="AA3212" s="35" t="s">
        <v>10314</v>
      </c>
      <c r="AB3212" s="26" t="s">
        <v>36</v>
      </c>
      <c r="AC3212" s="80" t="s">
        <v>53</v>
      </c>
      <c r="AD3212" s="80" t="s">
        <v>54</v>
      </c>
      <c r="AE3212" s="80" t="s">
        <v>72</v>
      </c>
      <c r="AF3212" s="17">
        <v>45533</v>
      </c>
      <c r="AG3212" s="80"/>
      <c r="AH3212" s="80"/>
      <c r="AI3212" s="147"/>
      <c r="AJ3212" s="80"/>
      <c r="AK3212" s="80"/>
      <c r="AL3212" s="35"/>
      <c r="AM3212" s="35"/>
      <c r="AN3212" s="35"/>
      <c r="AO3212" s="35"/>
      <c r="AP3212" s="35"/>
    </row>
    <row r="3213" spans="1:42" x14ac:dyDescent="0.2">
      <c r="A3213" s="126">
        <v>45527.964623796295</v>
      </c>
      <c r="B3213" s="137" t="s">
        <v>37</v>
      </c>
      <c r="C3213" s="41" t="s">
        <v>118</v>
      </c>
      <c r="D3213" s="80" t="s">
        <v>36</v>
      </c>
      <c r="E3213" s="80" t="s">
        <v>39</v>
      </c>
      <c r="F3213" s="80" t="s">
        <v>36</v>
      </c>
      <c r="G3213" s="80" t="s">
        <v>41</v>
      </c>
      <c r="H3213" s="80" t="s">
        <v>11595</v>
      </c>
      <c r="I3213" s="17">
        <f ca="1">IFERROR(__xludf.DUMMYFUNCTION("""COMPUTED_VALUE"""),45554)</f>
        <v>45554</v>
      </c>
      <c r="J3213" s="143" t="s">
        <v>11596</v>
      </c>
      <c r="K3213" s="80" t="s">
        <v>11597</v>
      </c>
      <c r="L3213" s="30">
        <v>862355204</v>
      </c>
      <c r="M3213" s="80" t="s">
        <v>9422</v>
      </c>
      <c r="N3213" s="80" t="s">
        <v>5574</v>
      </c>
      <c r="O3213" s="80" t="s">
        <v>11598</v>
      </c>
      <c r="P3213" s="80" t="s">
        <v>11599</v>
      </c>
      <c r="Q3213" s="20">
        <v>5736</v>
      </c>
      <c r="R3213" s="80" t="s">
        <v>70</v>
      </c>
      <c r="S3213" s="95">
        <v>5636</v>
      </c>
      <c r="T3213" s="148">
        <v>45527</v>
      </c>
      <c r="U3213" s="77"/>
      <c r="V3213" s="78"/>
      <c r="W3213" s="85" t="s">
        <v>11600</v>
      </c>
      <c r="X3213" s="80">
        <v>100</v>
      </c>
      <c r="Y3213" s="22">
        <v>0</v>
      </c>
      <c r="Z3213" s="80" t="s">
        <v>50</v>
      </c>
      <c r="AA3213" s="96" t="s">
        <v>10314</v>
      </c>
      <c r="AB3213" s="80"/>
      <c r="AC3213" s="80" t="s">
        <v>53</v>
      </c>
      <c r="AD3213" s="80" t="s">
        <v>138</v>
      </c>
      <c r="AE3213" s="80"/>
      <c r="AF3213" s="17">
        <v>45554</v>
      </c>
      <c r="AG3213" s="80"/>
      <c r="AH3213" s="80"/>
      <c r="AI3213" s="147"/>
      <c r="AJ3213" s="80"/>
      <c r="AK3213" s="80"/>
      <c r="AL3213" s="35"/>
      <c r="AM3213" s="35"/>
      <c r="AN3213" s="35"/>
      <c r="AO3213" s="35"/>
      <c r="AP3213" s="35"/>
    </row>
    <row r="3214" spans="1:42" x14ac:dyDescent="0.2">
      <c r="A3214" s="126">
        <v>45527.965602233795</v>
      </c>
      <c r="B3214" s="137" t="s">
        <v>37</v>
      </c>
      <c r="C3214" s="41" t="s">
        <v>118</v>
      </c>
      <c r="D3214" s="80" t="s">
        <v>36</v>
      </c>
      <c r="E3214" s="80" t="s">
        <v>39</v>
      </c>
      <c r="F3214" s="80" t="s">
        <v>36</v>
      </c>
      <c r="G3214" s="80" t="s">
        <v>41</v>
      </c>
      <c r="H3214" s="80" t="s">
        <v>11595</v>
      </c>
      <c r="I3214" s="17">
        <f ca="1">IFERROR(__xludf.DUMMYFUNCTION("""COMPUTED_VALUE"""),45554)</f>
        <v>45554</v>
      </c>
      <c r="J3214" s="143" t="s">
        <v>11601</v>
      </c>
      <c r="K3214" s="80" t="s">
        <v>11602</v>
      </c>
      <c r="L3214" s="30">
        <v>379713350</v>
      </c>
      <c r="M3214" s="80" t="s">
        <v>9422</v>
      </c>
      <c r="N3214" s="80" t="s">
        <v>5574</v>
      </c>
      <c r="O3214" s="80" t="s">
        <v>11603</v>
      </c>
      <c r="P3214" s="80" t="s">
        <v>11599</v>
      </c>
      <c r="Q3214" s="20">
        <v>5736</v>
      </c>
      <c r="R3214" s="80" t="s">
        <v>70</v>
      </c>
      <c r="S3214" s="95">
        <v>5636</v>
      </c>
      <c r="T3214" s="148">
        <v>45527</v>
      </c>
      <c r="U3214" s="77"/>
      <c r="V3214" s="78"/>
      <c r="W3214" s="85" t="s">
        <v>11604</v>
      </c>
      <c r="X3214" s="80">
        <v>100</v>
      </c>
      <c r="Y3214" s="22">
        <v>0</v>
      </c>
      <c r="Z3214" s="80" t="s">
        <v>50</v>
      </c>
      <c r="AA3214" s="35" t="s">
        <v>10314</v>
      </c>
      <c r="AB3214" s="80"/>
      <c r="AC3214" s="80" t="s">
        <v>53</v>
      </c>
      <c r="AD3214" s="80" t="s">
        <v>138</v>
      </c>
      <c r="AE3214" s="80"/>
      <c r="AF3214" s="17">
        <v>45554</v>
      </c>
      <c r="AG3214" s="80"/>
      <c r="AH3214" s="80"/>
      <c r="AI3214" s="147"/>
      <c r="AJ3214" s="80"/>
      <c r="AK3214" s="80"/>
      <c r="AL3214" s="35"/>
      <c r="AM3214" s="35"/>
      <c r="AN3214" s="35"/>
      <c r="AO3214" s="35"/>
      <c r="AP3214" s="35"/>
    </row>
    <row r="3215" spans="1:42" x14ac:dyDescent="0.2">
      <c r="A3215" s="126">
        <v>45527.971184131944</v>
      </c>
      <c r="B3215" s="137" t="s">
        <v>37</v>
      </c>
      <c r="C3215" s="41" t="s">
        <v>118</v>
      </c>
      <c r="D3215" s="80" t="s">
        <v>36</v>
      </c>
      <c r="E3215" s="80" t="s">
        <v>106</v>
      </c>
      <c r="F3215" s="26" t="s">
        <v>36</v>
      </c>
      <c r="G3215" s="26" t="s">
        <v>108</v>
      </c>
      <c r="H3215" s="80" t="s">
        <v>9825</v>
      </c>
      <c r="I3215" s="17">
        <f ca="1">IFERROR(__xludf.DUMMYFUNCTION("""COMPUTED_VALUE"""),45548)</f>
        <v>45548</v>
      </c>
      <c r="J3215" s="143" t="s">
        <v>11605</v>
      </c>
      <c r="K3215" s="80" t="s">
        <v>11606</v>
      </c>
      <c r="L3215" s="30">
        <v>353427064</v>
      </c>
      <c r="M3215" s="80" t="s">
        <v>9422</v>
      </c>
      <c r="N3215" s="80" t="s">
        <v>327</v>
      </c>
      <c r="O3215" s="80" t="s">
        <v>11607</v>
      </c>
      <c r="P3215" s="80" t="s">
        <v>11608</v>
      </c>
      <c r="Q3215" s="20">
        <v>3768</v>
      </c>
      <c r="R3215" s="80" t="s">
        <v>36</v>
      </c>
      <c r="S3215" s="95">
        <v>1000</v>
      </c>
      <c r="T3215" s="148">
        <v>45526</v>
      </c>
      <c r="U3215" s="95">
        <v>2768</v>
      </c>
      <c r="V3215" s="148">
        <v>45533</v>
      </c>
      <c r="W3215" s="85" t="s">
        <v>11609</v>
      </c>
      <c r="X3215" s="80">
        <v>0</v>
      </c>
      <c r="Y3215" s="22">
        <v>0</v>
      </c>
      <c r="Z3215" s="80" t="s">
        <v>50</v>
      </c>
      <c r="AA3215" s="96" t="s">
        <v>10314</v>
      </c>
      <c r="AB3215" s="80"/>
      <c r="AC3215" s="80" t="s">
        <v>53</v>
      </c>
      <c r="AD3215" s="80" t="s">
        <v>138</v>
      </c>
      <c r="AE3215" s="80"/>
      <c r="AF3215" s="17">
        <v>45548</v>
      </c>
      <c r="AG3215" s="26" t="s">
        <v>4996</v>
      </c>
      <c r="AH3215" s="80"/>
      <c r="AI3215" s="147"/>
      <c r="AJ3215" s="80"/>
      <c r="AK3215" s="80"/>
      <c r="AL3215" s="35"/>
      <c r="AM3215" s="35"/>
      <c r="AN3215" s="35"/>
      <c r="AO3215" s="35"/>
      <c r="AP3215" s="35"/>
    </row>
    <row r="3216" spans="1:42" x14ac:dyDescent="0.2">
      <c r="A3216" s="126">
        <v>45528.545586018517</v>
      </c>
      <c r="B3216" s="137" t="s">
        <v>37</v>
      </c>
      <c r="C3216" s="41" t="s">
        <v>118</v>
      </c>
      <c r="D3216" s="80" t="s">
        <v>36</v>
      </c>
      <c r="E3216" s="80" t="s">
        <v>77</v>
      </c>
      <c r="F3216" s="26" t="s">
        <v>36</v>
      </c>
      <c r="G3216" s="26" t="s">
        <v>41</v>
      </c>
      <c r="H3216" s="80" t="s">
        <v>11610</v>
      </c>
      <c r="I3216" s="17">
        <f ca="1">IFERROR(__xludf.DUMMYFUNCTION("""COMPUTED_VALUE"""),45552)</f>
        <v>45552</v>
      </c>
      <c r="J3216" s="172" t="s">
        <v>11611</v>
      </c>
      <c r="K3216" s="80" t="s">
        <v>11612</v>
      </c>
      <c r="L3216" s="30">
        <v>942562693</v>
      </c>
      <c r="M3216" s="80" t="s">
        <v>3728</v>
      </c>
      <c r="N3216" s="80" t="s">
        <v>8725</v>
      </c>
      <c r="O3216" s="80" t="s">
        <v>11613</v>
      </c>
      <c r="P3216" s="80" t="s">
        <v>11614</v>
      </c>
      <c r="Q3216" s="20">
        <v>1968</v>
      </c>
      <c r="R3216" s="80" t="s">
        <v>36</v>
      </c>
      <c r="S3216" s="95">
        <v>2000</v>
      </c>
      <c r="T3216" s="148">
        <v>45528</v>
      </c>
      <c r="U3216" s="77"/>
      <c r="V3216" s="78"/>
      <c r="W3216" s="85" t="s">
        <v>11615</v>
      </c>
      <c r="X3216" s="80">
        <v>0</v>
      </c>
      <c r="Y3216" s="22">
        <v>-32</v>
      </c>
      <c r="Z3216" s="80" t="s">
        <v>50</v>
      </c>
      <c r="AA3216" s="35" t="s">
        <v>10314</v>
      </c>
      <c r="AB3216" s="80"/>
      <c r="AC3216" s="80" t="s">
        <v>53</v>
      </c>
      <c r="AD3216" s="80" t="s">
        <v>138</v>
      </c>
      <c r="AE3216" s="80"/>
      <c r="AF3216" s="17">
        <v>45551</v>
      </c>
      <c r="AG3216" s="80"/>
      <c r="AH3216" s="80"/>
      <c r="AI3216" s="147"/>
      <c r="AJ3216" s="80"/>
      <c r="AK3216" s="80"/>
      <c r="AL3216" s="35"/>
      <c r="AM3216" s="35"/>
      <c r="AN3216" s="35"/>
      <c r="AO3216" s="35"/>
      <c r="AP3216" s="35"/>
    </row>
    <row r="3217" spans="1:42" x14ac:dyDescent="0.2">
      <c r="A3217" s="126">
        <v>45529.39352258102</v>
      </c>
      <c r="B3217" s="137" t="s">
        <v>37</v>
      </c>
      <c r="C3217" s="41" t="s">
        <v>118</v>
      </c>
      <c r="D3217" s="80" t="s">
        <v>36</v>
      </c>
      <c r="E3217" s="80" t="s">
        <v>39</v>
      </c>
      <c r="F3217" s="80" t="s">
        <v>36</v>
      </c>
      <c r="G3217" s="80" t="s">
        <v>41</v>
      </c>
      <c r="H3217" s="80" t="s">
        <v>11392</v>
      </c>
      <c r="I3217" s="17">
        <f ca="1">IFERROR(__xludf.DUMMYFUNCTION("""COMPUTED_VALUE"""),45540)</f>
        <v>45540</v>
      </c>
      <c r="J3217" s="143" t="s">
        <v>11616</v>
      </c>
      <c r="K3217" s="80" t="s">
        <v>11617</v>
      </c>
      <c r="L3217" s="30">
        <v>389423222</v>
      </c>
      <c r="M3217" s="80" t="s">
        <v>348</v>
      </c>
      <c r="N3217" s="80" t="s">
        <v>200</v>
      </c>
      <c r="O3217" s="80" t="s">
        <v>91</v>
      </c>
      <c r="P3217" s="80" t="s">
        <v>11618</v>
      </c>
      <c r="Q3217" s="20">
        <v>5736</v>
      </c>
      <c r="R3217" s="80" t="s">
        <v>36</v>
      </c>
      <c r="S3217" s="95">
        <v>1000</v>
      </c>
      <c r="T3217" s="148">
        <v>45529</v>
      </c>
      <c r="U3217" s="95">
        <v>4736</v>
      </c>
      <c r="V3217" s="148">
        <v>45533</v>
      </c>
      <c r="W3217" s="85" t="s">
        <v>11619</v>
      </c>
      <c r="X3217" s="80">
        <v>0</v>
      </c>
      <c r="Y3217" s="22">
        <v>0</v>
      </c>
      <c r="Z3217" s="80" t="s">
        <v>50</v>
      </c>
      <c r="AA3217" s="96" t="s">
        <v>10314</v>
      </c>
      <c r="AB3217" s="80"/>
      <c r="AC3217" s="80" t="s">
        <v>53</v>
      </c>
      <c r="AD3217" s="80" t="s">
        <v>54</v>
      </c>
      <c r="AE3217" s="80" t="s">
        <v>91</v>
      </c>
      <c r="AF3217" s="17">
        <v>45532</v>
      </c>
      <c r="AG3217" s="80"/>
      <c r="AH3217" s="80"/>
      <c r="AI3217" s="147"/>
      <c r="AJ3217" s="80"/>
      <c r="AK3217" s="80"/>
      <c r="AL3217" s="35"/>
      <c r="AM3217" s="35"/>
      <c r="AN3217" s="35"/>
      <c r="AO3217" s="35"/>
      <c r="AP3217" s="35"/>
    </row>
    <row r="3218" spans="1:42" x14ac:dyDescent="0.2">
      <c r="A3218" s="126">
        <v>45529.396605925926</v>
      </c>
      <c r="B3218" s="137" t="s">
        <v>37</v>
      </c>
      <c r="C3218" s="41" t="s">
        <v>118</v>
      </c>
      <c r="D3218" s="80" t="s">
        <v>36</v>
      </c>
      <c r="E3218" s="80" t="s">
        <v>39</v>
      </c>
      <c r="F3218" s="80" t="s">
        <v>91</v>
      </c>
      <c r="G3218" s="80" t="s">
        <v>41</v>
      </c>
      <c r="H3218" s="80" t="s">
        <v>11392</v>
      </c>
      <c r="I3218" s="17">
        <f ca="1">IFERROR(__xludf.DUMMYFUNCTION("""COMPUTED_VALUE"""),45540)</f>
        <v>45540</v>
      </c>
      <c r="J3218" s="143" t="s">
        <v>11620</v>
      </c>
      <c r="K3218" s="80" t="s">
        <v>11621</v>
      </c>
      <c r="L3218" s="30">
        <v>377538552</v>
      </c>
      <c r="M3218" s="80" t="s">
        <v>3288</v>
      </c>
      <c r="N3218" s="80" t="s">
        <v>200</v>
      </c>
      <c r="O3218" s="80" t="s">
        <v>91</v>
      </c>
      <c r="P3218" s="80" t="s">
        <v>11618</v>
      </c>
      <c r="Q3218" s="20">
        <v>5736</v>
      </c>
      <c r="R3218" s="80" t="s">
        <v>36</v>
      </c>
      <c r="S3218" s="95">
        <v>1000</v>
      </c>
      <c r="T3218" s="148">
        <v>45529</v>
      </c>
      <c r="U3218" s="95">
        <v>4736</v>
      </c>
      <c r="V3218" s="148">
        <v>45533</v>
      </c>
      <c r="W3218" s="85" t="s">
        <v>11622</v>
      </c>
      <c r="X3218" s="80">
        <v>0</v>
      </c>
      <c r="Y3218" s="22">
        <v>0</v>
      </c>
      <c r="Z3218" s="80" t="s">
        <v>50</v>
      </c>
      <c r="AA3218" s="35" t="s">
        <v>10314</v>
      </c>
      <c r="AB3218" s="80"/>
      <c r="AC3218" s="80" t="s">
        <v>53</v>
      </c>
      <c r="AD3218" s="80" t="s">
        <v>54</v>
      </c>
      <c r="AE3218" s="80" t="s">
        <v>91</v>
      </c>
      <c r="AF3218" s="17">
        <v>45532</v>
      </c>
      <c r="AG3218" s="80"/>
      <c r="AH3218" s="80"/>
      <c r="AI3218" s="147"/>
      <c r="AJ3218" s="80"/>
      <c r="AK3218" s="80"/>
      <c r="AL3218" s="35"/>
      <c r="AM3218" s="35"/>
      <c r="AN3218" s="35"/>
      <c r="AO3218" s="35"/>
      <c r="AP3218" s="35"/>
    </row>
    <row r="3219" spans="1:42" x14ac:dyDescent="0.2">
      <c r="A3219" s="126">
        <v>45529.460173159721</v>
      </c>
      <c r="B3219" s="137" t="s">
        <v>37</v>
      </c>
      <c r="C3219" s="41" t="s">
        <v>118</v>
      </c>
      <c r="D3219" s="80" t="s">
        <v>36</v>
      </c>
      <c r="E3219" s="80" t="s">
        <v>106</v>
      </c>
      <c r="F3219" s="26" t="s">
        <v>36</v>
      </c>
      <c r="G3219" s="26" t="s">
        <v>108</v>
      </c>
      <c r="H3219" s="80" t="s">
        <v>9825</v>
      </c>
      <c r="I3219" s="17">
        <f ca="1">IFERROR(__xludf.DUMMYFUNCTION("""COMPUTED_VALUE"""),45548)</f>
        <v>45548</v>
      </c>
      <c r="J3219" s="143" t="s">
        <v>8250</v>
      </c>
      <c r="K3219" s="80" t="s">
        <v>11623</v>
      </c>
      <c r="L3219" s="30">
        <v>396381590</v>
      </c>
      <c r="M3219" s="80" t="s">
        <v>3288</v>
      </c>
      <c r="N3219" s="80" t="s">
        <v>200</v>
      </c>
      <c r="O3219" s="80" t="s">
        <v>91</v>
      </c>
      <c r="P3219" s="80" t="s">
        <v>8253</v>
      </c>
      <c r="Q3219" s="20">
        <v>3768</v>
      </c>
      <c r="R3219" s="80" t="s">
        <v>36</v>
      </c>
      <c r="S3219" s="95">
        <v>3568</v>
      </c>
      <c r="T3219" s="148">
        <v>45529</v>
      </c>
      <c r="U3219" s="95">
        <v>200</v>
      </c>
      <c r="V3219" s="148">
        <v>45532</v>
      </c>
      <c r="W3219" s="85" t="s">
        <v>11624</v>
      </c>
      <c r="X3219" s="80">
        <v>0</v>
      </c>
      <c r="Y3219" s="22">
        <v>0</v>
      </c>
      <c r="Z3219" s="80" t="s">
        <v>50</v>
      </c>
      <c r="AA3219" s="96" t="s">
        <v>10314</v>
      </c>
      <c r="AB3219" s="80"/>
      <c r="AC3219" s="80" t="s">
        <v>53</v>
      </c>
      <c r="AD3219" s="80" t="s">
        <v>138</v>
      </c>
      <c r="AE3219" s="80" t="s">
        <v>203</v>
      </c>
      <c r="AF3219" s="17">
        <v>45548</v>
      </c>
      <c r="AG3219" s="26" t="s">
        <v>4996</v>
      </c>
      <c r="AH3219" s="80"/>
      <c r="AI3219" s="147"/>
      <c r="AJ3219" s="80"/>
      <c r="AK3219" s="80"/>
      <c r="AL3219" s="35"/>
      <c r="AM3219" s="35"/>
      <c r="AN3219" s="35"/>
      <c r="AO3219" s="35"/>
      <c r="AP3219" s="35"/>
    </row>
    <row r="3220" spans="1:42" x14ac:dyDescent="0.2">
      <c r="A3220" s="126">
        <v>45529.575981956019</v>
      </c>
      <c r="B3220" s="137" t="s">
        <v>37</v>
      </c>
      <c r="C3220" s="41" t="s">
        <v>118</v>
      </c>
      <c r="D3220" s="80" t="s">
        <v>36</v>
      </c>
      <c r="E3220" s="80" t="s">
        <v>56</v>
      </c>
      <c r="F3220" s="80" t="s">
        <v>36</v>
      </c>
      <c r="G3220" s="80" t="s">
        <v>41</v>
      </c>
      <c r="H3220" s="80" t="s">
        <v>11497</v>
      </c>
      <c r="I3220" s="17">
        <f ca="1">IFERROR(__xludf.DUMMYFUNCTION("""COMPUTED_VALUE"""),45530)</f>
        <v>45530</v>
      </c>
      <c r="J3220" s="143" t="s">
        <v>11625</v>
      </c>
      <c r="K3220" s="80" t="s">
        <v>11626</v>
      </c>
      <c r="L3220" s="30">
        <v>917615842</v>
      </c>
      <c r="M3220" s="80" t="s">
        <v>59</v>
      </c>
      <c r="N3220" s="80" t="s">
        <v>4299</v>
      </c>
      <c r="O3220" s="80" t="s">
        <v>11627</v>
      </c>
      <c r="P3220" s="80" t="s">
        <v>11628</v>
      </c>
      <c r="Q3220" s="20">
        <v>9317</v>
      </c>
      <c r="R3220" s="80" t="s">
        <v>36</v>
      </c>
      <c r="S3220" s="95">
        <v>9317</v>
      </c>
      <c r="T3220" s="148">
        <v>45528</v>
      </c>
      <c r="U3220" s="95"/>
      <c r="V3220" s="148"/>
      <c r="W3220" s="80" t="s">
        <v>11629</v>
      </c>
      <c r="X3220" s="26">
        <v>0</v>
      </c>
      <c r="Y3220" s="22">
        <v>0</v>
      </c>
      <c r="Z3220" s="26" t="s">
        <v>50</v>
      </c>
      <c r="AA3220" s="35" t="s">
        <v>10314</v>
      </c>
      <c r="AB3220" s="26"/>
      <c r="AC3220" s="80" t="s">
        <v>53</v>
      </c>
      <c r="AD3220" s="80" t="s">
        <v>54</v>
      </c>
      <c r="AE3220" s="26"/>
      <c r="AF3220" s="17">
        <v>45530</v>
      </c>
      <c r="AG3220" s="26"/>
      <c r="AH3220" s="26"/>
      <c r="AI3220" s="40"/>
      <c r="AJ3220" s="26"/>
      <c r="AK3220" s="26"/>
      <c r="AL3220" s="35"/>
      <c r="AM3220" s="35"/>
      <c r="AN3220" s="35"/>
      <c r="AO3220" s="35"/>
      <c r="AP3220" s="35"/>
    </row>
    <row r="3221" spans="1:42" x14ac:dyDescent="0.2">
      <c r="A3221" s="126">
        <v>45529.578797581024</v>
      </c>
      <c r="B3221" s="137" t="s">
        <v>37</v>
      </c>
      <c r="C3221" s="41" t="s">
        <v>118</v>
      </c>
      <c r="D3221" s="80" t="s">
        <v>36</v>
      </c>
      <c r="E3221" s="80" t="s">
        <v>77</v>
      </c>
      <c r="F3221" s="80" t="s">
        <v>36</v>
      </c>
      <c r="G3221" s="80" t="s">
        <v>41</v>
      </c>
      <c r="H3221" s="80" t="s">
        <v>8392</v>
      </c>
      <c r="I3221" s="17">
        <f ca="1">IFERROR(__xludf.DUMMYFUNCTION("""COMPUTED_VALUE"""),45540)</f>
        <v>45540</v>
      </c>
      <c r="J3221" s="143" t="s">
        <v>11630</v>
      </c>
      <c r="K3221" s="80" t="s">
        <v>11631</v>
      </c>
      <c r="L3221" s="30">
        <v>329888231</v>
      </c>
      <c r="M3221" s="80" t="s">
        <v>59</v>
      </c>
      <c r="N3221" s="80" t="s">
        <v>9301</v>
      </c>
      <c r="O3221" s="80" t="s">
        <v>11632</v>
      </c>
      <c r="P3221" s="80" t="s">
        <v>11633</v>
      </c>
      <c r="Q3221" s="20">
        <v>1968</v>
      </c>
      <c r="R3221" s="80" t="s">
        <v>36</v>
      </c>
      <c r="S3221" s="95">
        <f>200+1768</f>
        <v>1968</v>
      </c>
      <c r="T3221" s="148">
        <v>45527</v>
      </c>
      <c r="U3221" s="95"/>
      <c r="V3221" s="148">
        <v>45529</v>
      </c>
      <c r="W3221" s="80" t="s">
        <v>11634</v>
      </c>
      <c r="X3221" s="26">
        <v>0</v>
      </c>
      <c r="Y3221" s="22">
        <v>0</v>
      </c>
      <c r="Z3221" s="26" t="s">
        <v>50</v>
      </c>
      <c r="AA3221" s="96" t="s">
        <v>10314</v>
      </c>
      <c r="AB3221" s="26"/>
      <c r="AC3221" s="26"/>
      <c r="AD3221" s="26"/>
      <c r="AE3221" s="26"/>
      <c r="AF3221" s="17">
        <v>45532</v>
      </c>
      <c r="AG3221" s="26"/>
      <c r="AH3221" s="26"/>
      <c r="AI3221" s="40"/>
      <c r="AJ3221" s="26"/>
      <c r="AK3221" s="26"/>
      <c r="AL3221" s="35"/>
      <c r="AM3221" s="35"/>
      <c r="AN3221" s="35"/>
      <c r="AO3221" s="35"/>
      <c r="AP3221" s="35"/>
    </row>
    <row r="3222" spans="1:42" x14ac:dyDescent="0.2">
      <c r="A3222" s="126">
        <v>45529.580768865737</v>
      </c>
      <c r="B3222" s="137" t="s">
        <v>37</v>
      </c>
      <c r="C3222" s="41" t="s">
        <v>118</v>
      </c>
      <c r="D3222" s="80" t="s">
        <v>36</v>
      </c>
      <c r="E3222" s="80" t="s">
        <v>77</v>
      </c>
      <c r="F3222" s="80" t="s">
        <v>40</v>
      </c>
      <c r="G3222" s="80" t="s">
        <v>41</v>
      </c>
      <c r="H3222" s="80" t="s">
        <v>11392</v>
      </c>
      <c r="I3222" s="17">
        <f ca="1">IFERROR(__xludf.DUMMYFUNCTION("""COMPUTED_VALUE"""),45540)</f>
        <v>45540</v>
      </c>
      <c r="J3222" s="143" t="s">
        <v>11635</v>
      </c>
      <c r="K3222" s="80" t="s">
        <v>11636</v>
      </c>
      <c r="L3222" s="30">
        <v>396383263</v>
      </c>
      <c r="M3222" s="80" t="s">
        <v>59</v>
      </c>
      <c r="N3222" s="80" t="s">
        <v>9287</v>
      </c>
      <c r="O3222" s="80" t="s">
        <v>11637</v>
      </c>
      <c r="P3222" s="80" t="s">
        <v>11638</v>
      </c>
      <c r="Q3222" s="20">
        <v>1968</v>
      </c>
      <c r="R3222" s="80" t="s">
        <v>36</v>
      </c>
      <c r="S3222" s="95">
        <v>1968</v>
      </c>
      <c r="T3222" s="148">
        <v>45529</v>
      </c>
      <c r="U3222" s="77"/>
      <c r="V3222" s="78"/>
      <c r="W3222" s="85" t="s">
        <v>11639</v>
      </c>
      <c r="X3222" s="26">
        <v>0</v>
      </c>
      <c r="Y3222" s="22">
        <v>0</v>
      </c>
      <c r="Z3222" s="26" t="s">
        <v>50</v>
      </c>
      <c r="AA3222" s="35" t="s">
        <v>10314</v>
      </c>
      <c r="AB3222" s="26"/>
      <c r="AC3222" s="26"/>
      <c r="AD3222" s="26"/>
      <c r="AE3222" s="26"/>
      <c r="AF3222" s="17">
        <v>45532</v>
      </c>
      <c r="AG3222" s="26"/>
      <c r="AH3222" s="26"/>
      <c r="AI3222" s="40"/>
      <c r="AJ3222" s="26"/>
      <c r="AK3222" s="26"/>
      <c r="AL3222" s="35"/>
      <c r="AM3222" s="35"/>
      <c r="AN3222" s="35"/>
      <c r="AO3222" s="35"/>
      <c r="AP3222" s="35"/>
    </row>
    <row r="3223" spans="1:42" x14ac:dyDescent="0.2">
      <c r="A3223" s="126">
        <v>45529.620449270835</v>
      </c>
      <c r="B3223" s="137" t="s">
        <v>37</v>
      </c>
      <c r="C3223" s="41" t="s">
        <v>118</v>
      </c>
      <c r="D3223" s="80" t="s">
        <v>36</v>
      </c>
      <c r="E3223" s="80" t="s">
        <v>139</v>
      </c>
      <c r="F3223" s="80" t="s">
        <v>36</v>
      </c>
      <c r="G3223" s="80" t="s">
        <v>41</v>
      </c>
      <c r="H3223" s="80" t="s">
        <v>11640</v>
      </c>
      <c r="I3223" s="17">
        <f ca="1">IFERROR(__xludf.DUMMYFUNCTION("""COMPUTED_VALUE"""),45636)</f>
        <v>45636</v>
      </c>
      <c r="J3223" s="143" t="s">
        <v>11641</v>
      </c>
      <c r="K3223" s="80" t="s">
        <v>11642</v>
      </c>
      <c r="L3223" s="30">
        <v>815597773</v>
      </c>
      <c r="M3223" s="80" t="s">
        <v>3728</v>
      </c>
      <c r="N3223" s="80" t="s">
        <v>8725</v>
      </c>
      <c r="O3223" s="80" t="s">
        <v>11643</v>
      </c>
      <c r="P3223" s="80" t="s">
        <v>11644</v>
      </c>
      <c r="Q3223" s="20">
        <v>15936</v>
      </c>
      <c r="R3223" s="80" t="s">
        <v>36</v>
      </c>
      <c r="S3223" s="95">
        <v>15936</v>
      </c>
      <c r="T3223" s="148">
        <v>45529</v>
      </c>
      <c r="U3223" s="77"/>
      <c r="V3223" s="78"/>
      <c r="W3223" s="80" t="s">
        <v>11645</v>
      </c>
      <c r="X3223" s="26">
        <v>0</v>
      </c>
      <c r="Y3223" s="22">
        <v>0</v>
      </c>
      <c r="Z3223" s="26" t="s">
        <v>50</v>
      </c>
      <c r="AA3223" s="96" t="s">
        <v>10314</v>
      </c>
      <c r="AB3223" s="26"/>
      <c r="AC3223" s="26"/>
      <c r="AD3223" s="26"/>
      <c r="AE3223" s="26"/>
      <c r="AF3223" s="17">
        <v>45636</v>
      </c>
      <c r="AG3223" s="26"/>
      <c r="AH3223" s="26"/>
      <c r="AI3223" s="40"/>
      <c r="AJ3223" s="26"/>
      <c r="AK3223" s="26"/>
      <c r="AL3223" s="35"/>
      <c r="AM3223" s="35"/>
      <c r="AN3223" s="35"/>
      <c r="AO3223" s="35"/>
      <c r="AP3223" s="35"/>
    </row>
    <row r="3224" spans="1:42" x14ac:dyDescent="0.2">
      <c r="A3224" s="126">
        <v>45529.780838981482</v>
      </c>
      <c r="B3224" s="137" t="s">
        <v>37</v>
      </c>
      <c r="C3224" s="41" t="s">
        <v>118</v>
      </c>
      <c r="D3224" s="80" t="s">
        <v>36</v>
      </c>
      <c r="E3224" s="80" t="s">
        <v>39</v>
      </c>
      <c r="F3224" s="80" t="s">
        <v>36</v>
      </c>
      <c r="G3224" s="80" t="s">
        <v>41</v>
      </c>
      <c r="H3224" s="80" t="s">
        <v>8392</v>
      </c>
      <c r="I3224" s="17">
        <f ca="1">IFERROR(__xludf.DUMMYFUNCTION("""COMPUTED_VALUE"""),45540)</f>
        <v>45540</v>
      </c>
      <c r="J3224" s="143" t="s">
        <v>11646</v>
      </c>
      <c r="K3224" s="80" t="s">
        <v>11647</v>
      </c>
      <c r="L3224" s="30">
        <v>947700459</v>
      </c>
      <c r="M3224" s="80" t="s">
        <v>348</v>
      </c>
      <c r="N3224" s="80" t="s">
        <v>68</v>
      </c>
      <c r="O3224" s="80" t="s">
        <v>11648</v>
      </c>
      <c r="P3224" s="80" t="s">
        <v>11649</v>
      </c>
      <c r="Q3224" s="20">
        <v>5736</v>
      </c>
      <c r="R3224" s="80" t="s">
        <v>36</v>
      </c>
      <c r="S3224" s="95">
        <v>5736</v>
      </c>
      <c r="T3224" s="148">
        <v>45529</v>
      </c>
      <c r="U3224" s="77"/>
      <c r="V3224" s="78"/>
      <c r="W3224" s="85" t="s">
        <v>11650</v>
      </c>
      <c r="X3224" s="80">
        <v>0</v>
      </c>
      <c r="Y3224" s="22">
        <v>0</v>
      </c>
      <c r="Z3224" s="80" t="s">
        <v>50</v>
      </c>
      <c r="AA3224" s="35" t="s">
        <v>10314</v>
      </c>
      <c r="AB3224" s="80"/>
      <c r="AC3224" s="80" t="s">
        <v>53</v>
      </c>
      <c r="AD3224" s="80"/>
      <c r="AE3224" s="80" t="s">
        <v>4488</v>
      </c>
      <c r="AF3224" s="17">
        <v>45532</v>
      </c>
      <c r="AG3224" s="80"/>
      <c r="AH3224" s="80"/>
      <c r="AI3224" s="147"/>
      <c r="AJ3224" s="80"/>
      <c r="AK3224" s="80"/>
      <c r="AL3224" s="35"/>
      <c r="AM3224" s="35"/>
      <c r="AN3224" s="35"/>
      <c r="AO3224" s="35"/>
      <c r="AP3224" s="35"/>
    </row>
    <row r="3225" spans="1:42" x14ac:dyDescent="0.2">
      <c r="A3225" s="126">
        <v>45529.92202967593</v>
      </c>
      <c r="B3225" s="137" t="s">
        <v>37</v>
      </c>
      <c r="C3225" s="41" t="s">
        <v>118</v>
      </c>
      <c r="D3225" s="80" t="s">
        <v>36</v>
      </c>
      <c r="E3225" s="80" t="s">
        <v>219</v>
      </c>
      <c r="F3225" s="80" t="s">
        <v>36</v>
      </c>
      <c r="G3225" s="80" t="s">
        <v>221</v>
      </c>
      <c r="H3225" s="80" t="s">
        <v>9031</v>
      </c>
      <c r="I3225" s="17">
        <f ca="1">IFERROR(__xludf.DUMMYFUNCTION("""COMPUTED_VALUE"""),45540)</f>
        <v>45540</v>
      </c>
      <c r="J3225" s="143" t="s">
        <v>11651</v>
      </c>
      <c r="K3225" s="80" t="s">
        <v>11652</v>
      </c>
      <c r="L3225" s="30">
        <v>1046892706</v>
      </c>
      <c r="M3225" s="80" t="s">
        <v>9422</v>
      </c>
      <c r="N3225" s="80" t="s">
        <v>68</v>
      </c>
      <c r="O3225" s="80" t="s">
        <v>11653</v>
      </c>
      <c r="P3225" s="80" t="s">
        <v>11654</v>
      </c>
      <c r="Q3225" s="20">
        <v>3968</v>
      </c>
      <c r="R3225" s="80" t="s">
        <v>11421</v>
      </c>
      <c r="S3225" s="95">
        <v>3568</v>
      </c>
      <c r="T3225" s="148">
        <v>45529</v>
      </c>
      <c r="U3225" s="77"/>
      <c r="V3225" s="78"/>
      <c r="W3225" s="85" t="s">
        <v>11655</v>
      </c>
      <c r="X3225" s="80">
        <v>300</v>
      </c>
      <c r="Y3225" s="22">
        <v>100</v>
      </c>
      <c r="Z3225" s="80" t="s">
        <v>50</v>
      </c>
      <c r="AA3225" s="96" t="s">
        <v>10314</v>
      </c>
      <c r="AB3225" s="80"/>
      <c r="AC3225" s="80" t="s">
        <v>1828</v>
      </c>
      <c r="AD3225" s="80" t="s">
        <v>54</v>
      </c>
      <c r="AE3225" s="80"/>
      <c r="AF3225" s="60" t="s">
        <v>1829</v>
      </c>
      <c r="AG3225" s="80" t="s">
        <v>1828</v>
      </c>
      <c r="AH3225" s="80"/>
      <c r="AI3225" s="147"/>
      <c r="AJ3225" s="80"/>
      <c r="AK3225" s="80"/>
      <c r="AL3225" s="35"/>
      <c r="AM3225" s="35"/>
      <c r="AN3225" s="35"/>
      <c r="AO3225" s="35"/>
      <c r="AP3225" s="35"/>
    </row>
    <row r="3226" spans="1:42" x14ac:dyDescent="0.2">
      <c r="A3226" s="126">
        <v>45529.974018171299</v>
      </c>
      <c r="B3226" s="137" t="s">
        <v>37</v>
      </c>
      <c r="C3226" s="41" t="s">
        <v>118</v>
      </c>
      <c r="D3226" s="80" t="s">
        <v>36</v>
      </c>
      <c r="E3226" s="80" t="s">
        <v>139</v>
      </c>
      <c r="F3226" s="80" t="s">
        <v>36</v>
      </c>
      <c r="G3226" s="80" t="s">
        <v>41</v>
      </c>
      <c r="H3226" s="80" t="s">
        <v>11347</v>
      </c>
      <c r="I3226" s="17">
        <f ca="1">IFERROR(__xludf.DUMMYFUNCTION("""COMPUTED_VALUE"""),45551)</f>
        <v>45551</v>
      </c>
      <c r="J3226" s="143" t="s">
        <v>11656</v>
      </c>
      <c r="K3226" s="80" t="s">
        <v>11657</v>
      </c>
      <c r="L3226" s="30">
        <v>346759846</v>
      </c>
      <c r="M3226" s="80" t="s">
        <v>59</v>
      </c>
      <c r="N3226" s="80" t="s">
        <v>68</v>
      </c>
      <c r="O3226" s="80" t="s">
        <v>11658</v>
      </c>
      <c r="P3226" s="80" t="s">
        <v>11659</v>
      </c>
      <c r="Q3226" s="20">
        <v>15936</v>
      </c>
      <c r="R3226" s="80" t="s">
        <v>36</v>
      </c>
      <c r="S3226" s="95">
        <f>200+15736</f>
        <v>15936</v>
      </c>
      <c r="T3226" s="148">
        <v>45528</v>
      </c>
      <c r="U3226" s="95"/>
      <c r="V3226" s="148">
        <v>45529</v>
      </c>
      <c r="W3226" s="80" t="s">
        <v>11660</v>
      </c>
      <c r="X3226" s="80">
        <v>0</v>
      </c>
      <c r="Y3226" s="22">
        <v>0</v>
      </c>
      <c r="Z3226" s="80" t="s">
        <v>50</v>
      </c>
      <c r="AA3226" s="35" t="s">
        <v>10314</v>
      </c>
      <c r="AB3226" s="80"/>
      <c r="AC3226" s="80" t="s">
        <v>53</v>
      </c>
      <c r="AD3226" s="80" t="s">
        <v>138</v>
      </c>
      <c r="AE3226" s="80" t="s">
        <v>72</v>
      </c>
      <c r="AF3226" s="17">
        <v>45551</v>
      </c>
      <c r="AG3226" s="80"/>
      <c r="AH3226" s="80"/>
      <c r="AI3226" s="147"/>
      <c r="AJ3226" s="80"/>
      <c r="AK3226" s="80"/>
      <c r="AL3226" s="35"/>
      <c r="AM3226" s="35"/>
      <c r="AN3226" s="35"/>
      <c r="AO3226" s="35"/>
      <c r="AP3226" s="35"/>
    </row>
    <row r="3227" spans="1:42" x14ac:dyDescent="0.2">
      <c r="A3227" s="126">
        <v>45530.329407696758</v>
      </c>
      <c r="B3227" s="137" t="s">
        <v>37</v>
      </c>
      <c r="C3227" s="41" t="s">
        <v>118</v>
      </c>
      <c r="D3227" s="80" t="s">
        <v>36</v>
      </c>
      <c r="E3227" s="80" t="s">
        <v>119</v>
      </c>
      <c r="F3227" s="80" t="s">
        <v>36</v>
      </c>
      <c r="G3227" s="80" t="s">
        <v>108</v>
      </c>
      <c r="H3227" s="80" t="s">
        <v>9781</v>
      </c>
      <c r="I3227" s="17">
        <f ca="1">IFERROR(__xludf.DUMMYFUNCTION("""COMPUTED_VALUE"""),45534)</f>
        <v>45534</v>
      </c>
      <c r="J3227" s="143" t="s">
        <v>11661</v>
      </c>
      <c r="K3227" s="80" t="s">
        <v>11662</v>
      </c>
      <c r="L3227" s="30">
        <v>913206369</v>
      </c>
      <c r="M3227" s="80" t="s">
        <v>45</v>
      </c>
      <c r="N3227" s="80" t="s">
        <v>8518</v>
      </c>
      <c r="O3227" s="80" t="s">
        <v>11663</v>
      </c>
      <c r="P3227" s="80" t="s">
        <v>11664</v>
      </c>
      <c r="Q3227" s="20">
        <v>13968</v>
      </c>
      <c r="R3227" s="80" t="s">
        <v>36</v>
      </c>
      <c r="S3227" s="95">
        <v>13968</v>
      </c>
      <c r="T3227" s="148">
        <v>45528</v>
      </c>
      <c r="U3227" s="77"/>
      <c r="V3227" s="78"/>
      <c r="W3227" s="85" t="s">
        <v>11665</v>
      </c>
      <c r="X3227" s="80">
        <v>0</v>
      </c>
      <c r="Y3227" s="22">
        <v>0</v>
      </c>
      <c r="Z3227" s="80" t="s">
        <v>50</v>
      </c>
      <c r="AA3227" s="96" t="s">
        <v>10314</v>
      </c>
      <c r="AB3227" s="80"/>
      <c r="AC3227" s="80" t="s">
        <v>53</v>
      </c>
      <c r="AD3227" s="80" t="s">
        <v>54</v>
      </c>
      <c r="AE3227" s="83">
        <v>400</v>
      </c>
      <c r="AF3227" s="17">
        <v>45530</v>
      </c>
      <c r="AG3227" s="80" t="s">
        <v>9238</v>
      </c>
      <c r="AH3227" s="80"/>
      <c r="AI3227" s="147"/>
      <c r="AJ3227" s="80"/>
      <c r="AK3227" s="80"/>
      <c r="AL3227" s="35"/>
      <c r="AM3227" s="35"/>
      <c r="AN3227" s="35"/>
      <c r="AO3227" s="35"/>
      <c r="AP3227" s="35"/>
    </row>
    <row r="3228" spans="1:42" x14ac:dyDescent="0.2">
      <c r="A3228" s="126">
        <v>45530.397078310183</v>
      </c>
      <c r="B3228" s="137" t="s">
        <v>37</v>
      </c>
      <c r="C3228" s="41" t="s">
        <v>118</v>
      </c>
      <c r="D3228" s="80" t="s">
        <v>36</v>
      </c>
      <c r="E3228" s="80" t="s">
        <v>139</v>
      </c>
      <c r="F3228" s="80" t="s">
        <v>40</v>
      </c>
      <c r="G3228" s="80" t="s">
        <v>41</v>
      </c>
      <c r="H3228" s="80" t="s">
        <v>11392</v>
      </c>
      <c r="I3228" s="17">
        <f ca="1">IFERROR(__xludf.DUMMYFUNCTION("""COMPUTED_VALUE"""),45540)</f>
        <v>45540</v>
      </c>
      <c r="J3228" s="143" t="s">
        <v>11666</v>
      </c>
      <c r="K3228" s="80" t="s">
        <v>11667</v>
      </c>
      <c r="L3228" s="30">
        <v>818319940</v>
      </c>
      <c r="M3228" s="80" t="s">
        <v>59</v>
      </c>
      <c r="N3228" s="80" t="s">
        <v>9301</v>
      </c>
      <c r="O3228" s="80" t="s">
        <v>11668</v>
      </c>
      <c r="P3228" s="80" t="s">
        <v>11669</v>
      </c>
      <c r="Q3228" s="20">
        <v>15936</v>
      </c>
      <c r="R3228" s="80" t="s">
        <v>36</v>
      </c>
      <c r="S3228" s="95">
        <v>15936</v>
      </c>
      <c r="T3228" s="148">
        <v>45530</v>
      </c>
      <c r="U3228" s="77"/>
      <c r="V3228" s="78"/>
      <c r="W3228" s="80" t="s">
        <v>11670</v>
      </c>
      <c r="X3228" s="80">
        <v>0</v>
      </c>
      <c r="Y3228" s="22">
        <v>0</v>
      </c>
      <c r="Z3228" s="80" t="s">
        <v>50</v>
      </c>
      <c r="AA3228" s="35" t="s">
        <v>10314</v>
      </c>
      <c r="AB3228" s="80"/>
      <c r="AC3228" s="80" t="s">
        <v>53</v>
      </c>
      <c r="AD3228" s="80" t="s">
        <v>54</v>
      </c>
      <c r="AE3228" s="80" t="s">
        <v>4488</v>
      </c>
      <c r="AF3228" s="17">
        <v>45532</v>
      </c>
      <c r="AG3228" s="80"/>
      <c r="AH3228" s="80"/>
      <c r="AI3228" s="147"/>
      <c r="AJ3228" s="80"/>
      <c r="AK3228" s="80"/>
      <c r="AL3228" s="35"/>
      <c r="AM3228" s="35"/>
      <c r="AN3228" s="35"/>
      <c r="AO3228" s="35"/>
      <c r="AP3228" s="35"/>
    </row>
    <row r="3229" spans="1:42" x14ac:dyDescent="0.2">
      <c r="A3229" s="126">
        <v>45530.807116331023</v>
      </c>
      <c r="B3229" s="137" t="s">
        <v>37</v>
      </c>
      <c r="C3229" s="41" t="s">
        <v>118</v>
      </c>
      <c r="D3229" s="80" t="s">
        <v>36</v>
      </c>
      <c r="E3229" s="80" t="s">
        <v>77</v>
      </c>
      <c r="F3229" s="80" t="s">
        <v>36</v>
      </c>
      <c r="G3229" s="80" t="s">
        <v>41</v>
      </c>
      <c r="H3229" s="80" t="s">
        <v>11671</v>
      </c>
      <c r="I3229" s="17" t="str">
        <f ca="1">IFERROR(__xludf.DUMMYFUNCTION("""COMPUTED_VALUE""")," ")</f>
        <v xml:space="preserve"> </v>
      </c>
      <c r="J3229" s="143" t="s">
        <v>11672</v>
      </c>
      <c r="K3229" s="80" t="s">
        <v>1305</v>
      </c>
      <c r="L3229" s="30">
        <v>964607167</v>
      </c>
      <c r="M3229" s="80" t="s">
        <v>5558</v>
      </c>
      <c r="N3229" s="80" t="s">
        <v>5277</v>
      </c>
      <c r="O3229" s="80" t="s">
        <v>4503</v>
      </c>
      <c r="P3229" s="80" t="s">
        <v>11673</v>
      </c>
      <c r="Q3229" s="20">
        <v>1968</v>
      </c>
      <c r="R3229" s="80" t="s">
        <v>36</v>
      </c>
      <c r="S3229" s="95">
        <v>1968</v>
      </c>
      <c r="T3229" s="148">
        <v>45530</v>
      </c>
      <c r="U3229" s="77"/>
      <c r="V3229" s="78"/>
      <c r="W3229" s="85" t="s">
        <v>11674</v>
      </c>
      <c r="X3229" s="80">
        <v>0</v>
      </c>
      <c r="Y3229" s="22">
        <v>0</v>
      </c>
      <c r="Z3229" s="80" t="s">
        <v>50</v>
      </c>
      <c r="AA3229" s="96" t="s">
        <v>10314</v>
      </c>
      <c r="AB3229" s="80"/>
      <c r="AC3229" s="80" t="s">
        <v>53</v>
      </c>
      <c r="AD3229" s="80" t="s">
        <v>54</v>
      </c>
      <c r="AE3229" s="80"/>
      <c r="AF3229" s="17">
        <v>45533</v>
      </c>
      <c r="AG3229" s="80"/>
      <c r="AH3229" s="80"/>
      <c r="AI3229" s="147"/>
      <c r="AJ3229" s="80"/>
      <c r="AK3229" s="80"/>
      <c r="AL3229" s="35"/>
      <c r="AM3229" s="35"/>
      <c r="AN3229" s="35"/>
      <c r="AO3229" s="35"/>
      <c r="AP3229" s="35"/>
    </row>
    <row r="3230" spans="1:42" x14ac:dyDescent="0.2">
      <c r="A3230" s="126">
        <v>45530.993736365737</v>
      </c>
      <c r="B3230" s="137" t="s">
        <v>37</v>
      </c>
      <c r="C3230" s="41" t="s">
        <v>118</v>
      </c>
      <c r="D3230" s="80" t="s">
        <v>36</v>
      </c>
      <c r="E3230" s="80" t="s">
        <v>106</v>
      </c>
      <c r="F3230" s="80" t="s">
        <v>36</v>
      </c>
      <c r="G3230" s="80" t="s">
        <v>108</v>
      </c>
      <c r="H3230" s="80" t="s">
        <v>8541</v>
      </c>
      <c r="I3230" s="17">
        <f ca="1">IFERROR(__xludf.DUMMYFUNCTION("""COMPUTED_VALUE"""),45595)</f>
        <v>45595</v>
      </c>
      <c r="J3230" s="143" t="s">
        <v>11675</v>
      </c>
      <c r="K3230" s="80" t="s">
        <v>11676</v>
      </c>
      <c r="L3230" s="30">
        <v>333934191</v>
      </c>
      <c r="M3230" s="80" t="s">
        <v>9422</v>
      </c>
      <c r="N3230" s="80" t="s">
        <v>2157</v>
      </c>
      <c r="O3230" s="80" t="s">
        <v>11677</v>
      </c>
      <c r="P3230" s="80" t="s">
        <v>11678</v>
      </c>
      <c r="Q3230" s="20">
        <v>3768</v>
      </c>
      <c r="R3230" s="80" t="s">
        <v>11421</v>
      </c>
      <c r="S3230" s="95">
        <v>3468</v>
      </c>
      <c r="T3230" s="148">
        <v>45530</v>
      </c>
      <c r="U3230" s="77"/>
      <c r="V3230" s="78"/>
      <c r="W3230" s="85" t="s">
        <v>11679</v>
      </c>
      <c r="X3230" s="80">
        <v>300</v>
      </c>
      <c r="Y3230" s="22">
        <v>0</v>
      </c>
      <c r="Z3230" s="80" t="s">
        <v>50</v>
      </c>
      <c r="AA3230" s="35" t="s">
        <v>10314</v>
      </c>
      <c r="AB3230" s="80"/>
      <c r="AC3230" s="80" t="s">
        <v>53</v>
      </c>
      <c r="AD3230" s="80" t="s">
        <v>54</v>
      </c>
      <c r="AE3230" s="80"/>
      <c r="AF3230" s="17">
        <v>45532</v>
      </c>
      <c r="AG3230" s="80"/>
      <c r="AH3230" s="80"/>
      <c r="AI3230" s="147"/>
      <c r="AJ3230" s="80"/>
      <c r="AK3230" s="80"/>
      <c r="AL3230" s="35"/>
      <c r="AM3230" s="35"/>
      <c r="AN3230" s="35"/>
      <c r="AO3230" s="35"/>
      <c r="AP3230" s="35"/>
    </row>
    <row r="3231" spans="1:42" x14ac:dyDescent="0.2">
      <c r="A3231" s="126">
        <v>45531.392703564816</v>
      </c>
      <c r="B3231" s="137" t="s">
        <v>37</v>
      </c>
      <c r="C3231" s="41" t="s">
        <v>118</v>
      </c>
      <c r="D3231" s="80" t="s">
        <v>36</v>
      </c>
      <c r="E3231" s="80" t="s">
        <v>77</v>
      </c>
      <c r="F3231" s="80" t="s">
        <v>36</v>
      </c>
      <c r="G3231" s="80" t="s">
        <v>41</v>
      </c>
      <c r="H3231" s="80" t="s">
        <v>11347</v>
      </c>
      <c r="I3231" s="17">
        <f ca="1">IFERROR(__xludf.DUMMYFUNCTION("""COMPUTED_VALUE"""),45551)</f>
        <v>45551</v>
      </c>
      <c r="J3231" s="143" t="s">
        <v>11680</v>
      </c>
      <c r="K3231" s="80" t="s">
        <v>11681</v>
      </c>
      <c r="L3231" s="30">
        <v>338184763</v>
      </c>
      <c r="M3231" s="80" t="s">
        <v>11413</v>
      </c>
      <c r="N3231" s="80" t="s">
        <v>1246</v>
      </c>
      <c r="O3231" s="80" t="s">
        <v>11682</v>
      </c>
      <c r="P3231" s="80" t="s">
        <v>11683</v>
      </c>
      <c r="Q3231" s="20">
        <v>1968</v>
      </c>
      <c r="R3231" s="80" t="s">
        <v>36</v>
      </c>
      <c r="S3231" s="95">
        <v>1968</v>
      </c>
      <c r="T3231" s="148">
        <v>45531</v>
      </c>
      <c r="U3231" s="77"/>
      <c r="V3231" s="78"/>
      <c r="W3231" s="85" t="s">
        <v>11684</v>
      </c>
      <c r="X3231" s="80">
        <v>0</v>
      </c>
      <c r="Y3231" s="22">
        <v>0</v>
      </c>
      <c r="Z3231" s="80" t="s">
        <v>50</v>
      </c>
      <c r="AA3231" s="96" t="s">
        <v>10314</v>
      </c>
      <c r="AB3231" s="26" t="s">
        <v>36</v>
      </c>
      <c r="AC3231" s="80" t="s">
        <v>53</v>
      </c>
      <c r="AD3231" s="80" t="s">
        <v>138</v>
      </c>
      <c r="AE3231" s="80" t="s">
        <v>11685</v>
      </c>
      <c r="AF3231" s="17">
        <v>45551</v>
      </c>
      <c r="AG3231" s="80"/>
      <c r="AH3231" s="80"/>
      <c r="AI3231" s="147"/>
      <c r="AJ3231" s="80"/>
      <c r="AK3231" s="80"/>
      <c r="AL3231" s="35"/>
      <c r="AM3231" s="35"/>
      <c r="AN3231" s="35"/>
      <c r="AO3231" s="35"/>
      <c r="AP3231" s="35"/>
    </row>
    <row r="3232" spans="1:42" x14ac:dyDescent="0.2">
      <c r="A3232" s="126">
        <v>45531.590284120372</v>
      </c>
      <c r="B3232" s="137" t="s">
        <v>37</v>
      </c>
      <c r="C3232" s="41" t="s">
        <v>118</v>
      </c>
      <c r="D3232" s="80" t="s">
        <v>36</v>
      </c>
      <c r="E3232" s="80" t="s">
        <v>915</v>
      </c>
      <c r="F3232" s="80" t="s">
        <v>36</v>
      </c>
      <c r="G3232" s="80" t="s">
        <v>221</v>
      </c>
      <c r="H3232" s="80" t="s">
        <v>9031</v>
      </c>
      <c r="I3232" s="17">
        <f ca="1">IFERROR(__xludf.DUMMYFUNCTION("""COMPUTED_VALUE"""),45540)</f>
        <v>45540</v>
      </c>
      <c r="J3232" s="143" t="s">
        <v>11686</v>
      </c>
      <c r="K3232" s="80" t="s">
        <v>11687</v>
      </c>
      <c r="L3232" s="30">
        <v>325938477</v>
      </c>
      <c r="M3232" s="80" t="s">
        <v>910</v>
      </c>
      <c r="N3232" s="80" t="s">
        <v>11688</v>
      </c>
      <c r="O3232" s="80" t="s">
        <v>36</v>
      </c>
      <c r="P3232" s="80" t="s">
        <v>11689</v>
      </c>
      <c r="Q3232" s="20">
        <v>10894</v>
      </c>
      <c r="R3232" s="80" t="s">
        <v>36</v>
      </c>
      <c r="S3232" s="95">
        <v>10894</v>
      </c>
      <c r="T3232" s="148">
        <v>45526</v>
      </c>
      <c r="U3232" s="77"/>
      <c r="V3232" s="78"/>
      <c r="W3232" s="85" t="s">
        <v>11690</v>
      </c>
      <c r="X3232" s="80">
        <v>0</v>
      </c>
      <c r="Y3232" s="22">
        <v>0</v>
      </c>
      <c r="Z3232" s="80" t="s">
        <v>50</v>
      </c>
      <c r="AA3232" s="35" t="s">
        <v>10314</v>
      </c>
      <c r="AB3232" s="80"/>
      <c r="AC3232" s="80" t="s">
        <v>53</v>
      </c>
      <c r="AD3232" s="80" t="s">
        <v>54</v>
      </c>
      <c r="AE3232" s="83">
        <v>590</v>
      </c>
      <c r="AF3232" s="17">
        <v>45531</v>
      </c>
      <c r="AG3232" s="80"/>
      <c r="AH3232" s="80"/>
      <c r="AI3232" s="147"/>
      <c r="AJ3232" s="80"/>
      <c r="AK3232" s="80"/>
      <c r="AL3232" s="35"/>
      <c r="AM3232" s="35"/>
      <c r="AN3232" s="35"/>
      <c r="AO3232" s="35"/>
      <c r="AP3232" s="35"/>
    </row>
    <row r="3233" spans="1:42" x14ac:dyDescent="0.2">
      <c r="A3233" s="126">
        <v>45532.444098101856</v>
      </c>
      <c r="B3233" s="137" t="s">
        <v>37</v>
      </c>
      <c r="C3233" s="41" t="s">
        <v>118</v>
      </c>
      <c r="D3233" s="80" t="s">
        <v>36</v>
      </c>
      <c r="E3233" s="80" t="s">
        <v>56</v>
      </c>
      <c r="F3233" s="80" t="s">
        <v>36</v>
      </c>
      <c r="G3233" s="80" t="s">
        <v>41</v>
      </c>
      <c r="H3233" s="80" t="s">
        <v>11527</v>
      </c>
      <c r="I3233" s="17">
        <f ca="1">IFERROR(__xludf.DUMMYFUNCTION("""COMPUTED_VALUE"""),45534)</f>
        <v>45534</v>
      </c>
      <c r="J3233" s="143" t="s">
        <v>11691</v>
      </c>
      <c r="K3233" s="80" t="s">
        <v>11692</v>
      </c>
      <c r="L3233" s="30">
        <v>923048325</v>
      </c>
      <c r="M3233" s="80" t="s">
        <v>5558</v>
      </c>
      <c r="N3233" s="80" t="s">
        <v>5559</v>
      </c>
      <c r="O3233" s="80" t="s">
        <v>4503</v>
      </c>
      <c r="P3233" s="80" t="s">
        <v>11693</v>
      </c>
      <c r="Q3233" s="20">
        <v>9317</v>
      </c>
      <c r="R3233" s="80" t="s">
        <v>36</v>
      </c>
      <c r="S3233" s="95">
        <f>200+9117</f>
        <v>9317</v>
      </c>
      <c r="T3233" s="148">
        <v>45530</v>
      </c>
      <c r="U3233" s="95"/>
      <c r="V3233" s="148">
        <v>45531</v>
      </c>
      <c r="W3233" s="80" t="s">
        <v>11694</v>
      </c>
      <c r="X3233" s="80">
        <v>0</v>
      </c>
      <c r="Y3233" s="22">
        <v>0</v>
      </c>
      <c r="Z3233" s="80" t="s">
        <v>50</v>
      </c>
      <c r="AA3233" s="96" t="s">
        <v>10314</v>
      </c>
      <c r="AB3233" s="80"/>
      <c r="AC3233" s="80" t="s">
        <v>53</v>
      </c>
      <c r="AD3233" s="80" t="s">
        <v>54</v>
      </c>
      <c r="AE3233" s="80"/>
      <c r="AF3233" s="17">
        <v>45532</v>
      </c>
      <c r="AG3233" s="80"/>
      <c r="AH3233" s="80"/>
      <c r="AI3233" s="147"/>
      <c r="AJ3233" s="80"/>
      <c r="AK3233" s="80"/>
      <c r="AL3233" s="35"/>
      <c r="AM3233" s="35"/>
      <c r="AN3233" s="35"/>
      <c r="AO3233" s="35"/>
      <c r="AP3233" s="35"/>
    </row>
    <row r="3234" spans="1:42" x14ac:dyDescent="0.2">
      <c r="A3234" s="126">
        <v>45532.482126817129</v>
      </c>
      <c r="B3234" s="137" t="s">
        <v>37</v>
      </c>
      <c r="C3234" s="41" t="s">
        <v>118</v>
      </c>
      <c r="D3234" s="80" t="s">
        <v>36</v>
      </c>
      <c r="E3234" s="80" t="s">
        <v>77</v>
      </c>
      <c r="F3234" s="80" t="s">
        <v>36</v>
      </c>
      <c r="G3234" s="80" t="s">
        <v>41</v>
      </c>
      <c r="H3234" s="80" t="s">
        <v>11527</v>
      </c>
      <c r="I3234" s="17">
        <f ca="1">IFERROR(__xludf.DUMMYFUNCTION("""COMPUTED_VALUE"""),45534)</f>
        <v>45534</v>
      </c>
      <c r="J3234" s="143" t="s">
        <v>11695</v>
      </c>
      <c r="K3234" s="80" t="s">
        <v>11696</v>
      </c>
      <c r="L3234" s="30">
        <v>383908206</v>
      </c>
      <c r="M3234" s="80" t="s">
        <v>2755</v>
      </c>
      <c r="N3234" s="80" t="s">
        <v>2756</v>
      </c>
      <c r="O3234" s="80" t="s">
        <v>4503</v>
      </c>
      <c r="P3234" s="80" t="s">
        <v>11697</v>
      </c>
      <c r="Q3234" s="20">
        <v>1968</v>
      </c>
      <c r="R3234" s="80" t="s">
        <v>70</v>
      </c>
      <c r="S3234" s="95">
        <v>1968</v>
      </c>
      <c r="T3234" s="148">
        <v>45531</v>
      </c>
      <c r="U3234" s="77"/>
      <c r="V3234" s="78"/>
      <c r="W3234" s="79" t="s">
        <v>11698</v>
      </c>
      <c r="X3234" s="80">
        <v>100</v>
      </c>
      <c r="Y3234" s="22">
        <v>-100</v>
      </c>
      <c r="Z3234" s="80" t="s">
        <v>50</v>
      </c>
      <c r="AA3234" s="35" t="s">
        <v>10314</v>
      </c>
      <c r="AB3234" s="80"/>
      <c r="AC3234" s="80" t="s">
        <v>53</v>
      </c>
      <c r="AD3234" s="80" t="s">
        <v>54</v>
      </c>
      <c r="AE3234" s="80"/>
      <c r="AF3234" s="17">
        <v>45532</v>
      </c>
      <c r="AG3234" s="80"/>
      <c r="AH3234" s="80"/>
      <c r="AI3234" s="147"/>
      <c r="AJ3234" s="80"/>
      <c r="AK3234" s="80"/>
      <c r="AL3234" s="35"/>
      <c r="AM3234" s="35"/>
      <c r="AN3234" s="35"/>
      <c r="AO3234" s="35"/>
      <c r="AP3234" s="35"/>
    </row>
    <row r="3235" spans="1:42" x14ac:dyDescent="0.2">
      <c r="A3235" s="126">
        <v>45532.519690729168</v>
      </c>
      <c r="B3235" s="137" t="s">
        <v>37</v>
      </c>
      <c r="C3235" s="41" t="s">
        <v>118</v>
      </c>
      <c r="D3235" s="80" t="s">
        <v>77</v>
      </c>
      <c r="E3235" s="80" t="s">
        <v>106</v>
      </c>
      <c r="F3235" s="26" t="s">
        <v>8830</v>
      </c>
      <c r="G3235" s="80" t="s">
        <v>108</v>
      </c>
      <c r="H3235" s="80" t="s">
        <v>10193</v>
      </c>
      <c r="I3235" s="17">
        <f ca="1">IFERROR(__xludf.DUMMYFUNCTION("""COMPUTED_VALUE"""),45555)</f>
        <v>45555</v>
      </c>
      <c r="J3235" s="143" t="s">
        <v>9327</v>
      </c>
      <c r="K3235" s="80" t="s">
        <v>9328</v>
      </c>
      <c r="L3235" s="30">
        <v>982627548</v>
      </c>
      <c r="M3235" s="80" t="s">
        <v>123</v>
      </c>
      <c r="N3235" s="80" t="s">
        <v>327</v>
      </c>
      <c r="O3235" s="80" t="s">
        <v>4503</v>
      </c>
      <c r="P3235" s="144" t="s">
        <v>11699</v>
      </c>
      <c r="Q3235" s="20">
        <v>3768</v>
      </c>
      <c r="R3235" s="80" t="s">
        <v>36</v>
      </c>
      <c r="S3235" s="95">
        <v>3668</v>
      </c>
      <c r="T3235" s="148">
        <v>45531</v>
      </c>
      <c r="U3235" s="77"/>
      <c r="V3235" s="78"/>
      <c r="W3235" s="85" t="s">
        <v>11700</v>
      </c>
      <c r="X3235" s="80">
        <v>100</v>
      </c>
      <c r="Y3235" s="22">
        <v>0</v>
      </c>
      <c r="Z3235" s="80" t="s">
        <v>50</v>
      </c>
      <c r="AA3235" s="96" t="s">
        <v>10314</v>
      </c>
      <c r="AB3235" s="80"/>
      <c r="AC3235" s="80" t="s">
        <v>53</v>
      </c>
      <c r="AD3235" s="80" t="s">
        <v>54</v>
      </c>
      <c r="AE3235" s="80"/>
      <c r="AF3235" s="17">
        <v>45548</v>
      </c>
      <c r="AG3235" s="80"/>
      <c r="AH3235" s="80"/>
      <c r="AI3235" s="147"/>
      <c r="AJ3235" s="80"/>
      <c r="AK3235" s="80"/>
      <c r="AL3235" s="35"/>
      <c r="AM3235" s="35"/>
      <c r="AN3235" s="35"/>
      <c r="AO3235" s="35"/>
      <c r="AP3235" s="35"/>
    </row>
    <row r="3236" spans="1:42" x14ac:dyDescent="0.2">
      <c r="A3236" s="126">
        <v>45533.389169733797</v>
      </c>
      <c r="B3236" s="137" t="s">
        <v>37</v>
      </c>
      <c r="C3236" s="41" t="s">
        <v>118</v>
      </c>
      <c r="D3236" s="80" t="s">
        <v>36</v>
      </c>
      <c r="E3236" s="80" t="s">
        <v>106</v>
      </c>
      <c r="F3236" s="80" t="s">
        <v>36</v>
      </c>
      <c r="G3236" s="80" t="s">
        <v>108</v>
      </c>
      <c r="H3236" s="80" t="s">
        <v>9896</v>
      </c>
      <c r="I3236" s="17">
        <f ca="1">IFERROR(__xludf.DUMMYFUNCTION("""COMPUTED_VALUE"""),45540)</f>
        <v>45540</v>
      </c>
      <c r="J3236" s="143" t="s">
        <v>11701</v>
      </c>
      <c r="K3236" s="80" t="s">
        <v>11702</v>
      </c>
      <c r="L3236" s="30">
        <v>782045398</v>
      </c>
      <c r="M3236" s="80" t="s">
        <v>45</v>
      </c>
      <c r="N3236" s="80" t="s">
        <v>11703</v>
      </c>
      <c r="O3236" s="80" t="s">
        <v>11704</v>
      </c>
      <c r="P3236" s="80" t="s">
        <v>11705</v>
      </c>
      <c r="Q3236" s="20">
        <v>3768</v>
      </c>
      <c r="R3236" s="80" t="s">
        <v>36</v>
      </c>
      <c r="S3236" s="95">
        <f>500+3268</f>
        <v>3768</v>
      </c>
      <c r="T3236" s="148">
        <v>45531</v>
      </c>
      <c r="U3236" s="77"/>
      <c r="V3236" s="78">
        <v>45533</v>
      </c>
      <c r="W3236" s="80" t="s">
        <v>11706</v>
      </c>
      <c r="X3236" s="80">
        <v>0</v>
      </c>
      <c r="Y3236" s="22">
        <v>0</v>
      </c>
      <c r="Z3236" s="80" t="s">
        <v>50</v>
      </c>
      <c r="AA3236" s="35" t="s">
        <v>10314</v>
      </c>
      <c r="AB3236" s="80"/>
      <c r="AC3236" s="80" t="s">
        <v>53</v>
      </c>
      <c r="AD3236" s="80" t="s">
        <v>54</v>
      </c>
      <c r="AE3236" s="83">
        <v>500</v>
      </c>
      <c r="AF3236" s="17">
        <v>45533</v>
      </c>
      <c r="AG3236" s="80"/>
      <c r="AH3236" s="80"/>
      <c r="AI3236" s="147"/>
      <c r="AJ3236" s="80"/>
      <c r="AK3236" s="80"/>
      <c r="AL3236" s="35"/>
      <c r="AM3236" s="35"/>
      <c r="AN3236" s="35"/>
      <c r="AO3236" s="35"/>
      <c r="AP3236" s="35"/>
    </row>
    <row r="3237" spans="1:42" x14ac:dyDescent="0.2">
      <c r="A3237" s="126">
        <v>45534.318870393516</v>
      </c>
      <c r="B3237" s="137" t="s">
        <v>37</v>
      </c>
      <c r="C3237" s="41" t="s">
        <v>118</v>
      </c>
      <c r="D3237" s="80" t="s">
        <v>36</v>
      </c>
      <c r="E3237" s="80" t="s">
        <v>56</v>
      </c>
      <c r="F3237" s="80" t="s">
        <v>36</v>
      </c>
      <c r="G3237" s="80" t="s">
        <v>41</v>
      </c>
      <c r="H3237" s="80" t="s">
        <v>11707</v>
      </c>
      <c r="I3237" s="17">
        <f ca="1">IFERROR(__xludf.DUMMYFUNCTION("""COMPUTED_VALUE"""),45551)</f>
        <v>45551</v>
      </c>
      <c r="J3237" s="143" t="s">
        <v>11708</v>
      </c>
      <c r="K3237" s="80" t="s">
        <v>11709</v>
      </c>
      <c r="L3237" s="30">
        <v>332252290</v>
      </c>
      <c r="M3237" s="80" t="s">
        <v>59</v>
      </c>
      <c r="N3237" s="80" t="s">
        <v>68</v>
      </c>
      <c r="O3237" s="80" t="s">
        <v>11710</v>
      </c>
      <c r="P3237" s="80" t="s">
        <v>11711</v>
      </c>
      <c r="Q3237" s="20">
        <v>9317</v>
      </c>
      <c r="R3237" s="80" t="s">
        <v>70</v>
      </c>
      <c r="S3237" s="95">
        <f t="shared" ref="S3237:S3238" si="32">200+9017</f>
        <v>9217</v>
      </c>
      <c r="T3237" s="83" t="s">
        <v>11712</v>
      </c>
      <c r="U3237" s="77"/>
      <c r="V3237" s="78"/>
      <c r="W3237" s="85" t="s">
        <v>11713</v>
      </c>
      <c r="X3237" s="80">
        <v>100</v>
      </c>
      <c r="Y3237" s="22">
        <v>0</v>
      </c>
      <c r="Z3237" s="80" t="s">
        <v>50</v>
      </c>
      <c r="AA3237" s="96" t="s">
        <v>10314</v>
      </c>
      <c r="AB3237" s="80"/>
      <c r="AC3237" s="80" t="s">
        <v>53</v>
      </c>
      <c r="AD3237" s="80" t="s">
        <v>138</v>
      </c>
      <c r="AE3237" s="80" t="s">
        <v>4488</v>
      </c>
      <c r="AF3237" s="17">
        <v>45551</v>
      </c>
      <c r="AG3237" s="80"/>
      <c r="AH3237" s="80"/>
      <c r="AI3237" s="147"/>
      <c r="AJ3237" s="80"/>
      <c r="AK3237" s="80"/>
      <c r="AL3237" s="35"/>
      <c r="AM3237" s="35"/>
      <c r="AN3237" s="35"/>
      <c r="AO3237" s="35"/>
      <c r="AP3237" s="35"/>
    </row>
    <row r="3238" spans="1:42" x14ac:dyDescent="0.2">
      <c r="A3238" s="126">
        <v>45534.320600208332</v>
      </c>
      <c r="B3238" s="137" t="s">
        <v>37</v>
      </c>
      <c r="C3238" s="41" t="s">
        <v>118</v>
      </c>
      <c r="D3238" s="80" t="s">
        <v>36</v>
      </c>
      <c r="E3238" s="80" t="s">
        <v>56</v>
      </c>
      <c r="F3238" s="80" t="s">
        <v>36</v>
      </c>
      <c r="G3238" s="80" t="s">
        <v>41</v>
      </c>
      <c r="H3238" s="80" t="s">
        <v>11707</v>
      </c>
      <c r="I3238" s="17">
        <f ca="1">IFERROR(__xludf.DUMMYFUNCTION("""COMPUTED_VALUE"""),45551)</f>
        <v>45551</v>
      </c>
      <c r="J3238" s="143" t="s">
        <v>11714</v>
      </c>
      <c r="K3238" s="80" t="s">
        <v>11715</v>
      </c>
      <c r="L3238" s="30">
        <v>335722690</v>
      </c>
      <c r="M3238" s="80" t="s">
        <v>59</v>
      </c>
      <c r="N3238" s="80" t="s">
        <v>68</v>
      </c>
      <c r="O3238" s="80" t="s">
        <v>11716</v>
      </c>
      <c r="P3238" s="80" t="s">
        <v>11711</v>
      </c>
      <c r="Q3238" s="20">
        <v>9317</v>
      </c>
      <c r="R3238" s="80" t="s">
        <v>70</v>
      </c>
      <c r="S3238" s="95">
        <f t="shared" si="32"/>
        <v>9217</v>
      </c>
      <c r="T3238" s="83" t="s">
        <v>11712</v>
      </c>
      <c r="U3238" s="77"/>
      <c r="V3238" s="78"/>
      <c r="W3238" s="85" t="s">
        <v>11717</v>
      </c>
      <c r="X3238" s="80">
        <v>100</v>
      </c>
      <c r="Y3238" s="22">
        <v>0</v>
      </c>
      <c r="Z3238" s="80" t="s">
        <v>50</v>
      </c>
      <c r="AA3238" s="35" t="s">
        <v>10314</v>
      </c>
      <c r="AB3238" s="80"/>
      <c r="AC3238" s="80" t="s">
        <v>53</v>
      </c>
      <c r="AD3238" s="80" t="s">
        <v>138</v>
      </c>
      <c r="AE3238" s="80" t="s">
        <v>430</v>
      </c>
      <c r="AF3238" s="17">
        <v>45551</v>
      </c>
      <c r="AG3238" s="80"/>
      <c r="AH3238" s="80"/>
      <c r="AI3238" s="147"/>
      <c r="AJ3238" s="80"/>
      <c r="AK3238" s="80"/>
      <c r="AL3238" s="35"/>
      <c r="AM3238" s="35"/>
      <c r="AN3238" s="35"/>
      <c r="AO3238" s="35"/>
      <c r="AP3238" s="35"/>
    </row>
    <row r="3239" spans="1:42" x14ac:dyDescent="0.2">
      <c r="A3239" s="126">
        <v>45534.468914953701</v>
      </c>
      <c r="B3239" s="137" t="s">
        <v>37</v>
      </c>
      <c r="C3239" s="41" t="s">
        <v>118</v>
      </c>
      <c r="D3239" s="80" t="s">
        <v>36</v>
      </c>
      <c r="E3239" s="80" t="s">
        <v>77</v>
      </c>
      <c r="F3239" s="80" t="s">
        <v>36</v>
      </c>
      <c r="G3239" s="80" t="s">
        <v>41</v>
      </c>
      <c r="H3239" s="80" t="s">
        <v>11718</v>
      </c>
      <c r="I3239" s="17">
        <f ca="1">IFERROR(__xludf.DUMMYFUNCTION("""COMPUTED_VALUE"""),45540)</f>
        <v>45540</v>
      </c>
      <c r="J3239" s="143" t="s">
        <v>11719</v>
      </c>
      <c r="K3239" s="80" t="s">
        <v>11720</v>
      </c>
      <c r="L3239" s="30">
        <v>399618106</v>
      </c>
      <c r="M3239" s="80" t="s">
        <v>3288</v>
      </c>
      <c r="N3239" s="80" t="s">
        <v>200</v>
      </c>
      <c r="O3239" s="80" t="s">
        <v>91</v>
      </c>
      <c r="P3239" s="80" t="s">
        <v>11721</v>
      </c>
      <c r="Q3239" s="20">
        <v>1968</v>
      </c>
      <c r="R3239" s="80" t="s">
        <v>36</v>
      </c>
      <c r="S3239" s="95">
        <v>1968</v>
      </c>
      <c r="T3239" s="148">
        <v>45534</v>
      </c>
      <c r="U3239" s="77"/>
      <c r="V3239" s="78"/>
      <c r="W3239" s="85" t="s">
        <v>11722</v>
      </c>
      <c r="X3239" s="80">
        <v>100</v>
      </c>
      <c r="Y3239" s="22">
        <v>-100</v>
      </c>
      <c r="Z3239" s="80" t="s">
        <v>50</v>
      </c>
      <c r="AA3239" s="96" t="s">
        <v>10314</v>
      </c>
      <c r="AB3239" s="80"/>
      <c r="AC3239" s="80" t="s">
        <v>53</v>
      </c>
      <c r="AD3239" s="80" t="s">
        <v>54</v>
      </c>
      <c r="AE3239" s="80" t="s">
        <v>91</v>
      </c>
      <c r="AF3239" s="17">
        <v>45534</v>
      </c>
      <c r="AG3239" s="80"/>
      <c r="AH3239" s="80"/>
      <c r="AI3239" s="147"/>
      <c r="AJ3239" s="80"/>
      <c r="AK3239" s="80"/>
      <c r="AL3239" s="35"/>
      <c r="AM3239" s="35"/>
      <c r="AN3239" s="35"/>
      <c r="AO3239" s="35"/>
      <c r="AP3239" s="35"/>
    </row>
    <row r="3240" spans="1:42" x14ac:dyDescent="0.2">
      <c r="A3240" s="126">
        <v>45534.901036574069</v>
      </c>
      <c r="B3240" s="137" t="s">
        <v>37</v>
      </c>
      <c r="C3240" s="41" t="s">
        <v>118</v>
      </c>
      <c r="D3240" s="80" t="s">
        <v>36</v>
      </c>
      <c r="E3240" s="80" t="s">
        <v>77</v>
      </c>
      <c r="F3240" s="80" t="s">
        <v>40</v>
      </c>
      <c r="G3240" s="80" t="s">
        <v>41</v>
      </c>
      <c r="H3240" s="80" t="s">
        <v>11723</v>
      </c>
      <c r="I3240" s="17">
        <f ca="1">IFERROR(__xludf.DUMMYFUNCTION("""COMPUTED_VALUE"""),45541)</f>
        <v>45541</v>
      </c>
      <c r="J3240" s="143" t="s">
        <v>11724</v>
      </c>
      <c r="K3240" s="80" t="s">
        <v>11725</v>
      </c>
      <c r="L3240" s="30">
        <v>387918805</v>
      </c>
      <c r="M3240" s="80" t="s">
        <v>348</v>
      </c>
      <c r="N3240" s="80" t="s">
        <v>68</v>
      </c>
      <c r="O3240" s="80" t="s">
        <v>11726</v>
      </c>
      <c r="P3240" s="144" t="s">
        <v>11727</v>
      </c>
      <c r="Q3240" s="20">
        <v>1968</v>
      </c>
      <c r="R3240" s="80" t="s">
        <v>36</v>
      </c>
      <c r="S3240" s="95">
        <v>1968</v>
      </c>
      <c r="T3240" s="148">
        <v>45533</v>
      </c>
      <c r="U3240" s="77"/>
      <c r="V3240" s="78"/>
      <c r="W3240" s="85" t="s">
        <v>11728</v>
      </c>
      <c r="X3240" s="80">
        <v>0</v>
      </c>
      <c r="Y3240" s="22">
        <v>0</v>
      </c>
      <c r="Z3240" s="80" t="s">
        <v>50</v>
      </c>
      <c r="AA3240" s="35" t="s">
        <v>10314</v>
      </c>
      <c r="AB3240" s="80"/>
      <c r="AC3240" s="80" t="s">
        <v>53</v>
      </c>
      <c r="AD3240" s="80" t="s">
        <v>54</v>
      </c>
      <c r="AE3240" s="80" t="s">
        <v>5672</v>
      </c>
      <c r="AF3240" s="17">
        <v>45535</v>
      </c>
      <c r="AG3240" s="80"/>
      <c r="AH3240" s="80"/>
      <c r="AI3240" s="147"/>
      <c r="AJ3240" s="80"/>
      <c r="AK3240" s="80"/>
      <c r="AL3240" s="35"/>
      <c r="AM3240" s="35"/>
      <c r="AN3240" s="35"/>
      <c r="AO3240" s="35"/>
      <c r="AP3240" s="35"/>
    </row>
    <row r="3241" spans="1:42" x14ac:dyDescent="0.2">
      <c r="A3241" s="126">
        <v>45534.913300798609</v>
      </c>
      <c r="B3241" s="137" t="s">
        <v>37</v>
      </c>
      <c r="C3241" s="41" t="s">
        <v>118</v>
      </c>
      <c r="D3241" s="80" t="s">
        <v>36</v>
      </c>
      <c r="E3241" s="80" t="s">
        <v>56</v>
      </c>
      <c r="F3241" s="80" t="s">
        <v>11729</v>
      </c>
      <c r="G3241" s="80" t="s">
        <v>41</v>
      </c>
      <c r="H3241" s="80" t="s">
        <v>11723</v>
      </c>
      <c r="I3241" s="17">
        <f ca="1">IFERROR(__xludf.DUMMYFUNCTION("""COMPUTED_VALUE"""),45541)</f>
        <v>45541</v>
      </c>
      <c r="J3241" s="143" t="s">
        <v>11730</v>
      </c>
      <c r="K3241" s="80" t="s">
        <v>11731</v>
      </c>
      <c r="L3241" s="30">
        <v>943824257</v>
      </c>
      <c r="M3241" s="80" t="s">
        <v>59</v>
      </c>
      <c r="N3241" s="80" t="s">
        <v>7298</v>
      </c>
      <c r="O3241" s="80" t="s">
        <v>11732</v>
      </c>
      <c r="P3241" s="80" t="s">
        <v>11733</v>
      </c>
      <c r="Q3241" s="20">
        <v>9317</v>
      </c>
      <c r="R3241" s="80" t="s">
        <v>36</v>
      </c>
      <c r="S3241" s="95">
        <v>9317</v>
      </c>
      <c r="T3241" s="148">
        <v>45532</v>
      </c>
      <c r="U3241" s="77"/>
      <c r="V3241" s="78"/>
      <c r="W3241" s="85" t="s">
        <v>11734</v>
      </c>
      <c r="X3241" s="80">
        <v>0</v>
      </c>
      <c r="Y3241" s="22">
        <v>0</v>
      </c>
      <c r="Z3241" s="80" t="s">
        <v>50</v>
      </c>
      <c r="AA3241" s="96" t="s">
        <v>10314</v>
      </c>
      <c r="AB3241" s="80"/>
      <c r="AC3241" s="80" t="s">
        <v>53</v>
      </c>
      <c r="AD3241" s="80" t="s">
        <v>54</v>
      </c>
      <c r="AE3241" s="80" t="s">
        <v>3170</v>
      </c>
      <c r="AF3241" s="17">
        <v>45535</v>
      </c>
      <c r="AG3241" s="80"/>
      <c r="AH3241" s="80"/>
      <c r="AI3241" s="147"/>
      <c r="AJ3241" s="80"/>
      <c r="AK3241" s="80"/>
      <c r="AL3241" s="35"/>
      <c r="AM3241" s="35"/>
      <c r="AN3241" s="35"/>
      <c r="AO3241" s="35"/>
      <c r="AP3241" s="35"/>
    </row>
    <row r="3242" spans="1:42" x14ac:dyDescent="0.2">
      <c r="A3242" s="126">
        <v>45534.93716908565</v>
      </c>
      <c r="B3242" s="137" t="s">
        <v>37</v>
      </c>
      <c r="C3242" s="41" t="s">
        <v>118</v>
      </c>
      <c r="D3242" s="80" t="s">
        <v>36</v>
      </c>
      <c r="E3242" s="80" t="s">
        <v>56</v>
      </c>
      <c r="F3242" s="26" t="s">
        <v>36</v>
      </c>
      <c r="G3242" s="26" t="s">
        <v>41</v>
      </c>
      <c r="H3242" s="80" t="s">
        <v>11735</v>
      </c>
      <c r="I3242" s="17">
        <f ca="1">IFERROR(__xludf.DUMMYFUNCTION("""COMPUTED_VALUE"""),45555)</f>
        <v>45555</v>
      </c>
      <c r="J3242" s="143" t="s">
        <v>11736</v>
      </c>
      <c r="K3242" s="80" t="s">
        <v>11737</v>
      </c>
      <c r="L3242" s="30">
        <v>916482189</v>
      </c>
      <c r="M3242" s="80" t="s">
        <v>59</v>
      </c>
      <c r="N3242" s="80" t="s">
        <v>68</v>
      </c>
      <c r="O3242" s="80" t="s">
        <v>11738</v>
      </c>
      <c r="P3242" s="80" t="s">
        <v>11739</v>
      </c>
      <c r="Q3242" s="20">
        <v>9317</v>
      </c>
      <c r="R3242" s="80" t="s">
        <v>70</v>
      </c>
      <c r="S3242" s="95">
        <v>9217</v>
      </c>
      <c r="T3242" s="148">
        <v>45528</v>
      </c>
      <c r="U3242" s="77"/>
      <c r="V3242" s="78"/>
      <c r="W3242" s="85" t="s">
        <v>11740</v>
      </c>
      <c r="X3242" s="80">
        <v>100</v>
      </c>
      <c r="Y3242" s="22">
        <v>0</v>
      </c>
      <c r="Z3242" s="80" t="s">
        <v>50</v>
      </c>
      <c r="AA3242" s="35" t="s">
        <v>10314</v>
      </c>
      <c r="AB3242" s="80"/>
      <c r="AC3242" s="80" t="s">
        <v>53</v>
      </c>
      <c r="AD3242" s="80" t="s">
        <v>138</v>
      </c>
      <c r="AE3242" s="80" t="s">
        <v>11741</v>
      </c>
      <c r="AF3242" s="17">
        <v>45554</v>
      </c>
      <c r="AG3242" s="80"/>
      <c r="AH3242" s="80"/>
      <c r="AI3242" s="147"/>
      <c r="AJ3242" s="80"/>
      <c r="AK3242" s="80"/>
      <c r="AL3242" s="35"/>
      <c r="AM3242" s="35"/>
      <c r="AN3242" s="35"/>
      <c r="AO3242" s="35"/>
      <c r="AP3242" s="35"/>
    </row>
    <row r="3243" spans="1:42" x14ac:dyDescent="0.2">
      <c r="A3243" s="126">
        <v>45534.938694699071</v>
      </c>
      <c r="B3243" s="137" t="s">
        <v>37</v>
      </c>
      <c r="C3243" s="41" t="s">
        <v>118</v>
      </c>
      <c r="D3243" s="80" t="s">
        <v>36</v>
      </c>
      <c r="E3243" s="80" t="s">
        <v>56</v>
      </c>
      <c r="F3243" s="26" t="s">
        <v>36</v>
      </c>
      <c r="G3243" s="26" t="s">
        <v>41</v>
      </c>
      <c r="H3243" s="80" t="s">
        <v>11735</v>
      </c>
      <c r="I3243" s="17">
        <f ca="1">IFERROR(__xludf.DUMMYFUNCTION("""COMPUTED_VALUE"""),45555)</f>
        <v>45555</v>
      </c>
      <c r="J3243" s="143" t="s">
        <v>11742</v>
      </c>
      <c r="K3243" s="80" t="s">
        <v>11743</v>
      </c>
      <c r="L3243" s="30">
        <v>366750955</v>
      </c>
      <c r="M3243" s="80" t="s">
        <v>59</v>
      </c>
      <c r="N3243" s="80" t="s">
        <v>68</v>
      </c>
      <c r="O3243" s="80" t="s">
        <v>11744</v>
      </c>
      <c r="P3243" s="80" t="s">
        <v>11745</v>
      </c>
      <c r="Q3243" s="20">
        <v>9317</v>
      </c>
      <c r="R3243" s="80" t="s">
        <v>70</v>
      </c>
      <c r="S3243" s="95">
        <v>9217</v>
      </c>
      <c r="T3243" s="148">
        <v>45528</v>
      </c>
      <c r="U3243" s="77"/>
      <c r="V3243" s="78"/>
      <c r="W3243" s="85" t="s">
        <v>11746</v>
      </c>
      <c r="X3243" s="80">
        <v>100</v>
      </c>
      <c r="Y3243" s="22">
        <v>0</v>
      </c>
      <c r="Z3243" s="80" t="s">
        <v>50</v>
      </c>
      <c r="AA3243" s="96" t="s">
        <v>10314</v>
      </c>
      <c r="AB3243" s="80"/>
      <c r="AC3243" s="80" t="s">
        <v>53</v>
      </c>
      <c r="AD3243" s="80" t="s">
        <v>138</v>
      </c>
      <c r="AE3243" s="80" t="s">
        <v>76</v>
      </c>
      <c r="AF3243" s="17">
        <v>45554</v>
      </c>
      <c r="AG3243" s="80"/>
      <c r="AH3243" s="80"/>
      <c r="AI3243" s="147"/>
      <c r="AJ3243" s="80"/>
      <c r="AK3243" s="80"/>
      <c r="AL3243" s="35"/>
      <c r="AM3243" s="35"/>
      <c r="AN3243" s="35"/>
      <c r="AO3243" s="35"/>
      <c r="AP3243" s="35"/>
    </row>
    <row r="3244" spans="1:42" x14ac:dyDescent="0.2">
      <c r="A3244" s="126">
        <v>45534.942356631946</v>
      </c>
      <c r="B3244" s="137" t="s">
        <v>37</v>
      </c>
      <c r="C3244" s="41" t="s">
        <v>118</v>
      </c>
      <c r="D3244" s="80" t="s">
        <v>36</v>
      </c>
      <c r="E3244" s="80" t="s">
        <v>39</v>
      </c>
      <c r="F3244" s="80" t="s">
        <v>36</v>
      </c>
      <c r="G3244" s="80" t="s">
        <v>41</v>
      </c>
      <c r="H3244" s="80" t="s">
        <v>11747</v>
      </c>
      <c r="I3244" s="17">
        <f ca="1">IFERROR(__xludf.DUMMYFUNCTION("""COMPUTED_VALUE"""),45559)</f>
        <v>45559</v>
      </c>
      <c r="J3244" s="143" t="s">
        <v>11748</v>
      </c>
      <c r="K3244" s="80" t="s">
        <v>11749</v>
      </c>
      <c r="L3244" s="30">
        <v>389951369</v>
      </c>
      <c r="M3244" s="80" t="s">
        <v>59</v>
      </c>
      <c r="N3244" s="80" t="s">
        <v>68</v>
      </c>
      <c r="O3244" s="80" t="s">
        <v>11750</v>
      </c>
      <c r="P3244" s="80" t="s">
        <v>11751</v>
      </c>
      <c r="Q3244" s="20">
        <v>5736</v>
      </c>
      <c r="R3244" s="80" t="s">
        <v>36</v>
      </c>
      <c r="S3244" s="95">
        <v>5736</v>
      </c>
      <c r="T3244" s="148">
        <v>45531</v>
      </c>
      <c r="U3244" s="77"/>
      <c r="V3244" s="78"/>
      <c r="W3244" s="85" t="s">
        <v>11752</v>
      </c>
      <c r="X3244" s="80">
        <v>0</v>
      </c>
      <c r="Y3244" s="22">
        <v>0</v>
      </c>
      <c r="Z3244" s="80" t="s">
        <v>50</v>
      </c>
      <c r="AA3244" s="35" t="s">
        <v>10314</v>
      </c>
      <c r="AB3244" s="80"/>
      <c r="AC3244" s="80" t="s">
        <v>53</v>
      </c>
      <c r="AD3244" s="80" t="s">
        <v>138</v>
      </c>
      <c r="AE3244" s="80" t="s">
        <v>4488</v>
      </c>
      <c r="AF3244" s="17">
        <v>45559</v>
      </c>
      <c r="AG3244" s="80"/>
      <c r="AH3244" s="80"/>
      <c r="AI3244" s="147"/>
      <c r="AJ3244" s="80"/>
      <c r="AK3244" s="80"/>
      <c r="AL3244" s="35"/>
      <c r="AM3244" s="35"/>
      <c r="AN3244" s="35"/>
      <c r="AO3244" s="35"/>
      <c r="AP3244" s="35"/>
    </row>
    <row r="3245" spans="1:42" x14ac:dyDescent="0.2">
      <c r="A3245" s="126">
        <v>45534.965214849537</v>
      </c>
      <c r="B3245" s="137" t="s">
        <v>37</v>
      </c>
      <c r="C3245" s="41" t="s">
        <v>118</v>
      </c>
      <c r="D3245" s="80" t="s">
        <v>36</v>
      </c>
      <c r="E3245" s="80" t="s">
        <v>148</v>
      </c>
      <c r="F3245" s="80" t="s">
        <v>40</v>
      </c>
      <c r="G3245" s="80" t="s">
        <v>108</v>
      </c>
      <c r="H3245" s="80" t="s">
        <v>9896</v>
      </c>
      <c r="I3245" s="17">
        <f ca="1">IFERROR(__xludf.DUMMYFUNCTION("""COMPUTED_VALUE"""),45540)</f>
        <v>45540</v>
      </c>
      <c r="J3245" s="143" t="s">
        <v>11753</v>
      </c>
      <c r="K3245" s="80" t="s">
        <v>11754</v>
      </c>
      <c r="L3245" s="30">
        <v>862401358</v>
      </c>
      <c r="M3245" s="80" t="s">
        <v>59</v>
      </c>
      <c r="N3245" s="80" t="s">
        <v>9301</v>
      </c>
      <c r="O3245" s="80" t="s">
        <v>11755</v>
      </c>
      <c r="P3245" s="80" t="s">
        <v>11756</v>
      </c>
      <c r="Q3245" s="20">
        <v>7349</v>
      </c>
      <c r="R3245" s="80" t="s">
        <v>36</v>
      </c>
      <c r="S3245" s="95">
        <v>7349</v>
      </c>
      <c r="T3245" s="148">
        <v>45534</v>
      </c>
      <c r="U3245" s="77"/>
      <c r="V3245" s="78"/>
      <c r="W3245" s="85" t="s">
        <v>11757</v>
      </c>
      <c r="X3245" s="80">
        <v>0</v>
      </c>
      <c r="Y3245" s="22">
        <v>0</v>
      </c>
      <c r="Z3245" s="80" t="s">
        <v>50</v>
      </c>
      <c r="AA3245" s="96" t="s">
        <v>10314</v>
      </c>
      <c r="AB3245" s="80"/>
      <c r="AC3245" s="80" t="s">
        <v>53</v>
      </c>
      <c r="AD3245" s="80" t="s">
        <v>54</v>
      </c>
      <c r="AE3245" s="83">
        <v>470</v>
      </c>
      <c r="AF3245" s="17">
        <v>45535</v>
      </c>
      <c r="AG3245" s="80"/>
      <c r="AH3245" s="80"/>
      <c r="AI3245" s="147"/>
      <c r="AJ3245" s="80"/>
      <c r="AK3245" s="80"/>
      <c r="AL3245" s="35"/>
      <c r="AM3245" s="35"/>
      <c r="AN3245" s="35"/>
      <c r="AO3245" s="35"/>
      <c r="AP3245" s="35"/>
    </row>
    <row r="3246" spans="1:42" x14ac:dyDescent="0.2">
      <c r="A3246" s="126">
        <v>45540.637001631942</v>
      </c>
      <c r="B3246" s="137" t="s">
        <v>37</v>
      </c>
      <c r="C3246" s="41" t="s">
        <v>118</v>
      </c>
      <c r="D3246" s="80" t="s">
        <v>36</v>
      </c>
      <c r="E3246" s="80" t="s">
        <v>56</v>
      </c>
      <c r="F3246" s="80" t="s">
        <v>36</v>
      </c>
      <c r="G3246" s="80" t="s">
        <v>41</v>
      </c>
      <c r="H3246" s="80" t="s">
        <v>11758</v>
      </c>
      <c r="I3246" s="17">
        <f ca="1">IFERROR(__xludf.DUMMYFUNCTION("""COMPUTED_VALUE"""),45544)</f>
        <v>45544</v>
      </c>
      <c r="J3246" s="143" t="s">
        <v>11759</v>
      </c>
      <c r="K3246" s="80" t="s">
        <v>11760</v>
      </c>
      <c r="L3246" s="30">
        <v>344254155</v>
      </c>
      <c r="M3246" s="80" t="s">
        <v>11252</v>
      </c>
      <c r="N3246" s="80" t="s">
        <v>1306</v>
      </c>
      <c r="O3246" s="80" t="s">
        <v>36</v>
      </c>
      <c r="P3246" s="80" t="s">
        <v>11761</v>
      </c>
      <c r="Q3246" s="20">
        <v>9317</v>
      </c>
      <c r="R3246" s="80" t="s">
        <v>36</v>
      </c>
      <c r="S3246" s="95">
        <v>9317</v>
      </c>
      <c r="T3246" s="148">
        <v>45533</v>
      </c>
      <c r="U3246" s="77"/>
      <c r="V3246" s="78"/>
      <c r="W3246" s="85" t="s">
        <v>11762</v>
      </c>
      <c r="X3246" s="80">
        <v>0</v>
      </c>
      <c r="Y3246" s="22">
        <v>0</v>
      </c>
      <c r="Z3246" s="80" t="s">
        <v>50</v>
      </c>
      <c r="AA3246" s="35" t="s">
        <v>10314</v>
      </c>
      <c r="AB3246" s="80"/>
      <c r="AC3246" s="80" t="s">
        <v>53</v>
      </c>
      <c r="AD3246" s="80" t="s">
        <v>54</v>
      </c>
      <c r="AE3246" s="80"/>
      <c r="AF3246" s="17">
        <v>45540</v>
      </c>
      <c r="AG3246" s="80"/>
      <c r="AH3246" s="80"/>
      <c r="AI3246" s="147"/>
      <c r="AJ3246" s="80"/>
      <c r="AK3246" s="80"/>
      <c r="AL3246" s="35"/>
      <c r="AM3246" s="35"/>
      <c r="AN3246" s="35"/>
      <c r="AO3246" s="35"/>
      <c r="AP3246" s="35"/>
    </row>
    <row r="3247" spans="1:42" x14ac:dyDescent="0.2">
      <c r="A3247" s="38">
        <v>45554</v>
      </c>
      <c r="B3247" s="28" t="s">
        <v>37</v>
      </c>
      <c r="C3247" s="41" t="s">
        <v>118</v>
      </c>
      <c r="D3247" s="26" t="s">
        <v>36</v>
      </c>
      <c r="E3247" s="26" t="s">
        <v>139</v>
      </c>
      <c r="F3247" s="26" t="s">
        <v>9448</v>
      </c>
      <c r="G3247" s="80" t="s">
        <v>108</v>
      </c>
      <c r="H3247" s="80" t="s">
        <v>8541</v>
      </c>
      <c r="I3247" s="17">
        <f ca="1">IFERROR(__xludf.DUMMYFUNCTION("""COMPUTED_VALUE"""),45595)</f>
        <v>45595</v>
      </c>
      <c r="J3247" s="29" t="s">
        <v>10650</v>
      </c>
      <c r="K3247" s="26" t="s">
        <v>11763</v>
      </c>
      <c r="L3247" s="30">
        <v>768629605</v>
      </c>
      <c r="M3247" s="26" t="s">
        <v>80</v>
      </c>
      <c r="N3247" s="26" t="s">
        <v>1073</v>
      </c>
      <c r="O3247" s="26" t="s">
        <v>10652</v>
      </c>
      <c r="P3247" s="42" t="s">
        <v>11764</v>
      </c>
      <c r="Q3247" s="20">
        <v>15936</v>
      </c>
      <c r="R3247" s="26" t="s">
        <v>36</v>
      </c>
      <c r="S3247" s="95">
        <f>200+2000+200</f>
        <v>2400</v>
      </c>
      <c r="T3247" s="83" t="s">
        <v>10654</v>
      </c>
      <c r="U3247" s="95">
        <v>13736</v>
      </c>
      <c r="V3247" s="148">
        <v>45513</v>
      </c>
      <c r="W3247" s="33" t="s">
        <v>10655</v>
      </c>
      <c r="X3247" s="26">
        <v>0</v>
      </c>
      <c r="Y3247" s="22">
        <v>-200</v>
      </c>
      <c r="Z3247" s="26" t="s">
        <v>50</v>
      </c>
      <c r="AA3247" s="96" t="s">
        <v>10314</v>
      </c>
      <c r="AB3247" s="26"/>
      <c r="AC3247" s="26" t="s">
        <v>53</v>
      </c>
      <c r="AD3247" s="26" t="s">
        <v>54</v>
      </c>
      <c r="AE3247" s="26" t="s">
        <v>9448</v>
      </c>
      <c r="AF3247" s="17">
        <v>45595</v>
      </c>
      <c r="AG3247" s="26"/>
      <c r="AH3247" s="26"/>
      <c r="AI3247" s="40"/>
      <c r="AJ3247" s="26"/>
      <c r="AK3247" s="26"/>
      <c r="AL3247" s="35"/>
      <c r="AM3247" s="35"/>
      <c r="AN3247" s="35"/>
      <c r="AO3247" s="35"/>
      <c r="AP3247" s="35"/>
    </row>
    <row r="3248" spans="1:42" x14ac:dyDescent="0.2">
      <c r="A3248" s="38">
        <v>45554</v>
      </c>
      <c r="B3248" s="28" t="s">
        <v>37</v>
      </c>
      <c r="C3248" s="41" t="s">
        <v>118</v>
      </c>
      <c r="D3248" s="80" t="s">
        <v>36</v>
      </c>
      <c r="E3248" s="80" t="s">
        <v>139</v>
      </c>
      <c r="F3248" s="80" t="s">
        <v>9675</v>
      </c>
      <c r="G3248" s="80" t="s">
        <v>108</v>
      </c>
      <c r="H3248" s="80" t="s">
        <v>8844</v>
      </c>
      <c r="I3248" s="17">
        <f ca="1">IFERROR(__xludf.DUMMYFUNCTION("""COMPUTED_VALUE"""),45593)</f>
        <v>45593</v>
      </c>
      <c r="J3248" s="143" t="s">
        <v>11093</v>
      </c>
      <c r="K3248" s="80" t="s">
        <v>11765</v>
      </c>
      <c r="L3248" s="30">
        <v>986432032</v>
      </c>
      <c r="M3248" s="80" t="s">
        <v>5429</v>
      </c>
      <c r="N3248" s="80" t="s">
        <v>11095</v>
      </c>
      <c r="O3248" s="80" t="s">
        <v>4626</v>
      </c>
      <c r="P3248" s="144" t="s">
        <v>11766</v>
      </c>
      <c r="Q3248" s="20">
        <v>15936</v>
      </c>
      <c r="R3248" s="80" t="s">
        <v>36</v>
      </c>
      <c r="S3248" s="95">
        <v>2000</v>
      </c>
      <c r="T3248" s="148">
        <v>45500</v>
      </c>
      <c r="U3248" s="95">
        <v>13936</v>
      </c>
      <c r="V3248" s="148">
        <v>45529</v>
      </c>
      <c r="W3248" s="85" t="s">
        <v>11097</v>
      </c>
      <c r="X3248" s="80">
        <v>0</v>
      </c>
      <c r="Y3248" s="22">
        <v>0</v>
      </c>
      <c r="Z3248" s="80" t="s">
        <v>50</v>
      </c>
      <c r="AA3248" s="35" t="s">
        <v>10314</v>
      </c>
      <c r="AB3248" s="80"/>
      <c r="AC3248" s="80" t="s">
        <v>53</v>
      </c>
      <c r="AD3248" s="80" t="s">
        <v>54</v>
      </c>
      <c r="AE3248" s="80" t="s">
        <v>9675</v>
      </c>
      <c r="AF3248" s="17">
        <v>45562</v>
      </c>
      <c r="AG3248" s="80"/>
      <c r="AH3248" s="80"/>
      <c r="AI3248" s="147"/>
      <c r="AJ3248" s="80"/>
      <c r="AK3248" s="80"/>
      <c r="AL3248" s="35"/>
      <c r="AM3248" s="35"/>
      <c r="AN3248" s="35"/>
      <c r="AO3248" s="35"/>
      <c r="AP3248" s="35"/>
    </row>
    <row r="3249" spans="1:42" x14ac:dyDescent="0.2">
      <c r="A3249" s="38">
        <v>45555</v>
      </c>
      <c r="B3249" s="28" t="s">
        <v>37</v>
      </c>
      <c r="C3249" s="41" t="s">
        <v>118</v>
      </c>
      <c r="D3249" s="26" t="s">
        <v>36</v>
      </c>
      <c r="E3249" s="26" t="s">
        <v>139</v>
      </c>
      <c r="F3249" s="26" t="s">
        <v>9360</v>
      </c>
      <c r="G3249" s="80" t="s">
        <v>108</v>
      </c>
      <c r="H3249" s="80" t="s">
        <v>9897</v>
      </c>
      <c r="I3249" s="17">
        <f ca="1">IFERROR(__xludf.DUMMYFUNCTION("""COMPUTED_VALUE"""),45562)</f>
        <v>45562</v>
      </c>
      <c r="J3249" s="44" t="s">
        <v>11767</v>
      </c>
      <c r="K3249" s="26" t="s">
        <v>11768</v>
      </c>
      <c r="L3249" s="30">
        <v>326715309</v>
      </c>
      <c r="M3249" s="26" t="s">
        <v>5518</v>
      </c>
      <c r="N3249" s="26" t="s">
        <v>186</v>
      </c>
      <c r="O3249" s="26" t="s">
        <v>10535</v>
      </c>
      <c r="P3249" s="42" t="s">
        <v>10536</v>
      </c>
      <c r="Q3249" s="20">
        <v>15936</v>
      </c>
      <c r="R3249" s="26" t="s">
        <v>36</v>
      </c>
      <c r="S3249" s="95">
        <v>2000</v>
      </c>
      <c r="T3249" s="148">
        <v>45478</v>
      </c>
      <c r="U3249" s="95">
        <f>9936+4000</f>
        <v>13936</v>
      </c>
      <c r="V3249" s="83" t="s">
        <v>10537</v>
      </c>
      <c r="W3249" s="33" t="s">
        <v>10538</v>
      </c>
      <c r="X3249" s="26">
        <v>0</v>
      </c>
      <c r="Y3249" s="22">
        <v>0</v>
      </c>
      <c r="Z3249" s="26" t="s">
        <v>50</v>
      </c>
      <c r="AA3249" s="96" t="s">
        <v>10314</v>
      </c>
      <c r="AB3249" s="26"/>
      <c r="AC3249" s="26" t="s">
        <v>53</v>
      </c>
      <c r="AD3249" s="26" t="s">
        <v>54</v>
      </c>
      <c r="AE3249" s="26" t="s">
        <v>9360</v>
      </c>
      <c r="AF3249" s="17">
        <v>45556</v>
      </c>
      <c r="AG3249" s="26"/>
      <c r="AH3249" s="26"/>
      <c r="AI3249" s="40"/>
      <c r="AJ3249" s="26"/>
      <c r="AK3249" s="26"/>
      <c r="AL3249" s="35"/>
      <c r="AM3249" s="35"/>
      <c r="AN3249" s="35"/>
      <c r="AO3249" s="35"/>
      <c r="AP3249" s="35"/>
    </row>
    <row r="3250" spans="1:42" x14ac:dyDescent="0.2">
      <c r="A3250" s="38">
        <v>45555</v>
      </c>
      <c r="B3250" s="137" t="s">
        <v>37</v>
      </c>
      <c r="C3250" s="41" t="s">
        <v>118</v>
      </c>
      <c r="D3250" s="26" t="s">
        <v>36</v>
      </c>
      <c r="E3250" s="26" t="s">
        <v>139</v>
      </c>
      <c r="F3250" s="26" t="s">
        <v>7367</v>
      </c>
      <c r="G3250" s="26" t="s">
        <v>1847</v>
      </c>
      <c r="H3250" s="26" t="s">
        <v>8343</v>
      </c>
      <c r="I3250" s="17">
        <f ca="1">IFERROR(__xludf.DUMMYFUNCTION("""COMPUTED_VALUE"""),45555)</f>
        <v>45555</v>
      </c>
      <c r="J3250" s="29" t="s">
        <v>3860</v>
      </c>
      <c r="K3250" s="26" t="s">
        <v>3861</v>
      </c>
      <c r="L3250" s="30">
        <v>363143009</v>
      </c>
      <c r="M3250" s="26" t="s">
        <v>1245</v>
      </c>
      <c r="N3250" s="26" t="s">
        <v>4957</v>
      </c>
      <c r="O3250" s="26" t="s">
        <v>1226</v>
      </c>
      <c r="P3250" s="42" t="s">
        <v>11769</v>
      </c>
      <c r="Q3250" s="20">
        <v>15936</v>
      </c>
      <c r="R3250" s="26" t="s">
        <v>36</v>
      </c>
      <c r="S3250" s="31">
        <v>2000</v>
      </c>
      <c r="T3250" s="32">
        <v>45191</v>
      </c>
      <c r="U3250" s="31">
        <v>13936</v>
      </c>
      <c r="V3250" s="32">
        <v>45224</v>
      </c>
      <c r="W3250" s="33" t="s">
        <v>3862</v>
      </c>
      <c r="X3250" s="26"/>
      <c r="Y3250" s="22">
        <v>0</v>
      </c>
      <c r="Z3250" s="26" t="s">
        <v>118</v>
      </c>
      <c r="AA3250" s="19" t="s">
        <v>3454</v>
      </c>
      <c r="AB3250" s="26" t="s">
        <v>104</v>
      </c>
      <c r="AC3250" s="26" t="s">
        <v>53</v>
      </c>
      <c r="AD3250" s="19" t="s">
        <v>138</v>
      </c>
      <c r="AE3250" s="26" t="s">
        <v>7367</v>
      </c>
      <c r="AF3250" s="17">
        <v>45556</v>
      </c>
      <c r="AG3250" s="26"/>
      <c r="AH3250" s="26"/>
      <c r="AI3250" s="40"/>
      <c r="AJ3250" s="26"/>
      <c r="AK3250" s="26"/>
      <c r="AL3250" s="35"/>
      <c r="AM3250" s="35"/>
      <c r="AN3250" s="35"/>
      <c r="AO3250" s="35"/>
      <c r="AP3250" s="35"/>
    </row>
    <row r="3251" spans="1:42" x14ac:dyDescent="0.2">
      <c r="A3251" s="38">
        <v>45555</v>
      </c>
      <c r="B3251" s="68" t="s">
        <v>37</v>
      </c>
      <c r="C3251" s="41" t="s">
        <v>118</v>
      </c>
      <c r="D3251" s="26" t="s">
        <v>36</v>
      </c>
      <c r="E3251" s="26" t="s">
        <v>139</v>
      </c>
      <c r="F3251" s="26" t="s">
        <v>9547</v>
      </c>
      <c r="G3251" s="80" t="s">
        <v>108</v>
      </c>
      <c r="H3251" s="80" t="s">
        <v>10028</v>
      </c>
      <c r="I3251" s="17">
        <f ca="1">IFERROR(__xludf.DUMMYFUNCTION("""COMPUTED_VALUE"""),45562)</f>
        <v>45562</v>
      </c>
      <c r="J3251" s="29" t="s">
        <v>10879</v>
      </c>
      <c r="K3251" s="26" t="s">
        <v>11770</v>
      </c>
      <c r="L3251" s="30">
        <v>379408112</v>
      </c>
      <c r="M3251" s="26" t="s">
        <v>5558</v>
      </c>
      <c r="N3251" s="26" t="s">
        <v>850</v>
      </c>
      <c r="O3251" s="26" t="s">
        <v>10881</v>
      </c>
      <c r="P3251" s="26" t="s">
        <v>10882</v>
      </c>
      <c r="Q3251" s="20">
        <v>15936</v>
      </c>
      <c r="R3251" s="26" t="s">
        <v>36</v>
      </c>
      <c r="S3251" s="95">
        <v>2000</v>
      </c>
      <c r="T3251" s="148">
        <v>45493</v>
      </c>
      <c r="U3251" s="95">
        <v>13936</v>
      </c>
      <c r="V3251" s="148">
        <v>45519</v>
      </c>
      <c r="W3251" s="33" t="s">
        <v>10883</v>
      </c>
      <c r="X3251" s="26">
        <v>0</v>
      </c>
      <c r="Y3251" s="22">
        <v>0</v>
      </c>
      <c r="Z3251" s="26" t="s">
        <v>50</v>
      </c>
      <c r="AA3251" s="96" t="s">
        <v>10314</v>
      </c>
      <c r="AB3251" s="26"/>
      <c r="AC3251" s="26" t="s">
        <v>53</v>
      </c>
      <c r="AD3251" s="26" t="s">
        <v>54</v>
      </c>
      <c r="AE3251" s="26" t="s">
        <v>9547</v>
      </c>
      <c r="AF3251" s="17">
        <v>45562</v>
      </c>
      <c r="AG3251" s="26"/>
      <c r="AH3251" s="26"/>
      <c r="AI3251" s="40"/>
      <c r="AJ3251" s="26"/>
      <c r="AK3251" s="26"/>
      <c r="AL3251" s="35"/>
      <c r="AM3251" s="35"/>
      <c r="AN3251" s="35"/>
      <c r="AO3251" s="35"/>
      <c r="AP3251" s="35"/>
    </row>
    <row r="3252" spans="1:42" x14ac:dyDescent="0.2">
      <c r="A3252" s="38">
        <v>45555</v>
      </c>
      <c r="B3252" s="28" t="s">
        <v>37</v>
      </c>
      <c r="C3252" s="41" t="s">
        <v>118</v>
      </c>
      <c r="D3252" s="26" t="s">
        <v>36</v>
      </c>
      <c r="E3252" s="26" t="s">
        <v>139</v>
      </c>
      <c r="F3252" s="26" t="s">
        <v>9531</v>
      </c>
      <c r="G3252" s="80" t="s">
        <v>108</v>
      </c>
      <c r="H3252" s="80" t="s">
        <v>9897</v>
      </c>
      <c r="I3252" s="17">
        <f ca="1">IFERROR(__xludf.DUMMYFUNCTION("""COMPUTED_VALUE"""),45562)</f>
        <v>45562</v>
      </c>
      <c r="J3252" s="29" t="s">
        <v>10731</v>
      </c>
      <c r="K3252" s="26" t="s">
        <v>11771</v>
      </c>
      <c r="L3252" s="30">
        <v>978741402</v>
      </c>
      <c r="M3252" s="26" t="s">
        <v>5518</v>
      </c>
      <c r="N3252" s="26" t="s">
        <v>186</v>
      </c>
      <c r="O3252" s="26" t="s">
        <v>10733</v>
      </c>
      <c r="P3252" s="42" t="s">
        <v>11772</v>
      </c>
      <c r="Q3252" s="20">
        <v>15936</v>
      </c>
      <c r="R3252" s="26" t="s">
        <v>36</v>
      </c>
      <c r="S3252" s="95">
        <v>2000</v>
      </c>
      <c r="T3252" s="148">
        <v>45486</v>
      </c>
      <c r="U3252" s="95">
        <v>13936</v>
      </c>
      <c r="V3252" s="148">
        <v>45517</v>
      </c>
      <c r="W3252" s="55" t="s">
        <v>10735</v>
      </c>
      <c r="X3252" s="26">
        <v>0</v>
      </c>
      <c r="Y3252" s="22">
        <v>0</v>
      </c>
      <c r="Z3252" s="26" t="s">
        <v>50</v>
      </c>
      <c r="AA3252" s="35" t="s">
        <v>10314</v>
      </c>
      <c r="AB3252" s="26"/>
      <c r="AC3252" s="26" t="s">
        <v>53</v>
      </c>
      <c r="AD3252" s="26" t="s">
        <v>54</v>
      </c>
      <c r="AE3252" s="26" t="s">
        <v>9531</v>
      </c>
      <c r="AF3252" s="17">
        <v>45556</v>
      </c>
      <c r="AG3252" s="26"/>
      <c r="AH3252" s="26"/>
      <c r="AI3252" s="40"/>
      <c r="AJ3252" s="26"/>
      <c r="AK3252" s="26"/>
      <c r="AL3252" s="35"/>
      <c r="AM3252" s="35"/>
      <c r="AN3252" s="35"/>
      <c r="AO3252" s="35"/>
      <c r="AP3252" s="35"/>
    </row>
    <row r="3253" spans="1:42" x14ac:dyDescent="0.2">
      <c r="A3253" s="38">
        <v>45555</v>
      </c>
      <c r="B3253" s="28" t="s">
        <v>37</v>
      </c>
      <c r="C3253" s="41" t="s">
        <v>118</v>
      </c>
      <c r="D3253" s="26" t="s">
        <v>36</v>
      </c>
      <c r="E3253" s="26" t="s">
        <v>915</v>
      </c>
      <c r="F3253" s="26" t="s">
        <v>6128</v>
      </c>
      <c r="G3253" s="26" t="s">
        <v>1847</v>
      </c>
      <c r="H3253" s="26" t="s">
        <v>8343</v>
      </c>
      <c r="I3253" s="17">
        <f ca="1">IFERROR(__xludf.DUMMYFUNCTION("""COMPUTED_VALUE"""),45555)</f>
        <v>45555</v>
      </c>
      <c r="J3253" s="29" t="s">
        <v>7587</v>
      </c>
      <c r="K3253" s="26" t="s">
        <v>7588</v>
      </c>
      <c r="L3253" s="30">
        <v>903474275</v>
      </c>
      <c r="M3253" s="26" t="s">
        <v>3728</v>
      </c>
      <c r="N3253" s="26" t="s">
        <v>5312</v>
      </c>
      <c r="O3253" s="26" t="s">
        <v>7589</v>
      </c>
      <c r="P3253" s="42" t="s">
        <v>11773</v>
      </c>
      <c r="Q3253" s="20">
        <v>10894</v>
      </c>
      <c r="R3253" s="26" t="s">
        <v>36</v>
      </c>
      <c r="S3253" s="31">
        <v>4000</v>
      </c>
      <c r="T3253" s="32">
        <v>45317</v>
      </c>
      <c r="U3253" s="31">
        <v>6894</v>
      </c>
      <c r="V3253" s="32">
        <v>45364</v>
      </c>
      <c r="W3253" s="33" t="s">
        <v>7591</v>
      </c>
      <c r="X3253" s="26"/>
      <c r="Y3253" s="22">
        <v>0</v>
      </c>
      <c r="Z3253" s="26" t="s">
        <v>50</v>
      </c>
      <c r="AA3253" s="19" t="s">
        <v>7361</v>
      </c>
      <c r="AB3253" s="26"/>
      <c r="AC3253" s="26" t="s">
        <v>53</v>
      </c>
      <c r="AD3253" s="19" t="s">
        <v>138</v>
      </c>
      <c r="AE3253" s="26" t="s">
        <v>6128</v>
      </c>
      <c r="AF3253" s="17">
        <v>45556</v>
      </c>
      <c r="AG3253" s="26"/>
      <c r="AH3253" s="26"/>
      <c r="AI3253" s="40"/>
      <c r="AJ3253" s="26"/>
      <c r="AK3253" s="26"/>
      <c r="AL3253" s="35"/>
      <c r="AM3253" s="35"/>
      <c r="AN3253" s="35"/>
      <c r="AO3253" s="35"/>
      <c r="AP3253" s="35"/>
    </row>
    <row r="3254" spans="1:42" x14ac:dyDescent="0.2">
      <c r="A3254" s="26">
        <v>396489748</v>
      </c>
      <c r="B3254" s="28" t="s">
        <v>37</v>
      </c>
      <c r="C3254" s="41" t="s">
        <v>118</v>
      </c>
      <c r="D3254" s="26" t="s">
        <v>36</v>
      </c>
      <c r="E3254" s="26" t="s">
        <v>139</v>
      </c>
      <c r="F3254" s="26" t="s">
        <v>9675</v>
      </c>
      <c r="G3254" s="80" t="s">
        <v>108</v>
      </c>
      <c r="H3254" s="80" t="s">
        <v>9897</v>
      </c>
      <c r="I3254" s="17">
        <f ca="1">IFERROR(__xludf.DUMMYFUNCTION("""COMPUTED_VALUE"""),45562)</f>
        <v>45562</v>
      </c>
      <c r="J3254" s="29" t="s">
        <v>10412</v>
      </c>
      <c r="K3254" s="26" t="s">
        <v>10413</v>
      </c>
      <c r="L3254" s="47">
        <v>396489748</v>
      </c>
      <c r="M3254" s="26" t="s">
        <v>5429</v>
      </c>
      <c r="N3254" s="26" t="s">
        <v>9180</v>
      </c>
      <c r="O3254" s="26" t="s">
        <v>10414</v>
      </c>
      <c r="P3254" s="26" t="s">
        <v>10415</v>
      </c>
      <c r="Q3254" s="20">
        <v>15936</v>
      </c>
      <c r="R3254" s="26" t="s">
        <v>36</v>
      </c>
      <c r="S3254" s="95">
        <f>200+1800</f>
        <v>2000</v>
      </c>
      <c r="T3254" s="83" t="s">
        <v>10416</v>
      </c>
      <c r="U3254" s="95">
        <v>13936</v>
      </c>
      <c r="V3254" s="148">
        <v>45518</v>
      </c>
      <c r="W3254" s="33" t="s">
        <v>10417</v>
      </c>
      <c r="X3254" s="26">
        <v>0</v>
      </c>
      <c r="Y3254" s="22">
        <v>0</v>
      </c>
      <c r="Z3254" s="26" t="s">
        <v>50</v>
      </c>
      <c r="AA3254" s="35" t="s">
        <v>10314</v>
      </c>
      <c r="AB3254" s="26"/>
      <c r="AC3254" s="26" t="s">
        <v>53</v>
      </c>
      <c r="AD3254" s="26" t="s">
        <v>54</v>
      </c>
      <c r="AE3254" s="80" t="s">
        <v>9897</v>
      </c>
      <c r="AF3254" s="17">
        <v>45558</v>
      </c>
      <c r="AG3254" s="26"/>
      <c r="AH3254" s="26"/>
      <c r="AI3254" s="40"/>
      <c r="AJ3254" s="26"/>
      <c r="AK3254" s="26"/>
      <c r="AL3254" s="35"/>
      <c r="AM3254" s="35"/>
      <c r="AN3254" s="35"/>
      <c r="AO3254" s="35"/>
      <c r="AP3254" s="35"/>
    </row>
    <row r="3255" spans="1:42" x14ac:dyDescent="0.2">
      <c r="A3255" s="38">
        <v>45555</v>
      </c>
      <c r="B3255" s="28" t="s">
        <v>37</v>
      </c>
      <c r="C3255" s="41" t="s">
        <v>118</v>
      </c>
      <c r="D3255" s="26" t="s">
        <v>36</v>
      </c>
      <c r="E3255" s="26" t="s">
        <v>148</v>
      </c>
      <c r="F3255" s="26" t="s">
        <v>5730</v>
      </c>
      <c r="G3255" s="98" t="s">
        <v>221</v>
      </c>
      <c r="H3255" s="26" t="s">
        <v>11774</v>
      </c>
      <c r="I3255" s="17">
        <f ca="1">IFERROR(__xludf.DUMMYFUNCTION("""COMPUTED_VALUE"""),45569)</f>
        <v>45569</v>
      </c>
      <c r="J3255" s="29" t="s">
        <v>8374</v>
      </c>
      <c r="K3255" s="26" t="s">
        <v>8375</v>
      </c>
      <c r="L3255" s="30">
        <v>968003420</v>
      </c>
      <c r="M3255" s="26" t="s">
        <v>1245</v>
      </c>
      <c r="N3255" s="26" t="s">
        <v>1750</v>
      </c>
      <c r="O3255" s="26" t="s">
        <v>91</v>
      </c>
      <c r="P3255" s="42" t="s">
        <v>8376</v>
      </c>
      <c r="Q3255" s="20">
        <v>16779</v>
      </c>
      <c r="R3255" s="26" t="s">
        <v>36</v>
      </c>
      <c r="S3255" s="31">
        <v>16779</v>
      </c>
      <c r="T3255" s="32">
        <v>45198</v>
      </c>
      <c r="U3255" s="31"/>
      <c r="V3255" s="26"/>
      <c r="W3255" s="26"/>
      <c r="X3255" s="26"/>
      <c r="Y3255" s="22">
        <v>0</v>
      </c>
      <c r="Z3255" s="98" t="s">
        <v>118</v>
      </c>
      <c r="AA3255" s="19" t="s">
        <v>3307</v>
      </c>
      <c r="AB3255" s="26" t="s">
        <v>36</v>
      </c>
      <c r="AC3255" s="26" t="s">
        <v>53</v>
      </c>
      <c r="AD3255" s="14" t="s">
        <v>54</v>
      </c>
      <c r="AE3255" s="26" t="s">
        <v>5730</v>
      </c>
      <c r="AF3255" s="17">
        <v>45562</v>
      </c>
      <c r="AG3255" s="131"/>
      <c r="AH3255" s="131"/>
      <c r="AI3255" s="132"/>
      <c r="AJ3255" s="132">
        <v>45044.275153946757</v>
      </c>
      <c r="AK3255" s="96"/>
      <c r="AL3255" s="133" t="s">
        <v>8378</v>
      </c>
      <c r="AM3255" s="96"/>
      <c r="AN3255" s="96"/>
      <c r="AO3255" s="26"/>
      <c r="AP3255" s="26"/>
    </row>
    <row r="3256" spans="1:42" x14ac:dyDescent="0.2">
      <c r="A3256" s="38">
        <v>45555</v>
      </c>
      <c r="B3256" s="28" t="s">
        <v>37</v>
      </c>
      <c r="C3256" s="41" t="s">
        <v>118</v>
      </c>
      <c r="D3256" s="26" t="s">
        <v>36</v>
      </c>
      <c r="E3256" s="26" t="s">
        <v>148</v>
      </c>
      <c r="F3256" s="26" t="s">
        <v>2163</v>
      </c>
      <c r="G3256" s="98" t="s">
        <v>221</v>
      </c>
      <c r="H3256" s="26" t="s">
        <v>11774</v>
      </c>
      <c r="I3256" s="17">
        <f ca="1">IFERROR(__xludf.DUMMYFUNCTION("""COMPUTED_VALUE"""),45569)</f>
        <v>45569</v>
      </c>
      <c r="J3256" s="29" t="s">
        <v>8516</v>
      </c>
      <c r="K3256" s="26" t="s">
        <v>8517</v>
      </c>
      <c r="L3256" s="30">
        <v>978319862</v>
      </c>
      <c r="M3256" s="26" t="s">
        <v>45</v>
      </c>
      <c r="N3256" s="26" t="s">
        <v>8518</v>
      </c>
      <c r="O3256" s="26" t="s">
        <v>8519</v>
      </c>
      <c r="P3256" s="42" t="s">
        <v>11775</v>
      </c>
      <c r="Q3256" s="20">
        <v>7349</v>
      </c>
      <c r="R3256" s="26" t="s">
        <v>36</v>
      </c>
      <c r="S3256" s="31">
        <v>7349</v>
      </c>
      <c r="T3256" s="32">
        <v>45437</v>
      </c>
      <c r="U3256" s="31"/>
      <c r="V3256" s="32"/>
      <c r="W3256" s="33" t="s">
        <v>8521</v>
      </c>
      <c r="X3256" s="26"/>
      <c r="Y3256" s="22">
        <v>0</v>
      </c>
      <c r="Z3256" s="26" t="s">
        <v>50</v>
      </c>
      <c r="AA3256" s="19" t="s">
        <v>8410</v>
      </c>
      <c r="AB3256" s="26" t="s">
        <v>36</v>
      </c>
      <c r="AC3256" s="26" t="s">
        <v>53</v>
      </c>
      <c r="AD3256" s="19" t="s">
        <v>54</v>
      </c>
      <c r="AE3256" s="26" t="s">
        <v>2163</v>
      </c>
      <c r="AF3256" s="17">
        <v>45562</v>
      </c>
      <c r="AG3256" s="26"/>
      <c r="AH3256" s="26"/>
      <c r="AI3256" s="40"/>
      <c r="AJ3256" s="26"/>
      <c r="AK3256" s="26"/>
      <c r="AL3256" s="35"/>
      <c r="AM3256" s="35"/>
      <c r="AN3256" s="35"/>
      <c r="AO3256" s="35"/>
      <c r="AP3256" s="35"/>
    </row>
    <row r="3257" spans="1:42" x14ac:dyDescent="0.2">
      <c r="A3257" s="38">
        <v>45555</v>
      </c>
      <c r="B3257" s="28" t="s">
        <v>37</v>
      </c>
      <c r="C3257" s="41" t="s">
        <v>118</v>
      </c>
      <c r="D3257" s="26" t="s">
        <v>36</v>
      </c>
      <c r="E3257" s="26" t="s">
        <v>148</v>
      </c>
      <c r="F3257" s="26" t="s">
        <v>8093</v>
      </c>
      <c r="G3257" s="98" t="s">
        <v>221</v>
      </c>
      <c r="H3257" s="26" t="s">
        <v>11774</v>
      </c>
      <c r="I3257" s="17">
        <f ca="1">IFERROR(__xludf.DUMMYFUNCTION("""COMPUTED_VALUE"""),45569)</f>
        <v>45569</v>
      </c>
      <c r="J3257" s="29" t="s">
        <v>7180</v>
      </c>
      <c r="K3257" s="26" t="s">
        <v>7181</v>
      </c>
      <c r="L3257" s="30">
        <v>338662936</v>
      </c>
      <c r="M3257" s="26" t="s">
        <v>123</v>
      </c>
      <c r="N3257" s="26" t="s">
        <v>1384</v>
      </c>
      <c r="O3257" s="26" t="s">
        <v>4503</v>
      </c>
      <c r="P3257" s="42" t="s">
        <v>11776</v>
      </c>
      <c r="Q3257" s="20">
        <v>7349</v>
      </c>
      <c r="R3257" s="26" t="s">
        <v>70</v>
      </c>
      <c r="S3257" s="31">
        <v>7349</v>
      </c>
      <c r="T3257" s="32">
        <v>45419</v>
      </c>
      <c r="U3257" s="31"/>
      <c r="V3257" s="32"/>
      <c r="W3257" s="33" t="s">
        <v>8475</v>
      </c>
      <c r="X3257" s="26"/>
      <c r="Y3257" s="22">
        <v>0</v>
      </c>
      <c r="Z3257" s="26" t="s">
        <v>50</v>
      </c>
      <c r="AA3257" s="19" t="s">
        <v>8410</v>
      </c>
      <c r="AB3257" s="26" t="s">
        <v>36</v>
      </c>
      <c r="AC3257" s="26" t="s">
        <v>53</v>
      </c>
      <c r="AD3257" s="19" t="s">
        <v>54</v>
      </c>
      <c r="AE3257" s="26" t="s">
        <v>8093</v>
      </c>
      <c r="AF3257" s="17">
        <v>45562</v>
      </c>
      <c r="AG3257" s="26"/>
      <c r="AH3257" s="26"/>
      <c r="AI3257" s="40"/>
      <c r="AJ3257" s="26"/>
      <c r="AK3257" s="26"/>
      <c r="AL3257" s="35"/>
      <c r="AM3257" s="35"/>
      <c r="AN3257" s="35"/>
      <c r="AO3257" s="35"/>
      <c r="AP3257" s="35"/>
    </row>
    <row r="3258" spans="1:42" x14ac:dyDescent="0.2">
      <c r="A3258" s="38">
        <v>45556</v>
      </c>
      <c r="B3258" s="28" t="s">
        <v>37</v>
      </c>
      <c r="C3258" s="41" t="s">
        <v>118</v>
      </c>
      <c r="D3258" s="26" t="s">
        <v>36</v>
      </c>
      <c r="E3258" s="26" t="s">
        <v>139</v>
      </c>
      <c r="F3258" s="26" t="s">
        <v>5025</v>
      </c>
      <c r="G3258" s="98" t="s">
        <v>221</v>
      </c>
      <c r="H3258" s="26" t="s">
        <v>11774</v>
      </c>
      <c r="I3258" s="17">
        <f ca="1">IFERROR(__xludf.DUMMYFUNCTION("""COMPUTED_VALUE"""),45569)</f>
        <v>45569</v>
      </c>
      <c r="J3258" s="29" t="s">
        <v>4179</v>
      </c>
      <c r="K3258" s="26" t="s">
        <v>4180</v>
      </c>
      <c r="L3258" s="30">
        <v>372979323</v>
      </c>
      <c r="M3258" s="26" t="s">
        <v>1245</v>
      </c>
      <c r="N3258" s="26" t="s">
        <v>4957</v>
      </c>
      <c r="O3258" s="26" t="s">
        <v>1226</v>
      </c>
      <c r="P3258" s="42" t="s">
        <v>5035</v>
      </c>
      <c r="Q3258" s="20">
        <v>15936</v>
      </c>
      <c r="R3258" s="26" t="s">
        <v>70</v>
      </c>
      <c r="S3258" s="31">
        <v>2000</v>
      </c>
      <c r="T3258" s="32">
        <v>45209</v>
      </c>
      <c r="U3258" s="31">
        <v>13836</v>
      </c>
      <c r="V3258" s="32">
        <v>45227</v>
      </c>
      <c r="W3258" s="33" t="s">
        <v>4182</v>
      </c>
      <c r="X3258" s="26"/>
      <c r="Y3258" s="22">
        <v>100</v>
      </c>
      <c r="Z3258" s="26" t="s">
        <v>118</v>
      </c>
      <c r="AA3258" s="19" t="s">
        <v>3454</v>
      </c>
      <c r="AB3258" s="26" t="s">
        <v>146</v>
      </c>
      <c r="AC3258" s="26" t="s">
        <v>53</v>
      </c>
      <c r="AD3258" s="19" t="s">
        <v>138</v>
      </c>
      <c r="AE3258" s="26" t="s">
        <v>5025</v>
      </c>
      <c r="AF3258" s="17">
        <v>45562</v>
      </c>
      <c r="AG3258" s="26"/>
      <c r="AH3258" s="26"/>
      <c r="AI3258" s="40"/>
      <c r="AJ3258" s="26"/>
      <c r="AK3258" s="26"/>
      <c r="AL3258" s="35"/>
      <c r="AM3258" s="35"/>
      <c r="AN3258" s="35"/>
      <c r="AO3258" s="35"/>
      <c r="AP3258" s="35"/>
    </row>
    <row r="3259" spans="1:42" x14ac:dyDescent="0.2">
      <c r="A3259" s="38">
        <v>45556</v>
      </c>
      <c r="B3259" s="68" t="s">
        <v>37</v>
      </c>
      <c r="C3259" s="41" t="s">
        <v>118</v>
      </c>
      <c r="D3259" s="80" t="s">
        <v>36</v>
      </c>
      <c r="E3259" s="80" t="s">
        <v>139</v>
      </c>
      <c r="F3259" s="80" t="s">
        <v>9675</v>
      </c>
      <c r="G3259" s="80" t="s">
        <v>108</v>
      </c>
      <c r="H3259" s="80" t="s">
        <v>11777</v>
      </c>
      <c r="I3259" s="17">
        <f ca="1">IFERROR(__xludf.DUMMYFUNCTION("""COMPUTED_VALUE"""),45590)</f>
        <v>45590</v>
      </c>
      <c r="J3259" s="143" t="s">
        <v>11157</v>
      </c>
      <c r="K3259" s="86" t="s">
        <v>11778</v>
      </c>
      <c r="L3259" s="57">
        <v>967355856</v>
      </c>
      <c r="M3259" s="80" t="s">
        <v>45</v>
      </c>
      <c r="N3259" s="80" t="s">
        <v>8420</v>
      </c>
      <c r="O3259" s="80" t="s">
        <v>11159</v>
      </c>
      <c r="P3259" s="86" t="s">
        <v>11160</v>
      </c>
      <c r="Q3259" s="20">
        <v>15936</v>
      </c>
      <c r="R3259" s="80" t="s">
        <v>36</v>
      </c>
      <c r="S3259" s="95">
        <v>15968</v>
      </c>
      <c r="T3259" s="148">
        <v>45505</v>
      </c>
      <c r="U3259" s="77"/>
      <c r="V3259" s="78"/>
      <c r="W3259" s="85" t="s">
        <v>11161</v>
      </c>
      <c r="X3259" s="80">
        <v>0</v>
      </c>
      <c r="Y3259" s="22">
        <v>-32</v>
      </c>
      <c r="Z3259" s="80" t="s">
        <v>50</v>
      </c>
      <c r="AA3259" s="96" t="s">
        <v>10314</v>
      </c>
      <c r="AB3259" s="80"/>
      <c r="AC3259" s="80" t="s">
        <v>53</v>
      </c>
      <c r="AD3259" s="80" t="s">
        <v>54</v>
      </c>
      <c r="AE3259" s="80" t="s">
        <v>9675</v>
      </c>
      <c r="AF3259" s="17">
        <v>45562</v>
      </c>
      <c r="AG3259" s="80"/>
      <c r="AH3259" s="80"/>
      <c r="AI3259" s="147"/>
      <c r="AJ3259" s="80"/>
      <c r="AK3259" s="80"/>
      <c r="AL3259" s="35"/>
      <c r="AM3259" s="35"/>
      <c r="AN3259" s="35"/>
      <c r="AO3259" s="35"/>
      <c r="AP3259" s="35"/>
    </row>
    <row r="3260" spans="1:42" x14ac:dyDescent="0.2">
      <c r="A3260" s="38">
        <v>45556</v>
      </c>
      <c r="B3260" s="28" t="s">
        <v>37</v>
      </c>
      <c r="C3260" s="41" t="s">
        <v>118</v>
      </c>
      <c r="D3260" s="80" t="s">
        <v>36</v>
      </c>
      <c r="E3260" s="80" t="s">
        <v>39</v>
      </c>
      <c r="F3260" s="80" t="s">
        <v>9693</v>
      </c>
      <c r="G3260" s="80" t="s">
        <v>108</v>
      </c>
      <c r="H3260" s="80" t="s">
        <v>9897</v>
      </c>
      <c r="I3260" s="17">
        <f ca="1">IFERROR(__xludf.DUMMYFUNCTION("""COMPUTED_VALUE"""),45562)</f>
        <v>45562</v>
      </c>
      <c r="J3260" s="143" t="s">
        <v>9742</v>
      </c>
      <c r="K3260" s="80" t="s">
        <v>9743</v>
      </c>
      <c r="L3260" s="30">
        <v>337532786</v>
      </c>
      <c r="M3260" s="80" t="s">
        <v>59</v>
      </c>
      <c r="N3260" s="80" t="s">
        <v>68</v>
      </c>
      <c r="O3260" s="80" t="s">
        <v>9744</v>
      </c>
      <c r="P3260" s="144" t="s">
        <v>9745</v>
      </c>
      <c r="Q3260" s="20"/>
      <c r="R3260" s="80" t="s">
        <v>36</v>
      </c>
      <c r="S3260" s="95">
        <v>5736</v>
      </c>
      <c r="T3260" s="148">
        <v>45503</v>
      </c>
      <c r="U3260" s="77"/>
      <c r="V3260" s="78"/>
      <c r="W3260" s="85" t="s">
        <v>9746</v>
      </c>
      <c r="X3260" s="80"/>
      <c r="Y3260" s="22"/>
      <c r="Z3260" s="80" t="s">
        <v>50</v>
      </c>
      <c r="AA3260" s="70" t="s">
        <v>9070</v>
      </c>
      <c r="AB3260" s="80"/>
      <c r="AC3260" s="80" t="s">
        <v>53</v>
      </c>
      <c r="AD3260" s="80" t="s">
        <v>54</v>
      </c>
      <c r="AE3260" s="80" t="s">
        <v>9693</v>
      </c>
      <c r="AF3260" s="17">
        <v>45558</v>
      </c>
      <c r="AG3260" s="80"/>
      <c r="AH3260" s="80"/>
      <c r="AI3260" s="147"/>
      <c r="AJ3260" s="80"/>
      <c r="AK3260" s="80"/>
      <c r="AL3260" s="35"/>
      <c r="AM3260" s="35"/>
      <c r="AN3260" s="35"/>
      <c r="AO3260" s="35"/>
      <c r="AP3260" s="35"/>
    </row>
    <row r="3261" spans="1:42" x14ac:dyDescent="0.2">
      <c r="A3261" s="38">
        <v>45556</v>
      </c>
      <c r="B3261" s="28" t="s">
        <v>37</v>
      </c>
      <c r="C3261" s="41" t="s">
        <v>118</v>
      </c>
      <c r="D3261" s="26" t="s">
        <v>36</v>
      </c>
      <c r="E3261" s="26" t="s">
        <v>148</v>
      </c>
      <c r="F3261" s="26" t="s">
        <v>2163</v>
      </c>
      <c r="G3261" s="98" t="s">
        <v>221</v>
      </c>
      <c r="H3261" s="80" t="s">
        <v>11774</v>
      </c>
      <c r="I3261" s="17">
        <f ca="1">IFERROR(__xludf.DUMMYFUNCTION("""COMPUTED_VALUE"""),45569)</f>
        <v>45569</v>
      </c>
      <c r="J3261" s="29" t="s">
        <v>6737</v>
      </c>
      <c r="K3261" s="26" t="s">
        <v>11779</v>
      </c>
      <c r="L3261" s="30">
        <v>967102005</v>
      </c>
      <c r="M3261" s="26" t="s">
        <v>5429</v>
      </c>
      <c r="N3261" s="26" t="s">
        <v>81</v>
      </c>
      <c r="O3261" s="26" t="s">
        <v>6739</v>
      </c>
      <c r="P3261" s="26" t="s">
        <v>6740</v>
      </c>
      <c r="Q3261" s="20">
        <v>7349</v>
      </c>
      <c r="R3261" s="26" t="s">
        <v>36</v>
      </c>
      <c r="S3261" s="31">
        <v>7349</v>
      </c>
      <c r="T3261" s="32">
        <v>45298</v>
      </c>
      <c r="U3261" s="31"/>
      <c r="V3261" s="26" t="s">
        <v>6741</v>
      </c>
      <c r="W3261" s="33" t="s">
        <v>6742</v>
      </c>
      <c r="X3261" s="26">
        <v>0</v>
      </c>
      <c r="Y3261" s="22">
        <v>0</v>
      </c>
      <c r="Z3261" s="26" t="s">
        <v>50</v>
      </c>
      <c r="AA3261" s="19" t="s">
        <v>6079</v>
      </c>
      <c r="AB3261" s="26"/>
      <c r="AC3261" s="26" t="s">
        <v>53</v>
      </c>
      <c r="AD3261" s="19" t="s">
        <v>54</v>
      </c>
      <c r="AE3261" s="26" t="s">
        <v>2163</v>
      </c>
      <c r="AF3261" s="17">
        <v>45562</v>
      </c>
      <c r="AG3261" s="26"/>
      <c r="AH3261" s="26"/>
      <c r="AI3261" s="40">
        <v>2</v>
      </c>
      <c r="AJ3261" s="26"/>
      <c r="AK3261" s="26"/>
      <c r="AL3261" s="35"/>
      <c r="AM3261" s="35"/>
      <c r="AN3261" s="35"/>
      <c r="AO3261" s="35"/>
      <c r="AP3261" s="35"/>
    </row>
    <row r="3262" spans="1:42" x14ac:dyDescent="0.2">
      <c r="A3262" s="38">
        <v>45556</v>
      </c>
      <c r="B3262" s="137" t="s">
        <v>37</v>
      </c>
      <c r="C3262" s="41" t="s">
        <v>118</v>
      </c>
      <c r="D3262" s="26" t="s">
        <v>36</v>
      </c>
      <c r="E3262" s="26" t="s">
        <v>139</v>
      </c>
      <c r="F3262" s="26" t="s">
        <v>9547</v>
      </c>
      <c r="G3262" s="80" t="s">
        <v>108</v>
      </c>
      <c r="H3262" s="80" t="s">
        <v>10282</v>
      </c>
      <c r="I3262" s="17">
        <f ca="1">IFERROR(__xludf.DUMMYFUNCTION("""COMPUTED_VALUE"""),45560)</f>
        <v>45560</v>
      </c>
      <c r="J3262" s="44" t="s">
        <v>10404</v>
      </c>
      <c r="K3262" s="26" t="s">
        <v>11780</v>
      </c>
      <c r="L3262" s="47">
        <v>852364361</v>
      </c>
      <c r="M3262" s="26" t="s">
        <v>80</v>
      </c>
      <c r="N3262" s="26" t="s">
        <v>466</v>
      </c>
      <c r="O3262" s="26" t="s">
        <v>10406</v>
      </c>
      <c r="P3262" s="26" t="s">
        <v>10407</v>
      </c>
      <c r="Q3262" s="20">
        <v>15936</v>
      </c>
      <c r="R3262" s="26" t="s">
        <v>36</v>
      </c>
      <c r="S3262" s="95">
        <f>100+1900</f>
        <v>2000</v>
      </c>
      <c r="T3262" s="83" t="s">
        <v>9223</v>
      </c>
      <c r="U3262" s="95">
        <v>13936</v>
      </c>
      <c r="V3262" s="148">
        <v>45512</v>
      </c>
      <c r="W3262" s="33" t="s">
        <v>10408</v>
      </c>
      <c r="X3262" s="26">
        <v>0</v>
      </c>
      <c r="Y3262" s="22">
        <v>0</v>
      </c>
      <c r="Z3262" s="26" t="s">
        <v>50</v>
      </c>
      <c r="AA3262" s="35" t="s">
        <v>10314</v>
      </c>
      <c r="AB3262" s="26"/>
      <c r="AC3262" s="26" t="s">
        <v>53</v>
      </c>
      <c r="AD3262" s="26" t="s">
        <v>54</v>
      </c>
      <c r="AE3262" s="26" t="s">
        <v>9547</v>
      </c>
      <c r="AF3262" s="17">
        <v>45558</v>
      </c>
      <c r="AG3262" s="26"/>
      <c r="AH3262" s="26"/>
      <c r="AI3262" s="40"/>
      <c r="AJ3262" s="26"/>
      <c r="AK3262" s="26"/>
      <c r="AL3262" s="35"/>
      <c r="AM3262" s="35"/>
      <c r="AN3262" s="35"/>
      <c r="AO3262" s="35"/>
      <c r="AP3262" s="35"/>
    </row>
    <row r="3263" spans="1:42" x14ac:dyDescent="0.2">
      <c r="A3263" s="38">
        <v>45556</v>
      </c>
      <c r="B3263" s="28" t="s">
        <v>37</v>
      </c>
      <c r="C3263" s="41" t="s">
        <v>118</v>
      </c>
      <c r="D3263" s="26" t="s">
        <v>36</v>
      </c>
      <c r="E3263" s="26" t="s">
        <v>139</v>
      </c>
      <c r="F3263" s="26" t="s">
        <v>5025</v>
      </c>
      <c r="G3263" s="98" t="s">
        <v>221</v>
      </c>
      <c r="H3263" s="80" t="s">
        <v>11774</v>
      </c>
      <c r="I3263" s="17">
        <f ca="1">IFERROR(__xludf.DUMMYFUNCTION("""COMPUTED_VALUE"""),45569)</f>
        <v>45569</v>
      </c>
      <c r="J3263" s="29" t="s">
        <v>3857</v>
      </c>
      <c r="K3263" s="26" t="s">
        <v>3858</v>
      </c>
      <c r="L3263" s="30">
        <v>914059828</v>
      </c>
      <c r="M3263" s="26" t="s">
        <v>1245</v>
      </c>
      <c r="N3263" s="26" t="s">
        <v>4957</v>
      </c>
      <c r="O3263" s="26" t="s">
        <v>1226</v>
      </c>
      <c r="P3263" s="42" t="s">
        <v>5031</v>
      </c>
      <c r="Q3263" s="20">
        <v>15936</v>
      </c>
      <c r="R3263" s="26" t="s">
        <v>36</v>
      </c>
      <c r="S3263" s="31">
        <v>2000</v>
      </c>
      <c r="T3263" s="32">
        <v>45192</v>
      </c>
      <c r="U3263" s="31">
        <v>13936</v>
      </c>
      <c r="V3263" s="32">
        <v>45227</v>
      </c>
      <c r="W3263" s="33" t="s">
        <v>3859</v>
      </c>
      <c r="X3263" s="26"/>
      <c r="Y3263" s="22">
        <v>0</v>
      </c>
      <c r="Z3263" s="26" t="s">
        <v>118</v>
      </c>
      <c r="AA3263" s="19" t="s">
        <v>3454</v>
      </c>
      <c r="AB3263" s="26" t="s">
        <v>128</v>
      </c>
      <c r="AC3263" s="26" t="s">
        <v>53</v>
      </c>
      <c r="AD3263" s="19" t="s">
        <v>138</v>
      </c>
      <c r="AE3263" s="26" t="s">
        <v>5025</v>
      </c>
      <c r="AF3263" s="17">
        <v>45562</v>
      </c>
      <c r="AG3263" s="26"/>
      <c r="AH3263" s="26"/>
      <c r="AI3263" s="40"/>
      <c r="AJ3263" s="26"/>
      <c r="AK3263" s="26"/>
      <c r="AL3263" s="35"/>
      <c r="AM3263" s="35"/>
      <c r="AN3263" s="35"/>
      <c r="AO3263" s="35"/>
      <c r="AP3263" s="35"/>
    </row>
    <row r="3264" spans="1:42" x14ac:dyDescent="0.2">
      <c r="A3264" s="38">
        <v>45558</v>
      </c>
      <c r="B3264" s="28" t="s">
        <v>37</v>
      </c>
      <c r="C3264" s="41" t="s">
        <v>118</v>
      </c>
      <c r="D3264" s="80" t="s">
        <v>36</v>
      </c>
      <c r="E3264" s="80" t="s">
        <v>106</v>
      </c>
      <c r="F3264" s="80" t="s">
        <v>9681</v>
      </c>
      <c r="G3264" s="80" t="s">
        <v>108</v>
      </c>
      <c r="H3264" s="80" t="s">
        <v>11781</v>
      </c>
      <c r="I3264" s="164" t="str">
        <f ca="1">IFERROR(__xludf.DUMMYFUNCTION("""COMPUTED_VALUE""")," ")</f>
        <v xml:space="preserve"> </v>
      </c>
      <c r="J3264" s="79" t="s">
        <v>11782</v>
      </c>
      <c r="K3264" s="80" t="s">
        <v>11783</v>
      </c>
      <c r="L3264" s="30">
        <v>971630765</v>
      </c>
      <c r="M3264" s="26" t="s">
        <v>1245</v>
      </c>
      <c r="N3264" s="26" t="s">
        <v>1750</v>
      </c>
      <c r="O3264" s="80" t="s">
        <v>11784</v>
      </c>
      <c r="P3264" s="144" t="s">
        <v>11785</v>
      </c>
      <c r="Q3264" s="20">
        <v>3968</v>
      </c>
      <c r="R3264" s="80" t="s">
        <v>36</v>
      </c>
      <c r="S3264" s="77">
        <v>3868</v>
      </c>
      <c r="T3264" s="78">
        <v>45117</v>
      </c>
      <c r="U3264" s="77"/>
      <c r="V3264" s="78"/>
      <c r="W3264" s="85" t="s">
        <v>11786</v>
      </c>
      <c r="X3264" s="80"/>
      <c r="Y3264" s="22">
        <v>100</v>
      </c>
      <c r="Z3264" s="81" t="s">
        <v>50</v>
      </c>
      <c r="AA3264" s="86" t="s">
        <v>51</v>
      </c>
      <c r="AB3264" s="80" t="s">
        <v>36</v>
      </c>
      <c r="AC3264" s="80" t="s">
        <v>53</v>
      </c>
      <c r="AD3264" s="80" t="s">
        <v>54</v>
      </c>
      <c r="AE3264" s="26" t="s">
        <v>11787</v>
      </c>
      <c r="AF3264" s="17">
        <v>45741</v>
      </c>
      <c r="AG3264" s="60" t="s">
        <v>2075</v>
      </c>
      <c r="AH3264" s="143" t="s">
        <v>11788</v>
      </c>
      <c r="AI3264" s="147"/>
      <c r="AJ3264" s="80"/>
      <c r="AK3264" s="80"/>
      <c r="AL3264" s="80"/>
      <c r="AM3264" s="86"/>
      <c r="AN3264" s="86"/>
      <c r="AO3264" s="86"/>
      <c r="AP3264" s="86"/>
    </row>
    <row r="3265" spans="1:42" x14ac:dyDescent="0.2">
      <c r="A3265" s="38">
        <v>45558</v>
      </c>
      <c r="B3265" s="28" t="s">
        <v>37</v>
      </c>
      <c r="C3265" s="41" t="s">
        <v>118</v>
      </c>
      <c r="D3265" s="26" t="s">
        <v>36</v>
      </c>
      <c r="E3265" s="26" t="s">
        <v>139</v>
      </c>
      <c r="F3265" s="26" t="s">
        <v>9581</v>
      </c>
      <c r="G3265" s="80" t="s">
        <v>108</v>
      </c>
      <c r="H3265" s="26" t="s">
        <v>10223</v>
      </c>
      <c r="I3265" s="17">
        <f ca="1">IFERROR(__xludf.DUMMYFUNCTION("""COMPUTED_VALUE"""),45578)</f>
        <v>45578</v>
      </c>
      <c r="J3265" s="29" t="s">
        <v>10909</v>
      </c>
      <c r="K3265" s="19" t="s">
        <v>11789</v>
      </c>
      <c r="L3265" s="30">
        <v>962617450</v>
      </c>
      <c r="M3265" s="26" t="s">
        <v>5518</v>
      </c>
      <c r="N3265" s="26" t="s">
        <v>10698</v>
      </c>
      <c r="O3265" s="26" t="s">
        <v>10911</v>
      </c>
      <c r="P3265" s="42" t="s">
        <v>10912</v>
      </c>
      <c r="Q3265" s="20">
        <v>15936</v>
      </c>
      <c r="R3265" s="26" t="s">
        <v>36</v>
      </c>
      <c r="S3265" s="95">
        <v>2000</v>
      </c>
      <c r="T3265" s="148">
        <v>45493</v>
      </c>
      <c r="U3265" s="95">
        <v>13936</v>
      </c>
      <c r="V3265" s="148">
        <v>45525</v>
      </c>
      <c r="W3265" s="33" t="s">
        <v>10913</v>
      </c>
      <c r="X3265" s="26">
        <v>0</v>
      </c>
      <c r="Y3265" s="22">
        <v>0</v>
      </c>
      <c r="Z3265" s="26" t="s">
        <v>50</v>
      </c>
      <c r="AA3265" s="96" t="s">
        <v>10314</v>
      </c>
      <c r="AB3265" s="26"/>
      <c r="AC3265" s="26" t="s">
        <v>53</v>
      </c>
      <c r="AD3265" s="26" t="s">
        <v>54</v>
      </c>
      <c r="AE3265" s="26" t="s">
        <v>9581</v>
      </c>
      <c r="AF3265" s="17">
        <v>45576</v>
      </c>
      <c r="AG3265" s="26" t="s">
        <v>10229</v>
      </c>
      <c r="AH3265" s="26"/>
      <c r="AI3265" s="40"/>
      <c r="AJ3265" s="26"/>
      <c r="AK3265" s="26"/>
      <c r="AL3265" s="35"/>
      <c r="AM3265" s="35"/>
      <c r="AN3265" s="35"/>
      <c r="AO3265" s="35"/>
      <c r="AP3265" s="35"/>
    </row>
    <row r="3266" spans="1:42" x14ac:dyDescent="0.2">
      <c r="A3266" s="38">
        <v>45558</v>
      </c>
      <c r="B3266" s="28" t="s">
        <v>37</v>
      </c>
      <c r="C3266" s="41" t="s">
        <v>118</v>
      </c>
      <c r="D3266" s="26" t="s">
        <v>36</v>
      </c>
      <c r="E3266" s="26" t="s">
        <v>139</v>
      </c>
      <c r="F3266" s="26" t="s">
        <v>9581</v>
      </c>
      <c r="G3266" s="80" t="s">
        <v>108</v>
      </c>
      <c r="H3266" s="26" t="s">
        <v>10223</v>
      </c>
      <c r="I3266" s="17">
        <f ca="1">IFERROR(__xludf.DUMMYFUNCTION("""COMPUTED_VALUE"""),45578)</f>
        <v>45578</v>
      </c>
      <c r="J3266" s="29" t="s">
        <v>10920</v>
      </c>
      <c r="K3266" s="19" t="s">
        <v>11790</v>
      </c>
      <c r="L3266" s="30">
        <v>982845117</v>
      </c>
      <c r="M3266" s="26" t="s">
        <v>80</v>
      </c>
      <c r="N3266" s="26" t="s">
        <v>1073</v>
      </c>
      <c r="O3266" s="26" t="s">
        <v>10922</v>
      </c>
      <c r="P3266" s="26" t="s">
        <v>10923</v>
      </c>
      <c r="Q3266" s="20">
        <v>15936</v>
      </c>
      <c r="R3266" s="26" t="s">
        <v>36</v>
      </c>
      <c r="S3266" s="95">
        <f>200+1800</f>
        <v>2000</v>
      </c>
      <c r="T3266" s="83" t="s">
        <v>10924</v>
      </c>
      <c r="U3266" s="95">
        <v>13936</v>
      </c>
      <c r="V3266" s="148">
        <v>45533</v>
      </c>
      <c r="W3266" s="33" t="s">
        <v>10925</v>
      </c>
      <c r="X3266" s="26">
        <v>0</v>
      </c>
      <c r="Y3266" s="22">
        <v>0</v>
      </c>
      <c r="Z3266" s="26" t="s">
        <v>50</v>
      </c>
      <c r="AA3266" s="35" t="s">
        <v>10314</v>
      </c>
      <c r="AB3266" s="26"/>
      <c r="AC3266" s="26" t="s">
        <v>53</v>
      </c>
      <c r="AD3266" s="26" t="s">
        <v>54</v>
      </c>
      <c r="AE3266" s="26" t="s">
        <v>9581</v>
      </c>
      <c r="AF3266" s="17">
        <v>45576</v>
      </c>
      <c r="AG3266" s="26" t="s">
        <v>10229</v>
      </c>
      <c r="AH3266" s="26"/>
      <c r="AI3266" s="40"/>
      <c r="AJ3266" s="26"/>
      <c r="AK3266" s="26"/>
      <c r="AL3266" s="35"/>
      <c r="AM3266" s="35"/>
      <c r="AN3266" s="35"/>
      <c r="AO3266" s="35"/>
      <c r="AP3266" s="35"/>
    </row>
    <row r="3267" spans="1:42" x14ac:dyDescent="0.2">
      <c r="A3267" s="38">
        <v>45559</v>
      </c>
      <c r="B3267" s="68" t="s">
        <v>37</v>
      </c>
      <c r="C3267" s="41" t="s">
        <v>118</v>
      </c>
      <c r="D3267" s="26" t="s">
        <v>36</v>
      </c>
      <c r="E3267" s="80" t="s">
        <v>148</v>
      </c>
      <c r="F3267" s="80" t="s">
        <v>36</v>
      </c>
      <c r="G3267" s="80" t="s">
        <v>108</v>
      </c>
      <c r="H3267" s="182" t="s">
        <v>10028</v>
      </c>
      <c r="I3267" s="17">
        <f ca="1">IFERROR(__xludf.DUMMYFUNCTION("""COMPUTED_VALUE"""),45562)</f>
        <v>45562</v>
      </c>
      <c r="J3267" s="29" t="s">
        <v>11791</v>
      </c>
      <c r="K3267" s="182" t="s">
        <v>11792</v>
      </c>
      <c r="L3267" s="30">
        <v>982920598</v>
      </c>
      <c r="M3267" s="26" t="s">
        <v>45</v>
      </c>
      <c r="N3267" s="26" t="s">
        <v>11793</v>
      </c>
      <c r="O3267" s="26" t="s">
        <v>11794</v>
      </c>
      <c r="P3267" s="42" t="s">
        <v>11795</v>
      </c>
      <c r="Q3267" s="20"/>
      <c r="R3267" s="26" t="s">
        <v>36</v>
      </c>
      <c r="S3267" s="95">
        <v>7350</v>
      </c>
      <c r="T3267" s="148">
        <v>45554</v>
      </c>
      <c r="U3267" s="77"/>
      <c r="V3267" s="78"/>
      <c r="W3267" s="33" t="s">
        <v>11796</v>
      </c>
      <c r="X3267" s="80"/>
      <c r="Y3267" s="22"/>
      <c r="Z3267" s="26" t="s">
        <v>118</v>
      </c>
      <c r="AA3267" s="96"/>
      <c r="AB3267" s="80"/>
      <c r="AC3267" s="26" t="s">
        <v>53</v>
      </c>
      <c r="AD3267" s="19" t="s">
        <v>138</v>
      </c>
      <c r="AE3267" s="80">
        <v>410</v>
      </c>
      <c r="AF3267" s="17">
        <v>45562</v>
      </c>
      <c r="AG3267" s="35" t="s">
        <v>11797</v>
      </c>
      <c r="AH3267" s="36" t="s">
        <v>11798</v>
      </c>
      <c r="AI3267" s="147"/>
      <c r="AJ3267" s="80"/>
      <c r="AK3267" s="80"/>
      <c r="AL3267" s="35"/>
      <c r="AM3267" s="35"/>
      <c r="AN3267" s="35"/>
      <c r="AO3267" s="35"/>
      <c r="AP3267" s="35"/>
    </row>
    <row r="3268" spans="1:42" x14ac:dyDescent="0.2">
      <c r="A3268" s="38">
        <v>45559</v>
      </c>
      <c r="B3268" s="28" t="s">
        <v>37</v>
      </c>
      <c r="C3268" s="41" t="s">
        <v>118</v>
      </c>
      <c r="D3268" s="80" t="s">
        <v>36</v>
      </c>
      <c r="E3268" s="80" t="s">
        <v>139</v>
      </c>
      <c r="F3268" s="80" t="s">
        <v>9675</v>
      </c>
      <c r="G3268" s="80" t="s">
        <v>108</v>
      </c>
      <c r="H3268" s="182" t="s">
        <v>8541</v>
      </c>
      <c r="I3268" s="17">
        <f ca="1">IFERROR(__xludf.DUMMYFUNCTION("""COMPUTED_VALUE"""),45595)</f>
        <v>45595</v>
      </c>
      <c r="J3268" s="143" t="s">
        <v>11053</v>
      </c>
      <c r="K3268" s="80" t="s">
        <v>11799</v>
      </c>
      <c r="L3268" s="30">
        <v>989494136</v>
      </c>
      <c r="M3268" s="80" t="s">
        <v>3728</v>
      </c>
      <c r="N3268" s="80" t="s">
        <v>5312</v>
      </c>
      <c r="O3268" s="80" t="s">
        <v>11055</v>
      </c>
      <c r="P3268" s="144" t="s">
        <v>11800</v>
      </c>
      <c r="Q3268" s="20">
        <v>15936</v>
      </c>
      <c r="R3268" s="80" t="s">
        <v>36</v>
      </c>
      <c r="S3268" s="95">
        <f>200+1800</f>
        <v>2000</v>
      </c>
      <c r="T3268" s="83" t="s">
        <v>11057</v>
      </c>
      <c r="U3268" s="95">
        <f>7000+6936</f>
        <v>13936</v>
      </c>
      <c r="V3268" s="83" t="s">
        <v>11058</v>
      </c>
      <c r="W3268" s="85" t="s">
        <v>11059</v>
      </c>
      <c r="X3268" s="80">
        <v>0</v>
      </c>
      <c r="Y3268" s="22">
        <v>0</v>
      </c>
      <c r="Z3268" s="80" t="s">
        <v>50</v>
      </c>
      <c r="AA3268" s="35" t="s">
        <v>10314</v>
      </c>
      <c r="AB3268" s="80"/>
      <c r="AC3268" s="80" t="s">
        <v>53</v>
      </c>
      <c r="AD3268" s="80" t="s">
        <v>54</v>
      </c>
      <c r="AE3268" s="80" t="s">
        <v>9675</v>
      </c>
      <c r="AF3268" s="17">
        <v>45595</v>
      </c>
      <c r="AG3268" s="80"/>
      <c r="AH3268" s="80"/>
      <c r="AI3268" s="147"/>
      <c r="AJ3268" s="80"/>
      <c r="AK3268" s="80"/>
      <c r="AL3268" s="35"/>
      <c r="AM3268" s="35"/>
      <c r="AN3268" s="35"/>
      <c r="AO3268" s="35"/>
      <c r="AP3268" s="35"/>
    </row>
    <row r="3269" spans="1:42" x14ac:dyDescent="0.2">
      <c r="A3269" s="38">
        <v>45559</v>
      </c>
      <c r="B3269" s="28" t="s">
        <v>37</v>
      </c>
      <c r="C3269" s="41" t="s">
        <v>118</v>
      </c>
      <c r="D3269" s="26" t="s">
        <v>36</v>
      </c>
      <c r="E3269" s="26" t="s">
        <v>39</v>
      </c>
      <c r="F3269" s="26" t="s">
        <v>9241</v>
      </c>
      <c r="G3269" s="80" t="s">
        <v>108</v>
      </c>
      <c r="H3269" s="26" t="s">
        <v>9897</v>
      </c>
      <c r="I3269" s="17">
        <f ca="1">IFERROR(__xludf.DUMMYFUNCTION("""COMPUTED_VALUE"""),45562)</f>
        <v>45562</v>
      </c>
      <c r="J3269" s="29" t="s">
        <v>10517</v>
      </c>
      <c r="K3269" s="26" t="s">
        <v>10518</v>
      </c>
      <c r="L3269" s="30">
        <v>768479019</v>
      </c>
      <c r="M3269" s="26" t="s">
        <v>3728</v>
      </c>
      <c r="N3269" s="26" t="s">
        <v>5312</v>
      </c>
      <c r="O3269" s="26" t="s">
        <v>10519</v>
      </c>
      <c r="P3269" s="42" t="s">
        <v>11801</v>
      </c>
      <c r="Q3269" s="20">
        <v>5736</v>
      </c>
      <c r="R3269" s="26" t="s">
        <v>36</v>
      </c>
      <c r="S3269" s="95">
        <v>2000</v>
      </c>
      <c r="T3269" s="148">
        <v>45478</v>
      </c>
      <c r="U3269" s="95">
        <v>3768</v>
      </c>
      <c r="V3269" s="148">
        <v>45517</v>
      </c>
      <c r="W3269" s="33" t="s">
        <v>10521</v>
      </c>
      <c r="X3269" s="26">
        <v>0</v>
      </c>
      <c r="Y3269" s="22">
        <v>-32</v>
      </c>
      <c r="Z3269" s="26" t="s">
        <v>50</v>
      </c>
      <c r="AA3269" s="96" t="s">
        <v>10314</v>
      </c>
      <c r="AB3269" s="26"/>
      <c r="AC3269" s="26" t="s">
        <v>53</v>
      </c>
      <c r="AD3269" s="26" t="s">
        <v>54</v>
      </c>
      <c r="AE3269" s="26" t="s">
        <v>9241</v>
      </c>
      <c r="AF3269" s="17">
        <v>45560</v>
      </c>
      <c r="AG3269" s="26"/>
      <c r="AH3269" s="26"/>
      <c r="AI3269" s="40"/>
      <c r="AJ3269" s="26"/>
      <c r="AK3269" s="26"/>
      <c r="AL3269" s="35"/>
      <c r="AM3269" s="35"/>
      <c r="AN3269" s="35"/>
      <c r="AO3269" s="35"/>
      <c r="AP3269" s="35"/>
    </row>
    <row r="3270" spans="1:42" x14ac:dyDescent="0.2">
      <c r="A3270" s="38">
        <v>45559</v>
      </c>
      <c r="B3270" s="28" t="s">
        <v>37</v>
      </c>
      <c r="C3270" s="41" t="s">
        <v>118</v>
      </c>
      <c r="D3270" s="26" t="s">
        <v>36</v>
      </c>
      <c r="E3270" s="26" t="s">
        <v>56</v>
      </c>
      <c r="F3270" s="26" t="s">
        <v>9675</v>
      </c>
      <c r="G3270" s="80" t="s">
        <v>108</v>
      </c>
      <c r="H3270" s="26" t="s">
        <v>11802</v>
      </c>
      <c r="I3270" s="17">
        <f ca="1">IFERROR(__xludf.DUMMYFUNCTION("""COMPUTED_VALUE"""),45572)</f>
        <v>45572</v>
      </c>
      <c r="J3270" s="29" t="s">
        <v>10837</v>
      </c>
      <c r="K3270" s="26" t="s">
        <v>11803</v>
      </c>
      <c r="L3270" s="30">
        <v>981546220</v>
      </c>
      <c r="M3270" s="26" t="s">
        <v>80</v>
      </c>
      <c r="N3270" s="26" t="s">
        <v>466</v>
      </c>
      <c r="O3270" s="26" t="s">
        <v>10839</v>
      </c>
      <c r="P3270" s="42" t="s">
        <v>11804</v>
      </c>
      <c r="Q3270" s="20">
        <v>9317</v>
      </c>
      <c r="R3270" s="26" t="s">
        <v>36</v>
      </c>
      <c r="S3270" s="95">
        <f>200+1800+7317</f>
        <v>9317</v>
      </c>
      <c r="T3270" s="83" t="s">
        <v>10841</v>
      </c>
      <c r="U3270" s="31"/>
      <c r="V3270" s="32"/>
      <c r="W3270" s="33" t="s">
        <v>10842</v>
      </c>
      <c r="X3270" s="26">
        <v>0</v>
      </c>
      <c r="Y3270" s="22">
        <v>0</v>
      </c>
      <c r="Z3270" s="26" t="s">
        <v>50</v>
      </c>
      <c r="AA3270" s="35" t="s">
        <v>10314</v>
      </c>
      <c r="AB3270" s="26"/>
      <c r="AC3270" s="26" t="s">
        <v>53</v>
      </c>
      <c r="AD3270" s="26" t="s">
        <v>54</v>
      </c>
      <c r="AE3270" s="26" t="s">
        <v>9675</v>
      </c>
      <c r="AF3270" s="17">
        <v>45566</v>
      </c>
      <c r="AG3270" s="26" t="s">
        <v>7078</v>
      </c>
      <c r="AH3270" s="26"/>
      <c r="AI3270" s="40"/>
      <c r="AJ3270" s="26"/>
      <c r="AK3270" s="26"/>
      <c r="AL3270" s="35"/>
      <c r="AM3270" s="35"/>
      <c r="AN3270" s="35"/>
      <c r="AO3270" s="35"/>
      <c r="AP3270" s="35"/>
    </row>
    <row r="3271" spans="1:42" x14ac:dyDescent="0.2">
      <c r="A3271" s="38">
        <v>45559</v>
      </c>
      <c r="B3271" s="28" t="s">
        <v>37</v>
      </c>
      <c r="C3271" s="41" t="s">
        <v>118</v>
      </c>
      <c r="D3271" s="26" t="s">
        <v>36</v>
      </c>
      <c r="E3271" s="26" t="s">
        <v>139</v>
      </c>
      <c r="F3271" s="26" t="s">
        <v>10304</v>
      </c>
      <c r="G3271" s="80" t="s">
        <v>108</v>
      </c>
      <c r="H3271" s="26" t="s">
        <v>11802</v>
      </c>
      <c r="I3271" s="17">
        <f ca="1">IFERROR(__xludf.DUMMYFUNCTION("""COMPUTED_VALUE"""),45572)</f>
        <v>45572</v>
      </c>
      <c r="J3271" s="29" t="s">
        <v>10950</v>
      </c>
      <c r="K3271" s="26" t="s">
        <v>11805</v>
      </c>
      <c r="L3271" s="30">
        <v>964381420</v>
      </c>
      <c r="M3271" s="26" t="s">
        <v>80</v>
      </c>
      <c r="N3271" s="26" t="s">
        <v>1073</v>
      </c>
      <c r="O3271" s="26" t="s">
        <v>10952</v>
      </c>
      <c r="P3271" s="42" t="s">
        <v>11806</v>
      </c>
      <c r="Q3271" s="20">
        <v>15936</v>
      </c>
      <c r="R3271" s="26" t="s">
        <v>36</v>
      </c>
      <c r="S3271" s="95">
        <f t="shared" ref="S3271:S3274" si="33">200+1800</f>
        <v>2000</v>
      </c>
      <c r="T3271" s="83" t="s">
        <v>10954</v>
      </c>
      <c r="U3271" s="95">
        <v>13936</v>
      </c>
      <c r="V3271" s="148">
        <v>45534</v>
      </c>
      <c r="W3271" s="33" t="s">
        <v>10955</v>
      </c>
      <c r="X3271" s="26">
        <v>0</v>
      </c>
      <c r="Y3271" s="22">
        <v>0</v>
      </c>
      <c r="Z3271" s="26" t="s">
        <v>50</v>
      </c>
      <c r="AA3271" s="96" t="s">
        <v>10314</v>
      </c>
      <c r="AB3271" s="26"/>
      <c r="AC3271" s="26" t="s">
        <v>53</v>
      </c>
      <c r="AD3271" s="26" t="s">
        <v>54</v>
      </c>
      <c r="AE3271" s="26" t="s">
        <v>10304</v>
      </c>
      <c r="AF3271" s="17">
        <v>45566</v>
      </c>
      <c r="AG3271" s="26"/>
      <c r="AH3271" s="26"/>
      <c r="AI3271" s="40"/>
      <c r="AJ3271" s="26"/>
      <c r="AK3271" s="26"/>
      <c r="AL3271" s="35"/>
      <c r="AM3271" s="35"/>
      <c r="AN3271" s="35"/>
      <c r="AO3271" s="35"/>
      <c r="AP3271" s="35"/>
    </row>
    <row r="3272" spans="1:42" x14ac:dyDescent="0.2">
      <c r="A3272" s="38">
        <v>45559</v>
      </c>
      <c r="B3272" s="28" t="s">
        <v>37</v>
      </c>
      <c r="C3272" s="41" t="s">
        <v>118</v>
      </c>
      <c r="D3272" s="80" t="s">
        <v>36</v>
      </c>
      <c r="E3272" s="80" t="s">
        <v>139</v>
      </c>
      <c r="F3272" s="80" t="s">
        <v>9693</v>
      </c>
      <c r="G3272" s="80" t="s">
        <v>108</v>
      </c>
      <c r="H3272" s="26" t="s">
        <v>11802</v>
      </c>
      <c r="I3272" s="17">
        <f ca="1">IFERROR(__xludf.DUMMYFUNCTION("""COMPUTED_VALUE"""),45572)</f>
        <v>45572</v>
      </c>
      <c r="J3272" s="143" t="s">
        <v>11064</v>
      </c>
      <c r="K3272" s="80" t="s">
        <v>11807</v>
      </c>
      <c r="L3272" s="30">
        <v>911207358</v>
      </c>
      <c r="M3272" s="80" t="s">
        <v>3728</v>
      </c>
      <c r="N3272" s="80" t="s">
        <v>8725</v>
      </c>
      <c r="O3272" s="80" t="s">
        <v>11066</v>
      </c>
      <c r="P3272" s="80" t="s">
        <v>11067</v>
      </c>
      <c r="Q3272" s="20">
        <v>15936</v>
      </c>
      <c r="R3272" s="80" t="s">
        <v>36</v>
      </c>
      <c r="S3272" s="95">
        <f t="shared" si="33"/>
        <v>2000</v>
      </c>
      <c r="T3272" s="83" t="s">
        <v>11068</v>
      </c>
      <c r="U3272" s="95">
        <v>13936</v>
      </c>
      <c r="V3272" s="148">
        <v>45531</v>
      </c>
      <c r="W3272" s="85" t="s">
        <v>11069</v>
      </c>
      <c r="X3272" s="80">
        <v>0</v>
      </c>
      <c r="Y3272" s="22">
        <v>0</v>
      </c>
      <c r="Z3272" s="80" t="s">
        <v>50</v>
      </c>
      <c r="AA3272" s="35" t="s">
        <v>10314</v>
      </c>
      <c r="AB3272" s="80"/>
      <c r="AC3272" s="80" t="s">
        <v>53</v>
      </c>
      <c r="AD3272" s="80" t="s">
        <v>54</v>
      </c>
      <c r="AE3272" s="80" t="s">
        <v>9693</v>
      </c>
      <c r="AF3272" s="17">
        <v>45566</v>
      </c>
      <c r="AG3272" s="80"/>
      <c r="AH3272" s="80"/>
      <c r="AI3272" s="147"/>
      <c r="AJ3272" s="80"/>
      <c r="AK3272" s="80"/>
      <c r="AL3272" s="35"/>
      <c r="AM3272" s="35"/>
      <c r="AN3272" s="35"/>
      <c r="AO3272" s="35"/>
      <c r="AP3272" s="35"/>
    </row>
    <row r="3273" spans="1:42" x14ac:dyDescent="0.2">
      <c r="A3273" s="38">
        <v>45560</v>
      </c>
      <c r="B3273" s="28" t="s">
        <v>37</v>
      </c>
      <c r="C3273" s="41" t="s">
        <v>118</v>
      </c>
      <c r="D3273" s="26" t="s">
        <v>36</v>
      </c>
      <c r="E3273" s="26" t="s">
        <v>139</v>
      </c>
      <c r="F3273" s="26" t="s">
        <v>9560</v>
      </c>
      <c r="G3273" s="80" t="s">
        <v>108</v>
      </c>
      <c r="H3273" s="26" t="s">
        <v>11808</v>
      </c>
      <c r="I3273" s="17">
        <f ca="1">IFERROR(__xludf.DUMMYFUNCTION("""COMPUTED_VALUE"""),45579)</f>
        <v>45579</v>
      </c>
      <c r="J3273" s="29" t="s">
        <v>10818</v>
      </c>
      <c r="K3273" s="26" t="s">
        <v>11809</v>
      </c>
      <c r="L3273" s="30">
        <v>354381239</v>
      </c>
      <c r="M3273" s="26" t="s">
        <v>80</v>
      </c>
      <c r="N3273" s="26" t="s">
        <v>466</v>
      </c>
      <c r="O3273" s="26" t="s">
        <v>10820</v>
      </c>
      <c r="P3273" s="42" t="s">
        <v>11810</v>
      </c>
      <c r="Q3273" s="20">
        <v>15936</v>
      </c>
      <c r="R3273" s="26" t="s">
        <v>36</v>
      </c>
      <c r="S3273" s="95">
        <f t="shared" si="33"/>
        <v>2000</v>
      </c>
      <c r="T3273" s="83" t="s">
        <v>10822</v>
      </c>
      <c r="U3273" s="95">
        <v>13936</v>
      </c>
      <c r="V3273" s="148">
        <v>45530</v>
      </c>
      <c r="W3273" s="33" t="s">
        <v>10823</v>
      </c>
      <c r="X3273" s="26">
        <v>0</v>
      </c>
      <c r="Y3273" s="22">
        <v>0</v>
      </c>
      <c r="Z3273" s="26" t="s">
        <v>50</v>
      </c>
      <c r="AA3273" s="96" t="s">
        <v>10314</v>
      </c>
      <c r="AB3273" s="26"/>
      <c r="AC3273" s="26" t="s">
        <v>53</v>
      </c>
      <c r="AD3273" s="26" t="s">
        <v>54</v>
      </c>
      <c r="AE3273" s="26" t="s">
        <v>9560</v>
      </c>
      <c r="AF3273" s="17">
        <v>45579</v>
      </c>
      <c r="AG3273" s="26"/>
      <c r="AH3273" s="26"/>
      <c r="AI3273" s="40"/>
      <c r="AJ3273" s="26"/>
      <c r="AK3273" s="26"/>
      <c r="AL3273" s="35"/>
      <c r="AM3273" s="35"/>
      <c r="AN3273" s="35"/>
      <c r="AO3273" s="35"/>
      <c r="AP3273" s="35"/>
    </row>
    <row r="3274" spans="1:42" x14ac:dyDescent="0.2">
      <c r="A3274" s="38">
        <v>45561</v>
      </c>
      <c r="B3274" s="28" t="s">
        <v>37</v>
      </c>
      <c r="C3274" s="41" t="s">
        <v>118</v>
      </c>
      <c r="D3274" s="80" t="s">
        <v>36</v>
      </c>
      <c r="E3274" s="80" t="s">
        <v>139</v>
      </c>
      <c r="F3274" s="80" t="s">
        <v>9682</v>
      </c>
      <c r="G3274" s="80" t="s">
        <v>108</v>
      </c>
      <c r="H3274" s="26" t="s">
        <v>10282</v>
      </c>
      <c r="I3274" s="17">
        <f ca="1">IFERROR(__xludf.DUMMYFUNCTION("""COMPUTED_VALUE"""),45560)</f>
        <v>45560</v>
      </c>
      <c r="J3274" s="143" t="s">
        <v>11081</v>
      </c>
      <c r="K3274" s="80" t="s">
        <v>11811</v>
      </c>
      <c r="L3274" s="30">
        <v>329465472</v>
      </c>
      <c r="M3274" s="80" t="s">
        <v>80</v>
      </c>
      <c r="N3274" s="80" t="s">
        <v>466</v>
      </c>
      <c r="O3274" s="80" t="s">
        <v>11083</v>
      </c>
      <c r="P3274" s="144" t="s">
        <v>11812</v>
      </c>
      <c r="Q3274" s="20">
        <v>15936</v>
      </c>
      <c r="R3274" s="80" t="s">
        <v>36</v>
      </c>
      <c r="S3274" s="95">
        <f t="shared" si="33"/>
        <v>2000</v>
      </c>
      <c r="T3274" s="83" t="s">
        <v>11085</v>
      </c>
      <c r="U3274" s="95">
        <v>13936</v>
      </c>
      <c r="V3274" s="148">
        <v>45524</v>
      </c>
      <c r="W3274" s="85" t="s">
        <v>11086</v>
      </c>
      <c r="X3274" s="80">
        <v>0</v>
      </c>
      <c r="Y3274" s="22">
        <v>0</v>
      </c>
      <c r="Z3274" s="80" t="s">
        <v>50</v>
      </c>
      <c r="AA3274" s="35" t="s">
        <v>10314</v>
      </c>
      <c r="AB3274" s="80"/>
      <c r="AC3274" s="80" t="s">
        <v>53</v>
      </c>
      <c r="AD3274" s="80" t="s">
        <v>54</v>
      </c>
      <c r="AE3274" s="80" t="s">
        <v>9682</v>
      </c>
      <c r="AF3274" s="17">
        <v>45561</v>
      </c>
      <c r="AG3274" s="80"/>
      <c r="AH3274" s="80"/>
      <c r="AI3274" s="147"/>
      <c r="AJ3274" s="80"/>
      <c r="AK3274" s="80"/>
      <c r="AL3274" s="35"/>
      <c r="AM3274" s="35"/>
      <c r="AN3274" s="35"/>
      <c r="AO3274" s="35"/>
      <c r="AP3274" s="35"/>
    </row>
    <row r="3275" spans="1:42" x14ac:dyDescent="0.2">
      <c r="A3275" s="38">
        <v>45561</v>
      </c>
      <c r="B3275" s="28" t="s">
        <v>37</v>
      </c>
      <c r="C3275" s="41" t="s">
        <v>118</v>
      </c>
      <c r="D3275" s="80" t="s">
        <v>36</v>
      </c>
      <c r="E3275" s="80" t="s">
        <v>139</v>
      </c>
      <c r="F3275" s="80" t="s">
        <v>9682</v>
      </c>
      <c r="G3275" s="80" t="s">
        <v>108</v>
      </c>
      <c r="H3275" s="26" t="s">
        <v>11808</v>
      </c>
      <c r="I3275" s="17">
        <f ca="1">IFERROR(__xludf.DUMMYFUNCTION("""COMPUTED_VALUE"""),45579)</f>
        <v>45579</v>
      </c>
      <c r="J3275" s="143" t="s">
        <v>11813</v>
      </c>
      <c r="K3275" s="80" t="s">
        <v>654</v>
      </c>
      <c r="L3275" s="30">
        <v>839000483</v>
      </c>
      <c r="M3275" s="80" t="s">
        <v>123</v>
      </c>
      <c r="N3275" s="80" t="s">
        <v>186</v>
      </c>
      <c r="O3275" s="80" t="s">
        <v>4503</v>
      </c>
      <c r="P3275" s="144" t="s">
        <v>11814</v>
      </c>
      <c r="Q3275" s="20">
        <v>15936</v>
      </c>
      <c r="R3275" s="80" t="s">
        <v>36</v>
      </c>
      <c r="S3275" s="77">
        <v>2000</v>
      </c>
      <c r="T3275" s="78">
        <v>45496</v>
      </c>
      <c r="U3275" s="77">
        <v>13936</v>
      </c>
      <c r="V3275" s="78">
        <v>45550</v>
      </c>
      <c r="W3275" s="80" t="s">
        <v>11815</v>
      </c>
      <c r="X3275" s="86">
        <v>0</v>
      </c>
      <c r="Y3275" s="22">
        <v>0</v>
      </c>
      <c r="Z3275" s="80" t="s">
        <v>50</v>
      </c>
      <c r="AA3275" s="82" t="s">
        <v>3291</v>
      </c>
      <c r="AB3275" s="80"/>
      <c r="AC3275" s="80" t="s">
        <v>53</v>
      </c>
      <c r="AD3275" s="80" t="s">
        <v>54</v>
      </c>
      <c r="AE3275" s="80" t="s">
        <v>9682</v>
      </c>
      <c r="AF3275" s="17">
        <v>45579</v>
      </c>
      <c r="AG3275" s="80"/>
      <c r="AH3275" s="80"/>
      <c r="AI3275" s="147" t="s">
        <v>147</v>
      </c>
      <c r="AJ3275" s="80"/>
      <c r="AK3275" s="80"/>
      <c r="AL3275" s="35"/>
      <c r="AM3275" s="35"/>
      <c r="AN3275" s="35"/>
      <c r="AO3275" s="35"/>
      <c r="AP3275" s="35"/>
    </row>
    <row r="3276" spans="1:42" x14ac:dyDescent="0.2">
      <c r="A3276" s="38">
        <v>45561</v>
      </c>
      <c r="B3276" s="28" t="s">
        <v>37</v>
      </c>
      <c r="C3276" s="41" t="s">
        <v>118</v>
      </c>
      <c r="D3276" s="80" t="s">
        <v>36</v>
      </c>
      <c r="E3276" s="80" t="s">
        <v>106</v>
      </c>
      <c r="F3276" s="80" t="s">
        <v>36</v>
      </c>
      <c r="G3276" s="80" t="s">
        <v>108</v>
      </c>
      <c r="H3276" s="26" t="s">
        <v>11802</v>
      </c>
      <c r="I3276" s="17">
        <f ca="1">IFERROR(__xludf.DUMMYFUNCTION("""COMPUTED_VALUE"""),45572)</f>
        <v>45572</v>
      </c>
      <c r="J3276" s="143" t="s">
        <v>11816</v>
      </c>
      <c r="K3276" s="80" t="s">
        <v>11817</v>
      </c>
      <c r="L3276" s="30">
        <v>399303134</v>
      </c>
      <c r="M3276" s="80" t="s">
        <v>1245</v>
      </c>
      <c r="N3276" s="80" t="s">
        <v>11818</v>
      </c>
      <c r="O3276" s="80" t="s">
        <v>11819</v>
      </c>
      <c r="P3276" s="144" t="s">
        <v>11820</v>
      </c>
      <c r="Q3276" s="20">
        <v>3968</v>
      </c>
      <c r="R3276" s="80" t="s">
        <v>36</v>
      </c>
      <c r="S3276" s="77">
        <v>10804</v>
      </c>
      <c r="T3276" s="78">
        <v>44834</v>
      </c>
      <c r="U3276" s="77"/>
      <c r="V3276" s="78"/>
      <c r="W3276" s="183" t="s">
        <v>11821</v>
      </c>
      <c r="X3276" s="80">
        <v>0</v>
      </c>
      <c r="Y3276" s="22">
        <v>0</v>
      </c>
      <c r="Z3276" s="41" t="s">
        <v>118</v>
      </c>
      <c r="AA3276" s="86" t="s">
        <v>2051</v>
      </c>
      <c r="AB3276" s="80" t="s">
        <v>36</v>
      </c>
      <c r="AC3276" s="80" t="s">
        <v>53</v>
      </c>
      <c r="AD3276" s="80" t="s">
        <v>54</v>
      </c>
      <c r="AE3276" s="80">
        <v>380</v>
      </c>
      <c r="AF3276" s="17">
        <v>45566</v>
      </c>
      <c r="AG3276" s="80" t="s">
        <v>11822</v>
      </c>
      <c r="AH3276" s="184" t="s">
        <v>11823</v>
      </c>
      <c r="AI3276" s="185"/>
      <c r="AJ3276" s="165">
        <v>44963.091871469907</v>
      </c>
      <c r="AK3276" s="82"/>
      <c r="AL3276" s="82">
        <v>968437905</v>
      </c>
      <c r="AM3276" s="82" t="s">
        <v>11824</v>
      </c>
      <c r="AN3276" s="82"/>
      <c r="AO3276" s="80"/>
      <c r="AP3276" s="35"/>
    </row>
    <row r="3277" spans="1:42" x14ac:dyDescent="0.2">
      <c r="A3277" s="38">
        <v>45561</v>
      </c>
      <c r="B3277" s="28" t="s">
        <v>37</v>
      </c>
      <c r="C3277" s="41" t="s">
        <v>118</v>
      </c>
      <c r="D3277" s="26" t="s">
        <v>36</v>
      </c>
      <c r="E3277" s="26" t="s">
        <v>139</v>
      </c>
      <c r="F3277" s="26" t="s">
        <v>9531</v>
      </c>
      <c r="G3277" s="80" t="s">
        <v>108</v>
      </c>
      <c r="H3277" s="26" t="s">
        <v>9827</v>
      </c>
      <c r="I3277" s="17">
        <f ca="1">IFERROR(__xludf.DUMMYFUNCTION("""COMPUTED_VALUE"""),45567)</f>
        <v>45567</v>
      </c>
      <c r="J3277" s="29" t="s">
        <v>10807</v>
      </c>
      <c r="K3277" s="26" t="s">
        <v>11825</v>
      </c>
      <c r="L3277" s="30">
        <v>374471706</v>
      </c>
      <c r="M3277" s="26" t="s">
        <v>80</v>
      </c>
      <c r="N3277" s="26" t="s">
        <v>1073</v>
      </c>
      <c r="O3277" s="26" t="s">
        <v>10809</v>
      </c>
      <c r="P3277" s="144" t="s">
        <v>10810</v>
      </c>
      <c r="Q3277" s="20">
        <v>15936</v>
      </c>
      <c r="R3277" s="26" t="s">
        <v>36</v>
      </c>
      <c r="S3277" s="95">
        <v>2000</v>
      </c>
      <c r="T3277" s="148">
        <v>45491</v>
      </c>
      <c r="U3277" s="95">
        <v>13968</v>
      </c>
      <c r="V3277" s="148">
        <v>45510</v>
      </c>
      <c r="W3277" s="33" t="s">
        <v>10811</v>
      </c>
      <c r="X3277" s="26">
        <v>0</v>
      </c>
      <c r="Y3277" s="22">
        <v>-32</v>
      </c>
      <c r="Z3277" s="26" t="s">
        <v>50</v>
      </c>
      <c r="AA3277" s="96" t="s">
        <v>10314</v>
      </c>
      <c r="AB3277" s="26"/>
      <c r="AC3277" s="26" t="s">
        <v>53</v>
      </c>
      <c r="AD3277" s="26" t="s">
        <v>54</v>
      </c>
      <c r="AE3277" s="26" t="s">
        <v>9531</v>
      </c>
      <c r="AF3277" s="17">
        <v>45561</v>
      </c>
      <c r="AG3277" s="26"/>
      <c r="AH3277" s="26"/>
      <c r="AI3277" s="40"/>
      <c r="AJ3277" s="26"/>
      <c r="AK3277" s="26"/>
      <c r="AL3277" s="35"/>
      <c r="AM3277" s="35"/>
      <c r="AN3277" s="35"/>
      <c r="AO3277" s="35"/>
      <c r="AP3277" s="35"/>
    </row>
    <row r="3278" spans="1:42" x14ac:dyDescent="0.2">
      <c r="A3278" s="38">
        <v>45561</v>
      </c>
      <c r="B3278" s="28" t="s">
        <v>37</v>
      </c>
      <c r="C3278" s="41" t="s">
        <v>118</v>
      </c>
      <c r="D3278" s="26" t="s">
        <v>36</v>
      </c>
      <c r="E3278" s="26" t="s">
        <v>56</v>
      </c>
      <c r="F3278" s="26" t="s">
        <v>9531</v>
      </c>
      <c r="G3278" s="80" t="s">
        <v>108</v>
      </c>
      <c r="H3278" s="26" t="s">
        <v>9827</v>
      </c>
      <c r="I3278" s="17">
        <f ca="1">IFERROR(__xludf.DUMMYFUNCTION("""COMPUTED_VALUE"""),45567)</f>
        <v>45567</v>
      </c>
      <c r="J3278" s="29" t="s">
        <v>10727</v>
      </c>
      <c r="K3278" s="26" t="s">
        <v>11826</v>
      </c>
      <c r="L3278" s="30">
        <v>373822180</v>
      </c>
      <c r="M3278" s="26" t="s">
        <v>910</v>
      </c>
      <c r="N3278" s="26" t="s">
        <v>3525</v>
      </c>
      <c r="O3278" s="26" t="s">
        <v>91</v>
      </c>
      <c r="P3278" s="42" t="s">
        <v>11827</v>
      </c>
      <c r="Q3278" s="20">
        <v>9317</v>
      </c>
      <c r="R3278" s="26" t="s">
        <v>36</v>
      </c>
      <c r="S3278" s="95">
        <v>2000</v>
      </c>
      <c r="T3278" s="148">
        <v>45486</v>
      </c>
      <c r="U3278" s="95">
        <v>7317</v>
      </c>
      <c r="V3278" s="148">
        <v>45507</v>
      </c>
      <c r="W3278" s="33" t="s">
        <v>10730</v>
      </c>
      <c r="X3278" s="26">
        <v>0</v>
      </c>
      <c r="Y3278" s="22">
        <v>0</v>
      </c>
      <c r="Z3278" s="26" t="s">
        <v>50</v>
      </c>
      <c r="AA3278" s="35" t="s">
        <v>10314</v>
      </c>
      <c r="AB3278" s="26"/>
      <c r="AC3278" s="26" t="s">
        <v>53</v>
      </c>
      <c r="AD3278" s="26" t="s">
        <v>54</v>
      </c>
      <c r="AE3278" s="26" t="s">
        <v>9531</v>
      </c>
      <c r="AF3278" s="17">
        <v>45561</v>
      </c>
      <c r="AG3278" s="26"/>
      <c r="AH3278" s="26"/>
      <c r="AI3278" s="40"/>
      <c r="AJ3278" s="26"/>
      <c r="AK3278" s="26"/>
      <c r="AL3278" s="35"/>
      <c r="AM3278" s="35"/>
      <c r="AN3278" s="35"/>
      <c r="AO3278" s="35"/>
      <c r="AP3278" s="35"/>
    </row>
    <row r="3279" spans="1:42" x14ac:dyDescent="0.2">
      <c r="A3279" s="38">
        <v>45561</v>
      </c>
      <c r="B3279" s="28" t="s">
        <v>37</v>
      </c>
      <c r="C3279" s="41" t="s">
        <v>118</v>
      </c>
      <c r="D3279" s="26" t="s">
        <v>36</v>
      </c>
      <c r="E3279" s="26" t="s">
        <v>139</v>
      </c>
      <c r="F3279" s="26" t="s">
        <v>9531</v>
      </c>
      <c r="G3279" s="80" t="s">
        <v>108</v>
      </c>
      <c r="H3279" s="26" t="s">
        <v>9827</v>
      </c>
      <c r="I3279" s="17">
        <f ca="1">IFERROR(__xludf.DUMMYFUNCTION("""COMPUTED_VALUE"""),45567)</f>
        <v>45567</v>
      </c>
      <c r="J3279" s="29" t="s">
        <v>11828</v>
      </c>
      <c r="K3279" s="26" t="s">
        <v>11829</v>
      </c>
      <c r="L3279" s="30">
        <v>396488331</v>
      </c>
      <c r="M3279" s="26" t="s">
        <v>3728</v>
      </c>
      <c r="N3279" s="26" t="s">
        <v>8725</v>
      </c>
      <c r="O3279" s="26" t="s">
        <v>11830</v>
      </c>
      <c r="P3279" s="42" t="s">
        <v>11831</v>
      </c>
      <c r="Q3279" s="20">
        <v>15936</v>
      </c>
      <c r="R3279" s="26" t="s">
        <v>36</v>
      </c>
      <c r="S3279" s="95">
        <v>2000</v>
      </c>
      <c r="T3279" s="148">
        <v>45486</v>
      </c>
      <c r="U3279" s="95">
        <v>13936</v>
      </c>
      <c r="V3279" s="148">
        <v>45540</v>
      </c>
      <c r="W3279" s="33" t="s">
        <v>11832</v>
      </c>
      <c r="X3279" s="26">
        <v>0</v>
      </c>
      <c r="Y3279" s="22">
        <v>0</v>
      </c>
      <c r="Z3279" s="26" t="s">
        <v>50</v>
      </c>
      <c r="AA3279" s="96"/>
      <c r="AB3279" s="26"/>
      <c r="AC3279" s="26" t="s">
        <v>53</v>
      </c>
      <c r="AD3279" s="26" t="s">
        <v>54</v>
      </c>
      <c r="AE3279" s="26" t="s">
        <v>9531</v>
      </c>
      <c r="AF3279" s="17">
        <v>45561</v>
      </c>
      <c r="AG3279" s="26"/>
      <c r="AH3279" s="26"/>
      <c r="AI3279" s="40" t="s">
        <v>147</v>
      </c>
      <c r="AJ3279" s="26"/>
      <c r="AK3279" s="26"/>
      <c r="AL3279" s="35"/>
      <c r="AM3279" s="35"/>
      <c r="AN3279" s="35"/>
      <c r="AO3279" s="35"/>
      <c r="AP3279" s="35"/>
    </row>
    <row r="3280" spans="1:42" x14ac:dyDescent="0.2">
      <c r="A3280" s="38">
        <v>45561</v>
      </c>
      <c r="B3280" s="28" t="s">
        <v>37</v>
      </c>
      <c r="C3280" s="41" t="s">
        <v>118</v>
      </c>
      <c r="D3280" s="26" t="s">
        <v>36</v>
      </c>
      <c r="E3280" s="26" t="s">
        <v>139</v>
      </c>
      <c r="F3280" s="26" t="s">
        <v>9531</v>
      </c>
      <c r="G3280" s="80" t="s">
        <v>108</v>
      </c>
      <c r="H3280" s="26" t="s">
        <v>11833</v>
      </c>
      <c r="I3280" s="17" t="str">
        <f ca="1">IFERROR(__xludf.DUMMYFUNCTION("""COMPUTED_VALUE""")," ")</f>
        <v xml:space="preserve"> </v>
      </c>
      <c r="J3280" s="29" t="s">
        <v>10618</v>
      </c>
      <c r="K3280" s="26" t="s">
        <v>11834</v>
      </c>
      <c r="L3280" s="30">
        <v>373342217</v>
      </c>
      <c r="M3280" s="26" t="s">
        <v>910</v>
      </c>
      <c r="N3280" s="26" t="s">
        <v>3525</v>
      </c>
      <c r="O3280" s="26" t="s">
        <v>10620</v>
      </c>
      <c r="P3280" s="42" t="s">
        <v>11835</v>
      </c>
      <c r="Q3280" s="20">
        <v>15936</v>
      </c>
      <c r="R3280" s="26" t="s">
        <v>36</v>
      </c>
      <c r="S3280" s="95">
        <v>2000</v>
      </c>
      <c r="T3280" s="148">
        <v>45482</v>
      </c>
      <c r="U3280" s="95">
        <v>13936</v>
      </c>
      <c r="V3280" s="148">
        <v>45514</v>
      </c>
      <c r="W3280" s="33" t="s">
        <v>10622</v>
      </c>
      <c r="X3280" s="26">
        <v>0</v>
      </c>
      <c r="Y3280" s="22">
        <v>0</v>
      </c>
      <c r="Z3280" s="26" t="s">
        <v>50</v>
      </c>
      <c r="AA3280" s="35" t="s">
        <v>10314</v>
      </c>
      <c r="AB3280" s="26"/>
      <c r="AC3280" s="26" t="s">
        <v>53</v>
      </c>
      <c r="AD3280" s="26" t="s">
        <v>54</v>
      </c>
      <c r="AE3280" s="26" t="s">
        <v>9531</v>
      </c>
      <c r="AF3280" s="17">
        <v>45729</v>
      </c>
      <c r="AG3280" s="60" t="s">
        <v>11836</v>
      </c>
      <c r="AH3280" s="26"/>
      <c r="AI3280" s="40"/>
      <c r="AJ3280" s="26"/>
      <c r="AK3280" s="26"/>
      <c r="AL3280" s="35"/>
      <c r="AM3280" s="35"/>
      <c r="AN3280" s="35"/>
      <c r="AO3280" s="35"/>
      <c r="AP3280" s="35"/>
    </row>
    <row r="3281" spans="1:42" x14ac:dyDescent="0.2">
      <c r="A3281" s="38">
        <v>45561</v>
      </c>
      <c r="B3281" s="28" t="s">
        <v>37</v>
      </c>
      <c r="C3281" s="41" t="s">
        <v>118</v>
      </c>
      <c r="D3281" s="26" t="s">
        <v>36</v>
      </c>
      <c r="E3281" s="26" t="s">
        <v>139</v>
      </c>
      <c r="F3281" s="26" t="s">
        <v>9531</v>
      </c>
      <c r="G3281" s="80" t="s">
        <v>108</v>
      </c>
      <c r="H3281" s="26" t="s">
        <v>10033</v>
      </c>
      <c r="I3281" s="17">
        <f ca="1">IFERROR(__xludf.DUMMYFUNCTION("""COMPUTED_VALUE"""),45664)</f>
        <v>45664</v>
      </c>
      <c r="J3281" s="29" t="s">
        <v>11837</v>
      </c>
      <c r="K3281" s="26" t="s">
        <v>11838</v>
      </c>
      <c r="L3281" s="30">
        <v>876910277</v>
      </c>
      <c r="M3281" s="26" t="s">
        <v>3728</v>
      </c>
      <c r="N3281" s="26" t="s">
        <v>8725</v>
      </c>
      <c r="O3281" s="26" t="s">
        <v>11839</v>
      </c>
      <c r="P3281" s="42" t="s">
        <v>11840</v>
      </c>
      <c r="Q3281" s="20">
        <v>15936</v>
      </c>
      <c r="R3281" s="26" t="s">
        <v>36</v>
      </c>
      <c r="S3281" s="95">
        <f>200+1800</f>
        <v>2000</v>
      </c>
      <c r="T3281" s="83" t="s">
        <v>10060</v>
      </c>
      <c r="U3281" s="95">
        <v>13936</v>
      </c>
      <c r="V3281" s="148">
        <v>45536</v>
      </c>
      <c r="W3281" s="33" t="s">
        <v>11841</v>
      </c>
      <c r="X3281" s="26">
        <v>0</v>
      </c>
      <c r="Y3281" s="22">
        <v>0</v>
      </c>
      <c r="Z3281" s="26" t="s">
        <v>50</v>
      </c>
      <c r="AA3281" s="96"/>
      <c r="AB3281" s="26"/>
      <c r="AC3281" s="26" t="s">
        <v>53</v>
      </c>
      <c r="AD3281" s="26" t="s">
        <v>54</v>
      </c>
      <c r="AE3281" s="26" t="s">
        <v>9531</v>
      </c>
      <c r="AF3281" s="17">
        <v>45561</v>
      </c>
      <c r="AG3281" s="26"/>
      <c r="AH3281" s="26"/>
      <c r="AI3281" s="40" t="s">
        <v>147</v>
      </c>
      <c r="AJ3281" s="26"/>
      <c r="AK3281" s="26"/>
      <c r="AL3281" s="35"/>
      <c r="AM3281" s="35"/>
      <c r="AN3281" s="35"/>
      <c r="AO3281" s="35"/>
      <c r="AP3281" s="35"/>
    </row>
    <row r="3282" spans="1:42" x14ac:dyDescent="0.2">
      <c r="A3282" s="38">
        <v>45561</v>
      </c>
      <c r="B3282" s="28" t="s">
        <v>37</v>
      </c>
      <c r="C3282" s="41" t="s">
        <v>118</v>
      </c>
      <c r="D3282" s="26" t="s">
        <v>36</v>
      </c>
      <c r="E3282" s="26" t="s">
        <v>39</v>
      </c>
      <c r="F3282" s="26" t="s">
        <v>9581</v>
      </c>
      <c r="G3282" s="80" t="s">
        <v>108</v>
      </c>
      <c r="H3282" s="26" t="s">
        <v>9827</v>
      </c>
      <c r="I3282" s="17">
        <f ca="1">IFERROR(__xludf.DUMMYFUNCTION("""COMPUTED_VALUE"""),45567)</f>
        <v>45567</v>
      </c>
      <c r="J3282" s="29" t="s">
        <v>9621</v>
      </c>
      <c r="K3282" s="26" t="s">
        <v>9622</v>
      </c>
      <c r="L3282" s="30">
        <v>972172399</v>
      </c>
      <c r="M3282" s="26" t="s">
        <v>59</v>
      </c>
      <c r="N3282" s="26" t="s">
        <v>4299</v>
      </c>
      <c r="O3282" s="26" t="s">
        <v>9623</v>
      </c>
      <c r="P3282" s="42" t="s">
        <v>11842</v>
      </c>
      <c r="Q3282" s="20"/>
      <c r="R3282" s="26" t="s">
        <v>36</v>
      </c>
      <c r="S3282" s="95">
        <v>5736</v>
      </c>
      <c r="T3282" s="148">
        <v>45495</v>
      </c>
      <c r="U3282" s="31"/>
      <c r="V3282" s="32"/>
      <c r="W3282" s="33" t="s">
        <v>9625</v>
      </c>
      <c r="X3282" s="26"/>
      <c r="Y3282" s="22"/>
      <c r="Z3282" s="26" t="s">
        <v>50</v>
      </c>
      <c r="AA3282" s="70" t="s">
        <v>9070</v>
      </c>
      <c r="AB3282" s="26"/>
      <c r="AC3282" s="26" t="s">
        <v>53</v>
      </c>
      <c r="AD3282" s="26" t="s">
        <v>54</v>
      </c>
      <c r="AE3282" s="26" t="s">
        <v>9581</v>
      </c>
      <c r="AF3282" s="17">
        <v>45561</v>
      </c>
      <c r="AG3282" s="26"/>
      <c r="AH3282" s="26"/>
      <c r="AI3282" s="40"/>
      <c r="AJ3282" s="26"/>
      <c r="AK3282" s="26"/>
      <c r="AL3282" s="35"/>
      <c r="AM3282" s="35"/>
      <c r="AN3282" s="35"/>
      <c r="AO3282" s="35"/>
      <c r="AP3282" s="35"/>
    </row>
    <row r="3283" spans="1:42" x14ac:dyDescent="0.2">
      <c r="A3283" s="38">
        <v>45561</v>
      </c>
      <c r="B3283" s="28" t="s">
        <v>37</v>
      </c>
      <c r="C3283" s="41" t="s">
        <v>118</v>
      </c>
      <c r="D3283" s="26" t="s">
        <v>36</v>
      </c>
      <c r="E3283" s="26" t="s">
        <v>139</v>
      </c>
      <c r="F3283" s="26" t="s">
        <v>9581</v>
      </c>
      <c r="G3283" s="80" t="s">
        <v>108</v>
      </c>
      <c r="H3283" s="26" t="s">
        <v>9827</v>
      </c>
      <c r="I3283" s="17">
        <f ca="1">IFERROR(__xludf.DUMMYFUNCTION("""COMPUTED_VALUE"""),45567)</f>
        <v>45567</v>
      </c>
      <c r="J3283" s="29" t="s">
        <v>10852</v>
      </c>
      <c r="K3283" s="26" t="s">
        <v>11843</v>
      </c>
      <c r="L3283" s="30">
        <v>974839231</v>
      </c>
      <c r="M3283" s="26" t="s">
        <v>80</v>
      </c>
      <c r="N3283" s="26" t="s">
        <v>1073</v>
      </c>
      <c r="O3283" s="26" t="s">
        <v>10854</v>
      </c>
      <c r="P3283" s="42" t="s">
        <v>10855</v>
      </c>
      <c r="Q3283" s="20">
        <v>15936</v>
      </c>
      <c r="R3283" s="26" t="s">
        <v>36</v>
      </c>
      <c r="S3283" s="95">
        <f t="shared" ref="S3283:S3285" si="34">200+1800</f>
        <v>2000</v>
      </c>
      <c r="T3283" s="83" t="s">
        <v>10856</v>
      </c>
      <c r="U3283" s="95">
        <v>13968</v>
      </c>
      <c r="V3283" s="148">
        <v>45529</v>
      </c>
      <c r="W3283" s="33" t="s">
        <v>10857</v>
      </c>
      <c r="X3283" s="26">
        <v>0</v>
      </c>
      <c r="Y3283" s="22">
        <v>-32</v>
      </c>
      <c r="Z3283" s="26" t="s">
        <v>50</v>
      </c>
      <c r="AA3283" s="96" t="s">
        <v>10314</v>
      </c>
      <c r="AB3283" s="26"/>
      <c r="AC3283" s="26" t="s">
        <v>53</v>
      </c>
      <c r="AD3283" s="26" t="s">
        <v>54</v>
      </c>
      <c r="AE3283" s="26" t="s">
        <v>9581</v>
      </c>
      <c r="AF3283" s="17">
        <v>45561</v>
      </c>
      <c r="AG3283" s="26"/>
      <c r="AH3283" s="26"/>
      <c r="AI3283" s="40"/>
      <c r="AJ3283" s="26"/>
      <c r="AK3283" s="26"/>
      <c r="AL3283" s="35"/>
      <c r="AM3283" s="35"/>
      <c r="AN3283" s="35"/>
      <c r="AO3283" s="35"/>
      <c r="AP3283" s="35"/>
    </row>
    <row r="3284" spans="1:42" x14ac:dyDescent="0.2">
      <c r="A3284" s="38">
        <v>45562</v>
      </c>
      <c r="B3284" s="28" t="s">
        <v>37</v>
      </c>
      <c r="C3284" s="41" t="s">
        <v>118</v>
      </c>
      <c r="D3284" s="26" t="s">
        <v>36</v>
      </c>
      <c r="E3284" s="26" t="s">
        <v>56</v>
      </c>
      <c r="F3284" s="26" t="s">
        <v>9693</v>
      </c>
      <c r="G3284" s="80" t="s">
        <v>108</v>
      </c>
      <c r="H3284" s="26" t="s">
        <v>11802</v>
      </c>
      <c r="I3284" s="17">
        <f ca="1">IFERROR(__xludf.DUMMYFUNCTION("""COMPUTED_VALUE"""),45572)</f>
        <v>45572</v>
      </c>
      <c r="J3284" s="44" t="s">
        <v>10956</v>
      </c>
      <c r="K3284" s="26" t="s">
        <v>7138</v>
      </c>
      <c r="L3284" s="30">
        <v>328839190</v>
      </c>
      <c r="M3284" s="26" t="s">
        <v>80</v>
      </c>
      <c r="N3284" s="26" t="s">
        <v>1073</v>
      </c>
      <c r="O3284" s="26" t="s">
        <v>10958</v>
      </c>
      <c r="P3284" s="42" t="s">
        <v>11844</v>
      </c>
      <c r="Q3284" s="20">
        <v>9317</v>
      </c>
      <c r="R3284" s="26" t="s">
        <v>36</v>
      </c>
      <c r="S3284" s="95">
        <f t="shared" si="34"/>
        <v>2000</v>
      </c>
      <c r="T3284" s="83" t="s">
        <v>10960</v>
      </c>
      <c r="U3284" s="95">
        <v>7317</v>
      </c>
      <c r="V3284" s="148">
        <v>45527</v>
      </c>
      <c r="W3284" s="33" t="s">
        <v>10961</v>
      </c>
      <c r="X3284" s="26">
        <v>0</v>
      </c>
      <c r="Y3284" s="22">
        <v>0</v>
      </c>
      <c r="Z3284" s="26" t="s">
        <v>50</v>
      </c>
      <c r="AA3284" s="35" t="s">
        <v>10314</v>
      </c>
      <c r="AB3284" s="26"/>
      <c r="AC3284" s="26" t="s">
        <v>53</v>
      </c>
      <c r="AD3284" s="26" t="s">
        <v>54</v>
      </c>
      <c r="AE3284" s="26" t="s">
        <v>9693</v>
      </c>
      <c r="AF3284" s="17">
        <v>45566</v>
      </c>
      <c r="AG3284" s="26"/>
      <c r="AH3284" s="26"/>
      <c r="AI3284" s="40"/>
      <c r="AJ3284" s="26"/>
      <c r="AK3284" s="26"/>
      <c r="AL3284" s="35"/>
      <c r="AM3284" s="35"/>
      <c r="AN3284" s="35"/>
      <c r="AO3284" s="35"/>
      <c r="AP3284" s="35"/>
    </row>
    <row r="3285" spans="1:42" x14ac:dyDescent="0.2">
      <c r="A3285" s="38">
        <v>45562</v>
      </c>
      <c r="B3285" s="28" t="s">
        <v>37</v>
      </c>
      <c r="C3285" s="41" t="s">
        <v>118</v>
      </c>
      <c r="D3285" s="80" t="s">
        <v>36</v>
      </c>
      <c r="E3285" s="80" t="s">
        <v>77</v>
      </c>
      <c r="F3285" s="80" t="s">
        <v>11845</v>
      </c>
      <c r="G3285" s="26" t="s">
        <v>41</v>
      </c>
      <c r="H3285" s="80" t="s">
        <v>11846</v>
      </c>
      <c r="I3285" s="17">
        <f ca="1">IFERROR(__xludf.DUMMYFUNCTION("""COMPUTED_VALUE"""),45560)</f>
        <v>45560</v>
      </c>
      <c r="J3285" s="143" t="s">
        <v>11847</v>
      </c>
      <c r="K3285" s="80" t="s">
        <v>11848</v>
      </c>
      <c r="L3285" s="47">
        <v>348014266</v>
      </c>
      <c r="M3285" s="80" t="s">
        <v>80</v>
      </c>
      <c r="N3285" s="80" t="s">
        <v>466</v>
      </c>
      <c r="O3285" s="86" t="s">
        <v>11849</v>
      </c>
      <c r="P3285" s="86" t="s">
        <v>11850</v>
      </c>
      <c r="Q3285" s="20">
        <v>15936</v>
      </c>
      <c r="R3285" s="80" t="s">
        <v>36</v>
      </c>
      <c r="S3285" s="95">
        <f t="shared" si="34"/>
        <v>2000</v>
      </c>
      <c r="T3285" s="83" t="s">
        <v>11851</v>
      </c>
      <c r="U3285" s="77"/>
      <c r="V3285" s="78"/>
      <c r="W3285" s="85" t="s">
        <v>11852</v>
      </c>
      <c r="X3285" s="80">
        <v>0</v>
      </c>
      <c r="Y3285" s="22">
        <v>0</v>
      </c>
      <c r="Z3285" s="26" t="s">
        <v>118</v>
      </c>
      <c r="AA3285" s="82"/>
      <c r="AB3285" s="80"/>
      <c r="AC3285" s="80" t="s">
        <v>53</v>
      </c>
      <c r="AD3285" s="80" t="s">
        <v>138</v>
      </c>
      <c r="AE3285" s="80" t="s">
        <v>11845</v>
      </c>
      <c r="AF3285" s="17">
        <v>45540</v>
      </c>
      <c r="AG3285" s="26" t="s">
        <v>3399</v>
      </c>
      <c r="AH3285" s="80"/>
      <c r="AI3285" s="147" t="s">
        <v>147</v>
      </c>
      <c r="AJ3285" s="80"/>
      <c r="AK3285" s="80"/>
      <c r="AL3285" s="35"/>
      <c r="AM3285" s="35"/>
      <c r="AN3285" s="35"/>
      <c r="AO3285" s="35"/>
      <c r="AP3285" s="35"/>
    </row>
    <row r="3286" spans="1:42" x14ac:dyDescent="0.2">
      <c r="A3286" s="27">
        <v>45196.923121874999</v>
      </c>
      <c r="B3286" s="28" t="s">
        <v>37</v>
      </c>
      <c r="C3286" s="41" t="s">
        <v>118</v>
      </c>
      <c r="D3286" s="26" t="s">
        <v>77</v>
      </c>
      <c r="E3286" s="26" t="s">
        <v>3180</v>
      </c>
      <c r="F3286" s="26" t="s">
        <v>3181</v>
      </c>
      <c r="G3286" s="26" t="s">
        <v>108</v>
      </c>
      <c r="H3286" s="26" t="s">
        <v>10223</v>
      </c>
      <c r="I3286" s="17">
        <f ca="1">IFERROR(__xludf.DUMMYFUNCTION("""COMPUTED_VALUE"""),45578)</f>
        <v>45578</v>
      </c>
      <c r="J3286" s="29" t="s">
        <v>3182</v>
      </c>
      <c r="K3286" s="19" t="s">
        <v>11853</v>
      </c>
      <c r="L3286" s="30">
        <v>337182729</v>
      </c>
      <c r="M3286" s="26" t="s">
        <v>80</v>
      </c>
      <c r="N3286" s="26" t="s">
        <v>186</v>
      </c>
      <c r="O3286" s="26" t="s">
        <v>1492</v>
      </c>
      <c r="P3286" s="26" t="s">
        <v>3184</v>
      </c>
      <c r="Q3286" s="20">
        <v>13968</v>
      </c>
      <c r="R3286" s="26" t="s">
        <v>36</v>
      </c>
      <c r="S3286" s="31">
        <v>13968</v>
      </c>
      <c r="T3286" s="32">
        <v>45196</v>
      </c>
      <c r="U3286" s="31"/>
      <c r="V3286" s="26"/>
      <c r="W3286" s="33" t="s">
        <v>3185</v>
      </c>
      <c r="X3286" s="26"/>
      <c r="Y3286" s="22">
        <v>0</v>
      </c>
      <c r="Z3286" s="26" t="s">
        <v>50</v>
      </c>
      <c r="AA3286" s="19" t="s">
        <v>2449</v>
      </c>
      <c r="AB3286" s="26" t="s">
        <v>128</v>
      </c>
      <c r="AC3286" s="26" t="s">
        <v>53</v>
      </c>
      <c r="AD3286" s="19" t="s">
        <v>54</v>
      </c>
      <c r="AE3286" s="26" t="s">
        <v>3181</v>
      </c>
      <c r="AF3286" s="17">
        <v>45576</v>
      </c>
      <c r="AG3286" s="26" t="s">
        <v>10229</v>
      </c>
      <c r="AH3286" s="26"/>
      <c r="AI3286" s="40"/>
      <c r="AJ3286" s="26"/>
      <c r="AK3286" s="26"/>
      <c r="AL3286" s="35"/>
      <c r="AM3286" s="35"/>
      <c r="AN3286" s="35"/>
      <c r="AO3286" s="35"/>
      <c r="AP3286" s="35"/>
    </row>
    <row r="3287" spans="1:42" x14ac:dyDescent="0.2">
      <c r="A3287" s="27">
        <v>45196.923121874999</v>
      </c>
      <c r="B3287" s="28" t="s">
        <v>37</v>
      </c>
      <c r="C3287" s="41" t="s">
        <v>118</v>
      </c>
      <c r="D3287" s="26" t="s">
        <v>36</v>
      </c>
      <c r="E3287" s="26" t="s">
        <v>139</v>
      </c>
      <c r="F3287" s="26" t="s">
        <v>7871</v>
      </c>
      <c r="G3287" s="26" t="s">
        <v>221</v>
      </c>
      <c r="H3287" s="26" t="s">
        <v>9820</v>
      </c>
      <c r="I3287" s="17">
        <f ca="1">IFERROR(__xludf.DUMMYFUNCTION("""COMPUTED_VALUE"""),45578)</f>
        <v>45578</v>
      </c>
      <c r="J3287" s="29" t="s">
        <v>7548</v>
      </c>
      <c r="K3287" s="26" t="s">
        <v>7549</v>
      </c>
      <c r="L3287" s="30">
        <v>383599674</v>
      </c>
      <c r="M3287" s="26" t="s">
        <v>3728</v>
      </c>
      <c r="N3287" s="26" t="s">
        <v>7550</v>
      </c>
      <c r="O3287" s="26" t="s">
        <v>7551</v>
      </c>
      <c r="P3287" s="42" t="s">
        <v>11854</v>
      </c>
      <c r="Q3287" s="20">
        <v>15936</v>
      </c>
      <c r="R3287" s="26" t="s">
        <v>36</v>
      </c>
      <c r="S3287" s="31">
        <v>300</v>
      </c>
      <c r="T3287" s="32">
        <v>44931</v>
      </c>
      <c r="U3287" s="31">
        <f>1700+13936</f>
        <v>15636</v>
      </c>
      <c r="V3287" s="26" t="s">
        <v>7553</v>
      </c>
      <c r="W3287" s="33" t="s">
        <v>7554</v>
      </c>
      <c r="X3287" s="26"/>
      <c r="Y3287" s="22">
        <v>0</v>
      </c>
      <c r="Z3287" s="26" t="s">
        <v>118</v>
      </c>
      <c r="AA3287" s="19" t="s">
        <v>7361</v>
      </c>
      <c r="AB3287" s="26" t="s">
        <v>36</v>
      </c>
      <c r="AC3287" s="26" t="s">
        <v>53</v>
      </c>
      <c r="AD3287" s="19" t="s">
        <v>138</v>
      </c>
      <c r="AE3287" s="26" t="s">
        <v>7871</v>
      </c>
      <c r="AF3287" s="17">
        <v>45574</v>
      </c>
      <c r="AG3287" s="26" t="s">
        <v>3415</v>
      </c>
      <c r="AH3287" s="26"/>
      <c r="AI3287" s="40"/>
      <c r="AJ3287" s="26"/>
      <c r="AK3287" s="26"/>
      <c r="AL3287" s="35"/>
      <c r="AM3287" s="35"/>
      <c r="AN3287" s="35"/>
      <c r="AO3287" s="35"/>
      <c r="AP3287" s="35"/>
    </row>
    <row r="3288" spans="1:42" x14ac:dyDescent="0.2">
      <c r="A3288" s="38">
        <v>45563</v>
      </c>
      <c r="B3288" s="28" t="s">
        <v>37</v>
      </c>
      <c r="C3288" s="41" t="s">
        <v>118</v>
      </c>
      <c r="D3288" s="26" t="s">
        <v>36</v>
      </c>
      <c r="E3288" s="26" t="s">
        <v>39</v>
      </c>
      <c r="F3288" s="26" t="s">
        <v>7330</v>
      </c>
      <c r="G3288" s="26" t="s">
        <v>108</v>
      </c>
      <c r="H3288" s="26" t="s">
        <v>10223</v>
      </c>
      <c r="I3288" s="17">
        <f ca="1">IFERROR(__xludf.DUMMYFUNCTION("""COMPUTED_VALUE"""),45578)</f>
        <v>45578</v>
      </c>
      <c r="J3288" s="44" t="s">
        <v>7745</v>
      </c>
      <c r="K3288" s="26" t="s">
        <v>7746</v>
      </c>
      <c r="L3288" s="30">
        <v>354563589</v>
      </c>
      <c r="M3288" s="26" t="s">
        <v>45</v>
      </c>
      <c r="N3288" s="26" t="s">
        <v>1472</v>
      </c>
      <c r="O3288" s="26" t="s">
        <v>7747</v>
      </c>
      <c r="P3288" s="26" t="s">
        <v>7743</v>
      </c>
      <c r="Q3288" s="20">
        <v>5736</v>
      </c>
      <c r="R3288" s="26" t="s">
        <v>36</v>
      </c>
      <c r="S3288" s="31">
        <v>5736</v>
      </c>
      <c r="T3288" s="32">
        <v>45355</v>
      </c>
      <c r="U3288" s="31"/>
      <c r="V3288" s="32"/>
      <c r="W3288" s="33" t="s">
        <v>7748</v>
      </c>
      <c r="X3288" s="26"/>
      <c r="Y3288" s="22">
        <v>0</v>
      </c>
      <c r="Z3288" s="26" t="s">
        <v>50</v>
      </c>
      <c r="AA3288" s="19" t="s">
        <v>7361</v>
      </c>
      <c r="AB3288" s="26"/>
      <c r="AC3288" s="26" t="s">
        <v>53</v>
      </c>
      <c r="AD3288" s="19" t="s">
        <v>138</v>
      </c>
      <c r="AE3288" s="26" t="s">
        <v>7330</v>
      </c>
      <c r="AF3288" s="17">
        <v>45576</v>
      </c>
      <c r="AG3288" s="26" t="s">
        <v>10229</v>
      </c>
      <c r="AH3288" s="26"/>
      <c r="AI3288" s="40"/>
      <c r="AJ3288" s="26"/>
      <c r="AK3288" s="26"/>
      <c r="AL3288" s="35"/>
      <c r="AM3288" s="35"/>
      <c r="AN3288" s="35"/>
      <c r="AO3288" s="35"/>
      <c r="AP3288" s="35"/>
    </row>
    <row r="3289" spans="1:42" x14ac:dyDescent="0.2">
      <c r="A3289" s="38">
        <v>45563</v>
      </c>
      <c r="B3289" s="28" t="s">
        <v>37</v>
      </c>
      <c r="C3289" s="41" t="s">
        <v>118</v>
      </c>
      <c r="D3289" s="26" t="s">
        <v>36</v>
      </c>
      <c r="E3289" s="26" t="s">
        <v>39</v>
      </c>
      <c r="F3289" s="26" t="s">
        <v>7330</v>
      </c>
      <c r="G3289" s="26" t="s">
        <v>108</v>
      </c>
      <c r="H3289" s="26" t="s">
        <v>10223</v>
      </c>
      <c r="I3289" s="17">
        <f ca="1">IFERROR(__xludf.DUMMYFUNCTION("""COMPUTED_VALUE"""),45578)</f>
        <v>45578</v>
      </c>
      <c r="J3289" s="29" t="s">
        <v>8809</v>
      </c>
      <c r="K3289" s="26" t="s">
        <v>11855</v>
      </c>
      <c r="L3289" s="30">
        <v>946057166</v>
      </c>
      <c r="M3289" s="26" t="s">
        <v>45</v>
      </c>
      <c r="N3289" s="26" t="s">
        <v>1450</v>
      </c>
      <c r="O3289" s="26" t="s">
        <v>8811</v>
      </c>
      <c r="P3289" s="26" t="s">
        <v>8812</v>
      </c>
      <c r="Q3289" s="20">
        <v>5736</v>
      </c>
      <c r="R3289" s="26" t="s">
        <v>36</v>
      </c>
      <c r="S3289" s="31">
        <v>1000</v>
      </c>
      <c r="T3289" s="32">
        <v>45427</v>
      </c>
      <c r="U3289" s="31">
        <v>4736</v>
      </c>
      <c r="V3289" s="32">
        <v>45450</v>
      </c>
      <c r="W3289" s="26" t="s">
        <v>8813</v>
      </c>
      <c r="X3289" s="26"/>
      <c r="Y3289" s="22">
        <v>0</v>
      </c>
      <c r="Z3289" s="26" t="s">
        <v>50</v>
      </c>
      <c r="AA3289" s="19" t="s">
        <v>8721</v>
      </c>
      <c r="AB3289" s="26"/>
      <c r="AC3289" s="26" t="s">
        <v>53</v>
      </c>
      <c r="AD3289" s="19" t="s">
        <v>138</v>
      </c>
      <c r="AE3289" s="26" t="s">
        <v>7330</v>
      </c>
      <c r="AF3289" s="17">
        <v>45576</v>
      </c>
      <c r="AG3289" s="26" t="s">
        <v>10229</v>
      </c>
      <c r="AH3289" s="26"/>
      <c r="AI3289" s="40"/>
      <c r="AJ3289" s="26"/>
      <c r="AK3289" s="26"/>
      <c r="AL3289" s="35"/>
      <c r="AM3289" s="35"/>
      <c r="AN3289" s="35"/>
      <c r="AO3289" s="35"/>
      <c r="AP3289" s="35"/>
    </row>
    <row r="3290" spans="1:42" x14ac:dyDescent="0.2">
      <c r="A3290" s="38">
        <v>45564</v>
      </c>
      <c r="B3290" s="28" t="s">
        <v>37</v>
      </c>
      <c r="C3290" s="41" t="s">
        <v>118</v>
      </c>
      <c r="D3290" s="26" t="s">
        <v>36</v>
      </c>
      <c r="E3290" s="26" t="s">
        <v>39</v>
      </c>
      <c r="F3290" s="26" t="s">
        <v>7330</v>
      </c>
      <c r="G3290" s="26" t="s">
        <v>108</v>
      </c>
      <c r="H3290" s="26" t="s">
        <v>10223</v>
      </c>
      <c r="I3290" s="17">
        <f ca="1">IFERROR(__xludf.DUMMYFUNCTION("""COMPUTED_VALUE"""),45578)</f>
        <v>45578</v>
      </c>
      <c r="J3290" s="44" t="s">
        <v>7740</v>
      </c>
      <c r="K3290" s="26" t="s">
        <v>7741</v>
      </c>
      <c r="L3290" s="30">
        <v>867789005</v>
      </c>
      <c r="M3290" s="26" t="s">
        <v>45</v>
      </c>
      <c r="N3290" s="26" t="s">
        <v>1472</v>
      </c>
      <c r="O3290" s="33" t="s">
        <v>7742</v>
      </c>
      <c r="P3290" s="26" t="s">
        <v>7743</v>
      </c>
      <c r="Q3290" s="20">
        <v>5736</v>
      </c>
      <c r="R3290" s="26" t="s">
        <v>36</v>
      </c>
      <c r="S3290" s="31">
        <v>5736</v>
      </c>
      <c r="T3290" s="32">
        <v>45352</v>
      </c>
      <c r="U3290" s="31"/>
      <c r="V3290" s="32"/>
      <c r="W3290" s="33" t="s">
        <v>7744</v>
      </c>
      <c r="X3290" s="26"/>
      <c r="Y3290" s="22">
        <v>0</v>
      </c>
      <c r="Z3290" s="26" t="s">
        <v>50</v>
      </c>
      <c r="AA3290" s="19" t="s">
        <v>7361</v>
      </c>
      <c r="AB3290" s="26"/>
      <c r="AC3290" s="26" t="s">
        <v>53</v>
      </c>
      <c r="AD3290" s="19" t="s">
        <v>138</v>
      </c>
      <c r="AE3290" s="26" t="s">
        <v>7330</v>
      </c>
      <c r="AF3290" s="17">
        <v>45576</v>
      </c>
      <c r="AG3290" s="26" t="s">
        <v>10229</v>
      </c>
      <c r="AH3290" s="26"/>
      <c r="AI3290" s="40"/>
      <c r="AJ3290" s="26"/>
      <c r="AK3290" s="26"/>
      <c r="AL3290" s="35"/>
      <c r="AM3290" s="35"/>
      <c r="AN3290" s="35"/>
      <c r="AO3290" s="35"/>
      <c r="AP3290" s="35"/>
    </row>
    <row r="3291" spans="1:42" x14ac:dyDescent="0.2">
      <c r="A3291" s="126">
        <v>45428.763487430551</v>
      </c>
      <c r="B3291" s="28" t="s">
        <v>37</v>
      </c>
      <c r="C3291" s="41" t="s">
        <v>118</v>
      </c>
      <c r="D3291" s="26" t="s">
        <v>36</v>
      </c>
      <c r="E3291" s="26" t="s">
        <v>139</v>
      </c>
      <c r="F3291" s="26" t="s">
        <v>36</v>
      </c>
      <c r="G3291" s="26" t="s">
        <v>41</v>
      </c>
      <c r="H3291" s="26" t="s">
        <v>8635</v>
      </c>
      <c r="I3291" s="17">
        <f ca="1">IFERROR(__xludf.DUMMYFUNCTION("""COMPUTED_VALUE"""),45496)</f>
        <v>45496</v>
      </c>
      <c r="J3291" s="29" t="s">
        <v>11856</v>
      </c>
      <c r="K3291" s="26" t="s">
        <v>11857</v>
      </c>
      <c r="L3291" s="30">
        <v>349578053</v>
      </c>
      <c r="M3291" s="26" t="s">
        <v>3728</v>
      </c>
      <c r="N3291" s="26" t="s">
        <v>5277</v>
      </c>
      <c r="O3291" s="26" t="s">
        <v>11858</v>
      </c>
      <c r="P3291" s="42" t="s">
        <v>11859</v>
      </c>
      <c r="Q3291" s="20">
        <v>15936</v>
      </c>
      <c r="R3291" s="26" t="s">
        <v>36</v>
      </c>
      <c r="S3291" s="95">
        <v>2000</v>
      </c>
      <c r="T3291" s="148">
        <v>45428</v>
      </c>
      <c r="U3291" s="95">
        <v>13936</v>
      </c>
      <c r="V3291" s="148">
        <v>45539</v>
      </c>
      <c r="W3291" s="33" t="s">
        <v>11860</v>
      </c>
      <c r="X3291" s="26">
        <v>0</v>
      </c>
      <c r="Y3291" s="22">
        <v>0</v>
      </c>
      <c r="Z3291" s="26" t="s">
        <v>50</v>
      </c>
      <c r="AA3291" s="96" t="s">
        <v>3291</v>
      </c>
      <c r="AB3291" s="26" t="s">
        <v>36</v>
      </c>
      <c r="AC3291" s="26" t="s">
        <v>53</v>
      </c>
      <c r="AD3291" s="26" t="s">
        <v>138</v>
      </c>
      <c r="AE3291" s="26"/>
      <c r="AF3291" s="17">
        <v>45496</v>
      </c>
      <c r="AG3291" s="26" t="s">
        <v>4279</v>
      </c>
      <c r="AH3291" s="26"/>
      <c r="AI3291" s="40" t="s">
        <v>147</v>
      </c>
      <c r="AJ3291" s="26"/>
      <c r="AK3291" s="26"/>
      <c r="AL3291" s="35"/>
      <c r="AM3291" s="35"/>
      <c r="AN3291" s="35"/>
      <c r="AO3291" s="35"/>
      <c r="AP3291" s="35"/>
    </row>
    <row r="3292" spans="1:42" x14ac:dyDescent="0.2">
      <c r="A3292" s="126">
        <v>45465.958239884261</v>
      </c>
      <c r="B3292" s="28" t="s">
        <v>37</v>
      </c>
      <c r="C3292" s="41" t="s">
        <v>118</v>
      </c>
      <c r="D3292" s="26" t="s">
        <v>36</v>
      </c>
      <c r="E3292" s="26" t="s">
        <v>77</v>
      </c>
      <c r="F3292" s="26" t="s">
        <v>36</v>
      </c>
      <c r="G3292" s="26" t="s">
        <v>41</v>
      </c>
      <c r="H3292" s="26" t="s">
        <v>11392</v>
      </c>
      <c r="I3292" s="17">
        <f ca="1">IFERROR(__xludf.DUMMYFUNCTION("""COMPUTED_VALUE"""),45540)</f>
        <v>45540</v>
      </c>
      <c r="J3292" s="29" t="s">
        <v>11861</v>
      </c>
      <c r="K3292" s="19" t="s">
        <v>11862</v>
      </c>
      <c r="L3292" s="47">
        <v>337732802</v>
      </c>
      <c r="M3292" s="19" t="s">
        <v>2755</v>
      </c>
      <c r="N3292" s="19" t="s">
        <v>4402</v>
      </c>
      <c r="O3292" s="26" t="s">
        <v>11863</v>
      </c>
      <c r="P3292" s="42" t="s">
        <v>11864</v>
      </c>
      <c r="Q3292" s="20">
        <v>1968</v>
      </c>
      <c r="R3292" s="26" t="s">
        <v>36</v>
      </c>
      <c r="S3292" s="95">
        <f>100+1900</f>
        <v>2000</v>
      </c>
      <c r="T3292" s="83" t="s">
        <v>11865</v>
      </c>
      <c r="U3292" s="31"/>
      <c r="V3292" s="32"/>
      <c r="W3292" s="33" t="s">
        <v>11866</v>
      </c>
      <c r="X3292" s="26">
        <v>0</v>
      </c>
      <c r="Y3292" s="22">
        <v>-32</v>
      </c>
      <c r="Z3292" s="26" t="s">
        <v>50</v>
      </c>
      <c r="AA3292" s="35" t="s">
        <v>3291</v>
      </c>
      <c r="AB3292" s="26" t="s">
        <v>36</v>
      </c>
      <c r="AC3292" s="26" t="s">
        <v>53</v>
      </c>
      <c r="AD3292" s="26" t="s">
        <v>54</v>
      </c>
      <c r="AE3292" s="26" t="s">
        <v>72</v>
      </c>
      <c r="AF3292" s="17">
        <v>45538</v>
      </c>
      <c r="AG3292" s="26" t="s">
        <v>7078</v>
      </c>
      <c r="AH3292" s="26"/>
      <c r="AI3292" s="40" t="s">
        <v>84</v>
      </c>
      <c r="AJ3292" s="26"/>
      <c r="AK3292" s="26"/>
      <c r="AL3292" s="35"/>
      <c r="AM3292" s="35"/>
      <c r="AN3292" s="35"/>
      <c r="AO3292" s="35"/>
      <c r="AP3292" s="35"/>
    </row>
    <row r="3293" spans="1:42" x14ac:dyDescent="0.2">
      <c r="A3293" s="126">
        <v>45465.968444999999</v>
      </c>
      <c r="B3293" s="28" t="s">
        <v>37</v>
      </c>
      <c r="C3293" s="41" t="s">
        <v>118</v>
      </c>
      <c r="D3293" s="26" t="s">
        <v>36</v>
      </c>
      <c r="E3293" s="26" t="s">
        <v>39</v>
      </c>
      <c r="F3293" s="26" t="s">
        <v>36</v>
      </c>
      <c r="G3293" s="26" t="s">
        <v>41</v>
      </c>
      <c r="H3293" s="26" t="s">
        <v>8771</v>
      </c>
      <c r="I3293" s="17">
        <f ca="1">IFERROR(__xludf.DUMMYFUNCTION("""COMPUTED_VALUE"""),45481)</f>
        <v>45481</v>
      </c>
      <c r="J3293" s="44" t="s">
        <v>9974</v>
      </c>
      <c r="K3293" s="19" t="s">
        <v>11867</v>
      </c>
      <c r="L3293" s="47">
        <v>792418719</v>
      </c>
      <c r="M3293" s="19" t="s">
        <v>910</v>
      </c>
      <c r="N3293" s="19" t="s">
        <v>3525</v>
      </c>
      <c r="O3293" s="26" t="s">
        <v>3754</v>
      </c>
      <c r="P3293" s="115" t="s">
        <v>11868</v>
      </c>
      <c r="Q3293" s="20">
        <v>5736</v>
      </c>
      <c r="R3293" s="26" t="s">
        <v>36</v>
      </c>
      <c r="S3293" s="95">
        <f>100+2000+3636</f>
        <v>5736</v>
      </c>
      <c r="T3293" s="83" t="s">
        <v>9977</v>
      </c>
      <c r="U3293" s="31"/>
      <c r="V3293" s="32"/>
      <c r="W3293" s="33" t="s">
        <v>9978</v>
      </c>
      <c r="X3293" s="26">
        <v>0</v>
      </c>
      <c r="Y3293" s="22">
        <v>0</v>
      </c>
      <c r="Z3293" s="26" t="s">
        <v>50</v>
      </c>
      <c r="AA3293" s="96" t="s">
        <v>3291</v>
      </c>
      <c r="AB3293" s="26" t="s">
        <v>36</v>
      </c>
      <c r="AC3293" s="26" t="s">
        <v>53</v>
      </c>
      <c r="AD3293" s="26" t="s">
        <v>54</v>
      </c>
      <c r="AE3293" s="26"/>
      <c r="AF3293" s="17">
        <v>45478</v>
      </c>
      <c r="AG3293" s="26" t="s">
        <v>7078</v>
      </c>
      <c r="AH3293" s="26"/>
      <c r="AI3293" s="40" t="s">
        <v>55</v>
      </c>
      <c r="AJ3293" s="26"/>
      <c r="AK3293" s="26"/>
      <c r="AL3293" s="35"/>
      <c r="AM3293" s="35"/>
      <c r="AN3293" s="35"/>
      <c r="AO3293" s="35"/>
      <c r="AP3293" s="35"/>
    </row>
    <row r="3294" spans="1:42" x14ac:dyDescent="0.2">
      <c r="A3294" s="126">
        <v>45466.707600000002</v>
      </c>
      <c r="B3294" s="28" t="s">
        <v>37</v>
      </c>
      <c r="C3294" s="41" t="s">
        <v>118</v>
      </c>
      <c r="D3294" s="26" t="s">
        <v>36</v>
      </c>
      <c r="E3294" s="26" t="s">
        <v>139</v>
      </c>
      <c r="F3294" s="26" t="s">
        <v>36</v>
      </c>
      <c r="G3294" s="26" t="s">
        <v>41</v>
      </c>
      <c r="H3294" s="26" t="s">
        <v>8771</v>
      </c>
      <c r="I3294" s="17">
        <f ca="1">IFERROR(__xludf.DUMMYFUNCTION("""COMPUTED_VALUE"""),45481)</f>
        <v>45481</v>
      </c>
      <c r="J3294" s="29" t="s">
        <v>10187</v>
      </c>
      <c r="K3294" s="19" t="s">
        <v>11869</v>
      </c>
      <c r="L3294" s="47">
        <v>336218198</v>
      </c>
      <c r="M3294" s="19" t="s">
        <v>910</v>
      </c>
      <c r="N3294" s="19" t="s">
        <v>3525</v>
      </c>
      <c r="O3294" s="26" t="s">
        <v>10189</v>
      </c>
      <c r="P3294" s="26" t="s">
        <v>10190</v>
      </c>
      <c r="Q3294" s="20">
        <v>15936</v>
      </c>
      <c r="R3294" s="26" t="s">
        <v>36</v>
      </c>
      <c r="S3294" s="95">
        <f>100+2000+7000</f>
        <v>9100</v>
      </c>
      <c r="T3294" s="83" t="s">
        <v>10191</v>
      </c>
      <c r="U3294" s="95">
        <v>6868</v>
      </c>
      <c r="V3294" s="148">
        <v>45554</v>
      </c>
      <c r="W3294" s="33" t="s">
        <v>10192</v>
      </c>
      <c r="X3294" s="26">
        <v>0</v>
      </c>
      <c r="Y3294" s="22">
        <v>-32</v>
      </c>
      <c r="Z3294" s="26" t="s">
        <v>50</v>
      </c>
      <c r="AA3294" s="35" t="s">
        <v>3291</v>
      </c>
      <c r="AB3294" s="26" t="s">
        <v>36</v>
      </c>
      <c r="AC3294" s="26" t="s">
        <v>53</v>
      </c>
      <c r="AD3294" s="26" t="s">
        <v>54</v>
      </c>
      <c r="AE3294" s="26"/>
      <c r="AF3294" s="17">
        <v>45477</v>
      </c>
      <c r="AG3294" s="26"/>
      <c r="AH3294" s="26"/>
      <c r="AI3294" s="40" t="s">
        <v>147</v>
      </c>
      <c r="AJ3294" s="26"/>
      <c r="AK3294" s="26"/>
      <c r="AL3294" s="35"/>
      <c r="AM3294" s="35"/>
      <c r="AN3294" s="35"/>
      <c r="AO3294" s="35"/>
      <c r="AP3294" s="35"/>
    </row>
    <row r="3295" spans="1:42" x14ac:dyDescent="0.2">
      <c r="A3295" s="126">
        <v>45474.370316875</v>
      </c>
      <c r="B3295" s="28" t="s">
        <v>37</v>
      </c>
      <c r="C3295" s="41" t="s">
        <v>118</v>
      </c>
      <c r="D3295" s="26" t="s">
        <v>36</v>
      </c>
      <c r="E3295" s="26" t="s">
        <v>106</v>
      </c>
      <c r="F3295" s="26" t="s">
        <v>36</v>
      </c>
      <c r="G3295" s="26" t="s">
        <v>108</v>
      </c>
      <c r="H3295" s="26" t="s">
        <v>2017</v>
      </c>
      <c r="I3295" s="17">
        <f ca="1">IFERROR(__xludf.DUMMYFUNCTION("""COMPUTED_VALUE"""),45485)</f>
        <v>45485</v>
      </c>
      <c r="J3295" s="29" t="s">
        <v>11870</v>
      </c>
      <c r="K3295" s="26" t="s">
        <v>11871</v>
      </c>
      <c r="L3295" s="30">
        <v>818100806</v>
      </c>
      <c r="M3295" s="26" t="s">
        <v>80</v>
      </c>
      <c r="N3295" s="26" t="s">
        <v>466</v>
      </c>
      <c r="O3295" s="26" t="s">
        <v>11872</v>
      </c>
      <c r="P3295" s="26" t="s">
        <v>11873</v>
      </c>
      <c r="Q3295" s="20">
        <v>3768</v>
      </c>
      <c r="R3295" s="26" t="s">
        <v>36</v>
      </c>
      <c r="S3295" s="95">
        <f>200+3600</f>
        <v>3800</v>
      </c>
      <c r="T3295" s="83" t="s">
        <v>9201</v>
      </c>
      <c r="U3295" s="31"/>
      <c r="V3295" s="32"/>
      <c r="W3295" s="33" t="s">
        <v>11874</v>
      </c>
      <c r="X3295" s="26">
        <v>0</v>
      </c>
      <c r="Y3295" s="22">
        <v>-32</v>
      </c>
      <c r="Z3295" s="26" t="s">
        <v>50</v>
      </c>
      <c r="AA3295" s="96" t="s">
        <v>3291</v>
      </c>
      <c r="AB3295" s="26"/>
      <c r="AC3295" s="26" t="s">
        <v>53</v>
      </c>
      <c r="AD3295" s="26" t="s">
        <v>54</v>
      </c>
      <c r="AE3295" s="26">
        <v>450</v>
      </c>
      <c r="AF3295" s="17">
        <v>45483</v>
      </c>
      <c r="AG3295" s="26" t="s">
        <v>7078</v>
      </c>
      <c r="AH3295" s="26"/>
      <c r="AI3295" s="40">
        <v>1</v>
      </c>
      <c r="AJ3295" s="26"/>
      <c r="AK3295" s="26"/>
      <c r="AL3295" s="35"/>
      <c r="AM3295" s="35"/>
      <c r="AN3295" s="35"/>
      <c r="AO3295" s="35"/>
      <c r="AP3295" s="35"/>
    </row>
    <row r="3296" spans="1:42" x14ac:dyDescent="0.2">
      <c r="A3296" s="126">
        <v>45474.877758194445</v>
      </c>
      <c r="B3296" s="28" t="s">
        <v>37</v>
      </c>
      <c r="C3296" s="41" t="s">
        <v>118</v>
      </c>
      <c r="D3296" s="26" t="s">
        <v>36</v>
      </c>
      <c r="E3296" s="26" t="s">
        <v>77</v>
      </c>
      <c r="F3296" s="26" t="s">
        <v>40</v>
      </c>
      <c r="G3296" s="26" t="s">
        <v>41</v>
      </c>
      <c r="H3296" s="26" t="s">
        <v>9177</v>
      </c>
      <c r="I3296" s="17">
        <f ca="1">IFERROR(__xludf.DUMMYFUNCTION("""COMPUTED_VALUE"""),45483)</f>
        <v>45483</v>
      </c>
      <c r="J3296" s="29" t="s">
        <v>11875</v>
      </c>
      <c r="K3296" s="26" t="s">
        <v>11876</v>
      </c>
      <c r="L3296" s="47">
        <v>372715491</v>
      </c>
      <c r="M3296" s="26" t="s">
        <v>2755</v>
      </c>
      <c r="N3296" s="26" t="s">
        <v>2756</v>
      </c>
      <c r="O3296" s="26" t="s">
        <v>4503</v>
      </c>
      <c r="P3296" s="26" t="s">
        <v>11877</v>
      </c>
      <c r="Q3296" s="20">
        <v>1968</v>
      </c>
      <c r="R3296" s="26" t="s">
        <v>36</v>
      </c>
      <c r="S3296" s="95">
        <f>200+2000</f>
        <v>2200</v>
      </c>
      <c r="T3296" s="83" t="s">
        <v>9922</v>
      </c>
      <c r="U3296" s="31"/>
      <c r="V3296" s="32"/>
      <c r="W3296" s="33" t="s">
        <v>11878</v>
      </c>
      <c r="X3296" s="26">
        <v>0</v>
      </c>
      <c r="Y3296" s="22">
        <v>-232</v>
      </c>
      <c r="Z3296" s="26" t="s">
        <v>50</v>
      </c>
      <c r="AA3296" s="35" t="s">
        <v>3291</v>
      </c>
      <c r="AB3296" s="26"/>
      <c r="AC3296" s="26" t="s">
        <v>53</v>
      </c>
      <c r="AD3296" s="26" t="s">
        <v>54</v>
      </c>
      <c r="AE3296" s="26" t="s">
        <v>4503</v>
      </c>
      <c r="AF3296" s="17">
        <v>45483</v>
      </c>
      <c r="AG3296" s="26" t="s">
        <v>7078</v>
      </c>
      <c r="AH3296" s="26"/>
      <c r="AI3296" s="40" t="s">
        <v>84</v>
      </c>
      <c r="AJ3296" s="26"/>
      <c r="AK3296" s="26"/>
      <c r="AL3296" s="35"/>
      <c r="AM3296" s="35"/>
      <c r="AN3296" s="35"/>
      <c r="AO3296" s="35"/>
      <c r="AP3296" s="35"/>
    </row>
    <row r="3297" spans="1:42" x14ac:dyDescent="0.2">
      <c r="A3297" s="126">
        <v>45474.918154525461</v>
      </c>
      <c r="B3297" s="28" t="s">
        <v>37</v>
      </c>
      <c r="C3297" s="41" t="s">
        <v>118</v>
      </c>
      <c r="D3297" s="26" t="s">
        <v>36</v>
      </c>
      <c r="E3297" s="26" t="s">
        <v>77</v>
      </c>
      <c r="F3297" s="26" t="s">
        <v>36</v>
      </c>
      <c r="G3297" s="26" t="s">
        <v>41</v>
      </c>
      <c r="H3297" s="26" t="s">
        <v>8824</v>
      </c>
      <c r="I3297" s="17">
        <f ca="1">IFERROR(__xludf.DUMMYFUNCTION("""COMPUTED_VALUE"""),45485)</f>
        <v>45485</v>
      </c>
      <c r="J3297" s="29" t="s">
        <v>11879</v>
      </c>
      <c r="K3297" s="26" t="s">
        <v>11880</v>
      </c>
      <c r="L3297" s="47">
        <v>926519209</v>
      </c>
      <c r="M3297" s="26" t="s">
        <v>910</v>
      </c>
      <c r="N3297" s="26" t="s">
        <v>3525</v>
      </c>
      <c r="O3297" s="26" t="s">
        <v>11881</v>
      </c>
      <c r="P3297" s="26" t="s">
        <v>11882</v>
      </c>
      <c r="Q3297" s="20">
        <v>1968</v>
      </c>
      <c r="R3297" s="26" t="s">
        <v>36</v>
      </c>
      <c r="S3297" s="95">
        <v>2000</v>
      </c>
      <c r="T3297" s="148">
        <v>45474</v>
      </c>
      <c r="U3297" s="31"/>
      <c r="V3297" s="32"/>
      <c r="W3297" s="33" t="s">
        <v>11883</v>
      </c>
      <c r="X3297" s="26">
        <v>0</v>
      </c>
      <c r="Y3297" s="22">
        <v>-32</v>
      </c>
      <c r="Z3297" s="26" t="s">
        <v>50</v>
      </c>
      <c r="AA3297" s="96" t="s">
        <v>3291</v>
      </c>
      <c r="AB3297" s="26"/>
      <c r="AC3297" s="26" t="s">
        <v>53</v>
      </c>
      <c r="AD3297" s="26" t="s">
        <v>54</v>
      </c>
      <c r="AE3297" s="26"/>
      <c r="AF3297" s="17">
        <v>45481</v>
      </c>
      <c r="AG3297" s="26" t="s">
        <v>7078</v>
      </c>
      <c r="AH3297" s="26"/>
      <c r="AI3297" s="40" t="s">
        <v>84</v>
      </c>
      <c r="AJ3297" s="26"/>
      <c r="AK3297" s="26"/>
      <c r="AL3297" s="35"/>
      <c r="AM3297" s="35"/>
      <c r="AN3297" s="35"/>
      <c r="AO3297" s="35"/>
      <c r="AP3297" s="35"/>
    </row>
    <row r="3298" spans="1:42" x14ac:dyDescent="0.2">
      <c r="A3298" s="126">
        <v>45475.400308553246</v>
      </c>
      <c r="B3298" s="28" t="s">
        <v>37</v>
      </c>
      <c r="C3298" s="41" t="s">
        <v>118</v>
      </c>
      <c r="D3298" s="26" t="s">
        <v>36</v>
      </c>
      <c r="E3298" s="26" t="s">
        <v>139</v>
      </c>
      <c r="F3298" s="26" t="s">
        <v>36</v>
      </c>
      <c r="G3298" s="26" t="s">
        <v>41</v>
      </c>
      <c r="H3298" s="26" t="s">
        <v>8635</v>
      </c>
      <c r="I3298" s="17">
        <f ca="1">IFERROR(__xludf.DUMMYFUNCTION("""COMPUTED_VALUE"""),45496)</f>
        <v>45496</v>
      </c>
      <c r="J3298" s="29" t="s">
        <v>10053</v>
      </c>
      <c r="K3298" s="26" t="s">
        <v>10054</v>
      </c>
      <c r="L3298" s="47">
        <v>989570294</v>
      </c>
      <c r="M3298" s="26" t="s">
        <v>2755</v>
      </c>
      <c r="N3298" s="26" t="s">
        <v>2756</v>
      </c>
      <c r="O3298" s="26" t="s">
        <v>4503</v>
      </c>
      <c r="P3298" s="26" t="s">
        <v>10055</v>
      </c>
      <c r="Q3298" s="20">
        <v>15936</v>
      </c>
      <c r="R3298" s="26" t="s">
        <v>36</v>
      </c>
      <c r="S3298" s="95">
        <v>2000</v>
      </c>
      <c r="T3298" s="148">
        <v>45474</v>
      </c>
      <c r="U3298" s="95">
        <v>13936</v>
      </c>
      <c r="V3298" s="148">
        <v>45540</v>
      </c>
      <c r="W3298" s="33" t="s">
        <v>10056</v>
      </c>
      <c r="X3298" s="26">
        <v>0</v>
      </c>
      <c r="Y3298" s="22">
        <v>0</v>
      </c>
      <c r="Z3298" s="26" t="s">
        <v>50</v>
      </c>
      <c r="AA3298" s="35" t="s">
        <v>3291</v>
      </c>
      <c r="AB3298" s="26" t="s">
        <v>36</v>
      </c>
      <c r="AC3298" s="26" t="s">
        <v>53</v>
      </c>
      <c r="AD3298" s="26" t="s">
        <v>138</v>
      </c>
      <c r="AE3298" s="26" t="s">
        <v>72</v>
      </c>
      <c r="AF3298" s="17">
        <v>45496</v>
      </c>
      <c r="AG3298" s="26" t="s">
        <v>4279</v>
      </c>
      <c r="AH3298" s="26"/>
      <c r="AI3298" s="40" t="s">
        <v>147</v>
      </c>
      <c r="AJ3298" s="26"/>
      <c r="AK3298" s="26"/>
      <c r="AL3298" s="35"/>
      <c r="AM3298" s="35"/>
      <c r="AN3298" s="35"/>
      <c r="AO3298" s="35"/>
      <c r="AP3298" s="35"/>
    </row>
    <row r="3299" spans="1:42" x14ac:dyDescent="0.2">
      <c r="A3299" s="126">
        <v>45476.443815231483</v>
      </c>
      <c r="B3299" s="28" t="s">
        <v>37</v>
      </c>
      <c r="C3299" s="41" t="s">
        <v>118</v>
      </c>
      <c r="D3299" s="26" t="s">
        <v>36</v>
      </c>
      <c r="E3299" s="26" t="s">
        <v>77</v>
      </c>
      <c r="F3299" s="26" t="s">
        <v>36</v>
      </c>
      <c r="G3299" s="26" t="s">
        <v>41</v>
      </c>
      <c r="H3299" s="19" t="s">
        <v>9360</v>
      </c>
      <c r="I3299" s="17">
        <f ca="1">IFERROR(__xludf.DUMMYFUNCTION("""COMPUTED_VALUE"""),45488)</f>
        <v>45488</v>
      </c>
      <c r="J3299" s="49" t="s">
        <v>11884</v>
      </c>
      <c r="K3299" s="19" t="s">
        <v>11885</v>
      </c>
      <c r="L3299" s="47">
        <v>354937818</v>
      </c>
      <c r="M3299" s="19" t="s">
        <v>910</v>
      </c>
      <c r="N3299" s="19" t="s">
        <v>3525</v>
      </c>
      <c r="O3299" s="26" t="s">
        <v>11886</v>
      </c>
      <c r="P3299" s="26" t="s">
        <v>11887</v>
      </c>
      <c r="Q3299" s="20">
        <v>1968</v>
      </c>
      <c r="R3299" s="26" t="s">
        <v>36</v>
      </c>
      <c r="S3299" s="95">
        <v>2000</v>
      </c>
      <c r="T3299" s="148">
        <v>45476</v>
      </c>
      <c r="U3299" s="31"/>
      <c r="V3299" s="32"/>
      <c r="W3299" s="33" t="s">
        <v>11888</v>
      </c>
      <c r="X3299" s="26">
        <v>0</v>
      </c>
      <c r="Y3299" s="22">
        <v>-32</v>
      </c>
      <c r="Z3299" s="26" t="s">
        <v>50</v>
      </c>
      <c r="AA3299" s="96" t="s">
        <v>3291</v>
      </c>
      <c r="AB3299" s="26"/>
      <c r="AC3299" s="26" t="s">
        <v>53</v>
      </c>
      <c r="AD3299" s="26" t="s">
        <v>54</v>
      </c>
      <c r="AE3299" s="26"/>
      <c r="AF3299" s="17">
        <v>45484</v>
      </c>
      <c r="AG3299" s="26" t="s">
        <v>7078</v>
      </c>
      <c r="AH3299" s="26"/>
      <c r="AI3299" s="40" t="s">
        <v>84</v>
      </c>
      <c r="AJ3299" s="26"/>
      <c r="AK3299" s="26"/>
      <c r="AL3299" s="35"/>
      <c r="AM3299" s="35"/>
      <c r="AN3299" s="35"/>
      <c r="AO3299" s="35"/>
      <c r="AP3299" s="35"/>
    </row>
    <row r="3300" spans="1:42" x14ac:dyDescent="0.2">
      <c r="A3300" s="126">
        <v>45476.513108321757</v>
      </c>
      <c r="B3300" s="28" t="s">
        <v>37</v>
      </c>
      <c r="C3300" s="41" t="s">
        <v>118</v>
      </c>
      <c r="D3300" s="26" t="s">
        <v>36</v>
      </c>
      <c r="E3300" s="26" t="s">
        <v>77</v>
      </c>
      <c r="F3300" s="26" t="s">
        <v>36</v>
      </c>
      <c r="G3300" s="26" t="s">
        <v>41</v>
      </c>
      <c r="H3300" s="26" t="s">
        <v>9248</v>
      </c>
      <c r="I3300" s="17">
        <f ca="1">IFERROR(__xludf.DUMMYFUNCTION("""COMPUTED_VALUE"""),45482)</f>
        <v>45482</v>
      </c>
      <c r="J3300" s="29" t="s">
        <v>11889</v>
      </c>
      <c r="K3300" s="26" t="s">
        <v>11890</v>
      </c>
      <c r="L3300" s="30">
        <v>943956920</v>
      </c>
      <c r="M3300" s="26" t="s">
        <v>3728</v>
      </c>
      <c r="N3300" s="26" t="s">
        <v>8725</v>
      </c>
      <c r="O3300" s="26" t="s">
        <v>11891</v>
      </c>
      <c r="P3300" s="26" t="s">
        <v>11892</v>
      </c>
      <c r="Q3300" s="20">
        <v>1968</v>
      </c>
      <c r="R3300" s="26" t="s">
        <v>36</v>
      </c>
      <c r="S3300" s="95">
        <f t="shared" ref="S3300:S3301" si="35">200+1800</f>
        <v>2000</v>
      </c>
      <c r="T3300" s="83" t="s">
        <v>11893</v>
      </c>
      <c r="U3300" s="31"/>
      <c r="V3300" s="32"/>
      <c r="W3300" s="33" t="s">
        <v>11894</v>
      </c>
      <c r="X3300" s="26">
        <v>0</v>
      </c>
      <c r="Y3300" s="22">
        <v>-32</v>
      </c>
      <c r="Z3300" s="26" t="s">
        <v>50</v>
      </c>
      <c r="AA3300" s="35" t="s">
        <v>3291</v>
      </c>
      <c r="AB3300" s="26" t="s">
        <v>36</v>
      </c>
      <c r="AC3300" s="26" t="s">
        <v>53</v>
      </c>
      <c r="AD3300" s="26" t="s">
        <v>54</v>
      </c>
      <c r="AE3300" s="26"/>
      <c r="AF3300" s="17">
        <v>45481</v>
      </c>
      <c r="AG3300" s="26" t="s">
        <v>7078</v>
      </c>
      <c r="AH3300" s="26"/>
      <c r="AI3300" s="40" t="s">
        <v>84</v>
      </c>
      <c r="AJ3300" s="26"/>
      <c r="AK3300" s="26"/>
      <c r="AL3300" s="35"/>
      <c r="AM3300" s="35"/>
      <c r="AN3300" s="35"/>
      <c r="AO3300" s="35"/>
      <c r="AP3300" s="35"/>
    </row>
    <row r="3301" spans="1:42" x14ac:dyDescent="0.2">
      <c r="A3301" s="126">
        <v>45477.394656030097</v>
      </c>
      <c r="B3301" s="28" t="s">
        <v>37</v>
      </c>
      <c r="C3301" s="41" t="s">
        <v>118</v>
      </c>
      <c r="D3301" s="26" t="s">
        <v>36</v>
      </c>
      <c r="E3301" s="26" t="s">
        <v>77</v>
      </c>
      <c r="F3301" s="26" t="s">
        <v>36</v>
      </c>
      <c r="G3301" s="26" t="s">
        <v>41</v>
      </c>
      <c r="H3301" s="26" t="s">
        <v>9360</v>
      </c>
      <c r="I3301" s="17">
        <f ca="1">IFERROR(__xludf.DUMMYFUNCTION("""COMPUTED_VALUE"""),45488)</f>
        <v>45488</v>
      </c>
      <c r="J3301" s="29" t="s">
        <v>11895</v>
      </c>
      <c r="K3301" s="26" t="s">
        <v>11896</v>
      </c>
      <c r="L3301" s="30">
        <v>898404206</v>
      </c>
      <c r="M3301" s="26" t="s">
        <v>123</v>
      </c>
      <c r="N3301" s="26" t="s">
        <v>327</v>
      </c>
      <c r="O3301" s="26" t="s">
        <v>4503</v>
      </c>
      <c r="P3301" s="26" t="s">
        <v>11897</v>
      </c>
      <c r="Q3301" s="20">
        <v>1968</v>
      </c>
      <c r="R3301" s="26" t="s">
        <v>36</v>
      </c>
      <c r="S3301" s="95">
        <f t="shared" si="35"/>
        <v>2000</v>
      </c>
      <c r="T3301" s="83" t="s">
        <v>11898</v>
      </c>
      <c r="U3301" s="31"/>
      <c r="V3301" s="32"/>
      <c r="W3301" s="26" t="s">
        <v>11899</v>
      </c>
      <c r="X3301" s="26">
        <v>0</v>
      </c>
      <c r="Y3301" s="22">
        <v>-32</v>
      </c>
      <c r="Z3301" s="26" t="s">
        <v>50</v>
      </c>
      <c r="AA3301" s="96" t="s">
        <v>3291</v>
      </c>
      <c r="AB3301" s="26"/>
      <c r="AC3301" s="26" t="s">
        <v>53</v>
      </c>
      <c r="AD3301" s="26" t="s">
        <v>54</v>
      </c>
      <c r="AE3301" s="26"/>
      <c r="AF3301" s="17">
        <v>45489</v>
      </c>
      <c r="AG3301" s="26"/>
      <c r="AH3301" s="26"/>
      <c r="AI3301" s="40" t="s">
        <v>84</v>
      </c>
      <c r="AJ3301" s="26"/>
      <c r="AK3301" s="26"/>
      <c r="AL3301" s="35"/>
      <c r="AM3301" s="35"/>
      <c r="AN3301" s="35"/>
      <c r="AO3301" s="35"/>
      <c r="AP3301" s="35"/>
    </row>
    <row r="3302" spans="1:42" x14ac:dyDescent="0.2">
      <c r="A3302" s="126">
        <v>45477.686946504633</v>
      </c>
      <c r="B3302" s="28" t="s">
        <v>37</v>
      </c>
      <c r="C3302" s="41" t="s">
        <v>118</v>
      </c>
      <c r="D3302" s="26" t="s">
        <v>36</v>
      </c>
      <c r="E3302" s="26" t="s">
        <v>106</v>
      </c>
      <c r="F3302" s="26" t="s">
        <v>36</v>
      </c>
      <c r="G3302" s="26" t="s">
        <v>108</v>
      </c>
      <c r="H3302" s="26" t="s">
        <v>8691</v>
      </c>
      <c r="I3302" s="17">
        <f ca="1">IFERROR(__xludf.DUMMYFUNCTION("""COMPUTED_VALUE"""),45485)</f>
        <v>45485</v>
      </c>
      <c r="J3302" s="29" t="s">
        <v>11900</v>
      </c>
      <c r="K3302" s="26" t="s">
        <v>11901</v>
      </c>
      <c r="L3302" s="30">
        <v>386577427</v>
      </c>
      <c r="M3302" s="26" t="s">
        <v>80</v>
      </c>
      <c r="N3302" s="26" t="s">
        <v>466</v>
      </c>
      <c r="O3302" s="26" t="s">
        <v>11902</v>
      </c>
      <c r="P3302" s="42" t="s">
        <v>11903</v>
      </c>
      <c r="Q3302" s="20">
        <v>3768</v>
      </c>
      <c r="R3302" s="26" t="s">
        <v>36</v>
      </c>
      <c r="S3302" s="95">
        <f>200+3600</f>
        <v>3800</v>
      </c>
      <c r="T3302" s="83" t="s">
        <v>9956</v>
      </c>
      <c r="U3302" s="31"/>
      <c r="V3302" s="32"/>
      <c r="W3302" s="55" t="s">
        <v>11904</v>
      </c>
      <c r="X3302" s="26">
        <v>0</v>
      </c>
      <c r="Y3302" s="22">
        <v>-32</v>
      </c>
      <c r="Z3302" s="26" t="s">
        <v>50</v>
      </c>
      <c r="AA3302" s="35" t="s">
        <v>3291</v>
      </c>
      <c r="AB3302" s="26"/>
      <c r="AC3302" s="26" t="s">
        <v>53</v>
      </c>
      <c r="AD3302" s="26" t="s">
        <v>54</v>
      </c>
      <c r="AE3302" s="26">
        <v>370</v>
      </c>
      <c r="AF3302" s="17">
        <v>45482</v>
      </c>
      <c r="AG3302" s="26" t="s">
        <v>7078</v>
      </c>
      <c r="AH3302" s="26"/>
      <c r="AI3302" s="40">
        <v>1</v>
      </c>
      <c r="AJ3302" s="26"/>
      <c r="AK3302" s="26"/>
      <c r="AL3302" s="35"/>
      <c r="AM3302" s="35"/>
      <c r="AN3302" s="35"/>
      <c r="AO3302" s="35"/>
      <c r="AP3302" s="35"/>
    </row>
    <row r="3303" spans="1:42" x14ac:dyDescent="0.2">
      <c r="A3303" s="126">
        <v>45477.962334884258</v>
      </c>
      <c r="B3303" s="28" t="s">
        <v>37</v>
      </c>
      <c r="C3303" s="41" t="s">
        <v>118</v>
      </c>
      <c r="D3303" s="26" t="s">
        <v>36</v>
      </c>
      <c r="E3303" s="26" t="s">
        <v>139</v>
      </c>
      <c r="F3303" s="26" t="s">
        <v>36</v>
      </c>
      <c r="G3303" s="26" t="s">
        <v>41</v>
      </c>
      <c r="H3303" s="26" t="s">
        <v>9682</v>
      </c>
      <c r="I3303" s="17">
        <f ca="1">IFERROR(__xludf.DUMMYFUNCTION("""COMPUTED_VALUE"""),45505)</f>
        <v>45505</v>
      </c>
      <c r="J3303" s="29" t="s">
        <v>11905</v>
      </c>
      <c r="K3303" s="26" t="s">
        <v>11906</v>
      </c>
      <c r="L3303" s="30">
        <v>979903957</v>
      </c>
      <c r="M3303" s="26" t="s">
        <v>3728</v>
      </c>
      <c r="N3303" s="26" t="s">
        <v>8725</v>
      </c>
      <c r="O3303" s="26" t="s">
        <v>11907</v>
      </c>
      <c r="P3303" s="26" t="s">
        <v>11908</v>
      </c>
      <c r="Q3303" s="20">
        <v>15936</v>
      </c>
      <c r="R3303" s="26" t="s">
        <v>36</v>
      </c>
      <c r="S3303" s="95">
        <f>200+1000+800</f>
        <v>2000</v>
      </c>
      <c r="T3303" s="83" t="s">
        <v>11909</v>
      </c>
      <c r="U3303" s="95">
        <v>13936</v>
      </c>
      <c r="V3303" s="148">
        <v>45544</v>
      </c>
      <c r="W3303" s="33" t="s">
        <v>11910</v>
      </c>
      <c r="X3303" s="26">
        <v>0</v>
      </c>
      <c r="Y3303" s="22">
        <v>0</v>
      </c>
      <c r="Z3303" s="26" t="s">
        <v>50</v>
      </c>
      <c r="AA3303" s="96" t="s">
        <v>3291</v>
      </c>
      <c r="AB3303" s="26"/>
      <c r="AC3303" s="26" t="s">
        <v>53</v>
      </c>
      <c r="AD3303" s="26" t="s">
        <v>54</v>
      </c>
      <c r="AE3303" s="26"/>
      <c r="AF3303" s="17">
        <v>45505</v>
      </c>
      <c r="AG3303" s="26"/>
      <c r="AH3303" s="26"/>
      <c r="AI3303" s="40" t="s">
        <v>147</v>
      </c>
      <c r="AJ3303" s="26"/>
      <c r="AK3303" s="26"/>
      <c r="AL3303" s="35"/>
      <c r="AM3303" s="35"/>
      <c r="AN3303" s="35"/>
      <c r="AO3303" s="35"/>
      <c r="AP3303" s="35"/>
    </row>
    <row r="3304" spans="1:42" x14ac:dyDescent="0.2">
      <c r="A3304" s="126">
        <v>45478.476691840275</v>
      </c>
      <c r="B3304" s="28" t="s">
        <v>37</v>
      </c>
      <c r="C3304" s="41" t="s">
        <v>118</v>
      </c>
      <c r="D3304" s="26" t="s">
        <v>36</v>
      </c>
      <c r="E3304" s="26" t="s">
        <v>77</v>
      </c>
      <c r="F3304" s="26" t="s">
        <v>36</v>
      </c>
      <c r="G3304" s="26" t="s">
        <v>41</v>
      </c>
      <c r="H3304" s="26" t="s">
        <v>11911</v>
      </c>
      <c r="I3304" s="17" t="str">
        <f ca="1">IFERROR(__xludf.DUMMYFUNCTION("""COMPUTED_VALUE""")," ")</f>
        <v xml:space="preserve"> </v>
      </c>
      <c r="J3304" s="29" t="s">
        <v>11912</v>
      </c>
      <c r="K3304" s="26" t="s">
        <v>11913</v>
      </c>
      <c r="L3304" s="30">
        <v>835680206</v>
      </c>
      <c r="M3304" s="26" t="s">
        <v>3728</v>
      </c>
      <c r="N3304" s="26" t="s">
        <v>8725</v>
      </c>
      <c r="O3304" s="26" t="s">
        <v>11914</v>
      </c>
      <c r="P3304" s="26" t="s">
        <v>11915</v>
      </c>
      <c r="Q3304" s="20">
        <v>1968</v>
      </c>
      <c r="R3304" s="26" t="s">
        <v>36</v>
      </c>
      <c r="S3304" s="95">
        <f>200+1800</f>
        <v>2000</v>
      </c>
      <c r="T3304" s="83" t="s">
        <v>11916</v>
      </c>
      <c r="U3304" s="31"/>
      <c r="V3304" s="32"/>
      <c r="W3304" s="33" t="s">
        <v>11917</v>
      </c>
      <c r="X3304" s="26">
        <v>0</v>
      </c>
      <c r="Y3304" s="22">
        <v>-32</v>
      </c>
      <c r="Z3304" s="26" t="s">
        <v>50</v>
      </c>
      <c r="AA3304" s="35" t="s">
        <v>3291</v>
      </c>
      <c r="AB3304" s="26"/>
      <c r="AC3304" s="26" t="s">
        <v>53</v>
      </c>
      <c r="AD3304" s="26" t="s">
        <v>54</v>
      </c>
      <c r="AE3304" s="26"/>
      <c r="AF3304" s="17">
        <v>45484</v>
      </c>
      <c r="AG3304" s="26"/>
      <c r="AH3304" s="26"/>
      <c r="AI3304" s="40" t="s">
        <v>84</v>
      </c>
      <c r="AJ3304" s="26"/>
      <c r="AK3304" s="26"/>
      <c r="AL3304" s="35"/>
      <c r="AM3304" s="35"/>
      <c r="AN3304" s="35"/>
      <c r="AO3304" s="35"/>
      <c r="AP3304" s="35"/>
    </row>
    <row r="3305" spans="1:42" x14ac:dyDescent="0.2">
      <c r="A3305" s="126">
        <v>45478.910439375002</v>
      </c>
      <c r="B3305" s="28" t="s">
        <v>37</v>
      </c>
      <c r="C3305" s="41" t="s">
        <v>118</v>
      </c>
      <c r="D3305" s="26" t="s">
        <v>36</v>
      </c>
      <c r="E3305" s="26" t="s">
        <v>56</v>
      </c>
      <c r="F3305" s="26" t="s">
        <v>36</v>
      </c>
      <c r="G3305" s="26" t="s">
        <v>41</v>
      </c>
      <c r="H3305" s="26" t="s">
        <v>9273</v>
      </c>
      <c r="I3305" s="17">
        <f ca="1">IFERROR(__xludf.DUMMYFUNCTION("""COMPUTED_VALUE"""),45482)</f>
        <v>45482</v>
      </c>
      <c r="J3305" s="29" t="s">
        <v>9891</v>
      </c>
      <c r="K3305" s="26" t="s">
        <v>11918</v>
      </c>
      <c r="L3305" s="30">
        <v>836222584</v>
      </c>
      <c r="M3305" s="26" t="s">
        <v>910</v>
      </c>
      <c r="N3305" s="26" t="s">
        <v>3525</v>
      </c>
      <c r="O3305" s="26" t="s">
        <v>9893</v>
      </c>
      <c r="P3305" s="26" t="s">
        <v>9894</v>
      </c>
      <c r="Q3305" s="20">
        <v>9317</v>
      </c>
      <c r="R3305" s="26" t="s">
        <v>36</v>
      </c>
      <c r="S3305" s="95">
        <v>1968</v>
      </c>
      <c r="T3305" s="148">
        <v>45478</v>
      </c>
      <c r="U3305" s="31">
        <v>7349</v>
      </c>
      <c r="V3305" s="32">
        <v>45539</v>
      </c>
      <c r="W3305" s="33" t="s">
        <v>9895</v>
      </c>
      <c r="X3305" s="26">
        <v>0</v>
      </c>
      <c r="Y3305" s="22">
        <v>0</v>
      </c>
      <c r="Z3305" s="26" t="s">
        <v>50</v>
      </c>
      <c r="AA3305" s="96" t="s">
        <v>3291</v>
      </c>
      <c r="AB3305" s="26" t="s">
        <v>36</v>
      </c>
      <c r="AC3305" s="26" t="s">
        <v>53</v>
      </c>
      <c r="AD3305" s="26" t="s">
        <v>54</v>
      </c>
      <c r="AE3305" s="26"/>
      <c r="AF3305" s="17">
        <v>45481</v>
      </c>
      <c r="AG3305" s="26"/>
      <c r="AH3305" s="26"/>
      <c r="AI3305" s="40" t="s">
        <v>64</v>
      </c>
      <c r="AJ3305" s="26"/>
      <c r="AK3305" s="26"/>
      <c r="AL3305" s="35"/>
      <c r="AM3305" s="35"/>
      <c r="AN3305" s="35"/>
      <c r="AO3305" s="35"/>
      <c r="AP3305" s="35"/>
    </row>
    <row r="3306" spans="1:42" x14ac:dyDescent="0.2">
      <c r="A3306" s="126">
        <v>45479.651598703698</v>
      </c>
      <c r="B3306" s="28" t="s">
        <v>37</v>
      </c>
      <c r="C3306" s="41" t="s">
        <v>118</v>
      </c>
      <c r="D3306" s="26" t="s">
        <v>36</v>
      </c>
      <c r="E3306" s="26" t="s">
        <v>106</v>
      </c>
      <c r="F3306" s="26" t="s">
        <v>36</v>
      </c>
      <c r="G3306" s="26" t="s">
        <v>108</v>
      </c>
      <c r="H3306" s="26" t="s">
        <v>8691</v>
      </c>
      <c r="I3306" s="17">
        <f ca="1">IFERROR(__xludf.DUMMYFUNCTION("""COMPUTED_VALUE"""),45485)</f>
        <v>45485</v>
      </c>
      <c r="J3306" s="29" t="s">
        <v>11919</v>
      </c>
      <c r="K3306" s="26" t="s">
        <v>11920</v>
      </c>
      <c r="L3306" s="30">
        <v>333209798</v>
      </c>
      <c r="M3306" s="26" t="s">
        <v>910</v>
      </c>
      <c r="N3306" s="26" t="s">
        <v>3525</v>
      </c>
      <c r="O3306" s="26" t="s">
        <v>11921</v>
      </c>
      <c r="P3306" s="26" t="s">
        <v>11922</v>
      </c>
      <c r="Q3306" s="20">
        <v>3768</v>
      </c>
      <c r="R3306" s="26" t="s">
        <v>36</v>
      </c>
      <c r="S3306" s="95">
        <v>3768</v>
      </c>
      <c r="T3306" s="148">
        <v>45478</v>
      </c>
      <c r="U3306" s="31"/>
      <c r="V3306" s="32"/>
      <c r="W3306" s="33" t="s">
        <v>11923</v>
      </c>
      <c r="X3306" s="26">
        <v>0</v>
      </c>
      <c r="Y3306" s="22">
        <v>0</v>
      </c>
      <c r="Z3306" s="26" t="s">
        <v>50</v>
      </c>
      <c r="AA3306" s="35" t="s">
        <v>3291</v>
      </c>
      <c r="AB3306" s="26"/>
      <c r="AC3306" s="26" t="s">
        <v>53</v>
      </c>
      <c r="AD3306" s="26" t="s">
        <v>54</v>
      </c>
      <c r="AE3306" s="26">
        <v>550</v>
      </c>
      <c r="AF3306" s="17">
        <v>45481</v>
      </c>
      <c r="AG3306" s="26" t="s">
        <v>7078</v>
      </c>
      <c r="AH3306" s="26"/>
      <c r="AI3306" s="40">
        <v>1</v>
      </c>
      <c r="AJ3306" s="26"/>
      <c r="AK3306" s="26"/>
      <c r="AL3306" s="35"/>
      <c r="AM3306" s="35"/>
      <c r="AN3306" s="35"/>
      <c r="AO3306" s="35"/>
      <c r="AP3306" s="35"/>
    </row>
    <row r="3307" spans="1:42" x14ac:dyDescent="0.2">
      <c r="A3307" s="126">
        <v>45479.939770914352</v>
      </c>
      <c r="B3307" s="28" t="s">
        <v>37</v>
      </c>
      <c r="C3307" s="41" t="s">
        <v>118</v>
      </c>
      <c r="D3307" s="26" t="s">
        <v>36</v>
      </c>
      <c r="E3307" s="26" t="s">
        <v>77</v>
      </c>
      <c r="F3307" s="26" t="s">
        <v>36</v>
      </c>
      <c r="G3307" s="26" t="s">
        <v>41</v>
      </c>
      <c r="H3307" s="26" t="s">
        <v>9248</v>
      </c>
      <c r="I3307" s="17">
        <f ca="1">IFERROR(__xludf.DUMMYFUNCTION("""COMPUTED_VALUE"""),45482)</f>
        <v>45482</v>
      </c>
      <c r="J3307" s="29" t="s">
        <v>11924</v>
      </c>
      <c r="K3307" s="26" t="s">
        <v>11925</v>
      </c>
      <c r="L3307" s="30">
        <v>345949934</v>
      </c>
      <c r="M3307" s="26" t="s">
        <v>910</v>
      </c>
      <c r="N3307" s="26" t="s">
        <v>3525</v>
      </c>
      <c r="O3307" s="26" t="s">
        <v>11926</v>
      </c>
      <c r="P3307" s="26" t="s">
        <v>11927</v>
      </c>
      <c r="Q3307" s="20">
        <v>1968</v>
      </c>
      <c r="R3307" s="26" t="s">
        <v>36</v>
      </c>
      <c r="S3307" s="95">
        <v>2000</v>
      </c>
      <c r="T3307" s="148">
        <v>45479</v>
      </c>
      <c r="U3307" s="31"/>
      <c r="V3307" s="32"/>
      <c r="W3307" s="26" t="s">
        <v>11928</v>
      </c>
      <c r="X3307" s="26">
        <v>0</v>
      </c>
      <c r="Y3307" s="22">
        <v>-32</v>
      </c>
      <c r="Z3307" s="26" t="s">
        <v>50</v>
      </c>
      <c r="AA3307" s="96" t="s">
        <v>3291</v>
      </c>
      <c r="AB3307" s="26" t="s">
        <v>36</v>
      </c>
      <c r="AC3307" s="26" t="s">
        <v>53</v>
      </c>
      <c r="AD3307" s="26" t="s">
        <v>54</v>
      </c>
      <c r="AE3307" s="26"/>
      <c r="AF3307" s="17">
        <v>45481</v>
      </c>
      <c r="AG3307" s="26" t="s">
        <v>7078</v>
      </c>
      <c r="AH3307" s="26"/>
      <c r="AI3307" s="40" t="s">
        <v>84</v>
      </c>
      <c r="AJ3307" s="26"/>
      <c r="AK3307" s="26"/>
      <c r="AL3307" s="35"/>
      <c r="AM3307" s="35"/>
      <c r="AN3307" s="35"/>
      <c r="AO3307" s="35"/>
      <c r="AP3307" s="35"/>
    </row>
    <row r="3308" spans="1:42" x14ac:dyDescent="0.2">
      <c r="A3308" s="126">
        <v>45480.397165347225</v>
      </c>
      <c r="B3308" s="28" t="s">
        <v>37</v>
      </c>
      <c r="C3308" s="41" t="s">
        <v>118</v>
      </c>
      <c r="D3308" s="26" t="s">
        <v>36</v>
      </c>
      <c r="E3308" s="26" t="s">
        <v>119</v>
      </c>
      <c r="F3308" s="26" t="s">
        <v>36</v>
      </c>
      <c r="G3308" s="26" t="s">
        <v>108</v>
      </c>
      <c r="H3308" s="26" t="s">
        <v>1565</v>
      </c>
      <c r="I3308" s="17">
        <f ca="1">IFERROR(__xludf.DUMMYFUNCTION("""COMPUTED_VALUE"""),45502)</f>
        <v>45502</v>
      </c>
      <c r="J3308" s="29" t="s">
        <v>11929</v>
      </c>
      <c r="K3308" s="26" t="s">
        <v>11930</v>
      </c>
      <c r="L3308" s="30">
        <v>961633894</v>
      </c>
      <c r="M3308" s="26" t="s">
        <v>3498</v>
      </c>
      <c r="N3308" s="26" t="s">
        <v>2756</v>
      </c>
      <c r="O3308" s="26" t="s">
        <v>4503</v>
      </c>
      <c r="P3308" s="26" t="s">
        <v>11931</v>
      </c>
      <c r="Q3308" s="20">
        <v>13968</v>
      </c>
      <c r="R3308" s="26" t="s">
        <v>36</v>
      </c>
      <c r="S3308" s="95">
        <f>200+3800</f>
        <v>4000</v>
      </c>
      <c r="T3308" s="83" t="s">
        <v>11932</v>
      </c>
      <c r="U3308" s="95">
        <v>9968</v>
      </c>
      <c r="V3308" s="148">
        <v>45547</v>
      </c>
      <c r="W3308" s="33" t="s">
        <v>11933</v>
      </c>
      <c r="X3308" s="26">
        <v>0</v>
      </c>
      <c r="Y3308" s="22">
        <v>0</v>
      </c>
      <c r="Z3308" s="26" t="s">
        <v>50</v>
      </c>
      <c r="AA3308" s="35" t="s">
        <v>3291</v>
      </c>
      <c r="AB3308" s="26"/>
      <c r="AC3308" s="26" t="s">
        <v>53</v>
      </c>
      <c r="AD3308" s="26" t="s">
        <v>54</v>
      </c>
      <c r="AE3308" s="26">
        <v>360</v>
      </c>
      <c r="AF3308" s="17">
        <v>45502</v>
      </c>
      <c r="AG3308" s="26" t="s">
        <v>4279</v>
      </c>
      <c r="AH3308" s="26"/>
      <c r="AI3308" s="40">
        <v>4</v>
      </c>
      <c r="AJ3308" s="26"/>
      <c r="AK3308" s="26"/>
      <c r="AL3308" s="35"/>
      <c r="AM3308" s="35"/>
      <c r="AN3308" s="35"/>
      <c r="AO3308" s="35"/>
      <c r="AP3308" s="35"/>
    </row>
    <row r="3309" spans="1:42" x14ac:dyDescent="0.2">
      <c r="A3309" s="126">
        <v>45480.891421157408</v>
      </c>
      <c r="B3309" s="28" t="s">
        <v>37</v>
      </c>
      <c r="C3309" s="41" t="s">
        <v>118</v>
      </c>
      <c r="D3309" s="26" t="s">
        <v>36</v>
      </c>
      <c r="E3309" s="26" t="s">
        <v>56</v>
      </c>
      <c r="F3309" s="26" t="s">
        <v>36</v>
      </c>
      <c r="G3309" s="26" t="s">
        <v>41</v>
      </c>
      <c r="H3309" s="26" t="s">
        <v>8801</v>
      </c>
      <c r="I3309" s="17">
        <f ca="1">IFERROR(__xludf.DUMMYFUNCTION("""COMPUTED_VALUE"""),45484)</f>
        <v>45484</v>
      </c>
      <c r="J3309" s="29" t="s">
        <v>9964</v>
      </c>
      <c r="K3309" s="26" t="s">
        <v>11934</v>
      </c>
      <c r="L3309" s="30">
        <v>967607946</v>
      </c>
      <c r="M3309" s="26" t="s">
        <v>80</v>
      </c>
      <c r="N3309" s="26" t="s">
        <v>46</v>
      </c>
      <c r="O3309" s="26" t="s">
        <v>9966</v>
      </c>
      <c r="P3309" s="26" t="s">
        <v>11935</v>
      </c>
      <c r="Q3309" s="20">
        <v>9317</v>
      </c>
      <c r="R3309" s="26" t="s">
        <v>36</v>
      </c>
      <c r="S3309" s="95">
        <f t="shared" ref="S3309:S3311" si="36">200+1800</f>
        <v>2000</v>
      </c>
      <c r="T3309" s="83" t="s">
        <v>9968</v>
      </c>
      <c r="U3309" s="31">
        <v>7317</v>
      </c>
      <c r="V3309" s="32">
        <v>45536</v>
      </c>
      <c r="W3309" s="33" t="s">
        <v>11936</v>
      </c>
      <c r="X3309" s="26">
        <v>0</v>
      </c>
      <c r="Y3309" s="22">
        <v>0</v>
      </c>
      <c r="Z3309" s="26" t="s">
        <v>50</v>
      </c>
      <c r="AA3309" s="96" t="s">
        <v>3291</v>
      </c>
      <c r="AB3309" s="26"/>
      <c r="AC3309" s="26" t="s">
        <v>53</v>
      </c>
      <c r="AD3309" s="26" t="s">
        <v>54</v>
      </c>
      <c r="AE3309" s="26">
        <v>0</v>
      </c>
      <c r="AF3309" s="17">
        <v>45484</v>
      </c>
      <c r="AG3309" s="26"/>
      <c r="AH3309" s="26"/>
      <c r="AI3309" s="40" t="s">
        <v>64</v>
      </c>
      <c r="AJ3309" s="26"/>
      <c r="AK3309" s="26"/>
      <c r="AL3309" s="35"/>
      <c r="AM3309" s="35"/>
      <c r="AN3309" s="35"/>
      <c r="AO3309" s="35"/>
      <c r="AP3309" s="35"/>
    </row>
    <row r="3310" spans="1:42" x14ac:dyDescent="0.2">
      <c r="A3310" s="126">
        <v>45483.476457291668</v>
      </c>
      <c r="B3310" s="28" t="s">
        <v>37</v>
      </c>
      <c r="C3310" s="41" t="s">
        <v>118</v>
      </c>
      <c r="D3310" s="26" t="s">
        <v>36</v>
      </c>
      <c r="E3310" s="26" t="s">
        <v>77</v>
      </c>
      <c r="F3310" s="26" t="s">
        <v>36</v>
      </c>
      <c r="G3310" s="26" t="s">
        <v>41</v>
      </c>
      <c r="H3310" s="26" t="s">
        <v>8824</v>
      </c>
      <c r="I3310" s="17">
        <f ca="1">IFERROR(__xludf.DUMMYFUNCTION("""COMPUTED_VALUE"""),45485)</f>
        <v>45485</v>
      </c>
      <c r="J3310" s="29" t="s">
        <v>11937</v>
      </c>
      <c r="K3310" s="26" t="s">
        <v>11938</v>
      </c>
      <c r="L3310" s="30">
        <v>376286222</v>
      </c>
      <c r="M3310" s="26" t="s">
        <v>80</v>
      </c>
      <c r="N3310" s="26" t="s">
        <v>466</v>
      </c>
      <c r="O3310" s="26" t="s">
        <v>11939</v>
      </c>
      <c r="P3310" s="26" t="s">
        <v>11940</v>
      </c>
      <c r="Q3310" s="20">
        <v>1968</v>
      </c>
      <c r="R3310" s="26" t="s">
        <v>36</v>
      </c>
      <c r="S3310" s="95">
        <f t="shared" si="36"/>
        <v>2000</v>
      </c>
      <c r="T3310" s="83" t="s">
        <v>11941</v>
      </c>
      <c r="U3310" s="31"/>
      <c r="V3310" s="32"/>
      <c r="W3310" s="33" t="s">
        <v>11942</v>
      </c>
      <c r="X3310" s="26">
        <v>0</v>
      </c>
      <c r="Y3310" s="22">
        <v>-32</v>
      </c>
      <c r="Z3310" s="26" t="s">
        <v>50</v>
      </c>
      <c r="AA3310" s="35" t="s">
        <v>3291</v>
      </c>
      <c r="AB3310" s="26"/>
      <c r="AC3310" s="26" t="s">
        <v>53</v>
      </c>
      <c r="AD3310" s="26" t="s">
        <v>54</v>
      </c>
      <c r="AE3310" s="26">
        <v>0</v>
      </c>
      <c r="AF3310" s="17">
        <v>45484</v>
      </c>
      <c r="AG3310" s="26" t="s">
        <v>7078</v>
      </c>
      <c r="AH3310" s="26"/>
      <c r="AI3310" s="40" t="s">
        <v>84</v>
      </c>
      <c r="AJ3310" s="26"/>
      <c r="AK3310" s="26"/>
      <c r="AL3310" s="35"/>
      <c r="AM3310" s="35"/>
      <c r="AN3310" s="35"/>
      <c r="AO3310" s="35"/>
      <c r="AP3310" s="35"/>
    </row>
    <row r="3311" spans="1:42" x14ac:dyDescent="0.2">
      <c r="A3311" s="126">
        <v>45485.785546655097</v>
      </c>
      <c r="B3311" s="28" t="s">
        <v>37</v>
      </c>
      <c r="C3311" s="41" t="s">
        <v>118</v>
      </c>
      <c r="D3311" s="26" t="s">
        <v>36</v>
      </c>
      <c r="E3311" s="26" t="s">
        <v>139</v>
      </c>
      <c r="F3311" s="26" t="s">
        <v>36</v>
      </c>
      <c r="G3311" s="26" t="s">
        <v>41</v>
      </c>
      <c r="H3311" s="26" t="s">
        <v>9531</v>
      </c>
      <c r="I3311" s="17">
        <f ca="1">IFERROR(__xludf.DUMMYFUNCTION("""COMPUTED_VALUE"""),45492)</f>
        <v>45492</v>
      </c>
      <c r="J3311" s="29" t="s">
        <v>11837</v>
      </c>
      <c r="K3311" s="26" t="s">
        <v>11943</v>
      </c>
      <c r="L3311" s="30">
        <v>876910277</v>
      </c>
      <c r="M3311" s="26" t="s">
        <v>3728</v>
      </c>
      <c r="N3311" s="26" t="s">
        <v>8725</v>
      </c>
      <c r="O3311" s="26" t="s">
        <v>11839</v>
      </c>
      <c r="P3311" s="26" t="s">
        <v>11944</v>
      </c>
      <c r="Q3311" s="20">
        <v>15936</v>
      </c>
      <c r="R3311" s="26" t="s">
        <v>36</v>
      </c>
      <c r="S3311" s="95">
        <f t="shared" si="36"/>
        <v>2000</v>
      </c>
      <c r="T3311" s="83" t="s">
        <v>10060</v>
      </c>
      <c r="U3311" s="95">
        <v>13936</v>
      </c>
      <c r="V3311" s="148">
        <v>45536</v>
      </c>
      <c r="W3311" s="33" t="s">
        <v>11841</v>
      </c>
      <c r="X3311" s="26">
        <v>0</v>
      </c>
      <c r="Y3311" s="22">
        <v>0</v>
      </c>
      <c r="Z3311" s="26" t="s">
        <v>50</v>
      </c>
      <c r="AA3311" s="96" t="s">
        <v>3291</v>
      </c>
      <c r="AB3311" s="26"/>
      <c r="AC3311" s="26" t="s">
        <v>53</v>
      </c>
      <c r="AD3311" s="26" t="s">
        <v>54</v>
      </c>
      <c r="AE3311" s="26"/>
      <c r="AF3311" s="17">
        <v>45490</v>
      </c>
      <c r="AG3311" s="26"/>
      <c r="AH3311" s="26"/>
      <c r="AI3311" s="40" t="s">
        <v>147</v>
      </c>
      <c r="AJ3311" s="26"/>
      <c r="AK3311" s="26"/>
      <c r="AL3311" s="35"/>
      <c r="AM3311" s="35"/>
      <c r="AN3311" s="35"/>
      <c r="AO3311" s="35"/>
      <c r="AP3311" s="35"/>
    </row>
    <row r="3312" spans="1:42" x14ac:dyDescent="0.2">
      <c r="A3312" s="126">
        <v>45486.780872523144</v>
      </c>
      <c r="B3312" s="28" t="s">
        <v>37</v>
      </c>
      <c r="C3312" s="41" t="s">
        <v>118</v>
      </c>
      <c r="D3312" s="26" t="s">
        <v>36</v>
      </c>
      <c r="E3312" s="26" t="s">
        <v>139</v>
      </c>
      <c r="F3312" s="26" t="s">
        <v>36</v>
      </c>
      <c r="G3312" s="26" t="s">
        <v>41</v>
      </c>
      <c r="H3312" s="26" t="s">
        <v>9531</v>
      </c>
      <c r="I3312" s="17">
        <f ca="1">IFERROR(__xludf.DUMMYFUNCTION("""COMPUTED_VALUE"""),45492)</f>
        <v>45492</v>
      </c>
      <c r="J3312" s="29" t="s">
        <v>11828</v>
      </c>
      <c r="K3312" s="26" t="s">
        <v>11945</v>
      </c>
      <c r="L3312" s="30">
        <v>396488331</v>
      </c>
      <c r="M3312" s="26" t="s">
        <v>3728</v>
      </c>
      <c r="N3312" s="26" t="s">
        <v>8725</v>
      </c>
      <c r="O3312" s="26" t="s">
        <v>11830</v>
      </c>
      <c r="P3312" s="26" t="s">
        <v>11946</v>
      </c>
      <c r="Q3312" s="20">
        <v>15936</v>
      </c>
      <c r="R3312" s="26" t="s">
        <v>36</v>
      </c>
      <c r="S3312" s="95">
        <v>2000</v>
      </c>
      <c r="T3312" s="148">
        <v>45486</v>
      </c>
      <c r="U3312" s="95">
        <v>13936</v>
      </c>
      <c r="V3312" s="148">
        <v>45540</v>
      </c>
      <c r="W3312" s="33" t="s">
        <v>11832</v>
      </c>
      <c r="X3312" s="26">
        <v>0</v>
      </c>
      <c r="Y3312" s="22">
        <v>0</v>
      </c>
      <c r="Z3312" s="26" t="s">
        <v>50</v>
      </c>
      <c r="AA3312" s="35" t="s">
        <v>3291</v>
      </c>
      <c r="AB3312" s="26"/>
      <c r="AC3312" s="26" t="s">
        <v>53</v>
      </c>
      <c r="AD3312" s="26" t="s">
        <v>54</v>
      </c>
      <c r="AE3312" s="26"/>
      <c r="AF3312" s="17">
        <v>45489</v>
      </c>
      <c r="AG3312" s="26"/>
      <c r="AH3312" s="26"/>
      <c r="AI3312" s="40" t="s">
        <v>147</v>
      </c>
      <c r="AJ3312" s="26"/>
      <c r="AK3312" s="26"/>
      <c r="AL3312" s="35"/>
      <c r="AM3312" s="35"/>
      <c r="AN3312" s="35"/>
      <c r="AO3312" s="35"/>
      <c r="AP3312" s="35"/>
    </row>
    <row r="3313" spans="1:42" x14ac:dyDescent="0.2">
      <c r="A3313" s="126">
        <v>45487.453435393516</v>
      </c>
      <c r="B3313" s="28" t="s">
        <v>37</v>
      </c>
      <c r="C3313" s="41" t="s">
        <v>118</v>
      </c>
      <c r="D3313" s="26" t="s">
        <v>36</v>
      </c>
      <c r="E3313" s="26" t="s">
        <v>77</v>
      </c>
      <c r="F3313" s="26" t="s">
        <v>36</v>
      </c>
      <c r="G3313" s="26" t="s">
        <v>41</v>
      </c>
      <c r="H3313" s="26" t="s">
        <v>9502</v>
      </c>
      <c r="I3313" s="17">
        <f ca="1">IFERROR(__xludf.DUMMYFUNCTION("""COMPUTED_VALUE"""),45491)</f>
        <v>45491</v>
      </c>
      <c r="J3313" s="29" t="s">
        <v>11947</v>
      </c>
      <c r="K3313" s="26" t="s">
        <v>11948</v>
      </c>
      <c r="L3313" s="30">
        <v>968648515</v>
      </c>
      <c r="M3313" s="26" t="s">
        <v>123</v>
      </c>
      <c r="N3313" s="26" t="s">
        <v>327</v>
      </c>
      <c r="O3313" s="26" t="s">
        <v>4503</v>
      </c>
      <c r="P3313" s="26" t="s">
        <v>11949</v>
      </c>
      <c r="Q3313" s="20">
        <v>1968</v>
      </c>
      <c r="R3313" s="26" t="s">
        <v>36</v>
      </c>
      <c r="S3313" s="95">
        <v>2000</v>
      </c>
      <c r="T3313" s="148">
        <v>45484</v>
      </c>
      <c r="U3313" s="31"/>
      <c r="V3313" s="32"/>
      <c r="W3313" s="33" t="s">
        <v>11950</v>
      </c>
      <c r="X3313" s="26">
        <v>0</v>
      </c>
      <c r="Y3313" s="22">
        <v>-32</v>
      </c>
      <c r="Z3313" s="26" t="s">
        <v>50</v>
      </c>
      <c r="AA3313" s="96" t="s">
        <v>3291</v>
      </c>
      <c r="AB3313" s="26"/>
      <c r="AC3313" s="26" t="s">
        <v>53</v>
      </c>
      <c r="AD3313" s="26" t="s">
        <v>54</v>
      </c>
      <c r="AE3313" s="26"/>
      <c r="AF3313" s="17">
        <v>45488</v>
      </c>
      <c r="AG3313" s="26"/>
      <c r="AH3313" s="26"/>
      <c r="AI3313" s="40" t="s">
        <v>84</v>
      </c>
      <c r="AJ3313" s="26"/>
      <c r="AK3313" s="26"/>
      <c r="AL3313" s="35"/>
      <c r="AM3313" s="35"/>
      <c r="AN3313" s="35"/>
      <c r="AO3313" s="35"/>
      <c r="AP3313" s="35"/>
    </row>
    <row r="3314" spans="1:42" x14ac:dyDescent="0.2">
      <c r="A3314" s="126">
        <v>45490.40240903935</v>
      </c>
      <c r="B3314" s="28" t="s">
        <v>37</v>
      </c>
      <c r="C3314" s="41" t="s">
        <v>118</v>
      </c>
      <c r="D3314" s="26" t="s">
        <v>36</v>
      </c>
      <c r="E3314" s="26" t="s">
        <v>77</v>
      </c>
      <c r="F3314" s="26" t="s">
        <v>36</v>
      </c>
      <c r="G3314" s="26" t="s">
        <v>41</v>
      </c>
      <c r="H3314" s="26" t="s">
        <v>10021</v>
      </c>
      <c r="I3314" s="17">
        <f ca="1">IFERROR(__xludf.DUMMYFUNCTION("""COMPUTED_VALUE"""),45496)</f>
        <v>45496</v>
      </c>
      <c r="J3314" s="29" t="s">
        <v>11951</v>
      </c>
      <c r="K3314" s="26" t="s">
        <v>11952</v>
      </c>
      <c r="L3314" s="30">
        <v>352298637</v>
      </c>
      <c r="M3314" s="26" t="s">
        <v>123</v>
      </c>
      <c r="N3314" s="26" t="s">
        <v>186</v>
      </c>
      <c r="O3314" s="26" t="s">
        <v>4503</v>
      </c>
      <c r="P3314" s="26" t="s">
        <v>11953</v>
      </c>
      <c r="Q3314" s="20">
        <v>1968</v>
      </c>
      <c r="R3314" s="26" t="s">
        <v>36</v>
      </c>
      <c r="S3314" s="95">
        <v>1968</v>
      </c>
      <c r="T3314" s="148">
        <v>45490</v>
      </c>
      <c r="U3314" s="31"/>
      <c r="V3314" s="32"/>
      <c r="W3314" s="33" t="s">
        <v>11954</v>
      </c>
      <c r="X3314" s="26">
        <v>0</v>
      </c>
      <c r="Y3314" s="22">
        <v>0</v>
      </c>
      <c r="Z3314" s="26" t="s">
        <v>50</v>
      </c>
      <c r="AA3314" s="35" t="s">
        <v>3291</v>
      </c>
      <c r="AB3314" s="26"/>
      <c r="AC3314" s="26" t="s">
        <v>53</v>
      </c>
      <c r="AD3314" s="26" t="s">
        <v>54</v>
      </c>
      <c r="AE3314" s="26"/>
      <c r="AF3314" s="17">
        <v>45490</v>
      </c>
      <c r="AG3314" s="26" t="s">
        <v>7078</v>
      </c>
      <c r="AH3314" s="26"/>
      <c r="AI3314" s="40" t="s">
        <v>84</v>
      </c>
      <c r="AJ3314" s="26"/>
      <c r="AK3314" s="26"/>
      <c r="AL3314" s="35"/>
      <c r="AM3314" s="35"/>
      <c r="AN3314" s="35"/>
      <c r="AO3314" s="35"/>
      <c r="AP3314" s="35"/>
    </row>
    <row r="3315" spans="1:42" x14ac:dyDescent="0.2">
      <c r="A3315" s="126">
        <v>45490.894382847226</v>
      </c>
      <c r="B3315" s="28" t="s">
        <v>37</v>
      </c>
      <c r="C3315" s="41" t="s">
        <v>118</v>
      </c>
      <c r="D3315" s="26" t="s">
        <v>36</v>
      </c>
      <c r="E3315" s="26" t="s">
        <v>139</v>
      </c>
      <c r="F3315" s="26" t="s">
        <v>91</v>
      </c>
      <c r="G3315" s="26" t="s">
        <v>41</v>
      </c>
      <c r="H3315" s="26" t="s">
        <v>10021</v>
      </c>
      <c r="I3315" s="17">
        <f ca="1">IFERROR(__xludf.DUMMYFUNCTION("""COMPUTED_VALUE"""),45496)</f>
        <v>45496</v>
      </c>
      <c r="J3315" s="29" t="s">
        <v>10022</v>
      </c>
      <c r="K3315" s="26" t="s">
        <v>11955</v>
      </c>
      <c r="L3315" s="30">
        <v>987253519</v>
      </c>
      <c r="M3315" s="26" t="s">
        <v>5558</v>
      </c>
      <c r="N3315" s="26" t="s">
        <v>5559</v>
      </c>
      <c r="O3315" s="26" t="s">
        <v>4503</v>
      </c>
      <c r="P3315" s="26" t="s">
        <v>11956</v>
      </c>
      <c r="Q3315" s="20">
        <v>15936</v>
      </c>
      <c r="R3315" s="26" t="s">
        <v>36</v>
      </c>
      <c r="S3315" s="95">
        <v>2500</v>
      </c>
      <c r="T3315" s="148">
        <v>45490</v>
      </c>
      <c r="U3315" s="95">
        <f>7500+5936</f>
        <v>13436</v>
      </c>
      <c r="V3315" s="83" t="s">
        <v>10025</v>
      </c>
      <c r="W3315" s="33" t="s">
        <v>10026</v>
      </c>
      <c r="X3315" s="26">
        <v>0</v>
      </c>
      <c r="Y3315" s="22">
        <v>0</v>
      </c>
      <c r="Z3315" s="26" t="s">
        <v>50</v>
      </c>
      <c r="AA3315" s="96" t="s">
        <v>3291</v>
      </c>
      <c r="AB3315" s="26"/>
      <c r="AC3315" s="26" t="s">
        <v>53</v>
      </c>
      <c r="AD3315" s="26" t="s">
        <v>54</v>
      </c>
      <c r="AE3315" s="26"/>
      <c r="AF3315" s="17">
        <v>45491</v>
      </c>
      <c r="AG3315" s="26"/>
      <c r="AH3315" s="26"/>
      <c r="AI3315" s="40" t="s">
        <v>147</v>
      </c>
      <c r="AJ3315" s="26"/>
      <c r="AK3315" s="26"/>
      <c r="AL3315" s="35"/>
      <c r="AM3315" s="35"/>
      <c r="AN3315" s="35"/>
      <c r="AO3315" s="35"/>
      <c r="AP3315" s="35"/>
    </row>
    <row r="3316" spans="1:42" x14ac:dyDescent="0.2">
      <c r="A3316" s="126">
        <v>45490.899639166666</v>
      </c>
      <c r="B3316" s="137" t="s">
        <v>37</v>
      </c>
      <c r="C3316" s="41" t="s">
        <v>118</v>
      </c>
      <c r="D3316" s="26" t="s">
        <v>36</v>
      </c>
      <c r="E3316" s="26" t="s">
        <v>139</v>
      </c>
      <c r="F3316" s="26" t="s">
        <v>36</v>
      </c>
      <c r="G3316" s="26" t="s">
        <v>41</v>
      </c>
      <c r="H3316" s="26" t="s">
        <v>5666</v>
      </c>
      <c r="I3316" s="17">
        <f ca="1">IFERROR(__xludf.DUMMYFUNCTION("""COMPUTED_VALUE"""),45540)</f>
        <v>45540</v>
      </c>
      <c r="J3316" s="29" t="s">
        <v>11957</v>
      </c>
      <c r="K3316" s="26" t="s">
        <v>11958</v>
      </c>
      <c r="L3316" s="30">
        <v>766360938</v>
      </c>
      <c r="M3316" s="26" t="s">
        <v>3728</v>
      </c>
      <c r="N3316" s="26" t="s">
        <v>5277</v>
      </c>
      <c r="O3316" s="26" t="s">
        <v>11959</v>
      </c>
      <c r="P3316" s="26" t="s">
        <v>11960</v>
      </c>
      <c r="Q3316" s="20">
        <v>15936</v>
      </c>
      <c r="R3316" s="26" t="s">
        <v>36</v>
      </c>
      <c r="S3316" s="95">
        <f>500+1500</f>
        <v>2000</v>
      </c>
      <c r="T3316" s="83" t="s">
        <v>11961</v>
      </c>
      <c r="U3316" s="95">
        <v>13936</v>
      </c>
      <c r="V3316" s="148">
        <v>45552</v>
      </c>
      <c r="W3316" s="33" t="s">
        <v>11962</v>
      </c>
      <c r="X3316" s="26">
        <v>0</v>
      </c>
      <c r="Y3316" s="22">
        <v>0</v>
      </c>
      <c r="Z3316" s="26" t="s">
        <v>50</v>
      </c>
      <c r="AA3316" s="35" t="s">
        <v>3291</v>
      </c>
      <c r="AB3316" s="26"/>
      <c r="AC3316" s="26" t="s">
        <v>53</v>
      </c>
      <c r="AD3316" s="26" t="s">
        <v>138</v>
      </c>
      <c r="AE3316" s="26"/>
      <c r="AF3316" s="17">
        <v>45540</v>
      </c>
      <c r="AG3316" s="26" t="s">
        <v>3399</v>
      </c>
      <c r="AH3316" s="26"/>
      <c r="AI3316" s="40" t="s">
        <v>147</v>
      </c>
      <c r="AJ3316" s="26"/>
      <c r="AK3316" s="26"/>
      <c r="AL3316" s="35"/>
      <c r="AM3316" s="35"/>
      <c r="AN3316" s="35"/>
      <c r="AO3316" s="35"/>
      <c r="AP3316" s="35"/>
    </row>
    <row r="3317" spans="1:42" x14ac:dyDescent="0.2">
      <c r="A3317" s="126">
        <v>45491.352244016205</v>
      </c>
      <c r="B3317" s="28" t="s">
        <v>37</v>
      </c>
      <c r="C3317" s="41" t="s">
        <v>118</v>
      </c>
      <c r="D3317" s="26" t="s">
        <v>36</v>
      </c>
      <c r="E3317" s="26" t="s">
        <v>77</v>
      </c>
      <c r="F3317" s="26" t="s">
        <v>40</v>
      </c>
      <c r="G3317" s="26" t="s">
        <v>41</v>
      </c>
      <c r="H3317" s="26" t="s">
        <v>9547</v>
      </c>
      <c r="I3317" s="17">
        <f ca="1">IFERROR(__xludf.DUMMYFUNCTION("""COMPUTED_VALUE"""),45495)</f>
        <v>45495</v>
      </c>
      <c r="J3317" s="29" t="s">
        <v>11963</v>
      </c>
      <c r="K3317" s="26" t="s">
        <v>11964</v>
      </c>
      <c r="L3317" s="30">
        <v>981243306</v>
      </c>
      <c r="M3317" s="26" t="s">
        <v>910</v>
      </c>
      <c r="N3317" s="26" t="s">
        <v>3525</v>
      </c>
      <c r="O3317" s="26" t="s">
        <v>11965</v>
      </c>
      <c r="P3317" s="26" t="s">
        <v>11965</v>
      </c>
      <c r="Q3317" s="20">
        <v>1968</v>
      </c>
      <c r="R3317" s="26" t="s">
        <v>36</v>
      </c>
      <c r="S3317" s="95">
        <v>1968</v>
      </c>
      <c r="T3317" s="148">
        <v>45491</v>
      </c>
      <c r="U3317" s="31"/>
      <c r="V3317" s="32"/>
      <c r="W3317" s="33" t="s">
        <v>11966</v>
      </c>
      <c r="X3317" s="26">
        <v>0</v>
      </c>
      <c r="Y3317" s="22">
        <v>0</v>
      </c>
      <c r="Z3317" s="26" t="s">
        <v>50</v>
      </c>
      <c r="AA3317" s="96" t="s">
        <v>3291</v>
      </c>
      <c r="AB3317" s="26"/>
      <c r="AC3317" s="26" t="s">
        <v>53</v>
      </c>
      <c r="AD3317" s="26" t="s">
        <v>54</v>
      </c>
      <c r="AE3317" s="26"/>
      <c r="AF3317" s="17">
        <v>45491</v>
      </c>
      <c r="AG3317" s="26" t="s">
        <v>7078</v>
      </c>
      <c r="AH3317" s="26"/>
      <c r="AI3317" s="40" t="s">
        <v>84</v>
      </c>
      <c r="AJ3317" s="26"/>
      <c r="AK3317" s="26"/>
      <c r="AL3317" s="35"/>
      <c r="AM3317" s="35"/>
      <c r="AN3317" s="35"/>
      <c r="AO3317" s="35"/>
      <c r="AP3317" s="35"/>
    </row>
    <row r="3318" spans="1:42" x14ac:dyDescent="0.2">
      <c r="A3318" s="126">
        <v>45491.869143877309</v>
      </c>
      <c r="B3318" s="28" t="s">
        <v>37</v>
      </c>
      <c r="C3318" s="41" t="s">
        <v>118</v>
      </c>
      <c r="D3318" s="26" t="s">
        <v>36</v>
      </c>
      <c r="E3318" s="26" t="s">
        <v>77</v>
      </c>
      <c r="F3318" s="26" t="s">
        <v>36</v>
      </c>
      <c r="G3318" s="26" t="s">
        <v>41</v>
      </c>
      <c r="H3318" s="26" t="s">
        <v>10021</v>
      </c>
      <c r="I3318" s="17">
        <f ca="1">IFERROR(__xludf.DUMMYFUNCTION("""COMPUTED_VALUE"""),45496)</f>
        <v>45496</v>
      </c>
      <c r="J3318" s="29" t="s">
        <v>11967</v>
      </c>
      <c r="K3318" s="26" t="s">
        <v>11968</v>
      </c>
      <c r="L3318" s="30">
        <v>982040732</v>
      </c>
      <c r="M3318" s="26" t="s">
        <v>3728</v>
      </c>
      <c r="N3318" s="26" t="s">
        <v>8725</v>
      </c>
      <c r="O3318" s="26" t="s">
        <v>11969</v>
      </c>
      <c r="P3318" s="26" t="s">
        <v>11970</v>
      </c>
      <c r="Q3318" s="20">
        <v>1968</v>
      </c>
      <c r="R3318" s="26" t="s">
        <v>36</v>
      </c>
      <c r="S3318" s="95">
        <f>200+1800</f>
        <v>2000</v>
      </c>
      <c r="T3318" s="83" t="s">
        <v>11971</v>
      </c>
      <c r="U3318" s="31"/>
      <c r="V3318" s="32"/>
      <c r="W3318" s="33" t="s">
        <v>11972</v>
      </c>
      <c r="X3318" s="26">
        <v>0</v>
      </c>
      <c r="Y3318" s="22">
        <v>-32</v>
      </c>
      <c r="Z3318" s="26" t="s">
        <v>50</v>
      </c>
      <c r="AA3318" s="35" t="s">
        <v>3291</v>
      </c>
      <c r="AB3318" s="26"/>
      <c r="AC3318" s="26" t="s">
        <v>53</v>
      </c>
      <c r="AD3318" s="26" t="s">
        <v>54</v>
      </c>
      <c r="AE3318" s="26"/>
      <c r="AF3318" s="17">
        <v>45495</v>
      </c>
      <c r="AG3318" s="26" t="s">
        <v>7078</v>
      </c>
      <c r="AH3318" s="26"/>
      <c r="AI3318" s="40" t="s">
        <v>84</v>
      </c>
      <c r="AJ3318" s="26"/>
      <c r="AK3318" s="26"/>
      <c r="AL3318" s="35"/>
      <c r="AM3318" s="35"/>
      <c r="AN3318" s="35"/>
      <c r="AO3318" s="35"/>
      <c r="AP3318" s="35"/>
    </row>
    <row r="3319" spans="1:42" x14ac:dyDescent="0.2">
      <c r="A3319" s="126">
        <v>45492.361119560184</v>
      </c>
      <c r="B3319" s="28" t="s">
        <v>37</v>
      </c>
      <c r="C3319" s="41" t="s">
        <v>118</v>
      </c>
      <c r="D3319" s="26" t="s">
        <v>36</v>
      </c>
      <c r="E3319" s="26" t="s">
        <v>77</v>
      </c>
      <c r="F3319" s="26" t="s">
        <v>36</v>
      </c>
      <c r="G3319" s="26" t="s">
        <v>41</v>
      </c>
      <c r="H3319" s="26" t="s">
        <v>9565</v>
      </c>
      <c r="I3319" s="17">
        <f ca="1">IFERROR(__xludf.DUMMYFUNCTION("""COMPUTED_VALUE"""),45504)</f>
        <v>45504</v>
      </c>
      <c r="J3319" s="29" t="s">
        <v>11973</v>
      </c>
      <c r="K3319" s="26" t="s">
        <v>11974</v>
      </c>
      <c r="L3319" s="30">
        <v>961565328</v>
      </c>
      <c r="M3319" s="26" t="s">
        <v>5429</v>
      </c>
      <c r="N3319" s="26" t="s">
        <v>9251</v>
      </c>
      <c r="O3319" s="26" t="s">
        <v>61</v>
      </c>
      <c r="P3319" s="26" t="s">
        <v>11975</v>
      </c>
      <c r="Q3319" s="20">
        <v>1968</v>
      </c>
      <c r="R3319" s="26" t="s">
        <v>70</v>
      </c>
      <c r="S3319" s="95">
        <v>2000</v>
      </c>
      <c r="T3319" s="148">
        <v>45492</v>
      </c>
      <c r="U3319" s="31"/>
      <c r="V3319" s="32"/>
      <c r="W3319" s="33" t="s">
        <v>11976</v>
      </c>
      <c r="X3319" s="26">
        <v>100</v>
      </c>
      <c r="Y3319" s="22">
        <v>-132</v>
      </c>
      <c r="Z3319" s="26" t="s">
        <v>50</v>
      </c>
      <c r="AA3319" s="96" t="s">
        <v>3291</v>
      </c>
      <c r="AB3319" s="26"/>
      <c r="AC3319" s="26" t="s">
        <v>53</v>
      </c>
      <c r="AD3319" s="26" t="s">
        <v>54</v>
      </c>
      <c r="AE3319" s="26" t="s">
        <v>72</v>
      </c>
      <c r="AF3319" s="17">
        <v>45498</v>
      </c>
      <c r="AG3319" s="26" t="s">
        <v>7078</v>
      </c>
      <c r="AH3319" s="26"/>
      <c r="AI3319" s="40" t="s">
        <v>84</v>
      </c>
      <c r="AJ3319" s="26"/>
      <c r="AK3319" s="26"/>
      <c r="AL3319" s="35"/>
      <c r="AM3319" s="35"/>
      <c r="AN3319" s="35"/>
      <c r="AO3319" s="35"/>
      <c r="AP3319" s="35"/>
    </row>
    <row r="3320" spans="1:42" x14ac:dyDescent="0.2">
      <c r="A3320" s="126">
        <v>45492.909936354168</v>
      </c>
      <c r="B3320" s="28" t="s">
        <v>37</v>
      </c>
      <c r="C3320" s="41" t="s">
        <v>118</v>
      </c>
      <c r="D3320" s="26" t="s">
        <v>36</v>
      </c>
      <c r="E3320" s="26" t="s">
        <v>139</v>
      </c>
      <c r="F3320" s="26" t="s">
        <v>36</v>
      </c>
      <c r="G3320" s="26" t="s">
        <v>41</v>
      </c>
      <c r="H3320" s="26" t="s">
        <v>9560</v>
      </c>
      <c r="I3320" s="17">
        <f ca="1">IFERROR(__xludf.DUMMYFUNCTION("""COMPUTED_VALUE"""),45503)</f>
        <v>45503</v>
      </c>
      <c r="J3320" s="29" t="s">
        <v>10224</v>
      </c>
      <c r="K3320" s="26" t="s">
        <v>11977</v>
      </c>
      <c r="L3320" s="30">
        <v>966767506</v>
      </c>
      <c r="M3320" s="26" t="s">
        <v>3728</v>
      </c>
      <c r="N3320" s="26" t="s">
        <v>5277</v>
      </c>
      <c r="O3320" s="26" t="s">
        <v>10226</v>
      </c>
      <c r="P3320" s="26" t="s">
        <v>11978</v>
      </c>
      <c r="Q3320" s="20">
        <v>15936</v>
      </c>
      <c r="R3320" s="26" t="s">
        <v>36</v>
      </c>
      <c r="S3320" s="95">
        <v>2000</v>
      </c>
      <c r="T3320" s="148">
        <v>45492</v>
      </c>
      <c r="U3320" s="95">
        <v>13936</v>
      </c>
      <c r="V3320" s="148">
        <v>45545</v>
      </c>
      <c r="W3320" s="33" t="s">
        <v>10228</v>
      </c>
      <c r="X3320" s="26">
        <v>0</v>
      </c>
      <c r="Y3320" s="22">
        <v>0</v>
      </c>
      <c r="Z3320" s="26" t="s">
        <v>50</v>
      </c>
      <c r="AA3320" s="35" t="s">
        <v>3291</v>
      </c>
      <c r="AB3320" s="26"/>
      <c r="AC3320" s="26" t="s">
        <v>53</v>
      </c>
      <c r="AD3320" s="26" t="s">
        <v>54</v>
      </c>
      <c r="AE3320" s="26"/>
      <c r="AF3320" s="17">
        <v>45497</v>
      </c>
      <c r="AG3320" s="26"/>
      <c r="AH3320" s="26"/>
      <c r="AI3320" s="40" t="s">
        <v>147</v>
      </c>
      <c r="AJ3320" s="26"/>
      <c r="AK3320" s="26"/>
      <c r="AL3320" s="35"/>
      <c r="AM3320" s="35"/>
      <c r="AN3320" s="35"/>
      <c r="AO3320" s="35"/>
      <c r="AP3320" s="35"/>
    </row>
    <row r="3321" spans="1:42" x14ac:dyDescent="0.2">
      <c r="A3321" s="126">
        <v>45492.964184340279</v>
      </c>
      <c r="B3321" s="28" t="s">
        <v>37</v>
      </c>
      <c r="C3321" s="41" t="s">
        <v>118</v>
      </c>
      <c r="D3321" s="26" t="s">
        <v>36</v>
      </c>
      <c r="E3321" s="26" t="s">
        <v>77</v>
      </c>
      <c r="F3321" s="26" t="s">
        <v>36</v>
      </c>
      <c r="G3321" s="26" t="s">
        <v>41</v>
      </c>
      <c r="H3321" s="26" t="s">
        <v>9560</v>
      </c>
      <c r="I3321" s="17">
        <f ca="1">IFERROR(__xludf.DUMMYFUNCTION("""COMPUTED_VALUE"""),45503)</f>
        <v>45503</v>
      </c>
      <c r="J3321" s="29" t="s">
        <v>11979</v>
      </c>
      <c r="K3321" s="26" t="s">
        <v>11980</v>
      </c>
      <c r="L3321" s="30">
        <v>966985284</v>
      </c>
      <c r="M3321" s="26" t="s">
        <v>80</v>
      </c>
      <c r="N3321" s="26" t="s">
        <v>466</v>
      </c>
      <c r="O3321" s="26" t="s">
        <v>11981</v>
      </c>
      <c r="P3321" s="26" t="s">
        <v>11982</v>
      </c>
      <c r="Q3321" s="20">
        <v>1968</v>
      </c>
      <c r="R3321" s="26" t="s">
        <v>36</v>
      </c>
      <c r="S3321" s="95">
        <v>2000</v>
      </c>
      <c r="T3321" s="148">
        <v>45492</v>
      </c>
      <c r="U3321" s="31"/>
      <c r="V3321" s="32"/>
      <c r="W3321" s="33" t="s">
        <v>11983</v>
      </c>
      <c r="X3321" s="26">
        <v>0</v>
      </c>
      <c r="Y3321" s="22">
        <v>-32</v>
      </c>
      <c r="Z3321" s="26" t="s">
        <v>50</v>
      </c>
      <c r="AA3321" s="96" t="s">
        <v>3291</v>
      </c>
      <c r="AB3321" s="26"/>
      <c r="AC3321" s="26" t="s">
        <v>53</v>
      </c>
      <c r="AD3321" s="26" t="s">
        <v>54</v>
      </c>
      <c r="AE3321" s="26">
        <v>0</v>
      </c>
      <c r="AF3321" s="17">
        <v>45497</v>
      </c>
      <c r="AG3321" s="26" t="s">
        <v>7078</v>
      </c>
      <c r="AH3321" s="26"/>
      <c r="AI3321" s="40" t="s">
        <v>84</v>
      </c>
      <c r="AJ3321" s="26"/>
      <c r="AK3321" s="26"/>
      <c r="AL3321" s="35"/>
      <c r="AM3321" s="35"/>
      <c r="AN3321" s="35"/>
      <c r="AO3321" s="35"/>
      <c r="AP3321" s="35"/>
    </row>
    <row r="3322" spans="1:42" x14ac:dyDescent="0.2">
      <c r="A3322" s="126">
        <v>45493.46366292824</v>
      </c>
      <c r="B3322" s="28" t="s">
        <v>37</v>
      </c>
      <c r="C3322" s="41" t="s">
        <v>118</v>
      </c>
      <c r="D3322" s="26" t="s">
        <v>36</v>
      </c>
      <c r="E3322" s="26" t="s">
        <v>77</v>
      </c>
      <c r="F3322" s="26" t="s">
        <v>36</v>
      </c>
      <c r="G3322" s="26" t="s">
        <v>41</v>
      </c>
      <c r="H3322" s="26" t="s">
        <v>9547</v>
      </c>
      <c r="I3322" s="17">
        <f ca="1">IFERROR(__xludf.DUMMYFUNCTION("""COMPUTED_VALUE"""),45495)</f>
        <v>45495</v>
      </c>
      <c r="J3322" s="29" t="s">
        <v>11984</v>
      </c>
      <c r="K3322" s="26" t="s">
        <v>11985</v>
      </c>
      <c r="L3322" s="30">
        <v>369193871</v>
      </c>
      <c r="M3322" s="26" t="s">
        <v>80</v>
      </c>
      <c r="N3322" s="26" t="s">
        <v>466</v>
      </c>
      <c r="O3322" s="26" t="s">
        <v>11986</v>
      </c>
      <c r="P3322" s="26" t="s">
        <v>11987</v>
      </c>
      <c r="Q3322" s="20">
        <v>1968</v>
      </c>
      <c r="R3322" s="26" t="s">
        <v>36</v>
      </c>
      <c r="S3322" s="95">
        <v>2000</v>
      </c>
      <c r="T3322" s="148">
        <v>45493</v>
      </c>
      <c r="U3322" s="31"/>
      <c r="V3322" s="32"/>
      <c r="W3322" s="33" t="s">
        <v>11988</v>
      </c>
      <c r="X3322" s="26">
        <v>0</v>
      </c>
      <c r="Y3322" s="22">
        <v>-32</v>
      </c>
      <c r="Z3322" s="26" t="s">
        <v>50</v>
      </c>
      <c r="AA3322" s="35" t="s">
        <v>3291</v>
      </c>
      <c r="AB3322" s="26"/>
      <c r="AC3322" s="26" t="s">
        <v>53</v>
      </c>
      <c r="AD3322" s="26" t="s">
        <v>54</v>
      </c>
      <c r="AE3322" s="26">
        <v>0</v>
      </c>
      <c r="AF3322" s="17">
        <v>45493</v>
      </c>
      <c r="AG3322" s="26" t="s">
        <v>7078</v>
      </c>
      <c r="AH3322" s="26"/>
      <c r="AI3322" s="40" t="s">
        <v>84</v>
      </c>
      <c r="AJ3322" s="26"/>
      <c r="AK3322" s="26"/>
      <c r="AL3322" s="35"/>
      <c r="AM3322" s="35"/>
      <c r="AN3322" s="35"/>
      <c r="AO3322" s="35"/>
      <c r="AP3322" s="35"/>
    </row>
    <row r="3323" spans="1:42" x14ac:dyDescent="0.2">
      <c r="A3323" s="126">
        <v>45493.649034201386</v>
      </c>
      <c r="B3323" s="28" t="s">
        <v>37</v>
      </c>
      <c r="C3323" s="41" t="s">
        <v>118</v>
      </c>
      <c r="D3323" s="26" t="s">
        <v>36</v>
      </c>
      <c r="E3323" s="26" t="s">
        <v>139</v>
      </c>
      <c r="F3323" s="26" t="s">
        <v>36</v>
      </c>
      <c r="G3323" s="26" t="s">
        <v>41</v>
      </c>
      <c r="H3323" s="26" t="s">
        <v>7330</v>
      </c>
      <c r="I3323" s="17">
        <f ca="1">IFERROR(__xludf.DUMMYFUNCTION("""COMPUTED_VALUE"""),45509)</f>
        <v>45509</v>
      </c>
      <c r="J3323" s="29" t="s">
        <v>11989</v>
      </c>
      <c r="K3323" s="26" t="s">
        <v>11990</v>
      </c>
      <c r="L3323" s="30">
        <v>357014423</v>
      </c>
      <c r="M3323" s="26" t="s">
        <v>5558</v>
      </c>
      <c r="N3323" s="26" t="s">
        <v>5559</v>
      </c>
      <c r="O3323" s="26" t="s">
        <v>4503</v>
      </c>
      <c r="P3323" s="26" t="s">
        <v>11991</v>
      </c>
      <c r="Q3323" s="20">
        <v>15936</v>
      </c>
      <c r="R3323" s="26" t="s">
        <v>36</v>
      </c>
      <c r="S3323" s="95">
        <v>2000</v>
      </c>
      <c r="T3323" s="148">
        <v>45493</v>
      </c>
      <c r="U3323" s="95">
        <v>13936</v>
      </c>
      <c r="V3323" s="148">
        <v>45544</v>
      </c>
      <c r="W3323" s="33" t="s">
        <v>11992</v>
      </c>
      <c r="X3323" s="26">
        <v>0</v>
      </c>
      <c r="Y3323" s="22">
        <v>0</v>
      </c>
      <c r="Z3323" s="26" t="s">
        <v>50</v>
      </c>
      <c r="AA3323" s="96" t="s">
        <v>3291</v>
      </c>
      <c r="AB3323" s="26"/>
      <c r="AC3323" s="26" t="s">
        <v>53</v>
      </c>
      <c r="AD3323" s="26" t="s">
        <v>138</v>
      </c>
      <c r="AE3323" s="26"/>
      <c r="AF3323" s="17">
        <v>45509</v>
      </c>
      <c r="AG3323" s="26" t="s">
        <v>4279</v>
      </c>
      <c r="AH3323" s="26"/>
      <c r="AI3323" s="40" t="s">
        <v>147</v>
      </c>
      <c r="AJ3323" s="26"/>
      <c r="AK3323" s="26"/>
      <c r="AL3323" s="35"/>
      <c r="AM3323" s="35"/>
      <c r="AN3323" s="35"/>
      <c r="AO3323" s="35"/>
      <c r="AP3323" s="35"/>
    </row>
    <row r="3324" spans="1:42" x14ac:dyDescent="0.2">
      <c r="A3324" s="126">
        <v>45493.864775034723</v>
      </c>
      <c r="B3324" s="28" t="s">
        <v>37</v>
      </c>
      <c r="C3324" s="41" t="s">
        <v>118</v>
      </c>
      <c r="D3324" s="26" t="s">
        <v>36</v>
      </c>
      <c r="E3324" s="26" t="s">
        <v>139</v>
      </c>
      <c r="F3324" s="26" t="s">
        <v>36</v>
      </c>
      <c r="G3324" s="26" t="s">
        <v>41</v>
      </c>
      <c r="H3324" s="26" t="s">
        <v>11497</v>
      </c>
      <c r="I3324" s="17">
        <f ca="1">IFERROR(__xludf.DUMMYFUNCTION("""COMPUTED_VALUE"""),45530)</f>
        <v>45530</v>
      </c>
      <c r="J3324" s="29" t="s">
        <v>11993</v>
      </c>
      <c r="K3324" s="26" t="s">
        <v>11994</v>
      </c>
      <c r="L3324" s="30">
        <v>983220806</v>
      </c>
      <c r="M3324" s="26" t="s">
        <v>3728</v>
      </c>
      <c r="N3324" s="26" t="s">
        <v>5277</v>
      </c>
      <c r="O3324" s="26" t="s">
        <v>11995</v>
      </c>
      <c r="P3324" s="26" t="s">
        <v>11996</v>
      </c>
      <c r="Q3324" s="20">
        <v>15936</v>
      </c>
      <c r="R3324" s="26" t="s">
        <v>36</v>
      </c>
      <c r="S3324" s="95">
        <f>200+1800</f>
        <v>2000</v>
      </c>
      <c r="T3324" s="83" t="s">
        <v>11997</v>
      </c>
      <c r="U3324" s="95">
        <v>13936</v>
      </c>
      <c r="V3324" s="148">
        <v>45554</v>
      </c>
      <c r="W3324" s="33" t="s">
        <v>11998</v>
      </c>
      <c r="X3324" s="26">
        <v>0</v>
      </c>
      <c r="Y3324" s="22">
        <v>0</v>
      </c>
      <c r="Z3324" s="26" t="s">
        <v>50</v>
      </c>
      <c r="AA3324" s="35" t="s">
        <v>3291</v>
      </c>
      <c r="AB3324" s="26"/>
      <c r="AC3324" s="26" t="s">
        <v>53</v>
      </c>
      <c r="AD3324" s="26" t="s">
        <v>54</v>
      </c>
      <c r="AE3324" s="26"/>
      <c r="AF3324" s="17">
        <v>45529</v>
      </c>
      <c r="AG3324" s="26"/>
      <c r="AH3324" s="26"/>
      <c r="AI3324" s="40" t="s">
        <v>147</v>
      </c>
      <c r="AJ3324" s="26"/>
      <c r="AK3324" s="26"/>
      <c r="AL3324" s="35"/>
      <c r="AM3324" s="35"/>
      <c r="AN3324" s="35"/>
      <c r="AO3324" s="35"/>
      <c r="AP3324" s="35"/>
    </row>
    <row r="3325" spans="1:42" x14ac:dyDescent="0.2">
      <c r="A3325" s="126">
        <v>45494.87952206019</v>
      </c>
      <c r="B3325" s="28" t="s">
        <v>37</v>
      </c>
      <c r="C3325" s="41" t="s">
        <v>118</v>
      </c>
      <c r="D3325" s="26" t="s">
        <v>36</v>
      </c>
      <c r="E3325" s="26" t="s">
        <v>77</v>
      </c>
      <c r="F3325" s="26" t="s">
        <v>36</v>
      </c>
      <c r="G3325" s="26" t="s">
        <v>41</v>
      </c>
      <c r="H3325" s="26" t="s">
        <v>9547</v>
      </c>
      <c r="I3325" s="17">
        <f ca="1">IFERROR(__xludf.DUMMYFUNCTION("""COMPUTED_VALUE"""),45495)</f>
        <v>45495</v>
      </c>
      <c r="J3325" s="29" t="s">
        <v>11999</v>
      </c>
      <c r="K3325" s="26" t="s">
        <v>12000</v>
      </c>
      <c r="L3325" s="30">
        <v>975511615</v>
      </c>
      <c r="M3325" s="26" t="s">
        <v>80</v>
      </c>
      <c r="N3325" s="26" t="s">
        <v>466</v>
      </c>
      <c r="O3325" s="26" t="s">
        <v>12001</v>
      </c>
      <c r="P3325" s="42" t="s">
        <v>12002</v>
      </c>
      <c r="Q3325" s="20">
        <v>1968</v>
      </c>
      <c r="R3325" s="26" t="s">
        <v>36</v>
      </c>
      <c r="S3325" s="95">
        <v>2000</v>
      </c>
      <c r="T3325" s="148">
        <v>45494</v>
      </c>
      <c r="U3325" s="31"/>
      <c r="V3325" s="32"/>
      <c r="W3325" s="33" t="s">
        <v>12003</v>
      </c>
      <c r="X3325" s="26">
        <v>0</v>
      </c>
      <c r="Y3325" s="22">
        <v>-32</v>
      </c>
      <c r="Z3325" s="26" t="s">
        <v>50</v>
      </c>
      <c r="AA3325" s="96" t="s">
        <v>3291</v>
      </c>
      <c r="AB3325" s="26"/>
      <c r="AC3325" s="26" t="s">
        <v>53</v>
      </c>
      <c r="AD3325" s="26" t="s">
        <v>54</v>
      </c>
      <c r="AE3325" s="26">
        <v>0</v>
      </c>
      <c r="AF3325" s="17">
        <v>45495</v>
      </c>
      <c r="AG3325" s="26" t="s">
        <v>7078</v>
      </c>
      <c r="AH3325" s="26"/>
      <c r="AI3325" s="40" t="s">
        <v>84</v>
      </c>
      <c r="AJ3325" s="26"/>
      <c r="AK3325" s="26"/>
      <c r="AL3325" s="35"/>
      <c r="AM3325" s="35"/>
      <c r="AN3325" s="35"/>
      <c r="AO3325" s="35"/>
      <c r="AP3325" s="35"/>
    </row>
    <row r="3326" spans="1:42" x14ac:dyDescent="0.2">
      <c r="A3326" s="126">
        <v>45494.962255243052</v>
      </c>
      <c r="B3326" s="28" t="s">
        <v>37</v>
      </c>
      <c r="C3326" s="41" t="s">
        <v>118</v>
      </c>
      <c r="D3326" s="26" t="s">
        <v>36</v>
      </c>
      <c r="E3326" s="26" t="s">
        <v>77</v>
      </c>
      <c r="F3326" s="26" t="s">
        <v>36</v>
      </c>
      <c r="G3326" s="26" t="s">
        <v>41</v>
      </c>
      <c r="H3326" s="26" t="s">
        <v>9565</v>
      </c>
      <c r="I3326" s="17">
        <f ca="1">IFERROR(__xludf.DUMMYFUNCTION("""COMPUTED_VALUE"""),45504)</f>
        <v>45504</v>
      </c>
      <c r="J3326" s="29" t="s">
        <v>12004</v>
      </c>
      <c r="K3326" s="26" t="s">
        <v>12005</v>
      </c>
      <c r="L3326" s="30">
        <v>359516783</v>
      </c>
      <c r="M3326" s="26" t="s">
        <v>5429</v>
      </c>
      <c r="N3326" s="26" t="s">
        <v>756</v>
      </c>
      <c r="O3326" s="26" t="s">
        <v>12006</v>
      </c>
      <c r="P3326" s="26" t="s">
        <v>12007</v>
      </c>
      <c r="Q3326" s="20">
        <v>1968</v>
      </c>
      <c r="R3326" s="26" t="s">
        <v>70</v>
      </c>
      <c r="S3326" s="95">
        <f>200+1800</f>
        <v>2000</v>
      </c>
      <c r="T3326" s="83" t="s">
        <v>12008</v>
      </c>
      <c r="U3326" s="31"/>
      <c r="V3326" s="32"/>
      <c r="W3326" s="33" t="s">
        <v>12009</v>
      </c>
      <c r="X3326" s="26">
        <v>100</v>
      </c>
      <c r="Y3326" s="22">
        <v>-132</v>
      </c>
      <c r="Z3326" s="26" t="s">
        <v>50</v>
      </c>
      <c r="AA3326" s="35" t="s">
        <v>3291</v>
      </c>
      <c r="AB3326" s="26"/>
      <c r="AC3326" s="26" t="s">
        <v>53</v>
      </c>
      <c r="AD3326" s="26" t="s">
        <v>54</v>
      </c>
      <c r="AE3326" s="26" t="s">
        <v>72</v>
      </c>
      <c r="AF3326" s="17">
        <v>45499</v>
      </c>
      <c r="AG3326" s="26" t="s">
        <v>7078</v>
      </c>
      <c r="AH3326" s="26"/>
      <c r="AI3326" s="40" t="s">
        <v>84</v>
      </c>
      <c r="AJ3326" s="26"/>
      <c r="AK3326" s="26"/>
      <c r="AL3326" s="35"/>
      <c r="AM3326" s="35"/>
      <c r="AN3326" s="35"/>
      <c r="AO3326" s="35"/>
      <c r="AP3326" s="35"/>
    </row>
    <row r="3327" spans="1:42" x14ac:dyDescent="0.2">
      <c r="A3327" s="126">
        <v>45496.855401435183</v>
      </c>
      <c r="B3327" s="28" t="s">
        <v>37</v>
      </c>
      <c r="C3327" s="41" t="s">
        <v>118</v>
      </c>
      <c r="D3327" s="80" t="s">
        <v>36</v>
      </c>
      <c r="E3327" s="80" t="s">
        <v>139</v>
      </c>
      <c r="F3327" s="80" t="s">
        <v>36</v>
      </c>
      <c r="G3327" s="80" t="s">
        <v>41</v>
      </c>
      <c r="H3327" s="80" t="s">
        <v>9682</v>
      </c>
      <c r="I3327" s="17">
        <f ca="1">IFERROR(__xludf.DUMMYFUNCTION("""COMPUTED_VALUE"""),45505)</f>
        <v>45505</v>
      </c>
      <c r="J3327" s="143" t="s">
        <v>11813</v>
      </c>
      <c r="K3327" s="80" t="s">
        <v>12010</v>
      </c>
      <c r="L3327" s="30">
        <v>839000483</v>
      </c>
      <c r="M3327" s="80" t="s">
        <v>123</v>
      </c>
      <c r="N3327" s="80" t="s">
        <v>186</v>
      </c>
      <c r="O3327" s="80" t="s">
        <v>4503</v>
      </c>
      <c r="P3327" s="80" t="s">
        <v>12011</v>
      </c>
      <c r="Q3327" s="20">
        <v>15936</v>
      </c>
      <c r="R3327" s="80" t="s">
        <v>36</v>
      </c>
      <c r="S3327" s="95">
        <v>2000</v>
      </c>
      <c r="T3327" s="148">
        <v>45496</v>
      </c>
      <c r="U3327" s="95">
        <v>13936</v>
      </c>
      <c r="V3327" s="148">
        <v>45550</v>
      </c>
      <c r="W3327" s="85" t="s">
        <v>11815</v>
      </c>
      <c r="X3327" s="80">
        <v>0</v>
      </c>
      <c r="Y3327" s="22">
        <v>0</v>
      </c>
      <c r="Z3327" s="80" t="s">
        <v>50</v>
      </c>
      <c r="AA3327" s="96" t="s">
        <v>3291</v>
      </c>
      <c r="AB3327" s="80"/>
      <c r="AC3327" s="80" t="s">
        <v>53</v>
      </c>
      <c r="AD3327" s="80" t="s">
        <v>54</v>
      </c>
      <c r="AE3327" s="80"/>
      <c r="AF3327" s="17">
        <v>45499</v>
      </c>
      <c r="AG3327" s="80"/>
      <c r="AH3327" s="80"/>
      <c r="AI3327" s="147" t="s">
        <v>147</v>
      </c>
      <c r="AJ3327" s="80"/>
      <c r="AK3327" s="80"/>
      <c r="AL3327" s="35"/>
      <c r="AM3327" s="35"/>
      <c r="AN3327" s="35"/>
      <c r="AO3327" s="35"/>
      <c r="AP3327" s="35"/>
    </row>
    <row r="3328" spans="1:42" x14ac:dyDescent="0.2">
      <c r="A3328" s="126">
        <v>45497.518578171293</v>
      </c>
      <c r="B3328" s="137" t="s">
        <v>37</v>
      </c>
      <c r="C3328" s="41" t="s">
        <v>118</v>
      </c>
      <c r="D3328" s="80" t="s">
        <v>36</v>
      </c>
      <c r="E3328" s="80" t="s">
        <v>119</v>
      </c>
      <c r="F3328" s="80" t="s">
        <v>36</v>
      </c>
      <c r="G3328" s="80" t="s">
        <v>108</v>
      </c>
      <c r="H3328" s="80" t="s">
        <v>9553</v>
      </c>
      <c r="I3328" s="17">
        <f ca="1">IFERROR(__xludf.DUMMYFUNCTION("""COMPUTED_VALUE"""),45497)</f>
        <v>45497</v>
      </c>
      <c r="J3328" s="143" t="s">
        <v>12012</v>
      </c>
      <c r="K3328" s="80" t="s">
        <v>12013</v>
      </c>
      <c r="L3328" s="30">
        <v>921410686</v>
      </c>
      <c r="M3328" s="80" t="s">
        <v>80</v>
      </c>
      <c r="N3328" s="80" t="s">
        <v>466</v>
      </c>
      <c r="O3328" s="80" t="s">
        <v>12014</v>
      </c>
      <c r="P3328" s="80" t="s">
        <v>12015</v>
      </c>
      <c r="Q3328" s="20">
        <v>13968</v>
      </c>
      <c r="R3328" s="80" t="s">
        <v>36</v>
      </c>
      <c r="S3328" s="95">
        <v>3800</v>
      </c>
      <c r="T3328" s="148">
        <v>45497</v>
      </c>
      <c r="U3328" s="95">
        <f>10100+68</f>
        <v>10168</v>
      </c>
      <c r="V3328" s="83" t="s">
        <v>12016</v>
      </c>
      <c r="W3328" s="85" t="s">
        <v>12017</v>
      </c>
      <c r="X3328" s="80">
        <v>0</v>
      </c>
      <c r="Y3328" s="22">
        <v>0</v>
      </c>
      <c r="Z3328" s="80" t="s">
        <v>50</v>
      </c>
      <c r="AA3328" s="35" t="s">
        <v>3291</v>
      </c>
      <c r="AB3328" s="80"/>
      <c r="AC3328" s="80" t="s">
        <v>53</v>
      </c>
      <c r="AD3328" s="80" t="s">
        <v>54</v>
      </c>
      <c r="AE3328" s="83">
        <v>450</v>
      </c>
      <c r="AF3328" s="17">
        <v>45497</v>
      </c>
      <c r="AG3328" s="80"/>
      <c r="AH3328" s="80"/>
      <c r="AI3328" s="147">
        <v>4</v>
      </c>
      <c r="AJ3328" s="80"/>
      <c r="AK3328" s="80"/>
      <c r="AL3328" s="35"/>
      <c r="AM3328" s="35"/>
      <c r="AN3328" s="35"/>
      <c r="AO3328" s="35"/>
      <c r="AP3328" s="35"/>
    </row>
    <row r="3329" spans="1:42" x14ac:dyDescent="0.2">
      <c r="A3329" s="126">
        <v>45498.319192037037</v>
      </c>
      <c r="B3329" s="137" t="s">
        <v>37</v>
      </c>
      <c r="C3329" s="41" t="s">
        <v>118</v>
      </c>
      <c r="D3329" s="80" t="s">
        <v>36</v>
      </c>
      <c r="E3329" s="80" t="s">
        <v>77</v>
      </c>
      <c r="F3329" s="80" t="s">
        <v>36</v>
      </c>
      <c r="G3329" s="80" t="s">
        <v>41</v>
      </c>
      <c r="H3329" s="80" t="s">
        <v>9682</v>
      </c>
      <c r="I3329" s="17">
        <f ca="1">IFERROR(__xludf.DUMMYFUNCTION("""COMPUTED_VALUE"""),45505)</f>
        <v>45505</v>
      </c>
      <c r="J3329" s="143" t="s">
        <v>12018</v>
      </c>
      <c r="K3329" s="80" t="s">
        <v>12019</v>
      </c>
      <c r="L3329" s="30">
        <v>328780517</v>
      </c>
      <c r="M3329" s="80" t="s">
        <v>123</v>
      </c>
      <c r="N3329" s="80" t="s">
        <v>327</v>
      </c>
      <c r="O3329" s="80" t="s">
        <v>12020</v>
      </c>
      <c r="P3329" s="80" t="s">
        <v>12021</v>
      </c>
      <c r="Q3329" s="20">
        <v>1968</v>
      </c>
      <c r="R3329" s="80" t="s">
        <v>36</v>
      </c>
      <c r="S3329" s="95">
        <f>100+1900</f>
        <v>2000</v>
      </c>
      <c r="T3329" s="148">
        <v>45497</v>
      </c>
      <c r="U3329" s="95"/>
      <c r="V3329" s="148"/>
      <c r="W3329" s="80" t="s">
        <v>12022</v>
      </c>
      <c r="X3329" s="80">
        <v>0</v>
      </c>
      <c r="Y3329" s="22">
        <v>-32</v>
      </c>
      <c r="Z3329" s="80" t="s">
        <v>50</v>
      </c>
      <c r="AA3329" s="96" t="s">
        <v>3291</v>
      </c>
      <c r="AB3329" s="80" t="s">
        <v>4503</v>
      </c>
      <c r="AC3329" s="80" t="s">
        <v>53</v>
      </c>
      <c r="AD3329" s="80" t="s">
        <v>54</v>
      </c>
      <c r="AE3329" s="80"/>
      <c r="AF3329" s="17">
        <v>45499</v>
      </c>
      <c r="AG3329" s="80" t="s">
        <v>7078</v>
      </c>
      <c r="AH3329" s="80"/>
      <c r="AI3329" s="147" t="s">
        <v>84</v>
      </c>
      <c r="AJ3329" s="80"/>
      <c r="AK3329" s="80"/>
      <c r="AL3329" s="35"/>
      <c r="AM3329" s="35"/>
      <c r="AN3329" s="35"/>
      <c r="AO3329" s="35"/>
      <c r="AP3329" s="35"/>
    </row>
    <row r="3330" spans="1:42" x14ac:dyDescent="0.2">
      <c r="A3330" s="126">
        <v>45498.450161261571</v>
      </c>
      <c r="B3330" s="137" t="s">
        <v>37</v>
      </c>
      <c r="C3330" s="41" t="s">
        <v>118</v>
      </c>
      <c r="D3330" s="80" t="s">
        <v>36</v>
      </c>
      <c r="E3330" s="80" t="s">
        <v>77</v>
      </c>
      <c r="F3330" s="80" t="s">
        <v>36</v>
      </c>
      <c r="G3330" s="80" t="s">
        <v>41</v>
      </c>
      <c r="H3330" s="80" t="s">
        <v>9682</v>
      </c>
      <c r="I3330" s="17">
        <f ca="1">IFERROR(__xludf.DUMMYFUNCTION("""COMPUTED_VALUE"""),45505)</f>
        <v>45505</v>
      </c>
      <c r="J3330" s="143" t="s">
        <v>12023</v>
      </c>
      <c r="K3330" s="80" t="s">
        <v>12024</v>
      </c>
      <c r="L3330" s="30">
        <v>395066299</v>
      </c>
      <c r="M3330" s="80" t="s">
        <v>123</v>
      </c>
      <c r="N3330" s="80" t="s">
        <v>327</v>
      </c>
      <c r="O3330" s="80" t="s">
        <v>12025</v>
      </c>
      <c r="P3330" s="80" t="s">
        <v>12026</v>
      </c>
      <c r="Q3330" s="20">
        <v>1968</v>
      </c>
      <c r="R3330" s="80" t="s">
        <v>36</v>
      </c>
      <c r="S3330" s="95">
        <v>2000</v>
      </c>
      <c r="T3330" s="148">
        <v>45498</v>
      </c>
      <c r="U3330" s="77"/>
      <c r="V3330" s="78"/>
      <c r="W3330" s="85" t="s">
        <v>12027</v>
      </c>
      <c r="X3330" s="80">
        <v>0</v>
      </c>
      <c r="Y3330" s="22">
        <v>-32</v>
      </c>
      <c r="Z3330" s="80" t="s">
        <v>50</v>
      </c>
      <c r="AA3330" s="35" t="s">
        <v>3291</v>
      </c>
      <c r="AB3330" s="80"/>
      <c r="AC3330" s="80" t="s">
        <v>53</v>
      </c>
      <c r="AD3330" s="80" t="s">
        <v>54</v>
      </c>
      <c r="AE3330" s="80"/>
      <c r="AF3330" s="17">
        <v>45499</v>
      </c>
      <c r="AG3330" s="80"/>
      <c r="AH3330" s="80"/>
      <c r="AI3330" s="147" t="s">
        <v>84</v>
      </c>
      <c r="AJ3330" s="80"/>
      <c r="AK3330" s="80"/>
      <c r="AL3330" s="35"/>
      <c r="AM3330" s="35"/>
      <c r="AN3330" s="35"/>
      <c r="AO3330" s="35"/>
      <c r="AP3330" s="35"/>
    </row>
    <row r="3331" spans="1:42" x14ac:dyDescent="0.2">
      <c r="A3331" s="126">
        <v>45498.497599328708</v>
      </c>
      <c r="B3331" s="137" t="s">
        <v>37</v>
      </c>
      <c r="C3331" s="41" t="s">
        <v>118</v>
      </c>
      <c r="D3331" s="80" t="s">
        <v>36</v>
      </c>
      <c r="E3331" s="80" t="s">
        <v>139</v>
      </c>
      <c r="F3331" s="80" t="s">
        <v>36</v>
      </c>
      <c r="G3331" s="80" t="s">
        <v>41</v>
      </c>
      <c r="H3331" s="80" t="s">
        <v>9682</v>
      </c>
      <c r="I3331" s="17">
        <f ca="1">IFERROR(__xludf.DUMMYFUNCTION("""COMPUTED_VALUE"""),45505)</f>
        <v>45505</v>
      </c>
      <c r="J3331" s="143" t="s">
        <v>12028</v>
      </c>
      <c r="K3331" s="80" t="s">
        <v>12029</v>
      </c>
      <c r="L3331" s="30">
        <v>868298336</v>
      </c>
      <c r="M3331" s="80" t="s">
        <v>5518</v>
      </c>
      <c r="N3331" s="80" t="s">
        <v>10698</v>
      </c>
      <c r="O3331" s="80" t="s">
        <v>12030</v>
      </c>
      <c r="P3331" s="80" t="s">
        <v>12031</v>
      </c>
      <c r="Q3331" s="20">
        <v>15936</v>
      </c>
      <c r="R3331" s="80" t="s">
        <v>36</v>
      </c>
      <c r="S3331" s="95">
        <v>2000</v>
      </c>
      <c r="T3331" s="148">
        <v>45498</v>
      </c>
      <c r="U3331" s="77">
        <v>13936</v>
      </c>
      <c r="V3331" s="78">
        <v>45537</v>
      </c>
      <c r="W3331" s="85" t="s">
        <v>12032</v>
      </c>
      <c r="X3331" s="80">
        <v>0</v>
      </c>
      <c r="Y3331" s="22">
        <v>0</v>
      </c>
      <c r="Z3331" s="80" t="s">
        <v>50</v>
      </c>
      <c r="AA3331" s="96" t="s">
        <v>3291</v>
      </c>
      <c r="AB3331" s="80"/>
      <c r="AC3331" s="80" t="s">
        <v>53</v>
      </c>
      <c r="AD3331" s="80" t="s">
        <v>54</v>
      </c>
      <c r="AE3331" s="83">
        <v>0</v>
      </c>
      <c r="AF3331" s="17">
        <v>45499</v>
      </c>
      <c r="AG3331" s="80"/>
      <c r="AH3331" s="80"/>
      <c r="AI3331" s="147" t="s">
        <v>147</v>
      </c>
      <c r="AJ3331" s="80"/>
      <c r="AK3331" s="80"/>
      <c r="AL3331" s="35"/>
      <c r="AM3331" s="35"/>
      <c r="AN3331" s="35"/>
      <c r="AO3331" s="35"/>
      <c r="AP3331" s="35"/>
    </row>
    <row r="3332" spans="1:42" x14ac:dyDescent="0.2">
      <c r="A3332" s="126">
        <v>45499.36369672454</v>
      </c>
      <c r="B3332" s="137" t="s">
        <v>37</v>
      </c>
      <c r="C3332" s="41" t="s">
        <v>118</v>
      </c>
      <c r="D3332" s="80" t="s">
        <v>36</v>
      </c>
      <c r="E3332" s="80" t="s">
        <v>39</v>
      </c>
      <c r="F3332" s="80" t="s">
        <v>36</v>
      </c>
      <c r="G3332" s="80" t="s">
        <v>41</v>
      </c>
      <c r="H3332" s="80" t="s">
        <v>9565</v>
      </c>
      <c r="I3332" s="17">
        <f ca="1">IFERROR(__xludf.DUMMYFUNCTION("""COMPUTED_VALUE"""),45504)</f>
        <v>45504</v>
      </c>
      <c r="J3332" s="143" t="s">
        <v>12033</v>
      </c>
      <c r="K3332" s="80" t="s">
        <v>12034</v>
      </c>
      <c r="L3332" s="30">
        <v>974943133</v>
      </c>
      <c r="M3332" s="80" t="s">
        <v>1245</v>
      </c>
      <c r="N3332" s="80" t="s">
        <v>1246</v>
      </c>
      <c r="O3332" s="80" t="s">
        <v>4503</v>
      </c>
      <c r="P3332" s="80" t="s">
        <v>12035</v>
      </c>
      <c r="Q3332" s="20">
        <v>5736</v>
      </c>
      <c r="R3332" s="80" t="s">
        <v>36</v>
      </c>
      <c r="S3332" s="95">
        <f t="shared" ref="S3332:S3333" si="37">200+1800</f>
        <v>2000</v>
      </c>
      <c r="T3332" s="83" t="s">
        <v>12036</v>
      </c>
      <c r="U3332" s="95">
        <v>3736</v>
      </c>
      <c r="V3332" s="148">
        <v>45546</v>
      </c>
      <c r="W3332" s="80" t="s">
        <v>12037</v>
      </c>
      <c r="X3332" s="80">
        <v>0</v>
      </c>
      <c r="Y3332" s="22">
        <v>0</v>
      </c>
      <c r="Z3332" s="80" t="s">
        <v>50</v>
      </c>
      <c r="AA3332" s="35" t="s">
        <v>3291</v>
      </c>
      <c r="AB3332" s="80"/>
      <c r="AC3332" s="80" t="s">
        <v>53</v>
      </c>
      <c r="AD3332" s="80" t="s">
        <v>54</v>
      </c>
      <c r="AE3332" s="80"/>
      <c r="AF3332" s="17">
        <v>45499</v>
      </c>
      <c r="AG3332" s="80" t="s">
        <v>12038</v>
      </c>
      <c r="AH3332" s="80"/>
      <c r="AI3332" s="147" t="s">
        <v>55</v>
      </c>
      <c r="AJ3332" s="80"/>
      <c r="AK3332" s="80"/>
      <c r="AL3332" s="35"/>
      <c r="AM3332" s="35"/>
      <c r="AN3332" s="35"/>
      <c r="AO3332" s="35"/>
      <c r="AP3332" s="35"/>
    </row>
    <row r="3333" spans="1:42" x14ac:dyDescent="0.2">
      <c r="A3333" s="126">
        <v>45499.869607731482</v>
      </c>
      <c r="B3333" s="137" t="s">
        <v>37</v>
      </c>
      <c r="C3333" s="41" t="s">
        <v>118</v>
      </c>
      <c r="D3333" s="80" t="s">
        <v>36</v>
      </c>
      <c r="E3333" s="80" t="s">
        <v>139</v>
      </c>
      <c r="F3333" s="80" t="s">
        <v>40</v>
      </c>
      <c r="G3333" s="80" t="s">
        <v>41</v>
      </c>
      <c r="H3333" s="80" t="s">
        <v>11183</v>
      </c>
      <c r="I3333" s="17">
        <f ca="1">IFERROR(__xludf.DUMMYFUNCTION("""COMPUTED_VALUE"""),45554)</f>
        <v>45554</v>
      </c>
      <c r="J3333" s="143" t="s">
        <v>12039</v>
      </c>
      <c r="K3333" s="80" t="s">
        <v>12040</v>
      </c>
      <c r="L3333" s="30">
        <v>359481219</v>
      </c>
      <c r="M3333" s="80" t="s">
        <v>5429</v>
      </c>
      <c r="N3333" s="80" t="s">
        <v>756</v>
      </c>
      <c r="O3333" s="80" t="s">
        <v>12041</v>
      </c>
      <c r="P3333" s="80" t="s">
        <v>7107</v>
      </c>
      <c r="Q3333" s="20">
        <v>15936</v>
      </c>
      <c r="R3333" s="80" t="s">
        <v>36</v>
      </c>
      <c r="S3333" s="95">
        <f t="shared" si="37"/>
        <v>2000</v>
      </c>
      <c r="T3333" s="83" t="s">
        <v>12042</v>
      </c>
      <c r="U3333" s="95">
        <v>13936</v>
      </c>
      <c r="V3333" s="148">
        <v>45558</v>
      </c>
      <c r="W3333" s="85" t="s">
        <v>12043</v>
      </c>
      <c r="X3333" s="80">
        <v>0</v>
      </c>
      <c r="Y3333" s="22">
        <v>0</v>
      </c>
      <c r="Z3333" s="80" t="s">
        <v>50</v>
      </c>
      <c r="AA3333" s="96" t="s">
        <v>3291</v>
      </c>
      <c r="AB3333" s="80"/>
      <c r="AC3333" s="80" t="s">
        <v>53</v>
      </c>
      <c r="AD3333" s="80" t="s">
        <v>138</v>
      </c>
      <c r="AE3333" s="80" t="s">
        <v>72</v>
      </c>
      <c r="AF3333" s="17">
        <v>45554</v>
      </c>
      <c r="AG3333" s="80"/>
      <c r="AH3333" s="80"/>
      <c r="AI3333" s="147" t="s">
        <v>147</v>
      </c>
      <c r="AJ3333" s="80"/>
      <c r="AK3333" s="80"/>
      <c r="AL3333" s="35"/>
      <c r="AM3333" s="35"/>
      <c r="AN3333" s="35"/>
      <c r="AO3333" s="35"/>
      <c r="AP3333" s="35"/>
    </row>
    <row r="3334" spans="1:42" x14ac:dyDescent="0.2">
      <c r="A3334" s="126">
        <v>45500.42973019676</v>
      </c>
      <c r="B3334" s="137" t="s">
        <v>37</v>
      </c>
      <c r="C3334" s="41" t="s">
        <v>118</v>
      </c>
      <c r="D3334" s="80" t="s">
        <v>36</v>
      </c>
      <c r="E3334" s="80" t="s">
        <v>77</v>
      </c>
      <c r="F3334" s="80" t="s">
        <v>36</v>
      </c>
      <c r="G3334" s="80" t="s">
        <v>41</v>
      </c>
      <c r="H3334" s="80" t="s">
        <v>10304</v>
      </c>
      <c r="I3334" s="17">
        <f ca="1">IFERROR(__xludf.DUMMYFUNCTION("""COMPUTED_VALUE"""),45503)</f>
        <v>45503</v>
      </c>
      <c r="J3334" s="143" t="s">
        <v>12044</v>
      </c>
      <c r="K3334" s="80" t="s">
        <v>12045</v>
      </c>
      <c r="L3334" s="30">
        <v>899713430</v>
      </c>
      <c r="M3334" s="80" t="s">
        <v>123</v>
      </c>
      <c r="N3334" s="80" t="s">
        <v>186</v>
      </c>
      <c r="O3334" s="80" t="s">
        <v>4503</v>
      </c>
      <c r="P3334" s="80" t="s">
        <v>12046</v>
      </c>
      <c r="Q3334" s="20">
        <v>1968</v>
      </c>
      <c r="R3334" s="80" t="s">
        <v>36</v>
      </c>
      <c r="S3334" s="95">
        <f>200+1768</f>
        <v>1968</v>
      </c>
      <c r="T3334" s="83" t="s">
        <v>12047</v>
      </c>
      <c r="U3334" s="95"/>
      <c r="V3334" s="148"/>
      <c r="W3334" s="80" t="s">
        <v>12048</v>
      </c>
      <c r="X3334" s="80">
        <v>0</v>
      </c>
      <c r="Y3334" s="22">
        <v>0</v>
      </c>
      <c r="Z3334" s="80" t="s">
        <v>50</v>
      </c>
      <c r="AA3334" s="35" t="s">
        <v>3291</v>
      </c>
      <c r="AB3334" s="80" t="s">
        <v>4503</v>
      </c>
      <c r="AC3334" s="80" t="s">
        <v>53</v>
      </c>
      <c r="AD3334" s="80" t="s">
        <v>54</v>
      </c>
      <c r="AE3334" s="80"/>
      <c r="AF3334" s="17">
        <v>45502</v>
      </c>
      <c r="AG3334" s="80" t="s">
        <v>7078</v>
      </c>
      <c r="AH3334" s="80"/>
      <c r="AI3334" s="147" t="s">
        <v>84</v>
      </c>
      <c r="AJ3334" s="80"/>
      <c r="AK3334" s="80"/>
      <c r="AL3334" s="35"/>
      <c r="AM3334" s="35"/>
      <c r="AN3334" s="35"/>
      <c r="AO3334" s="35"/>
      <c r="AP3334" s="35"/>
    </row>
    <row r="3335" spans="1:42" x14ac:dyDescent="0.2">
      <c r="A3335" s="126">
        <v>45501.897687627315</v>
      </c>
      <c r="B3335" s="137" t="s">
        <v>37</v>
      </c>
      <c r="C3335" s="41" t="s">
        <v>118</v>
      </c>
      <c r="D3335" s="80" t="s">
        <v>36</v>
      </c>
      <c r="E3335" s="80" t="s">
        <v>77</v>
      </c>
      <c r="F3335" s="80" t="s">
        <v>36</v>
      </c>
      <c r="G3335" s="80" t="s">
        <v>41</v>
      </c>
      <c r="H3335" s="80" t="s">
        <v>12049</v>
      </c>
      <c r="I3335" s="17">
        <f ca="1">IFERROR(__xludf.DUMMYFUNCTION("""COMPUTED_VALUE"""),45522)</f>
        <v>45522</v>
      </c>
      <c r="J3335" s="143" t="s">
        <v>12050</v>
      </c>
      <c r="K3335" s="80" t="s">
        <v>12051</v>
      </c>
      <c r="L3335" s="30">
        <v>367940142</v>
      </c>
      <c r="M3335" s="80" t="s">
        <v>80</v>
      </c>
      <c r="N3335" s="80" t="s">
        <v>466</v>
      </c>
      <c r="O3335" s="80" t="s">
        <v>12052</v>
      </c>
      <c r="P3335" s="80" t="s">
        <v>12053</v>
      </c>
      <c r="Q3335" s="20">
        <v>1968</v>
      </c>
      <c r="R3335" s="80" t="s">
        <v>36</v>
      </c>
      <c r="S3335" s="95">
        <f>200+1800</f>
        <v>2000</v>
      </c>
      <c r="T3335" s="83" t="s">
        <v>12054</v>
      </c>
      <c r="U3335" s="77"/>
      <c r="V3335" s="78"/>
      <c r="W3335" s="85" t="s">
        <v>12055</v>
      </c>
      <c r="X3335" s="80">
        <v>0</v>
      </c>
      <c r="Y3335" s="22">
        <v>-32</v>
      </c>
      <c r="Z3335" s="80" t="s">
        <v>50</v>
      </c>
      <c r="AA3335" s="96" t="s">
        <v>3291</v>
      </c>
      <c r="AB3335" s="80"/>
      <c r="AC3335" s="80" t="s">
        <v>53</v>
      </c>
      <c r="AD3335" s="80" t="s">
        <v>54</v>
      </c>
      <c r="AE3335" s="83">
        <v>0</v>
      </c>
      <c r="AF3335" s="17">
        <v>45520</v>
      </c>
      <c r="AG3335" s="80" t="s">
        <v>7078</v>
      </c>
      <c r="AH3335" s="80"/>
      <c r="AI3335" s="147" t="s">
        <v>84</v>
      </c>
      <c r="AJ3335" s="80"/>
      <c r="AK3335" s="80"/>
      <c r="AL3335" s="35"/>
      <c r="AM3335" s="35"/>
      <c r="AN3335" s="35"/>
      <c r="AO3335" s="35"/>
      <c r="AP3335" s="35"/>
    </row>
    <row r="3336" spans="1:42" x14ac:dyDescent="0.2">
      <c r="A3336" s="126">
        <v>45503.769560868051</v>
      </c>
      <c r="B3336" s="137" t="s">
        <v>37</v>
      </c>
      <c r="C3336" s="41" t="s">
        <v>118</v>
      </c>
      <c r="D3336" s="80" t="s">
        <v>36</v>
      </c>
      <c r="E3336" s="80" t="s">
        <v>77</v>
      </c>
      <c r="F3336" s="80" t="s">
        <v>36</v>
      </c>
      <c r="G3336" s="80" t="s">
        <v>41</v>
      </c>
      <c r="H3336" s="80" t="s">
        <v>11151</v>
      </c>
      <c r="I3336" s="17">
        <f ca="1">IFERROR(__xludf.DUMMYFUNCTION("""COMPUTED_VALUE"""),45511)</f>
        <v>45511</v>
      </c>
      <c r="J3336" s="143" t="s">
        <v>12056</v>
      </c>
      <c r="K3336" s="80" t="s">
        <v>12057</v>
      </c>
      <c r="L3336" s="30">
        <v>333883473</v>
      </c>
      <c r="M3336" s="80" t="s">
        <v>5429</v>
      </c>
      <c r="N3336" s="80" t="s">
        <v>1384</v>
      </c>
      <c r="O3336" s="80" t="s">
        <v>12058</v>
      </c>
      <c r="P3336" s="80" t="s">
        <v>12059</v>
      </c>
      <c r="Q3336" s="20">
        <v>1968</v>
      </c>
      <c r="R3336" s="80" t="s">
        <v>36</v>
      </c>
      <c r="S3336" s="95">
        <v>2000</v>
      </c>
      <c r="T3336" s="148">
        <v>45503</v>
      </c>
      <c r="U3336" s="77"/>
      <c r="V3336" s="78"/>
      <c r="W3336" s="85" t="s">
        <v>12060</v>
      </c>
      <c r="X3336" s="80">
        <v>0</v>
      </c>
      <c r="Y3336" s="22">
        <v>-32</v>
      </c>
      <c r="Z3336" s="80" t="s">
        <v>50</v>
      </c>
      <c r="AA3336" s="35" t="s">
        <v>3291</v>
      </c>
      <c r="AB3336" s="80"/>
      <c r="AC3336" s="80" t="s">
        <v>53</v>
      </c>
      <c r="AD3336" s="80" t="s">
        <v>54</v>
      </c>
      <c r="AE3336" s="80" t="s">
        <v>72</v>
      </c>
      <c r="AF3336" s="17">
        <v>45507</v>
      </c>
      <c r="AG3336" s="80" t="s">
        <v>7078</v>
      </c>
      <c r="AH3336" s="80"/>
      <c r="AI3336" s="147" t="s">
        <v>84</v>
      </c>
      <c r="AJ3336" s="80"/>
      <c r="AK3336" s="80"/>
      <c r="AL3336" s="35"/>
      <c r="AM3336" s="35"/>
      <c r="AN3336" s="35"/>
      <c r="AO3336" s="35"/>
      <c r="AP3336" s="35"/>
    </row>
    <row r="3337" spans="1:42" x14ac:dyDescent="0.2">
      <c r="A3337" s="126">
        <v>45504.425613055559</v>
      </c>
      <c r="B3337" s="137" t="s">
        <v>37</v>
      </c>
      <c r="C3337" s="41" t="s">
        <v>118</v>
      </c>
      <c r="D3337" s="80" t="s">
        <v>36</v>
      </c>
      <c r="E3337" s="80" t="s">
        <v>119</v>
      </c>
      <c r="F3337" s="80" t="s">
        <v>36</v>
      </c>
      <c r="G3337" s="80" t="s">
        <v>108</v>
      </c>
      <c r="H3337" s="80" t="s">
        <v>450</v>
      </c>
      <c r="I3337" s="17">
        <f ca="1">IFERROR(__xludf.DUMMYFUNCTION("""COMPUTED_VALUE"""),45525)</f>
        <v>45525</v>
      </c>
      <c r="J3337" s="143" t="s">
        <v>12061</v>
      </c>
      <c r="K3337" s="80" t="s">
        <v>12062</v>
      </c>
      <c r="L3337" s="30">
        <v>943238495</v>
      </c>
      <c r="M3337" s="80" t="s">
        <v>910</v>
      </c>
      <c r="N3337" s="80" t="s">
        <v>3525</v>
      </c>
      <c r="O3337" s="80" t="s">
        <v>12063</v>
      </c>
      <c r="P3337" s="80" t="s">
        <v>12064</v>
      </c>
      <c r="Q3337" s="20">
        <v>13968</v>
      </c>
      <c r="R3337" s="80" t="s">
        <v>1106</v>
      </c>
      <c r="S3337" s="95">
        <f t="shared" ref="S3337:S3338" si="38">2000+2000</f>
        <v>4000</v>
      </c>
      <c r="T3337" s="83" t="s">
        <v>12065</v>
      </c>
      <c r="U3337" s="95">
        <v>9818</v>
      </c>
      <c r="V3337" s="148">
        <v>45553</v>
      </c>
      <c r="W3337" s="85" t="s">
        <v>12066</v>
      </c>
      <c r="X3337" s="80">
        <v>150</v>
      </c>
      <c r="Y3337" s="22">
        <v>0</v>
      </c>
      <c r="Z3337" s="80" t="s">
        <v>50</v>
      </c>
      <c r="AA3337" s="96" t="s">
        <v>3291</v>
      </c>
      <c r="AB3337" s="80"/>
      <c r="AC3337" s="80" t="s">
        <v>53</v>
      </c>
      <c r="AD3337" s="80" t="s">
        <v>54</v>
      </c>
      <c r="AE3337" s="80"/>
      <c r="AF3337" s="17">
        <v>45523</v>
      </c>
      <c r="AG3337" s="80" t="s">
        <v>12067</v>
      </c>
      <c r="AH3337" s="80"/>
      <c r="AI3337" s="147">
        <v>4</v>
      </c>
      <c r="AJ3337" s="80"/>
      <c r="AK3337" s="80"/>
      <c r="AL3337" s="35"/>
      <c r="AM3337" s="35"/>
      <c r="AN3337" s="35"/>
      <c r="AO3337" s="35"/>
      <c r="AP3337" s="35"/>
    </row>
    <row r="3338" spans="1:42" x14ac:dyDescent="0.2">
      <c r="A3338" s="126">
        <v>45504.428623680556</v>
      </c>
      <c r="B3338" s="28" t="s">
        <v>37</v>
      </c>
      <c r="C3338" s="41" t="s">
        <v>118</v>
      </c>
      <c r="D3338" s="80" t="s">
        <v>36</v>
      </c>
      <c r="E3338" s="80" t="s">
        <v>119</v>
      </c>
      <c r="F3338" s="80" t="s">
        <v>36</v>
      </c>
      <c r="G3338" s="80" t="s">
        <v>108</v>
      </c>
      <c r="H3338" s="80" t="s">
        <v>8986</v>
      </c>
      <c r="I3338" s="17">
        <f ca="1">IFERROR(__xludf.DUMMYFUNCTION("""COMPUTED_VALUE"""),45531)</f>
        <v>45531</v>
      </c>
      <c r="J3338" s="143" t="s">
        <v>12068</v>
      </c>
      <c r="K3338" s="80" t="s">
        <v>12069</v>
      </c>
      <c r="L3338" s="30">
        <v>827281206</v>
      </c>
      <c r="M3338" s="80" t="s">
        <v>910</v>
      </c>
      <c r="N3338" s="80" t="s">
        <v>3525</v>
      </c>
      <c r="O3338" s="80" t="s">
        <v>12070</v>
      </c>
      <c r="P3338" s="80" t="s">
        <v>12071</v>
      </c>
      <c r="Q3338" s="20">
        <v>13968</v>
      </c>
      <c r="R3338" s="80" t="s">
        <v>1106</v>
      </c>
      <c r="S3338" s="95">
        <f t="shared" si="38"/>
        <v>4000</v>
      </c>
      <c r="T3338" s="83" t="s">
        <v>12065</v>
      </c>
      <c r="U3338" s="95">
        <v>9818</v>
      </c>
      <c r="V3338" s="148">
        <v>45550</v>
      </c>
      <c r="W3338" s="85" t="s">
        <v>12072</v>
      </c>
      <c r="X3338" s="80">
        <v>150</v>
      </c>
      <c r="Y3338" s="22">
        <v>0</v>
      </c>
      <c r="Z3338" s="80" t="s">
        <v>50</v>
      </c>
      <c r="AA3338" s="35" t="s">
        <v>3291</v>
      </c>
      <c r="AB3338" s="80"/>
      <c r="AC3338" s="80" t="s">
        <v>53</v>
      </c>
      <c r="AD3338" s="80" t="s">
        <v>54</v>
      </c>
      <c r="AE3338" s="80"/>
      <c r="AF3338" s="17">
        <v>45524</v>
      </c>
      <c r="AG3338" s="80" t="s">
        <v>12067</v>
      </c>
      <c r="AH3338" s="80"/>
      <c r="AI3338" s="147">
        <v>4</v>
      </c>
      <c r="AJ3338" s="80"/>
      <c r="AK3338" s="80"/>
      <c r="AL3338" s="35"/>
      <c r="AM3338" s="35"/>
      <c r="AN3338" s="35"/>
      <c r="AO3338" s="35"/>
      <c r="AP3338" s="35"/>
    </row>
    <row r="3339" spans="1:42" x14ac:dyDescent="0.2">
      <c r="A3339" s="126">
        <v>45504.459172175921</v>
      </c>
      <c r="B3339" s="137" t="s">
        <v>37</v>
      </c>
      <c r="C3339" s="41" t="s">
        <v>118</v>
      </c>
      <c r="D3339" s="80" t="s">
        <v>36</v>
      </c>
      <c r="E3339" s="80" t="s">
        <v>139</v>
      </c>
      <c r="F3339" s="80" t="s">
        <v>36</v>
      </c>
      <c r="G3339" s="80" t="s">
        <v>41</v>
      </c>
      <c r="H3339" s="80" t="s">
        <v>11151</v>
      </c>
      <c r="I3339" s="17">
        <f ca="1">IFERROR(__xludf.DUMMYFUNCTION("""COMPUTED_VALUE"""),45511)</f>
        <v>45511</v>
      </c>
      <c r="J3339" s="143" t="s">
        <v>12073</v>
      </c>
      <c r="K3339" s="80" t="s">
        <v>12074</v>
      </c>
      <c r="L3339" s="113">
        <v>867298589</v>
      </c>
      <c r="M3339" s="80" t="s">
        <v>5558</v>
      </c>
      <c r="N3339" s="80" t="s">
        <v>5559</v>
      </c>
      <c r="O3339" s="80" t="s">
        <v>4503</v>
      </c>
      <c r="P3339" s="80" t="s">
        <v>12075</v>
      </c>
      <c r="Q3339" s="20">
        <v>15936</v>
      </c>
      <c r="R3339" s="80" t="s">
        <v>36</v>
      </c>
      <c r="S3339" s="95">
        <v>5000</v>
      </c>
      <c r="T3339" s="148">
        <v>45504</v>
      </c>
      <c r="U3339" s="95">
        <v>10936</v>
      </c>
      <c r="V3339" s="148">
        <v>45544</v>
      </c>
      <c r="W3339" s="85" t="s">
        <v>12076</v>
      </c>
      <c r="X3339" s="80">
        <v>0</v>
      </c>
      <c r="Y3339" s="22">
        <v>0</v>
      </c>
      <c r="Z3339" s="80" t="s">
        <v>50</v>
      </c>
      <c r="AA3339" s="96" t="s">
        <v>3291</v>
      </c>
      <c r="AB3339" s="80"/>
      <c r="AC3339" s="80" t="s">
        <v>53</v>
      </c>
      <c r="AD3339" s="80" t="s">
        <v>54</v>
      </c>
      <c r="AE3339" s="80"/>
      <c r="AF3339" s="17">
        <v>45507</v>
      </c>
      <c r="AG3339" s="80"/>
      <c r="AH3339" s="80"/>
      <c r="AI3339" s="147" t="s">
        <v>147</v>
      </c>
      <c r="AJ3339" s="80"/>
      <c r="AK3339" s="80"/>
      <c r="AL3339" s="35"/>
      <c r="AM3339" s="35"/>
      <c r="AN3339" s="35"/>
      <c r="AO3339" s="35"/>
      <c r="AP3339" s="35"/>
    </row>
    <row r="3340" spans="1:42" x14ac:dyDescent="0.2">
      <c r="A3340" s="126">
        <v>45504.732468622686</v>
      </c>
      <c r="B3340" s="137" t="s">
        <v>37</v>
      </c>
      <c r="C3340" s="41" t="s">
        <v>118</v>
      </c>
      <c r="D3340" s="80" t="s">
        <v>36</v>
      </c>
      <c r="E3340" s="80" t="s">
        <v>77</v>
      </c>
      <c r="F3340" s="80" t="s">
        <v>40</v>
      </c>
      <c r="G3340" s="80" t="s">
        <v>41</v>
      </c>
      <c r="H3340" s="80" t="s">
        <v>12077</v>
      </c>
      <c r="I3340" s="17" t="str">
        <f ca="1">IFERROR(__xludf.DUMMYFUNCTION("""COMPUTED_VALUE""")," ")</f>
        <v xml:space="preserve"> </v>
      </c>
      <c r="J3340" s="143" t="s">
        <v>12078</v>
      </c>
      <c r="K3340" s="80" t="s">
        <v>12079</v>
      </c>
      <c r="L3340" s="30">
        <v>389192786</v>
      </c>
      <c r="M3340" s="80" t="s">
        <v>45</v>
      </c>
      <c r="N3340" s="80" t="s">
        <v>7814</v>
      </c>
      <c r="O3340" s="80" t="s">
        <v>12080</v>
      </c>
      <c r="P3340" s="80" t="s">
        <v>12081</v>
      </c>
      <c r="Q3340" s="20">
        <v>1968</v>
      </c>
      <c r="R3340" s="80" t="s">
        <v>36</v>
      </c>
      <c r="S3340" s="95">
        <f>800+1200</f>
        <v>2000</v>
      </c>
      <c r="T3340" s="83" t="s">
        <v>12065</v>
      </c>
      <c r="U3340" s="77"/>
      <c r="V3340" s="78"/>
      <c r="W3340" s="80" t="s">
        <v>12082</v>
      </c>
      <c r="X3340" s="80">
        <v>0</v>
      </c>
      <c r="Y3340" s="22">
        <v>-32</v>
      </c>
      <c r="Z3340" s="80" t="s">
        <v>50</v>
      </c>
      <c r="AA3340" s="35" t="s">
        <v>3291</v>
      </c>
      <c r="AB3340" s="80"/>
      <c r="AC3340" s="80" t="s">
        <v>53</v>
      </c>
      <c r="AD3340" s="80" t="s">
        <v>54</v>
      </c>
      <c r="AE3340" s="83">
        <v>280</v>
      </c>
      <c r="AF3340" s="17">
        <v>45505</v>
      </c>
      <c r="AG3340" s="80" t="s">
        <v>7078</v>
      </c>
      <c r="AH3340" s="80"/>
      <c r="AI3340" s="147" t="s">
        <v>84</v>
      </c>
      <c r="AJ3340" s="80"/>
      <c r="AK3340" s="80"/>
      <c r="AL3340" s="35"/>
      <c r="AM3340" s="35"/>
      <c r="AN3340" s="35"/>
      <c r="AO3340" s="35"/>
      <c r="AP3340" s="35"/>
    </row>
    <row r="3341" spans="1:42" x14ac:dyDescent="0.2">
      <c r="A3341" s="126">
        <v>45505.41502226852</v>
      </c>
      <c r="B3341" s="137" t="s">
        <v>37</v>
      </c>
      <c r="C3341" s="41" t="s">
        <v>118</v>
      </c>
      <c r="D3341" s="80" t="s">
        <v>36</v>
      </c>
      <c r="E3341" s="80" t="s">
        <v>139</v>
      </c>
      <c r="F3341" s="80" t="s">
        <v>36</v>
      </c>
      <c r="G3341" s="80" t="s">
        <v>41</v>
      </c>
      <c r="H3341" s="80" t="s">
        <v>11151</v>
      </c>
      <c r="I3341" s="17">
        <f ca="1">IFERROR(__xludf.DUMMYFUNCTION("""COMPUTED_VALUE"""),45511)</f>
        <v>45511</v>
      </c>
      <c r="J3341" s="143" t="s">
        <v>12083</v>
      </c>
      <c r="K3341" s="80" t="s">
        <v>12084</v>
      </c>
      <c r="L3341" s="30">
        <v>902090625</v>
      </c>
      <c r="M3341" s="80" t="s">
        <v>80</v>
      </c>
      <c r="N3341" s="80" t="s">
        <v>466</v>
      </c>
      <c r="O3341" s="80" t="s">
        <v>12085</v>
      </c>
      <c r="P3341" s="80" t="s">
        <v>12086</v>
      </c>
      <c r="Q3341" s="20">
        <v>15936</v>
      </c>
      <c r="R3341" s="80" t="s">
        <v>36</v>
      </c>
      <c r="S3341" s="95">
        <f>200+1800</f>
        <v>2000</v>
      </c>
      <c r="T3341" s="83" t="s">
        <v>11209</v>
      </c>
      <c r="U3341" s="95">
        <v>13968</v>
      </c>
      <c r="V3341" s="148">
        <v>45537</v>
      </c>
      <c r="W3341" s="85" t="s">
        <v>12087</v>
      </c>
      <c r="X3341" s="80">
        <v>0</v>
      </c>
      <c r="Y3341" s="22">
        <v>-32</v>
      </c>
      <c r="Z3341" s="80" t="s">
        <v>50</v>
      </c>
      <c r="AA3341" s="96" t="s">
        <v>3291</v>
      </c>
      <c r="AB3341" s="80"/>
      <c r="AC3341" s="80" t="s">
        <v>53</v>
      </c>
      <c r="AD3341" s="80" t="s">
        <v>54</v>
      </c>
      <c r="AE3341" s="83">
        <v>0</v>
      </c>
      <c r="AF3341" s="17">
        <v>45509</v>
      </c>
      <c r="AG3341" s="80"/>
      <c r="AH3341" s="80"/>
      <c r="AI3341" s="147" t="s">
        <v>147</v>
      </c>
      <c r="AJ3341" s="80"/>
      <c r="AK3341" s="80"/>
      <c r="AL3341" s="35"/>
      <c r="AM3341" s="35"/>
      <c r="AN3341" s="35"/>
      <c r="AO3341" s="35"/>
      <c r="AP3341" s="35"/>
    </row>
    <row r="3342" spans="1:42" x14ac:dyDescent="0.2">
      <c r="A3342" s="126">
        <v>45505.427578842588</v>
      </c>
      <c r="B3342" s="137" t="s">
        <v>37</v>
      </c>
      <c r="C3342" s="41" t="s">
        <v>118</v>
      </c>
      <c r="D3342" s="80" t="s">
        <v>36</v>
      </c>
      <c r="E3342" s="80" t="s">
        <v>139</v>
      </c>
      <c r="F3342" s="80" t="s">
        <v>36</v>
      </c>
      <c r="G3342" s="80" t="s">
        <v>41</v>
      </c>
      <c r="H3342" s="80" t="s">
        <v>9693</v>
      </c>
      <c r="I3342" s="17">
        <f ca="1">IFERROR(__xludf.DUMMYFUNCTION("""COMPUTED_VALUE"""),45506)</f>
        <v>45506</v>
      </c>
      <c r="J3342" s="143" t="s">
        <v>12088</v>
      </c>
      <c r="K3342" s="80" t="s">
        <v>12089</v>
      </c>
      <c r="L3342" s="30">
        <v>362184703</v>
      </c>
      <c r="M3342" s="80" t="s">
        <v>2755</v>
      </c>
      <c r="N3342" s="80" t="s">
        <v>2756</v>
      </c>
      <c r="O3342" s="80" t="s">
        <v>12090</v>
      </c>
      <c r="P3342" s="80" t="s">
        <v>12091</v>
      </c>
      <c r="Q3342" s="20">
        <v>15936</v>
      </c>
      <c r="R3342" s="80" t="s">
        <v>36</v>
      </c>
      <c r="S3342" s="95">
        <v>2000</v>
      </c>
      <c r="T3342" s="148">
        <v>45505</v>
      </c>
      <c r="U3342" s="95">
        <v>13936</v>
      </c>
      <c r="V3342" s="148">
        <v>45541</v>
      </c>
      <c r="W3342" s="80" t="s">
        <v>12092</v>
      </c>
      <c r="X3342" s="80">
        <v>0</v>
      </c>
      <c r="Y3342" s="22">
        <v>0</v>
      </c>
      <c r="Z3342" s="80" t="s">
        <v>50</v>
      </c>
      <c r="AA3342" s="35" t="s">
        <v>3291</v>
      </c>
      <c r="AB3342" s="80"/>
      <c r="AC3342" s="80" t="s">
        <v>53</v>
      </c>
      <c r="AD3342" s="80" t="s">
        <v>54</v>
      </c>
      <c r="AE3342" s="80"/>
      <c r="AF3342" s="17">
        <v>45505</v>
      </c>
      <c r="AG3342" s="80"/>
      <c r="AH3342" s="80"/>
      <c r="AI3342" s="147" t="s">
        <v>147</v>
      </c>
      <c r="AJ3342" s="80"/>
      <c r="AK3342" s="80"/>
      <c r="AL3342" s="35"/>
      <c r="AM3342" s="35"/>
      <c r="AN3342" s="35"/>
      <c r="AO3342" s="35"/>
      <c r="AP3342" s="35"/>
    </row>
    <row r="3343" spans="1:42" x14ac:dyDescent="0.2">
      <c r="A3343" s="126">
        <v>45505.657830775468</v>
      </c>
      <c r="B3343" s="137" t="s">
        <v>37</v>
      </c>
      <c r="C3343" s="41" t="s">
        <v>118</v>
      </c>
      <c r="D3343" s="80" t="s">
        <v>106</v>
      </c>
      <c r="E3343" s="80" t="s">
        <v>219</v>
      </c>
      <c r="F3343" s="80" t="s">
        <v>7716</v>
      </c>
      <c r="G3343" s="80" t="s">
        <v>221</v>
      </c>
      <c r="H3343" s="80" t="s">
        <v>7477</v>
      </c>
      <c r="I3343" s="17">
        <f ca="1">IFERROR(__xludf.DUMMYFUNCTION("""COMPUTED_VALUE"""),45513)</f>
        <v>45513</v>
      </c>
      <c r="J3343" s="143" t="s">
        <v>12093</v>
      </c>
      <c r="K3343" s="80" t="s">
        <v>8419</v>
      </c>
      <c r="L3343" s="30">
        <v>376225492</v>
      </c>
      <c r="M3343" s="80" t="s">
        <v>45</v>
      </c>
      <c r="N3343" s="80" t="s">
        <v>3839</v>
      </c>
      <c r="O3343" s="80" t="s">
        <v>12094</v>
      </c>
      <c r="P3343" s="80" t="s">
        <v>12095</v>
      </c>
      <c r="Q3343" s="20">
        <v>3968</v>
      </c>
      <c r="R3343" s="80" t="s">
        <v>36</v>
      </c>
      <c r="S3343" s="95">
        <v>2000</v>
      </c>
      <c r="T3343" s="148">
        <v>45505</v>
      </c>
      <c r="U3343" s="95">
        <v>1868</v>
      </c>
      <c r="V3343" s="148">
        <v>45551</v>
      </c>
      <c r="W3343" s="85" t="s">
        <v>12096</v>
      </c>
      <c r="X3343" s="80">
        <v>100</v>
      </c>
      <c r="Y3343" s="22">
        <v>0</v>
      </c>
      <c r="Z3343" s="80" t="s">
        <v>50</v>
      </c>
      <c r="AA3343" s="96" t="s">
        <v>3291</v>
      </c>
      <c r="AB3343" s="80"/>
      <c r="AC3343" s="80" t="s">
        <v>53</v>
      </c>
      <c r="AD3343" s="80" t="s">
        <v>54</v>
      </c>
      <c r="AE3343" s="83">
        <v>580</v>
      </c>
      <c r="AF3343" s="17">
        <v>45509</v>
      </c>
      <c r="AG3343" s="80"/>
      <c r="AH3343" s="80"/>
      <c r="AI3343" s="147">
        <v>1</v>
      </c>
      <c r="AJ3343" s="80"/>
      <c r="AK3343" s="80"/>
      <c r="AL3343" s="35"/>
      <c r="AM3343" s="35"/>
      <c r="AN3343" s="35"/>
      <c r="AO3343" s="35"/>
      <c r="AP3343" s="35"/>
    </row>
    <row r="3344" spans="1:42" x14ac:dyDescent="0.2">
      <c r="A3344" s="126">
        <v>45505.83755895833</v>
      </c>
      <c r="B3344" s="137" t="s">
        <v>37</v>
      </c>
      <c r="C3344" s="41" t="s">
        <v>118</v>
      </c>
      <c r="D3344" s="80" t="s">
        <v>36</v>
      </c>
      <c r="E3344" s="80" t="s">
        <v>139</v>
      </c>
      <c r="F3344" s="80" t="s">
        <v>36</v>
      </c>
      <c r="G3344" s="80" t="s">
        <v>41</v>
      </c>
      <c r="H3344" s="80" t="s">
        <v>11151</v>
      </c>
      <c r="I3344" s="17">
        <f ca="1">IFERROR(__xludf.DUMMYFUNCTION("""COMPUTED_VALUE"""),45511)</f>
        <v>45511</v>
      </c>
      <c r="J3344" s="143" t="s">
        <v>12097</v>
      </c>
      <c r="K3344" s="80" t="s">
        <v>12098</v>
      </c>
      <c r="L3344" s="30">
        <v>373506202</v>
      </c>
      <c r="M3344" s="80" t="s">
        <v>5558</v>
      </c>
      <c r="N3344" s="80" t="s">
        <v>5559</v>
      </c>
      <c r="O3344" s="80" t="s">
        <v>4503</v>
      </c>
      <c r="P3344" s="80" t="s">
        <v>12099</v>
      </c>
      <c r="Q3344" s="20">
        <v>15936</v>
      </c>
      <c r="R3344" s="80" t="s">
        <v>36</v>
      </c>
      <c r="S3344" s="95">
        <v>5000</v>
      </c>
      <c r="T3344" s="148">
        <v>45505</v>
      </c>
      <c r="U3344" s="95">
        <v>10936</v>
      </c>
      <c r="V3344" s="148">
        <v>45554</v>
      </c>
      <c r="W3344" s="85" t="s">
        <v>12100</v>
      </c>
      <c r="X3344" s="80">
        <v>0</v>
      </c>
      <c r="Y3344" s="22">
        <v>0</v>
      </c>
      <c r="Z3344" s="80" t="s">
        <v>50</v>
      </c>
      <c r="AA3344" s="35" t="s">
        <v>3291</v>
      </c>
      <c r="AB3344" s="80"/>
      <c r="AC3344" s="80" t="s">
        <v>53</v>
      </c>
      <c r="AD3344" s="80" t="s">
        <v>54</v>
      </c>
      <c r="AE3344" s="80"/>
      <c r="AF3344" s="17">
        <v>45507</v>
      </c>
      <c r="AG3344" s="80"/>
      <c r="AH3344" s="80"/>
      <c r="AI3344" s="147" t="s">
        <v>147</v>
      </c>
      <c r="AJ3344" s="80"/>
      <c r="AK3344" s="80"/>
      <c r="AL3344" s="35"/>
      <c r="AM3344" s="35"/>
      <c r="AN3344" s="35"/>
      <c r="AO3344" s="35"/>
      <c r="AP3344" s="35"/>
    </row>
    <row r="3345" spans="1:42" x14ac:dyDescent="0.2">
      <c r="A3345" s="126">
        <v>45506.349965694448</v>
      </c>
      <c r="B3345" s="137" t="s">
        <v>37</v>
      </c>
      <c r="C3345" s="41" t="s">
        <v>118</v>
      </c>
      <c r="D3345" s="80" t="s">
        <v>36</v>
      </c>
      <c r="E3345" s="80" t="s">
        <v>139</v>
      </c>
      <c r="F3345" s="80" t="s">
        <v>36</v>
      </c>
      <c r="G3345" s="26" t="s">
        <v>41</v>
      </c>
      <c r="H3345" s="80" t="s">
        <v>7330</v>
      </c>
      <c r="I3345" s="17">
        <f ca="1">IFERROR(__xludf.DUMMYFUNCTION("""COMPUTED_VALUE"""),45509)</f>
        <v>45509</v>
      </c>
      <c r="J3345" s="143" t="s">
        <v>12101</v>
      </c>
      <c r="K3345" s="80" t="s">
        <v>12102</v>
      </c>
      <c r="L3345" s="47">
        <v>337424898</v>
      </c>
      <c r="M3345" s="80" t="s">
        <v>123</v>
      </c>
      <c r="N3345" s="80" t="s">
        <v>186</v>
      </c>
      <c r="O3345" s="86" t="s">
        <v>12103</v>
      </c>
      <c r="P3345" s="86" t="s">
        <v>3487</v>
      </c>
      <c r="Q3345" s="20">
        <v>15936</v>
      </c>
      <c r="R3345" s="80" t="s">
        <v>70</v>
      </c>
      <c r="S3345" s="95">
        <f>200+1800</f>
        <v>2000</v>
      </c>
      <c r="T3345" s="78" t="s">
        <v>12104</v>
      </c>
      <c r="U3345" s="95">
        <v>13836</v>
      </c>
      <c r="V3345" s="148">
        <v>45544</v>
      </c>
      <c r="W3345" s="79" t="s">
        <v>12105</v>
      </c>
      <c r="X3345" s="80">
        <v>100</v>
      </c>
      <c r="Y3345" s="22">
        <v>0</v>
      </c>
      <c r="Z3345" s="80" t="s">
        <v>50</v>
      </c>
      <c r="AA3345" s="96" t="s">
        <v>3291</v>
      </c>
      <c r="AB3345" s="80"/>
      <c r="AC3345" s="80" t="s">
        <v>53</v>
      </c>
      <c r="AD3345" s="80" t="s">
        <v>138</v>
      </c>
      <c r="AE3345" s="80"/>
      <c r="AF3345" s="17">
        <v>45509</v>
      </c>
      <c r="AG3345" s="26" t="s">
        <v>4279</v>
      </c>
      <c r="AH3345" s="80"/>
      <c r="AI3345" s="147" t="s">
        <v>147</v>
      </c>
      <c r="AJ3345" s="80"/>
      <c r="AK3345" s="80"/>
      <c r="AL3345" s="35"/>
      <c r="AM3345" s="35"/>
      <c r="AN3345" s="35"/>
      <c r="AO3345" s="35"/>
      <c r="AP3345" s="35"/>
    </row>
    <row r="3346" spans="1:42" x14ac:dyDescent="0.2">
      <c r="A3346" s="126">
        <v>45506.953870613426</v>
      </c>
      <c r="B3346" s="137" t="s">
        <v>37</v>
      </c>
      <c r="C3346" s="41" t="s">
        <v>118</v>
      </c>
      <c r="D3346" s="80" t="s">
        <v>36</v>
      </c>
      <c r="E3346" s="80" t="s">
        <v>77</v>
      </c>
      <c r="F3346" s="80" t="s">
        <v>36</v>
      </c>
      <c r="G3346" s="80" t="s">
        <v>41</v>
      </c>
      <c r="H3346" s="80" t="s">
        <v>10444</v>
      </c>
      <c r="I3346" s="17">
        <f ca="1">IFERROR(__xludf.DUMMYFUNCTION("""COMPUTED_VALUE"""),45515)</f>
        <v>45515</v>
      </c>
      <c r="J3346" s="143" t="s">
        <v>12106</v>
      </c>
      <c r="K3346" s="80" t="s">
        <v>12107</v>
      </c>
      <c r="L3346" s="30">
        <v>968326753</v>
      </c>
      <c r="M3346" s="80" t="s">
        <v>5518</v>
      </c>
      <c r="N3346" s="80" t="s">
        <v>253</v>
      </c>
      <c r="O3346" s="80" t="s">
        <v>12108</v>
      </c>
      <c r="P3346" s="80" t="s">
        <v>12109</v>
      </c>
      <c r="Q3346" s="20">
        <v>1968</v>
      </c>
      <c r="R3346" s="80" t="s">
        <v>36</v>
      </c>
      <c r="S3346" s="95">
        <v>2000</v>
      </c>
      <c r="T3346" s="148">
        <v>45506</v>
      </c>
      <c r="U3346" s="77"/>
      <c r="V3346" s="78"/>
      <c r="W3346" s="85" t="s">
        <v>12110</v>
      </c>
      <c r="X3346" s="80">
        <v>0</v>
      </c>
      <c r="Y3346" s="22">
        <v>-32</v>
      </c>
      <c r="Z3346" s="80" t="s">
        <v>50</v>
      </c>
      <c r="AA3346" s="35" t="s">
        <v>3291</v>
      </c>
      <c r="AB3346" s="80"/>
      <c r="AC3346" s="80" t="s">
        <v>53</v>
      </c>
      <c r="AD3346" s="80" t="s">
        <v>54</v>
      </c>
      <c r="AE3346" s="80"/>
      <c r="AF3346" s="17">
        <v>45509</v>
      </c>
      <c r="AG3346" s="80" t="s">
        <v>7078</v>
      </c>
      <c r="AH3346" s="80"/>
      <c r="AI3346" s="147" t="s">
        <v>84</v>
      </c>
      <c r="AJ3346" s="80"/>
      <c r="AK3346" s="80"/>
      <c r="AL3346" s="35"/>
      <c r="AM3346" s="35"/>
      <c r="AN3346" s="35"/>
      <c r="AO3346" s="35"/>
      <c r="AP3346" s="35"/>
    </row>
    <row r="3347" spans="1:42" x14ac:dyDescent="0.2">
      <c r="A3347" s="126">
        <v>45506.984049895837</v>
      </c>
      <c r="B3347" s="137" t="s">
        <v>37</v>
      </c>
      <c r="C3347" s="41" t="s">
        <v>118</v>
      </c>
      <c r="D3347" s="80" t="s">
        <v>36</v>
      </c>
      <c r="E3347" s="80" t="s">
        <v>139</v>
      </c>
      <c r="F3347" s="80" t="s">
        <v>36</v>
      </c>
      <c r="G3347" s="26" t="s">
        <v>41</v>
      </c>
      <c r="H3347" s="80" t="s">
        <v>7330</v>
      </c>
      <c r="I3347" s="17">
        <f ca="1">IFERROR(__xludf.DUMMYFUNCTION("""COMPUTED_VALUE"""),45509)</f>
        <v>45509</v>
      </c>
      <c r="J3347" s="143" t="s">
        <v>12111</v>
      </c>
      <c r="K3347" s="80" t="s">
        <v>12112</v>
      </c>
      <c r="L3347" s="30">
        <v>393576387</v>
      </c>
      <c r="M3347" s="80" t="s">
        <v>123</v>
      </c>
      <c r="N3347" s="80" t="s">
        <v>186</v>
      </c>
      <c r="O3347" s="80" t="s">
        <v>4503</v>
      </c>
      <c r="P3347" s="80" t="s">
        <v>3487</v>
      </c>
      <c r="Q3347" s="20">
        <v>15936</v>
      </c>
      <c r="R3347" s="80" t="s">
        <v>70</v>
      </c>
      <c r="S3347" s="95">
        <f>200+1800</f>
        <v>2000</v>
      </c>
      <c r="T3347" s="83" t="s">
        <v>12113</v>
      </c>
      <c r="U3347" s="95">
        <v>13836</v>
      </c>
      <c r="V3347" s="148">
        <v>45544</v>
      </c>
      <c r="W3347" s="80" t="s">
        <v>12114</v>
      </c>
      <c r="X3347" s="80">
        <v>100</v>
      </c>
      <c r="Y3347" s="22">
        <v>0</v>
      </c>
      <c r="Z3347" s="80" t="s">
        <v>50</v>
      </c>
      <c r="AA3347" s="96" t="s">
        <v>3291</v>
      </c>
      <c r="AB3347" s="80"/>
      <c r="AC3347" s="80" t="s">
        <v>53</v>
      </c>
      <c r="AD3347" s="80" t="s">
        <v>138</v>
      </c>
      <c r="AE3347" s="80"/>
      <c r="AF3347" s="17">
        <v>45509</v>
      </c>
      <c r="AG3347" s="26" t="s">
        <v>4279</v>
      </c>
      <c r="AH3347" s="80"/>
      <c r="AI3347" s="147" t="s">
        <v>147</v>
      </c>
      <c r="AJ3347" s="80"/>
      <c r="AK3347" s="80"/>
      <c r="AL3347" s="35"/>
      <c r="AM3347" s="35"/>
      <c r="AN3347" s="35"/>
      <c r="AO3347" s="35"/>
      <c r="AP3347" s="35"/>
    </row>
    <row r="3348" spans="1:42" x14ac:dyDescent="0.2">
      <c r="A3348" s="126">
        <v>45507.759392141204</v>
      </c>
      <c r="B3348" s="137" t="s">
        <v>37</v>
      </c>
      <c r="C3348" s="41" t="s">
        <v>118</v>
      </c>
      <c r="D3348" s="80" t="s">
        <v>36</v>
      </c>
      <c r="E3348" s="80" t="s">
        <v>56</v>
      </c>
      <c r="F3348" s="26" t="s">
        <v>36</v>
      </c>
      <c r="G3348" s="26" t="s">
        <v>41</v>
      </c>
      <c r="H3348" s="80" t="s">
        <v>5666</v>
      </c>
      <c r="I3348" s="17">
        <f ca="1">IFERROR(__xludf.DUMMYFUNCTION("""COMPUTED_VALUE"""),45540)</f>
        <v>45540</v>
      </c>
      <c r="J3348" s="143" t="s">
        <v>12115</v>
      </c>
      <c r="K3348" s="80" t="s">
        <v>12116</v>
      </c>
      <c r="L3348" s="30">
        <v>946720996</v>
      </c>
      <c r="M3348" s="80" t="s">
        <v>5558</v>
      </c>
      <c r="N3348" s="80" t="s">
        <v>5559</v>
      </c>
      <c r="O3348" s="80" t="s">
        <v>4503</v>
      </c>
      <c r="P3348" s="80" t="s">
        <v>12117</v>
      </c>
      <c r="Q3348" s="20">
        <v>9317</v>
      </c>
      <c r="R3348" s="80" t="s">
        <v>36</v>
      </c>
      <c r="S3348" s="95">
        <v>2000</v>
      </c>
      <c r="T3348" s="148">
        <v>45507</v>
      </c>
      <c r="U3348" s="95">
        <v>7317</v>
      </c>
      <c r="V3348" s="148">
        <v>45562</v>
      </c>
      <c r="W3348" s="85" t="s">
        <v>12118</v>
      </c>
      <c r="X3348" s="80">
        <v>0</v>
      </c>
      <c r="Y3348" s="22">
        <v>0</v>
      </c>
      <c r="Z3348" s="80" t="s">
        <v>50</v>
      </c>
      <c r="AA3348" s="35" t="s">
        <v>3291</v>
      </c>
      <c r="AB3348" s="80"/>
      <c r="AC3348" s="80" t="s">
        <v>53</v>
      </c>
      <c r="AD3348" s="80" t="s">
        <v>138</v>
      </c>
      <c r="AE3348" s="80"/>
      <c r="AF3348" s="17">
        <v>45540</v>
      </c>
      <c r="AG3348" s="26" t="s">
        <v>3399</v>
      </c>
      <c r="AH3348" s="80"/>
      <c r="AI3348" s="147" t="s">
        <v>64</v>
      </c>
      <c r="AJ3348" s="80"/>
      <c r="AK3348" s="80"/>
      <c r="AL3348" s="35"/>
      <c r="AM3348" s="35"/>
      <c r="AN3348" s="35"/>
      <c r="AO3348" s="35"/>
      <c r="AP3348" s="35"/>
    </row>
    <row r="3349" spans="1:42" x14ac:dyDescent="0.2">
      <c r="A3349" s="126">
        <v>45507.868522893521</v>
      </c>
      <c r="B3349" s="137" t="s">
        <v>37</v>
      </c>
      <c r="C3349" s="41" t="s">
        <v>118</v>
      </c>
      <c r="D3349" s="80" t="s">
        <v>36</v>
      </c>
      <c r="E3349" s="80" t="s">
        <v>139</v>
      </c>
      <c r="F3349" s="26" t="s">
        <v>36</v>
      </c>
      <c r="G3349" s="26" t="s">
        <v>41</v>
      </c>
      <c r="H3349" s="80" t="s">
        <v>5666</v>
      </c>
      <c r="I3349" s="17">
        <f ca="1">IFERROR(__xludf.DUMMYFUNCTION("""COMPUTED_VALUE"""),45540)</f>
        <v>45540</v>
      </c>
      <c r="J3349" s="143" t="s">
        <v>12119</v>
      </c>
      <c r="K3349" s="80" t="s">
        <v>12120</v>
      </c>
      <c r="L3349" s="30">
        <v>983016332</v>
      </c>
      <c r="M3349" s="80" t="s">
        <v>5429</v>
      </c>
      <c r="N3349" s="80" t="s">
        <v>1384</v>
      </c>
      <c r="O3349" s="80" t="s">
        <v>12121</v>
      </c>
      <c r="P3349" s="80" t="s">
        <v>12122</v>
      </c>
      <c r="Q3349" s="20">
        <v>15936</v>
      </c>
      <c r="R3349" s="80" t="s">
        <v>70</v>
      </c>
      <c r="S3349" s="95">
        <f t="shared" ref="S3349:S3350" si="39">200+1800</f>
        <v>2000</v>
      </c>
      <c r="T3349" s="83" t="s">
        <v>12123</v>
      </c>
      <c r="U3349" s="95">
        <v>13836</v>
      </c>
      <c r="V3349" s="148">
        <v>45553</v>
      </c>
      <c r="W3349" s="85" t="s">
        <v>12124</v>
      </c>
      <c r="X3349" s="80">
        <v>100</v>
      </c>
      <c r="Y3349" s="22">
        <v>0</v>
      </c>
      <c r="Z3349" s="80" t="s">
        <v>50</v>
      </c>
      <c r="AA3349" s="96" t="s">
        <v>3291</v>
      </c>
      <c r="AB3349" s="80"/>
      <c r="AC3349" s="80" t="s">
        <v>53</v>
      </c>
      <c r="AD3349" s="80" t="s">
        <v>138</v>
      </c>
      <c r="AE3349" s="80" t="s">
        <v>72</v>
      </c>
      <c r="AF3349" s="17">
        <v>45540</v>
      </c>
      <c r="AG3349" s="26" t="s">
        <v>3399</v>
      </c>
      <c r="AH3349" s="80"/>
      <c r="AI3349" s="147" t="s">
        <v>147</v>
      </c>
      <c r="AJ3349" s="80"/>
      <c r="AK3349" s="80"/>
      <c r="AL3349" s="35"/>
      <c r="AM3349" s="35"/>
      <c r="AN3349" s="35"/>
      <c r="AO3349" s="35"/>
      <c r="AP3349" s="35"/>
    </row>
    <row r="3350" spans="1:42" x14ac:dyDescent="0.2">
      <c r="A3350" s="126">
        <v>45507.868861736111</v>
      </c>
      <c r="B3350" s="137" t="s">
        <v>37</v>
      </c>
      <c r="C3350" s="41" t="s">
        <v>118</v>
      </c>
      <c r="D3350" s="80" t="s">
        <v>36</v>
      </c>
      <c r="E3350" s="80" t="s">
        <v>139</v>
      </c>
      <c r="F3350" s="80" t="s">
        <v>36</v>
      </c>
      <c r="G3350" s="80" t="s">
        <v>41</v>
      </c>
      <c r="H3350" s="80" t="s">
        <v>8392</v>
      </c>
      <c r="I3350" s="17">
        <f ca="1">IFERROR(__xludf.DUMMYFUNCTION("""COMPUTED_VALUE"""),45540)</f>
        <v>45540</v>
      </c>
      <c r="J3350" s="143" t="s">
        <v>12125</v>
      </c>
      <c r="K3350" s="80" t="s">
        <v>12126</v>
      </c>
      <c r="L3350" s="30">
        <v>333350675</v>
      </c>
      <c r="M3350" s="80" t="s">
        <v>3728</v>
      </c>
      <c r="N3350" s="80" t="s">
        <v>5312</v>
      </c>
      <c r="O3350" s="80" t="s">
        <v>12127</v>
      </c>
      <c r="P3350" s="80" t="s">
        <v>12128</v>
      </c>
      <c r="Q3350" s="20">
        <v>15936</v>
      </c>
      <c r="R3350" s="80" t="s">
        <v>36</v>
      </c>
      <c r="S3350" s="95">
        <f t="shared" si="39"/>
        <v>2000</v>
      </c>
      <c r="T3350" s="83" t="s">
        <v>12129</v>
      </c>
      <c r="U3350" s="95">
        <v>13936</v>
      </c>
      <c r="V3350" s="148">
        <v>45553</v>
      </c>
      <c r="W3350" s="85" t="s">
        <v>12130</v>
      </c>
      <c r="X3350" s="80">
        <v>0</v>
      </c>
      <c r="Y3350" s="22">
        <v>0</v>
      </c>
      <c r="Z3350" s="80" t="s">
        <v>50</v>
      </c>
      <c r="AA3350" s="35" t="s">
        <v>3291</v>
      </c>
      <c r="AB3350" s="80"/>
      <c r="AC3350" s="80" t="s">
        <v>53</v>
      </c>
      <c r="AD3350" s="80" t="s">
        <v>54</v>
      </c>
      <c r="AE3350" s="80"/>
      <c r="AF3350" s="17">
        <v>45532</v>
      </c>
      <c r="AG3350" s="80"/>
      <c r="AH3350" s="80"/>
      <c r="AI3350" s="147" t="s">
        <v>147</v>
      </c>
      <c r="AJ3350" s="80"/>
      <c r="AK3350" s="80"/>
      <c r="AL3350" s="35"/>
      <c r="AM3350" s="35"/>
      <c r="AN3350" s="35"/>
      <c r="AO3350" s="35"/>
      <c r="AP3350" s="35"/>
    </row>
    <row r="3351" spans="1:42" x14ac:dyDescent="0.2">
      <c r="A3351" s="126">
        <v>45508.822422164347</v>
      </c>
      <c r="B3351" s="137" t="s">
        <v>37</v>
      </c>
      <c r="C3351" s="41" t="s">
        <v>118</v>
      </c>
      <c r="D3351" s="80" t="s">
        <v>36</v>
      </c>
      <c r="E3351" s="80" t="s">
        <v>139</v>
      </c>
      <c r="F3351" s="80" t="s">
        <v>36</v>
      </c>
      <c r="G3351" s="80" t="s">
        <v>41</v>
      </c>
      <c r="H3351" s="80" t="s">
        <v>10444</v>
      </c>
      <c r="I3351" s="17">
        <f ca="1">IFERROR(__xludf.DUMMYFUNCTION("""COMPUTED_VALUE"""),45515)</f>
        <v>45515</v>
      </c>
      <c r="J3351" s="143" t="s">
        <v>12131</v>
      </c>
      <c r="K3351" s="80" t="s">
        <v>12132</v>
      </c>
      <c r="L3351" s="30">
        <v>817932493</v>
      </c>
      <c r="M3351" s="80" t="s">
        <v>123</v>
      </c>
      <c r="N3351" s="80" t="s">
        <v>327</v>
      </c>
      <c r="O3351" s="80" t="s">
        <v>4503</v>
      </c>
      <c r="P3351" s="80" t="s">
        <v>12133</v>
      </c>
      <c r="Q3351" s="20">
        <v>15936</v>
      </c>
      <c r="R3351" s="80" t="s">
        <v>36</v>
      </c>
      <c r="S3351" s="95">
        <v>2000</v>
      </c>
      <c r="T3351" s="148">
        <v>45508</v>
      </c>
      <c r="U3351" s="95">
        <v>13936</v>
      </c>
      <c r="V3351" s="148">
        <v>45548</v>
      </c>
      <c r="W3351" s="85" t="s">
        <v>12134</v>
      </c>
      <c r="X3351" s="80">
        <v>0</v>
      </c>
      <c r="Y3351" s="22">
        <v>0</v>
      </c>
      <c r="Z3351" s="80" t="s">
        <v>50</v>
      </c>
      <c r="AA3351" s="96" t="s">
        <v>3291</v>
      </c>
      <c r="AB3351" s="80"/>
      <c r="AC3351" s="80" t="s">
        <v>53</v>
      </c>
      <c r="AD3351" s="80" t="s">
        <v>54</v>
      </c>
      <c r="AE3351" s="80"/>
      <c r="AF3351" s="17">
        <v>45509</v>
      </c>
      <c r="AG3351" s="80"/>
      <c r="AH3351" s="80"/>
      <c r="AI3351" s="147" t="s">
        <v>147</v>
      </c>
      <c r="AJ3351" s="80"/>
      <c r="AK3351" s="80"/>
      <c r="AL3351" s="35"/>
      <c r="AM3351" s="35"/>
      <c r="AN3351" s="35"/>
      <c r="AO3351" s="35"/>
      <c r="AP3351" s="35"/>
    </row>
    <row r="3352" spans="1:42" x14ac:dyDescent="0.2">
      <c r="A3352" s="126">
        <v>45508.893370335645</v>
      </c>
      <c r="B3352" s="137" t="s">
        <v>37</v>
      </c>
      <c r="C3352" s="41" t="s">
        <v>118</v>
      </c>
      <c r="D3352" s="80" t="s">
        <v>36</v>
      </c>
      <c r="E3352" s="80" t="s">
        <v>119</v>
      </c>
      <c r="F3352" s="26" t="s">
        <v>36</v>
      </c>
      <c r="G3352" s="26" t="s">
        <v>108</v>
      </c>
      <c r="H3352" s="80" t="s">
        <v>9825</v>
      </c>
      <c r="I3352" s="17">
        <f ca="1">IFERROR(__xludf.DUMMYFUNCTION("""COMPUTED_VALUE"""),45548)</f>
        <v>45548</v>
      </c>
      <c r="J3352" s="143" t="s">
        <v>12135</v>
      </c>
      <c r="K3352" s="80" t="s">
        <v>12136</v>
      </c>
      <c r="L3352" s="30">
        <v>912472155</v>
      </c>
      <c r="M3352" s="80" t="s">
        <v>5429</v>
      </c>
      <c r="N3352" s="80" t="s">
        <v>756</v>
      </c>
      <c r="O3352" s="80" t="s">
        <v>12137</v>
      </c>
      <c r="P3352" s="80" t="s">
        <v>12138</v>
      </c>
      <c r="Q3352" s="20">
        <v>13968</v>
      </c>
      <c r="R3352" s="80" t="s">
        <v>36</v>
      </c>
      <c r="S3352" s="95">
        <v>4000</v>
      </c>
      <c r="T3352" s="148">
        <v>45508</v>
      </c>
      <c r="U3352" s="95">
        <v>9968</v>
      </c>
      <c r="V3352" s="148">
        <v>45558</v>
      </c>
      <c r="W3352" s="85" t="s">
        <v>12139</v>
      </c>
      <c r="X3352" s="80">
        <v>0</v>
      </c>
      <c r="Y3352" s="22">
        <v>0</v>
      </c>
      <c r="Z3352" s="80" t="s">
        <v>50</v>
      </c>
      <c r="AA3352" s="35" t="s">
        <v>3291</v>
      </c>
      <c r="AB3352" s="80"/>
      <c r="AC3352" s="80" t="s">
        <v>53</v>
      </c>
      <c r="AD3352" s="80" t="s">
        <v>138</v>
      </c>
      <c r="AE3352" s="83">
        <v>470</v>
      </c>
      <c r="AF3352" s="17">
        <v>45548</v>
      </c>
      <c r="AG3352" s="26" t="s">
        <v>4996</v>
      </c>
      <c r="AH3352" s="80"/>
      <c r="AI3352" s="147">
        <v>4</v>
      </c>
      <c r="AJ3352" s="80"/>
      <c r="AK3352" s="80"/>
      <c r="AL3352" s="35"/>
      <c r="AM3352" s="35"/>
      <c r="AN3352" s="35"/>
      <c r="AO3352" s="35"/>
      <c r="AP3352" s="35"/>
    </row>
    <row r="3353" spans="1:42" x14ac:dyDescent="0.2">
      <c r="A3353" s="126">
        <v>45510.329294537034</v>
      </c>
      <c r="B3353" s="137" t="s">
        <v>37</v>
      </c>
      <c r="C3353" s="41" t="s">
        <v>118</v>
      </c>
      <c r="D3353" s="80" t="s">
        <v>36</v>
      </c>
      <c r="E3353" s="80" t="s">
        <v>56</v>
      </c>
      <c r="F3353" s="80" t="s">
        <v>36</v>
      </c>
      <c r="G3353" s="80" t="s">
        <v>41</v>
      </c>
      <c r="H3353" s="80" t="s">
        <v>11151</v>
      </c>
      <c r="I3353" s="17">
        <f ca="1">IFERROR(__xludf.DUMMYFUNCTION("""COMPUTED_VALUE"""),45511)</f>
        <v>45511</v>
      </c>
      <c r="J3353" s="143" t="s">
        <v>12140</v>
      </c>
      <c r="K3353" s="80" t="s">
        <v>12141</v>
      </c>
      <c r="L3353" s="30">
        <v>915233135</v>
      </c>
      <c r="M3353" s="80" t="s">
        <v>123</v>
      </c>
      <c r="N3353" s="80" t="s">
        <v>327</v>
      </c>
      <c r="O3353" s="80"/>
      <c r="P3353" s="80" t="s">
        <v>12142</v>
      </c>
      <c r="Q3353" s="20">
        <v>9317</v>
      </c>
      <c r="R3353" s="80" t="s">
        <v>36</v>
      </c>
      <c r="S3353" s="95">
        <v>2000</v>
      </c>
      <c r="T3353" s="148">
        <v>45510</v>
      </c>
      <c r="U3353" s="178">
        <v>7317</v>
      </c>
      <c r="V3353" s="169">
        <v>45540</v>
      </c>
      <c r="W3353" s="85" t="s">
        <v>12143</v>
      </c>
      <c r="X3353" s="80">
        <v>0</v>
      </c>
      <c r="Y3353" s="22">
        <v>0</v>
      </c>
      <c r="Z3353" s="80" t="s">
        <v>50</v>
      </c>
      <c r="AA3353" s="96" t="s">
        <v>3291</v>
      </c>
      <c r="AB3353" s="80"/>
      <c r="AC3353" s="80" t="s">
        <v>53</v>
      </c>
      <c r="AD3353" s="80" t="s">
        <v>54</v>
      </c>
      <c r="AE3353" s="80"/>
      <c r="AF3353" s="17">
        <v>45510</v>
      </c>
      <c r="AG3353" s="80"/>
      <c r="AH3353" s="80"/>
      <c r="AI3353" s="147" t="s">
        <v>64</v>
      </c>
      <c r="AJ3353" s="80"/>
      <c r="AK3353" s="80"/>
      <c r="AL3353" s="35"/>
      <c r="AM3353" s="35"/>
      <c r="AN3353" s="35"/>
      <c r="AO3353" s="35"/>
      <c r="AP3353" s="35"/>
    </row>
    <row r="3354" spans="1:42" x14ac:dyDescent="0.2">
      <c r="A3354" s="126">
        <v>45510.724804745369</v>
      </c>
      <c r="B3354" s="137" t="s">
        <v>37</v>
      </c>
      <c r="C3354" s="41" t="s">
        <v>118</v>
      </c>
      <c r="D3354" s="80" t="s">
        <v>36</v>
      </c>
      <c r="E3354" s="80" t="s">
        <v>77</v>
      </c>
      <c r="F3354" s="80" t="s">
        <v>36</v>
      </c>
      <c r="G3354" s="80" t="s">
        <v>41</v>
      </c>
      <c r="H3354" s="80" t="s">
        <v>11151</v>
      </c>
      <c r="I3354" s="17">
        <f ca="1">IFERROR(__xludf.DUMMYFUNCTION("""COMPUTED_VALUE"""),45511)</f>
        <v>45511</v>
      </c>
      <c r="J3354" s="143" t="s">
        <v>12144</v>
      </c>
      <c r="K3354" s="80" t="s">
        <v>12145</v>
      </c>
      <c r="L3354" s="30">
        <v>969609472</v>
      </c>
      <c r="M3354" s="80" t="s">
        <v>5558</v>
      </c>
      <c r="N3354" s="80" t="s">
        <v>5559</v>
      </c>
      <c r="O3354" s="80" t="s">
        <v>4503</v>
      </c>
      <c r="P3354" s="80" t="s">
        <v>12146</v>
      </c>
      <c r="Q3354" s="20">
        <v>1968</v>
      </c>
      <c r="R3354" s="80" t="s">
        <v>36</v>
      </c>
      <c r="S3354" s="95">
        <v>2000</v>
      </c>
      <c r="T3354" s="148">
        <v>45510</v>
      </c>
      <c r="U3354" s="77"/>
      <c r="V3354" s="78"/>
      <c r="W3354" s="85" t="s">
        <v>12147</v>
      </c>
      <c r="X3354" s="80">
        <v>0</v>
      </c>
      <c r="Y3354" s="22">
        <v>-32</v>
      </c>
      <c r="Z3354" s="80" t="s">
        <v>50</v>
      </c>
      <c r="AA3354" s="35" t="s">
        <v>3291</v>
      </c>
      <c r="AB3354" s="80"/>
      <c r="AC3354" s="80" t="s">
        <v>53</v>
      </c>
      <c r="AD3354" s="80" t="s">
        <v>54</v>
      </c>
      <c r="AE3354" s="80"/>
      <c r="AF3354" s="17">
        <v>45510</v>
      </c>
      <c r="AG3354" s="80" t="s">
        <v>7078</v>
      </c>
      <c r="AH3354" s="80"/>
      <c r="AI3354" s="147" t="s">
        <v>84</v>
      </c>
      <c r="AJ3354" s="80"/>
      <c r="AK3354" s="80"/>
      <c r="AL3354" s="35"/>
      <c r="AM3354" s="35"/>
      <c r="AN3354" s="35"/>
      <c r="AO3354" s="35"/>
      <c r="AP3354" s="35"/>
    </row>
    <row r="3355" spans="1:42" x14ac:dyDescent="0.2">
      <c r="A3355" s="126">
        <v>45510.88070746528</v>
      </c>
      <c r="B3355" s="137" t="s">
        <v>37</v>
      </c>
      <c r="C3355" s="41" t="s">
        <v>118</v>
      </c>
      <c r="D3355" s="80" t="s">
        <v>36</v>
      </c>
      <c r="E3355" s="80" t="s">
        <v>139</v>
      </c>
      <c r="F3355" s="26" t="s">
        <v>36</v>
      </c>
      <c r="G3355" s="26" t="s">
        <v>41</v>
      </c>
      <c r="H3355" s="80" t="s">
        <v>5666</v>
      </c>
      <c r="I3355" s="17">
        <f ca="1">IFERROR(__xludf.DUMMYFUNCTION("""COMPUTED_VALUE"""),45540)</f>
        <v>45540</v>
      </c>
      <c r="J3355" s="143" t="s">
        <v>12148</v>
      </c>
      <c r="K3355" s="80" t="s">
        <v>12149</v>
      </c>
      <c r="L3355" s="30">
        <v>869690466</v>
      </c>
      <c r="M3355" s="80" t="s">
        <v>5429</v>
      </c>
      <c r="N3355" s="80" t="s">
        <v>81</v>
      </c>
      <c r="O3355" s="80" t="s">
        <v>12150</v>
      </c>
      <c r="P3355" s="80" t="s">
        <v>6368</v>
      </c>
      <c r="Q3355" s="20">
        <v>15936</v>
      </c>
      <c r="R3355" s="80" t="s">
        <v>36</v>
      </c>
      <c r="S3355" s="95">
        <v>2000</v>
      </c>
      <c r="T3355" s="148">
        <v>45510</v>
      </c>
      <c r="U3355" s="178">
        <v>13936</v>
      </c>
      <c r="V3355" s="169">
        <v>45564</v>
      </c>
      <c r="W3355" s="85" t="s">
        <v>12151</v>
      </c>
      <c r="X3355" s="80">
        <v>0</v>
      </c>
      <c r="Y3355" s="22">
        <v>0</v>
      </c>
      <c r="Z3355" s="80" t="s">
        <v>50</v>
      </c>
      <c r="AA3355" s="96" t="s">
        <v>3291</v>
      </c>
      <c r="AB3355" s="80"/>
      <c r="AC3355" s="80" t="s">
        <v>53</v>
      </c>
      <c r="AD3355" s="80" t="s">
        <v>138</v>
      </c>
      <c r="AE3355" s="80" t="s">
        <v>72</v>
      </c>
      <c r="AF3355" s="17">
        <v>45540</v>
      </c>
      <c r="AG3355" s="26" t="s">
        <v>3399</v>
      </c>
      <c r="AH3355" s="80"/>
      <c r="AI3355" s="147" t="s">
        <v>147</v>
      </c>
      <c r="AJ3355" s="80"/>
      <c r="AK3355" s="80"/>
      <c r="AL3355" s="35"/>
      <c r="AM3355" s="35"/>
      <c r="AN3355" s="35"/>
      <c r="AO3355" s="35"/>
      <c r="AP3355" s="35"/>
    </row>
    <row r="3356" spans="1:42" x14ac:dyDescent="0.2">
      <c r="A3356" s="126">
        <v>45510.921963969908</v>
      </c>
      <c r="B3356" s="137" t="s">
        <v>37</v>
      </c>
      <c r="C3356" s="41" t="s">
        <v>118</v>
      </c>
      <c r="D3356" s="80" t="s">
        <v>36</v>
      </c>
      <c r="E3356" s="80" t="s">
        <v>139</v>
      </c>
      <c r="F3356" s="26" t="s">
        <v>36</v>
      </c>
      <c r="G3356" s="26" t="s">
        <v>41</v>
      </c>
      <c r="H3356" s="80" t="s">
        <v>5666</v>
      </c>
      <c r="I3356" s="17">
        <f ca="1">IFERROR(__xludf.DUMMYFUNCTION("""COMPUTED_VALUE"""),45540)</f>
        <v>45540</v>
      </c>
      <c r="J3356" s="143" t="s">
        <v>12152</v>
      </c>
      <c r="K3356" s="80" t="s">
        <v>12153</v>
      </c>
      <c r="L3356" s="30">
        <v>818045206</v>
      </c>
      <c r="M3356" s="80" t="s">
        <v>5429</v>
      </c>
      <c r="N3356" s="80" t="s">
        <v>3065</v>
      </c>
      <c r="O3356" s="80" t="s">
        <v>12154</v>
      </c>
      <c r="P3356" s="80" t="s">
        <v>12155</v>
      </c>
      <c r="Q3356" s="20">
        <v>15936</v>
      </c>
      <c r="R3356" s="80" t="s">
        <v>36</v>
      </c>
      <c r="S3356" s="95">
        <v>2000</v>
      </c>
      <c r="T3356" s="148">
        <v>45510</v>
      </c>
      <c r="U3356" s="95">
        <v>13936</v>
      </c>
      <c r="V3356" s="148">
        <v>45558</v>
      </c>
      <c r="W3356" s="85" t="s">
        <v>12156</v>
      </c>
      <c r="X3356" s="80">
        <v>0</v>
      </c>
      <c r="Y3356" s="22">
        <v>0</v>
      </c>
      <c r="Z3356" s="80" t="s">
        <v>50</v>
      </c>
      <c r="AA3356" s="35" t="s">
        <v>3291</v>
      </c>
      <c r="AB3356" s="80"/>
      <c r="AC3356" s="80" t="s">
        <v>53</v>
      </c>
      <c r="AD3356" s="80" t="s">
        <v>138</v>
      </c>
      <c r="AE3356" s="80" t="s">
        <v>76</v>
      </c>
      <c r="AF3356" s="17">
        <v>45540</v>
      </c>
      <c r="AG3356" s="26" t="s">
        <v>3399</v>
      </c>
      <c r="AH3356" s="80"/>
      <c r="AI3356" s="147" t="s">
        <v>147</v>
      </c>
      <c r="AJ3356" s="80"/>
      <c r="AK3356" s="80"/>
      <c r="AL3356" s="35"/>
      <c r="AM3356" s="35"/>
      <c r="AN3356" s="35"/>
      <c r="AO3356" s="35"/>
      <c r="AP3356" s="35"/>
    </row>
    <row r="3357" spans="1:42" x14ac:dyDescent="0.2">
      <c r="A3357" s="126">
        <v>45510.943337557866</v>
      </c>
      <c r="B3357" s="28" t="s">
        <v>37</v>
      </c>
      <c r="C3357" s="41" t="s">
        <v>118</v>
      </c>
      <c r="D3357" s="80" t="s">
        <v>36</v>
      </c>
      <c r="E3357" s="80" t="s">
        <v>119</v>
      </c>
      <c r="F3357" s="80" t="s">
        <v>91</v>
      </c>
      <c r="G3357" s="80" t="s">
        <v>108</v>
      </c>
      <c r="H3357" s="80" t="s">
        <v>8986</v>
      </c>
      <c r="I3357" s="17">
        <f ca="1">IFERROR(__xludf.DUMMYFUNCTION("""COMPUTED_VALUE"""),45531)</f>
        <v>45531</v>
      </c>
      <c r="J3357" s="143" t="s">
        <v>12157</v>
      </c>
      <c r="K3357" s="80" t="s">
        <v>12158</v>
      </c>
      <c r="L3357" s="30">
        <v>942072008</v>
      </c>
      <c r="M3357" s="80" t="s">
        <v>910</v>
      </c>
      <c r="N3357" s="80" t="s">
        <v>3525</v>
      </c>
      <c r="O3357" s="80" t="s">
        <v>2819</v>
      </c>
      <c r="P3357" s="80" t="s">
        <v>12159</v>
      </c>
      <c r="Q3357" s="20">
        <v>13968</v>
      </c>
      <c r="R3357" s="80" t="s">
        <v>1106</v>
      </c>
      <c r="S3357" s="95">
        <v>4000</v>
      </c>
      <c r="T3357" s="148">
        <v>45510</v>
      </c>
      <c r="U3357" s="95">
        <v>9818</v>
      </c>
      <c r="V3357" s="148">
        <v>45550</v>
      </c>
      <c r="W3357" s="85" t="s">
        <v>12160</v>
      </c>
      <c r="X3357" s="80">
        <v>150</v>
      </c>
      <c r="Y3357" s="22">
        <v>0</v>
      </c>
      <c r="Z3357" s="80" t="s">
        <v>50</v>
      </c>
      <c r="AA3357" s="96" t="s">
        <v>3291</v>
      </c>
      <c r="AB3357" s="80"/>
      <c r="AC3357" s="80" t="s">
        <v>53</v>
      </c>
      <c r="AD3357" s="80" t="s">
        <v>54</v>
      </c>
      <c r="AE3357" s="83">
        <v>550</v>
      </c>
      <c r="AF3357" s="17">
        <v>45524</v>
      </c>
      <c r="AG3357" s="80"/>
      <c r="AH3357" s="80"/>
      <c r="AI3357" s="147">
        <v>4</v>
      </c>
      <c r="AJ3357" s="80"/>
      <c r="AK3357" s="80"/>
      <c r="AL3357" s="35"/>
      <c r="AM3357" s="35"/>
      <c r="AN3357" s="35"/>
      <c r="AO3357" s="35"/>
      <c r="AP3357" s="35"/>
    </row>
    <row r="3358" spans="1:42" x14ac:dyDescent="0.2">
      <c r="A3358" s="26">
        <v>815835598</v>
      </c>
      <c r="B3358" s="137" t="s">
        <v>37</v>
      </c>
      <c r="C3358" s="41" t="s">
        <v>118</v>
      </c>
      <c r="D3358" s="80" t="s">
        <v>36</v>
      </c>
      <c r="E3358" s="80" t="s">
        <v>139</v>
      </c>
      <c r="F3358" s="26" t="s">
        <v>36</v>
      </c>
      <c r="G3358" s="26" t="s">
        <v>41</v>
      </c>
      <c r="H3358" s="80" t="s">
        <v>5666</v>
      </c>
      <c r="I3358" s="17">
        <f ca="1">IFERROR(__xludf.DUMMYFUNCTION("""COMPUTED_VALUE"""),45540)</f>
        <v>45540</v>
      </c>
      <c r="J3358" s="143" t="s">
        <v>12161</v>
      </c>
      <c r="K3358" s="80" t="s">
        <v>12162</v>
      </c>
      <c r="L3358" s="30">
        <v>815835598</v>
      </c>
      <c r="M3358" s="80" t="s">
        <v>3728</v>
      </c>
      <c r="N3358" s="80" t="s">
        <v>5312</v>
      </c>
      <c r="O3358" s="80" t="s">
        <v>12163</v>
      </c>
      <c r="P3358" s="80" t="s">
        <v>12164</v>
      </c>
      <c r="Q3358" s="20">
        <v>15936</v>
      </c>
      <c r="R3358" s="80" t="s">
        <v>36</v>
      </c>
      <c r="S3358" s="95">
        <f>200+1800</f>
        <v>2000</v>
      </c>
      <c r="T3358" s="83" t="s">
        <v>12165</v>
      </c>
      <c r="U3358" s="95">
        <v>13936</v>
      </c>
      <c r="V3358" s="148">
        <v>45551</v>
      </c>
      <c r="W3358" s="85" t="s">
        <v>12166</v>
      </c>
      <c r="X3358" s="80">
        <v>0</v>
      </c>
      <c r="Y3358" s="22">
        <v>0</v>
      </c>
      <c r="Z3358" s="80" t="s">
        <v>50</v>
      </c>
      <c r="AA3358" s="35" t="s">
        <v>3291</v>
      </c>
      <c r="AB3358" s="80"/>
      <c r="AC3358" s="80" t="s">
        <v>53</v>
      </c>
      <c r="AD3358" s="80" t="s">
        <v>54</v>
      </c>
      <c r="AE3358" s="80"/>
      <c r="AF3358" s="17">
        <v>45540</v>
      </c>
      <c r="AG3358" s="26" t="s">
        <v>3399</v>
      </c>
      <c r="AH3358" s="80"/>
      <c r="AI3358" s="147" t="s">
        <v>147</v>
      </c>
      <c r="AJ3358" s="80"/>
      <c r="AK3358" s="80"/>
      <c r="AL3358" s="35"/>
      <c r="AM3358" s="35"/>
      <c r="AN3358" s="35"/>
      <c r="AO3358" s="35"/>
      <c r="AP3358" s="35"/>
    </row>
    <row r="3359" spans="1:42" x14ac:dyDescent="0.2">
      <c r="A3359" s="126">
        <v>45512.321179398146</v>
      </c>
      <c r="B3359" s="137" t="s">
        <v>37</v>
      </c>
      <c r="C3359" s="41" t="s">
        <v>118</v>
      </c>
      <c r="D3359" s="80" t="s">
        <v>36</v>
      </c>
      <c r="E3359" s="80" t="s">
        <v>915</v>
      </c>
      <c r="F3359" s="80" t="s">
        <v>40</v>
      </c>
      <c r="G3359" s="80" t="s">
        <v>221</v>
      </c>
      <c r="H3359" s="80" t="s">
        <v>7016</v>
      </c>
      <c r="I3359" s="17">
        <f ca="1">IFERROR(__xludf.DUMMYFUNCTION("""COMPUTED_VALUE"""),45520)</f>
        <v>45520</v>
      </c>
      <c r="J3359" s="143" t="s">
        <v>12167</v>
      </c>
      <c r="K3359" s="80" t="s">
        <v>12168</v>
      </c>
      <c r="L3359" s="30">
        <v>916100698</v>
      </c>
      <c r="M3359" s="80" t="s">
        <v>910</v>
      </c>
      <c r="N3359" s="80" t="s">
        <v>3525</v>
      </c>
      <c r="O3359" s="80" t="s">
        <v>3754</v>
      </c>
      <c r="P3359" s="80" t="s">
        <v>12169</v>
      </c>
      <c r="Q3359" s="20">
        <v>10894</v>
      </c>
      <c r="R3359" s="80" t="s">
        <v>36</v>
      </c>
      <c r="S3359" s="95">
        <f>200+3800</f>
        <v>4000</v>
      </c>
      <c r="T3359" s="83" t="s">
        <v>12170</v>
      </c>
      <c r="U3359" s="95">
        <v>6894</v>
      </c>
      <c r="V3359" s="148">
        <v>45545</v>
      </c>
      <c r="W3359" s="80" t="s">
        <v>12171</v>
      </c>
      <c r="X3359" s="80">
        <v>0</v>
      </c>
      <c r="Y3359" s="22">
        <v>0</v>
      </c>
      <c r="Z3359" s="80" t="s">
        <v>50</v>
      </c>
      <c r="AA3359" s="96" t="s">
        <v>3291</v>
      </c>
      <c r="AB3359" s="80"/>
      <c r="AC3359" s="80" t="s">
        <v>53</v>
      </c>
      <c r="AD3359" s="80" t="s">
        <v>54</v>
      </c>
      <c r="AE3359" s="83">
        <v>800</v>
      </c>
      <c r="AF3359" s="17">
        <v>45513</v>
      </c>
      <c r="AG3359" s="80"/>
      <c r="AH3359" s="80"/>
      <c r="AI3359" s="147">
        <v>3</v>
      </c>
      <c r="AJ3359" s="80"/>
      <c r="AK3359" s="80"/>
      <c r="AL3359" s="35"/>
      <c r="AM3359" s="35"/>
      <c r="AN3359" s="35"/>
      <c r="AO3359" s="35"/>
      <c r="AP3359" s="35"/>
    </row>
    <row r="3360" spans="1:42" x14ac:dyDescent="0.2">
      <c r="A3360" s="126">
        <v>45512.718771261571</v>
      </c>
      <c r="B3360" s="137" t="s">
        <v>37</v>
      </c>
      <c r="C3360" s="41" t="s">
        <v>118</v>
      </c>
      <c r="D3360" s="80" t="s">
        <v>36</v>
      </c>
      <c r="E3360" s="80" t="s">
        <v>56</v>
      </c>
      <c r="F3360" s="80" t="s">
        <v>40</v>
      </c>
      <c r="G3360" s="80" t="s">
        <v>41</v>
      </c>
      <c r="H3360" s="80" t="s">
        <v>11015</v>
      </c>
      <c r="I3360" s="17">
        <f ca="1">IFERROR(__xludf.DUMMYFUNCTION("""COMPUTED_VALUE"""),45519)</f>
        <v>45519</v>
      </c>
      <c r="J3360" s="143" t="s">
        <v>12172</v>
      </c>
      <c r="K3360" s="80" t="s">
        <v>12173</v>
      </c>
      <c r="L3360" s="30">
        <v>818496418</v>
      </c>
      <c r="M3360" s="80" t="s">
        <v>5429</v>
      </c>
      <c r="N3360" s="80" t="s">
        <v>11095</v>
      </c>
      <c r="O3360" s="80" t="s">
        <v>12174</v>
      </c>
      <c r="P3360" s="80" t="s">
        <v>12175</v>
      </c>
      <c r="Q3360" s="20">
        <v>9317</v>
      </c>
      <c r="R3360" s="80" t="s">
        <v>36</v>
      </c>
      <c r="S3360" s="95">
        <f>2000+7317</f>
        <v>9317</v>
      </c>
      <c r="T3360" s="83" t="s">
        <v>12176</v>
      </c>
      <c r="U3360" s="77"/>
      <c r="V3360" s="78"/>
      <c r="W3360" s="85" t="s">
        <v>12177</v>
      </c>
      <c r="X3360" s="80">
        <v>0</v>
      </c>
      <c r="Y3360" s="22">
        <v>0</v>
      </c>
      <c r="Z3360" s="80" t="s">
        <v>50</v>
      </c>
      <c r="AA3360" s="35" t="s">
        <v>3291</v>
      </c>
      <c r="AB3360" s="80"/>
      <c r="AC3360" s="80" t="s">
        <v>53</v>
      </c>
      <c r="AD3360" s="80" t="s">
        <v>138</v>
      </c>
      <c r="AE3360" s="80" t="s">
        <v>72</v>
      </c>
      <c r="AF3360" s="17">
        <v>45513</v>
      </c>
      <c r="AG3360" s="80"/>
      <c r="AH3360" s="80"/>
      <c r="AI3360" s="147" t="s">
        <v>64</v>
      </c>
      <c r="AJ3360" s="80"/>
      <c r="AK3360" s="80"/>
      <c r="AL3360" s="35"/>
      <c r="AM3360" s="35"/>
      <c r="AN3360" s="35"/>
      <c r="AO3360" s="35"/>
      <c r="AP3360" s="35"/>
    </row>
    <row r="3361" spans="1:42" x14ac:dyDescent="0.2">
      <c r="A3361" s="126">
        <v>45512.778760451387</v>
      </c>
      <c r="B3361" s="137" t="s">
        <v>37</v>
      </c>
      <c r="C3361" s="41" t="s">
        <v>118</v>
      </c>
      <c r="D3361" s="80" t="s">
        <v>36</v>
      </c>
      <c r="E3361" s="80" t="s">
        <v>77</v>
      </c>
      <c r="F3361" s="80" t="s">
        <v>40</v>
      </c>
      <c r="G3361" s="80" t="s">
        <v>41</v>
      </c>
      <c r="H3361" s="80" t="s">
        <v>11211</v>
      </c>
      <c r="I3361" s="17">
        <f ca="1">IFERROR(__xludf.DUMMYFUNCTION("""COMPUTED_VALUE"""),45519)</f>
        <v>45519</v>
      </c>
      <c r="J3361" s="143" t="s">
        <v>12178</v>
      </c>
      <c r="K3361" s="80" t="s">
        <v>12179</v>
      </c>
      <c r="L3361" s="30">
        <v>398118706</v>
      </c>
      <c r="M3361" s="80" t="s">
        <v>123</v>
      </c>
      <c r="N3361" s="80" t="s">
        <v>186</v>
      </c>
      <c r="O3361" s="80" t="s">
        <v>4503</v>
      </c>
      <c r="P3361" s="137" t="s">
        <v>12180</v>
      </c>
      <c r="Q3361" s="20">
        <v>1968</v>
      </c>
      <c r="R3361" s="80" t="s">
        <v>36</v>
      </c>
      <c r="S3361" s="95">
        <v>2000</v>
      </c>
      <c r="T3361" s="148">
        <v>45512</v>
      </c>
      <c r="U3361" s="77"/>
      <c r="V3361" s="78"/>
      <c r="W3361" s="85" t="s">
        <v>12181</v>
      </c>
      <c r="X3361" s="80">
        <v>0</v>
      </c>
      <c r="Y3361" s="22">
        <v>-32</v>
      </c>
      <c r="Z3361" s="80" t="s">
        <v>50</v>
      </c>
      <c r="AA3361" s="96" t="s">
        <v>3291</v>
      </c>
      <c r="AB3361" s="80"/>
      <c r="AC3361" s="80" t="s">
        <v>53</v>
      </c>
      <c r="AD3361" s="80" t="s">
        <v>54</v>
      </c>
      <c r="AE3361" s="80"/>
      <c r="AF3361" s="17">
        <v>45513</v>
      </c>
      <c r="AG3361" s="80" t="s">
        <v>7078</v>
      </c>
      <c r="AH3361" s="80"/>
      <c r="AI3361" s="147" t="s">
        <v>84</v>
      </c>
      <c r="AJ3361" s="80"/>
      <c r="AK3361" s="80"/>
      <c r="AL3361" s="35"/>
      <c r="AM3361" s="35"/>
      <c r="AN3361" s="35"/>
      <c r="AO3361" s="35"/>
      <c r="AP3361" s="35"/>
    </row>
    <row r="3362" spans="1:42" x14ac:dyDescent="0.2">
      <c r="A3362" s="126">
        <v>45513.450590081018</v>
      </c>
      <c r="B3362" s="137" t="s">
        <v>37</v>
      </c>
      <c r="C3362" s="41" t="s">
        <v>118</v>
      </c>
      <c r="D3362" s="80" t="s">
        <v>36</v>
      </c>
      <c r="E3362" s="80" t="s">
        <v>77</v>
      </c>
      <c r="F3362" s="80" t="s">
        <v>36</v>
      </c>
      <c r="G3362" s="80" t="s">
        <v>41</v>
      </c>
      <c r="H3362" s="80" t="s">
        <v>11015</v>
      </c>
      <c r="I3362" s="17">
        <f ca="1">IFERROR(__xludf.DUMMYFUNCTION("""COMPUTED_VALUE"""),45519)</f>
        <v>45519</v>
      </c>
      <c r="J3362" s="143" t="s">
        <v>12182</v>
      </c>
      <c r="K3362" s="80" t="s">
        <v>12183</v>
      </c>
      <c r="L3362" s="30">
        <v>343706089</v>
      </c>
      <c r="M3362" s="80" t="s">
        <v>3728</v>
      </c>
      <c r="N3362" s="80" t="s">
        <v>299</v>
      </c>
      <c r="O3362" s="80" t="s">
        <v>12184</v>
      </c>
      <c r="P3362" s="80" t="s">
        <v>12185</v>
      </c>
      <c r="Q3362" s="20">
        <v>1968</v>
      </c>
      <c r="R3362" s="80" t="s">
        <v>36</v>
      </c>
      <c r="S3362" s="95">
        <f t="shared" ref="S3362:S3363" si="40">200+1800</f>
        <v>2000</v>
      </c>
      <c r="T3362" s="148">
        <v>45513</v>
      </c>
      <c r="U3362" s="77"/>
      <c r="V3362" s="78"/>
      <c r="W3362" s="85" t="s">
        <v>12186</v>
      </c>
      <c r="X3362" s="80">
        <v>0</v>
      </c>
      <c r="Y3362" s="22">
        <v>-32</v>
      </c>
      <c r="Z3362" s="80" t="s">
        <v>50</v>
      </c>
      <c r="AA3362" s="35" t="s">
        <v>3291</v>
      </c>
      <c r="AB3362" s="80"/>
      <c r="AC3362" s="80" t="s">
        <v>53</v>
      </c>
      <c r="AD3362" s="80" t="s">
        <v>54</v>
      </c>
      <c r="AE3362" s="80"/>
      <c r="AF3362" s="17">
        <v>45514</v>
      </c>
      <c r="AG3362" s="80"/>
      <c r="AH3362" s="80"/>
      <c r="AI3362" s="147" t="s">
        <v>84</v>
      </c>
      <c r="AJ3362" s="80"/>
      <c r="AK3362" s="80"/>
      <c r="AL3362" s="35"/>
      <c r="AM3362" s="35"/>
      <c r="AN3362" s="35"/>
      <c r="AO3362" s="35"/>
      <c r="AP3362" s="35"/>
    </row>
    <row r="3363" spans="1:42" x14ac:dyDescent="0.2">
      <c r="A3363" s="126">
        <v>45514.933013587965</v>
      </c>
      <c r="B3363" s="137" t="s">
        <v>37</v>
      </c>
      <c r="C3363" s="41" t="s">
        <v>118</v>
      </c>
      <c r="D3363" s="80" t="s">
        <v>36</v>
      </c>
      <c r="E3363" s="80" t="s">
        <v>56</v>
      </c>
      <c r="F3363" s="80" t="s">
        <v>36</v>
      </c>
      <c r="G3363" s="80" t="s">
        <v>41</v>
      </c>
      <c r="H3363" s="80" t="s">
        <v>12049</v>
      </c>
      <c r="I3363" s="17">
        <f ca="1">IFERROR(__xludf.DUMMYFUNCTION("""COMPUTED_VALUE"""),45522)</f>
        <v>45522</v>
      </c>
      <c r="J3363" s="143" t="s">
        <v>12187</v>
      </c>
      <c r="K3363" s="80" t="s">
        <v>12188</v>
      </c>
      <c r="L3363" s="30">
        <v>866689785</v>
      </c>
      <c r="M3363" s="80" t="s">
        <v>80</v>
      </c>
      <c r="N3363" s="80" t="s">
        <v>1073</v>
      </c>
      <c r="O3363" s="80" t="s">
        <v>12189</v>
      </c>
      <c r="P3363" s="80" t="s">
        <v>12190</v>
      </c>
      <c r="Q3363" s="20">
        <v>9317</v>
      </c>
      <c r="R3363" s="80" t="s">
        <v>36</v>
      </c>
      <c r="S3363" s="95">
        <f t="shared" si="40"/>
        <v>2000</v>
      </c>
      <c r="T3363" s="83" t="s">
        <v>12191</v>
      </c>
      <c r="U3363" s="83">
        <v>7317</v>
      </c>
      <c r="V3363" s="148">
        <v>45560</v>
      </c>
      <c r="W3363" s="85" t="s">
        <v>12192</v>
      </c>
      <c r="X3363" s="80">
        <v>0</v>
      </c>
      <c r="Y3363" s="22">
        <v>0</v>
      </c>
      <c r="Z3363" s="80" t="s">
        <v>50</v>
      </c>
      <c r="AA3363" s="96" t="s">
        <v>3291</v>
      </c>
      <c r="AB3363" s="80"/>
      <c r="AC3363" s="80" t="s">
        <v>53</v>
      </c>
      <c r="AD3363" s="80" t="s">
        <v>54</v>
      </c>
      <c r="AE3363" s="83">
        <v>0</v>
      </c>
      <c r="AF3363" s="17">
        <v>45517</v>
      </c>
      <c r="AG3363" s="80" t="s">
        <v>7078</v>
      </c>
      <c r="AH3363" s="80"/>
      <c r="AI3363" s="147" t="s">
        <v>64</v>
      </c>
      <c r="AJ3363" s="80"/>
      <c r="AK3363" s="80"/>
      <c r="AL3363" s="35"/>
      <c r="AM3363" s="35"/>
      <c r="AN3363" s="35"/>
      <c r="AO3363" s="35"/>
      <c r="AP3363" s="35"/>
    </row>
    <row r="3364" spans="1:42" x14ac:dyDescent="0.2">
      <c r="A3364" s="126">
        <v>45514.934773993053</v>
      </c>
      <c r="B3364" s="137" t="s">
        <v>37</v>
      </c>
      <c r="C3364" s="41" t="s">
        <v>118</v>
      </c>
      <c r="D3364" s="80" t="s">
        <v>36</v>
      </c>
      <c r="E3364" s="80" t="s">
        <v>119</v>
      </c>
      <c r="F3364" s="80" t="s">
        <v>36</v>
      </c>
      <c r="G3364" s="80" t="s">
        <v>108</v>
      </c>
      <c r="H3364" s="80" t="s">
        <v>450</v>
      </c>
      <c r="I3364" s="17">
        <f ca="1">IFERROR(__xludf.DUMMYFUNCTION("""COMPUTED_VALUE"""),45525)</f>
        <v>45525</v>
      </c>
      <c r="J3364" s="143" t="s">
        <v>12193</v>
      </c>
      <c r="K3364" s="80" t="s">
        <v>12194</v>
      </c>
      <c r="L3364" s="30">
        <v>398630233</v>
      </c>
      <c r="M3364" s="80" t="s">
        <v>80</v>
      </c>
      <c r="N3364" s="80" t="s">
        <v>466</v>
      </c>
      <c r="O3364" s="80" t="s">
        <v>12195</v>
      </c>
      <c r="P3364" s="80" t="s">
        <v>12196</v>
      </c>
      <c r="Q3364" s="20">
        <v>13968</v>
      </c>
      <c r="R3364" s="80" t="s">
        <v>36</v>
      </c>
      <c r="S3364" s="95">
        <f>200+3800</f>
        <v>4000</v>
      </c>
      <c r="T3364" s="83" t="s">
        <v>12197</v>
      </c>
      <c r="U3364" s="95">
        <v>9968</v>
      </c>
      <c r="V3364" s="148">
        <v>45546</v>
      </c>
      <c r="W3364" s="85" t="s">
        <v>12198</v>
      </c>
      <c r="X3364" s="80">
        <v>0</v>
      </c>
      <c r="Y3364" s="22">
        <v>0</v>
      </c>
      <c r="Z3364" s="80" t="s">
        <v>50</v>
      </c>
      <c r="AA3364" s="35" t="s">
        <v>3291</v>
      </c>
      <c r="AB3364" s="80"/>
      <c r="AC3364" s="80" t="s">
        <v>53</v>
      </c>
      <c r="AD3364" s="80" t="s">
        <v>54</v>
      </c>
      <c r="AE3364" s="83">
        <v>400</v>
      </c>
      <c r="AF3364" s="17">
        <v>45517</v>
      </c>
      <c r="AG3364" s="80"/>
      <c r="AH3364" s="80"/>
      <c r="AI3364" s="147">
        <v>4</v>
      </c>
      <c r="AJ3364" s="80"/>
      <c r="AK3364" s="80"/>
      <c r="AL3364" s="35"/>
      <c r="AM3364" s="35"/>
      <c r="AN3364" s="35"/>
      <c r="AO3364" s="35"/>
      <c r="AP3364" s="35"/>
    </row>
    <row r="3365" spans="1:42" x14ac:dyDescent="0.2">
      <c r="A3365" s="126">
        <v>45514.971480902779</v>
      </c>
      <c r="B3365" s="137" t="s">
        <v>37</v>
      </c>
      <c r="C3365" s="41" t="s">
        <v>118</v>
      </c>
      <c r="D3365" s="80" t="s">
        <v>36</v>
      </c>
      <c r="E3365" s="80" t="s">
        <v>119</v>
      </c>
      <c r="F3365" s="80" t="s">
        <v>36</v>
      </c>
      <c r="G3365" s="80" t="s">
        <v>108</v>
      </c>
      <c r="H3365" s="80" t="s">
        <v>8662</v>
      </c>
      <c r="I3365" s="17">
        <f ca="1">IFERROR(__xludf.DUMMYFUNCTION("""COMPUTED_VALUE"""),45524)</f>
        <v>45524</v>
      </c>
      <c r="J3365" s="143" t="s">
        <v>12199</v>
      </c>
      <c r="K3365" s="80" t="s">
        <v>12200</v>
      </c>
      <c r="L3365" s="30">
        <v>382693558</v>
      </c>
      <c r="M3365" s="80" t="s">
        <v>5429</v>
      </c>
      <c r="N3365" s="80" t="s">
        <v>3065</v>
      </c>
      <c r="O3365" s="80" t="s">
        <v>12201</v>
      </c>
      <c r="P3365" s="80" t="s">
        <v>12202</v>
      </c>
      <c r="Q3365" s="20">
        <v>13968</v>
      </c>
      <c r="R3365" s="80" t="s">
        <v>36</v>
      </c>
      <c r="S3365" s="95">
        <v>4000</v>
      </c>
      <c r="T3365" s="148">
        <v>45514</v>
      </c>
      <c r="U3365" s="95">
        <v>9968</v>
      </c>
      <c r="V3365" s="148">
        <v>45542</v>
      </c>
      <c r="W3365" s="85" t="s">
        <v>12203</v>
      </c>
      <c r="X3365" s="80">
        <v>0</v>
      </c>
      <c r="Y3365" s="22">
        <v>0</v>
      </c>
      <c r="Z3365" s="80" t="s">
        <v>50</v>
      </c>
      <c r="AA3365" s="96" t="s">
        <v>3291</v>
      </c>
      <c r="AB3365" s="80"/>
      <c r="AC3365" s="80" t="s">
        <v>53</v>
      </c>
      <c r="AD3365" s="80" t="s">
        <v>54</v>
      </c>
      <c r="AE3365" s="83">
        <v>500</v>
      </c>
      <c r="AF3365" s="17">
        <v>45517</v>
      </c>
      <c r="AG3365" s="80"/>
      <c r="AH3365" s="80"/>
      <c r="AI3365" s="147">
        <v>4</v>
      </c>
      <c r="AJ3365" s="80"/>
      <c r="AK3365" s="80"/>
      <c r="AL3365" s="35"/>
      <c r="AM3365" s="35"/>
      <c r="AN3365" s="35"/>
      <c r="AO3365" s="35"/>
      <c r="AP3365" s="35"/>
    </row>
    <row r="3366" spans="1:42" x14ac:dyDescent="0.2">
      <c r="A3366" s="126">
        <v>45515.855564976853</v>
      </c>
      <c r="B3366" s="137" t="s">
        <v>37</v>
      </c>
      <c r="C3366" s="41" t="s">
        <v>118</v>
      </c>
      <c r="D3366" s="80" t="s">
        <v>36</v>
      </c>
      <c r="E3366" s="80" t="s">
        <v>106</v>
      </c>
      <c r="F3366" s="80" t="s">
        <v>36</v>
      </c>
      <c r="G3366" s="80" t="s">
        <v>108</v>
      </c>
      <c r="H3366" s="80" t="s">
        <v>450</v>
      </c>
      <c r="I3366" s="17">
        <f ca="1">IFERROR(__xludf.DUMMYFUNCTION("""COMPUTED_VALUE"""),45525)</f>
        <v>45525</v>
      </c>
      <c r="J3366" s="143" t="s">
        <v>12204</v>
      </c>
      <c r="K3366" s="80" t="s">
        <v>12205</v>
      </c>
      <c r="L3366" s="30">
        <v>365843026</v>
      </c>
      <c r="M3366" s="80" t="s">
        <v>80</v>
      </c>
      <c r="N3366" s="80" t="s">
        <v>1073</v>
      </c>
      <c r="O3366" s="80" t="s">
        <v>12206</v>
      </c>
      <c r="P3366" s="80" t="s">
        <v>12207</v>
      </c>
      <c r="Q3366" s="20">
        <v>3768</v>
      </c>
      <c r="R3366" s="80" t="s">
        <v>36</v>
      </c>
      <c r="S3366" s="95">
        <f t="shared" ref="S3366:S3367" si="41">200+3800</f>
        <v>4000</v>
      </c>
      <c r="T3366" s="83" t="s">
        <v>12208</v>
      </c>
      <c r="U3366" s="77"/>
      <c r="V3366" s="78"/>
      <c r="W3366" s="85" t="s">
        <v>12209</v>
      </c>
      <c r="X3366" s="80">
        <v>0</v>
      </c>
      <c r="Y3366" s="22">
        <v>-232</v>
      </c>
      <c r="Z3366" s="80" t="s">
        <v>50</v>
      </c>
      <c r="AA3366" s="35" t="s">
        <v>3291</v>
      </c>
      <c r="AB3366" s="80"/>
      <c r="AC3366" s="80" t="s">
        <v>53</v>
      </c>
      <c r="AD3366" s="80" t="s">
        <v>54</v>
      </c>
      <c r="AE3366" s="83">
        <v>350</v>
      </c>
      <c r="AF3366" s="17">
        <v>45520</v>
      </c>
      <c r="AG3366" s="80" t="s">
        <v>7078</v>
      </c>
      <c r="AH3366" s="80"/>
      <c r="AI3366" s="147">
        <v>1</v>
      </c>
      <c r="AJ3366" s="80"/>
      <c r="AK3366" s="80"/>
      <c r="AL3366" s="35"/>
      <c r="AM3366" s="35"/>
      <c r="AN3366" s="35"/>
      <c r="AO3366" s="35"/>
      <c r="AP3366" s="35"/>
    </row>
    <row r="3367" spans="1:42" x14ac:dyDescent="0.2">
      <c r="A3367" s="126">
        <v>45515.856974386574</v>
      </c>
      <c r="B3367" s="137" t="s">
        <v>37</v>
      </c>
      <c r="C3367" s="41" t="s">
        <v>118</v>
      </c>
      <c r="D3367" s="80" t="s">
        <v>36</v>
      </c>
      <c r="E3367" s="80" t="s">
        <v>106</v>
      </c>
      <c r="F3367" s="80" t="s">
        <v>36</v>
      </c>
      <c r="G3367" s="80" t="s">
        <v>108</v>
      </c>
      <c r="H3367" s="80" t="s">
        <v>450</v>
      </c>
      <c r="I3367" s="17">
        <f ca="1">IFERROR(__xludf.DUMMYFUNCTION("""COMPUTED_VALUE"""),45525)</f>
        <v>45525</v>
      </c>
      <c r="J3367" s="143" t="s">
        <v>12210</v>
      </c>
      <c r="K3367" s="80" t="s">
        <v>12211</v>
      </c>
      <c r="L3367" s="30">
        <v>968010606</v>
      </c>
      <c r="M3367" s="80" t="s">
        <v>80</v>
      </c>
      <c r="N3367" s="80" t="s">
        <v>1073</v>
      </c>
      <c r="O3367" s="80" t="s">
        <v>12212</v>
      </c>
      <c r="P3367" s="80" t="s">
        <v>12213</v>
      </c>
      <c r="Q3367" s="20">
        <v>3768</v>
      </c>
      <c r="R3367" s="80" t="s">
        <v>36</v>
      </c>
      <c r="S3367" s="95">
        <f t="shared" si="41"/>
        <v>4000</v>
      </c>
      <c r="T3367" s="83" t="s">
        <v>12208</v>
      </c>
      <c r="U3367" s="77"/>
      <c r="V3367" s="78"/>
      <c r="W3367" s="85" t="s">
        <v>12214</v>
      </c>
      <c r="X3367" s="80">
        <v>0</v>
      </c>
      <c r="Y3367" s="22">
        <v>-232</v>
      </c>
      <c r="Z3367" s="80" t="s">
        <v>50</v>
      </c>
      <c r="AA3367" s="96" t="s">
        <v>3291</v>
      </c>
      <c r="AB3367" s="80"/>
      <c r="AC3367" s="80" t="s">
        <v>53</v>
      </c>
      <c r="AD3367" s="80" t="s">
        <v>54</v>
      </c>
      <c r="AE3367" s="83">
        <v>580</v>
      </c>
      <c r="AF3367" s="17">
        <v>45520</v>
      </c>
      <c r="AG3367" s="80" t="s">
        <v>7078</v>
      </c>
      <c r="AH3367" s="80"/>
      <c r="AI3367" s="147">
        <v>1</v>
      </c>
      <c r="AJ3367" s="80"/>
      <c r="AK3367" s="80"/>
      <c r="AL3367" s="35"/>
      <c r="AM3367" s="35"/>
      <c r="AN3367" s="35"/>
      <c r="AO3367" s="35"/>
      <c r="AP3367" s="35"/>
    </row>
    <row r="3368" spans="1:42" x14ac:dyDescent="0.2">
      <c r="A3368" s="126">
        <v>45515.858561076384</v>
      </c>
      <c r="B3368" s="137" t="s">
        <v>37</v>
      </c>
      <c r="C3368" s="41" t="s">
        <v>118</v>
      </c>
      <c r="D3368" s="80" t="s">
        <v>36</v>
      </c>
      <c r="E3368" s="80" t="s">
        <v>77</v>
      </c>
      <c r="F3368" s="26" t="s">
        <v>36</v>
      </c>
      <c r="G3368" s="26" t="s">
        <v>41</v>
      </c>
      <c r="H3368" s="80" t="s">
        <v>5666</v>
      </c>
      <c r="I3368" s="17">
        <f ca="1">IFERROR(__xludf.DUMMYFUNCTION("""COMPUTED_VALUE"""),45540)</f>
        <v>45540</v>
      </c>
      <c r="J3368" s="143" t="s">
        <v>12215</v>
      </c>
      <c r="K3368" s="80" t="s">
        <v>12216</v>
      </c>
      <c r="L3368" s="30">
        <v>366910271</v>
      </c>
      <c r="M3368" s="80" t="s">
        <v>80</v>
      </c>
      <c r="N3368" s="80" t="s">
        <v>1073</v>
      </c>
      <c r="O3368" s="80" t="s">
        <v>12217</v>
      </c>
      <c r="P3368" s="144" t="s">
        <v>12218</v>
      </c>
      <c r="Q3368" s="20">
        <v>1968</v>
      </c>
      <c r="R3368" s="80" t="s">
        <v>36</v>
      </c>
      <c r="S3368" s="95">
        <f>500+1468</f>
        <v>1968</v>
      </c>
      <c r="T3368" s="83" t="s">
        <v>12219</v>
      </c>
      <c r="U3368" s="77"/>
      <c r="V3368" s="78"/>
      <c r="W3368" s="85" t="s">
        <v>12220</v>
      </c>
      <c r="X3368" s="80">
        <v>0</v>
      </c>
      <c r="Y3368" s="22">
        <v>0</v>
      </c>
      <c r="Z3368" s="80" t="s">
        <v>50</v>
      </c>
      <c r="AA3368" s="35" t="s">
        <v>3291</v>
      </c>
      <c r="AB3368" s="80"/>
      <c r="AC3368" s="80" t="s">
        <v>53</v>
      </c>
      <c r="AD3368" s="80" t="s">
        <v>54</v>
      </c>
      <c r="AE3368" s="83">
        <v>0</v>
      </c>
      <c r="AF3368" s="17">
        <v>45540</v>
      </c>
      <c r="AG3368" s="26" t="s">
        <v>3399</v>
      </c>
      <c r="AH3368" s="80"/>
      <c r="AI3368" s="147" t="s">
        <v>84</v>
      </c>
      <c r="AJ3368" s="80"/>
      <c r="AK3368" s="80"/>
      <c r="AL3368" s="35"/>
      <c r="AM3368" s="35"/>
      <c r="AN3368" s="35"/>
      <c r="AO3368" s="35"/>
      <c r="AP3368" s="35"/>
    </row>
    <row r="3369" spans="1:42" x14ac:dyDescent="0.2">
      <c r="A3369" s="126">
        <v>45515.894625127316</v>
      </c>
      <c r="B3369" s="137" t="s">
        <v>37</v>
      </c>
      <c r="C3369" s="41" t="s">
        <v>118</v>
      </c>
      <c r="D3369" s="80" t="s">
        <v>36</v>
      </c>
      <c r="E3369" s="80" t="s">
        <v>119</v>
      </c>
      <c r="F3369" s="80" t="s">
        <v>36</v>
      </c>
      <c r="G3369" s="80" t="s">
        <v>108</v>
      </c>
      <c r="H3369" s="80" t="s">
        <v>450</v>
      </c>
      <c r="I3369" s="17">
        <f ca="1">IFERROR(__xludf.DUMMYFUNCTION("""COMPUTED_VALUE"""),45525)</f>
        <v>45525</v>
      </c>
      <c r="J3369" s="143" t="s">
        <v>12221</v>
      </c>
      <c r="K3369" s="80" t="s">
        <v>12222</v>
      </c>
      <c r="L3369" s="30">
        <v>917074259</v>
      </c>
      <c r="M3369" s="80" t="s">
        <v>3728</v>
      </c>
      <c r="N3369" s="80" t="s">
        <v>299</v>
      </c>
      <c r="O3369" s="80" t="s">
        <v>12223</v>
      </c>
      <c r="P3369" s="80" t="s">
        <v>12224</v>
      </c>
      <c r="Q3369" s="20">
        <v>13968</v>
      </c>
      <c r="R3369" s="80" t="s">
        <v>36</v>
      </c>
      <c r="S3369" s="95">
        <f>200+3800</f>
        <v>4000</v>
      </c>
      <c r="T3369" s="83" t="s">
        <v>12225</v>
      </c>
      <c r="U3369" s="95">
        <v>9968</v>
      </c>
      <c r="V3369" s="148">
        <v>45555</v>
      </c>
      <c r="W3369" s="85" t="s">
        <v>12226</v>
      </c>
      <c r="X3369" s="80">
        <v>0</v>
      </c>
      <c r="Y3369" s="22">
        <v>0</v>
      </c>
      <c r="Z3369" s="80" t="s">
        <v>50</v>
      </c>
      <c r="AA3369" s="96" t="s">
        <v>3291</v>
      </c>
      <c r="AB3369" s="26" t="s">
        <v>36</v>
      </c>
      <c r="AC3369" s="80" t="s">
        <v>53</v>
      </c>
      <c r="AD3369" s="80" t="s">
        <v>54</v>
      </c>
      <c r="AE3369" s="80"/>
      <c r="AF3369" s="17">
        <v>45521</v>
      </c>
      <c r="AG3369" s="80"/>
      <c r="AH3369" s="80"/>
      <c r="AI3369" s="147">
        <v>4</v>
      </c>
      <c r="AJ3369" s="80"/>
      <c r="AK3369" s="80"/>
      <c r="AL3369" s="35"/>
      <c r="AM3369" s="35"/>
      <c r="AN3369" s="35"/>
      <c r="AO3369" s="35"/>
      <c r="AP3369" s="35"/>
    </row>
    <row r="3370" spans="1:42" x14ac:dyDescent="0.2">
      <c r="A3370" s="126">
        <v>45516.320554872684</v>
      </c>
      <c r="B3370" s="137" t="s">
        <v>37</v>
      </c>
      <c r="C3370" s="41" t="s">
        <v>118</v>
      </c>
      <c r="D3370" s="80" t="s">
        <v>36</v>
      </c>
      <c r="E3370" s="80" t="s">
        <v>139</v>
      </c>
      <c r="F3370" s="80" t="s">
        <v>40</v>
      </c>
      <c r="G3370" s="80" t="s">
        <v>41</v>
      </c>
      <c r="H3370" s="80" t="s">
        <v>12049</v>
      </c>
      <c r="I3370" s="17">
        <f ca="1">IFERROR(__xludf.DUMMYFUNCTION("""COMPUTED_VALUE"""),45522)</f>
        <v>45522</v>
      </c>
      <c r="J3370" s="143" t="s">
        <v>12227</v>
      </c>
      <c r="K3370" s="80" t="s">
        <v>12228</v>
      </c>
      <c r="L3370" s="30">
        <v>968486556</v>
      </c>
      <c r="M3370" s="80" t="s">
        <v>123</v>
      </c>
      <c r="N3370" s="80" t="s">
        <v>186</v>
      </c>
      <c r="O3370" s="80" t="s">
        <v>4503</v>
      </c>
      <c r="P3370" s="80" t="s">
        <v>12229</v>
      </c>
      <c r="Q3370" s="20">
        <v>15936</v>
      </c>
      <c r="R3370" s="80" t="s">
        <v>70</v>
      </c>
      <c r="S3370" s="95">
        <v>2000</v>
      </c>
      <c r="T3370" s="148">
        <v>45514</v>
      </c>
      <c r="U3370" s="178">
        <v>13936</v>
      </c>
      <c r="V3370" s="169">
        <v>45553</v>
      </c>
      <c r="W3370" s="85" t="s">
        <v>12230</v>
      </c>
      <c r="X3370" s="80">
        <v>100</v>
      </c>
      <c r="Y3370" s="22">
        <v>-100</v>
      </c>
      <c r="Z3370" s="80" t="s">
        <v>50</v>
      </c>
      <c r="AA3370" s="35" t="s">
        <v>3291</v>
      </c>
      <c r="AB3370" s="80"/>
      <c r="AC3370" s="80" t="s">
        <v>53</v>
      </c>
      <c r="AD3370" s="80" t="s">
        <v>54</v>
      </c>
      <c r="AE3370" s="80"/>
      <c r="AF3370" s="17">
        <v>45517</v>
      </c>
      <c r="AG3370" s="80"/>
      <c r="AH3370" s="80"/>
      <c r="AI3370" s="147" t="s">
        <v>147</v>
      </c>
      <c r="AJ3370" s="80"/>
      <c r="AK3370" s="80"/>
      <c r="AL3370" s="35"/>
      <c r="AM3370" s="35"/>
      <c r="AN3370" s="35"/>
      <c r="AO3370" s="35"/>
      <c r="AP3370" s="35"/>
    </row>
    <row r="3371" spans="1:42" x14ac:dyDescent="0.2">
      <c r="A3371" s="126">
        <v>45516.321778275465</v>
      </c>
      <c r="B3371" s="137" t="s">
        <v>37</v>
      </c>
      <c r="C3371" s="41" t="s">
        <v>118</v>
      </c>
      <c r="D3371" s="80" t="s">
        <v>36</v>
      </c>
      <c r="E3371" s="80" t="s">
        <v>77</v>
      </c>
      <c r="F3371" s="80" t="s">
        <v>40</v>
      </c>
      <c r="G3371" s="80" t="s">
        <v>41</v>
      </c>
      <c r="H3371" s="80" t="s">
        <v>12049</v>
      </c>
      <c r="I3371" s="17">
        <f ca="1">IFERROR(__xludf.DUMMYFUNCTION("""COMPUTED_VALUE"""),45522)</f>
        <v>45522</v>
      </c>
      <c r="J3371" s="143" t="s">
        <v>12231</v>
      </c>
      <c r="K3371" s="80" t="s">
        <v>12232</v>
      </c>
      <c r="L3371" s="30">
        <v>973629811</v>
      </c>
      <c r="M3371" s="80" t="s">
        <v>123</v>
      </c>
      <c r="N3371" s="80" t="s">
        <v>186</v>
      </c>
      <c r="O3371" s="80" t="s">
        <v>4503</v>
      </c>
      <c r="P3371" s="80" t="s">
        <v>12233</v>
      </c>
      <c r="Q3371" s="20">
        <v>1968</v>
      </c>
      <c r="R3371" s="80" t="s">
        <v>36</v>
      </c>
      <c r="S3371" s="95">
        <v>2000</v>
      </c>
      <c r="T3371" s="148">
        <v>45514</v>
      </c>
      <c r="U3371" s="77"/>
      <c r="V3371" s="78"/>
      <c r="W3371" s="85" t="s">
        <v>12234</v>
      </c>
      <c r="X3371" s="80">
        <v>0</v>
      </c>
      <c r="Y3371" s="22">
        <v>-32</v>
      </c>
      <c r="Z3371" s="80" t="s">
        <v>50</v>
      </c>
      <c r="AA3371" s="96" t="s">
        <v>3291</v>
      </c>
      <c r="AB3371" s="80"/>
      <c r="AC3371" s="80" t="s">
        <v>53</v>
      </c>
      <c r="AD3371" s="80" t="s">
        <v>54</v>
      </c>
      <c r="AE3371" s="80"/>
      <c r="AF3371" s="17">
        <v>45517</v>
      </c>
      <c r="AG3371" s="80" t="s">
        <v>7078</v>
      </c>
      <c r="AH3371" s="80"/>
      <c r="AI3371" s="147" t="s">
        <v>84</v>
      </c>
      <c r="AJ3371" s="80"/>
      <c r="AK3371" s="80"/>
      <c r="AL3371" s="35"/>
      <c r="AM3371" s="35"/>
      <c r="AN3371" s="35"/>
      <c r="AO3371" s="35"/>
      <c r="AP3371" s="35"/>
    </row>
    <row r="3372" spans="1:42" x14ac:dyDescent="0.2">
      <c r="A3372" s="126">
        <v>45516.790229930557</v>
      </c>
      <c r="B3372" s="137" t="s">
        <v>37</v>
      </c>
      <c r="C3372" s="41" t="s">
        <v>118</v>
      </c>
      <c r="D3372" s="80" t="s">
        <v>36</v>
      </c>
      <c r="E3372" s="80" t="s">
        <v>77</v>
      </c>
      <c r="F3372" s="80" t="s">
        <v>40</v>
      </c>
      <c r="G3372" s="80" t="s">
        <v>41</v>
      </c>
      <c r="H3372" s="80" t="s">
        <v>12049</v>
      </c>
      <c r="I3372" s="17">
        <f ca="1">IFERROR(__xludf.DUMMYFUNCTION("""COMPUTED_VALUE"""),45522)</f>
        <v>45522</v>
      </c>
      <c r="J3372" s="143" t="s">
        <v>12235</v>
      </c>
      <c r="K3372" s="80" t="s">
        <v>12236</v>
      </c>
      <c r="L3372" s="30">
        <v>838600406</v>
      </c>
      <c r="M3372" s="80" t="s">
        <v>123</v>
      </c>
      <c r="N3372" s="80" t="s">
        <v>327</v>
      </c>
      <c r="O3372" s="80" t="s">
        <v>4503</v>
      </c>
      <c r="P3372" s="137" t="s">
        <v>12237</v>
      </c>
      <c r="Q3372" s="20">
        <v>1968</v>
      </c>
      <c r="R3372" s="80" t="s">
        <v>36</v>
      </c>
      <c r="S3372" s="95">
        <v>2000</v>
      </c>
      <c r="T3372" s="148">
        <v>45516</v>
      </c>
      <c r="U3372" s="77"/>
      <c r="V3372" s="78"/>
      <c r="W3372" s="85" t="s">
        <v>12238</v>
      </c>
      <c r="X3372" s="80">
        <v>0</v>
      </c>
      <c r="Y3372" s="22">
        <v>-32</v>
      </c>
      <c r="Z3372" s="80" t="s">
        <v>50</v>
      </c>
      <c r="AA3372" s="35" t="s">
        <v>3291</v>
      </c>
      <c r="AB3372" s="80" t="s">
        <v>4503</v>
      </c>
      <c r="AC3372" s="80" t="s">
        <v>53</v>
      </c>
      <c r="AD3372" s="80" t="s">
        <v>54</v>
      </c>
      <c r="AE3372" s="80"/>
      <c r="AF3372" s="17">
        <v>45517</v>
      </c>
      <c r="AG3372" s="80" t="s">
        <v>7078</v>
      </c>
      <c r="AH3372" s="80"/>
      <c r="AI3372" s="147" t="s">
        <v>84</v>
      </c>
      <c r="AJ3372" s="80"/>
      <c r="AK3372" s="80"/>
      <c r="AL3372" s="35"/>
      <c r="AM3372" s="35"/>
      <c r="AN3372" s="35"/>
      <c r="AO3372" s="35"/>
      <c r="AP3372" s="35"/>
    </row>
    <row r="3373" spans="1:42" x14ac:dyDescent="0.2">
      <c r="A3373" s="126">
        <v>45516.808828287038</v>
      </c>
      <c r="B3373" s="137" t="s">
        <v>37</v>
      </c>
      <c r="C3373" s="41" t="s">
        <v>118</v>
      </c>
      <c r="D3373" s="80" t="s">
        <v>36</v>
      </c>
      <c r="E3373" s="80" t="s">
        <v>139</v>
      </c>
      <c r="F3373" s="26" t="s">
        <v>36</v>
      </c>
      <c r="G3373" s="26" t="s">
        <v>41</v>
      </c>
      <c r="H3373" s="80" t="s">
        <v>5666</v>
      </c>
      <c r="I3373" s="17">
        <f ca="1">IFERROR(__xludf.DUMMYFUNCTION("""COMPUTED_VALUE"""),45540)</f>
        <v>45540</v>
      </c>
      <c r="J3373" s="143" t="s">
        <v>12239</v>
      </c>
      <c r="K3373" s="80" t="s">
        <v>3582</v>
      </c>
      <c r="L3373" s="30">
        <v>389757283</v>
      </c>
      <c r="M3373" s="80" t="s">
        <v>5518</v>
      </c>
      <c r="N3373" s="80" t="s">
        <v>12240</v>
      </c>
      <c r="O3373" s="80" t="s">
        <v>12241</v>
      </c>
      <c r="P3373" s="80" t="s">
        <v>5590</v>
      </c>
      <c r="Q3373" s="20">
        <v>15936</v>
      </c>
      <c r="R3373" s="80" t="s">
        <v>36</v>
      </c>
      <c r="S3373" s="95">
        <v>2000</v>
      </c>
      <c r="T3373" s="148">
        <v>45516</v>
      </c>
      <c r="U3373" s="178">
        <v>13936</v>
      </c>
      <c r="V3373" s="148">
        <v>45555</v>
      </c>
      <c r="W3373" s="85" t="s">
        <v>12242</v>
      </c>
      <c r="X3373" s="80">
        <v>0</v>
      </c>
      <c r="Y3373" s="22">
        <v>0</v>
      </c>
      <c r="Z3373" s="80" t="s">
        <v>50</v>
      </c>
      <c r="AA3373" s="96" t="s">
        <v>3291</v>
      </c>
      <c r="AB3373" s="80"/>
      <c r="AC3373" s="80" t="s">
        <v>53</v>
      </c>
      <c r="AD3373" s="80" t="s">
        <v>138</v>
      </c>
      <c r="AE3373" s="80"/>
      <c r="AF3373" s="17">
        <v>45540</v>
      </c>
      <c r="AG3373" s="26" t="s">
        <v>3399</v>
      </c>
      <c r="AH3373" s="80"/>
      <c r="AI3373" s="147" t="s">
        <v>147</v>
      </c>
      <c r="AJ3373" s="80"/>
      <c r="AK3373" s="80"/>
      <c r="AL3373" s="35"/>
      <c r="AM3373" s="35"/>
      <c r="AN3373" s="35"/>
      <c r="AO3373" s="35"/>
      <c r="AP3373" s="35"/>
    </row>
    <row r="3374" spans="1:42" x14ac:dyDescent="0.2">
      <c r="A3374" s="126">
        <v>45516.870430706018</v>
      </c>
      <c r="B3374" s="137" t="s">
        <v>37</v>
      </c>
      <c r="C3374" s="41" t="s">
        <v>118</v>
      </c>
      <c r="D3374" s="80" t="s">
        <v>36</v>
      </c>
      <c r="E3374" s="80" t="s">
        <v>139</v>
      </c>
      <c r="F3374" s="80" t="s">
        <v>40</v>
      </c>
      <c r="G3374" s="80" t="s">
        <v>41</v>
      </c>
      <c r="H3374" s="80" t="s">
        <v>11144</v>
      </c>
      <c r="I3374" s="17">
        <f ca="1">IFERROR(__xludf.DUMMYFUNCTION("""COMPUTED_VALUE"""),45523)</f>
        <v>45523</v>
      </c>
      <c r="J3374" s="143" t="s">
        <v>12243</v>
      </c>
      <c r="K3374" s="80" t="s">
        <v>12244</v>
      </c>
      <c r="L3374" s="30">
        <v>941448518</v>
      </c>
      <c r="M3374" s="80" t="s">
        <v>123</v>
      </c>
      <c r="N3374" s="80" t="s">
        <v>327</v>
      </c>
      <c r="O3374" s="80" t="s">
        <v>4503</v>
      </c>
      <c r="P3374" s="80" t="s">
        <v>12245</v>
      </c>
      <c r="Q3374" s="20">
        <v>15936</v>
      </c>
      <c r="R3374" s="80" t="s">
        <v>36</v>
      </c>
      <c r="S3374" s="95">
        <v>2000</v>
      </c>
      <c r="T3374" s="148">
        <v>45516</v>
      </c>
      <c r="U3374" s="95">
        <v>13936</v>
      </c>
      <c r="V3374" s="148">
        <v>45551</v>
      </c>
      <c r="W3374" s="85" t="s">
        <v>12246</v>
      </c>
      <c r="X3374" s="80">
        <v>0</v>
      </c>
      <c r="Y3374" s="22">
        <v>0</v>
      </c>
      <c r="Z3374" s="80" t="s">
        <v>50</v>
      </c>
      <c r="AA3374" s="35" t="s">
        <v>3291</v>
      </c>
      <c r="AB3374" s="80"/>
      <c r="AC3374" s="80" t="s">
        <v>53</v>
      </c>
      <c r="AD3374" s="80" t="s">
        <v>54</v>
      </c>
      <c r="AE3374" s="80"/>
      <c r="AF3374" s="17">
        <v>45517</v>
      </c>
      <c r="AG3374" s="80"/>
      <c r="AH3374" s="80"/>
      <c r="AI3374" s="147" t="s">
        <v>147</v>
      </c>
      <c r="AJ3374" s="80"/>
      <c r="AK3374" s="80"/>
      <c r="AL3374" s="35"/>
      <c r="AM3374" s="35"/>
      <c r="AN3374" s="35"/>
      <c r="AO3374" s="35"/>
      <c r="AP3374" s="35"/>
    </row>
    <row r="3375" spans="1:42" x14ac:dyDescent="0.2">
      <c r="A3375" s="126">
        <v>45517.859086006945</v>
      </c>
      <c r="B3375" s="137" t="s">
        <v>37</v>
      </c>
      <c r="C3375" s="41" t="s">
        <v>118</v>
      </c>
      <c r="D3375" s="80" t="s">
        <v>36</v>
      </c>
      <c r="E3375" s="80" t="s">
        <v>139</v>
      </c>
      <c r="F3375" s="80" t="s">
        <v>36</v>
      </c>
      <c r="G3375" s="80" t="s">
        <v>41</v>
      </c>
      <c r="H3375" s="80" t="s">
        <v>11446</v>
      </c>
      <c r="I3375" s="17">
        <f ca="1">IFERROR(__xludf.DUMMYFUNCTION("""COMPUTED_VALUE"""),45527)</f>
        <v>45527</v>
      </c>
      <c r="J3375" s="143" t="s">
        <v>12247</v>
      </c>
      <c r="K3375" s="80" t="s">
        <v>12248</v>
      </c>
      <c r="L3375" s="30">
        <v>822188005</v>
      </c>
      <c r="M3375" s="80" t="s">
        <v>123</v>
      </c>
      <c r="N3375" s="80" t="s">
        <v>327</v>
      </c>
      <c r="O3375" s="80" t="s">
        <v>4503</v>
      </c>
      <c r="P3375" s="80" t="s">
        <v>12249</v>
      </c>
      <c r="Q3375" s="20">
        <v>15936</v>
      </c>
      <c r="R3375" s="80" t="s">
        <v>36</v>
      </c>
      <c r="S3375" s="95">
        <v>2000</v>
      </c>
      <c r="T3375" s="148">
        <v>45516</v>
      </c>
      <c r="U3375" s="95">
        <v>13936</v>
      </c>
      <c r="V3375" s="148">
        <v>45537</v>
      </c>
      <c r="W3375" s="85" t="s">
        <v>12250</v>
      </c>
      <c r="X3375" s="80">
        <v>0</v>
      </c>
      <c r="Y3375" s="22">
        <v>0</v>
      </c>
      <c r="Z3375" s="80" t="s">
        <v>50</v>
      </c>
      <c r="AA3375" s="96" t="s">
        <v>3291</v>
      </c>
      <c r="AB3375" s="80"/>
      <c r="AC3375" s="80" t="s">
        <v>53</v>
      </c>
      <c r="AD3375" s="80" t="s">
        <v>54</v>
      </c>
      <c r="AE3375" s="80"/>
      <c r="AF3375" s="17">
        <v>45520</v>
      </c>
      <c r="AG3375" s="80"/>
      <c r="AH3375" s="80"/>
      <c r="AI3375" s="147" t="s">
        <v>147</v>
      </c>
      <c r="AJ3375" s="80"/>
      <c r="AK3375" s="80"/>
      <c r="AL3375" s="35"/>
      <c r="AM3375" s="35"/>
      <c r="AN3375" s="35"/>
      <c r="AO3375" s="35"/>
      <c r="AP3375" s="35"/>
    </row>
    <row r="3376" spans="1:42" x14ac:dyDescent="0.2">
      <c r="A3376" s="126">
        <v>45518.323928472222</v>
      </c>
      <c r="B3376" s="137" t="s">
        <v>37</v>
      </c>
      <c r="C3376" s="41" t="s">
        <v>118</v>
      </c>
      <c r="D3376" s="80" t="s">
        <v>36</v>
      </c>
      <c r="E3376" s="80" t="s">
        <v>119</v>
      </c>
      <c r="F3376" s="80" t="s">
        <v>36</v>
      </c>
      <c r="G3376" s="80" t="s">
        <v>108</v>
      </c>
      <c r="H3376" s="80" t="s">
        <v>8662</v>
      </c>
      <c r="I3376" s="17">
        <f ca="1">IFERROR(__xludf.DUMMYFUNCTION("""COMPUTED_VALUE"""),45524)</f>
        <v>45524</v>
      </c>
      <c r="J3376" s="143" t="s">
        <v>12251</v>
      </c>
      <c r="K3376" s="80" t="s">
        <v>12252</v>
      </c>
      <c r="L3376" s="30">
        <v>899927444</v>
      </c>
      <c r="M3376" s="80" t="s">
        <v>123</v>
      </c>
      <c r="N3376" s="80" t="s">
        <v>327</v>
      </c>
      <c r="O3376" s="80" t="s">
        <v>4503</v>
      </c>
      <c r="P3376" s="80" t="s">
        <v>12253</v>
      </c>
      <c r="Q3376" s="20">
        <v>13968</v>
      </c>
      <c r="R3376" s="80" t="s">
        <v>36</v>
      </c>
      <c r="S3376" s="95">
        <f>200+2000+1800</f>
        <v>4000</v>
      </c>
      <c r="T3376" s="83" t="s">
        <v>12254</v>
      </c>
      <c r="U3376" s="95">
        <v>9968</v>
      </c>
      <c r="V3376" s="148">
        <v>45551</v>
      </c>
      <c r="W3376" s="80" t="s">
        <v>12255</v>
      </c>
      <c r="X3376" s="80">
        <v>0</v>
      </c>
      <c r="Y3376" s="22">
        <v>0</v>
      </c>
      <c r="Z3376" s="80" t="s">
        <v>50</v>
      </c>
      <c r="AA3376" s="35" t="s">
        <v>3291</v>
      </c>
      <c r="AB3376" s="80"/>
      <c r="AC3376" s="80" t="s">
        <v>53</v>
      </c>
      <c r="AD3376" s="80" t="s">
        <v>54</v>
      </c>
      <c r="AE3376" s="80">
        <v>400</v>
      </c>
      <c r="AF3376" s="17">
        <v>45520</v>
      </c>
      <c r="AG3376" s="80"/>
      <c r="AH3376" s="80"/>
      <c r="AI3376" s="147">
        <v>4</v>
      </c>
      <c r="AJ3376" s="80"/>
      <c r="AK3376" s="80"/>
      <c r="AL3376" s="35"/>
      <c r="AM3376" s="35"/>
      <c r="AN3376" s="35"/>
      <c r="AO3376" s="35"/>
      <c r="AP3376" s="35"/>
    </row>
    <row r="3377" spans="1:42" x14ac:dyDescent="0.2">
      <c r="A3377" s="126">
        <v>45518.327370879633</v>
      </c>
      <c r="B3377" s="137" t="s">
        <v>37</v>
      </c>
      <c r="C3377" s="41" t="s">
        <v>118</v>
      </c>
      <c r="D3377" s="80" t="s">
        <v>36</v>
      </c>
      <c r="E3377" s="80" t="s">
        <v>77</v>
      </c>
      <c r="F3377" s="80" t="s">
        <v>36</v>
      </c>
      <c r="G3377" s="80" t="s">
        <v>41</v>
      </c>
      <c r="H3377" s="80" t="s">
        <v>11144</v>
      </c>
      <c r="I3377" s="17">
        <f ca="1">IFERROR(__xludf.DUMMYFUNCTION("""COMPUTED_VALUE"""),45523)</f>
        <v>45523</v>
      </c>
      <c r="J3377" s="143" t="s">
        <v>12256</v>
      </c>
      <c r="K3377" s="80" t="s">
        <v>12257</v>
      </c>
      <c r="L3377" s="30">
        <v>327532319</v>
      </c>
      <c r="M3377" s="80" t="s">
        <v>123</v>
      </c>
      <c r="N3377" s="80" t="s">
        <v>186</v>
      </c>
      <c r="O3377" s="80" t="s">
        <v>4503</v>
      </c>
      <c r="P3377" s="80" t="s">
        <v>12258</v>
      </c>
      <c r="Q3377" s="20">
        <v>1968</v>
      </c>
      <c r="R3377" s="80" t="s">
        <v>36</v>
      </c>
      <c r="S3377" s="95">
        <v>2000</v>
      </c>
      <c r="T3377" s="148">
        <v>45517</v>
      </c>
      <c r="U3377" s="77"/>
      <c r="V3377" s="78"/>
      <c r="W3377" s="85" t="s">
        <v>12259</v>
      </c>
      <c r="X3377" s="80">
        <v>0</v>
      </c>
      <c r="Y3377" s="22">
        <v>-32</v>
      </c>
      <c r="Z3377" s="80" t="s">
        <v>50</v>
      </c>
      <c r="AA3377" s="96" t="s">
        <v>3291</v>
      </c>
      <c r="AB3377" s="80"/>
      <c r="AC3377" s="80" t="s">
        <v>53</v>
      </c>
      <c r="AD3377" s="80" t="s">
        <v>54</v>
      </c>
      <c r="AE3377" s="80"/>
      <c r="AF3377" s="17">
        <v>45519</v>
      </c>
      <c r="AG3377" s="80" t="s">
        <v>7078</v>
      </c>
      <c r="AH3377" s="80"/>
      <c r="AI3377" s="147" t="s">
        <v>84</v>
      </c>
      <c r="AJ3377" s="80"/>
      <c r="AK3377" s="80"/>
      <c r="AL3377" s="35"/>
      <c r="AM3377" s="35"/>
      <c r="AN3377" s="35"/>
      <c r="AO3377" s="35"/>
      <c r="AP3377" s="35"/>
    </row>
    <row r="3378" spans="1:42" x14ac:dyDescent="0.2">
      <c r="A3378" s="126">
        <v>45518.328699930556</v>
      </c>
      <c r="B3378" s="137" t="s">
        <v>37</v>
      </c>
      <c r="C3378" s="41" t="s">
        <v>118</v>
      </c>
      <c r="D3378" s="80" t="s">
        <v>36</v>
      </c>
      <c r="E3378" s="80" t="s">
        <v>77</v>
      </c>
      <c r="F3378" s="80" t="s">
        <v>36</v>
      </c>
      <c r="G3378" s="80" t="s">
        <v>41</v>
      </c>
      <c r="H3378" s="80" t="s">
        <v>11144</v>
      </c>
      <c r="I3378" s="17">
        <f ca="1">IFERROR(__xludf.DUMMYFUNCTION("""COMPUTED_VALUE"""),45523)</f>
        <v>45523</v>
      </c>
      <c r="J3378" s="143" t="s">
        <v>12260</v>
      </c>
      <c r="K3378" s="80" t="s">
        <v>12261</v>
      </c>
      <c r="L3378" s="30">
        <v>971398423</v>
      </c>
      <c r="M3378" s="80" t="s">
        <v>123</v>
      </c>
      <c r="N3378" s="80" t="s">
        <v>327</v>
      </c>
      <c r="O3378" s="80" t="s">
        <v>4503</v>
      </c>
      <c r="P3378" s="80" t="s">
        <v>12262</v>
      </c>
      <c r="Q3378" s="20">
        <v>1968</v>
      </c>
      <c r="R3378" s="80" t="s">
        <v>36</v>
      </c>
      <c r="S3378" s="95">
        <v>2000</v>
      </c>
      <c r="T3378" s="148">
        <v>45517</v>
      </c>
      <c r="U3378" s="77"/>
      <c r="V3378" s="78"/>
      <c r="W3378" s="85" t="s">
        <v>12263</v>
      </c>
      <c r="X3378" s="80">
        <v>0</v>
      </c>
      <c r="Y3378" s="22">
        <v>-32</v>
      </c>
      <c r="Z3378" s="80" t="s">
        <v>50</v>
      </c>
      <c r="AA3378" s="35" t="s">
        <v>3291</v>
      </c>
      <c r="AB3378" s="80"/>
      <c r="AC3378" s="80" t="s">
        <v>53</v>
      </c>
      <c r="AD3378" s="80" t="s">
        <v>54</v>
      </c>
      <c r="AE3378" s="80"/>
      <c r="AF3378" s="17">
        <v>45519</v>
      </c>
      <c r="AG3378" s="80" t="s">
        <v>7078</v>
      </c>
      <c r="AH3378" s="80"/>
      <c r="AI3378" s="147" t="s">
        <v>84</v>
      </c>
      <c r="AJ3378" s="80"/>
      <c r="AK3378" s="80"/>
      <c r="AL3378" s="35"/>
      <c r="AM3378" s="35"/>
      <c r="AN3378" s="35"/>
      <c r="AO3378" s="35"/>
      <c r="AP3378" s="35"/>
    </row>
    <row r="3379" spans="1:42" x14ac:dyDescent="0.2">
      <c r="A3379" s="126">
        <v>45518.61043100695</v>
      </c>
      <c r="B3379" s="137" t="s">
        <v>37</v>
      </c>
      <c r="C3379" s="41" t="s">
        <v>118</v>
      </c>
      <c r="D3379" s="80" t="s">
        <v>36</v>
      </c>
      <c r="E3379" s="80" t="s">
        <v>139</v>
      </c>
      <c r="F3379" s="26" t="s">
        <v>36</v>
      </c>
      <c r="G3379" s="26" t="s">
        <v>41</v>
      </c>
      <c r="H3379" s="80" t="s">
        <v>5666</v>
      </c>
      <c r="I3379" s="17">
        <f ca="1">IFERROR(__xludf.DUMMYFUNCTION("""COMPUTED_VALUE"""),45540)</f>
        <v>45540</v>
      </c>
      <c r="J3379" s="143" t="s">
        <v>12264</v>
      </c>
      <c r="K3379" s="80" t="s">
        <v>12265</v>
      </c>
      <c r="L3379" s="30">
        <v>355930816</v>
      </c>
      <c r="M3379" s="80" t="s">
        <v>5429</v>
      </c>
      <c r="N3379" s="80" t="s">
        <v>756</v>
      </c>
      <c r="O3379" s="80" t="s">
        <v>61</v>
      </c>
      <c r="P3379" s="80" t="s">
        <v>6368</v>
      </c>
      <c r="Q3379" s="20">
        <v>15936</v>
      </c>
      <c r="R3379" s="80" t="s">
        <v>36</v>
      </c>
      <c r="S3379" s="95">
        <v>2000</v>
      </c>
      <c r="T3379" s="148">
        <v>45518</v>
      </c>
      <c r="U3379" s="95">
        <v>13936</v>
      </c>
      <c r="V3379" s="148">
        <v>45554</v>
      </c>
      <c r="W3379" s="85" t="s">
        <v>12266</v>
      </c>
      <c r="X3379" s="80">
        <v>0</v>
      </c>
      <c r="Y3379" s="22">
        <v>0</v>
      </c>
      <c r="Z3379" s="80" t="s">
        <v>50</v>
      </c>
      <c r="AA3379" s="96" t="s">
        <v>3291</v>
      </c>
      <c r="AB3379" s="80"/>
      <c r="AC3379" s="80" t="s">
        <v>53</v>
      </c>
      <c r="AD3379" s="80" t="s">
        <v>138</v>
      </c>
      <c r="AE3379" s="80" t="s">
        <v>72</v>
      </c>
      <c r="AF3379" s="17">
        <v>45540</v>
      </c>
      <c r="AG3379" s="26" t="s">
        <v>3399</v>
      </c>
      <c r="AH3379" s="80"/>
      <c r="AI3379" s="147" t="s">
        <v>147</v>
      </c>
      <c r="AJ3379" s="80"/>
      <c r="AK3379" s="80"/>
      <c r="AL3379" s="35"/>
      <c r="AM3379" s="35"/>
      <c r="AN3379" s="35"/>
      <c r="AO3379" s="35"/>
      <c r="AP3379" s="35"/>
    </row>
    <row r="3380" spans="1:42" x14ac:dyDescent="0.2">
      <c r="A3380" s="126">
        <v>45518.952471122684</v>
      </c>
      <c r="B3380" s="137" t="s">
        <v>37</v>
      </c>
      <c r="C3380" s="41" t="s">
        <v>118</v>
      </c>
      <c r="D3380" s="80" t="s">
        <v>36</v>
      </c>
      <c r="E3380" s="80" t="s">
        <v>139</v>
      </c>
      <c r="F3380" s="80" t="s">
        <v>36</v>
      </c>
      <c r="G3380" s="80" t="s">
        <v>41</v>
      </c>
      <c r="H3380" s="80" t="s">
        <v>11211</v>
      </c>
      <c r="I3380" s="17">
        <f ca="1">IFERROR(__xludf.DUMMYFUNCTION("""COMPUTED_VALUE"""),45519)</f>
        <v>45519</v>
      </c>
      <c r="J3380" s="143" t="s">
        <v>12267</v>
      </c>
      <c r="K3380" s="80" t="s">
        <v>12268</v>
      </c>
      <c r="L3380" s="30">
        <v>357195698</v>
      </c>
      <c r="M3380" s="80" t="s">
        <v>2755</v>
      </c>
      <c r="N3380" s="80" t="s">
        <v>2756</v>
      </c>
      <c r="O3380" s="80" t="s">
        <v>4503</v>
      </c>
      <c r="P3380" s="80" t="s">
        <v>12269</v>
      </c>
      <c r="Q3380" s="20">
        <v>15936</v>
      </c>
      <c r="R3380" s="80" t="s">
        <v>36</v>
      </c>
      <c r="S3380" s="95">
        <v>3000</v>
      </c>
      <c r="T3380" s="148">
        <v>45518</v>
      </c>
      <c r="U3380" s="95">
        <v>12936</v>
      </c>
      <c r="V3380" s="148">
        <v>45552</v>
      </c>
      <c r="W3380" s="85" t="s">
        <v>12270</v>
      </c>
      <c r="X3380" s="80">
        <v>0</v>
      </c>
      <c r="Y3380" s="22">
        <v>0</v>
      </c>
      <c r="Z3380" s="80" t="s">
        <v>50</v>
      </c>
      <c r="AA3380" s="35" t="s">
        <v>3291</v>
      </c>
      <c r="AB3380" s="80"/>
      <c r="AC3380" s="80" t="s">
        <v>53</v>
      </c>
      <c r="AD3380" s="80" t="s">
        <v>54</v>
      </c>
      <c r="AE3380" s="80"/>
      <c r="AF3380" s="17">
        <v>45519</v>
      </c>
      <c r="AG3380" s="80"/>
      <c r="AH3380" s="80"/>
      <c r="AI3380" s="147" t="s">
        <v>147</v>
      </c>
      <c r="AJ3380" s="80"/>
      <c r="AK3380" s="80"/>
      <c r="AL3380" s="35"/>
      <c r="AM3380" s="35"/>
      <c r="AN3380" s="35"/>
      <c r="AO3380" s="35"/>
      <c r="AP3380" s="35"/>
    </row>
    <row r="3381" spans="1:42" x14ac:dyDescent="0.2">
      <c r="A3381" s="126">
        <v>45519.521126527776</v>
      </c>
      <c r="B3381" s="137" t="s">
        <v>37</v>
      </c>
      <c r="C3381" s="41" t="s">
        <v>118</v>
      </c>
      <c r="D3381" s="80" t="s">
        <v>36</v>
      </c>
      <c r="E3381" s="80" t="s">
        <v>139</v>
      </c>
      <c r="F3381" s="80" t="s">
        <v>36</v>
      </c>
      <c r="G3381" s="80" t="s">
        <v>41</v>
      </c>
      <c r="H3381" s="80" t="s">
        <v>11428</v>
      </c>
      <c r="I3381" s="17">
        <f ca="1">IFERROR(__xludf.DUMMYFUNCTION("""COMPUTED_VALUE"""),45527)</f>
        <v>45527</v>
      </c>
      <c r="J3381" s="172" t="s">
        <v>12271</v>
      </c>
      <c r="K3381" s="80" t="s">
        <v>5482</v>
      </c>
      <c r="L3381" s="30">
        <v>372502534</v>
      </c>
      <c r="M3381" s="80" t="s">
        <v>5429</v>
      </c>
      <c r="N3381" s="80" t="s">
        <v>1384</v>
      </c>
      <c r="O3381" s="80" t="s">
        <v>12272</v>
      </c>
      <c r="P3381" s="80" t="s">
        <v>12273</v>
      </c>
      <c r="Q3381" s="20">
        <v>15936</v>
      </c>
      <c r="R3381" s="80" t="s">
        <v>36</v>
      </c>
      <c r="S3381" s="95">
        <v>2000</v>
      </c>
      <c r="T3381" s="148">
        <v>45519</v>
      </c>
      <c r="U3381" s="95">
        <v>13936</v>
      </c>
      <c r="V3381" s="148">
        <v>45553</v>
      </c>
      <c r="W3381" s="85" t="s">
        <v>12274</v>
      </c>
      <c r="X3381" s="80">
        <v>0</v>
      </c>
      <c r="Y3381" s="22">
        <v>0</v>
      </c>
      <c r="Z3381" s="80" t="s">
        <v>50</v>
      </c>
      <c r="AA3381" s="96" t="s">
        <v>3291</v>
      </c>
      <c r="AB3381" s="80"/>
      <c r="AC3381" s="80" t="s">
        <v>53</v>
      </c>
      <c r="AD3381" s="80" t="s">
        <v>54</v>
      </c>
      <c r="AE3381" s="80" t="s">
        <v>72</v>
      </c>
      <c r="AF3381" s="17">
        <v>45520</v>
      </c>
      <c r="AG3381" s="80"/>
      <c r="AH3381" s="80"/>
      <c r="AI3381" s="147" t="s">
        <v>147</v>
      </c>
      <c r="AJ3381" s="80"/>
      <c r="AK3381" s="80"/>
      <c r="AL3381" s="35"/>
      <c r="AM3381" s="35"/>
      <c r="AN3381" s="35"/>
      <c r="AO3381" s="35"/>
      <c r="AP3381" s="35"/>
    </row>
    <row r="3382" spans="1:42" x14ac:dyDescent="0.2">
      <c r="A3382" s="126">
        <v>45519.871155983798</v>
      </c>
      <c r="B3382" s="137" t="s">
        <v>37</v>
      </c>
      <c r="C3382" s="41" t="s">
        <v>118</v>
      </c>
      <c r="D3382" s="80" t="s">
        <v>36</v>
      </c>
      <c r="E3382" s="80" t="s">
        <v>56</v>
      </c>
      <c r="F3382" s="80" t="s">
        <v>36</v>
      </c>
      <c r="G3382" s="80" t="s">
        <v>41</v>
      </c>
      <c r="H3382" s="80" t="s">
        <v>11144</v>
      </c>
      <c r="I3382" s="17">
        <f ca="1">IFERROR(__xludf.DUMMYFUNCTION("""COMPUTED_VALUE"""),45523)</f>
        <v>45523</v>
      </c>
      <c r="J3382" s="143" t="s">
        <v>12275</v>
      </c>
      <c r="K3382" s="80" t="s">
        <v>12276</v>
      </c>
      <c r="L3382" s="30">
        <v>357950973</v>
      </c>
      <c r="M3382" s="80" t="s">
        <v>910</v>
      </c>
      <c r="N3382" s="80" t="s">
        <v>3525</v>
      </c>
      <c r="O3382" s="80" t="s">
        <v>91</v>
      </c>
      <c r="P3382" s="80" t="s">
        <v>12277</v>
      </c>
      <c r="Q3382" s="20">
        <v>9317</v>
      </c>
      <c r="R3382" s="80" t="s">
        <v>36</v>
      </c>
      <c r="S3382" s="95">
        <v>2000</v>
      </c>
      <c r="T3382" s="148">
        <v>45519</v>
      </c>
      <c r="U3382" s="95">
        <v>7317</v>
      </c>
      <c r="V3382" s="148">
        <v>45545</v>
      </c>
      <c r="W3382" s="85" t="s">
        <v>12278</v>
      </c>
      <c r="X3382" s="80">
        <v>0</v>
      </c>
      <c r="Y3382" s="22">
        <v>0</v>
      </c>
      <c r="Z3382" s="80" t="s">
        <v>50</v>
      </c>
      <c r="AA3382" s="35" t="s">
        <v>3291</v>
      </c>
      <c r="AB3382" s="80"/>
      <c r="AC3382" s="80" t="s">
        <v>53</v>
      </c>
      <c r="AD3382" s="80" t="s">
        <v>54</v>
      </c>
      <c r="AE3382" s="80"/>
      <c r="AF3382" s="17">
        <v>45520</v>
      </c>
      <c r="AG3382" s="80"/>
      <c r="AH3382" s="80"/>
      <c r="AI3382" s="147" t="s">
        <v>64</v>
      </c>
      <c r="AJ3382" s="80"/>
      <c r="AK3382" s="80"/>
      <c r="AL3382" s="35"/>
      <c r="AM3382" s="35"/>
      <c r="AN3382" s="35"/>
      <c r="AO3382" s="35"/>
      <c r="AP3382" s="35"/>
    </row>
    <row r="3383" spans="1:42" x14ac:dyDescent="0.2">
      <c r="A3383" s="126">
        <v>45521.512126064816</v>
      </c>
      <c r="B3383" s="137" t="s">
        <v>37</v>
      </c>
      <c r="C3383" s="41" t="s">
        <v>118</v>
      </c>
      <c r="D3383" s="80" t="s">
        <v>36</v>
      </c>
      <c r="E3383" s="80" t="s">
        <v>119</v>
      </c>
      <c r="F3383" s="80" t="s">
        <v>36</v>
      </c>
      <c r="G3383" s="80" t="s">
        <v>108</v>
      </c>
      <c r="H3383" s="80" t="s">
        <v>9856</v>
      </c>
      <c r="I3383" s="17">
        <f ca="1">IFERROR(__xludf.DUMMYFUNCTION("""COMPUTED_VALUE"""),45532)</f>
        <v>45532</v>
      </c>
      <c r="J3383" s="143" t="s">
        <v>12279</v>
      </c>
      <c r="K3383" s="145" t="s">
        <v>12280</v>
      </c>
      <c r="L3383" s="30">
        <v>395945508</v>
      </c>
      <c r="M3383" s="80" t="s">
        <v>80</v>
      </c>
      <c r="N3383" s="80" t="s">
        <v>466</v>
      </c>
      <c r="O3383" s="80" t="s">
        <v>12281</v>
      </c>
      <c r="P3383" s="80" t="s">
        <v>12282</v>
      </c>
      <c r="Q3383" s="20">
        <v>13968</v>
      </c>
      <c r="R3383" s="80" t="s">
        <v>36</v>
      </c>
      <c r="S3383" s="95">
        <f>200+3800</f>
        <v>4000</v>
      </c>
      <c r="T3383" s="83" t="s">
        <v>12283</v>
      </c>
      <c r="U3383" s="95">
        <v>9968</v>
      </c>
      <c r="V3383" s="148">
        <v>45562</v>
      </c>
      <c r="W3383" s="85" t="s">
        <v>12284</v>
      </c>
      <c r="X3383" s="26">
        <v>0</v>
      </c>
      <c r="Y3383" s="22">
        <v>0</v>
      </c>
      <c r="Z3383" s="26" t="s">
        <v>50</v>
      </c>
      <c r="AA3383" s="96" t="s">
        <v>3291</v>
      </c>
      <c r="AB3383" s="26"/>
      <c r="AC3383" s="26" t="s">
        <v>53</v>
      </c>
      <c r="AD3383" s="26" t="s">
        <v>54</v>
      </c>
      <c r="AE3383" s="26"/>
      <c r="AF3383" s="17">
        <v>45531</v>
      </c>
      <c r="AG3383" s="26"/>
      <c r="AH3383" s="26"/>
      <c r="AI3383" s="40">
        <v>4</v>
      </c>
      <c r="AJ3383" s="26"/>
      <c r="AK3383" s="26"/>
      <c r="AL3383" s="35"/>
      <c r="AM3383" s="35"/>
      <c r="AN3383" s="35"/>
      <c r="AO3383" s="35"/>
      <c r="AP3383" s="35"/>
    </row>
    <row r="3384" spans="1:42" x14ac:dyDescent="0.2">
      <c r="A3384" s="126">
        <v>45521.6953775</v>
      </c>
      <c r="B3384" s="137" t="s">
        <v>37</v>
      </c>
      <c r="C3384" s="41" t="s">
        <v>118</v>
      </c>
      <c r="D3384" s="80" t="s">
        <v>36</v>
      </c>
      <c r="E3384" s="80" t="s">
        <v>77</v>
      </c>
      <c r="F3384" s="80" t="s">
        <v>36</v>
      </c>
      <c r="G3384" s="80" t="s">
        <v>41</v>
      </c>
      <c r="H3384" s="80" t="s">
        <v>12049</v>
      </c>
      <c r="I3384" s="17">
        <f ca="1">IFERROR(__xludf.DUMMYFUNCTION("""COMPUTED_VALUE"""),45522)</f>
        <v>45522</v>
      </c>
      <c r="J3384" s="143" t="s">
        <v>12285</v>
      </c>
      <c r="K3384" s="80" t="s">
        <v>12286</v>
      </c>
      <c r="L3384" s="30">
        <v>858833600</v>
      </c>
      <c r="M3384" s="80" t="s">
        <v>123</v>
      </c>
      <c r="N3384" s="80" t="s">
        <v>186</v>
      </c>
      <c r="O3384" s="80" t="s">
        <v>8150</v>
      </c>
      <c r="P3384" s="80" t="s">
        <v>12287</v>
      </c>
      <c r="Q3384" s="20">
        <v>1968</v>
      </c>
      <c r="R3384" s="80" t="s">
        <v>36</v>
      </c>
      <c r="S3384" s="95">
        <v>1968</v>
      </c>
      <c r="T3384" s="148">
        <v>45521</v>
      </c>
      <c r="U3384" s="77"/>
      <c r="V3384" s="78"/>
      <c r="W3384" s="85" t="s">
        <v>12288</v>
      </c>
      <c r="X3384" s="80">
        <v>0</v>
      </c>
      <c r="Y3384" s="22">
        <v>0</v>
      </c>
      <c r="Z3384" s="80" t="s">
        <v>50</v>
      </c>
      <c r="AA3384" s="35" t="s">
        <v>3291</v>
      </c>
      <c r="AB3384" s="80"/>
      <c r="AC3384" s="80" t="s">
        <v>53</v>
      </c>
      <c r="AD3384" s="80" t="s">
        <v>54</v>
      </c>
      <c r="AE3384" s="80"/>
      <c r="AF3384" s="17">
        <v>45521</v>
      </c>
      <c r="AG3384" s="80" t="s">
        <v>7078</v>
      </c>
      <c r="AH3384" s="80"/>
      <c r="AI3384" s="147" t="s">
        <v>84</v>
      </c>
      <c r="AJ3384" s="80"/>
      <c r="AK3384" s="80"/>
      <c r="AL3384" s="35"/>
      <c r="AM3384" s="35"/>
      <c r="AN3384" s="35"/>
      <c r="AO3384" s="35"/>
      <c r="AP3384" s="35"/>
    </row>
    <row r="3385" spans="1:42" x14ac:dyDescent="0.2">
      <c r="A3385" s="126">
        <v>45521.956524166671</v>
      </c>
      <c r="B3385" s="137" t="s">
        <v>37</v>
      </c>
      <c r="C3385" s="41" t="s">
        <v>118</v>
      </c>
      <c r="D3385" s="80" t="s">
        <v>36</v>
      </c>
      <c r="E3385" s="80" t="s">
        <v>77</v>
      </c>
      <c r="F3385" s="80" t="s">
        <v>36</v>
      </c>
      <c r="G3385" s="80" t="s">
        <v>41</v>
      </c>
      <c r="H3385" s="80" t="s">
        <v>11428</v>
      </c>
      <c r="I3385" s="17">
        <f ca="1">IFERROR(__xludf.DUMMYFUNCTION("""COMPUTED_VALUE"""),45527)</f>
        <v>45527</v>
      </c>
      <c r="J3385" s="143" t="s">
        <v>12289</v>
      </c>
      <c r="K3385" s="80" t="s">
        <v>12290</v>
      </c>
      <c r="L3385" s="30">
        <v>355086630</v>
      </c>
      <c r="M3385" s="80" t="s">
        <v>910</v>
      </c>
      <c r="N3385" s="80" t="s">
        <v>3525</v>
      </c>
      <c r="O3385" s="80" t="s">
        <v>91</v>
      </c>
      <c r="P3385" s="80" t="s">
        <v>12291</v>
      </c>
      <c r="Q3385" s="20">
        <v>1968</v>
      </c>
      <c r="R3385" s="80" t="s">
        <v>36</v>
      </c>
      <c r="S3385" s="95">
        <v>2000</v>
      </c>
      <c r="T3385" s="148">
        <v>45521</v>
      </c>
      <c r="U3385" s="77"/>
      <c r="V3385" s="78"/>
      <c r="W3385" s="85" t="s">
        <v>12292</v>
      </c>
      <c r="X3385" s="80">
        <v>0</v>
      </c>
      <c r="Y3385" s="22">
        <v>-32</v>
      </c>
      <c r="Z3385" s="80" t="s">
        <v>50</v>
      </c>
      <c r="AA3385" s="96" t="s">
        <v>3291</v>
      </c>
      <c r="AB3385" s="80"/>
      <c r="AC3385" s="80" t="s">
        <v>53</v>
      </c>
      <c r="AD3385" s="80" t="s">
        <v>54</v>
      </c>
      <c r="AE3385" s="80"/>
      <c r="AF3385" s="17">
        <v>45523</v>
      </c>
      <c r="AG3385" s="80" t="s">
        <v>7078</v>
      </c>
      <c r="AH3385" s="80"/>
      <c r="AI3385" s="147" t="s">
        <v>84</v>
      </c>
      <c r="AJ3385" s="80"/>
      <c r="AK3385" s="80"/>
      <c r="AL3385" s="35"/>
      <c r="AM3385" s="35"/>
      <c r="AN3385" s="35"/>
      <c r="AO3385" s="35"/>
      <c r="AP3385" s="35"/>
    </row>
    <row r="3386" spans="1:42" x14ac:dyDescent="0.2">
      <c r="A3386" s="126">
        <v>45523.327834097217</v>
      </c>
      <c r="B3386" s="137" t="s">
        <v>37</v>
      </c>
      <c r="C3386" s="41" t="s">
        <v>118</v>
      </c>
      <c r="D3386" s="80" t="s">
        <v>36</v>
      </c>
      <c r="E3386" s="80" t="s">
        <v>77</v>
      </c>
      <c r="F3386" s="80" t="s">
        <v>36</v>
      </c>
      <c r="G3386" s="80" t="s">
        <v>41</v>
      </c>
      <c r="H3386" s="80" t="s">
        <v>11428</v>
      </c>
      <c r="I3386" s="17">
        <f ca="1">IFERROR(__xludf.DUMMYFUNCTION("""COMPUTED_VALUE"""),45527)</f>
        <v>45527</v>
      </c>
      <c r="J3386" s="143" t="s">
        <v>12293</v>
      </c>
      <c r="K3386" s="80" t="s">
        <v>12294</v>
      </c>
      <c r="L3386" s="30">
        <v>359385632</v>
      </c>
      <c r="M3386" s="80" t="s">
        <v>80</v>
      </c>
      <c r="N3386" s="80" t="s">
        <v>466</v>
      </c>
      <c r="O3386" s="80" t="s">
        <v>1487</v>
      </c>
      <c r="P3386" s="80" t="s">
        <v>12295</v>
      </c>
      <c r="Q3386" s="20">
        <v>1968</v>
      </c>
      <c r="R3386" s="80" t="s">
        <v>36</v>
      </c>
      <c r="S3386" s="95">
        <v>2000</v>
      </c>
      <c r="T3386" s="148">
        <v>45522</v>
      </c>
      <c r="U3386" s="77"/>
      <c r="V3386" s="78"/>
      <c r="W3386" s="85" t="s">
        <v>12296</v>
      </c>
      <c r="X3386" s="80">
        <v>0</v>
      </c>
      <c r="Y3386" s="22">
        <v>-32</v>
      </c>
      <c r="Z3386" s="80" t="s">
        <v>50</v>
      </c>
      <c r="AA3386" s="35" t="s">
        <v>3291</v>
      </c>
      <c r="AB3386" s="80"/>
      <c r="AC3386" s="80" t="s">
        <v>53</v>
      </c>
      <c r="AD3386" s="80" t="s">
        <v>54</v>
      </c>
      <c r="AE3386" s="83">
        <v>0</v>
      </c>
      <c r="AF3386" s="17">
        <v>45523</v>
      </c>
      <c r="AG3386" s="80" t="s">
        <v>7078</v>
      </c>
      <c r="AH3386" s="80"/>
      <c r="AI3386" s="147" t="s">
        <v>84</v>
      </c>
      <c r="AJ3386" s="80"/>
      <c r="AK3386" s="80"/>
      <c r="AL3386" s="35"/>
      <c r="AM3386" s="35"/>
      <c r="AN3386" s="35"/>
      <c r="AO3386" s="35"/>
      <c r="AP3386" s="35"/>
    </row>
    <row r="3387" spans="1:42" x14ac:dyDescent="0.2">
      <c r="A3387" s="126">
        <v>45523.328655509264</v>
      </c>
      <c r="B3387" s="137" t="s">
        <v>37</v>
      </c>
      <c r="C3387" s="41" t="s">
        <v>118</v>
      </c>
      <c r="D3387" s="80" t="s">
        <v>36</v>
      </c>
      <c r="E3387" s="80" t="s">
        <v>139</v>
      </c>
      <c r="F3387" s="80" t="s">
        <v>36</v>
      </c>
      <c r="G3387" s="80" t="s">
        <v>41</v>
      </c>
      <c r="H3387" s="80" t="s">
        <v>11497</v>
      </c>
      <c r="I3387" s="17">
        <f ca="1">IFERROR(__xludf.DUMMYFUNCTION("""COMPUTED_VALUE"""),45530)</f>
        <v>45530</v>
      </c>
      <c r="J3387" s="143" t="s">
        <v>12297</v>
      </c>
      <c r="K3387" s="80" t="s">
        <v>12298</v>
      </c>
      <c r="L3387" s="30">
        <v>929556399</v>
      </c>
      <c r="M3387" s="80" t="s">
        <v>123</v>
      </c>
      <c r="N3387" s="80" t="s">
        <v>186</v>
      </c>
      <c r="O3387" s="80" t="s">
        <v>4503</v>
      </c>
      <c r="P3387" s="80" t="s">
        <v>12299</v>
      </c>
      <c r="Q3387" s="20">
        <v>15936</v>
      </c>
      <c r="R3387" s="80" t="s">
        <v>36</v>
      </c>
      <c r="S3387" s="95">
        <f>200+4000</f>
        <v>4200</v>
      </c>
      <c r="T3387" s="83" t="s">
        <v>12300</v>
      </c>
      <c r="U3387" s="95">
        <v>11736</v>
      </c>
      <c r="V3387" s="148">
        <v>45552</v>
      </c>
      <c r="W3387" s="85" t="s">
        <v>12301</v>
      </c>
      <c r="X3387" s="80">
        <v>0</v>
      </c>
      <c r="Y3387" s="22">
        <v>0</v>
      </c>
      <c r="Z3387" s="80" t="s">
        <v>50</v>
      </c>
      <c r="AA3387" s="96" t="s">
        <v>3291</v>
      </c>
      <c r="AB3387" s="80"/>
      <c r="AC3387" s="80" t="s">
        <v>53</v>
      </c>
      <c r="AD3387" s="80" t="s">
        <v>54</v>
      </c>
      <c r="AE3387" s="80"/>
      <c r="AF3387" s="17">
        <v>45525</v>
      </c>
      <c r="AG3387" s="80"/>
      <c r="AH3387" s="80"/>
      <c r="AI3387" s="147" t="s">
        <v>147</v>
      </c>
      <c r="AJ3387" s="80"/>
      <c r="AK3387" s="80"/>
      <c r="AL3387" s="35"/>
      <c r="AM3387" s="35"/>
      <c r="AN3387" s="35"/>
      <c r="AO3387" s="35"/>
      <c r="AP3387" s="35"/>
    </row>
    <row r="3388" spans="1:42" x14ac:dyDescent="0.2">
      <c r="A3388" s="126">
        <v>45523.332734212963</v>
      </c>
      <c r="B3388" s="137" t="s">
        <v>37</v>
      </c>
      <c r="C3388" s="41" t="s">
        <v>118</v>
      </c>
      <c r="D3388" s="80" t="s">
        <v>36</v>
      </c>
      <c r="E3388" s="80" t="s">
        <v>119</v>
      </c>
      <c r="F3388" s="80" t="s">
        <v>36</v>
      </c>
      <c r="G3388" s="80" t="s">
        <v>108</v>
      </c>
      <c r="H3388" s="80" t="s">
        <v>8986</v>
      </c>
      <c r="I3388" s="17">
        <f ca="1">IFERROR(__xludf.DUMMYFUNCTION("""COMPUTED_VALUE"""),45531)</f>
        <v>45531</v>
      </c>
      <c r="J3388" s="143" t="s">
        <v>12302</v>
      </c>
      <c r="K3388" s="80" t="s">
        <v>12303</v>
      </c>
      <c r="L3388" s="30">
        <v>386268705</v>
      </c>
      <c r="M3388" s="80" t="s">
        <v>123</v>
      </c>
      <c r="N3388" s="80" t="s">
        <v>327</v>
      </c>
      <c r="O3388" s="80" t="s">
        <v>4503</v>
      </c>
      <c r="P3388" s="80" t="s">
        <v>12304</v>
      </c>
      <c r="Q3388" s="20">
        <v>13968</v>
      </c>
      <c r="R3388" s="80" t="s">
        <v>36</v>
      </c>
      <c r="S3388" s="95">
        <f>200+3800</f>
        <v>4000</v>
      </c>
      <c r="T3388" s="83" t="s">
        <v>12305</v>
      </c>
      <c r="U3388" s="95">
        <f>9900+68</f>
        <v>9968</v>
      </c>
      <c r="V3388" s="83" t="s">
        <v>12306</v>
      </c>
      <c r="W3388" s="80" t="s">
        <v>12307</v>
      </c>
      <c r="X3388" s="80">
        <v>0</v>
      </c>
      <c r="Y3388" s="22">
        <v>0</v>
      </c>
      <c r="Z3388" s="80" t="s">
        <v>50</v>
      </c>
      <c r="AA3388" s="35" t="s">
        <v>3291</v>
      </c>
      <c r="AB3388" s="80" t="s">
        <v>4503</v>
      </c>
      <c r="AC3388" s="80" t="s">
        <v>53</v>
      </c>
      <c r="AD3388" s="80" t="s">
        <v>54</v>
      </c>
      <c r="AE3388" s="80"/>
      <c r="AF3388" s="17">
        <v>45524</v>
      </c>
      <c r="AG3388" s="80"/>
      <c r="AH3388" s="80"/>
      <c r="AI3388" s="147">
        <v>4</v>
      </c>
      <c r="AJ3388" s="80"/>
      <c r="AK3388" s="80"/>
      <c r="AL3388" s="35"/>
      <c r="AM3388" s="35"/>
      <c r="AN3388" s="35"/>
      <c r="AO3388" s="35"/>
      <c r="AP3388" s="35"/>
    </row>
    <row r="3389" spans="1:42" x14ac:dyDescent="0.2">
      <c r="A3389" s="126">
        <v>45523.382978854163</v>
      </c>
      <c r="B3389" s="137" t="s">
        <v>37</v>
      </c>
      <c r="C3389" s="41" t="s">
        <v>118</v>
      </c>
      <c r="D3389" s="80" t="s">
        <v>36</v>
      </c>
      <c r="E3389" s="80" t="s">
        <v>148</v>
      </c>
      <c r="F3389" s="80" t="s">
        <v>36</v>
      </c>
      <c r="G3389" s="80" t="s">
        <v>108</v>
      </c>
      <c r="H3389" s="80" t="s">
        <v>9856</v>
      </c>
      <c r="I3389" s="17">
        <f ca="1">IFERROR(__xludf.DUMMYFUNCTION("""COMPUTED_VALUE"""),45532)</f>
        <v>45532</v>
      </c>
      <c r="J3389" s="143" t="s">
        <v>12308</v>
      </c>
      <c r="K3389" s="145" t="s">
        <v>12309</v>
      </c>
      <c r="L3389" s="30">
        <v>358752638</v>
      </c>
      <c r="M3389" s="80" t="s">
        <v>5518</v>
      </c>
      <c r="N3389" s="80" t="s">
        <v>12310</v>
      </c>
      <c r="O3389" s="80" t="s">
        <v>12311</v>
      </c>
      <c r="P3389" s="80" t="s">
        <v>12312</v>
      </c>
      <c r="Q3389" s="20">
        <v>7349</v>
      </c>
      <c r="R3389" s="80" t="s">
        <v>36</v>
      </c>
      <c r="S3389" s="95">
        <v>4000</v>
      </c>
      <c r="T3389" s="148">
        <v>45522</v>
      </c>
      <c r="U3389" s="95">
        <v>3349</v>
      </c>
      <c r="V3389" s="148">
        <v>45552</v>
      </c>
      <c r="W3389" s="85" t="s">
        <v>12313</v>
      </c>
      <c r="X3389" s="80">
        <v>0</v>
      </c>
      <c r="Y3389" s="22">
        <v>0</v>
      </c>
      <c r="Z3389" s="80" t="s">
        <v>50</v>
      </c>
      <c r="AA3389" s="96" t="s">
        <v>3291</v>
      </c>
      <c r="AB3389" s="80"/>
      <c r="AC3389" s="80" t="s">
        <v>53</v>
      </c>
      <c r="AD3389" s="80" t="s">
        <v>54</v>
      </c>
      <c r="AE3389" s="83">
        <v>520</v>
      </c>
      <c r="AF3389" s="17">
        <v>45525</v>
      </c>
      <c r="AG3389" s="80"/>
      <c r="AH3389" s="80"/>
      <c r="AI3389" s="147">
        <v>2</v>
      </c>
      <c r="AJ3389" s="80"/>
      <c r="AK3389" s="80"/>
      <c r="AL3389" s="35"/>
      <c r="AM3389" s="35"/>
      <c r="AN3389" s="35"/>
      <c r="AO3389" s="35"/>
      <c r="AP3389" s="35"/>
    </row>
    <row r="3390" spans="1:42" x14ac:dyDescent="0.2">
      <c r="A3390" s="126">
        <v>45524.332188749999</v>
      </c>
      <c r="B3390" s="137" t="s">
        <v>37</v>
      </c>
      <c r="C3390" s="41" t="s">
        <v>118</v>
      </c>
      <c r="D3390" s="80" t="s">
        <v>36</v>
      </c>
      <c r="E3390" s="80" t="s">
        <v>139</v>
      </c>
      <c r="F3390" s="80" t="s">
        <v>36</v>
      </c>
      <c r="G3390" s="80" t="s">
        <v>41</v>
      </c>
      <c r="H3390" s="80" t="s">
        <v>11446</v>
      </c>
      <c r="I3390" s="17">
        <f ca="1">IFERROR(__xludf.DUMMYFUNCTION("""COMPUTED_VALUE"""),45527)</f>
        <v>45527</v>
      </c>
      <c r="J3390" s="143" t="s">
        <v>12314</v>
      </c>
      <c r="K3390" s="80" t="s">
        <v>12315</v>
      </c>
      <c r="L3390" s="30">
        <v>934306228</v>
      </c>
      <c r="M3390" s="80" t="s">
        <v>123</v>
      </c>
      <c r="N3390" s="80" t="s">
        <v>327</v>
      </c>
      <c r="O3390" s="80" t="s">
        <v>4503</v>
      </c>
      <c r="P3390" s="80" t="s">
        <v>12316</v>
      </c>
      <c r="Q3390" s="20">
        <v>15936</v>
      </c>
      <c r="R3390" s="80" t="s">
        <v>36</v>
      </c>
      <c r="S3390" s="178">
        <v>2000</v>
      </c>
      <c r="T3390" s="148">
        <v>45523</v>
      </c>
      <c r="U3390" s="178">
        <v>13936</v>
      </c>
      <c r="V3390" s="169">
        <v>45562</v>
      </c>
      <c r="W3390" s="85" t="s">
        <v>12317</v>
      </c>
      <c r="X3390" s="80">
        <v>0</v>
      </c>
      <c r="Y3390" s="22">
        <v>0</v>
      </c>
      <c r="Z3390" s="80" t="s">
        <v>50</v>
      </c>
      <c r="AA3390" s="35" t="s">
        <v>3291</v>
      </c>
      <c r="AB3390" s="80"/>
      <c r="AC3390" s="80" t="s">
        <v>53</v>
      </c>
      <c r="AD3390" s="80" t="s">
        <v>54</v>
      </c>
      <c r="AE3390" s="80"/>
      <c r="AF3390" s="17">
        <v>45524</v>
      </c>
      <c r="AG3390" s="80" t="s">
        <v>7078</v>
      </c>
      <c r="AH3390" s="80"/>
      <c r="AI3390" s="147" t="s">
        <v>147</v>
      </c>
      <c r="AJ3390" s="80"/>
      <c r="AK3390" s="80"/>
      <c r="AL3390" s="35"/>
      <c r="AM3390" s="35"/>
      <c r="AN3390" s="35"/>
      <c r="AO3390" s="35"/>
      <c r="AP3390" s="35"/>
    </row>
    <row r="3391" spans="1:42" x14ac:dyDescent="0.2">
      <c r="A3391" s="126">
        <v>45524.468481574077</v>
      </c>
      <c r="B3391" s="137" t="s">
        <v>37</v>
      </c>
      <c r="C3391" s="41" t="s">
        <v>118</v>
      </c>
      <c r="D3391" s="80" t="s">
        <v>36</v>
      </c>
      <c r="E3391" s="80" t="s">
        <v>139</v>
      </c>
      <c r="F3391" s="80" t="s">
        <v>40</v>
      </c>
      <c r="G3391" s="80" t="s">
        <v>41</v>
      </c>
      <c r="H3391" s="80" t="s">
        <v>11183</v>
      </c>
      <c r="I3391" s="17">
        <f ca="1">IFERROR(__xludf.DUMMYFUNCTION("""COMPUTED_VALUE"""),45554)</f>
        <v>45554</v>
      </c>
      <c r="J3391" s="143" t="s">
        <v>12318</v>
      </c>
      <c r="K3391" s="80" t="s">
        <v>12319</v>
      </c>
      <c r="L3391" s="30">
        <v>968262803</v>
      </c>
      <c r="M3391" s="80" t="s">
        <v>910</v>
      </c>
      <c r="N3391" s="80" t="s">
        <v>3525</v>
      </c>
      <c r="O3391" s="80" t="s">
        <v>12320</v>
      </c>
      <c r="P3391" s="80" t="s">
        <v>12321</v>
      </c>
      <c r="Q3391" s="20">
        <v>15936</v>
      </c>
      <c r="R3391" s="80" t="s">
        <v>36</v>
      </c>
      <c r="S3391" s="95">
        <f>200+2000</f>
        <v>2200</v>
      </c>
      <c r="T3391" s="83" t="s">
        <v>12322</v>
      </c>
      <c r="U3391" s="95">
        <v>13736</v>
      </c>
      <c r="V3391" s="148">
        <v>45563</v>
      </c>
      <c r="W3391" s="85" t="s">
        <v>12323</v>
      </c>
      <c r="X3391" s="80">
        <v>0</v>
      </c>
      <c r="Y3391" s="22">
        <v>0</v>
      </c>
      <c r="Z3391" s="80" t="s">
        <v>50</v>
      </c>
      <c r="AA3391" s="96" t="s">
        <v>3291</v>
      </c>
      <c r="AB3391" s="80"/>
      <c r="AC3391" s="80" t="s">
        <v>53</v>
      </c>
      <c r="AD3391" s="80" t="s">
        <v>138</v>
      </c>
      <c r="AE3391" s="80"/>
      <c r="AF3391" s="17">
        <v>45554</v>
      </c>
      <c r="AG3391" s="80"/>
      <c r="AH3391" s="80"/>
      <c r="AI3391" s="147" t="s">
        <v>147</v>
      </c>
      <c r="AJ3391" s="80"/>
      <c r="AK3391" s="80"/>
      <c r="AL3391" s="35"/>
      <c r="AM3391" s="35"/>
      <c r="AN3391" s="35"/>
      <c r="AO3391" s="35"/>
      <c r="AP3391" s="35"/>
    </row>
    <row r="3392" spans="1:42" x14ac:dyDescent="0.2">
      <c r="A3392" s="126">
        <v>45524.926417835653</v>
      </c>
      <c r="B3392" s="137" t="s">
        <v>37</v>
      </c>
      <c r="C3392" s="41" t="s">
        <v>118</v>
      </c>
      <c r="D3392" s="80" t="s">
        <v>36</v>
      </c>
      <c r="E3392" s="80" t="s">
        <v>139</v>
      </c>
      <c r="F3392" s="26" t="s">
        <v>36</v>
      </c>
      <c r="G3392" s="80" t="s">
        <v>41</v>
      </c>
      <c r="H3392" s="80" t="s">
        <v>12324</v>
      </c>
      <c r="I3392" s="17">
        <f ca="1">IFERROR(__xludf.DUMMYFUNCTION("""COMPUTED_VALUE"""),45635)</f>
        <v>45635</v>
      </c>
      <c r="J3392" s="143" t="s">
        <v>12325</v>
      </c>
      <c r="K3392" s="80" t="s">
        <v>12326</v>
      </c>
      <c r="L3392" s="30">
        <v>866636451</v>
      </c>
      <c r="M3392" s="80" t="s">
        <v>9422</v>
      </c>
      <c r="N3392" s="80" t="s">
        <v>68</v>
      </c>
      <c r="O3392" s="80" t="s">
        <v>12327</v>
      </c>
      <c r="P3392" s="80" t="s">
        <v>11608</v>
      </c>
      <c r="Q3392" s="20">
        <v>15936</v>
      </c>
      <c r="R3392" s="80" t="s">
        <v>11421</v>
      </c>
      <c r="S3392" s="95">
        <v>3000</v>
      </c>
      <c r="T3392" s="148">
        <v>45522</v>
      </c>
      <c r="U3392" s="95">
        <v>12936</v>
      </c>
      <c r="V3392" s="148">
        <v>45560</v>
      </c>
      <c r="W3392" s="85" t="s">
        <v>12328</v>
      </c>
      <c r="X3392" s="80">
        <v>300</v>
      </c>
      <c r="Y3392" s="22">
        <v>-300</v>
      </c>
      <c r="Z3392" s="80" t="s">
        <v>50</v>
      </c>
      <c r="AA3392" s="35" t="s">
        <v>3291</v>
      </c>
      <c r="AB3392" s="80"/>
      <c r="AC3392" s="80" t="s">
        <v>53</v>
      </c>
      <c r="AD3392" s="80" t="s">
        <v>138</v>
      </c>
      <c r="AE3392" s="80"/>
      <c r="AF3392" s="17">
        <v>45540</v>
      </c>
      <c r="AG3392" s="26" t="s">
        <v>3399</v>
      </c>
      <c r="AH3392" s="80"/>
      <c r="AI3392" s="147" t="s">
        <v>147</v>
      </c>
      <c r="AJ3392" s="80"/>
      <c r="AK3392" s="80"/>
      <c r="AL3392" s="35"/>
      <c r="AM3392" s="35"/>
      <c r="AN3392" s="35"/>
      <c r="AO3392" s="35"/>
      <c r="AP3392" s="35"/>
    </row>
    <row r="3393" spans="1:42" x14ac:dyDescent="0.2">
      <c r="A3393" s="126">
        <v>45524.927647118056</v>
      </c>
      <c r="B3393" s="137" t="s">
        <v>37</v>
      </c>
      <c r="C3393" s="41" t="s">
        <v>118</v>
      </c>
      <c r="D3393" s="80" t="s">
        <v>36</v>
      </c>
      <c r="E3393" s="80" t="s">
        <v>139</v>
      </c>
      <c r="F3393" s="80" t="s">
        <v>36</v>
      </c>
      <c r="G3393" s="80" t="s">
        <v>41</v>
      </c>
      <c r="H3393" s="80" t="s">
        <v>11497</v>
      </c>
      <c r="I3393" s="17">
        <f ca="1">IFERROR(__xludf.DUMMYFUNCTION("""COMPUTED_VALUE"""),45530)</f>
        <v>45530</v>
      </c>
      <c r="J3393" s="143" t="s">
        <v>12329</v>
      </c>
      <c r="K3393" s="80" t="s">
        <v>12330</v>
      </c>
      <c r="L3393" s="30">
        <v>984866969</v>
      </c>
      <c r="M3393" s="80" t="s">
        <v>80</v>
      </c>
      <c r="N3393" s="80" t="s">
        <v>466</v>
      </c>
      <c r="O3393" s="80" t="s">
        <v>12331</v>
      </c>
      <c r="P3393" s="80" t="s">
        <v>12332</v>
      </c>
      <c r="Q3393" s="20">
        <v>15936</v>
      </c>
      <c r="R3393" s="80" t="s">
        <v>36</v>
      </c>
      <c r="S3393" s="95">
        <f t="shared" ref="S3393:S3394" si="42">200+1800</f>
        <v>2000</v>
      </c>
      <c r="T3393" s="83" t="s">
        <v>12333</v>
      </c>
      <c r="U3393" s="95">
        <v>13936</v>
      </c>
      <c r="V3393" s="148">
        <v>45565</v>
      </c>
      <c r="W3393" s="85" t="s">
        <v>12334</v>
      </c>
      <c r="X3393" s="80">
        <v>0</v>
      </c>
      <c r="Y3393" s="22">
        <v>0</v>
      </c>
      <c r="Z3393" s="80" t="s">
        <v>50</v>
      </c>
      <c r="AA3393" s="96" t="s">
        <v>3291</v>
      </c>
      <c r="AB3393" s="80"/>
      <c r="AC3393" s="80" t="s">
        <v>53</v>
      </c>
      <c r="AD3393" s="80" t="s">
        <v>54</v>
      </c>
      <c r="AE3393" s="83">
        <v>0</v>
      </c>
      <c r="AF3393" s="17">
        <v>45529</v>
      </c>
      <c r="AG3393" s="80"/>
      <c r="AH3393" s="80"/>
      <c r="AI3393" s="147" t="s">
        <v>147</v>
      </c>
      <c r="AJ3393" s="80"/>
      <c r="AK3393" s="80"/>
      <c r="AL3393" s="35"/>
      <c r="AM3393" s="35"/>
      <c r="AN3393" s="35"/>
      <c r="AO3393" s="35"/>
      <c r="AP3393" s="35"/>
    </row>
    <row r="3394" spans="1:42" x14ac:dyDescent="0.2">
      <c r="A3394" s="126">
        <v>45524.930313414356</v>
      </c>
      <c r="B3394" s="137" t="s">
        <v>37</v>
      </c>
      <c r="C3394" s="41" t="s">
        <v>118</v>
      </c>
      <c r="D3394" s="80" t="s">
        <v>36</v>
      </c>
      <c r="E3394" s="80" t="s">
        <v>139</v>
      </c>
      <c r="F3394" s="26" t="s">
        <v>36</v>
      </c>
      <c r="G3394" s="26" t="s">
        <v>41</v>
      </c>
      <c r="H3394" s="80" t="s">
        <v>5666</v>
      </c>
      <c r="I3394" s="17">
        <f ca="1">IFERROR(__xludf.DUMMYFUNCTION("""COMPUTED_VALUE"""),45540)</f>
        <v>45540</v>
      </c>
      <c r="J3394" s="143" t="s">
        <v>12335</v>
      </c>
      <c r="K3394" s="80" t="s">
        <v>12336</v>
      </c>
      <c r="L3394" s="30">
        <v>327371930</v>
      </c>
      <c r="M3394" s="80" t="s">
        <v>5429</v>
      </c>
      <c r="N3394" s="80" t="s">
        <v>11095</v>
      </c>
      <c r="O3394" s="80" t="s">
        <v>12337</v>
      </c>
      <c r="P3394" s="80" t="s">
        <v>7107</v>
      </c>
      <c r="Q3394" s="20">
        <v>15936</v>
      </c>
      <c r="R3394" s="80" t="s">
        <v>70</v>
      </c>
      <c r="S3394" s="95">
        <f t="shared" si="42"/>
        <v>2000</v>
      </c>
      <c r="T3394" s="83" t="s">
        <v>12338</v>
      </c>
      <c r="U3394" s="95">
        <v>13836</v>
      </c>
      <c r="V3394" s="148">
        <v>45565</v>
      </c>
      <c r="W3394" s="85" t="s">
        <v>12339</v>
      </c>
      <c r="X3394" s="80">
        <v>100</v>
      </c>
      <c r="Y3394" s="22">
        <v>0</v>
      </c>
      <c r="Z3394" s="80" t="s">
        <v>50</v>
      </c>
      <c r="AA3394" s="35" t="s">
        <v>3291</v>
      </c>
      <c r="AB3394" s="80"/>
      <c r="AC3394" s="80" t="s">
        <v>53</v>
      </c>
      <c r="AD3394" s="80" t="s">
        <v>138</v>
      </c>
      <c r="AE3394" s="80" t="s">
        <v>72</v>
      </c>
      <c r="AF3394" s="17">
        <v>45540</v>
      </c>
      <c r="AG3394" s="26" t="s">
        <v>3399</v>
      </c>
      <c r="AH3394" s="80"/>
      <c r="AI3394" s="147" t="s">
        <v>147</v>
      </c>
      <c r="AJ3394" s="80"/>
      <c r="AK3394" s="80"/>
      <c r="AL3394" s="35"/>
      <c r="AM3394" s="35"/>
      <c r="AN3394" s="35"/>
      <c r="AO3394" s="35"/>
      <c r="AP3394" s="35"/>
    </row>
    <row r="3395" spans="1:42" x14ac:dyDescent="0.2">
      <c r="A3395" s="126">
        <v>45525.327517986108</v>
      </c>
      <c r="B3395" s="137" t="s">
        <v>37</v>
      </c>
      <c r="C3395" s="41" t="s">
        <v>118</v>
      </c>
      <c r="D3395" s="80" t="s">
        <v>36</v>
      </c>
      <c r="E3395" s="80" t="s">
        <v>139</v>
      </c>
      <c r="F3395" s="80" t="s">
        <v>36</v>
      </c>
      <c r="G3395" s="80" t="s">
        <v>41</v>
      </c>
      <c r="H3395" s="80" t="s">
        <v>11545</v>
      </c>
      <c r="I3395" s="17">
        <f ca="1">IFERROR(__xludf.DUMMYFUNCTION("""COMPUTED_VALUE"""),45540)</f>
        <v>45540</v>
      </c>
      <c r="J3395" s="143" t="s">
        <v>12340</v>
      </c>
      <c r="K3395" s="80" t="s">
        <v>12341</v>
      </c>
      <c r="L3395" s="30">
        <v>337155725</v>
      </c>
      <c r="M3395" s="80" t="s">
        <v>123</v>
      </c>
      <c r="N3395" s="80" t="s">
        <v>327</v>
      </c>
      <c r="O3395" s="80" t="s">
        <v>4503</v>
      </c>
      <c r="P3395" s="80" t="s">
        <v>12342</v>
      </c>
      <c r="Q3395" s="20">
        <v>15936</v>
      </c>
      <c r="R3395" s="80" t="s">
        <v>36</v>
      </c>
      <c r="S3395" s="95">
        <v>2000</v>
      </c>
      <c r="T3395" s="148" t="s">
        <v>12343</v>
      </c>
      <c r="U3395" s="178">
        <v>13936</v>
      </c>
      <c r="V3395" s="169">
        <v>45553</v>
      </c>
      <c r="W3395" s="85" t="s">
        <v>12344</v>
      </c>
      <c r="X3395" s="80">
        <v>0</v>
      </c>
      <c r="Y3395" s="22">
        <v>0</v>
      </c>
      <c r="Z3395" s="80" t="s">
        <v>50</v>
      </c>
      <c r="AA3395" s="96" t="s">
        <v>3291</v>
      </c>
      <c r="AB3395" s="80"/>
      <c r="AC3395" s="80" t="s">
        <v>53</v>
      </c>
      <c r="AD3395" s="80" t="s">
        <v>54</v>
      </c>
      <c r="AE3395" s="80"/>
      <c r="AF3395" s="17">
        <v>45526</v>
      </c>
      <c r="AG3395" s="80"/>
      <c r="AH3395" s="80"/>
      <c r="AI3395" s="147" t="s">
        <v>147</v>
      </c>
      <c r="AJ3395" s="80"/>
      <c r="AK3395" s="80"/>
      <c r="AL3395" s="35"/>
      <c r="AM3395" s="35"/>
      <c r="AN3395" s="35"/>
      <c r="AO3395" s="35"/>
      <c r="AP3395" s="35"/>
    </row>
    <row r="3396" spans="1:42" x14ac:dyDescent="0.2">
      <c r="A3396" s="126">
        <v>45525.747510266199</v>
      </c>
      <c r="B3396" s="137" t="s">
        <v>37</v>
      </c>
      <c r="C3396" s="41" t="s">
        <v>118</v>
      </c>
      <c r="D3396" s="80" t="s">
        <v>36</v>
      </c>
      <c r="E3396" s="80" t="s">
        <v>139</v>
      </c>
      <c r="F3396" s="80" t="s">
        <v>36</v>
      </c>
      <c r="G3396" s="80" t="s">
        <v>41</v>
      </c>
      <c r="H3396" s="80" t="s">
        <v>11497</v>
      </c>
      <c r="I3396" s="17">
        <f ca="1">IFERROR(__xludf.DUMMYFUNCTION("""COMPUTED_VALUE"""),45530)</f>
        <v>45530</v>
      </c>
      <c r="J3396" s="143" t="s">
        <v>12345</v>
      </c>
      <c r="K3396" s="80" t="s">
        <v>12346</v>
      </c>
      <c r="L3396" s="30">
        <v>345998707</v>
      </c>
      <c r="M3396" s="80" t="s">
        <v>123</v>
      </c>
      <c r="N3396" s="80" t="s">
        <v>186</v>
      </c>
      <c r="O3396" s="80" t="s">
        <v>4503</v>
      </c>
      <c r="P3396" s="80" t="s">
        <v>12347</v>
      </c>
      <c r="Q3396" s="20">
        <v>15936</v>
      </c>
      <c r="R3396" s="80" t="s">
        <v>36</v>
      </c>
      <c r="S3396" s="95">
        <v>2000</v>
      </c>
      <c r="T3396" s="148">
        <v>45525</v>
      </c>
      <c r="U3396" s="95">
        <v>13936</v>
      </c>
      <c r="V3396" s="148">
        <v>45550</v>
      </c>
      <c r="W3396" s="85" t="s">
        <v>12348</v>
      </c>
      <c r="X3396" s="80">
        <v>0</v>
      </c>
      <c r="Y3396" s="22">
        <v>0</v>
      </c>
      <c r="Z3396" s="80" t="s">
        <v>50</v>
      </c>
      <c r="AA3396" s="35" t="s">
        <v>3291</v>
      </c>
      <c r="AB3396" s="80"/>
      <c r="AC3396" s="80" t="s">
        <v>53</v>
      </c>
      <c r="AD3396" s="80" t="s">
        <v>54</v>
      </c>
      <c r="AE3396" s="80"/>
      <c r="AF3396" s="17">
        <v>45526</v>
      </c>
      <c r="AG3396" s="80"/>
      <c r="AH3396" s="80"/>
      <c r="AI3396" s="147" t="s">
        <v>147</v>
      </c>
      <c r="AJ3396" s="80"/>
      <c r="AK3396" s="80"/>
      <c r="AL3396" s="35"/>
      <c r="AM3396" s="35"/>
      <c r="AN3396" s="35"/>
      <c r="AO3396" s="35"/>
      <c r="AP3396" s="35"/>
    </row>
    <row r="3397" spans="1:42" x14ac:dyDescent="0.2">
      <c r="A3397" s="126">
        <v>45525.846766134258</v>
      </c>
      <c r="B3397" s="137" t="s">
        <v>37</v>
      </c>
      <c r="C3397" s="41" t="s">
        <v>118</v>
      </c>
      <c r="D3397" s="80" t="s">
        <v>36</v>
      </c>
      <c r="E3397" s="80" t="s">
        <v>139</v>
      </c>
      <c r="F3397" s="80" t="s">
        <v>36</v>
      </c>
      <c r="G3397" s="80" t="s">
        <v>41</v>
      </c>
      <c r="H3397" s="80" t="s">
        <v>11545</v>
      </c>
      <c r="I3397" s="17">
        <f ca="1">IFERROR(__xludf.DUMMYFUNCTION("""COMPUTED_VALUE"""),45540)</f>
        <v>45540</v>
      </c>
      <c r="J3397" s="143" t="s">
        <v>12349</v>
      </c>
      <c r="K3397" s="80" t="s">
        <v>12350</v>
      </c>
      <c r="L3397" s="30">
        <v>824373559</v>
      </c>
      <c r="M3397" s="80" t="s">
        <v>3728</v>
      </c>
      <c r="N3397" s="80" t="s">
        <v>5312</v>
      </c>
      <c r="O3397" s="80" t="s">
        <v>12351</v>
      </c>
      <c r="P3397" s="80" t="s">
        <v>12352</v>
      </c>
      <c r="Q3397" s="20">
        <v>15936</v>
      </c>
      <c r="R3397" s="80" t="s">
        <v>36</v>
      </c>
      <c r="S3397" s="95">
        <v>2000</v>
      </c>
      <c r="T3397" s="148">
        <v>45525</v>
      </c>
      <c r="U3397" s="95">
        <v>13936</v>
      </c>
      <c r="V3397" s="148">
        <v>45550</v>
      </c>
      <c r="W3397" s="85" t="s">
        <v>12353</v>
      </c>
      <c r="X3397" s="80">
        <v>0</v>
      </c>
      <c r="Y3397" s="22">
        <v>0</v>
      </c>
      <c r="Z3397" s="80" t="s">
        <v>50</v>
      </c>
      <c r="AA3397" s="96" t="s">
        <v>3291</v>
      </c>
      <c r="AB3397" s="80"/>
      <c r="AC3397" s="80" t="s">
        <v>53</v>
      </c>
      <c r="AD3397" s="80" t="s">
        <v>54</v>
      </c>
      <c r="AE3397" s="80"/>
      <c r="AF3397" s="17">
        <v>45526</v>
      </c>
      <c r="AG3397" s="80"/>
      <c r="AH3397" s="80"/>
      <c r="AI3397" s="147" t="s">
        <v>147</v>
      </c>
      <c r="AJ3397" s="80"/>
      <c r="AK3397" s="80"/>
      <c r="AL3397" s="35"/>
      <c r="AM3397" s="35"/>
      <c r="AN3397" s="35"/>
      <c r="AO3397" s="35"/>
      <c r="AP3397" s="35"/>
    </row>
    <row r="3398" spans="1:42" x14ac:dyDescent="0.2">
      <c r="A3398" s="126">
        <v>45525.862471886576</v>
      </c>
      <c r="B3398" s="137" t="s">
        <v>37</v>
      </c>
      <c r="C3398" s="41" t="s">
        <v>118</v>
      </c>
      <c r="D3398" s="80" t="s">
        <v>36</v>
      </c>
      <c r="E3398" s="80" t="s">
        <v>39</v>
      </c>
      <c r="F3398" s="80" t="s">
        <v>36</v>
      </c>
      <c r="G3398" s="80" t="s">
        <v>41</v>
      </c>
      <c r="H3398" s="80" t="s">
        <v>11428</v>
      </c>
      <c r="I3398" s="17">
        <f ca="1">IFERROR(__xludf.DUMMYFUNCTION("""COMPUTED_VALUE"""),45527)</f>
        <v>45527</v>
      </c>
      <c r="J3398" s="143" t="s">
        <v>12354</v>
      </c>
      <c r="K3398" s="80" t="s">
        <v>12355</v>
      </c>
      <c r="L3398" s="30">
        <v>868287609</v>
      </c>
      <c r="M3398" s="80" t="s">
        <v>9422</v>
      </c>
      <c r="N3398" s="80" t="s">
        <v>68</v>
      </c>
      <c r="O3398" s="80" t="s">
        <v>12356</v>
      </c>
      <c r="P3398" s="80" t="s">
        <v>12357</v>
      </c>
      <c r="Q3398" s="20">
        <v>5736</v>
      </c>
      <c r="R3398" s="80" t="s">
        <v>11421</v>
      </c>
      <c r="S3398" s="95">
        <v>5436</v>
      </c>
      <c r="T3398" s="148">
        <v>45525</v>
      </c>
      <c r="U3398" s="77"/>
      <c r="V3398" s="78"/>
      <c r="W3398" s="79" t="s">
        <v>12358</v>
      </c>
      <c r="X3398" s="80">
        <v>300</v>
      </c>
      <c r="Y3398" s="22">
        <v>0</v>
      </c>
      <c r="Z3398" s="80" t="s">
        <v>50</v>
      </c>
      <c r="AA3398" s="35" t="s">
        <v>3291</v>
      </c>
      <c r="AB3398" s="80"/>
      <c r="AC3398" s="80" t="s">
        <v>53</v>
      </c>
      <c r="AD3398" s="80" t="s">
        <v>54</v>
      </c>
      <c r="AE3398" s="80"/>
      <c r="AF3398" s="17">
        <v>45525</v>
      </c>
      <c r="AG3398" s="80"/>
      <c r="AH3398" s="80"/>
      <c r="AI3398" s="147" t="s">
        <v>55</v>
      </c>
      <c r="AJ3398" s="80"/>
      <c r="AK3398" s="80"/>
      <c r="AL3398" s="35"/>
      <c r="AM3398" s="35"/>
      <c r="AN3398" s="35"/>
      <c r="AO3398" s="35"/>
      <c r="AP3398" s="35"/>
    </row>
    <row r="3399" spans="1:42" x14ac:dyDescent="0.2">
      <c r="A3399" s="126">
        <v>45525.863834131946</v>
      </c>
      <c r="B3399" s="137" t="s">
        <v>37</v>
      </c>
      <c r="C3399" s="41" t="s">
        <v>118</v>
      </c>
      <c r="D3399" s="80" t="s">
        <v>36</v>
      </c>
      <c r="E3399" s="80" t="s">
        <v>39</v>
      </c>
      <c r="F3399" s="80" t="s">
        <v>36</v>
      </c>
      <c r="G3399" s="80" t="s">
        <v>41</v>
      </c>
      <c r="H3399" s="80" t="s">
        <v>11446</v>
      </c>
      <c r="I3399" s="17">
        <f ca="1">IFERROR(__xludf.DUMMYFUNCTION("""COMPUTED_VALUE"""),45527)</f>
        <v>45527</v>
      </c>
      <c r="J3399" s="143" t="s">
        <v>12359</v>
      </c>
      <c r="K3399" s="80" t="s">
        <v>12360</v>
      </c>
      <c r="L3399" s="30">
        <v>975887376</v>
      </c>
      <c r="M3399" s="80" t="s">
        <v>9422</v>
      </c>
      <c r="N3399" s="80" t="s">
        <v>68</v>
      </c>
      <c r="O3399" s="80" t="s">
        <v>12361</v>
      </c>
      <c r="P3399" s="80" t="s">
        <v>12362</v>
      </c>
      <c r="Q3399" s="20">
        <v>5736</v>
      </c>
      <c r="R3399" s="80" t="s">
        <v>11421</v>
      </c>
      <c r="S3399" s="95">
        <v>2000</v>
      </c>
      <c r="T3399" s="148">
        <v>45525</v>
      </c>
      <c r="U3399" s="95">
        <v>3436</v>
      </c>
      <c r="V3399" s="148">
        <v>45545</v>
      </c>
      <c r="W3399" s="85" t="s">
        <v>12363</v>
      </c>
      <c r="X3399" s="80">
        <v>300</v>
      </c>
      <c r="Y3399" s="22">
        <v>0</v>
      </c>
      <c r="Z3399" s="80" t="s">
        <v>50</v>
      </c>
      <c r="AA3399" s="96" t="s">
        <v>3291</v>
      </c>
      <c r="AB3399" s="80"/>
      <c r="AC3399" s="80" t="s">
        <v>53</v>
      </c>
      <c r="AD3399" s="80" t="s">
        <v>54</v>
      </c>
      <c r="AE3399" s="80"/>
      <c r="AF3399" s="17">
        <v>45526</v>
      </c>
      <c r="AG3399" s="80"/>
      <c r="AH3399" s="80"/>
      <c r="AI3399" s="147" t="s">
        <v>55</v>
      </c>
      <c r="AJ3399" s="80"/>
      <c r="AK3399" s="80"/>
      <c r="AL3399" s="35"/>
      <c r="AM3399" s="35"/>
      <c r="AN3399" s="35"/>
      <c r="AO3399" s="35"/>
      <c r="AP3399" s="35"/>
    </row>
    <row r="3400" spans="1:42" x14ac:dyDescent="0.2">
      <c r="A3400" s="126">
        <v>45525.990421678245</v>
      </c>
      <c r="B3400" s="137" t="s">
        <v>37</v>
      </c>
      <c r="C3400" s="41" t="s">
        <v>118</v>
      </c>
      <c r="D3400" s="80" t="s">
        <v>36</v>
      </c>
      <c r="E3400" s="80" t="s">
        <v>77</v>
      </c>
      <c r="F3400" s="80" t="s">
        <v>36</v>
      </c>
      <c r="G3400" s="80" t="s">
        <v>41</v>
      </c>
      <c r="H3400" s="80" t="s">
        <v>12364</v>
      </c>
      <c r="I3400" s="17" t="str">
        <f ca="1">IFERROR(__xludf.DUMMYFUNCTION("""COMPUTED_VALUE""")," ")</f>
        <v xml:space="preserve"> </v>
      </c>
      <c r="J3400" s="143" t="s">
        <v>12365</v>
      </c>
      <c r="K3400" s="80" t="s">
        <v>12366</v>
      </c>
      <c r="L3400" s="30">
        <v>822361206</v>
      </c>
      <c r="M3400" s="80" t="s">
        <v>80</v>
      </c>
      <c r="N3400" s="80" t="s">
        <v>1073</v>
      </c>
      <c r="O3400" s="80" t="s">
        <v>12367</v>
      </c>
      <c r="P3400" s="80" t="s">
        <v>12368</v>
      </c>
      <c r="Q3400" s="20">
        <v>1968</v>
      </c>
      <c r="R3400" s="80" t="s">
        <v>36</v>
      </c>
      <c r="S3400" s="95">
        <f>200+1800</f>
        <v>2000</v>
      </c>
      <c r="T3400" s="83" t="s">
        <v>11537</v>
      </c>
      <c r="U3400" s="77"/>
      <c r="V3400" s="78"/>
      <c r="W3400" s="85" t="s">
        <v>12369</v>
      </c>
      <c r="X3400" s="80">
        <v>0</v>
      </c>
      <c r="Y3400" s="22">
        <v>-32</v>
      </c>
      <c r="Z3400" s="80" t="s">
        <v>50</v>
      </c>
      <c r="AA3400" s="35" t="s">
        <v>3291</v>
      </c>
      <c r="AB3400" s="80"/>
      <c r="AC3400" s="80" t="s">
        <v>53</v>
      </c>
      <c r="AD3400" s="80" t="s">
        <v>54</v>
      </c>
      <c r="AE3400" s="83">
        <v>0</v>
      </c>
      <c r="AF3400" s="17">
        <v>45533</v>
      </c>
      <c r="AG3400" s="80" t="s">
        <v>7078</v>
      </c>
      <c r="AH3400" s="80"/>
      <c r="AI3400" s="147" t="s">
        <v>84</v>
      </c>
      <c r="AJ3400" s="80"/>
      <c r="AK3400" s="80"/>
      <c r="AL3400" s="35"/>
      <c r="AM3400" s="35"/>
      <c r="AN3400" s="35"/>
      <c r="AO3400" s="35"/>
      <c r="AP3400" s="35"/>
    </row>
    <row r="3401" spans="1:42" x14ac:dyDescent="0.2">
      <c r="A3401" s="126">
        <v>45526.324380439815</v>
      </c>
      <c r="B3401" s="137" t="s">
        <v>37</v>
      </c>
      <c r="C3401" s="41" t="s">
        <v>118</v>
      </c>
      <c r="D3401" s="80" t="s">
        <v>36</v>
      </c>
      <c r="E3401" s="80" t="s">
        <v>139</v>
      </c>
      <c r="F3401" s="80" t="s">
        <v>36</v>
      </c>
      <c r="G3401" s="80" t="s">
        <v>41</v>
      </c>
      <c r="H3401" s="80" t="s">
        <v>11527</v>
      </c>
      <c r="I3401" s="17">
        <f ca="1">IFERROR(__xludf.DUMMYFUNCTION("""COMPUTED_VALUE"""),45534)</f>
        <v>45534</v>
      </c>
      <c r="J3401" s="143" t="s">
        <v>12370</v>
      </c>
      <c r="K3401" s="80" t="s">
        <v>10614</v>
      </c>
      <c r="L3401" s="30">
        <v>363922273</v>
      </c>
      <c r="M3401" s="80" t="s">
        <v>123</v>
      </c>
      <c r="N3401" s="80" t="s">
        <v>186</v>
      </c>
      <c r="O3401" s="80" t="s">
        <v>4503</v>
      </c>
      <c r="P3401" s="144" t="s">
        <v>12371</v>
      </c>
      <c r="Q3401" s="20">
        <v>15936</v>
      </c>
      <c r="R3401" s="80" t="s">
        <v>36</v>
      </c>
      <c r="S3401" s="95">
        <f>200+2000</f>
        <v>2200</v>
      </c>
      <c r="T3401" s="83" t="s">
        <v>12372</v>
      </c>
      <c r="U3401" s="95">
        <v>13736</v>
      </c>
      <c r="V3401" s="148">
        <v>45551</v>
      </c>
      <c r="W3401" s="85" t="s">
        <v>12373</v>
      </c>
      <c r="X3401" s="80">
        <v>0</v>
      </c>
      <c r="Y3401" s="22">
        <v>0</v>
      </c>
      <c r="Z3401" s="80" t="s">
        <v>50</v>
      </c>
      <c r="AA3401" s="96" t="s">
        <v>3291</v>
      </c>
      <c r="AB3401" s="80"/>
      <c r="AC3401" s="80" t="s">
        <v>53</v>
      </c>
      <c r="AD3401" s="80" t="s">
        <v>138</v>
      </c>
      <c r="AE3401" s="80"/>
      <c r="AF3401" s="17">
        <v>45530</v>
      </c>
      <c r="AG3401" s="80"/>
      <c r="AH3401" s="80"/>
      <c r="AI3401" s="147" t="s">
        <v>147</v>
      </c>
      <c r="AJ3401" s="80"/>
      <c r="AK3401" s="80"/>
      <c r="AL3401" s="35"/>
      <c r="AM3401" s="35"/>
      <c r="AN3401" s="35"/>
      <c r="AO3401" s="35"/>
      <c r="AP3401" s="35"/>
    </row>
    <row r="3402" spans="1:42" x14ac:dyDescent="0.2">
      <c r="A3402" s="126">
        <v>45526.334914560182</v>
      </c>
      <c r="B3402" s="137" t="s">
        <v>37</v>
      </c>
      <c r="C3402" s="41" t="s">
        <v>118</v>
      </c>
      <c r="D3402" s="80" t="s">
        <v>36</v>
      </c>
      <c r="E3402" s="80" t="s">
        <v>139</v>
      </c>
      <c r="F3402" s="80" t="s">
        <v>36</v>
      </c>
      <c r="G3402" s="80" t="s">
        <v>41</v>
      </c>
      <c r="H3402" s="80" t="s">
        <v>11497</v>
      </c>
      <c r="I3402" s="17">
        <f ca="1">IFERROR(__xludf.DUMMYFUNCTION("""COMPUTED_VALUE"""),45530)</f>
        <v>45530</v>
      </c>
      <c r="J3402" s="143" t="s">
        <v>12374</v>
      </c>
      <c r="K3402" s="80" t="s">
        <v>12375</v>
      </c>
      <c r="L3402" s="30">
        <v>367490337</v>
      </c>
      <c r="M3402" s="80" t="s">
        <v>123</v>
      </c>
      <c r="N3402" s="80" t="s">
        <v>327</v>
      </c>
      <c r="O3402" s="80" t="s">
        <v>4503</v>
      </c>
      <c r="P3402" s="80" t="s">
        <v>12376</v>
      </c>
      <c r="Q3402" s="20">
        <v>15936</v>
      </c>
      <c r="R3402" s="80" t="s">
        <v>36</v>
      </c>
      <c r="S3402" s="95">
        <f>200+180+1620</f>
        <v>2000</v>
      </c>
      <c r="T3402" s="148">
        <v>45525</v>
      </c>
      <c r="U3402" s="95">
        <v>13936</v>
      </c>
      <c r="V3402" s="148">
        <v>45550</v>
      </c>
      <c r="W3402" s="80" t="s">
        <v>12377</v>
      </c>
      <c r="X3402" s="80">
        <v>0</v>
      </c>
      <c r="Y3402" s="22">
        <v>0</v>
      </c>
      <c r="Z3402" s="80" t="s">
        <v>50</v>
      </c>
      <c r="AA3402" s="35" t="s">
        <v>3291</v>
      </c>
      <c r="AB3402" s="80"/>
      <c r="AC3402" s="80" t="s">
        <v>53</v>
      </c>
      <c r="AD3402" s="80" t="s">
        <v>54</v>
      </c>
      <c r="AE3402" s="80"/>
      <c r="AF3402" s="17">
        <v>45526</v>
      </c>
      <c r="AG3402" s="80"/>
      <c r="AH3402" s="80"/>
      <c r="AI3402" s="147" t="s">
        <v>147</v>
      </c>
      <c r="AJ3402" s="80"/>
      <c r="AK3402" s="80"/>
      <c r="AL3402" s="35"/>
      <c r="AM3402" s="35"/>
      <c r="AN3402" s="35"/>
      <c r="AO3402" s="35"/>
      <c r="AP3402" s="35"/>
    </row>
    <row r="3403" spans="1:42" x14ac:dyDescent="0.2">
      <c r="A3403" s="126">
        <v>45526.378057453709</v>
      </c>
      <c r="B3403" s="137" t="s">
        <v>37</v>
      </c>
      <c r="C3403" s="41" t="s">
        <v>118</v>
      </c>
      <c r="D3403" s="80" t="s">
        <v>36</v>
      </c>
      <c r="E3403" s="80" t="s">
        <v>139</v>
      </c>
      <c r="F3403" s="80" t="s">
        <v>36</v>
      </c>
      <c r="G3403" s="80" t="s">
        <v>41</v>
      </c>
      <c r="H3403" s="80" t="s">
        <v>11595</v>
      </c>
      <c r="I3403" s="17">
        <f ca="1">IFERROR(__xludf.DUMMYFUNCTION("""COMPUTED_VALUE"""),45554)</f>
        <v>45554</v>
      </c>
      <c r="J3403" s="143" t="s">
        <v>12378</v>
      </c>
      <c r="K3403" s="80" t="s">
        <v>12379</v>
      </c>
      <c r="L3403" s="30">
        <v>983739244</v>
      </c>
      <c r="M3403" s="80" t="s">
        <v>5518</v>
      </c>
      <c r="N3403" s="80" t="s">
        <v>12380</v>
      </c>
      <c r="O3403" s="80" t="s">
        <v>1492</v>
      </c>
      <c r="P3403" s="80" t="s">
        <v>9528</v>
      </c>
      <c r="Q3403" s="20">
        <v>15936</v>
      </c>
      <c r="R3403" s="80" t="s">
        <v>36</v>
      </c>
      <c r="S3403" s="95">
        <f>500+15436</f>
        <v>15936</v>
      </c>
      <c r="T3403" s="148">
        <v>45525</v>
      </c>
      <c r="U3403" s="77"/>
      <c r="V3403" s="78">
        <v>45541</v>
      </c>
      <c r="W3403" s="85" t="s">
        <v>12381</v>
      </c>
      <c r="X3403" s="80">
        <v>0</v>
      </c>
      <c r="Y3403" s="22">
        <v>0</v>
      </c>
      <c r="Z3403" s="80" t="s">
        <v>50</v>
      </c>
      <c r="AA3403" s="96" t="s">
        <v>3291</v>
      </c>
      <c r="AB3403" s="80"/>
      <c r="AC3403" s="80" t="s">
        <v>53</v>
      </c>
      <c r="AD3403" s="80" t="s">
        <v>138</v>
      </c>
      <c r="AE3403" s="80"/>
      <c r="AF3403" s="17">
        <v>45554</v>
      </c>
      <c r="AG3403" s="80"/>
      <c r="AH3403" s="80"/>
      <c r="AI3403" s="147" t="s">
        <v>147</v>
      </c>
      <c r="AJ3403" s="80"/>
      <c r="AK3403" s="80"/>
      <c r="AL3403" s="35"/>
      <c r="AM3403" s="35"/>
      <c r="AN3403" s="35"/>
      <c r="AO3403" s="35"/>
      <c r="AP3403" s="35"/>
    </row>
    <row r="3404" spans="1:42" x14ac:dyDescent="0.2">
      <c r="A3404" s="126">
        <v>45527.345489710649</v>
      </c>
      <c r="B3404" s="137" t="s">
        <v>37</v>
      </c>
      <c r="C3404" s="41" t="s">
        <v>118</v>
      </c>
      <c r="D3404" s="80" t="s">
        <v>36</v>
      </c>
      <c r="E3404" s="80" t="s">
        <v>139</v>
      </c>
      <c r="F3404" s="80" t="s">
        <v>36</v>
      </c>
      <c r="G3404" s="80" t="s">
        <v>41</v>
      </c>
      <c r="H3404" s="80" t="s">
        <v>11527</v>
      </c>
      <c r="I3404" s="17">
        <f ca="1">IFERROR(__xludf.DUMMYFUNCTION("""COMPUTED_VALUE"""),45534)</f>
        <v>45534</v>
      </c>
      <c r="J3404" s="143" t="s">
        <v>12382</v>
      </c>
      <c r="K3404" s="80" t="s">
        <v>12383</v>
      </c>
      <c r="L3404" s="30">
        <v>789357603</v>
      </c>
      <c r="M3404" s="80" t="s">
        <v>123</v>
      </c>
      <c r="N3404" s="80" t="s">
        <v>2847</v>
      </c>
      <c r="O3404" s="80" t="s">
        <v>4503</v>
      </c>
      <c r="P3404" s="80" t="s">
        <v>12384</v>
      </c>
      <c r="Q3404" s="20">
        <v>15936</v>
      </c>
      <c r="R3404" s="80" t="s">
        <v>36</v>
      </c>
      <c r="S3404" s="95">
        <f>2000+6000</f>
        <v>8000</v>
      </c>
      <c r="T3404" s="83" t="s">
        <v>12385</v>
      </c>
      <c r="U3404" s="95">
        <v>7936</v>
      </c>
      <c r="V3404" s="148">
        <v>45552</v>
      </c>
      <c r="W3404" s="85" t="s">
        <v>12386</v>
      </c>
      <c r="X3404" s="80">
        <v>0</v>
      </c>
      <c r="Y3404" s="22">
        <v>0</v>
      </c>
      <c r="Z3404" s="80" t="s">
        <v>50</v>
      </c>
      <c r="AA3404" s="35" t="s">
        <v>3291</v>
      </c>
      <c r="AB3404" s="80"/>
      <c r="AC3404" s="80" t="s">
        <v>53</v>
      </c>
      <c r="AD3404" s="80" t="s">
        <v>54</v>
      </c>
      <c r="AE3404" s="80"/>
      <c r="AF3404" s="17">
        <v>45527</v>
      </c>
      <c r="AG3404" s="80"/>
      <c r="AH3404" s="80"/>
      <c r="AI3404" s="147" t="s">
        <v>147</v>
      </c>
      <c r="AJ3404" s="80"/>
      <c r="AK3404" s="80"/>
      <c r="AL3404" s="35"/>
      <c r="AM3404" s="35"/>
      <c r="AN3404" s="35"/>
      <c r="AO3404" s="35"/>
      <c r="AP3404" s="35"/>
    </row>
    <row r="3405" spans="1:42" x14ac:dyDescent="0.2">
      <c r="A3405" s="126">
        <v>45527.84071611111</v>
      </c>
      <c r="B3405" s="137" t="s">
        <v>37</v>
      </c>
      <c r="C3405" s="41" t="s">
        <v>118</v>
      </c>
      <c r="D3405" s="80" t="s">
        <v>36</v>
      </c>
      <c r="E3405" s="80" t="s">
        <v>139</v>
      </c>
      <c r="F3405" s="80" t="s">
        <v>36</v>
      </c>
      <c r="G3405" s="80" t="s">
        <v>41</v>
      </c>
      <c r="H3405" s="80" t="s">
        <v>11497</v>
      </c>
      <c r="I3405" s="17">
        <f ca="1">IFERROR(__xludf.DUMMYFUNCTION("""COMPUTED_VALUE"""),45530)</f>
        <v>45530</v>
      </c>
      <c r="J3405" s="143" t="s">
        <v>12387</v>
      </c>
      <c r="K3405" s="80" t="s">
        <v>12388</v>
      </c>
      <c r="L3405" s="30">
        <v>978877351</v>
      </c>
      <c r="M3405" s="80" t="s">
        <v>5558</v>
      </c>
      <c r="N3405" s="80" t="s">
        <v>5559</v>
      </c>
      <c r="O3405" s="80" t="s">
        <v>4503</v>
      </c>
      <c r="P3405" s="80" t="s">
        <v>12389</v>
      </c>
      <c r="Q3405" s="20">
        <v>15936</v>
      </c>
      <c r="R3405" s="80" t="s">
        <v>36</v>
      </c>
      <c r="S3405" s="95">
        <f>200+1768</f>
        <v>1968</v>
      </c>
      <c r="T3405" s="83" t="s">
        <v>12390</v>
      </c>
      <c r="U3405" s="95">
        <v>13968</v>
      </c>
      <c r="V3405" s="148">
        <v>45544</v>
      </c>
      <c r="W3405" s="80" t="s">
        <v>12391</v>
      </c>
      <c r="X3405" s="80">
        <v>0</v>
      </c>
      <c r="Y3405" s="22">
        <v>0</v>
      </c>
      <c r="Z3405" s="80" t="s">
        <v>50</v>
      </c>
      <c r="AA3405" s="96" t="s">
        <v>3291</v>
      </c>
      <c r="AB3405" s="80"/>
      <c r="AC3405" s="80" t="s">
        <v>53</v>
      </c>
      <c r="AD3405" s="80" t="s">
        <v>54</v>
      </c>
      <c r="AE3405" s="80"/>
      <c r="AF3405" s="17">
        <v>45529</v>
      </c>
      <c r="AG3405" s="80"/>
      <c r="AH3405" s="80"/>
      <c r="AI3405" s="147" t="s">
        <v>147</v>
      </c>
      <c r="AJ3405" s="80"/>
      <c r="AK3405" s="80"/>
      <c r="AL3405" s="35"/>
      <c r="AM3405" s="35"/>
      <c r="AN3405" s="35"/>
      <c r="AO3405" s="35"/>
      <c r="AP3405" s="35"/>
    </row>
    <row r="3406" spans="1:42" x14ac:dyDescent="0.2">
      <c r="A3406" s="126">
        <v>45527.969344490746</v>
      </c>
      <c r="B3406" s="137" t="s">
        <v>37</v>
      </c>
      <c r="C3406" s="41" t="s">
        <v>118</v>
      </c>
      <c r="D3406" s="80" t="s">
        <v>36</v>
      </c>
      <c r="E3406" s="80" t="s">
        <v>39</v>
      </c>
      <c r="F3406" s="80" t="s">
        <v>36</v>
      </c>
      <c r="G3406" s="80" t="s">
        <v>41</v>
      </c>
      <c r="H3406" s="80" t="s">
        <v>11545</v>
      </c>
      <c r="I3406" s="17">
        <f ca="1">IFERROR(__xludf.DUMMYFUNCTION("""COMPUTED_VALUE"""),45540)</f>
        <v>45540</v>
      </c>
      <c r="J3406" s="143" t="s">
        <v>12392</v>
      </c>
      <c r="K3406" s="80" t="s">
        <v>12393</v>
      </c>
      <c r="L3406" s="30">
        <v>336679515</v>
      </c>
      <c r="M3406" s="80" t="s">
        <v>9422</v>
      </c>
      <c r="N3406" s="80" t="s">
        <v>2157</v>
      </c>
      <c r="O3406" s="80" t="s">
        <v>12394</v>
      </c>
      <c r="P3406" s="80" t="s">
        <v>12395</v>
      </c>
      <c r="Q3406" s="20">
        <v>5736</v>
      </c>
      <c r="R3406" s="80" t="s">
        <v>11421</v>
      </c>
      <c r="S3406" s="95">
        <f>500+1500</f>
        <v>2000</v>
      </c>
      <c r="T3406" s="83" t="s">
        <v>12396</v>
      </c>
      <c r="U3406" s="95">
        <v>3436</v>
      </c>
      <c r="V3406" s="148">
        <v>45555</v>
      </c>
      <c r="W3406" s="80" t="s">
        <v>12397</v>
      </c>
      <c r="X3406" s="80">
        <v>300</v>
      </c>
      <c r="Y3406" s="22">
        <v>0</v>
      </c>
      <c r="Z3406" s="80" t="s">
        <v>50</v>
      </c>
      <c r="AA3406" s="35" t="s">
        <v>3291</v>
      </c>
      <c r="AB3406" s="80"/>
      <c r="AC3406" s="80" t="s">
        <v>53</v>
      </c>
      <c r="AD3406" s="80" t="s">
        <v>54</v>
      </c>
      <c r="AE3406" s="80"/>
      <c r="AF3406" s="17">
        <v>45529</v>
      </c>
      <c r="AG3406" s="80"/>
      <c r="AH3406" s="80"/>
      <c r="AI3406" s="147" t="s">
        <v>55</v>
      </c>
      <c r="AJ3406" s="80"/>
      <c r="AK3406" s="80"/>
      <c r="AL3406" s="35"/>
      <c r="AM3406" s="35"/>
      <c r="AN3406" s="35"/>
      <c r="AO3406" s="35"/>
      <c r="AP3406" s="35"/>
    </row>
    <row r="3407" spans="1:42" x14ac:dyDescent="0.2">
      <c r="A3407" s="126">
        <v>45528.385890486112</v>
      </c>
      <c r="B3407" s="137" t="s">
        <v>37</v>
      </c>
      <c r="C3407" s="41" t="s">
        <v>118</v>
      </c>
      <c r="D3407" s="80" t="s">
        <v>36</v>
      </c>
      <c r="E3407" s="80" t="s">
        <v>139</v>
      </c>
      <c r="F3407" s="80" t="s">
        <v>36</v>
      </c>
      <c r="G3407" s="80" t="s">
        <v>41</v>
      </c>
      <c r="H3407" s="80" t="s">
        <v>12398</v>
      </c>
      <c r="I3407" s="17">
        <f ca="1">IFERROR(__xludf.DUMMYFUNCTION("""COMPUTED_VALUE"""),45575)</f>
        <v>45575</v>
      </c>
      <c r="J3407" s="143" t="s">
        <v>12399</v>
      </c>
      <c r="K3407" s="80" t="s">
        <v>12400</v>
      </c>
      <c r="L3407" s="30">
        <v>345736615</v>
      </c>
      <c r="M3407" s="80" t="s">
        <v>3728</v>
      </c>
      <c r="N3407" s="80" t="s">
        <v>8725</v>
      </c>
      <c r="O3407" s="80" t="s">
        <v>12401</v>
      </c>
      <c r="P3407" s="80" t="s">
        <v>12402</v>
      </c>
      <c r="Q3407" s="20">
        <v>15936</v>
      </c>
      <c r="R3407" s="80" t="s">
        <v>36</v>
      </c>
      <c r="S3407" s="95">
        <f>200+1800</f>
        <v>2000</v>
      </c>
      <c r="T3407" s="83" t="s">
        <v>12403</v>
      </c>
      <c r="U3407" s="95">
        <v>13936</v>
      </c>
      <c r="V3407" s="148">
        <v>45559</v>
      </c>
      <c r="W3407" s="85" t="s">
        <v>12404</v>
      </c>
      <c r="X3407" s="80">
        <v>0</v>
      </c>
      <c r="Y3407" s="22">
        <v>0</v>
      </c>
      <c r="Z3407" s="80" t="s">
        <v>50</v>
      </c>
      <c r="AA3407" s="96" t="s">
        <v>3291</v>
      </c>
      <c r="AB3407" s="80"/>
      <c r="AC3407" s="80" t="s">
        <v>53</v>
      </c>
      <c r="AD3407" s="80" t="s">
        <v>54</v>
      </c>
      <c r="AE3407" s="80"/>
      <c r="AF3407" s="17">
        <v>45533</v>
      </c>
      <c r="AG3407" s="80"/>
      <c r="AH3407" s="80"/>
      <c r="AI3407" s="147" t="s">
        <v>147</v>
      </c>
      <c r="AJ3407" s="80"/>
      <c r="AK3407" s="80"/>
      <c r="AL3407" s="35"/>
      <c r="AM3407" s="35"/>
      <c r="AN3407" s="35"/>
      <c r="AO3407" s="35"/>
      <c r="AP3407" s="35"/>
    </row>
    <row r="3408" spans="1:42" x14ac:dyDescent="0.2">
      <c r="A3408" s="126">
        <v>45528.911338599537</v>
      </c>
      <c r="B3408" s="137" t="s">
        <v>37</v>
      </c>
      <c r="C3408" s="41" t="s">
        <v>118</v>
      </c>
      <c r="D3408" s="80" t="s">
        <v>119</v>
      </c>
      <c r="E3408" s="80" t="s">
        <v>139</v>
      </c>
      <c r="F3408" s="26" t="s">
        <v>36</v>
      </c>
      <c r="G3408" s="26" t="s">
        <v>41</v>
      </c>
      <c r="H3408" s="80" t="s">
        <v>11610</v>
      </c>
      <c r="I3408" s="17">
        <f ca="1">IFERROR(__xludf.DUMMYFUNCTION("""COMPUTED_VALUE"""),45552)</f>
        <v>45552</v>
      </c>
      <c r="J3408" s="143" t="s">
        <v>12405</v>
      </c>
      <c r="K3408" s="80" t="s">
        <v>12406</v>
      </c>
      <c r="L3408" s="30">
        <v>855723658</v>
      </c>
      <c r="M3408" s="80" t="s">
        <v>910</v>
      </c>
      <c r="N3408" s="80" t="s">
        <v>3525</v>
      </c>
      <c r="O3408" s="80" t="s">
        <v>91</v>
      </c>
      <c r="P3408" s="80" t="s">
        <v>12407</v>
      </c>
      <c r="Q3408" s="20">
        <v>15936</v>
      </c>
      <c r="R3408" s="80" t="s">
        <v>36</v>
      </c>
      <c r="S3408" s="95">
        <v>7000</v>
      </c>
      <c r="T3408" s="148">
        <v>45528</v>
      </c>
      <c r="U3408" s="95">
        <v>8936</v>
      </c>
      <c r="V3408" s="148">
        <v>45559</v>
      </c>
      <c r="W3408" s="85" t="s">
        <v>12408</v>
      </c>
      <c r="X3408" s="80">
        <v>0</v>
      </c>
      <c r="Y3408" s="22">
        <v>0</v>
      </c>
      <c r="Z3408" s="80" t="s">
        <v>50</v>
      </c>
      <c r="AA3408" s="35" t="s">
        <v>3291</v>
      </c>
      <c r="AB3408" s="80"/>
      <c r="AC3408" s="80" t="s">
        <v>53</v>
      </c>
      <c r="AD3408" s="80" t="s">
        <v>138</v>
      </c>
      <c r="AE3408" s="80"/>
      <c r="AF3408" s="17">
        <v>45551</v>
      </c>
      <c r="AG3408" s="80"/>
      <c r="AH3408" s="80"/>
      <c r="AI3408" s="147" t="s">
        <v>147</v>
      </c>
      <c r="AJ3408" s="80"/>
      <c r="AK3408" s="80"/>
      <c r="AL3408" s="35"/>
      <c r="AM3408" s="35"/>
      <c r="AN3408" s="35"/>
      <c r="AO3408" s="35"/>
      <c r="AP3408" s="35"/>
    </row>
    <row r="3409" spans="1:42" x14ac:dyDescent="0.2">
      <c r="A3409" s="126">
        <v>45529.588471979165</v>
      </c>
      <c r="B3409" s="137" t="s">
        <v>37</v>
      </c>
      <c r="C3409" s="41" t="s">
        <v>118</v>
      </c>
      <c r="D3409" s="80" t="s">
        <v>36</v>
      </c>
      <c r="E3409" s="80" t="s">
        <v>77</v>
      </c>
      <c r="F3409" s="80" t="s">
        <v>36</v>
      </c>
      <c r="G3409" s="80" t="s">
        <v>41</v>
      </c>
      <c r="H3409" s="80" t="s">
        <v>12409</v>
      </c>
      <c r="I3409" s="17" t="str">
        <f ca="1">IFERROR(__xludf.DUMMYFUNCTION("""COMPUTED_VALUE""")," ")</f>
        <v xml:space="preserve"> </v>
      </c>
      <c r="J3409" s="143" t="s">
        <v>12410</v>
      </c>
      <c r="K3409" s="145" t="s">
        <v>12411</v>
      </c>
      <c r="L3409" s="47">
        <v>354840340</v>
      </c>
      <c r="M3409" s="145" t="s">
        <v>59</v>
      </c>
      <c r="N3409" s="145" t="s">
        <v>4299</v>
      </c>
      <c r="O3409" s="80" t="s">
        <v>12412</v>
      </c>
      <c r="P3409" s="80" t="s">
        <v>12413</v>
      </c>
      <c r="Q3409" s="20">
        <v>1968</v>
      </c>
      <c r="R3409" s="80" t="s">
        <v>36</v>
      </c>
      <c r="S3409" s="95">
        <f>200+1768</f>
        <v>1968</v>
      </c>
      <c r="T3409" s="83" t="s">
        <v>12414</v>
      </c>
      <c r="U3409" s="95"/>
      <c r="V3409" s="148"/>
      <c r="W3409" s="80" t="s">
        <v>12415</v>
      </c>
      <c r="X3409" s="26">
        <v>0</v>
      </c>
      <c r="Y3409" s="22">
        <v>0</v>
      </c>
      <c r="Z3409" s="26" t="s">
        <v>50</v>
      </c>
      <c r="AA3409" s="96" t="s">
        <v>3291</v>
      </c>
      <c r="AB3409" s="26"/>
      <c r="AC3409" s="26"/>
      <c r="AD3409" s="26"/>
      <c r="AE3409" s="26"/>
      <c r="AF3409" s="17">
        <v>45538</v>
      </c>
      <c r="AG3409" s="26" t="s">
        <v>7078</v>
      </c>
      <c r="AH3409" s="26"/>
      <c r="AI3409" s="40" t="s">
        <v>84</v>
      </c>
      <c r="AJ3409" s="26"/>
      <c r="AK3409" s="26"/>
      <c r="AL3409" s="35"/>
      <c r="AM3409" s="35"/>
      <c r="AN3409" s="35"/>
      <c r="AO3409" s="35"/>
      <c r="AP3409" s="35"/>
    </row>
    <row r="3410" spans="1:42" x14ac:dyDescent="0.2">
      <c r="A3410" s="126">
        <v>45529.707777303236</v>
      </c>
      <c r="B3410" s="137" t="s">
        <v>37</v>
      </c>
      <c r="C3410" s="41" t="s">
        <v>118</v>
      </c>
      <c r="D3410" s="80" t="s">
        <v>36</v>
      </c>
      <c r="E3410" s="80" t="s">
        <v>139</v>
      </c>
      <c r="F3410" s="26" t="s">
        <v>36</v>
      </c>
      <c r="G3410" s="26" t="s">
        <v>41</v>
      </c>
      <c r="H3410" s="80" t="s">
        <v>12416</v>
      </c>
      <c r="I3410" s="17">
        <f ca="1">IFERROR(__xludf.DUMMYFUNCTION("""COMPUTED_VALUE"""),45574)</f>
        <v>45574</v>
      </c>
      <c r="J3410" s="143" t="s">
        <v>12417</v>
      </c>
      <c r="K3410" s="80" t="s">
        <v>12418</v>
      </c>
      <c r="L3410" s="30">
        <v>969022325</v>
      </c>
      <c r="M3410" s="80" t="s">
        <v>9422</v>
      </c>
      <c r="N3410" s="80" t="s">
        <v>2157</v>
      </c>
      <c r="O3410" s="80" t="s">
        <v>12419</v>
      </c>
      <c r="P3410" s="80" t="s">
        <v>12420</v>
      </c>
      <c r="Q3410" s="20">
        <v>15936</v>
      </c>
      <c r="R3410" s="80" t="s">
        <v>11421</v>
      </c>
      <c r="S3410" s="95">
        <v>2000</v>
      </c>
      <c r="T3410" s="148">
        <v>45529</v>
      </c>
      <c r="U3410" s="95">
        <v>13636</v>
      </c>
      <c r="V3410" s="148">
        <v>45560</v>
      </c>
      <c r="W3410" s="85" t="s">
        <v>12421</v>
      </c>
      <c r="X3410" s="80">
        <v>300</v>
      </c>
      <c r="Y3410" s="22">
        <v>0</v>
      </c>
      <c r="Z3410" s="80" t="s">
        <v>50</v>
      </c>
      <c r="AA3410" s="35" t="s">
        <v>3291</v>
      </c>
      <c r="AB3410" s="80"/>
      <c r="AC3410" s="80" t="s">
        <v>53</v>
      </c>
      <c r="AD3410" s="80" t="s">
        <v>138</v>
      </c>
      <c r="AE3410" s="80"/>
      <c r="AF3410" s="17">
        <v>45540</v>
      </c>
      <c r="AG3410" s="26" t="s">
        <v>3399</v>
      </c>
      <c r="AH3410" s="80"/>
      <c r="AI3410" s="147" t="s">
        <v>147</v>
      </c>
      <c r="AJ3410" s="80"/>
      <c r="AK3410" s="80"/>
      <c r="AL3410" s="35"/>
      <c r="AM3410" s="35"/>
      <c r="AN3410" s="35"/>
      <c r="AO3410" s="35"/>
      <c r="AP3410" s="35"/>
    </row>
    <row r="3411" spans="1:42" x14ac:dyDescent="0.2">
      <c r="A3411" s="126">
        <v>45529.709216145835</v>
      </c>
      <c r="B3411" s="137" t="s">
        <v>37</v>
      </c>
      <c r="C3411" s="41" t="s">
        <v>118</v>
      </c>
      <c r="D3411" s="80" t="s">
        <v>36</v>
      </c>
      <c r="E3411" s="80" t="s">
        <v>56</v>
      </c>
      <c r="F3411" s="80" t="s">
        <v>36</v>
      </c>
      <c r="G3411" s="80" t="s">
        <v>41</v>
      </c>
      <c r="H3411" s="80" t="s">
        <v>8392</v>
      </c>
      <c r="I3411" s="17">
        <f ca="1">IFERROR(__xludf.DUMMYFUNCTION("""COMPUTED_VALUE"""),45540)</f>
        <v>45540</v>
      </c>
      <c r="J3411" s="143" t="s">
        <v>12422</v>
      </c>
      <c r="K3411" s="80" t="s">
        <v>12423</v>
      </c>
      <c r="L3411" s="30">
        <v>912535512</v>
      </c>
      <c r="M3411" s="80" t="s">
        <v>9422</v>
      </c>
      <c r="N3411" s="80" t="s">
        <v>68</v>
      </c>
      <c r="O3411" s="80" t="s">
        <v>12424</v>
      </c>
      <c r="P3411" s="80" t="s">
        <v>12425</v>
      </c>
      <c r="Q3411" s="20">
        <v>9317</v>
      </c>
      <c r="R3411" s="80" t="s">
        <v>11421</v>
      </c>
      <c r="S3411" s="95">
        <f>2000+3000</f>
        <v>5000</v>
      </c>
      <c r="T3411" s="83" t="s">
        <v>12426</v>
      </c>
      <c r="U3411" s="95">
        <v>4017</v>
      </c>
      <c r="V3411" s="148">
        <v>45552</v>
      </c>
      <c r="W3411" s="85" t="s">
        <v>12427</v>
      </c>
      <c r="X3411" s="80">
        <v>300</v>
      </c>
      <c r="Y3411" s="22">
        <v>0</v>
      </c>
      <c r="Z3411" s="80" t="s">
        <v>50</v>
      </c>
      <c r="AA3411" s="96" t="s">
        <v>3291</v>
      </c>
      <c r="AB3411" s="80"/>
      <c r="AC3411" s="80" t="s">
        <v>1828</v>
      </c>
      <c r="AD3411" s="80" t="s">
        <v>54</v>
      </c>
      <c r="AE3411" s="80"/>
      <c r="AF3411" s="60" t="s">
        <v>1829</v>
      </c>
      <c r="AG3411" s="80" t="s">
        <v>1828</v>
      </c>
      <c r="AH3411" s="80"/>
      <c r="AI3411" s="147" t="s">
        <v>64</v>
      </c>
      <c r="AJ3411" s="80"/>
      <c r="AK3411" s="80"/>
      <c r="AL3411" s="35"/>
      <c r="AM3411" s="35"/>
      <c r="AN3411" s="35"/>
      <c r="AO3411" s="35"/>
      <c r="AP3411" s="35"/>
    </row>
    <row r="3412" spans="1:42" x14ac:dyDescent="0.2">
      <c r="A3412" s="126">
        <v>45529.884944155092</v>
      </c>
      <c r="B3412" s="137" t="s">
        <v>37</v>
      </c>
      <c r="C3412" s="41" t="s">
        <v>118</v>
      </c>
      <c r="D3412" s="80" t="s">
        <v>36</v>
      </c>
      <c r="E3412" s="80" t="s">
        <v>39</v>
      </c>
      <c r="F3412" s="80" t="s">
        <v>36</v>
      </c>
      <c r="G3412" s="80" t="s">
        <v>41</v>
      </c>
      <c r="H3412" s="80" t="s">
        <v>8392</v>
      </c>
      <c r="I3412" s="17">
        <f ca="1">IFERROR(__xludf.DUMMYFUNCTION("""COMPUTED_VALUE"""),45540)</f>
        <v>45540</v>
      </c>
      <c r="J3412" s="143" t="s">
        <v>12428</v>
      </c>
      <c r="K3412" s="80" t="s">
        <v>12429</v>
      </c>
      <c r="L3412" s="30">
        <v>375165182</v>
      </c>
      <c r="M3412" s="80" t="s">
        <v>9422</v>
      </c>
      <c r="N3412" s="80" t="s">
        <v>2157</v>
      </c>
      <c r="O3412" s="80" t="s">
        <v>12430</v>
      </c>
      <c r="P3412" s="186" t="s">
        <v>12431</v>
      </c>
      <c r="Q3412" s="20">
        <v>5736</v>
      </c>
      <c r="R3412" s="80" t="s">
        <v>11421</v>
      </c>
      <c r="S3412" s="95">
        <v>1968</v>
      </c>
      <c r="T3412" s="148">
        <v>45529</v>
      </c>
      <c r="U3412" s="95">
        <v>3436</v>
      </c>
      <c r="V3412" s="148">
        <v>45560</v>
      </c>
      <c r="W3412" s="85" t="s">
        <v>12432</v>
      </c>
      <c r="X3412" s="80">
        <v>300</v>
      </c>
      <c r="Y3412" s="22">
        <v>32</v>
      </c>
      <c r="Z3412" s="80" t="s">
        <v>50</v>
      </c>
      <c r="AA3412" s="35" t="s">
        <v>3291</v>
      </c>
      <c r="AB3412" s="80"/>
      <c r="AC3412" s="80" t="s">
        <v>53</v>
      </c>
      <c r="AD3412" s="80" t="s">
        <v>54</v>
      </c>
      <c r="AE3412" s="80"/>
      <c r="AF3412" s="17">
        <v>45538</v>
      </c>
      <c r="AG3412" s="80"/>
      <c r="AH3412" s="80"/>
      <c r="AI3412" s="147" t="s">
        <v>55</v>
      </c>
      <c r="AJ3412" s="80"/>
      <c r="AK3412" s="80"/>
      <c r="AL3412" s="35"/>
      <c r="AM3412" s="35"/>
      <c r="AN3412" s="35"/>
      <c r="AO3412" s="35"/>
      <c r="AP3412" s="35"/>
    </row>
    <row r="3413" spans="1:42" x14ac:dyDescent="0.2">
      <c r="A3413" s="126">
        <v>45529.936883981485</v>
      </c>
      <c r="B3413" s="137" t="s">
        <v>37</v>
      </c>
      <c r="C3413" s="41" t="s">
        <v>118</v>
      </c>
      <c r="D3413" s="80" t="s">
        <v>36</v>
      </c>
      <c r="E3413" s="80" t="s">
        <v>56</v>
      </c>
      <c r="F3413" s="80" t="s">
        <v>36</v>
      </c>
      <c r="G3413" s="80" t="s">
        <v>41</v>
      </c>
      <c r="H3413" s="80" t="s">
        <v>8392</v>
      </c>
      <c r="I3413" s="17">
        <f ca="1">IFERROR(__xludf.DUMMYFUNCTION("""COMPUTED_VALUE"""),45540)</f>
        <v>45540</v>
      </c>
      <c r="J3413" s="143" t="s">
        <v>12433</v>
      </c>
      <c r="K3413" s="80" t="s">
        <v>12434</v>
      </c>
      <c r="L3413" s="30">
        <v>367933862</v>
      </c>
      <c r="M3413" s="80" t="s">
        <v>3728</v>
      </c>
      <c r="N3413" s="80" t="s">
        <v>5312</v>
      </c>
      <c r="O3413" s="80" t="s">
        <v>12435</v>
      </c>
      <c r="P3413" s="144" t="s">
        <v>12436</v>
      </c>
      <c r="Q3413" s="20">
        <v>9317</v>
      </c>
      <c r="R3413" s="80" t="s">
        <v>36</v>
      </c>
      <c r="S3413" s="95">
        <f t="shared" ref="S3413:S3414" si="43">200+1800</f>
        <v>2000</v>
      </c>
      <c r="T3413" s="83" t="s">
        <v>12437</v>
      </c>
      <c r="U3413" s="95">
        <v>7317</v>
      </c>
      <c r="V3413" s="148">
        <v>45554</v>
      </c>
      <c r="W3413" s="85" t="s">
        <v>12438</v>
      </c>
      <c r="X3413" s="80">
        <v>0</v>
      </c>
      <c r="Y3413" s="22">
        <v>0</v>
      </c>
      <c r="Z3413" s="80" t="s">
        <v>50</v>
      </c>
      <c r="AA3413" s="96" t="s">
        <v>3291</v>
      </c>
      <c r="AB3413" s="80"/>
      <c r="AC3413" s="80" t="s">
        <v>53</v>
      </c>
      <c r="AD3413" s="80" t="s">
        <v>54</v>
      </c>
      <c r="AE3413" s="80"/>
      <c r="AF3413" s="17">
        <v>45538</v>
      </c>
      <c r="AG3413" s="80"/>
      <c r="AH3413" s="80"/>
      <c r="AI3413" s="147" t="s">
        <v>64</v>
      </c>
      <c r="AJ3413" s="80"/>
      <c r="AK3413" s="80"/>
      <c r="AL3413" s="35"/>
      <c r="AM3413" s="35"/>
      <c r="AN3413" s="35"/>
      <c r="AO3413" s="35"/>
      <c r="AP3413" s="35"/>
    </row>
    <row r="3414" spans="1:42" x14ac:dyDescent="0.2">
      <c r="A3414" s="126">
        <v>45530.405496018517</v>
      </c>
      <c r="B3414" s="137" t="s">
        <v>37</v>
      </c>
      <c r="C3414" s="41" t="s">
        <v>118</v>
      </c>
      <c r="D3414" s="80" t="s">
        <v>36</v>
      </c>
      <c r="E3414" s="80" t="s">
        <v>139</v>
      </c>
      <c r="F3414" s="80" t="s">
        <v>36</v>
      </c>
      <c r="G3414" s="80" t="s">
        <v>41</v>
      </c>
      <c r="H3414" s="80" t="s">
        <v>11347</v>
      </c>
      <c r="I3414" s="17">
        <f ca="1">IFERROR(__xludf.DUMMYFUNCTION("""COMPUTED_VALUE"""),45551)</f>
        <v>45551</v>
      </c>
      <c r="J3414" s="143" t="s">
        <v>12439</v>
      </c>
      <c r="K3414" s="80" t="s">
        <v>12440</v>
      </c>
      <c r="L3414" s="30">
        <v>835779577</v>
      </c>
      <c r="M3414" s="80" t="s">
        <v>910</v>
      </c>
      <c r="N3414" s="80" t="s">
        <v>3525</v>
      </c>
      <c r="O3414" s="80" t="s">
        <v>91</v>
      </c>
      <c r="P3414" s="80" t="s">
        <v>12441</v>
      </c>
      <c r="Q3414" s="20">
        <v>15936</v>
      </c>
      <c r="R3414" s="80" t="s">
        <v>36</v>
      </c>
      <c r="S3414" s="95">
        <f t="shared" si="43"/>
        <v>2000</v>
      </c>
      <c r="T3414" s="83" t="s">
        <v>12442</v>
      </c>
      <c r="U3414" s="95">
        <v>13936</v>
      </c>
      <c r="V3414" s="148">
        <v>45565</v>
      </c>
      <c r="W3414" s="85" t="s">
        <v>12443</v>
      </c>
      <c r="X3414" s="80">
        <v>0</v>
      </c>
      <c r="Y3414" s="22">
        <v>0</v>
      </c>
      <c r="Z3414" s="80" t="s">
        <v>50</v>
      </c>
      <c r="AA3414" s="35" t="s">
        <v>3291</v>
      </c>
      <c r="AB3414" s="80"/>
      <c r="AC3414" s="80" t="s">
        <v>53</v>
      </c>
      <c r="AD3414" s="80" t="s">
        <v>138</v>
      </c>
      <c r="AE3414" s="80"/>
      <c r="AF3414" s="17">
        <v>45551</v>
      </c>
      <c r="AG3414" s="80"/>
      <c r="AH3414" s="80"/>
      <c r="AI3414" s="147" t="s">
        <v>147</v>
      </c>
      <c r="AJ3414" s="80"/>
      <c r="AK3414" s="80"/>
      <c r="AL3414" s="35"/>
      <c r="AM3414" s="35"/>
      <c r="AN3414" s="35"/>
      <c r="AO3414" s="35"/>
      <c r="AP3414" s="35"/>
    </row>
    <row r="3415" spans="1:42" x14ac:dyDescent="0.2">
      <c r="A3415" s="126">
        <v>45530.424101817131</v>
      </c>
      <c r="B3415" s="137" t="s">
        <v>37</v>
      </c>
      <c r="C3415" s="41" t="s">
        <v>118</v>
      </c>
      <c r="D3415" s="80" t="s">
        <v>36</v>
      </c>
      <c r="E3415" s="80" t="s">
        <v>139</v>
      </c>
      <c r="F3415" s="80" t="s">
        <v>40</v>
      </c>
      <c r="G3415" s="80" t="s">
        <v>41</v>
      </c>
      <c r="H3415" s="80" t="s">
        <v>12444</v>
      </c>
      <c r="I3415" s="17">
        <f ca="1">IFERROR(__xludf.DUMMYFUNCTION("""COMPUTED_VALUE"""),45590)</f>
        <v>45590</v>
      </c>
      <c r="J3415" s="143" t="s">
        <v>12445</v>
      </c>
      <c r="K3415" s="80" t="s">
        <v>12446</v>
      </c>
      <c r="L3415" s="30">
        <v>961668715</v>
      </c>
      <c r="M3415" s="80" t="s">
        <v>348</v>
      </c>
      <c r="N3415" s="80" t="s">
        <v>200</v>
      </c>
      <c r="O3415" s="80" t="s">
        <v>91</v>
      </c>
      <c r="P3415" s="80" t="s">
        <v>12447</v>
      </c>
      <c r="Q3415" s="20">
        <v>15936</v>
      </c>
      <c r="R3415" s="80" t="s">
        <v>36</v>
      </c>
      <c r="S3415" s="95">
        <v>2000</v>
      </c>
      <c r="T3415" s="148">
        <v>45530</v>
      </c>
      <c r="U3415" s="95">
        <v>13968</v>
      </c>
      <c r="V3415" s="148">
        <v>45536</v>
      </c>
      <c r="W3415" s="85" t="s">
        <v>12448</v>
      </c>
      <c r="X3415" s="80">
        <v>0</v>
      </c>
      <c r="Y3415" s="22">
        <v>-32</v>
      </c>
      <c r="Z3415" s="80" t="s">
        <v>50</v>
      </c>
      <c r="AA3415" s="96" t="s">
        <v>3291</v>
      </c>
      <c r="AB3415" s="80"/>
      <c r="AC3415" s="80" t="s">
        <v>53</v>
      </c>
      <c r="AD3415" s="80" t="s">
        <v>54</v>
      </c>
      <c r="AE3415" s="80" t="s">
        <v>91</v>
      </c>
      <c r="AF3415" s="17">
        <v>45533</v>
      </c>
      <c r="AG3415" s="80"/>
      <c r="AH3415" s="80"/>
      <c r="AI3415" s="147" t="s">
        <v>147</v>
      </c>
      <c r="AJ3415" s="80"/>
      <c r="AK3415" s="80"/>
      <c r="AL3415" s="35"/>
      <c r="AM3415" s="35"/>
      <c r="AN3415" s="35"/>
      <c r="AO3415" s="35"/>
      <c r="AP3415" s="35"/>
    </row>
    <row r="3416" spans="1:42" x14ac:dyDescent="0.2">
      <c r="A3416" s="126">
        <v>45530.491491203706</v>
      </c>
      <c r="B3416" s="137" t="s">
        <v>37</v>
      </c>
      <c r="C3416" s="41" t="s">
        <v>118</v>
      </c>
      <c r="D3416" s="80" t="s">
        <v>36</v>
      </c>
      <c r="E3416" s="80" t="s">
        <v>56</v>
      </c>
      <c r="F3416" s="80" t="s">
        <v>36</v>
      </c>
      <c r="G3416" s="80" t="s">
        <v>41</v>
      </c>
      <c r="H3416" s="80" t="s">
        <v>11347</v>
      </c>
      <c r="I3416" s="17">
        <f ca="1">IFERROR(__xludf.DUMMYFUNCTION("""COMPUTED_VALUE"""),45551)</f>
        <v>45551</v>
      </c>
      <c r="J3416" s="143" t="s">
        <v>12449</v>
      </c>
      <c r="K3416" s="80" t="s">
        <v>12450</v>
      </c>
      <c r="L3416" s="83">
        <v>388354043</v>
      </c>
      <c r="M3416" s="80" t="s">
        <v>3728</v>
      </c>
      <c r="N3416" s="80" t="s">
        <v>5277</v>
      </c>
      <c r="O3416" s="80" t="s">
        <v>12451</v>
      </c>
      <c r="P3416" s="80" t="s">
        <v>12452</v>
      </c>
      <c r="Q3416" s="20">
        <v>9317</v>
      </c>
      <c r="R3416" s="80" t="s">
        <v>1989</v>
      </c>
      <c r="S3416" s="95">
        <f t="shared" ref="S3416:S3419" si="44">200+1800</f>
        <v>2000</v>
      </c>
      <c r="T3416" s="83" t="s">
        <v>12453</v>
      </c>
      <c r="U3416" s="95">
        <v>7067</v>
      </c>
      <c r="V3416" s="148">
        <v>45564</v>
      </c>
      <c r="W3416" s="85" t="s">
        <v>12454</v>
      </c>
      <c r="X3416" s="80">
        <v>250</v>
      </c>
      <c r="Y3416" s="22">
        <v>0</v>
      </c>
      <c r="Z3416" s="80" t="s">
        <v>50</v>
      </c>
      <c r="AA3416" s="35" t="s">
        <v>3291</v>
      </c>
      <c r="AB3416" s="80"/>
      <c r="AC3416" s="80" t="s">
        <v>53</v>
      </c>
      <c r="AD3416" s="80" t="s">
        <v>138</v>
      </c>
      <c r="AE3416" s="80"/>
      <c r="AF3416" s="17">
        <v>45551</v>
      </c>
      <c r="AG3416" s="80"/>
      <c r="AH3416" s="80"/>
      <c r="AI3416" s="147" t="s">
        <v>64</v>
      </c>
      <c r="AJ3416" s="80"/>
      <c r="AK3416" s="80"/>
      <c r="AL3416" s="35"/>
      <c r="AM3416" s="35"/>
      <c r="AN3416" s="35"/>
      <c r="AO3416" s="35"/>
      <c r="AP3416" s="35"/>
    </row>
    <row r="3417" spans="1:42" x14ac:dyDescent="0.2">
      <c r="A3417" s="126">
        <v>45530.493591817125</v>
      </c>
      <c r="B3417" s="137" t="s">
        <v>37</v>
      </c>
      <c r="C3417" s="41" t="s">
        <v>118</v>
      </c>
      <c r="D3417" s="80" t="s">
        <v>36</v>
      </c>
      <c r="E3417" s="80" t="s">
        <v>56</v>
      </c>
      <c r="F3417" s="80" t="s">
        <v>36</v>
      </c>
      <c r="G3417" s="80" t="s">
        <v>41</v>
      </c>
      <c r="H3417" s="80" t="s">
        <v>11347</v>
      </c>
      <c r="I3417" s="17">
        <f ca="1">IFERROR(__xludf.DUMMYFUNCTION("""COMPUTED_VALUE"""),45551)</f>
        <v>45551</v>
      </c>
      <c r="J3417" s="143" t="s">
        <v>12455</v>
      </c>
      <c r="K3417" s="80" t="s">
        <v>12456</v>
      </c>
      <c r="L3417" s="30">
        <v>368926935</v>
      </c>
      <c r="M3417" s="80" t="s">
        <v>3728</v>
      </c>
      <c r="N3417" s="80" t="s">
        <v>260</v>
      </c>
      <c r="O3417" s="80" t="s">
        <v>12457</v>
      </c>
      <c r="P3417" s="80" t="s">
        <v>11644</v>
      </c>
      <c r="Q3417" s="20">
        <v>9317</v>
      </c>
      <c r="R3417" s="80" t="s">
        <v>1989</v>
      </c>
      <c r="S3417" s="95">
        <f t="shared" si="44"/>
        <v>2000</v>
      </c>
      <c r="T3417" s="83" t="s">
        <v>12458</v>
      </c>
      <c r="U3417" s="95">
        <v>7067</v>
      </c>
      <c r="V3417" s="148">
        <v>45564</v>
      </c>
      <c r="W3417" s="85" t="s">
        <v>12459</v>
      </c>
      <c r="X3417" s="80">
        <v>250</v>
      </c>
      <c r="Y3417" s="22">
        <v>0</v>
      </c>
      <c r="Z3417" s="80" t="s">
        <v>50</v>
      </c>
      <c r="AA3417" s="96" t="s">
        <v>3291</v>
      </c>
      <c r="AB3417" s="80"/>
      <c r="AC3417" s="80" t="s">
        <v>53</v>
      </c>
      <c r="AD3417" s="80" t="s">
        <v>138</v>
      </c>
      <c r="AE3417" s="80"/>
      <c r="AF3417" s="17">
        <v>45551</v>
      </c>
      <c r="AG3417" s="80"/>
      <c r="AH3417" s="80"/>
      <c r="AI3417" s="147" t="s">
        <v>64</v>
      </c>
      <c r="AJ3417" s="80"/>
      <c r="AK3417" s="80"/>
      <c r="AL3417" s="35"/>
      <c r="AM3417" s="35"/>
      <c r="AN3417" s="35"/>
      <c r="AO3417" s="35"/>
      <c r="AP3417" s="35"/>
    </row>
    <row r="3418" spans="1:42" x14ac:dyDescent="0.2">
      <c r="A3418" s="126">
        <v>45530.495045648146</v>
      </c>
      <c r="B3418" s="137" t="s">
        <v>37</v>
      </c>
      <c r="C3418" s="41" t="s">
        <v>118</v>
      </c>
      <c r="D3418" s="80" t="s">
        <v>36</v>
      </c>
      <c r="E3418" s="80" t="s">
        <v>56</v>
      </c>
      <c r="F3418" s="80" t="s">
        <v>36</v>
      </c>
      <c r="G3418" s="80" t="s">
        <v>41</v>
      </c>
      <c r="H3418" s="80" t="s">
        <v>11347</v>
      </c>
      <c r="I3418" s="17">
        <f ca="1">IFERROR(__xludf.DUMMYFUNCTION("""COMPUTED_VALUE"""),45551)</f>
        <v>45551</v>
      </c>
      <c r="J3418" s="143" t="s">
        <v>12460</v>
      </c>
      <c r="K3418" s="80" t="s">
        <v>12461</v>
      </c>
      <c r="L3418" s="30">
        <v>971591203</v>
      </c>
      <c r="M3418" s="80" t="s">
        <v>3728</v>
      </c>
      <c r="N3418" s="80" t="s">
        <v>260</v>
      </c>
      <c r="O3418" s="80" t="s">
        <v>12462</v>
      </c>
      <c r="P3418" s="80" t="s">
        <v>11644</v>
      </c>
      <c r="Q3418" s="20">
        <v>9317</v>
      </c>
      <c r="R3418" s="80" t="s">
        <v>1989</v>
      </c>
      <c r="S3418" s="95">
        <f t="shared" si="44"/>
        <v>2000</v>
      </c>
      <c r="T3418" s="83" t="s">
        <v>12458</v>
      </c>
      <c r="U3418" s="95">
        <v>7067</v>
      </c>
      <c r="V3418" s="148">
        <v>45564</v>
      </c>
      <c r="W3418" s="85" t="s">
        <v>12463</v>
      </c>
      <c r="X3418" s="80">
        <v>250</v>
      </c>
      <c r="Y3418" s="22">
        <v>0</v>
      </c>
      <c r="Z3418" s="80" t="s">
        <v>50</v>
      </c>
      <c r="AA3418" s="35" t="s">
        <v>3291</v>
      </c>
      <c r="AB3418" s="80"/>
      <c r="AC3418" s="80" t="s">
        <v>53</v>
      </c>
      <c r="AD3418" s="80" t="s">
        <v>138</v>
      </c>
      <c r="AE3418" s="80"/>
      <c r="AF3418" s="17">
        <v>45551</v>
      </c>
      <c r="AG3418" s="80"/>
      <c r="AH3418" s="80"/>
      <c r="AI3418" s="147" t="s">
        <v>64</v>
      </c>
      <c r="AJ3418" s="80"/>
      <c r="AK3418" s="80"/>
      <c r="AL3418" s="35"/>
      <c r="AM3418" s="35"/>
      <c r="AN3418" s="35"/>
      <c r="AO3418" s="35"/>
      <c r="AP3418" s="35"/>
    </row>
    <row r="3419" spans="1:42" x14ac:dyDescent="0.2">
      <c r="A3419" s="126">
        <v>45530.506636388891</v>
      </c>
      <c r="B3419" s="137" t="s">
        <v>37</v>
      </c>
      <c r="C3419" s="41" t="s">
        <v>118</v>
      </c>
      <c r="D3419" s="80" t="s">
        <v>36</v>
      </c>
      <c r="E3419" s="80" t="s">
        <v>56</v>
      </c>
      <c r="F3419" s="80" t="s">
        <v>36</v>
      </c>
      <c r="G3419" s="80" t="s">
        <v>41</v>
      </c>
      <c r="H3419" s="80" t="s">
        <v>11347</v>
      </c>
      <c r="I3419" s="17">
        <f ca="1">IFERROR(__xludf.DUMMYFUNCTION("""COMPUTED_VALUE"""),45551)</f>
        <v>45551</v>
      </c>
      <c r="J3419" s="143" t="s">
        <v>12464</v>
      </c>
      <c r="K3419" s="80" t="s">
        <v>12465</v>
      </c>
      <c r="L3419" s="30">
        <v>967294936</v>
      </c>
      <c r="M3419" s="80" t="s">
        <v>3728</v>
      </c>
      <c r="N3419" s="80" t="s">
        <v>260</v>
      </c>
      <c r="O3419" s="80" t="s">
        <v>12466</v>
      </c>
      <c r="P3419" s="80" t="s">
        <v>12467</v>
      </c>
      <c r="Q3419" s="20">
        <v>9317</v>
      </c>
      <c r="R3419" s="80" t="s">
        <v>1989</v>
      </c>
      <c r="S3419" s="95">
        <f t="shared" si="44"/>
        <v>2000</v>
      </c>
      <c r="T3419" s="83" t="s">
        <v>12458</v>
      </c>
      <c r="U3419" s="95">
        <v>7067</v>
      </c>
      <c r="V3419" s="148">
        <v>45564</v>
      </c>
      <c r="W3419" s="85" t="s">
        <v>12468</v>
      </c>
      <c r="X3419" s="80">
        <v>250</v>
      </c>
      <c r="Y3419" s="22">
        <v>0</v>
      </c>
      <c r="Z3419" s="80" t="s">
        <v>50</v>
      </c>
      <c r="AA3419" s="96" t="s">
        <v>3291</v>
      </c>
      <c r="AB3419" s="80"/>
      <c r="AC3419" s="80" t="s">
        <v>53</v>
      </c>
      <c r="AD3419" s="80" t="s">
        <v>138</v>
      </c>
      <c r="AE3419" s="80"/>
      <c r="AF3419" s="17">
        <v>45551</v>
      </c>
      <c r="AG3419" s="80"/>
      <c r="AH3419" s="80"/>
      <c r="AI3419" s="147" t="s">
        <v>64</v>
      </c>
      <c r="AJ3419" s="80"/>
      <c r="AK3419" s="80"/>
      <c r="AL3419" s="35"/>
      <c r="AM3419" s="35"/>
      <c r="AN3419" s="35"/>
      <c r="AO3419" s="35"/>
      <c r="AP3419" s="35"/>
    </row>
    <row r="3420" spans="1:42" x14ac:dyDescent="0.2">
      <c r="A3420" s="126">
        <v>45530.644025972222</v>
      </c>
      <c r="B3420" s="28" t="s">
        <v>37</v>
      </c>
      <c r="C3420" s="41" t="s">
        <v>118</v>
      </c>
      <c r="D3420" s="80" t="s">
        <v>36</v>
      </c>
      <c r="E3420" s="80" t="s">
        <v>148</v>
      </c>
      <c r="F3420" s="80" t="s">
        <v>36</v>
      </c>
      <c r="G3420" s="80" t="s">
        <v>108</v>
      </c>
      <c r="H3420" s="80" t="s">
        <v>9856</v>
      </c>
      <c r="I3420" s="17">
        <f ca="1">IFERROR(__xludf.DUMMYFUNCTION("""COMPUTED_VALUE"""),45532)</f>
        <v>45532</v>
      </c>
      <c r="J3420" s="143" t="s">
        <v>12469</v>
      </c>
      <c r="K3420" s="145" t="s">
        <v>12470</v>
      </c>
      <c r="L3420" s="30">
        <v>394401225</v>
      </c>
      <c r="M3420" s="80" t="s">
        <v>5518</v>
      </c>
      <c r="N3420" s="80" t="s">
        <v>253</v>
      </c>
      <c r="O3420" s="80" t="s">
        <v>12471</v>
      </c>
      <c r="P3420" s="80" t="s">
        <v>12472</v>
      </c>
      <c r="Q3420" s="20">
        <v>7349</v>
      </c>
      <c r="R3420" s="80" t="s">
        <v>36</v>
      </c>
      <c r="S3420" s="95">
        <v>4000</v>
      </c>
      <c r="T3420" s="148">
        <v>45530</v>
      </c>
      <c r="U3420" s="95">
        <v>3349</v>
      </c>
      <c r="V3420" s="148">
        <v>45546</v>
      </c>
      <c r="W3420" s="85" t="s">
        <v>12473</v>
      </c>
      <c r="X3420" s="80">
        <v>0</v>
      </c>
      <c r="Y3420" s="22">
        <v>0</v>
      </c>
      <c r="Z3420" s="80" t="s">
        <v>50</v>
      </c>
      <c r="AA3420" s="35" t="s">
        <v>3291</v>
      </c>
      <c r="AB3420" s="80"/>
      <c r="AC3420" s="80" t="s">
        <v>53</v>
      </c>
      <c r="AD3420" s="80" t="s">
        <v>54</v>
      </c>
      <c r="AE3420" s="83">
        <v>430</v>
      </c>
      <c r="AF3420" s="17">
        <v>45530</v>
      </c>
      <c r="AG3420" s="80"/>
      <c r="AH3420" s="80"/>
      <c r="AI3420" s="147">
        <v>2</v>
      </c>
      <c r="AJ3420" s="80"/>
      <c r="AK3420" s="80"/>
      <c r="AL3420" s="35"/>
      <c r="AM3420" s="35"/>
      <c r="AN3420" s="35"/>
      <c r="AO3420" s="35"/>
      <c r="AP3420" s="35"/>
    </row>
    <row r="3421" spans="1:42" x14ac:dyDescent="0.2">
      <c r="A3421" s="126">
        <v>45531.351279722221</v>
      </c>
      <c r="B3421" s="137" t="s">
        <v>37</v>
      </c>
      <c r="C3421" s="41" t="s">
        <v>118</v>
      </c>
      <c r="D3421" s="80" t="s">
        <v>36</v>
      </c>
      <c r="E3421" s="80" t="s">
        <v>139</v>
      </c>
      <c r="F3421" s="26" t="s">
        <v>36</v>
      </c>
      <c r="G3421" s="26" t="s">
        <v>41</v>
      </c>
      <c r="H3421" s="80" t="s">
        <v>12474</v>
      </c>
      <c r="I3421" s="17">
        <f ca="1">IFERROR(__xludf.DUMMYFUNCTION("""COMPUTED_VALUE"""),45551)</f>
        <v>45551</v>
      </c>
      <c r="J3421" s="143" t="s">
        <v>12475</v>
      </c>
      <c r="K3421" s="80" t="s">
        <v>12476</v>
      </c>
      <c r="L3421" s="30">
        <v>964718117</v>
      </c>
      <c r="M3421" s="80" t="s">
        <v>5518</v>
      </c>
      <c r="N3421" s="80" t="s">
        <v>12477</v>
      </c>
      <c r="O3421" s="80" t="s">
        <v>12478</v>
      </c>
      <c r="P3421" s="80" t="s">
        <v>5462</v>
      </c>
      <c r="Q3421" s="20">
        <v>15936</v>
      </c>
      <c r="R3421" s="80" t="s">
        <v>36</v>
      </c>
      <c r="S3421" s="95">
        <v>2000</v>
      </c>
      <c r="T3421" s="148">
        <v>45530</v>
      </c>
      <c r="U3421" s="95">
        <v>13936</v>
      </c>
      <c r="V3421" s="148">
        <v>45565</v>
      </c>
      <c r="W3421" s="85" t="s">
        <v>12479</v>
      </c>
      <c r="X3421" s="80">
        <v>0</v>
      </c>
      <c r="Y3421" s="22">
        <v>0</v>
      </c>
      <c r="Z3421" s="80" t="s">
        <v>50</v>
      </c>
      <c r="AA3421" s="96" t="s">
        <v>3291</v>
      </c>
      <c r="AB3421" s="80"/>
      <c r="AC3421" s="80" t="s">
        <v>53</v>
      </c>
      <c r="AD3421" s="80" t="s">
        <v>138</v>
      </c>
      <c r="AE3421" s="80"/>
      <c r="AF3421" s="17">
        <v>45551</v>
      </c>
      <c r="AG3421" s="80"/>
      <c r="AH3421" s="80"/>
      <c r="AI3421" s="147" t="s">
        <v>147</v>
      </c>
      <c r="AJ3421" s="80"/>
      <c r="AK3421" s="80"/>
      <c r="AL3421" s="35"/>
      <c r="AM3421" s="35"/>
      <c r="AN3421" s="35"/>
      <c r="AO3421" s="35"/>
      <c r="AP3421" s="35"/>
    </row>
    <row r="3422" spans="1:42" x14ac:dyDescent="0.2">
      <c r="A3422" s="126">
        <v>45531.354290671297</v>
      </c>
      <c r="B3422" s="28" t="s">
        <v>37</v>
      </c>
      <c r="C3422" s="41" t="s">
        <v>118</v>
      </c>
      <c r="D3422" s="80" t="s">
        <v>36</v>
      </c>
      <c r="E3422" s="80" t="s">
        <v>139</v>
      </c>
      <c r="F3422" s="26" t="s">
        <v>36</v>
      </c>
      <c r="G3422" s="26" t="s">
        <v>41</v>
      </c>
      <c r="H3422" s="80" t="s">
        <v>12474</v>
      </c>
      <c r="I3422" s="17">
        <f ca="1">IFERROR(__xludf.DUMMYFUNCTION("""COMPUTED_VALUE"""),45551)</f>
        <v>45551</v>
      </c>
      <c r="J3422" s="143" t="s">
        <v>12480</v>
      </c>
      <c r="K3422" s="80" t="s">
        <v>12481</v>
      </c>
      <c r="L3422" s="30">
        <v>374055571</v>
      </c>
      <c r="M3422" s="80" t="s">
        <v>5518</v>
      </c>
      <c r="N3422" s="80" t="s">
        <v>5252</v>
      </c>
      <c r="O3422" s="80" t="s">
        <v>12482</v>
      </c>
      <c r="P3422" s="80" t="s">
        <v>9528</v>
      </c>
      <c r="Q3422" s="20">
        <v>15936</v>
      </c>
      <c r="R3422" s="80" t="s">
        <v>36</v>
      </c>
      <c r="S3422" s="95">
        <f>200+15736</f>
        <v>15936</v>
      </c>
      <c r="T3422" s="148">
        <v>45530</v>
      </c>
      <c r="U3422" s="95"/>
      <c r="V3422" s="148">
        <v>45546</v>
      </c>
      <c r="W3422" s="85" t="s">
        <v>12483</v>
      </c>
      <c r="X3422" s="80">
        <v>0</v>
      </c>
      <c r="Y3422" s="22">
        <v>0</v>
      </c>
      <c r="Z3422" s="80" t="s">
        <v>50</v>
      </c>
      <c r="AA3422" s="35" t="s">
        <v>3291</v>
      </c>
      <c r="AB3422" s="80"/>
      <c r="AC3422" s="80" t="s">
        <v>53</v>
      </c>
      <c r="AD3422" s="80" t="s">
        <v>138</v>
      </c>
      <c r="AE3422" s="80"/>
      <c r="AF3422" s="17">
        <v>45551</v>
      </c>
      <c r="AG3422" s="80"/>
      <c r="AH3422" s="80"/>
      <c r="AI3422" s="147" t="s">
        <v>147</v>
      </c>
      <c r="AJ3422" s="80"/>
      <c r="AK3422" s="80"/>
      <c r="AL3422" s="35"/>
      <c r="AM3422" s="35"/>
      <c r="AN3422" s="35"/>
      <c r="AO3422" s="35"/>
      <c r="AP3422" s="35"/>
    </row>
    <row r="3423" spans="1:42" x14ac:dyDescent="0.2">
      <c r="A3423" s="126">
        <v>45531.366880868052</v>
      </c>
      <c r="B3423" s="137" t="s">
        <v>90</v>
      </c>
      <c r="C3423" s="41" t="s">
        <v>118</v>
      </c>
      <c r="D3423" s="80" t="s">
        <v>36</v>
      </c>
      <c r="E3423" s="80" t="s">
        <v>139</v>
      </c>
      <c r="F3423" s="80" t="s">
        <v>36</v>
      </c>
      <c r="G3423" s="80" t="s">
        <v>41</v>
      </c>
      <c r="H3423" s="80" t="s">
        <v>11589</v>
      </c>
      <c r="I3423" s="17">
        <f ca="1">IFERROR(__xludf.DUMMYFUNCTION("""COMPUTED_VALUE"""),45541)</f>
        <v>45541</v>
      </c>
      <c r="J3423" s="143" t="s">
        <v>12484</v>
      </c>
      <c r="K3423" s="80" t="s">
        <v>12485</v>
      </c>
      <c r="L3423" s="30">
        <v>972450746</v>
      </c>
      <c r="M3423" s="80" t="s">
        <v>5518</v>
      </c>
      <c r="N3423" s="80" t="s">
        <v>5252</v>
      </c>
      <c r="O3423" s="80" t="s">
        <v>12486</v>
      </c>
      <c r="P3423" s="80" t="s">
        <v>12487</v>
      </c>
      <c r="Q3423" s="20">
        <v>15936</v>
      </c>
      <c r="R3423" s="80" t="s">
        <v>36</v>
      </c>
      <c r="S3423" s="95">
        <v>2000</v>
      </c>
      <c r="T3423" s="148">
        <v>45531</v>
      </c>
      <c r="U3423" s="95">
        <v>13936</v>
      </c>
      <c r="V3423" s="148">
        <v>45552</v>
      </c>
      <c r="W3423" s="85" t="s">
        <v>12488</v>
      </c>
      <c r="X3423" s="80">
        <v>0</v>
      </c>
      <c r="Y3423" s="22">
        <v>0</v>
      </c>
      <c r="Z3423" s="80" t="s">
        <v>50</v>
      </c>
      <c r="AA3423" s="96" t="s">
        <v>3291</v>
      </c>
      <c r="AB3423" s="80"/>
      <c r="AC3423" s="80" t="s">
        <v>53</v>
      </c>
      <c r="AD3423" s="80" t="s">
        <v>54</v>
      </c>
      <c r="AE3423" s="80"/>
      <c r="AF3423" s="17">
        <v>45533</v>
      </c>
      <c r="AG3423" s="80"/>
      <c r="AH3423" s="80"/>
      <c r="AI3423" s="147" t="s">
        <v>147</v>
      </c>
      <c r="AJ3423" s="80"/>
      <c r="AK3423" s="80"/>
      <c r="AL3423" s="35"/>
      <c r="AM3423" s="35"/>
      <c r="AN3423" s="35"/>
      <c r="AO3423" s="35"/>
      <c r="AP3423" s="35"/>
    </row>
    <row r="3424" spans="1:42" x14ac:dyDescent="0.2">
      <c r="A3424" s="126">
        <v>45531.369623356484</v>
      </c>
      <c r="B3424" s="137" t="s">
        <v>37</v>
      </c>
      <c r="C3424" s="41" t="s">
        <v>118</v>
      </c>
      <c r="D3424" s="80" t="s">
        <v>36</v>
      </c>
      <c r="E3424" s="80" t="s">
        <v>139</v>
      </c>
      <c r="F3424" s="80" t="s">
        <v>36</v>
      </c>
      <c r="G3424" s="80" t="s">
        <v>41</v>
      </c>
      <c r="H3424" s="80" t="s">
        <v>8392</v>
      </c>
      <c r="I3424" s="17">
        <f ca="1">IFERROR(__xludf.DUMMYFUNCTION("""COMPUTED_VALUE"""),45540)</f>
        <v>45540</v>
      </c>
      <c r="J3424" s="143" t="s">
        <v>12489</v>
      </c>
      <c r="K3424" s="80" t="s">
        <v>12490</v>
      </c>
      <c r="L3424" s="30">
        <v>336982229</v>
      </c>
      <c r="M3424" s="80" t="s">
        <v>123</v>
      </c>
      <c r="N3424" s="80" t="s">
        <v>327</v>
      </c>
      <c r="O3424" s="80" t="s">
        <v>4503</v>
      </c>
      <c r="P3424" s="80" t="s">
        <v>12491</v>
      </c>
      <c r="Q3424" s="20">
        <v>15936</v>
      </c>
      <c r="R3424" s="80" t="s">
        <v>36</v>
      </c>
      <c r="S3424" s="95">
        <v>2000</v>
      </c>
      <c r="T3424" s="148">
        <v>45528</v>
      </c>
      <c r="U3424" s="95">
        <v>13936</v>
      </c>
      <c r="V3424" s="148">
        <v>45559</v>
      </c>
      <c r="W3424" s="85" t="s">
        <v>12492</v>
      </c>
      <c r="X3424" s="80">
        <v>0</v>
      </c>
      <c r="Y3424" s="22">
        <v>0</v>
      </c>
      <c r="Z3424" s="80" t="s">
        <v>50</v>
      </c>
      <c r="AA3424" s="35" t="s">
        <v>3291</v>
      </c>
      <c r="AB3424" s="80"/>
      <c r="AC3424" s="80" t="s">
        <v>53</v>
      </c>
      <c r="AD3424" s="80" t="s">
        <v>54</v>
      </c>
      <c r="AE3424" s="80"/>
      <c r="AF3424" s="17">
        <v>45532</v>
      </c>
      <c r="AG3424" s="80"/>
      <c r="AH3424" s="80"/>
      <c r="AI3424" s="147" t="s">
        <v>147</v>
      </c>
      <c r="AJ3424" s="80"/>
      <c r="AK3424" s="80"/>
      <c r="AL3424" s="35"/>
      <c r="AM3424" s="35"/>
      <c r="AN3424" s="35"/>
      <c r="AO3424" s="35"/>
      <c r="AP3424" s="35"/>
    </row>
    <row r="3425" spans="1:42" x14ac:dyDescent="0.2">
      <c r="A3425" s="126">
        <v>45531.375114884257</v>
      </c>
      <c r="B3425" s="137" t="s">
        <v>37</v>
      </c>
      <c r="C3425" s="41" t="s">
        <v>118</v>
      </c>
      <c r="D3425" s="80" t="s">
        <v>36</v>
      </c>
      <c r="E3425" s="80" t="s">
        <v>77</v>
      </c>
      <c r="F3425" s="80" t="s">
        <v>36</v>
      </c>
      <c r="G3425" s="80" t="s">
        <v>41</v>
      </c>
      <c r="H3425" s="80" t="s">
        <v>11707</v>
      </c>
      <c r="I3425" s="17">
        <f ca="1">IFERROR(__xludf.DUMMYFUNCTION("""COMPUTED_VALUE"""),45551)</f>
        <v>45551</v>
      </c>
      <c r="J3425" s="143" t="s">
        <v>12493</v>
      </c>
      <c r="K3425" s="80" t="s">
        <v>12494</v>
      </c>
      <c r="L3425" s="30">
        <v>945813933</v>
      </c>
      <c r="M3425" s="80" t="s">
        <v>123</v>
      </c>
      <c r="N3425" s="80" t="s">
        <v>327</v>
      </c>
      <c r="O3425" s="80" t="s">
        <v>4503</v>
      </c>
      <c r="P3425" s="80" t="s">
        <v>3487</v>
      </c>
      <c r="Q3425" s="20">
        <v>1968</v>
      </c>
      <c r="R3425" s="80" t="s">
        <v>36</v>
      </c>
      <c r="S3425" s="95">
        <f>200+1768</f>
        <v>1968</v>
      </c>
      <c r="T3425" s="83" t="s">
        <v>12495</v>
      </c>
      <c r="U3425" s="77"/>
      <c r="V3425" s="78"/>
      <c r="W3425" s="85" t="s">
        <v>12496</v>
      </c>
      <c r="X3425" s="80">
        <v>0</v>
      </c>
      <c r="Y3425" s="22">
        <v>0</v>
      </c>
      <c r="Z3425" s="80" t="s">
        <v>50</v>
      </c>
      <c r="AA3425" s="96" t="s">
        <v>3291</v>
      </c>
      <c r="AB3425" s="80"/>
      <c r="AC3425" s="80" t="s">
        <v>53</v>
      </c>
      <c r="AD3425" s="80" t="s">
        <v>138</v>
      </c>
      <c r="AE3425" s="80"/>
      <c r="AF3425" s="17">
        <v>45551</v>
      </c>
      <c r="AG3425" s="80"/>
      <c r="AH3425" s="80"/>
      <c r="AI3425" s="147" t="s">
        <v>84</v>
      </c>
      <c r="AJ3425" s="80"/>
      <c r="AK3425" s="80"/>
      <c r="AL3425" s="35"/>
      <c r="AM3425" s="35"/>
      <c r="AN3425" s="35"/>
      <c r="AO3425" s="35"/>
      <c r="AP3425" s="35"/>
    </row>
    <row r="3426" spans="1:42" x14ac:dyDescent="0.2">
      <c r="A3426" s="126">
        <v>45531.376325729172</v>
      </c>
      <c r="B3426" s="137" t="s">
        <v>37</v>
      </c>
      <c r="C3426" s="41" t="s">
        <v>118</v>
      </c>
      <c r="D3426" s="80" t="s">
        <v>36</v>
      </c>
      <c r="E3426" s="80" t="s">
        <v>139</v>
      </c>
      <c r="F3426" s="26" t="s">
        <v>36</v>
      </c>
      <c r="G3426" s="80" t="s">
        <v>41</v>
      </c>
      <c r="H3426" s="80" t="s">
        <v>5666</v>
      </c>
      <c r="I3426" s="17">
        <f ca="1">IFERROR(__xludf.DUMMYFUNCTION("""COMPUTED_VALUE"""),45540)</f>
        <v>45540</v>
      </c>
      <c r="J3426" s="143" t="s">
        <v>12497</v>
      </c>
      <c r="K3426" s="80" t="s">
        <v>12498</v>
      </c>
      <c r="L3426" s="30">
        <v>384426808</v>
      </c>
      <c r="M3426" s="80" t="s">
        <v>123</v>
      </c>
      <c r="N3426" s="80" t="s">
        <v>2847</v>
      </c>
      <c r="O3426" s="80" t="s">
        <v>4503</v>
      </c>
      <c r="P3426" s="80" t="s">
        <v>3487</v>
      </c>
      <c r="Q3426" s="20">
        <v>15936</v>
      </c>
      <c r="R3426" s="80" t="s">
        <v>36</v>
      </c>
      <c r="S3426" s="95">
        <f>200+1800</f>
        <v>2000</v>
      </c>
      <c r="T3426" s="83" t="s">
        <v>12499</v>
      </c>
      <c r="U3426" s="95">
        <f>13900+36</f>
        <v>13936</v>
      </c>
      <c r="V3426" s="83" t="s">
        <v>12500</v>
      </c>
      <c r="W3426" s="85" t="s">
        <v>12501</v>
      </c>
      <c r="X3426" s="80">
        <v>0</v>
      </c>
      <c r="Y3426" s="22">
        <v>0</v>
      </c>
      <c r="Z3426" s="80" t="s">
        <v>50</v>
      </c>
      <c r="AA3426" s="35" t="s">
        <v>3291</v>
      </c>
      <c r="AB3426" s="80"/>
      <c r="AC3426" s="80" t="s">
        <v>53</v>
      </c>
      <c r="AD3426" s="80" t="s">
        <v>138</v>
      </c>
      <c r="AE3426" s="80"/>
      <c r="AF3426" s="17">
        <v>45540</v>
      </c>
      <c r="AG3426" s="26" t="s">
        <v>3399</v>
      </c>
      <c r="AH3426" s="80"/>
      <c r="AI3426" s="147" t="s">
        <v>147</v>
      </c>
      <c r="AJ3426" s="80"/>
      <c r="AK3426" s="80"/>
      <c r="AL3426" s="35"/>
      <c r="AM3426" s="35"/>
      <c r="AN3426" s="35"/>
      <c r="AO3426" s="35"/>
      <c r="AP3426" s="35"/>
    </row>
    <row r="3427" spans="1:42" x14ac:dyDescent="0.2">
      <c r="A3427" s="126">
        <v>45531.671891377315</v>
      </c>
      <c r="B3427" s="137" t="s">
        <v>37</v>
      </c>
      <c r="C3427" s="41" t="s">
        <v>118</v>
      </c>
      <c r="D3427" s="80" t="s">
        <v>36</v>
      </c>
      <c r="E3427" s="80" t="s">
        <v>56</v>
      </c>
      <c r="F3427" s="80" t="s">
        <v>36</v>
      </c>
      <c r="G3427" s="80" t="s">
        <v>41</v>
      </c>
      <c r="H3427" s="80" t="s">
        <v>11589</v>
      </c>
      <c r="I3427" s="17">
        <f ca="1">IFERROR(__xludf.DUMMYFUNCTION("""COMPUTED_VALUE"""),45541)</f>
        <v>45541</v>
      </c>
      <c r="J3427" s="143" t="s">
        <v>12502</v>
      </c>
      <c r="K3427" s="80" t="s">
        <v>12503</v>
      </c>
      <c r="L3427" s="30">
        <v>913646613</v>
      </c>
      <c r="M3427" s="80" t="s">
        <v>910</v>
      </c>
      <c r="N3427" s="80" t="s">
        <v>3525</v>
      </c>
      <c r="O3427" s="80" t="s">
        <v>12504</v>
      </c>
      <c r="P3427" s="80" t="s">
        <v>12505</v>
      </c>
      <c r="Q3427" s="20">
        <v>9317</v>
      </c>
      <c r="R3427" s="80" t="s">
        <v>36</v>
      </c>
      <c r="S3427" s="95">
        <f t="shared" ref="S3427:S3428" si="45">200+1768</f>
        <v>1968</v>
      </c>
      <c r="T3427" s="83" t="s">
        <v>12506</v>
      </c>
      <c r="U3427" s="95">
        <v>7349</v>
      </c>
      <c r="V3427" s="148">
        <v>45551</v>
      </c>
      <c r="W3427" s="85" t="s">
        <v>12507</v>
      </c>
      <c r="X3427" s="80">
        <v>0</v>
      </c>
      <c r="Y3427" s="22">
        <v>0</v>
      </c>
      <c r="Z3427" s="80" t="s">
        <v>50</v>
      </c>
      <c r="AA3427" s="96" t="s">
        <v>3291</v>
      </c>
      <c r="AB3427" s="80"/>
      <c r="AC3427" s="80" t="s">
        <v>53</v>
      </c>
      <c r="AD3427" s="80" t="s">
        <v>138</v>
      </c>
      <c r="AE3427" s="80"/>
      <c r="AF3427" s="17">
        <v>45535</v>
      </c>
      <c r="AG3427" s="80"/>
      <c r="AH3427" s="80"/>
      <c r="AI3427" s="147" t="s">
        <v>64</v>
      </c>
      <c r="AJ3427" s="80"/>
      <c r="AK3427" s="80"/>
      <c r="AL3427" s="35"/>
      <c r="AM3427" s="35"/>
      <c r="AN3427" s="35"/>
      <c r="AO3427" s="35"/>
      <c r="AP3427" s="35"/>
    </row>
    <row r="3428" spans="1:42" x14ac:dyDescent="0.2">
      <c r="A3428" s="126">
        <v>45531.918884837964</v>
      </c>
      <c r="B3428" s="137" t="s">
        <v>37</v>
      </c>
      <c r="C3428" s="41" t="s">
        <v>118</v>
      </c>
      <c r="D3428" s="80" t="s">
        <v>36</v>
      </c>
      <c r="E3428" s="80" t="s">
        <v>77</v>
      </c>
      <c r="F3428" s="80" t="s">
        <v>36</v>
      </c>
      <c r="G3428" s="80" t="s">
        <v>41</v>
      </c>
      <c r="H3428" s="80" t="s">
        <v>12508</v>
      </c>
      <c r="I3428" s="17" t="str">
        <f ca="1">IFERROR(__xludf.DUMMYFUNCTION("""COMPUTED_VALUE""")," ")</f>
        <v xml:space="preserve"> </v>
      </c>
      <c r="J3428" s="143" t="s">
        <v>12509</v>
      </c>
      <c r="K3428" s="80" t="s">
        <v>12510</v>
      </c>
      <c r="L3428" s="30">
        <v>705916338</v>
      </c>
      <c r="M3428" s="80" t="s">
        <v>3728</v>
      </c>
      <c r="N3428" s="80" t="s">
        <v>8725</v>
      </c>
      <c r="O3428" s="80" t="s">
        <v>12511</v>
      </c>
      <c r="P3428" s="80" t="s">
        <v>11644</v>
      </c>
      <c r="Q3428" s="20">
        <v>1968</v>
      </c>
      <c r="R3428" s="80" t="s">
        <v>36</v>
      </c>
      <c r="S3428" s="95">
        <f t="shared" si="45"/>
        <v>1968</v>
      </c>
      <c r="T3428" s="83" t="s">
        <v>12512</v>
      </c>
      <c r="U3428" s="77"/>
      <c r="V3428" s="78"/>
      <c r="W3428" s="85" t="s">
        <v>12513</v>
      </c>
      <c r="X3428" s="80">
        <v>0</v>
      </c>
      <c r="Y3428" s="22">
        <v>0</v>
      </c>
      <c r="Z3428" s="80" t="s">
        <v>50</v>
      </c>
      <c r="AA3428" s="35" t="s">
        <v>3291</v>
      </c>
      <c r="AB3428" s="80"/>
      <c r="AC3428" s="80" t="s">
        <v>53</v>
      </c>
      <c r="AD3428" s="80" t="s">
        <v>138</v>
      </c>
      <c r="AE3428" s="80"/>
      <c r="AF3428" s="17">
        <v>45551</v>
      </c>
      <c r="AG3428" s="80" t="s">
        <v>7078</v>
      </c>
      <c r="AH3428" s="80"/>
      <c r="AI3428" s="147" t="s">
        <v>84</v>
      </c>
      <c r="AJ3428" s="80"/>
      <c r="AK3428" s="80"/>
      <c r="AL3428" s="35"/>
      <c r="AM3428" s="35"/>
      <c r="AN3428" s="35"/>
      <c r="AO3428" s="35"/>
      <c r="AP3428" s="35"/>
    </row>
    <row r="3429" spans="1:42" x14ac:dyDescent="0.2">
      <c r="A3429" s="126">
        <v>45532.324442592595</v>
      </c>
      <c r="B3429" s="137" t="s">
        <v>37</v>
      </c>
      <c r="C3429" s="41" t="s">
        <v>118</v>
      </c>
      <c r="D3429" s="80" t="s">
        <v>36</v>
      </c>
      <c r="E3429" s="80" t="s">
        <v>139</v>
      </c>
      <c r="F3429" s="80" t="s">
        <v>36</v>
      </c>
      <c r="G3429" s="80" t="s">
        <v>41</v>
      </c>
      <c r="H3429" s="80" t="s">
        <v>11347</v>
      </c>
      <c r="I3429" s="17">
        <f ca="1">IFERROR(__xludf.DUMMYFUNCTION("""COMPUTED_VALUE"""),45551)</f>
        <v>45551</v>
      </c>
      <c r="J3429" s="143" t="s">
        <v>12514</v>
      </c>
      <c r="K3429" s="80" t="s">
        <v>12515</v>
      </c>
      <c r="L3429" s="30">
        <v>904230206</v>
      </c>
      <c r="M3429" s="80" t="s">
        <v>910</v>
      </c>
      <c r="N3429" s="80" t="s">
        <v>3525</v>
      </c>
      <c r="O3429" s="80" t="s">
        <v>91</v>
      </c>
      <c r="P3429" s="80" t="s">
        <v>5794</v>
      </c>
      <c r="Q3429" s="20">
        <v>15936</v>
      </c>
      <c r="R3429" s="80" t="s">
        <v>36</v>
      </c>
      <c r="S3429" s="95">
        <v>8000</v>
      </c>
      <c r="T3429" s="148">
        <v>45531</v>
      </c>
      <c r="U3429" s="95">
        <v>7936</v>
      </c>
      <c r="V3429" s="148">
        <v>45564</v>
      </c>
      <c r="W3429" s="85" t="s">
        <v>12516</v>
      </c>
      <c r="X3429" s="80">
        <v>0</v>
      </c>
      <c r="Y3429" s="22">
        <v>0</v>
      </c>
      <c r="Z3429" s="80" t="s">
        <v>50</v>
      </c>
      <c r="AA3429" s="96" t="s">
        <v>3291</v>
      </c>
      <c r="AB3429" s="80"/>
      <c r="AC3429" s="80" t="s">
        <v>53</v>
      </c>
      <c r="AD3429" s="80" t="s">
        <v>138</v>
      </c>
      <c r="AE3429" s="80"/>
      <c r="AF3429" s="17">
        <v>45551</v>
      </c>
      <c r="AG3429" s="80"/>
      <c r="AH3429" s="80"/>
      <c r="AI3429" s="147" t="s">
        <v>147</v>
      </c>
      <c r="AJ3429" s="80"/>
      <c r="AK3429" s="80"/>
      <c r="AL3429" s="35"/>
      <c r="AM3429" s="35"/>
      <c r="AN3429" s="35"/>
      <c r="AO3429" s="35"/>
      <c r="AP3429" s="35"/>
    </row>
    <row r="3430" spans="1:42" x14ac:dyDescent="0.2">
      <c r="A3430" s="126">
        <v>45532.833396608796</v>
      </c>
      <c r="B3430" s="137" t="s">
        <v>37</v>
      </c>
      <c r="C3430" s="41" t="s">
        <v>118</v>
      </c>
      <c r="D3430" s="80" t="s">
        <v>36</v>
      </c>
      <c r="E3430" s="80" t="s">
        <v>77</v>
      </c>
      <c r="F3430" s="80" t="s">
        <v>36</v>
      </c>
      <c r="G3430" s="80" t="s">
        <v>41</v>
      </c>
      <c r="H3430" s="80" t="s">
        <v>11527</v>
      </c>
      <c r="I3430" s="17">
        <f ca="1">IFERROR(__xludf.DUMMYFUNCTION("""COMPUTED_VALUE"""),45534)</f>
        <v>45534</v>
      </c>
      <c r="J3430" s="143" t="s">
        <v>12517</v>
      </c>
      <c r="K3430" s="80" t="s">
        <v>12518</v>
      </c>
      <c r="L3430" s="30">
        <v>977655560</v>
      </c>
      <c r="M3430" s="80" t="s">
        <v>2755</v>
      </c>
      <c r="N3430" s="80" t="s">
        <v>2756</v>
      </c>
      <c r="O3430" s="80" t="s">
        <v>4503</v>
      </c>
      <c r="P3430" s="80" t="s">
        <v>12519</v>
      </c>
      <c r="Q3430" s="20">
        <v>1968</v>
      </c>
      <c r="R3430" s="80" t="s">
        <v>70</v>
      </c>
      <c r="S3430" s="95">
        <v>1968</v>
      </c>
      <c r="T3430" s="148">
        <v>45532</v>
      </c>
      <c r="U3430" s="77"/>
      <c r="V3430" s="78"/>
      <c r="W3430" s="80" t="s">
        <v>12520</v>
      </c>
      <c r="X3430" s="80">
        <v>100</v>
      </c>
      <c r="Y3430" s="22">
        <v>-100</v>
      </c>
      <c r="Z3430" s="80" t="s">
        <v>50</v>
      </c>
      <c r="AA3430" s="35" t="s">
        <v>3291</v>
      </c>
      <c r="AB3430" s="80"/>
      <c r="AC3430" s="80" t="s">
        <v>53</v>
      </c>
      <c r="AD3430" s="80" t="s">
        <v>54</v>
      </c>
      <c r="AE3430" s="80"/>
      <c r="AF3430" s="17">
        <v>45533</v>
      </c>
      <c r="AG3430" s="80" t="s">
        <v>7078</v>
      </c>
      <c r="AH3430" s="80"/>
      <c r="AI3430" s="147" t="s">
        <v>84</v>
      </c>
      <c r="AJ3430" s="80"/>
      <c r="AK3430" s="80"/>
      <c r="AL3430" s="35"/>
      <c r="AM3430" s="35"/>
      <c r="AN3430" s="35"/>
      <c r="AO3430" s="35"/>
      <c r="AP3430" s="35"/>
    </row>
    <row r="3431" spans="1:42" x14ac:dyDescent="0.2">
      <c r="A3431" s="126">
        <v>45532.892636574077</v>
      </c>
      <c r="B3431" s="137" t="s">
        <v>37</v>
      </c>
      <c r="C3431" s="41" t="s">
        <v>118</v>
      </c>
      <c r="D3431" s="80" t="s">
        <v>36</v>
      </c>
      <c r="E3431" s="80" t="s">
        <v>139</v>
      </c>
      <c r="F3431" s="80" t="s">
        <v>36</v>
      </c>
      <c r="G3431" s="80" t="s">
        <v>41</v>
      </c>
      <c r="H3431" s="80" t="s">
        <v>11589</v>
      </c>
      <c r="I3431" s="17">
        <f ca="1">IFERROR(__xludf.DUMMYFUNCTION("""COMPUTED_VALUE"""),45541)</f>
        <v>45541</v>
      </c>
      <c r="J3431" s="143" t="s">
        <v>12521</v>
      </c>
      <c r="K3431" s="80" t="s">
        <v>12522</v>
      </c>
      <c r="L3431" s="30">
        <v>339463843</v>
      </c>
      <c r="M3431" s="80" t="s">
        <v>5518</v>
      </c>
      <c r="N3431" s="80" t="s">
        <v>253</v>
      </c>
      <c r="O3431" s="80" t="s">
        <v>12523</v>
      </c>
      <c r="P3431" s="80" t="s">
        <v>12524</v>
      </c>
      <c r="Q3431" s="20">
        <v>15936</v>
      </c>
      <c r="R3431" s="80" t="s">
        <v>36</v>
      </c>
      <c r="S3431" s="95">
        <f>2000+3000</f>
        <v>5000</v>
      </c>
      <c r="T3431" s="83" t="s">
        <v>12525</v>
      </c>
      <c r="U3431" s="95">
        <v>10936</v>
      </c>
      <c r="V3431" s="148">
        <v>45557</v>
      </c>
      <c r="W3431" s="85" t="s">
        <v>12526</v>
      </c>
      <c r="X3431" s="80">
        <v>0</v>
      </c>
      <c r="Y3431" s="22">
        <v>0</v>
      </c>
      <c r="Z3431" s="80" t="s">
        <v>50</v>
      </c>
      <c r="AA3431" s="96" t="s">
        <v>3291</v>
      </c>
      <c r="AB3431" s="80"/>
      <c r="AC3431" s="80" t="s">
        <v>53</v>
      </c>
      <c r="AD3431" s="80" t="s">
        <v>54</v>
      </c>
      <c r="AE3431" s="80"/>
      <c r="AF3431" s="17">
        <v>45533</v>
      </c>
      <c r="AG3431" s="80"/>
      <c r="AH3431" s="80"/>
      <c r="AI3431" s="147" t="s">
        <v>147</v>
      </c>
      <c r="AJ3431" s="80"/>
      <c r="AK3431" s="80"/>
      <c r="AL3431" s="35"/>
      <c r="AM3431" s="35"/>
      <c r="AN3431" s="35"/>
      <c r="AO3431" s="35"/>
      <c r="AP3431" s="35"/>
    </row>
    <row r="3432" spans="1:42" x14ac:dyDescent="0.2">
      <c r="A3432" s="126">
        <v>45533.396085358792</v>
      </c>
      <c r="B3432" s="28" t="s">
        <v>37</v>
      </c>
      <c r="C3432" s="41" t="s">
        <v>118</v>
      </c>
      <c r="D3432" s="80" t="s">
        <v>36</v>
      </c>
      <c r="E3432" s="80" t="s">
        <v>119</v>
      </c>
      <c r="F3432" s="80" t="s">
        <v>36</v>
      </c>
      <c r="G3432" s="80" t="s">
        <v>108</v>
      </c>
      <c r="H3432" s="80" t="s">
        <v>9906</v>
      </c>
      <c r="I3432" s="17">
        <f ca="1">IFERROR(__xludf.DUMMYFUNCTION("""COMPUTED_VALUE"""),45541)</f>
        <v>45541</v>
      </c>
      <c r="J3432" s="143" t="s">
        <v>12527</v>
      </c>
      <c r="K3432" s="80" t="s">
        <v>12528</v>
      </c>
      <c r="L3432" s="30">
        <v>972863741</v>
      </c>
      <c r="M3432" s="80" t="s">
        <v>12529</v>
      </c>
      <c r="N3432" s="80" t="s">
        <v>12530</v>
      </c>
      <c r="O3432" s="80" t="s">
        <v>12531</v>
      </c>
      <c r="P3432" s="80" t="s">
        <v>12532</v>
      </c>
      <c r="Q3432" s="20">
        <v>13968</v>
      </c>
      <c r="R3432" s="80" t="s">
        <v>36</v>
      </c>
      <c r="S3432" s="95">
        <f>200+3800</f>
        <v>4000</v>
      </c>
      <c r="T3432" s="83" t="s">
        <v>12533</v>
      </c>
      <c r="U3432" s="95">
        <v>9968</v>
      </c>
      <c r="V3432" s="148">
        <v>45558</v>
      </c>
      <c r="W3432" s="85" t="s">
        <v>12534</v>
      </c>
      <c r="X3432" s="80">
        <v>0</v>
      </c>
      <c r="Y3432" s="22">
        <v>0</v>
      </c>
      <c r="Z3432" s="80" t="s">
        <v>50</v>
      </c>
      <c r="AA3432" s="35" t="s">
        <v>3291</v>
      </c>
      <c r="AB3432" s="80"/>
      <c r="AC3432" s="80" t="s">
        <v>53</v>
      </c>
      <c r="AD3432" s="80" t="s">
        <v>54</v>
      </c>
      <c r="AE3432" s="83">
        <v>400</v>
      </c>
      <c r="AF3432" s="17">
        <v>45540</v>
      </c>
      <c r="AG3432" s="80"/>
      <c r="AH3432" s="80"/>
      <c r="AI3432" s="147">
        <v>4</v>
      </c>
      <c r="AJ3432" s="80"/>
      <c r="AK3432" s="80"/>
      <c r="AL3432" s="35"/>
      <c r="AM3432" s="35"/>
      <c r="AN3432" s="35"/>
      <c r="AO3432" s="35"/>
      <c r="AP3432" s="35"/>
    </row>
    <row r="3433" spans="1:42" x14ac:dyDescent="0.2">
      <c r="A3433" s="126">
        <v>45533.884316435186</v>
      </c>
      <c r="B3433" s="137" t="s">
        <v>37</v>
      </c>
      <c r="C3433" s="41" t="s">
        <v>118</v>
      </c>
      <c r="D3433" s="80" t="s">
        <v>36</v>
      </c>
      <c r="E3433" s="80" t="s">
        <v>106</v>
      </c>
      <c r="F3433" s="80" t="s">
        <v>36</v>
      </c>
      <c r="G3433" s="80" t="s">
        <v>108</v>
      </c>
      <c r="H3433" s="80" t="s">
        <v>9768</v>
      </c>
      <c r="I3433" s="17">
        <f ca="1">IFERROR(__xludf.DUMMYFUNCTION("""COMPUTED_VALUE"""),45578)</f>
        <v>45578</v>
      </c>
      <c r="J3433" s="143" t="s">
        <v>12535</v>
      </c>
      <c r="K3433" s="80" t="s">
        <v>12536</v>
      </c>
      <c r="L3433" s="30">
        <v>989302599</v>
      </c>
      <c r="M3433" s="80" t="s">
        <v>3728</v>
      </c>
      <c r="N3433" s="80" t="s">
        <v>5312</v>
      </c>
      <c r="O3433" s="80" t="s">
        <v>12537</v>
      </c>
      <c r="P3433" s="80" t="s">
        <v>12538</v>
      </c>
      <c r="Q3433" s="20">
        <v>3768</v>
      </c>
      <c r="R3433" s="80" t="s">
        <v>36</v>
      </c>
      <c r="S3433" s="95">
        <f>200+3568</f>
        <v>3768</v>
      </c>
      <c r="T3433" s="83" t="s">
        <v>12539</v>
      </c>
      <c r="U3433" s="77"/>
      <c r="V3433" s="78"/>
      <c r="W3433" s="85" t="s">
        <v>12540</v>
      </c>
      <c r="X3433" s="80">
        <v>0</v>
      </c>
      <c r="Y3433" s="22">
        <v>0</v>
      </c>
      <c r="Z3433" s="80" t="s">
        <v>50</v>
      </c>
      <c r="AA3433" s="96" t="s">
        <v>3291</v>
      </c>
      <c r="AB3433" s="80"/>
      <c r="AC3433" s="80" t="s">
        <v>53</v>
      </c>
      <c r="AD3433" s="80" t="s">
        <v>138</v>
      </c>
      <c r="AE3433" s="80"/>
      <c r="AF3433" s="43">
        <v>45576</v>
      </c>
      <c r="AG3433" s="80" t="s">
        <v>12541</v>
      </c>
      <c r="AH3433" s="80"/>
      <c r="AI3433" s="147">
        <v>1</v>
      </c>
      <c r="AJ3433" s="80"/>
      <c r="AK3433" s="80"/>
      <c r="AL3433" s="35"/>
      <c r="AM3433" s="35"/>
      <c r="AN3433" s="35"/>
      <c r="AO3433" s="35"/>
      <c r="AP3433" s="35"/>
    </row>
    <row r="3434" spans="1:42" x14ac:dyDescent="0.2">
      <c r="A3434" s="126">
        <v>45533.90832430555</v>
      </c>
      <c r="B3434" s="137" t="s">
        <v>37</v>
      </c>
      <c r="C3434" s="41" t="s">
        <v>118</v>
      </c>
      <c r="D3434" s="80" t="s">
        <v>36</v>
      </c>
      <c r="E3434" s="80" t="s">
        <v>77</v>
      </c>
      <c r="F3434" s="80" t="s">
        <v>36</v>
      </c>
      <c r="G3434" s="80" t="s">
        <v>41</v>
      </c>
      <c r="H3434" s="80" t="s">
        <v>12542</v>
      </c>
      <c r="I3434" s="17">
        <f ca="1">IFERROR(__xludf.DUMMYFUNCTION("""COMPUTED_VALUE"""),45636)</f>
        <v>45636</v>
      </c>
      <c r="J3434" s="143" t="s">
        <v>12543</v>
      </c>
      <c r="K3434" s="80" t="s">
        <v>12544</v>
      </c>
      <c r="L3434" s="30">
        <v>867958661</v>
      </c>
      <c r="M3434" s="80" t="s">
        <v>910</v>
      </c>
      <c r="N3434" s="80" t="s">
        <v>3525</v>
      </c>
      <c r="O3434" s="80" t="s">
        <v>91</v>
      </c>
      <c r="P3434" s="80" t="s">
        <v>12545</v>
      </c>
      <c r="Q3434" s="20">
        <v>1968</v>
      </c>
      <c r="R3434" s="80" t="s">
        <v>36</v>
      </c>
      <c r="S3434" s="95">
        <v>2000</v>
      </c>
      <c r="T3434" s="148">
        <v>45533</v>
      </c>
      <c r="U3434" s="77"/>
      <c r="V3434" s="78"/>
      <c r="W3434" s="85" t="s">
        <v>12546</v>
      </c>
      <c r="X3434" s="80">
        <v>0</v>
      </c>
      <c r="Y3434" s="22">
        <v>-32</v>
      </c>
      <c r="Z3434" s="80" t="s">
        <v>50</v>
      </c>
      <c r="AA3434" s="35" t="s">
        <v>3291</v>
      </c>
      <c r="AB3434" s="80"/>
      <c r="AC3434" s="80" t="s">
        <v>53</v>
      </c>
      <c r="AD3434" s="80" t="s">
        <v>54</v>
      </c>
      <c r="AE3434" s="80"/>
      <c r="AF3434" s="17">
        <v>45649</v>
      </c>
      <c r="AG3434" s="80" t="s">
        <v>12547</v>
      </c>
      <c r="AH3434" s="80"/>
      <c r="AI3434" s="147" t="s">
        <v>84</v>
      </c>
      <c r="AJ3434" s="80"/>
      <c r="AK3434" s="80"/>
      <c r="AL3434" s="35"/>
      <c r="AM3434" s="35"/>
      <c r="AN3434" s="35"/>
      <c r="AO3434" s="35"/>
      <c r="AP3434" s="35"/>
    </row>
    <row r="3435" spans="1:42" x14ac:dyDescent="0.2">
      <c r="A3435" s="126">
        <v>45533.941422638891</v>
      </c>
      <c r="B3435" s="137" t="s">
        <v>37</v>
      </c>
      <c r="C3435" s="41" t="s">
        <v>118</v>
      </c>
      <c r="D3435" s="80" t="s">
        <v>36</v>
      </c>
      <c r="E3435" s="80" t="s">
        <v>106</v>
      </c>
      <c r="F3435" s="80" t="s">
        <v>36</v>
      </c>
      <c r="G3435" s="80" t="s">
        <v>108</v>
      </c>
      <c r="H3435" s="80" t="s">
        <v>7519</v>
      </c>
      <c r="I3435" s="17">
        <f ca="1">IFERROR(__xludf.DUMMYFUNCTION("""COMPUTED_VALUE"""),45543)</f>
        <v>45543</v>
      </c>
      <c r="J3435" s="143" t="s">
        <v>12548</v>
      </c>
      <c r="K3435" s="80" t="s">
        <v>12549</v>
      </c>
      <c r="L3435" s="30">
        <v>978219169</v>
      </c>
      <c r="M3435" s="80" t="s">
        <v>12529</v>
      </c>
      <c r="N3435" s="80" t="s">
        <v>466</v>
      </c>
      <c r="O3435" s="80" t="s">
        <v>12550</v>
      </c>
      <c r="P3435" s="80" t="s">
        <v>12551</v>
      </c>
      <c r="Q3435" s="20">
        <v>3768</v>
      </c>
      <c r="R3435" s="80" t="s">
        <v>36</v>
      </c>
      <c r="S3435" s="95">
        <f>200+3800</f>
        <v>4000</v>
      </c>
      <c r="T3435" s="83" t="s">
        <v>10863</v>
      </c>
      <c r="U3435" s="77"/>
      <c r="V3435" s="78"/>
      <c r="W3435" s="85" t="s">
        <v>12552</v>
      </c>
      <c r="X3435" s="80">
        <v>0</v>
      </c>
      <c r="Y3435" s="22">
        <v>-232</v>
      </c>
      <c r="Z3435" s="80" t="s">
        <v>50</v>
      </c>
      <c r="AA3435" s="96" t="s">
        <v>3291</v>
      </c>
      <c r="AB3435" s="80"/>
      <c r="AC3435" s="80" t="s">
        <v>53</v>
      </c>
      <c r="AD3435" s="80" t="s">
        <v>54</v>
      </c>
      <c r="AE3435" s="83">
        <v>450</v>
      </c>
      <c r="AF3435" s="17">
        <v>45538</v>
      </c>
      <c r="AG3435" s="80"/>
      <c r="AH3435" s="80"/>
      <c r="AI3435" s="147">
        <v>1</v>
      </c>
      <c r="AJ3435" s="80"/>
      <c r="AK3435" s="80"/>
      <c r="AL3435" s="35"/>
      <c r="AM3435" s="35"/>
      <c r="AN3435" s="35"/>
      <c r="AO3435" s="35"/>
      <c r="AP3435" s="35"/>
    </row>
    <row r="3436" spans="1:42" x14ac:dyDescent="0.2">
      <c r="A3436" s="126">
        <v>45533.944614270833</v>
      </c>
      <c r="B3436" s="137" t="s">
        <v>37</v>
      </c>
      <c r="C3436" s="41" t="s">
        <v>118</v>
      </c>
      <c r="D3436" s="80" t="s">
        <v>36</v>
      </c>
      <c r="E3436" s="80" t="s">
        <v>77</v>
      </c>
      <c r="F3436" s="80" t="s">
        <v>36</v>
      </c>
      <c r="G3436" s="80" t="s">
        <v>41</v>
      </c>
      <c r="H3436" s="80" t="s">
        <v>12553</v>
      </c>
      <c r="I3436" s="17" t="str">
        <f ca="1">IFERROR(__xludf.DUMMYFUNCTION("""COMPUTED_VALUE""")," ")</f>
        <v xml:space="preserve"> </v>
      </c>
      <c r="J3436" s="143" t="s">
        <v>12554</v>
      </c>
      <c r="K3436" s="80" t="s">
        <v>12555</v>
      </c>
      <c r="L3436" s="30">
        <v>912876455</v>
      </c>
      <c r="M3436" s="80" t="s">
        <v>3728</v>
      </c>
      <c r="N3436" s="80" t="s">
        <v>5312</v>
      </c>
      <c r="O3436" s="80" t="s">
        <v>12556</v>
      </c>
      <c r="P3436" s="80" t="s">
        <v>12557</v>
      </c>
      <c r="Q3436" s="20">
        <v>1968</v>
      </c>
      <c r="R3436" s="80" t="s">
        <v>36</v>
      </c>
      <c r="S3436" s="95">
        <f>200+1800</f>
        <v>2000</v>
      </c>
      <c r="T3436" s="148">
        <v>45533</v>
      </c>
      <c r="U3436" s="77"/>
      <c r="V3436" s="78"/>
      <c r="W3436" s="85" t="s">
        <v>12558</v>
      </c>
      <c r="X3436" s="80">
        <v>0</v>
      </c>
      <c r="Y3436" s="22">
        <v>-32</v>
      </c>
      <c r="Z3436" s="80" t="s">
        <v>50</v>
      </c>
      <c r="AA3436" s="35" t="s">
        <v>3291</v>
      </c>
      <c r="AB3436" s="80"/>
      <c r="AC3436" s="80" t="s">
        <v>53</v>
      </c>
      <c r="AD3436" s="80" t="s">
        <v>54</v>
      </c>
      <c r="AE3436" s="80"/>
      <c r="AF3436" s="17">
        <v>45534</v>
      </c>
      <c r="AG3436" s="80" t="s">
        <v>7078</v>
      </c>
      <c r="AH3436" s="80"/>
      <c r="AI3436" s="147" t="s">
        <v>84</v>
      </c>
      <c r="AJ3436" s="80"/>
      <c r="AK3436" s="80"/>
      <c r="AL3436" s="35"/>
      <c r="AM3436" s="35"/>
      <c r="AN3436" s="35"/>
      <c r="AO3436" s="35"/>
      <c r="AP3436" s="35"/>
    </row>
    <row r="3437" spans="1:42" x14ac:dyDescent="0.2">
      <c r="A3437" s="126">
        <v>45534.318482256946</v>
      </c>
      <c r="B3437" s="137" t="s">
        <v>37</v>
      </c>
      <c r="C3437" s="41" t="s">
        <v>118</v>
      </c>
      <c r="D3437" s="80" t="s">
        <v>36</v>
      </c>
      <c r="E3437" s="80" t="s">
        <v>139</v>
      </c>
      <c r="F3437" s="80" t="s">
        <v>36</v>
      </c>
      <c r="G3437" s="80" t="s">
        <v>41</v>
      </c>
      <c r="H3437" s="80" t="s">
        <v>11718</v>
      </c>
      <c r="I3437" s="17">
        <f ca="1">IFERROR(__xludf.DUMMYFUNCTION("""COMPUTED_VALUE"""),45540)</f>
        <v>45540</v>
      </c>
      <c r="J3437" s="143" t="s">
        <v>12559</v>
      </c>
      <c r="K3437" s="80" t="s">
        <v>12560</v>
      </c>
      <c r="L3437" s="30">
        <v>775227665</v>
      </c>
      <c r="M3437" s="80" t="s">
        <v>123</v>
      </c>
      <c r="N3437" s="80" t="s">
        <v>327</v>
      </c>
      <c r="O3437" s="80" t="s">
        <v>4503</v>
      </c>
      <c r="P3437" s="80" t="s">
        <v>12561</v>
      </c>
      <c r="Q3437" s="20">
        <v>15936</v>
      </c>
      <c r="R3437" s="80" t="s">
        <v>36</v>
      </c>
      <c r="S3437" s="95">
        <v>5000</v>
      </c>
      <c r="T3437" s="148">
        <v>45533</v>
      </c>
      <c r="U3437" s="95">
        <v>10936</v>
      </c>
      <c r="V3437" s="148">
        <v>45557</v>
      </c>
      <c r="W3437" s="85" t="s">
        <v>12562</v>
      </c>
      <c r="X3437" s="80">
        <v>0</v>
      </c>
      <c r="Y3437" s="22">
        <v>0</v>
      </c>
      <c r="Z3437" s="80" t="s">
        <v>50</v>
      </c>
      <c r="AA3437" s="96" t="s">
        <v>3291</v>
      </c>
      <c r="AB3437" s="80"/>
      <c r="AC3437" s="80" t="s">
        <v>53</v>
      </c>
      <c r="AD3437" s="80" t="s">
        <v>54</v>
      </c>
      <c r="AE3437" s="80"/>
      <c r="AF3437" s="17">
        <v>45534</v>
      </c>
      <c r="AG3437" s="80"/>
      <c r="AH3437" s="80"/>
      <c r="AI3437" s="147" t="s">
        <v>147</v>
      </c>
      <c r="AJ3437" s="80"/>
      <c r="AK3437" s="80"/>
      <c r="AL3437" s="35"/>
      <c r="AM3437" s="35"/>
      <c r="AN3437" s="35"/>
      <c r="AO3437" s="35"/>
      <c r="AP3437" s="35"/>
    </row>
    <row r="3438" spans="1:42" x14ac:dyDescent="0.2">
      <c r="A3438" s="126">
        <v>45534.321528333334</v>
      </c>
      <c r="B3438" s="137" t="s">
        <v>37</v>
      </c>
      <c r="C3438" s="41" t="s">
        <v>118</v>
      </c>
      <c r="D3438" s="80" t="s">
        <v>36</v>
      </c>
      <c r="E3438" s="80" t="s">
        <v>139</v>
      </c>
      <c r="F3438" s="80" t="s">
        <v>36</v>
      </c>
      <c r="G3438" s="80" t="s">
        <v>41</v>
      </c>
      <c r="H3438" s="80" t="s">
        <v>11718</v>
      </c>
      <c r="I3438" s="17">
        <f ca="1">IFERROR(__xludf.DUMMYFUNCTION("""COMPUTED_VALUE"""),45540)</f>
        <v>45540</v>
      </c>
      <c r="J3438" s="143" t="s">
        <v>12563</v>
      </c>
      <c r="K3438" s="145" t="s">
        <v>12564</v>
      </c>
      <c r="L3438" s="47">
        <v>817210276</v>
      </c>
      <c r="M3438" s="145" t="s">
        <v>123</v>
      </c>
      <c r="N3438" s="145" t="s">
        <v>327</v>
      </c>
      <c r="O3438" s="80" t="s">
        <v>4503</v>
      </c>
      <c r="P3438" s="80" t="s">
        <v>12565</v>
      </c>
      <c r="Q3438" s="20">
        <v>15936</v>
      </c>
      <c r="R3438" s="80" t="s">
        <v>36</v>
      </c>
      <c r="S3438" s="95">
        <f>200+2800+5000</f>
        <v>8000</v>
      </c>
      <c r="T3438" s="83" t="s">
        <v>12566</v>
      </c>
      <c r="U3438" s="95">
        <v>7936</v>
      </c>
      <c r="V3438" s="148">
        <v>45564</v>
      </c>
      <c r="W3438" s="85" t="s">
        <v>12567</v>
      </c>
      <c r="X3438" s="80">
        <v>0</v>
      </c>
      <c r="Y3438" s="22">
        <v>0</v>
      </c>
      <c r="Z3438" s="80" t="s">
        <v>50</v>
      </c>
      <c r="AA3438" s="35" t="s">
        <v>3291</v>
      </c>
      <c r="AB3438" s="80"/>
      <c r="AC3438" s="80" t="s">
        <v>53</v>
      </c>
      <c r="AD3438" s="80" t="s">
        <v>54</v>
      </c>
      <c r="AE3438" s="80"/>
      <c r="AF3438" s="17">
        <v>45538</v>
      </c>
      <c r="AG3438" s="80"/>
      <c r="AH3438" s="80"/>
      <c r="AI3438" s="147" t="s">
        <v>147</v>
      </c>
      <c r="AJ3438" s="80"/>
      <c r="AK3438" s="80"/>
      <c r="AL3438" s="35"/>
      <c r="AM3438" s="35"/>
      <c r="AN3438" s="35"/>
      <c r="AO3438" s="35"/>
      <c r="AP3438" s="35"/>
    </row>
    <row r="3439" spans="1:42" x14ac:dyDescent="0.2">
      <c r="A3439" s="126">
        <v>45534.323785648143</v>
      </c>
      <c r="B3439" s="137" t="s">
        <v>37</v>
      </c>
      <c r="C3439" s="41" t="s">
        <v>118</v>
      </c>
      <c r="D3439" s="80" t="s">
        <v>36</v>
      </c>
      <c r="E3439" s="80" t="s">
        <v>139</v>
      </c>
      <c r="F3439" s="80" t="s">
        <v>36</v>
      </c>
      <c r="G3439" s="80" t="s">
        <v>41</v>
      </c>
      <c r="H3439" s="80" t="s">
        <v>11707</v>
      </c>
      <c r="I3439" s="17">
        <f ca="1">IFERROR(__xludf.DUMMYFUNCTION("""COMPUTED_VALUE"""),45551)</f>
        <v>45551</v>
      </c>
      <c r="J3439" s="143" t="s">
        <v>12568</v>
      </c>
      <c r="K3439" s="80" t="s">
        <v>12569</v>
      </c>
      <c r="L3439" s="30">
        <v>769427056</v>
      </c>
      <c r="M3439" s="80" t="s">
        <v>123</v>
      </c>
      <c r="N3439" s="80" t="s">
        <v>2847</v>
      </c>
      <c r="O3439" s="80" t="s">
        <v>4503</v>
      </c>
      <c r="P3439" s="80" t="s">
        <v>3487</v>
      </c>
      <c r="Q3439" s="20">
        <v>15936</v>
      </c>
      <c r="R3439" s="80" t="s">
        <v>36</v>
      </c>
      <c r="S3439" s="95">
        <v>2000</v>
      </c>
      <c r="T3439" s="148">
        <v>45533</v>
      </c>
      <c r="U3439" s="178">
        <v>13936</v>
      </c>
      <c r="V3439" s="169">
        <v>45560</v>
      </c>
      <c r="W3439" s="85" t="s">
        <v>12570</v>
      </c>
      <c r="X3439" s="80">
        <v>0</v>
      </c>
      <c r="Y3439" s="22">
        <v>0</v>
      </c>
      <c r="Z3439" s="80" t="s">
        <v>50</v>
      </c>
      <c r="AA3439" s="96" t="s">
        <v>3291</v>
      </c>
      <c r="AB3439" s="80"/>
      <c r="AC3439" s="80" t="s">
        <v>53</v>
      </c>
      <c r="AD3439" s="80" t="s">
        <v>138</v>
      </c>
      <c r="AE3439" s="80"/>
      <c r="AF3439" s="17">
        <v>45551</v>
      </c>
      <c r="AG3439" s="80"/>
      <c r="AH3439" s="80"/>
      <c r="AI3439" s="147" t="s">
        <v>147</v>
      </c>
      <c r="AJ3439" s="80"/>
      <c r="AK3439" s="80"/>
      <c r="AL3439" s="35"/>
      <c r="AM3439" s="35"/>
      <c r="AN3439" s="35"/>
      <c r="AO3439" s="35"/>
      <c r="AP3439" s="35"/>
    </row>
    <row r="3440" spans="1:42" x14ac:dyDescent="0.2">
      <c r="A3440" s="126">
        <v>45534.969725891206</v>
      </c>
      <c r="B3440" s="137" t="s">
        <v>37</v>
      </c>
      <c r="C3440" s="41" t="s">
        <v>118</v>
      </c>
      <c r="D3440" s="80" t="s">
        <v>36</v>
      </c>
      <c r="E3440" s="80" t="s">
        <v>56</v>
      </c>
      <c r="F3440" s="80" t="s">
        <v>36</v>
      </c>
      <c r="G3440" s="80" t="s">
        <v>41</v>
      </c>
      <c r="H3440" s="80" t="s">
        <v>11347</v>
      </c>
      <c r="I3440" s="17">
        <f ca="1">IFERROR(__xludf.DUMMYFUNCTION("""COMPUTED_VALUE"""),45551)</f>
        <v>45551</v>
      </c>
      <c r="J3440" s="143" t="s">
        <v>12571</v>
      </c>
      <c r="K3440" s="80" t="s">
        <v>12572</v>
      </c>
      <c r="L3440" s="30">
        <v>386351505</v>
      </c>
      <c r="M3440" s="80" t="s">
        <v>59</v>
      </c>
      <c r="N3440" s="80" t="s">
        <v>68</v>
      </c>
      <c r="O3440" s="80" t="s">
        <v>12573</v>
      </c>
      <c r="P3440" s="80" t="s">
        <v>3694</v>
      </c>
      <c r="Q3440" s="20">
        <v>9317</v>
      </c>
      <c r="R3440" s="80" t="s">
        <v>36</v>
      </c>
      <c r="S3440" s="95">
        <f>200+9117</f>
        <v>9317</v>
      </c>
      <c r="T3440" s="148">
        <v>45534</v>
      </c>
      <c r="U3440" s="77"/>
      <c r="V3440" s="78">
        <v>45541</v>
      </c>
      <c r="W3440" s="85" t="s">
        <v>12574</v>
      </c>
      <c r="X3440" s="80">
        <v>0</v>
      </c>
      <c r="Y3440" s="22">
        <v>0</v>
      </c>
      <c r="Z3440" s="80" t="s">
        <v>50</v>
      </c>
      <c r="AA3440" s="35" t="s">
        <v>3291</v>
      </c>
      <c r="AB3440" s="80"/>
      <c r="AC3440" s="80" t="s">
        <v>53</v>
      </c>
      <c r="AD3440" s="80" t="s">
        <v>138</v>
      </c>
      <c r="AE3440" s="80" t="s">
        <v>72</v>
      </c>
      <c r="AF3440" s="17">
        <v>45551</v>
      </c>
      <c r="AG3440" s="80"/>
      <c r="AH3440" s="80"/>
      <c r="AI3440" s="147" t="s">
        <v>64</v>
      </c>
      <c r="AJ3440" s="80"/>
      <c r="AK3440" s="80"/>
      <c r="AL3440" s="35"/>
      <c r="AM3440" s="35"/>
      <c r="AN3440" s="35"/>
      <c r="AO3440" s="35"/>
      <c r="AP3440" s="35"/>
    </row>
    <row r="3441" spans="1:42" x14ac:dyDescent="0.2">
      <c r="A3441" s="126">
        <v>45535.393713472222</v>
      </c>
      <c r="B3441" s="137" t="s">
        <v>37</v>
      </c>
      <c r="C3441" s="41" t="s">
        <v>118</v>
      </c>
      <c r="D3441" s="80" t="s">
        <v>36</v>
      </c>
      <c r="E3441" s="80" t="s">
        <v>77</v>
      </c>
      <c r="F3441" s="80" t="s">
        <v>36</v>
      </c>
      <c r="G3441" s="80" t="s">
        <v>41</v>
      </c>
      <c r="H3441" s="80" t="s">
        <v>11347</v>
      </c>
      <c r="I3441" s="17">
        <f ca="1">IFERROR(__xludf.DUMMYFUNCTION("""COMPUTED_VALUE"""),45551)</f>
        <v>45551</v>
      </c>
      <c r="J3441" s="143" t="s">
        <v>12575</v>
      </c>
      <c r="K3441" s="80" t="s">
        <v>12576</v>
      </c>
      <c r="L3441" s="30">
        <v>865756023</v>
      </c>
      <c r="M3441" s="80" t="s">
        <v>910</v>
      </c>
      <c r="N3441" s="80" t="s">
        <v>12577</v>
      </c>
      <c r="O3441" s="80" t="s">
        <v>91</v>
      </c>
      <c r="P3441" s="80" t="s">
        <v>12578</v>
      </c>
      <c r="Q3441" s="20">
        <v>1968</v>
      </c>
      <c r="R3441" s="80" t="s">
        <v>36</v>
      </c>
      <c r="S3441" s="95">
        <f>200+1768</f>
        <v>1968</v>
      </c>
      <c r="T3441" s="83" t="s">
        <v>12338</v>
      </c>
      <c r="U3441" s="77"/>
      <c r="V3441" s="78"/>
      <c r="W3441" s="85" t="s">
        <v>12579</v>
      </c>
      <c r="X3441" s="80">
        <v>0</v>
      </c>
      <c r="Y3441" s="22">
        <v>0</v>
      </c>
      <c r="Z3441" s="80" t="s">
        <v>50</v>
      </c>
      <c r="AA3441" s="96" t="s">
        <v>3291</v>
      </c>
      <c r="AB3441" s="80"/>
      <c r="AC3441" s="80" t="s">
        <v>53</v>
      </c>
      <c r="AD3441" s="80" t="s">
        <v>138</v>
      </c>
      <c r="AE3441" s="80"/>
      <c r="AF3441" s="17">
        <v>45551</v>
      </c>
      <c r="AG3441" s="80"/>
      <c r="AH3441" s="80"/>
      <c r="AI3441" s="147" t="s">
        <v>84</v>
      </c>
      <c r="AJ3441" s="80"/>
      <c r="AK3441" s="80"/>
      <c r="AL3441" s="35"/>
      <c r="AM3441" s="35"/>
      <c r="AN3441" s="35"/>
      <c r="AO3441" s="35"/>
      <c r="AP3441" s="35"/>
    </row>
    <row r="3442" spans="1:42" x14ac:dyDescent="0.2">
      <c r="A3442" s="126">
        <v>45535.418115474538</v>
      </c>
      <c r="B3442" s="137" t="s">
        <v>37</v>
      </c>
      <c r="C3442" s="41" t="s">
        <v>118</v>
      </c>
      <c r="D3442" s="80" t="s">
        <v>36</v>
      </c>
      <c r="E3442" s="80" t="s">
        <v>139</v>
      </c>
      <c r="F3442" s="80" t="s">
        <v>36</v>
      </c>
      <c r="G3442" s="80" t="s">
        <v>41</v>
      </c>
      <c r="H3442" s="80" t="s">
        <v>11392</v>
      </c>
      <c r="I3442" s="17">
        <f ca="1">IFERROR(__xludf.DUMMYFUNCTION("""COMPUTED_VALUE"""),45540)</f>
        <v>45540</v>
      </c>
      <c r="J3442" s="143" t="s">
        <v>12580</v>
      </c>
      <c r="K3442" s="80" t="s">
        <v>12581</v>
      </c>
      <c r="L3442" s="30">
        <v>388455976</v>
      </c>
      <c r="M3442" s="80" t="s">
        <v>9422</v>
      </c>
      <c r="N3442" s="80" t="s">
        <v>2157</v>
      </c>
      <c r="O3442" s="80" t="s">
        <v>12582</v>
      </c>
      <c r="P3442" s="80" t="s">
        <v>12583</v>
      </c>
      <c r="Q3442" s="20">
        <v>15936</v>
      </c>
      <c r="R3442" s="80" t="s">
        <v>11421</v>
      </c>
      <c r="S3442" s="95">
        <v>2000</v>
      </c>
      <c r="T3442" s="148">
        <v>45533</v>
      </c>
      <c r="U3442" s="95">
        <v>13636</v>
      </c>
      <c r="V3442" s="148">
        <v>45560</v>
      </c>
      <c r="W3442" s="85" t="s">
        <v>12584</v>
      </c>
      <c r="X3442" s="80">
        <v>300</v>
      </c>
      <c r="Y3442" s="22">
        <v>0</v>
      </c>
      <c r="Z3442" s="80" t="s">
        <v>50</v>
      </c>
      <c r="AA3442" s="35" t="s">
        <v>3291</v>
      </c>
      <c r="AB3442" s="80"/>
      <c r="AC3442" s="80" t="s">
        <v>53</v>
      </c>
      <c r="AD3442" s="80" t="s">
        <v>54</v>
      </c>
      <c r="AE3442" s="80"/>
      <c r="AF3442" s="17">
        <v>45535</v>
      </c>
      <c r="AG3442" s="80"/>
      <c r="AH3442" s="80"/>
      <c r="AI3442" s="147" t="s">
        <v>147</v>
      </c>
      <c r="AJ3442" s="80"/>
      <c r="AK3442" s="80"/>
      <c r="AL3442" s="35"/>
      <c r="AM3442" s="35"/>
      <c r="AN3442" s="35"/>
      <c r="AO3442" s="35"/>
      <c r="AP3442" s="35"/>
    </row>
    <row r="3443" spans="1:42" x14ac:dyDescent="0.2">
      <c r="A3443" s="126">
        <v>45535.487481909724</v>
      </c>
      <c r="B3443" s="137" t="s">
        <v>37</v>
      </c>
      <c r="C3443" s="41" t="s">
        <v>118</v>
      </c>
      <c r="D3443" s="80" t="s">
        <v>36</v>
      </c>
      <c r="E3443" s="80" t="s">
        <v>139</v>
      </c>
      <c r="F3443" s="80" t="s">
        <v>36</v>
      </c>
      <c r="G3443" s="80" t="s">
        <v>41</v>
      </c>
      <c r="H3443" s="80" t="s">
        <v>11589</v>
      </c>
      <c r="I3443" s="17">
        <f ca="1">IFERROR(__xludf.DUMMYFUNCTION("""COMPUTED_VALUE"""),45541)</f>
        <v>45541</v>
      </c>
      <c r="J3443" s="143" t="s">
        <v>12585</v>
      </c>
      <c r="K3443" s="80" t="s">
        <v>12586</v>
      </c>
      <c r="L3443" s="30">
        <v>886624106</v>
      </c>
      <c r="M3443" s="80" t="s">
        <v>2755</v>
      </c>
      <c r="N3443" s="80" t="s">
        <v>4402</v>
      </c>
      <c r="O3443" s="80" t="s">
        <v>4503</v>
      </c>
      <c r="P3443" s="80" t="s">
        <v>12587</v>
      </c>
      <c r="Q3443" s="20">
        <v>15936</v>
      </c>
      <c r="R3443" s="80" t="s">
        <v>36</v>
      </c>
      <c r="S3443" s="95">
        <v>5000</v>
      </c>
      <c r="T3443" s="148">
        <v>45535</v>
      </c>
      <c r="U3443" s="95">
        <v>10936</v>
      </c>
      <c r="V3443" s="148" t="s">
        <v>12588</v>
      </c>
      <c r="W3443" s="80" t="s">
        <v>12589</v>
      </c>
      <c r="X3443" s="80">
        <v>0</v>
      </c>
      <c r="Y3443" s="22">
        <v>0</v>
      </c>
      <c r="Z3443" s="80" t="s">
        <v>50</v>
      </c>
      <c r="AA3443" s="96" t="s">
        <v>3291</v>
      </c>
      <c r="AB3443" s="80"/>
      <c r="AC3443" s="80" t="s">
        <v>53</v>
      </c>
      <c r="AD3443" s="80" t="s">
        <v>54</v>
      </c>
      <c r="AE3443" s="80"/>
      <c r="AF3443" s="17">
        <v>45538</v>
      </c>
      <c r="AG3443" s="80"/>
      <c r="AH3443" s="80"/>
      <c r="AI3443" s="147" t="s">
        <v>147</v>
      </c>
      <c r="AJ3443" s="80"/>
      <c r="AK3443" s="80"/>
      <c r="AL3443" s="35"/>
      <c r="AM3443" s="35"/>
      <c r="AN3443" s="35"/>
      <c r="AO3443" s="35"/>
      <c r="AP3443" s="35"/>
    </row>
    <row r="3444" spans="1:42" x14ac:dyDescent="0.2">
      <c r="A3444" s="126">
        <v>45535.867881921295</v>
      </c>
      <c r="B3444" s="137" t="s">
        <v>37</v>
      </c>
      <c r="C3444" s="41" t="s">
        <v>118</v>
      </c>
      <c r="D3444" s="80" t="s">
        <v>36</v>
      </c>
      <c r="E3444" s="80" t="s">
        <v>56</v>
      </c>
      <c r="F3444" s="80" t="s">
        <v>36</v>
      </c>
      <c r="G3444" s="80" t="s">
        <v>41</v>
      </c>
      <c r="H3444" s="80" t="s">
        <v>11718</v>
      </c>
      <c r="I3444" s="17">
        <f ca="1">IFERROR(__xludf.DUMMYFUNCTION("""COMPUTED_VALUE"""),45540)</f>
        <v>45540</v>
      </c>
      <c r="J3444" s="143" t="s">
        <v>12590</v>
      </c>
      <c r="K3444" s="80" t="s">
        <v>12591</v>
      </c>
      <c r="L3444" s="30">
        <v>383038266</v>
      </c>
      <c r="M3444" s="80" t="s">
        <v>5558</v>
      </c>
      <c r="N3444" s="80" t="s">
        <v>5559</v>
      </c>
      <c r="O3444" s="80" t="s">
        <v>4503</v>
      </c>
      <c r="P3444" s="80" t="s">
        <v>12592</v>
      </c>
      <c r="Q3444" s="20">
        <v>9317</v>
      </c>
      <c r="R3444" s="80" t="s">
        <v>36</v>
      </c>
      <c r="S3444" s="95">
        <v>2000</v>
      </c>
      <c r="T3444" s="148">
        <v>45535</v>
      </c>
      <c r="U3444" s="95">
        <v>7317</v>
      </c>
      <c r="V3444" s="148">
        <v>45559</v>
      </c>
      <c r="W3444" s="85" t="s">
        <v>12593</v>
      </c>
      <c r="X3444" s="80">
        <v>0</v>
      </c>
      <c r="Y3444" s="22">
        <v>0</v>
      </c>
      <c r="Z3444" s="80" t="s">
        <v>50</v>
      </c>
      <c r="AA3444" s="35" t="s">
        <v>3291</v>
      </c>
      <c r="AB3444" s="80"/>
      <c r="AC3444" s="80" t="s">
        <v>53</v>
      </c>
      <c r="AD3444" s="80" t="s">
        <v>54</v>
      </c>
      <c r="AE3444" s="80"/>
      <c r="AF3444" s="17">
        <v>45538</v>
      </c>
      <c r="AG3444" s="80"/>
      <c r="AH3444" s="80"/>
      <c r="AI3444" s="147" t="s">
        <v>64</v>
      </c>
      <c r="AJ3444" s="80"/>
      <c r="AK3444" s="80"/>
      <c r="AL3444" s="35"/>
      <c r="AM3444" s="35"/>
      <c r="AN3444" s="35"/>
      <c r="AO3444" s="35"/>
      <c r="AP3444" s="35"/>
    </row>
    <row r="3445" spans="1:42" x14ac:dyDescent="0.2">
      <c r="A3445" s="126">
        <v>45535.958310393515</v>
      </c>
      <c r="B3445" s="28" t="s">
        <v>37</v>
      </c>
      <c r="C3445" s="41" t="s">
        <v>118</v>
      </c>
      <c r="D3445" s="80" t="s">
        <v>36</v>
      </c>
      <c r="E3445" s="80" t="s">
        <v>139</v>
      </c>
      <c r="F3445" s="26" t="s">
        <v>36</v>
      </c>
      <c r="G3445" s="26" t="s">
        <v>41</v>
      </c>
      <c r="H3445" s="80" t="s">
        <v>12474</v>
      </c>
      <c r="I3445" s="17">
        <f ca="1">IFERROR(__xludf.DUMMYFUNCTION("""COMPUTED_VALUE"""),45551)</f>
        <v>45551</v>
      </c>
      <c r="J3445" s="143" t="s">
        <v>12594</v>
      </c>
      <c r="K3445" s="80" t="s">
        <v>12595</v>
      </c>
      <c r="L3445" s="30">
        <v>855612106</v>
      </c>
      <c r="M3445" s="80" t="s">
        <v>5429</v>
      </c>
      <c r="N3445" s="80" t="s">
        <v>756</v>
      </c>
      <c r="O3445" s="80" t="s">
        <v>12596</v>
      </c>
      <c r="P3445" s="80" t="s">
        <v>12597</v>
      </c>
      <c r="Q3445" s="20">
        <v>15936</v>
      </c>
      <c r="R3445" s="80" t="s">
        <v>36</v>
      </c>
      <c r="S3445" s="95">
        <f>200+1800</f>
        <v>2000</v>
      </c>
      <c r="T3445" s="83" t="s">
        <v>12598</v>
      </c>
      <c r="U3445" s="95">
        <v>13936</v>
      </c>
      <c r="V3445" s="148">
        <v>45565</v>
      </c>
      <c r="W3445" s="85" t="s">
        <v>12599</v>
      </c>
      <c r="X3445" s="80">
        <v>0</v>
      </c>
      <c r="Y3445" s="22">
        <v>0</v>
      </c>
      <c r="Z3445" s="80" t="s">
        <v>50</v>
      </c>
      <c r="AA3445" s="96" t="s">
        <v>3291</v>
      </c>
      <c r="AB3445" s="80"/>
      <c r="AC3445" s="80" t="s">
        <v>53</v>
      </c>
      <c r="AD3445" s="80" t="s">
        <v>138</v>
      </c>
      <c r="AE3445" s="80" t="s">
        <v>76</v>
      </c>
      <c r="AF3445" s="17">
        <v>45551</v>
      </c>
      <c r="AG3445" s="80"/>
      <c r="AH3445" s="80"/>
      <c r="AI3445" s="147" t="s">
        <v>147</v>
      </c>
      <c r="AJ3445" s="80"/>
      <c r="AK3445" s="80"/>
      <c r="AL3445" s="35"/>
      <c r="AM3445" s="35"/>
      <c r="AN3445" s="35"/>
      <c r="AO3445" s="35"/>
      <c r="AP3445" s="35"/>
    </row>
    <row r="3446" spans="1:42" x14ac:dyDescent="0.2">
      <c r="A3446" s="126">
        <v>45536.931027719911</v>
      </c>
      <c r="B3446" s="137" t="s">
        <v>37</v>
      </c>
      <c r="C3446" s="41" t="s">
        <v>118</v>
      </c>
      <c r="D3446" s="80" t="s">
        <v>36</v>
      </c>
      <c r="E3446" s="80" t="s">
        <v>119</v>
      </c>
      <c r="F3446" s="80" t="s">
        <v>36</v>
      </c>
      <c r="G3446" s="80" t="s">
        <v>108</v>
      </c>
      <c r="H3446" s="80" t="s">
        <v>9973</v>
      </c>
      <c r="I3446" s="17">
        <f ca="1">IFERROR(__xludf.DUMMYFUNCTION("""COMPUTED_VALUE"""),45545)</f>
        <v>45545</v>
      </c>
      <c r="J3446" s="143" t="s">
        <v>12600</v>
      </c>
      <c r="K3446" s="80" t="s">
        <v>12601</v>
      </c>
      <c r="L3446" s="30">
        <v>926569111</v>
      </c>
      <c r="M3446" s="80" t="s">
        <v>9422</v>
      </c>
      <c r="N3446" s="80" t="s">
        <v>12602</v>
      </c>
      <c r="O3446" s="80" t="s">
        <v>12603</v>
      </c>
      <c r="P3446" s="80" t="s">
        <v>12604</v>
      </c>
      <c r="Q3446" s="20">
        <v>13968</v>
      </c>
      <c r="R3446" s="80" t="s">
        <v>36</v>
      </c>
      <c r="S3446" s="95">
        <v>14000</v>
      </c>
      <c r="T3446" s="148">
        <v>45536</v>
      </c>
      <c r="U3446" s="77"/>
      <c r="V3446" s="78"/>
      <c r="W3446" s="85" t="s">
        <v>12605</v>
      </c>
      <c r="X3446" s="80">
        <v>0</v>
      </c>
      <c r="Y3446" s="22">
        <v>-32</v>
      </c>
      <c r="Z3446" s="80" t="s">
        <v>50</v>
      </c>
      <c r="AA3446" s="35" t="s">
        <v>3291</v>
      </c>
      <c r="AB3446" s="80"/>
      <c r="AC3446" s="80" t="s">
        <v>53</v>
      </c>
      <c r="AD3446" s="80" t="s">
        <v>54</v>
      </c>
      <c r="AE3446" s="80"/>
      <c r="AF3446" s="17">
        <v>45539</v>
      </c>
      <c r="AG3446" s="80"/>
      <c r="AH3446" s="80"/>
      <c r="AI3446" s="147">
        <v>4</v>
      </c>
      <c r="AJ3446" s="80"/>
      <c r="AK3446" s="80"/>
      <c r="AL3446" s="35"/>
      <c r="AM3446" s="35"/>
      <c r="AN3446" s="35"/>
      <c r="AO3446" s="35"/>
      <c r="AP3446" s="35"/>
    </row>
    <row r="3447" spans="1:42" x14ac:dyDescent="0.2">
      <c r="A3447" s="126">
        <v>45536.999415162034</v>
      </c>
      <c r="B3447" s="137" t="s">
        <v>37</v>
      </c>
      <c r="C3447" s="41" t="s">
        <v>118</v>
      </c>
      <c r="D3447" s="80" t="s">
        <v>36</v>
      </c>
      <c r="E3447" s="80" t="s">
        <v>219</v>
      </c>
      <c r="F3447" s="80" t="s">
        <v>36</v>
      </c>
      <c r="G3447" s="80" t="s">
        <v>221</v>
      </c>
      <c r="H3447" s="80" t="s">
        <v>9031</v>
      </c>
      <c r="I3447" s="17">
        <f ca="1">IFERROR(__xludf.DUMMYFUNCTION("""COMPUTED_VALUE"""),45540)</f>
        <v>45540</v>
      </c>
      <c r="J3447" s="143" t="s">
        <v>12606</v>
      </c>
      <c r="K3447" s="80" t="s">
        <v>12607</v>
      </c>
      <c r="L3447" s="30">
        <v>358694768</v>
      </c>
      <c r="M3447" s="80" t="s">
        <v>9422</v>
      </c>
      <c r="N3447" s="80" t="s">
        <v>68</v>
      </c>
      <c r="O3447" s="80" t="s">
        <v>36</v>
      </c>
      <c r="P3447" s="80" t="s">
        <v>12608</v>
      </c>
      <c r="Q3447" s="20">
        <v>3968</v>
      </c>
      <c r="R3447" s="80" t="s">
        <v>36</v>
      </c>
      <c r="S3447" s="95">
        <v>1000</v>
      </c>
      <c r="T3447" s="148">
        <v>45532</v>
      </c>
      <c r="U3447" s="95">
        <v>2968</v>
      </c>
      <c r="V3447" s="148">
        <v>45539</v>
      </c>
      <c r="W3447" s="85" t="s">
        <v>12609</v>
      </c>
      <c r="X3447" s="80">
        <v>0</v>
      </c>
      <c r="Y3447" s="22">
        <v>0</v>
      </c>
      <c r="Z3447" s="80" t="s">
        <v>50</v>
      </c>
      <c r="AA3447" s="96" t="s">
        <v>3291</v>
      </c>
      <c r="AB3447" s="80"/>
      <c r="AC3447" s="80" t="s">
        <v>53</v>
      </c>
      <c r="AD3447" s="80" t="s">
        <v>54</v>
      </c>
      <c r="AE3447" s="80"/>
      <c r="AF3447" s="17">
        <v>45538</v>
      </c>
      <c r="AG3447" s="80"/>
      <c r="AH3447" s="80"/>
      <c r="AI3447" s="147">
        <v>1</v>
      </c>
      <c r="AJ3447" s="80"/>
      <c r="AK3447" s="80"/>
      <c r="AL3447" s="35"/>
      <c r="AM3447" s="35"/>
      <c r="AN3447" s="35"/>
      <c r="AO3447" s="35"/>
      <c r="AP3447" s="35"/>
    </row>
    <row r="3448" spans="1:42" x14ac:dyDescent="0.2">
      <c r="A3448" s="126">
        <v>45537.72692966435</v>
      </c>
      <c r="B3448" s="137" t="s">
        <v>37</v>
      </c>
      <c r="C3448" s="41" t="s">
        <v>118</v>
      </c>
      <c r="D3448" s="80" t="s">
        <v>36</v>
      </c>
      <c r="E3448" s="80" t="s">
        <v>139</v>
      </c>
      <c r="F3448" s="80" t="s">
        <v>36</v>
      </c>
      <c r="G3448" s="80" t="s">
        <v>41</v>
      </c>
      <c r="H3448" s="80" t="s">
        <v>11718</v>
      </c>
      <c r="I3448" s="17">
        <f ca="1">IFERROR(__xludf.DUMMYFUNCTION("""COMPUTED_VALUE"""),45540)</f>
        <v>45540</v>
      </c>
      <c r="J3448" s="143" t="s">
        <v>12610</v>
      </c>
      <c r="K3448" s="80" t="s">
        <v>12611</v>
      </c>
      <c r="L3448" s="30">
        <v>866115013</v>
      </c>
      <c r="M3448" s="80" t="s">
        <v>3288</v>
      </c>
      <c r="N3448" s="80" t="s">
        <v>200</v>
      </c>
      <c r="O3448" s="80" t="s">
        <v>12612</v>
      </c>
      <c r="P3448" s="80" t="s">
        <v>12613</v>
      </c>
      <c r="Q3448" s="20">
        <v>15936</v>
      </c>
      <c r="R3448" s="80" t="s">
        <v>36</v>
      </c>
      <c r="S3448" s="95">
        <v>1968</v>
      </c>
      <c r="T3448" s="148">
        <v>45537</v>
      </c>
      <c r="U3448" s="95">
        <v>13968</v>
      </c>
      <c r="V3448" s="148">
        <v>45554</v>
      </c>
      <c r="W3448" s="85" t="s">
        <v>12614</v>
      </c>
      <c r="X3448" s="80">
        <v>0</v>
      </c>
      <c r="Y3448" s="22">
        <v>0</v>
      </c>
      <c r="Z3448" s="80" t="s">
        <v>50</v>
      </c>
      <c r="AA3448" s="35" t="s">
        <v>3291</v>
      </c>
      <c r="AB3448" s="80"/>
      <c r="AC3448" s="80" t="s">
        <v>53</v>
      </c>
      <c r="AD3448" s="80" t="s">
        <v>54</v>
      </c>
      <c r="AE3448" s="80" t="s">
        <v>91</v>
      </c>
      <c r="AF3448" s="17">
        <v>45538</v>
      </c>
      <c r="AG3448" s="80"/>
      <c r="AH3448" s="80"/>
      <c r="AI3448" s="147" t="s">
        <v>147</v>
      </c>
      <c r="AJ3448" s="80"/>
      <c r="AK3448" s="80"/>
      <c r="AL3448" s="35"/>
      <c r="AM3448" s="35"/>
      <c r="AN3448" s="35"/>
      <c r="AO3448" s="35"/>
      <c r="AP3448" s="35"/>
    </row>
    <row r="3449" spans="1:42" x14ac:dyDescent="0.2">
      <c r="A3449" s="126">
        <v>45538.348913715279</v>
      </c>
      <c r="B3449" s="137" t="s">
        <v>37</v>
      </c>
      <c r="C3449" s="41" t="s">
        <v>118</v>
      </c>
      <c r="D3449" s="80" t="s">
        <v>36</v>
      </c>
      <c r="E3449" s="80" t="s">
        <v>139</v>
      </c>
      <c r="F3449" s="80" t="s">
        <v>36</v>
      </c>
      <c r="G3449" s="80" t="s">
        <v>41</v>
      </c>
      <c r="H3449" s="80" t="s">
        <v>11758</v>
      </c>
      <c r="I3449" s="17">
        <f ca="1">IFERROR(__xludf.DUMMYFUNCTION("""COMPUTED_VALUE"""),45544)</f>
        <v>45544</v>
      </c>
      <c r="J3449" s="143" t="s">
        <v>12615</v>
      </c>
      <c r="K3449" s="80" t="s">
        <v>12616</v>
      </c>
      <c r="L3449" s="30">
        <v>348077506</v>
      </c>
      <c r="M3449" s="80" t="s">
        <v>123</v>
      </c>
      <c r="N3449" s="80" t="s">
        <v>327</v>
      </c>
      <c r="O3449" s="80" t="s">
        <v>4503</v>
      </c>
      <c r="P3449" s="80" t="s">
        <v>12617</v>
      </c>
      <c r="Q3449" s="20">
        <v>15936</v>
      </c>
      <c r="R3449" s="80" t="s">
        <v>36</v>
      </c>
      <c r="S3449" s="95">
        <v>2000</v>
      </c>
      <c r="T3449" s="148">
        <v>45535</v>
      </c>
      <c r="U3449" s="95">
        <v>13936</v>
      </c>
      <c r="V3449" s="148">
        <v>45556</v>
      </c>
      <c r="W3449" s="85" t="s">
        <v>12618</v>
      </c>
      <c r="X3449" s="80">
        <v>0</v>
      </c>
      <c r="Y3449" s="22">
        <v>0</v>
      </c>
      <c r="Z3449" s="80" t="s">
        <v>50</v>
      </c>
      <c r="AA3449" s="96" t="s">
        <v>3291</v>
      </c>
      <c r="AB3449" s="80"/>
      <c r="AC3449" s="80" t="s">
        <v>53</v>
      </c>
      <c r="AD3449" s="80" t="s">
        <v>54</v>
      </c>
      <c r="AE3449" s="80"/>
      <c r="AF3449" s="17">
        <v>45539</v>
      </c>
      <c r="AG3449" s="80"/>
      <c r="AH3449" s="80"/>
      <c r="AI3449" s="147" t="s">
        <v>147</v>
      </c>
      <c r="AJ3449" s="80"/>
      <c r="AK3449" s="80"/>
      <c r="AL3449" s="35"/>
      <c r="AM3449" s="35"/>
      <c r="AN3449" s="35"/>
      <c r="AO3449" s="35"/>
      <c r="AP3449" s="35"/>
    </row>
    <row r="3450" spans="1:42" x14ac:dyDescent="0.2">
      <c r="A3450" s="126">
        <v>45538.43651644676</v>
      </c>
      <c r="B3450" s="137" t="s">
        <v>37</v>
      </c>
      <c r="C3450" s="41" t="s">
        <v>118</v>
      </c>
      <c r="D3450" s="80" t="s">
        <v>36</v>
      </c>
      <c r="E3450" s="80" t="s">
        <v>119</v>
      </c>
      <c r="F3450" s="80" t="s">
        <v>36</v>
      </c>
      <c r="G3450" s="80" t="s">
        <v>108</v>
      </c>
      <c r="H3450" s="80" t="s">
        <v>7519</v>
      </c>
      <c r="I3450" s="17">
        <f ca="1">IFERROR(__xludf.DUMMYFUNCTION("""COMPUTED_VALUE"""),45543)</f>
        <v>45543</v>
      </c>
      <c r="J3450" s="143" t="s">
        <v>12619</v>
      </c>
      <c r="K3450" s="80" t="s">
        <v>12620</v>
      </c>
      <c r="L3450" s="30">
        <v>355759444</v>
      </c>
      <c r="M3450" s="80" t="s">
        <v>9422</v>
      </c>
      <c r="N3450" s="80" t="s">
        <v>12621</v>
      </c>
      <c r="O3450" s="80" t="s">
        <v>3754</v>
      </c>
      <c r="P3450" s="80" t="s">
        <v>12622</v>
      </c>
      <c r="Q3450" s="20">
        <v>13968</v>
      </c>
      <c r="R3450" s="80" t="s">
        <v>70</v>
      </c>
      <c r="S3450" s="95">
        <v>13968</v>
      </c>
      <c r="T3450" s="148">
        <v>45538</v>
      </c>
      <c r="U3450" s="77"/>
      <c r="V3450" s="78"/>
      <c r="W3450" s="85" t="s">
        <v>12623</v>
      </c>
      <c r="X3450" s="80">
        <v>100</v>
      </c>
      <c r="Y3450" s="22">
        <v>-100</v>
      </c>
      <c r="Z3450" s="80" t="s">
        <v>50</v>
      </c>
      <c r="AA3450" s="35" t="s">
        <v>3291</v>
      </c>
      <c r="AB3450" s="80"/>
      <c r="AC3450" s="80" t="s">
        <v>53</v>
      </c>
      <c r="AD3450" s="80" t="s">
        <v>54</v>
      </c>
      <c r="AE3450" s="83">
        <v>400</v>
      </c>
      <c r="AF3450" s="17">
        <v>45538</v>
      </c>
      <c r="AG3450" s="80"/>
      <c r="AH3450" s="80"/>
      <c r="AI3450" s="147">
        <v>4</v>
      </c>
      <c r="AJ3450" s="80"/>
      <c r="AK3450" s="80"/>
      <c r="AL3450" s="35"/>
      <c r="AM3450" s="35"/>
      <c r="AN3450" s="35"/>
      <c r="AO3450" s="35"/>
      <c r="AP3450" s="35"/>
    </row>
    <row r="3451" spans="1:42" x14ac:dyDescent="0.2">
      <c r="A3451" s="126">
        <v>45538.456720590279</v>
      </c>
      <c r="B3451" s="137" t="s">
        <v>37</v>
      </c>
      <c r="C3451" s="41" t="s">
        <v>118</v>
      </c>
      <c r="D3451" s="80" t="s">
        <v>36</v>
      </c>
      <c r="E3451" s="80" t="s">
        <v>77</v>
      </c>
      <c r="F3451" s="26" t="s">
        <v>36</v>
      </c>
      <c r="G3451" s="26" t="s">
        <v>41</v>
      </c>
      <c r="H3451" s="80" t="s">
        <v>5666</v>
      </c>
      <c r="I3451" s="17">
        <f ca="1">IFERROR(__xludf.DUMMYFUNCTION("""COMPUTED_VALUE"""),45540)</f>
        <v>45540</v>
      </c>
      <c r="J3451" s="143" t="s">
        <v>12624</v>
      </c>
      <c r="K3451" s="80" t="s">
        <v>12625</v>
      </c>
      <c r="L3451" s="30">
        <v>793225861</v>
      </c>
      <c r="M3451" s="80" t="s">
        <v>348</v>
      </c>
      <c r="N3451" s="80" t="s">
        <v>200</v>
      </c>
      <c r="O3451" s="80" t="s">
        <v>91</v>
      </c>
      <c r="P3451" s="80" t="s">
        <v>3117</v>
      </c>
      <c r="Q3451" s="20">
        <v>1968</v>
      </c>
      <c r="R3451" s="80" t="s">
        <v>36</v>
      </c>
      <c r="S3451" s="95">
        <f>900+1068</f>
        <v>1968</v>
      </c>
      <c r="T3451" s="83" t="s">
        <v>12626</v>
      </c>
      <c r="U3451" s="77"/>
      <c r="V3451" s="78"/>
      <c r="W3451" s="85" t="s">
        <v>12627</v>
      </c>
      <c r="X3451" s="80">
        <v>0</v>
      </c>
      <c r="Y3451" s="22">
        <v>0</v>
      </c>
      <c r="Z3451" s="80" t="s">
        <v>50</v>
      </c>
      <c r="AA3451" s="96" t="s">
        <v>3291</v>
      </c>
      <c r="AB3451" s="80"/>
      <c r="AC3451" s="80" t="s">
        <v>53</v>
      </c>
      <c r="AD3451" s="80" t="s">
        <v>138</v>
      </c>
      <c r="AE3451" s="83">
        <v>250</v>
      </c>
      <c r="AF3451" s="17">
        <v>45540</v>
      </c>
      <c r="AG3451" s="26" t="s">
        <v>7078</v>
      </c>
      <c r="AH3451" s="80"/>
      <c r="AI3451" s="147" t="s">
        <v>84</v>
      </c>
      <c r="AJ3451" s="80"/>
      <c r="AK3451" s="80"/>
      <c r="AL3451" s="35"/>
      <c r="AM3451" s="35"/>
      <c r="AN3451" s="35"/>
      <c r="AO3451" s="35"/>
      <c r="AP3451" s="35"/>
    </row>
    <row r="3452" spans="1:42" x14ac:dyDescent="0.2">
      <c r="A3452" s="126">
        <v>45538.459811053239</v>
      </c>
      <c r="B3452" s="137" t="s">
        <v>37</v>
      </c>
      <c r="C3452" s="41" t="s">
        <v>118</v>
      </c>
      <c r="D3452" s="80" t="s">
        <v>36</v>
      </c>
      <c r="E3452" s="80" t="s">
        <v>139</v>
      </c>
      <c r="F3452" s="80" t="s">
        <v>36</v>
      </c>
      <c r="G3452" s="80" t="s">
        <v>41</v>
      </c>
      <c r="H3452" s="80" t="s">
        <v>9994</v>
      </c>
      <c r="I3452" s="17">
        <f ca="1">IFERROR(__xludf.DUMMYFUNCTION("""COMPUTED_VALUE"""),45545)</f>
        <v>45545</v>
      </c>
      <c r="J3452" s="143" t="s">
        <v>12628</v>
      </c>
      <c r="K3452" s="80" t="s">
        <v>12629</v>
      </c>
      <c r="L3452" s="30">
        <v>866631644</v>
      </c>
      <c r="M3452" s="80" t="s">
        <v>123</v>
      </c>
      <c r="N3452" s="80" t="s">
        <v>2847</v>
      </c>
      <c r="O3452" s="80" t="s">
        <v>4503</v>
      </c>
      <c r="P3452" s="80" t="s">
        <v>12630</v>
      </c>
      <c r="Q3452" s="20">
        <v>15936</v>
      </c>
      <c r="R3452" s="80" t="s">
        <v>36</v>
      </c>
      <c r="S3452" s="95">
        <v>2000</v>
      </c>
      <c r="T3452" s="148">
        <v>45538</v>
      </c>
      <c r="U3452" s="178">
        <v>13936</v>
      </c>
      <c r="V3452" s="169">
        <v>45561</v>
      </c>
      <c r="W3452" s="85" t="s">
        <v>12631</v>
      </c>
      <c r="X3452" s="80">
        <v>0</v>
      </c>
      <c r="Y3452" s="22">
        <v>0</v>
      </c>
      <c r="Z3452" s="80" t="s">
        <v>50</v>
      </c>
      <c r="AA3452" s="35" t="s">
        <v>3291</v>
      </c>
      <c r="AB3452" s="80"/>
      <c r="AC3452" s="80" t="s">
        <v>53</v>
      </c>
      <c r="AD3452" s="80" t="s">
        <v>54</v>
      </c>
      <c r="AE3452" s="80"/>
      <c r="AF3452" s="17">
        <v>45539</v>
      </c>
      <c r="AG3452" s="80"/>
      <c r="AH3452" s="80"/>
      <c r="AI3452" s="147" t="s">
        <v>147</v>
      </c>
      <c r="AJ3452" s="80"/>
      <c r="AK3452" s="80"/>
      <c r="AL3452" s="35"/>
      <c r="AM3452" s="35"/>
      <c r="AN3452" s="35"/>
      <c r="AO3452" s="35"/>
      <c r="AP3452" s="35"/>
    </row>
    <row r="3453" spans="1:42" x14ac:dyDescent="0.2">
      <c r="A3453" s="126">
        <v>45538.461467256944</v>
      </c>
      <c r="B3453" s="137" t="s">
        <v>37</v>
      </c>
      <c r="C3453" s="41" t="s">
        <v>118</v>
      </c>
      <c r="D3453" s="80" t="s">
        <v>36</v>
      </c>
      <c r="E3453" s="80" t="s">
        <v>139</v>
      </c>
      <c r="F3453" s="80" t="s">
        <v>36</v>
      </c>
      <c r="G3453" s="80" t="s">
        <v>41</v>
      </c>
      <c r="H3453" s="80" t="s">
        <v>11758</v>
      </c>
      <c r="I3453" s="17">
        <f ca="1">IFERROR(__xludf.DUMMYFUNCTION("""COMPUTED_VALUE"""),45544)</f>
        <v>45544</v>
      </c>
      <c r="J3453" s="143" t="s">
        <v>12632</v>
      </c>
      <c r="K3453" s="80" t="s">
        <v>12633</v>
      </c>
      <c r="L3453" s="30">
        <v>899989595</v>
      </c>
      <c r="M3453" s="80" t="s">
        <v>123</v>
      </c>
      <c r="N3453" s="80" t="s">
        <v>186</v>
      </c>
      <c r="O3453" s="80" t="s">
        <v>4503</v>
      </c>
      <c r="P3453" s="80" t="s">
        <v>12634</v>
      </c>
      <c r="Q3453" s="20">
        <v>15936</v>
      </c>
      <c r="R3453" s="80" t="s">
        <v>70</v>
      </c>
      <c r="S3453" s="77">
        <v>3000</v>
      </c>
      <c r="T3453" s="148">
        <v>45538</v>
      </c>
      <c r="U3453" s="95">
        <v>12936</v>
      </c>
      <c r="V3453" s="148">
        <v>45551</v>
      </c>
      <c r="W3453" s="85" t="s">
        <v>12635</v>
      </c>
      <c r="X3453" s="80">
        <v>100</v>
      </c>
      <c r="Y3453" s="22">
        <v>-100</v>
      </c>
      <c r="Z3453" s="80" t="s">
        <v>50</v>
      </c>
      <c r="AA3453" s="96" t="s">
        <v>3291</v>
      </c>
      <c r="AB3453" s="80"/>
      <c r="AC3453" s="80" t="s">
        <v>53</v>
      </c>
      <c r="AD3453" s="80" t="s">
        <v>54</v>
      </c>
      <c r="AE3453" s="80"/>
      <c r="AF3453" s="17">
        <v>45539</v>
      </c>
      <c r="AG3453" s="80"/>
      <c r="AH3453" s="80"/>
      <c r="AI3453" s="147" t="s">
        <v>147</v>
      </c>
      <c r="AJ3453" s="80"/>
      <c r="AK3453" s="80"/>
      <c r="AL3453" s="35"/>
      <c r="AM3453" s="35"/>
      <c r="AN3453" s="35"/>
      <c r="AO3453" s="35"/>
      <c r="AP3453" s="35"/>
    </row>
    <row r="3454" spans="1:42" x14ac:dyDescent="0.2">
      <c r="A3454" s="126">
        <v>45538.481584710651</v>
      </c>
      <c r="B3454" s="137" t="s">
        <v>37</v>
      </c>
      <c r="C3454" s="41" t="s">
        <v>118</v>
      </c>
      <c r="D3454" s="80" t="s">
        <v>36</v>
      </c>
      <c r="E3454" s="80" t="s">
        <v>39</v>
      </c>
      <c r="F3454" s="26" t="s">
        <v>36</v>
      </c>
      <c r="G3454" s="80" t="s">
        <v>41</v>
      </c>
      <c r="H3454" s="80" t="s">
        <v>5666</v>
      </c>
      <c r="I3454" s="17">
        <f ca="1">IFERROR(__xludf.DUMMYFUNCTION("""COMPUTED_VALUE"""),45540)</f>
        <v>45540</v>
      </c>
      <c r="J3454" s="143" t="s">
        <v>12636</v>
      </c>
      <c r="K3454" s="80" t="s">
        <v>12637</v>
      </c>
      <c r="L3454" s="30">
        <v>961080724</v>
      </c>
      <c r="M3454" s="80" t="s">
        <v>2755</v>
      </c>
      <c r="N3454" s="80" t="s">
        <v>2756</v>
      </c>
      <c r="O3454" s="80" t="s">
        <v>4503</v>
      </c>
      <c r="P3454" s="80" t="s">
        <v>3694</v>
      </c>
      <c r="Q3454" s="20">
        <v>5736</v>
      </c>
      <c r="R3454" s="80" t="s">
        <v>70</v>
      </c>
      <c r="S3454" s="95">
        <v>1968</v>
      </c>
      <c r="T3454" s="148">
        <v>45538</v>
      </c>
      <c r="U3454" s="95">
        <v>3768</v>
      </c>
      <c r="V3454" s="148">
        <v>45565</v>
      </c>
      <c r="W3454" s="80" t="s">
        <v>12638</v>
      </c>
      <c r="X3454" s="80">
        <v>100</v>
      </c>
      <c r="Y3454" s="22">
        <v>-100</v>
      </c>
      <c r="Z3454" s="80" t="s">
        <v>50</v>
      </c>
      <c r="AA3454" s="35" t="s">
        <v>3291</v>
      </c>
      <c r="AB3454" s="80"/>
      <c r="AC3454" s="80" t="s">
        <v>53</v>
      </c>
      <c r="AD3454" s="80" t="s">
        <v>54</v>
      </c>
      <c r="AE3454" s="80"/>
      <c r="AF3454" s="17">
        <v>45540</v>
      </c>
      <c r="AG3454" s="26" t="s">
        <v>3399</v>
      </c>
      <c r="AH3454" s="80"/>
      <c r="AI3454" s="147" t="s">
        <v>55</v>
      </c>
      <c r="AJ3454" s="80"/>
      <c r="AK3454" s="80"/>
      <c r="AL3454" s="35"/>
      <c r="AM3454" s="35"/>
      <c r="AN3454" s="35"/>
      <c r="AO3454" s="35"/>
      <c r="AP3454" s="35"/>
    </row>
    <row r="3455" spans="1:42" x14ac:dyDescent="0.2">
      <c r="A3455" s="126">
        <v>45538.483643460648</v>
      </c>
      <c r="B3455" s="137" t="s">
        <v>37</v>
      </c>
      <c r="C3455" s="41" t="s">
        <v>118</v>
      </c>
      <c r="D3455" s="80" t="s">
        <v>36</v>
      </c>
      <c r="E3455" s="80" t="s">
        <v>39</v>
      </c>
      <c r="F3455" s="26" t="s">
        <v>36</v>
      </c>
      <c r="G3455" s="80" t="s">
        <v>41</v>
      </c>
      <c r="H3455" s="80" t="s">
        <v>5666</v>
      </c>
      <c r="I3455" s="17">
        <f ca="1">IFERROR(__xludf.DUMMYFUNCTION("""COMPUTED_VALUE"""),45540)</f>
        <v>45540</v>
      </c>
      <c r="J3455" s="143" t="s">
        <v>12639</v>
      </c>
      <c r="K3455" s="80" t="s">
        <v>12640</v>
      </c>
      <c r="L3455" s="30">
        <v>988647524</v>
      </c>
      <c r="M3455" s="80" t="s">
        <v>2755</v>
      </c>
      <c r="N3455" s="80" t="s">
        <v>2756</v>
      </c>
      <c r="O3455" s="80" t="s">
        <v>4503</v>
      </c>
      <c r="P3455" s="80" t="s">
        <v>3694</v>
      </c>
      <c r="Q3455" s="20">
        <v>5736</v>
      </c>
      <c r="R3455" s="80" t="s">
        <v>70</v>
      </c>
      <c r="S3455" s="95">
        <v>1968</v>
      </c>
      <c r="T3455" s="148">
        <v>45538</v>
      </c>
      <c r="U3455" s="95">
        <v>3768</v>
      </c>
      <c r="V3455" s="148">
        <v>45557</v>
      </c>
      <c r="W3455" s="80" t="s">
        <v>12641</v>
      </c>
      <c r="X3455" s="80">
        <v>100</v>
      </c>
      <c r="Y3455" s="22">
        <v>-100</v>
      </c>
      <c r="Z3455" s="80" t="s">
        <v>50</v>
      </c>
      <c r="AA3455" s="96" t="s">
        <v>3291</v>
      </c>
      <c r="AB3455" s="80"/>
      <c r="AC3455" s="80" t="s">
        <v>53</v>
      </c>
      <c r="AD3455" s="80" t="s">
        <v>54</v>
      </c>
      <c r="AE3455" s="80"/>
      <c r="AF3455" s="17">
        <v>45540</v>
      </c>
      <c r="AG3455" s="26" t="s">
        <v>3399</v>
      </c>
      <c r="AH3455" s="80"/>
      <c r="AI3455" s="147" t="s">
        <v>55</v>
      </c>
      <c r="AJ3455" s="80"/>
      <c r="AK3455" s="80"/>
      <c r="AL3455" s="35"/>
      <c r="AM3455" s="35"/>
      <c r="AN3455" s="35"/>
      <c r="AO3455" s="35"/>
      <c r="AP3455" s="35"/>
    </row>
    <row r="3456" spans="1:42" x14ac:dyDescent="0.2">
      <c r="A3456" s="126">
        <v>45538.745262268523</v>
      </c>
      <c r="B3456" s="137" t="s">
        <v>37</v>
      </c>
      <c r="C3456" s="41" t="s">
        <v>118</v>
      </c>
      <c r="D3456" s="80" t="s">
        <v>36</v>
      </c>
      <c r="E3456" s="80" t="s">
        <v>139</v>
      </c>
      <c r="F3456" s="80" t="s">
        <v>36</v>
      </c>
      <c r="G3456" s="80" t="s">
        <v>41</v>
      </c>
      <c r="H3456" s="80" t="s">
        <v>9994</v>
      </c>
      <c r="I3456" s="17">
        <f ca="1">IFERROR(__xludf.DUMMYFUNCTION("""COMPUTED_VALUE"""),45545)</f>
        <v>45545</v>
      </c>
      <c r="J3456" s="143" t="s">
        <v>12642</v>
      </c>
      <c r="K3456" s="80" t="s">
        <v>12643</v>
      </c>
      <c r="L3456" s="30">
        <v>944561036</v>
      </c>
      <c r="M3456" s="80" t="s">
        <v>12644</v>
      </c>
      <c r="N3456" s="80" t="s">
        <v>8725</v>
      </c>
      <c r="O3456" s="80" t="s">
        <v>12645</v>
      </c>
      <c r="P3456" s="137" t="s">
        <v>12646</v>
      </c>
      <c r="Q3456" s="20">
        <v>15936</v>
      </c>
      <c r="R3456" s="80" t="s">
        <v>36</v>
      </c>
      <c r="S3456" s="95">
        <v>2000</v>
      </c>
      <c r="T3456" s="148">
        <v>45537</v>
      </c>
      <c r="U3456" s="95">
        <v>13936</v>
      </c>
      <c r="V3456" s="148">
        <v>45565</v>
      </c>
      <c r="W3456" s="85" t="s">
        <v>12647</v>
      </c>
      <c r="X3456" s="80">
        <v>0</v>
      </c>
      <c r="Y3456" s="22">
        <v>0</v>
      </c>
      <c r="Z3456" s="80" t="s">
        <v>50</v>
      </c>
      <c r="AA3456" s="35" t="s">
        <v>3291</v>
      </c>
      <c r="AB3456" s="80"/>
      <c r="AC3456" s="80" t="s">
        <v>53</v>
      </c>
      <c r="AD3456" s="80" t="s">
        <v>54</v>
      </c>
      <c r="AE3456" s="80"/>
      <c r="AF3456" s="17">
        <v>45539</v>
      </c>
      <c r="AG3456" s="80"/>
      <c r="AH3456" s="80"/>
      <c r="AI3456" s="147" t="s">
        <v>147</v>
      </c>
      <c r="AJ3456" s="80"/>
      <c r="AK3456" s="80"/>
      <c r="AL3456" s="35"/>
      <c r="AM3456" s="35"/>
      <c r="AN3456" s="35"/>
      <c r="AO3456" s="35"/>
      <c r="AP3456" s="35"/>
    </row>
    <row r="3457" spans="1:42" x14ac:dyDescent="0.2">
      <c r="A3457" s="126">
        <v>45538.980032083331</v>
      </c>
      <c r="B3457" s="137" t="s">
        <v>37</v>
      </c>
      <c r="C3457" s="41" t="s">
        <v>118</v>
      </c>
      <c r="D3457" s="80" t="s">
        <v>36</v>
      </c>
      <c r="E3457" s="80" t="s">
        <v>77</v>
      </c>
      <c r="F3457" s="80" t="s">
        <v>36</v>
      </c>
      <c r="G3457" s="80" t="s">
        <v>41</v>
      </c>
      <c r="H3457" s="80" t="s">
        <v>11758</v>
      </c>
      <c r="I3457" s="17">
        <f ca="1">IFERROR(__xludf.DUMMYFUNCTION("""COMPUTED_VALUE"""),45544)</f>
        <v>45544</v>
      </c>
      <c r="J3457" s="85" t="s">
        <v>12648</v>
      </c>
      <c r="K3457" s="80" t="s">
        <v>12649</v>
      </c>
      <c r="L3457" s="30">
        <v>973778896</v>
      </c>
      <c r="M3457" s="80" t="s">
        <v>348</v>
      </c>
      <c r="N3457" s="80" t="s">
        <v>68</v>
      </c>
      <c r="O3457" s="80" t="s">
        <v>12650</v>
      </c>
      <c r="P3457" s="80" t="s">
        <v>12651</v>
      </c>
      <c r="Q3457" s="20">
        <v>1968</v>
      </c>
      <c r="R3457" s="80" t="s">
        <v>36</v>
      </c>
      <c r="S3457" s="95">
        <v>1968</v>
      </c>
      <c r="T3457" s="148">
        <v>45536</v>
      </c>
      <c r="U3457" s="77"/>
      <c r="V3457" s="78"/>
      <c r="W3457" s="85" t="s">
        <v>12652</v>
      </c>
      <c r="X3457" s="80">
        <v>0</v>
      </c>
      <c r="Y3457" s="22">
        <v>0</v>
      </c>
      <c r="Z3457" s="80" t="s">
        <v>50</v>
      </c>
      <c r="AA3457" s="96" t="s">
        <v>3291</v>
      </c>
      <c r="AB3457" s="80"/>
      <c r="AC3457" s="80" t="s">
        <v>53</v>
      </c>
      <c r="AD3457" s="80" t="s">
        <v>54</v>
      </c>
      <c r="AE3457" s="80" t="s">
        <v>72</v>
      </c>
      <c r="AF3457" s="17">
        <v>45539</v>
      </c>
      <c r="AG3457" s="80"/>
      <c r="AH3457" s="80"/>
      <c r="AI3457" s="147" t="s">
        <v>84</v>
      </c>
      <c r="AJ3457" s="80"/>
      <c r="AK3457" s="80"/>
      <c r="AL3457" s="35"/>
      <c r="AM3457" s="35"/>
      <c r="AN3457" s="35"/>
      <c r="AO3457" s="35"/>
      <c r="AP3457" s="35"/>
    </row>
    <row r="3458" spans="1:42" x14ac:dyDescent="0.2">
      <c r="A3458" s="126">
        <v>45538.98420431713</v>
      </c>
      <c r="B3458" s="137" t="s">
        <v>37</v>
      </c>
      <c r="C3458" s="41" t="s">
        <v>118</v>
      </c>
      <c r="D3458" s="80" t="s">
        <v>36</v>
      </c>
      <c r="E3458" s="80" t="s">
        <v>77</v>
      </c>
      <c r="F3458" s="26" t="s">
        <v>36</v>
      </c>
      <c r="G3458" s="26" t="s">
        <v>41</v>
      </c>
      <c r="H3458" s="80" t="s">
        <v>11735</v>
      </c>
      <c r="I3458" s="17">
        <f ca="1">IFERROR(__xludf.DUMMYFUNCTION("""COMPUTED_VALUE"""),45555)</f>
        <v>45555</v>
      </c>
      <c r="J3458" s="85" t="s">
        <v>12653</v>
      </c>
      <c r="K3458" s="80" t="s">
        <v>12654</v>
      </c>
      <c r="L3458" s="30">
        <v>777370073</v>
      </c>
      <c r="M3458" s="80" t="s">
        <v>348</v>
      </c>
      <c r="N3458" s="80" t="s">
        <v>68</v>
      </c>
      <c r="O3458" s="80" t="s">
        <v>12655</v>
      </c>
      <c r="P3458" s="80" t="s">
        <v>12656</v>
      </c>
      <c r="Q3458" s="20">
        <v>1968</v>
      </c>
      <c r="R3458" s="80" t="s">
        <v>70</v>
      </c>
      <c r="S3458" s="95">
        <f t="shared" ref="S3458:S3459" si="46">200+1768</f>
        <v>1968</v>
      </c>
      <c r="T3458" s="83" t="s">
        <v>12657</v>
      </c>
      <c r="U3458" s="77"/>
      <c r="V3458" s="78"/>
      <c r="W3458" s="85" t="s">
        <v>12658</v>
      </c>
      <c r="X3458" s="80">
        <v>100</v>
      </c>
      <c r="Y3458" s="22">
        <v>-100</v>
      </c>
      <c r="Z3458" s="80" t="s">
        <v>50</v>
      </c>
      <c r="AA3458" s="35" t="s">
        <v>3291</v>
      </c>
      <c r="AB3458" s="80"/>
      <c r="AC3458" s="80" t="s">
        <v>53</v>
      </c>
      <c r="AD3458" s="80" t="s">
        <v>138</v>
      </c>
      <c r="AE3458" s="80" t="s">
        <v>72</v>
      </c>
      <c r="AF3458" s="17">
        <v>45555</v>
      </c>
      <c r="AG3458" s="80"/>
      <c r="AH3458" s="80"/>
      <c r="AI3458" s="147" t="s">
        <v>84</v>
      </c>
      <c r="AJ3458" s="80"/>
      <c r="AK3458" s="80"/>
      <c r="AL3458" s="35"/>
      <c r="AM3458" s="35"/>
      <c r="AN3458" s="35"/>
      <c r="AO3458" s="35"/>
      <c r="AP3458" s="35"/>
    </row>
    <row r="3459" spans="1:42" x14ac:dyDescent="0.2">
      <c r="A3459" s="126">
        <v>45538.98720369213</v>
      </c>
      <c r="B3459" s="137" t="s">
        <v>37</v>
      </c>
      <c r="C3459" s="41" t="s">
        <v>118</v>
      </c>
      <c r="D3459" s="80" t="s">
        <v>36</v>
      </c>
      <c r="E3459" s="80" t="s">
        <v>77</v>
      </c>
      <c r="F3459" s="26" t="s">
        <v>36</v>
      </c>
      <c r="G3459" s="26" t="s">
        <v>41</v>
      </c>
      <c r="H3459" s="80" t="s">
        <v>11735</v>
      </c>
      <c r="I3459" s="17">
        <f ca="1">IFERROR(__xludf.DUMMYFUNCTION("""COMPUTED_VALUE"""),45555)</f>
        <v>45555</v>
      </c>
      <c r="J3459" s="143" t="s">
        <v>12659</v>
      </c>
      <c r="K3459" s="80" t="s">
        <v>12660</v>
      </c>
      <c r="L3459" s="30">
        <v>379817058</v>
      </c>
      <c r="M3459" s="80" t="s">
        <v>348</v>
      </c>
      <c r="N3459" s="80" t="s">
        <v>68</v>
      </c>
      <c r="O3459" s="80" t="s">
        <v>12661</v>
      </c>
      <c r="P3459" s="80" t="s">
        <v>12662</v>
      </c>
      <c r="Q3459" s="20">
        <v>1968</v>
      </c>
      <c r="R3459" s="80" t="s">
        <v>70</v>
      </c>
      <c r="S3459" s="95">
        <f t="shared" si="46"/>
        <v>1968</v>
      </c>
      <c r="T3459" s="83" t="s">
        <v>12657</v>
      </c>
      <c r="U3459" s="77"/>
      <c r="V3459" s="78"/>
      <c r="W3459" s="85" t="s">
        <v>12663</v>
      </c>
      <c r="X3459" s="80">
        <v>100</v>
      </c>
      <c r="Y3459" s="22">
        <v>-100</v>
      </c>
      <c r="Z3459" s="80" t="s">
        <v>50</v>
      </c>
      <c r="AA3459" s="96" t="s">
        <v>3291</v>
      </c>
      <c r="AB3459" s="80"/>
      <c r="AC3459" s="80" t="s">
        <v>53</v>
      </c>
      <c r="AD3459" s="80" t="s">
        <v>138</v>
      </c>
      <c r="AE3459" s="80" t="s">
        <v>72</v>
      </c>
      <c r="AF3459" s="17">
        <v>45555</v>
      </c>
      <c r="AG3459" s="80"/>
      <c r="AH3459" s="80"/>
      <c r="AI3459" s="147" t="s">
        <v>84</v>
      </c>
      <c r="AJ3459" s="80"/>
      <c r="AK3459" s="80"/>
      <c r="AL3459" s="35"/>
      <c r="AM3459" s="35"/>
      <c r="AN3459" s="35"/>
      <c r="AO3459" s="35"/>
      <c r="AP3459" s="35"/>
    </row>
    <row r="3460" spans="1:42" x14ac:dyDescent="0.2">
      <c r="A3460" s="126">
        <v>45538.993755162039</v>
      </c>
      <c r="B3460" s="137" t="s">
        <v>37</v>
      </c>
      <c r="C3460" s="41" t="s">
        <v>118</v>
      </c>
      <c r="D3460" s="80" t="s">
        <v>36</v>
      </c>
      <c r="E3460" s="80" t="s">
        <v>39</v>
      </c>
      <c r="F3460" s="80" t="s">
        <v>36</v>
      </c>
      <c r="G3460" s="26" t="s">
        <v>41</v>
      </c>
      <c r="H3460" s="80" t="s">
        <v>12474</v>
      </c>
      <c r="I3460" s="17">
        <f ca="1">IFERROR(__xludf.DUMMYFUNCTION("""COMPUTED_VALUE"""),45551)</f>
        <v>45551</v>
      </c>
      <c r="J3460" s="143" t="s">
        <v>12664</v>
      </c>
      <c r="K3460" s="80" t="s">
        <v>12665</v>
      </c>
      <c r="L3460" s="30">
        <v>373832073</v>
      </c>
      <c r="M3460" s="80" t="s">
        <v>348</v>
      </c>
      <c r="N3460" s="80" t="s">
        <v>68</v>
      </c>
      <c r="O3460" s="80" t="s">
        <v>12666</v>
      </c>
      <c r="P3460" s="80" t="s">
        <v>3694</v>
      </c>
      <c r="Q3460" s="20">
        <v>5736</v>
      </c>
      <c r="R3460" s="80" t="s">
        <v>36</v>
      </c>
      <c r="S3460" s="95">
        <v>5736</v>
      </c>
      <c r="T3460" s="148">
        <v>45538</v>
      </c>
      <c r="U3460" s="77"/>
      <c r="V3460" s="78"/>
      <c r="W3460" s="85" t="s">
        <v>12667</v>
      </c>
      <c r="X3460" s="80">
        <v>0</v>
      </c>
      <c r="Y3460" s="22">
        <v>0</v>
      </c>
      <c r="Z3460" s="80" t="s">
        <v>50</v>
      </c>
      <c r="AA3460" s="35" t="s">
        <v>3291</v>
      </c>
      <c r="AB3460" s="80"/>
      <c r="AC3460" s="80" t="s">
        <v>53</v>
      </c>
      <c r="AD3460" s="80" t="s">
        <v>138</v>
      </c>
      <c r="AE3460" s="80" t="s">
        <v>7310</v>
      </c>
      <c r="AF3460" s="17">
        <v>45551</v>
      </c>
      <c r="AG3460" s="80"/>
      <c r="AH3460" s="80"/>
      <c r="AI3460" s="147" t="s">
        <v>55</v>
      </c>
      <c r="AJ3460" s="80"/>
      <c r="AK3460" s="80"/>
      <c r="AL3460" s="35"/>
      <c r="AM3460" s="35"/>
      <c r="AN3460" s="35"/>
      <c r="AO3460" s="35"/>
      <c r="AP3460" s="35"/>
    </row>
    <row r="3461" spans="1:42" x14ac:dyDescent="0.2">
      <c r="A3461" s="126">
        <v>45539.318654039351</v>
      </c>
      <c r="B3461" s="137" t="s">
        <v>37</v>
      </c>
      <c r="C3461" s="41" t="s">
        <v>118</v>
      </c>
      <c r="D3461" s="80" t="s">
        <v>36</v>
      </c>
      <c r="E3461" s="80" t="s">
        <v>915</v>
      </c>
      <c r="F3461" s="80" t="s">
        <v>91</v>
      </c>
      <c r="G3461" s="80" t="s">
        <v>221</v>
      </c>
      <c r="H3461" s="80" t="s">
        <v>9941</v>
      </c>
      <c r="I3461" s="17">
        <f ca="1">IFERROR(__xludf.DUMMYFUNCTION("""COMPUTED_VALUE"""),45554)</f>
        <v>45554</v>
      </c>
      <c r="J3461" s="143" t="s">
        <v>12668</v>
      </c>
      <c r="K3461" s="80" t="s">
        <v>12669</v>
      </c>
      <c r="L3461" s="30">
        <v>583117355</v>
      </c>
      <c r="M3461" s="80" t="s">
        <v>9422</v>
      </c>
      <c r="N3461" s="80" t="s">
        <v>12670</v>
      </c>
      <c r="O3461" s="80" t="s">
        <v>12671</v>
      </c>
      <c r="P3461" s="80" t="s">
        <v>12672</v>
      </c>
      <c r="Q3461" s="20">
        <v>10894</v>
      </c>
      <c r="R3461" s="80" t="s">
        <v>36</v>
      </c>
      <c r="S3461" s="95">
        <v>4000</v>
      </c>
      <c r="T3461" s="148">
        <v>45539</v>
      </c>
      <c r="U3461" s="168">
        <v>6894</v>
      </c>
      <c r="V3461" s="187">
        <v>45560</v>
      </c>
      <c r="W3461" s="85" t="s">
        <v>12673</v>
      </c>
      <c r="X3461" s="80">
        <v>0</v>
      </c>
      <c r="Y3461" s="22">
        <v>0</v>
      </c>
      <c r="Z3461" s="80" t="s">
        <v>50</v>
      </c>
      <c r="AA3461" s="96" t="s">
        <v>3291</v>
      </c>
      <c r="AB3461" s="80"/>
      <c r="AC3461" s="80" t="s">
        <v>53</v>
      </c>
      <c r="AD3461" s="80" t="s">
        <v>54</v>
      </c>
      <c r="AE3461" s="83">
        <v>580</v>
      </c>
      <c r="AF3461" s="17">
        <v>45541</v>
      </c>
      <c r="AG3461" s="80"/>
      <c r="AH3461" s="80"/>
      <c r="AI3461" s="147">
        <v>3</v>
      </c>
      <c r="AJ3461" s="80"/>
      <c r="AK3461" s="80"/>
      <c r="AL3461" s="35"/>
      <c r="AM3461" s="35"/>
      <c r="AN3461" s="35"/>
      <c r="AO3461" s="35"/>
      <c r="AP3461" s="35"/>
    </row>
    <row r="3462" spans="1:42" x14ac:dyDescent="0.2">
      <c r="A3462" s="126">
        <v>45539.337880810184</v>
      </c>
      <c r="B3462" s="137" t="s">
        <v>37</v>
      </c>
      <c r="C3462" s="41" t="s">
        <v>118</v>
      </c>
      <c r="D3462" s="80" t="s">
        <v>36</v>
      </c>
      <c r="E3462" s="80" t="s">
        <v>139</v>
      </c>
      <c r="F3462" s="26" t="s">
        <v>36</v>
      </c>
      <c r="G3462" s="26" t="s">
        <v>41</v>
      </c>
      <c r="H3462" s="80" t="s">
        <v>11735</v>
      </c>
      <c r="I3462" s="17">
        <f ca="1">IFERROR(__xludf.DUMMYFUNCTION("""COMPUTED_VALUE"""),45555)</f>
        <v>45555</v>
      </c>
      <c r="J3462" s="143" t="s">
        <v>12674</v>
      </c>
      <c r="K3462" s="80" t="s">
        <v>12675</v>
      </c>
      <c r="L3462" s="30">
        <v>362165621</v>
      </c>
      <c r="M3462" s="80" t="s">
        <v>59</v>
      </c>
      <c r="N3462" s="80" t="s">
        <v>68</v>
      </c>
      <c r="O3462" s="80" t="s">
        <v>12676</v>
      </c>
      <c r="P3462" s="80" t="s">
        <v>12677</v>
      </c>
      <c r="Q3462" s="20">
        <v>15936</v>
      </c>
      <c r="R3462" s="80" t="s">
        <v>1106</v>
      </c>
      <c r="S3462" s="95">
        <f t="shared" ref="S3462:S3464" si="47">200+2000</f>
        <v>2200</v>
      </c>
      <c r="T3462" s="83" t="s">
        <v>12657</v>
      </c>
      <c r="U3462" s="95">
        <v>13613</v>
      </c>
      <c r="V3462" s="148">
        <v>45560</v>
      </c>
      <c r="W3462" s="85" t="s">
        <v>12678</v>
      </c>
      <c r="X3462" s="80">
        <v>150</v>
      </c>
      <c r="Y3462" s="22">
        <v>-27</v>
      </c>
      <c r="Z3462" s="80" t="s">
        <v>50</v>
      </c>
      <c r="AA3462" s="35" t="s">
        <v>3291</v>
      </c>
      <c r="AB3462" s="80"/>
      <c r="AC3462" s="80" t="s">
        <v>53</v>
      </c>
      <c r="AD3462" s="80" t="s">
        <v>138</v>
      </c>
      <c r="AE3462" s="80" t="s">
        <v>72</v>
      </c>
      <c r="AF3462" s="17">
        <v>45555</v>
      </c>
      <c r="AG3462" s="80"/>
      <c r="AH3462" s="80"/>
      <c r="AI3462" s="147" t="s">
        <v>147</v>
      </c>
      <c r="AJ3462" s="80"/>
      <c r="AK3462" s="80"/>
      <c r="AL3462" s="35"/>
      <c r="AM3462" s="35"/>
      <c r="AN3462" s="35"/>
      <c r="AO3462" s="35"/>
      <c r="AP3462" s="35"/>
    </row>
    <row r="3463" spans="1:42" x14ac:dyDescent="0.2">
      <c r="A3463" s="126">
        <v>45539.372265648148</v>
      </c>
      <c r="B3463" s="137" t="s">
        <v>37</v>
      </c>
      <c r="C3463" s="41" t="s">
        <v>118</v>
      </c>
      <c r="D3463" s="80" t="s">
        <v>36</v>
      </c>
      <c r="E3463" s="80" t="s">
        <v>139</v>
      </c>
      <c r="F3463" s="26" t="s">
        <v>36</v>
      </c>
      <c r="G3463" s="26" t="s">
        <v>41</v>
      </c>
      <c r="H3463" s="80" t="s">
        <v>11735</v>
      </c>
      <c r="I3463" s="17">
        <f ca="1">IFERROR(__xludf.DUMMYFUNCTION("""COMPUTED_VALUE"""),45555)</f>
        <v>45555</v>
      </c>
      <c r="J3463" s="143" t="s">
        <v>12679</v>
      </c>
      <c r="K3463" s="80" t="s">
        <v>1616</v>
      </c>
      <c r="L3463" s="30">
        <v>973530940</v>
      </c>
      <c r="M3463" s="80" t="s">
        <v>59</v>
      </c>
      <c r="N3463" s="80" t="s">
        <v>4299</v>
      </c>
      <c r="O3463" s="80" t="s">
        <v>12680</v>
      </c>
      <c r="P3463" s="80" t="s">
        <v>12681</v>
      </c>
      <c r="Q3463" s="20">
        <v>15936</v>
      </c>
      <c r="R3463" s="80" t="s">
        <v>1106</v>
      </c>
      <c r="S3463" s="95">
        <f t="shared" si="47"/>
        <v>2200</v>
      </c>
      <c r="T3463" s="83" t="s">
        <v>12682</v>
      </c>
      <c r="U3463" s="95">
        <v>13613</v>
      </c>
      <c r="V3463" s="148">
        <v>45558</v>
      </c>
      <c r="W3463" s="85" t="s">
        <v>12683</v>
      </c>
      <c r="X3463" s="80">
        <v>150</v>
      </c>
      <c r="Y3463" s="22">
        <v>-27</v>
      </c>
      <c r="Z3463" s="80" t="s">
        <v>50</v>
      </c>
      <c r="AA3463" s="96" t="s">
        <v>3291</v>
      </c>
      <c r="AB3463" s="80"/>
      <c r="AC3463" s="80" t="s">
        <v>53</v>
      </c>
      <c r="AD3463" s="80" t="s">
        <v>138</v>
      </c>
      <c r="AE3463" s="80" t="s">
        <v>4488</v>
      </c>
      <c r="AF3463" s="17">
        <v>45555</v>
      </c>
      <c r="AG3463" s="80"/>
      <c r="AH3463" s="80"/>
      <c r="AI3463" s="147" t="s">
        <v>147</v>
      </c>
      <c r="AJ3463" s="80"/>
      <c r="AK3463" s="80"/>
      <c r="AL3463" s="35"/>
      <c r="AM3463" s="35"/>
      <c r="AN3463" s="35"/>
      <c r="AO3463" s="35"/>
      <c r="AP3463" s="35"/>
    </row>
    <row r="3464" spans="1:42" x14ac:dyDescent="0.2">
      <c r="A3464" s="126">
        <v>45539.374597280097</v>
      </c>
      <c r="B3464" s="137" t="s">
        <v>37</v>
      </c>
      <c r="C3464" s="41" t="s">
        <v>118</v>
      </c>
      <c r="D3464" s="80" t="s">
        <v>36</v>
      </c>
      <c r="E3464" s="80" t="s">
        <v>139</v>
      </c>
      <c r="F3464" s="26" t="s">
        <v>36</v>
      </c>
      <c r="G3464" s="26" t="s">
        <v>41</v>
      </c>
      <c r="H3464" s="80" t="s">
        <v>11735</v>
      </c>
      <c r="I3464" s="17">
        <f ca="1">IFERROR(__xludf.DUMMYFUNCTION("""COMPUTED_VALUE"""),45555)</f>
        <v>45555</v>
      </c>
      <c r="J3464" s="143" t="s">
        <v>12684</v>
      </c>
      <c r="K3464" s="80" t="s">
        <v>12685</v>
      </c>
      <c r="L3464" s="30">
        <v>397097747</v>
      </c>
      <c r="M3464" s="80" t="s">
        <v>59</v>
      </c>
      <c r="N3464" s="80" t="s">
        <v>68</v>
      </c>
      <c r="O3464" s="80" t="s">
        <v>12686</v>
      </c>
      <c r="P3464" s="80" t="s">
        <v>12687</v>
      </c>
      <c r="Q3464" s="20">
        <v>15936</v>
      </c>
      <c r="R3464" s="80" t="s">
        <v>1106</v>
      </c>
      <c r="S3464" s="95">
        <f t="shared" si="47"/>
        <v>2200</v>
      </c>
      <c r="T3464" s="83" t="s">
        <v>12682</v>
      </c>
      <c r="U3464" s="95">
        <v>13613</v>
      </c>
      <c r="V3464" s="148">
        <v>45558</v>
      </c>
      <c r="W3464" s="85" t="s">
        <v>12688</v>
      </c>
      <c r="X3464" s="80">
        <v>150</v>
      </c>
      <c r="Y3464" s="22">
        <v>-27</v>
      </c>
      <c r="Z3464" s="80" t="s">
        <v>50</v>
      </c>
      <c r="AA3464" s="35" t="s">
        <v>3291</v>
      </c>
      <c r="AB3464" s="80"/>
      <c r="AC3464" s="80" t="s">
        <v>53</v>
      </c>
      <c r="AD3464" s="80" t="s">
        <v>138</v>
      </c>
      <c r="AE3464" s="80" t="s">
        <v>4488</v>
      </c>
      <c r="AF3464" s="17">
        <v>45555</v>
      </c>
      <c r="AG3464" s="80"/>
      <c r="AH3464" s="80"/>
      <c r="AI3464" s="147" t="s">
        <v>147</v>
      </c>
      <c r="AJ3464" s="80"/>
      <c r="AK3464" s="80"/>
      <c r="AL3464" s="35"/>
      <c r="AM3464" s="35"/>
      <c r="AN3464" s="35"/>
      <c r="AO3464" s="35"/>
      <c r="AP3464" s="35"/>
    </row>
    <row r="3465" spans="1:42" x14ac:dyDescent="0.2">
      <c r="A3465" s="126">
        <v>45539.380754212965</v>
      </c>
      <c r="B3465" s="137" t="s">
        <v>37</v>
      </c>
      <c r="C3465" s="41" t="s">
        <v>118</v>
      </c>
      <c r="D3465" s="80" t="s">
        <v>36</v>
      </c>
      <c r="E3465" s="80" t="s">
        <v>139</v>
      </c>
      <c r="F3465" s="26" t="s">
        <v>36</v>
      </c>
      <c r="G3465" s="26" t="s">
        <v>41</v>
      </c>
      <c r="H3465" s="80" t="s">
        <v>11610</v>
      </c>
      <c r="I3465" s="17">
        <f ca="1">IFERROR(__xludf.DUMMYFUNCTION("""COMPUTED_VALUE"""),45552)</f>
        <v>45552</v>
      </c>
      <c r="J3465" s="143" t="s">
        <v>12689</v>
      </c>
      <c r="K3465" s="145" t="s">
        <v>12690</v>
      </c>
      <c r="L3465" s="30">
        <v>393509248</v>
      </c>
      <c r="M3465" s="80" t="s">
        <v>123</v>
      </c>
      <c r="N3465" s="80" t="s">
        <v>327</v>
      </c>
      <c r="O3465" s="80" t="s">
        <v>12691</v>
      </c>
      <c r="P3465" s="80" t="s">
        <v>12692</v>
      </c>
      <c r="Q3465" s="20">
        <v>15936</v>
      </c>
      <c r="R3465" s="80" t="s">
        <v>36</v>
      </c>
      <c r="S3465" s="95">
        <v>15963</v>
      </c>
      <c r="T3465" s="148">
        <v>45538</v>
      </c>
      <c r="U3465" s="77"/>
      <c r="V3465" s="78"/>
      <c r="W3465" s="85" t="s">
        <v>12693</v>
      </c>
      <c r="X3465" s="80">
        <v>0</v>
      </c>
      <c r="Y3465" s="22">
        <v>-27</v>
      </c>
      <c r="Z3465" s="80" t="s">
        <v>50</v>
      </c>
      <c r="AA3465" s="96" t="s">
        <v>3291</v>
      </c>
      <c r="AB3465" s="80"/>
      <c r="AC3465" s="80" t="s">
        <v>53</v>
      </c>
      <c r="AD3465" s="80" t="s">
        <v>138</v>
      </c>
      <c r="AE3465" s="80" t="s">
        <v>4488</v>
      </c>
      <c r="AF3465" s="17">
        <v>45551</v>
      </c>
      <c r="AG3465" s="80"/>
      <c r="AH3465" s="80"/>
      <c r="AI3465" s="147" t="s">
        <v>147</v>
      </c>
      <c r="AJ3465" s="80"/>
      <c r="AK3465" s="80"/>
      <c r="AL3465" s="35"/>
      <c r="AM3465" s="35"/>
      <c r="AN3465" s="35"/>
      <c r="AO3465" s="35"/>
      <c r="AP3465" s="35"/>
    </row>
    <row r="3466" spans="1:42" x14ac:dyDescent="0.2">
      <c r="A3466" s="38">
        <v>45554</v>
      </c>
      <c r="B3466" s="28" t="s">
        <v>37</v>
      </c>
      <c r="C3466" s="41" t="s">
        <v>118</v>
      </c>
      <c r="D3466" s="26" t="s">
        <v>36</v>
      </c>
      <c r="E3466" s="26" t="s">
        <v>219</v>
      </c>
      <c r="F3466" s="26" t="s">
        <v>7403</v>
      </c>
      <c r="G3466" s="26" t="s">
        <v>221</v>
      </c>
      <c r="H3466" s="26" t="s">
        <v>7024</v>
      </c>
      <c r="I3466" s="17">
        <f ca="1">IFERROR(__xludf.DUMMYFUNCTION("""COMPUTED_VALUE"""),45557)</f>
        <v>45557</v>
      </c>
      <c r="J3466" s="29" t="s">
        <v>6297</v>
      </c>
      <c r="K3466" s="26" t="s">
        <v>6298</v>
      </c>
      <c r="L3466" s="30">
        <v>921597128</v>
      </c>
      <c r="M3466" s="26" t="s">
        <v>1245</v>
      </c>
      <c r="N3466" s="26" t="s">
        <v>1246</v>
      </c>
      <c r="O3466" s="26" t="s">
        <v>6300</v>
      </c>
      <c r="P3466" s="26" t="s">
        <v>6301</v>
      </c>
      <c r="Q3466" s="20">
        <v>3968</v>
      </c>
      <c r="R3466" s="26" t="s">
        <v>36</v>
      </c>
      <c r="S3466" s="95">
        <v>3968</v>
      </c>
      <c r="T3466" s="32">
        <v>45539</v>
      </c>
      <c r="U3466" s="31"/>
      <c r="V3466" s="32"/>
      <c r="W3466" s="85" t="s">
        <v>12694</v>
      </c>
      <c r="X3466" s="26">
        <v>0</v>
      </c>
      <c r="Y3466" s="22">
        <v>0</v>
      </c>
      <c r="Z3466" s="26" t="s">
        <v>50</v>
      </c>
      <c r="AA3466" s="35" t="s">
        <v>3291</v>
      </c>
      <c r="AB3466" s="26" t="s">
        <v>104</v>
      </c>
      <c r="AC3466" s="26" t="s">
        <v>53</v>
      </c>
      <c r="AD3466" s="19" t="s">
        <v>138</v>
      </c>
      <c r="AE3466" s="26" t="s">
        <v>7403</v>
      </c>
      <c r="AF3466" s="17">
        <v>45557</v>
      </c>
      <c r="AG3466" s="26"/>
      <c r="AH3466" s="26">
        <v>1</v>
      </c>
      <c r="AI3466" s="40">
        <v>1</v>
      </c>
      <c r="AJ3466" s="26"/>
      <c r="AK3466" s="26"/>
      <c r="AL3466" s="35"/>
      <c r="AM3466" s="35"/>
      <c r="AN3466" s="35"/>
      <c r="AO3466" s="35"/>
      <c r="AP3466" s="35"/>
    </row>
    <row r="3467" spans="1:42" x14ac:dyDescent="0.2">
      <c r="A3467" s="126">
        <v>45539.387621273148</v>
      </c>
      <c r="B3467" s="137" t="s">
        <v>37</v>
      </c>
      <c r="C3467" s="41" t="s">
        <v>118</v>
      </c>
      <c r="D3467" s="80" t="s">
        <v>36</v>
      </c>
      <c r="E3467" s="80" t="s">
        <v>39</v>
      </c>
      <c r="F3467" s="80" t="s">
        <v>40</v>
      </c>
      <c r="G3467" s="80" t="s">
        <v>41</v>
      </c>
      <c r="H3467" s="80" t="s">
        <v>9994</v>
      </c>
      <c r="I3467" s="17">
        <f ca="1">IFERROR(__xludf.DUMMYFUNCTION("""COMPUTED_VALUE"""),45545)</f>
        <v>45545</v>
      </c>
      <c r="J3467" s="143" t="s">
        <v>12695</v>
      </c>
      <c r="K3467" s="80" t="s">
        <v>12696</v>
      </c>
      <c r="L3467" s="30">
        <v>346738095</v>
      </c>
      <c r="M3467" s="80" t="s">
        <v>59</v>
      </c>
      <c r="N3467" s="80" t="s">
        <v>11476</v>
      </c>
      <c r="O3467" s="80" t="s">
        <v>12697</v>
      </c>
      <c r="P3467" s="80" t="s">
        <v>12698</v>
      </c>
      <c r="Q3467" s="20">
        <v>5736</v>
      </c>
      <c r="R3467" s="80" t="s">
        <v>36</v>
      </c>
      <c r="S3467" s="95">
        <f>200+5536</f>
        <v>5736</v>
      </c>
      <c r="T3467" s="83" t="s">
        <v>12626</v>
      </c>
      <c r="U3467" s="77"/>
      <c r="V3467" s="78"/>
      <c r="W3467" s="85" t="s">
        <v>12699</v>
      </c>
      <c r="X3467" s="80">
        <v>0</v>
      </c>
      <c r="Y3467" s="22">
        <v>0</v>
      </c>
      <c r="Z3467" s="80" t="s">
        <v>50</v>
      </c>
      <c r="AA3467" s="96" t="s">
        <v>3291</v>
      </c>
      <c r="AB3467" s="80"/>
      <c r="AC3467" s="80" t="s">
        <v>53</v>
      </c>
      <c r="AD3467" s="80" t="s">
        <v>54</v>
      </c>
      <c r="AE3467" s="80" t="s">
        <v>4488</v>
      </c>
      <c r="AF3467" s="17">
        <v>45541</v>
      </c>
      <c r="AG3467" s="80"/>
      <c r="AH3467" s="80"/>
      <c r="AI3467" s="147" t="s">
        <v>55</v>
      </c>
      <c r="AJ3467" s="80"/>
      <c r="AK3467" s="80"/>
      <c r="AL3467" s="35"/>
      <c r="AM3467" s="35"/>
      <c r="AN3467" s="35"/>
      <c r="AO3467" s="35"/>
      <c r="AP3467" s="35"/>
    </row>
    <row r="3468" spans="1:42" x14ac:dyDescent="0.2">
      <c r="A3468" s="126">
        <v>45539.396060081017</v>
      </c>
      <c r="B3468" s="137" t="s">
        <v>37</v>
      </c>
      <c r="C3468" s="41" t="s">
        <v>118</v>
      </c>
      <c r="D3468" s="80" t="s">
        <v>36</v>
      </c>
      <c r="E3468" s="80" t="s">
        <v>77</v>
      </c>
      <c r="F3468" s="80" t="s">
        <v>40</v>
      </c>
      <c r="G3468" s="80" t="s">
        <v>41</v>
      </c>
      <c r="H3468" s="80" t="s">
        <v>12700</v>
      </c>
      <c r="I3468" s="17">
        <f ca="1">IFERROR(__xludf.DUMMYFUNCTION("""COMPUTED_VALUE"""),45601)</f>
        <v>45601</v>
      </c>
      <c r="J3468" s="143" t="s">
        <v>12701</v>
      </c>
      <c r="K3468" s="80" t="s">
        <v>12702</v>
      </c>
      <c r="L3468" s="30">
        <v>394844816</v>
      </c>
      <c r="M3468" s="80" t="s">
        <v>59</v>
      </c>
      <c r="N3468" s="80" t="s">
        <v>68</v>
      </c>
      <c r="O3468" s="80" t="s">
        <v>12703</v>
      </c>
      <c r="P3468" s="80" t="s">
        <v>12704</v>
      </c>
      <c r="Q3468" s="20">
        <v>1968</v>
      </c>
      <c r="R3468" s="80" t="s">
        <v>70</v>
      </c>
      <c r="S3468" s="95">
        <f>200+1768</f>
        <v>1968</v>
      </c>
      <c r="T3468" s="83" t="s">
        <v>12705</v>
      </c>
      <c r="U3468" s="77"/>
      <c r="V3468" s="78"/>
      <c r="W3468" s="85" t="s">
        <v>12706</v>
      </c>
      <c r="X3468" s="80">
        <v>100</v>
      </c>
      <c r="Y3468" s="22">
        <v>-100</v>
      </c>
      <c r="Z3468" s="80" t="s">
        <v>50</v>
      </c>
      <c r="AA3468" s="35" t="s">
        <v>3291</v>
      </c>
      <c r="AB3468" s="80"/>
      <c r="AC3468" s="80" t="s">
        <v>53</v>
      </c>
      <c r="AD3468" s="80" t="s">
        <v>54</v>
      </c>
      <c r="AE3468" s="80" t="s">
        <v>2670</v>
      </c>
      <c r="AF3468" s="17">
        <v>45545</v>
      </c>
      <c r="AG3468" s="80" t="s">
        <v>7078</v>
      </c>
      <c r="AH3468" s="80"/>
      <c r="AI3468" s="147" t="s">
        <v>84</v>
      </c>
      <c r="AJ3468" s="80"/>
      <c r="AK3468" s="80"/>
      <c r="AL3468" s="35"/>
      <c r="AM3468" s="35"/>
      <c r="AN3468" s="35"/>
      <c r="AO3468" s="35"/>
      <c r="AP3468" s="35"/>
    </row>
    <row r="3469" spans="1:42" x14ac:dyDescent="0.2">
      <c r="A3469" s="126">
        <v>45539.404353368052</v>
      </c>
      <c r="B3469" s="137" t="s">
        <v>37</v>
      </c>
      <c r="C3469" s="41" t="s">
        <v>118</v>
      </c>
      <c r="D3469" s="80" t="s">
        <v>36</v>
      </c>
      <c r="E3469" s="80" t="s">
        <v>139</v>
      </c>
      <c r="F3469" s="80" t="s">
        <v>36</v>
      </c>
      <c r="G3469" s="80" t="s">
        <v>41</v>
      </c>
      <c r="H3469" s="80" t="s">
        <v>11347</v>
      </c>
      <c r="I3469" s="17">
        <f ca="1">IFERROR(__xludf.DUMMYFUNCTION("""COMPUTED_VALUE"""),45551)</f>
        <v>45551</v>
      </c>
      <c r="J3469" s="143" t="s">
        <v>12707</v>
      </c>
      <c r="K3469" s="80" t="s">
        <v>7979</v>
      </c>
      <c r="L3469" s="30">
        <v>376827623</v>
      </c>
      <c r="M3469" s="80" t="s">
        <v>910</v>
      </c>
      <c r="N3469" s="80" t="s">
        <v>3525</v>
      </c>
      <c r="O3469" s="80" t="s">
        <v>91</v>
      </c>
      <c r="P3469" s="80" t="s">
        <v>3694</v>
      </c>
      <c r="Q3469" s="20">
        <v>15936</v>
      </c>
      <c r="R3469" s="80" t="s">
        <v>36</v>
      </c>
      <c r="S3469" s="95">
        <f>200+1800</f>
        <v>2000</v>
      </c>
      <c r="T3469" s="83" t="s">
        <v>12708</v>
      </c>
      <c r="U3469" s="95">
        <f>13000+936</f>
        <v>13936</v>
      </c>
      <c r="V3469" s="148">
        <v>45565</v>
      </c>
      <c r="W3469" s="85" t="s">
        <v>12709</v>
      </c>
      <c r="X3469" s="80">
        <v>0</v>
      </c>
      <c r="Y3469" s="22">
        <v>0</v>
      </c>
      <c r="Z3469" s="80" t="s">
        <v>50</v>
      </c>
      <c r="AA3469" s="96" t="s">
        <v>3291</v>
      </c>
      <c r="AB3469" s="80"/>
      <c r="AC3469" s="80" t="s">
        <v>53</v>
      </c>
      <c r="AD3469" s="80" t="s">
        <v>138</v>
      </c>
      <c r="AE3469" s="80"/>
      <c r="AF3469" s="17">
        <v>45551</v>
      </c>
      <c r="AG3469" s="80"/>
      <c r="AH3469" s="80"/>
      <c r="AI3469" s="147" t="s">
        <v>147</v>
      </c>
      <c r="AJ3469" s="80"/>
      <c r="AK3469" s="80"/>
      <c r="AL3469" s="35"/>
      <c r="AM3469" s="35"/>
      <c r="AN3469" s="35"/>
      <c r="AO3469" s="35"/>
      <c r="AP3469" s="35"/>
    </row>
    <row r="3470" spans="1:42" x14ac:dyDescent="0.2">
      <c r="A3470" s="126">
        <v>45539.449534085652</v>
      </c>
      <c r="B3470" s="137" t="s">
        <v>37</v>
      </c>
      <c r="C3470" s="41" t="s">
        <v>118</v>
      </c>
      <c r="D3470" s="80" t="s">
        <v>36</v>
      </c>
      <c r="E3470" s="80" t="s">
        <v>139</v>
      </c>
      <c r="F3470" s="80" t="s">
        <v>36</v>
      </c>
      <c r="G3470" s="80" t="s">
        <v>41</v>
      </c>
      <c r="H3470" s="80" t="s">
        <v>11589</v>
      </c>
      <c r="I3470" s="17">
        <f ca="1">IFERROR(__xludf.DUMMYFUNCTION("""COMPUTED_VALUE"""),45541)</f>
        <v>45541</v>
      </c>
      <c r="J3470" s="143" t="s">
        <v>12710</v>
      </c>
      <c r="K3470" s="80" t="s">
        <v>12711</v>
      </c>
      <c r="L3470" s="30">
        <v>343259413</v>
      </c>
      <c r="M3470" s="80" t="s">
        <v>45</v>
      </c>
      <c r="N3470" s="80" t="s">
        <v>12712</v>
      </c>
      <c r="O3470" s="80" t="s">
        <v>12713</v>
      </c>
      <c r="P3470" s="80" t="s">
        <v>11664</v>
      </c>
      <c r="Q3470" s="20">
        <v>15936</v>
      </c>
      <c r="R3470" s="80" t="s">
        <v>36</v>
      </c>
      <c r="S3470" s="95">
        <v>15963</v>
      </c>
      <c r="T3470" s="148">
        <v>45532</v>
      </c>
      <c r="U3470" s="77"/>
      <c r="V3470" s="78"/>
      <c r="W3470" s="85" t="s">
        <v>12714</v>
      </c>
      <c r="X3470" s="80">
        <v>0</v>
      </c>
      <c r="Y3470" s="22">
        <v>-27</v>
      </c>
      <c r="Z3470" s="80" t="s">
        <v>50</v>
      </c>
      <c r="AA3470" s="35" t="s">
        <v>3291</v>
      </c>
      <c r="AB3470" s="80"/>
      <c r="AC3470" s="80" t="s">
        <v>2218</v>
      </c>
      <c r="AD3470" s="80" t="s">
        <v>54</v>
      </c>
      <c r="AE3470" s="83">
        <v>0</v>
      </c>
      <c r="AF3470" s="17">
        <v>45539</v>
      </c>
      <c r="AG3470" s="80" t="s">
        <v>9238</v>
      </c>
      <c r="AH3470" s="80"/>
      <c r="AI3470" s="147" t="s">
        <v>147</v>
      </c>
      <c r="AJ3470" s="80"/>
      <c r="AK3470" s="80"/>
      <c r="AL3470" s="35"/>
      <c r="AM3470" s="35"/>
      <c r="AN3470" s="35"/>
      <c r="AO3470" s="35"/>
      <c r="AP3470" s="35"/>
    </row>
    <row r="3471" spans="1:42" x14ac:dyDescent="0.2">
      <c r="A3471" s="126">
        <v>45539.658053009261</v>
      </c>
      <c r="B3471" s="137" t="s">
        <v>37</v>
      </c>
      <c r="C3471" s="41" t="s">
        <v>118</v>
      </c>
      <c r="D3471" s="80" t="s">
        <v>36</v>
      </c>
      <c r="E3471" s="80" t="s">
        <v>139</v>
      </c>
      <c r="F3471" s="80" t="s">
        <v>36</v>
      </c>
      <c r="G3471" s="80" t="s">
        <v>41</v>
      </c>
      <c r="H3471" s="80" t="s">
        <v>11758</v>
      </c>
      <c r="I3471" s="17">
        <f ca="1">IFERROR(__xludf.DUMMYFUNCTION("""COMPUTED_VALUE"""),45544)</f>
        <v>45544</v>
      </c>
      <c r="J3471" s="143" t="s">
        <v>12715</v>
      </c>
      <c r="K3471" s="80" t="s">
        <v>12716</v>
      </c>
      <c r="L3471" s="30">
        <v>941691662</v>
      </c>
      <c r="M3471" s="80" t="s">
        <v>5558</v>
      </c>
      <c r="N3471" s="80" t="s">
        <v>5559</v>
      </c>
      <c r="O3471" s="80" t="s">
        <v>4503</v>
      </c>
      <c r="P3471" s="80" t="s">
        <v>12717</v>
      </c>
      <c r="Q3471" s="20">
        <v>15936</v>
      </c>
      <c r="R3471" s="80" t="s">
        <v>36</v>
      </c>
      <c r="S3471" s="95">
        <v>1968</v>
      </c>
      <c r="T3471" s="148">
        <v>45539</v>
      </c>
      <c r="U3471" s="95">
        <v>13968</v>
      </c>
      <c r="V3471" s="148">
        <v>45561</v>
      </c>
      <c r="W3471" s="85" t="s">
        <v>12718</v>
      </c>
      <c r="X3471" s="80">
        <v>0</v>
      </c>
      <c r="Y3471" s="22">
        <v>0</v>
      </c>
      <c r="Z3471" s="80" t="s">
        <v>50</v>
      </c>
      <c r="AA3471" s="96" t="s">
        <v>3291</v>
      </c>
      <c r="AB3471" s="80"/>
      <c r="AC3471" s="80" t="s">
        <v>53</v>
      </c>
      <c r="AD3471" s="80" t="s">
        <v>54</v>
      </c>
      <c r="AE3471" s="80"/>
      <c r="AF3471" s="17">
        <v>45539</v>
      </c>
      <c r="AG3471" s="80"/>
      <c r="AH3471" s="80"/>
      <c r="AI3471" s="147" t="s">
        <v>147</v>
      </c>
      <c r="AJ3471" s="80"/>
      <c r="AK3471" s="80"/>
      <c r="AL3471" s="35"/>
      <c r="AM3471" s="35"/>
      <c r="AN3471" s="35"/>
      <c r="AO3471" s="35"/>
      <c r="AP3471" s="35"/>
    </row>
    <row r="3472" spans="1:42" x14ac:dyDescent="0.2">
      <c r="A3472" s="126">
        <v>45539.669243553246</v>
      </c>
      <c r="B3472" s="28" t="s">
        <v>37</v>
      </c>
      <c r="C3472" s="41" t="s">
        <v>118</v>
      </c>
      <c r="D3472" s="80" t="s">
        <v>77</v>
      </c>
      <c r="E3472" s="80" t="s">
        <v>106</v>
      </c>
      <c r="F3472" s="26" t="s">
        <v>9126</v>
      </c>
      <c r="G3472" s="80" t="s">
        <v>108</v>
      </c>
      <c r="H3472" s="80" t="s">
        <v>9896</v>
      </c>
      <c r="I3472" s="17">
        <f ca="1">IFERROR(__xludf.DUMMYFUNCTION("""COMPUTED_VALUE"""),45540)</f>
        <v>45540</v>
      </c>
      <c r="J3472" s="143" t="s">
        <v>10389</v>
      </c>
      <c r="K3472" s="80" t="s">
        <v>12719</v>
      </c>
      <c r="L3472" s="30">
        <v>972962985</v>
      </c>
      <c r="M3472" s="80" t="s">
        <v>12720</v>
      </c>
      <c r="N3472" s="80" t="s">
        <v>1073</v>
      </c>
      <c r="O3472" s="80" t="s">
        <v>10391</v>
      </c>
      <c r="P3472" s="42" t="s">
        <v>10392</v>
      </c>
      <c r="Q3472" s="20">
        <v>3768</v>
      </c>
      <c r="R3472" s="80" t="s">
        <v>36</v>
      </c>
      <c r="S3472" s="95">
        <v>3668</v>
      </c>
      <c r="T3472" s="148">
        <v>45539</v>
      </c>
      <c r="U3472" s="77"/>
      <c r="V3472" s="78"/>
      <c r="W3472" s="85" t="s">
        <v>12721</v>
      </c>
      <c r="X3472" s="80">
        <v>100</v>
      </c>
      <c r="Y3472" s="22">
        <v>0</v>
      </c>
      <c r="Z3472" s="80" t="s">
        <v>50</v>
      </c>
      <c r="AA3472" s="35" t="s">
        <v>3291</v>
      </c>
      <c r="AB3472" s="80"/>
      <c r="AC3472" s="80" t="s">
        <v>53</v>
      </c>
      <c r="AD3472" s="80" t="s">
        <v>54</v>
      </c>
      <c r="AE3472" s="26" t="s">
        <v>9126</v>
      </c>
      <c r="AF3472" s="17">
        <v>45539</v>
      </c>
      <c r="AG3472" s="26" t="s">
        <v>7078</v>
      </c>
      <c r="AH3472" s="80"/>
      <c r="AI3472" s="147">
        <v>1</v>
      </c>
      <c r="AJ3472" s="80"/>
      <c r="AK3472" s="80"/>
      <c r="AL3472" s="35"/>
      <c r="AM3472" s="35"/>
      <c r="AN3472" s="35"/>
      <c r="AO3472" s="35"/>
      <c r="AP3472" s="35"/>
    </row>
    <row r="3473" spans="1:42" x14ac:dyDescent="0.2">
      <c r="A3473" s="126">
        <v>45539.835744074073</v>
      </c>
      <c r="B3473" s="137" t="s">
        <v>37</v>
      </c>
      <c r="C3473" s="41" t="s">
        <v>118</v>
      </c>
      <c r="D3473" s="80" t="s">
        <v>36</v>
      </c>
      <c r="E3473" s="80" t="s">
        <v>139</v>
      </c>
      <c r="F3473" s="80" t="s">
        <v>36</v>
      </c>
      <c r="G3473" s="26" t="s">
        <v>41</v>
      </c>
      <c r="H3473" s="80" t="s">
        <v>12474</v>
      </c>
      <c r="I3473" s="17">
        <f ca="1">IFERROR(__xludf.DUMMYFUNCTION("""COMPUTED_VALUE"""),45551)</f>
        <v>45551</v>
      </c>
      <c r="J3473" s="143" t="s">
        <v>12722</v>
      </c>
      <c r="K3473" s="80" t="s">
        <v>12723</v>
      </c>
      <c r="L3473" s="30">
        <v>365158954</v>
      </c>
      <c r="M3473" s="80" t="s">
        <v>5518</v>
      </c>
      <c r="N3473" s="80" t="s">
        <v>5524</v>
      </c>
      <c r="O3473" s="80" t="s">
        <v>12724</v>
      </c>
      <c r="P3473" s="80" t="s">
        <v>5462</v>
      </c>
      <c r="Q3473" s="20">
        <v>15936</v>
      </c>
      <c r="R3473" s="80" t="s">
        <v>70</v>
      </c>
      <c r="S3473" s="95">
        <f>200+1800</f>
        <v>2000</v>
      </c>
      <c r="T3473" s="83" t="s">
        <v>12725</v>
      </c>
      <c r="U3473" s="95">
        <v>13936</v>
      </c>
      <c r="V3473" s="148">
        <v>45565</v>
      </c>
      <c r="W3473" s="85" t="s">
        <v>12726</v>
      </c>
      <c r="X3473" s="80">
        <v>100</v>
      </c>
      <c r="Y3473" s="22">
        <v>-100</v>
      </c>
      <c r="Z3473" s="80" t="s">
        <v>50</v>
      </c>
      <c r="AA3473" s="96" t="s">
        <v>3291</v>
      </c>
      <c r="AB3473" s="80"/>
      <c r="AC3473" s="80" t="s">
        <v>53</v>
      </c>
      <c r="AD3473" s="80" t="s">
        <v>138</v>
      </c>
      <c r="AE3473" s="80"/>
      <c r="AF3473" s="17">
        <v>45551</v>
      </c>
      <c r="AG3473" s="80"/>
      <c r="AH3473" s="80"/>
      <c r="AI3473" s="147" t="s">
        <v>147</v>
      </c>
      <c r="AJ3473" s="80"/>
      <c r="AK3473" s="80"/>
      <c r="AL3473" s="35"/>
      <c r="AM3473" s="35"/>
      <c r="AN3473" s="35"/>
      <c r="AO3473" s="35"/>
      <c r="AP3473" s="35"/>
    </row>
    <row r="3474" spans="1:42" x14ac:dyDescent="0.2">
      <c r="A3474" s="126">
        <v>45539.989114548611</v>
      </c>
      <c r="B3474" s="137" t="s">
        <v>37</v>
      </c>
      <c r="C3474" s="41" t="s">
        <v>118</v>
      </c>
      <c r="D3474" s="80" t="s">
        <v>36</v>
      </c>
      <c r="E3474" s="80" t="s">
        <v>39</v>
      </c>
      <c r="F3474" s="80" t="s">
        <v>36</v>
      </c>
      <c r="G3474" s="80" t="s">
        <v>41</v>
      </c>
      <c r="H3474" s="80" t="s">
        <v>11718</v>
      </c>
      <c r="I3474" s="17">
        <f ca="1">IFERROR(__xludf.DUMMYFUNCTION("""COMPUTED_VALUE"""),45540)</f>
        <v>45540</v>
      </c>
      <c r="J3474" s="143" t="s">
        <v>12727</v>
      </c>
      <c r="K3474" s="80" t="s">
        <v>12728</v>
      </c>
      <c r="L3474" s="30">
        <v>792845626</v>
      </c>
      <c r="M3474" s="80" t="s">
        <v>3728</v>
      </c>
      <c r="N3474" s="80" t="s">
        <v>5312</v>
      </c>
      <c r="O3474" s="80" t="s">
        <v>12729</v>
      </c>
      <c r="P3474" s="80" t="s">
        <v>12730</v>
      </c>
      <c r="Q3474" s="20">
        <v>5736</v>
      </c>
      <c r="R3474" s="80" t="s">
        <v>36</v>
      </c>
      <c r="S3474" s="95">
        <v>2000</v>
      </c>
      <c r="T3474" s="148">
        <v>45539</v>
      </c>
      <c r="U3474" s="95">
        <v>3768</v>
      </c>
      <c r="V3474" s="148">
        <v>45551</v>
      </c>
      <c r="W3474" s="85" t="s">
        <v>12731</v>
      </c>
      <c r="X3474" s="80">
        <v>0</v>
      </c>
      <c r="Y3474" s="22">
        <v>-32</v>
      </c>
      <c r="Z3474" s="80" t="s">
        <v>50</v>
      </c>
      <c r="AA3474" s="35" t="s">
        <v>3291</v>
      </c>
      <c r="AB3474" s="80"/>
      <c r="AC3474" s="80" t="s">
        <v>53</v>
      </c>
      <c r="AD3474" s="80" t="s">
        <v>54</v>
      </c>
      <c r="AE3474" s="80"/>
      <c r="AF3474" s="17">
        <v>45540</v>
      </c>
      <c r="AG3474" s="80" t="s">
        <v>7078</v>
      </c>
      <c r="AH3474" s="80"/>
      <c r="AI3474" s="147" t="s">
        <v>55</v>
      </c>
      <c r="AJ3474" s="80"/>
      <c r="AK3474" s="80"/>
      <c r="AL3474" s="35"/>
      <c r="AM3474" s="35"/>
      <c r="AN3474" s="35"/>
      <c r="AO3474" s="35"/>
      <c r="AP3474" s="35"/>
    </row>
    <row r="3475" spans="1:42" x14ac:dyDescent="0.2">
      <c r="A3475" s="126">
        <v>45540.319772662042</v>
      </c>
      <c r="B3475" s="137" t="s">
        <v>37</v>
      </c>
      <c r="C3475" s="41" t="s">
        <v>118</v>
      </c>
      <c r="D3475" s="80" t="s">
        <v>36</v>
      </c>
      <c r="E3475" s="80" t="s">
        <v>39</v>
      </c>
      <c r="F3475" s="80" t="s">
        <v>36</v>
      </c>
      <c r="G3475" s="80" t="s">
        <v>41</v>
      </c>
      <c r="H3475" s="80" t="s">
        <v>11723</v>
      </c>
      <c r="I3475" s="17">
        <f ca="1">IFERROR(__xludf.DUMMYFUNCTION("""COMPUTED_VALUE"""),45541)</f>
        <v>45541</v>
      </c>
      <c r="J3475" s="143" t="s">
        <v>12732</v>
      </c>
      <c r="K3475" s="80" t="s">
        <v>12733</v>
      </c>
      <c r="L3475" s="30">
        <v>375959015</v>
      </c>
      <c r="M3475" s="80" t="s">
        <v>45</v>
      </c>
      <c r="N3475" s="80" t="s">
        <v>299</v>
      </c>
      <c r="O3475" s="80" t="s">
        <v>12734</v>
      </c>
      <c r="P3475" s="80" t="s">
        <v>12735</v>
      </c>
      <c r="Q3475" s="20">
        <v>5736</v>
      </c>
      <c r="R3475" s="80" t="s">
        <v>36</v>
      </c>
      <c r="S3475" s="95">
        <v>5736</v>
      </c>
      <c r="T3475" s="148">
        <v>45539</v>
      </c>
      <c r="U3475" s="77"/>
      <c r="V3475" s="78"/>
      <c r="W3475" s="80" t="s">
        <v>12736</v>
      </c>
      <c r="X3475" s="80">
        <v>0</v>
      </c>
      <c r="Y3475" s="22">
        <v>0</v>
      </c>
      <c r="Z3475" s="80" t="s">
        <v>50</v>
      </c>
      <c r="AA3475" s="96" t="s">
        <v>3291</v>
      </c>
      <c r="AB3475" s="80"/>
      <c r="AC3475" s="80" t="s">
        <v>53</v>
      </c>
      <c r="AD3475" s="80" t="s">
        <v>54</v>
      </c>
      <c r="AE3475" s="83">
        <v>200</v>
      </c>
      <c r="AF3475" s="17">
        <v>45540</v>
      </c>
      <c r="AG3475" s="80"/>
      <c r="AH3475" s="80"/>
      <c r="AI3475" s="147" t="s">
        <v>55</v>
      </c>
      <c r="AJ3475" s="80"/>
      <c r="AK3475" s="80"/>
      <c r="AL3475" s="35"/>
      <c r="AM3475" s="35"/>
      <c r="AN3475" s="35"/>
      <c r="AO3475" s="35"/>
      <c r="AP3475" s="35"/>
    </row>
    <row r="3476" spans="1:42" x14ac:dyDescent="0.2">
      <c r="A3476" s="126">
        <v>45540.321082881943</v>
      </c>
      <c r="B3476" s="137" t="s">
        <v>37</v>
      </c>
      <c r="C3476" s="41" t="s">
        <v>118</v>
      </c>
      <c r="D3476" s="80" t="s">
        <v>36</v>
      </c>
      <c r="E3476" s="80" t="s">
        <v>139</v>
      </c>
      <c r="F3476" s="80" t="s">
        <v>9994</v>
      </c>
      <c r="G3476" s="80" t="s">
        <v>41</v>
      </c>
      <c r="H3476" s="80" t="s">
        <v>12737</v>
      </c>
      <c r="I3476" s="17">
        <f ca="1">IFERROR(__xludf.DUMMYFUNCTION("""COMPUTED_VALUE"""),45562)</f>
        <v>45562</v>
      </c>
      <c r="J3476" s="143" t="s">
        <v>12738</v>
      </c>
      <c r="K3476" s="80" t="s">
        <v>12739</v>
      </c>
      <c r="L3476" s="30">
        <v>374432510</v>
      </c>
      <c r="M3476" s="80" t="s">
        <v>9422</v>
      </c>
      <c r="N3476" s="80" t="s">
        <v>68</v>
      </c>
      <c r="O3476" s="80" t="s">
        <v>12740</v>
      </c>
      <c r="P3476" s="137" t="s">
        <v>12741</v>
      </c>
      <c r="Q3476" s="20">
        <v>15936</v>
      </c>
      <c r="R3476" s="80" t="s">
        <v>36</v>
      </c>
      <c r="S3476" s="95">
        <v>7800</v>
      </c>
      <c r="T3476" s="148">
        <v>45539</v>
      </c>
      <c r="U3476" s="95">
        <v>8136</v>
      </c>
      <c r="V3476" s="148">
        <v>45563</v>
      </c>
      <c r="W3476" s="85" t="s">
        <v>12742</v>
      </c>
      <c r="X3476" s="80">
        <v>0</v>
      </c>
      <c r="Y3476" s="22">
        <v>0</v>
      </c>
      <c r="Z3476" s="80" t="s">
        <v>50</v>
      </c>
      <c r="AA3476" s="35" t="s">
        <v>3291</v>
      </c>
      <c r="AB3476" s="80"/>
      <c r="AC3476" s="80" t="s">
        <v>53</v>
      </c>
      <c r="AD3476" s="80" t="s">
        <v>54</v>
      </c>
      <c r="AE3476" s="80"/>
      <c r="AF3476" s="17">
        <v>45540</v>
      </c>
      <c r="AG3476" s="80"/>
      <c r="AH3476" s="80"/>
      <c r="AI3476" s="147" t="s">
        <v>147</v>
      </c>
      <c r="AJ3476" s="80"/>
      <c r="AK3476" s="80"/>
      <c r="AL3476" s="35"/>
      <c r="AM3476" s="35"/>
      <c r="AN3476" s="35"/>
      <c r="AO3476" s="35"/>
      <c r="AP3476" s="35"/>
    </row>
    <row r="3477" spans="1:42" x14ac:dyDescent="0.2">
      <c r="A3477" s="126">
        <v>45540.356894270837</v>
      </c>
      <c r="B3477" s="137" t="s">
        <v>37</v>
      </c>
      <c r="C3477" s="41" t="s">
        <v>118</v>
      </c>
      <c r="D3477" s="80" t="s">
        <v>36</v>
      </c>
      <c r="E3477" s="80" t="s">
        <v>56</v>
      </c>
      <c r="F3477" s="80" t="s">
        <v>36</v>
      </c>
      <c r="G3477" s="80" t="s">
        <v>41</v>
      </c>
      <c r="H3477" s="80" t="s">
        <v>11723</v>
      </c>
      <c r="I3477" s="17">
        <f ca="1">IFERROR(__xludf.DUMMYFUNCTION("""COMPUTED_VALUE"""),45541)</f>
        <v>45541</v>
      </c>
      <c r="J3477" s="143" t="s">
        <v>12743</v>
      </c>
      <c r="K3477" s="80" t="s">
        <v>12744</v>
      </c>
      <c r="L3477" s="30">
        <v>967938367</v>
      </c>
      <c r="M3477" s="80" t="s">
        <v>123</v>
      </c>
      <c r="N3477" s="80" t="s">
        <v>327</v>
      </c>
      <c r="O3477" s="80" t="s">
        <v>4503</v>
      </c>
      <c r="P3477" s="80" t="s">
        <v>12745</v>
      </c>
      <c r="Q3477" s="20">
        <v>9317</v>
      </c>
      <c r="R3477" s="80" t="s">
        <v>36</v>
      </c>
      <c r="S3477" s="95">
        <v>2000</v>
      </c>
      <c r="T3477" s="148">
        <v>45539</v>
      </c>
      <c r="U3477" s="95">
        <v>7317</v>
      </c>
      <c r="V3477" s="148">
        <v>45553</v>
      </c>
      <c r="W3477" s="85" t="s">
        <v>12746</v>
      </c>
      <c r="X3477" s="80">
        <v>0</v>
      </c>
      <c r="Y3477" s="22">
        <v>0</v>
      </c>
      <c r="Z3477" s="80" t="s">
        <v>50</v>
      </c>
      <c r="AA3477" s="96" t="s">
        <v>3291</v>
      </c>
      <c r="AB3477" s="80"/>
      <c r="AC3477" s="80" t="s">
        <v>53</v>
      </c>
      <c r="AD3477" s="80" t="s">
        <v>54</v>
      </c>
      <c r="AE3477" s="80"/>
      <c r="AF3477" s="17">
        <v>45540</v>
      </c>
      <c r="AG3477" s="80"/>
      <c r="AH3477" s="80"/>
      <c r="AI3477" s="147" t="s">
        <v>64</v>
      </c>
      <c r="AJ3477" s="80"/>
      <c r="AK3477" s="80"/>
      <c r="AL3477" s="35"/>
      <c r="AM3477" s="35"/>
      <c r="AN3477" s="35"/>
      <c r="AO3477" s="35"/>
      <c r="AP3477" s="35"/>
    </row>
    <row r="3478" spans="1:42" x14ac:dyDescent="0.2">
      <c r="A3478" s="126">
        <v>45540.613343159726</v>
      </c>
      <c r="B3478" s="137" t="s">
        <v>37</v>
      </c>
      <c r="C3478" s="41" t="s">
        <v>118</v>
      </c>
      <c r="D3478" s="80" t="s">
        <v>36</v>
      </c>
      <c r="E3478" s="80" t="s">
        <v>56</v>
      </c>
      <c r="F3478" s="80" t="s">
        <v>91</v>
      </c>
      <c r="G3478" s="80" t="s">
        <v>41</v>
      </c>
      <c r="H3478" s="80" t="s">
        <v>12542</v>
      </c>
      <c r="I3478" s="17">
        <f ca="1">IFERROR(__xludf.DUMMYFUNCTION("""COMPUTED_VALUE"""),45636)</f>
        <v>45636</v>
      </c>
      <c r="J3478" s="143" t="s">
        <v>12747</v>
      </c>
      <c r="K3478" s="80" t="s">
        <v>12748</v>
      </c>
      <c r="L3478" s="80">
        <v>868413466</v>
      </c>
      <c r="M3478" s="80" t="s">
        <v>3288</v>
      </c>
      <c r="N3478" s="80" t="s">
        <v>200</v>
      </c>
      <c r="O3478" s="80" t="s">
        <v>91</v>
      </c>
      <c r="P3478" s="80" t="s">
        <v>12749</v>
      </c>
      <c r="Q3478" s="20">
        <v>9317</v>
      </c>
      <c r="R3478" s="80" t="s">
        <v>36</v>
      </c>
      <c r="S3478" s="95">
        <v>9317</v>
      </c>
      <c r="T3478" s="148">
        <v>45540</v>
      </c>
      <c r="U3478" s="77"/>
      <c r="V3478" s="78"/>
      <c r="W3478" s="85" t="s">
        <v>12750</v>
      </c>
      <c r="X3478" s="80">
        <v>0</v>
      </c>
      <c r="Y3478" s="22">
        <v>0</v>
      </c>
      <c r="Z3478" s="80" t="s">
        <v>50</v>
      </c>
      <c r="AA3478" s="35" t="s">
        <v>3291</v>
      </c>
      <c r="AB3478" s="80"/>
      <c r="AC3478" s="80" t="s">
        <v>53</v>
      </c>
      <c r="AD3478" s="80" t="s">
        <v>54</v>
      </c>
      <c r="AE3478" s="80" t="s">
        <v>76</v>
      </c>
      <c r="AF3478" s="17">
        <v>45541</v>
      </c>
      <c r="AG3478" s="80"/>
      <c r="AH3478" s="80"/>
      <c r="AI3478" s="147" t="s">
        <v>64</v>
      </c>
      <c r="AJ3478" s="80"/>
      <c r="AK3478" s="80"/>
      <c r="AL3478" s="35"/>
      <c r="AM3478" s="35"/>
      <c r="AN3478" s="35"/>
      <c r="AO3478" s="35"/>
      <c r="AP3478" s="35"/>
    </row>
    <row r="3479" spans="1:42" x14ac:dyDescent="0.2">
      <c r="A3479" s="126">
        <v>45540.718087604168</v>
      </c>
      <c r="B3479" s="137" t="s">
        <v>37</v>
      </c>
      <c r="C3479" s="41" t="s">
        <v>118</v>
      </c>
      <c r="D3479" s="80" t="s">
        <v>36</v>
      </c>
      <c r="E3479" s="80" t="s">
        <v>39</v>
      </c>
      <c r="F3479" s="80" t="s">
        <v>36</v>
      </c>
      <c r="G3479" s="80" t="s">
        <v>41</v>
      </c>
      <c r="H3479" s="80" t="s">
        <v>11758</v>
      </c>
      <c r="I3479" s="17">
        <f ca="1">IFERROR(__xludf.DUMMYFUNCTION("""COMPUTED_VALUE"""),45544)</f>
        <v>45544</v>
      </c>
      <c r="J3479" s="143" t="s">
        <v>12751</v>
      </c>
      <c r="K3479" s="80" t="s">
        <v>12752</v>
      </c>
      <c r="L3479" s="188">
        <v>349751968</v>
      </c>
      <c r="M3479" s="80" t="s">
        <v>45</v>
      </c>
      <c r="N3479" s="80" t="s">
        <v>12753</v>
      </c>
      <c r="O3479" s="80" t="s">
        <v>12754</v>
      </c>
      <c r="P3479" s="80" t="s">
        <v>12755</v>
      </c>
      <c r="Q3479" s="20">
        <v>5736</v>
      </c>
      <c r="R3479" s="80" t="s">
        <v>70</v>
      </c>
      <c r="S3479" s="95">
        <v>5736</v>
      </c>
      <c r="T3479" s="148">
        <v>41881</v>
      </c>
      <c r="U3479" s="77"/>
      <c r="V3479" s="78"/>
      <c r="W3479" s="85" t="s">
        <v>12756</v>
      </c>
      <c r="X3479" s="80">
        <v>100</v>
      </c>
      <c r="Y3479" s="22">
        <v>-100</v>
      </c>
      <c r="Z3479" s="80" t="s">
        <v>50</v>
      </c>
      <c r="AA3479" s="96" t="s">
        <v>3291</v>
      </c>
      <c r="AB3479" s="80"/>
      <c r="AC3479" s="80" t="s">
        <v>53</v>
      </c>
      <c r="AD3479" s="80" t="s">
        <v>54</v>
      </c>
      <c r="AE3479" s="83">
        <v>0</v>
      </c>
      <c r="AF3479" s="17">
        <v>45541</v>
      </c>
      <c r="AG3479" s="80"/>
      <c r="AH3479" s="80"/>
      <c r="AI3479" s="147" t="s">
        <v>55</v>
      </c>
      <c r="AJ3479" s="80"/>
      <c r="AK3479" s="80"/>
      <c r="AL3479" s="35"/>
      <c r="AM3479" s="35"/>
      <c r="AN3479" s="35"/>
      <c r="AO3479" s="35"/>
      <c r="AP3479" s="35"/>
    </row>
    <row r="3480" spans="1:42" x14ac:dyDescent="0.2">
      <c r="A3480" s="126">
        <v>45540.722688634254</v>
      </c>
      <c r="B3480" s="137" t="s">
        <v>37</v>
      </c>
      <c r="C3480" s="41" t="s">
        <v>118</v>
      </c>
      <c r="D3480" s="80" t="s">
        <v>36</v>
      </c>
      <c r="E3480" s="80" t="s">
        <v>39</v>
      </c>
      <c r="F3480" s="80" t="s">
        <v>36</v>
      </c>
      <c r="G3480" s="80" t="s">
        <v>41</v>
      </c>
      <c r="H3480" s="80" t="s">
        <v>11758</v>
      </c>
      <c r="I3480" s="17">
        <f ca="1">IFERROR(__xludf.DUMMYFUNCTION("""COMPUTED_VALUE"""),45544)</f>
        <v>45544</v>
      </c>
      <c r="J3480" s="143" t="s">
        <v>12757</v>
      </c>
      <c r="K3480" s="80" t="s">
        <v>12758</v>
      </c>
      <c r="L3480" s="30">
        <v>347053614</v>
      </c>
      <c r="M3480" s="80" t="s">
        <v>45</v>
      </c>
      <c r="N3480" s="80" t="s">
        <v>12759</v>
      </c>
      <c r="O3480" s="80" t="s">
        <v>12760</v>
      </c>
      <c r="P3480" s="80" t="s">
        <v>12761</v>
      </c>
      <c r="Q3480" s="20">
        <v>5736</v>
      </c>
      <c r="R3480" s="80" t="s">
        <v>70</v>
      </c>
      <c r="S3480" s="95">
        <v>2868</v>
      </c>
      <c r="T3480" s="148">
        <v>45534</v>
      </c>
      <c r="U3480" s="178">
        <v>2768</v>
      </c>
      <c r="V3480" s="169">
        <v>45560</v>
      </c>
      <c r="W3480" s="85" t="s">
        <v>12762</v>
      </c>
      <c r="X3480" s="80">
        <v>100</v>
      </c>
      <c r="Y3480" s="22">
        <v>0</v>
      </c>
      <c r="Z3480" s="80" t="s">
        <v>50</v>
      </c>
      <c r="AA3480" s="35" t="s">
        <v>3291</v>
      </c>
      <c r="AB3480" s="80"/>
      <c r="AC3480" s="80" t="s">
        <v>53</v>
      </c>
      <c r="AD3480" s="80" t="s">
        <v>54</v>
      </c>
      <c r="AE3480" s="83">
        <v>0</v>
      </c>
      <c r="AF3480" s="17">
        <v>45541</v>
      </c>
      <c r="AG3480" s="80"/>
      <c r="AH3480" s="80"/>
      <c r="AI3480" s="147" t="s">
        <v>55</v>
      </c>
      <c r="AJ3480" s="80"/>
      <c r="AK3480" s="80"/>
      <c r="AL3480" s="35"/>
      <c r="AM3480" s="35"/>
      <c r="AN3480" s="35"/>
      <c r="AO3480" s="35"/>
      <c r="AP3480" s="35"/>
    </row>
    <row r="3481" spans="1:42" x14ac:dyDescent="0.2">
      <c r="A3481" s="126">
        <v>45540.724355752318</v>
      </c>
      <c r="B3481" s="137" t="s">
        <v>37</v>
      </c>
      <c r="C3481" s="41" t="s">
        <v>118</v>
      </c>
      <c r="D3481" s="80" t="s">
        <v>36</v>
      </c>
      <c r="E3481" s="80" t="s">
        <v>139</v>
      </c>
      <c r="F3481" s="26" t="s">
        <v>40</v>
      </c>
      <c r="G3481" s="80" t="s">
        <v>41</v>
      </c>
      <c r="H3481" s="80" t="s">
        <v>11747</v>
      </c>
      <c r="I3481" s="17">
        <f ca="1">IFERROR(__xludf.DUMMYFUNCTION("""COMPUTED_VALUE"""),45559)</f>
        <v>45559</v>
      </c>
      <c r="J3481" s="143" t="s">
        <v>12763</v>
      </c>
      <c r="K3481" s="80" t="s">
        <v>12764</v>
      </c>
      <c r="L3481" s="30">
        <v>856354943</v>
      </c>
      <c r="M3481" s="80" t="s">
        <v>3728</v>
      </c>
      <c r="N3481" s="80" t="s">
        <v>5312</v>
      </c>
      <c r="O3481" s="80" t="s">
        <v>134</v>
      </c>
      <c r="P3481" s="80" t="s">
        <v>11644</v>
      </c>
      <c r="Q3481" s="20">
        <v>15936</v>
      </c>
      <c r="R3481" s="80" t="s">
        <v>36</v>
      </c>
      <c r="S3481" s="95">
        <v>2000</v>
      </c>
      <c r="T3481" s="148">
        <v>45540</v>
      </c>
      <c r="U3481" s="95">
        <v>13936</v>
      </c>
      <c r="V3481" s="148">
        <v>45560</v>
      </c>
      <c r="W3481" s="85" t="s">
        <v>12765</v>
      </c>
      <c r="X3481" s="80">
        <v>0</v>
      </c>
      <c r="Y3481" s="22">
        <v>0</v>
      </c>
      <c r="Z3481" s="80" t="s">
        <v>50</v>
      </c>
      <c r="AA3481" s="96" t="s">
        <v>3291</v>
      </c>
      <c r="AB3481" s="80"/>
      <c r="AC3481" s="80" t="s">
        <v>53</v>
      </c>
      <c r="AD3481" s="80" t="s">
        <v>138</v>
      </c>
      <c r="AE3481" s="80"/>
      <c r="AF3481" s="17">
        <v>45559</v>
      </c>
      <c r="AG3481" s="80"/>
      <c r="AH3481" s="80"/>
      <c r="AI3481" s="147" t="s">
        <v>147</v>
      </c>
      <c r="AJ3481" s="80"/>
      <c r="AK3481" s="80"/>
      <c r="AL3481" s="35"/>
      <c r="AM3481" s="35"/>
      <c r="AN3481" s="35"/>
      <c r="AO3481" s="35"/>
      <c r="AP3481" s="35"/>
    </row>
    <row r="3482" spans="1:42" x14ac:dyDescent="0.2">
      <c r="A3482" s="126">
        <v>45540.937127824072</v>
      </c>
      <c r="B3482" s="137" t="s">
        <v>37</v>
      </c>
      <c r="C3482" s="41" t="s">
        <v>118</v>
      </c>
      <c r="D3482" s="80" t="s">
        <v>36</v>
      </c>
      <c r="E3482" s="80" t="s">
        <v>139</v>
      </c>
      <c r="F3482" s="26" t="s">
        <v>36</v>
      </c>
      <c r="G3482" s="26" t="s">
        <v>41</v>
      </c>
      <c r="H3482" s="80" t="s">
        <v>12766</v>
      </c>
      <c r="I3482" s="17">
        <f ca="1">IFERROR(__xludf.DUMMYFUNCTION("""COMPUTED_VALUE"""),45555)</f>
        <v>45555</v>
      </c>
      <c r="J3482" s="143" t="s">
        <v>12767</v>
      </c>
      <c r="K3482" s="80" t="s">
        <v>12768</v>
      </c>
      <c r="L3482" s="30">
        <v>822996453</v>
      </c>
      <c r="M3482" s="80" t="s">
        <v>12644</v>
      </c>
      <c r="N3482" s="80" t="s">
        <v>8725</v>
      </c>
      <c r="O3482" s="80" t="s">
        <v>12769</v>
      </c>
      <c r="P3482" s="80" t="s">
        <v>12770</v>
      </c>
      <c r="Q3482" s="20">
        <v>15936</v>
      </c>
      <c r="R3482" s="80" t="s">
        <v>36</v>
      </c>
      <c r="S3482" s="95">
        <v>2000</v>
      </c>
      <c r="T3482" s="148">
        <v>45540</v>
      </c>
      <c r="U3482" s="95">
        <v>13936</v>
      </c>
      <c r="V3482" s="148">
        <v>45555</v>
      </c>
      <c r="W3482" s="85" t="s">
        <v>12771</v>
      </c>
      <c r="X3482" s="80">
        <v>0</v>
      </c>
      <c r="Y3482" s="22">
        <v>0</v>
      </c>
      <c r="Z3482" s="80" t="s">
        <v>50</v>
      </c>
      <c r="AA3482" s="35" t="s">
        <v>3291</v>
      </c>
      <c r="AB3482" s="80"/>
      <c r="AC3482" s="80" t="s">
        <v>53</v>
      </c>
      <c r="AD3482" s="80" t="s">
        <v>138</v>
      </c>
      <c r="AE3482" s="80"/>
      <c r="AF3482" s="17">
        <v>45555</v>
      </c>
      <c r="AG3482" s="80"/>
      <c r="AH3482" s="80"/>
      <c r="AI3482" s="147" t="s">
        <v>147</v>
      </c>
      <c r="AJ3482" s="80"/>
      <c r="AK3482" s="80"/>
      <c r="AL3482" s="35"/>
      <c r="AM3482" s="35"/>
      <c r="AN3482" s="35"/>
      <c r="AO3482" s="35"/>
      <c r="AP3482" s="35"/>
    </row>
    <row r="3483" spans="1:42" x14ac:dyDescent="0.2">
      <c r="A3483" s="126">
        <v>45540.944881180556</v>
      </c>
      <c r="B3483" s="137" t="s">
        <v>37</v>
      </c>
      <c r="C3483" s="41" t="s">
        <v>118</v>
      </c>
      <c r="D3483" s="80" t="s">
        <v>119</v>
      </c>
      <c r="E3483" s="80" t="s">
        <v>119</v>
      </c>
      <c r="F3483" s="80" t="s">
        <v>36</v>
      </c>
      <c r="G3483" s="80" t="s">
        <v>108</v>
      </c>
      <c r="H3483" s="80" t="s">
        <v>7519</v>
      </c>
      <c r="I3483" s="17">
        <f ca="1">IFERROR(__xludf.DUMMYFUNCTION("""COMPUTED_VALUE"""),45543)</f>
        <v>45543</v>
      </c>
      <c r="J3483" s="143" t="s">
        <v>12772</v>
      </c>
      <c r="K3483" s="80" t="s">
        <v>12773</v>
      </c>
      <c r="L3483" s="30">
        <v>373088006</v>
      </c>
      <c r="M3483" s="80" t="s">
        <v>45</v>
      </c>
      <c r="N3483" s="80" t="s">
        <v>87</v>
      </c>
      <c r="O3483" s="80" t="s">
        <v>12774</v>
      </c>
      <c r="P3483" s="115" t="s">
        <v>12775</v>
      </c>
      <c r="Q3483" s="20">
        <v>13968</v>
      </c>
      <c r="R3483" s="80" t="s">
        <v>36</v>
      </c>
      <c r="S3483" s="95">
        <v>13968</v>
      </c>
      <c r="T3483" s="148">
        <v>45540</v>
      </c>
      <c r="U3483" s="77"/>
      <c r="V3483" s="78"/>
      <c r="W3483" s="80" t="s">
        <v>12776</v>
      </c>
      <c r="X3483" s="80">
        <v>0</v>
      </c>
      <c r="Y3483" s="22">
        <v>0</v>
      </c>
      <c r="Z3483" s="80" t="s">
        <v>50</v>
      </c>
      <c r="AA3483" s="96" t="s">
        <v>3291</v>
      </c>
      <c r="AB3483" s="80"/>
      <c r="AC3483" s="80" t="s">
        <v>53</v>
      </c>
      <c r="AD3483" s="80" t="s">
        <v>54</v>
      </c>
      <c r="AE3483" s="83">
        <v>350</v>
      </c>
      <c r="AF3483" s="17">
        <v>45541</v>
      </c>
      <c r="AG3483" s="80"/>
      <c r="AH3483" s="80"/>
      <c r="AI3483" s="147">
        <v>4</v>
      </c>
      <c r="AJ3483" s="80"/>
      <c r="AK3483" s="80"/>
      <c r="AL3483" s="35"/>
      <c r="AM3483" s="35"/>
      <c r="AN3483" s="35"/>
      <c r="AO3483" s="35"/>
      <c r="AP3483" s="35"/>
    </row>
    <row r="3484" spans="1:42" x14ac:dyDescent="0.2">
      <c r="A3484" s="126">
        <v>45540.972026412041</v>
      </c>
      <c r="B3484" s="137" t="s">
        <v>37</v>
      </c>
      <c r="C3484" s="41" t="s">
        <v>118</v>
      </c>
      <c r="D3484" s="80" t="s">
        <v>36</v>
      </c>
      <c r="E3484" s="80" t="s">
        <v>77</v>
      </c>
      <c r="F3484" s="80" t="s">
        <v>36</v>
      </c>
      <c r="G3484" s="26" t="s">
        <v>41</v>
      </c>
      <c r="H3484" s="80" t="s">
        <v>12474</v>
      </c>
      <c r="I3484" s="17">
        <f ca="1">IFERROR(__xludf.DUMMYFUNCTION("""COMPUTED_VALUE"""),45551)</f>
        <v>45551</v>
      </c>
      <c r="J3484" s="143" t="s">
        <v>12777</v>
      </c>
      <c r="K3484" s="80" t="s">
        <v>12778</v>
      </c>
      <c r="L3484" s="30">
        <v>832352684</v>
      </c>
      <c r="M3484" s="80" t="s">
        <v>348</v>
      </c>
      <c r="N3484" s="80" t="s">
        <v>68</v>
      </c>
      <c r="O3484" s="80" t="s">
        <v>12779</v>
      </c>
      <c r="P3484" s="80" t="s">
        <v>7743</v>
      </c>
      <c r="Q3484" s="20">
        <v>1968</v>
      </c>
      <c r="R3484" s="80" t="s">
        <v>36</v>
      </c>
      <c r="S3484" s="95">
        <f>200+1768</f>
        <v>1968</v>
      </c>
      <c r="T3484" s="83" t="s">
        <v>12780</v>
      </c>
      <c r="U3484" s="77"/>
      <c r="V3484" s="78"/>
      <c r="W3484" s="85" t="s">
        <v>12781</v>
      </c>
      <c r="X3484" s="80">
        <v>0</v>
      </c>
      <c r="Y3484" s="22">
        <v>0</v>
      </c>
      <c r="Z3484" s="80" t="s">
        <v>50</v>
      </c>
      <c r="AA3484" s="35" t="s">
        <v>3291</v>
      </c>
      <c r="AB3484" s="80"/>
      <c r="AC3484" s="80" t="s">
        <v>53</v>
      </c>
      <c r="AD3484" s="80" t="s">
        <v>138</v>
      </c>
      <c r="AE3484" s="80" t="s">
        <v>12782</v>
      </c>
      <c r="AF3484" s="17">
        <v>45551</v>
      </c>
      <c r="AG3484" s="80"/>
      <c r="AH3484" s="80"/>
      <c r="AI3484" s="147" t="s">
        <v>84</v>
      </c>
      <c r="AJ3484" s="80"/>
      <c r="AK3484" s="80"/>
      <c r="AL3484" s="35"/>
      <c r="AM3484" s="35"/>
      <c r="AN3484" s="35"/>
      <c r="AO3484" s="35"/>
      <c r="AP3484" s="35"/>
    </row>
    <row r="3485" spans="1:42" x14ac:dyDescent="0.2">
      <c r="A3485" s="126">
        <v>45540.982701006942</v>
      </c>
      <c r="B3485" s="137" t="s">
        <v>37</v>
      </c>
      <c r="C3485" s="41" t="s">
        <v>118</v>
      </c>
      <c r="D3485" s="80" t="s">
        <v>36</v>
      </c>
      <c r="E3485" s="80" t="s">
        <v>56</v>
      </c>
      <c r="F3485" s="26" t="s">
        <v>36</v>
      </c>
      <c r="G3485" s="80" t="s">
        <v>41</v>
      </c>
      <c r="H3485" s="80" t="s">
        <v>12783</v>
      </c>
      <c r="I3485" s="17">
        <f ca="1">IFERROR(__xludf.DUMMYFUNCTION("""COMPUTED_VALUE"""),46000)</f>
        <v>46000</v>
      </c>
      <c r="J3485" s="143" t="s">
        <v>12784</v>
      </c>
      <c r="K3485" s="80" t="s">
        <v>12785</v>
      </c>
      <c r="L3485" s="30">
        <v>368414098</v>
      </c>
      <c r="M3485" s="80" t="s">
        <v>59</v>
      </c>
      <c r="N3485" s="80" t="s">
        <v>9301</v>
      </c>
      <c r="O3485" s="80" t="s">
        <v>12786</v>
      </c>
      <c r="P3485" s="80" t="s">
        <v>12692</v>
      </c>
      <c r="Q3485" s="20">
        <v>9317</v>
      </c>
      <c r="R3485" s="80" t="s">
        <v>36</v>
      </c>
      <c r="S3485" s="95">
        <v>2000</v>
      </c>
      <c r="T3485" s="148">
        <v>45540</v>
      </c>
      <c r="U3485" s="95">
        <v>7317</v>
      </c>
      <c r="V3485" s="148">
        <v>45553</v>
      </c>
      <c r="W3485" s="80" t="s">
        <v>12787</v>
      </c>
      <c r="X3485" s="80">
        <v>0</v>
      </c>
      <c r="Y3485" s="22">
        <v>0</v>
      </c>
      <c r="Z3485" s="80" t="s">
        <v>50</v>
      </c>
      <c r="AA3485" s="96" t="s">
        <v>3291</v>
      </c>
      <c r="AB3485" s="80"/>
      <c r="AC3485" s="80" t="s">
        <v>53</v>
      </c>
      <c r="AD3485" s="80"/>
      <c r="AE3485" s="80"/>
      <c r="AF3485" s="17">
        <v>46001</v>
      </c>
      <c r="AG3485" s="80"/>
      <c r="AH3485" s="80"/>
      <c r="AI3485" s="147" t="s">
        <v>64</v>
      </c>
      <c r="AJ3485" s="80"/>
      <c r="AK3485" s="80"/>
      <c r="AL3485" s="35"/>
      <c r="AM3485" s="35"/>
      <c r="AN3485" s="35"/>
      <c r="AO3485" s="35"/>
      <c r="AP3485" s="35"/>
    </row>
    <row r="3486" spans="1:42" x14ac:dyDescent="0.2">
      <c r="A3486" s="126">
        <v>45540.990768171294</v>
      </c>
      <c r="B3486" s="137" t="s">
        <v>37</v>
      </c>
      <c r="C3486" s="41" t="s">
        <v>118</v>
      </c>
      <c r="D3486" s="80" t="s">
        <v>36</v>
      </c>
      <c r="E3486" s="80" t="s">
        <v>39</v>
      </c>
      <c r="F3486" s="80" t="s">
        <v>36</v>
      </c>
      <c r="G3486" s="80" t="s">
        <v>41</v>
      </c>
      <c r="H3486" s="80" t="s">
        <v>9994</v>
      </c>
      <c r="I3486" s="17">
        <f ca="1">IFERROR(__xludf.DUMMYFUNCTION("""COMPUTED_VALUE"""),45545)</f>
        <v>45545</v>
      </c>
      <c r="J3486" s="143" t="s">
        <v>12788</v>
      </c>
      <c r="K3486" s="80" t="s">
        <v>12789</v>
      </c>
      <c r="L3486" s="30">
        <v>707292681</v>
      </c>
      <c r="M3486" s="80" t="s">
        <v>59</v>
      </c>
      <c r="N3486" s="80" t="s">
        <v>9301</v>
      </c>
      <c r="O3486" s="80" t="s">
        <v>12790</v>
      </c>
      <c r="P3486" s="80" t="s">
        <v>12791</v>
      </c>
      <c r="Q3486" s="20">
        <v>5736</v>
      </c>
      <c r="R3486" s="80" t="s">
        <v>36</v>
      </c>
      <c r="S3486" s="95">
        <v>5736</v>
      </c>
      <c r="T3486" s="148">
        <v>45539</v>
      </c>
      <c r="U3486" s="77"/>
      <c r="V3486" s="78"/>
      <c r="W3486" s="85" t="s">
        <v>12792</v>
      </c>
      <c r="X3486" s="80">
        <v>0</v>
      </c>
      <c r="Y3486" s="22">
        <v>0</v>
      </c>
      <c r="Z3486" s="80" t="s">
        <v>50</v>
      </c>
      <c r="AA3486" s="35" t="s">
        <v>3291</v>
      </c>
      <c r="AB3486" s="80"/>
      <c r="AC3486" s="80" t="s">
        <v>53</v>
      </c>
      <c r="AD3486" s="80" t="s">
        <v>54</v>
      </c>
      <c r="AE3486" s="80" t="s">
        <v>72</v>
      </c>
      <c r="AF3486" s="17">
        <v>45541</v>
      </c>
      <c r="AG3486" s="80"/>
      <c r="AH3486" s="80"/>
      <c r="AI3486" s="147" t="s">
        <v>55</v>
      </c>
      <c r="AJ3486" s="80"/>
      <c r="AK3486" s="80"/>
      <c r="AL3486" s="35"/>
      <c r="AM3486" s="35"/>
      <c r="AN3486" s="35"/>
      <c r="AO3486" s="35"/>
      <c r="AP3486" s="35"/>
    </row>
    <row r="3487" spans="1:42" x14ac:dyDescent="0.2">
      <c r="A3487" s="126">
        <v>45541.331032013884</v>
      </c>
      <c r="B3487" s="137" t="s">
        <v>37</v>
      </c>
      <c r="C3487" s="41" t="s">
        <v>118</v>
      </c>
      <c r="D3487" s="80" t="s">
        <v>36</v>
      </c>
      <c r="E3487" s="80" t="s">
        <v>39</v>
      </c>
      <c r="F3487" s="80" t="s">
        <v>36</v>
      </c>
      <c r="G3487" s="80" t="s">
        <v>41</v>
      </c>
      <c r="H3487" s="80" t="s">
        <v>12793</v>
      </c>
      <c r="I3487" s="17">
        <f ca="1">IFERROR(__xludf.DUMMYFUNCTION("""COMPUTED_VALUE"""),45552)</f>
        <v>45552</v>
      </c>
      <c r="J3487" s="143" t="s">
        <v>12794</v>
      </c>
      <c r="K3487" s="80" t="s">
        <v>12795</v>
      </c>
      <c r="L3487" s="30">
        <v>386280706</v>
      </c>
      <c r="M3487" s="80" t="s">
        <v>45</v>
      </c>
      <c r="N3487" s="80" t="s">
        <v>1472</v>
      </c>
      <c r="O3487" s="80" t="s">
        <v>12796</v>
      </c>
      <c r="P3487" s="144" t="s">
        <v>12797</v>
      </c>
      <c r="Q3487" s="20">
        <v>5736</v>
      </c>
      <c r="R3487" s="80" t="s">
        <v>36</v>
      </c>
      <c r="S3487" s="95">
        <v>5736</v>
      </c>
      <c r="T3487" s="148">
        <v>45540</v>
      </c>
      <c r="U3487" s="77"/>
      <c r="V3487" s="78"/>
      <c r="W3487" s="80" t="s">
        <v>12798</v>
      </c>
      <c r="X3487" s="80">
        <v>0</v>
      </c>
      <c r="Y3487" s="22">
        <v>0</v>
      </c>
      <c r="Z3487" s="80" t="s">
        <v>50</v>
      </c>
      <c r="AA3487" s="96" t="s">
        <v>3291</v>
      </c>
      <c r="AB3487" s="80"/>
      <c r="AC3487" s="80" t="s">
        <v>53</v>
      </c>
      <c r="AD3487" s="80" t="s">
        <v>54</v>
      </c>
      <c r="AE3487" s="83">
        <v>0</v>
      </c>
      <c r="AF3487" s="17">
        <v>45547</v>
      </c>
      <c r="AG3487" s="80"/>
      <c r="AH3487" s="80"/>
      <c r="AI3487" s="147" t="s">
        <v>55</v>
      </c>
      <c r="AJ3487" s="80"/>
      <c r="AK3487" s="80"/>
      <c r="AL3487" s="35"/>
      <c r="AM3487" s="35"/>
      <c r="AN3487" s="35"/>
      <c r="AO3487" s="35"/>
      <c r="AP3487" s="35"/>
    </row>
    <row r="3488" spans="1:42" x14ac:dyDescent="0.2">
      <c r="A3488" s="126">
        <v>45541.335778067129</v>
      </c>
      <c r="B3488" s="137" t="s">
        <v>37</v>
      </c>
      <c r="C3488" s="41" t="s">
        <v>118</v>
      </c>
      <c r="D3488" s="80" t="s">
        <v>36</v>
      </c>
      <c r="E3488" s="80" t="s">
        <v>56</v>
      </c>
      <c r="F3488" s="80" t="s">
        <v>36</v>
      </c>
      <c r="G3488" s="80" t="s">
        <v>41</v>
      </c>
      <c r="H3488" s="80" t="s">
        <v>12799</v>
      </c>
      <c r="I3488" s="17">
        <f ca="1">IFERROR(__xludf.DUMMYFUNCTION("""COMPUTED_VALUE"""),45559)</f>
        <v>45559</v>
      </c>
      <c r="J3488" s="143" t="s">
        <v>12800</v>
      </c>
      <c r="K3488" s="80" t="s">
        <v>12801</v>
      </c>
      <c r="L3488" s="30">
        <v>343729621</v>
      </c>
      <c r="M3488" s="80" t="s">
        <v>45</v>
      </c>
      <c r="N3488" s="80" t="s">
        <v>1472</v>
      </c>
      <c r="O3488" s="80" t="s">
        <v>12802</v>
      </c>
      <c r="P3488" s="80" t="s">
        <v>3694</v>
      </c>
      <c r="Q3488" s="20">
        <v>9317</v>
      </c>
      <c r="R3488" s="80" t="s">
        <v>36</v>
      </c>
      <c r="S3488" s="95">
        <v>9317</v>
      </c>
      <c r="T3488" s="148">
        <v>45534</v>
      </c>
      <c r="U3488" s="77"/>
      <c r="V3488" s="78"/>
      <c r="W3488" s="85" t="s">
        <v>12803</v>
      </c>
      <c r="X3488" s="80">
        <v>0</v>
      </c>
      <c r="Y3488" s="22">
        <v>0</v>
      </c>
      <c r="Z3488" s="80" t="s">
        <v>50</v>
      </c>
      <c r="AA3488" s="35" t="s">
        <v>3291</v>
      </c>
      <c r="AB3488" s="80"/>
      <c r="AC3488" s="80" t="s">
        <v>53</v>
      </c>
      <c r="AD3488" s="80" t="s">
        <v>138</v>
      </c>
      <c r="AE3488" s="83">
        <v>0</v>
      </c>
      <c r="AF3488" s="17">
        <v>45559</v>
      </c>
      <c r="AG3488" s="80"/>
      <c r="AH3488" s="80"/>
      <c r="AI3488" s="147" t="s">
        <v>64</v>
      </c>
      <c r="AJ3488" s="80"/>
      <c r="AK3488" s="80"/>
      <c r="AL3488" s="35"/>
      <c r="AM3488" s="35"/>
      <c r="AN3488" s="35"/>
      <c r="AO3488" s="35"/>
      <c r="AP3488" s="35"/>
    </row>
    <row r="3489" spans="1:42" x14ac:dyDescent="0.2">
      <c r="A3489" s="126">
        <v>45541.340534895833</v>
      </c>
      <c r="B3489" s="137" t="s">
        <v>37</v>
      </c>
      <c r="C3489" s="41" t="s">
        <v>118</v>
      </c>
      <c r="D3489" s="80" t="s">
        <v>36</v>
      </c>
      <c r="E3489" s="80" t="s">
        <v>119</v>
      </c>
      <c r="F3489" s="80" t="s">
        <v>36</v>
      </c>
      <c r="G3489" s="80" t="s">
        <v>221</v>
      </c>
      <c r="H3489" s="80" t="s">
        <v>12804</v>
      </c>
      <c r="I3489" s="17">
        <f ca="1">IFERROR(__xludf.DUMMYFUNCTION("""COMPUTED_VALUE"""),45736)</f>
        <v>45736</v>
      </c>
      <c r="J3489" s="143" t="s">
        <v>12805</v>
      </c>
      <c r="K3489" s="80" t="s">
        <v>12806</v>
      </c>
      <c r="L3489" s="30">
        <v>352039361</v>
      </c>
      <c r="M3489" s="80" t="s">
        <v>45</v>
      </c>
      <c r="N3489" s="80" t="s">
        <v>8420</v>
      </c>
      <c r="O3489" s="80" t="s">
        <v>12807</v>
      </c>
      <c r="P3489" s="80" t="s">
        <v>12808</v>
      </c>
      <c r="Q3489" s="20">
        <v>13968</v>
      </c>
      <c r="R3489" s="80" t="s">
        <v>36</v>
      </c>
      <c r="S3489" s="95">
        <v>10513</v>
      </c>
      <c r="T3489" s="148">
        <v>45535</v>
      </c>
      <c r="U3489" s="77"/>
      <c r="V3489" s="78"/>
      <c r="W3489" s="80" t="s">
        <v>12809</v>
      </c>
      <c r="X3489" s="80">
        <v>0</v>
      </c>
      <c r="Y3489" s="22">
        <v>0</v>
      </c>
      <c r="Z3489" s="80" t="s">
        <v>50</v>
      </c>
      <c r="AA3489" s="96" t="s">
        <v>3291</v>
      </c>
      <c r="AB3489" s="80"/>
      <c r="AC3489" s="80" t="s">
        <v>53</v>
      </c>
      <c r="AD3489" s="80" t="s">
        <v>138</v>
      </c>
      <c r="AE3489" s="83">
        <v>370</v>
      </c>
      <c r="AF3489" s="17">
        <v>45736</v>
      </c>
      <c r="AG3489" s="80"/>
      <c r="AH3489" s="80"/>
      <c r="AI3489" s="147">
        <v>4</v>
      </c>
      <c r="AJ3489" s="80"/>
      <c r="AK3489" s="80"/>
      <c r="AL3489" s="35"/>
      <c r="AM3489" s="35"/>
      <c r="AN3489" s="35"/>
      <c r="AO3489" s="35"/>
      <c r="AP3489" s="35"/>
    </row>
    <row r="3490" spans="1:42" x14ac:dyDescent="0.2">
      <c r="A3490" s="126">
        <v>45541.344985821765</v>
      </c>
      <c r="B3490" s="137" t="s">
        <v>37</v>
      </c>
      <c r="C3490" s="41" t="s">
        <v>118</v>
      </c>
      <c r="D3490" s="80" t="s">
        <v>36</v>
      </c>
      <c r="E3490" s="80" t="s">
        <v>219</v>
      </c>
      <c r="F3490" s="80" t="s">
        <v>36</v>
      </c>
      <c r="G3490" s="80" t="s">
        <v>221</v>
      </c>
      <c r="H3490" s="80" t="s">
        <v>11774</v>
      </c>
      <c r="I3490" s="17">
        <f ca="1">IFERROR(__xludf.DUMMYFUNCTION("""COMPUTED_VALUE"""),45569)</f>
        <v>45569</v>
      </c>
      <c r="J3490" s="143" t="s">
        <v>12810</v>
      </c>
      <c r="K3490" s="80" t="s">
        <v>12811</v>
      </c>
      <c r="L3490" s="30">
        <v>933426812</v>
      </c>
      <c r="M3490" s="80" t="s">
        <v>45</v>
      </c>
      <c r="N3490" s="80" t="s">
        <v>12759</v>
      </c>
      <c r="O3490" s="80" t="s">
        <v>12812</v>
      </c>
      <c r="P3490" s="144" t="s">
        <v>12813</v>
      </c>
      <c r="Q3490" s="20">
        <v>3968</v>
      </c>
      <c r="R3490" s="80" t="s">
        <v>36</v>
      </c>
      <c r="S3490" s="95">
        <v>3968</v>
      </c>
      <c r="T3490" s="148">
        <v>45532</v>
      </c>
      <c r="U3490" s="77"/>
      <c r="V3490" s="78"/>
      <c r="W3490" s="85" t="s">
        <v>12814</v>
      </c>
      <c r="X3490" s="80">
        <v>0</v>
      </c>
      <c r="Y3490" s="22">
        <v>0</v>
      </c>
      <c r="Z3490" s="80" t="s">
        <v>50</v>
      </c>
      <c r="AA3490" s="35" t="s">
        <v>3291</v>
      </c>
      <c r="AB3490" s="80"/>
      <c r="AC3490" s="80" t="s">
        <v>53</v>
      </c>
      <c r="AD3490" s="80" t="s">
        <v>54</v>
      </c>
      <c r="AE3490" s="83">
        <v>700</v>
      </c>
      <c r="AF3490" s="17">
        <v>45562</v>
      </c>
      <c r="AG3490" s="80"/>
      <c r="AH3490" s="80"/>
      <c r="AI3490" s="147">
        <v>1</v>
      </c>
      <c r="AJ3490" s="80"/>
      <c r="AK3490" s="80"/>
      <c r="AL3490" s="35"/>
      <c r="AM3490" s="35"/>
      <c r="AN3490" s="35"/>
      <c r="AO3490" s="35"/>
      <c r="AP3490" s="35"/>
    </row>
    <row r="3491" spans="1:42" x14ac:dyDescent="0.2">
      <c r="A3491" s="126">
        <v>45541.347072962963</v>
      </c>
      <c r="B3491" s="137" t="s">
        <v>37</v>
      </c>
      <c r="C3491" s="41" t="s">
        <v>118</v>
      </c>
      <c r="D3491" s="80" t="s">
        <v>36</v>
      </c>
      <c r="E3491" s="80" t="s">
        <v>39</v>
      </c>
      <c r="F3491" s="26" t="s">
        <v>36</v>
      </c>
      <c r="G3491" s="26" t="s">
        <v>41</v>
      </c>
      <c r="H3491" s="80" t="s">
        <v>11610</v>
      </c>
      <c r="I3491" s="17">
        <f ca="1">IFERROR(__xludf.DUMMYFUNCTION("""COMPUTED_VALUE"""),45552)</f>
        <v>45552</v>
      </c>
      <c r="J3491" s="143" t="s">
        <v>12815</v>
      </c>
      <c r="K3491" s="80" t="s">
        <v>12816</v>
      </c>
      <c r="L3491" s="30">
        <v>346197605</v>
      </c>
      <c r="M3491" s="80" t="s">
        <v>45</v>
      </c>
      <c r="N3491" s="80" t="s">
        <v>1472</v>
      </c>
      <c r="O3491" s="80" t="s">
        <v>12817</v>
      </c>
      <c r="P3491" s="80" t="s">
        <v>3694</v>
      </c>
      <c r="Q3491" s="20">
        <v>5736</v>
      </c>
      <c r="R3491" s="80" t="s">
        <v>70</v>
      </c>
      <c r="S3491" s="95">
        <v>5636</v>
      </c>
      <c r="T3491" s="148">
        <v>45532</v>
      </c>
      <c r="U3491" s="77"/>
      <c r="V3491" s="78"/>
      <c r="W3491" s="80" t="s">
        <v>12818</v>
      </c>
      <c r="X3491" s="80">
        <v>100</v>
      </c>
      <c r="Y3491" s="22">
        <v>0</v>
      </c>
      <c r="Z3491" s="80" t="s">
        <v>50</v>
      </c>
      <c r="AA3491" s="96" t="s">
        <v>3291</v>
      </c>
      <c r="AB3491" s="80"/>
      <c r="AC3491" s="80" t="s">
        <v>53</v>
      </c>
      <c r="AD3491" s="80" t="s">
        <v>138</v>
      </c>
      <c r="AE3491" s="83">
        <v>0</v>
      </c>
      <c r="AF3491" s="17">
        <v>45551</v>
      </c>
      <c r="AG3491" s="80"/>
      <c r="AH3491" s="80"/>
      <c r="AI3491" s="147" t="s">
        <v>55</v>
      </c>
      <c r="AJ3491" s="80"/>
      <c r="AK3491" s="80"/>
      <c r="AL3491" s="35"/>
      <c r="AM3491" s="35"/>
      <c r="AN3491" s="35"/>
      <c r="AO3491" s="35"/>
      <c r="AP3491" s="35"/>
    </row>
    <row r="3492" spans="1:42" x14ac:dyDescent="0.2">
      <c r="A3492" s="126">
        <v>45541.348759502318</v>
      </c>
      <c r="B3492" s="137" t="s">
        <v>37</v>
      </c>
      <c r="C3492" s="41" t="s">
        <v>118</v>
      </c>
      <c r="D3492" s="80" t="s">
        <v>36</v>
      </c>
      <c r="E3492" s="80" t="s">
        <v>39</v>
      </c>
      <c r="F3492" s="26" t="s">
        <v>36</v>
      </c>
      <c r="G3492" s="26" t="s">
        <v>41</v>
      </c>
      <c r="H3492" s="80" t="s">
        <v>11610</v>
      </c>
      <c r="I3492" s="17">
        <f ca="1">IFERROR(__xludf.DUMMYFUNCTION("""COMPUTED_VALUE"""),45552)</f>
        <v>45552</v>
      </c>
      <c r="J3492" s="143" t="s">
        <v>12819</v>
      </c>
      <c r="K3492" s="80" t="s">
        <v>3033</v>
      </c>
      <c r="L3492" s="30">
        <v>355471610</v>
      </c>
      <c r="M3492" s="80" t="s">
        <v>45</v>
      </c>
      <c r="N3492" s="80" t="s">
        <v>1472</v>
      </c>
      <c r="O3492" s="80" t="s">
        <v>12820</v>
      </c>
      <c r="P3492" s="80" t="s">
        <v>3694</v>
      </c>
      <c r="Q3492" s="20">
        <v>5736</v>
      </c>
      <c r="R3492" s="80" t="s">
        <v>70</v>
      </c>
      <c r="S3492" s="95">
        <v>5636</v>
      </c>
      <c r="T3492" s="148">
        <v>45531</v>
      </c>
      <c r="U3492" s="77"/>
      <c r="V3492" s="78"/>
      <c r="W3492" s="80" t="s">
        <v>12821</v>
      </c>
      <c r="X3492" s="80">
        <v>100</v>
      </c>
      <c r="Y3492" s="22">
        <v>0</v>
      </c>
      <c r="Z3492" s="80" t="s">
        <v>50</v>
      </c>
      <c r="AA3492" s="35" t="s">
        <v>3291</v>
      </c>
      <c r="AB3492" s="80"/>
      <c r="AC3492" s="80" t="s">
        <v>53</v>
      </c>
      <c r="AD3492" s="80" t="s">
        <v>138</v>
      </c>
      <c r="AE3492" s="83">
        <v>0</v>
      </c>
      <c r="AF3492" s="17">
        <v>45551</v>
      </c>
      <c r="AG3492" s="80"/>
      <c r="AH3492" s="80"/>
      <c r="AI3492" s="147" t="s">
        <v>55</v>
      </c>
      <c r="AJ3492" s="80"/>
      <c r="AK3492" s="80"/>
      <c r="AL3492" s="35"/>
      <c r="AM3492" s="35"/>
      <c r="AN3492" s="35"/>
      <c r="AO3492" s="35"/>
      <c r="AP3492" s="35"/>
    </row>
    <row r="3493" spans="1:42" x14ac:dyDescent="0.2">
      <c r="A3493" s="126">
        <v>45551.704460462963</v>
      </c>
      <c r="B3493" s="28" t="s">
        <v>37</v>
      </c>
      <c r="C3493" s="41" t="s">
        <v>118</v>
      </c>
      <c r="D3493" s="80" t="s">
        <v>36</v>
      </c>
      <c r="E3493" s="80" t="s">
        <v>139</v>
      </c>
      <c r="F3493" s="80" t="s">
        <v>36</v>
      </c>
      <c r="G3493" s="80" t="s">
        <v>41</v>
      </c>
      <c r="H3493" s="80" t="s">
        <v>12474</v>
      </c>
      <c r="I3493" s="17">
        <f ca="1">IFERROR(__xludf.DUMMYFUNCTION("""COMPUTED_VALUE"""),45551)</f>
        <v>45551</v>
      </c>
      <c r="J3493" s="172" t="s">
        <v>12822</v>
      </c>
      <c r="K3493" s="80" t="s">
        <v>12823</v>
      </c>
      <c r="L3493" s="30">
        <v>398025674</v>
      </c>
      <c r="M3493" s="80" t="s">
        <v>11413</v>
      </c>
      <c r="N3493" s="80" t="s">
        <v>5092</v>
      </c>
      <c r="O3493" s="80" t="s">
        <v>61</v>
      </c>
      <c r="P3493" s="80" t="s">
        <v>5462</v>
      </c>
      <c r="Q3493" s="20">
        <v>15936</v>
      </c>
      <c r="R3493" s="80" t="s">
        <v>36</v>
      </c>
      <c r="S3493" s="95">
        <v>15936</v>
      </c>
      <c r="T3493" s="148">
        <v>45541</v>
      </c>
      <c r="U3493" s="77"/>
      <c r="V3493" s="78"/>
      <c r="W3493" s="85" t="s">
        <v>12824</v>
      </c>
      <c r="X3493" s="80">
        <v>0</v>
      </c>
      <c r="Y3493" s="22">
        <v>0</v>
      </c>
      <c r="Z3493" s="26" t="s">
        <v>50</v>
      </c>
      <c r="AA3493" s="96" t="s">
        <v>3291</v>
      </c>
      <c r="AB3493" s="80"/>
      <c r="AC3493" s="80" t="s">
        <v>53</v>
      </c>
      <c r="AD3493" s="80" t="s">
        <v>54</v>
      </c>
      <c r="AE3493" s="80"/>
      <c r="AF3493" s="17">
        <v>45551</v>
      </c>
      <c r="AG3493" s="80"/>
      <c r="AH3493" s="80"/>
      <c r="AI3493" s="147" t="s">
        <v>147</v>
      </c>
      <c r="AJ3493" s="80"/>
      <c r="AK3493" s="80"/>
      <c r="AL3493" s="35"/>
      <c r="AM3493" s="35"/>
      <c r="AN3493" s="35"/>
      <c r="AO3493" s="35"/>
      <c r="AP3493" s="35"/>
    </row>
    <row r="3494" spans="1:42" x14ac:dyDescent="0.2">
      <c r="A3494" s="126">
        <v>45541.994635648152</v>
      </c>
      <c r="B3494" s="137" t="s">
        <v>1703</v>
      </c>
      <c r="C3494" s="41" t="s">
        <v>118</v>
      </c>
      <c r="D3494" s="80" t="s">
        <v>36</v>
      </c>
      <c r="E3494" s="80" t="s">
        <v>77</v>
      </c>
      <c r="F3494" s="80" t="s">
        <v>40</v>
      </c>
      <c r="G3494" s="80" t="s">
        <v>41</v>
      </c>
      <c r="H3494" s="80" t="s">
        <v>5764</v>
      </c>
      <c r="I3494" s="17" t="str">
        <f ca="1">IFERROR(__xludf.DUMMYFUNCTION("""COMPUTED_VALUE""")," ")</f>
        <v xml:space="preserve"> </v>
      </c>
      <c r="J3494" s="143" t="s">
        <v>12825</v>
      </c>
      <c r="K3494" s="80" t="s">
        <v>12826</v>
      </c>
      <c r="L3494" s="30">
        <v>387551528</v>
      </c>
      <c r="M3494" s="80" t="s">
        <v>348</v>
      </c>
      <c r="N3494" s="80" t="s">
        <v>68</v>
      </c>
      <c r="O3494" s="80" t="s">
        <v>12827</v>
      </c>
      <c r="P3494" s="80" t="s">
        <v>12828</v>
      </c>
      <c r="Q3494" s="20">
        <v>1968</v>
      </c>
      <c r="R3494" s="80" t="s">
        <v>36</v>
      </c>
      <c r="S3494" s="95">
        <v>1968</v>
      </c>
      <c r="T3494" s="148">
        <v>45541</v>
      </c>
      <c r="U3494" s="77"/>
      <c r="V3494" s="78"/>
      <c r="W3494" s="85" t="s">
        <v>12829</v>
      </c>
      <c r="X3494" s="80">
        <v>0</v>
      </c>
      <c r="Y3494" s="22">
        <v>0</v>
      </c>
      <c r="Z3494" s="80" t="s">
        <v>50</v>
      </c>
      <c r="AA3494" s="35" t="s">
        <v>3291</v>
      </c>
      <c r="AB3494" s="80"/>
      <c r="AC3494" s="80" t="s">
        <v>53</v>
      </c>
      <c r="AD3494" s="80" t="s">
        <v>54</v>
      </c>
      <c r="AE3494" s="80" t="s">
        <v>4488</v>
      </c>
      <c r="AF3494" s="17">
        <v>45547</v>
      </c>
      <c r="AG3494" s="80" t="s">
        <v>12830</v>
      </c>
      <c r="AH3494" s="80"/>
      <c r="AI3494" s="147" t="s">
        <v>84</v>
      </c>
      <c r="AJ3494" s="80"/>
      <c r="AK3494" s="80"/>
      <c r="AL3494" s="35"/>
      <c r="AM3494" s="35"/>
      <c r="AN3494" s="35"/>
      <c r="AO3494" s="35"/>
      <c r="AP3494" s="35"/>
    </row>
    <row r="3495" spans="1:42" x14ac:dyDescent="0.2">
      <c r="A3495" s="126">
        <v>45542.003776284721</v>
      </c>
      <c r="B3495" s="137" t="s">
        <v>37</v>
      </c>
      <c r="C3495" s="41" t="s">
        <v>118</v>
      </c>
      <c r="D3495" s="80" t="s">
        <v>36</v>
      </c>
      <c r="E3495" s="80" t="s">
        <v>56</v>
      </c>
      <c r="F3495" s="80" t="s">
        <v>40</v>
      </c>
      <c r="G3495" s="80" t="s">
        <v>41</v>
      </c>
      <c r="H3495" s="80" t="s">
        <v>12793</v>
      </c>
      <c r="I3495" s="17">
        <f ca="1">IFERROR(__xludf.DUMMYFUNCTION("""COMPUTED_VALUE"""),45552)</f>
        <v>45552</v>
      </c>
      <c r="J3495" s="143" t="s">
        <v>12831</v>
      </c>
      <c r="K3495" s="145" t="s">
        <v>12832</v>
      </c>
      <c r="L3495" s="30">
        <v>522232166</v>
      </c>
      <c r="M3495" s="80" t="s">
        <v>59</v>
      </c>
      <c r="N3495" s="80" t="s">
        <v>68</v>
      </c>
      <c r="O3495" s="80" t="s">
        <v>12833</v>
      </c>
      <c r="P3495" s="80" t="s">
        <v>12834</v>
      </c>
      <c r="Q3495" s="20">
        <v>9317</v>
      </c>
      <c r="R3495" s="80" t="s">
        <v>36</v>
      </c>
      <c r="S3495" s="95">
        <v>9317</v>
      </c>
      <c r="T3495" s="148">
        <v>45541</v>
      </c>
      <c r="U3495" s="77"/>
      <c r="V3495" s="78"/>
      <c r="W3495" s="85" t="s">
        <v>12835</v>
      </c>
      <c r="X3495" s="80">
        <v>0</v>
      </c>
      <c r="Y3495" s="22">
        <v>0</v>
      </c>
      <c r="Z3495" s="80" t="s">
        <v>50</v>
      </c>
      <c r="AA3495" s="96" t="s">
        <v>3291</v>
      </c>
      <c r="AB3495" s="80"/>
      <c r="AC3495" s="80" t="s">
        <v>53</v>
      </c>
      <c r="AD3495" s="80" t="s">
        <v>54</v>
      </c>
      <c r="AE3495" s="80" t="s">
        <v>4488</v>
      </c>
      <c r="AF3495" s="17">
        <v>45551</v>
      </c>
      <c r="AG3495" s="80"/>
      <c r="AH3495" s="80"/>
      <c r="AI3495" s="147" t="s">
        <v>64</v>
      </c>
      <c r="AJ3495" s="80"/>
      <c r="AK3495" s="80"/>
      <c r="AL3495" s="35"/>
      <c r="AM3495" s="35"/>
      <c r="AN3495" s="35"/>
      <c r="AO3495" s="35"/>
      <c r="AP3495" s="35"/>
    </row>
    <row r="3496" spans="1:42" x14ac:dyDescent="0.2">
      <c r="A3496" s="126">
        <v>45542.006437372685</v>
      </c>
      <c r="B3496" s="137" t="s">
        <v>37</v>
      </c>
      <c r="C3496" s="41" t="s">
        <v>118</v>
      </c>
      <c r="D3496" s="80" t="s">
        <v>36</v>
      </c>
      <c r="E3496" s="80" t="s">
        <v>39</v>
      </c>
      <c r="F3496" s="80" t="s">
        <v>36</v>
      </c>
      <c r="G3496" s="80" t="s">
        <v>41</v>
      </c>
      <c r="H3496" s="80" t="s">
        <v>12793</v>
      </c>
      <c r="I3496" s="17">
        <f ca="1">IFERROR(__xludf.DUMMYFUNCTION("""COMPUTED_VALUE"""),45552)</f>
        <v>45552</v>
      </c>
      <c r="J3496" s="143" t="s">
        <v>12836</v>
      </c>
      <c r="K3496" s="80" t="s">
        <v>12837</v>
      </c>
      <c r="L3496" s="30">
        <v>373207702</v>
      </c>
      <c r="M3496" s="80" t="s">
        <v>59</v>
      </c>
      <c r="N3496" s="80" t="s">
        <v>11476</v>
      </c>
      <c r="O3496" s="80" t="s">
        <v>12838</v>
      </c>
      <c r="P3496" s="80" t="s">
        <v>12839</v>
      </c>
      <c r="Q3496" s="20">
        <v>5736</v>
      </c>
      <c r="R3496" s="80" t="s">
        <v>36</v>
      </c>
      <c r="S3496" s="95">
        <v>1000</v>
      </c>
      <c r="T3496" s="148">
        <v>45541</v>
      </c>
      <c r="U3496" s="95">
        <v>4736</v>
      </c>
      <c r="V3496" s="148">
        <v>45546</v>
      </c>
      <c r="W3496" s="85" t="s">
        <v>12840</v>
      </c>
      <c r="X3496" s="80">
        <v>0</v>
      </c>
      <c r="Y3496" s="22">
        <v>0</v>
      </c>
      <c r="Z3496" s="80" t="s">
        <v>50</v>
      </c>
      <c r="AA3496" s="35" t="s">
        <v>3291</v>
      </c>
      <c r="AB3496" s="80"/>
      <c r="AC3496" s="80" t="s">
        <v>53</v>
      </c>
      <c r="AD3496" s="80" t="s">
        <v>54</v>
      </c>
      <c r="AE3496" s="80" t="s">
        <v>72</v>
      </c>
      <c r="AF3496" s="17">
        <v>45547</v>
      </c>
      <c r="AG3496" s="80"/>
      <c r="AH3496" s="80"/>
      <c r="AI3496" s="147" t="s">
        <v>55</v>
      </c>
      <c r="AJ3496" s="80"/>
      <c r="AK3496" s="80"/>
      <c r="AL3496" s="35"/>
      <c r="AM3496" s="35"/>
      <c r="AN3496" s="35"/>
      <c r="AO3496" s="35"/>
      <c r="AP3496" s="35"/>
    </row>
    <row r="3497" spans="1:42" x14ac:dyDescent="0.2">
      <c r="A3497" s="126">
        <v>45543.944279131945</v>
      </c>
      <c r="B3497" s="137" t="s">
        <v>37</v>
      </c>
      <c r="C3497" s="41" t="s">
        <v>118</v>
      </c>
      <c r="D3497" s="80" t="s">
        <v>36</v>
      </c>
      <c r="E3497" s="80" t="s">
        <v>77</v>
      </c>
      <c r="F3497" s="80" t="s">
        <v>36</v>
      </c>
      <c r="G3497" s="26" t="s">
        <v>41</v>
      </c>
      <c r="H3497" s="80" t="s">
        <v>11845</v>
      </c>
      <c r="I3497" s="17">
        <f ca="1">IFERROR(__xludf.DUMMYFUNCTION("""COMPUTED_VALUE"""),45552)</f>
        <v>45552</v>
      </c>
      <c r="J3497" s="143" t="s">
        <v>12841</v>
      </c>
      <c r="K3497" s="80" t="s">
        <v>12842</v>
      </c>
      <c r="L3497" s="30">
        <v>357189602</v>
      </c>
      <c r="M3497" s="80" t="s">
        <v>5518</v>
      </c>
      <c r="N3497" s="80" t="s">
        <v>12380</v>
      </c>
      <c r="O3497" s="80" t="s">
        <v>12843</v>
      </c>
      <c r="P3497" s="80" t="s">
        <v>3694</v>
      </c>
      <c r="Q3497" s="20">
        <v>1968</v>
      </c>
      <c r="R3497" s="80" t="s">
        <v>36</v>
      </c>
      <c r="S3497" s="95">
        <f>200+1768</f>
        <v>1968</v>
      </c>
      <c r="T3497" s="83" t="s">
        <v>12844</v>
      </c>
      <c r="U3497" s="77"/>
      <c r="V3497" s="78"/>
      <c r="W3497" s="85" t="s">
        <v>12845</v>
      </c>
      <c r="X3497" s="80">
        <v>0</v>
      </c>
      <c r="Y3497" s="22">
        <v>0</v>
      </c>
      <c r="Z3497" s="80" t="s">
        <v>50</v>
      </c>
      <c r="AA3497" s="96" t="s">
        <v>3291</v>
      </c>
      <c r="AB3497" s="80"/>
      <c r="AC3497" s="80" t="s">
        <v>53</v>
      </c>
      <c r="AD3497" s="80" t="s">
        <v>138</v>
      </c>
      <c r="AE3497" s="80"/>
      <c r="AF3497" s="17">
        <v>45555</v>
      </c>
      <c r="AG3497" s="80"/>
      <c r="AH3497" s="80"/>
      <c r="AI3497" s="147" t="s">
        <v>84</v>
      </c>
      <c r="AJ3497" s="80"/>
      <c r="AK3497" s="80"/>
      <c r="AL3497" s="35"/>
      <c r="AM3497" s="35"/>
      <c r="AN3497" s="35"/>
      <c r="AO3497" s="35"/>
      <c r="AP3497" s="35"/>
    </row>
    <row r="3498" spans="1:42" x14ac:dyDescent="0.2">
      <c r="A3498" s="126">
        <v>45544.327605520833</v>
      </c>
      <c r="B3498" s="137" t="s">
        <v>37</v>
      </c>
      <c r="C3498" s="41" t="s">
        <v>118</v>
      </c>
      <c r="D3498" s="80" t="s">
        <v>36</v>
      </c>
      <c r="E3498" s="80" t="s">
        <v>77</v>
      </c>
      <c r="F3498" s="26" t="s">
        <v>36</v>
      </c>
      <c r="G3498" s="26" t="s">
        <v>41</v>
      </c>
      <c r="H3498" s="80" t="s">
        <v>11610</v>
      </c>
      <c r="I3498" s="17">
        <f ca="1">IFERROR(__xludf.DUMMYFUNCTION("""COMPUTED_VALUE"""),45552)</f>
        <v>45552</v>
      </c>
      <c r="J3498" s="143" t="s">
        <v>12846</v>
      </c>
      <c r="K3498" s="80" t="s">
        <v>12847</v>
      </c>
      <c r="L3498" s="30">
        <v>968651076</v>
      </c>
      <c r="M3498" s="80" t="s">
        <v>910</v>
      </c>
      <c r="N3498" s="80" t="s">
        <v>3525</v>
      </c>
      <c r="O3498" s="80" t="s">
        <v>91</v>
      </c>
      <c r="P3498" s="80" t="s">
        <v>12578</v>
      </c>
      <c r="Q3498" s="20">
        <v>1968</v>
      </c>
      <c r="R3498" s="80" t="s">
        <v>36</v>
      </c>
      <c r="S3498" s="95">
        <v>1968</v>
      </c>
      <c r="T3498" s="148">
        <v>45543</v>
      </c>
      <c r="U3498" s="77"/>
      <c r="V3498" s="78"/>
      <c r="W3498" s="79" t="s">
        <v>12848</v>
      </c>
      <c r="X3498" s="80">
        <v>0</v>
      </c>
      <c r="Y3498" s="22">
        <v>0</v>
      </c>
      <c r="Z3498" s="80" t="s">
        <v>50</v>
      </c>
      <c r="AA3498" s="35" t="s">
        <v>3291</v>
      </c>
      <c r="AB3498" s="80"/>
      <c r="AC3498" s="80" t="s">
        <v>53</v>
      </c>
      <c r="AD3498" s="80" t="s">
        <v>138</v>
      </c>
      <c r="AE3498" s="80"/>
      <c r="AF3498" s="17">
        <v>45551</v>
      </c>
      <c r="AG3498" s="80"/>
      <c r="AH3498" s="80"/>
      <c r="AI3498" s="147" t="s">
        <v>84</v>
      </c>
      <c r="AJ3498" s="80"/>
      <c r="AK3498" s="80"/>
      <c r="AL3498" s="35"/>
      <c r="AM3498" s="35"/>
      <c r="AN3498" s="35"/>
      <c r="AO3498" s="35"/>
      <c r="AP3498" s="35"/>
    </row>
    <row r="3499" spans="1:42" x14ac:dyDescent="0.2">
      <c r="A3499" s="126">
        <v>45544.33608050926</v>
      </c>
      <c r="B3499" s="137" t="s">
        <v>37</v>
      </c>
      <c r="C3499" s="41" t="s">
        <v>118</v>
      </c>
      <c r="D3499" s="80" t="s">
        <v>36</v>
      </c>
      <c r="E3499" s="80" t="s">
        <v>77</v>
      </c>
      <c r="F3499" s="80" t="s">
        <v>36</v>
      </c>
      <c r="G3499" s="26" t="s">
        <v>41</v>
      </c>
      <c r="H3499" s="80" t="s">
        <v>12849</v>
      </c>
      <c r="I3499" s="17">
        <f ca="1">IFERROR(__xludf.DUMMYFUNCTION("""COMPUTED_VALUE"""),45564)</f>
        <v>45564</v>
      </c>
      <c r="J3499" s="143" t="s">
        <v>12850</v>
      </c>
      <c r="K3499" s="80" t="s">
        <v>12851</v>
      </c>
      <c r="L3499" s="30">
        <v>967392360</v>
      </c>
      <c r="M3499" s="80" t="s">
        <v>12720</v>
      </c>
      <c r="N3499" s="80" t="s">
        <v>1073</v>
      </c>
      <c r="O3499" s="80" t="s">
        <v>12852</v>
      </c>
      <c r="P3499" s="80" t="s">
        <v>2641</v>
      </c>
      <c r="Q3499" s="20">
        <v>1968</v>
      </c>
      <c r="R3499" s="80" t="s">
        <v>36</v>
      </c>
      <c r="S3499" s="95">
        <f>200+1800</f>
        <v>2000</v>
      </c>
      <c r="T3499" s="148">
        <v>45544</v>
      </c>
      <c r="U3499" s="77"/>
      <c r="V3499" s="78"/>
      <c r="W3499" s="85" t="s">
        <v>12853</v>
      </c>
      <c r="X3499" s="80">
        <v>0</v>
      </c>
      <c r="Y3499" s="22">
        <v>-32</v>
      </c>
      <c r="Z3499" s="80" t="s">
        <v>50</v>
      </c>
      <c r="AA3499" s="96" t="s">
        <v>3291</v>
      </c>
      <c r="AB3499" s="80"/>
      <c r="AC3499" s="80" t="s">
        <v>53</v>
      </c>
      <c r="AD3499" s="80" t="s">
        <v>138</v>
      </c>
      <c r="AE3499" s="80" t="s">
        <v>12854</v>
      </c>
      <c r="AF3499" s="17">
        <v>45543</v>
      </c>
      <c r="AG3499" s="80" t="s">
        <v>7078</v>
      </c>
      <c r="AH3499" s="80"/>
      <c r="AI3499" s="147" t="s">
        <v>84</v>
      </c>
      <c r="AJ3499" s="80"/>
      <c r="AK3499" s="80"/>
      <c r="AL3499" s="35"/>
      <c r="AM3499" s="35"/>
      <c r="AN3499" s="35"/>
      <c r="AO3499" s="35"/>
      <c r="AP3499" s="35"/>
    </row>
    <row r="3500" spans="1:42" x14ac:dyDescent="0.2">
      <c r="A3500" s="126">
        <v>45544.341538159722</v>
      </c>
      <c r="B3500" s="137" t="s">
        <v>37</v>
      </c>
      <c r="C3500" s="41" t="s">
        <v>118</v>
      </c>
      <c r="D3500" s="80" t="s">
        <v>36</v>
      </c>
      <c r="E3500" s="80" t="s">
        <v>139</v>
      </c>
      <c r="F3500" s="80" t="s">
        <v>36</v>
      </c>
      <c r="G3500" s="26" t="s">
        <v>41</v>
      </c>
      <c r="H3500" s="80" t="s">
        <v>12474</v>
      </c>
      <c r="I3500" s="17">
        <f ca="1">IFERROR(__xludf.DUMMYFUNCTION("""COMPUTED_VALUE"""),45551)</f>
        <v>45551</v>
      </c>
      <c r="J3500" s="143" t="s">
        <v>12855</v>
      </c>
      <c r="K3500" s="80" t="s">
        <v>8153</v>
      </c>
      <c r="L3500" s="30">
        <v>363291358</v>
      </c>
      <c r="M3500" s="80" t="s">
        <v>910</v>
      </c>
      <c r="N3500" s="80" t="s">
        <v>3525</v>
      </c>
      <c r="O3500" s="80" t="s">
        <v>91</v>
      </c>
      <c r="P3500" s="80" t="s">
        <v>12578</v>
      </c>
      <c r="Q3500" s="20">
        <v>15936</v>
      </c>
      <c r="R3500" s="80" t="s">
        <v>36</v>
      </c>
      <c r="S3500" s="95">
        <f>2500+500</f>
        <v>3000</v>
      </c>
      <c r="T3500" s="83" t="s">
        <v>12780</v>
      </c>
      <c r="U3500" s="95">
        <f>10000+2936</f>
        <v>12936</v>
      </c>
      <c r="V3500" s="148">
        <v>45565</v>
      </c>
      <c r="W3500" s="80" t="s">
        <v>12856</v>
      </c>
      <c r="X3500" s="80">
        <v>0</v>
      </c>
      <c r="Y3500" s="22">
        <v>0</v>
      </c>
      <c r="Z3500" s="80" t="s">
        <v>50</v>
      </c>
      <c r="AA3500" s="35" t="s">
        <v>3291</v>
      </c>
      <c r="AB3500" s="80"/>
      <c r="AC3500" s="80" t="s">
        <v>53</v>
      </c>
      <c r="AD3500" s="80" t="s">
        <v>138</v>
      </c>
      <c r="AE3500" s="80"/>
      <c r="AF3500" s="17">
        <v>45551</v>
      </c>
      <c r="AG3500" s="80"/>
      <c r="AH3500" s="80"/>
      <c r="AI3500" s="147" t="s">
        <v>147</v>
      </c>
      <c r="AJ3500" s="80"/>
      <c r="AK3500" s="80"/>
      <c r="AL3500" s="35"/>
      <c r="AM3500" s="35"/>
      <c r="AN3500" s="35"/>
      <c r="AO3500" s="35"/>
      <c r="AP3500" s="35"/>
    </row>
    <row r="3501" spans="1:42" x14ac:dyDescent="0.2">
      <c r="A3501" s="126">
        <v>45544.358182615746</v>
      </c>
      <c r="B3501" s="137" t="s">
        <v>37</v>
      </c>
      <c r="C3501" s="41" t="s">
        <v>118</v>
      </c>
      <c r="D3501" s="80" t="s">
        <v>36</v>
      </c>
      <c r="E3501" s="80" t="s">
        <v>148</v>
      </c>
      <c r="F3501" s="80" t="s">
        <v>36</v>
      </c>
      <c r="G3501" s="80" t="s">
        <v>108</v>
      </c>
      <c r="H3501" s="80" t="s">
        <v>12857</v>
      </c>
      <c r="I3501" s="17">
        <f ca="1">IFERROR(__xludf.DUMMYFUNCTION("""COMPUTED_VALUE"""),45611)</f>
        <v>45611</v>
      </c>
      <c r="J3501" s="143" t="s">
        <v>12858</v>
      </c>
      <c r="K3501" s="80" t="s">
        <v>12859</v>
      </c>
      <c r="L3501" s="30">
        <v>398476716</v>
      </c>
      <c r="M3501" s="80" t="s">
        <v>45</v>
      </c>
      <c r="N3501" s="80" t="s">
        <v>12759</v>
      </c>
      <c r="O3501" s="80" t="s">
        <v>12860</v>
      </c>
      <c r="P3501" s="80" t="s">
        <v>12861</v>
      </c>
      <c r="Q3501" s="20">
        <v>7349</v>
      </c>
      <c r="R3501" s="80" t="s">
        <v>36</v>
      </c>
      <c r="S3501" s="95">
        <v>7349</v>
      </c>
      <c r="T3501" s="148">
        <v>45540</v>
      </c>
      <c r="U3501" s="77"/>
      <c r="V3501" s="78"/>
      <c r="W3501" s="80" t="s">
        <v>12862</v>
      </c>
      <c r="X3501" s="80">
        <v>0</v>
      </c>
      <c r="Y3501" s="22">
        <v>0</v>
      </c>
      <c r="Z3501" s="80" t="s">
        <v>50</v>
      </c>
      <c r="AA3501" s="96" t="s">
        <v>3291</v>
      </c>
      <c r="AB3501" s="80"/>
      <c r="AC3501" s="80" t="s">
        <v>53</v>
      </c>
      <c r="AD3501" s="80" t="s">
        <v>54</v>
      </c>
      <c r="AE3501" s="83">
        <v>430</v>
      </c>
      <c r="AF3501" s="17">
        <v>45547</v>
      </c>
      <c r="AG3501" s="80"/>
      <c r="AH3501" s="80"/>
      <c r="AI3501" s="147">
        <v>2</v>
      </c>
      <c r="AJ3501" s="80"/>
      <c r="AK3501" s="80"/>
      <c r="AL3501" s="35"/>
      <c r="AM3501" s="35"/>
      <c r="AN3501" s="35"/>
      <c r="AO3501" s="35"/>
      <c r="AP3501" s="35"/>
    </row>
    <row r="3502" spans="1:42" x14ac:dyDescent="0.2">
      <c r="A3502" s="126">
        <v>45544.364452002315</v>
      </c>
      <c r="B3502" s="137" t="s">
        <v>37</v>
      </c>
      <c r="C3502" s="41" t="s">
        <v>118</v>
      </c>
      <c r="D3502" s="80" t="s">
        <v>36</v>
      </c>
      <c r="E3502" s="80" t="s">
        <v>39</v>
      </c>
      <c r="F3502" s="80" t="s">
        <v>36</v>
      </c>
      <c r="G3502" s="80" t="s">
        <v>41</v>
      </c>
      <c r="H3502" s="80" t="s">
        <v>12737</v>
      </c>
      <c r="I3502" s="17">
        <f ca="1">IFERROR(__xludf.DUMMYFUNCTION("""COMPUTED_VALUE"""),45562)</f>
        <v>45562</v>
      </c>
      <c r="J3502" s="79" t="s">
        <v>12863</v>
      </c>
      <c r="K3502" s="80" t="s">
        <v>5126</v>
      </c>
      <c r="L3502" s="30">
        <v>344420788</v>
      </c>
      <c r="M3502" s="80" t="s">
        <v>45</v>
      </c>
      <c r="N3502" s="80" t="s">
        <v>8420</v>
      </c>
      <c r="O3502" s="80" t="s">
        <v>12864</v>
      </c>
      <c r="P3502" s="144" t="s">
        <v>12865</v>
      </c>
      <c r="Q3502" s="20">
        <v>5736</v>
      </c>
      <c r="R3502" s="80" t="s">
        <v>36</v>
      </c>
      <c r="S3502" s="95">
        <f>500+5236</f>
        <v>5736</v>
      </c>
      <c r="T3502" s="83" t="s">
        <v>12866</v>
      </c>
      <c r="U3502" s="77"/>
      <c r="V3502" s="78"/>
      <c r="W3502" s="85" t="s">
        <v>12867</v>
      </c>
      <c r="X3502" s="80">
        <v>0</v>
      </c>
      <c r="Y3502" s="22">
        <v>0</v>
      </c>
      <c r="Z3502" s="80" t="s">
        <v>50</v>
      </c>
      <c r="AA3502" s="35" t="s">
        <v>3291</v>
      </c>
      <c r="AB3502" s="80"/>
      <c r="AC3502" s="80" t="s">
        <v>53</v>
      </c>
      <c r="AD3502" s="80" t="s">
        <v>138</v>
      </c>
      <c r="AE3502" s="83">
        <v>350</v>
      </c>
      <c r="AF3502" s="17">
        <v>45562</v>
      </c>
      <c r="AG3502" s="143" t="s">
        <v>12868</v>
      </c>
      <c r="AH3502" s="26" t="s">
        <v>12869</v>
      </c>
      <c r="AI3502" s="147" t="s">
        <v>55</v>
      </c>
      <c r="AJ3502" s="80"/>
      <c r="AK3502" s="80"/>
      <c r="AL3502" s="35"/>
      <c r="AM3502" s="35"/>
      <c r="AN3502" s="35"/>
      <c r="AO3502" s="35"/>
      <c r="AP3502" s="35"/>
    </row>
    <row r="3503" spans="1:42" x14ac:dyDescent="0.2">
      <c r="A3503" s="126">
        <v>45544.400621423614</v>
      </c>
      <c r="B3503" s="137" t="s">
        <v>37</v>
      </c>
      <c r="C3503" s="41" t="s">
        <v>118</v>
      </c>
      <c r="D3503" s="80" t="s">
        <v>36</v>
      </c>
      <c r="E3503" s="80" t="s">
        <v>139</v>
      </c>
      <c r="F3503" s="80" t="s">
        <v>36</v>
      </c>
      <c r="G3503" s="80" t="s">
        <v>41</v>
      </c>
      <c r="H3503" s="80" t="s">
        <v>12870</v>
      </c>
      <c r="I3503" s="17">
        <f ca="1">IFERROR(__xludf.DUMMYFUNCTION("""COMPUTED_VALUE"""),45551)</f>
        <v>45551</v>
      </c>
      <c r="J3503" s="143" t="s">
        <v>12871</v>
      </c>
      <c r="K3503" s="80" t="s">
        <v>12872</v>
      </c>
      <c r="L3503" s="30">
        <v>338207435</v>
      </c>
      <c r="M3503" s="80" t="s">
        <v>123</v>
      </c>
      <c r="N3503" s="80" t="s">
        <v>2847</v>
      </c>
      <c r="O3503" s="80" t="s">
        <v>4503</v>
      </c>
      <c r="P3503" s="80" t="s">
        <v>12873</v>
      </c>
      <c r="Q3503" s="20">
        <v>15936</v>
      </c>
      <c r="R3503" s="80" t="s">
        <v>36</v>
      </c>
      <c r="S3503" s="95">
        <v>3000</v>
      </c>
      <c r="T3503" s="148">
        <v>45543</v>
      </c>
      <c r="U3503" s="178">
        <v>12936</v>
      </c>
      <c r="V3503" s="169">
        <v>45564</v>
      </c>
      <c r="W3503" s="85" t="s">
        <v>12874</v>
      </c>
      <c r="X3503" s="80">
        <v>0</v>
      </c>
      <c r="Y3503" s="22">
        <v>0</v>
      </c>
      <c r="Z3503" s="80" t="s">
        <v>50</v>
      </c>
      <c r="AA3503" s="96" t="s">
        <v>3291</v>
      </c>
      <c r="AB3503" s="80"/>
      <c r="AC3503" s="80" t="s">
        <v>53</v>
      </c>
      <c r="AD3503" s="80" t="s">
        <v>138</v>
      </c>
      <c r="AE3503" s="80"/>
      <c r="AF3503" s="17">
        <v>45547</v>
      </c>
      <c r="AG3503" s="80"/>
      <c r="AH3503" s="80"/>
      <c r="AI3503" s="147" t="s">
        <v>147</v>
      </c>
      <c r="AJ3503" s="80"/>
      <c r="AK3503" s="80"/>
      <c r="AL3503" s="35"/>
      <c r="AM3503" s="35"/>
      <c r="AN3503" s="35"/>
      <c r="AO3503" s="35"/>
      <c r="AP3503" s="35"/>
    </row>
    <row r="3504" spans="1:42" x14ac:dyDescent="0.2">
      <c r="A3504" s="126">
        <v>45544.579622280093</v>
      </c>
      <c r="B3504" s="137" t="s">
        <v>37</v>
      </c>
      <c r="C3504" s="41" t="s">
        <v>118</v>
      </c>
      <c r="D3504" s="80" t="s">
        <v>36</v>
      </c>
      <c r="E3504" s="80" t="s">
        <v>56</v>
      </c>
      <c r="F3504" s="80" t="s">
        <v>36</v>
      </c>
      <c r="G3504" s="80" t="s">
        <v>41</v>
      </c>
      <c r="H3504" s="80" t="s">
        <v>9994</v>
      </c>
      <c r="I3504" s="17">
        <f ca="1">IFERROR(__xludf.DUMMYFUNCTION("""COMPUTED_VALUE"""),45545)</f>
        <v>45545</v>
      </c>
      <c r="J3504" s="143" t="s">
        <v>12875</v>
      </c>
      <c r="K3504" s="80" t="s">
        <v>5210</v>
      </c>
      <c r="L3504" s="30">
        <v>971278816</v>
      </c>
      <c r="M3504" s="80" t="s">
        <v>112</v>
      </c>
      <c r="N3504" s="80" t="s">
        <v>438</v>
      </c>
      <c r="O3504" s="80" t="s">
        <v>12876</v>
      </c>
      <c r="P3504" s="80" t="s">
        <v>12877</v>
      </c>
      <c r="Q3504" s="20">
        <v>9317</v>
      </c>
      <c r="R3504" s="80" t="s">
        <v>36</v>
      </c>
      <c r="S3504" s="95">
        <v>9317</v>
      </c>
      <c r="T3504" s="148">
        <v>45544</v>
      </c>
      <c r="U3504" s="77"/>
      <c r="V3504" s="78"/>
      <c r="W3504" s="85" t="s">
        <v>12878</v>
      </c>
      <c r="X3504" s="80">
        <v>0</v>
      </c>
      <c r="Y3504" s="22">
        <v>0</v>
      </c>
      <c r="Z3504" s="80" t="s">
        <v>50</v>
      </c>
      <c r="AA3504" s="35" t="s">
        <v>3291</v>
      </c>
      <c r="AB3504" s="80"/>
      <c r="AC3504" s="80" t="s">
        <v>53</v>
      </c>
      <c r="AD3504" s="80" t="s">
        <v>54</v>
      </c>
      <c r="AE3504" s="80" t="s">
        <v>76</v>
      </c>
      <c r="AF3504" s="17">
        <v>45545</v>
      </c>
      <c r="AG3504" s="80"/>
      <c r="AH3504" s="80"/>
      <c r="AI3504" s="147" t="s">
        <v>64</v>
      </c>
      <c r="AJ3504" s="80"/>
      <c r="AK3504" s="80"/>
      <c r="AL3504" s="35"/>
      <c r="AM3504" s="35"/>
      <c r="AN3504" s="35"/>
      <c r="AO3504" s="35"/>
      <c r="AP3504" s="35"/>
    </row>
    <row r="3505" spans="1:42" x14ac:dyDescent="0.2">
      <c r="A3505" s="126">
        <v>45544.636948275467</v>
      </c>
      <c r="B3505" s="137" t="s">
        <v>90</v>
      </c>
      <c r="C3505" s="41" t="s">
        <v>118</v>
      </c>
      <c r="D3505" s="80" t="s">
        <v>36</v>
      </c>
      <c r="E3505" s="80" t="s">
        <v>77</v>
      </c>
      <c r="F3505" s="80" t="s">
        <v>36</v>
      </c>
      <c r="G3505" s="80" t="s">
        <v>41</v>
      </c>
      <c r="H3505" s="80" t="s">
        <v>9994</v>
      </c>
      <c r="I3505" s="17">
        <f ca="1">IFERROR(__xludf.DUMMYFUNCTION("""COMPUTED_VALUE"""),45545)</f>
        <v>45545</v>
      </c>
      <c r="J3505" s="143" t="s">
        <v>12879</v>
      </c>
      <c r="K3505" s="80" t="s">
        <v>5691</v>
      </c>
      <c r="L3505" s="30">
        <v>374613701</v>
      </c>
      <c r="M3505" s="80" t="s">
        <v>59</v>
      </c>
      <c r="N3505" s="80" t="s">
        <v>68</v>
      </c>
      <c r="O3505" s="80" t="s">
        <v>12880</v>
      </c>
      <c r="P3505" s="80" t="s">
        <v>12881</v>
      </c>
      <c r="Q3505" s="20">
        <v>1968</v>
      </c>
      <c r="R3505" s="80" t="s">
        <v>36</v>
      </c>
      <c r="S3505" s="95">
        <v>2000</v>
      </c>
      <c r="T3505" s="148">
        <v>45543</v>
      </c>
      <c r="U3505" s="77"/>
      <c r="V3505" s="78"/>
      <c r="W3505" s="85" t="s">
        <v>12882</v>
      </c>
      <c r="X3505" s="80">
        <v>0</v>
      </c>
      <c r="Y3505" s="22">
        <v>-32</v>
      </c>
      <c r="Z3505" s="80" t="s">
        <v>50</v>
      </c>
      <c r="AA3505" s="96" t="s">
        <v>3291</v>
      </c>
      <c r="AB3505" s="80"/>
      <c r="AC3505" s="80" t="s">
        <v>53</v>
      </c>
      <c r="AD3505" s="80" t="s">
        <v>54</v>
      </c>
      <c r="AE3505" s="80" t="s">
        <v>4488</v>
      </c>
      <c r="AF3505" s="17">
        <v>45545</v>
      </c>
      <c r="AG3505" s="80" t="s">
        <v>7078</v>
      </c>
      <c r="AH3505" s="80"/>
      <c r="AI3505" s="147" t="s">
        <v>84</v>
      </c>
      <c r="AJ3505" s="80"/>
      <c r="AK3505" s="80"/>
      <c r="AL3505" s="35"/>
      <c r="AM3505" s="35"/>
      <c r="AN3505" s="35"/>
      <c r="AO3505" s="35"/>
      <c r="AP3505" s="35"/>
    </row>
    <row r="3506" spans="1:42" x14ac:dyDescent="0.2">
      <c r="A3506" s="126">
        <v>45544.639551319444</v>
      </c>
      <c r="B3506" s="137" t="s">
        <v>37</v>
      </c>
      <c r="C3506" s="41" t="s">
        <v>118</v>
      </c>
      <c r="D3506" s="80" t="s">
        <v>36</v>
      </c>
      <c r="E3506" s="80" t="s">
        <v>139</v>
      </c>
      <c r="F3506" s="80" t="s">
        <v>36</v>
      </c>
      <c r="G3506" s="26" t="s">
        <v>41</v>
      </c>
      <c r="H3506" s="80" t="s">
        <v>11845</v>
      </c>
      <c r="I3506" s="17">
        <f ca="1">IFERROR(__xludf.DUMMYFUNCTION("""COMPUTED_VALUE"""),45552)</f>
        <v>45552</v>
      </c>
      <c r="J3506" s="143" t="s">
        <v>12883</v>
      </c>
      <c r="K3506" s="80" t="s">
        <v>12884</v>
      </c>
      <c r="L3506" s="30">
        <v>376622818</v>
      </c>
      <c r="M3506" s="80" t="s">
        <v>59</v>
      </c>
      <c r="N3506" s="80" t="s">
        <v>9294</v>
      </c>
      <c r="O3506" s="80" t="s">
        <v>12885</v>
      </c>
      <c r="P3506" s="80" t="s">
        <v>12886</v>
      </c>
      <c r="Q3506" s="20">
        <v>15936</v>
      </c>
      <c r="R3506" s="80" t="s">
        <v>36</v>
      </c>
      <c r="S3506" s="95">
        <f>200+15763</f>
        <v>15963</v>
      </c>
      <c r="T3506" s="148">
        <v>45542</v>
      </c>
      <c r="U3506" s="95"/>
      <c r="V3506" s="148">
        <v>45543</v>
      </c>
      <c r="W3506" s="80" t="s">
        <v>12887</v>
      </c>
      <c r="X3506" s="80">
        <v>0</v>
      </c>
      <c r="Y3506" s="22">
        <v>-27</v>
      </c>
      <c r="Z3506" s="80" t="s">
        <v>50</v>
      </c>
      <c r="AA3506" s="35" t="s">
        <v>3291</v>
      </c>
      <c r="AB3506" s="80"/>
      <c r="AC3506" s="80" t="s">
        <v>53</v>
      </c>
      <c r="AD3506" s="80" t="s">
        <v>138</v>
      </c>
      <c r="AE3506" s="80" t="s">
        <v>72</v>
      </c>
      <c r="AF3506" s="17">
        <v>45555</v>
      </c>
      <c r="AG3506" s="80"/>
      <c r="AH3506" s="80"/>
      <c r="AI3506" s="147" t="s">
        <v>147</v>
      </c>
      <c r="AJ3506" s="80"/>
      <c r="AK3506" s="80"/>
      <c r="AL3506" s="35"/>
      <c r="AM3506" s="35"/>
      <c r="AN3506" s="35"/>
      <c r="AO3506" s="35"/>
      <c r="AP3506" s="35"/>
    </row>
    <row r="3507" spans="1:42" x14ac:dyDescent="0.2">
      <c r="A3507" s="126">
        <v>45544.673522569443</v>
      </c>
      <c r="B3507" s="137" t="s">
        <v>37</v>
      </c>
      <c r="C3507" s="41" t="s">
        <v>118</v>
      </c>
      <c r="D3507" s="80" t="s">
        <v>36</v>
      </c>
      <c r="E3507" s="80" t="s">
        <v>39</v>
      </c>
      <c r="F3507" s="26" t="s">
        <v>36</v>
      </c>
      <c r="G3507" s="26" t="s">
        <v>41</v>
      </c>
      <c r="H3507" s="80" t="s">
        <v>11640</v>
      </c>
      <c r="I3507" s="17">
        <f ca="1">IFERROR(__xludf.DUMMYFUNCTION("""COMPUTED_VALUE"""),45636)</f>
        <v>45636</v>
      </c>
      <c r="J3507" s="143" t="s">
        <v>12888</v>
      </c>
      <c r="K3507" s="80" t="s">
        <v>12889</v>
      </c>
      <c r="L3507" s="30">
        <v>866763862</v>
      </c>
      <c r="M3507" s="80" t="s">
        <v>45</v>
      </c>
      <c r="N3507" s="80" t="s">
        <v>1472</v>
      </c>
      <c r="O3507" s="80" t="s">
        <v>12890</v>
      </c>
      <c r="P3507" s="80" t="s">
        <v>7743</v>
      </c>
      <c r="Q3507" s="20">
        <v>5736</v>
      </c>
      <c r="R3507" s="80" t="s">
        <v>36</v>
      </c>
      <c r="S3507" s="95">
        <f>2000+3736</f>
        <v>5736</v>
      </c>
      <c r="T3507" s="83" t="s">
        <v>12891</v>
      </c>
      <c r="U3507" s="77"/>
      <c r="V3507" s="78"/>
      <c r="W3507" s="85" t="s">
        <v>12892</v>
      </c>
      <c r="X3507" s="80">
        <v>0</v>
      </c>
      <c r="Y3507" s="22">
        <v>0</v>
      </c>
      <c r="Z3507" s="80" t="s">
        <v>50</v>
      </c>
      <c r="AA3507" s="96" t="s">
        <v>3291</v>
      </c>
      <c r="AB3507" s="80"/>
      <c r="AC3507" s="80" t="s">
        <v>53</v>
      </c>
      <c r="AD3507" s="80" t="s">
        <v>138</v>
      </c>
      <c r="AE3507" s="83">
        <v>0</v>
      </c>
      <c r="AF3507" s="17">
        <v>45551</v>
      </c>
      <c r="AG3507" s="80"/>
      <c r="AH3507" s="80"/>
      <c r="AI3507" s="147" t="s">
        <v>55</v>
      </c>
      <c r="AJ3507" s="80"/>
      <c r="AK3507" s="80"/>
      <c r="AL3507" s="35"/>
      <c r="AM3507" s="35"/>
      <c r="AN3507" s="35"/>
      <c r="AO3507" s="35"/>
      <c r="AP3507" s="35"/>
    </row>
    <row r="3508" spans="1:42" x14ac:dyDescent="0.2">
      <c r="A3508" s="126">
        <v>45544.688265393517</v>
      </c>
      <c r="B3508" s="137" t="s">
        <v>37</v>
      </c>
      <c r="C3508" s="41" t="s">
        <v>118</v>
      </c>
      <c r="D3508" s="80" t="s">
        <v>36</v>
      </c>
      <c r="E3508" s="80" t="s">
        <v>56</v>
      </c>
      <c r="F3508" s="80" t="s">
        <v>36</v>
      </c>
      <c r="G3508" s="80" t="s">
        <v>41</v>
      </c>
      <c r="H3508" s="80" t="s">
        <v>12793</v>
      </c>
      <c r="I3508" s="17">
        <f ca="1">IFERROR(__xludf.DUMMYFUNCTION("""COMPUTED_VALUE"""),45552)</f>
        <v>45552</v>
      </c>
      <c r="J3508" s="143" t="s">
        <v>12893</v>
      </c>
      <c r="K3508" s="80" t="s">
        <v>12894</v>
      </c>
      <c r="L3508" s="30">
        <v>332610749</v>
      </c>
      <c r="M3508" s="80" t="s">
        <v>45</v>
      </c>
      <c r="N3508" s="80" t="s">
        <v>12895</v>
      </c>
      <c r="O3508" s="80" t="s">
        <v>12896</v>
      </c>
      <c r="P3508" s="80" t="s">
        <v>12897</v>
      </c>
      <c r="Q3508" s="20">
        <v>9317</v>
      </c>
      <c r="R3508" s="80" t="s">
        <v>36</v>
      </c>
      <c r="S3508" s="95">
        <v>1000</v>
      </c>
      <c r="T3508" s="148">
        <v>45543</v>
      </c>
      <c r="U3508" s="95">
        <v>8327</v>
      </c>
      <c r="V3508" s="148">
        <v>45552</v>
      </c>
      <c r="W3508" s="85" t="s">
        <v>12898</v>
      </c>
      <c r="X3508" s="80">
        <v>0</v>
      </c>
      <c r="Y3508" s="22">
        <v>-10</v>
      </c>
      <c r="Z3508" s="80" t="s">
        <v>50</v>
      </c>
      <c r="AA3508" s="35" t="s">
        <v>3291</v>
      </c>
      <c r="AB3508" s="80"/>
      <c r="AC3508" s="80" t="s">
        <v>53</v>
      </c>
      <c r="AD3508" s="80" t="s">
        <v>54</v>
      </c>
      <c r="AE3508" s="83">
        <v>0</v>
      </c>
      <c r="AF3508" s="17">
        <v>45547</v>
      </c>
      <c r="AG3508" s="80"/>
      <c r="AH3508" s="80"/>
      <c r="AI3508" s="147" t="s">
        <v>64</v>
      </c>
      <c r="AJ3508" s="80"/>
      <c r="AK3508" s="80"/>
      <c r="AL3508" s="35"/>
      <c r="AM3508" s="35"/>
      <c r="AN3508" s="35"/>
      <c r="AO3508" s="35"/>
      <c r="AP3508" s="35"/>
    </row>
    <row r="3509" spans="1:42" x14ac:dyDescent="0.2">
      <c r="A3509" s="126">
        <v>45544.744873784723</v>
      </c>
      <c r="B3509" s="137" t="s">
        <v>37</v>
      </c>
      <c r="C3509" s="41" t="s">
        <v>118</v>
      </c>
      <c r="D3509" s="80" t="s">
        <v>36</v>
      </c>
      <c r="E3509" s="80" t="s">
        <v>139</v>
      </c>
      <c r="F3509" s="80" t="s">
        <v>36</v>
      </c>
      <c r="G3509" s="80" t="s">
        <v>41</v>
      </c>
      <c r="H3509" s="80" t="s">
        <v>11707</v>
      </c>
      <c r="I3509" s="17">
        <f ca="1">IFERROR(__xludf.DUMMYFUNCTION("""COMPUTED_VALUE"""),45551)</f>
        <v>45551</v>
      </c>
      <c r="J3509" s="143" t="s">
        <v>12899</v>
      </c>
      <c r="K3509" s="80" t="s">
        <v>12900</v>
      </c>
      <c r="L3509" s="30">
        <v>353476457</v>
      </c>
      <c r="M3509" s="80" t="s">
        <v>123</v>
      </c>
      <c r="N3509" s="80" t="s">
        <v>327</v>
      </c>
      <c r="O3509" s="80" t="s">
        <v>4503</v>
      </c>
      <c r="P3509" s="80" t="s">
        <v>3487</v>
      </c>
      <c r="Q3509" s="20">
        <v>15936</v>
      </c>
      <c r="R3509" s="80" t="s">
        <v>36</v>
      </c>
      <c r="S3509" s="95">
        <f>200+1800</f>
        <v>2000</v>
      </c>
      <c r="T3509" s="83" t="s">
        <v>12901</v>
      </c>
      <c r="U3509" s="95">
        <f>13836+100</f>
        <v>13936</v>
      </c>
      <c r="V3509" s="83" t="s">
        <v>12902</v>
      </c>
      <c r="W3509" s="85" t="s">
        <v>12903</v>
      </c>
      <c r="X3509" s="80">
        <v>0</v>
      </c>
      <c r="Y3509" s="22">
        <v>0</v>
      </c>
      <c r="Z3509" s="80" t="s">
        <v>50</v>
      </c>
      <c r="AA3509" s="96" t="s">
        <v>3291</v>
      </c>
      <c r="AB3509" s="80"/>
      <c r="AC3509" s="80" t="s">
        <v>53</v>
      </c>
      <c r="AD3509" s="80" t="s">
        <v>138</v>
      </c>
      <c r="AE3509" s="80"/>
      <c r="AF3509" s="17">
        <v>45551</v>
      </c>
      <c r="AG3509" s="80"/>
      <c r="AH3509" s="80"/>
      <c r="AI3509" s="147" t="s">
        <v>147</v>
      </c>
      <c r="AJ3509" s="80"/>
      <c r="AK3509" s="80"/>
      <c r="AL3509" s="35"/>
      <c r="AM3509" s="35"/>
      <c r="AN3509" s="35"/>
      <c r="AO3509" s="35"/>
      <c r="AP3509" s="35"/>
    </row>
    <row r="3510" spans="1:42" x14ac:dyDescent="0.2">
      <c r="A3510" s="126">
        <v>45544.752770648149</v>
      </c>
      <c r="B3510" s="137" t="s">
        <v>37</v>
      </c>
      <c r="C3510" s="41" t="s">
        <v>118</v>
      </c>
      <c r="D3510" s="80" t="s">
        <v>36</v>
      </c>
      <c r="E3510" s="80" t="s">
        <v>139</v>
      </c>
      <c r="F3510" s="80" t="s">
        <v>91</v>
      </c>
      <c r="G3510" s="26" t="s">
        <v>41</v>
      </c>
      <c r="H3510" s="80" t="s">
        <v>11845</v>
      </c>
      <c r="I3510" s="17">
        <f ca="1">IFERROR(__xludf.DUMMYFUNCTION("""COMPUTED_VALUE"""),45552)</f>
        <v>45552</v>
      </c>
      <c r="J3510" s="143" t="s">
        <v>12904</v>
      </c>
      <c r="K3510" s="80" t="s">
        <v>12905</v>
      </c>
      <c r="L3510" s="30">
        <v>399769205</v>
      </c>
      <c r="M3510" s="80" t="s">
        <v>5558</v>
      </c>
      <c r="N3510" s="80" t="s">
        <v>5559</v>
      </c>
      <c r="O3510" s="80" t="s">
        <v>4503</v>
      </c>
      <c r="P3510" s="80" t="s">
        <v>12906</v>
      </c>
      <c r="Q3510" s="20">
        <v>15936</v>
      </c>
      <c r="R3510" s="80" t="s">
        <v>36</v>
      </c>
      <c r="S3510" s="95">
        <f>200+2000</f>
        <v>2200</v>
      </c>
      <c r="T3510" s="83" t="s">
        <v>12907</v>
      </c>
      <c r="U3510" s="95">
        <v>13736</v>
      </c>
      <c r="V3510" s="148">
        <v>45556</v>
      </c>
      <c r="W3510" s="85" t="s">
        <v>12908</v>
      </c>
      <c r="X3510" s="80">
        <v>0</v>
      </c>
      <c r="Y3510" s="22">
        <v>0</v>
      </c>
      <c r="Z3510" s="80" t="s">
        <v>50</v>
      </c>
      <c r="AA3510" s="35" t="s">
        <v>3291</v>
      </c>
      <c r="AB3510" s="80"/>
      <c r="AC3510" s="80" t="s">
        <v>53</v>
      </c>
      <c r="AD3510" s="80" t="s">
        <v>138</v>
      </c>
      <c r="AE3510" s="80"/>
      <c r="AF3510" s="17">
        <v>45555</v>
      </c>
      <c r="AG3510" s="80"/>
      <c r="AH3510" s="80"/>
      <c r="AI3510" s="147" t="s">
        <v>147</v>
      </c>
      <c r="AJ3510" s="80"/>
      <c r="AK3510" s="80"/>
      <c r="AL3510" s="35"/>
      <c r="AM3510" s="35"/>
      <c r="AN3510" s="35"/>
      <c r="AO3510" s="35"/>
      <c r="AP3510" s="35"/>
    </row>
    <row r="3511" spans="1:42" x14ac:dyDescent="0.2">
      <c r="A3511" s="126">
        <v>45544.754845046293</v>
      </c>
      <c r="B3511" s="137" t="s">
        <v>37</v>
      </c>
      <c r="C3511" s="41" t="s">
        <v>118</v>
      </c>
      <c r="D3511" s="80" t="s">
        <v>36</v>
      </c>
      <c r="E3511" s="80" t="s">
        <v>139</v>
      </c>
      <c r="F3511" s="80" t="s">
        <v>91</v>
      </c>
      <c r="G3511" s="80" t="s">
        <v>41</v>
      </c>
      <c r="H3511" s="80" t="s">
        <v>9994</v>
      </c>
      <c r="I3511" s="17">
        <f ca="1">IFERROR(__xludf.DUMMYFUNCTION("""COMPUTED_VALUE"""),45545)</f>
        <v>45545</v>
      </c>
      <c r="J3511" s="143" t="s">
        <v>12909</v>
      </c>
      <c r="K3511" s="80" t="s">
        <v>12910</v>
      </c>
      <c r="L3511" s="30">
        <v>343581185</v>
      </c>
      <c r="M3511" s="80" t="s">
        <v>5558</v>
      </c>
      <c r="N3511" s="80" t="s">
        <v>5559</v>
      </c>
      <c r="O3511" s="80" t="s">
        <v>4503</v>
      </c>
      <c r="P3511" s="144" t="s">
        <v>12911</v>
      </c>
      <c r="Q3511" s="20">
        <v>15936</v>
      </c>
      <c r="R3511" s="80" t="s">
        <v>36</v>
      </c>
      <c r="S3511" s="95">
        <f>200+3000</f>
        <v>3200</v>
      </c>
      <c r="T3511" s="83" t="s">
        <v>12912</v>
      </c>
      <c r="U3511" s="95">
        <v>12736</v>
      </c>
      <c r="V3511" s="148">
        <v>45561</v>
      </c>
      <c r="W3511" s="85" t="s">
        <v>12913</v>
      </c>
      <c r="X3511" s="80">
        <v>0</v>
      </c>
      <c r="Y3511" s="22">
        <v>0</v>
      </c>
      <c r="Z3511" s="80" t="s">
        <v>50</v>
      </c>
      <c r="AA3511" s="96" t="s">
        <v>3291</v>
      </c>
      <c r="AB3511" s="80"/>
      <c r="AC3511" s="80" t="s">
        <v>53</v>
      </c>
      <c r="AD3511" s="80" t="s">
        <v>54</v>
      </c>
      <c r="AE3511" s="80"/>
      <c r="AF3511" s="17">
        <v>45551</v>
      </c>
      <c r="AG3511" s="80"/>
      <c r="AH3511" s="80"/>
      <c r="AI3511" s="147" t="s">
        <v>147</v>
      </c>
      <c r="AJ3511" s="80"/>
      <c r="AK3511" s="80"/>
      <c r="AL3511" s="35"/>
      <c r="AM3511" s="35"/>
      <c r="AN3511" s="35"/>
      <c r="AO3511" s="35"/>
      <c r="AP3511" s="35"/>
    </row>
    <row r="3512" spans="1:42" x14ac:dyDescent="0.2">
      <c r="A3512" s="126">
        <v>45544.787685532407</v>
      </c>
      <c r="B3512" s="137" t="s">
        <v>37</v>
      </c>
      <c r="C3512" s="41" t="s">
        <v>118</v>
      </c>
      <c r="D3512" s="80" t="s">
        <v>36</v>
      </c>
      <c r="E3512" s="80" t="s">
        <v>139</v>
      </c>
      <c r="F3512" s="26" t="s">
        <v>36</v>
      </c>
      <c r="G3512" s="26" t="s">
        <v>41</v>
      </c>
      <c r="H3512" s="80" t="s">
        <v>11610</v>
      </c>
      <c r="I3512" s="17">
        <f ca="1">IFERROR(__xludf.DUMMYFUNCTION("""COMPUTED_VALUE"""),45552)</f>
        <v>45552</v>
      </c>
      <c r="J3512" s="143" t="s">
        <v>12914</v>
      </c>
      <c r="K3512" s="80" t="s">
        <v>12915</v>
      </c>
      <c r="L3512" s="30">
        <v>365585633</v>
      </c>
      <c r="M3512" s="80" t="s">
        <v>910</v>
      </c>
      <c r="N3512" s="80" t="s">
        <v>3525</v>
      </c>
      <c r="O3512" s="80" t="s">
        <v>91</v>
      </c>
      <c r="P3512" s="80" t="s">
        <v>12578</v>
      </c>
      <c r="Q3512" s="20">
        <v>15936</v>
      </c>
      <c r="R3512" s="80" t="s">
        <v>36</v>
      </c>
      <c r="S3512" s="95">
        <v>2000</v>
      </c>
      <c r="T3512" s="148">
        <v>45544</v>
      </c>
      <c r="U3512" s="95">
        <v>13936</v>
      </c>
      <c r="V3512" s="148">
        <v>45565</v>
      </c>
      <c r="W3512" s="85" t="s">
        <v>12916</v>
      </c>
      <c r="X3512" s="80">
        <v>0</v>
      </c>
      <c r="Y3512" s="22">
        <v>0</v>
      </c>
      <c r="Z3512" s="80" t="s">
        <v>50</v>
      </c>
      <c r="AA3512" s="35" t="s">
        <v>3291</v>
      </c>
      <c r="AB3512" s="80"/>
      <c r="AC3512" s="80" t="s">
        <v>53</v>
      </c>
      <c r="AD3512" s="80" t="s">
        <v>138</v>
      </c>
      <c r="AE3512" s="80"/>
      <c r="AF3512" s="17">
        <v>45551</v>
      </c>
      <c r="AG3512" s="80"/>
      <c r="AH3512" s="80"/>
      <c r="AI3512" s="147" t="s">
        <v>147</v>
      </c>
      <c r="AJ3512" s="80"/>
      <c r="AK3512" s="80"/>
      <c r="AL3512" s="35"/>
      <c r="AM3512" s="35"/>
      <c r="AN3512" s="35"/>
      <c r="AO3512" s="35"/>
      <c r="AP3512" s="35"/>
    </row>
    <row r="3513" spans="1:42" x14ac:dyDescent="0.2">
      <c r="A3513" s="126">
        <v>45544.836604097218</v>
      </c>
      <c r="B3513" s="137" t="s">
        <v>37</v>
      </c>
      <c r="C3513" s="41" t="s">
        <v>118</v>
      </c>
      <c r="D3513" s="80" t="s">
        <v>36</v>
      </c>
      <c r="E3513" s="80" t="s">
        <v>56</v>
      </c>
      <c r="F3513" s="80" t="s">
        <v>36</v>
      </c>
      <c r="G3513" s="80" t="s">
        <v>41</v>
      </c>
      <c r="H3513" s="80" t="s">
        <v>11595</v>
      </c>
      <c r="I3513" s="17">
        <f ca="1">IFERROR(__xludf.DUMMYFUNCTION("""COMPUTED_VALUE"""),45554)</f>
        <v>45554</v>
      </c>
      <c r="J3513" s="143" t="s">
        <v>12917</v>
      </c>
      <c r="K3513" s="80" t="s">
        <v>12918</v>
      </c>
      <c r="L3513" s="30">
        <v>963282713</v>
      </c>
      <c r="M3513" s="80" t="s">
        <v>9422</v>
      </c>
      <c r="N3513" s="80" t="s">
        <v>12670</v>
      </c>
      <c r="O3513" s="80" t="s">
        <v>12919</v>
      </c>
      <c r="P3513" s="80" t="s">
        <v>12920</v>
      </c>
      <c r="Q3513" s="20">
        <v>9317</v>
      </c>
      <c r="R3513" s="80" t="s">
        <v>36</v>
      </c>
      <c r="S3513" s="95">
        <v>9317</v>
      </c>
      <c r="T3513" s="148">
        <v>45544</v>
      </c>
      <c r="U3513" s="77"/>
      <c r="V3513" s="78"/>
      <c r="W3513" s="85" t="s">
        <v>12921</v>
      </c>
      <c r="X3513" s="80">
        <v>0</v>
      </c>
      <c r="Y3513" s="22">
        <v>0</v>
      </c>
      <c r="Z3513" s="80" t="s">
        <v>50</v>
      </c>
      <c r="AA3513" s="96" t="s">
        <v>3291</v>
      </c>
      <c r="AB3513" s="80"/>
      <c r="AC3513" s="80" t="s">
        <v>2218</v>
      </c>
      <c r="AD3513" s="80" t="s">
        <v>138</v>
      </c>
      <c r="AE3513" s="80"/>
      <c r="AF3513" s="17">
        <v>45544</v>
      </c>
      <c r="AG3513" s="80" t="s">
        <v>2075</v>
      </c>
      <c r="AH3513" s="80"/>
      <c r="AI3513" s="147" t="s">
        <v>64</v>
      </c>
      <c r="AJ3513" s="80"/>
      <c r="AK3513" s="80"/>
      <c r="AL3513" s="35"/>
      <c r="AM3513" s="35"/>
      <c r="AN3513" s="35"/>
      <c r="AO3513" s="35"/>
      <c r="AP3513" s="35"/>
    </row>
    <row r="3514" spans="1:42" x14ac:dyDescent="0.2">
      <c r="A3514" s="126">
        <v>45544.887283657408</v>
      </c>
      <c r="B3514" s="137" t="s">
        <v>37</v>
      </c>
      <c r="C3514" s="41" t="s">
        <v>118</v>
      </c>
      <c r="D3514" s="80" t="s">
        <v>36</v>
      </c>
      <c r="E3514" s="80" t="s">
        <v>139</v>
      </c>
      <c r="F3514" s="26" t="s">
        <v>36</v>
      </c>
      <c r="G3514" s="26" t="s">
        <v>41</v>
      </c>
      <c r="H3514" s="80" t="s">
        <v>12766</v>
      </c>
      <c r="I3514" s="17">
        <f ca="1">IFERROR(__xludf.DUMMYFUNCTION("""COMPUTED_VALUE"""),45555)</f>
        <v>45555</v>
      </c>
      <c r="J3514" s="143" t="s">
        <v>12922</v>
      </c>
      <c r="K3514" s="80" t="s">
        <v>12923</v>
      </c>
      <c r="L3514" s="30">
        <v>396822813</v>
      </c>
      <c r="M3514" s="80" t="s">
        <v>3728</v>
      </c>
      <c r="N3514" s="80" t="s">
        <v>5312</v>
      </c>
      <c r="O3514" s="80" t="s">
        <v>12924</v>
      </c>
      <c r="P3514" s="80" t="s">
        <v>11644</v>
      </c>
      <c r="Q3514" s="20">
        <v>15936</v>
      </c>
      <c r="R3514" s="80" t="s">
        <v>36</v>
      </c>
      <c r="S3514" s="95">
        <v>2000</v>
      </c>
      <c r="T3514" s="148">
        <v>45544</v>
      </c>
      <c r="U3514" s="178">
        <v>13936</v>
      </c>
      <c r="V3514" s="169">
        <v>45564</v>
      </c>
      <c r="W3514" s="85" t="s">
        <v>12925</v>
      </c>
      <c r="X3514" s="80">
        <v>0</v>
      </c>
      <c r="Y3514" s="22">
        <v>0</v>
      </c>
      <c r="Z3514" s="80" t="s">
        <v>50</v>
      </c>
      <c r="AA3514" s="35" t="s">
        <v>3291</v>
      </c>
      <c r="AB3514" s="80"/>
      <c r="AC3514" s="80" t="s">
        <v>53</v>
      </c>
      <c r="AD3514" s="80" t="s">
        <v>138</v>
      </c>
      <c r="AE3514" s="80"/>
      <c r="AF3514" s="17">
        <v>45555</v>
      </c>
      <c r="AG3514" s="80"/>
      <c r="AH3514" s="80"/>
      <c r="AI3514" s="147" t="s">
        <v>147</v>
      </c>
      <c r="AJ3514" s="80"/>
      <c r="AK3514" s="80"/>
      <c r="AL3514" s="35"/>
      <c r="AM3514" s="35"/>
      <c r="AN3514" s="35"/>
      <c r="AO3514" s="35"/>
      <c r="AP3514" s="35"/>
    </row>
    <row r="3515" spans="1:42" x14ac:dyDescent="0.2">
      <c r="A3515" s="126">
        <v>45545.350312372684</v>
      </c>
      <c r="B3515" s="137" t="s">
        <v>37</v>
      </c>
      <c r="C3515" s="41" t="s">
        <v>118</v>
      </c>
      <c r="D3515" s="80" t="s">
        <v>36</v>
      </c>
      <c r="E3515" s="80" t="s">
        <v>119</v>
      </c>
      <c r="F3515" s="80" t="s">
        <v>36</v>
      </c>
      <c r="G3515" s="80" t="s">
        <v>108</v>
      </c>
      <c r="H3515" s="80" t="s">
        <v>10193</v>
      </c>
      <c r="I3515" s="17">
        <f ca="1">IFERROR(__xludf.DUMMYFUNCTION("""COMPUTED_VALUE"""),45555)</f>
        <v>45555</v>
      </c>
      <c r="J3515" s="143" t="s">
        <v>7117</v>
      </c>
      <c r="K3515" s="80" t="s">
        <v>12926</v>
      </c>
      <c r="L3515" s="30">
        <v>389849897</v>
      </c>
      <c r="M3515" s="80" t="s">
        <v>3288</v>
      </c>
      <c r="N3515" s="80" t="s">
        <v>200</v>
      </c>
      <c r="O3515" s="80" t="s">
        <v>36</v>
      </c>
      <c r="P3515" s="80" t="s">
        <v>12927</v>
      </c>
      <c r="Q3515" s="20">
        <v>13968</v>
      </c>
      <c r="R3515" s="80" t="s">
        <v>36</v>
      </c>
      <c r="S3515" s="95">
        <v>4000</v>
      </c>
      <c r="T3515" s="148">
        <v>45544</v>
      </c>
      <c r="U3515" s="95">
        <v>9968</v>
      </c>
      <c r="V3515" s="148">
        <v>45560</v>
      </c>
      <c r="W3515" s="85" t="s">
        <v>12928</v>
      </c>
      <c r="X3515" s="80">
        <v>0</v>
      </c>
      <c r="Y3515" s="22">
        <v>0</v>
      </c>
      <c r="Z3515" s="80" t="s">
        <v>50</v>
      </c>
      <c r="AA3515" s="96" t="s">
        <v>3291</v>
      </c>
      <c r="AB3515" s="80"/>
      <c r="AC3515" s="80" t="s">
        <v>53</v>
      </c>
      <c r="AD3515" s="80" t="s">
        <v>54</v>
      </c>
      <c r="AE3515" s="80" t="s">
        <v>203</v>
      </c>
      <c r="AF3515" s="17">
        <v>45548</v>
      </c>
      <c r="AG3515" s="80"/>
      <c r="AH3515" s="80"/>
      <c r="AI3515" s="147">
        <v>4</v>
      </c>
      <c r="AJ3515" s="80"/>
      <c r="AK3515" s="80"/>
      <c r="AL3515" s="35"/>
      <c r="AM3515" s="35"/>
      <c r="AN3515" s="35"/>
      <c r="AO3515" s="35"/>
      <c r="AP3515" s="35"/>
    </row>
    <row r="3516" spans="1:42" x14ac:dyDescent="0.2">
      <c r="A3516" s="126">
        <v>45545.366155289354</v>
      </c>
      <c r="B3516" s="137" t="s">
        <v>37</v>
      </c>
      <c r="C3516" s="41" t="s">
        <v>118</v>
      </c>
      <c r="D3516" s="80" t="s">
        <v>36</v>
      </c>
      <c r="E3516" s="80" t="s">
        <v>77</v>
      </c>
      <c r="F3516" s="80" t="s">
        <v>36</v>
      </c>
      <c r="G3516" s="80" t="s">
        <v>41</v>
      </c>
      <c r="H3516" s="80" t="s">
        <v>11707</v>
      </c>
      <c r="I3516" s="17">
        <f ca="1">IFERROR(__xludf.DUMMYFUNCTION("""COMPUTED_VALUE"""),45551)</f>
        <v>45551</v>
      </c>
      <c r="J3516" s="143" t="s">
        <v>12929</v>
      </c>
      <c r="K3516" s="80" t="s">
        <v>2741</v>
      </c>
      <c r="L3516" s="30">
        <v>364620202</v>
      </c>
      <c r="M3516" s="80" t="s">
        <v>123</v>
      </c>
      <c r="N3516" s="80" t="s">
        <v>327</v>
      </c>
      <c r="O3516" s="80" t="s">
        <v>12930</v>
      </c>
      <c r="P3516" s="80" t="s">
        <v>12931</v>
      </c>
      <c r="Q3516" s="20">
        <v>1968</v>
      </c>
      <c r="R3516" s="80" t="s">
        <v>36</v>
      </c>
      <c r="S3516" s="95">
        <v>1968</v>
      </c>
      <c r="T3516" s="148">
        <v>45545</v>
      </c>
      <c r="U3516" s="77"/>
      <c r="V3516" s="78"/>
      <c r="W3516" s="85" t="s">
        <v>12932</v>
      </c>
      <c r="X3516" s="80">
        <v>0</v>
      </c>
      <c r="Y3516" s="22">
        <v>0</v>
      </c>
      <c r="Z3516" s="80" t="s">
        <v>50</v>
      </c>
      <c r="AA3516" s="35" t="s">
        <v>3291</v>
      </c>
      <c r="AB3516" s="80"/>
      <c r="AC3516" s="80" t="s">
        <v>53</v>
      </c>
      <c r="AD3516" s="80" t="s">
        <v>138</v>
      </c>
      <c r="AE3516" s="80"/>
      <c r="AF3516" s="17">
        <v>45551</v>
      </c>
      <c r="AG3516" s="80"/>
      <c r="AH3516" s="80"/>
      <c r="AI3516" s="147" t="s">
        <v>84</v>
      </c>
      <c r="AJ3516" s="80"/>
      <c r="AK3516" s="80"/>
      <c r="AL3516" s="35"/>
      <c r="AM3516" s="35"/>
      <c r="AN3516" s="35"/>
      <c r="AO3516" s="35"/>
      <c r="AP3516" s="35"/>
    </row>
    <row r="3517" spans="1:42" x14ac:dyDescent="0.2">
      <c r="A3517" s="126">
        <v>45545.480298587965</v>
      </c>
      <c r="B3517" s="137" t="s">
        <v>37</v>
      </c>
      <c r="C3517" s="41" t="s">
        <v>118</v>
      </c>
      <c r="D3517" s="80" t="s">
        <v>36</v>
      </c>
      <c r="E3517" s="80" t="s">
        <v>77</v>
      </c>
      <c r="F3517" s="26" t="s">
        <v>36</v>
      </c>
      <c r="G3517" s="26" t="s">
        <v>41</v>
      </c>
      <c r="H3517" s="80" t="s">
        <v>11610</v>
      </c>
      <c r="I3517" s="17">
        <f ca="1">IFERROR(__xludf.DUMMYFUNCTION("""COMPUTED_VALUE"""),45552)</f>
        <v>45552</v>
      </c>
      <c r="J3517" s="143" t="s">
        <v>12933</v>
      </c>
      <c r="K3517" s="80" t="s">
        <v>12934</v>
      </c>
      <c r="L3517" s="30">
        <v>352911145</v>
      </c>
      <c r="M3517" s="80" t="s">
        <v>59</v>
      </c>
      <c r="N3517" s="80" t="s">
        <v>68</v>
      </c>
      <c r="O3517" s="80" t="s">
        <v>12935</v>
      </c>
      <c r="P3517" s="80" t="s">
        <v>12687</v>
      </c>
      <c r="Q3517" s="20">
        <v>1968</v>
      </c>
      <c r="R3517" s="80" t="s">
        <v>36</v>
      </c>
      <c r="S3517" s="95">
        <v>2000</v>
      </c>
      <c r="T3517" s="148">
        <v>45544</v>
      </c>
      <c r="U3517" s="77"/>
      <c r="V3517" s="78"/>
      <c r="W3517" s="79" t="s">
        <v>12936</v>
      </c>
      <c r="X3517" s="80">
        <v>0</v>
      </c>
      <c r="Y3517" s="22">
        <v>-32</v>
      </c>
      <c r="Z3517" s="80" t="s">
        <v>50</v>
      </c>
      <c r="AA3517" s="96" t="s">
        <v>3291</v>
      </c>
      <c r="AB3517" s="80"/>
      <c r="AC3517" s="80" t="s">
        <v>53</v>
      </c>
      <c r="AD3517" s="80" t="s">
        <v>138</v>
      </c>
      <c r="AE3517" s="80" t="s">
        <v>72</v>
      </c>
      <c r="AF3517" s="17">
        <v>45551</v>
      </c>
      <c r="AG3517" s="80" t="s">
        <v>7078</v>
      </c>
      <c r="AH3517" s="80"/>
      <c r="AI3517" s="147" t="s">
        <v>84</v>
      </c>
      <c r="AJ3517" s="80"/>
      <c r="AK3517" s="80"/>
      <c r="AL3517" s="35"/>
      <c r="AM3517" s="35"/>
      <c r="AN3517" s="35"/>
      <c r="AO3517" s="35"/>
      <c r="AP3517" s="35"/>
    </row>
    <row r="3518" spans="1:42" x14ac:dyDescent="0.2">
      <c r="A3518" s="126">
        <v>45545.959461967592</v>
      </c>
      <c r="B3518" s="137" t="s">
        <v>37</v>
      </c>
      <c r="C3518" s="41" t="s">
        <v>118</v>
      </c>
      <c r="D3518" s="80" t="s">
        <v>36</v>
      </c>
      <c r="E3518" s="80" t="s">
        <v>139</v>
      </c>
      <c r="F3518" s="80" t="s">
        <v>36</v>
      </c>
      <c r="G3518" s="80" t="s">
        <v>41</v>
      </c>
      <c r="H3518" s="80" t="s">
        <v>12937</v>
      </c>
      <c r="I3518" s="17">
        <f ca="1">IFERROR(__xludf.DUMMYFUNCTION("""COMPUTED_VALUE"""),45552)</f>
        <v>45552</v>
      </c>
      <c r="J3518" s="143" t="s">
        <v>12938</v>
      </c>
      <c r="K3518" s="80" t="s">
        <v>12939</v>
      </c>
      <c r="L3518" s="30">
        <v>342551792</v>
      </c>
      <c r="M3518" s="80" t="s">
        <v>5558</v>
      </c>
      <c r="N3518" s="80" t="s">
        <v>5559</v>
      </c>
      <c r="O3518" s="80" t="s">
        <v>4503</v>
      </c>
      <c r="P3518" s="115" t="s">
        <v>12940</v>
      </c>
      <c r="Q3518" s="20">
        <v>15936</v>
      </c>
      <c r="R3518" s="80" t="s">
        <v>36</v>
      </c>
      <c r="S3518" s="95">
        <v>1968</v>
      </c>
      <c r="T3518" s="148">
        <v>45545</v>
      </c>
      <c r="U3518" s="95">
        <v>13968</v>
      </c>
      <c r="V3518" s="148">
        <v>45561</v>
      </c>
      <c r="W3518" s="85" t="s">
        <v>12941</v>
      </c>
      <c r="X3518" s="80">
        <v>0</v>
      </c>
      <c r="Y3518" s="22">
        <v>0</v>
      </c>
      <c r="Z3518" s="80" t="s">
        <v>50</v>
      </c>
      <c r="AA3518" s="35" t="s">
        <v>3291</v>
      </c>
      <c r="AB3518" s="80"/>
      <c r="AC3518" s="80" t="s">
        <v>53</v>
      </c>
      <c r="AD3518" s="80" t="s">
        <v>54</v>
      </c>
      <c r="AE3518" s="80"/>
      <c r="AF3518" s="17">
        <v>45547</v>
      </c>
      <c r="AG3518" s="80"/>
      <c r="AH3518" s="80"/>
      <c r="AI3518" s="147" t="s">
        <v>147</v>
      </c>
      <c r="AJ3518" s="80"/>
      <c r="AK3518" s="80"/>
      <c r="AL3518" s="35"/>
      <c r="AM3518" s="35"/>
      <c r="AN3518" s="35"/>
      <c r="AO3518" s="35"/>
      <c r="AP3518" s="35"/>
    </row>
    <row r="3519" spans="1:42" x14ac:dyDescent="0.2">
      <c r="A3519" s="126">
        <v>45545.964279629625</v>
      </c>
      <c r="B3519" s="137" t="s">
        <v>37</v>
      </c>
      <c r="C3519" s="41" t="s">
        <v>118</v>
      </c>
      <c r="D3519" s="80" t="s">
        <v>36</v>
      </c>
      <c r="E3519" s="80" t="s">
        <v>139</v>
      </c>
      <c r="F3519" s="26" t="s">
        <v>36</v>
      </c>
      <c r="G3519" s="26" t="s">
        <v>41</v>
      </c>
      <c r="H3519" s="80" t="s">
        <v>12766</v>
      </c>
      <c r="I3519" s="17">
        <f ca="1">IFERROR(__xludf.DUMMYFUNCTION("""COMPUTED_VALUE"""),45555)</f>
        <v>45555</v>
      </c>
      <c r="J3519" s="143" t="s">
        <v>12942</v>
      </c>
      <c r="K3519" s="80" t="s">
        <v>12943</v>
      </c>
      <c r="L3519" s="30">
        <v>869332508</v>
      </c>
      <c r="M3519" s="80" t="s">
        <v>9422</v>
      </c>
      <c r="N3519" s="80" t="s">
        <v>2157</v>
      </c>
      <c r="O3519" s="80" t="s">
        <v>11607</v>
      </c>
      <c r="P3519" s="80" t="s">
        <v>11607</v>
      </c>
      <c r="Q3519" s="20">
        <v>15936</v>
      </c>
      <c r="R3519" s="80" t="s">
        <v>11421</v>
      </c>
      <c r="S3519" s="95">
        <v>2000</v>
      </c>
      <c r="T3519" s="148">
        <v>45545</v>
      </c>
      <c r="U3519" s="95">
        <v>13636</v>
      </c>
      <c r="V3519" s="148">
        <v>45564</v>
      </c>
      <c r="W3519" s="85" t="s">
        <v>12944</v>
      </c>
      <c r="X3519" s="80">
        <v>300</v>
      </c>
      <c r="Y3519" s="22">
        <v>0</v>
      </c>
      <c r="Z3519" s="80" t="s">
        <v>50</v>
      </c>
      <c r="AA3519" s="96" t="s">
        <v>3291</v>
      </c>
      <c r="AB3519" s="80"/>
      <c r="AC3519" s="80" t="s">
        <v>2218</v>
      </c>
      <c r="AD3519" s="80" t="s">
        <v>138</v>
      </c>
      <c r="AE3519" s="80"/>
      <c r="AF3519" s="17">
        <v>45551</v>
      </c>
      <c r="AG3519" s="80" t="s">
        <v>12945</v>
      </c>
      <c r="AH3519" s="80"/>
      <c r="AI3519" s="147" t="s">
        <v>147</v>
      </c>
      <c r="AJ3519" s="80"/>
      <c r="AK3519" s="80"/>
      <c r="AL3519" s="35"/>
      <c r="AM3519" s="35"/>
      <c r="AN3519" s="35"/>
      <c r="AO3519" s="35"/>
      <c r="AP3519" s="35"/>
    </row>
    <row r="3520" spans="1:42" x14ac:dyDescent="0.2">
      <c r="A3520" s="126">
        <v>45545.964965208332</v>
      </c>
      <c r="B3520" s="137" t="s">
        <v>37</v>
      </c>
      <c r="C3520" s="41" t="s">
        <v>118</v>
      </c>
      <c r="D3520" s="80" t="s">
        <v>36</v>
      </c>
      <c r="E3520" s="80" t="s">
        <v>77</v>
      </c>
      <c r="F3520" s="80" t="s">
        <v>91</v>
      </c>
      <c r="G3520" s="80" t="s">
        <v>41</v>
      </c>
      <c r="H3520" s="80" t="s">
        <v>12946</v>
      </c>
      <c r="I3520" s="17" t="str">
        <f ca="1">IFERROR(__xludf.DUMMYFUNCTION("""COMPUTED_VALUE""")," ")</f>
        <v xml:space="preserve"> </v>
      </c>
      <c r="J3520" s="143" t="s">
        <v>12947</v>
      </c>
      <c r="K3520" s="80" t="s">
        <v>12948</v>
      </c>
      <c r="L3520" s="30">
        <v>339991046</v>
      </c>
      <c r="M3520" s="80" t="s">
        <v>5558</v>
      </c>
      <c r="N3520" s="80" t="s">
        <v>5559</v>
      </c>
      <c r="O3520" s="80" t="s">
        <v>4503</v>
      </c>
      <c r="P3520" s="80" t="s">
        <v>12949</v>
      </c>
      <c r="Q3520" s="20">
        <v>1968</v>
      </c>
      <c r="R3520" s="80" t="s">
        <v>36</v>
      </c>
      <c r="S3520" s="95">
        <f>200+1768</f>
        <v>1968</v>
      </c>
      <c r="T3520" s="83" t="s">
        <v>12950</v>
      </c>
      <c r="U3520" s="77"/>
      <c r="V3520" s="78"/>
      <c r="W3520" s="85" t="s">
        <v>12951</v>
      </c>
      <c r="X3520" s="80">
        <v>0</v>
      </c>
      <c r="Y3520" s="22">
        <v>0</v>
      </c>
      <c r="Z3520" s="80" t="s">
        <v>50</v>
      </c>
      <c r="AA3520" s="35" t="s">
        <v>3291</v>
      </c>
      <c r="AB3520" s="80"/>
      <c r="AC3520" s="80" t="s">
        <v>53</v>
      </c>
      <c r="AD3520" s="80" t="s">
        <v>138</v>
      </c>
      <c r="AE3520" s="80"/>
      <c r="AF3520" s="17">
        <v>45566</v>
      </c>
      <c r="AG3520" s="80"/>
      <c r="AH3520" s="80"/>
      <c r="AI3520" s="147" t="s">
        <v>84</v>
      </c>
      <c r="AJ3520" s="80"/>
      <c r="AK3520" s="80"/>
      <c r="AL3520" s="35"/>
      <c r="AM3520" s="35"/>
      <c r="AN3520" s="35"/>
      <c r="AO3520" s="35"/>
      <c r="AP3520" s="35"/>
    </row>
    <row r="3521" spans="1:42" x14ac:dyDescent="0.2">
      <c r="A3521" s="126">
        <v>45545.969047245366</v>
      </c>
      <c r="B3521" s="137" t="s">
        <v>37</v>
      </c>
      <c r="C3521" s="41" t="s">
        <v>118</v>
      </c>
      <c r="D3521" s="80" t="s">
        <v>36</v>
      </c>
      <c r="E3521" s="80" t="s">
        <v>56</v>
      </c>
      <c r="F3521" s="80" t="s">
        <v>40</v>
      </c>
      <c r="G3521" s="80" t="s">
        <v>41</v>
      </c>
      <c r="H3521" s="80" t="s">
        <v>9614</v>
      </c>
      <c r="I3521" s="17">
        <f ca="1">IFERROR(__xludf.DUMMYFUNCTION("""COMPUTED_VALUE"""),45552)</f>
        <v>45552</v>
      </c>
      <c r="J3521" s="143" t="s">
        <v>12952</v>
      </c>
      <c r="K3521" s="80" t="s">
        <v>12953</v>
      </c>
      <c r="L3521" s="30">
        <v>983925476</v>
      </c>
      <c r="M3521" s="80" t="s">
        <v>59</v>
      </c>
      <c r="N3521" s="80" t="s">
        <v>11476</v>
      </c>
      <c r="O3521" s="80" t="s">
        <v>12954</v>
      </c>
      <c r="P3521" s="115" t="s">
        <v>12955</v>
      </c>
      <c r="Q3521" s="20">
        <v>9317</v>
      </c>
      <c r="R3521" s="80" t="s">
        <v>36</v>
      </c>
      <c r="S3521" s="95">
        <f>200+9117</f>
        <v>9317</v>
      </c>
      <c r="T3521" s="83" t="s">
        <v>12956</v>
      </c>
      <c r="U3521" s="77"/>
      <c r="V3521" s="78"/>
      <c r="W3521" s="85" t="s">
        <v>12957</v>
      </c>
      <c r="X3521" s="80">
        <v>0</v>
      </c>
      <c r="Y3521" s="22">
        <v>0</v>
      </c>
      <c r="Z3521" s="80" t="s">
        <v>50</v>
      </c>
      <c r="AA3521" s="96" t="s">
        <v>3291</v>
      </c>
      <c r="AB3521" s="80"/>
      <c r="AC3521" s="80" t="s">
        <v>53</v>
      </c>
      <c r="AD3521" s="80" t="s">
        <v>54</v>
      </c>
      <c r="AE3521" s="80" t="s">
        <v>4488</v>
      </c>
      <c r="AF3521" s="17">
        <v>45548</v>
      </c>
      <c r="AG3521" s="80"/>
      <c r="AH3521" s="80"/>
      <c r="AI3521" s="147" t="s">
        <v>64</v>
      </c>
      <c r="AJ3521" s="80"/>
      <c r="AK3521" s="80"/>
      <c r="AL3521" s="35"/>
      <c r="AM3521" s="35"/>
      <c r="AN3521" s="35"/>
      <c r="AO3521" s="35"/>
      <c r="AP3521" s="35"/>
    </row>
    <row r="3522" spans="1:42" x14ac:dyDescent="0.2">
      <c r="A3522" s="126">
        <v>45545.970949918978</v>
      </c>
      <c r="B3522" s="137" t="s">
        <v>37</v>
      </c>
      <c r="C3522" s="41" t="s">
        <v>118</v>
      </c>
      <c r="D3522" s="80" t="s">
        <v>36</v>
      </c>
      <c r="E3522" s="80" t="s">
        <v>139</v>
      </c>
      <c r="F3522" s="80" t="s">
        <v>36</v>
      </c>
      <c r="G3522" s="26" t="s">
        <v>41</v>
      </c>
      <c r="H3522" s="80" t="s">
        <v>11845</v>
      </c>
      <c r="I3522" s="17">
        <f ca="1">IFERROR(__xludf.DUMMYFUNCTION("""COMPUTED_VALUE"""),45552)</f>
        <v>45552</v>
      </c>
      <c r="J3522" s="143" t="s">
        <v>12958</v>
      </c>
      <c r="K3522" s="80" t="s">
        <v>12959</v>
      </c>
      <c r="L3522" s="30">
        <v>373805610</v>
      </c>
      <c r="M3522" s="80" t="s">
        <v>5518</v>
      </c>
      <c r="N3522" s="80" t="s">
        <v>5524</v>
      </c>
      <c r="O3522" s="80" t="s">
        <v>12960</v>
      </c>
      <c r="P3522" s="80" t="s">
        <v>5462</v>
      </c>
      <c r="Q3522" s="20">
        <v>15936</v>
      </c>
      <c r="R3522" s="80" t="s">
        <v>36</v>
      </c>
      <c r="S3522" s="95">
        <v>2000</v>
      </c>
      <c r="T3522" s="148">
        <v>45545</v>
      </c>
      <c r="U3522" s="95">
        <v>13936</v>
      </c>
      <c r="V3522" s="148">
        <v>45565</v>
      </c>
      <c r="W3522" s="85" t="s">
        <v>12961</v>
      </c>
      <c r="X3522" s="80">
        <v>0</v>
      </c>
      <c r="Y3522" s="22">
        <v>0</v>
      </c>
      <c r="Z3522" s="80" t="s">
        <v>50</v>
      </c>
      <c r="AA3522" s="35" t="s">
        <v>3291</v>
      </c>
      <c r="AB3522" s="80"/>
      <c r="AC3522" s="80" t="s">
        <v>53</v>
      </c>
      <c r="AD3522" s="80" t="s">
        <v>138</v>
      </c>
      <c r="AE3522" s="80"/>
      <c r="AF3522" s="17">
        <v>45555</v>
      </c>
      <c r="AG3522" s="80"/>
      <c r="AH3522" s="80"/>
      <c r="AI3522" s="147" t="s">
        <v>147</v>
      </c>
      <c r="AJ3522" s="80"/>
      <c r="AK3522" s="80"/>
      <c r="AL3522" s="35"/>
      <c r="AM3522" s="35"/>
      <c r="AN3522" s="35"/>
      <c r="AO3522" s="35"/>
      <c r="AP3522" s="35"/>
    </row>
    <row r="3523" spans="1:42" x14ac:dyDescent="0.2">
      <c r="A3523" s="126">
        <v>45546.008034849539</v>
      </c>
      <c r="B3523" s="137" t="s">
        <v>37</v>
      </c>
      <c r="C3523" s="41" t="s">
        <v>118</v>
      </c>
      <c r="D3523" s="80" t="s">
        <v>36</v>
      </c>
      <c r="E3523" s="80" t="s">
        <v>77</v>
      </c>
      <c r="F3523" s="26" t="s">
        <v>36</v>
      </c>
      <c r="G3523" s="26" t="s">
        <v>41</v>
      </c>
      <c r="H3523" s="80" t="s">
        <v>11610</v>
      </c>
      <c r="I3523" s="17">
        <f ca="1">IFERROR(__xludf.DUMMYFUNCTION("""COMPUTED_VALUE"""),45552)</f>
        <v>45552</v>
      </c>
      <c r="J3523" s="143" t="s">
        <v>12962</v>
      </c>
      <c r="K3523" s="80" t="s">
        <v>12963</v>
      </c>
      <c r="L3523" s="30">
        <v>787231272</v>
      </c>
      <c r="M3523" s="80" t="s">
        <v>348</v>
      </c>
      <c r="N3523" s="80" t="s">
        <v>4299</v>
      </c>
      <c r="O3523" s="80" t="s">
        <v>12964</v>
      </c>
      <c r="P3523" s="80" t="s">
        <v>12687</v>
      </c>
      <c r="Q3523" s="20">
        <v>1968</v>
      </c>
      <c r="R3523" s="80" t="s">
        <v>36</v>
      </c>
      <c r="S3523" s="95">
        <v>1968</v>
      </c>
      <c r="T3523" s="148">
        <v>45545</v>
      </c>
      <c r="U3523" s="77"/>
      <c r="V3523" s="78"/>
      <c r="W3523" s="80" t="s">
        <v>12965</v>
      </c>
      <c r="X3523" s="80">
        <v>0</v>
      </c>
      <c r="Y3523" s="22">
        <v>0</v>
      </c>
      <c r="Z3523" s="80" t="s">
        <v>50</v>
      </c>
      <c r="AA3523" s="96" t="s">
        <v>3291</v>
      </c>
      <c r="AB3523" s="80"/>
      <c r="AC3523" s="80" t="s">
        <v>53</v>
      </c>
      <c r="AD3523" s="80" t="s">
        <v>138</v>
      </c>
      <c r="AE3523" s="80" t="s">
        <v>336</v>
      </c>
      <c r="AF3523" s="17">
        <v>45551</v>
      </c>
      <c r="AG3523" s="80"/>
      <c r="AH3523" s="80"/>
      <c r="AI3523" s="147" t="s">
        <v>84</v>
      </c>
      <c r="AJ3523" s="80"/>
      <c r="AK3523" s="80"/>
      <c r="AL3523" s="35"/>
      <c r="AM3523" s="35"/>
      <c r="AN3523" s="35"/>
      <c r="AO3523" s="35"/>
      <c r="AP3523" s="35"/>
    </row>
    <row r="3524" spans="1:42" x14ac:dyDescent="0.2">
      <c r="A3524" s="126">
        <v>45546.322808946759</v>
      </c>
      <c r="B3524" s="137" t="s">
        <v>37</v>
      </c>
      <c r="C3524" s="41" t="s">
        <v>118</v>
      </c>
      <c r="D3524" s="80" t="s">
        <v>36</v>
      </c>
      <c r="E3524" s="80" t="s">
        <v>139</v>
      </c>
      <c r="F3524" s="26" t="s">
        <v>40</v>
      </c>
      <c r="G3524" s="80" t="s">
        <v>41</v>
      </c>
      <c r="H3524" s="80" t="s">
        <v>11747</v>
      </c>
      <c r="I3524" s="17">
        <f ca="1">IFERROR(__xludf.DUMMYFUNCTION("""COMPUTED_VALUE"""),45559)</f>
        <v>45559</v>
      </c>
      <c r="J3524" s="143" t="s">
        <v>12966</v>
      </c>
      <c r="K3524" s="80" t="s">
        <v>12967</v>
      </c>
      <c r="L3524" s="30">
        <v>912583268</v>
      </c>
      <c r="M3524" s="80" t="s">
        <v>123</v>
      </c>
      <c r="N3524" s="80" t="s">
        <v>327</v>
      </c>
      <c r="O3524" s="80" t="s">
        <v>4503</v>
      </c>
      <c r="P3524" s="80" t="s">
        <v>12968</v>
      </c>
      <c r="Q3524" s="20">
        <v>15936</v>
      </c>
      <c r="R3524" s="80" t="s">
        <v>36</v>
      </c>
      <c r="S3524" s="95">
        <f>200+15736</f>
        <v>15936</v>
      </c>
      <c r="T3524" s="83" t="s">
        <v>12969</v>
      </c>
      <c r="U3524" s="77"/>
      <c r="V3524" s="78"/>
      <c r="W3524" s="85" t="s">
        <v>12970</v>
      </c>
      <c r="X3524" s="80">
        <v>0</v>
      </c>
      <c r="Y3524" s="22">
        <v>0</v>
      </c>
      <c r="Z3524" s="80" t="s">
        <v>50</v>
      </c>
      <c r="AA3524" s="35" t="s">
        <v>3291</v>
      </c>
      <c r="AB3524" s="80"/>
      <c r="AC3524" s="80" t="s">
        <v>53</v>
      </c>
      <c r="AD3524" s="80" t="s">
        <v>138</v>
      </c>
      <c r="AE3524" s="80"/>
      <c r="AF3524" s="17">
        <v>45559</v>
      </c>
      <c r="AG3524" s="80"/>
      <c r="AH3524" s="80"/>
      <c r="AI3524" s="147" t="s">
        <v>147</v>
      </c>
      <c r="AJ3524" s="80"/>
      <c r="AK3524" s="80"/>
      <c r="AL3524" s="35"/>
      <c r="AM3524" s="35"/>
      <c r="AN3524" s="35"/>
      <c r="AO3524" s="35"/>
      <c r="AP3524" s="35"/>
    </row>
    <row r="3525" spans="1:42" x14ac:dyDescent="0.2">
      <c r="A3525" s="126">
        <v>45546.348047152773</v>
      </c>
      <c r="B3525" s="137" t="s">
        <v>37</v>
      </c>
      <c r="C3525" s="41" t="s">
        <v>118</v>
      </c>
      <c r="D3525" s="80" t="s">
        <v>36</v>
      </c>
      <c r="E3525" s="80" t="s">
        <v>915</v>
      </c>
      <c r="F3525" s="80" t="s">
        <v>36</v>
      </c>
      <c r="G3525" s="80" t="s">
        <v>221</v>
      </c>
      <c r="H3525" s="80" t="s">
        <v>9032</v>
      </c>
      <c r="I3525" s="17">
        <f ca="1">IFERROR(__xludf.DUMMYFUNCTION("""COMPUTED_VALUE"""),45548)</f>
        <v>45548</v>
      </c>
      <c r="J3525" s="143" t="s">
        <v>12971</v>
      </c>
      <c r="K3525" s="80" t="s">
        <v>12972</v>
      </c>
      <c r="L3525" s="30">
        <v>898294689</v>
      </c>
      <c r="M3525" s="80" t="s">
        <v>3728</v>
      </c>
      <c r="N3525" s="80" t="s">
        <v>5312</v>
      </c>
      <c r="O3525" s="80" t="s">
        <v>12973</v>
      </c>
      <c r="P3525" s="80" t="s">
        <v>12974</v>
      </c>
      <c r="Q3525" s="20">
        <v>10894</v>
      </c>
      <c r="R3525" s="80" t="s">
        <v>36</v>
      </c>
      <c r="S3525" s="95">
        <f>200+10694</f>
        <v>10894</v>
      </c>
      <c r="T3525" s="83" t="s">
        <v>12975</v>
      </c>
      <c r="U3525" s="77"/>
      <c r="V3525" s="78"/>
      <c r="W3525" s="85" t="s">
        <v>12976</v>
      </c>
      <c r="X3525" s="80">
        <v>0</v>
      </c>
      <c r="Y3525" s="22">
        <v>0</v>
      </c>
      <c r="Z3525" s="80" t="s">
        <v>50</v>
      </c>
      <c r="AA3525" s="96" t="s">
        <v>3291</v>
      </c>
      <c r="AB3525" s="80"/>
      <c r="AC3525" s="80" t="s">
        <v>53</v>
      </c>
      <c r="AD3525" s="80" t="s">
        <v>138</v>
      </c>
      <c r="AE3525" s="80"/>
      <c r="AF3525" s="17">
        <v>45548</v>
      </c>
      <c r="AG3525" s="26" t="s">
        <v>4092</v>
      </c>
      <c r="AH3525" s="80"/>
      <c r="AI3525" s="147">
        <v>3</v>
      </c>
      <c r="AJ3525" s="80"/>
      <c r="AK3525" s="80"/>
      <c r="AL3525" s="35"/>
      <c r="AM3525" s="35"/>
      <c r="AN3525" s="35"/>
      <c r="AO3525" s="35"/>
      <c r="AP3525" s="35"/>
    </row>
    <row r="3526" spans="1:42" x14ac:dyDescent="0.2">
      <c r="A3526" s="126">
        <v>45546.410171643518</v>
      </c>
      <c r="B3526" s="137" t="s">
        <v>37</v>
      </c>
      <c r="C3526" s="41" t="s">
        <v>118</v>
      </c>
      <c r="D3526" s="80" t="s">
        <v>36</v>
      </c>
      <c r="E3526" s="80" t="s">
        <v>119</v>
      </c>
      <c r="F3526" s="80" t="s">
        <v>40</v>
      </c>
      <c r="G3526" s="80" t="s">
        <v>108</v>
      </c>
      <c r="H3526" s="80" t="s">
        <v>9768</v>
      </c>
      <c r="I3526" s="17">
        <f ca="1">IFERROR(__xludf.DUMMYFUNCTION("""COMPUTED_VALUE"""),45578)</f>
        <v>45578</v>
      </c>
      <c r="J3526" s="143" t="s">
        <v>12977</v>
      </c>
      <c r="K3526" s="80" t="s">
        <v>12978</v>
      </c>
      <c r="L3526" s="30">
        <v>363095869</v>
      </c>
      <c r="M3526" s="80" t="s">
        <v>59</v>
      </c>
      <c r="N3526" s="80" t="s">
        <v>4299</v>
      </c>
      <c r="O3526" s="80" t="s">
        <v>12979</v>
      </c>
      <c r="P3526" s="80" t="s">
        <v>12687</v>
      </c>
      <c r="Q3526" s="20">
        <v>13968</v>
      </c>
      <c r="R3526" s="80" t="s">
        <v>36</v>
      </c>
      <c r="S3526" s="95">
        <f>200+13768</f>
        <v>13968</v>
      </c>
      <c r="T3526" s="83" t="s">
        <v>12980</v>
      </c>
      <c r="U3526" s="77"/>
      <c r="V3526" s="78"/>
      <c r="W3526" s="85" t="s">
        <v>12981</v>
      </c>
      <c r="X3526" s="80">
        <v>0</v>
      </c>
      <c r="Y3526" s="22">
        <v>0</v>
      </c>
      <c r="Z3526" s="80" t="s">
        <v>50</v>
      </c>
      <c r="AA3526" s="35" t="s">
        <v>3291</v>
      </c>
      <c r="AB3526" s="80"/>
      <c r="AC3526" s="80" t="s">
        <v>53</v>
      </c>
      <c r="AD3526" s="80" t="s">
        <v>138</v>
      </c>
      <c r="AE3526" s="83">
        <v>480</v>
      </c>
      <c r="AF3526" s="43">
        <v>45576</v>
      </c>
      <c r="AG3526" s="80" t="s">
        <v>12541</v>
      </c>
      <c r="AH3526" s="80"/>
      <c r="AI3526" s="147">
        <v>4</v>
      </c>
      <c r="AJ3526" s="80"/>
      <c r="AK3526" s="80"/>
      <c r="AL3526" s="35"/>
      <c r="AM3526" s="35"/>
      <c r="AN3526" s="35"/>
      <c r="AO3526" s="35"/>
      <c r="AP3526" s="35"/>
    </row>
    <row r="3527" spans="1:42" x14ac:dyDescent="0.2">
      <c r="A3527" s="126">
        <v>45546.451094050921</v>
      </c>
      <c r="B3527" s="137" t="s">
        <v>37</v>
      </c>
      <c r="C3527" s="41" t="s">
        <v>118</v>
      </c>
      <c r="D3527" s="80" t="s">
        <v>36</v>
      </c>
      <c r="E3527" s="80" t="s">
        <v>148</v>
      </c>
      <c r="F3527" s="80" t="s">
        <v>10104</v>
      </c>
      <c r="G3527" s="80" t="s">
        <v>108</v>
      </c>
      <c r="H3527" s="80" t="s">
        <v>12982</v>
      </c>
      <c r="I3527" s="17">
        <f ca="1">IFERROR(__xludf.DUMMYFUNCTION("""COMPUTED_VALUE"""),45670)</f>
        <v>45670</v>
      </c>
      <c r="J3527" s="143" t="s">
        <v>12983</v>
      </c>
      <c r="K3527" s="80" t="s">
        <v>12984</v>
      </c>
      <c r="L3527" s="30">
        <v>332400681</v>
      </c>
      <c r="M3527" s="80" t="s">
        <v>45</v>
      </c>
      <c r="N3527" s="80" t="s">
        <v>8420</v>
      </c>
      <c r="O3527" s="80" t="s">
        <v>12985</v>
      </c>
      <c r="P3527" s="144" t="s">
        <v>12986</v>
      </c>
      <c r="Q3527" s="20">
        <v>7349</v>
      </c>
      <c r="R3527" s="80" t="s">
        <v>36</v>
      </c>
      <c r="S3527" s="95">
        <f>2000+1493</f>
        <v>3493</v>
      </c>
      <c r="T3527" s="83" t="s">
        <v>12987</v>
      </c>
      <c r="U3527" s="77"/>
      <c r="V3527" s="78"/>
      <c r="W3527" s="85" t="s">
        <v>12988</v>
      </c>
      <c r="X3527" s="80">
        <v>0</v>
      </c>
      <c r="Y3527" s="22">
        <v>0</v>
      </c>
      <c r="Z3527" s="80" t="s">
        <v>50</v>
      </c>
      <c r="AA3527" s="96" t="s">
        <v>3291</v>
      </c>
      <c r="AB3527" s="80"/>
      <c r="AC3527" s="80" t="s">
        <v>53</v>
      </c>
      <c r="AD3527" s="80" t="s">
        <v>138</v>
      </c>
      <c r="AE3527" s="83">
        <v>350</v>
      </c>
      <c r="AF3527" s="43">
        <v>45576</v>
      </c>
      <c r="AG3527" s="80" t="s">
        <v>12541</v>
      </c>
      <c r="AH3527" s="80"/>
      <c r="AI3527" s="147">
        <v>2</v>
      </c>
      <c r="AJ3527" s="80"/>
      <c r="AK3527" s="80"/>
      <c r="AL3527" s="35"/>
      <c r="AM3527" s="35"/>
      <c r="AN3527" s="35"/>
      <c r="AO3527" s="35"/>
      <c r="AP3527" s="35"/>
    </row>
    <row r="3528" spans="1:42" x14ac:dyDescent="0.2">
      <c r="A3528" s="126">
        <v>45546.594265046297</v>
      </c>
      <c r="B3528" s="137" t="s">
        <v>37</v>
      </c>
      <c r="C3528" s="41" t="s">
        <v>118</v>
      </c>
      <c r="D3528" s="80" t="s">
        <v>36</v>
      </c>
      <c r="E3528" s="80" t="s">
        <v>119</v>
      </c>
      <c r="F3528" s="80" t="s">
        <v>91</v>
      </c>
      <c r="G3528" s="26" t="s">
        <v>108</v>
      </c>
      <c r="H3528" s="80" t="s">
        <v>6919</v>
      </c>
      <c r="I3528" s="17">
        <f ca="1">IFERROR(__xludf.DUMMYFUNCTION("""COMPUTED_VALUE"""),45552)</f>
        <v>45552</v>
      </c>
      <c r="J3528" s="143" t="s">
        <v>12989</v>
      </c>
      <c r="K3528" s="80" t="s">
        <v>12990</v>
      </c>
      <c r="L3528" s="30">
        <v>363231027</v>
      </c>
      <c r="M3528" s="80" t="s">
        <v>9422</v>
      </c>
      <c r="N3528" s="80" t="s">
        <v>12621</v>
      </c>
      <c r="O3528" s="80" t="s">
        <v>11607</v>
      </c>
      <c r="P3528" s="80" t="s">
        <v>11608</v>
      </c>
      <c r="Q3528" s="20">
        <v>13968</v>
      </c>
      <c r="R3528" s="80" t="s">
        <v>70</v>
      </c>
      <c r="S3528" s="95">
        <v>3768</v>
      </c>
      <c r="T3528" s="148">
        <v>45546</v>
      </c>
      <c r="U3528" s="95">
        <v>10200</v>
      </c>
      <c r="V3528" s="148">
        <v>45555</v>
      </c>
      <c r="W3528" s="85" t="s">
        <v>12991</v>
      </c>
      <c r="X3528" s="80">
        <v>100</v>
      </c>
      <c r="Y3528" s="22">
        <v>-100</v>
      </c>
      <c r="Z3528" s="80" t="s">
        <v>50</v>
      </c>
      <c r="AA3528" s="35" t="s">
        <v>3291</v>
      </c>
      <c r="AB3528" s="80"/>
      <c r="AC3528" s="80" t="s">
        <v>53</v>
      </c>
      <c r="AD3528" s="80" t="s">
        <v>138</v>
      </c>
      <c r="AE3528" s="83">
        <v>420</v>
      </c>
      <c r="AF3528" s="17">
        <v>45552</v>
      </c>
      <c r="AG3528" s="26" t="s">
        <v>4996</v>
      </c>
      <c r="AH3528" s="80"/>
      <c r="AI3528" s="147">
        <v>4</v>
      </c>
      <c r="AJ3528" s="80"/>
      <c r="AK3528" s="80"/>
      <c r="AL3528" s="35"/>
      <c r="AM3528" s="35"/>
      <c r="AN3528" s="35"/>
      <c r="AO3528" s="35"/>
      <c r="AP3528" s="35"/>
    </row>
    <row r="3529" spans="1:42" x14ac:dyDescent="0.2">
      <c r="A3529" s="126">
        <v>45546.59668949074</v>
      </c>
      <c r="B3529" s="137" t="s">
        <v>37</v>
      </c>
      <c r="C3529" s="41" t="s">
        <v>118</v>
      </c>
      <c r="D3529" s="80" t="s">
        <v>36</v>
      </c>
      <c r="E3529" s="80" t="s">
        <v>139</v>
      </c>
      <c r="F3529" s="26" t="s">
        <v>36</v>
      </c>
      <c r="G3529" s="26" t="s">
        <v>41</v>
      </c>
      <c r="H3529" s="80" t="s">
        <v>11735</v>
      </c>
      <c r="I3529" s="17">
        <f ca="1">IFERROR(__xludf.DUMMYFUNCTION("""COMPUTED_VALUE"""),45555)</f>
        <v>45555</v>
      </c>
      <c r="J3529" s="143" t="s">
        <v>12992</v>
      </c>
      <c r="K3529" s="80" t="s">
        <v>12993</v>
      </c>
      <c r="L3529" s="30">
        <v>369055178</v>
      </c>
      <c r="M3529" s="80" t="s">
        <v>9422</v>
      </c>
      <c r="N3529" s="80" t="s">
        <v>186</v>
      </c>
      <c r="O3529" s="80" t="s">
        <v>11607</v>
      </c>
      <c r="P3529" s="80" t="s">
        <v>11607</v>
      </c>
      <c r="Q3529" s="20">
        <v>15936</v>
      </c>
      <c r="R3529" s="80" t="s">
        <v>36</v>
      </c>
      <c r="S3529" s="95">
        <v>2000</v>
      </c>
      <c r="T3529" s="148">
        <v>45546</v>
      </c>
      <c r="U3529" s="95">
        <v>13636</v>
      </c>
      <c r="V3529" s="148">
        <v>45553</v>
      </c>
      <c r="W3529" s="85" t="s">
        <v>12994</v>
      </c>
      <c r="X3529" s="80">
        <v>0</v>
      </c>
      <c r="Y3529" s="22">
        <v>300</v>
      </c>
      <c r="Z3529" s="80" t="s">
        <v>50</v>
      </c>
      <c r="AA3529" s="96" t="s">
        <v>3291</v>
      </c>
      <c r="AB3529" s="80"/>
      <c r="AC3529" s="80" t="s">
        <v>53</v>
      </c>
      <c r="AD3529" s="80" t="s">
        <v>138</v>
      </c>
      <c r="AE3529" s="80"/>
      <c r="AF3529" s="17">
        <v>45555</v>
      </c>
      <c r="AG3529" s="80"/>
      <c r="AH3529" s="80"/>
      <c r="AI3529" s="147" t="s">
        <v>147</v>
      </c>
      <c r="AJ3529" s="80"/>
      <c r="AK3529" s="80"/>
      <c r="AL3529" s="35"/>
      <c r="AM3529" s="35"/>
      <c r="AN3529" s="35"/>
      <c r="AO3529" s="35"/>
      <c r="AP3529" s="35"/>
    </row>
    <row r="3530" spans="1:42" x14ac:dyDescent="0.2">
      <c r="A3530" s="126">
        <v>45546.989123854168</v>
      </c>
      <c r="B3530" s="137" t="s">
        <v>37</v>
      </c>
      <c r="C3530" s="41" t="s">
        <v>118</v>
      </c>
      <c r="D3530" s="80" t="s">
        <v>36</v>
      </c>
      <c r="E3530" s="80" t="s">
        <v>106</v>
      </c>
      <c r="F3530" s="80" t="s">
        <v>36</v>
      </c>
      <c r="G3530" s="80" t="s">
        <v>108</v>
      </c>
      <c r="H3530" s="80" t="s">
        <v>9897</v>
      </c>
      <c r="I3530" s="17">
        <f ca="1">IFERROR(__xludf.DUMMYFUNCTION("""COMPUTED_VALUE"""),45562)</f>
        <v>45562</v>
      </c>
      <c r="J3530" s="143" t="s">
        <v>12995</v>
      </c>
      <c r="K3530" s="80" t="s">
        <v>12996</v>
      </c>
      <c r="L3530" s="30">
        <v>981175705</v>
      </c>
      <c r="M3530" s="80" t="s">
        <v>348</v>
      </c>
      <c r="N3530" s="80" t="s">
        <v>4299</v>
      </c>
      <c r="O3530" s="80" t="s">
        <v>12997</v>
      </c>
      <c r="P3530" s="144" t="s">
        <v>12998</v>
      </c>
      <c r="Q3530" s="20">
        <v>3768</v>
      </c>
      <c r="R3530" s="80" t="s">
        <v>36</v>
      </c>
      <c r="S3530" s="95">
        <v>3768</v>
      </c>
      <c r="T3530" s="148">
        <v>45544</v>
      </c>
      <c r="U3530" s="77"/>
      <c r="V3530" s="78"/>
      <c r="W3530" s="85" t="s">
        <v>12999</v>
      </c>
      <c r="X3530" s="80">
        <v>0</v>
      </c>
      <c r="Y3530" s="22">
        <v>0</v>
      </c>
      <c r="Z3530" s="80" t="s">
        <v>50</v>
      </c>
      <c r="AA3530" s="35" t="s">
        <v>3291</v>
      </c>
      <c r="AB3530" s="80"/>
      <c r="AC3530" s="80" t="s">
        <v>53</v>
      </c>
      <c r="AD3530" s="80" t="s">
        <v>54</v>
      </c>
      <c r="AE3530" s="80" t="s">
        <v>2752</v>
      </c>
      <c r="AF3530" s="17">
        <v>45572</v>
      </c>
      <c r="AG3530" s="80"/>
      <c r="AH3530" s="80"/>
      <c r="AI3530" s="147">
        <v>1</v>
      </c>
      <c r="AJ3530" s="80"/>
      <c r="AK3530" s="80"/>
      <c r="AL3530" s="35"/>
      <c r="AM3530" s="35"/>
      <c r="AN3530" s="35"/>
      <c r="AO3530" s="35"/>
      <c r="AP3530" s="35"/>
    </row>
    <row r="3531" spans="1:42" x14ac:dyDescent="0.2">
      <c r="A3531" s="126">
        <v>45547.005589351851</v>
      </c>
      <c r="B3531" s="137" t="s">
        <v>37</v>
      </c>
      <c r="C3531" s="41" t="s">
        <v>118</v>
      </c>
      <c r="D3531" s="80" t="s">
        <v>36</v>
      </c>
      <c r="E3531" s="80" t="s">
        <v>39</v>
      </c>
      <c r="F3531" s="80" t="s">
        <v>40</v>
      </c>
      <c r="G3531" s="80" t="s">
        <v>41</v>
      </c>
      <c r="H3531" s="80" t="s">
        <v>12870</v>
      </c>
      <c r="I3531" s="17">
        <f ca="1">IFERROR(__xludf.DUMMYFUNCTION("""COMPUTED_VALUE"""),45551)</f>
        <v>45551</v>
      </c>
      <c r="J3531" s="143" t="s">
        <v>13000</v>
      </c>
      <c r="K3531" s="80" t="s">
        <v>13001</v>
      </c>
      <c r="L3531" s="30">
        <v>968922484</v>
      </c>
      <c r="M3531" s="80" t="s">
        <v>348</v>
      </c>
      <c r="N3531" s="80" t="s">
        <v>68</v>
      </c>
      <c r="O3531" s="80" t="s">
        <v>13002</v>
      </c>
      <c r="P3531" s="80" t="s">
        <v>13003</v>
      </c>
      <c r="Q3531" s="20">
        <v>5736</v>
      </c>
      <c r="R3531" s="80" t="s">
        <v>1106</v>
      </c>
      <c r="S3531" s="95">
        <f t="shared" ref="S3531:S3533" si="48">100+5486</f>
        <v>5586</v>
      </c>
      <c r="T3531" s="148">
        <v>45544</v>
      </c>
      <c r="U3531" s="95"/>
      <c r="V3531" s="148">
        <v>45546</v>
      </c>
      <c r="W3531" s="80" t="s">
        <v>13004</v>
      </c>
      <c r="X3531" s="80">
        <v>150</v>
      </c>
      <c r="Y3531" s="22">
        <v>0</v>
      </c>
      <c r="Z3531" s="80" t="s">
        <v>50</v>
      </c>
      <c r="AA3531" s="96" t="s">
        <v>3291</v>
      </c>
      <c r="AB3531" s="80"/>
      <c r="AC3531" s="80" t="s">
        <v>53</v>
      </c>
      <c r="AD3531" s="80" t="s">
        <v>54</v>
      </c>
      <c r="AE3531" s="80" t="s">
        <v>4488</v>
      </c>
      <c r="AF3531" s="17">
        <v>45548</v>
      </c>
      <c r="AG3531" s="80"/>
      <c r="AH3531" s="80"/>
      <c r="AI3531" s="147" t="s">
        <v>55</v>
      </c>
      <c r="AJ3531" s="80"/>
      <c r="AK3531" s="80"/>
      <c r="AL3531" s="35"/>
      <c r="AM3531" s="35"/>
      <c r="AN3531" s="35"/>
      <c r="AO3531" s="35"/>
      <c r="AP3531" s="35"/>
    </row>
    <row r="3532" spans="1:42" x14ac:dyDescent="0.2">
      <c r="A3532" s="126">
        <v>45547.010279097223</v>
      </c>
      <c r="B3532" s="137" t="s">
        <v>37</v>
      </c>
      <c r="C3532" s="41" t="s">
        <v>118</v>
      </c>
      <c r="D3532" s="80" t="s">
        <v>36</v>
      </c>
      <c r="E3532" s="80" t="s">
        <v>39</v>
      </c>
      <c r="F3532" s="80" t="s">
        <v>40</v>
      </c>
      <c r="G3532" s="80" t="s">
        <v>41</v>
      </c>
      <c r="H3532" s="80" t="s">
        <v>12870</v>
      </c>
      <c r="I3532" s="17">
        <f ca="1">IFERROR(__xludf.DUMMYFUNCTION("""COMPUTED_VALUE"""),45551)</f>
        <v>45551</v>
      </c>
      <c r="J3532" s="143" t="s">
        <v>13005</v>
      </c>
      <c r="K3532" s="80" t="s">
        <v>13006</v>
      </c>
      <c r="L3532" s="30">
        <v>919055383</v>
      </c>
      <c r="M3532" s="80" t="s">
        <v>59</v>
      </c>
      <c r="N3532" s="80" t="s">
        <v>68</v>
      </c>
      <c r="O3532" s="80" t="s">
        <v>13007</v>
      </c>
      <c r="P3532" s="80" t="s">
        <v>13008</v>
      </c>
      <c r="Q3532" s="20">
        <v>5736</v>
      </c>
      <c r="R3532" s="80" t="s">
        <v>1106</v>
      </c>
      <c r="S3532" s="95">
        <f t="shared" si="48"/>
        <v>5586</v>
      </c>
      <c r="T3532" s="148">
        <v>45544</v>
      </c>
      <c r="U3532" s="95"/>
      <c r="V3532" s="148">
        <v>45546</v>
      </c>
      <c r="W3532" s="80" t="s">
        <v>13009</v>
      </c>
      <c r="X3532" s="80">
        <v>150</v>
      </c>
      <c r="Y3532" s="22">
        <v>0</v>
      </c>
      <c r="Z3532" s="80" t="s">
        <v>50</v>
      </c>
      <c r="AA3532" s="35" t="s">
        <v>3291</v>
      </c>
      <c r="AB3532" s="80"/>
      <c r="AC3532" s="80" t="s">
        <v>53</v>
      </c>
      <c r="AD3532" s="80" t="s">
        <v>54</v>
      </c>
      <c r="AE3532" s="80" t="s">
        <v>72</v>
      </c>
      <c r="AF3532" s="17">
        <v>45548</v>
      </c>
      <c r="AG3532" s="80"/>
      <c r="AH3532" s="80"/>
      <c r="AI3532" s="147" t="s">
        <v>55</v>
      </c>
      <c r="AJ3532" s="80"/>
      <c r="AK3532" s="80"/>
      <c r="AL3532" s="35"/>
      <c r="AM3532" s="35"/>
      <c r="AN3532" s="35"/>
      <c r="AO3532" s="35"/>
      <c r="AP3532" s="35"/>
    </row>
    <row r="3533" spans="1:42" x14ac:dyDescent="0.2">
      <c r="A3533" s="126">
        <v>45547.013370775458</v>
      </c>
      <c r="B3533" s="137" t="s">
        <v>37</v>
      </c>
      <c r="C3533" s="41" t="s">
        <v>118</v>
      </c>
      <c r="D3533" s="80" t="s">
        <v>36</v>
      </c>
      <c r="E3533" s="80" t="s">
        <v>39</v>
      </c>
      <c r="F3533" s="80" t="s">
        <v>36</v>
      </c>
      <c r="G3533" s="80" t="s">
        <v>41</v>
      </c>
      <c r="H3533" s="80" t="s">
        <v>12870</v>
      </c>
      <c r="I3533" s="17">
        <f ca="1">IFERROR(__xludf.DUMMYFUNCTION("""COMPUTED_VALUE"""),45551)</f>
        <v>45551</v>
      </c>
      <c r="J3533" s="143" t="s">
        <v>13010</v>
      </c>
      <c r="K3533" s="80" t="s">
        <v>13011</v>
      </c>
      <c r="L3533" s="30">
        <v>977034507</v>
      </c>
      <c r="M3533" s="80" t="s">
        <v>59</v>
      </c>
      <c r="N3533" s="80" t="s">
        <v>68</v>
      </c>
      <c r="O3533" s="80" t="s">
        <v>13012</v>
      </c>
      <c r="P3533" s="80" t="s">
        <v>13013</v>
      </c>
      <c r="Q3533" s="20">
        <v>5736</v>
      </c>
      <c r="R3533" s="80" t="s">
        <v>1106</v>
      </c>
      <c r="S3533" s="95">
        <f t="shared" si="48"/>
        <v>5586</v>
      </c>
      <c r="T3533" s="148">
        <v>45544</v>
      </c>
      <c r="U3533" s="95"/>
      <c r="V3533" s="148">
        <v>45546</v>
      </c>
      <c r="W3533" s="80" t="s">
        <v>13014</v>
      </c>
      <c r="X3533" s="80">
        <v>150</v>
      </c>
      <c r="Y3533" s="22">
        <v>0</v>
      </c>
      <c r="Z3533" s="80" t="s">
        <v>50</v>
      </c>
      <c r="AA3533" s="96" t="s">
        <v>3291</v>
      </c>
      <c r="AB3533" s="80"/>
      <c r="AC3533" s="80" t="s">
        <v>53</v>
      </c>
      <c r="AD3533" s="80" t="s">
        <v>54</v>
      </c>
      <c r="AE3533" s="80" t="s">
        <v>4488</v>
      </c>
      <c r="AF3533" s="17">
        <v>45548</v>
      </c>
      <c r="AG3533" s="80"/>
      <c r="AH3533" s="80"/>
      <c r="AI3533" s="147" t="s">
        <v>55</v>
      </c>
      <c r="AJ3533" s="80"/>
      <c r="AK3533" s="80"/>
      <c r="AL3533" s="35"/>
      <c r="AM3533" s="35"/>
      <c r="AN3533" s="35"/>
      <c r="AO3533" s="35"/>
      <c r="AP3533" s="35"/>
    </row>
    <row r="3534" spans="1:42" x14ac:dyDescent="0.2">
      <c r="A3534" s="126">
        <v>45547.016994074074</v>
      </c>
      <c r="B3534" s="137" t="s">
        <v>37</v>
      </c>
      <c r="C3534" s="41" t="s">
        <v>118</v>
      </c>
      <c r="D3534" s="80" t="s">
        <v>36</v>
      </c>
      <c r="E3534" s="80" t="s">
        <v>39</v>
      </c>
      <c r="F3534" s="26" t="s">
        <v>40</v>
      </c>
      <c r="G3534" s="80" t="s">
        <v>41</v>
      </c>
      <c r="H3534" s="80" t="s">
        <v>11747</v>
      </c>
      <c r="I3534" s="17">
        <f ca="1">IFERROR(__xludf.DUMMYFUNCTION("""COMPUTED_VALUE"""),45559)</f>
        <v>45559</v>
      </c>
      <c r="J3534" s="143" t="s">
        <v>13015</v>
      </c>
      <c r="K3534" s="80" t="s">
        <v>13016</v>
      </c>
      <c r="L3534" s="30">
        <v>344454478</v>
      </c>
      <c r="M3534" s="80" t="s">
        <v>59</v>
      </c>
      <c r="N3534" s="80" t="s">
        <v>9294</v>
      </c>
      <c r="O3534" s="80" t="s">
        <v>13017</v>
      </c>
      <c r="P3534" s="80" t="s">
        <v>12687</v>
      </c>
      <c r="Q3534" s="20">
        <v>5736</v>
      </c>
      <c r="R3534" s="80" t="s">
        <v>36</v>
      </c>
      <c r="S3534" s="95">
        <f>200+2000</f>
        <v>2200</v>
      </c>
      <c r="T3534" s="83" t="s">
        <v>13018</v>
      </c>
      <c r="U3534" s="178">
        <v>3536</v>
      </c>
      <c r="V3534" s="169">
        <v>45564</v>
      </c>
      <c r="W3534" s="85" t="s">
        <v>13019</v>
      </c>
      <c r="X3534" s="80">
        <v>0</v>
      </c>
      <c r="Y3534" s="22">
        <v>0</v>
      </c>
      <c r="Z3534" s="80" t="s">
        <v>50</v>
      </c>
      <c r="AA3534" s="35" t="s">
        <v>3291</v>
      </c>
      <c r="AB3534" s="80"/>
      <c r="AC3534" s="80" t="s">
        <v>53</v>
      </c>
      <c r="AD3534" s="80" t="s">
        <v>138</v>
      </c>
      <c r="AE3534" s="80" t="s">
        <v>72</v>
      </c>
      <c r="AF3534" s="17">
        <v>45559</v>
      </c>
      <c r="AG3534" s="80" t="s">
        <v>7078</v>
      </c>
      <c r="AH3534" s="80"/>
      <c r="AI3534" s="147" t="s">
        <v>55</v>
      </c>
      <c r="AJ3534" s="80"/>
      <c r="AK3534" s="80"/>
      <c r="AL3534" s="35"/>
      <c r="AM3534" s="35"/>
      <c r="AN3534" s="35"/>
      <c r="AO3534" s="35"/>
      <c r="AP3534" s="35"/>
    </row>
    <row r="3535" spans="1:42" x14ac:dyDescent="0.2">
      <c r="A3535" s="126">
        <v>45547.020446481481</v>
      </c>
      <c r="B3535" s="137" t="s">
        <v>37</v>
      </c>
      <c r="C3535" s="41" t="s">
        <v>118</v>
      </c>
      <c r="D3535" s="80" t="s">
        <v>36</v>
      </c>
      <c r="E3535" s="80" t="s">
        <v>77</v>
      </c>
      <c r="F3535" s="80" t="s">
        <v>36</v>
      </c>
      <c r="G3535" s="26" t="s">
        <v>41</v>
      </c>
      <c r="H3535" s="80" t="s">
        <v>11735</v>
      </c>
      <c r="I3535" s="17">
        <f ca="1">IFERROR(__xludf.DUMMYFUNCTION("""COMPUTED_VALUE"""),45555)</f>
        <v>45555</v>
      </c>
      <c r="J3535" s="143" t="s">
        <v>13020</v>
      </c>
      <c r="K3535" s="80" t="s">
        <v>13021</v>
      </c>
      <c r="L3535" s="30">
        <v>359795770</v>
      </c>
      <c r="M3535" s="80" t="s">
        <v>348</v>
      </c>
      <c r="N3535" s="80" t="s">
        <v>68</v>
      </c>
      <c r="O3535" s="80" t="s">
        <v>13022</v>
      </c>
      <c r="P3535" s="144" t="s">
        <v>13023</v>
      </c>
      <c r="Q3535" s="20">
        <v>1968</v>
      </c>
      <c r="R3535" s="80" t="s">
        <v>36</v>
      </c>
      <c r="S3535" s="95">
        <v>1968</v>
      </c>
      <c r="T3535" s="148">
        <v>45546</v>
      </c>
      <c r="U3535" s="77"/>
      <c r="V3535" s="78"/>
      <c r="W3535" s="85" t="s">
        <v>13024</v>
      </c>
      <c r="X3535" s="80">
        <v>0</v>
      </c>
      <c r="Y3535" s="22">
        <v>0</v>
      </c>
      <c r="Z3535" s="80" t="s">
        <v>50</v>
      </c>
      <c r="AA3535" s="96" t="s">
        <v>3291</v>
      </c>
      <c r="AB3535" s="80"/>
      <c r="AC3535" s="80" t="s">
        <v>53</v>
      </c>
      <c r="AD3535" s="80" t="s">
        <v>54</v>
      </c>
      <c r="AE3535" s="80" t="s">
        <v>4488</v>
      </c>
      <c r="AF3535" s="17">
        <v>45555</v>
      </c>
      <c r="AG3535" s="80"/>
      <c r="AH3535" s="80"/>
      <c r="AI3535" s="147" t="s">
        <v>84</v>
      </c>
      <c r="AJ3535" s="80"/>
      <c r="AK3535" s="80"/>
      <c r="AL3535" s="35"/>
      <c r="AM3535" s="35"/>
      <c r="AN3535" s="35"/>
      <c r="AO3535" s="35"/>
      <c r="AP3535" s="35"/>
    </row>
    <row r="3536" spans="1:42" x14ac:dyDescent="0.2">
      <c r="A3536" s="126">
        <v>45547.405006423607</v>
      </c>
      <c r="B3536" s="137" t="s">
        <v>37</v>
      </c>
      <c r="C3536" s="41" t="s">
        <v>118</v>
      </c>
      <c r="D3536" s="80" t="s">
        <v>36</v>
      </c>
      <c r="E3536" s="80" t="s">
        <v>139</v>
      </c>
      <c r="F3536" s="80" t="s">
        <v>36</v>
      </c>
      <c r="G3536" s="26" t="s">
        <v>41</v>
      </c>
      <c r="H3536" s="80" t="s">
        <v>12474</v>
      </c>
      <c r="I3536" s="17">
        <f ca="1">IFERROR(__xludf.DUMMYFUNCTION("""COMPUTED_VALUE"""),45551)</f>
        <v>45551</v>
      </c>
      <c r="J3536" s="143" t="s">
        <v>13025</v>
      </c>
      <c r="K3536" s="80" t="s">
        <v>13026</v>
      </c>
      <c r="L3536" s="30">
        <v>904306778</v>
      </c>
      <c r="M3536" s="80" t="s">
        <v>9422</v>
      </c>
      <c r="N3536" s="80" t="s">
        <v>1232</v>
      </c>
      <c r="O3536" s="80" t="s">
        <v>13027</v>
      </c>
      <c r="P3536" s="80" t="s">
        <v>13028</v>
      </c>
      <c r="Q3536" s="20">
        <v>15936</v>
      </c>
      <c r="R3536" s="80" t="s">
        <v>36</v>
      </c>
      <c r="S3536" s="95">
        <v>2000</v>
      </c>
      <c r="T3536" s="148">
        <v>45635</v>
      </c>
      <c r="U3536" s="95">
        <v>13936</v>
      </c>
      <c r="V3536" s="148">
        <v>45561</v>
      </c>
      <c r="W3536" s="85" t="s">
        <v>13029</v>
      </c>
      <c r="X3536" s="80">
        <v>0</v>
      </c>
      <c r="Y3536" s="22">
        <v>0</v>
      </c>
      <c r="Z3536" s="80" t="s">
        <v>50</v>
      </c>
      <c r="AA3536" s="35" t="s">
        <v>3291</v>
      </c>
      <c r="AB3536" s="80"/>
      <c r="AC3536" s="80" t="s">
        <v>53</v>
      </c>
      <c r="AD3536" s="80" t="s">
        <v>138</v>
      </c>
      <c r="AE3536" s="80"/>
      <c r="AF3536" s="17">
        <v>45551</v>
      </c>
      <c r="AG3536" s="80"/>
      <c r="AH3536" s="80"/>
      <c r="AI3536" s="147" t="s">
        <v>147</v>
      </c>
      <c r="AJ3536" s="80"/>
      <c r="AK3536" s="80"/>
      <c r="AL3536" s="35"/>
      <c r="AM3536" s="35"/>
      <c r="AN3536" s="35"/>
      <c r="AO3536" s="35"/>
      <c r="AP3536" s="35"/>
    </row>
    <row r="3537" spans="1:42" x14ac:dyDescent="0.2">
      <c r="A3537" s="126">
        <v>45547.614909386575</v>
      </c>
      <c r="B3537" s="137" t="s">
        <v>37</v>
      </c>
      <c r="C3537" s="41" t="s">
        <v>118</v>
      </c>
      <c r="D3537" s="80" t="s">
        <v>36</v>
      </c>
      <c r="E3537" s="80" t="s">
        <v>77</v>
      </c>
      <c r="F3537" s="80" t="s">
        <v>40</v>
      </c>
      <c r="G3537" s="80" t="s">
        <v>41</v>
      </c>
      <c r="H3537" s="80" t="s">
        <v>9614</v>
      </c>
      <c r="I3537" s="17">
        <f ca="1">IFERROR(__xludf.DUMMYFUNCTION("""COMPUTED_VALUE"""),45552)</f>
        <v>45552</v>
      </c>
      <c r="J3537" s="143" t="s">
        <v>13030</v>
      </c>
      <c r="K3537" s="80" t="s">
        <v>13031</v>
      </c>
      <c r="L3537" s="30">
        <v>981532981</v>
      </c>
      <c r="M3537" s="80" t="s">
        <v>5558</v>
      </c>
      <c r="N3537" s="80" t="s">
        <v>5559</v>
      </c>
      <c r="O3537" s="80" t="s">
        <v>4503</v>
      </c>
      <c r="P3537" s="80" t="s">
        <v>13032</v>
      </c>
      <c r="Q3537" s="20">
        <v>1968</v>
      </c>
      <c r="R3537" s="80" t="s">
        <v>36</v>
      </c>
      <c r="S3537" s="95">
        <v>1968</v>
      </c>
      <c r="T3537" s="148">
        <v>45547</v>
      </c>
      <c r="U3537" s="77"/>
      <c r="V3537" s="78"/>
      <c r="W3537" s="85" t="s">
        <v>13033</v>
      </c>
      <c r="X3537" s="80">
        <v>0</v>
      </c>
      <c r="Y3537" s="22">
        <v>0</v>
      </c>
      <c r="Z3537" s="80" t="s">
        <v>50</v>
      </c>
      <c r="AA3537" s="96" t="s">
        <v>3291</v>
      </c>
      <c r="AB3537" s="80"/>
      <c r="AC3537" s="80" t="s">
        <v>53</v>
      </c>
      <c r="AD3537" s="80" t="s">
        <v>54</v>
      </c>
      <c r="AE3537" s="80"/>
      <c r="AF3537" s="17">
        <v>45547</v>
      </c>
      <c r="AG3537" s="80"/>
      <c r="AH3537" s="80"/>
      <c r="AI3537" s="147" t="s">
        <v>84</v>
      </c>
      <c r="AJ3537" s="80"/>
      <c r="AK3537" s="80"/>
      <c r="AL3537" s="35"/>
      <c r="AM3537" s="35"/>
      <c r="AN3537" s="35"/>
      <c r="AO3537" s="35"/>
      <c r="AP3537" s="35"/>
    </row>
    <row r="3538" spans="1:42" x14ac:dyDescent="0.2">
      <c r="A3538" s="126">
        <v>45547.853229884262</v>
      </c>
      <c r="B3538" s="137" t="s">
        <v>37</v>
      </c>
      <c r="C3538" s="41" t="s">
        <v>118</v>
      </c>
      <c r="D3538" s="80" t="s">
        <v>36</v>
      </c>
      <c r="E3538" s="80" t="s">
        <v>77</v>
      </c>
      <c r="F3538" s="26" t="s">
        <v>36</v>
      </c>
      <c r="G3538" s="26" t="s">
        <v>41</v>
      </c>
      <c r="H3538" s="80" t="s">
        <v>12766</v>
      </c>
      <c r="I3538" s="17">
        <f ca="1">IFERROR(__xludf.DUMMYFUNCTION("""COMPUTED_VALUE"""),45555)</f>
        <v>45555</v>
      </c>
      <c r="J3538" s="143" t="s">
        <v>13034</v>
      </c>
      <c r="K3538" s="80" t="s">
        <v>13035</v>
      </c>
      <c r="L3538" s="30">
        <v>961260465</v>
      </c>
      <c r="M3538" s="80" t="s">
        <v>348</v>
      </c>
      <c r="N3538" s="80" t="s">
        <v>68</v>
      </c>
      <c r="O3538" s="80" t="s">
        <v>13036</v>
      </c>
      <c r="P3538" s="80" t="s">
        <v>13037</v>
      </c>
      <c r="Q3538" s="20">
        <v>1968</v>
      </c>
      <c r="R3538" s="80" t="s">
        <v>36</v>
      </c>
      <c r="S3538" s="95">
        <v>1968</v>
      </c>
      <c r="T3538" s="148">
        <v>45547</v>
      </c>
      <c r="U3538" s="77"/>
      <c r="V3538" s="78"/>
      <c r="W3538" s="85" t="s">
        <v>13038</v>
      </c>
      <c r="X3538" s="80">
        <v>0</v>
      </c>
      <c r="Y3538" s="22">
        <v>0</v>
      </c>
      <c r="Z3538" s="80" t="s">
        <v>50</v>
      </c>
      <c r="AA3538" s="35" t="s">
        <v>3291</v>
      </c>
      <c r="AB3538" s="80"/>
      <c r="AC3538" s="80" t="s">
        <v>53</v>
      </c>
      <c r="AD3538" s="80" t="s">
        <v>138</v>
      </c>
      <c r="AE3538" s="80" t="s">
        <v>3170</v>
      </c>
      <c r="AF3538" s="17">
        <v>45555</v>
      </c>
      <c r="AG3538" s="80"/>
      <c r="AH3538" s="80"/>
      <c r="AI3538" s="147" t="s">
        <v>84</v>
      </c>
      <c r="AJ3538" s="80"/>
      <c r="AK3538" s="80"/>
      <c r="AL3538" s="35"/>
      <c r="AM3538" s="35"/>
      <c r="AN3538" s="35"/>
      <c r="AO3538" s="35"/>
      <c r="AP3538" s="35"/>
    </row>
    <row r="3539" spans="1:42" x14ac:dyDescent="0.2">
      <c r="A3539" s="126">
        <v>45547.901523761575</v>
      </c>
      <c r="B3539" s="137" t="s">
        <v>37</v>
      </c>
      <c r="C3539" s="41" t="s">
        <v>118</v>
      </c>
      <c r="D3539" s="80" t="s">
        <v>36</v>
      </c>
      <c r="E3539" s="80" t="s">
        <v>119</v>
      </c>
      <c r="F3539" s="80" t="s">
        <v>36</v>
      </c>
      <c r="G3539" s="80" t="s">
        <v>108</v>
      </c>
      <c r="H3539" s="80" t="s">
        <v>10193</v>
      </c>
      <c r="I3539" s="17">
        <f ca="1">IFERROR(__xludf.DUMMYFUNCTION("""COMPUTED_VALUE"""),45555)</f>
        <v>45555</v>
      </c>
      <c r="J3539" s="143" t="s">
        <v>13039</v>
      </c>
      <c r="K3539" s="80" t="s">
        <v>13040</v>
      </c>
      <c r="L3539" s="30">
        <v>376687053</v>
      </c>
      <c r="M3539" s="80" t="s">
        <v>80</v>
      </c>
      <c r="N3539" s="80" t="s">
        <v>466</v>
      </c>
      <c r="O3539" s="80" t="s">
        <v>13041</v>
      </c>
      <c r="P3539" s="80" t="s">
        <v>13042</v>
      </c>
      <c r="Q3539" s="20">
        <v>13968</v>
      </c>
      <c r="R3539" s="80" t="s">
        <v>36</v>
      </c>
      <c r="S3539" s="95">
        <f>200+13768</f>
        <v>13968</v>
      </c>
      <c r="T3539" s="83" t="s">
        <v>13043</v>
      </c>
      <c r="U3539" s="77"/>
      <c r="V3539" s="78"/>
      <c r="W3539" s="85" t="s">
        <v>13044</v>
      </c>
      <c r="X3539" s="80">
        <v>0</v>
      </c>
      <c r="Y3539" s="22">
        <v>0</v>
      </c>
      <c r="Z3539" s="80" t="s">
        <v>50</v>
      </c>
      <c r="AA3539" s="96" t="s">
        <v>3291</v>
      </c>
      <c r="AB3539" s="80"/>
      <c r="AC3539" s="80" t="s">
        <v>53</v>
      </c>
      <c r="AD3539" s="80" t="s">
        <v>54</v>
      </c>
      <c r="AE3539" s="83">
        <v>435</v>
      </c>
      <c r="AF3539" s="17">
        <v>45554</v>
      </c>
      <c r="AG3539" s="80"/>
      <c r="AH3539" s="80"/>
      <c r="AI3539" s="147">
        <v>4</v>
      </c>
      <c r="AJ3539" s="80"/>
      <c r="AK3539" s="80"/>
      <c r="AL3539" s="35"/>
      <c r="AM3539" s="35"/>
      <c r="AN3539" s="35"/>
      <c r="AO3539" s="35"/>
      <c r="AP3539" s="35"/>
    </row>
    <row r="3540" spans="1:42" x14ac:dyDescent="0.2">
      <c r="A3540" s="126">
        <v>45547.927953553241</v>
      </c>
      <c r="B3540" s="137" t="s">
        <v>37</v>
      </c>
      <c r="C3540" s="41" t="s">
        <v>118</v>
      </c>
      <c r="D3540" s="80" t="s">
        <v>77</v>
      </c>
      <c r="E3540" s="80" t="s">
        <v>77</v>
      </c>
      <c r="F3540" s="80" t="s">
        <v>40</v>
      </c>
      <c r="G3540" s="80" t="s">
        <v>41</v>
      </c>
      <c r="H3540" s="80" t="s">
        <v>13045</v>
      </c>
      <c r="I3540" s="17" t="str">
        <f ca="1">IFERROR(__xludf.DUMMYFUNCTION("""COMPUTED_VALUE""")," ")</f>
        <v xml:space="preserve"> </v>
      </c>
      <c r="J3540" s="143" t="s">
        <v>13046</v>
      </c>
      <c r="K3540" s="80" t="s">
        <v>13047</v>
      </c>
      <c r="L3540" s="30">
        <v>336477605</v>
      </c>
      <c r="M3540" s="80" t="s">
        <v>910</v>
      </c>
      <c r="N3540" s="80" t="s">
        <v>3525</v>
      </c>
      <c r="O3540" s="80" t="s">
        <v>13048</v>
      </c>
      <c r="P3540" s="80" t="s">
        <v>13049</v>
      </c>
      <c r="Q3540" s="20">
        <v>1968</v>
      </c>
      <c r="R3540" s="80" t="s">
        <v>36</v>
      </c>
      <c r="S3540" s="95">
        <f>200+1768</f>
        <v>1968</v>
      </c>
      <c r="T3540" s="83" t="s">
        <v>13050</v>
      </c>
      <c r="U3540" s="77"/>
      <c r="V3540" s="78"/>
      <c r="W3540" s="85" t="s">
        <v>13051</v>
      </c>
      <c r="X3540" s="80">
        <v>0</v>
      </c>
      <c r="Y3540" s="22">
        <v>0</v>
      </c>
      <c r="Z3540" s="80" t="s">
        <v>50</v>
      </c>
      <c r="AA3540" s="35" t="s">
        <v>3291</v>
      </c>
      <c r="AB3540" s="80"/>
      <c r="AC3540" s="80" t="s">
        <v>53</v>
      </c>
      <c r="AD3540" s="80" t="s">
        <v>54</v>
      </c>
      <c r="AE3540" s="80"/>
      <c r="AF3540" s="17">
        <v>45551</v>
      </c>
      <c r="AG3540" s="80"/>
      <c r="AH3540" s="80"/>
      <c r="AI3540" s="147" t="s">
        <v>84</v>
      </c>
      <c r="AJ3540" s="80"/>
      <c r="AK3540" s="80"/>
      <c r="AL3540" s="35"/>
      <c r="AM3540" s="35"/>
      <c r="AN3540" s="35"/>
      <c r="AO3540" s="35"/>
      <c r="AP3540" s="35"/>
    </row>
    <row r="3541" spans="1:42" x14ac:dyDescent="0.2">
      <c r="A3541" s="126">
        <v>45547.959937245367</v>
      </c>
      <c r="B3541" s="137" t="s">
        <v>37</v>
      </c>
      <c r="C3541" s="41" t="s">
        <v>118</v>
      </c>
      <c r="D3541" s="80" t="s">
        <v>36</v>
      </c>
      <c r="E3541" s="80" t="s">
        <v>119</v>
      </c>
      <c r="F3541" s="80" t="s">
        <v>36</v>
      </c>
      <c r="G3541" s="80" t="s">
        <v>108</v>
      </c>
      <c r="H3541" s="80" t="s">
        <v>10193</v>
      </c>
      <c r="I3541" s="17">
        <f ca="1">IFERROR(__xludf.DUMMYFUNCTION("""COMPUTED_VALUE"""),45555)</f>
        <v>45555</v>
      </c>
      <c r="J3541" s="143" t="s">
        <v>13052</v>
      </c>
      <c r="K3541" s="80" t="s">
        <v>13053</v>
      </c>
      <c r="L3541" s="30">
        <v>397119568</v>
      </c>
      <c r="M3541" s="80" t="s">
        <v>9422</v>
      </c>
      <c r="N3541" s="80" t="s">
        <v>186</v>
      </c>
      <c r="O3541" s="80" t="s">
        <v>8827</v>
      </c>
      <c r="P3541" s="80" t="s">
        <v>13054</v>
      </c>
      <c r="Q3541" s="20">
        <v>13968</v>
      </c>
      <c r="R3541" s="80" t="s">
        <v>11421</v>
      </c>
      <c r="S3541" s="95">
        <v>3768</v>
      </c>
      <c r="T3541" s="148">
        <v>45547</v>
      </c>
      <c r="U3541" s="178">
        <v>9900</v>
      </c>
      <c r="V3541" s="169">
        <v>45563</v>
      </c>
      <c r="W3541" s="79" t="s">
        <v>13055</v>
      </c>
      <c r="X3541" s="80">
        <v>300</v>
      </c>
      <c r="Y3541" s="22">
        <v>0</v>
      </c>
      <c r="Z3541" s="80" t="s">
        <v>50</v>
      </c>
      <c r="AA3541" s="96" t="s">
        <v>3291</v>
      </c>
      <c r="AB3541" s="80"/>
      <c r="AC3541" s="80" t="s">
        <v>53</v>
      </c>
      <c r="AD3541" s="80" t="s">
        <v>54</v>
      </c>
      <c r="AE3541" s="83">
        <v>470</v>
      </c>
      <c r="AF3541" s="17">
        <v>45548</v>
      </c>
      <c r="AG3541" s="80"/>
      <c r="AH3541" s="80"/>
      <c r="AI3541" s="147">
        <v>4</v>
      </c>
      <c r="AJ3541" s="80"/>
      <c r="AK3541" s="80"/>
      <c r="AL3541" s="35"/>
      <c r="AM3541" s="35"/>
      <c r="AN3541" s="35"/>
      <c r="AO3541" s="35"/>
      <c r="AP3541" s="35"/>
    </row>
    <row r="3542" spans="1:42" x14ac:dyDescent="0.2">
      <c r="A3542" s="126">
        <v>45547.986140659719</v>
      </c>
      <c r="B3542" s="137" t="s">
        <v>37</v>
      </c>
      <c r="C3542" s="41" t="s">
        <v>118</v>
      </c>
      <c r="D3542" s="80" t="s">
        <v>36</v>
      </c>
      <c r="E3542" s="80" t="s">
        <v>39</v>
      </c>
      <c r="F3542" s="80" t="s">
        <v>36</v>
      </c>
      <c r="G3542" s="80" t="s">
        <v>41</v>
      </c>
      <c r="H3542" s="80" t="s">
        <v>12799</v>
      </c>
      <c r="I3542" s="17">
        <f ca="1">IFERROR(__xludf.DUMMYFUNCTION("""COMPUTED_VALUE"""),45559)</f>
        <v>45559</v>
      </c>
      <c r="J3542" s="143" t="s">
        <v>13056</v>
      </c>
      <c r="K3542" s="80" t="s">
        <v>13057</v>
      </c>
      <c r="L3542" s="30">
        <v>814769610</v>
      </c>
      <c r="M3542" s="80" t="s">
        <v>59</v>
      </c>
      <c r="N3542" s="80" t="s">
        <v>9301</v>
      </c>
      <c r="O3542" s="80" t="s">
        <v>13058</v>
      </c>
      <c r="P3542" s="80" t="s">
        <v>12687</v>
      </c>
      <c r="Q3542" s="20">
        <v>5736</v>
      </c>
      <c r="R3542" s="80" t="s">
        <v>36</v>
      </c>
      <c r="S3542" s="95">
        <v>5736</v>
      </c>
      <c r="T3542" s="148">
        <v>45547</v>
      </c>
      <c r="U3542" s="77"/>
      <c r="V3542" s="78"/>
      <c r="W3542" s="85" t="s">
        <v>13059</v>
      </c>
      <c r="X3542" s="80">
        <v>0</v>
      </c>
      <c r="Y3542" s="22">
        <v>0</v>
      </c>
      <c r="Z3542" s="80" t="s">
        <v>50</v>
      </c>
      <c r="AA3542" s="35" t="s">
        <v>3291</v>
      </c>
      <c r="AB3542" s="80"/>
      <c r="AC3542" s="80" t="s">
        <v>53</v>
      </c>
      <c r="AD3542" s="80" t="s">
        <v>138</v>
      </c>
      <c r="AE3542" s="80" t="s">
        <v>72</v>
      </c>
      <c r="AF3542" s="17">
        <v>45559</v>
      </c>
      <c r="AG3542" s="80"/>
      <c r="AH3542" s="80"/>
      <c r="AI3542" s="147" t="s">
        <v>55</v>
      </c>
      <c r="AJ3542" s="80"/>
      <c r="AK3542" s="80"/>
      <c r="AL3542" s="35"/>
      <c r="AM3542" s="35"/>
      <c r="AN3542" s="35"/>
      <c r="AO3542" s="35"/>
      <c r="AP3542" s="35"/>
    </row>
    <row r="3543" spans="1:42" x14ac:dyDescent="0.2">
      <c r="A3543" s="126">
        <v>45548.377470381944</v>
      </c>
      <c r="B3543" s="137" t="s">
        <v>37</v>
      </c>
      <c r="C3543" s="41" t="s">
        <v>118</v>
      </c>
      <c r="D3543" s="80" t="s">
        <v>36</v>
      </c>
      <c r="E3543" s="80" t="s">
        <v>77</v>
      </c>
      <c r="F3543" s="80" t="s">
        <v>36</v>
      </c>
      <c r="G3543" s="80" t="s">
        <v>41</v>
      </c>
      <c r="H3543" s="80" t="s">
        <v>11707</v>
      </c>
      <c r="I3543" s="17">
        <f ca="1">IFERROR(__xludf.DUMMYFUNCTION("""COMPUTED_VALUE"""),45551)</f>
        <v>45551</v>
      </c>
      <c r="J3543" s="172" t="s">
        <v>13060</v>
      </c>
      <c r="K3543" s="80" t="s">
        <v>13061</v>
      </c>
      <c r="L3543" s="30">
        <v>336176536</v>
      </c>
      <c r="M3543" s="80" t="s">
        <v>123</v>
      </c>
      <c r="N3543" s="80" t="s">
        <v>327</v>
      </c>
      <c r="O3543" s="80" t="s">
        <v>4503</v>
      </c>
      <c r="P3543" s="80" t="s">
        <v>3178</v>
      </c>
      <c r="Q3543" s="20">
        <v>1968</v>
      </c>
      <c r="R3543" s="80" t="s">
        <v>36</v>
      </c>
      <c r="S3543" s="95">
        <f>200+1768</f>
        <v>1968</v>
      </c>
      <c r="T3543" s="83" t="s">
        <v>13062</v>
      </c>
      <c r="U3543" s="77"/>
      <c r="V3543" s="78"/>
      <c r="W3543" s="85" t="s">
        <v>13063</v>
      </c>
      <c r="X3543" s="80">
        <v>0</v>
      </c>
      <c r="Y3543" s="22">
        <v>0</v>
      </c>
      <c r="Z3543" s="80" t="s">
        <v>50</v>
      </c>
      <c r="AA3543" s="96" t="s">
        <v>3291</v>
      </c>
      <c r="AB3543" s="80"/>
      <c r="AC3543" s="80" t="s">
        <v>53</v>
      </c>
      <c r="AD3543" s="80" t="s">
        <v>138</v>
      </c>
      <c r="AE3543" s="80"/>
      <c r="AF3543" s="17">
        <v>45551</v>
      </c>
      <c r="AG3543" s="80"/>
      <c r="AH3543" s="80"/>
      <c r="AI3543" s="147" t="s">
        <v>84</v>
      </c>
      <c r="AJ3543" s="80"/>
      <c r="AK3543" s="80"/>
      <c r="AL3543" s="35"/>
      <c r="AM3543" s="35"/>
      <c r="AN3543" s="35"/>
      <c r="AO3543" s="35"/>
      <c r="AP3543" s="35"/>
    </row>
    <row r="3544" spans="1:42" x14ac:dyDescent="0.2">
      <c r="A3544" s="126">
        <v>45548.480854490743</v>
      </c>
      <c r="B3544" s="137" t="s">
        <v>37</v>
      </c>
      <c r="C3544" s="41" t="s">
        <v>118</v>
      </c>
      <c r="D3544" s="80" t="s">
        <v>36</v>
      </c>
      <c r="E3544" s="80" t="s">
        <v>56</v>
      </c>
      <c r="F3544" s="26" t="s">
        <v>40</v>
      </c>
      <c r="G3544" s="80" t="s">
        <v>41</v>
      </c>
      <c r="H3544" s="80" t="s">
        <v>11747</v>
      </c>
      <c r="I3544" s="17">
        <f ca="1">IFERROR(__xludf.DUMMYFUNCTION("""COMPUTED_VALUE"""),45559)</f>
        <v>45559</v>
      </c>
      <c r="J3544" s="143" t="s">
        <v>13064</v>
      </c>
      <c r="K3544" s="80" t="s">
        <v>13065</v>
      </c>
      <c r="L3544" s="30">
        <v>982521740</v>
      </c>
      <c r="M3544" s="80" t="s">
        <v>59</v>
      </c>
      <c r="N3544" s="80" t="s">
        <v>9294</v>
      </c>
      <c r="O3544" s="80" t="s">
        <v>13066</v>
      </c>
      <c r="P3544" s="80" t="s">
        <v>12687</v>
      </c>
      <c r="Q3544" s="20">
        <v>9317</v>
      </c>
      <c r="R3544" s="80" t="s">
        <v>70</v>
      </c>
      <c r="S3544" s="95">
        <f>200+9117</f>
        <v>9317</v>
      </c>
      <c r="T3544" s="148">
        <v>45548</v>
      </c>
      <c r="U3544" s="95"/>
      <c r="V3544" s="148">
        <v>45553</v>
      </c>
      <c r="W3544" s="85" t="s">
        <v>13067</v>
      </c>
      <c r="X3544" s="80">
        <v>100</v>
      </c>
      <c r="Y3544" s="22">
        <v>-100</v>
      </c>
      <c r="Z3544" s="80" t="s">
        <v>50</v>
      </c>
      <c r="AA3544" s="35" t="s">
        <v>3291</v>
      </c>
      <c r="AB3544" s="80"/>
      <c r="AC3544" s="80" t="s">
        <v>53</v>
      </c>
      <c r="AD3544" s="80" t="s">
        <v>138</v>
      </c>
      <c r="AE3544" s="80" t="s">
        <v>72</v>
      </c>
      <c r="AF3544" s="17">
        <v>45559</v>
      </c>
      <c r="AG3544" s="80"/>
      <c r="AH3544" s="80"/>
      <c r="AI3544" s="147" t="s">
        <v>64</v>
      </c>
      <c r="AJ3544" s="80"/>
      <c r="AK3544" s="80"/>
      <c r="AL3544" s="35"/>
      <c r="AM3544" s="35"/>
      <c r="AN3544" s="35"/>
      <c r="AO3544" s="35"/>
      <c r="AP3544" s="35"/>
    </row>
    <row r="3545" spans="1:42" x14ac:dyDescent="0.2">
      <c r="A3545" s="126">
        <v>45548.496710451393</v>
      </c>
      <c r="B3545" s="137" t="s">
        <v>37</v>
      </c>
      <c r="C3545" s="41" t="s">
        <v>118</v>
      </c>
      <c r="D3545" s="80" t="s">
        <v>36</v>
      </c>
      <c r="E3545" s="80" t="s">
        <v>77</v>
      </c>
      <c r="F3545" s="80" t="s">
        <v>36</v>
      </c>
      <c r="G3545" s="80" t="s">
        <v>41</v>
      </c>
      <c r="H3545" s="80" t="s">
        <v>11347</v>
      </c>
      <c r="I3545" s="17">
        <f ca="1">IFERROR(__xludf.DUMMYFUNCTION("""COMPUTED_VALUE"""),45551)</f>
        <v>45551</v>
      </c>
      <c r="J3545" s="172" t="s">
        <v>13068</v>
      </c>
      <c r="K3545" s="80" t="s">
        <v>13069</v>
      </c>
      <c r="L3545" s="30">
        <v>335157353</v>
      </c>
      <c r="M3545" s="80" t="s">
        <v>2755</v>
      </c>
      <c r="N3545" s="80" t="s">
        <v>2756</v>
      </c>
      <c r="O3545" s="80" t="s">
        <v>4503</v>
      </c>
      <c r="P3545" s="80" t="s">
        <v>7649</v>
      </c>
      <c r="Q3545" s="20">
        <v>1968</v>
      </c>
      <c r="R3545" s="80" t="s">
        <v>36</v>
      </c>
      <c r="S3545" s="95">
        <v>1968</v>
      </c>
      <c r="T3545" s="148">
        <v>45547</v>
      </c>
      <c r="U3545" s="77"/>
      <c r="V3545" s="78"/>
      <c r="W3545" s="80" t="s">
        <v>13070</v>
      </c>
      <c r="X3545" s="80">
        <v>0</v>
      </c>
      <c r="Y3545" s="22">
        <v>0</v>
      </c>
      <c r="Z3545" s="80" t="s">
        <v>50</v>
      </c>
      <c r="AA3545" s="96" t="s">
        <v>3291</v>
      </c>
      <c r="AB3545" s="80"/>
      <c r="AC3545" s="80" t="s">
        <v>53</v>
      </c>
      <c r="AD3545" s="80" t="s">
        <v>138</v>
      </c>
      <c r="AE3545" s="80"/>
      <c r="AF3545" s="17">
        <v>45551</v>
      </c>
      <c r="AG3545" s="80" t="s">
        <v>7078</v>
      </c>
      <c r="AH3545" s="80"/>
      <c r="AI3545" s="147" t="s">
        <v>84</v>
      </c>
      <c r="AJ3545" s="80"/>
      <c r="AK3545" s="80"/>
      <c r="AL3545" s="35"/>
      <c r="AM3545" s="35"/>
      <c r="AN3545" s="35"/>
      <c r="AO3545" s="35"/>
      <c r="AP3545" s="35"/>
    </row>
    <row r="3546" spans="1:42" x14ac:dyDescent="0.2">
      <c r="A3546" s="126">
        <v>45548.571368229168</v>
      </c>
      <c r="B3546" s="137" t="s">
        <v>37</v>
      </c>
      <c r="C3546" s="41" t="s">
        <v>118</v>
      </c>
      <c r="D3546" s="80" t="s">
        <v>36</v>
      </c>
      <c r="E3546" s="80" t="s">
        <v>56</v>
      </c>
      <c r="F3546" s="80" t="s">
        <v>36</v>
      </c>
      <c r="G3546" s="80" t="s">
        <v>41</v>
      </c>
      <c r="H3546" s="80" t="s">
        <v>11347</v>
      </c>
      <c r="I3546" s="17">
        <f ca="1">IFERROR(__xludf.DUMMYFUNCTION("""COMPUTED_VALUE"""),45551)</f>
        <v>45551</v>
      </c>
      <c r="J3546" s="143" t="s">
        <v>13071</v>
      </c>
      <c r="K3546" s="80" t="s">
        <v>13072</v>
      </c>
      <c r="L3546" s="30">
        <v>365138834</v>
      </c>
      <c r="M3546" s="80" t="s">
        <v>45</v>
      </c>
      <c r="N3546" s="80" t="s">
        <v>1472</v>
      </c>
      <c r="O3546" s="80" t="s">
        <v>13073</v>
      </c>
      <c r="P3546" s="80" t="s">
        <v>7743</v>
      </c>
      <c r="Q3546" s="20">
        <v>9317</v>
      </c>
      <c r="R3546" s="80" t="s">
        <v>36</v>
      </c>
      <c r="S3546" s="95">
        <v>9317</v>
      </c>
      <c r="T3546" s="148">
        <v>45547</v>
      </c>
      <c r="U3546" s="77"/>
      <c r="V3546" s="78"/>
      <c r="W3546" s="80" t="s">
        <v>13074</v>
      </c>
      <c r="X3546" s="80">
        <v>0</v>
      </c>
      <c r="Y3546" s="22">
        <v>0</v>
      </c>
      <c r="Z3546" s="80" t="s">
        <v>50</v>
      </c>
      <c r="AA3546" s="35" t="s">
        <v>3291</v>
      </c>
      <c r="AB3546" s="80"/>
      <c r="AC3546" s="80" t="s">
        <v>53</v>
      </c>
      <c r="AD3546" s="80" t="s">
        <v>138</v>
      </c>
      <c r="AE3546" s="83">
        <v>0</v>
      </c>
      <c r="AF3546" s="17">
        <v>45551</v>
      </c>
      <c r="AG3546" s="80"/>
      <c r="AH3546" s="80"/>
      <c r="AI3546" s="147" t="s">
        <v>64</v>
      </c>
      <c r="AJ3546" s="80"/>
      <c r="AK3546" s="80"/>
      <c r="AL3546" s="35"/>
      <c r="AM3546" s="35"/>
      <c r="AN3546" s="35"/>
      <c r="AO3546" s="35"/>
      <c r="AP3546" s="35"/>
    </row>
    <row r="3547" spans="1:42" x14ac:dyDescent="0.2">
      <c r="A3547" s="126">
        <v>45548.835481064816</v>
      </c>
      <c r="B3547" s="137" t="s">
        <v>37</v>
      </c>
      <c r="C3547" s="41" t="s">
        <v>118</v>
      </c>
      <c r="D3547" s="80" t="s">
        <v>36</v>
      </c>
      <c r="E3547" s="80" t="s">
        <v>139</v>
      </c>
      <c r="F3547" s="80" t="s">
        <v>36</v>
      </c>
      <c r="G3547" s="80" t="s">
        <v>41</v>
      </c>
      <c r="H3547" s="80" t="s">
        <v>11707</v>
      </c>
      <c r="I3547" s="17">
        <f ca="1">IFERROR(__xludf.DUMMYFUNCTION("""COMPUTED_VALUE"""),45551)</f>
        <v>45551</v>
      </c>
      <c r="J3547" s="143" t="s">
        <v>13075</v>
      </c>
      <c r="K3547" s="80" t="s">
        <v>13076</v>
      </c>
      <c r="L3547" s="30">
        <v>971006184</v>
      </c>
      <c r="M3547" s="80" t="s">
        <v>45</v>
      </c>
      <c r="N3547" s="80" t="s">
        <v>13077</v>
      </c>
      <c r="O3547" s="80" t="s">
        <v>13078</v>
      </c>
      <c r="P3547" s="80" t="s">
        <v>13079</v>
      </c>
      <c r="Q3547" s="20">
        <v>15936</v>
      </c>
      <c r="R3547" s="80" t="s">
        <v>36</v>
      </c>
      <c r="S3547" s="95">
        <v>15936</v>
      </c>
      <c r="T3547" s="148">
        <v>45548</v>
      </c>
      <c r="U3547" s="77"/>
      <c r="V3547" s="78"/>
      <c r="W3547" s="85" t="s">
        <v>13080</v>
      </c>
      <c r="X3547" s="80">
        <v>0</v>
      </c>
      <c r="Y3547" s="22">
        <v>0</v>
      </c>
      <c r="Z3547" s="80" t="s">
        <v>50</v>
      </c>
      <c r="AA3547" s="96" t="s">
        <v>3291</v>
      </c>
      <c r="AB3547" s="80"/>
      <c r="AC3547" s="80" t="s">
        <v>53</v>
      </c>
      <c r="AD3547" s="80" t="s">
        <v>138</v>
      </c>
      <c r="AE3547" s="83">
        <v>0</v>
      </c>
      <c r="AF3547" s="17">
        <v>45551</v>
      </c>
      <c r="AG3547" s="80"/>
      <c r="AH3547" s="80"/>
      <c r="AI3547" s="147" t="s">
        <v>147</v>
      </c>
      <c r="AJ3547" s="80"/>
      <c r="AK3547" s="80"/>
      <c r="AL3547" s="35"/>
      <c r="AM3547" s="35"/>
      <c r="AN3547" s="35"/>
      <c r="AO3547" s="35"/>
      <c r="AP3547" s="35"/>
    </row>
    <row r="3548" spans="1:42" x14ac:dyDescent="0.2">
      <c r="A3548" s="126">
        <v>45548.837922314815</v>
      </c>
      <c r="B3548" s="137" t="s">
        <v>37</v>
      </c>
      <c r="C3548" s="41" t="s">
        <v>118</v>
      </c>
      <c r="D3548" s="80" t="s">
        <v>36</v>
      </c>
      <c r="E3548" s="80" t="s">
        <v>77</v>
      </c>
      <c r="F3548" s="26" t="s">
        <v>36</v>
      </c>
      <c r="G3548" s="26" t="s">
        <v>41</v>
      </c>
      <c r="H3548" s="80" t="s">
        <v>12766</v>
      </c>
      <c r="I3548" s="17">
        <f ca="1">IFERROR(__xludf.DUMMYFUNCTION("""COMPUTED_VALUE"""),45555)</f>
        <v>45555</v>
      </c>
      <c r="J3548" s="143" t="s">
        <v>13081</v>
      </c>
      <c r="K3548" s="80" t="s">
        <v>13082</v>
      </c>
      <c r="L3548" s="30">
        <v>971914146</v>
      </c>
      <c r="M3548" s="80" t="s">
        <v>45</v>
      </c>
      <c r="N3548" s="80" t="s">
        <v>5312</v>
      </c>
      <c r="O3548" s="80" t="s">
        <v>13083</v>
      </c>
      <c r="P3548" s="80" t="s">
        <v>3694</v>
      </c>
      <c r="Q3548" s="20">
        <v>1968</v>
      </c>
      <c r="R3548" s="80" t="s">
        <v>36</v>
      </c>
      <c r="S3548" s="95">
        <v>1968</v>
      </c>
      <c r="T3548" s="148">
        <v>45548</v>
      </c>
      <c r="U3548" s="77"/>
      <c r="V3548" s="78"/>
      <c r="W3548" s="80" t="s">
        <v>13084</v>
      </c>
      <c r="X3548" s="80">
        <v>0</v>
      </c>
      <c r="Y3548" s="22">
        <v>0</v>
      </c>
      <c r="Z3548" s="80" t="s">
        <v>50</v>
      </c>
      <c r="AA3548" s="35" t="s">
        <v>3291</v>
      </c>
      <c r="AB3548" s="80"/>
      <c r="AC3548" s="80" t="s">
        <v>53</v>
      </c>
      <c r="AD3548" s="80" t="s">
        <v>138</v>
      </c>
      <c r="AE3548" s="83">
        <v>0</v>
      </c>
      <c r="AF3548" s="17">
        <v>45555</v>
      </c>
      <c r="AG3548" s="80"/>
      <c r="AH3548" s="80"/>
      <c r="AI3548" s="147" t="s">
        <v>84</v>
      </c>
      <c r="AJ3548" s="80"/>
      <c r="AK3548" s="80"/>
      <c r="AL3548" s="35"/>
      <c r="AM3548" s="35"/>
      <c r="AN3548" s="35"/>
      <c r="AO3548" s="35"/>
      <c r="AP3548" s="35"/>
    </row>
    <row r="3549" spans="1:42" x14ac:dyDescent="0.2">
      <c r="A3549" s="126">
        <v>45548.839819189816</v>
      </c>
      <c r="B3549" s="137" t="s">
        <v>37</v>
      </c>
      <c r="C3549" s="41" t="s">
        <v>118</v>
      </c>
      <c r="D3549" s="80" t="s">
        <v>36</v>
      </c>
      <c r="E3549" s="80" t="s">
        <v>56</v>
      </c>
      <c r="F3549" s="26" t="s">
        <v>36</v>
      </c>
      <c r="G3549" s="26" t="s">
        <v>41</v>
      </c>
      <c r="H3549" s="80" t="s">
        <v>12766</v>
      </c>
      <c r="I3549" s="17">
        <f ca="1">IFERROR(__xludf.DUMMYFUNCTION("""COMPUTED_VALUE"""),45555)</f>
        <v>45555</v>
      </c>
      <c r="J3549" s="143" t="s">
        <v>13085</v>
      </c>
      <c r="K3549" s="80" t="s">
        <v>13086</v>
      </c>
      <c r="L3549" s="30">
        <v>961693034</v>
      </c>
      <c r="M3549" s="80" t="s">
        <v>45</v>
      </c>
      <c r="N3549" s="80" t="s">
        <v>1472</v>
      </c>
      <c r="O3549" s="80" t="s">
        <v>13087</v>
      </c>
      <c r="P3549" s="80" t="s">
        <v>3694</v>
      </c>
      <c r="Q3549" s="20">
        <v>9317</v>
      </c>
      <c r="R3549" s="80" t="s">
        <v>36</v>
      </c>
      <c r="S3549" s="95">
        <v>9317</v>
      </c>
      <c r="T3549" s="148">
        <v>45544</v>
      </c>
      <c r="U3549" s="77"/>
      <c r="V3549" s="78"/>
      <c r="W3549" s="79" t="s">
        <v>13088</v>
      </c>
      <c r="X3549" s="80">
        <v>0</v>
      </c>
      <c r="Y3549" s="22">
        <v>0</v>
      </c>
      <c r="Z3549" s="80" t="s">
        <v>50</v>
      </c>
      <c r="AA3549" s="96" t="s">
        <v>3291</v>
      </c>
      <c r="AB3549" s="80"/>
      <c r="AC3549" s="80" t="s">
        <v>53</v>
      </c>
      <c r="AD3549" s="80" t="s">
        <v>138</v>
      </c>
      <c r="AE3549" s="83">
        <v>0</v>
      </c>
      <c r="AF3549" s="17">
        <v>45555</v>
      </c>
      <c r="AG3549" s="80"/>
      <c r="AH3549" s="80"/>
      <c r="AI3549" s="147" t="s">
        <v>64</v>
      </c>
      <c r="AJ3549" s="80"/>
      <c r="AK3549" s="80"/>
      <c r="AL3549" s="35"/>
      <c r="AM3549" s="35"/>
      <c r="AN3549" s="35"/>
      <c r="AO3549" s="35"/>
      <c r="AP3549" s="35"/>
    </row>
    <row r="3550" spans="1:42" x14ac:dyDescent="0.2">
      <c r="A3550" s="126">
        <v>45548.843106736109</v>
      </c>
      <c r="B3550" s="137" t="s">
        <v>37</v>
      </c>
      <c r="C3550" s="41" t="s">
        <v>118</v>
      </c>
      <c r="D3550" s="80" t="s">
        <v>36</v>
      </c>
      <c r="E3550" s="80" t="s">
        <v>39</v>
      </c>
      <c r="F3550" s="80" t="s">
        <v>36</v>
      </c>
      <c r="G3550" s="80" t="s">
        <v>41</v>
      </c>
      <c r="H3550" s="80" t="s">
        <v>13089</v>
      </c>
      <c r="I3550" s="17">
        <f ca="1">IFERROR(__xludf.DUMMYFUNCTION("""COMPUTED_VALUE"""),45651)</f>
        <v>45651</v>
      </c>
      <c r="J3550" s="143" t="s">
        <v>13090</v>
      </c>
      <c r="K3550" s="80" t="s">
        <v>13091</v>
      </c>
      <c r="L3550" s="30">
        <v>397100626</v>
      </c>
      <c r="M3550" s="80" t="s">
        <v>45</v>
      </c>
      <c r="N3550" s="80" t="s">
        <v>13092</v>
      </c>
      <c r="O3550" s="80" t="s">
        <v>13093</v>
      </c>
      <c r="P3550" s="80" t="s">
        <v>13094</v>
      </c>
      <c r="Q3550" s="20">
        <v>5736</v>
      </c>
      <c r="R3550" s="80" t="s">
        <v>36</v>
      </c>
      <c r="S3550" s="95">
        <v>5736</v>
      </c>
      <c r="T3550" s="148">
        <v>45545</v>
      </c>
      <c r="U3550" s="77"/>
      <c r="V3550" s="78"/>
      <c r="W3550" s="79" t="s">
        <v>13095</v>
      </c>
      <c r="X3550" s="80">
        <v>0</v>
      </c>
      <c r="Y3550" s="22">
        <v>0</v>
      </c>
      <c r="Z3550" s="80" t="s">
        <v>50</v>
      </c>
      <c r="AA3550" s="35" t="s">
        <v>3291</v>
      </c>
      <c r="AB3550" s="80"/>
      <c r="AC3550" s="80" t="s">
        <v>53</v>
      </c>
      <c r="AD3550" s="80" t="s">
        <v>54</v>
      </c>
      <c r="AE3550" s="83">
        <v>0</v>
      </c>
      <c r="AF3550" s="17">
        <v>45551</v>
      </c>
      <c r="AG3550" s="80"/>
      <c r="AH3550" s="80"/>
      <c r="AI3550" s="147" t="s">
        <v>55</v>
      </c>
      <c r="AJ3550" s="80"/>
      <c r="AK3550" s="80"/>
      <c r="AL3550" s="35"/>
      <c r="AM3550" s="35"/>
      <c r="AN3550" s="35"/>
      <c r="AO3550" s="35"/>
      <c r="AP3550" s="35"/>
    </row>
    <row r="3551" spans="1:42" x14ac:dyDescent="0.2">
      <c r="A3551" s="126">
        <v>45548.845516111112</v>
      </c>
      <c r="B3551" s="137" t="s">
        <v>37</v>
      </c>
      <c r="C3551" s="41" t="s">
        <v>118</v>
      </c>
      <c r="D3551" s="80" t="s">
        <v>36</v>
      </c>
      <c r="E3551" s="80" t="s">
        <v>148</v>
      </c>
      <c r="F3551" s="80" t="s">
        <v>36</v>
      </c>
      <c r="G3551" s="80" t="s">
        <v>108</v>
      </c>
      <c r="H3551" s="80" t="s">
        <v>10038</v>
      </c>
      <c r="I3551" s="17">
        <f ca="1">IFERROR(__xludf.DUMMYFUNCTION("""COMPUTED_VALUE"""),45551)</f>
        <v>45551</v>
      </c>
      <c r="J3551" s="143" t="s">
        <v>13096</v>
      </c>
      <c r="K3551" s="80" t="s">
        <v>13097</v>
      </c>
      <c r="L3551" s="30">
        <v>868380636</v>
      </c>
      <c r="M3551" s="80" t="s">
        <v>45</v>
      </c>
      <c r="N3551" s="80" t="s">
        <v>299</v>
      </c>
      <c r="O3551" s="80" t="s">
        <v>13098</v>
      </c>
      <c r="P3551" s="80" t="s">
        <v>13099</v>
      </c>
      <c r="Q3551" s="20">
        <v>7349</v>
      </c>
      <c r="R3551" s="80" t="s">
        <v>36</v>
      </c>
      <c r="S3551" s="95">
        <v>7349</v>
      </c>
      <c r="T3551" s="148">
        <v>45548</v>
      </c>
      <c r="U3551" s="77"/>
      <c r="V3551" s="78"/>
      <c r="W3551" s="85" t="s">
        <v>13100</v>
      </c>
      <c r="X3551" s="80">
        <v>0</v>
      </c>
      <c r="Y3551" s="22">
        <v>0</v>
      </c>
      <c r="Z3551" s="80" t="s">
        <v>50</v>
      </c>
      <c r="AA3551" s="96" t="s">
        <v>3291</v>
      </c>
      <c r="AB3551" s="80"/>
      <c r="AC3551" s="80" t="s">
        <v>53</v>
      </c>
      <c r="AD3551" s="80" t="s">
        <v>54</v>
      </c>
      <c r="AE3551" s="83">
        <v>400</v>
      </c>
      <c r="AF3551" s="17">
        <v>45551</v>
      </c>
      <c r="AG3551" s="80"/>
      <c r="AH3551" s="80"/>
      <c r="AI3551" s="147">
        <v>2</v>
      </c>
      <c r="AJ3551" s="80"/>
      <c r="AK3551" s="80"/>
      <c r="AL3551" s="35"/>
      <c r="AM3551" s="35"/>
      <c r="AN3551" s="35"/>
      <c r="AO3551" s="35"/>
      <c r="AP3551" s="35"/>
    </row>
    <row r="3552" spans="1:42" x14ac:dyDescent="0.2">
      <c r="A3552" s="126">
        <v>45548.959975682868</v>
      </c>
      <c r="B3552" s="137" t="s">
        <v>37</v>
      </c>
      <c r="C3552" s="41" t="s">
        <v>118</v>
      </c>
      <c r="D3552" s="80" t="s">
        <v>36</v>
      </c>
      <c r="E3552" s="80" t="s">
        <v>77</v>
      </c>
      <c r="F3552" s="80" t="s">
        <v>40</v>
      </c>
      <c r="G3552" s="80" t="s">
        <v>41</v>
      </c>
      <c r="H3552" s="80" t="s">
        <v>9614</v>
      </c>
      <c r="I3552" s="17">
        <f ca="1">IFERROR(__xludf.DUMMYFUNCTION("""COMPUTED_VALUE"""),45552)</f>
        <v>45552</v>
      </c>
      <c r="J3552" s="143" t="s">
        <v>13101</v>
      </c>
      <c r="K3552" s="80" t="s">
        <v>13102</v>
      </c>
      <c r="L3552" s="30">
        <v>972138306</v>
      </c>
      <c r="M3552" s="80" t="s">
        <v>9422</v>
      </c>
      <c r="N3552" s="80" t="s">
        <v>1881</v>
      </c>
      <c r="O3552" s="80" t="s">
        <v>13103</v>
      </c>
      <c r="P3552" s="80" t="s">
        <v>13104</v>
      </c>
      <c r="Q3552" s="20">
        <v>1968</v>
      </c>
      <c r="R3552" s="80" t="s">
        <v>36</v>
      </c>
      <c r="S3552" s="95">
        <v>1968</v>
      </c>
      <c r="T3552" s="148">
        <v>45548</v>
      </c>
      <c r="U3552" s="77"/>
      <c r="V3552" s="78"/>
      <c r="W3552" s="85" t="s">
        <v>13105</v>
      </c>
      <c r="X3552" s="80">
        <v>0</v>
      </c>
      <c r="Y3552" s="22">
        <v>0</v>
      </c>
      <c r="Z3552" s="80" t="s">
        <v>50</v>
      </c>
      <c r="AA3552" s="35" t="s">
        <v>3291</v>
      </c>
      <c r="AB3552" s="80"/>
      <c r="AC3552" s="80" t="s">
        <v>53</v>
      </c>
      <c r="AD3552" s="80" t="s">
        <v>54</v>
      </c>
      <c r="AE3552" s="80"/>
      <c r="AF3552" s="17">
        <v>45551</v>
      </c>
      <c r="AG3552" s="80"/>
      <c r="AH3552" s="80"/>
      <c r="AI3552" s="147" t="s">
        <v>84</v>
      </c>
      <c r="AJ3552" s="80"/>
      <c r="AK3552" s="80"/>
      <c r="AL3552" s="35"/>
      <c r="AM3552" s="35"/>
      <c r="AN3552" s="35"/>
      <c r="AO3552" s="35"/>
      <c r="AP3552" s="35"/>
    </row>
    <row r="3553" spans="1:42" x14ac:dyDescent="0.2">
      <c r="A3553" s="126">
        <v>45549.643229374997</v>
      </c>
      <c r="B3553" s="137" t="s">
        <v>37</v>
      </c>
      <c r="C3553" s="41" t="s">
        <v>118</v>
      </c>
      <c r="D3553" s="80" t="s">
        <v>36</v>
      </c>
      <c r="E3553" s="80" t="s">
        <v>56</v>
      </c>
      <c r="F3553" s="80" t="s">
        <v>40</v>
      </c>
      <c r="G3553" s="80" t="s">
        <v>41</v>
      </c>
      <c r="H3553" s="80" t="s">
        <v>13106</v>
      </c>
      <c r="I3553" s="17">
        <f ca="1">IFERROR(__xludf.DUMMYFUNCTION("""COMPUTED_VALUE"""),45557)</f>
        <v>45557</v>
      </c>
      <c r="J3553" s="143" t="s">
        <v>13107</v>
      </c>
      <c r="K3553" s="80" t="s">
        <v>13108</v>
      </c>
      <c r="L3553" s="30">
        <v>325257996</v>
      </c>
      <c r="M3553" s="80" t="s">
        <v>5558</v>
      </c>
      <c r="N3553" s="80" t="s">
        <v>5559</v>
      </c>
      <c r="O3553" s="80" t="s">
        <v>4503</v>
      </c>
      <c r="P3553" s="80" t="s">
        <v>13109</v>
      </c>
      <c r="Q3553" s="20">
        <v>9317</v>
      </c>
      <c r="R3553" s="80" t="s">
        <v>36</v>
      </c>
      <c r="S3553" s="95">
        <v>9317</v>
      </c>
      <c r="T3553" s="148">
        <v>45549</v>
      </c>
      <c r="U3553" s="77"/>
      <c r="V3553" s="78"/>
      <c r="W3553" s="85" t="s">
        <v>13110</v>
      </c>
      <c r="X3553" s="80">
        <v>0</v>
      </c>
      <c r="Y3553" s="22">
        <v>0</v>
      </c>
      <c r="Z3553" s="80" t="s">
        <v>50</v>
      </c>
      <c r="AA3553" s="96" t="s">
        <v>3291</v>
      </c>
      <c r="AB3553" s="80"/>
      <c r="AC3553" s="80" t="s">
        <v>53</v>
      </c>
      <c r="AD3553" s="80" t="s">
        <v>54</v>
      </c>
      <c r="AE3553" s="80"/>
      <c r="AF3553" s="17">
        <v>45554</v>
      </c>
      <c r="AG3553" s="80"/>
      <c r="AH3553" s="80"/>
      <c r="AI3553" s="147" t="s">
        <v>64</v>
      </c>
      <c r="AJ3553" s="80"/>
      <c r="AK3553" s="80"/>
      <c r="AL3553" s="35"/>
      <c r="AM3553" s="35"/>
      <c r="AN3553" s="35"/>
      <c r="AO3553" s="35"/>
      <c r="AP3553" s="35"/>
    </row>
    <row r="3554" spans="1:42" x14ac:dyDescent="0.2">
      <c r="A3554" s="126">
        <v>45549.839001076391</v>
      </c>
      <c r="B3554" s="137" t="s">
        <v>37</v>
      </c>
      <c r="C3554" s="41" t="s">
        <v>118</v>
      </c>
      <c r="D3554" s="80" t="s">
        <v>36</v>
      </c>
      <c r="E3554" s="80" t="s">
        <v>77</v>
      </c>
      <c r="F3554" s="80" t="s">
        <v>40</v>
      </c>
      <c r="G3554" s="80" t="s">
        <v>41</v>
      </c>
      <c r="H3554" s="80" t="s">
        <v>13106</v>
      </c>
      <c r="I3554" s="17">
        <f ca="1">IFERROR(__xludf.DUMMYFUNCTION("""COMPUTED_VALUE"""),45557)</f>
        <v>45557</v>
      </c>
      <c r="J3554" s="143" t="s">
        <v>13111</v>
      </c>
      <c r="K3554" s="80" t="s">
        <v>13112</v>
      </c>
      <c r="L3554" s="30">
        <v>376798541</v>
      </c>
      <c r="M3554" s="80" t="s">
        <v>910</v>
      </c>
      <c r="N3554" s="80" t="s">
        <v>3525</v>
      </c>
      <c r="O3554" s="80" t="s">
        <v>91</v>
      </c>
      <c r="P3554" s="80" t="s">
        <v>13113</v>
      </c>
      <c r="Q3554" s="20">
        <v>1968</v>
      </c>
      <c r="R3554" s="80" t="s">
        <v>36</v>
      </c>
      <c r="S3554" s="95">
        <f>200+1768</f>
        <v>1968</v>
      </c>
      <c r="T3554" s="83" t="s">
        <v>13114</v>
      </c>
      <c r="U3554" s="95"/>
      <c r="V3554" s="148"/>
      <c r="W3554" s="80" t="s">
        <v>13115</v>
      </c>
      <c r="X3554" s="80">
        <v>0</v>
      </c>
      <c r="Y3554" s="22">
        <v>0</v>
      </c>
      <c r="Z3554" s="80" t="s">
        <v>50</v>
      </c>
      <c r="AA3554" s="35" t="s">
        <v>3291</v>
      </c>
      <c r="AB3554" s="80"/>
      <c r="AC3554" s="80" t="s">
        <v>53</v>
      </c>
      <c r="AD3554" s="80" t="s">
        <v>54</v>
      </c>
      <c r="AE3554" s="80"/>
      <c r="AF3554" s="17">
        <v>45553</v>
      </c>
      <c r="AG3554" s="80"/>
      <c r="AH3554" s="80"/>
      <c r="AI3554" s="147" t="s">
        <v>84</v>
      </c>
      <c r="AJ3554" s="80"/>
      <c r="AK3554" s="80"/>
      <c r="AL3554" s="35"/>
      <c r="AM3554" s="35"/>
      <c r="AN3554" s="35"/>
      <c r="AO3554" s="35"/>
      <c r="AP3554" s="35"/>
    </row>
    <row r="3555" spans="1:42" x14ac:dyDescent="0.2">
      <c r="A3555" s="126">
        <v>45549.893121122688</v>
      </c>
      <c r="B3555" s="137" t="s">
        <v>37</v>
      </c>
      <c r="C3555" s="41" t="s">
        <v>118</v>
      </c>
      <c r="D3555" s="80" t="s">
        <v>36</v>
      </c>
      <c r="E3555" s="80" t="s">
        <v>139</v>
      </c>
      <c r="F3555" s="80" t="s">
        <v>36</v>
      </c>
      <c r="G3555" s="80" t="s">
        <v>41</v>
      </c>
      <c r="H3555" s="80" t="s">
        <v>11846</v>
      </c>
      <c r="I3555" s="17">
        <f ca="1">IFERROR(__xludf.DUMMYFUNCTION("""COMPUTED_VALUE"""),45560)</f>
        <v>45560</v>
      </c>
      <c r="J3555" s="143" t="s">
        <v>13116</v>
      </c>
      <c r="K3555" s="80" t="s">
        <v>13117</v>
      </c>
      <c r="L3555" s="30">
        <v>975098265</v>
      </c>
      <c r="M3555" s="80" t="s">
        <v>5558</v>
      </c>
      <c r="N3555" s="80" t="s">
        <v>5277</v>
      </c>
      <c r="O3555" s="80" t="s">
        <v>4503</v>
      </c>
      <c r="P3555" s="80" t="s">
        <v>13118</v>
      </c>
      <c r="Q3555" s="20">
        <v>15936</v>
      </c>
      <c r="R3555" s="80" t="s">
        <v>36</v>
      </c>
      <c r="S3555" s="95">
        <f>200+1800</f>
        <v>2000</v>
      </c>
      <c r="T3555" s="83" t="s">
        <v>13119</v>
      </c>
      <c r="U3555" s="95">
        <v>13936</v>
      </c>
      <c r="V3555" s="148">
        <v>45565</v>
      </c>
      <c r="W3555" s="85" t="s">
        <v>13120</v>
      </c>
      <c r="X3555" s="80">
        <v>0</v>
      </c>
      <c r="Y3555" s="22">
        <v>0</v>
      </c>
      <c r="Z3555" s="80" t="s">
        <v>50</v>
      </c>
      <c r="AA3555" s="96" t="s">
        <v>3291</v>
      </c>
      <c r="AB3555" s="80"/>
      <c r="AC3555" s="80" t="s">
        <v>53</v>
      </c>
      <c r="AD3555" s="80" t="s">
        <v>54</v>
      </c>
      <c r="AE3555" s="80"/>
      <c r="AF3555" s="17">
        <v>45554</v>
      </c>
      <c r="AG3555" s="80"/>
      <c r="AH3555" s="80"/>
      <c r="AI3555" s="147" t="s">
        <v>147</v>
      </c>
      <c r="AJ3555" s="80"/>
      <c r="AK3555" s="80"/>
      <c r="AL3555" s="35"/>
      <c r="AM3555" s="35"/>
      <c r="AN3555" s="35"/>
      <c r="AO3555" s="35"/>
      <c r="AP3555" s="35"/>
    </row>
    <row r="3556" spans="1:42" x14ac:dyDescent="0.2">
      <c r="A3556" s="126">
        <v>45550.041408865742</v>
      </c>
      <c r="B3556" s="137" t="s">
        <v>37</v>
      </c>
      <c r="C3556" s="41" t="s">
        <v>118</v>
      </c>
      <c r="D3556" s="80" t="s">
        <v>36</v>
      </c>
      <c r="E3556" s="80" t="s">
        <v>139</v>
      </c>
      <c r="F3556" s="80" t="s">
        <v>40</v>
      </c>
      <c r="G3556" s="80" t="s">
        <v>41</v>
      </c>
      <c r="H3556" s="80" t="s">
        <v>13121</v>
      </c>
      <c r="I3556" s="17">
        <f ca="1">IFERROR(__xludf.DUMMYFUNCTION("""COMPUTED_VALUE"""),45565)</f>
        <v>45565</v>
      </c>
      <c r="J3556" s="143" t="s">
        <v>13122</v>
      </c>
      <c r="K3556" s="80" t="s">
        <v>13123</v>
      </c>
      <c r="L3556" s="30">
        <v>816520105</v>
      </c>
      <c r="M3556" s="80" t="s">
        <v>348</v>
      </c>
      <c r="N3556" s="80" t="s">
        <v>68</v>
      </c>
      <c r="O3556" s="80" t="s">
        <v>11399</v>
      </c>
      <c r="P3556" s="80" t="s">
        <v>12687</v>
      </c>
      <c r="Q3556" s="20">
        <v>15936</v>
      </c>
      <c r="R3556" s="80" t="s">
        <v>36</v>
      </c>
      <c r="S3556" s="95">
        <f>200+15736</f>
        <v>15936</v>
      </c>
      <c r="T3556" s="83" t="s">
        <v>13124</v>
      </c>
      <c r="U3556" s="77"/>
      <c r="V3556" s="78"/>
      <c r="W3556" s="85" t="s">
        <v>13125</v>
      </c>
      <c r="X3556" s="80">
        <v>0</v>
      </c>
      <c r="Y3556" s="22">
        <v>0</v>
      </c>
      <c r="Z3556" s="80" t="s">
        <v>50</v>
      </c>
      <c r="AA3556" s="35" t="s">
        <v>3291</v>
      </c>
      <c r="AB3556" s="80"/>
      <c r="AC3556" s="80" t="s">
        <v>53</v>
      </c>
      <c r="AD3556" s="80" t="s">
        <v>138</v>
      </c>
      <c r="AE3556" s="80" t="s">
        <v>2670</v>
      </c>
      <c r="AF3556" s="17">
        <v>45565</v>
      </c>
      <c r="AG3556" s="80"/>
      <c r="AH3556" s="80"/>
      <c r="AI3556" s="147" t="s">
        <v>147</v>
      </c>
      <c r="AJ3556" s="80"/>
      <c r="AK3556" s="80"/>
      <c r="AL3556" s="35"/>
      <c r="AM3556" s="35"/>
      <c r="AN3556" s="35"/>
      <c r="AO3556" s="35"/>
      <c r="AP3556" s="35"/>
    </row>
    <row r="3557" spans="1:42" x14ac:dyDescent="0.2">
      <c r="A3557" s="126">
        <v>45550.051913472227</v>
      </c>
      <c r="B3557" s="137" t="s">
        <v>37</v>
      </c>
      <c r="C3557" s="41" t="s">
        <v>118</v>
      </c>
      <c r="D3557" s="80" t="s">
        <v>77</v>
      </c>
      <c r="E3557" s="80" t="s">
        <v>106</v>
      </c>
      <c r="F3557" s="80" t="s">
        <v>9675</v>
      </c>
      <c r="G3557" s="80" t="s">
        <v>108</v>
      </c>
      <c r="H3557" s="80" t="s">
        <v>13126</v>
      </c>
      <c r="I3557" s="17">
        <f ca="1">IFERROR(__xludf.DUMMYFUNCTION("""COMPUTED_VALUE"""),45576)</f>
        <v>45576</v>
      </c>
      <c r="J3557" s="143" t="s">
        <v>9676</v>
      </c>
      <c r="K3557" s="80" t="s">
        <v>13127</v>
      </c>
      <c r="L3557" s="30">
        <v>981318556</v>
      </c>
      <c r="M3557" s="80" t="s">
        <v>59</v>
      </c>
      <c r="N3557" s="80" t="s">
        <v>68</v>
      </c>
      <c r="O3557" s="80" t="s">
        <v>9678</v>
      </c>
      <c r="P3557" s="80" t="s">
        <v>9679</v>
      </c>
      <c r="Q3557" s="20">
        <v>3768</v>
      </c>
      <c r="R3557" s="80" t="s">
        <v>36</v>
      </c>
      <c r="S3557" s="95">
        <v>3768</v>
      </c>
      <c r="T3557" s="148">
        <v>45548</v>
      </c>
      <c r="U3557" s="77"/>
      <c r="V3557" s="78"/>
      <c r="W3557" s="85" t="s">
        <v>13128</v>
      </c>
      <c r="X3557" s="80">
        <v>100</v>
      </c>
      <c r="Y3557" s="22">
        <v>-100</v>
      </c>
      <c r="Z3557" s="80" t="s">
        <v>50</v>
      </c>
      <c r="AA3557" s="96" t="s">
        <v>3291</v>
      </c>
      <c r="AB3557" s="80"/>
      <c r="AC3557" s="80" t="s">
        <v>53</v>
      </c>
      <c r="AD3557" s="80" t="s">
        <v>54</v>
      </c>
      <c r="AE3557" s="80" t="s">
        <v>2752</v>
      </c>
      <c r="AF3557" s="17">
        <v>45572</v>
      </c>
      <c r="AG3557" s="80"/>
      <c r="AH3557" s="80"/>
      <c r="AI3557" s="147">
        <v>1</v>
      </c>
      <c r="AJ3557" s="80"/>
      <c r="AK3557" s="80"/>
      <c r="AL3557" s="35"/>
      <c r="AM3557" s="35"/>
      <c r="AN3557" s="35"/>
      <c r="AO3557" s="35"/>
      <c r="AP3557" s="35"/>
    </row>
    <row r="3558" spans="1:42" x14ac:dyDescent="0.2">
      <c r="A3558" s="126">
        <v>45550.055311435186</v>
      </c>
      <c r="B3558" s="137" t="s">
        <v>37</v>
      </c>
      <c r="C3558" s="41" t="s">
        <v>118</v>
      </c>
      <c r="D3558" s="80" t="s">
        <v>36</v>
      </c>
      <c r="E3558" s="80" t="s">
        <v>56</v>
      </c>
      <c r="F3558" s="80" t="s">
        <v>40</v>
      </c>
      <c r="G3558" s="80" t="s">
        <v>41</v>
      </c>
      <c r="H3558" s="145" t="s">
        <v>13106</v>
      </c>
      <c r="I3558" s="17">
        <f ca="1">IFERROR(__xludf.DUMMYFUNCTION("""COMPUTED_VALUE"""),45557)</f>
        <v>45557</v>
      </c>
      <c r="J3558" s="189" t="s">
        <v>13129</v>
      </c>
      <c r="K3558" s="145" t="s">
        <v>13130</v>
      </c>
      <c r="L3558" s="47">
        <v>829808026</v>
      </c>
      <c r="M3558" s="145" t="s">
        <v>80</v>
      </c>
      <c r="N3558" s="145" t="s">
        <v>13131</v>
      </c>
      <c r="O3558" s="80" t="s">
        <v>13132</v>
      </c>
      <c r="P3558" s="144" t="s">
        <v>13133</v>
      </c>
      <c r="Q3558" s="20">
        <v>9317</v>
      </c>
      <c r="R3558" s="80" t="s">
        <v>36</v>
      </c>
      <c r="S3558" s="95">
        <v>9317</v>
      </c>
      <c r="T3558" s="148">
        <v>45549</v>
      </c>
      <c r="U3558" s="77"/>
      <c r="V3558" s="78"/>
      <c r="W3558" s="85" t="s">
        <v>13134</v>
      </c>
      <c r="X3558" s="80">
        <v>0</v>
      </c>
      <c r="Y3558" s="22">
        <v>0</v>
      </c>
      <c r="Z3558" s="80" t="s">
        <v>50</v>
      </c>
      <c r="AA3558" s="35" t="s">
        <v>3291</v>
      </c>
      <c r="AB3558" s="80"/>
      <c r="AC3558" s="80" t="s">
        <v>53</v>
      </c>
      <c r="AD3558" s="80" t="s">
        <v>54</v>
      </c>
      <c r="AE3558" s="80" t="s">
        <v>4488</v>
      </c>
      <c r="AF3558" s="17">
        <v>45554</v>
      </c>
      <c r="AG3558" s="80"/>
      <c r="AH3558" s="80"/>
      <c r="AI3558" s="147" t="s">
        <v>64</v>
      </c>
      <c r="AJ3558" s="80"/>
      <c r="AK3558" s="80"/>
      <c r="AL3558" s="35"/>
      <c r="AM3558" s="35"/>
      <c r="AN3558" s="35"/>
      <c r="AO3558" s="35"/>
      <c r="AP3558" s="35"/>
    </row>
    <row r="3559" spans="1:42" x14ac:dyDescent="0.2">
      <c r="A3559" s="126">
        <v>45550.496159780094</v>
      </c>
      <c r="B3559" s="137" t="s">
        <v>37</v>
      </c>
      <c r="C3559" s="41" t="s">
        <v>118</v>
      </c>
      <c r="D3559" s="80" t="s">
        <v>36</v>
      </c>
      <c r="E3559" s="80" t="s">
        <v>39</v>
      </c>
      <c r="F3559" s="26" t="s">
        <v>36</v>
      </c>
      <c r="G3559" s="26" t="s">
        <v>41</v>
      </c>
      <c r="H3559" s="80" t="s">
        <v>12766</v>
      </c>
      <c r="I3559" s="17">
        <f ca="1">IFERROR(__xludf.DUMMYFUNCTION("""COMPUTED_VALUE"""),45555)</f>
        <v>45555</v>
      </c>
      <c r="J3559" s="143" t="s">
        <v>13135</v>
      </c>
      <c r="K3559" s="80" t="s">
        <v>13136</v>
      </c>
      <c r="L3559" s="30">
        <v>962643085</v>
      </c>
      <c r="M3559" s="80" t="s">
        <v>9422</v>
      </c>
      <c r="N3559" s="80" t="s">
        <v>327</v>
      </c>
      <c r="O3559" s="80" t="s">
        <v>307</v>
      </c>
      <c r="P3559" s="80" t="s">
        <v>138</v>
      </c>
      <c r="Q3559" s="20">
        <v>5736</v>
      </c>
      <c r="R3559" s="80" t="s">
        <v>11421</v>
      </c>
      <c r="S3559" s="95">
        <v>5436</v>
      </c>
      <c r="T3559" s="148">
        <v>45550</v>
      </c>
      <c r="U3559" s="77"/>
      <c r="V3559" s="78"/>
      <c r="W3559" s="85" t="s">
        <v>13137</v>
      </c>
      <c r="X3559" s="80">
        <v>300</v>
      </c>
      <c r="Y3559" s="22">
        <v>0</v>
      </c>
      <c r="Z3559" s="80" t="s">
        <v>50</v>
      </c>
      <c r="AA3559" s="96" t="s">
        <v>3291</v>
      </c>
      <c r="AB3559" s="80"/>
      <c r="AC3559" s="80" t="s">
        <v>53</v>
      </c>
      <c r="AD3559" s="80" t="s">
        <v>138</v>
      </c>
      <c r="AE3559" s="80"/>
      <c r="AF3559" s="17">
        <v>45555</v>
      </c>
      <c r="AG3559" s="80"/>
      <c r="AH3559" s="80"/>
      <c r="AI3559" s="147" t="s">
        <v>55</v>
      </c>
      <c r="AJ3559" s="80"/>
      <c r="AK3559" s="80"/>
      <c r="AL3559" s="35"/>
      <c r="AM3559" s="35"/>
      <c r="AN3559" s="35"/>
      <c r="AO3559" s="35"/>
      <c r="AP3559" s="35"/>
    </row>
    <row r="3560" spans="1:42" x14ac:dyDescent="0.2">
      <c r="A3560" s="126">
        <v>45550.634668055558</v>
      </c>
      <c r="B3560" s="137" t="s">
        <v>37</v>
      </c>
      <c r="C3560" s="41" t="s">
        <v>118</v>
      </c>
      <c r="D3560" s="80" t="s">
        <v>36</v>
      </c>
      <c r="E3560" s="80" t="s">
        <v>39</v>
      </c>
      <c r="F3560" s="80" t="s">
        <v>40</v>
      </c>
      <c r="G3560" s="80" t="s">
        <v>41</v>
      </c>
      <c r="H3560" s="80" t="s">
        <v>12937</v>
      </c>
      <c r="I3560" s="17">
        <f ca="1">IFERROR(__xludf.DUMMYFUNCTION("""COMPUTED_VALUE"""),45552)</f>
        <v>45552</v>
      </c>
      <c r="J3560" s="143" t="s">
        <v>13138</v>
      </c>
      <c r="K3560" s="80" t="s">
        <v>13139</v>
      </c>
      <c r="L3560" s="30">
        <v>869738584</v>
      </c>
      <c r="M3560" s="80" t="s">
        <v>45</v>
      </c>
      <c r="N3560" s="80" t="s">
        <v>1384</v>
      </c>
      <c r="O3560" s="80" t="s">
        <v>13140</v>
      </c>
      <c r="P3560" s="80" t="s">
        <v>13141</v>
      </c>
      <c r="Q3560" s="20">
        <v>5736</v>
      </c>
      <c r="R3560" s="80" t="s">
        <v>36</v>
      </c>
      <c r="S3560" s="95">
        <v>5736</v>
      </c>
      <c r="T3560" s="148">
        <v>45550</v>
      </c>
      <c r="U3560" s="77"/>
      <c r="V3560" s="78">
        <v>45545</v>
      </c>
      <c r="W3560" s="79" t="s">
        <v>13142</v>
      </c>
      <c r="X3560" s="80">
        <v>0</v>
      </c>
      <c r="Y3560" s="22">
        <v>0</v>
      </c>
      <c r="Z3560" s="80" t="s">
        <v>50</v>
      </c>
      <c r="AA3560" s="35" t="s">
        <v>3291</v>
      </c>
      <c r="AB3560" s="80"/>
      <c r="AC3560" s="80" t="s">
        <v>53</v>
      </c>
      <c r="AD3560" s="80" t="s">
        <v>54</v>
      </c>
      <c r="AE3560" s="83">
        <v>0</v>
      </c>
      <c r="AF3560" s="17">
        <v>45551</v>
      </c>
      <c r="AG3560" s="80"/>
      <c r="AH3560" s="80"/>
      <c r="AI3560" s="147" t="s">
        <v>55</v>
      </c>
      <c r="AJ3560" s="80"/>
      <c r="AK3560" s="80"/>
      <c r="AL3560" s="35"/>
      <c r="AM3560" s="35"/>
      <c r="AN3560" s="35"/>
      <c r="AO3560" s="35"/>
      <c r="AP3560" s="35"/>
    </row>
    <row r="3561" spans="1:42" x14ac:dyDescent="0.2">
      <c r="A3561" s="126">
        <v>45550.636870775459</v>
      </c>
      <c r="B3561" s="137" t="s">
        <v>37</v>
      </c>
      <c r="C3561" s="41" t="s">
        <v>118</v>
      </c>
      <c r="D3561" s="80" t="s">
        <v>36</v>
      </c>
      <c r="E3561" s="80" t="s">
        <v>139</v>
      </c>
      <c r="F3561" s="80" t="s">
        <v>40</v>
      </c>
      <c r="G3561" s="26" t="s">
        <v>41</v>
      </c>
      <c r="H3561" s="80" t="s">
        <v>13143</v>
      </c>
      <c r="I3561" s="17">
        <f ca="1">IFERROR(__xludf.DUMMYFUNCTION("""COMPUTED_VALUE"""),45604)</f>
        <v>45604</v>
      </c>
      <c r="J3561" s="143" t="s">
        <v>13144</v>
      </c>
      <c r="K3561" s="80" t="s">
        <v>13145</v>
      </c>
      <c r="L3561" s="30">
        <v>353303631</v>
      </c>
      <c r="M3561" s="80" t="s">
        <v>45</v>
      </c>
      <c r="N3561" s="80" t="s">
        <v>5312</v>
      </c>
      <c r="O3561" s="80" t="s">
        <v>13146</v>
      </c>
      <c r="P3561" s="144" t="s">
        <v>13147</v>
      </c>
      <c r="Q3561" s="20">
        <v>15936</v>
      </c>
      <c r="R3561" s="80" t="s">
        <v>36</v>
      </c>
      <c r="S3561" s="95">
        <v>15936</v>
      </c>
      <c r="T3561" s="148">
        <v>45550</v>
      </c>
      <c r="U3561" s="77"/>
      <c r="V3561" s="78"/>
      <c r="W3561" s="85" t="s">
        <v>13148</v>
      </c>
      <c r="X3561" s="80">
        <v>0</v>
      </c>
      <c r="Y3561" s="22">
        <v>0</v>
      </c>
      <c r="Z3561" s="80" t="s">
        <v>50</v>
      </c>
      <c r="AA3561" s="96" t="s">
        <v>3291</v>
      </c>
      <c r="AB3561" s="80"/>
      <c r="AC3561" s="80" t="s">
        <v>53</v>
      </c>
      <c r="AD3561" s="80" t="s">
        <v>138</v>
      </c>
      <c r="AE3561" s="83">
        <v>0</v>
      </c>
      <c r="AF3561" s="17">
        <v>45555</v>
      </c>
      <c r="AG3561" s="80"/>
      <c r="AH3561" s="80"/>
      <c r="AI3561" s="147" t="s">
        <v>147</v>
      </c>
      <c r="AJ3561" s="80"/>
      <c r="AK3561" s="80"/>
      <c r="AL3561" s="35"/>
      <c r="AM3561" s="35"/>
      <c r="AN3561" s="35"/>
      <c r="AO3561" s="35"/>
      <c r="AP3561" s="35"/>
    </row>
    <row r="3562" spans="1:42" x14ac:dyDescent="0.2">
      <c r="A3562" s="126">
        <v>45550.639013229171</v>
      </c>
      <c r="B3562" s="137" t="s">
        <v>37</v>
      </c>
      <c r="C3562" s="41" t="s">
        <v>118</v>
      </c>
      <c r="D3562" s="80" t="s">
        <v>36</v>
      </c>
      <c r="E3562" s="80" t="s">
        <v>56</v>
      </c>
      <c r="F3562" s="80" t="s">
        <v>40</v>
      </c>
      <c r="G3562" s="80" t="s">
        <v>41</v>
      </c>
      <c r="H3562" s="80" t="s">
        <v>9614</v>
      </c>
      <c r="I3562" s="17">
        <f ca="1">IFERROR(__xludf.DUMMYFUNCTION("""COMPUTED_VALUE"""),45552)</f>
        <v>45552</v>
      </c>
      <c r="J3562" s="143" t="s">
        <v>13149</v>
      </c>
      <c r="K3562" s="80" t="s">
        <v>13150</v>
      </c>
      <c r="L3562" s="30">
        <v>385019562</v>
      </c>
      <c r="M3562" s="80" t="s">
        <v>45</v>
      </c>
      <c r="N3562" s="80" t="s">
        <v>1472</v>
      </c>
      <c r="O3562" s="80" t="s">
        <v>13151</v>
      </c>
      <c r="P3562" s="80" t="s">
        <v>13152</v>
      </c>
      <c r="Q3562" s="20">
        <v>9317</v>
      </c>
      <c r="R3562" s="80" t="s">
        <v>36</v>
      </c>
      <c r="S3562" s="95">
        <v>9317</v>
      </c>
      <c r="T3562" s="148">
        <v>45549</v>
      </c>
      <c r="U3562" s="77"/>
      <c r="V3562" s="78"/>
      <c r="W3562" s="79" t="s">
        <v>13153</v>
      </c>
      <c r="X3562" s="80">
        <v>0</v>
      </c>
      <c r="Y3562" s="22">
        <v>0</v>
      </c>
      <c r="Z3562" s="80" t="s">
        <v>50</v>
      </c>
      <c r="AA3562" s="35" t="s">
        <v>3291</v>
      </c>
      <c r="AB3562" s="80"/>
      <c r="AC3562" s="80" t="s">
        <v>53</v>
      </c>
      <c r="AD3562" s="80" t="s">
        <v>54</v>
      </c>
      <c r="AE3562" s="83">
        <v>0</v>
      </c>
      <c r="AF3562" s="17">
        <v>45551</v>
      </c>
      <c r="AG3562" s="80"/>
      <c r="AH3562" s="80"/>
      <c r="AI3562" s="147" t="s">
        <v>64</v>
      </c>
      <c r="AJ3562" s="80"/>
      <c r="AK3562" s="80"/>
      <c r="AL3562" s="35"/>
      <c r="AM3562" s="35"/>
      <c r="AN3562" s="35"/>
      <c r="AO3562" s="35"/>
      <c r="AP3562" s="35"/>
    </row>
    <row r="3563" spans="1:42" x14ac:dyDescent="0.2">
      <c r="A3563" s="126">
        <v>45550.973913506939</v>
      </c>
      <c r="B3563" s="137" t="s">
        <v>37</v>
      </c>
      <c r="C3563" s="41" t="s">
        <v>118</v>
      </c>
      <c r="D3563" s="80" t="s">
        <v>36</v>
      </c>
      <c r="E3563" s="80" t="s">
        <v>39</v>
      </c>
      <c r="F3563" s="80" t="s">
        <v>40</v>
      </c>
      <c r="G3563" s="80" t="s">
        <v>6516</v>
      </c>
      <c r="H3563" s="80" t="s">
        <v>11707</v>
      </c>
      <c r="I3563" s="17">
        <f ca="1">IFERROR(__xludf.DUMMYFUNCTION("""COMPUTED_VALUE"""),45551)</f>
        <v>45551</v>
      </c>
      <c r="J3563" s="143" t="s">
        <v>13154</v>
      </c>
      <c r="K3563" s="80" t="s">
        <v>13155</v>
      </c>
      <c r="L3563" s="30">
        <v>375412130</v>
      </c>
      <c r="M3563" s="80" t="s">
        <v>9422</v>
      </c>
      <c r="N3563" s="80" t="s">
        <v>13156</v>
      </c>
      <c r="O3563" s="80" t="s">
        <v>11607</v>
      </c>
      <c r="P3563" s="80" t="s">
        <v>11608</v>
      </c>
      <c r="Q3563" s="20">
        <v>5736</v>
      </c>
      <c r="R3563" s="80" t="s">
        <v>11421</v>
      </c>
      <c r="S3563" s="95">
        <v>2000</v>
      </c>
      <c r="T3563" s="148">
        <v>45550</v>
      </c>
      <c r="U3563" s="95">
        <v>3436</v>
      </c>
      <c r="V3563" s="148">
        <v>45565</v>
      </c>
      <c r="W3563" s="85" t="s">
        <v>13157</v>
      </c>
      <c r="X3563" s="80">
        <v>300</v>
      </c>
      <c r="Y3563" s="22">
        <v>0</v>
      </c>
      <c r="Z3563" s="80" t="s">
        <v>50</v>
      </c>
      <c r="AA3563" s="96" t="s">
        <v>3291</v>
      </c>
      <c r="AB3563" s="80"/>
      <c r="AC3563" s="80" t="s">
        <v>53</v>
      </c>
      <c r="AD3563" s="80" t="s">
        <v>138</v>
      </c>
      <c r="AE3563" s="80"/>
      <c r="AF3563" s="17">
        <v>45551</v>
      </c>
      <c r="AG3563" s="80" t="s">
        <v>7078</v>
      </c>
      <c r="AH3563" s="80"/>
      <c r="AI3563" s="147" t="s">
        <v>55</v>
      </c>
      <c r="AJ3563" s="80"/>
      <c r="AK3563" s="80"/>
      <c r="AL3563" s="35"/>
      <c r="AM3563" s="35"/>
      <c r="AN3563" s="35"/>
      <c r="AO3563" s="35"/>
      <c r="AP3563" s="35"/>
    </row>
    <row r="3564" spans="1:42" x14ac:dyDescent="0.2">
      <c r="A3564" s="126">
        <v>45551.335184791664</v>
      </c>
      <c r="B3564" s="137" t="s">
        <v>37</v>
      </c>
      <c r="C3564" s="41" t="s">
        <v>118</v>
      </c>
      <c r="D3564" s="80" t="s">
        <v>36</v>
      </c>
      <c r="E3564" s="80" t="s">
        <v>56</v>
      </c>
      <c r="F3564" s="80" t="s">
        <v>40</v>
      </c>
      <c r="G3564" s="80" t="s">
        <v>6516</v>
      </c>
      <c r="H3564" s="80" t="s">
        <v>12474</v>
      </c>
      <c r="I3564" s="17">
        <f ca="1">IFERROR(__xludf.DUMMYFUNCTION("""COMPUTED_VALUE"""),45551)</f>
        <v>45551</v>
      </c>
      <c r="J3564" s="143" t="s">
        <v>13158</v>
      </c>
      <c r="K3564" s="80" t="s">
        <v>13159</v>
      </c>
      <c r="L3564" s="30">
        <v>334254506</v>
      </c>
      <c r="M3564" s="80" t="s">
        <v>45</v>
      </c>
      <c r="N3564" s="80" t="s">
        <v>8420</v>
      </c>
      <c r="O3564" s="80" t="s">
        <v>13160</v>
      </c>
      <c r="P3564" s="80" t="s">
        <v>3694</v>
      </c>
      <c r="Q3564" s="20">
        <v>9317</v>
      </c>
      <c r="R3564" s="80" t="s">
        <v>36</v>
      </c>
      <c r="S3564" s="95">
        <v>4000</v>
      </c>
      <c r="T3564" s="148">
        <v>45527</v>
      </c>
      <c r="U3564" s="178">
        <v>5317</v>
      </c>
      <c r="V3564" s="169">
        <v>45557</v>
      </c>
      <c r="W3564" s="85" t="s">
        <v>13161</v>
      </c>
      <c r="X3564" s="80">
        <v>0</v>
      </c>
      <c r="Y3564" s="22">
        <v>0</v>
      </c>
      <c r="Z3564" s="80" t="s">
        <v>50</v>
      </c>
      <c r="AA3564" s="35" t="s">
        <v>3291</v>
      </c>
      <c r="AB3564" s="80"/>
      <c r="AC3564" s="80" t="s">
        <v>53</v>
      </c>
      <c r="AD3564" s="80" t="s">
        <v>138</v>
      </c>
      <c r="AE3564" s="83">
        <v>0</v>
      </c>
      <c r="AF3564" s="17">
        <v>45551</v>
      </c>
      <c r="AG3564" s="80"/>
      <c r="AH3564" s="80"/>
      <c r="AI3564" s="147" t="s">
        <v>64</v>
      </c>
      <c r="AJ3564" s="80"/>
      <c r="AK3564" s="80"/>
      <c r="AL3564" s="35"/>
      <c r="AM3564" s="35"/>
      <c r="AN3564" s="35"/>
      <c r="AO3564" s="35"/>
      <c r="AP3564" s="35"/>
    </row>
    <row r="3565" spans="1:42" x14ac:dyDescent="0.2">
      <c r="A3565" s="126">
        <v>45551.370492581016</v>
      </c>
      <c r="B3565" s="137" t="s">
        <v>37</v>
      </c>
      <c r="C3565" s="41" t="s">
        <v>118</v>
      </c>
      <c r="D3565" s="80" t="s">
        <v>36</v>
      </c>
      <c r="E3565" s="80" t="s">
        <v>119</v>
      </c>
      <c r="F3565" s="80" t="s">
        <v>40</v>
      </c>
      <c r="G3565" s="80" t="s">
        <v>108</v>
      </c>
      <c r="H3565" s="80" t="s">
        <v>8935</v>
      </c>
      <c r="I3565" s="17">
        <f ca="1">IFERROR(__xludf.DUMMYFUNCTION("""COMPUTED_VALUE"""),45557)</f>
        <v>45557</v>
      </c>
      <c r="J3565" s="143" t="s">
        <v>13162</v>
      </c>
      <c r="K3565" s="80" t="s">
        <v>13163</v>
      </c>
      <c r="L3565" s="30">
        <v>377165142</v>
      </c>
      <c r="M3565" s="80" t="s">
        <v>9422</v>
      </c>
      <c r="N3565" s="80" t="s">
        <v>13164</v>
      </c>
      <c r="O3565" s="80" t="s">
        <v>8827</v>
      </c>
      <c r="P3565" s="80" t="s">
        <v>13165</v>
      </c>
      <c r="Q3565" s="20">
        <v>13968</v>
      </c>
      <c r="R3565" s="80" t="s">
        <v>70</v>
      </c>
      <c r="S3565" s="95">
        <v>13868</v>
      </c>
      <c r="T3565" s="148">
        <v>45551</v>
      </c>
      <c r="U3565" s="77"/>
      <c r="V3565" s="78"/>
      <c r="W3565" s="85" t="s">
        <v>13166</v>
      </c>
      <c r="X3565" s="80">
        <v>100</v>
      </c>
      <c r="Y3565" s="22">
        <v>0</v>
      </c>
      <c r="Z3565" s="80" t="s">
        <v>50</v>
      </c>
      <c r="AA3565" s="96" t="s">
        <v>3291</v>
      </c>
      <c r="AB3565" s="80"/>
      <c r="AC3565" s="80" t="s">
        <v>53</v>
      </c>
      <c r="AD3565" s="80" t="s">
        <v>54</v>
      </c>
      <c r="AE3565" s="80"/>
      <c r="AF3565" s="17">
        <v>45553</v>
      </c>
      <c r="AG3565" s="80"/>
      <c r="AH3565" s="80"/>
      <c r="AI3565" s="147">
        <v>4</v>
      </c>
      <c r="AJ3565" s="80"/>
      <c r="AK3565" s="80"/>
      <c r="AL3565" s="35"/>
      <c r="AM3565" s="35"/>
      <c r="AN3565" s="35"/>
      <c r="AO3565" s="35"/>
      <c r="AP3565" s="35"/>
    </row>
    <row r="3566" spans="1:42" x14ac:dyDescent="0.2">
      <c r="A3566" s="126">
        <v>45551.371938460652</v>
      </c>
      <c r="B3566" s="137" t="s">
        <v>37</v>
      </c>
      <c r="C3566" s="41" t="s">
        <v>118</v>
      </c>
      <c r="D3566" s="80" t="s">
        <v>36</v>
      </c>
      <c r="E3566" s="80" t="s">
        <v>119</v>
      </c>
      <c r="F3566" s="80" t="s">
        <v>40</v>
      </c>
      <c r="G3566" s="80" t="s">
        <v>108</v>
      </c>
      <c r="H3566" s="80" t="s">
        <v>12982</v>
      </c>
      <c r="I3566" s="17">
        <f ca="1">IFERROR(__xludf.DUMMYFUNCTION("""COMPUTED_VALUE"""),45670)</f>
        <v>45670</v>
      </c>
      <c r="J3566" s="143" t="s">
        <v>13167</v>
      </c>
      <c r="K3566" s="80" t="s">
        <v>13168</v>
      </c>
      <c r="L3566" s="30">
        <v>946769734</v>
      </c>
      <c r="M3566" s="80" t="s">
        <v>9422</v>
      </c>
      <c r="N3566" s="80" t="s">
        <v>13164</v>
      </c>
      <c r="O3566" s="80" t="s">
        <v>13169</v>
      </c>
      <c r="P3566" s="80" t="s">
        <v>13170</v>
      </c>
      <c r="Q3566" s="20">
        <v>13968</v>
      </c>
      <c r="R3566" s="80" t="s">
        <v>70</v>
      </c>
      <c r="S3566" s="95">
        <v>13868</v>
      </c>
      <c r="T3566" s="148">
        <v>45549</v>
      </c>
      <c r="U3566" s="77"/>
      <c r="V3566" s="78"/>
      <c r="W3566" s="85" t="s">
        <v>13171</v>
      </c>
      <c r="X3566" s="80">
        <v>100</v>
      </c>
      <c r="Y3566" s="22">
        <v>0</v>
      </c>
      <c r="Z3566" s="80" t="s">
        <v>50</v>
      </c>
      <c r="AA3566" s="35" t="s">
        <v>3291</v>
      </c>
      <c r="AB3566" s="80"/>
      <c r="AC3566" s="80" t="s">
        <v>53</v>
      </c>
      <c r="AD3566" s="80" t="s">
        <v>54</v>
      </c>
      <c r="AE3566" s="83">
        <v>460</v>
      </c>
      <c r="AF3566" s="17">
        <v>45551</v>
      </c>
      <c r="AG3566" s="80"/>
      <c r="AH3566" s="80"/>
      <c r="AI3566" s="147">
        <v>4</v>
      </c>
      <c r="AJ3566" s="80"/>
      <c r="AK3566" s="80"/>
      <c r="AL3566" s="35"/>
      <c r="AM3566" s="35"/>
      <c r="AN3566" s="35"/>
      <c r="AO3566" s="35"/>
      <c r="AP3566" s="35"/>
    </row>
    <row r="3567" spans="1:42" x14ac:dyDescent="0.2">
      <c r="A3567" s="126">
        <v>45551.430644664353</v>
      </c>
      <c r="B3567" s="137" t="s">
        <v>37</v>
      </c>
      <c r="C3567" s="41" t="s">
        <v>118</v>
      </c>
      <c r="D3567" s="80" t="s">
        <v>36</v>
      </c>
      <c r="E3567" s="80" t="s">
        <v>77</v>
      </c>
      <c r="F3567" s="80" t="s">
        <v>36</v>
      </c>
      <c r="G3567" s="80" t="s">
        <v>6516</v>
      </c>
      <c r="H3567" s="80" t="s">
        <v>11707</v>
      </c>
      <c r="I3567" s="17">
        <f ca="1">IFERROR(__xludf.DUMMYFUNCTION("""COMPUTED_VALUE"""),45551)</f>
        <v>45551</v>
      </c>
      <c r="J3567" s="143" t="s">
        <v>13172</v>
      </c>
      <c r="K3567" s="80" t="s">
        <v>151</v>
      </c>
      <c r="L3567" s="30">
        <v>344873645</v>
      </c>
      <c r="M3567" s="80" t="s">
        <v>9422</v>
      </c>
      <c r="N3567" s="80" t="s">
        <v>13156</v>
      </c>
      <c r="O3567" s="80" t="s">
        <v>36</v>
      </c>
      <c r="P3567" s="80" t="s">
        <v>3117</v>
      </c>
      <c r="Q3567" s="20">
        <v>1968</v>
      </c>
      <c r="R3567" s="80" t="s">
        <v>70</v>
      </c>
      <c r="S3567" s="95">
        <v>1968</v>
      </c>
      <c r="T3567" s="148">
        <v>45550</v>
      </c>
      <c r="U3567" s="77"/>
      <c r="V3567" s="78"/>
      <c r="W3567" s="85" t="s">
        <v>13173</v>
      </c>
      <c r="X3567" s="80">
        <v>100</v>
      </c>
      <c r="Y3567" s="22">
        <v>-100</v>
      </c>
      <c r="Z3567" s="80" t="s">
        <v>50</v>
      </c>
      <c r="AA3567" s="96" t="s">
        <v>3291</v>
      </c>
      <c r="AB3567" s="80"/>
      <c r="AC3567" s="80" t="s">
        <v>53</v>
      </c>
      <c r="AD3567" s="80" t="s">
        <v>138</v>
      </c>
      <c r="AE3567" s="80" t="s">
        <v>91</v>
      </c>
      <c r="AF3567" s="17">
        <v>45551</v>
      </c>
      <c r="AG3567" s="80" t="s">
        <v>7078</v>
      </c>
      <c r="AH3567" s="80"/>
      <c r="AI3567" s="147" t="s">
        <v>84</v>
      </c>
      <c r="AJ3567" s="80"/>
      <c r="AK3567" s="80"/>
      <c r="AL3567" s="35"/>
      <c r="AM3567" s="35"/>
      <c r="AN3567" s="35"/>
      <c r="AO3567" s="35"/>
      <c r="AP3567" s="35"/>
    </row>
    <row r="3568" spans="1:42" x14ac:dyDescent="0.2">
      <c r="A3568" s="126">
        <v>45551.440858379632</v>
      </c>
      <c r="B3568" s="137" t="s">
        <v>37</v>
      </c>
      <c r="C3568" s="41" t="s">
        <v>118</v>
      </c>
      <c r="D3568" s="80" t="s">
        <v>36</v>
      </c>
      <c r="E3568" s="80" t="s">
        <v>56</v>
      </c>
      <c r="F3568" s="26" t="s">
        <v>36</v>
      </c>
      <c r="G3568" s="26" t="s">
        <v>41</v>
      </c>
      <c r="H3568" s="80" t="s">
        <v>12766</v>
      </c>
      <c r="I3568" s="17">
        <f ca="1">IFERROR(__xludf.DUMMYFUNCTION("""COMPUTED_VALUE"""),45555)</f>
        <v>45555</v>
      </c>
      <c r="J3568" s="143" t="s">
        <v>13174</v>
      </c>
      <c r="K3568" s="80" t="s">
        <v>13175</v>
      </c>
      <c r="L3568" s="30">
        <v>326880393</v>
      </c>
      <c r="M3568" s="80" t="s">
        <v>45</v>
      </c>
      <c r="N3568" s="80" t="s">
        <v>1472</v>
      </c>
      <c r="O3568" s="80" t="s">
        <v>13176</v>
      </c>
      <c r="P3568" s="80" t="s">
        <v>3694</v>
      </c>
      <c r="Q3568" s="20">
        <v>9317</v>
      </c>
      <c r="R3568" s="80" t="s">
        <v>36</v>
      </c>
      <c r="S3568" s="95">
        <v>9317</v>
      </c>
      <c r="T3568" s="148">
        <v>45551</v>
      </c>
      <c r="U3568" s="77"/>
      <c r="V3568" s="78"/>
      <c r="W3568" s="80" t="s">
        <v>13177</v>
      </c>
      <c r="X3568" s="80">
        <v>0</v>
      </c>
      <c r="Y3568" s="22">
        <v>0</v>
      </c>
      <c r="Z3568" s="80" t="s">
        <v>50</v>
      </c>
      <c r="AA3568" s="35" t="s">
        <v>3291</v>
      </c>
      <c r="AB3568" s="80"/>
      <c r="AC3568" s="80" t="s">
        <v>53</v>
      </c>
      <c r="AD3568" s="80" t="s">
        <v>138</v>
      </c>
      <c r="AE3568" s="83">
        <v>0</v>
      </c>
      <c r="AF3568" s="17">
        <v>45555</v>
      </c>
      <c r="AG3568" s="80"/>
      <c r="AH3568" s="80"/>
      <c r="AI3568" s="147" t="s">
        <v>64</v>
      </c>
      <c r="AJ3568" s="80"/>
      <c r="AK3568" s="80"/>
      <c r="AL3568" s="35"/>
      <c r="AM3568" s="35"/>
      <c r="AN3568" s="35"/>
      <c r="AO3568" s="35"/>
      <c r="AP3568" s="35"/>
    </row>
    <row r="3569" spans="1:42" x14ac:dyDescent="0.2">
      <c r="A3569" s="126">
        <v>45551.461079490742</v>
      </c>
      <c r="B3569" s="137" t="s">
        <v>37</v>
      </c>
      <c r="C3569" s="41" t="s">
        <v>118</v>
      </c>
      <c r="D3569" s="80" t="s">
        <v>36</v>
      </c>
      <c r="E3569" s="80" t="s">
        <v>77</v>
      </c>
      <c r="F3569" s="80" t="s">
        <v>40</v>
      </c>
      <c r="G3569" s="80" t="s">
        <v>41</v>
      </c>
      <c r="H3569" s="80" t="s">
        <v>13178</v>
      </c>
      <c r="I3569" s="17">
        <f ca="1">IFERROR(__xludf.DUMMYFUNCTION("""COMPUTED_VALUE"""),45572)</f>
        <v>45572</v>
      </c>
      <c r="J3569" s="143" t="s">
        <v>13179</v>
      </c>
      <c r="K3569" s="80" t="s">
        <v>13180</v>
      </c>
      <c r="L3569" s="30">
        <v>382161608</v>
      </c>
      <c r="M3569" s="80" t="s">
        <v>12720</v>
      </c>
      <c r="N3569" s="80" t="s">
        <v>1073</v>
      </c>
      <c r="O3569" s="80" t="s">
        <v>13181</v>
      </c>
      <c r="P3569" s="80" t="s">
        <v>13182</v>
      </c>
      <c r="Q3569" s="20">
        <v>1968</v>
      </c>
      <c r="R3569" s="80" t="s">
        <v>36</v>
      </c>
      <c r="S3569" s="95">
        <f>500+1468</f>
        <v>1968</v>
      </c>
      <c r="T3569" s="83" t="s">
        <v>13183</v>
      </c>
      <c r="U3569" s="77"/>
      <c r="V3569" s="78"/>
      <c r="W3569" s="85" t="s">
        <v>13184</v>
      </c>
      <c r="X3569" s="80">
        <v>0</v>
      </c>
      <c r="Y3569" s="22">
        <v>0</v>
      </c>
      <c r="Z3569" s="80" t="s">
        <v>50</v>
      </c>
      <c r="AA3569" s="96" t="s">
        <v>3291</v>
      </c>
      <c r="AB3569" s="80"/>
      <c r="AC3569" s="80" t="s">
        <v>53</v>
      </c>
      <c r="AD3569" s="80" t="s">
        <v>138</v>
      </c>
      <c r="AE3569" s="83">
        <v>0</v>
      </c>
      <c r="AF3569" s="17">
        <v>45572</v>
      </c>
      <c r="AG3569" s="80" t="s">
        <v>13185</v>
      </c>
      <c r="AH3569" s="80"/>
      <c r="AI3569" s="147" t="s">
        <v>84</v>
      </c>
      <c r="AJ3569" s="80"/>
      <c r="AK3569" s="80"/>
      <c r="AL3569" s="35"/>
      <c r="AM3569" s="35"/>
      <c r="AN3569" s="35"/>
      <c r="AO3569" s="35"/>
      <c r="AP3569" s="35"/>
    </row>
    <row r="3570" spans="1:42" x14ac:dyDescent="0.2">
      <c r="A3570" s="126">
        <v>45551.576036400467</v>
      </c>
      <c r="B3570" s="137" t="s">
        <v>37</v>
      </c>
      <c r="C3570" s="41" t="s">
        <v>118</v>
      </c>
      <c r="D3570" s="80" t="s">
        <v>36</v>
      </c>
      <c r="E3570" s="80" t="s">
        <v>139</v>
      </c>
      <c r="F3570" s="80" t="s">
        <v>36</v>
      </c>
      <c r="G3570" s="26" t="s">
        <v>41</v>
      </c>
      <c r="H3570" s="80" t="s">
        <v>13186</v>
      </c>
      <c r="I3570" s="17">
        <f ca="1">IFERROR(__xludf.DUMMYFUNCTION("""COMPUTED_VALUE"""),45561)</f>
        <v>45561</v>
      </c>
      <c r="J3570" s="143" t="s">
        <v>13187</v>
      </c>
      <c r="K3570" s="80" t="s">
        <v>13188</v>
      </c>
      <c r="L3570" s="30">
        <v>837987735</v>
      </c>
      <c r="M3570" s="80" t="s">
        <v>45</v>
      </c>
      <c r="N3570" s="80" t="s">
        <v>11703</v>
      </c>
      <c r="O3570" s="80" t="s">
        <v>13189</v>
      </c>
      <c r="P3570" s="115" t="s">
        <v>13190</v>
      </c>
      <c r="Q3570" s="20">
        <v>15936</v>
      </c>
      <c r="R3570" s="80" t="s">
        <v>36</v>
      </c>
      <c r="S3570" s="178">
        <f>500+15436</f>
        <v>15936</v>
      </c>
      <c r="T3570" s="83" t="s">
        <v>13191</v>
      </c>
      <c r="U3570" s="77"/>
      <c r="V3570" s="86"/>
      <c r="W3570" s="80" t="s">
        <v>13192</v>
      </c>
      <c r="X3570" s="80">
        <v>0</v>
      </c>
      <c r="Y3570" s="22">
        <v>0</v>
      </c>
      <c r="Z3570" s="80" t="s">
        <v>50</v>
      </c>
      <c r="AA3570" s="35" t="s">
        <v>3291</v>
      </c>
      <c r="AB3570" s="80"/>
      <c r="AC3570" s="80" t="s">
        <v>53</v>
      </c>
      <c r="AD3570" s="80" t="s">
        <v>138</v>
      </c>
      <c r="AE3570" s="83">
        <v>0</v>
      </c>
      <c r="AF3570" s="17">
        <v>45556</v>
      </c>
      <c r="AG3570" s="80"/>
      <c r="AH3570" s="80"/>
      <c r="AI3570" s="147" t="s">
        <v>147</v>
      </c>
      <c r="AJ3570" s="80"/>
      <c r="AK3570" s="80"/>
      <c r="AL3570" s="35"/>
      <c r="AM3570" s="35"/>
      <c r="AN3570" s="35"/>
      <c r="AO3570" s="35"/>
      <c r="AP3570" s="35"/>
    </row>
    <row r="3571" spans="1:42" x14ac:dyDescent="0.2">
      <c r="A3571" s="126">
        <v>45551.590312534725</v>
      </c>
      <c r="B3571" s="137" t="s">
        <v>37</v>
      </c>
      <c r="C3571" s="41" t="s">
        <v>118</v>
      </c>
      <c r="D3571" s="80" t="s">
        <v>36</v>
      </c>
      <c r="E3571" s="80" t="s">
        <v>39</v>
      </c>
      <c r="F3571" s="80" t="s">
        <v>36</v>
      </c>
      <c r="G3571" s="80" t="s">
        <v>41</v>
      </c>
      <c r="H3571" s="80" t="s">
        <v>11595</v>
      </c>
      <c r="I3571" s="17">
        <f ca="1">IFERROR(__xludf.DUMMYFUNCTION("""COMPUTED_VALUE"""),45554)</f>
        <v>45554</v>
      </c>
      <c r="J3571" s="143" t="s">
        <v>13193</v>
      </c>
      <c r="K3571" s="80" t="s">
        <v>10181</v>
      </c>
      <c r="L3571" s="30">
        <v>325492108</v>
      </c>
      <c r="M3571" s="80" t="s">
        <v>45</v>
      </c>
      <c r="N3571" s="80" t="s">
        <v>299</v>
      </c>
      <c r="O3571" s="80" t="s">
        <v>13194</v>
      </c>
      <c r="P3571" s="80" t="s">
        <v>7743</v>
      </c>
      <c r="Q3571" s="20">
        <v>5736</v>
      </c>
      <c r="R3571" s="80" t="s">
        <v>36</v>
      </c>
      <c r="S3571" s="95">
        <f>1000+4736</f>
        <v>5736</v>
      </c>
      <c r="T3571" s="148">
        <v>45531</v>
      </c>
      <c r="U3571" s="95"/>
      <c r="V3571" s="148">
        <v>45552</v>
      </c>
      <c r="W3571" s="85" t="s">
        <v>13195</v>
      </c>
      <c r="X3571" s="80">
        <v>0</v>
      </c>
      <c r="Y3571" s="22">
        <v>0</v>
      </c>
      <c r="Z3571" s="80" t="s">
        <v>50</v>
      </c>
      <c r="AA3571" s="96" t="s">
        <v>3291</v>
      </c>
      <c r="AB3571" s="80"/>
      <c r="AC3571" s="80" t="s">
        <v>53</v>
      </c>
      <c r="AD3571" s="80" t="s">
        <v>138</v>
      </c>
      <c r="AE3571" s="83">
        <v>0</v>
      </c>
      <c r="AF3571" s="17">
        <v>45554</v>
      </c>
      <c r="AG3571" s="80"/>
      <c r="AH3571" s="80"/>
      <c r="AI3571" s="147" t="s">
        <v>55</v>
      </c>
      <c r="AJ3571" s="80"/>
      <c r="AK3571" s="80"/>
      <c r="AL3571" s="35"/>
      <c r="AM3571" s="35"/>
      <c r="AN3571" s="35"/>
      <c r="AO3571" s="35"/>
      <c r="AP3571" s="35"/>
    </row>
    <row r="3572" spans="1:42" x14ac:dyDescent="0.2">
      <c r="A3572" s="126">
        <v>45551.596862997685</v>
      </c>
      <c r="B3572" s="137" t="s">
        <v>37</v>
      </c>
      <c r="C3572" s="41" t="s">
        <v>118</v>
      </c>
      <c r="D3572" s="80" t="s">
        <v>36</v>
      </c>
      <c r="E3572" s="80" t="s">
        <v>139</v>
      </c>
      <c r="F3572" s="80" t="s">
        <v>40</v>
      </c>
      <c r="G3572" s="80" t="s">
        <v>41</v>
      </c>
      <c r="H3572" s="80" t="s">
        <v>11845</v>
      </c>
      <c r="I3572" s="17">
        <f ca="1">IFERROR(__xludf.DUMMYFUNCTION("""COMPUTED_VALUE"""),45552)</f>
        <v>45552</v>
      </c>
      <c r="J3572" s="143" t="s">
        <v>13196</v>
      </c>
      <c r="K3572" s="80" t="s">
        <v>13197</v>
      </c>
      <c r="L3572" s="30">
        <v>968208165</v>
      </c>
      <c r="M3572" s="80" t="s">
        <v>5429</v>
      </c>
      <c r="N3572" s="80" t="s">
        <v>1594</v>
      </c>
      <c r="O3572" s="80" t="s">
        <v>4626</v>
      </c>
      <c r="P3572" s="80" t="s">
        <v>12597</v>
      </c>
      <c r="Q3572" s="20">
        <v>15936</v>
      </c>
      <c r="R3572" s="80" t="s">
        <v>70</v>
      </c>
      <c r="S3572" s="95">
        <v>12000</v>
      </c>
      <c r="T3572" s="148">
        <v>45551</v>
      </c>
      <c r="U3572" s="95">
        <v>3836</v>
      </c>
      <c r="V3572" s="148">
        <v>45551</v>
      </c>
      <c r="W3572" s="85" t="s">
        <v>13198</v>
      </c>
      <c r="X3572" s="80">
        <v>100</v>
      </c>
      <c r="Y3572" s="22">
        <v>0</v>
      </c>
      <c r="Z3572" s="80" t="s">
        <v>50</v>
      </c>
      <c r="AA3572" s="35" t="s">
        <v>3291</v>
      </c>
      <c r="AB3572" s="80"/>
      <c r="AC3572" s="80" t="s">
        <v>53</v>
      </c>
      <c r="AD3572" s="80" t="s">
        <v>138</v>
      </c>
      <c r="AE3572" s="80" t="s">
        <v>430</v>
      </c>
      <c r="AF3572" s="17">
        <v>45555</v>
      </c>
      <c r="AG3572" s="80"/>
      <c r="AH3572" s="80"/>
      <c r="AI3572" s="147" t="s">
        <v>147</v>
      </c>
      <c r="AJ3572" s="80"/>
      <c r="AK3572" s="80"/>
      <c r="AL3572" s="35"/>
      <c r="AM3572" s="35"/>
      <c r="AN3572" s="35"/>
      <c r="AO3572" s="35"/>
      <c r="AP3572" s="35"/>
    </row>
    <row r="3573" spans="1:42" x14ac:dyDescent="0.2">
      <c r="A3573" s="126">
        <v>45551.638357719909</v>
      </c>
      <c r="B3573" s="137" t="s">
        <v>37</v>
      </c>
      <c r="C3573" s="41" t="s">
        <v>118</v>
      </c>
      <c r="D3573" s="80" t="s">
        <v>36</v>
      </c>
      <c r="E3573" s="80" t="s">
        <v>106</v>
      </c>
      <c r="F3573" s="80" t="s">
        <v>40</v>
      </c>
      <c r="G3573" s="80" t="s">
        <v>108</v>
      </c>
      <c r="H3573" s="80" t="s">
        <v>6919</v>
      </c>
      <c r="I3573" s="17">
        <f ca="1">IFERROR(__xludf.DUMMYFUNCTION("""COMPUTED_VALUE"""),45552)</f>
        <v>45552</v>
      </c>
      <c r="J3573" s="143" t="s">
        <v>13199</v>
      </c>
      <c r="K3573" s="80" t="s">
        <v>13200</v>
      </c>
      <c r="L3573" s="30">
        <v>335786108</v>
      </c>
      <c r="M3573" s="80" t="s">
        <v>112</v>
      </c>
      <c r="N3573" s="80" t="s">
        <v>1673</v>
      </c>
      <c r="O3573" s="80" t="s">
        <v>13201</v>
      </c>
      <c r="P3573" s="80" t="s">
        <v>13202</v>
      </c>
      <c r="Q3573" s="20">
        <v>3768</v>
      </c>
      <c r="R3573" s="80" t="s">
        <v>36</v>
      </c>
      <c r="S3573" s="95">
        <v>3768</v>
      </c>
      <c r="T3573" s="148">
        <v>45551</v>
      </c>
      <c r="U3573" s="77"/>
      <c r="V3573" s="78"/>
      <c r="W3573" s="85" t="s">
        <v>13203</v>
      </c>
      <c r="X3573" s="80">
        <v>0</v>
      </c>
      <c r="Y3573" s="22">
        <v>0</v>
      </c>
      <c r="Z3573" s="80" t="s">
        <v>50</v>
      </c>
      <c r="AA3573" s="96" t="s">
        <v>3291</v>
      </c>
      <c r="AB3573" s="80"/>
      <c r="AC3573" s="80" t="s">
        <v>53</v>
      </c>
      <c r="AD3573" s="80" t="s">
        <v>138</v>
      </c>
      <c r="AE3573" s="83">
        <v>370</v>
      </c>
      <c r="AF3573" s="17">
        <v>45552</v>
      </c>
      <c r="AG3573" s="26" t="s">
        <v>4996</v>
      </c>
      <c r="AH3573" s="80"/>
      <c r="AI3573" s="147">
        <v>1</v>
      </c>
      <c r="AJ3573" s="80"/>
      <c r="AK3573" s="80"/>
      <c r="AL3573" s="35"/>
      <c r="AM3573" s="35"/>
      <c r="AN3573" s="35"/>
      <c r="AO3573" s="35"/>
      <c r="AP3573" s="35"/>
    </row>
    <row r="3574" spans="1:42" x14ac:dyDescent="0.2">
      <c r="A3574" s="126">
        <v>45551.646886331015</v>
      </c>
      <c r="B3574" s="137" t="s">
        <v>37</v>
      </c>
      <c r="C3574" s="41" t="s">
        <v>118</v>
      </c>
      <c r="D3574" s="80" t="s">
        <v>77</v>
      </c>
      <c r="E3574" s="80" t="s">
        <v>106</v>
      </c>
      <c r="F3574" s="80" t="s">
        <v>9419</v>
      </c>
      <c r="G3574" s="80" t="s">
        <v>108</v>
      </c>
      <c r="H3574" s="80" t="s">
        <v>9768</v>
      </c>
      <c r="I3574" s="17">
        <f ca="1">IFERROR(__xludf.DUMMYFUNCTION("""COMPUTED_VALUE"""),45578)</f>
        <v>45578</v>
      </c>
      <c r="J3574" s="143" t="s">
        <v>9420</v>
      </c>
      <c r="K3574" s="80" t="s">
        <v>9421</v>
      </c>
      <c r="L3574" s="30">
        <v>389977131</v>
      </c>
      <c r="M3574" s="80" t="s">
        <v>9422</v>
      </c>
      <c r="N3574" s="80" t="s">
        <v>5574</v>
      </c>
      <c r="O3574" s="80" t="s">
        <v>2144</v>
      </c>
      <c r="P3574" s="80" t="s">
        <v>8055</v>
      </c>
      <c r="Q3574" s="20">
        <v>3768</v>
      </c>
      <c r="R3574" s="80" t="s">
        <v>36</v>
      </c>
      <c r="S3574" s="95">
        <v>3768</v>
      </c>
      <c r="T3574" s="148">
        <v>45550</v>
      </c>
      <c r="U3574" s="77"/>
      <c r="V3574" s="78"/>
      <c r="W3574" s="85" t="s">
        <v>13204</v>
      </c>
      <c r="X3574" s="80">
        <v>100</v>
      </c>
      <c r="Y3574" s="22">
        <v>-100</v>
      </c>
      <c r="Z3574" s="80" t="s">
        <v>50</v>
      </c>
      <c r="AA3574" s="35" t="s">
        <v>3291</v>
      </c>
      <c r="AB3574" s="80"/>
      <c r="AC3574" s="80" t="s">
        <v>53</v>
      </c>
      <c r="AD3574" s="80" t="s">
        <v>138</v>
      </c>
      <c r="AE3574" s="80" t="s">
        <v>13205</v>
      </c>
      <c r="AF3574" s="43">
        <v>45576</v>
      </c>
      <c r="AG3574" s="80" t="s">
        <v>12541</v>
      </c>
      <c r="AH3574" s="80"/>
      <c r="AI3574" s="147">
        <v>1</v>
      </c>
      <c r="AJ3574" s="80"/>
      <c r="AK3574" s="80"/>
      <c r="AL3574" s="35"/>
      <c r="AM3574" s="35"/>
      <c r="AN3574" s="35"/>
      <c r="AO3574" s="35"/>
      <c r="AP3574" s="35"/>
    </row>
    <row r="3575" spans="1:42" x14ac:dyDescent="0.2">
      <c r="A3575" s="126">
        <v>45551.655193043982</v>
      </c>
      <c r="B3575" s="137" t="s">
        <v>37</v>
      </c>
      <c r="C3575" s="41" t="s">
        <v>118</v>
      </c>
      <c r="D3575" s="80" t="s">
        <v>36</v>
      </c>
      <c r="E3575" s="80" t="s">
        <v>139</v>
      </c>
      <c r="F3575" s="80" t="s">
        <v>40</v>
      </c>
      <c r="G3575" s="80" t="s">
        <v>41</v>
      </c>
      <c r="H3575" s="80" t="s">
        <v>13206</v>
      </c>
      <c r="I3575" s="17">
        <f ca="1">IFERROR(__xludf.DUMMYFUNCTION("""COMPUTED_VALUE"""),45559)</f>
        <v>45559</v>
      </c>
      <c r="J3575" s="172" t="s">
        <v>13207</v>
      </c>
      <c r="K3575" s="80" t="s">
        <v>6794</v>
      </c>
      <c r="L3575" s="30">
        <v>906091643</v>
      </c>
      <c r="M3575" s="80" t="s">
        <v>9422</v>
      </c>
      <c r="N3575" s="80" t="s">
        <v>13208</v>
      </c>
      <c r="O3575" s="80" t="s">
        <v>8827</v>
      </c>
      <c r="P3575" s="80" t="s">
        <v>13209</v>
      </c>
      <c r="Q3575" s="20">
        <v>15936</v>
      </c>
      <c r="R3575" s="80" t="s">
        <v>36</v>
      </c>
      <c r="S3575" s="95">
        <v>8000</v>
      </c>
      <c r="T3575" s="148">
        <v>45548</v>
      </c>
      <c r="U3575" s="95">
        <v>7936</v>
      </c>
      <c r="V3575" s="148">
        <v>45553</v>
      </c>
      <c r="W3575" s="85" t="s">
        <v>13210</v>
      </c>
      <c r="X3575" s="80">
        <v>0</v>
      </c>
      <c r="Y3575" s="22">
        <v>0</v>
      </c>
      <c r="Z3575" s="80" t="s">
        <v>50</v>
      </c>
      <c r="AA3575" s="96" t="s">
        <v>3291</v>
      </c>
      <c r="AB3575" s="80"/>
      <c r="AC3575" s="80" t="s">
        <v>53</v>
      </c>
      <c r="AD3575" s="80" t="s">
        <v>54</v>
      </c>
      <c r="AE3575" s="80"/>
      <c r="AF3575" s="17">
        <v>45554</v>
      </c>
      <c r="AG3575" s="80"/>
      <c r="AH3575" s="80"/>
      <c r="AI3575" s="147" t="s">
        <v>147</v>
      </c>
      <c r="AJ3575" s="80"/>
      <c r="AK3575" s="80"/>
      <c r="AL3575" s="35"/>
      <c r="AM3575" s="35"/>
      <c r="AN3575" s="35"/>
      <c r="AO3575" s="35"/>
      <c r="AP3575" s="35"/>
    </row>
    <row r="3576" spans="1:42" x14ac:dyDescent="0.2">
      <c r="A3576" s="126">
        <v>45551.660854409725</v>
      </c>
      <c r="B3576" s="137" t="s">
        <v>90</v>
      </c>
      <c r="C3576" s="41" t="s">
        <v>118</v>
      </c>
      <c r="D3576" s="80" t="s">
        <v>36</v>
      </c>
      <c r="E3576" s="80" t="s">
        <v>77</v>
      </c>
      <c r="F3576" s="80" t="s">
        <v>40</v>
      </c>
      <c r="G3576" s="80" t="s">
        <v>41</v>
      </c>
      <c r="H3576" s="80" t="s">
        <v>11183</v>
      </c>
      <c r="I3576" s="17">
        <f ca="1">IFERROR(__xludf.DUMMYFUNCTION("""COMPUTED_VALUE"""),45554)</f>
        <v>45554</v>
      </c>
      <c r="J3576" s="143" t="s">
        <v>13211</v>
      </c>
      <c r="K3576" s="80" t="s">
        <v>13212</v>
      </c>
      <c r="L3576" s="30">
        <v>388111256</v>
      </c>
      <c r="M3576" s="80" t="s">
        <v>123</v>
      </c>
      <c r="N3576" s="80" t="s">
        <v>327</v>
      </c>
      <c r="O3576" s="80" t="s">
        <v>4503</v>
      </c>
      <c r="P3576" s="80" t="s">
        <v>3487</v>
      </c>
      <c r="Q3576" s="20">
        <v>1968</v>
      </c>
      <c r="R3576" s="80" t="s">
        <v>70</v>
      </c>
      <c r="S3576" s="95">
        <v>1968</v>
      </c>
      <c r="T3576" s="148">
        <v>45550</v>
      </c>
      <c r="U3576" s="77"/>
      <c r="V3576" s="78"/>
      <c r="W3576" s="85" t="s">
        <v>13213</v>
      </c>
      <c r="X3576" s="80">
        <v>100</v>
      </c>
      <c r="Y3576" s="22">
        <v>-100</v>
      </c>
      <c r="Z3576" s="80" t="s">
        <v>50</v>
      </c>
      <c r="AA3576" s="35" t="s">
        <v>3291</v>
      </c>
      <c r="AB3576" s="80"/>
      <c r="AC3576" s="80" t="s">
        <v>53</v>
      </c>
      <c r="AD3576" s="80" t="s">
        <v>138</v>
      </c>
      <c r="AE3576" s="80"/>
      <c r="AF3576" s="17">
        <v>45554</v>
      </c>
      <c r="AG3576" s="80"/>
      <c r="AH3576" s="80"/>
      <c r="AI3576" s="147" t="s">
        <v>84</v>
      </c>
      <c r="AJ3576" s="80"/>
      <c r="AK3576" s="80"/>
      <c r="AL3576" s="35"/>
      <c r="AM3576" s="35"/>
      <c r="AN3576" s="35"/>
      <c r="AO3576" s="35"/>
      <c r="AP3576" s="35"/>
    </row>
    <row r="3577" spans="1:42" x14ac:dyDescent="0.2">
      <c r="A3577" s="126">
        <v>45551.704460462963</v>
      </c>
      <c r="B3577" s="137" t="s">
        <v>37</v>
      </c>
      <c r="C3577" s="41" t="s">
        <v>118</v>
      </c>
      <c r="D3577" s="80" t="s">
        <v>36</v>
      </c>
      <c r="E3577" s="80" t="s">
        <v>56</v>
      </c>
      <c r="F3577" s="80" t="s">
        <v>36</v>
      </c>
      <c r="G3577" s="80" t="s">
        <v>41</v>
      </c>
      <c r="H3577" s="80" t="s">
        <v>11610</v>
      </c>
      <c r="I3577" s="17">
        <f ca="1">IFERROR(__xludf.DUMMYFUNCTION("""COMPUTED_VALUE"""),45552)</f>
        <v>45552</v>
      </c>
      <c r="J3577" s="143" t="s">
        <v>13214</v>
      </c>
      <c r="K3577" s="80" t="s">
        <v>13215</v>
      </c>
      <c r="L3577" s="30">
        <v>368130450</v>
      </c>
      <c r="M3577" s="80" t="s">
        <v>11413</v>
      </c>
      <c r="N3577" s="80" t="s">
        <v>1246</v>
      </c>
      <c r="O3577" s="80" t="s">
        <v>13216</v>
      </c>
      <c r="P3577" s="80" t="s">
        <v>13217</v>
      </c>
      <c r="Q3577" s="20">
        <v>9317</v>
      </c>
      <c r="R3577" s="80" t="s">
        <v>36</v>
      </c>
      <c r="S3577" s="95">
        <v>9317</v>
      </c>
      <c r="T3577" s="148">
        <v>45551</v>
      </c>
      <c r="U3577" s="77"/>
      <c r="V3577" s="78"/>
      <c r="W3577" s="85" t="s">
        <v>13218</v>
      </c>
      <c r="X3577" s="80">
        <v>0</v>
      </c>
      <c r="Y3577" s="22">
        <v>0</v>
      </c>
      <c r="Z3577" s="80" t="s">
        <v>50</v>
      </c>
      <c r="AA3577" s="96" t="s">
        <v>3291</v>
      </c>
      <c r="AB3577" s="80"/>
      <c r="AC3577" s="80" t="s">
        <v>53</v>
      </c>
      <c r="AD3577" s="80" t="s">
        <v>138</v>
      </c>
      <c r="AE3577" s="80" t="s">
        <v>72</v>
      </c>
      <c r="AF3577" s="17">
        <v>45551</v>
      </c>
      <c r="AG3577" s="80"/>
      <c r="AH3577" s="80"/>
      <c r="AI3577" s="147" t="s">
        <v>64</v>
      </c>
      <c r="AJ3577" s="80"/>
      <c r="AK3577" s="80"/>
      <c r="AL3577" s="35"/>
      <c r="AM3577" s="35"/>
      <c r="AN3577" s="35"/>
      <c r="AO3577" s="35"/>
      <c r="AP3577" s="35"/>
    </row>
    <row r="3578" spans="1:42" x14ac:dyDescent="0.2">
      <c r="A3578" s="126">
        <v>45551.748730289357</v>
      </c>
      <c r="B3578" s="137" t="s">
        <v>37</v>
      </c>
      <c r="C3578" s="41" t="s">
        <v>118</v>
      </c>
      <c r="D3578" s="80" t="s">
        <v>36</v>
      </c>
      <c r="E3578" s="80" t="s">
        <v>77</v>
      </c>
      <c r="F3578" s="80" t="s">
        <v>40</v>
      </c>
      <c r="G3578" s="80" t="s">
        <v>41</v>
      </c>
      <c r="H3578" s="80" t="s">
        <v>11845</v>
      </c>
      <c r="I3578" s="17">
        <f ca="1">IFERROR(__xludf.DUMMYFUNCTION("""COMPUTED_VALUE"""),45552)</f>
        <v>45552</v>
      </c>
      <c r="J3578" s="143" t="s">
        <v>13219</v>
      </c>
      <c r="K3578" s="80" t="s">
        <v>13220</v>
      </c>
      <c r="L3578" s="30">
        <v>365428782</v>
      </c>
      <c r="M3578" s="80" t="s">
        <v>5429</v>
      </c>
      <c r="N3578" s="80" t="s">
        <v>1384</v>
      </c>
      <c r="O3578" s="80" t="s">
        <v>61</v>
      </c>
      <c r="P3578" s="80" t="s">
        <v>13221</v>
      </c>
      <c r="Q3578" s="20">
        <v>1968</v>
      </c>
      <c r="R3578" s="80" t="s">
        <v>36</v>
      </c>
      <c r="S3578" s="95">
        <v>1968</v>
      </c>
      <c r="T3578" s="148">
        <v>45551</v>
      </c>
      <c r="U3578" s="77"/>
      <c r="V3578" s="78"/>
      <c r="W3578" s="85" t="s">
        <v>13222</v>
      </c>
      <c r="X3578" s="80">
        <v>0</v>
      </c>
      <c r="Y3578" s="22">
        <v>0</v>
      </c>
      <c r="Z3578" s="80" t="s">
        <v>50</v>
      </c>
      <c r="AA3578" s="35" t="s">
        <v>3291</v>
      </c>
      <c r="AB3578" s="80"/>
      <c r="AC3578" s="80" t="s">
        <v>53</v>
      </c>
      <c r="AD3578" s="80" t="s">
        <v>138</v>
      </c>
      <c r="AE3578" s="80" t="s">
        <v>72</v>
      </c>
      <c r="AF3578" s="17">
        <v>45555</v>
      </c>
      <c r="AG3578" s="80"/>
      <c r="AH3578" s="80"/>
      <c r="AI3578" s="147" t="s">
        <v>84</v>
      </c>
      <c r="AJ3578" s="80"/>
      <c r="AK3578" s="80"/>
      <c r="AL3578" s="35"/>
      <c r="AM3578" s="35"/>
      <c r="AN3578" s="35"/>
      <c r="AO3578" s="35"/>
      <c r="AP3578" s="35"/>
    </row>
    <row r="3579" spans="1:42" x14ac:dyDescent="0.2">
      <c r="A3579" s="126">
        <v>45551.769971759262</v>
      </c>
      <c r="B3579" s="137" t="s">
        <v>37</v>
      </c>
      <c r="C3579" s="41" t="s">
        <v>118</v>
      </c>
      <c r="D3579" s="80" t="s">
        <v>36</v>
      </c>
      <c r="E3579" s="80" t="s">
        <v>119</v>
      </c>
      <c r="F3579" s="80" t="s">
        <v>36</v>
      </c>
      <c r="G3579" s="26" t="s">
        <v>108</v>
      </c>
      <c r="H3579" s="80" t="s">
        <v>8541</v>
      </c>
      <c r="I3579" s="17">
        <f ca="1">IFERROR(__xludf.DUMMYFUNCTION("""COMPUTED_VALUE"""),45595)</f>
        <v>45595</v>
      </c>
      <c r="J3579" s="143" t="s">
        <v>13223</v>
      </c>
      <c r="K3579" s="80" t="s">
        <v>13224</v>
      </c>
      <c r="L3579" s="30">
        <v>369089021</v>
      </c>
      <c r="M3579" s="80" t="s">
        <v>12644</v>
      </c>
      <c r="N3579" s="80" t="s">
        <v>8725</v>
      </c>
      <c r="O3579" s="80" t="s">
        <v>13225</v>
      </c>
      <c r="P3579" s="80" t="s">
        <v>13226</v>
      </c>
      <c r="Q3579" s="20">
        <v>13968</v>
      </c>
      <c r="R3579" s="80" t="s">
        <v>36</v>
      </c>
      <c r="S3579" s="95">
        <v>13968</v>
      </c>
      <c r="T3579" s="148">
        <v>45551</v>
      </c>
      <c r="U3579" s="77"/>
      <c r="V3579" s="78"/>
      <c r="W3579" s="85" t="s">
        <v>13227</v>
      </c>
      <c r="X3579" s="80">
        <v>0</v>
      </c>
      <c r="Y3579" s="22">
        <v>0</v>
      </c>
      <c r="Z3579" s="80" t="s">
        <v>50</v>
      </c>
      <c r="AA3579" s="96" t="s">
        <v>3291</v>
      </c>
      <c r="AB3579" s="80"/>
      <c r="AC3579" s="80" t="s">
        <v>53</v>
      </c>
      <c r="AD3579" s="80" t="s">
        <v>138</v>
      </c>
      <c r="AE3579" s="80"/>
      <c r="AF3579" s="17">
        <v>45595</v>
      </c>
      <c r="AG3579" s="80"/>
      <c r="AH3579" s="80"/>
      <c r="AI3579" s="147">
        <v>4</v>
      </c>
      <c r="AJ3579" s="80"/>
      <c r="AK3579" s="80"/>
      <c r="AL3579" s="35"/>
      <c r="AM3579" s="35"/>
      <c r="AN3579" s="35"/>
      <c r="AO3579" s="35"/>
      <c r="AP3579" s="35"/>
    </row>
    <row r="3580" spans="1:42" x14ac:dyDescent="0.2">
      <c r="A3580" s="126">
        <v>45551.907594282406</v>
      </c>
      <c r="B3580" s="137" t="s">
        <v>37</v>
      </c>
      <c r="C3580" s="41" t="s">
        <v>118</v>
      </c>
      <c r="D3580" s="80" t="s">
        <v>36</v>
      </c>
      <c r="E3580" s="80" t="s">
        <v>119</v>
      </c>
      <c r="F3580" s="80" t="s">
        <v>40</v>
      </c>
      <c r="G3580" s="80" t="s">
        <v>108</v>
      </c>
      <c r="H3580" s="80" t="s">
        <v>9768</v>
      </c>
      <c r="I3580" s="17">
        <f ca="1">IFERROR(__xludf.DUMMYFUNCTION("""COMPUTED_VALUE"""),45578)</f>
        <v>45578</v>
      </c>
      <c r="J3580" s="143" t="s">
        <v>13228</v>
      </c>
      <c r="K3580" s="80" t="s">
        <v>13229</v>
      </c>
      <c r="L3580" s="30">
        <v>333677395</v>
      </c>
      <c r="M3580" s="80" t="s">
        <v>59</v>
      </c>
      <c r="N3580" s="80" t="s">
        <v>9660</v>
      </c>
      <c r="O3580" s="80" t="s">
        <v>13230</v>
      </c>
      <c r="P3580" s="80" t="s">
        <v>13231</v>
      </c>
      <c r="Q3580" s="20">
        <v>13968</v>
      </c>
      <c r="R3580" s="80" t="s">
        <v>36</v>
      </c>
      <c r="S3580" s="95">
        <f>300+13668</f>
        <v>13968</v>
      </c>
      <c r="T3580" s="83" t="s">
        <v>13232</v>
      </c>
      <c r="U3580" s="77"/>
      <c r="V3580" s="78"/>
      <c r="W3580" s="85" t="s">
        <v>13233</v>
      </c>
      <c r="X3580" s="80">
        <v>0</v>
      </c>
      <c r="Y3580" s="22">
        <v>0</v>
      </c>
      <c r="Z3580" s="80" t="s">
        <v>50</v>
      </c>
      <c r="AA3580" s="35" t="s">
        <v>3291</v>
      </c>
      <c r="AB3580" s="80"/>
      <c r="AC3580" s="80" t="s">
        <v>53</v>
      </c>
      <c r="AD3580" s="80" t="s">
        <v>138</v>
      </c>
      <c r="AE3580" s="80" t="s">
        <v>4488</v>
      </c>
      <c r="AF3580" s="43">
        <v>45576</v>
      </c>
      <c r="AG3580" s="80" t="s">
        <v>12541</v>
      </c>
      <c r="AH3580" s="80"/>
      <c r="AI3580" s="147">
        <v>4</v>
      </c>
      <c r="AJ3580" s="80"/>
      <c r="AK3580" s="80"/>
      <c r="AL3580" s="35"/>
      <c r="AM3580" s="35"/>
      <c r="AN3580" s="35"/>
      <c r="AO3580" s="35"/>
      <c r="AP3580" s="35"/>
    </row>
    <row r="3581" spans="1:42" x14ac:dyDescent="0.2">
      <c r="A3581" s="126">
        <v>45551.947460324074</v>
      </c>
      <c r="B3581" s="137" t="s">
        <v>37</v>
      </c>
      <c r="C3581" s="41" t="s">
        <v>118</v>
      </c>
      <c r="D3581" s="80" t="s">
        <v>36</v>
      </c>
      <c r="E3581" s="80" t="s">
        <v>1704</v>
      </c>
      <c r="F3581" s="80" t="s">
        <v>307</v>
      </c>
      <c r="G3581" s="80" t="s">
        <v>1705</v>
      </c>
      <c r="H3581" s="80" t="s">
        <v>9845</v>
      </c>
      <c r="I3581" s="17">
        <f ca="1">IFERROR(__xludf.DUMMYFUNCTION("""COMPUTED_VALUE"""),45555)</f>
        <v>45555</v>
      </c>
      <c r="J3581" s="143" t="s">
        <v>13234</v>
      </c>
      <c r="K3581" s="80" t="s">
        <v>13235</v>
      </c>
      <c r="L3581" s="30">
        <v>865861006</v>
      </c>
      <c r="M3581" s="80" t="s">
        <v>9422</v>
      </c>
      <c r="N3581" s="80" t="s">
        <v>5574</v>
      </c>
      <c r="O3581" s="80" t="s">
        <v>13236</v>
      </c>
      <c r="P3581" s="80" t="s">
        <v>13237</v>
      </c>
      <c r="Q3581" s="20">
        <v>7729</v>
      </c>
      <c r="R3581" s="80" t="s">
        <v>36</v>
      </c>
      <c r="S3581" s="95">
        <v>3000</v>
      </c>
      <c r="T3581" s="148">
        <v>45551</v>
      </c>
      <c r="U3581" s="95">
        <v>4729</v>
      </c>
      <c r="V3581" s="148">
        <v>45554</v>
      </c>
      <c r="W3581" s="85" t="s">
        <v>13238</v>
      </c>
      <c r="X3581" s="80">
        <v>0</v>
      </c>
      <c r="Y3581" s="22">
        <v>0</v>
      </c>
      <c r="Z3581" s="80" t="s">
        <v>50</v>
      </c>
      <c r="AA3581" s="96" t="s">
        <v>3291</v>
      </c>
      <c r="AB3581" s="80"/>
      <c r="AC3581" s="80" t="s">
        <v>53</v>
      </c>
      <c r="AD3581" s="80" t="s">
        <v>54</v>
      </c>
      <c r="AE3581" s="83">
        <v>600</v>
      </c>
      <c r="AF3581" s="17">
        <v>45553</v>
      </c>
      <c r="AG3581" s="80"/>
      <c r="AH3581" s="80"/>
      <c r="AI3581" s="147">
        <v>2</v>
      </c>
      <c r="AJ3581" s="80"/>
      <c r="AK3581" s="80"/>
      <c r="AL3581" s="35"/>
      <c r="AM3581" s="35"/>
      <c r="AN3581" s="35"/>
      <c r="AO3581" s="35"/>
      <c r="AP3581" s="35"/>
    </row>
    <row r="3582" spans="1:42" x14ac:dyDescent="0.2">
      <c r="A3582" s="126">
        <v>45551.95738684028</v>
      </c>
      <c r="B3582" s="137" t="s">
        <v>37</v>
      </c>
      <c r="C3582" s="41" t="s">
        <v>118</v>
      </c>
      <c r="D3582" s="80" t="s">
        <v>36</v>
      </c>
      <c r="E3582" s="80" t="s">
        <v>77</v>
      </c>
      <c r="F3582" s="80" t="s">
        <v>40</v>
      </c>
      <c r="G3582" s="80" t="s">
        <v>41</v>
      </c>
      <c r="H3582" s="80" t="s">
        <v>13239</v>
      </c>
      <c r="I3582" s="17">
        <f ca="1">IFERROR(__xludf.DUMMYFUNCTION("""COMPUTED_VALUE"""),45560)</f>
        <v>45560</v>
      </c>
      <c r="J3582" s="143" t="s">
        <v>13240</v>
      </c>
      <c r="K3582" s="80" t="s">
        <v>13241</v>
      </c>
      <c r="L3582" s="30">
        <v>369960355</v>
      </c>
      <c r="M3582" s="80" t="s">
        <v>59</v>
      </c>
      <c r="N3582" s="80" t="s">
        <v>9294</v>
      </c>
      <c r="O3582" s="80" t="s">
        <v>13242</v>
      </c>
      <c r="P3582" s="80" t="s">
        <v>13243</v>
      </c>
      <c r="Q3582" s="20">
        <v>1968</v>
      </c>
      <c r="R3582" s="80" t="s">
        <v>70</v>
      </c>
      <c r="S3582" s="95">
        <v>1968</v>
      </c>
      <c r="T3582" s="148">
        <v>45551</v>
      </c>
      <c r="U3582" s="77"/>
      <c r="V3582" s="78"/>
      <c r="W3582" s="85" t="s">
        <v>13244</v>
      </c>
      <c r="X3582" s="80">
        <v>100</v>
      </c>
      <c r="Y3582" s="22">
        <v>-100</v>
      </c>
      <c r="Z3582" s="80" t="s">
        <v>50</v>
      </c>
      <c r="AA3582" s="35" t="s">
        <v>3291</v>
      </c>
      <c r="AB3582" s="80"/>
      <c r="AC3582" s="80" t="s">
        <v>53</v>
      </c>
      <c r="AD3582" s="80" t="s">
        <v>54</v>
      </c>
      <c r="AE3582" s="80" t="s">
        <v>2670</v>
      </c>
      <c r="AF3582" s="17">
        <v>45554</v>
      </c>
      <c r="AG3582" s="80"/>
      <c r="AH3582" s="80"/>
      <c r="AI3582" s="147" t="s">
        <v>84</v>
      </c>
      <c r="AJ3582" s="80"/>
      <c r="AK3582" s="80"/>
      <c r="AL3582" s="35"/>
      <c r="AM3582" s="35"/>
      <c r="AN3582" s="35"/>
      <c r="AO3582" s="35"/>
      <c r="AP3582" s="35"/>
    </row>
    <row r="3583" spans="1:42" x14ac:dyDescent="0.2">
      <c r="A3583" s="126">
        <v>45551.959171157403</v>
      </c>
      <c r="B3583" s="137" t="s">
        <v>37</v>
      </c>
      <c r="C3583" s="41" t="s">
        <v>118</v>
      </c>
      <c r="D3583" s="80" t="s">
        <v>36</v>
      </c>
      <c r="E3583" s="80" t="s">
        <v>77</v>
      </c>
      <c r="F3583" s="80" t="s">
        <v>40</v>
      </c>
      <c r="G3583" s="80" t="s">
        <v>41</v>
      </c>
      <c r="H3583" s="80" t="s">
        <v>13239</v>
      </c>
      <c r="I3583" s="17">
        <f ca="1">IFERROR(__xludf.DUMMYFUNCTION("""COMPUTED_VALUE"""),45560)</f>
        <v>45560</v>
      </c>
      <c r="J3583" s="143" t="s">
        <v>13245</v>
      </c>
      <c r="K3583" s="80" t="s">
        <v>13246</v>
      </c>
      <c r="L3583" s="30">
        <v>395954315</v>
      </c>
      <c r="M3583" s="80" t="s">
        <v>59</v>
      </c>
      <c r="N3583" s="80" t="s">
        <v>9294</v>
      </c>
      <c r="O3583" s="80" t="s">
        <v>13247</v>
      </c>
      <c r="P3583" s="80" t="s">
        <v>13243</v>
      </c>
      <c r="Q3583" s="20">
        <v>1968</v>
      </c>
      <c r="R3583" s="80" t="s">
        <v>70</v>
      </c>
      <c r="S3583" s="95">
        <v>1968</v>
      </c>
      <c r="T3583" s="148">
        <v>45551</v>
      </c>
      <c r="U3583" s="77"/>
      <c r="V3583" s="78"/>
      <c r="W3583" s="85" t="s">
        <v>13248</v>
      </c>
      <c r="X3583" s="80">
        <v>100</v>
      </c>
      <c r="Y3583" s="22">
        <v>-100</v>
      </c>
      <c r="Z3583" s="80" t="s">
        <v>50</v>
      </c>
      <c r="AA3583" s="96" t="s">
        <v>3291</v>
      </c>
      <c r="AB3583" s="80"/>
      <c r="AC3583" s="80" t="s">
        <v>53</v>
      </c>
      <c r="AD3583" s="80" t="s">
        <v>54</v>
      </c>
      <c r="AE3583" s="80" t="s">
        <v>430</v>
      </c>
      <c r="AF3583" s="17">
        <v>45554</v>
      </c>
      <c r="AG3583" s="80"/>
      <c r="AH3583" s="80"/>
      <c r="AI3583" s="147" t="s">
        <v>84</v>
      </c>
      <c r="AJ3583" s="80"/>
      <c r="AK3583" s="80"/>
      <c r="AL3583" s="35"/>
      <c r="AM3583" s="35"/>
      <c r="AN3583" s="35"/>
      <c r="AO3583" s="35"/>
      <c r="AP3583" s="35"/>
    </row>
    <row r="3584" spans="1:42" x14ac:dyDescent="0.2">
      <c r="A3584" s="126">
        <v>45551.998278541665</v>
      </c>
      <c r="B3584" s="137" t="s">
        <v>37</v>
      </c>
      <c r="C3584" s="41" t="s">
        <v>118</v>
      </c>
      <c r="D3584" s="80" t="s">
        <v>36</v>
      </c>
      <c r="E3584" s="80" t="s">
        <v>139</v>
      </c>
      <c r="F3584" s="80" t="s">
        <v>40</v>
      </c>
      <c r="G3584" s="80" t="s">
        <v>41</v>
      </c>
      <c r="H3584" s="80" t="s">
        <v>13121</v>
      </c>
      <c r="I3584" s="17">
        <f ca="1">IFERROR(__xludf.DUMMYFUNCTION("""COMPUTED_VALUE"""),45565)</f>
        <v>45565</v>
      </c>
      <c r="J3584" s="143" t="s">
        <v>13249</v>
      </c>
      <c r="K3584" s="80" t="s">
        <v>13250</v>
      </c>
      <c r="L3584" s="30">
        <v>327740228</v>
      </c>
      <c r="M3584" s="80" t="s">
        <v>59</v>
      </c>
      <c r="N3584" s="80" t="s">
        <v>11476</v>
      </c>
      <c r="O3584" s="80" t="s">
        <v>13251</v>
      </c>
      <c r="P3584" s="80" t="s">
        <v>12687</v>
      </c>
      <c r="Q3584" s="20">
        <v>15936</v>
      </c>
      <c r="R3584" s="80" t="s">
        <v>70</v>
      </c>
      <c r="S3584" s="95">
        <f>200+5000+4000</f>
        <v>9200</v>
      </c>
      <c r="T3584" s="83" t="s">
        <v>13252</v>
      </c>
      <c r="U3584" s="95">
        <f>6536+100</f>
        <v>6636</v>
      </c>
      <c r="V3584" s="148">
        <v>45553</v>
      </c>
      <c r="W3584" s="85" t="s">
        <v>13253</v>
      </c>
      <c r="X3584" s="80">
        <v>100</v>
      </c>
      <c r="Y3584" s="22">
        <v>0</v>
      </c>
      <c r="Z3584" s="80" t="s">
        <v>50</v>
      </c>
      <c r="AA3584" s="35" t="s">
        <v>3291</v>
      </c>
      <c r="AB3584" s="80"/>
      <c r="AC3584" s="80" t="s">
        <v>53</v>
      </c>
      <c r="AD3584" s="80" t="s">
        <v>138</v>
      </c>
      <c r="AE3584" s="80" t="s">
        <v>430</v>
      </c>
      <c r="AF3584" s="17">
        <v>45565</v>
      </c>
      <c r="AG3584" s="80"/>
      <c r="AH3584" s="80"/>
      <c r="AI3584" s="147" t="s">
        <v>147</v>
      </c>
      <c r="AJ3584" s="80"/>
      <c r="AK3584" s="80"/>
      <c r="AL3584" s="35"/>
      <c r="AM3584" s="35"/>
      <c r="AN3584" s="35"/>
      <c r="AO3584" s="35"/>
      <c r="AP3584" s="35"/>
    </row>
    <row r="3585" spans="1:42" x14ac:dyDescent="0.2">
      <c r="A3585" s="126">
        <v>45552.319844942132</v>
      </c>
      <c r="B3585" s="137" t="s">
        <v>37</v>
      </c>
      <c r="C3585" s="41" t="s">
        <v>118</v>
      </c>
      <c r="D3585" s="80" t="s">
        <v>36</v>
      </c>
      <c r="E3585" s="80" t="s">
        <v>77</v>
      </c>
      <c r="F3585" s="80" t="s">
        <v>36</v>
      </c>
      <c r="G3585" s="80" t="s">
        <v>41</v>
      </c>
      <c r="H3585" s="80" t="s">
        <v>13254</v>
      </c>
      <c r="I3585" s="17">
        <f ca="1">IFERROR(__xludf.DUMMYFUNCTION("""COMPUTED_VALUE"""),45568)</f>
        <v>45568</v>
      </c>
      <c r="J3585" s="143" t="s">
        <v>13255</v>
      </c>
      <c r="K3585" s="80" t="s">
        <v>13256</v>
      </c>
      <c r="L3585" s="30">
        <v>334356120</v>
      </c>
      <c r="M3585" s="80" t="s">
        <v>12720</v>
      </c>
      <c r="N3585" s="80" t="s">
        <v>1073</v>
      </c>
      <c r="O3585" s="80" t="s">
        <v>13257</v>
      </c>
      <c r="P3585" s="80" t="s">
        <v>13258</v>
      </c>
      <c r="Q3585" s="20">
        <v>1968</v>
      </c>
      <c r="R3585" s="80" t="s">
        <v>36</v>
      </c>
      <c r="S3585" s="95">
        <f t="shared" ref="S3585:S3586" si="49">200+1768</f>
        <v>1968</v>
      </c>
      <c r="T3585" s="83" t="s">
        <v>13259</v>
      </c>
      <c r="U3585" s="77"/>
      <c r="V3585" s="78"/>
      <c r="W3585" s="85" t="s">
        <v>13260</v>
      </c>
      <c r="X3585" s="80">
        <v>0</v>
      </c>
      <c r="Y3585" s="22">
        <v>0</v>
      </c>
      <c r="Z3585" s="80" t="s">
        <v>50</v>
      </c>
      <c r="AA3585" s="96" t="s">
        <v>3291</v>
      </c>
      <c r="AB3585" s="80"/>
      <c r="AC3585" s="80" t="s">
        <v>53</v>
      </c>
      <c r="AD3585" s="80" t="s">
        <v>54</v>
      </c>
      <c r="AE3585" s="83">
        <v>0</v>
      </c>
      <c r="AF3585" s="17">
        <v>45556</v>
      </c>
      <c r="AG3585" s="80"/>
      <c r="AH3585" s="80"/>
      <c r="AI3585" s="147" t="s">
        <v>84</v>
      </c>
      <c r="AJ3585" s="80"/>
      <c r="AK3585" s="80"/>
      <c r="AL3585" s="35"/>
      <c r="AM3585" s="35"/>
      <c r="AN3585" s="35"/>
      <c r="AO3585" s="35"/>
      <c r="AP3585" s="35"/>
    </row>
    <row r="3586" spans="1:42" x14ac:dyDescent="0.2">
      <c r="A3586" s="126">
        <v>45552.404809768515</v>
      </c>
      <c r="B3586" s="137" t="s">
        <v>37</v>
      </c>
      <c r="C3586" s="41" t="s">
        <v>118</v>
      </c>
      <c r="D3586" s="80" t="s">
        <v>36</v>
      </c>
      <c r="E3586" s="80" t="s">
        <v>77</v>
      </c>
      <c r="F3586" s="80" t="s">
        <v>40</v>
      </c>
      <c r="G3586" s="80" t="s">
        <v>41</v>
      </c>
      <c r="H3586" s="80" t="s">
        <v>11183</v>
      </c>
      <c r="I3586" s="17">
        <f ca="1">IFERROR(__xludf.DUMMYFUNCTION("""COMPUTED_VALUE"""),45554)</f>
        <v>45554</v>
      </c>
      <c r="J3586" s="143" t="s">
        <v>13261</v>
      </c>
      <c r="K3586" s="80" t="s">
        <v>13262</v>
      </c>
      <c r="L3586" s="30">
        <v>397056400</v>
      </c>
      <c r="M3586" s="80" t="s">
        <v>5558</v>
      </c>
      <c r="N3586" s="80" t="s">
        <v>5559</v>
      </c>
      <c r="O3586" s="80" t="s">
        <v>13263</v>
      </c>
      <c r="P3586" s="80" t="s">
        <v>13264</v>
      </c>
      <c r="Q3586" s="20">
        <v>1968</v>
      </c>
      <c r="R3586" s="80" t="s">
        <v>36</v>
      </c>
      <c r="S3586" s="95">
        <f t="shared" si="49"/>
        <v>1968</v>
      </c>
      <c r="T3586" s="83" t="s">
        <v>13265</v>
      </c>
      <c r="U3586" s="77"/>
      <c r="V3586" s="78"/>
      <c r="W3586" s="85" t="s">
        <v>13266</v>
      </c>
      <c r="X3586" s="80">
        <v>0</v>
      </c>
      <c r="Y3586" s="22">
        <v>0</v>
      </c>
      <c r="Z3586" s="80" t="s">
        <v>50</v>
      </c>
      <c r="AA3586" s="35" t="s">
        <v>3291</v>
      </c>
      <c r="AB3586" s="80"/>
      <c r="AC3586" s="80" t="s">
        <v>53</v>
      </c>
      <c r="AD3586" s="80" t="s">
        <v>138</v>
      </c>
      <c r="AE3586" s="80"/>
      <c r="AF3586" s="17">
        <v>45554</v>
      </c>
      <c r="AG3586" s="80"/>
      <c r="AH3586" s="80"/>
      <c r="AI3586" s="147" t="s">
        <v>84</v>
      </c>
      <c r="AJ3586" s="80"/>
      <c r="AK3586" s="80"/>
      <c r="AL3586" s="35"/>
      <c r="AM3586" s="35"/>
      <c r="AN3586" s="35"/>
      <c r="AO3586" s="35"/>
      <c r="AP3586" s="35"/>
    </row>
    <row r="3587" spans="1:42" x14ac:dyDescent="0.2">
      <c r="A3587" s="126">
        <v>45552.442370833334</v>
      </c>
      <c r="B3587" s="137" t="s">
        <v>37</v>
      </c>
      <c r="C3587" s="41" t="s">
        <v>118</v>
      </c>
      <c r="D3587" s="80" t="s">
        <v>77</v>
      </c>
      <c r="E3587" s="80" t="s">
        <v>77</v>
      </c>
      <c r="F3587" s="80" t="s">
        <v>40</v>
      </c>
      <c r="G3587" s="26" t="s">
        <v>41</v>
      </c>
      <c r="H3587" s="80" t="s">
        <v>11735</v>
      </c>
      <c r="I3587" s="17">
        <f ca="1">IFERROR(__xludf.DUMMYFUNCTION("""COMPUTED_VALUE"""),45555)</f>
        <v>45555</v>
      </c>
      <c r="J3587" s="143" t="s">
        <v>13267</v>
      </c>
      <c r="K3587" s="80" t="s">
        <v>13268</v>
      </c>
      <c r="L3587" s="30">
        <v>362019610</v>
      </c>
      <c r="M3587" s="80" t="s">
        <v>9422</v>
      </c>
      <c r="N3587" s="80" t="s">
        <v>13269</v>
      </c>
      <c r="O3587" s="80" t="s">
        <v>11607</v>
      </c>
      <c r="P3587" s="144" t="s">
        <v>13270</v>
      </c>
      <c r="Q3587" s="20">
        <v>1968</v>
      </c>
      <c r="R3587" s="80" t="s">
        <v>70</v>
      </c>
      <c r="S3587" s="95">
        <f t="shared" ref="S3587:S3588" si="50">500+1468</f>
        <v>1968</v>
      </c>
      <c r="T3587" s="83" t="s">
        <v>13271</v>
      </c>
      <c r="U3587" s="77"/>
      <c r="V3587" s="78"/>
      <c r="W3587" s="85" t="s">
        <v>13272</v>
      </c>
      <c r="X3587" s="80">
        <v>100</v>
      </c>
      <c r="Y3587" s="22">
        <v>-100</v>
      </c>
      <c r="Z3587" s="80" t="s">
        <v>50</v>
      </c>
      <c r="AA3587" s="96" t="s">
        <v>3291</v>
      </c>
      <c r="AB3587" s="80"/>
      <c r="AC3587" s="80" t="s">
        <v>53</v>
      </c>
      <c r="AD3587" s="80" t="s">
        <v>138</v>
      </c>
      <c r="AE3587" s="80"/>
      <c r="AF3587" s="17">
        <v>45555</v>
      </c>
      <c r="AG3587" s="80"/>
      <c r="AH3587" s="80"/>
      <c r="AI3587" s="147" t="s">
        <v>84</v>
      </c>
      <c r="AJ3587" s="80"/>
      <c r="AK3587" s="80"/>
      <c r="AL3587" s="35"/>
      <c r="AM3587" s="35"/>
      <c r="AN3587" s="35"/>
      <c r="AO3587" s="35"/>
      <c r="AP3587" s="35"/>
    </row>
    <row r="3588" spans="1:42" x14ac:dyDescent="0.2">
      <c r="A3588" s="126">
        <v>45552.443778749999</v>
      </c>
      <c r="B3588" s="137" t="s">
        <v>37</v>
      </c>
      <c r="C3588" s="41" t="s">
        <v>118</v>
      </c>
      <c r="D3588" s="80" t="s">
        <v>36</v>
      </c>
      <c r="E3588" s="80" t="s">
        <v>77</v>
      </c>
      <c r="F3588" s="80" t="s">
        <v>40</v>
      </c>
      <c r="G3588" s="26" t="s">
        <v>41</v>
      </c>
      <c r="H3588" s="80" t="s">
        <v>11735</v>
      </c>
      <c r="I3588" s="17">
        <f ca="1">IFERROR(__xludf.DUMMYFUNCTION("""COMPUTED_VALUE"""),45555)</f>
        <v>45555</v>
      </c>
      <c r="J3588" s="143" t="s">
        <v>13273</v>
      </c>
      <c r="K3588" s="80" t="s">
        <v>13274</v>
      </c>
      <c r="L3588" s="30">
        <v>398286396</v>
      </c>
      <c r="M3588" s="80" t="s">
        <v>9422</v>
      </c>
      <c r="N3588" s="80" t="s">
        <v>13269</v>
      </c>
      <c r="O3588" s="80" t="s">
        <v>11607</v>
      </c>
      <c r="P3588" s="144" t="s">
        <v>13275</v>
      </c>
      <c r="Q3588" s="20">
        <v>1968</v>
      </c>
      <c r="R3588" s="80" t="s">
        <v>70</v>
      </c>
      <c r="S3588" s="95">
        <f t="shared" si="50"/>
        <v>1968</v>
      </c>
      <c r="T3588" s="83" t="s">
        <v>13276</v>
      </c>
      <c r="U3588" s="77"/>
      <c r="V3588" s="78"/>
      <c r="W3588" s="85" t="s">
        <v>13277</v>
      </c>
      <c r="X3588" s="80">
        <v>100</v>
      </c>
      <c r="Y3588" s="22">
        <v>-100</v>
      </c>
      <c r="Z3588" s="80" t="s">
        <v>50</v>
      </c>
      <c r="AA3588" s="35" t="s">
        <v>3291</v>
      </c>
      <c r="AB3588" s="80"/>
      <c r="AC3588" s="80" t="s">
        <v>53</v>
      </c>
      <c r="AD3588" s="80" t="s">
        <v>138</v>
      </c>
      <c r="AE3588" s="80"/>
      <c r="AF3588" s="17">
        <v>45555</v>
      </c>
      <c r="AG3588" s="80"/>
      <c r="AH3588" s="80"/>
      <c r="AI3588" s="147" t="s">
        <v>84</v>
      </c>
      <c r="AJ3588" s="80"/>
      <c r="AK3588" s="80"/>
      <c r="AL3588" s="35"/>
      <c r="AM3588" s="35"/>
      <c r="AN3588" s="35"/>
      <c r="AO3588" s="35"/>
      <c r="AP3588" s="35"/>
    </row>
    <row r="3589" spans="1:42" x14ac:dyDescent="0.2">
      <c r="A3589" s="126">
        <v>45552.462316666672</v>
      </c>
      <c r="B3589" s="137" t="s">
        <v>37</v>
      </c>
      <c r="C3589" s="41" t="s">
        <v>118</v>
      </c>
      <c r="D3589" s="80" t="s">
        <v>36</v>
      </c>
      <c r="E3589" s="80" t="s">
        <v>139</v>
      </c>
      <c r="F3589" s="80" t="s">
        <v>40</v>
      </c>
      <c r="G3589" s="80" t="s">
        <v>41</v>
      </c>
      <c r="H3589" s="80" t="s">
        <v>13106</v>
      </c>
      <c r="I3589" s="17">
        <f ca="1">IFERROR(__xludf.DUMMYFUNCTION("""COMPUTED_VALUE"""),45557)</f>
        <v>45557</v>
      </c>
      <c r="J3589" s="143" t="s">
        <v>13278</v>
      </c>
      <c r="K3589" s="80" t="s">
        <v>13279</v>
      </c>
      <c r="L3589" s="30">
        <v>395250848</v>
      </c>
      <c r="M3589" s="80" t="s">
        <v>45</v>
      </c>
      <c r="N3589" s="80" t="s">
        <v>299</v>
      </c>
      <c r="O3589" s="80" t="s">
        <v>13280</v>
      </c>
      <c r="P3589" s="80" t="s">
        <v>13281</v>
      </c>
      <c r="Q3589" s="20">
        <v>15936</v>
      </c>
      <c r="R3589" s="80" t="s">
        <v>36</v>
      </c>
      <c r="S3589" s="95">
        <v>15936</v>
      </c>
      <c r="T3589" s="148">
        <v>45551</v>
      </c>
      <c r="U3589" s="77"/>
      <c r="V3589" s="78"/>
      <c r="W3589" s="85" t="s">
        <v>13282</v>
      </c>
      <c r="X3589" s="80">
        <v>0</v>
      </c>
      <c r="Y3589" s="22">
        <v>0</v>
      </c>
      <c r="Z3589" s="80" t="s">
        <v>50</v>
      </c>
      <c r="AA3589" s="96" t="s">
        <v>3291</v>
      </c>
      <c r="AB3589" s="80"/>
      <c r="AC3589" s="80" t="s">
        <v>53</v>
      </c>
      <c r="AD3589" s="80" t="s">
        <v>54</v>
      </c>
      <c r="AE3589" s="83">
        <v>0</v>
      </c>
      <c r="AF3589" s="17">
        <v>45554</v>
      </c>
      <c r="AG3589" s="80"/>
      <c r="AH3589" s="80"/>
      <c r="AI3589" s="147" t="s">
        <v>147</v>
      </c>
      <c r="AJ3589" s="80"/>
      <c r="AK3589" s="80"/>
      <c r="AL3589" s="35"/>
      <c r="AM3589" s="35"/>
      <c r="AN3589" s="35"/>
      <c r="AO3589" s="35"/>
      <c r="AP3589" s="35"/>
    </row>
    <row r="3590" spans="1:42" x14ac:dyDescent="0.2">
      <c r="A3590" s="126">
        <v>45552.463956631946</v>
      </c>
      <c r="B3590" s="137" t="s">
        <v>37</v>
      </c>
      <c r="C3590" s="41" t="s">
        <v>118</v>
      </c>
      <c r="D3590" s="80" t="s">
        <v>36</v>
      </c>
      <c r="E3590" s="80" t="s">
        <v>139</v>
      </c>
      <c r="F3590" s="80" t="s">
        <v>36</v>
      </c>
      <c r="G3590" s="80" t="s">
        <v>6516</v>
      </c>
      <c r="H3590" s="80" t="s">
        <v>13283</v>
      </c>
      <c r="I3590" s="17">
        <f ca="1">IFERROR(__xludf.DUMMYFUNCTION("""COMPUTED_VALUE"""),45631)</f>
        <v>45631</v>
      </c>
      <c r="J3590" s="143" t="s">
        <v>13284</v>
      </c>
      <c r="K3590" s="80" t="s">
        <v>13285</v>
      </c>
      <c r="L3590" s="30">
        <v>965222127</v>
      </c>
      <c r="M3590" s="80" t="s">
        <v>348</v>
      </c>
      <c r="N3590" s="80" t="s">
        <v>200</v>
      </c>
      <c r="O3590" s="80" t="s">
        <v>91</v>
      </c>
      <c r="P3590" s="80" t="s">
        <v>3117</v>
      </c>
      <c r="Q3590" s="20">
        <v>15936</v>
      </c>
      <c r="R3590" s="80" t="s">
        <v>36</v>
      </c>
      <c r="S3590" s="95">
        <v>1000</v>
      </c>
      <c r="T3590" s="148">
        <v>45539</v>
      </c>
      <c r="U3590" s="95">
        <v>14936</v>
      </c>
      <c r="V3590" s="148">
        <v>45551</v>
      </c>
      <c r="W3590" s="85" t="s">
        <v>13286</v>
      </c>
      <c r="X3590" s="80">
        <v>0</v>
      </c>
      <c r="Y3590" s="22">
        <v>0</v>
      </c>
      <c r="Z3590" s="80" t="s">
        <v>50</v>
      </c>
      <c r="AA3590" s="35" t="s">
        <v>3291</v>
      </c>
      <c r="AB3590" s="80"/>
      <c r="AC3590" s="80" t="s">
        <v>53</v>
      </c>
      <c r="AD3590" s="80" t="s">
        <v>138</v>
      </c>
      <c r="AE3590" s="80"/>
      <c r="AF3590" s="17">
        <v>45631</v>
      </c>
      <c r="AG3590" s="80"/>
      <c r="AH3590" s="80"/>
      <c r="AI3590" s="147" t="s">
        <v>147</v>
      </c>
      <c r="AJ3590" s="80"/>
      <c r="AK3590" s="80"/>
      <c r="AL3590" s="35"/>
      <c r="AM3590" s="35"/>
      <c r="AN3590" s="35"/>
      <c r="AO3590" s="35"/>
      <c r="AP3590" s="35"/>
    </row>
    <row r="3591" spans="1:42" x14ac:dyDescent="0.2">
      <c r="A3591" s="126">
        <v>45552.581169513884</v>
      </c>
      <c r="B3591" s="137" t="s">
        <v>37</v>
      </c>
      <c r="C3591" s="41" t="s">
        <v>118</v>
      </c>
      <c r="D3591" s="80" t="s">
        <v>36</v>
      </c>
      <c r="E3591" s="80" t="s">
        <v>106</v>
      </c>
      <c r="F3591" s="80" t="s">
        <v>13287</v>
      </c>
      <c r="G3591" s="80" t="s">
        <v>108</v>
      </c>
      <c r="H3591" s="80" t="s">
        <v>6919</v>
      </c>
      <c r="I3591" s="17">
        <f ca="1">IFERROR(__xludf.DUMMYFUNCTION("""COMPUTED_VALUE"""),45552)</f>
        <v>45552</v>
      </c>
      <c r="J3591" s="143" t="s">
        <v>13288</v>
      </c>
      <c r="K3591" s="80" t="s">
        <v>13289</v>
      </c>
      <c r="L3591" s="30">
        <v>983921085</v>
      </c>
      <c r="M3591" s="80" t="s">
        <v>3288</v>
      </c>
      <c r="N3591" s="80" t="s">
        <v>200</v>
      </c>
      <c r="O3591" s="80" t="s">
        <v>91</v>
      </c>
      <c r="P3591" s="80" t="s">
        <v>3117</v>
      </c>
      <c r="Q3591" s="20">
        <v>3768</v>
      </c>
      <c r="R3591" s="80" t="s">
        <v>36</v>
      </c>
      <c r="S3591" s="95">
        <v>3768</v>
      </c>
      <c r="T3591" s="148">
        <v>45552</v>
      </c>
      <c r="U3591" s="77"/>
      <c r="V3591" s="78"/>
      <c r="W3591" s="79" t="s">
        <v>13290</v>
      </c>
      <c r="X3591" s="80">
        <v>100</v>
      </c>
      <c r="Y3591" s="22">
        <v>-100</v>
      </c>
      <c r="Z3591" s="80" t="s">
        <v>50</v>
      </c>
      <c r="AA3591" s="96" t="s">
        <v>3291</v>
      </c>
      <c r="AB3591" s="80"/>
      <c r="AC3591" s="80" t="s">
        <v>53</v>
      </c>
      <c r="AD3591" s="80" t="s">
        <v>138</v>
      </c>
      <c r="AE3591" s="83">
        <v>420</v>
      </c>
      <c r="AF3591" s="17">
        <v>45552</v>
      </c>
      <c r="AG3591" s="26" t="s">
        <v>4996</v>
      </c>
      <c r="AH3591" s="80"/>
      <c r="AI3591" s="147">
        <v>1</v>
      </c>
      <c r="AJ3591" s="80"/>
      <c r="AK3591" s="80"/>
      <c r="AL3591" s="35"/>
      <c r="AM3591" s="35"/>
      <c r="AN3591" s="35"/>
      <c r="AO3591" s="35"/>
      <c r="AP3591" s="35"/>
    </row>
    <row r="3592" spans="1:42" x14ac:dyDescent="0.2">
      <c r="A3592" s="126">
        <v>45552.951990300928</v>
      </c>
      <c r="B3592" s="137" t="s">
        <v>37</v>
      </c>
      <c r="C3592" s="41" t="s">
        <v>118</v>
      </c>
      <c r="D3592" s="80" t="s">
        <v>36</v>
      </c>
      <c r="E3592" s="80" t="s">
        <v>148</v>
      </c>
      <c r="F3592" s="80" t="s">
        <v>40</v>
      </c>
      <c r="G3592" s="80" t="s">
        <v>108</v>
      </c>
      <c r="H3592" s="80" t="s">
        <v>9768</v>
      </c>
      <c r="I3592" s="17">
        <f ca="1">IFERROR(__xludf.DUMMYFUNCTION("""COMPUTED_VALUE"""),45578)</f>
        <v>45578</v>
      </c>
      <c r="J3592" s="143" t="s">
        <v>13291</v>
      </c>
      <c r="K3592" s="80" t="s">
        <v>13292</v>
      </c>
      <c r="L3592" s="30">
        <v>839588595</v>
      </c>
      <c r="M3592" s="80" t="s">
        <v>348</v>
      </c>
      <c r="N3592" s="80" t="s">
        <v>4299</v>
      </c>
      <c r="O3592" s="80" t="s">
        <v>13293</v>
      </c>
      <c r="P3592" s="80" t="s">
        <v>13294</v>
      </c>
      <c r="Q3592" s="20">
        <v>7349</v>
      </c>
      <c r="R3592" s="80" t="s">
        <v>36</v>
      </c>
      <c r="S3592" s="95">
        <f>200+7149</f>
        <v>7349</v>
      </c>
      <c r="T3592" s="83" t="s">
        <v>13271</v>
      </c>
      <c r="U3592" s="77"/>
      <c r="V3592" s="78"/>
      <c r="W3592" s="85" t="s">
        <v>13295</v>
      </c>
      <c r="X3592" s="80">
        <v>0</v>
      </c>
      <c r="Y3592" s="22">
        <v>0</v>
      </c>
      <c r="Z3592" s="80" t="s">
        <v>50</v>
      </c>
      <c r="AA3592" s="35" t="s">
        <v>3291</v>
      </c>
      <c r="AB3592" s="80"/>
      <c r="AC3592" s="80" t="s">
        <v>53</v>
      </c>
      <c r="AD3592" s="80" t="s">
        <v>138</v>
      </c>
      <c r="AE3592" s="80" t="s">
        <v>2752</v>
      </c>
      <c r="AF3592" s="43">
        <v>45576</v>
      </c>
      <c r="AG3592" s="80" t="s">
        <v>12541</v>
      </c>
      <c r="AH3592" s="80"/>
      <c r="AI3592" s="147">
        <v>2</v>
      </c>
      <c r="AJ3592" s="80"/>
      <c r="AK3592" s="80"/>
      <c r="AL3592" s="35"/>
      <c r="AM3592" s="35"/>
      <c r="AN3592" s="35"/>
      <c r="AO3592" s="35"/>
      <c r="AP3592" s="35"/>
    </row>
    <row r="3593" spans="1:42" x14ac:dyDescent="0.2">
      <c r="A3593" s="126">
        <v>45552.971058553245</v>
      </c>
      <c r="B3593" s="137" t="s">
        <v>37</v>
      </c>
      <c r="C3593" s="41" t="s">
        <v>118</v>
      </c>
      <c r="D3593" s="80" t="s">
        <v>36</v>
      </c>
      <c r="E3593" s="80" t="s">
        <v>139</v>
      </c>
      <c r="F3593" s="80" t="s">
        <v>40</v>
      </c>
      <c r="G3593" s="80" t="s">
        <v>41</v>
      </c>
      <c r="H3593" s="80" t="s">
        <v>13121</v>
      </c>
      <c r="I3593" s="17">
        <f ca="1">IFERROR(__xludf.DUMMYFUNCTION("""COMPUTED_VALUE"""),45565)</f>
        <v>45565</v>
      </c>
      <c r="J3593" s="143" t="s">
        <v>13296</v>
      </c>
      <c r="K3593" s="80" t="s">
        <v>13297</v>
      </c>
      <c r="L3593" s="30">
        <v>972908395</v>
      </c>
      <c r="M3593" s="80" t="s">
        <v>59</v>
      </c>
      <c r="N3593" s="80" t="s">
        <v>10947</v>
      </c>
      <c r="O3593" s="80" t="s">
        <v>13298</v>
      </c>
      <c r="P3593" s="80" t="s">
        <v>12687</v>
      </c>
      <c r="Q3593" s="20">
        <v>15936</v>
      </c>
      <c r="R3593" s="80" t="s">
        <v>70</v>
      </c>
      <c r="S3593" s="95">
        <f>200+15636</f>
        <v>15836</v>
      </c>
      <c r="T3593" s="83" t="s">
        <v>13299</v>
      </c>
      <c r="U3593" s="77"/>
      <c r="V3593" s="78"/>
      <c r="W3593" s="85" t="s">
        <v>13300</v>
      </c>
      <c r="X3593" s="80">
        <v>100</v>
      </c>
      <c r="Y3593" s="22">
        <v>0</v>
      </c>
      <c r="Z3593" s="80" t="s">
        <v>50</v>
      </c>
      <c r="AA3593" s="96" t="s">
        <v>3291</v>
      </c>
      <c r="AB3593" s="80"/>
      <c r="AC3593" s="80" t="s">
        <v>53</v>
      </c>
      <c r="AD3593" s="80" t="s">
        <v>138</v>
      </c>
      <c r="AE3593" s="80" t="s">
        <v>5672</v>
      </c>
      <c r="AF3593" s="17">
        <v>45565</v>
      </c>
      <c r="AG3593" s="80"/>
      <c r="AH3593" s="80"/>
      <c r="AI3593" s="147" t="s">
        <v>147</v>
      </c>
      <c r="AJ3593" s="80"/>
      <c r="AK3593" s="80"/>
      <c r="AL3593" s="35"/>
      <c r="AM3593" s="35"/>
      <c r="AN3593" s="35"/>
      <c r="AO3593" s="35"/>
      <c r="AP3593" s="35"/>
    </row>
    <row r="3594" spans="1:42" x14ac:dyDescent="0.2">
      <c r="A3594" s="126">
        <v>45553.319422685185</v>
      </c>
      <c r="B3594" s="137" t="s">
        <v>37</v>
      </c>
      <c r="C3594" s="41" t="s">
        <v>118</v>
      </c>
      <c r="D3594" s="80" t="s">
        <v>36</v>
      </c>
      <c r="E3594" s="80" t="s">
        <v>77</v>
      </c>
      <c r="F3594" s="80" t="s">
        <v>40</v>
      </c>
      <c r="G3594" s="80" t="s">
        <v>41</v>
      </c>
      <c r="H3594" s="80" t="s">
        <v>13301</v>
      </c>
      <c r="I3594" s="17">
        <f ca="1">IFERROR(__xludf.DUMMYFUNCTION("""COMPUTED_VALUE"""),45566)</f>
        <v>45566</v>
      </c>
      <c r="J3594" s="143" t="s">
        <v>13302</v>
      </c>
      <c r="K3594" s="80" t="s">
        <v>13303</v>
      </c>
      <c r="L3594" s="30">
        <v>946146862</v>
      </c>
      <c r="M3594" s="80" t="s">
        <v>9422</v>
      </c>
      <c r="N3594" s="80" t="s">
        <v>13304</v>
      </c>
      <c r="O3594" s="80" t="s">
        <v>11607</v>
      </c>
      <c r="P3594" s="80" t="s">
        <v>11608</v>
      </c>
      <c r="Q3594" s="20">
        <v>1968</v>
      </c>
      <c r="R3594" s="80" t="s">
        <v>36</v>
      </c>
      <c r="S3594" s="168">
        <v>1968</v>
      </c>
      <c r="T3594" s="148">
        <v>45552</v>
      </c>
      <c r="U3594" s="77"/>
      <c r="V3594" s="78"/>
      <c r="W3594" s="80"/>
      <c r="X3594" s="80">
        <v>0</v>
      </c>
      <c r="Y3594" s="22">
        <v>0</v>
      </c>
      <c r="Z3594" s="80" t="s">
        <v>50</v>
      </c>
      <c r="AA3594" s="35" t="s">
        <v>3291</v>
      </c>
      <c r="AB3594" s="80"/>
      <c r="AC3594" s="80" t="s">
        <v>53</v>
      </c>
      <c r="AD3594" s="80"/>
      <c r="AE3594" s="80"/>
      <c r="AF3594" s="17">
        <v>45566</v>
      </c>
      <c r="AG3594" s="80"/>
      <c r="AH3594" s="80"/>
      <c r="AI3594" s="147" t="s">
        <v>84</v>
      </c>
      <c r="AJ3594" s="80"/>
      <c r="AK3594" s="80"/>
      <c r="AL3594" s="35"/>
      <c r="AM3594" s="35"/>
      <c r="AN3594" s="35"/>
      <c r="AO3594" s="35"/>
      <c r="AP3594" s="35"/>
    </row>
    <row r="3595" spans="1:42" x14ac:dyDescent="0.2">
      <c r="A3595" s="126">
        <v>45553.364543715274</v>
      </c>
      <c r="B3595" s="137" t="s">
        <v>37</v>
      </c>
      <c r="C3595" s="41" t="s">
        <v>118</v>
      </c>
      <c r="D3595" s="80" t="s">
        <v>36</v>
      </c>
      <c r="E3595" s="80" t="s">
        <v>39</v>
      </c>
      <c r="F3595" s="80" t="s">
        <v>36</v>
      </c>
      <c r="G3595" s="80" t="s">
        <v>41</v>
      </c>
      <c r="H3595" s="80" t="s">
        <v>12793</v>
      </c>
      <c r="I3595" s="17">
        <f ca="1">IFERROR(__xludf.DUMMYFUNCTION("""COMPUTED_VALUE"""),45552)</f>
        <v>45552</v>
      </c>
      <c r="J3595" s="143" t="s">
        <v>13305</v>
      </c>
      <c r="K3595" s="80" t="s">
        <v>13306</v>
      </c>
      <c r="L3595" s="30">
        <v>383257036</v>
      </c>
      <c r="M3595" s="80" t="s">
        <v>45</v>
      </c>
      <c r="N3595" s="80" t="s">
        <v>12712</v>
      </c>
      <c r="O3595" s="80" t="s">
        <v>13307</v>
      </c>
      <c r="P3595" s="80" t="s">
        <v>13308</v>
      </c>
      <c r="Q3595" s="20">
        <v>5736</v>
      </c>
      <c r="R3595" s="80" t="s">
        <v>36</v>
      </c>
      <c r="S3595" s="95">
        <v>5736</v>
      </c>
      <c r="T3595" s="148">
        <v>45552</v>
      </c>
      <c r="U3595" s="77"/>
      <c r="V3595" s="78"/>
      <c r="W3595" s="85" t="s">
        <v>13309</v>
      </c>
      <c r="X3595" s="80">
        <v>0</v>
      </c>
      <c r="Y3595" s="22">
        <v>0</v>
      </c>
      <c r="Z3595" s="80" t="s">
        <v>50</v>
      </c>
      <c r="AA3595" s="96" t="s">
        <v>3291</v>
      </c>
      <c r="AB3595" s="80"/>
      <c r="AC3595" s="80" t="s">
        <v>53</v>
      </c>
      <c r="AD3595" s="80" t="s">
        <v>54</v>
      </c>
      <c r="AE3595" s="80" t="s">
        <v>13310</v>
      </c>
      <c r="AF3595" s="17">
        <v>45553</v>
      </c>
      <c r="AG3595" s="80"/>
      <c r="AH3595" s="80"/>
      <c r="AI3595" s="147" t="s">
        <v>55</v>
      </c>
      <c r="AJ3595" s="80"/>
      <c r="AK3595" s="80"/>
      <c r="AL3595" s="35"/>
      <c r="AM3595" s="35"/>
      <c r="AN3595" s="35"/>
      <c r="AO3595" s="35"/>
      <c r="AP3595" s="35"/>
    </row>
    <row r="3596" spans="1:42" x14ac:dyDescent="0.2">
      <c r="A3596" s="126">
        <v>45553.688037430555</v>
      </c>
      <c r="B3596" s="137" t="s">
        <v>37</v>
      </c>
      <c r="C3596" s="41" t="s">
        <v>118</v>
      </c>
      <c r="D3596" s="80" t="s">
        <v>36</v>
      </c>
      <c r="E3596" s="80" t="s">
        <v>139</v>
      </c>
      <c r="F3596" s="80" t="s">
        <v>40</v>
      </c>
      <c r="G3596" s="80" t="s">
        <v>41</v>
      </c>
      <c r="H3596" s="80" t="s">
        <v>13121</v>
      </c>
      <c r="I3596" s="17">
        <f ca="1">IFERROR(__xludf.DUMMYFUNCTION("""COMPUTED_VALUE"""),45565)</f>
        <v>45565</v>
      </c>
      <c r="J3596" s="143" t="s">
        <v>13311</v>
      </c>
      <c r="K3596" s="80" t="s">
        <v>13312</v>
      </c>
      <c r="L3596" s="30">
        <v>333753026</v>
      </c>
      <c r="M3596" s="80" t="s">
        <v>59</v>
      </c>
      <c r="N3596" s="80" t="s">
        <v>10947</v>
      </c>
      <c r="O3596" s="80" t="s">
        <v>13313</v>
      </c>
      <c r="P3596" s="80" t="s">
        <v>12687</v>
      </c>
      <c r="Q3596" s="20">
        <v>15936</v>
      </c>
      <c r="R3596" s="80" t="s">
        <v>70</v>
      </c>
      <c r="S3596" s="95">
        <v>15936</v>
      </c>
      <c r="T3596" s="148">
        <v>45551</v>
      </c>
      <c r="U3596" s="77"/>
      <c r="V3596" s="78"/>
      <c r="W3596" s="85" t="s">
        <v>13314</v>
      </c>
      <c r="X3596" s="80">
        <v>100</v>
      </c>
      <c r="Y3596" s="22">
        <v>-100</v>
      </c>
      <c r="Z3596" s="80" t="s">
        <v>50</v>
      </c>
      <c r="AA3596" s="35" t="s">
        <v>3291</v>
      </c>
      <c r="AB3596" s="80"/>
      <c r="AC3596" s="80" t="s">
        <v>53</v>
      </c>
      <c r="AD3596" s="80" t="s">
        <v>138</v>
      </c>
      <c r="AE3596" s="80" t="s">
        <v>3130</v>
      </c>
      <c r="AF3596" s="17">
        <v>45565</v>
      </c>
      <c r="AG3596" s="80"/>
      <c r="AH3596" s="80"/>
      <c r="AI3596" s="147" t="s">
        <v>147</v>
      </c>
      <c r="AJ3596" s="80"/>
      <c r="AK3596" s="80"/>
      <c r="AL3596" s="35"/>
      <c r="AM3596" s="35"/>
      <c r="AN3596" s="35"/>
      <c r="AO3596" s="35"/>
      <c r="AP3596" s="35"/>
    </row>
    <row r="3597" spans="1:42" x14ac:dyDescent="0.2">
      <c r="A3597" s="126">
        <v>45553.696707962961</v>
      </c>
      <c r="B3597" s="137" t="s">
        <v>37</v>
      </c>
      <c r="C3597" s="41" t="s">
        <v>118</v>
      </c>
      <c r="D3597" s="80" t="s">
        <v>36</v>
      </c>
      <c r="E3597" s="80" t="s">
        <v>39</v>
      </c>
      <c r="F3597" s="80" t="s">
        <v>36</v>
      </c>
      <c r="G3597" s="80" t="s">
        <v>41</v>
      </c>
      <c r="H3597" s="80" t="s">
        <v>13315</v>
      </c>
      <c r="I3597" s="17">
        <f ca="1">IFERROR(__xludf.DUMMYFUNCTION("""COMPUTED_VALUE"""),45561)</f>
        <v>45561</v>
      </c>
      <c r="J3597" s="143" t="s">
        <v>13316</v>
      </c>
      <c r="K3597" s="80" t="s">
        <v>13317</v>
      </c>
      <c r="L3597" s="30">
        <v>972270762</v>
      </c>
      <c r="M3597" s="80" t="s">
        <v>59</v>
      </c>
      <c r="N3597" s="80" t="s">
        <v>10947</v>
      </c>
      <c r="O3597" s="80" t="s">
        <v>13318</v>
      </c>
      <c r="P3597" s="80" t="s">
        <v>13319</v>
      </c>
      <c r="Q3597" s="20">
        <v>5736</v>
      </c>
      <c r="R3597" s="80" t="s">
        <v>70</v>
      </c>
      <c r="S3597" s="95">
        <v>5636</v>
      </c>
      <c r="T3597" s="148">
        <v>45553</v>
      </c>
      <c r="U3597" s="77"/>
      <c r="V3597" s="78"/>
      <c r="W3597" s="85" t="s">
        <v>13320</v>
      </c>
      <c r="X3597" s="80">
        <v>100</v>
      </c>
      <c r="Y3597" s="22">
        <v>0</v>
      </c>
      <c r="Z3597" s="80" t="s">
        <v>50</v>
      </c>
      <c r="AA3597" s="96" t="s">
        <v>3291</v>
      </c>
      <c r="AB3597" s="80"/>
      <c r="AC3597" s="80" t="s">
        <v>53</v>
      </c>
      <c r="AD3597" s="80" t="s">
        <v>54</v>
      </c>
      <c r="AE3597" s="80" t="s">
        <v>72</v>
      </c>
      <c r="AF3597" s="17">
        <v>45554</v>
      </c>
      <c r="AG3597" s="80"/>
      <c r="AH3597" s="80"/>
      <c r="AI3597" s="147" t="s">
        <v>55</v>
      </c>
      <c r="AJ3597" s="80"/>
      <c r="AK3597" s="80"/>
      <c r="AL3597" s="35"/>
      <c r="AM3597" s="35"/>
      <c r="AN3597" s="35"/>
      <c r="AO3597" s="35"/>
      <c r="AP3597" s="35"/>
    </row>
    <row r="3598" spans="1:42" x14ac:dyDescent="0.2">
      <c r="A3598" s="126">
        <v>45553.698068194441</v>
      </c>
      <c r="B3598" s="137" t="s">
        <v>37</v>
      </c>
      <c r="C3598" s="41" t="s">
        <v>118</v>
      </c>
      <c r="D3598" s="80" t="s">
        <v>36</v>
      </c>
      <c r="E3598" s="80" t="s">
        <v>39</v>
      </c>
      <c r="F3598" s="80" t="s">
        <v>36</v>
      </c>
      <c r="G3598" s="80" t="s">
        <v>41</v>
      </c>
      <c r="H3598" s="80" t="s">
        <v>13315</v>
      </c>
      <c r="I3598" s="17">
        <f ca="1">IFERROR(__xludf.DUMMYFUNCTION("""COMPUTED_VALUE"""),45561)</f>
        <v>45561</v>
      </c>
      <c r="J3598" s="143" t="s">
        <v>13321</v>
      </c>
      <c r="K3598" s="80" t="s">
        <v>13322</v>
      </c>
      <c r="L3598" s="30">
        <v>354688577</v>
      </c>
      <c r="M3598" s="80" t="s">
        <v>59</v>
      </c>
      <c r="N3598" s="80" t="s">
        <v>10947</v>
      </c>
      <c r="O3598" s="80" t="s">
        <v>13323</v>
      </c>
      <c r="P3598" s="80" t="s">
        <v>13324</v>
      </c>
      <c r="Q3598" s="20">
        <v>5736</v>
      </c>
      <c r="R3598" s="80" t="s">
        <v>70</v>
      </c>
      <c r="S3598" s="95">
        <v>5636</v>
      </c>
      <c r="T3598" s="148">
        <v>45553</v>
      </c>
      <c r="U3598" s="77"/>
      <c r="V3598" s="78"/>
      <c r="W3598" s="85" t="s">
        <v>13325</v>
      </c>
      <c r="X3598" s="80">
        <v>100</v>
      </c>
      <c r="Y3598" s="22">
        <v>0</v>
      </c>
      <c r="Z3598" s="80" t="s">
        <v>50</v>
      </c>
      <c r="AA3598" s="35" t="s">
        <v>3291</v>
      </c>
      <c r="AB3598" s="80"/>
      <c r="AC3598" s="80" t="s">
        <v>53</v>
      </c>
      <c r="AD3598" s="80" t="s">
        <v>54</v>
      </c>
      <c r="AE3598" s="80" t="s">
        <v>76</v>
      </c>
      <c r="AF3598" s="17">
        <v>45554</v>
      </c>
      <c r="AG3598" s="85" t="s">
        <v>13321</v>
      </c>
      <c r="AH3598" s="80"/>
      <c r="AI3598" s="147" t="s">
        <v>55</v>
      </c>
      <c r="AJ3598" s="80"/>
      <c r="AK3598" s="80"/>
      <c r="AL3598" s="35"/>
      <c r="AM3598" s="35"/>
      <c r="AN3598" s="35"/>
      <c r="AO3598" s="35"/>
      <c r="AP3598" s="35"/>
    </row>
    <row r="3599" spans="1:42" x14ac:dyDescent="0.2">
      <c r="A3599" s="126">
        <v>45553.756400439815</v>
      </c>
      <c r="B3599" s="137" t="s">
        <v>37</v>
      </c>
      <c r="C3599" s="41" t="s">
        <v>118</v>
      </c>
      <c r="D3599" s="80" t="s">
        <v>36</v>
      </c>
      <c r="E3599" s="80" t="s">
        <v>77</v>
      </c>
      <c r="F3599" s="80" t="s">
        <v>36</v>
      </c>
      <c r="G3599" s="80" t="s">
        <v>41</v>
      </c>
      <c r="H3599" s="80" t="s">
        <v>13315</v>
      </c>
      <c r="I3599" s="17">
        <f ca="1">IFERROR(__xludf.DUMMYFUNCTION("""COMPUTED_VALUE"""),45561)</f>
        <v>45561</v>
      </c>
      <c r="J3599" s="143" t="s">
        <v>13326</v>
      </c>
      <c r="K3599" s="80" t="s">
        <v>13327</v>
      </c>
      <c r="L3599" s="30">
        <v>363742621</v>
      </c>
      <c r="M3599" s="80" t="s">
        <v>123</v>
      </c>
      <c r="N3599" s="80" t="s">
        <v>327</v>
      </c>
      <c r="O3599" s="80" t="s">
        <v>4503</v>
      </c>
      <c r="P3599" s="80" t="s">
        <v>13328</v>
      </c>
      <c r="Q3599" s="20">
        <v>1968</v>
      </c>
      <c r="R3599" s="80" t="s">
        <v>36</v>
      </c>
      <c r="S3599" s="95">
        <v>1968</v>
      </c>
      <c r="T3599" s="148">
        <v>45552</v>
      </c>
      <c r="U3599" s="77"/>
      <c r="V3599" s="78"/>
      <c r="W3599" s="85" t="s">
        <v>13329</v>
      </c>
      <c r="X3599" s="80">
        <v>0</v>
      </c>
      <c r="Y3599" s="22">
        <v>0</v>
      </c>
      <c r="Z3599" s="80" t="s">
        <v>50</v>
      </c>
      <c r="AA3599" s="96" t="s">
        <v>3291</v>
      </c>
      <c r="AB3599" s="80"/>
      <c r="AC3599" s="80" t="s">
        <v>53</v>
      </c>
      <c r="AD3599" s="80" t="s">
        <v>54</v>
      </c>
      <c r="AE3599" s="80"/>
      <c r="AF3599" s="17">
        <v>45554</v>
      </c>
      <c r="AG3599" s="80"/>
      <c r="AH3599" s="80"/>
      <c r="AI3599" s="147" t="s">
        <v>84</v>
      </c>
      <c r="AJ3599" s="80"/>
      <c r="AK3599" s="80"/>
      <c r="AL3599" s="35"/>
      <c r="AM3599" s="35"/>
      <c r="AN3599" s="35"/>
      <c r="AO3599" s="35"/>
      <c r="AP3599" s="35"/>
    </row>
    <row r="3600" spans="1:42" x14ac:dyDescent="0.2">
      <c r="A3600" s="126">
        <v>45553.814096574075</v>
      </c>
      <c r="B3600" s="137" t="s">
        <v>37</v>
      </c>
      <c r="C3600" s="41" t="s">
        <v>118</v>
      </c>
      <c r="D3600" s="80" t="s">
        <v>36</v>
      </c>
      <c r="E3600" s="80" t="s">
        <v>139</v>
      </c>
      <c r="F3600" s="80" t="s">
        <v>36</v>
      </c>
      <c r="G3600" s="80" t="s">
        <v>41</v>
      </c>
      <c r="H3600" s="80" t="s">
        <v>12737</v>
      </c>
      <c r="I3600" s="17">
        <f ca="1">IFERROR(__xludf.DUMMYFUNCTION("""COMPUTED_VALUE"""),45562)</f>
        <v>45562</v>
      </c>
      <c r="J3600" s="143" t="s">
        <v>13330</v>
      </c>
      <c r="K3600" s="80" t="s">
        <v>13331</v>
      </c>
      <c r="L3600" s="30">
        <v>765178100</v>
      </c>
      <c r="M3600" s="80" t="s">
        <v>5558</v>
      </c>
      <c r="N3600" s="80" t="s">
        <v>5559</v>
      </c>
      <c r="O3600" s="80" t="s">
        <v>4503</v>
      </c>
      <c r="P3600" s="80" t="s">
        <v>13332</v>
      </c>
      <c r="Q3600" s="20">
        <v>15936</v>
      </c>
      <c r="R3600" s="80" t="s">
        <v>36</v>
      </c>
      <c r="S3600" s="95">
        <f>200+15736</f>
        <v>15936</v>
      </c>
      <c r="T3600" s="148">
        <v>45553</v>
      </c>
      <c r="U3600" s="95"/>
      <c r="V3600" s="148">
        <v>45557</v>
      </c>
      <c r="W3600" s="85" t="s">
        <v>13333</v>
      </c>
      <c r="X3600" s="80">
        <v>0</v>
      </c>
      <c r="Y3600" s="22">
        <v>0</v>
      </c>
      <c r="Z3600" s="80" t="s">
        <v>50</v>
      </c>
      <c r="AA3600" s="35" t="s">
        <v>3291</v>
      </c>
      <c r="AB3600" s="80"/>
      <c r="AC3600" s="80" t="s">
        <v>53</v>
      </c>
      <c r="AD3600" s="80" t="s">
        <v>54</v>
      </c>
      <c r="AE3600" s="80"/>
      <c r="AF3600" s="17">
        <v>45558</v>
      </c>
      <c r="AG3600" s="80"/>
      <c r="AH3600" s="80"/>
      <c r="AI3600" s="147" t="s">
        <v>147</v>
      </c>
      <c r="AJ3600" s="80"/>
      <c r="AK3600" s="80"/>
      <c r="AL3600" s="35"/>
      <c r="AM3600" s="35"/>
      <c r="AN3600" s="35"/>
      <c r="AO3600" s="35"/>
      <c r="AP3600" s="35"/>
    </row>
    <row r="3601" spans="1:42" x14ac:dyDescent="0.2">
      <c r="A3601" s="126">
        <v>45553.864012592589</v>
      </c>
      <c r="B3601" s="137" t="s">
        <v>37</v>
      </c>
      <c r="C3601" s="41" t="s">
        <v>118</v>
      </c>
      <c r="D3601" s="80" t="s">
        <v>36</v>
      </c>
      <c r="E3601" s="80" t="s">
        <v>39</v>
      </c>
      <c r="F3601" s="80" t="s">
        <v>36</v>
      </c>
      <c r="G3601" s="80" t="s">
        <v>41</v>
      </c>
      <c r="H3601" s="80" t="s">
        <v>11846</v>
      </c>
      <c r="I3601" s="17">
        <f ca="1">IFERROR(__xludf.DUMMYFUNCTION("""COMPUTED_VALUE"""),45560)</f>
        <v>45560</v>
      </c>
      <c r="J3601" s="143" t="s">
        <v>13334</v>
      </c>
      <c r="K3601" s="80" t="s">
        <v>13335</v>
      </c>
      <c r="L3601" s="30">
        <v>947822145</v>
      </c>
      <c r="M3601" s="80" t="s">
        <v>9422</v>
      </c>
      <c r="N3601" s="80" t="s">
        <v>327</v>
      </c>
      <c r="O3601" s="80" t="s">
        <v>13336</v>
      </c>
      <c r="P3601" s="80" t="s">
        <v>13337</v>
      </c>
      <c r="Q3601" s="20">
        <v>5736</v>
      </c>
      <c r="R3601" s="80" t="s">
        <v>11421</v>
      </c>
      <c r="S3601" s="95">
        <v>5436</v>
      </c>
      <c r="T3601" s="148">
        <v>45553</v>
      </c>
      <c r="U3601" s="77"/>
      <c r="V3601" s="78"/>
      <c r="W3601" s="79" t="s">
        <v>13338</v>
      </c>
      <c r="X3601" s="80">
        <v>300</v>
      </c>
      <c r="Y3601" s="22">
        <v>0</v>
      </c>
      <c r="Z3601" s="80" t="s">
        <v>50</v>
      </c>
      <c r="AA3601" s="96" t="s">
        <v>3291</v>
      </c>
      <c r="AB3601" s="80"/>
      <c r="AC3601" s="80" t="s">
        <v>53</v>
      </c>
      <c r="AD3601" s="80" t="s">
        <v>54</v>
      </c>
      <c r="AE3601" s="80"/>
      <c r="AF3601" s="17">
        <v>45554</v>
      </c>
      <c r="AG3601" s="80"/>
      <c r="AH3601" s="80"/>
      <c r="AI3601" s="147" t="s">
        <v>55</v>
      </c>
      <c r="AJ3601" s="80"/>
      <c r="AK3601" s="80"/>
      <c r="AL3601" s="35"/>
      <c r="AM3601" s="35"/>
      <c r="AN3601" s="35"/>
      <c r="AO3601" s="35"/>
      <c r="AP3601" s="35"/>
    </row>
    <row r="3602" spans="1:42" x14ac:dyDescent="0.2">
      <c r="A3602" s="126">
        <v>45554.44014100694</v>
      </c>
      <c r="B3602" s="137" t="s">
        <v>37</v>
      </c>
      <c r="C3602" s="41" t="s">
        <v>118</v>
      </c>
      <c r="D3602" s="80" t="s">
        <v>36</v>
      </c>
      <c r="E3602" s="80" t="s">
        <v>77</v>
      </c>
      <c r="F3602" s="80" t="s">
        <v>40</v>
      </c>
      <c r="G3602" s="80" t="s">
        <v>41</v>
      </c>
      <c r="H3602" s="80" t="s">
        <v>13206</v>
      </c>
      <c r="I3602" s="17">
        <f ca="1">IFERROR(__xludf.DUMMYFUNCTION("""COMPUTED_VALUE"""),45559)</f>
        <v>45559</v>
      </c>
      <c r="J3602" s="143" t="s">
        <v>13339</v>
      </c>
      <c r="K3602" s="80" t="s">
        <v>13340</v>
      </c>
      <c r="L3602" s="30">
        <v>346352501</v>
      </c>
      <c r="M3602" s="80" t="s">
        <v>9422</v>
      </c>
      <c r="N3602" s="80" t="s">
        <v>13341</v>
      </c>
      <c r="O3602" s="80" t="s">
        <v>307</v>
      </c>
      <c r="P3602" s="80" t="s">
        <v>13342</v>
      </c>
      <c r="Q3602" s="20">
        <v>1968</v>
      </c>
      <c r="R3602" s="80" t="s">
        <v>36</v>
      </c>
      <c r="S3602" s="95">
        <v>1968</v>
      </c>
      <c r="T3602" s="148">
        <v>45554</v>
      </c>
      <c r="U3602" s="77"/>
      <c r="V3602" s="78"/>
      <c r="W3602" s="85" t="s">
        <v>13343</v>
      </c>
      <c r="X3602" s="80">
        <v>0</v>
      </c>
      <c r="Y3602" s="22">
        <v>0</v>
      </c>
      <c r="Z3602" s="80" t="s">
        <v>50</v>
      </c>
      <c r="AA3602" s="35" t="s">
        <v>3291</v>
      </c>
      <c r="AB3602" s="80"/>
      <c r="AC3602" s="80" t="s">
        <v>53</v>
      </c>
      <c r="AD3602" s="80" t="s">
        <v>54</v>
      </c>
      <c r="AE3602" s="80"/>
      <c r="AF3602" s="17">
        <v>45554</v>
      </c>
      <c r="AG3602" s="80"/>
      <c r="AH3602" s="80"/>
      <c r="AI3602" s="147" t="s">
        <v>84</v>
      </c>
      <c r="AJ3602" s="80"/>
      <c r="AK3602" s="80"/>
      <c r="AL3602" s="35"/>
      <c r="AM3602" s="35"/>
      <c r="AN3602" s="35"/>
      <c r="AO3602" s="35"/>
      <c r="AP3602" s="35"/>
    </row>
    <row r="3603" spans="1:42" x14ac:dyDescent="0.2">
      <c r="A3603" s="126">
        <v>45554.458546145834</v>
      </c>
      <c r="B3603" s="137" t="s">
        <v>37</v>
      </c>
      <c r="C3603" s="41" t="s">
        <v>118</v>
      </c>
      <c r="D3603" s="80" t="s">
        <v>36</v>
      </c>
      <c r="E3603" s="80" t="s">
        <v>77</v>
      </c>
      <c r="F3603" s="80" t="s">
        <v>36</v>
      </c>
      <c r="G3603" s="80" t="s">
        <v>41</v>
      </c>
      <c r="H3603" s="80" t="s">
        <v>13315</v>
      </c>
      <c r="I3603" s="17">
        <f ca="1">IFERROR(__xludf.DUMMYFUNCTION("""COMPUTED_VALUE"""),45561)</f>
        <v>45561</v>
      </c>
      <c r="J3603" s="143" t="s">
        <v>13344</v>
      </c>
      <c r="K3603" s="80" t="s">
        <v>13345</v>
      </c>
      <c r="L3603" s="30">
        <v>346788807</v>
      </c>
      <c r="M3603" s="80" t="s">
        <v>59</v>
      </c>
      <c r="N3603" s="80" t="s">
        <v>9294</v>
      </c>
      <c r="O3603" s="80" t="s">
        <v>13346</v>
      </c>
      <c r="P3603" s="144" t="s">
        <v>13347</v>
      </c>
      <c r="Q3603" s="20">
        <v>1968</v>
      </c>
      <c r="R3603" s="80" t="s">
        <v>36</v>
      </c>
      <c r="S3603" s="95">
        <v>2000</v>
      </c>
      <c r="T3603" s="148">
        <v>45554</v>
      </c>
      <c r="U3603" s="77"/>
      <c r="V3603" s="78"/>
      <c r="W3603" s="85" t="s">
        <v>13348</v>
      </c>
      <c r="X3603" s="80">
        <v>0</v>
      </c>
      <c r="Y3603" s="22">
        <v>-32</v>
      </c>
      <c r="Z3603" s="80" t="s">
        <v>50</v>
      </c>
      <c r="AA3603" s="96" t="s">
        <v>3291</v>
      </c>
      <c r="AB3603" s="80"/>
      <c r="AC3603" s="80" t="s">
        <v>53</v>
      </c>
      <c r="AD3603" s="80" t="s">
        <v>54</v>
      </c>
      <c r="AE3603" s="80" t="s">
        <v>430</v>
      </c>
      <c r="AF3603" s="17">
        <v>45554</v>
      </c>
      <c r="AG3603" s="80" t="s">
        <v>7078</v>
      </c>
      <c r="AH3603" s="80"/>
      <c r="AI3603" s="147" t="s">
        <v>84</v>
      </c>
      <c r="AJ3603" s="80"/>
      <c r="AK3603" s="80"/>
      <c r="AL3603" s="35"/>
      <c r="AM3603" s="35"/>
      <c r="AN3603" s="35"/>
      <c r="AO3603" s="35"/>
      <c r="AP3603" s="35"/>
    </row>
    <row r="3604" spans="1:42" x14ac:dyDescent="0.2">
      <c r="A3604" s="126">
        <v>45554.648743287034</v>
      </c>
      <c r="B3604" s="137" t="s">
        <v>37</v>
      </c>
      <c r="C3604" s="41" t="s">
        <v>118</v>
      </c>
      <c r="D3604" s="80" t="s">
        <v>36</v>
      </c>
      <c r="E3604" s="80" t="s">
        <v>139</v>
      </c>
      <c r="F3604" s="80" t="s">
        <v>40</v>
      </c>
      <c r="G3604" s="80" t="s">
        <v>41</v>
      </c>
      <c r="H3604" s="80" t="s">
        <v>13301</v>
      </c>
      <c r="I3604" s="17">
        <f ca="1">IFERROR(__xludf.DUMMYFUNCTION("""COMPUTED_VALUE"""),45566)</f>
        <v>45566</v>
      </c>
      <c r="J3604" s="143" t="s">
        <v>13349</v>
      </c>
      <c r="K3604" s="80" t="s">
        <v>13350</v>
      </c>
      <c r="L3604" s="30">
        <v>398892879</v>
      </c>
      <c r="M3604" s="80" t="s">
        <v>59</v>
      </c>
      <c r="N3604" s="80" t="s">
        <v>7298</v>
      </c>
      <c r="O3604" s="80" t="s">
        <v>13351</v>
      </c>
      <c r="P3604" s="80" t="s">
        <v>12687</v>
      </c>
      <c r="Q3604" s="20">
        <v>15936</v>
      </c>
      <c r="R3604" s="80" t="s">
        <v>36</v>
      </c>
      <c r="S3604" s="95">
        <f>200+2000</f>
        <v>2200</v>
      </c>
      <c r="T3604" s="83" t="s">
        <v>13352</v>
      </c>
      <c r="U3604" s="95">
        <v>13736</v>
      </c>
      <c r="V3604" s="148">
        <v>45559</v>
      </c>
      <c r="W3604" s="85" t="s">
        <v>13353</v>
      </c>
      <c r="X3604" s="80">
        <v>0</v>
      </c>
      <c r="Y3604" s="22">
        <v>0</v>
      </c>
      <c r="Z3604" s="80" t="s">
        <v>50</v>
      </c>
      <c r="AA3604" s="35" t="s">
        <v>3291</v>
      </c>
      <c r="AB3604" s="80"/>
      <c r="AC3604" s="80" t="s">
        <v>53</v>
      </c>
      <c r="AD3604" s="80" t="s">
        <v>138</v>
      </c>
      <c r="AE3604" s="80" t="s">
        <v>430</v>
      </c>
      <c r="AF3604" s="17">
        <v>45566</v>
      </c>
      <c r="AG3604" s="80"/>
      <c r="AH3604" s="80"/>
      <c r="AI3604" s="147" t="s">
        <v>147</v>
      </c>
      <c r="AJ3604" s="80"/>
      <c r="AK3604" s="80"/>
      <c r="AL3604" s="35"/>
      <c r="AM3604" s="35"/>
      <c r="AN3604" s="35"/>
      <c r="AO3604" s="35"/>
      <c r="AP3604" s="35"/>
    </row>
    <row r="3605" spans="1:42" x14ac:dyDescent="0.2">
      <c r="A3605" s="126">
        <v>45554.881720324076</v>
      </c>
      <c r="B3605" s="137" t="s">
        <v>90</v>
      </c>
      <c r="C3605" s="41" t="s">
        <v>118</v>
      </c>
      <c r="D3605" s="80" t="s">
        <v>36</v>
      </c>
      <c r="E3605" s="80" t="s">
        <v>119</v>
      </c>
      <c r="F3605" s="80" t="s">
        <v>36</v>
      </c>
      <c r="G3605" s="80" t="s">
        <v>108</v>
      </c>
      <c r="H3605" s="80" t="s">
        <v>9825</v>
      </c>
      <c r="I3605" s="17">
        <f ca="1">IFERROR(__xludf.DUMMYFUNCTION("""COMPUTED_VALUE"""),45548)</f>
        <v>45548</v>
      </c>
      <c r="J3605" s="143" t="s">
        <v>13354</v>
      </c>
      <c r="K3605" s="80" t="s">
        <v>13355</v>
      </c>
      <c r="L3605" s="30">
        <v>763307247</v>
      </c>
      <c r="M3605" s="80" t="s">
        <v>5518</v>
      </c>
      <c r="N3605" s="80" t="s">
        <v>186</v>
      </c>
      <c r="O3605" s="80" t="s">
        <v>13356</v>
      </c>
      <c r="P3605" s="80" t="s">
        <v>3694</v>
      </c>
      <c r="Q3605" s="20">
        <v>13968</v>
      </c>
      <c r="R3605" s="80" t="s">
        <v>36</v>
      </c>
      <c r="S3605" s="95">
        <v>13986</v>
      </c>
      <c r="T3605" s="148">
        <v>45554</v>
      </c>
      <c r="U3605" s="77"/>
      <c r="V3605" s="78"/>
      <c r="W3605" s="85" t="s">
        <v>13357</v>
      </c>
      <c r="X3605" s="80">
        <v>0</v>
      </c>
      <c r="Y3605" s="22">
        <v>-18</v>
      </c>
      <c r="Z3605" s="80" t="s">
        <v>50</v>
      </c>
      <c r="AA3605" s="96" t="s">
        <v>3291</v>
      </c>
      <c r="AB3605" s="80"/>
      <c r="AC3605" s="80" t="s">
        <v>53</v>
      </c>
      <c r="AD3605" s="80" t="s">
        <v>138</v>
      </c>
      <c r="AE3605" s="83">
        <v>400</v>
      </c>
      <c r="AF3605" s="17">
        <v>45555</v>
      </c>
      <c r="AG3605" s="80" t="s">
        <v>13358</v>
      </c>
      <c r="AH3605" s="80"/>
      <c r="AI3605" s="147">
        <v>4</v>
      </c>
      <c r="AJ3605" s="80"/>
      <c r="AK3605" s="80"/>
      <c r="AL3605" s="35"/>
      <c r="AM3605" s="35"/>
      <c r="AN3605" s="35"/>
      <c r="AO3605" s="35"/>
      <c r="AP3605" s="35"/>
    </row>
    <row r="3606" spans="1:42" x14ac:dyDescent="0.2">
      <c r="A3606" s="126">
        <v>45554.992483159724</v>
      </c>
      <c r="B3606" s="137" t="s">
        <v>37</v>
      </c>
      <c r="C3606" s="41" t="s">
        <v>118</v>
      </c>
      <c r="D3606" s="80" t="s">
        <v>36</v>
      </c>
      <c r="E3606" s="80" t="s">
        <v>39</v>
      </c>
      <c r="F3606" s="80" t="s">
        <v>40</v>
      </c>
      <c r="G3606" s="80" t="s">
        <v>41</v>
      </c>
      <c r="H3606" s="80" t="s">
        <v>11846</v>
      </c>
      <c r="I3606" s="17">
        <f ca="1">IFERROR(__xludf.DUMMYFUNCTION("""COMPUTED_VALUE"""),45560)</f>
        <v>45560</v>
      </c>
      <c r="J3606" s="143" t="s">
        <v>13359</v>
      </c>
      <c r="K3606" s="80" t="s">
        <v>13360</v>
      </c>
      <c r="L3606" s="30">
        <v>947548991</v>
      </c>
      <c r="M3606" s="80" t="s">
        <v>9422</v>
      </c>
      <c r="N3606" s="80" t="s">
        <v>327</v>
      </c>
      <c r="O3606" s="80" t="s">
        <v>11607</v>
      </c>
      <c r="P3606" s="144" t="s">
        <v>13361</v>
      </c>
      <c r="Q3606" s="20">
        <v>5736</v>
      </c>
      <c r="R3606" s="80" t="s">
        <v>11421</v>
      </c>
      <c r="S3606" s="95">
        <v>5436</v>
      </c>
      <c r="T3606" s="148">
        <v>45554</v>
      </c>
      <c r="U3606" s="77"/>
      <c r="V3606" s="78"/>
      <c r="W3606" s="85" t="s">
        <v>13362</v>
      </c>
      <c r="X3606" s="80">
        <v>300</v>
      </c>
      <c r="Y3606" s="22">
        <v>0</v>
      </c>
      <c r="Z3606" s="80" t="s">
        <v>50</v>
      </c>
      <c r="AA3606" s="35" t="s">
        <v>3291</v>
      </c>
      <c r="AB3606" s="80"/>
      <c r="AC3606" s="80" t="s">
        <v>53</v>
      </c>
      <c r="AD3606" s="80" t="s">
        <v>54</v>
      </c>
      <c r="AE3606" s="80"/>
      <c r="AF3606" s="17">
        <v>45556</v>
      </c>
      <c r="AG3606" s="80"/>
      <c r="AH3606" s="80"/>
      <c r="AI3606" s="147" t="s">
        <v>55</v>
      </c>
      <c r="AJ3606" s="80"/>
      <c r="AK3606" s="80"/>
      <c r="AL3606" s="35"/>
      <c r="AM3606" s="35"/>
      <c r="AN3606" s="35"/>
      <c r="AO3606" s="35"/>
      <c r="AP3606" s="35"/>
    </row>
    <row r="3607" spans="1:42" x14ac:dyDescent="0.2">
      <c r="A3607" s="126">
        <v>45555.472401319443</v>
      </c>
      <c r="B3607" s="137" t="s">
        <v>37</v>
      </c>
      <c r="C3607" s="41" t="s">
        <v>118</v>
      </c>
      <c r="D3607" s="80" t="s">
        <v>36</v>
      </c>
      <c r="E3607" s="80" t="s">
        <v>77</v>
      </c>
      <c r="F3607" s="80" t="s">
        <v>40</v>
      </c>
      <c r="G3607" s="26" t="s">
        <v>41</v>
      </c>
      <c r="H3607" s="80" t="s">
        <v>12766</v>
      </c>
      <c r="I3607" s="17">
        <f ca="1">IFERROR(__xludf.DUMMYFUNCTION("""COMPUTED_VALUE"""),45555)</f>
        <v>45555</v>
      </c>
      <c r="J3607" s="143" t="s">
        <v>13363</v>
      </c>
      <c r="K3607" s="80" t="s">
        <v>13364</v>
      </c>
      <c r="L3607" s="30">
        <v>366357415</v>
      </c>
      <c r="M3607" s="80" t="s">
        <v>348</v>
      </c>
      <c r="N3607" s="80" t="s">
        <v>4299</v>
      </c>
      <c r="O3607" s="80" t="s">
        <v>13365</v>
      </c>
      <c r="P3607" s="80" t="s">
        <v>7743</v>
      </c>
      <c r="Q3607" s="20">
        <v>1968</v>
      </c>
      <c r="R3607" s="80" t="s">
        <v>36</v>
      </c>
      <c r="S3607" s="95">
        <v>1968</v>
      </c>
      <c r="T3607" s="148">
        <v>45555</v>
      </c>
      <c r="U3607" s="77"/>
      <c r="V3607" s="78"/>
      <c r="W3607" s="85" t="s">
        <v>13366</v>
      </c>
      <c r="X3607" s="80">
        <v>0</v>
      </c>
      <c r="Y3607" s="22">
        <v>0</v>
      </c>
      <c r="Z3607" s="80" t="s">
        <v>50</v>
      </c>
      <c r="AA3607" s="96" t="s">
        <v>3291</v>
      </c>
      <c r="AB3607" s="80"/>
      <c r="AC3607" s="80" t="s">
        <v>53</v>
      </c>
      <c r="AD3607" s="80" t="s">
        <v>138</v>
      </c>
      <c r="AE3607" s="80" t="s">
        <v>3130</v>
      </c>
      <c r="AF3607" s="17">
        <v>45555</v>
      </c>
      <c r="AG3607" s="80"/>
      <c r="AH3607" s="80"/>
      <c r="AI3607" s="147" t="s">
        <v>84</v>
      </c>
      <c r="AJ3607" s="80"/>
      <c r="AK3607" s="80"/>
      <c r="AL3607" s="35"/>
      <c r="AM3607" s="35"/>
      <c r="AN3607" s="35"/>
      <c r="AO3607" s="35"/>
      <c r="AP3607" s="35"/>
    </row>
    <row r="3608" spans="1:42" x14ac:dyDescent="0.2">
      <c r="A3608" s="126">
        <v>45555.479113761576</v>
      </c>
      <c r="B3608" s="137" t="s">
        <v>37</v>
      </c>
      <c r="C3608" s="41" t="s">
        <v>118</v>
      </c>
      <c r="D3608" s="80" t="s">
        <v>36</v>
      </c>
      <c r="E3608" s="80" t="s">
        <v>77</v>
      </c>
      <c r="F3608" s="80" t="s">
        <v>40</v>
      </c>
      <c r="G3608" s="80" t="s">
        <v>41</v>
      </c>
      <c r="H3608" s="80" t="s">
        <v>12849</v>
      </c>
      <c r="I3608" s="17">
        <f ca="1">IFERROR(__xludf.DUMMYFUNCTION("""COMPUTED_VALUE"""),45564)</f>
        <v>45564</v>
      </c>
      <c r="J3608" s="143" t="s">
        <v>13367</v>
      </c>
      <c r="K3608" s="80" t="s">
        <v>13368</v>
      </c>
      <c r="L3608" s="30">
        <v>392966619</v>
      </c>
      <c r="M3608" s="80" t="s">
        <v>348</v>
      </c>
      <c r="N3608" s="80" t="s">
        <v>68</v>
      </c>
      <c r="O3608" s="80" t="s">
        <v>13369</v>
      </c>
      <c r="P3608" s="80" t="s">
        <v>13370</v>
      </c>
      <c r="Q3608" s="20">
        <v>1968</v>
      </c>
      <c r="R3608" s="80" t="s">
        <v>36</v>
      </c>
      <c r="S3608" s="95">
        <v>1968</v>
      </c>
      <c r="T3608" s="148">
        <v>45554</v>
      </c>
      <c r="U3608" s="77"/>
      <c r="V3608" s="78"/>
      <c r="W3608" s="85" t="s">
        <v>13371</v>
      </c>
      <c r="X3608" s="80">
        <v>0</v>
      </c>
      <c r="Y3608" s="22">
        <v>0</v>
      </c>
      <c r="Z3608" s="80" t="s">
        <v>50</v>
      </c>
      <c r="AA3608" s="35" t="s">
        <v>3291</v>
      </c>
      <c r="AB3608" s="80"/>
      <c r="AC3608" s="80" t="s">
        <v>53</v>
      </c>
      <c r="AD3608" s="80" t="s">
        <v>54</v>
      </c>
      <c r="AE3608" s="80" t="s">
        <v>4488</v>
      </c>
      <c r="AF3608" s="17">
        <v>45559</v>
      </c>
      <c r="AG3608" s="80"/>
      <c r="AH3608" s="80"/>
      <c r="AI3608" s="147" t="s">
        <v>84</v>
      </c>
      <c r="AJ3608" s="80"/>
      <c r="AK3608" s="80"/>
      <c r="AL3608" s="35"/>
      <c r="AM3608" s="35"/>
      <c r="AN3608" s="35"/>
      <c r="AO3608" s="35"/>
      <c r="AP3608" s="35"/>
    </row>
    <row r="3609" spans="1:42" x14ac:dyDescent="0.2">
      <c r="A3609" s="126">
        <v>45555.851183287035</v>
      </c>
      <c r="B3609" s="137" t="s">
        <v>37</v>
      </c>
      <c r="C3609" s="41" t="s">
        <v>118</v>
      </c>
      <c r="D3609" s="80" t="s">
        <v>36</v>
      </c>
      <c r="E3609" s="80" t="s">
        <v>77</v>
      </c>
      <c r="F3609" s="80" t="s">
        <v>36</v>
      </c>
      <c r="G3609" s="80" t="s">
        <v>41</v>
      </c>
      <c r="H3609" s="80" t="s">
        <v>13315</v>
      </c>
      <c r="I3609" s="17">
        <f ca="1">IFERROR(__xludf.DUMMYFUNCTION("""COMPUTED_VALUE"""),45561)</f>
        <v>45561</v>
      </c>
      <c r="J3609" s="143" t="s">
        <v>13372</v>
      </c>
      <c r="K3609" s="80" t="s">
        <v>5242</v>
      </c>
      <c r="L3609" s="30">
        <v>961965719</v>
      </c>
      <c r="M3609" s="80" t="s">
        <v>59</v>
      </c>
      <c r="N3609" s="80" t="s">
        <v>9287</v>
      </c>
      <c r="O3609" s="80" t="s">
        <v>13373</v>
      </c>
      <c r="P3609" s="115" t="s">
        <v>13374</v>
      </c>
      <c r="Q3609" s="20">
        <v>1968</v>
      </c>
      <c r="R3609" s="80" t="s">
        <v>36</v>
      </c>
      <c r="S3609" s="95">
        <v>1968</v>
      </c>
      <c r="T3609" s="148">
        <v>45555</v>
      </c>
      <c r="U3609" s="77"/>
      <c r="V3609" s="78"/>
      <c r="W3609" s="85" t="s">
        <v>13375</v>
      </c>
      <c r="X3609" s="80">
        <v>0</v>
      </c>
      <c r="Y3609" s="22">
        <v>0</v>
      </c>
      <c r="Z3609" s="80" t="s">
        <v>50</v>
      </c>
      <c r="AA3609" s="96" t="s">
        <v>3291</v>
      </c>
      <c r="AB3609" s="80"/>
      <c r="AC3609" s="80" t="s">
        <v>53</v>
      </c>
      <c r="AD3609" s="80" t="s">
        <v>54</v>
      </c>
      <c r="AE3609" s="80" t="s">
        <v>3130</v>
      </c>
      <c r="AF3609" s="17">
        <v>45556</v>
      </c>
      <c r="AG3609" s="80"/>
      <c r="AH3609" s="80"/>
      <c r="AI3609" s="147" t="s">
        <v>84</v>
      </c>
      <c r="AJ3609" s="80"/>
      <c r="AK3609" s="80"/>
      <c r="AL3609" s="35"/>
      <c r="AM3609" s="35"/>
      <c r="AN3609" s="35"/>
      <c r="AO3609" s="35"/>
      <c r="AP3609" s="35"/>
    </row>
    <row r="3610" spans="1:42" x14ac:dyDescent="0.2">
      <c r="A3610" s="126">
        <v>45555.856469756945</v>
      </c>
      <c r="B3610" s="137" t="s">
        <v>37</v>
      </c>
      <c r="C3610" s="41" t="s">
        <v>118</v>
      </c>
      <c r="D3610" s="80" t="s">
        <v>36</v>
      </c>
      <c r="E3610" s="80" t="s">
        <v>77</v>
      </c>
      <c r="F3610" s="80" t="s">
        <v>40</v>
      </c>
      <c r="G3610" s="80" t="s">
        <v>41</v>
      </c>
      <c r="H3610" s="80" t="s">
        <v>12849</v>
      </c>
      <c r="I3610" s="17">
        <f ca="1">IFERROR(__xludf.DUMMYFUNCTION("""COMPUTED_VALUE"""),45564)</f>
        <v>45564</v>
      </c>
      <c r="J3610" s="143" t="s">
        <v>13376</v>
      </c>
      <c r="K3610" s="80" t="s">
        <v>13377</v>
      </c>
      <c r="L3610" s="30">
        <v>397274071</v>
      </c>
      <c r="M3610" s="80" t="s">
        <v>348</v>
      </c>
      <c r="N3610" s="80" t="s">
        <v>4299</v>
      </c>
      <c r="O3610" s="80" t="s">
        <v>13378</v>
      </c>
      <c r="P3610" s="80" t="s">
        <v>13379</v>
      </c>
      <c r="Q3610" s="20">
        <v>1968</v>
      </c>
      <c r="R3610" s="80" t="s">
        <v>36</v>
      </c>
      <c r="S3610" s="95">
        <f>1000+968</f>
        <v>1968</v>
      </c>
      <c r="T3610" s="148">
        <v>45555</v>
      </c>
      <c r="U3610" s="77"/>
      <c r="V3610" s="78">
        <v>45549</v>
      </c>
      <c r="W3610" s="85" t="s">
        <v>13380</v>
      </c>
      <c r="X3610" s="80">
        <v>0</v>
      </c>
      <c r="Y3610" s="22">
        <v>0</v>
      </c>
      <c r="Z3610" s="80" t="s">
        <v>50</v>
      </c>
      <c r="AA3610" s="35" t="s">
        <v>3291</v>
      </c>
      <c r="AB3610" s="80"/>
      <c r="AC3610" s="80" t="s">
        <v>53</v>
      </c>
      <c r="AD3610" s="80" t="s">
        <v>54</v>
      </c>
      <c r="AE3610" s="80" t="s">
        <v>3130</v>
      </c>
      <c r="AF3610" s="17">
        <v>45559</v>
      </c>
      <c r="AG3610" s="80"/>
      <c r="AH3610" s="80"/>
      <c r="AI3610" s="147" t="s">
        <v>84</v>
      </c>
      <c r="AJ3610" s="80"/>
      <c r="AK3610" s="80"/>
      <c r="AL3610" s="35"/>
      <c r="AM3610" s="35"/>
      <c r="AN3610" s="35"/>
      <c r="AO3610" s="35"/>
      <c r="AP3610" s="35"/>
    </row>
    <row r="3611" spans="1:42" x14ac:dyDescent="0.2">
      <c r="A3611" s="126">
        <v>45555.946674479172</v>
      </c>
      <c r="B3611" s="137" t="s">
        <v>37</v>
      </c>
      <c r="C3611" s="41" t="s">
        <v>118</v>
      </c>
      <c r="D3611" s="80" t="s">
        <v>36</v>
      </c>
      <c r="E3611" s="80" t="s">
        <v>915</v>
      </c>
      <c r="F3611" s="80" t="s">
        <v>40</v>
      </c>
      <c r="G3611" s="80" t="s">
        <v>221</v>
      </c>
      <c r="H3611" s="80" t="s">
        <v>11774</v>
      </c>
      <c r="I3611" s="17">
        <f ca="1">IFERROR(__xludf.DUMMYFUNCTION("""COMPUTED_VALUE"""),45569)</f>
        <v>45569</v>
      </c>
      <c r="J3611" s="143" t="s">
        <v>13381</v>
      </c>
      <c r="K3611" s="80" t="s">
        <v>654</v>
      </c>
      <c r="L3611" s="30">
        <v>332862616</v>
      </c>
      <c r="M3611" s="80" t="s">
        <v>9422</v>
      </c>
      <c r="N3611" s="80" t="s">
        <v>5574</v>
      </c>
      <c r="O3611" s="80" t="s">
        <v>8827</v>
      </c>
      <c r="P3611" s="80" t="s">
        <v>13382</v>
      </c>
      <c r="Q3611" s="20">
        <v>10894</v>
      </c>
      <c r="R3611" s="80" t="s">
        <v>11421</v>
      </c>
      <c r="S3611" s="95">
        <v>10594</v>
      </c>
      <c r="T3611" s="148">
        <v>45555</v>
      </c>
      <c r="U3611" s="77"/>
      <c r="V3611" s="78"/>
      <c r="W3611" s="80" t="s">
        <v>13383</v>
      </c>
      <c r="X3611" s="80">
        <v>300</v>
      </c>
      <c r="Y3611" s="22">
        <v>0</v>
      </c>
      <c r="Z3611" s="80" t="s">
        <v>50</v>
      </c>
      <c r="AA3611" s="96" t="s">
        <v>3291</v>
      </c>
      <c r="AB3611" s="80"/>
      <c r="AC3611" s="80" t="s">
        <v>53</v>
      </c>
      <c r="AD3611" s="80" t="s">
        <v>54</v>
      </c>
      <c r="AE3611" s="80"/>
      <c r="AF3611" s="17">
        <v>45562</v>
      </c>
      <c r="AG3611" s="80"/>
      <c r="AH3611" s="80"/>
      <c r="AI3611" s="147">
        <v>3</v>
      </c>
      <c r="AJ3611" s="80"/>
      <c r="AK3611" s="80"/>
      <c r="AL3611" s="35"/>
      <c r="AM3611" s="35"/>
      <c r="AN3611" s="35"/>
      <c r="AO3611" s="35"/>
      <c r="AP3611" s="35"/>
    </row>
    <row r="3612" spans="1:42" x14ac:dyDescent="0.2">
      <c r="A3612" s="126">
        <v>45557.010247303246</v>
      </c>
      <c r="B3612" s="137" t="s">
        <v>37</v>
      </c>
      <c r="C3612" s="41" t="s">
        <v>118</v>
      </c>
      <c r="D3612" s="80" t="s">
        <v>36</v>
      </c>
      <c r="E3612" s="80" t="s">
        <v>77</v>
      </c>
      <c r="F3612" s="80" t="s">
        <v>36</v>
      </c>
      <c r="G3612" s="80" t="s">
        <v>41</v>
      </c>
      <c r="H3612" s="80" t="s">
        <v>13384</v>
      </c>
      <c r="I3612" s="17">
        <f ca="1">IFERROR(__xludf.DUMMYFUNCTION("""COMPUTED_VALUE"""),45569)</f>
        <v>45569</v>
      </c>
      <c r="J3612" s="143" t="s">
        <v>13385</v>
      </c>
      <c r="K3612" s="80" t="s">
        <v>13386</v>
      </c>
      <c r="L3612" s="30">
        <v>365358646</v>
      </c>
      <c r="M3612" s="80" t="s">
        <v>348</v>
      </c>
      <c r="N3612" s="80" t="s">
        <v>4299</v>
      </c>
      <c r="O3612" s="80" t="s">
        <v>13387</v>
      </c>
      <c r="P3612" s="80" t="s">
        <v>13388</v>
      </c>
      <c r="Q3612" s="20">
        <v>1968</v>
      </c>
      <c r="R3612" s="80" t="s">
        <v>36</v>
      </c>
      <c r="S3612" s="95">
        <v>1968</v>
      </c>
      <c r="T3612" s="148">
        <v>45557</v>
      </c>
      <c r="U3612" s="77"/>
      <c r="V3612" s="78"/>
      <c r="W3612" s="85" t="s">
        <v>13389</v>
      </c>
      <c r="X3612" s="80">
        <v>0</v>
      </c>
      <c r="Y3612" s="22">
        <v>0</v>
      </c>
      <c r="Z3612" s="80" t="s">
        <v>50</v>
      </c>
      <c r="AA3612" s="35" t="s">
        <v>3291</v>
      </c>
      <c r="AB3612" s="80"/>
      <c r="AC3612" s="80" t="s">
        <v>53</v>
      </c>
      <c r="AD3612" s="80" t="s">
        <v>138</v>
      </c>
      <c r="AE3612" s="80" t="s">
        <v>430</v>
      </c>
      <c r="AF3612" s="17">
        <v>45569</v>
      </c>
      <c r="AG3612" s="80"/>
      <c r="AH3612" s="80"/>
      <c r="AI3612" s="147" t="s">
        <v>84</v>
      </c>
      <c r="AJ3612" s="80"/>
      <c r="AK3612" s="80"/>
      <c r="AL3612" s="35"/>
      <c r="AM3612" s="35"/>
      <c r="AN3612" s="35"/>
      <c r="AO3612" s="35"/>
      <c r="AP3612" s="35"/>
    </row>
    <row r="3613" spans="1:42" x14ac:dyDescent="0.2">
      <c r="A3613" s="126">
        <v>45557.017900833336</v>
      </c>
      <c r="B3613" s="137" t="s">
        <v>37</v>
      </c>
      <c r="C3613" s="41" t="s">
        <v>118</v>
      </c>
      <c r="D3613" s="80" t="s">
        <v>36</v>
      </c>
      <c r="E3613" s="80" t="s">
        <v>77</v>
      </c>
      <c r="F3613" s="80" t="s">
        <v>36</v>
      </c>
      <c r="G3613" s="80" t="s">
        <v>41</v>
      </c>
      <c r="H3613" s="80" t="s">
        <v>13384</v>
      </c>
      <c r="I3613" s="17">
        <f ca="1">IFERROR(__xludf.DUMMYFUNCTION("""COMPUTED_VALUE"""),45569)</f>
        <v>45569</v>
      </c>
      <c r="J3613" s="143" t="s">
        <v>13390</v>
      </c>
      <c r="K3613" s="80" t="s">
        <v>13391</v>
      </c>
      <c r="L3613" s="30">
        <v>359885306</v>
      </c>
      <c r="M3613" s="80" t="s">
        <v>348</v>
      </c>
      <c r="N3613" s="80" t="s">
        <v>4299</v>
      </c>
      <c r="O3613" s="80" t="s">
        <v>13392</v>
      </c>
      <c r="P3613" s="80" t="s">
        <v>13393</v>
      </c>
      <c r="Q3613" s="20">
        <v>1968</v>
      </c>
      <c r="R3613" s="80" t="s">
        <v>36</v>
      </c>
      <c r="S3613" s="95">
        <v>1968</v>
      </c>
      <c r="T3613" s="148">
        <v>45557</v>
      </c>
      <c r="U3613" s="77"/>
      <c r="V3613" s="78"/>
      <c r="W3613" s="85" t="s">
        <v>13394</v>
      </c>
      <c r="X3613" s="80">
        <v>0</v>
      </c>
      <c r="Y3613" s="22">
        <v>0</v>
      </c>
      <c r="Z3613" s="80" t="s">
        <v>50</v>
      </c>
      <c r="AA3613" s="96" t="s">
        <v>3291</v>
      </c>
      <c r="AB3613" s="80"/>
      <c r="AC3613" s="80" t="s">
        <v>53</v>
      </c>
      <c r="AD3613" s="80" t="s">
        <v>138</v>
      </c>
      <c r="AE3613" s="80" t="s">
        <v>4488</v>
      </c>
      <c r="AF3613" s="17">
        <v>45569</v>
      </c>
      <c r="AG3613" s="80"/>
      <c r="AH3613" s="80"/>
      <c r="AI3613" s="147" t="s">
        <v>84</v>
      </c>
      <c r="AJ3613" s="80"/>
      <c r="AK3613" s="80"/>
      <c r="AL3613" s="35"/>
      <c r="AM3613" s="35"/>
      <c r="AN3613" s="35"/>
      <c r="AO3613" s="35"/>
      <c r="AP3613" s="35"/>
    </row>
    <row r="3614" spans="1:42" x14ac:dyDescent="0.2">
      <c r="A3614" s="126">
        <v>45557.020860312499</v>
      </c>
      <c r="B3614" s="137" t="s">
        <v>37</v>
      </c>
      <c r="C3614" s="41" t="s">
        <v>118</v>
      </c>
      <c r="D3614" s="80" t="s">
        <v>36</v>
      </c>
      <c r="E3614" s="80" t="s">
        <v>77</v>
      </c>
      <c r="F3614" s="80" t="s">
        <v>36</v>
      </c>
      <c r="G3614" s="80" t="s">
        <v>41</v>
      </c>
      <c r="H3614" s="80" t="s">
        <v>13384</v>
      </c>
      <c r="I3614" s="17">
        <f ca="1">IFERROR(__xludf.DUMMYFUNCTION("""COMPUTED_VALUE"""),45569)</f>
        <v>45569</v>
      </c>
      <c r="J3614" s="143" t="s">
        <v>13395</v>
      </c>
      <c r="K3614" s="80" t="s">
        <v>13396</v>
      </c>
      <c r="L3614" s="30">
        <v>366658597</v>
      </c>
      <c r="M3614" s="80" t="s">
        <v>348</v>
      </c>
      <c r="N3614" s="80" t="s">
        <v>4299</v>
      </c>
      <c r="O3614" s="80" t="s">
        <v>13397</v>
      </c>
      <c r="P3614" s="80" t="s">
        <v>13398</v>
      </c>
      <c r="Q3614" s="20">
        <v>1968</v>
      </c>
      <c r="R3614" s="80" t="s">
        <v>36</v>
      </c>
      <c r="S3614" s="95">
        <v>1968</v>
      </c>
      <c r="T3614" s="148">
        <v>45557</v>
      </c>
      <c r="U3614" s="77"/>
      <c r="V3614" s="78"/>
      <c r="W3614" s="85" t="s">
        <v>13399</v>
      </c>
      <c r="X3614" s="80">
        <v>0</v>
      </c>
      <c r="Y3614" s="22">
        <v>0</v>
      </c>
      <c r="Z3614" s="80" t="s">
        <v>50</v>
      </c>
      <c r="AA3614" s="35" t="s">
        <v>3291</v>
      </c>
      <c r="AB3614" s="80"/>
      <c r="AC3614" s="80" t="s">
        <v>53</v>
      </c>
      <c r="AD3614" s="80" t="s">
        <v>138</v>
      </c>
      <c r="AE3614" s="80"/>
      <c r="AF3614" s="17">
        <v>45569</v>
      </c>
      <c r="AG3614" s="80"/>
      <c r="AH3614" s="80"/>
      <c r="AI3614" s="147" t="s">
        <v>84</v>
      </c>
      <c r="AJ3614" s="80"/>
      <c r="AK3614" s="80"/>
      <c r="AL3614" s="35"/>
      <c r="AM3614" s="35"/>
      <c r="AN3614" s="35"/>
      <c r="AO3614" s="35"/>
      <c r="AP3614" s="35"/>
    </row>
    <row r="3615" spans="1:42" x14ac:dyDescent="0.2">
      <c r="A3615" s="126">
        <v>45557.029685868052</v>
      </c>
      <c r="B3615" s="137" t="s">
        <v>37</v>
      </c>
      <c r="C3615" s="41" t="s">
        <v>118</v>
      </c>
      <c r="D3615" s="80" t="s">
        <v>36</v>
      </c>
      <c r="E3615" s="80" t="s">
        <v>56</v>
      </c>
      <c r="F3615" s="80" t="s">
        <v>36</v>
      </c>
      <c r="G3615" s="80" t="s">
        <v>41</v>
      </c>
      <c r="H3615" s="80" t="s">
        <v>13239</v>
      </c>
      <c r="I3615" s="17">
        <f ca="1">IFERROR(__xludf.DUMMYFUNCTION("""COMPUTED_VALUE"""),45560)</f>
        <v>45560</v>
      </c>
      <c r="J3615" s="143" t="s">
        <v>13400</v>
      </c>
      <c r="K3615" s="80" t="s">
        <v>13401</v>
      </c>
      <c r="L3615" s="30">
        <v>355038715</v>
      </c>
      <c r="M3615" s="80" t="s">
        <v>59</v>
      </c>
      <c r="N3615" s="80" t="s">
        <v>13402</v>
      </c>
      <c r="O3615" s="80" t="s">
        <v>13403</v>
      </c>
      <c r="P3615" s="80" t="s">
        <v>13404</v>
      </c>
      <c r="Q3615" s="20">
        <v>9317</v>
      </c>
      <c r="R3615" s="80" t="s">
        <v>36</v>
      </c>
      <c r="S3615" s="95">
        <v>9317</v>
      </c>
      <c r="T3615" s="148">
        <v>45556</v>
      </c>
      <c r="U3615" s="77"/>
      <c r="V3615" s="78"/>
      <c r="W3615" s="85" t="s">
        <v>13405</v>
      </c>
      <c r="X3615" s="80">
        <v>0</v>
      </c>
      <c r="Y3615" s="22">
        <v>0</v>
      </c>
      <c r="Z3615" s="80" t="s">
        <v>50</v>
      </c>
      <c r="AA3615" s="96" t="s">
        <v>3291</v>
      </c>
      <c r="AB3615" s="80"/>
      <c r="AC3615" s="80" t="s">
        <v>53</v>
      </c>
      <c r="AD3615" s="80" t="s">
        <v>54</v>
      </c>
      <c r="AE3615" s="80" t="s">
        <v>430</v>
      </c>
      <c r="AF3615" s="17">
        <v>45558</v>
      </c>
      <c r="AG3615" s="85" t="s">
        <v>13400</v>
      </c>
      <c r="AH3615" s="80"/>
      <c r="AI3615" s="147" t="s">
        <v>64</v>
      </c>
      <c r="AJ3615" s="80"/>
      <c r="AK3615" s="80"/>
      <c r="AL3615" s="35"/>
      <c r="AM3615" s="35"/>
      <c r="AN3615" s="35"/>
      <c r="AO3615" s="35"/>
      <c r="AP3615" s="35"/>
    </row>
    <row r="3616" spans="1:42" x14ac:dyDescent="0.2">
      <c r="A3616" s="126">
        <v>45557.405202986112</v>
      </c>
      <c r="B3616" s="137" t="s">
        <v>37</v>
      </c>
      <c r="C3616" s="41" t="s">
        <v>118</v>
      </c>
      <c r="D3616" s="80" t="s">
        <v>36</v>
      </c>
      <c r="E3616" s="80" t="s">
        <v>77</v>
      </c>
      <c r="F3616" s="80" t="s">
        <v>36</v>
      </c>
      <c r="G3616" s="80" t="s">
        <v>41</v>
      </c>
      <c r="H3616" s="80" t="s">
        <v>11747</v>
      </c>
      <c r="I3616" s="17">
        <f ca="1">IFERROR(__xludf.DUMMYFUNCTION("""COMPUTED_VALUE"""),45559)</f>
        <v>45559</v>
      </c>
      <c r="J3616" s="143" t="s">
        <v>13406</v>
      </c>
      <c r="K3616" s="80" t="s">
        <v>13407</v>
      </c>
      <c r="L3616" s="30">
        <v>375563708</v>
      </c>
      <c r="M3616" s="80" t="s">
        <v>123</v>
      </c>
      <c r="N3616" s="80" t="s">
        <v>327</v>
      </c>
      <c r="O3616" s="80" t="s">
        <v>4503</v>
      </c>
      <c r="P3616" s="80" t="s">
        <v>13408</v>
      </c>
      <c r="Q3616" s="20">
        <v>1968</v>
      </c>
      <c r="R3616" s="80" t="s">
        <v>36</v>
      </c>
      <c r="S3616" s="95">
        <f>200+1768</f>
        <v>1968</v>
      </c>
      <c r="T3616" s="83" t="s">
        <v>13409</v>
      </c>
      <c r="U3616" s="77"/>
      <c r="V3616" s="78"/>
      <c r="W3616" s="85" t="s">
        <v>13410</v>
      </c>
      <c r="X3616" s="80">
        <v>0</v>
      </c>
      <c r="Y3616" s="22">
        <v>0</v>
      </c>
      <c r="Z3616" s="80" t="s">
        <v>50</v>
      </c>
      <c r="AA3616" s="35" t="s">
        <v>3291</v>
      </c>
      <c r="AB3616" s="80"/>
      <c r="AC3616" s="80" t="s">
        <v>53</v>
      </c>
      <c r="AD3616" s="80" t="s">
        <v>138</v>
      </c>
      <c r="AE3616" s="80"/>
      <c r="AF3616" s="17">
        <v>45559</v>
      </c>
      <c r="AG3616" s="80"/>
      <c r="AH3616" s="80"/>
      <c r="AI3616" s="147" t="s">
        <v>84</v>
      </c>
      <c r="AJ3616" s="80"/>
      <c r="AK3616" s="80"/>
      <c r="AL3616" s="35"/>
      <c r="AM3616" s="35"/>
      <c r="AN3616" s="35"/>
      <c r="AO3616" s="35"/>
      <c r="AP3616" s="35"/>
    </row>
    <row r="3617" spans="1:42" x14ac:dyDescent="0.2">
      <c r="A3617" s="126">
        <v>45557.56615648148</v>
      </c>
      <c r="B3617" s="137" t="s">
        <v>37</v>
      </c>
      <c r="C3617" s="41" t="s">
        <v>118</v>
      </c>
      <c r="D3617" s="80" t="s">
        <v>36</v>
      </c>
      <c r="E3617" s="80" t="s">
        <v>77</v>
      </c>
      <c r="F3617" s="80" t="s">
        <v>36</v>
      </c>
      <c r="G3617" s="80" t="s">
        <v>41</v>
      </c>
      <c r="H3617" s="80" t="s">
        <v>13384</v>
      </c>
      <c r="I3617" s="17">
        <f ca="1">IFERROR(__xludf.DUMMYFUNCTION("""COMPUTED_VALUE"""),45569)</f>
        <v>45569</v>
      </c>
      <c r="J3617" s="143" t="s">
        <v>6449</v>
      </c>
      <c r="K3617" s="80" t="s">
        <v>13411</v>
      </c>
      <c r="L3617" s="30">
        <v>344686100</v>
      </c>
      <c r="M3617" s="80" t="s">
        <v>123</v>
      </c>
      <c r="N3617" s="80" t="s">
        <v>327</v>
      </c>
      <c r="O3617" s="80" t="s">
        <v>4503</v>
      </c>
      <c r="P3617" s="144" t="s">
        <v>13412</v>
      </c>
      <c r="Q3617" s="20">
        <v>1968</v>
      </c>
      <c r="R3617" s="80" t="s">
        <v>36</v>
      </c>
      <c r="S3617" s="95">
        <v>1968</v>
      </c>
      <c r="T3617" s="148">
        <v>45557</v>
      </c>
      <c r="U3617" s="77"/>
      <c r="V3617" s="78"/>
      <c r="W3617" s="85" t="s">
        <v>13413</v>
      </c>
      <c r="X3617" s="80">
        <v>0</v>
      </c>
      <c r="Y3617" s="22">
        <v>0</v>
      </c>
      <c r="Z3617" s="80" t="s">
        <v>50</v>
      </c>
      <c r="AA3617" s="96" t="s">
        <v>3291</v>
      </c>
      <c r="AB3617" s="80"/>
      <c r="AC3617" s="80" t="s">
        <v>53</v>
      </c>
      <c r="AD3617" s="80" t="s">
        <v>138</v>
      </c>
      <c r="AE3617" s="80"/>
      <c r="AF3617" s="17">
        <v>45569</v>
      </c>
      <c r="AG3617" s="80"/>
      <c r="AH3617" s="80"/>
      <c r="AI3617" s="147" t="s">
        <v>84</v>
      </c>
      <c r="AJ3617" s="80"/>
      <c r="AK3617" s="80"/>
      <c r="AL3617" s="35"/>
      <c r="AM3617" s="35"/>
      <c r="AN3617" s="35"/>
      <c r="AO3617" s="35"/>
      <c r="AP3617" s="35"/>
    </row>
    <row r="3618" spans="1:42" x14ac:dyDescent="0.2">
      <c r="A3618" s="126">
        <v>45557.674192974533</v>
      </c>
      <c r="B3618" s="137" t="s">
        <v>37</v>
      </c>
      <c r="C3618" s="41" t="s">
        <v>118</v>
      </c>
      <c r="D3618" s="80" t="s">
        <v>36</v>
      </c>
      <c r="E3618" s="80" t="s">
        <v>139</v>
      </c>
      <c r="F3618" s="80" t="s">
        <v>36</v>
      </c>
      <c r="G3618" s="80" t="s">
        <v>41</v>
      </c>
      <c r="H3618" s="80" t="s">
        <v>13301</v>
      </c>
      <c r="I3618" s="17">
        <f ca="1">IFERROR(__xludf.DUMMYFUNCTION("""COMPUTED_VALUE"""),45566)</f>
        <v>45566</v>
      </c>
      <c r="J3618" s="143" t="s">
        <v>13414</v>
      </c>
      <c r="K3618" s="80" t="s">
        <v>13415</v>
      </c>
      <c r="L3618" s="30">
        <v>328359969</v>
      </c>
      <c r="M3618" s="80" t="s">
        <v>123</v>
      </c>
      <c r="N3618" s="80" t="s">
        <v>327</v>
      </c>
      <c r="O3618" s="80" t="s">
        <v>4503</v>
      </c>
      <c r="P3618" s="80" t="s">
        <v>5794</v>
      </c>
      <c r="Q3618" s="20">
        <v>15936</v>
      </c>
      <c r="R3618" s="80" t="s">
        <v>36</v>
      </c>
      <c r="S3618" s="95">
        <f>400+15536</f>
        <v>15936</v>
      </c>
      <c r="T3618" s="83" t="s">
        <v>13416</v>
      </c>
      <c r="U3618" s="77"/>
      <c r="V3618" s="78"/>
      <c r="W3618" s="85" t="s">
        <v>13417</v>
      </c>
      <c r="X3618" s="80">
        <v>0</v>
      </c>
      <c r="Y3618" s="22">
        <v>0</v>
      </c>
      <c r="Z3618" s="80" t="s">
        <v>50</v>
      </c>
      <c r="AA3618" s="35" t="s">
        <v>3291</v>
      </c>
      <c r="AB3618" s="80"/>
      <c r="AC3618" s="80" t="s">
        <v>53</v>
      </c>
      <c r="AD3618" s="80" t="s">
        <v>138</v>
      </c>
      <c r="AE3618" s="80"/>
      <c r="AF3618" s="17">
        <v>45566</v>
      </c>
      <c r="AG3618" s="80"/>
      <c r="AH3618" s="80"/>
      <c r="AI3618" s="147" t="s">
        <v>147</v>
      </c>
      <c r="AJ3618" s="80"/>
      <c r="AK3618" s="80"/>
      <c r="AL3618" s="35"/>
      <c r="AM3618" s="35"/>
      <c r="AN3618" s="35"/>
      <c r="AO3618" s="35"/>
      <c r="AP3618" s="35"/>
    </row>
    <row r="3619" spans="1:42" x14ac:dyDescent="0.2">
      <c r="A3619" s="126">
        <v>45557.68311820602</v>
      </c>
      <c r="B3619" s="137" t="s">
        <v>37</v>
      </c>
      <c r="C3619" s="41" t="s">
        <v>118</v>
      </c>
      <c r="D3619" s="80" t="s">
        <v>36</v>
      </c>
      <c r="E3619" s="80" t="s">
        <v>77</v>
      </c>
      <c r="F3619" s="80" t="s">
        <v>36</v>
      </c>
      <c r="G3619" s="80" t="s">
        <v>41</v>
      </c>
      <c r="H3619" s="80" t="s">
        <v>11747</v>
      </c>
      <c r="I3619" s="17">
        <f ca="1">IFERROR(__xludf.DUMMYFUNCTION("""COMPUTED_VALUE"""),45559)</f>
        <v>45559</v>
      </c>
      <c r="J3619" s="143" t="s">
        <v>13418</v>
      </c>
      <c r="K3619" s="80" t="s">
        <v>13419</v>
      </c>
      <c r="L3619" s="30">
        <v>374948106</v>
      </c>
      <c r="M3619" s="80" t="s">
        <v>123</v>
      </c>
      <c r="N3619" s="80" t="s">
        <v>327</v>
      </c>
      <c r="O3619" s="80" t="s">
        <v>4503</v>
      </c>
      <c r="P3619" s="80" t="s">
        <v>3056</v>
      </c>
      <c r="Q3619" s="20">
        <v>1968</v>
      </c>
      <c r="R3619" s="80" t="s">
        <v>36</v>
      </c>
      <c r="S3619" s="95">
        <v>1968</v>
      </c>
      <c r="T3619" s="148">
        <v>45557</v>
      </c>
      <c r="U3619" s="77"/>
      <c r="V3619" s="78"/>
      <c r="W3619" s="85" t="s">
        <v>13420</v>
      </c>
      <c r="X3619" s="80">
        <v>0</v>
      </c>
      <c r="Y3619" s="22">
        <v>0</v>
      </c>
      <c r="Z3619" s="80" t="s">
        <v>50</v>
      </c>
      <c r="AA3619" s="96" t="s">
        <v>3291</v>
      </c>
      <c r="AB3619" s="80"/>
      <c r="AC3619" s="80" t="s">
        <v>53</v>
      </c>
      <c r="AD3619" s="80" t="s">
        <v>138</v>
      </c>
      <c r="AE3619" s="80"/>
      <c r="AF3619" s="17">
        <v>45559</v>
      </c>
      <c r="AG3619" s="80"/>
      <c r="AH3619" s="80"/>
      <c r="AI3619" s="147" t="s">
        <v>84</v>
      </c>
      <c r="AJ3619" s="80"/>
      <c r="AK3619" s="80"/>
      <c r="AL3619" s="35"/>
      <c r="AM3619" s="35"/>
      <c r="AN3619" s="35"/>
      <c r="AO3619" s="35"/>
      <c r="AP3619" s="35"/>
    </row>
    <row r="3620" spans="1:42" x14ac:dyDescent="0.2">
      <c r="A3620" s="126">
        <v>45557.685818020836</v>
      </c>
      <c r="B3620" s="137" t="s">
        <v>37</v>
      </c>
      <c r="C3620" s="41" t="s">
        <v>118</v>
      </c>
      <c r="D3620" s="80" t="s">
        <v>36</v>
      </c>
      <c r="E3620" s="80" t="s">
        <v>139</v>
      </c>
      <c r="F3620" s="80" t="s">
        <v>40</v>
      </c>
      <c r="G3620" s="80" t="s">
        <v>41</v>
      </c>
      <c r="H3620" s="80" t="s">
        <v>13301</v>
      </c>
      <c r="I3620" s="17">
        <f ca="1">IFERROR(__xludf.DUMMYFUNCTION("""COMPUTED_VALUE"""),45566)</f>
        <v>45566</v>
      </c>
      <c r="J3620" s="172" t="s">
        <v>13421</v>
      </c>
      <c r="K3620" s="80" t="s">
        <v>5210</v>
      </c>
      <c r="L3620" s="30">
        <v>374612006</v>
      </c>
      <c r="M3620" s="80" t="s">
        <v>123</v>
      </c>
      <c r="N3620" s="80" t="s">
        <v>327</v>
      </c>
      <c r="O3620" s="80" t="s">
        <v>4503</v>
      </c>
      <c r="P3620" s="80" t="s">
        <v>3056</v>
      </c>
      <c r="Q3620" s="20">
        <v>15936</v>
      </c>
      <c r="R3620" s="80" t="s">
        <v>36</v>
      </c>
      <c r="S3620" s="95">
        <f>400+15536</f>
        <v>15936</v>
      </c>
      <c r="T3620" s="83" t="s">
        <v>13422</v>
      </c>
      <c r="U3620" s="77"/>
      <c r="V3620" s="78"/>
      <c r="W3620" s="85" t="s">
        <v>13423</v>
      </c>
      <c r="X3620" s="80">
        <v>0</v>
      </c>
      <c r="Y3620" s="22">
        <v>0</v>
      </c>
      <c r="Z3620" s="80" t="s">
        <v>50</v>
      </c>
      <c r="AA3620" s="35" t="s">
        <v>3291</v>
      </c>
      <c r="AB3620" s="80"/>
      <c r="AC3620" s="80" t="s">
        <v>53</v>
      </c>
      <c r="AD3620" s="80" t="s">
        <v>138</v>
      </c>
      <c r="AE3620" s="80"/>
      <c r="AF3620" s="17">
        <v>45566</v>
      </c>
      <c r="AG3620" s="80"/>
      <c r="AH3620" s="80"/>
      <c r="AI3620" s="147" t="s">
        <v>147</v>
      </c>
      <c r="AJ3620" s="80"/>
      <c r="AK3620" s="80"/>
      <c r="AL3620" s="35"/>
      <c r="AM3620" s="35"/>
      <c r="AN3620" s="35"/>
      <c r="AO3620" s="35"/>
      <c r="AP3620" s="35"/>
    </row>
    <row r="3621" spans="1:42" x14ac:dyDescent="0.2">
      <c r="A3621" s="126">
        <v>45557.738290879628</v>
      </c>
      <c r="B3621" s="137" t="s">
        <v>37</v>
      </c>
      <c r="C3621" s="41" t="s">
        <v>118</v>
      </c>
      <c r="D3621" s="80" t="s">
        <v>36</v>
      </c>
      <c r="E3621" s="80" t="s">
        <v>56</v>
      </c>
      <c r="F3621" s="80" t="s">
        <v>36</v>
      </c>
      <c r="G3621" s="80" t="s">
        <v>41</v>
      </c>
      <c r="H3621" s="80" t="s">
        <v>13424</v>
      </c>
      <c r="I3621" s="17">
        <f ca="1">IFERROR(__xludf.DUMMYFUNCTION("""COMPUTED_VALUE"""),45572)</f>
        <v>45572</v>
      </c>
      <c r="J3621" s="143" t="s">
        <v>13425</v>
      </c>
      <c r="K3621" s="80" t="s">
        <v>13426</v>
      </c>
      <c r="L3621" s="30">
        <v>386291242</v>
      </c>
      <c r="M3621" s="80" t="s">
        <v>12644</v>
      </c>
      <c r="N3621" s="80" t="s">
        <v>8725</v>
      </c>
      <c r="O3621" s="80" t="s">
        <v>13427</v>
      </c>
      <c r="P3621" s="80" t="s">
        <v>13428</v>
      </c>
      <c r="Q3621" s="20">
        <v>9317</v>
      </c>
      <c r="R3621" s="80" t="s">
        <v>36</v>
      </c>
      <c r="S3621" s="95">
        <v>9317</v>
      </c>
      <c r="T3621" s="148">
        <v>45557</v>
      </c>
      <c r="U3621" s="77"/>
      <c r="V3621" s="78"/>
      <c r="W3621" s="85" t="s">
        <v>13429</v>
      </c>
      <c r="X3621" s="80">
        <v>0</v>
      </c>
      <c r="Y3621" s="22">
        <v>0</v>
      </c>
      <c r="Z3621" s="80" t="s">
        <v>50</v>
      </c>
      <c r="AA3621" s="96" t="s">
        <v>3291</v>
      </c>
      <c r="AB3621" s="80"/>
      <c r="AC3621" s="80" t="s">
        <v>53</v>
      </c>
      <c r="AD3621" s="80" t="s">
        <v>138</v>
      </c>
      <c r="AE3621" s="80"/>
      <c r="AF3621" s="17">
        <v>45572</v>
      </c>
      <c r="AG3621" s="80" t="s">
        <v>13430</v>
      </c>
      <c r="AH3621" s="80"/>
      <c r="AI3621" s="147" t="s">
        <v>64</v>
      </c>
      <c r="AJ3621" s="80"/>
      <c r="AK3621" s="80"/>
      <c r="AL3621" s="35"/>
      <c r="AM3621" s="35"/>
      <c r="AN3621" s="35"/>
      <c r="AO3621" s="35"/>
      <c r="AP3621" s="35"/>
    </row>
    <row r="3622" spans="1:42" x14ac:dyDescent="0.2">
      <c r="A3622" s="126">
        <v>45557.907415879628</v>
      </c>
      <c r="B3622" s="137" t="s">
        <v>37</v>
      </c>
      <c r="C3622" s="41" t="s">
        <v>118</v>
      </c>
      <c r="D3622" s="80" t="s">
        <v>36</v>
      </c>
      <c r="E3622" s="80" t="s">
        <v>139</v>
      </c>
      <c r="F3622" s="80" t="s">
        <v>36</v>
      </c>
      <c r="G3622" s="80" t="s">
        <v>41</v>
      </c>
      <c r="H3622" s="80" t="s">
        <v>11846</v>
      </c>
      <c r="I3622" s="17">
        <f ca="1">IFERROR(__xludf.DUMMYFUNCTION("""COMPUTED_VALUE"""),45560)</f>
        <v>45560</v>
      </c>
      <c r="J3622" s="143" t="s">
        <v>13431</v>
      </c>
      <c r="K3622" s="80" t="s">
        <v>13432</v>
      </c>
      <c r="L3622" s="30">
        <v>562924427</v>
      </c>
      <c r="M3622" s="80" t="s">
        <v>45</v>
      </c>
      <c r="N3622" s="80" t="s">
        <v>1472</v>
      </c>
      <c r="O3622" s="80" t="s">
        <v>13433</v>
      </c>
      <c r="P3622" s="80" t="s">
        <v>13434</v>
      </c>
      <c r="Q3622" s="20">
        <v>15936</v>
      </c>
      <c r="R3622" s="80" t="s">
        <v>36</v>
      </c>
      <c r="S3622" s="95">
        <f>500+15436</f>
        <v>15936</v>
      </c>
      <c r="T3622" s="83" t="s">
        <v>13124</v>
      </c>
      <c r="U3622" s="77"/>
      <c r="V3622" s="78"/>
      <c r="W3622" s="85" t="s">
        <v>13435</v>
      </c>
      <c r="X3622" s="80">
        <v>0</v>
      </c>
      <c r="Y3622" s="22">
        <v>0</v>
      </c>
      <c r="Z3622" s="80" t="s">
        <v>50</v>
      </c>
      <c r="AA3622" s="35" t="s">
        <v>3291</v>
      </c>
      <c r="AB3622" s="80"/>
      <c r="AC3622" s="80" t="s">
        <v>53</v>
      </c>
      <c r="AD3622" s="80" t="s">
        <v>54</v>
      </c>
      <c r="AE3622" s="83">
        <v>0</v>
      </c>
      <c r="AF3622" s="17">
        <v>45559</v>
      </c>
      <c r="AG3622" s="80"/>
      <c r="AH3622" s="80"/>
      <c r="AI3622" s="147" t="s">
        <v>147</v>
      </c>
      <c r="AJ3622" s="80"/>
      <c r="AK3622" s="80"/>
      <c r="AL3622" s="35"/>
      <c r="AM3622" s="35"/>
      <c r="AN3622" s="35"/>
      <c r="AO3622" s="35"/>
      <c r="AP3622" s="35"/>
    </row>
    <row r="3623" spans="1:42" x14ac:dyDescent="0.2">
      <c r="A3623" s="126">
        <v>45557.908904293981</v>
      </c>
      <c r="B3623" s="137" t="s">
        <v>37</v>
      </c>
      <c r="C3623" s="41" t="s">
        <v>118</v>
      </c>
      <c r="D3623" s="80" t="s">
        <v>36</v>
      </c>
      <c r="E3623" s="80" t="s">
        <v>139</v>
      </c>
      <c r="F3623" s="80" t="s">
        <v>36</v>
      </c>
      <c r="G3623" s="80" t="s">
        <v>41</v>
      </c>
      <c r="H3623" s="80" t="s">
        <v>11846</v>
      </c>
      <c r="I3623" s="17">
        <f ca="1">IFERROR(__xludf.DUMMYFUNCTION("""COMPUTED_VALUE"""),45560)</f>
        <v>45560</v>
      </c>
      <c r="J3623" s="143" t="s">
        <v>13436</v>
      </c>
      <c r="K3623" s="80" t="s">
        <v>13437</v>
      </c>
      <c r="L3623" s="30">
        <v>397695337</v>
      </c>
      <c r="M3623" s="80" t="s">
        <v>45</v>
      </c>
      <c r="N3623" s="80" t="s">
        <v>1472</v>
      </c>
      <c r="O3623" s="80" t="s">
        <v>13438</v>
      </c>
      <c r="P3623" s="80" t="s">
        <v>13439</v>
      </c>
      <c r="Q3623" s="20">
        <v>15936</v>
      </c>
      <c r="R3623" s="80" t="s">
        <v>36</v>
      </c>
      <c r="S3623" s="95">
        <v>15936</v>
      </c>
      <c r="T3623" s="148">
        <v>45557</v>
      </c>
      <c r="U3623" s="77"/>
      <c r="V3623" s="78"/>
      <c r="W3623" s="80" t="s">
        <v>13440</v>
      </c>
      <c r="X3623" s="80">
        <v>0</v>
      </c>
      <c r="Y3623" s="22">
        <v>0</v>
      </c>
      <c r="Z3623" s="80" t="s">
        <v>50</v>
      </c>
      <c r="AA3623" s="96" t="s">
        <v>3291</v>
      </c>
      <c r="AB3623" s="80"/>
      <c r="AC3623" s="80" t="s">
        <v>53</v>
      </c>
      <c r="AD3623" s="80" t="s">
        <v>54</v>
      </c>
      <c r="AE3623" s="83">
        <v>0</v>
      </c>
      <c r="AF3623" s="17">
        <v>45558</v>
      </c>
      <c r="AG3623" s="80"/>
      <c r="AH3623" s="80"/>
      <c r="AI3623" s="147" t="s">
        <v>147</v>
      </c>
      <c r="AJ3623" s="80"/>
      <c r="AK3623" s="80"/>
      <c r="AL3623" s="35"/>
      <c r="AM3623" s="35"/>
      <c r="AN3623" s="35"/>
      <c r="AO3623" s="35"/>
      <c r="AP3623" s="35"/>
    </row>
    <row r="3624" spans="1:42" x14ac:dyDescent="0.2">
      <c r="A3624" s="126">
        <v>45557.923151099538</v>
      </c>
      <c r="B3624" s="137" t="s">
        <v>37</v>
      </c>
      <c r="C3624" s="41" t="s">
        <v>118</v>
      </c>
      <c r="D3624" s="80" t="s">
        <v>36</v>
      </c>
      <c r="E3624" s="80" t="s">
        <v>77</v>
      </c>
      <c r="F3624" s="80" t="s">
        <v>36</v>
      </c>
      <c r="G3624" s="80" t="s">
        <v>41</v>
      </c>
      <c r="H3624" s="80" t="s">
        <v>13441</v>
      </c>
      <c r="I3624" s="17">
        <f ca="1">IFERROR(__xludf.DUMMYFUNCTION("""COMPUTED_VALUE"""),45625)</f>
        <v>45625</v>
      </c>
      <c r="J3624" s="143" t="s">
        <v>13442</v>
      </c>
      <c r="K3624" s="80" t="s">
        <v>13443</v>
      </c>
      <c r="L3624" s="30">
        <v>984219372</v>
      </c>
      <c r="M3624" s="80" t="s">
        <v>5429</v>
      </c>
      <c r="N3624" s="80" t="s">
        <v>11095</v>
      </c>
      <c r="O3624" s="80" t="s">
        <v>13444</v>
      </c>
      <c r="P3624" s="80" t="s">
        <v>7107</v>
      </c>
      <c r="Q3624" s="20">
        <v>1968</v>
      </c>
      <c r="R3624" s="80" t="s">
        <v>36</v>
      </c>
      <c r="S3624" s="95">
        <v>1968</v>
      </c>
      <c r="T3624" s="148">
        <v>45557</v>
      </c>
      <c r="U3624" s="77"/>
      <c r="V3624" s="78"/>
      <c r="W3624" s="85" t="s">
        <v>13445</v>
      </c>
      <c r="X3624" s="80">
        <v>0</v>
      </c>
      <c r="Y3624" s="22">
        <v>0</v>
      </c>
      <c r="Z3624" s="80" t="s">
        <v>50</v>
      </c>
      <c r="AA3624" s="35" t="s">
        <v>3291</v>
      </c>
      <c r="AB3624" s="80"/>
      <c r="AC3624" s="80" t="s">
        <v>53</v>
      </c>
      <c r="AD3624" s="80" t="s">
        <v>138</v>
      </c>
      <c r="AE3624" s="80" t="s">
        <v>430</v>
      </c>
      <c r="AF3624" s="43">
        <v>45625</v>
      </c>
      <c r="AG3624" s="80" t="s">
        <v>13446</v>
      </c>
      <c r="AH3624" s="80"/>
      <c r="AI3624" s="147" t="s">
        <v>84</v>
      </c>
      <c r="AJ3624" s="80"/>
      <c r="AK3624" s="80"/>
      <c r="AL3624" s="35"/>
      <c r="AM3624" s="35"/>
      <c r="AN3624" s="35"/>
      <c r="AO3624" s="35"/>
      <c r="AP3624" s="35"/>
    </row>
    <row r="3625" spans="1:42" x14ac:dyDescent="0.2">
      <c r="A3625" s="126">
        <v>45558.370274988425</v>
      </c>
      <c r="B3625" s="137" t="s">
        <v>37</v>
      </c>
      <c r="C3625" s="41" t="s">
        <v>118</v>
      </c>
      <c r="D3625" s="80" t="s">
        <v>36</v>
      </c>
      <c r="E3625" s="80" t="s">
        <v>139</v>
      </c>
      <c r="F3625" s="80" t="s">
        <v>36</v>
      </c>
      <c r="G3625" s="80" t="s">
        <v>6516</v>
      </c>
      <c r="H3625" s="80" t="s">
        <v>13283</v>
      </c>
      <c r="I3625" s="17">
        <f ca="1">IFERROR(__xludf.DUMMYFUNCTION("""COMPUTED_VALUE"""),45631)</f>
        <v>45631</v>
      </c>
      <c r="J3625" s="172" t="s">
        <v>13447</v>
      </c>
      <c r="K3625" s="80" t="s">
        <v>13448</v>
      </c>
      <c r="L3625" s="30">
        <v>347087362</v>
      </c>
      <c r="M3625" s="80" t="s">
        <v>3288</v>
      </c>
      <c r="N3625" s="80" t="s">
        <v>200</v>
      </c>
      <c r="O3625" s="80" t="s">
        <v>91</v>
      </c>
      <c r="P3625" s="80" t="s">
        <v>3117</v>
      </c>
      <c r="Q3625" s="20">
        <v>15936</v>
      </c>
      <c r="R3625" s="80" t="s">
        <v>36</v>
      </c>
      <c r="S3625" s="95">
        <v>1000</v>
      </c>
      <c r="T3625" s="148">
        <v>45541</v>
      </c>
      <c r="U3625" s="95">
        <v>14936</v>
      </c>
      <c r="V3625" s="148">
        <v>45565</v>
      </c>
      <c r="W3625" s="85" t="s">
        <v>13449</v>
      </c>
      <c r="X3625" s="80">
        <v>0</v>
      </c>
      <c r="Y3625" s="22">
        <v>0</v>
      </c>
      <c r="Z3625" s="80" t="s">
        <v>50</v>
      </c>
      <c r="AA3625" s="96" t="s">
        <v>3291</v>
      </c>
      <c r="AB3625" s="80"/>
      <c r="AC3625" s="80" t="s">
        <v>53</v>
      </c>
      <c r="AD3625" s="80" t="s">
        <v>138</v>
      </c>
      <c r="AE3625" s="80"/>
      <c r="AF3625" s="17">
        <v>45631</v>
      </c>
      <c r="AG3625" s="80"/>
      <c r="AH3625" s="80"/>
      <c r="AI3625" s="147" t="s">
        <v>147</v>
      </c>
      <c r="AJ3625" s="80"/>
      <c r="AK3625" s="80"/>
      <c r="AL3625" s="35"/>
      <c r="AM3625" s="35"/>
      <c r="AN3625" s="35"/>
      <c r="AO3625" s="35"/>
      <c r="AP3625" s="35"/>
    </row>
    <row r="3626" spans="1:42" x14ac:dyDescent="0.2">
      <c r="A3626" s="126">
        <v>45558.560844791667</v>
      </c>
      <c r="B3626" s="137" t="s">
        <v>37</v>
      </c>
      <c r="C3626" s="41" t="s">
        <v>118</v>
      </c>
      <c r="D3626" s="80" t="s">
        <v>36</v>
      </c>
      <c r="E3626" s="80" t="s">
        <v>139</v>
      </c>
      <c r="F3626" s="80" t="s">
        <v>36</v>
      </c>
      <c r="G3626" s="80" t="s">
        <v>41</v>
      </c>
      <c r="H3626" s="80" t="s">
        <v>13424</v>
      </c>
      <c r="I3626" s="17">
        <f ca="1">IFERROR(__xludf.DUMMYFUNCTION("""COMPUTED_VALUE"""),45572)</f>
        <v>45572</v>
      </c>
      <c r="J3626" s="143" t="s">
        <v>13450</v>
      </c>
      <c r="K3626" s="80" t="s">
        <v>13451</v>
      </c>
      <c r="L3626" s="30">
        <v>372742589</v>
      </c>
      <c r="M3626" s="80" t="s">
        <v>9422</v>
      </c>
      <c r="N3626" s="80" t="s">
        <v>13452</v>
      </c>
      <c r="O3626" s="80" t="s">
        <v>13453</v>
      </c>
      <c r="P3626" s="80" t="s">
        <v>13454</v>
      </c>
      <c r="Q3626" s="20">
        <v>15936</v>
      </c>
      <c r="R3626" s="80" t="s">
        <v>11421</v>
      </c>
      <c r="S3626" s="95">
        <v>15686</v>
      </c>
      <c r="T3626" s="148">
        <v>45558</v>
      </c>
      <c r="U3626" s="77"/>
      <c r="V3626" s="78"/>
      <c r="W3626" s="85" t="s">
        <v>13455</v>
      </c>
      <c r="X3626" s="80">
        <v>300</v>
      </c>
      <c r="Y3626" s="22">
        <v>-50</v>
      </c>
      <c r="Z3626" s="80" t="s">
        <v>50</v>
      </c>
      <c r="AA3626" s="35" t="s">
        <v>3291</v>
      </c>
      <c r="AB3626" s="80"/>
      <c r="AC3626" s="80" t="s">
        <v>53</v>
      </c>
      <c r="AD3626" s="80" t="s">
        <v>138</v>
      </c>
      <c r="AE3626" s="80"/>
      <c r="AF3626" s="17">
        <v>45572</v>
      </c>
      <c r="AG3626" s="80" t="s">
        <v>13430</v>
      </c>
      <c r="AH3626" s="80"/>
      <c r="AI3626" s="147" t="s">
        <v>147</v>
      </c>
      <c r="AJ3626" s="80"/>
      <c r="AK3626" s="80"/>
      <c r="AL3626" s="35"/>
      <c r="AM3626" s="35"/>
      <c r="AN3626" s="35"/>
      <c r="AO3626" s="35"/>
      <c r="AP3626" s="35"/>
    </row>
    <row r="3627" spans="1:42" x14ac:dyDescent="0.2">
      <c r="A3627" s="126">
        <v>45558.595786863429</v>
      </c>
      <c r="B3627" s="137" t="s">
        <v>37</v>
      </c>
      <c r="C3627" s="41" t="s">
        <v>118</v>
      </c>
      <c r="D3627" s="80" t="s">
        <v>36</v>
      </c>
      <c r="E3627" s="80" t="s">
        <v>77</v>
      </c>
      <c r="F3627" s="80" t="s">
        <v>40</v>
      </c>
      <c r="G3627" s="80" t="s">
        <v>41</v>
      </c>
      <c r="H3627" s="80" t="s">
        <v>13301</v>
      </c>
      <c r="I3627" s="17">
        <f ca="1">IFERROR(__xludf.DUMMYFUNCTION("""COMPUTED_VALUE"""),45566)</f>
        <v>45566</v>
      </c>
      <c r="J3627" s="143" t="s">
        <v>13456</v>
      </c>
      <c r="K3627" s="80" t="s">
        <v>9645</v>
      </c>
      <c r="L3627" s="30">
        <v>968103687</v>
      </c>
      <c r="M3627" s="80" t="s">
        <v>11413</v>
      </c>
      <c r="N3627" s="80" t="s">
        <v>1246</v>
      </c>
      <c r="O3627" s="80" t="s">
        <v>13457</v>
      </c>
      <c r="P3627" s="80" t="s">
        <v>13458</v>
      </c>
      <c r="Q3627" s="20">
        <v>1968</v>
      </c>
      <c r="R3627" s="80" t="s">
        <v>36</v>
      </c>
      <c r="S3627" s="95">
        <f t="shared" ref="S3627:S3628" si="51">500+1468</f>
        <v>1968</v>
      </c>
      <c r="T3627" s="148">
        <v>45558</v>
      </c>
      <c r="U3627" s="77"/>
      <c r="V3627" s="78"/>
      <c r="W3627" s="85" t="s">
        <v>13459</v>
      </c>
      <c r="X3627" s="80">
        <v>0</v>
      </c>
      <c r="Y3627" s="22">
        <v>0</v>
      </c>
      <c r="Z3627" s="80" t="s">
        <v>50</v>
      </c>
      <c r="AA3627" s="96" t="s">
        <v>3291</v>
      </c>
      <c r="AB3627" s="80"/>
      <c r="AC3627" s="80" t="s">
        <v>53</v>
      </c>
      <c r="AD3627" s="80" t="s">
        <v>54</v>
      </c>
      <c r="AE3627" s="80" t="s">
        <v>72</v>
      </c>
      <c r="AF3627" s="17">
        <v>45566</v>
      </c>
      <c r="AG3627" s="80"/>
      <c r="AH3627" s="80"/>
      <c r="AI3627" s="147" t="s">
        <v>84</v>
      </c>
      <c r="AJ3627" s="80"/>
      <c r="AK3627" s="80"/>
      <c r="AL3627" s="35"/>
      <c r="AM3627" s="35"/>
      <c r="AN3627" s="35"/>
      <c r="AO3627" s="35"/>
      <c r="AP3627" s="35"/>
    </row>
    <row r="3628" spans="1:42" x14ac:dyDescent="0.2">
      <c r="A3628" s="126">
        <v>45558.597661215274</v>
      </c>
      <c r="B3628" s="137" t="s">
        <v>37</v>
      </c>
      <c r="C3628" s="41" t="s">
        <v>118</v>
      </c>
      <c r="D3628" s="80" t="s">
        <v>36</v>
      </c>
      <c r="E3628" s="80" t="s">
        <v>77</v>
      </c>
      <c r="F3628" s="80" t="s">
        <v>40</v>
      </c>
      <c r="G3628" s="80" t="s">
        <v>41</v>
      </c>
      <c r="H3628" s="80" t="s">
        <v>13301</v>
      </c>
      <c r="I3628" s="17">
        <f ca="1">IFERROR(__xludf.DUMMYFUNCTION("""COMPUTED_VALUE"""),45566)</f>
        <v>45566</v>
      </c>
      <c r="J3628" s="143" t="s">
        <v>13460</v>
      </c>
      <c r="K3628" s="80" t="s">
        <v>13461</v>
      </c>
      <c r="L3628" s="30">
        <v>926222006</v>
      </c>
      <c r="M3628" s="80" t="s">
        <v>11413</v>
      </c>
      <c r="N3628" s="80" t="s">
        <v>1246</v>
      </c>
      <c r="O3628" s="80" t="s">
        <v>13462</v>
      </c>
      <c r="P3628" s="80" t="s">
        <v>13458</v>
      </c>
      <c r="Q3628" s="20">
        <v>1968</v>
      </c>
      <c r="R3628" s="80" t="s">
        <v>36</v>
      </c>
      <c r="S3628" s="95">
        <f t="shared" si="51"/>
        <v>1968</v>
      </c>
      <c r="T3628" s="148">
        <v>45558</v>
      </c>
      <c r="U3628" s="77"/>
      <c r="V3628" s="78"/>
      <c r="W3628" s="85" t="s">
        <v>13463</v>
      </c>
      <c r="X3628" s="80">
        <v>0</v>
      </c>
      <c r="Y3628" s="22">
        <v>0</v>
      </c>
      <c r="Z3628" s="80" t="s">
        <v>50</v>
      </c>
      <c r="AA3628" s="35" t="s">
        <v>3291</v>
      </c>
      <c r="AB3628" s="80"/>
      <c r="AC3628" s="80" t="s">
        <v>53</v>
      </c>
      <c r="AD3628" s="80" t="s">
        <v>54</v>
      </c>
      <c r="AE3628" s="80" t="s">
        <v>72</v>
      </c>
      <c r="AF3628" s="17">
        <v>45566</v>
      </c>
      <c r="AG3628" s="80"/>
      <c r="AH3628" s="80"/>
      <c r="AI3628" s="147" t="s">
        <v>84</v>
      </c>
      <c r="AJ3628" s="80"/>
      <c r="AK3628" s="80"/>
      <c r="AL3628" s="35"/>
      <c r="AM3628" s="35"/>
      <c r="AN3628" s="35"/>
      <c r="AO3628" s="35"/>
      <c r="AP3628" s="35"/>
    </row>
    <row r="3629" spans="1:42" x14ac:dyDescent="0.2">
      <c r="A3629" s="126">
        <v>45558.626355810185</v>
      </c>
      <c r="B3629" s="137" t="s">
        <v>37</v>
      </c>
      <c r="C3629" s="41" t="s">
        <v>118</v>
      </c>
      <c r="D3629" s="80" t="s">
        <v>36</v>
      </c>
      <c r="E3629" s="80" t="s">
        <v>139</v>
      </c>
      <c r="F3629" s="80" t="s">
        <v>36</v>
      </c>
      <c r="G3629" s="80" t="s">
        <v>41</v>
      </c>
      <c r="H3629" s="80" t="s">
        <v>13315</v>
      </c>
      <c r="I3629" s="17">
        <f ca="1">IFERROR(__xludf.DUMMYFUNCTION("""COMPUTED_VALUE"""),45561)</f>
        <v>45561</v>
      </c>
      <c r="J3629" s="143" t="s">
        <v>13464</v>
      </c>
      <c r="K3629" s="80" t="s">
        <v>13465</v>
      </c>
      <c r="L3629" s="30">
        <v>774341368</v>
      </c>
      <c r="M3629" s="80" t="s">
        <v>348</v>
      </c>
      <c r="N3629" s="80" t="s">
        <v>200</v>
      </c>
      <c r="O3629" s="80" t="s">
        <v>91</v>
      </c>
      <c r="P3629" s="80" t="s">
        <v>13466</v>
      </c>
      <c r="Q3629" s="20">
        <v>15936</v>
      </c>
      <c r="R3629" s="80" t="s">
        <v>36</v>
      </c>
      <c r="S3629" s="95">
        <v>15936</v>
      </c>
      <c r="T3629" s="148">
        <v>45558</v>
      </c>
      <c r="U3629" s="77"/>
      <c r="V3629" s="78"/>
      <c r="W3629" s="85" t="s">
        <v>13467</v>
      </c>
      <c r="X3629" s="80">
        <v>0</v>
      </c>
      <c r="Y3629" s="22">
        <v>0</v>
      </c>
      <c r="Z3629" s="80" t="s">
        <v>50</v>
      </c>
      <c r="AA3629" s="96" t="s">
        <v>3291</v>
      </c>
      <c r="AB3629" s="80"/>
      <c r="AC3629" s="80" t="s">
        <v>53</v>
      </c>
      <c r="AD3629" s="80" t="s">
        <v>54</v>
      </c>
      <c r="AE3629" s="80" t="s">
        <v>91</v>
      </c>
      <c r="AF3629" s="17">
        <v>45558</v>
      </c>
      <c r="AG3629" s="80"/>
      <c r="AH3629" s="80"/>
      <c r="AI3629" s="147" t="s">
        <v>147</v>
      </c>
      <c r="AJ3629" s="80"/>
      <c r="AK3629" s="80"/>
      <c r="AL3629" s="35"/>
      <c r="AM3629" s="35"/>
      <c r="AN3629" s="35"/>
      <c r="AO3629" s="35"/>
      <c r="AP3629" s="35"/>
    </row>
    <row r="3630" spans="1:42" x14ac:dyDescent="0.2">
      <c r="A3630" s="126">
        <v>45558.817417199076</v>
      </c>
      <c r="B3630" s="137" t="s">
        <v>37</v>
      </c>
      <c r="C3630" s="41" t="s">
        <v>38</v>
      </c>
      <c r="D3630" s="80" t="s">
        <v>36</v>
      </c>
      <c r="E3630" s="80" t="s">
        <v>56</v>
      </c>
      <c r="F3630" s="80" t="s">
        <v>36</v>
      </c>
      <c r="G3630" s="80" t="s">
        <v>6516</v>
      </c>
      <c r="H3630" s="80" t="s">
        <v>12799</v>
      </c>
      <c r="I3630" s="17">
        <f ca="1">IFERROR(__xludf.DUMMYFUNCTION("""COMPUTED_VALUE"""),45559)</f>
        <v>45559</v>
      </c>
      <c r="J3630" s="143" t="s">
        <v>13468</v>
      </c>
      <c r="K3630" s="80" t="s">
        <v>13469</v>
      </c>
      <c r="L3630" s="30">
        <v>965010104</v>
      </c>
      <c r="M3630" s="80" t="s">
        <v>3288</v>
      </c>
      <c r="N3630" s="80" t="s">
        <v>200</v>
      </c>
      <c r="O3630" s="80" t="s">
        <v>91</v>
      </c>
      <c r="P3630" s="80" t="s">
        <v>3117</v>
      </c>
      <c r="Q3630" s="20">
        <v>9317</v>
      </c>
      <c r="R3630" s="80" t="s">
        <v>36</v>
      </c>
      <c r="S3630" s="95">
        <v>9317</v>
      </c>
      <c r="T3630" s="148">
        <v>45558</v>
      </c>
      <c r="U3630" s="77"/>
      <c r="V3630" s="78"/>
      <c r="W3630" s="85" t="s">
        <v>13470</v>
      </c>
      <c r="X3630" s="80">
        <v>0</v>
      </c>
      <c r="Y3630" s="22">
        <v>0</v>
      </c>
      <c r="Z3630" s="80" t="s">
        <v>50</v>
      </c>
      <c r="AA3630" s="35" t="s">
        <v>3291</v>
      </c>
      <c r="AB3630" s="80"/>
      <c r="AC3630" s="80" t="s">
        <v>53</v>
      </c>
      <c r="AD3630" s="80" t="s">
        <v>138</v>
      </c>
      <c r="AE3630" s="80" t="s">
        <v>91</v>
      </c>
      <c r="AF3630" s="17">
        <v>45559</v>
      </c>
      <c r="AG3630" s="80"/>
      <c r="AH3630" s="80"/>
      <c r="AI3630" s="147" t="s">
        <v>64</v>
      </c>
      <c r="AJ3630" s="80"/>
      <c r="AK3630" s="80"/>
      <c r="AL3630" s="35"/>
      <c r="AM3630" s="35"/>
      <c r="AN3630" s="35"/>
      <c r="AO3630" s="35"/>
      <c r="AP3630" s="35"/>
    </row>
    <row r="3631" spans="1:42" x14ac:dyDescent="0.2">
      <c r="A3631" s="126">
        <v>45558.978644537041</v>
      </c>
      <c r="B3631" s="137" t="s">
        <v>37</v>
      </c>
      <c r="C3631" s="41" t="s">
        <v>118</v>
      </c>
      <c r="D3631" s="80" t="s">
        <v>36</v>
      </c>
      <c r="E3631" s="80" t="s">
        <v>77</v>
      </c>
      <c r="F3631" s="80" t="s">
        <v>36</v>
      </c>
      <c r="G3631" s="80" t="s">
        <v>41</v>
      </c>
      <c r="H3631" s="80" t="s">
        <v>13254</v>
      </c>
      <c r="I3631" s="17">
        <f ca="1">IFERROR(__xludf.DUMMYFUNCTION("""COMPUTED_VALUE"""),45568)</f>
        <v>45568</v>
      </c>
      <c r="J3631" s="143" t="s">
        <v>13471</v>
      </c>
      <c r="K3631" s="80" t="s">
        <v>13472</v>
      </c>
      <c r="L3631" s="30">
        <v>866419509</v>
      </c>
      <c r="M3631" s="80" t="s">
        <v>910</v>
      </c>
      <c r="N3631" s="80" t="s">
        <v>3525</v>
      </c>
      <c r="O3631" s="80" t="s">
        <v>13473</v>
      </c>
      <c r="P3631" s="80" t="s">
        <v>13474</v>
      </c>
      <c r="Q3631" s="20">
        <v>1968</v>
      </c>
      <c r="R3631" s="80" t="s">
        <v>36</v>
      </c>
      <c r="S3631" s="95">
        <v>1968</v>
      </c>
      <c r="T3631" s="148">
        <v>45558</v>
      </c>
      <c r="U3631" s="77"/>
      <c r="V3631" s="78"/>
      <c r="W3631" s="85" t="s">
        <v>13475</v>
      </c>
      <c r="X3631" s="80">
        <v>0</v>
      </c>
      <c r="Y3631" s="22">
        <v>0</v>
      </c>
      <c r="Z3631" s="80" t="s">
        <v>50</v>
      </c>
      <c r="AA3631" s="96" t="s">
        <v>3291</v>
      </c>
      <c r="AB3631" s="80"/>
      <c r="AC3631" s="80" t="s">
        <v>53</v>
      </c>
      <c r="AD3631" s="80" t="s">
        <v>138</v>
      </c>
      <c r="AE3631" s="80"/>
      <c r="AF3631" s="17">
        <v>45561</v>
      </c>
      <c r="AG3631" s="80"/>
      <c r="AH3631" s="80"/>
      <c r="AI3631" s="147" t="s">
        <v>84</v>
      </c>
      <c r="AJ3631" s="80"/>
      <c r="AK3631" s="80"/>
      <c r="AL3631" s="35"/>
      <c r="AM3631" s="35"/>
      <c r="AN3631" s="35"/>
      <c r="AO3631" s="35"/>
      <c r="AP3631" s="35"/>
    </row>
    <row r="3632" spans="1:42" x14ac:dyDescent="0.2">
      <c r="A3632" s="126">
        <v>45559.367370787033</v>
      </c>
      <c r="B3632" s="137" t="s">
        <v>37</v>
      </c>
      <c r="C3632" s="41" t="s">
        <v>118</v>
      </c>
      <c r="D3632" s="80" t="s">
        <v>36</v>
      </c>
      <c r="E3632" s="80" t="s">
        <v>119</v>
      </c>
      <c r="F3632" s="80" t="s">
        <v>91</v>
      </c>
      <c r="G3632" s="80" t="s">
        <v>108</v>
      </c>
      <c r="H3632" s="80" t="s">
        <v>13126</v>
      </c>
      <c r="I3632" s="17">
        <f ca="1">IFERROR(__xludf.DUMMYFUNCTION("""COMPUTED_VALUE"""),45576)</f>
        <v>45576</v>
      </c>
      <c r="J3632" s="143" t="s">
        <v>13476</v>
      </c>
      <c r="K3632" s="80" t="s">
        <v>13477</v>
      </c>
      <c r="L3632" s="30">
        <v>327648095</v>
      </c>
      <c r="M3632" s="80" t="s">
        <v>9422</v>
      </c>
      <c r="N3632" s="80" t="s">
        <v>186</v>
      </c>
      <c r="O3632" s="80" t="s">
        <v>11607</v>
      </c>
      <c r="P3632" s="144" t="s">
        <v>13478</v>
      </c>
      <c r="Q3632" s="20">
        <v>13968</v>
      </c>
      <c r="R3632" s="80" t="s">
        <v>11421</v>
      </c>
      <c r="S3632" s="95">
        <v>6668</v>
      </c>
      <c r="T3632" s="148">
        <v>45556</v>
      </c>
      <c r="U3632" s="95">
        <v>7000</v>
      </c>
      <c r="V3632" s="148">
        <v>45560</v>
      </c>
      <c r="W3632" s="85" t="s">
        <v>13479</v>
      </c>
      <c r="X3632" s="80">
        <v>300</v>
      </c>
      <c r="Y3632" s="22">
        <v>0</v>
      </c>
      <c r="Z3632" s="80" t="s">
        <v>50</v>
      </c>
      <c r="AA3632" s="35" t="s">
        <v>3291</v>
      </c>
      <c r="AB3632" s="80"/>
      <c r="AC3632" s="80" t="s">
        <v>53</v>
      </c>
      <c r="AD3632" s="80" t="s">
        <v>138</v>
      </c>
      <c r="AE3632" s="83">
        <v>390</v>
      </c>
      <c r="AF3632" s="17">
        <v>45573</v>
      </c>
      <c r="AG3632" s="80"/>
      <c r="AH3632" s="80"/>
      <c r="AI3632" s="147">
        <v>4</v>
      </c>
      <c r="AJ3632" s="80"/>
      <c r="AK3632" s="80"/>
      <c r="AL3632" s="35"/>
      <c r="AM3632" s="35"/>
      <c r="AN3632" s="35"/>
      <c r="AO3632" s="35"/>
      <c r="AP3632" s="35"/>
    </row>
    <row r="3633" spans="1:42" x14ac:dyDescent="0.2">
      <c r="A3633" s="126">
        <v>45559.403644965278</v>
      </c>
      <c r="B3633" s="137" t="s">
        <v>37</v>
      </c>
      <c r="C3633" s="41" t="s">
        <v>118</v>
      </c>
      <c r="D3633" s="80" t="s">
        <v>36</v>
      </c>
      <c r="E3633" s="80" t="s">
        <v>39</v>
      </c>
      <c r="F3633" s="80" t="s">
        <v>91</v>
      </c>
      <c r="G3633" s="80" t="s">
        <v>41</v>
      </c>
      <c r="H3633" s="80" t="s">
        <v>13480</v>
      </c>
      <c r="I3633" s="17">
        <f ca="1">IFERROR(__xludf.DUMMYFUNCTION("""COMPUTED_VALUE"""),45564)</f>
        <v>45564</v>
      </c>
      <c r="J3633" s="143" t="s">
        <v>13481</v>
      </c>
      <c r="K3633" s="80" t="s">
        <v>13482</v>
      </c>
      <c r="L3633" s="30">
        <v>866982530</v>
      </c>
      <c r="M3633" s="80" t="s">
        <v>3288</v>
      </c>
      <c r="N3633" s="80" t="s">
        <v>200</v>
      </c>
      <c r="O3633" s="80" t="s">
        <v>91</v>
      </c>
      <c r="P3633" s="80" t="s">
        <v>13483</v>
      </c>
      <c r="Q3633" s="20">
        <v>5736</v>
      </c>
      <c r="R3633" s="80" t="s">
        <v>70</v>
      </c>
      <c r="S3633" s="95">
        <v>5636</v>
      </c>
      <c r="T3633" s="148">
        <v>45558</v>
      </c>
      <c r="U3633" s="77"/>
      <c r="V3633" s="78"/>
      <c r="W3633" s="85" t="s">
        <v>13484</v>
      </c>
      <c r="X3633" s="80">
        <v>100</v>
      </c>
      <c r="Y3633" s="22">
        <v>0</v>
      </c>
      <c r="Z3633" s="80" t="s">
        <v>50</v>
      </c>
      <c r="AA3633" s="96" t="s">
        <v>3291</v>
      </c>
      <c r="AB3633" s="80"/>
      <c r="AC3633" s="80" t="s">
        <v>53</v>
      </c>
      <c r="AD3633" s="80" t="s">
        <v>54</v>
      </c>
      <c r="AE3633" s="80" t="s">
        <v>91</v>
      </c>
      <c r="AF3633" s="17">
        <v>45559</v>
      </c>
      <c r="AG3633" s="80"/>
      <c r="AH3633" s="80"/>
      <c r="AI3633" s="147" t="s">
        <v>55</v>
      </c>
      <c r="AJ3633" s="80"/>
      <c r="AK3633" s="80"/>
      <c r="AL3633" s="35"/>
      <c r="AM3633" s="35"/>
      <c r="AN3633" s="35"/>
      <c r="AO3633" s="35"/>
      <c r="AP3633" s="35"/>
    </row>
    <row r="3634" spans="1:42" x14ac:dyDescent="0.2">
      <c r="A3634" s="126">
        <v>45559.412545300926</v>
      </c>
      <c r="B3634" s="137" t="s">
        <v>37</v>
      </c>
      <c r="C3634" s="41" t="s">
        <v>118</v>
      </c>
      <c r="D3634" s="80" t="s">
        <v>36</v>
      </c>
      <c r="E3634" s="80" t="s">
        <v>39</v>
      </c>
      <c r="F3634" s="80" t="s">
        <v>36</v>
      </c>
      <c r="G3634" s="80" t="s">
        <v>41</v>
      </c>
      <c r="H3634" s="80" t="s">
        <v>13186</v>
      </c>
      <c r="I3634" s="17">
        <f ca="1">IFERROR(__xludf.DUMMYFUNCTION("""COMPUTED_VALUE"""),45561)</f>
        <v>45561</v>
      </c>
      <c r="J3634" s="172" t="s">
        <v>13485</v>
      </c>
      <c r="K3634" s="80" t="s">
        <v>13486</v>
      </c>
      <c r="L3634" s="30">
        <v>847468885</v>
      </c>
      <c r="M3634" s="80" t="s">
        <v>45</v>
      </c>
      <c r="N3634" s="80" t="s">
        <v>12712</v>
      </c>
      <c r="O3634" s="80" t="s">
        <v>13487</v>
      </c>
      <c r="P3634" s="80" t="s">
        <v>13488</v>
      </c>
      <c r="Q3634" s="20">
        <v>5736</v>
      </c>
      <c r="R3634" s="80" t="s">
        <v>36</v>
      </c>
      <c r="S3634" s="95">
        <v>5736</v>
      </c>
      <c r="T3634" s="148">
        <v>45558</v>
      </c>
      <c r="U3634" s="77"/>
      <c r="V3634" s="78"/>
      <c r="W3634" s="85" t="s">
        <v>13489</v>
      </c>
      <c r="X3634" s="80">
        <v>0</v>
      </c>
      <c r="Y3634" s="22">
        <v>0</v>
      </c>
      <c r="Z3634" s="80" t="s">
        <v>50</v>
      </c>
      <c r="AA3634" s="35" t="s">
        <v>3291</v>
      </c>
      <c r="AB3634" s="80"/>
      <c r="AC3634" s="80" t="s">
        <v>53</v>
      </c>
      <c r="AD3634" s="80" t="s">
        <v>54</v>
      </c>
      <c r="AE3634" s="83">
        <v>0</v>
      </c>
      <c r="AF3634" s="17">
        <v>45559</v>
      </c>
      <c r="AG3634" s="80"/>
      <c r="AH3634" s="80"/>
      <c r="AI3634" s="147" t="s">
        <v>55</v>
      </c>
      <c r="AJ3634" s="80"/>
      <c r="AK3634" s="80"/>
      <c r="AL3634" s="35"/>
      <c r="AM3634" s="35"/>
      <c r="AN3634" s="35"/>
      <c r="AO3634" s="35"/>
      <c r="AP3634" s="35"/>
    </row>
    <row r="3635" spans="1:42" x14ac:dyDescent="0.2">
      <c r="A3635" s="126">
        <v>45559.487167256942</v>
      </c>
      <c r="B3635" s="137" t="s">
        <v>37</v>
      </c>
      <c r="C3635" s="41" t="s">
        <v>118</v>
      </c>
      <c r="D3635" s="80" t="s">
        <v>36</v>
      </c>
      <c r="E3635" s="80" t="s">
        <v>77</v>
      </c>
      <c r="F3635" s="80" t="s">
        <v>36</v>
      </c>
      <c r="G3635" s="80" t="s">
        <v>41</v>
      </c>
      <c r="H3635" s="80" t="s">
        <v>12849</v>
      </c>
      <c r="I3635" s="17">
        <f ca="1">IFERROR(__xludf.DUMMYFUNCTION("""COMPUTED_VALUE"""),45564)</f>
        <v>45564</v>
      </c>
      <c r="J3635" s="143" t="s">
        <v>13490</v>
      </c>
      <c r="K3635" s="80" t="s">
        <v>13491</v>
      </c>
      <c r="L3635" s="30">
        <v>862515790</v>
      </c>
      <c r="M3635" s="80" t="s">
        <v>59</v>
      </c>
      <c r="N3635" s="80" t="s">
        <v>9301</v>
      </c>
      <c r="O3635" s="80" t="s">
        <v>13492</v>
      </c>
      <c r="P3635" s="80" t="s">
        <v>13493</v>
      </c>
      <c r="Q3635" s="20">
        <v>1968</v>
      </c>
      <c r="R3635" s="80" t="s">
        <v>36</v>
      </c>
      <c r="S3635" s="95">
        <v>1968</v>
      </c>
      <c r="T3635" s="148">
        <v>45559</v>
      </c>
      <c r="U3635" s="77"/>
      <c r="V3635" s="78"/>
      <c r="W3635" s="85" t="s">
        <v>13494</v>
      </c>
      <c r="X3635" s="80">
        <v>0</v>
      </c>
      <c r="Y3635" s="22">
        <v>0</v>
      </c>
      <c r="Z3635" s="80" t="s">
        <v>50</v>
      </c>
      <c r="AA3635" s="96" t="s">
        <v>3291</v>
      </c>
      <c r="AB3635" s="80"/>
      <c r="AC3635" s="80" t="s">
        <v>53</v>
      </c>
      <c r="AD3635" s="80" t="s">
        <v>54</v>
      </c>
      <c r="AE3635" s="80" t="s">
        <v>430</v>
      </c>
      <c r="AF3635" s="17">
        <v>45559</v>
      </c>
      <c r="AG3635" s="80"/>
      <c r="AH3635" s="80"/>
      <c r="AI3635" s="147" t="s">
        <v>84</v>
      </c>
      <c r="AJ3635" s="80"/>
      <c r="AK3635" s="80"/>
      <c r="AL3635" s="35"/>
      <c r="AM3635" s="35"/>
      <c r="AN3635" s="35"/>
      <c r="AO3635" s="35"/>
      <c r="AP3635" s="35"/>
    </row>
    <row r="3636" spans="1:42" x14ac:dyDescent="0.2">
      <c r="A3636" s="126">
        <v>45559.509520405089</v>
      </c>
      <c r="B3636" s="137" t="s">
        <v>37</v>
      </c>
      <c r="C3636" s="41" t="s">
        <v>118</v>
      </c>
      <c r="D3636" s="80" t="s">
        <v>36</v>
      </c>
      <c r="E3636" s="80" t="s">
        <v>77</v>
      </c>
      <c r="F3636" s="80" t="s">
        <v>36</v>
      </c>
      <c r="G3636" s="80" t="s">
        <v>41</v>
      </c>
      <c r="H3636" s="80" t="s">
        <v>12416</v>
      </c>
      <c r="I3636" s="17">
        <f ca="1">IFERROR(__xludf.DUMMYFUNCTION("""COMPUTED_VALUE"""),45574)</f>
        <v>45574</v>
      </c>
      <c r="J3636" s="143" t="s">
        <v>13495</v>
      </c>
      <c r="K3636" s="80" t="s">
        <v>13496</v>
      </c>
      <c r="L3636" s="30">
        <v>373999329</v>
      </c>
      <c r="M3636" s="80" t="s">
        <v>348</v>
      </c>
      <c r="N3636" s="80" t="s">
        <v>4299</v>
      </c>
      <c r="O3636" s="80" t="s">
        <v>13497</v>
      </c>
      <c r="P3636" s="80" t="s">
        <v>13498</v>
      </c>
      <c r="Q3636" s="20">
        <v>1968</v>
      </c>
      <c r="R3636" s="80" t="s">
        <v>36</v>
      </c>
      <c r="S3636" s="95">
        <v>1968</v>
      </c>
      <c r="T3636" s="148">
        <v>45558</v>
      </c>
      <c r="U3636" s="77"/>
      <c r="V3636" s="78"/>
      <c r="W3636" s="85" t="s">
        <v>13499</v>
      </c>
      <c r="X3636" s="80">
        <v>0</v>
      </c>
      <c r="Y3636" s="22">
        <v>0</v>
      </c>
      <c r="Z3636" s="80" t="s">
        <v>50</v>
      </c>
      <c r="AA3636" s="35" t="s">
        <v>3291</v>
      </c>
      <c r="AB3636" s="80"/>
      <c r="AC3636" s="80" t="s">
        <v>53</v>
      </c>
      <c r="AD3636" s="80" t="s">
        <v>138</v>
      </c>
      <c r="AE3636" s="80" t="s">
        <v>4488</v>
      </c>
      <c r="AF3636" s="17">
        <v>45573</v>
      </c>
      <c r="AG3636" s="80" t="s">
        <v>13500</v>
      </c>
      <c r="AH3636" s="80"/>
      <c r="AI3636" s="147" t="s">
        <v>84</v>
      </c>
      <c r="AJ3636" s="80"/>
      <c r="AK3636" s="80"/>
      <c r="AL3636" s="35"/>
      <c r="AM3636" s="35"/>
      <c r="AN3636" s="35"/>
      <c r="AO3636" s="35"/>
      <c r="AP3636" s="35"/>
    </row>
    <row r="3637" spans="1:42" x14ac:dyDescent="0.2">
      <c r="A3637" s="126">
        <v>45559.782094953705</v>
      </c>
      <c r="B3637" s="137" t="s">
        <v>37</v>
      </c>
      <c r="C3637" s="41" t="s">
        <v>118</v>
      </c>
      <c r="D3637" s="80" t="s">
        <v>36</v>
      </c>
      <c r="E3637" s="80" t="s">
        <v>139</v>
      </c>
      <c r="F3637" s="80" t="s">
        <v>36</v>
      </c>
      <c r="G3637" s="80" t="s">
        <v>41</v>
      </c>
      <c r="H3637" s="80" t="s">
        <v>13424</v>
      </c>
      <c r="I3637" s="17">
        <f ca="1">IFERROR(__xludf.DUMMYFUNCTION("""COMPUTED_VALUE"""),45572)</f>
        <v>45572</v>
      </c>
      <c r="J3637" s="143" t="s">
        <v>13501</v>
      </c>
      <c r="K3637" s="80" t="s">
        <v>7707</v>
      </c>
      <c r="L3637" s="30">
        <v>867393606</v>
      </c>
      <c r="M3637" s="80" t="s">
        <v>910</v>
      </c>
      <c r="N3637" s="80" t="s">
        <v>3525</v>
      </c>
      <c r="O3637" s="80" t="s">
        <v>91</v>
      </c>
      <c r="P3637" s="80" t="s">
        <v>12578</v>
      </c>
      <c r="Q3637" s="20">
        <v>15936</v>
      </c>
      <c r="R3637" s="80" t="s">
        <v>1106</v>
      </c>
      <c r="S3637" s="95">
        <v>15936</v>
      </c>
      <c r="T3637" s="148">
        <v>45559</v>
      </c>
      <c r="U3637" s="77"/>
      <c r="V3637" s="78"/>
      <c r="W3637" s="85" t="s">
        <v>13502</v>
      </c>
      <c r="X3637" s="80">
        <v>150</v>
      </c>
      <c r="Y3637" s="22">
        <v>-150</v>
      </c>
      <c r="Z3637" s="80" t="s">
        <v>50</v>
      </c>
      <c r="AA3637" s="96" t="s">
        <v>3291</v>
      </c>
      <c r="AB3637" s="80"/>
      <c r="AC3637" s="80" t="s">
        <v>53</v>
      </c>
      <c r="AD3637" s="80" t="s">
        <v>138</v>
      </c>
      <c r="AE3637" s="80"/>
      <c r="AF3637" s="17">
        <v>45572</v>
      </c>
      <c r="AG3637" s="80" t="s">
        <v>13430</v>
      </c>
      <c r="AH3637" s="80"/>
      <c r="AI3637" s="147" t="s">
        <v>147</v>
      </c>
      <c r="AJ3637" s="80"/>
      <c r="AK3637" s="80"/>
      <c r="AL3637" s="35"/>
      <c r="AM3637" s="35"/>
      <c r="AN3637" s="35"/>
      <c r="AO3637" s="35"/>
      <c r="AP3637" s="35"/>
    </row>
    <row r="3638" spans="1:42" x14ac:dyDescent="0.2">
      <c r="A3638" s="126">
        <v>45559.971167928241</v>
      </c>
      <c r="B3638" s="137" t="s">
        <v>37</v>
      </c>
      <c r="C3638" s="41" t="s">
        <v>118</v>
      </c>
      <c r="D3638" s="80" t="s">
        <v>36</v>
      </c>
      <c r="E3638" s="80" t="s">
        <v>77</v>
      </c>
      <c r="F3638" s="80" t="s">
        <v>91</v>
      </c>
      <c r="G3638" s="80" t="s">
        <v>41</v>
      </c>
      <c r="H3638" s="80" t="s">
        <v>12444</v>
      </c>
      <c r="I3638" s="17">
        <f ca="1">IFERROR(__xludf.DUMMYFUNCTION("""COMPUTED_VALUE"""),45590)</f>
        <v>45590</v>
      </c>
      <c r="J3638" s="143" t="s">
        <v>13503</v>
      </c>
      <c r="K3638" s="80" t="s">
        <v>13504</v>
      </c>
      <c r="L3638" s="30">
        <v>564214541</v>
      </c>
      <c r="M3638" s="80" t="s">
        <v>112</v>
      </c>
      <c r="N3638" s="80" t="s">
        <v>13505</v>
      </c>
      <c r="O3638" s="80" t="s">
        <v>8827</v>
      </c>
      <c r="P3638" s="144" t="s">
        <v>13506</v>
      </c>
      <c r="Q3638" s="20">
        <v>1968</v>
      </c>
      <c r="R3638" s="80" t="s">
        <v>36</v>
      </c>
      <c r="S3638" s="95">
        <v>1968</v>
      </c>
      <c r="T3638" s="148">
        <v>45559</v>
      </c>
      <c r="U3638" s="77"/>
      <c r="V3638" s="78"/>
      <c r="W3638" s="85" t="s">
        <v>13507</v>
      </c>
      <c r="X3638" s="80">
        <v>0</v>
      </c>
      <c r="Y3638" s="22">
        <v>0</v>
      </c>
      <c r="Z3638" s="80" t="s">
        <v>50</v>
      </c>
      <c r="AA3638" s="35" t="s">
        <v>3291</v>
      </c>
      <c r="AB3638" s="80"/>
      <c r="AC3638" s="80" t="s">
        <v>53</v>
      </c>
      <c r="AD3638" s="80" t="s">
        <v>54</v>
      </c>
      <c r="AE3638" s="80"/>
      <c r="AF3638" s="17">
        <v>45583</v>
      </c>
      <c r="AG3638" s="80"/>
      <c r="AH3638" s="80"/>
      <c r="AI3638" s="147" t="s">
        <v>84</v>
      </c>
      <c r="AJ3638" s="80"/>
      <c r="AK3638" s="80"/>
      <c r="AL3638" s="35"/>
      <c r="AM3638" s="35"/>
      <c r="AN3638" s="35"/>
      <c r="AO3638" s="35"/>
      <c r="AP3638" s="35"/>
    </row>
    <row r="3639" spans="1:42" x14ac:dyDescent="0.2">
      <c r="A3639" s="126">
        <v>45560.347827546299</v>
      </c>
      <c r="B3639" s="137" t="s">
        <v>37</v>
      </c>
      <c r="C3639" s="41" t="s">
        <v>118</v>
      </c>
      <c r="D3639" s="80" t="s">
        <v>36</v>
      </c>
      <c r="E3639" s="80" t="s">
        <v>219</v>
      </c>
      <c r="F3639" s="80" t="s">
        <v>36</v>
      </c>
      <c r="G3639" s="80" t="s">
        <v>221</v>
      </c>
      <c r="H3639" s="80" t="s">
        <v>13508</v>
      </c>
      <c r="I3639" s="17">
        <f ca="1">IFERROR(__xludf.DUMMYFUNCTION("""COMPUTED_VALUE"""),45604)</f>
        <v>45604</v>
      </c>
      <c r="J3639" s="143" t="s">
        <v>13509</v>
      </c>
      <c r="K3639" s="80" t="s">
        <v>13510</v>
      </c>
      <c r="L3639" s="30">
        <v>984810475</v>
      </c>
      <c r="M3639" s="80" t="s">
        <v>9422</v>
      </c>
      <c r="N3639" s="80" t="s">
        <v>12670</v>
      </c>
      <c r="O3639" s="80" t="s">
        <v>11607</v>
      </c>
      <c r="P3639" s="80" t="s">
        <v>13511</v>
      </c>
      <c r="Q3639" s="20">
        <v>3968</v>
      </c>
      <c r="R3639" s="80" t="s">
        <v>70</v>
      </c>
      <c r="S3639" s="95">
        <v>2000</v>
      </c>
      <c r="T3639" s="148">
        <v>45559</v>
      </c>
      <c r="U3639" s="95">
        <v>1868</v>
      </c>
      <c r="V3639" s="148">
        <v>45560</v>
      </c>
      <c r="W3639" s="85" t="s">
        <v>13512</v>
      </c>
      <c r="X3639" s="80">
        <v>100</v>
      </c>
      <c r="Y3639" s="22">
        <v>0</v>
      </c>
      <c r="Z3639" s="80" t="s">
        <v>50</v>
      </c>
      <c r="AA3639" s="96" t="s">
        <v>3291</v>
      </c>
      <c r="AB3639" s="80"/>
      <c r="AC3639" s="80" t="s">
        <v>53</v>
      </c>
      <c r="AD3639" s="80" t="s">
        <v>54</v>
      </c>
      <c r="AE3639" s="83">
        <v>560</v>
      </c>
      <c r="AF3639" s="17">
        <v>45568</v>
      </c>
      <c r="AG3639" s="80"/>
      <c r="AH3639" s="80"/>
      <c r="AI3639" s="147">
        <v>1</v>
      </c>
      <c r="AJ3639" s="80"/>
      <c r="AK3639" s="80"/>
      <c r="AL3639" s="35"/>
      <c r="AM3639" s="35"/>
      <c r="AN3639" s="35"/>
      <c r="AO3639" s="35"/>
      <c r="AP3639" s="35"/>
    </row>
    <row r="3640" spans="1:42" x14ac:dyDescent="0.2">
      <c r="A3640" s="126">
        <v>45560.572336863421</v>
      </c>
      <c r="B3640" s="137" t="s">
        <v>37</v>
      </c>
      <c r="C3640" s="41" t="s">
        <v>118</v>
      </c>
      <c r="D3640" s="80" t="s">
        <v>36</v>
      </c>
      <c r="E3640" s="80" t="s">
        <v>219</v>
      </c>
      <c r="F3640" s="80" t="s">
        <v>91</v>
      </c>
      <c r="G3640" s="80" t="s">
        <v>221</v>
      </c>
      <c r="H3640" s="80" t="s">
        <v>13513</v>
      </c>
      <c r="I3640" s="17">
        <f ca="1">IFERROR(__xludf.DUMMYFUNCTION("""COMPUTED_VALUE"""),45594)</f>
        <v>45594</v>
      </c>
      <c r="J3640" s="143" t="s">
        <v>13514</v>
      </c>
      <c r="K3640" s="80" t="s">
        <v>13515</v>
      </c>
      <c r="L3640" s="30">
        <v>846859909</v>
      </c>
      <c r="M3640" s="80" t="s">
        <v>9422</v>
      </c>
      <c r="N3640" s="80" t="s">
        <v>2157</v>
      </c>
      <c r="O3640" s="80" t="s">
        <v>13516</v>
      </c>
      <c r="P3640" s="80" t="s">
        <v>13517</v>
      </c>
      <c r="Q3640" s="20">
        <v>3968</v>
      </c>
      <c r="R3640" s="80" t="s">
        <v>11421</v>
      </c>
      <c r="S3640" s="95">
        <v>1000</v>
      </c>
      <c r="T3640" s="148">
        <v>45559</v>
      </c>
      <c r="U3640" s="95">
        <v>2668</v>
      </c>
      <c r="V3640" s="148">
        <v>45560</v>
      </c>
      <c r="W3640" s="85" t="s">
        <v>13518</v>
      </c>
      <c r="X3640" s="80">
        <v>300</v>
      </c>
      <c r="Y3640" s="22">
        <v>0</v>
      </c>
      <c r="Z3640" s="80" t="s">
        <v>50</v>
      </c>
      <c r="AA3640" s="35" t="s">
        <v>3291</v>
      </c>
      <c r="AB3640" s="80"/>
      <c r="AC3640" s="80" t="s">
        <v>53</v>
      </c>
      <c r="AD3640" s="80" t="s">
        <v>54</v>
      </c>
      <c r="AE3640" s="83">
        <v>510</v>
      </c>
      <c r="AF3640" s="17">
        <v>45587</v>
      </c>
      <c r="AG3640" s="80"/>
      <c r="AH3640" s="80"/>
      <c r="AI3640" s="147">
        <v>1</v>
      </c>
      <c r="AJ3640" s="80"/>
      <c r="AK3640" s="80"/>
      <c r="AL3640" s="35"/>
      <c r="AM3640" s="35"/>
      <c r="AN3640" s="35"/>
      <c r="AO3640" s="35"/>
      <c r="AP3640" s="35"/>
    </row>
    <row r="3641" spans="1:42" x14ac:dyDescent="0.2">
      <c r="A3641" s="126">
        <v>45561.353042083334</v>
      </c>
      <c r="B3641" s="137" t="s">
        <v>37</v>
      </c>
      <c r="C3641" s="41" t="s">
        <v>118</v>
      </c>
      <c r="D3641" s="80" t="s">
        <v>36</v>
      </c>
      <c r="E3641" s="80" t="s">
        <v>56</v>
      </c>
      <c r="F3641" s="80" t="s">
        <v>36</v>
      </c>
      <c r="G3641" s="80" t="s">
        <v>41</v>
      </c>
      <c r="H3641" s="80" t="s">
        <v>13121</v>
      </c>
      <c r="I3641" s="17">
        <f ca="1">IFERROR(__xludf.DUMMYFUNCTION("""COMPUTED_VALUE"""),45565)</f>
        <v>45565</v>
      </c>
      <c r="J3641" s="143" t="s">
        <v>13519</v>
      </c>
      <c r="K3641" s="80" t="s">
        <v>13520</v>
      </c>
      <c r="L3641" s="30">
        <v>325480233</v>
      </c>
      <c r="M3641" s="80" t="s">
        <v>45</v>
      </c>
      <c r="N3641" s="80" t="s">
        <v>1472</v>
      </c>
      <c r="O3641" s="80" t="s">
        <v>13521</v>
      </c>
      <c r="P3641" s="80" t="s">
        <v>7743</v>
      </c>
      <c r="Q3641" s="20">
        <v>9317</v>
      </c>
      <c r="R3641" s="80" t="s">
        <v>36</v>
      </c>
      <c r="S3641" s="95">
        <f>500+8817</f>
        <v>9317</v>
      </c>
      <c r="T3641" s="83" t="s">
        <v>13522</v>
      </c>
      <c r="U3641" s="77"/>
      <c r="V3641" s="78"/>
      <c r="W3641" s="85" t="s">
        <v>13523</v>
      </c>
      <c r="X3641" s="80">
        <v>0</v>
      </c>
      <c r="Y3641" s="22">
        <v>0</v>
      </c>
      <c r="Z3641" s="80" t="s">
        <v>50</v>
      </c>
      <c r="AA3641" s="96" t="s">
        <v>3291</v>
      </c>
      <c r="AB3641" s="80"/>
      <c r="AC3641" s="80" t="s">
        <v>53</v>
      </c>
      <c r="AD3641" s="80" t="s">
        <v>138</v>
      </c>
      <c r="AE3641" s="83">
        <v>0</v>
      </c>
      <c r="AF3641" s="17">
        <v>45565</v>
      </c>
      <c r="AG3641" s="80"/>
      <c r="AH3641" s="80"/>
      <c r="AI3641" s="147" t="s">
        <v>64</v>
      </c>
      <c r="AJ3641" s="80"/>
      <c r="AK3641" s="80"/>
      <c r="AL3641" s="35"/>
      <c r="AM3641" s="35"/>
      <c r="AN3641" s="35"/>
      <c r="AO3641" s="35"/>
      <c r="AP3641" s="35"/>
    </row>
    <row r="3642" spans="1:42" x14ac:dyDescent="0.2">
      <c r="A3642" s="126">
        <v>45561.458074884256</v>
      </c>
      <c r="B3642" s="137" t="s">
        <v>37</v>
      </c>
      <c r="C3642" s="41" t="s">
        <v>118</v>
      </c>
      <c r="D3642" s="80" t="s">
        <v>36</v>
      </c>
      <c r="E3642" s="80" t="s">
        <v>148</v>
      </c>
      <c r="F3642" s="80" t="s">
        <v>36</v>
      </c>
      <c r="G3642" s="80" t="s">
        <v>108</v>
      </c>
      <c r="H3642" s="80" t="s">
        <v>11802</v>
      </c>
      <c r="I3642" s="17">
        <f ca="1">IFERROR(__xludf.DUMMYFUNCTION("""COMPUTED_VALUE"""),45572)</f>
        <v>45572</v>
      </c>
      <c r="J3642" s="143" t="s">
        <v>13524</v>
      </c>
      <c r="K3642" s="80" t="s">
        <v>13525</v>
      </c>
      <c r="L3642" s="30">
        <v>914837328</v>
      </c>
      <c r="M3642" s="80" t="s">
        <v>9422</v>
      </c>
      <c r="N3642" s="80" t="s">
        <v>327</v>
      </c>
      <c r="O3642" s="83">
        <v>914837328</v>
      </c>
      <c r="P3642" s="80" t="s">
        <v>91</v>
      </c>
      <c r="Q3642" s="20">
        <v>7349</v>
      </c>
      <c r="R3642" s="80" t="s">
        <v>36</v>
      </c>
      <c r="S3642" s="95">
        <v>3768</v>
      </c>
      <c r="T3642" s="148">
        <v>45556</v>
      </c>
      <c r="U3642" s="95">
        <v>3581</v>
      </c>
      <c r="V3642" s="148">
        <v>45565</v>
      </c>
      <c r="W3642" s="85" t="s">
        <v>13526</v>
      </c>
      <c r="X3642" s="80">
        <v>0</v>
      </c>
      <c r="Y3642" s="22">
        <v>0</v>
      </c>
      <c r="Z3642" s="80" t="s">
        <v>50</v>
      </c>
      <c r="AA3642" s="35" t="s">
        <v>3291</v>
      </c>
      <c r="AB3642" s="80"/>
      <c r="AC3642" s="80" t="s">
        <v>1828</v>
      </c>
      <c r="AD3642" s="80" t="s">
        <v>54</v>
      </c>
      <c r="AE3642" s="83">
        <v>460</v>
      </c>
      <c r="AF3642" s="60" t="s">
        <v>1829</v>
      </c>
      <c r="AG3642" s="80" t="s">
        <v>5888</v>
      </c>
      <c r="AH3642" s="80"/>
      <c r="AI3642" s="147">
        <v>2</v>
      </c>
      <c r="AJ3642" s="80"/>
      <c r="AK3642" s="80"/>
      <c r="AL3642" s="35"/>
      <c r="AM3642" s="35"/>
      <c r="AN3642" s="35"/>
      <c r="AO3642" s="35"/>
      <c r="AP3642" s="35"/>
    </row>
    <row r="3643" spans="1:42" x14ac:dyDescent="0.2">
      <c r="A3643" s="126">
        <v>45561.54611520833</v>
      </c>
      <c r="B3643" s="137" t="s">
        <v>37</v>
      </c>
      <c r="C3643" s="41" t="s">
        <v>118</v>
      </c>
      <c r="D3643" s="80" t="s">
        <v>36</v>
      </c>
      <c r="E3643" s="80" t="s">
        <v>77</v>
      </c>
      <c r="F3643" s="80" t="s">
        <v>40</v>
      </c>
      <c r="G3643" s="80" t="s">
        <v>41</v>
      </c>
      <c r="H3643" s="80" t="s">
        <v>13121</v>
      </c>
      <c r="I3643" s="17">
        <f ca="1">IFERROR(__xludf.DUMMYFUNCTION("""COMPUTED_VALUE"""),45565)</f>
        <v>45565</v>
      </c>
      <c r="J3643" s="143" t="s">
        <v>13527</v>
      </c>
      <c r="K3643" s="80" t="s">
        <v>13528</v>
      </c>
      <c r="L3643" s="30">
        <v>367075128</v>
      </c>
      <c r="M3643" s="80" t="s">
        <v>45</v>
      </c>
      <c r="N3643" s="80" t="s">
        <v>5312</v>
      </c>
      <c r="O3643" s="80" t="s">
        <v>13529</v>
      </c>
      <c r="P3643" s="80" t="s">
        <v>7743</v>
      </c>
      <c r="Q3643" s="20">
        <v>1968</v>
      </c>
      <c r="R3643" s="80" t="s">
        <v>36</v>
      </c>
      <c r="S3643" s="95">
        <v>1968</v>
      </c>
      <c r="T3643" s="148">
        <v>45561</v>
      </c>
      <c r="U3643" s="77"/>
      <c r="V3643" s="78"/>
      <c r="W3643" s="85" t="s">
        <v>13530</v>
      </c>
      <c r="X3643" s="80">
        <v>0</v>
      </c>
      <c r="Y3643" s="22">
        <v>0</v>
      </c>
      <c r="Z3643" s="80" t="s">
        <v>50</v>
      </c>
      <c r="AA3643" s="96" t="s">
        <v>3291</v>
      </c>
      <c r="AB3643" s="80"/>
      <c r="AC3643" s="80" t="s">
        <v>53</v>
      </c>
      <c r="AD3643" s="80" t="s">
        <v>138</v>
      </c>
      <c r="AE3643" s="83">
        <v>0</v>
      </c>
      <c r="AF3643" s="17">
        <v>45565</v>
      </c>
      <c r="AG3643" s="80"/>
      <c r="AH3643" s="80"/>
      <c r="AI3643" s="147" t="s">
        <v>84</v>
      </c>
      <c r="AJ3643" s="80"/>
      <c r="AK3643" s="80"/>
      <c r="AL3643" s="35"/>
      <c r="AM3643" s="35"/>
      <c r="AN3643" s="35"/>
      <c r="AO3643" s="35"/>
      <c r="AP3643" s="35"/>
    </row>
    <row r="3644" spans="1:42" x14ac:dyDescent="0.2">
      <c r="A3644" s="126">
        <v>45561.720663287037</v>
      </c>
      <c r="B3644" s="137" t="s">
        <v>37</v>
      </c>
      <c r="C3644" s="41" t="s">
        <v>118</v>
      </c>
      <c r="D3644" s="80" t="s">
        <v>36</v>
      </c>
      <c r="E3644" s="80" t="s">
        <v>39</v>
      </c>
      <c r="F3644" s="80" t="s">
        <v>40</v>
      </c>
      <c r="G3644" s="80" t="s">
        <v>41</v>
      </c>
      <c r="H3644" s="80" t="s">
        <v>10992</v>
      </c>
      <c r="I3644" s="17">
        <f ca="1">IFERROR(__xludf.DUMMYFUNCTION("""COMPUTED_VALUE"""),45565)</f>
        <v>45565</v>
      </c>
      <c r="J3644" s="143" t="s">
        <v>13531</v>
      </c>
      <c r="K3644" s="80" t="s">
        <v>6018</v>
      </c>
      <c r="L3644" s="30">
        <v>363454105</v>
      </c>
      <c r="M3644" s="80" t="s">
        <v>45</v>
      </c>
      <c r="N3644" s="80" t="s">
        <v>12712</v>
      </c>
      <c r="O3644" s="80" t="s">
        <v>13532</v>
      </c>
      <c r="P3644" s="80" t="s">
        <v>13533</v>
      </c>
      <c r="Q3644" s="20">
        <v>5736</v>
      </c>
      <c r="R3644" s="80" t="s">
        <v>36</v>
      </c>
      <c r="S3644" s="95">
        <v>5736</v>
      </c>
      <c r="T3644" s="148">
        <v>45561</v>
      </c>
      <c r="U3644" s="77"/>
      <c r="V3644" s="78"/>
      <c r="W3644" s="85" t="s">
        <v>13534</v>
      </c>
      <c r="X3644" s="80">
        <v>0</v>
      </c>
      <c r="Y3644" s="22">
        <v>0</v>
      </c>
      <c r="Z3644" s="80" t="s">
        <v>50</v>
      </c>
      <c r="AA3644" s="35" t="s">
        <v>3291</v>
      </c>
      <c r="AB3644" s="80"/>
      <c r="AC3644" s="80" t="s">
        <v>53</v>
      </c>
      <c r="AD3644" s="80" t="s">
        <v>54</v>
      </c>
      <c r="AE3644" s="83">
        <v>0</v>
      </c>
      <c r="AF3644" s="17">
        <v>45562</v>
      </c>
      <c r="AG3644" s="80"/>
      <c r="AH3644" s="80"/>
      <c r="AI3644" s="147" t="s">
        <v>55</v>
      </c>
      <c r="AJ3644" s="80"/>
      <c r="AK3644" s="80"/>
      <c r="AL3644" s="35"/>
      <c r="AM3644" s="35"/>
      <c r="AN3644" s="35"/>
      <c r="AO3644" s="35"/>
      <c r="AP3644" s="35"/>
    </row>
    <row r="3645" spans="1:42" x14ac:dyDescent="0.2">
      <c r="A3645" s="126">
        <v>45561.9378109838</v>
      </c>
      <c r="B3645" s="137" t="s">
        <v>37</v>
      </c>
      <c r="C3645" s="41" t="s">
        <v>118</v>
      </c>
      <c r="D3645" s="80" t="s">
        <v>36</v>
      </c>
      <c r="E3645" s="80" t="s">
        <v>56</v>
      </c>
      <c r="F3645" s="80" t="s">
        <v>36</v>
      </c>
      <c r="G3645" s="80" t="s">
        <v>41</v>
      </c>
      <c r="H3645" s="80" t="s">
        <v>13535</v>
      </c>
      <c r="I3645" s="17">
        <f ca="1">IFERROR(__xludf.DUMMYFUNCTION("""COMPUTED_VALUE"""),45589)</f>
        <v>45589</v>
      </c>
      <c r="J3645" s="143" t="s">
        <v>13536</v>
      </c>
      <c r="K3645" s="80" t="s">
        <v>13537</v>
      </c>
      <c r="L3645" s="30">
        <v>869831633</v>
      </c>
      <c r="M3645" s="80" t="s">
        <v>9422</v>
      </c>
      <c r="N3645" s="80" t="s">
        <v>5574</v>
      </c>
      <c r="O3645" s="80" t="s">
        <v>13538</v>
      </c>
      <c r="P3645" s="80" t="s">
        <v>13539</v>
      </c>
      <c r="Q3645" s="20">
        <v>9317</v>
      </c>
      <c r="R3645" s="80" t="s">
        <v>11421</v>
      </c>
      <c r="S3645" s="95">
        <v>9017</v>
      </c>
      <c r="T3645" s="148">
        <v>45561</v>
      </c>
      <c r="U3645" s="77"/>
      <c r="V3645" s="78"/>
      <c r="W3645" s="85" t="s">
        <v>13540</v>
      </c>
      <c r="X3645" s="80">
        <v>300</v>
      </c>
      <c r="Y3645" s="22">
        <v>0</v>
      </c>
      <c r="Z3645" s="80" t="s">
        <v>50</v>
      </c>
      <c r="AA3645" s="96" t="s">
        <v>3291</v>
      </c>
      <c r="AB3645" s="80"/>
      <c r="AC3645" s="80" t="s">
        <v>53</v>
      </c>
      <c r="AD3645" s="80" t="s">
        <v>138</v>
      </c>
      <c r="AE3645" s="80"/>
      <c r="AF3645" s="17">
        <v>45588</v>
      </c>
      <c r="AG3645" s="80" t="s">
        <v>13541</v>
      </c>
      <c r="AH3645" s="80"/>
      <c r="AI3645" s="147" t="s">
        <v>64</v>
      </c>
      <c r="AJ3645" s="80"/>
      <c r="AK3645" s="80"/>
      <c r="AL3645" s="35"/>
      <c r="AM3645" s="35"/>
      <c r="AN3645" s="35"/>
      <c r="AO3645" s="35"/>
      <c r="AP3645" s="35"/>
    </row>
    <row r="3646" spans="1:42" x14ac:dyDescent="0.2">
      <c r="A3646" s="126">
        <v>45562.361589537039</v>
      </c>
      <c r="B3646" s="137" t="s">
        <v>37</v>
      </c>
      <c r="C3646" s="41" t="s">
        <v>118</v>
      </c>
      <c r="D3646" s="80" t="s">
        <v>36</v>
      </c>
      <c r="E3646" s="80" t="s">
        <v>39</v>
      </c>
      <c r="F3646" s="80" t="s">
        <v>40</v>
      </c>
      <c r="G3646" s="80" t="s">
        <v>41</v>
      </c>
      <c r="H3646" s="80" t="s">
        <v>13535</v>
      </c>
      <c r="I3646" s="17">
        <f ca="1">IFERROR(__xludf.DUMMYFUNCTION("""COMPUTED_VALUE"""),45589)</f>
        <v>45589</v>
      </c>
      <c r="J3646" s="143" t="s">
        <v>13542</v>
      </c>
      <c r="K3646" s="80" t="s">
        <v>13543</v>
      </c>
      <c r="L3646" s="30">
        <v>869985665</v>
      </c>
      <c r="M3646" s="80" t="s">
        <v>45</v>
      </c>
      <c r="N3646" s="80" t="s">
        <v>12712</v>
      </c>
      <c r="O3646" s="80" t="s">
        <v>13544</v>
      </c>
      <c r="P3646" s="80" t="s">
        <v>7743</v>
      </c>
      <c r="Q3646" s="20">
        <v>5736</v>
      </c>
      <c r="R3646" s="80" t="s">
        <v>36</v>
      </c>
      <c r="S3646" s="95">
        <v>5736</v>
      </c>
      <c r="T3646" s="148">
        <v>45557</v>
      </c>
      <c r="U3646" s="77"/>
      <c r="V3646" s="78"/>
      <c r="W3646" s="85" t="s">
        <v>13545</v>
      </c>
      <c r="X3646" s="80">
        <v>0</v>
      </c>
      <c r="Y3646" s="22">
        <v>0</v>
      </c>
      <c r="Z3646" s="80" t="s">
        <v>50</v>
      </c>
      <c r="AA3646" s="35" t="s">
        <v>3291</v>
      </c>
      <c r="AB3646" s="80"/>
      <c r="AC3646" s="80" t="s">
        <v>53</v>
      </c>
      <c r="AD3646" s="80" t="s">
        <v>138</v>
      </c>
      <c r="AE3646" s="83">
        <v>0</v>
      </c>
      <c r="AF3646" s="17">
        <v>45588</v>
      </c>
      <c r="AG3646" s="80" t="s">
        <v>13541</v>
      </c>
      <c r="AH3646" s="80"/>
      <c r="AI3646" s="147" t="s">
        <v>55</v>
      </c>
      <c r="AJ3646" s="80"/>
      <c r="AK3646" s="80"/>
      <c r="AL3646" s="35"/>
      <c r="AM3646" s="35"/>
      <c r="AN3646" s="35"/>
      <c r="AO3646" s="35"/>
      <c r="AP3646" s="35"/>
    </row>
    <row r="3647" spans="1:42" x14ac:dyDescent="0.2">
      <c r="A3647" s="126">
        <v>45562.789073009262</v>
      </c>
      <c r="B3647" s="137" t="s">
        <v>37</v>
      </c>
      <c r="C3647" s="41" t="s">
        <v>118</v>
      </c>
      <c r="D3647" s="80" t="s">
        <v>36</v>
      </c>
      <c r="E3647" s="80" t="s">
        <v>77</v>
      </c>
      <c r="F3647" s="80" t="s">
        <v>36</v>
      </c>
      <c r="G3647" s="80" t="s">
        <v>41</v>
      </c>
      <c r="H3647" s="80" t="s">
        <v>13121</v>
      </c>
      <c r="I3647" s="17">
        <f ca="1">IFERROR(__xludf.DUMMYFUNCTION("""COMPUTED_VALUE"""),45565)</f>
        <v>45565</v>
      </c>
      <c r="J3647" s="143" t="s">
        <v>13546</v>
      </c>
      <c r="K3647" s="80" t="s">
        <v>13547</v>
      </c>
      <c r="L3647" s="30">
        <v>867806841</v>
      </c>
      <c r="M3647" s="80" t="s">
        <v>11413</v>
      </c>
      <c r="N3647" s="80" t="s">
        <v>1246</v>
      </c>
      <c r="O3647" s="80" t="s">
        <v>13548</v>
      </c>
      <c r="P3647" s="80" t="s">
        <v>13549</v>
      </c>
      <c r="Q3647" s="20">
        <v>1968</v>
      </c>
      <c r="R3647" s="80" t="s">
        <v>36</v>
      </c>
      <c r="S3647" s="95">
        <f>1000+968</f>
        <v>1968</v>
      </c>
      <c r="T3647" s="83" t="s">
        <v>13550</v>
      </c>
      <c r="U3647" s="95"/>
      <c r="V3647" s="148"/>
      <c r="W3647" s="80" t="s">
        <v>13551</v>
      </c>
      <c r="X3647" s="80">
        <v>0</v>
      </c>
      <c r="Y3647" s="22">
        <v>0</v>
      </c>
      <c r="Z3647" s="80" t="s">
        <v>50</v>
      </c>
      <c r="AA3647" s="96" t="s">
        <v>3291</v>
      </c>
      <c r="AB3647" s="80"/>
      <c r="AC3647" s="80" t="s">
        <v>53</v>
      </c>
      <c r="AD3647" s="80" t="s">
        <v>138</v>
      </c>
      <c r="AE3647" s="80"/>
      <c r="AF3647" s="17">
        <v>45565</v>
      </c>
      <c r="AG3647" s="80"/>
      <c r="AH3647" s="80"/>
      <c r="AI3647" s="147" t="s">
        <v>84</v>
      </c>
      <c r="AJ3647" s="80"/>
      <c r="AK3647" s="80"/>
      <c r="AL3647" s="35"/>
      <c r="AM3647" s="35"/>
      <c r="AN3647" s="35"/>
      <c r="AO3647" s="35"/>
      <c r="AP3647" s="35"/>
    </row>
    <row r="3648" spans="1:42" x14ac:dyDescent="0.2">
      <c r="A3648" s="126">
        <v>45563.498125381942</v>
      </c>
      <c r="B3648" s="137" t="s">
        <v>37</v>
      </c>
      <c r="C3648" s="41" t="s">
        <v>118</v>
      </c>
      <c r="D3648" s="80" t="s">
        <v>36</v>
      </c>
      <c r="E3648" s="80" t="s">
        <v>56</v>
      </c>
      <c r="F3648" s="80" t="s">
        <v>36</v>
      </c>
      <c r="G3648" s="80" t="s">
        <v>41</v>
      </c>
      <c r="H3648" s="80" t="s">
        <v>13121</v>
      </c>
      <c r="I3648" s="17">
        <f ca="1">IFERROR(__xludf.DUMMYFUNCTION("""COMPUTED_VALUE"""),45565)</f>
        <v>45565</v>
      </c>
      <c r="J3648" s="143" t="s">
        <v>13552</v>
      </c>
      <c r="K3648" s="80" t="s">
        <v>13553</v>
      </c>
      <c r="L3648" s="30">
        <v>333462071</v>
      </c>
      <c r="M3648" s="80" t="s">
        <v>59</v>
      </c>
      <c r="N3648" s="80" t="s">
        <v>4299</v>
      </c>
      <c r="O3648" s="80" t="s">
        <v>13554</v>
      </c>
      <c r="P3648" s="80" t="s">
        <v>13555</v>
      </c>
      <c r="Q3648" s="20">
        <v>9317</v>
      </c>
      <c r="R3648" s="80" t="s">
        <v>70</v>
      </c>
      <c r="S3648" s="95">
        <f>200+9017</f>
        <v>9217</v>
      </c>
      <c r="T3648" s="83" t="s">
        <v>13556</v>
      </c>
      <c r="U3648" s="77"/>
      <c r="V3648" s="78"/>
      <c r="W3648" s="85" t="s">
        <v>13557</v>
      </c>
      <c r="X3648" s="80">
        <v>100</v>
      </c>
      <c r="Y3648" s="22">
        <v>0</v>
      </c>
      <c r="Z3648" s="80" t="s">
        <v>50</v>
      </c>
      <c r="AA3648" s="35" t="s">
        <v>3291</v>
      </c>
      <c r="AB3648" s="80"/>
      <c r="AC3648" s="80" t="s">
        <v>53</v>
      </c>
      <c r="AD3648" s="80" t="s">
        <v>138</v>
      </c>
      <c r="AE3648" s="80" t="s">
        <v>13558</v>
      </c>
      <c r="AF3648" s="17">
        <v>45565</v>
      </c>
      <c r="AG3648" s="80"/>
      <c r="AH3648" s="80"/>
      <c r="AI3648" s="147" t="s">
        <v>64</v>
      </c>
      <c r="AJ3648" s="80"/>
      <c r="AK3648" s="80"/>
      <c r="AL3648" s="35"/>
      <c r="AM3648" s="35"/>
      <c r="AN3648" s="35"/>
      <c r="AO3648" s="35"/>
      <c r="AP3648" s="35"/>
    </row>
    <row r="3649" spans="1:42" x14ac:dyDescent="0.2">
      <c r="A3649" s="126">
        <v>45563.528485555551</v>
      </c>
      <c r="B3649" s="137" t="s">
        <v>37</v>
      </c>
      <c r="C3649" s="41" t="s">
        <v>118</v>
      </c>
      <c r="D3649" s="80" t="s">
        <v>36</v>
      </c>
      <c r="E3649" s="80" t="s">
        <v>77</v>
      </c>
      <c r="F3649" s="80" t="s">
        <v>36</v>
      </c>
      <c r="G3649" s="80" t="s">
        <v>41</v>
      </c>
      <c r="H3649" s="80" t="s">
        <v>13254</v>
      </c>
      <c r="I3649" s="17">
        <f ca="1">IFERROR(__xludf.DUMMYFUNCTION("""COMPUTED_VALUE"""),45568)</f>
        <v>45568</v>
      </c>
      <c r="J3649" s="143" t="s">
        <v>13559</v>
      </c>
      <c r="K3649" s="80" t="s">
        <v>13560</v>
      </c>
      <c r="L3649" s="30">
        <v>345354082</v>
      </c>
      <c r="M3649" s="80" t="s">
        <v>910</v>
      </c>
      <c r="N3649" s="80" t="s">
        <v>3525</v>
      </c>
      <c r="O3649" s="80" t="s">
        <v>91</v>
      </c>
      <c r="P3649" s="80" t="s">
        <v>13561</v>
      </c>
      <c r="Q3649" s="20">
        <v>1968</v>
      </c>
      <c r="R3649" s="80" t="s">
        <v>36</v>
      </c>
      <c r="S3649" s="95">
        <v>1968</v>
      </c>
      <c r="T3649" s="148">
        <v>45562</v>
      </c>
      <c r="U3649" s="77"/>
      <c r="V3649" s="78"/>
      <c r="W3649" s="85" t="s">
        <v>13562</v>
      </c>
      <c r="X3649" s="80">
        <v>0</v>
      </c>
      <c r="Y3649" s="22">
        <v>0</v>
      </c>
      <c r="Z3649" s="80" t="s">
        <v>50</v>
      </c>
      <c r="AA3649" s="96" t="s">
        <v>3291</v>
      </c>
      <c r="AB3649" s="80"/>
      <c r="AC3649" s="80" t="s">
        <v>53</v>
      </c>
      <c r="AD3649" s="80" t="s">
        <v>54</v>
      </c>
      <c r="AE3649" s="80"/>
      <c r="AF3649" s="17">
        <v>45565</v>
      </c>
      <c r="AG3649" s="80"/>
      <c r="AH3649" s="80"/>
      <c r="AI3649" s="147" t="s">
        <v>84</v>
      </c>
      <c r="AJ3649" s="80"/>
      <c r="AK3649" s="80"/>
      <c r="AL3649" s="35"/>
      <c r="AM3649" s="35"/>
      <c r="AN3649" s="35"/>
      <c r="AO3649" s="35"/>
      <c r="AP3649" s="35"/>
    </row>
    <row r="3650" spans="1:42" x14ac:dyDescent="0.2">
      <c r="A3650" s="126">
        <v>45564.063347870368</v>
      </c>
      <c r="B3650" s="137" t="s">
        <v>37</v>
      </c>
      <c r="C3650" s="41" t="s">
        <v>118</v>
      </c>
      <c r="D3650" s="80" t="s">
        <v>36</v>
      </c>
      <c r="E3650" s="80" t="s">
        <v>77</v>
      </c>
      <c r="F3650" s="80" t="s">
        <v>36</v>
      </c>
      <c r="G3650" s="80" t="s">
        <v>41</v>
      </c>
      <c r="H3650" s="80" t="s">
        <v>13563</v>
      </c>
      <c r="I3650" s="17" t="str">
        <f ca="1">IFERROR(__xludf.DUMMYFUNCTION("""COMPUTED_VALUE""")," ")</f>
        <v xml:space="preserve"> </v>
      </c>
      <c r="J3650" s="143" t="s">
        <v>13564</v>
      </c>
      <c r="K3650" s="80" t="s">
        <v>13565</v>
      </c>
      <c r="L3650" s="30">
        <v>352384273</v>
      </c>
      <c r="M3650" s="80" t="s">
        <v>12529</v>
      </c>
      <c r="N3650" s="80" t="s">
        <v>13566</v>
      </c>
      <c r="O3650" s="80" t="s">
        <v>13567</v>
      </c>
      <c r="P3650" s="144" t="s">
        <v>13568</v>
      </c>
      <c r="Q3650" s="20">
        <v>1968</v>
      </c>
      <c r="R3650" s="80" t="s">
        <v>36</v>
      </c>
      <c r="S3650" s="95">
        <f>200+1800</f>
        <v>2000</v>
      </c>
      <c r="T3650" s="83" t="s">
        <v>13569</v>
      </c>
      <c r="U3650" s="77"/>
      <c r="V3650" s="78"/>
      <c r="W3650" s="85" t="s">
        <v>13570</v>
      </c>
      <c r="X3650" s="80">
        <v>0</v>
      </c>
      <c r="Y3650" s="22">
        <v>-32</v>
      </c>
      <c r="Z3650" s="80" t="s">
        <v>50</v>
      </c>
      <c r="AA3650" s="35" t="s">
        <v>3291</v>
      </c>
      <c r="AB3650" s="80"/>
      <c r="AC3650" s="80" t="s">
        <v>53</v>
      </c>
      <c r="AD3650" s="80" t="s">
        <v>54</v>
      </c>
      <c r="AE3650" s="80"/>
      <c r="AF3650" s="17">
        <v>45565</v>
      </c>
      <c r="AG3650" s="80"/>
      <c r="AH3650" s="80"/>
      <c r="AI3650" s="147" t="s">
        <v>84</v>
      </c>
      <c r="AJ3650" s="80"/>
      <c r="AK3650" s="80"/>
      <c r="AL3650" s="35"/>
      <c r="AM3650" s="35"/>
      <c r="AN3650" s="35"/>
      <c r="AO3650" s="35"/>
      <c r="AP3650" s="35"/>
    </row>
    <row r="3651" spans="1:42" x14ac:dyDescent="0.2">
      <c r="A3651" s="126">
        <v>45564.657294594908</v>
      </c>
      <c r="B3651" s="137" t="s">
        <v>37</v>
      </c>
      <c r="C3651" s="41" t="s">
        <v>118</v>
      </c>
      <c r="D3651" s="80" t="s">
        <v>36</v>
      </c>
      <c r="E3651" s="80" t="s">
        <v>148</v>
      </c>
      <c r="F3651" s="80" t="s">
        <v>36</v>
      </c>
      <c r="G3651" s="80" t="s">
        <v>108</v>
      </c>
      <c r="H3651" s="80" t="s">
        <v>13571</v>
      </c>
      <c r="I3651" s="17" t="str">
        <f ca="1">IFERROR(__xludf.DUMMYFUNCTION("""COMPUTED_VALUE""")," ")</f>
        <v xml:space="preserve"> </v>
      </c>
      <c r="J3651" s="143" t="s">
        <v>13572</v>
      </c>
      <c r="K3651" s="80" t="s">
        <v>13573</v>
      </c>
      <c r="L3651" s="30">
        <v>369790695</v>
      </c>
      <c r="M3651" s="80" t="s">
        <v>9422</v>
      </c>
      <c r="N3651" s="80" t="s">
        <v>186</v>
      </c>
      <c r="O3651" s="80" t="s">
        <v>13574</v>
      </c>
      <c r="P3651" s="144" t="s">
        <v>13575</v>
      </c>
      <c r="Q3651" s="20">
        <v>7349</v>
      </c>
      <c r="R3651" s="80" t="s">
        <v>11421</v>
      </c>
      <c r="S3651" s="95">
        <v>7050</v>
      </c>
      <c r="T3651" s="148">
        <v>45562</v>
      </c>
      <c r="U3651" s="77"/>
      <c r="V3651" s="78"/>
      <c r="W3651" s="80"/>
      <c r="X3651" s="80">
        <v>300</v>
      </c>
      <c r="Y3651" s="22">
        <v>-1</v>
      </c>
      <c r="Z3651" s="80" t="s">
        <v>50</v>
      </c>
      <c r="AA3651" s="96" t="s">
        <v>3291</v>
      </c>
      <c r="AB3651" s="80"/>
      <c r="AC3651" s="80" t="s">
        <v>53</v>
      </c>
      <c r="AD3651" s="80" t="s">
        <v>54</v>
      </c>
      <c r="AE3651" s="80"/>
      <c r="AF3651" s="43">
        <v>45625</v>
      </c>
      <c r="AG3651" s="80"/>
      <c r="AH3651" s="80"/>
      <c r="AI3651" s="147">
        <v>2</v>
      </c>
      <c r="AJ3651" s="80"/>
      <c r="AK3651" s="80"/>
      <c r="AL3651" s="35"/>
      <c r="AM3651" s="35"/>
      <c r="AN3651" s="35"/>
      <c r="AO3651" s="35"/>
      <c r="AP3651" s="35"/>
    </row>
    <row r="3652" spans="1:42" x14ac:dyDescent="0.2">
      <c r="A3652" s="126">
        <v>45564.85123299768</v>
      </c>
      <c r="B3652" s="137" t="s">
        <v>37</v>
      </c>
      <c r="C3652" s="41" t="s">
        <v>118</v>
      </c>
      <c r="D3652" s="80" t="s">
        <v>36</v>
      </c>
      <c r="E3652" s="80" t="s">
        <v>56</v>
      </c>
      <c r="F3652" s="80" t="s">
        <v>36</v>
      </c>
      <c r="G3652" s="80" t="s">
        <v>41</v>
      </c>
      <c r="H3652" s="80" t="s">
        <v>13178</v>
      </c>
      <c r="I3652" s="17">
        <f ca="1">IFERROR(__xludf.DUMMYFUNCTION("""COMPUTED_VALUE"""),45572)</f>
        <v>45572</v>
      </c>
      <c r="J3652" s="143" t="s">
        <v>13576</v>
      </c>
      <c r="K3652" s="80" t="s">
        <v>13577</v>
      </c>
      <c r="L3652" s="30">
        <v>866484156</v>
      </c>
      <c r="M3652" s="80" t="s">
        <v>45</v>
      </c>
      <c r="N3652" s="80" t="s">
        <v>13578</v>
      </c>
      <c r="O3652" s="80" t="s">
        <v>13579</v>
      </c>
      <c r="P3652" s="80" t="s">
        <v>3694</v>
      </c>
      <c r="Q3652" s="20">
        <v>9317</v>
      </c>
      <c r="R3652" s="80" t="s">
        <v>36</v>
      </c>
      <c r="S3652" s="95">
        <v>9317</v>
      </c>
      <c r="T3652" s="148">
        <v>45558</v>
      </c>
      <c r="U3652" s="77"/>
      <c r="V3652" s="78"/>
      <c r="W3652" s="80" t="s">
        <v>13580</v>
      </c>
      <c r="X3652" s="80">
        <v>0</v>
      </c>
      <c r="Y3652" s="22">
        <v>0</v>
      </c>
      <c r="Z3652" s="80" t="s">
        <v>50</v>
      </c>
      <c r="AA3652" s="35" t="s">
        <v>3291</v>
      </c>
      <c r="AB3652" s="80"/>
      <c r="AC3652" s="80" t="s">
        <v>53</v>
      </c>
      <c r="AD3652" s="80" t="s">
        <v>138</v>
      </c>
      <c r="AE3652" s="83">
        <v>0</v>
      </c>
      <c r="AF3652" s="17">
        <v>45572</v>
      </c>
      <c r="AG3652" s="80" t="s">
        <v>13185</v>
      </c>
      <c r="AH3652" s="80"/>
      <c r="AI3652" s="147" t="s">
        <v>64</v>
      </c>
      <c r="AJ3652" s="80"/>
      <c r="AK3652" s="80"/>
      <c r="AL3652" s="35"/>
      <c r="AM3652" s="35"/>
      <c r="AN3652" s="35"/>
      <c r="AO3652" s="35"/>
      <c r="AP3652" s="35"/>
    </row>
    <row r="3653" spans="1:42" x14ac:dyDescent="0.2">
      <c r="A3653" s="126">
        <v>45564.853069097226</v>
      </c>
      <c r="B3653" s="137" t="s">
        <v>37</v>
      </c>
      <c r="C3653" s="41" t="s">
        <v>118</v>
      </c>
      <c r="D3653" s="80" t="s">
        <v>36</v>
      </c>
      <c r="E3653" s="80" t="s">
        <v>139</v>
      </c>
      <c r="F3653" s="80" t="s">
        <v>36</v>
      </c>
      <c r="G3653" s="80" t="s">
        <v>41</v>
      </c>
      <c r="H3653" s="80" t="s">
        <v>13178</v>
      </c>
      <c r="I3653" s="17">
        <f ca="1">IFERROR(__xludf.DUMMYFUNCTION("""COMPUTED_VALUE"""),45572)</f>
        <v>45572</v>
      </c>
      <c r="J3653" s="143" t="s">
        <v>13581</v>
      </c>
      <c r="K3653" s="80" t="s">
        <v>13582</v>
      </c>
      <c r="L3653" s="30">
        <v>385073142</v>
      </c>
      <c r="M3653" s="80" t="s">
        <v>45</v>
      </c>
      <c r="N3653" s="80" t="s">
        <v>8420</v>
      </c>
      <c r="O3653" s="80" t="s">
        <v>13583</v>
      </c>
      <c r="P3653" s="80" t="s">
        <v>7743</v>
      </c>
      <c r="Q3653" s="20">
        <v>15936</v>
      </c>
      <c r="R3653" s="80" t="s">
        <v>36</v>
      </c>
      <c r="S3653" s="95">
        <v>15936</v>
      </c>
      <c r="T3653" s="148">
        <v>45557</v>
      </c>
      <c r="U3653" s="77"/>
      <c r="V3653" s="78"/>
      <c r="W3653" s="80" t="s">
        <v>13584</v>
      </c>
      <c r="X3653" s="80">
        <v>0</v>
      </c>
      <c r="Y3653" s="22">
        <v>0</v>
      </c>
      <c r="Z3653" s="80" t="s">
        <v>50</v>
      </c>
      <c r="AA3653" s="96" t="s">
        <v>3291</v>
      </c>
      <c r="AB3653" s="80"/>
      <c r="AC3653" s="80" t="s">
        <v>53</v>
      </c>
      <c r="AD3653" s="80" t="s">
        <v>138</v>
      </c>
      <c r="AE3653" s="83">
        <v>0</v>
      </c>
      <c r="AF3653" s="17">
        <v>45572</v>
      </c>
      <c r="AG3653" s="80" t="s">
        <v>13185</v>
      </c>
      <c r="AH3653" s="80"/>
      <c r="AI3653" s="147" t="s">
        <v>147</v>
      </c>
      <c r="AJ3653" s="80"/>
      <c r="AK3653" s="80"/>
      <c r="AL3653" s="35"/>
      <c r="AM3653" s="35"/>
      <c r="AN3653" s="35"/>
      <c r="AO3653" s="35"/>
      <c r="AP3653" s="35"/>
    </row>
    <row r="3654" spans="1:42" x14ac:dyDescent="0.2">
      <c r="A3654" s="126">
        <v>45565.334554791669</v>
      </c>
      <c r="B3654" s="137" t="s">
        <v>37</v>
      </c>
      <c r="C3654" s="41" t="s">
        <v>118</v>
      </c>
      <c r="D3654" s="80" t="s">
        <v>36</v>
      </c>
      <c r="E3654" s="80" t="s">
        <v>119</v>
      </c>
      <c r="F3654" s="80" t="s">
        <v>36</v>
      </c>
      <c r="G3654" s="80" t="s">
        <v>108</v>
      </c>
      <c r="H3654" s="80" t="s">
        <v>11802</v>
      </c>
      <c r="I3654" s="17">
        <f ca="1">IFERROR(__xludf.DUMMYFUNCTION("""COMPUTED_VALUE"""),45572)</f>
        <v>45572</v>
      </c>
      <c r="J3654" s="143" t="s">
        <v>13585</v>
      </c>
      <c r="K3654" s="80" t="s">
        <v>13586</v>
      </c>
      <c r="L3654" s="30">
        <v>775060350</v>
      </c>
      <c r="M3654" s="80" t="s">
        <v>45</v>
      </c>
      <c r="N3654" s="80" t="s">
        <v>1881</v>
      </c>
      <c r="O3654" s="80" t="s">
        <v>13587</v>
      </c>
      <c r="P3654" s="80" t="s">
        <v>2218</v>
      </c>
      <c r="Q3654" s="20">
        <v>13968</v>
      </c>
      <c r="R3654" s="80" t="s">
        <v>36</v>
      </c>
      <c r="S3654" s="95">
        <v>13968</v>
      </c>
      <c r="T3654" s="148">
        <v>45559</v>
      </c>
      <c r="U3654" s="77"/>
      <c r="V3654" s="78"/>
      <c r="W3654" s="85" t="s">
        <v>13588</v>
      </c>
      <c r="X3654" s="80">
        <v>0</v>
      </c>
      <c r="Y3654" s="22">
        <v>0</v>
      </c>
      <c r="Z3654" s="80" t="s">
        <v>50</v>
      </c>
      <c r="AA3654" s="35" t="s">
        <v>3291</v>
      </c>
      <c r="AB3654" s="80"/>
      <c r="AC3654" s="80" t="s">
        <v>2218</v>
      </c>
      <c r="AD3654" s="80" t="s">
        <v>54</v>
      </c>
      <c r="AE3654" s="83">
        <v>400</v>
      </c>
      <c r="AF3654" s="17">
        <v>45564</v>
      </c>
      <c r="AG3654" s="80" t="s">
        <v>9238</v>
      </c>
      <c r="AH3654" s="80"/>
      <c r="AI3654" s="147">
        <v>4</v>
      </c>
      <c r="AJ3654" s="80"/>
      <c r="AK3654" s="80"/>
      <c r="AL3654" s="35"/>
      <c r="AM3654" s="35"/>
      <c r="AN3654" s="35"/>
      <c r="AO3654" s="35"/>
      <c r="AP3654" s="35"/>
    </row>
    <row r="3655" spans="1:42" x14ac:dyDescent="0.2">
      <c r="A3655" s="126">
        <v>45565.341677210643</v>
      </c>
      <c r="B3655" s="137" t="s">
        <v>37</v>
      </c>
      <c r="C3655" s="41" t="s">
        <v>118</v>
      </c>
      <c r="D3655" s="80" t="s">
        <v>36</v>
      </c>
      <c r="E3655" s="80" t="s">
        <v>39</v>
      </c>
      <c r="F3655" s="80" t="s">
        <v>36</v>
      </c>
      <c r="G3655" s="80" t="s">
        <v>41</v>
      </c>
      <c r="H3655" s="80" t="s">
        <v>13283</v>
      </c>
      <c r="I3655" s="17">
        <f ca="1">IFERROR(__xludf.DUMMYFUNCTION("""COMPUTED_VALUE"""),45631)</f>
        <v>45631</v>
      </c>
      <c r="J3655" s="143" t="s">
        <v>13589</v>
      </c>
      <c r="K3655" s="80" t="s">
        <v>13590</v>
      </c>
      <c r="L3655" s="30">
        <v>968159369</v>
      </c>
      <c r="M3655" s="80" t="s">
        <v>45</v>
      </c>
      <c r="N3655" s="80" t="s">
        <v>12712</v>
      </c>
      <c r="O3655" s="80" t="s">
        <v>13591</v>
      </c>
      <c r="P3655" s="80" t="s">
        <v>7743</v>
      </c>
      <c r="Q3655" s="20">
        <v>5736</v>
      </c>
      <c r="R3655" s="80" t="s">
        <v>36</v>
      </c>
      <c r="S3655" s="95">
        <v>5736</v>
      </c>
      <c r="T3655" s="148">
        <v>45562</v>
      </c>
      <c r="U3655" s="77"/>
      <c r="V3655" s="78"/>
      <c r="W3655" s="85" t="s">
        <v>13592</v>
      </c>
      <c r="X3655" s="80">
        <v>0</v>
      </c>
      <c r="Y3655" s="22">
        <v>0</v>
      </c>
      <c r="Z3655" s="80" t="s">
        <v>50</v>
      </c>
      <c r="AA3655" s="96" t="s">
        <v>3291</v>
      </c>
      <c r="AB3655" s="80"/>
      <c r="AC3655" s="80" t="s">
        <v>53</v>
      </c>
      <c r="AD3655" s="80" t="s">
        <v>138</v>
      </c>
      <c r="AE3655" s="83">
        <v>0</v>
      </c>
      <c r="AF3655" s="17">
        <v>45573</v>
      </c>
      <c r="AG3655" s="80" t="s">
        <v>13500</v>
      </c>
      <c r="AH3655" s="80"/>
      <c r="AI3655" s="147" t="s">
        <v>55</v>
      </c>
      <c r="AJ3655" s="80"/>
      <c r="AK3655" s="80"/>
      <c r="AL3655" s="35"/>
      <c r="AM3655" s="35"/>
      <c r="AN3655" s="35"/>
      <c r="AO3655" s="35"/>
      <c r="AP3655" s="35"/>
    </row>
    <row r="3656" spans="1:42" x14ac:dyDescent="0.2">
      <c r="A3656" s="126">
        <v>45565.368949004631</v>
      </c>
      <c r="B3656" s="137" t="s">
        <v>37</v>
      </c>
      <c r="C3656" s="41" t="s">
        <v>118</v>
      </c>
      <c r="D3656" s="80" t="s">
        <v>36</v>
      </c>
      <c r="E3656" s="80" t="s">
        <v>39</v>
      </c>
      <c r="F3656" s="80" t="s">
        <v>36</v>
      </c>
      <c r="G3656" s="80" t="s">
        <v>41</v>
      </c>
      <c r="H3656" s="80" t="s">
        <v>13424</v>
      </c>
      <c r="I3656" s="17">
        <f ca="1">IFERROR(__xludf.DUMMYFUNCTION("""COMPUTED_VALUE"""),45572)</f>
        <v>45572</v>
      </c>
      <c r="J3656" s="143" t="s">
        <v>13593</v>
      </c>
      <c r="K3656" s="80" t="s">
        <v>13594</v>
      </c>
      <c r="L3656" s="30">
        <v>354700362</v>
      </c>
      <c r="M3656" s="80" t="s">
        <v>45</v>
      </c>
      <c r="N3656" s="80" t="s">
        <v>12895</v>
      </c>
      <c r="O3656" s="80" t="s">
        <v>13595</v>
      </c>
      <c r="P3656" s="80" t="s">
        <v>7743</v>
      </c>
      <c r="Q3656" s="20">
        <v>5736</v>
      </c>
      <c r="R3656" s="80" t="s">
        <v>36</v>
      </c>
      <c r="S3656" s="95">
        <v>5736</v>
      </c>
      <c r="T3656" s="148">
        <v>45558</v>
      </c>
      <c r="U3656" s="77"/>
      <c r="V3656" s="78"/>
      <c r="W3656" s="85" t="s">
        <v>13596</v>
      </c>
      <c r="X3656" s="80">
        <v>0</v>
      </c>
      <c r="Y3656" s="22">
        <v>0</v>
      </c>
      <c r="Z3656" s="80" t="s">
        <v>50</v>
      </c>
      <c r="AA3656" s="35" t="s">
        <v>3291</v>
      </c>
      <c r="AB3656" s="80"/>
      <c r="AC3656" s="80" t="s">
        <v>53</v>
      </c>
      <c r="AD3656" s="80" t="s">
        <v>138</v>
      </c>
      <c r="AE3656" s="83">
        <v>0</v>
      </c>
      <c r="AF3656" s="17">
        <v>45572</v>
      </c>
      <c r="AG3656" s="80" t="s">
        <v>13430</v>
      </c>
      <c r="AH3656" s="80"/>
      <c r="AI3656" s="147" t="s">
        <v>55</v>
      </c>
      <c r="AJ3656" s="80"/>
      <c r="AK3656" s="80"/>
      <c r="AL3656" s="35"/>
      <c r="AM3656" s="35"/>
      <c r="AN3656" s="35"/>
      <c r="AO3656" s="35"/>
      <c r="AP3656" s="35"/>
    </row>
    <row r="3657" spans="1:42" x14ac:dyDescent="0.2">
      <c r="A3657" s="126">
        <v>45565.386888483801</v>
      </c>
      <c r="B3657" s="137" t="s">
        <v>37</v>
      </c>
      <c r="C3657" s="41" t="s">
        <v>118</v>
      </c>
      <c r="D3657" s="80" t="s">
        <v>36</v>
      </c>
      <c r="E3657" s="80" t="s">
        <v>119</v>
      </c>
      <c r="F3657" s="80" t="s">
        <v>36</v>
      </c>
      <c r="G3657" s="80" t="s">
        <v>108</v>
      </c>
      <c r="H3657" s="80" t="s">
        <v>9768</v>
      </c>
      <c r="I3657" s="17">
        <f ca="1">IFERROR(__xludf.DUMMYFUNCTION("""COMPUTED_VALUE"""),45578)</f>
        <v>45578</v>
      </c>
      <c r="J3657" s="143" t="s">
        <v>13597</v>
      </c>
      <c r="K3657" s="80" t="s">
        <v>13598</v>
      </c>
      <c r="L3657" s="30">
        <v>983525083</v>
      </c>
      <c r="M3657" s="80" t="s">
        <v>3498</v>
      </c>
      <c r="N3657" s="80" t="s">
        <v>4402</v>
      </c>
      <c r="O3657" s="80" t="s">
        <v>4503</v>
      </c>
      <c r="P3657" s="80" t="s">
        <v>7649</v>
      </c>
      <c r="Q3657" s="20">
        <v>13968</v>
      </c>
      <c r="R3657" s="80" t="s">
        <v>36</v>
      </c>
      <c r="S3657" s="95">
        <v>13968</v>
      </c>
      <c r="T3657" s="148">
        <v>45561</v>
      </c>
      <c r="U3657" s="77"/>
      <c r="V3657" s="78"/>
      <c r="W3657" s="85" t="s">
        <v>13599</v>
      </c>
      <c r="X3657" s="80">
        <v>0</v>
      </c>
      <c r="Y3657" s="22">
        <v>0</v>
      </c>
      <c r="Z3657" s="80" t="s">
        <v>50</v>
      </c>
      <c r="AA3657" s="96" t="s">
        <v>3291</v>
      </c>
      <c r="AB3657" s="80"/>
      <c r="AC3657" s="80" t="s">
        <v>53</v>
      </c>
      <c r="AD3657" s="80" t="s">
        <v>138</v>
      </c>
      <c r="AE3657" s="80"/>
      <c r="AF3657" s="43">
        <v>45576</v>
      </c>
      <c r="AG3657" s="80" t="s">
        <v>12541</v>
      </c>
      <c r="AH3657" s="80"/>
      <c r="AI3657" s="147">
        <v>4</v>
      </c>
      <c r="AJ3657" s="80"/>
      <c r="AK3657" s="80"/>
      <c r="AL3657" s="35"/>
      <c r="AM3657" s="35"/>
      <c r="AN3657" s="35"/>
      <c r="AO3657" s="35"/>
      <c r="AP3657" s="35"/>
    </row>
    <row r="3658" spans="1:42" x14ac:dyDescent="0.2">
      <c r="A3658" s="126">
        <v>45565.477551064818</v>
      </c>
      <c r="B3658" s="137" t="s">
        <v>37</v>
      </c>
      <c r="C3658" s="41" t="s">
        <v>118</v>
      </c>
      <c r="D3658" s="80" t="s">
        <v>36</v>
      </c>
      <c r="E3658" s="80" t="s">
        <v>106</v>
      </c>
      <c r="F3658" s="80" t="s">
        <v>36</v>
      </c>
      <c r="G3658" s="80" t="s">
        <v>108</v>
      </c>
      <c r="H3658" s="80" t="s">
        <v>13600</v>
      </c>
      <c r="I3658" s="17">
        <f ca="1">IFERROR(__xludf.DUMMYFUNCTION("""COMPUTED_VALUE"""),45607)</f>
        <v>45607</v>
      </c>
      <c r="J3658" s="143" t="s">
        <v>13601</v>
      </c>
      <c r="K3658" s="80" t="s">
        <v>13602</v>
      </c>
      <c r="L3658" s="30">
        <v>877846709</v>
      </c>
      <c r="M3658" s="80" t="s">
        <v>45</v>
      </c>
      <c r="N3658" s="80" t="s">
        <v>12712</v>
      </c>
      <c r="O3658" s="80" t="s">
        <v>13603</v>
      </c>
      <c r="P3658" s="80" t="s">
        <v>7743</v>
      </c>
      <c r="Q3658" s="20">
        <v>3768</v>
      </c>
      <c r="R3658" s="80" t="s">
        <v>36</v>
      </c>
      <c r="S3658" s="95">
        <v>3768</v>
      </c>
      <c r="T3658" s="148">
        <v>45565</v>
      </c>
      <c r="U3658" s="77"/>
      <c r="V3658" s="78"/>
      <c r="W3658" s="79" t="s">
        <v>13604</v>
      </c>
      <c r="X3658" s="80">
        <v>0</v>
      </c>
      <c r="Y3658" s="22">
        <v>0</v>
      </c>
      <c r="Z3658" s="80" t="s">
        <v>50</v>
      </c>
      <c r="AA3658" s="35" t="s">
        <v>3291</v>
      </c>
      <c r="AB3658" s="80"/>
      <c r="AC3658" s="80" t="s">
        <v>53</v>
      </c>
      <c r="AD3658" s="80" t="s">
        <v>138</v>
      </c>
      <c r="AE3658" s="83">
        <v>350</v>
      </c>
      <c r="AF3658" s="43">
        <v>45607</v>
      </c>
      <c r="AG3658" s="80"/>
      <c r="AH3658" s="80"/>
      <c r="AI3658" s="147">
        <v>1</v>
      </c>
      <c r="AJ3658" s="80"/>
      <c r="AK3658" s="80"/>
      <c r="AL3658" s="35"/>
      <c r="AM3658" s="35"/>
      <c r="AN3658" s="35"/>
      <c r="AO3658" s="35"/>
      <c r="AP3658" s="35"/>
    </row>
    <row r="3659" spans="1:42" x14ac:dyDescent="0.2">
      <c r="A3659" s="38">
        <v>45565</v>
      </c>
      <c r="B3659" s="28" t="s">
        <v>37</v>
      </c>
      <c r="C3659" s="41" t="s">
        <v>118</v>
      </c>
      <c r="D3659" s="26" t="s">
        <v>36</v>
      </c>
      <c r="E3659" s="26" t="s">
        <v>119</v>
      </c>
      <c r="F3659" s="26" t="s">
        <v>9132</v>
      </c>
      <c r="G3659" s="26" t="s">
        <v>221</v>
      </c>
      <c r="H3659" s="26" t="s">
        <v>13605</v>
      </c>
      <c r="I3659" s="17">
        <f ca="1">IFERROR(__xludf.DUMMYFUNCTION("""COMPUTED_VALUE"""),45575)</f>
        <v>45575</v>
      </c>
      <c r="J3659" s="29" t="s">
        <v>9226</v>
      </c>
      <c r="K3659" s="26" t="s">
        <v>13606</v>
      </c>
      <c r="L3659" s="47">
        <v>325520965</v>
      </c>
      <c r="M3659" s="26" t="s">
        <v>5518</v>
      </c>
      <c r="N3659" s="26" t="s">
        <v>9186</v>
      </c>
      <c r="O3659" s="26" t="s">
        <v>9228</v>
      </c>
      <c r="P3659" s="42" t="s">
        <v>13607</v>
      </c>
      <c r="Q3659" s="20"/>
      <c r="R3659" s="26" t="s">
        <v>36</v>
      </c>
      <c r="S3659" s="95">
        <f>200+3800</f>
        <v>4000</v>
      </c>
      <c r="T3659" s="83" t="s">
        <v>9230</v>
      </c>
      <c r="U3659" s="95">
        <v>9968</v>
      </c>
      <c r="V3659" s="148">
        <v>45499</v>
      </c>
      <c r="W3659" s="33" t="s">
        <v>9231</v>
      </c>
      <c r="X3659" s="26"/>
      <c r="Y3659" s="22"/>
      <c r="Z3659" s="26" t="s">
        <v>50</v>
      </c>
      <c r="AA3659" s="70" t="s">
        <v>9070</v>
      </c>
      <c r="AB3659" s="26" t="s">
        <v>9232</v>
      </c>
      <c r="AC3659" s="26" t="s">
        <v>53</v>
      </c>
      <c r="AD3659" s="26" t="s">
        <v>54</v>
      </c>
      <c r="AE3659" s="26" t="s">
        <v>9132</v>
      </c>
      <c r="AF3659" s="17">
        <v>45572</v>
      </c>
      <c r="AG3659" s="26"/>
      <c r="AH3659" s="26"/>
      <c r="AI3659" s="40"/>
      <c r="AJ3659" s="26"/>
      <c r="AK3659" s="26"/>
      <c r="AL3659" s="35"/>
      <c r="AM3659" s="35"/>
      <c r="AN3659" s="35"/>
      <c r="AO3659" s="35"/>
      <c r="AP3659" s="35"/>
    </row>
    <row r="3660" spans="1:42" x14ac:dyDescent="0.2">
      <c r="A3660" s="38">
        <v>45565</v>
      </c>
      <c r="B3660" s="28" t="s">
        <v>37</v>
      </c>
      <c r="C3660" s="41" t="s">
        <v>118</v>
      </c>
      <c r="D3660" s="26" t="s">
        <v>36</v>
      </c>
      <c r="E3660" s="26" t="s">
        <v>139</v>
      </c>
      <c r="F3660" s="26" t="s">
        <v>9241</v>
      </c>
      <c r="G3660" s="26" t="s">
        <v>108</v>
      </c>
      <c r="H3660" s="26" t="s">
        <v>815</v>
      </c>
      <c r="I3660" s="17">
        <f ca="1">IFERROR(__xludf.DUMMYFUNCTION("""COMPUTED_VALUE"""),45579)</f>
        <v>45579</v>
      </c>
      <c r="J3660" s="29" t="s">
        <v>9242</v>
      </c>
      <c r="K3660" s="26" t="s">
        <v>13608</v>
      </c>
      <c r="L3660" s="30">
        <v>889363888</v>
      </c>
      <c r="M3660" s="26" t="s">
        <v>5429</v>
      </c>
      <c r="N3660" s="26" t="s">
        <v>9180</v>
      </c>
      <c r="O3660" s="26" t="s">
        <v>9244</v>
      </c>
      <c r="P3660" s="26" t="s">
        <v>9245</v>
      </c>
      <c r="Q3660" s="20"/>
      <c r="R3660" s="26" t="s">
        <v>36</v>
      </c>
      <c r="S3660" s="95">
        <f>2000+13936</f>
        <v>15936</v>
      </c>
      <c r="T3660" s="83" t="s">
        <v>9246</v>
      </c>
      <c r="U3660" s="31"/>
      <c r="V3660" s="32"/>
      <c r="W3660" s="33" t="s">
        <v>9247</v>
      </c>
      <c r="X3660" s="26"/>
      <c r="Y3660" s="22"/>
      <c r="Z3660" s="26" t="s">
        <v>50</v>
      </c>
      <c r="AA3660" s="70" t="s">
        <v>9070</v>
      </c>
      <c r="AB3660" s="26"/>
      <c r="AC3660" s="26" t="s">
        <v>53</v>
      </c>
      <c r="AD3660" s="26" t="s">
        <v>54</v>
      </c>
      <c r="AE3660" s="26" t="s">
        <v>9241</v>
      </c>
      <c r="AF3660" s="17">
        <v>45573</v>
      </c>
      <c r="AG3660" s="26"/>
      <c r="AH3660" s="26"/>
      <c r="AI3660" s="40"/>
      <c r="AJ3660" s="26"/>
      <c r="AK3660" s="26"/>
      <c r="AL3660" s="35"/>
      <c r="AM3660" s="35"/>
      <c r="AN3660" s="35"/>
      <c r="AO3660" s="35"/>
      <c r="AP3660" s="35"/>
    </row>
    <row r="3661" spans="1:42" x14ac:dyDescent="0.2">
      <c r="A3661" s="38">
        <v>45565</v>
      </c>
      <c r="B3661" s="28" t="s">
        <v>37</v>
      </c>
      <c r="C3661" s="41" t="s">
        <v>118</v>
      </c>
      <c r="D3661" s="26" t="s">
        <v>36</v>
      </c>
      <c r="E3661" s="26" t="s">
        <v>119</v>
      </c>
      <c r="F3661" s="26" t="s">
        <v>7365</v>
      </c>
      <c r="G3661" s="26" t="s">
        <v>221</v>
      </c>
      <c r="H3661" s="26" t="s">
        <v>13605</v>
      </c>
      <c r="I3661" s="17">
        <f ca="1">IFERROR(__xludf.DUMMYFUNCTION("""COMPUTED_VALUE"""),45575)</f>
        <v>45575</v>
      </c>
      <c r="J3661" s="29" t="s">
        <v>9072</v>
      </c>
      <c r="K3661" s="26" t="s">
        <v>9073</v>
      </c>
      <c r="L3661" s="30">
        <v>379376684</v>
      </c>
      <c r="M3661" s="26" t="s">
        <v>80</v>
      </c>
      <c r="N3661" s="26" t="s">
        <v>1073</v>
      </c>
      <c r="O3661" s="26" t="s">
        <v>9074</v>
      </c>
      <c r="P3661" s="42" t="s">
        <v>13609</v>
      </c>
      <c r="Q3661" s="20"/>
      <c r="R3661" s="26" t="s">
        <v>36</v>
      </c>
      <c r="S3661" s="95">
        <f>200+3800</f>
        <v>4000</v>
      </c>
      <c r="T3661" s="83" t="s">
        <v>9076</v>
      </c>
      <c r="U3661" s="31">
        <v>9968</v>
      </c>
      <c r="V3661" s="32">
        <v>45488</v>
      </c>
      <c r="W3661" s="26" t="s">
        <v>9077</v>
      </c>
      <c r="X3661" s="26"/>
      <c r="Y3661" s="22"/>
      <c r="Z3661" s="26" t="s">
        <v>50</v>
      </c>
      <c r="AA3661" s="70" t="s">
        <v>9070</v>
      </c>
      <c r="AB3661" s="26" t="s">
        <v>36</v>
      </c>
      <c r="AC3661" s="26" t="s">
        <v>53</v>
      </c>
      <c r="AD3661" s="26" t="s">
        <v>54</v>
      </c>
      <c r="AE3661" s="26" t="s">
        <v>7365</v>
      </c>
      <c r="AF3661" s="17">
        <v>45568</v>
      </c>
      <c r="AG3661" s="26"/>
      <c r="AH3661" s="26"/>
      <c r="AI3661" s="40"/>
      <c r="AJ3661" s="26"/>
      <c r="AK3661" s="26"/>
      <c r="AL3661" s="35"/>
      <c r="AM3661" s="35"/>
      <c r="AN3661" s="35"/>
      <c r="AO3661" s="35"/>
      <c r="AP3661" s="35"/>
    </row>
    <row r="3662" spans="1:42" x14ac:dyDescent="0.2">
      <c r="A3662" s="38">
        <v>45565</v>
      </c>
      <c r="B3662" s="28" t="s">
        <v>37</v>
      </c>
      <c r="C3662" s="41" t="s">
        <v>118</v>
      </c>
      <c r="D3662" s="80" t="s">
        <v>36</v>
      </c>
      <c r="E3662" s="80" t="s">
        <v>139</v>
      </c>
      <c r="F3662" s="80" t="s">
        <v>11211</v>
      </c>
      <c r="G3662" s="26" t="s">
        <v>108</v>
      </c>
      <c r="H3662" s="26" t="s">
        <v>815</v>
      </c>
      <c r="I3662" s="17">
        <f ca="1">IFERROR(__xludf.DUMMYFUNCTION("""COMPUTED_VALUE"""),45579)</f>
        <v>45579</v>
      </c>
      <c r="J3662" s="143" t="s">
        <v>11212</v>
      </c>
      <c r="K3662" s="80" t="s">
        <v>13610</v>
      </c>
      <c r="L3662" s="30">
        <v>865871518</v>
      </c>
      <c r="M3662" s="80" t="s">
        <v>1245</v>
      </c>
      <c r="N3662" s="80" t="s">
        <v>1246</v>
      </c>
      <c r="O3662" s="80" t="s">
        <v>11214</v>
      </c>
      <c r="P3662" s="144" t="s">
        <v>11215</v>
      </c>
      <c r="Q3662" s="20">
        <v>15936</v>
      </c>
      <c r="R3662" s="80" t="s">
        <v>36</v>
      </c>
      <c r="S3662" s="95">
        <v>2000</v>
      </c>
      <c r="T3662" s="148">
        <v>45507</v>
      </c>
      <c r="U3662" s="77">
        <v>13936</v>
      </c>
      <c r="V3662" s="78">
        <v>45534</v>
      </c>
      <c r="W3662" s="79" t="s">
        <v>11216</v>
      </c>
      <c r="X3662" s="80">
        <v>0</v>
      </c>
      <c r="Y3662" s="22">
        <v>0</v>
      </c>
      <c r="Z3662" s="80" t="s">
        <v>50</v>
      </c>
      <c r="AA3662" s="35" t="s">
        <v>10314</v>
      </c>
      <c r="AB3662" s="26" t="s">
        <v>36</v>
      </c>
      <c r="AC3662" s="80" t="s">
        <v>53</v>
      </c>
      <c r="AD3662" s="80" t="s">
        <v>54</v>
      </c>
      <c r="AE3662" s="80" t="s">
        <v>11211</v>
      </c>
      <c r="AF3662" s="17">
        <v>45573</v>
      </c>
      <c r="AG3662" s="80"/>
      <c r="AH3662" s="80"/>
      <c r="AI3662" s="147"/>
      <c r="AJ3662" s="80"/>
      <c r="AK3662" s="80"/>
      <c r="AL3662" s="35"/>
      <c r="AM3662" s="35"/>
      <c r="AN3662" s="35"/>
      <c r="AO3662" s="35"/>
      <c r="AP3662" s="35"/>
    </row>
    <row r="3663" spans="1:42" x14ac:dyDescent="0.2">
      <c r="A3663" s="38">
        <v>45565</v>
      </c>
      <c r="B3663" s="28" t="s">
        <v>37</v>
      </c>
      <c r="C3663" s="41" t="s">
        <v>118</v>
      </c>
      <c r="D3663" s="26" t="s">
        <v>36</v>
      </c>
      <c r="E3663" s="26" t="s">
        <v>139</v>
      </c>
      <c r="F3663" s="26" t="s">
        <v>9565</v>
      </c>
      <c r="G3663" s="26" t="s">
        <v>108</v>
      </c>
      <c r="H3663" s="26" t="s">
        <v>815</v>
      </c>
      <c r="I3663" s="17">
        <f ca="1">IFERROR(__xludf.DUMMYFUNCTION("""COMPUTED_VALUE"""),45579)</f>
        <v>45579</v>
      </c>
      <c r="J3663" s="29" t="s">
        <v>9632</v>
      </c>
      <c r="K3663" s="26" t="s">
        <v>13611</v>
      </c>
      <c r="L3663" s="30">
        <v>918689257</v>
      </c>
      <c r="M3663" s="26" t="s">
        <v>9422</v>
      </c>
      <c r="N3663" s="26" t="s">
        <v>5574</v>
      </c>
      <c r="O3663" s="26" t="s">
        <v>9634</v>
      </c>
      <c r="P3663" s="42" t="s">
        <v>13612</v>
      </c>
      <c r="Q3663" s="20"/>
      <c r="R3663" s="26" t="s">
        <v>36</v>
      </c>
      <c r="S3663" s="95">
        <f>500+15436</f>
        <v>15936</v>
      </c>
      <c r="T3663" s="83" t="s">
        <v>9636</v>
      </c>
      <c r="U3663" s="31"/>
      <c r="V3663" s="32"/>
      <c r="W3663" s="33" t="s">
        <v>9637</v>
      </c>
      <c r="X3663" s="26"/>
      <c r="Y3663" s="22"/>
      <c r="Z3663" s="26" t="s">
        <v>50</v>
      </c>
      <c r="AA3663" s="70" t="s">
        <v>9070</v>
      </c>
      <c r="AB3663" s="26"/>
      <c r="AC3663" s="26" t="s">
        <v>53</v>
      </c>
      <c r="AD3663" s="26" t="s">
        <v>54</v>
      </c>
      <c r="AE3663" s="26" t="s">
        <v>9565</v>
      </c>
      <c r="AF3663" s="17">
        <v>45573</v>
      </c>
      <c r="AG3663" s="26"/>
      <c r="AH3663" s="26"/>
      <c r="AI3663" s="40"/>
      <c r="AJ3663" s="26"/>
      <c r="AK3663" s="26"/>
      <c r="AL3663" s="35"/>
      <c r="AM3663" s="35"/>
      <c r="AN3663" s="35"/>
      <c r="AO3663" s="35"/>
      <c r="AP3663" s="35"/>
    </row>
    <row r="3664" spans="1:42" x14ac:dyDescent="0.2">
      <c r="A3664" s="38">
        <v>45565</v>
      </c>
      <c r="B3664" s="28" t="s">
        <v>37</v>
      </c>
      <c r="C3664" s="41" t="s">
        <v>118</v>
      </c>
      <c r="D3664" s="80" t="s">
        <v>36</v>
      </c>
      <c r="E3664" s="80" t="s">
        <v>139</v>
      </c>
      <c r="F3664" s="80" t="s">
        <v>9682</v>
      </c>
      <c r="G3664" s="26" t="s">
        <v>108</v>
      </c>
      <c r="H3664" s="26" t="s">
        <v>815</v>
      </c>
      <c r="I3664" s="17">
        <f ca="1">IFERROR(__xludf.DUMMYFUNCTION("""COMPUTED_VALUE"""),45579)</f>
        <v>45579</v>
      </c>
      <c r="J3664" s="143" t="s">
        <v>12028</v>
      </c>
      <c r="K3664" s="80" t="s">
        <v>13613</v>
      </c>
      <c r="L3664" s="30">
        <v>868298336</v>
      </c>
      <c r="M3664" s="80" t="s">
        <v>5518</v>
      </c>
      <c r="N3664" s="80" t="s">
        <v>10698</v>
      </c>
      <c r="O3664" s="80" t="s">
        <v>12030</v>
      </c>
      <c r="P3664" s="144" t="s">
        <v>13614</v>
      </c>
      <c r="Q3664" s="20">
        <v>15936</v>
      </c>
      <c r="R3664" s="80" t="s">
        <v>36</v>
      </c>
      <c r="S3664" s="95">
        <v>2000</v>
      </c>
      <c r="T3664" s="148">
        <v>45498</v>
      </c>
      <c r="U3664" s="77">
        <v>13936</v>
      </c>
      <c r="V3664" s="78">
        <v>45537</v>
      </c>
      <c r="W3664" s="85" t="s">
        <v>12032</v>
      </c>
      <c r="X3664" s="80">
        <v>0</v>
      </c>
      <c r="Y3664" s="22">
        <v>0</v>
      </c>
      <c r="Z3664" s="80" t="s">
        <v>50</v>
      </c>
      <c r="AA3664" s="86"/>
      <c r="AB3664" s="80"/>
      <c r="AC3664" s="80" t="s">
        <v>53</v>
      </c>
      <c r="AD3664" s="80" t="s">
        <v>54</v>
      </c>
      <c r="AE3664" s="80" t="s">
        <v>9682</v>
      </c>
      <c r="AF3664" s="17">
        <v>45573</v>
      </c>
      <c r="AG3664" s="80"/>
      <c r="AH3664" s="80"/>
      <c r="AI3664" s="147" t="s">
        <v>147</v>
      </c>
      <c r="AJ3664" s="80"/>
      <c r="AK3664" s="80"/>
      <c r="AL3664" s="35"/>
      <c r="AM3664" s="35"/>
      <c r="AN3664" s="35"/>
      <c r="AO3664" s="35"/>
      <c r="AP3664" s="35"/>
    </row>
    <row r="3665" spans="1:42" x14ac:dyDescent="0.2">
      <c r="A3665" s="38">
        <v>45565</v>
      </c>
      <c r="B3665" s="137" t="s">
        <v>37</v>
      </c>
      <c r="C3665" s="41" t="s">
        <v>118</v>
      </c>
      <c r="D3665" s="26" t="s">
        <v>36</v>
      </c>
      <c r="E3665" s="26" t="s">
        <v>139</v>
      </c>
      <c r="F3665" s="26" t="s">
        <v>10304</v>
      </c>
      <c r="G3665" s="26" t="s">
        <v>108</v>
      </c>
      <c r="H3665" s="26" t="s">
        <v>12982</v>
      </c>
      <c r="I3665" s="17">
        <f ca="1">IFERROR(__xludf.DUMMYFUNCTION("""COMPUTED_VALUE"""),45670)</f>
        <v>45670</v>
      </c>
      <c r="J3665" s="29" t="s">
        <v>10897</v>
      </c>
      <c r="K3665" s="26" t="s">
        <v>13615</v>
      </c>
      <c r="L3665" s="30">
        <v>969640616</v>
      </c>
      <c r="M3665" s="26" t="s">
        <v>910</v>
      </c>
      <c r="N3665" s="26" t="s">
        <v>3525</v>
      </c>
      <c r="O3665" s="26" t="s">
        <v>10899</v>
      </c>
      <c r="P3665" s="42" t="s">
        <v>13616</v>
      </c>
      <c r="Q3665" s="20">
        <v>15936</v>
      </c>
      <c r="R3665" s="26" t="s">
        <v>36</v>
      </c>
      <c r="S3665" s="95">
        <v>2000</v>
      </c>
      <c r="T3665" s="148">
        <v>45493</v>
      </c>
      <c r="U3665" s="95">
        <v>13936</v>
      </c>
      <c r="V3665" s="148">
        <v>45529</v>
      </c>
      <c r="W3665" s="33" t="s">
        <v>10901</v>
      </c>
      <c r="X3665" s="26">
        <v>0</v>
      </c>
      <c r="Y3665" s="22">
        <v>0</v>
      </c>
      <c r="Z3665" s="26" t="s">
        <v>50</v>
      </c>
      <c r="AA3665" s="96" t="s">
        <v>10314</v>
      </c>
      <c r="AB3665" s="26"/>
      <c r="AC3665" s="26" t="s">
        <v>53</v>
      </c>
      <c r="AD3665" s="26" t="s">
        <v>54</v>
      </c>
      <c r="AE3665" s="26" t="s">
        <v>10304</v>
      </c>
      <c r="AF3665" s="17">
        <v>45572</v>
      </c>
      <c r="AG3665" s="26"/>
      <c r="AH3665" s="26"/>
      <c r="AI3665" s="40"/>
      <c r="AJ3665" s="26"/>
      <c r="AK3665" s="26"/>
      <c r="AL3665" s="35"/>
      <c r="AM3665" s="35"/>
      <c r="AN3665" s="35"/>
      <c r="AO3665" s="35"/>
      <c r="AP3665" s="35"/>
    </row>
    <row r="3666" spans="1:42" x14ac:dyDescent="0.2">
      <c r="A3666" s="38">
        <v>45565</v>
      </c>
      <c r="B3666" s="137" t="s">
        <v>37</v>
      </c>
      <c r="C3666" s="41" t="s">
        <v>118</v>
      </c>
      <c r="D3666" s="80" t="s">
        <v>36</v>
      </c>
      <c r="E3666" s="80" t="s">
        <v>139</v>
      </c>
      <c r="F3666" s="26" t="s">
        <v>10304</v>
      </c>
      <c r="G3666" s="26" t="s">
        <v>108</v>
      </c>
      <c r="H3666" s="26" t="s">
        <v>13126</v>
      </c>
      <c r="I3666" s="17">
        <f ca="1">IFERROR(__xludf.DUMMYFUNCTION("""COMPUTED_VALUE"""),45576)</f>
        <v>45576</v>
      </c>
      <c r="J3666" s="143" t="s">
        <v>11022</v>
      </c>
      <c r="K3666" s="80" t="s">
        <v>13617</v>
      </c>
      <c r="L3666" s="30">
        <v>917162006</v>
      </c>
      <c r="M3666" s="80" t="s">
        <v>80</v>
      </c>
      <c r="N3666" s="80" t="s">
        <v>1073</v>
      </c>
      <c r="O3666" s="80" t="s">
        <v>11024</v>
      </c>
      <c r="P3666" s="144" t="s">
        <v>13618</v>
      </c>
      <c r="Q3666" s="20">
        <v>15936</v>
      </c>
      <c r="R3666" s="80" t="s">
        <v>36</v>
      </c>
      <c r="S3666" s="95">
        <f>200+1800</f>
        <v>2000</v>
      </c>
      <c r="T3666" s="83" t="s">
        <v>11026</v>
      </c>
      <c r="U3666" s="95">
        <v>13968</v>
      </c>
      <c r="V3666" s="148">
        <v>45525</v>
      </c>
      <c r="W3666" s="85" t="s">
        <v>11027</v>
      </c>
      <c r="X3666" s="80">
        <v>0</v>
      </c>
      <c r="Y3666" s="22">
        <v>-32</v>
      </c>
      <c r="Z3666" s="80" t="s">
        <v>50</v>
      </c>
      <c r="AA3666" s="35" t="s">
        <v>10314</v>
      </c>
      <c r="AB3666" s="80"/>
      <c r="AC3666" s="80" t="s">
        <v>53</v>
      </c>
      <c r="AD3666" s="80" t="s">
        <v>54</v>
      </c>
      <c r="AE3666" s="26" t="s">
        <v>10304</v>
      </c>
      <c r="AF3666" s="17">
        <v>45572</v>
      </c>
      <c r="AG3666" s="80"/>
      <c r="AH3666" s="80"/>
      <c r="AI3666" s="147"/>
      <c r="AJ3666" s="80"/>
      <c r="AK3666" s="80"/>
      <c r="AL3666" s="35"/>
      <c r="AM3666" s="35"/>
      <c r="AN3666" s="35"/>
      <c r="AO3666" s="35"/>
      <c r="AP3666" s="35"/>
    </row>
    <row r="3667" spans="1:42" x14ac:dyDescent="0.2">
      <c r="A3667" s="38">
        <v>45565</v>
      </c>
      <c r="B3667" s="28" t="s">
        <v>37</v>
      </c>
      <c r="C3667" s="41" t="s">
        <v>118</v>
      </c>
      <c r="D3667" s="80" t="s">
        <v>36</v>
      </c>
      <c r="E3667" s="80" t="s">
        <v>139</v>
      </c>
      <c r="F3667" s="80" t="s">
        <v>11151</v>
      </c>
      <c r="G3667" s="26" t="s">
        <v>108</v>
      </c>
      <c r="H3667" s="26" t="s">
        <v>815</v>
      </c>
      <c r="I3667" s="17">
        <f ca="1">IFERROR(__xludf.DUMMYFUNCTION("""COMPUTED_VALUE"""),45579)</f>
        <v>45579</v>
      </c>
      <c r="J3667" s="143" t="s">
        <v>12083</v>
      </c>
      <c r="K3667" s="80" t="s">
        <v>13619</v>
      </c>
      <c r="L3667" s="30">
        <v>902090625</v>
      </c>
      <c r="M3667" s="80" t="s">
        <v>80</v>
      </c>
      <c r="N3667" s="80" t="s">
        <v>466</v>
      </c>
      <c r="O3667" s="80" t="s">
        <v>12085</v>
      </c>
      <c r="P3667" s="144" t="s">
        <v>13620</v>
      </c>
      <c r="Q3667" s="20">
        <v>15936</v>
      </c>
      <c r="R3667" s="80" t="s">
        <v>36</v>
      </c>
      <c r="S3667" s="77">
        <v>2000</v>
      </c>
      <c r="T3667" s="80" t="s">
        <v>11209</v>
      </c>
      <c r="U3667" s="77">
        <v>13968</v>
      </c>
      <c r="V3667" s="78">
        <v>45537</v>
      </c>
      <c r="W3667" s="80" t="s">
        <v>12087</v>
      </c>
      <c r="X3667" s="86">
        <v>0</v>
      </c>
      <c r="Y3667" s="22">
        <v>-32</v>
      </c>
      <c r="Z3667" s="80" t="s">
        <v>50</v>
      </c>
      <c r="AA3667" s="82" t="s">
        <v>3291</v>
      </c>
      <c r="AB3667" s="80"/>
      <c r="AC3667" s="80" t="s">
        <v>53</v>
      </c>
      <c r="AD3667" s="80" t="s">
        <v>54</v>
      </c>
      <c r="AE3667" s="80" t="s">
        <v>11151</v>
      </c>
      <c r="AF3667" s="17">
        <v>45573</v>
      </c>
      <c r="AG3667" s="80"/>
      <c r="AH3667" s="80"/>
      <c r="AI3667" s="147" t="s">
        <v>147</v>
      </c>
      <c r="AJ3667" s="80"/>
      <c r="AK3667" s="80"/>
      <c r="AL3667" s="35"/>
      <c r="AM3667" s="35"/>
      <c r="AN3667" s="35"/>
      <c r="AO3667" s="35"/>
      <c r="AP3667" s="35"/>
    </row>
    <row r="3668" spans="1:42" x14ac:dyDescent="0.2">
      <c r="A3668" s="38">
        <v>45565</v>
      </c>
      <c r="B3668" s="28" t="s">
        <v>37</v>
      </c>
      <c r="C3668" s="41" t="s">
        <v>118</v>
      </c>
      <c r="D3668" s="80" t="s">
        <v>36</v>
      </c>
      <c r="E3668" s="80" t="s">
        <v>139</v>
      </c>
      <c r="F3668" s="80" t="s">
        <v>11151</v>
      </c>
      <c r="G3668" s="26" t="s">
        <v>108</v>
      </c>
      <c r="H3668" s="26" t="s">
        <v>815</v>
      </c>
      <c r="I3668" s="17">
        <f ca="1">IFERROR(__xludf.DUMMYFUNCTION("""COMPUTED_VALUE"""),45579)</f>
        <v>45579</v>
      </c>
      <c r="J3668" s="143" t="s">
        <v>12073</v>
      </c>
      <c r="K3668" s="80" t="s">
        <v>12074</v>
      </c>
      <c r="L3668" s="113">
        <v>867298589</v>
      </c>
      <c r="M3668" s="80" t="s">
        <v>5558</v>
      </c>
      <c r="N3668" s="80" t="s">
        <v>5559</v>
      </c>
      <c r="O3668" s="80" t="s">
        <v>4503</v>
      </c>
      <c r="P3668" s="144" t="s">
        <v>13621</v>
      </c>
      <c r="Q3668" s="20">
        <v>15936</v>
      </c>
      <c r="R3668" s="80" t="s">
        <v>36</v>
      </c>
      <c r="S3668" s="95">
        <v>5000</v>
      </c>
      <c r="T3668" s="148">
        <v>45504</v>
      </c>
      <c r="U3668" s="95">
        <v>10936</v>
      </c>
      <c r="V3668" s="148">
        <v>45544</v>
      </c>
      <c r="W3668" s="85" t="s">
        <v>12076</v>
      </c>
      <c r="X3668" s="80">
        <v>0</v>
      </c>
      <c r="Y3668" s="22">
        <v>0</v>
      </c>
      <c r="Z3668" s="80" t="s">
        <v>50</v>
      </c>
      <c r="AA3668" s="86"/>
      <c r="AB3668" s="80"/>
      <c r="AC3668" s="80" t="s">
        <v>53</v>
      </c>
      <c r="AD3668" s="80" t="s">
        <v>54</v>
      </c>
      <c r="AE3668" s="80" t="s">
        <v>11151</v>
      </c>
      <c r="AF3668" s="17">
        <v>45575</v>
      </c>
      <c r="AG3668" s="80" t="s">
        <v>13622</v>
      </c>
      <c r="AH3668" s="80"/>
      <c r="AI3668" s="147" t="s">
        <v>147</v>
      </c>
      <c r="AJ3668" s="80"/>
      <c r="AK3668" s="80"/>
      <c r="AL3668" s="35"/>
      <c r="AM3668" s="35"/>
      <c r="AN3668" s="35"/>
      <c r="AO3668" s="35"/>
      <c r="AP3668" s="35"/>
    </row>
    <row r="3669" spans="1:42" x14ac:dyDescent="0.2">
      <c r="A3669" s="38">
        <v>45565</v>
      </c>
      <c r="B3669" s="28" t="s">
        <v>37</v>
      </c>
      <c r="C3669" s="41" t="s">
        <v>118</v>
      </c>
      <c r="D3669" s="26" t="s">
        <v>36</v>
      </c>
      <c r="E3669" s="26" t="s">
        <v>56</v>
      </c>
      <c r="F3669" s="26" t="s">
        <v>9547</v>
      </c>
      <c r="G3669" s="26" t="s">
        <v>108</v>
      </c>
      <c r="H3669" s="26" t="s">
        <v>9900</v>
      </c>
      <c r="I3669" s="17">
        <f ca="1">IFERROR(__xludf.DUMMYFUNCTION("""COMPUTED_VALUE"""),45578)</f>
        <v>45578</v>
      </c>
      <c r="J3669" s="29" t="s">
        <v>10783</v>
      </c>
      <c r="K3669" s="26" t="s">
        <v>10784</v>
      </c>
      <c r="L3669" s="30">
        <v>393704389</v>
      </c>
      <c r="M3669" s="26" t="s">
        <v>3728</v>
      </c>
      <c r="N3669" s="26" t="s">
        <v>5312</v>
      </c>
      <c r="O3669" s="26" t="s">
        <v>10785</v>
      </c>
      <c r="P3669" s="42" t="s">
        <v>13623</v>
      </c>
      <c r="Q3669" s="20">
        <v>9317</v>
      </c>
      <c r="R3669" s="26" t="s">
        <v>36</v>
      </c>
      <c r="S3669" s="95">
        <f t="shared" ref="S3669:S3670" si="52">200+1800</f>
        <v>2000</v>
      </c>
      <c r="T3669" s="83" t="s">
        <v>10787</v>
      </c>
      <c r="U3669" s="95">
        <v>7317</v>
      </c>
      <c r="V3669" s="148">
        <v>45531</v>
      </c>
      <c r="W3669" s="33" t="s">
        <v>10788</v>
      </c>
      <c r="X3669" s="26">
        <v>0</v>
      </c>
      <c r="Y3669" s="22">
        <v>0</v>
      </c>
      <c r="Z3669" s="26" t="s">
        <v>50</v>
      </c>
      <c r="AA3669" s="96" t="s">
        <v>10314</v>
      </c>
      <c r="AB3669" s="26"/>
      <c r="AC3669" s="26" t="s">
        <v>53</v>
      </c>
      <c r="AD3669" s="26" t="s">
        <v>54</v>
      </c>
      <c r="AE3669" s="26" t="s">
        <v>9547</v>
      </c>
      <c r="AF3669" s="17">
        <v>45572</v>
      </c>
      <c r="AG3669" s="26" t="s">
        <v>7078</v>
      </c>
      <c r="AH3669" s="26"/>
      <c r="AI3669" s="40"/>
      <c r="AJ3669" s="26"/>
      <c r="AK3669" s="26"/>
      <c r="AL3669" s="35"/>
      <c r="AM3669" s="35"/>
      <c r="AN3669" s="35"/>
      <c r="AO3669" s="35"/>
      <c r="AP3669" s="35"/>
    </row>
    <row r="3670" spans="1:42" x14ac:dyDescent="0.2">
      <c r="A3670" s="38">
        <v>45565</v>
      </c>
      <c r="B3670" s="28" t="s">
        <v>37</v>
      </c>
      <c r="C3670" s="41" t="s">
        <v>118</v>
      </c>
      <c r="D3670" s="26" t="s">
        <v>36</v>
      </c>
      <c r="E3670" s="26" t="s">
        <v>139</v>
      </c>
      <c r="F3670" s="26" t="s">
        <v>9565</v>
      </c>
      <c r="G3670" s="26" t="s">
        <v>108</v>
      </c>
      <c r="H3670" s="26" t="s">
        <v>9900</v>
      </c>
      <c r="I3670" s="17">
        <f ca="1">IFERROR(__xludf.DUMMYFUNCTION("""COMPUTED_VALUE"""),45578)</f>
        <v>45578</v>
      </c>
      <c r="J3670" s="29" t="s">
        <v>10866</v>
      </c>
      <c r="K3670" s="26" t="s">
        <v>13624</v>
      </c>
      <c r="L3670" s="30">
        <v>379952076</v>
      </c>
      <c r="M3670" s="26" t="s">
        <v>80</v>
      </c>
      <c r="N3670" s="26" t="s">
        <v>466</v>
      </c>
      <c r="O3670" s="26" t="s">
        <v>10868</v>
      </c>
      <c r="P3670" s="42" t="s">
        <v>13625</v>
      </c>
      <c r="Q3670" s="20">
        <v>15936</v>
      </c>
      <c r="R3670" s="26" t="s">
        <v>36</v>
      </c>
      <c r="S3670" s="95">
        <f t="shared" si="52"/>
        <v>2000</v>
      </c>
      <c r="T3670" s="83" t="s">
        <v>10870</v>
      </c>
      <c r="U3670" s="95">
        <v>13936</v>
      </c>
      <c r="V3670" s="148">
        <v>45531</v>
      </c>
      <c r="W3670" s="33" t="s">
        <v>10871</v>
      </c>
      <c r="X3670" s="26">
        <v>0</v>
      </c>
      <c r="Y3670" s="22">
        <v>0</v>
      </c>
      <c r="Z3670" s="26" t="s">
        <v>50</v>
      </c>
      <c r="AA3670" s="35" t="s">
        <v>10314</v>
      </c>
      <c r="AB3670" s="26"/>
      <c r="AC3670" s="26" t="s">
        <v>53</v>
      </c>
      <c r="AD3670" s="26" t="s">
        <v>54</v>
      </c>
      <c r="AE3670" s="26" t="s">
        <v>9547</v>
      </c>
      <c r="AF3670" s="17">
        <v>45572</v>
      </c>
      <c r="AG3670" s="26"/>
      <c r="AH3670" s="26"/>
      <c r="AI3670" s="40"/>
      <c r="AJ3670" s="26"/>
      <c r="AK3670" s="26"/>
      <c r="AL3670" s="35"/>
      <c r="AM3670" s="35"/>
      <c r="AN3670" s="35"/>
      <c r="AO3670" s="35"/>
      <c r="AP3670" s="35"/>
    </row>
    <row r="3671" spans="1:42" x14ac:dyDescent="0.2">
      <c r="A3671" s="38">
        <v>45565</v>
      </c>
      <c r="B3671" s="28" t="s">
        <v>37</v>
      </c>
      <c r="C3671" s="41" t="s">
        <v>118</v>
      </c>
      <c r="D3671" s="26" t="s">
        <v>36</v>
      </c>
      <c r="E3671" s="26" t="s">
        <v>139</v>
      </c>
      <c r="F3671" s="26" t="s">
        <v>10304</v>
      </c>
      <c r="G3671" s="26" t="s">
        <v>108</v>
      </c>
      <c r="H3671" s="26" t="s">
        <v>8541</v>
      </c>
      <c r="I3671" s="17">
        <f ca="1">IFERROR(__xludf.DUMMYFUNCTION("""COMPUTED_VALUE"""),45595)</f>
        <v>45595</v>
      </c>
      <c r="J3671" s="29" t="s">
        <v>10945</v>
      </c>
      <c r="K3671" s="26" t="s">
        <v>10946</v>
      </c>
      <c r="L3671" s="30">
        <v>343462274</v>
      </c>
      <c r="M3671" s="26" t="s">
        <v>59</v>
      </c>
      <c r="N3671" s="26" t="s">
        <v>10947</v>
      </c>
      <c r="O3671" s="26" t="s">
        <v>10948</v>
      </c>
      <c r="P3671" s="26" t="s">
        <v>10948</v>
      </c>
      <c r="Q3671" s="20">
        <v>15936</v>
      </c>
      <c r="R3671" s="26" t="s">
        <v>36</v>
      </c>
      <c r="S3671" s="95">
        <v>2000</v>
      </c>
      <c r="T3671" s="148">
        <v>45492</v>
      </c>
      <c r="U3671" s="95">
        <v>13936</v>
      </c>
      <c r="V3671" s="148">
        <v>45532</v>
      </c>
      <c r="W3671" s="33" t="s">
        <v>10949</v>
      </c>
      <c r="X3671" s="26">
        <v>0</v>
      </c>
      <c r="Y3671" s="22">
        <v>0</v>
      </c>
      <c r="Z3671" s="26" t="s">
        <v>50</v>
      </c>
      <c r="AA3671" s="96" t="s">
        <v>10314</v>
      </c>
      <c r="AB3671" s="26"/>
      <c r="AC3671" s="26" t="s">
        <v>53</v>
      </c>
      <c r="AD3671" s="26" t="s">
        <v>54</v>
      </c>
      <c r="AE3671" s="26" t="s">
        <v>10304</v>
      </c>
      <c r="AF3671" s="17">
        <v>45595</v>
      </c>
      <c r="AG3671" s="26"/>
      <c r="AH3671" s="26"/>
      <c r="AI3671" s="40"/>
      <c r="AJ3671" s="26"/>
      <c r="AK3671" s="26"/>
      <c r="AL3671" s="35"/>
      <c r="AM3671" s="35"/>
      <c r="AN3671" s="35"/>
      <c r="AO3671" s="35"/>
      <c r="AP3671" s="35"/>
    </row>
    <row r="3672" spans="1:42" x14ac:dyDescent="0.2">
      <c r="A3672" s="38">
        <v>45565</v>
      </c>
      <c r="B3672" s="28" t="s">
        <v>37</v>
      </c>
      <c r="C3672" s="41" t="s">
        <v>118</v>
      </c>
      <c r="D3672" s="80" t="s">
        <v>36</v>
      </c>
      <c r="E3672" s="80" t="s">
        <v>139</v>
      </c>
      <c r="F3672" s="80" t="s">
        <v>10444</v>
      </c>
      <c r="G3672" s="26" t="s">
        <v>108</v>
      </c>
      <c r="H3672" s="26" t="s">
        <v>9900</v>
      </c>
      <c r="I3672" s="17">
        <f ca="1">IFERROR(__xludf.DUMMYFUNCTION("""COMPUTED_VALUE"""),45578)</f>
        <v>45578</v>
      </c>
      <c r="J3672" s="143" t="s">
        <v>11222</v>
      </c>
      <c r="K3672" s="80" t="s">
        <v>13626</v>
      </c>
      <c r="L3672" s="30">
        <v>776369392</v>
      </c>
      <c r="M3672" s="80" t="s">
        <v>3728</v>
      </c>
      <c r="N3672" s="80" t="s">
        <v>5277</v>
      </c>
      <c r="O3672" s="80" t="s">
        <v>11224</v>
      </c>
      <c r="P3672" s="144" t="s">
        <v>13627</v>
      </c>
      <c r="Q3672" s="20">
        <v>15936</v>
      </c>
      <c r="R3672" s="80" t="s">
        <v>36</v>
      </c>
      <c r="S3672" s="95">
        <v>2000</v>
      </c>
      <c r="T3672" s="148">
        <v>45508</v>
      </c>
      <c r="U3672" s="95">
        <v>13936</v>
      </c>
      <c r="V3672" s="148">
        <v>45535</v>
      </c>
      <c r="W3672" s="85" t="s">
        <v>11226</v>
      </c>
      <c r="X3672" s="80">
        <v>0</v>
      </c>
      <c r="Y3672" s="22">
        <v>0</v>
      </c>
      <c r="Z3672" s="80" t="s">
        <v>50</v>
      </c>
      <c r="AA3672" s="35" t="s">
        <v>10314</v>
      </c>
      <c r="AB3672" s="80"/>
      <c r="AC3672" s="80" t="s">
        <v>53</v>
      </c>
      <c r="AD3672" s="80" t="s">
        <v>54</v>
      </c>
      <c r="AE3672" s="80" t="s">
        <v>10444</v>
      </c>
      <c r="AF3672" s="17">
        <v>45572</v>
      </c>
      <c r="AG3672" s="80"/>
      <c r="AH3672" s="80"/>
      <c r="AI3672" s="147"/>
      <c r="AJ3672" s="80"/>
      <c r="AK3672" s="80"/>
      <c r="AL3672" s="35"/>
      <c r="AM3672" s="35"/>
      <c r="AN3672" s="35"/>
      <c r="AO3672" s="35"/>
      <c r="AP3672" s="35"/>
    </row>
    <row r="3673" spans="1:42" x14ac:dyDescent="0.2">
      <c r="A3673" s="38">
        <v>45565</v>
      </c>
      <c r="B3673" s="28" t="s">
        <v>37</v>
      </c>
      <c r="C3673" s="41" t="s">
        <v>118</v>
      </c>
      <c r="D3673" s="80" t="s">
        <v>36</v>
      </c>
      <c r="E3673" s="80" t="s">
        <v>39</v>
      </c>
      <c r="F3673" s="80" t="s">
        <v>7330</v>
      </c>
      <c r="G3673" s="26" t="s">
        <v>108</v>
      </c>
      <c r="H3673" s="80" t="s">
        <v>11808</v>
      </c>
      <c r="I3673" s="17">
        <f ca="1">IFERROR(__xludf.DUMMYFUNCTION("""COMPUTED_VALUE"""),45579)</f>
        <v>45579</v>
      </c>
      <c r="J3673" s="143" t="s">
        <v>9542</v>
      </c>
      <c r="K3673" s="80" t="s">
        <v>9543</v>
      </c>
      <c r="L3673" s="30">
        <v>911944053</v>
      </c>
      <c r="M3673" s="80" t="s">
        <v>6309</v>
      </c>
      <c r="N3673" s="80" t="s">
        <v>9544</v>
      </c>
      <c r="O3673" s="80" t="s">
        <v>8827</v>
      </c>
      <c r="P3673" s="80" t="s">
        <v>9545</v>
      </c>
      <c r="Q3673" s="20"/>
      <c r="R3673" s="80" t="s">
        <v>36</v>
      </c>
      <c r="S3673" s="95">
        <f>5317+419</f>
        <v>5736</v>
      </c>
      <c r="T3673" s="148">
        <v>45491</v>
      </c>
      <c r="U3673" s="77"/>
      <c r="V3673" s="78"/>
      <c r="W3673" s="85" t="s">
        <v>9546</v>
      </c>
      <c r="X3673" s="80"/>
      <c r="Y3673" s="22"/>
      <c r="Z3673" s="81" t="s">
        <v>50</v>
      </c>
      <c r="AA3673" s="82" t="s">
        <v>9070</v>
      </c>
      <c r="AB3673" s="80"/>
      <c r="AC3673" s="80" t="s">
        <v>53</v>
      </c>
      <c r="AD3673" s="80" t="s">
        <v>138</v>
      </c>
      <c r="AE3673" s="80" t="s">
        <v>7330</v>
      </c>
      <c r="AF3673" s="17">
        <v>45579</v>
      </c>
      <c r="AG3673" s="80"/>
      <c r="AH3673" s="80"/>
      <c r="AI3673" s="147"/>
      <c r="AJ3673" s="80"/>
      <c r="AK3673" s="80"/>
      <c r="AL3673" s="86"/>
      <c r="AM3673" s="86"/>
      <c r="AN3673" s="86"/>
      <c r="AO3673" s="86"/>
      <c r="AP3673" s="35"/>
    </row>
    <row r="3674" spans="1:42" x14ac:dyDescent="0.2">
      <c r="A3674" s="38">
        <v>45565</v>
      </c>
      <c r="B3674" s="28" t="s">
        <v>37</v>
      </c>
      <c r="C3674" s="41" t="s">
        <v>118</v>
      </c>
      <c r="D3674" s="26" t="s">
        <v>36</v>
      </c>
      <c r="E3674" s="26" t="s">
        <v>139</v>
      </c>
      <c r="F3674" s="80" t="s">
        <v>7330</v>
      </c>
      <c r="G3674" s="26" t="s">
        <v>108</v>
      </c>
      <c r="H3674" s="80" t="s">
        <v>11808</v>
      </c>
      <c r="I3674" s="17">
        <f ca="1">IFERROR(__xludf.DUMMYFUNCTION("""COMPUTED_VALUE"""),45579)</f>
        <v>45579</v>
      </c>
      <c r="J3674" s="29" t="s">
        <v>11989</v>
      </c>
      <c r="K3674" s="26" t="s">
        <v>11990</v>
      </c>
      <c r="L3674" s="30">
        <v>357014423</v>
      </c>
      <c r="M3674" s="26" t="s">
        <v>5558</v>
      </c>
      <c r="N3674" s="26" t="s">
        <v>5559</v>
      </c>
      <c r="O3674" s="26" t="s">
        <v>4503</v>
      </c>
      <c r="P3674" s="26" t="s">
        <v>11991</v>
      </c>
      <c r="Q3674" s="20">
        <v>15936</v>
      </c>
      <c r="R3674" s="26" t="s">
        <v>36</v>
      </c>
      <c r="S3674" s="95">
        <v>2000</v>
      </c>
      <c r="T3674" s="148">
        <v>45493</v>
      </c>
      <c r="U3674" s="95">
        <v>13936</v>
      </c>
      <c r="V3674" s="148">
        <v>45544</v>
      </c>
      <c r="W3674" s="33" t="s">
        <v>11992</v>
      </c>
      <c r="X3674" s="26">
        <v>0</v>
      </c>
      <c r="Y3674" s="22">
        <v>0</v>
      </c>
      <c r="Z3674" s="26" t="s">
        <v>50</v>
      </c>
      <c r="AA3674" s="35"/>
      <c r="AB3674" s="26"/>
      <c r="AC3674" s="26" t="s">
        <v>53</v>
      </c>
      <c r="AD3674" s="26" t="s">
        <v>138</v>
      </c>
      <c r="AE3674" s="80" t="s">
        <v>7330</v>
      </c>
      <c r="AF3674" s="17">
        <v>45579</v>
      </c>
      <c r="AG3674" s="26"/>
      <c r="AH3674" s="26"/>
      <c r="AI3674" s="40" t="s">
        <v>147</v>
      </c>
      <c r="AJ3674" s="26"/>
      <c r="AK3674" s="26"/>
      <c r="AL3674" s="35"/>
      <c r="AM3674" s="35"/>
      <c r="AN3674" s="35"/>
      <c r="AO3674" s="35"/>
      <c r="AP3674" s="35"/>
    </row>
    <row r="3675" spans="1:42" x14ac:dyDescent="0.2">
      <c r="A3675" s="38">
        <v>45565</v>
      </c>
      <c r="B3675" s="28" t="s">
        <v>37</v>
      </c>
      <c r="C3675" s="41" t="s">
        <v>118</v>
      </c>
      <c r="D3675" s="26" t="s">
        <v>36</v>
      </c>
      <c r="E3675" s="26" t="s">
        <v>56</v>
      </c>
      <c r="F3675" s="80" t="s">
        <v>7330</v>
      </c>
      <c r="G3675" s="26" t="s">
        <v>108</v>
      </c>
      <c r="H3675" s="80" t="s">
        <v>11808</v>
      </c>
      <c r="I3675" s="17">
        <f ca="1">IFERROR(__xludf.DUMMYFUNCTION("""COMPUTED_VALUE"""),45579)</f>
        <v>45579</v>
      </c>
      <c r="J3675" s="44" t="s">
        <v>13628</v>
      </c>
      <c r="K3675" s="26" t="s">
        <v>10509</v>
      </c>
      <c r="L3675" s="30">
        <v>373396072</v>
      </c>
      <c r="M3675" s="26" t="s">
        <v>9422</v>
      </c>
      <c r="N3675" s="26" t="s">
        <v>8785</v>
      </c>
      <c r="O3675" s="26" t="s">
        <v>10510</v>
      </c>
      <c r="P3675" s="26" t="s">
        <v>8819</v>
      </c>
      <c r="Q3675" s="20">
        <v>9317</v>
      </c>
      <c r="R3675" s="26" t="s">
        <v>36</v>
      </c>
      <c r="S3675" s="95">
        <v>1000</v>
      </c>
      <c r="T3675" s="148">
        <v>45477</v>
      </c>
      <c r="U3675" s="95">
        <v>8317</v>
      </c>
      <c r="V3675" s="148">
        <v>45508</v>
      </c>
      <c r="W3675" s="33" t="s">
        <v>10511</v>
      </c>
      <c r="X3675" s="26">
        <v>0</v>
      </c>
      <c r="Y3675" s="22">
        <v>0</v>
      </c>
      <c r="Z3675" s="26" t="s">
        <v>50</v>
      </c>
      <c r="AA3675" s="96" t="s">
        <v>10314</v>
      </c>
      <c r="AB3675" s="26"/>
      <c r="AC3675" s="26" t="s">
        <v>53</v>
      </c>
      <c r="AD3675" s="26" t="s">
        <v>138</v>
      </c>
      <c r="AE3675" s="80" t="s">
        <v>7330</v>
      </c>
      <c r="AF3675" s="17">
        <v>45579</v>
      </c>
      <c r="AG3675" s="29" t="s">
        <v>10508</v>
      </c>
      <c r="AH3675" s="26"/>
      <c r="AI3675" s="40"/>
      <c r="AJ3675" s="26"/>
      <c r="AK3675" s="26"/>
      <c r="AL3675" s="35"/>
      <c r="AM3675" s="35"/>
      <c r="AN3675" s="35"/>
      <c r="AO3675" s="35"/>
      <c r="AP3675" s="35"/>
    </row>
    <row r="3676" spans="1:42" x14ac:dyDescent="0.2">
      <c r="A3676" s="38">
        <v>45565</v>
      </c>
      <c r="B3676" s="28" t="s">
        <v>37</v>
      </c>
      <c r="C3676" s="41" t="s">
        <v>118</v>
      </c>
      <c r="D3676" s="26" t="s">
        <v>36</v>
      </c>
      <c r="E3676" s="26" t="s">
        <v>139</v>
      </c>
      <c r="F3676" s="26" t="s">
        <v>8479</v>
      </c>
      <c r="G3676" s="26" t="s">
        <v>108</v>
      </c>
      <c r="H3676" s="80" t="s">
        <v>9900</v>
      </c>
      <c r="I3676" s="17">
        <f ca="1">IFERROR(__xludf.DUMMYFUNCTION("""COMPUTED_VALUE"""),45578)</f>
        <v>45578</v>
      </c>
      <c r="J3676" s="29" t="s">
        <v>8723</v>
      </c>
      <c r="K3676" s="26" t="s">
        <v>13629</v>
      </c>
      <c r="L3676" s="30">
        <v>869245801</v>
      </c>
      <c r="M3676" s="26" t="s">
        <v>3728</v>
      </c>
      <c r="N3676" s="26" t="s">
        <v>8725</v>
      </c>
      <c r="O3676" s="26" t="s">
        <v>8726</v>
      </c>
      <c r="P3676" s="42" t="s">
        <v>8727</v>
      </c>
      <c r="Q3676" s="20">
        <v>15936</v>
      </c>
      <c r="R3676" s="26" t="s">
        <v>36</v>
      </c>
      <c r="S3676" s="31">
        <v>2000</v>
      </c>
      <c r="T3676" s="32">
        <v>45432</v>
      </c>
      <c r="U3676" s="31">
        <v>13936</v>
      </c>
      <c r="V3676" s="32">
        <v>45467</v>
      </c>
      <c r="W3676" s="33" t="s">
        <v>8728</v>
      </c>
      <c r="X3676" s="26"/>
      <c r="Y3676" s="22">
        <v>0</v>
      </c>
      <c r="Z3676" s="26" t="s">
        <v>50</v>
      </c>
      <c r="AA3676" s="19" t="s">
        <v>8721</v>
      </c>
      <c r="AB3676" s="26" t="s">
        <v>36</v>
      </c>
      <c r="AC3676" s="26" t="s">
        <v>53</v>
      </c>
      <c r="AD3676" s="19" t="s">
        <v>54</v>
      </c>
      <c r="AE3676" s="26" t="s">
        <v>8479</v>
      </c>
      <c r="AF3676" s="17">
        <v>45572</v>
      </c>
      <c r="AG3676" s="26"/>
      <c r="AH3676" s="26"/>
      <c r="AI3676" s="40"/>
      <c r="AJ3676" s="26"/>
      <c r="AK3676" s="26"/>
      <c r="AL3676" s="35"/>
      <c r="AM3676" s="35"/>
      <c r="AN3676" s="35"/>
      <c r="AO3676" s="35"/>
      <c r="AP3676" s="35"/>
    </row>
    <row r="3677" spans="1:42" x14ac:dyDescent="0.2">
      <c r="A3677" s="38">
        <v>45565</v>
      </c>
      <c r="B3677" s="28" t="s">
        <v>37</v>
      </c>
      <c r="C3677" s="41" t="s">
        <v>118</v>
      </c>
      <c r="D3677" s="26" t="s">
        <v>36</v>
      </c>
      <c r="E3677" s="26" t="s">
        <v>119</v>
      </c>
      <c r="F3677" s="26" t="s">
        <v>9132</v>
      </c>
      <c r="G3677" s="26" t="s">
        <v>221</v>
      </c>
      <c r="H3677" s="26" t="s">
        <v>13605</v>
      </c>
      <c r="I3677" s="17">
        <f ca="1">IFERROR(__xludf.DUMMYFUNCTION("""COMPUTED_VALUE"""),45575)</f>
        <v>45575</v>
      </c>
      <c r="J3677" s="29" t="s">
        <v>9133</v>
      </c>
      <c r="K3677" s="26" t="s">
        <v>9134</v>
      </c>
      <c r="L3677" s="30">
        <v>982023806</v>
      </c>
      <c r="M3677" s="26" t="s">
        <v>5518</v>
      </c>
      <c r="N3677" s="26" t="s">
        <v>5524</v>
      </c>
      <c r="O3677" s="26" t="s">
        <v>9135</v>
      </c>
      <c r="P3677" s="42" t="s">
        <v>13630</v>
      </c>
      <c r="Q3677" s="20"/>
      <c r="R3677" s="26" t="s">
        <v>36</v>
      </c>
      <c r="S3677" s="95">
        <f t="shared" ref="S3677:S3678" si="53">200+3800</f>
        <v>4000</v>
      </c>
      <c r="T3677" s="83" t="s">
        <v>9137</v>
      </c>
      <c r="U3677" s="95">
        <v>9968</v>
      </c>
      <c r="V3677" s="148">
        <v>45502</v>
      </c>
      <c r="W3677" s="33" t="s">
        <v>9138</v>
      </c>
      <c r="X3677" s="26"/>
      <c r="Y3677" s="22"/>
      <c r="Z3677" s="26" t="s">
        <v>50</v>
      </c>
      <c r="AA3677" s="70" t="s">
        <v>9070</v>
      </c>
      <c r="AB3677" s="26" t="s">
        <v>9139</v>
      </c>
      <c r="AC3677" s="26" t="s">
        <v>53</v>
      </c>
      <c r="AD3677" s="26" t="s">
        <v>54</v>
      </c>
      <c r="AE3677" s="26" t="s">
        <v>9132</v>
      </c>
      <c r="AF3677" s="17">
        <v>45568</v>
      </c>
      <c r="AG3677" s="26"/>
      <c r="AH3677" s="26"/>
      <c r="AI3677" s="40"/>
      <c r="AJ3677" s="26"/>
      <c r="AK3677" s="26"/>
      <c r="AL3677" s="35"/>
      <c r="AM3677" s="35"/>
      <c r="AN3677" s="35"/>
      <c r="AO3677" s="35"/>
      <c r="AP3677" s="35"/>
    </row>
    <row r="3678" spans="1:42" x14ac:dyDescent="0.2">
      <c r="A3678" s="38">
        <v>45565</v>
      </c>
      <c r="B3678" s="28" t="s">
        <v>37</v>
      </c>
      <c r="C3678" s="41" t="s">
        <v>118</v>
      </c>
      <c r="D3678" s="80" t="s">
        <v>36</v>
      </c>
      <c r="E3678" s="80" t="s">
        <v>119</v>
      </c>
      <c r="F3678" s="26" t="s">
        <v>9132</v>
      </c>
      <c r="G3678" s="26" t="s">
        <v>221</v>
      </c>
      <c r="H3678" s="26" t="s">
        <v>13605</v>
      </c>
      <c r="I3678" s="17">
        <f ca="1">IFERROR(__xludf.DUMMYFUNCTION("""COMPUTED_VALUE"""),45575)</f>
        <v>45575</v>
      </c>
      <c r="J3678" s="143" t="s">
        <v>9151</v>
      </c>
      <c r="K3678" s="80" t="s">
        <v>9152</v>
      </c>
      <c r="L3678" s="30">
        <v>342082696</v>
      </c>
      <c r="M3678" s="80" t="s">
        <v>80</v>
      </c>
      <c r="N3678" s="80" t="s">
        <v>1073</v>
      </c>
      <c r="O3678" s="80" t="s">
        <v>9153</v>
      </c>
      <c r="P3678" s="144" t="s">
        <v>13631</v>
      </c>
      <c r="Q3678" s="20"/>
      <c r="R3678" s="80" t="s">
        <v>36</v>
      </c>
      <c r="S3678" s="95">
        <f t="shared" si="53"/>
        <v>4000</v>
      </c>
      <c r="T3678" s="83" t="s">
        <v>9155</v>
      </c>
      <c r="U3678" s="95">
        <v>9968</v>
      </c>
      <c r="V3678" s="148">
        <v>45503</v>
      </c>
      <c r="W3678" s="85" t="s">
        <v>9156</v>
      </c>
      <c r="X3678" s="80"/>
      <c r="Y3678" s="22"/>
      <c r="Z3678" s="81" t="s">
        <v>50</v>
      </c>
      <c r="AA3678" s="86" t="s">
        <v>9070</v>
      </c>
      <c r="AB3678" s="80"/>
      <c r="AC3678" s="80" t="s">
        <v>53</v>
      </c>
      <c r="AD3678" s="80" t="s">
        <v>54</v>
      </c>
      <c r="AE3678" s="26" t="s">
        <v>9132</v>
      </c>
      <c r="AF3678" s="17">
        <v>45568</v>
      </c>
      <c r="AG3678" s="80"/>
      <c r="AH3678" s="80"/>
      <c r="AI3678" s="147"/>
      <c r="AJ3678" s="80"/>
      <c r="AK3678" s="80"/>
      <c r="AL3678" s="86"/>
      <c r="AM3678" s="86"/>
      <c r="AN3678" s="86"/>
      <c r="AO3678" s="86"/>
      <c r="AP3678" s="86"/>
    </row>
    <row r="3679" spans="1:42" x14ac:dyDescent="0.2">
      <c r="A3679" s="38">
        <v>45565</v>
      </c>
      <c r="B3679" s="28" t="s">
        <v>37</v>
      </c>
      <c r="C3679" s="41" t="s">
        <v>118</v>
      </c>
      <c r="D3679" s="26" t="s">
        <v>36</v>
      </c>
      <c r="E3679" s="26" t="s">
        <v>119</v>
      </c>
      <c r="F3679" s="26" t="s">
        <v>9132</v>
      </c>
      <c r="G3679" s="26" t="s">
        <v>221</v>
      </c>
      <c r="H3679" s="26" t="s">
        <v>13605</v>
      </c>
      <c r="I3679" s="17">
        <f ca="1">IFERROR(__xludf.DUMMYFUNCTION("""COMPUTED_VALUE"""),45575)</f>
        <v>45575</v>
      </c>
      <c r="J3679" s="29" t="s">
        <v>9233</v>
      </c>
      <c r="K3679" s="26" t="s">
        <v>9234</v>
      </c>
      <c r="L3679" s="47">
        <v>382863576</v>
      </c>
      <c r="M3679" s="26" t="s">
        <v>45</v>
      </c>
      <c r="N3679" s="26" t="s">
        <v>571</v>
      </c>
      <c r="O3679" s="26" t="s">
        <v>9235</v>
      </c>
      <c r="P3679" s="42" t="s">
        <v>13632</v>
      </c>
      <c r="Q3679" s="20"/>
      <c r="R3679" s="26" t="s">
        <v>36</v>
      </c>
      <c r="S3679" s="95">
        <v>13968</v>
      </c>
      <c r="T3679" s="148">
        <v>45474</v>
      </c>
      <c r="U3679" s="31"/>
      <c r="V3679" s="32"/>
      <c r="W3679" s="33" t="s">
        <v>9237</v>
      </c>
      <c r="X3679" s="26"/>
      <c r="Y3679" s="22"/>
      <c r="Z3679" s="26" t="s">
        <v>50</v>
      </c>
      <c r="AA3679" s="70" t="s">
        <v>9070</v>
      </c>
      <c r="AB3679" s="26"/>
      <c r="AC3679" s="26" t="s">
        <v>53</v>
      </c>
      <c r="AD3679" s="26" t="s">
        <v>54</v>
      </c>
      <c r="AE3679" s="26" t="s">
        <v>9132</v>
      </c>
      <c r="AF3679" s="17">
        <v>45568</v>
      </c>
      <c r="AG3679" s="26"/>
      <c r="AH3679" s="26"/>
      <c r="AI3679" s="40"/>
      <c r="AJ3679" s="26"/>
      <c r="AK3679" s="26"/>
      <c r="AL3679" s="35"/>
      <c r="AM3679" s="35"/>
      <c r="AN3679" s="35"/>
      <c r="AO3679" s="35"/>
      <c r="AP3679" s="35"/>
    </row>
    <row r="3680" spans="1:42" x14ac:dyDescent="0.2">
      <c r="A3680" s="38">
        <v>45566</v>
      </c>
      <c r="B3680" s="28" t="s">
        <v>37</v>
      </c>
      <c r="C3680" s="41" t="s">
        <v>118</v>
      </c>
      <c r="D3680" s="26" t="s">
        <v>36</v>
      </c>
      <c r="E3680" s="26" t="s">
        <v>56</v>
      </c>
      <c r="F3680" s="26" t="s">
        <v>7330</v>
      </c>
      <c r="G3680" s="26" t="s">
        <v>108</v>
      </c>
      <c r="H3680" s="80" t="s">
        <v>10223</v>
      </c>
      <c r="I3680" s="17">
        <f ca="1">IFERROR(__xludf.DUMMYFUNCTION("""COMPUTED_VALUE"""),45578)</f>
        <v>45578</v>
      </c>
      <c r="J3680" s="29" t="s">
        <v>10977</v>
      </c>
      <c r="K3680" s="26" t="s">
        <v>10978</v>
      </c>
      <c r="L3680" s="30">
        <v>876467588</v>
      </c>
      <c r="M3680" s="26" t="s">
        <v>59</v>
      </c>
      <c r="N3680" s="26" t="s">
        <v>68</v>
      </c>
      <c r="O3680" s="26" t="s">
        <v>10979</v>
      </c>
      <c r="P3680" s="42" t="s">
        <v>10980</v>
      </c>
      <c r="Q3680" s="20">
        <v>9317</v>
      </c>
      <c r="R3680" s="26" t="s">
        <v>36</v>
      </c>
      <c r="S3680" s="95">
        <f>200+1800</f>
        <v>2000</v>
      </c>
      <c r="T3680" s="83" t="s">
        <v>10981</v>
      </c>
      <c r="U3680" s="95">
        <v>7317</v>
      </c>
      <c r="V3680" s="148">
        <v>45517</v>
      </c>
      <c r="W3680" s="26" t="s">
        <v>10982</v>
      </c>
      <c r="X3680" s="26">
        <v>0</v>
      </c>
      <c r="Y3680" s="22">
        <v>0</v>
      </c>
      <c r="Z3680" s="26" t="s">
        <v>50</v>
      </c>
      <c r="AA3680" s="35" t="s">
        <v>10314</v>
      </c>
      <c r="AB3680" s="26"/>
      <c r="AC3680" s="26" t="s">
        <v>53</v>
      </c>
      <c r="AD3680" s="26" t="s">
        <v>138</v>
      </c>
      <c r="AE3680" s="26" t="s">
        <v>7330</v>
      </c>
      <c r="AF3680" s="17">
        <v>45576</v>
      </c>
      <c r="AG3680" s="26" t="s">
        <v>10229</v>
      </c>
      <c r="AH3680" s="26"/>
      <c r="AI3680" s="40"/>
      <c r="AJ3680" s="26"/>
      <c r="AK3680" s="26"/>
      <c r="AL3680" s="35"/>
      <c r="AM3680" s="35"/>
      <c r="AN3680" s="35"/>
      <c r="AO3680" s="35"/>
      <c r="AP3680" s="35"/>
    </row>
    <row r="3681" spans="1:42" x14ac:dyDescent="0.2">
      <c r="A3681" s="38">
        <v>45566</v>
      </c>
      <c r="B3681" s="137" t="s">
        <v>37</v>
      </c>
      <c r="C3681" s="41" t="s">
        <v>118</v>
      </c>
      <c r="D3681" s="80" t="s">
        <v>36</v>
      </c>
      <c r="E3681" s="80" t="s">
        <v>7391</v>
      </c>
      <c r="F3681" s="80" t="s">
        <v>13633</v>
      </c>
      <c r="G3681" s="26" t="s">
        <v>108</v>
      </c>
      <c r="H3681" s="80" t="s">
        <v>9768</v>
      </c>
      <c r="I3681" s="17">
        <f ca="1">IFERROR(__xludf.DUMMYFUNCTION("""COMPUTED_VALUE"""),45578)</f>
        <v>45578</v>
      </c>
      <c r="J3681" s="143" t="s">
        <v>13634</v>
      </c>
      <c r="K3681" s="80" t="s">
        <v>13635</v>
      </c>
      <c r="L3681" s="30">
        <v>352039361</v>
      </c>
      <c r="M3681" s="80" t="s">
        <v>1245</v>
      </c>
      <c r="N3681" s="80" t="s">
        <v>1246</v>
      </c>
      <c r="O3681" s="80" t="s">
        <v>40</v>
      </c>
      <c r="P3681" s="144" t="s">
        <v>13636</v>
      </c>
      <c r="Q3681" s="20">
        <v>10804</v>
      </c>
      <c r="R3681" s="80" t="s">
        <v>36</v>
      </c>
      <c r="S3681" s="77">
        <v>5804</v>
      </c>
      <c r="T3681" s="78">
        <v>45202</v>
      </c>
      <c r="U3681" s="77">
        <v>5000</v>
      </c>
      <c r="V3681" s="78">
        <v>45222</v>
      </c>
      <c r="W3681" s="85" t="s">
        <v>13637</v>
      </c>
      <c r="X3681" s="80">
        <v>0</v>
      </c>
      <c r="Y3681" s="22">
        <v>0</v>
      </c>
      <c r="Z3681" s="41" t="s">
        <v>118</v>
      </c>
      <c r="AA3681" s="82" t="s">
        <v>6541</v>
      </c>
      <c r="AB3681" s="80" t="s">
        <v>36</v>
      </c>
      <c r="AC3681" s="80" t="s">
        <v>53</v>
      </c>
      <c r="AD3681" s="80" t="s">
        <v>54</v>
      </c>
      <c r="AE3681" s="83">
        <v>370</v>
      </c>
      <c r="AF3681" s="43">
        <v>45576</v>
      </c>
      <c r="AG3681" s="80" t="s">
        <v>9774</v>
      </c>
      <c r="AH3681" s="147">
        <v>3</v>
      </c>
      <c r="AI3681" s="147"/>
      <c r="AJ3681" s="80"/>
      <c r="AK3681" s="80"/>
      <c r="AL3681" s="80"/>
      <c r="AM3681" s="86"/>
      <c r="AN3681" s="86"/>
      <c r="AO3681" s="86"/>
      <c r="AP3681" s="35"/>
    </row>
    <row r="3682" spans="1:42" x14ac:dyDescent="0.2">
      <c r="A3682" s="38">
        <v>45566</v>
      </c>
      <c r="B3682" s="28" t="s">
        <v>37</v>
      </c>
      <c r="C3682" s="41" t="s">
        <v>118</v>
      </c>
      <c r="D3682" s="26" t="s">
        <v>36</v>
      </c>
      <c r="E3682" s="26" t="s">
        <v>148</v>
      </c>
      <c r="F3682" s="26" t="s">
        <v>9132</v>
      </c>
      <c r="G3682" s="26" t="s">
        <v>221</v>
      </c>
      <c r="H3682" s="26" t="s">
        <v>13605</v>
      </c>
      <c r="I3682" s="17">
        <f ca="1">IFERROR(__xludf.DUMMYFUNCTION("""COMPUTED_VALUE"""),45575)</f>
        <v>45575</v>
      </c>
      <c r="J3682" s="29" t="s">
        <v>10607</v>
      </c>
      <c r="K3682" s="26" t="s">
        <v>13638</v>
      </c>
      <c r="L3682" s="30">
        <v>946108798</v>
      </c>
      <c r="M3682" s="26" t="s">
        <v>3728</v>
      </c>
      <c r="N3682" s="26" t="s">
        <v>5312</v>
      </c>
      <c r="O3682" s="26"/>
      <c r="P3682" s="42" t="s">
        <v>13639</v>
      </c>
      <c r="Q3682" s="20">
        <v>7349</v>
      </c>
      <c r="R3682" s="26" t="s">
        <v>36</v>
      </c>
      <c r="S3682" s="95">
        <f>200+3800</f>
        <v>4000</v>
      </c>
      <c r="T3682" s="83" t="s">
        <v>10610</v>
      </c>
      <c r="U3682" s="95">
        <v>3349</v>
      </c>
      <c r="V3682" s="148">
        <v>45513</v>
      </c>
      <c r="W3682" s="33" t="s">
        <v>10611</v>
      </c>
      <c r="X3682" s="26">
        <v>0</v>
      </c>
      <c r="Y3682" s="22">
        <v>0</v>
      </c>
      <c r="Z3682" s="26" t="s">
        <v>50</v>
      </c>
      <c r="AA3682" s="35" t="s">
        <v>10314</v>
      </c>
      <c r="AB3682" s="26"/>
      <c r="AC3682" s="26" t="s">
        <v>53</v>
      </c>
      <c r="AD3682" s="26" t="s">
        <v>54</v>
      </c>
      <c r="AE3682" s="26" t="s">
        <v>9132</v>
      </c>
      <c r="AF3682" s="17">
        <v>45568</v>
      </c>
      <c r="AG3682" s="26"/>
      <c r="AH3682" s="26"/>
      <c r="AI3682" s="40"/>
      <c r="AJ3682" s="26"/>
      <c r="AK3682" s="26"/>
      <c r="AL3682" s="35"/>
      <c r="AM3682" s="35"/>
      <c r="AN3682" s="35"/>
      <c r="AO3682" s="35"/>
      <c r="AP3682" s="35"/>
    </row>
    <row r="3683" spans="1:42" x14ac:dyDescent="0.2">
      <c r="A3683" s="38">
        <v>45566</v>
      </c>
      <c r="B3683" s="28" t="s">
        <v>37</v>
      </c>
      <c r="C3683" s="41" t="s">
        <v>118</v>
      </c>
      <c r="D3683" s="80" t="s">
        <v>36</v>
      </c>
      <c r="E3683" s="80" t="s">
        <v>139</v>
      </c>
      <c r="F3683" s="80" t="s">
        <v>10999</v>
      </c>
      <c r="G3683" s="26" t="s">
        <v>108</v>
      </c>
      <c r="H3683" s="80" t="s">
        <v>13640</v>
      </c>
      <c r="I3683" s="17" t="str">
        <f ca="1">IFERROR(__xludf.DUMMYFUNCTION("""COMPUTED_VALUE""")," ")</f>
        <v xml:space="preserve"> </v>
      </c>
      <c r="J3683" s="143" t="s">
        <v>11047</v>
      </c>
      <c r="K3683" s="80" t="s">
        <v>13641</v>
      </c>
      <c r="L3683" s="30">
        <v>377477105</v>
      </c>
      <c r="M3683" s="80" t="s">
        <v>3728</v>
      </c>
      <c r="N3683" s="80" t="s">
        <v>8725</v>
      </c>
      <c r="O3683" s="80" t="s">
        <v>11049</v>
      </c>
      <c r="P3683" s="144" t="s">
        <v>13642</v>
      </c>
      <c r="Q3683" s="20">
        <v>15936</v>
      </c>
      <c r="R3683" s="80" t="s">
        <v>70</v>
      </c>
      <c r="S3683" s="95">
        <f>2000+6836</f>
        <v>8836</v>
      </c>
      <c r="T3683" s="83" t="s">
        <v>11051</v>
      </c>
      <c r="U3683" s="95">
        <v>7000</v>
      </c>
      <c r="V3683" s="148">
        <v>45527</v>
      </c>
      <c r="W3683" s="85" t="s">
        <v>11052</v>
      </c>
      <c r="X3683" s="80">
        <v>100</v>
      </c>
      <c r="Y3683" s="22">
        <v>0</v>
      </c>
      <c r="Z3683" s="80" t="s">
        <v>50</v>
      </c>
      <c r="AA3683" s="96" t="s">
        <v>10314</v>
      </c>
      <c r="AB3683" s="80"/>
      <c r="AC3683" s="80" t="s">
        <v>53</v>
      </c>
      <c r="AD3683" s="80" t="s">
        <v>54</v>
      </c>
      <c r="AE3683" s="80" t="s">
        <v>10999</v>
      </c>
      <c r="AF3683" s="17">
        <v>45572</v>
      </c>
      <c r="AG3683" s="80"/>
      <c r="AH3683" s="80"/>
      <c r="AI3683" s="147"/>
      <c r="AJ3683" s="80"/>
      <c r="AK3683" s="80"/>
      <c r="AL3683" s="35"/>
      <c r="AM3683" s="35"/>
      <c r="AN3683" s="35"/>
      <c r="AO3683" s="35"/>
      <c r="AP3683" s="35"/>
    </row>
    <row r="3684" spans="1:42" x14ac:dyDescent="0.2">
      <c r="A3684" s="38">
        <v>45566</v>
      </c>
      <c r="B3684" s="28" t="s">
        <v>37</v>
      </c>
      <c r="C3684" s="41" t="s">
        <v>118</v>
      </c>
      <c r="D3684" s="26" t="s">
        <v>36</v>
      </c>
      <c r="E3684" s="26" t="s">
        <v>139</v>
      </c>
      <c r="F3684" s="26" t="s">
        <v>7313</v>
      </c>
      <c r="G3684" s="26" t="s">
        <v>108</v>
      </c>
      <c r="H3684" s="80" t="s">
        <v>11808</v>
      </c>
      <c r="I3684" s="17">
        <f ca="1">IFERROR(__xludf.DUMMYFUNCTION("""COMPUTED_VALUE"""),45579)</f>
        <v>45579</v>
      </c>
      <c r="J3684" s="29" t="s">
        <v>8414</v>
      </c>
      <c r="K3684" s="26" t="s">
        <v>7838</v>
      </c>
      <c r="L3684" s="30">
        <v>329587671</v>
      </c>
      <c r="M3684" s="26" t="s">
        <v>123</v>
      </c>
      <c r="N3684" s="26" t="s">
        <v>186</v>
      </c>
      <c r="O3684" s="26" t="s">
        <v>4503</v>
      </c>
      <c r="P3684" s="42" t="s">
        <v>13643</v>
      </c>
      <c r="Q3684" s="20">
        <v>15936</v>
      </c>
      <c r="R3684" s="26" t="s">
        <v>36</v>
      </c>
      <c r="S3684" s="31">
        <v>200</v>
      </c>
      <c r="T3684" s="32">
        <v>45379</v>
      </c>
      <c r="U3684" s="31">
        <f>5000+10736</f>
        <v>15736</v>
      </c>
      <c r="V3684" s="26" t="s">
        <v>8416</v>
      </c>
      <c r="W3684" s="33" t="s">
        <v>8417</v>
      </c>
      <c r="X3684" s="26"/>
      <c r="Y3684" s="22">
        <v>0</v>
      </c>
      <c r="Z3684" s="26" t="s">
        <v>50</v>
      </c>
      <c r="AA3684" s="19" t="s">
        <v>8410</v>
      </c>
      <c r="AB3684" s="26" t="s">
        <v>4503</v>
      </c>
      <c r="AC3684" s="26" t="s">
        <v>53</v>
      </c>
      <c r="AD3684" s="19" t="s">
        <v>54</v>
      </c>
      <c r="AE3684" s="26" t="s">
        <v>7313</v>
      </c>
      <c r="AF3684" s="17">
        <v>45579</v>
      </c>
      <c r="AG3684" s="26"/>
      <c r="AH3684" s="26"/>
      <c r="AI3684" s="40"/>
      <c r="AJ3684" s="26"/>
      <c r="AK3684" s="26"/>
      <c r="AL3684" s="35"/>
      <c r="AM3684" s="35"/>
      <c r="AN3684" s="35"/>
      <c r="AO3684" s="35"/>
      <c r="AP3684" s="35"/>
    </row>
    <row r="3685" spans="1:42" x14ac:dyDescent="0.2">
      <c r="A3685" s="38">
        <v>45566</v>
      </c>
      <c r="B3685" s="28" t="s">
        <v>37</v>
      </c>
      <c r="C3685" s="41" t="s">
        <v>118</v>
      </c>
      <c r="D3685" s="80" t="s">
        <v>36</v>
      </c>
      <c r="E3685" s="80" t="s">
        <v>139</v>
      </c>
      <c r="F3685" s="80" t="s">
        <v>10999</v>
      </c>
      <c r="G3685" s="26" t="s">
        <v>108</v>
      </c>
      <c r="H3685" s="80" t="s">
        <v>9900</v>
      </c>
      <c r="I3685" s="17">
        <f ca="1">IFERROR(__xludf.DUMMYFUNCTION("""COMPUTED_VALUE"""),45578)</f>
        <v>45578</v>
      </c>
      <c r="J3685" s="143" t="s">
        <v>11000</v>
      </c>
      <c r="K3685" s="80" t="s">
        <v>11001</v>
      </c>
      <c r="L3685" s="30">
        <v>325035997</v>
      </c>
      <c r="M3685" s="80" t="s">
        <v>3728</v>
      </c>
      <c r="N3685" s="80" t="s">
        <v>8725</v>
      </c>
      <c r="O3685" s="80" t="s">
        <v>11002</v>
      </c>
      <c r="P3685" s="144" t="s">
        <v>13644</v>
      </c>
      <c r="Q3685" s="20">
        <v>15936</v>
      </c>
      <c r="R3685" s="80" t="s">
        <v>36</v>
      </c>
      <c r="S3685" s="95">
        <v>2000</v>
      </c>
      <c r="T3685" s="148">
        <v>45497</v>
      </c>
      <c r="U3685" s="95">
        <v>13936</v>
      </c>
      <c r="V3685" s="148">
        <v>45533</v>
      </c>
      <c r="W3685" s="85" t="s">
        <v>11004</v>
      </c>
      <c r="X3685" s="80">
        <v>0</v>
      </c>
      <c r="Y3685" s="22">
        <v>0</v>
      </c>
      <c r="Z3685" s="80" t="s">
        <v>50</v>
      </c>
      <c r="AA3685" s="96" t="s">
        <v>10314</v>
      </c>
      <c r="AB3685" s="80"/>
      <c r="AC3685" s="80" t="s">
        <v>53</v>
      </c>
      <c r="AD3685" s="80" t="s">
        <v>54</v>
      </c>
      <c r="AE3685" s="80" t="s">
        <v>10999</v>
      </c>
      <c r="AF3685" s="17">
        <v>45572</v>
      </c>
      <c r="AG3685" s="80"/>
      <c r="AH3685" s="80"/>
      <c r="AI3685" s="147"/>
      <c r="AJ3685" s="80"/>
      <c r="AK3685" s="80"/>
      <c r="AL3685" s="35"/>
      <c r="AM3685" s="35"/>
      <c r="AN3685" s="35"/>
      <c r="AO3685" s="35"/>
      <c r="AP3685" s="35"/>
    </row>
    <row r="3686" spans="1:42" x14ac:dyDescent="0.2">
      <c r="A3686" s="38">
        <v>45567</v>
      </c>
      <c r="B3686" s="28" t="s">
        <v>37</v>
      </c>
      <c r="C3686" s="41" t="s">
        <v>118</v>
      </c>
      <c r="D3686" s="26" t="s">
        <v>36</v>
      </c>
      <c r="E3686" s="26" t="s">
        <v>56</v>
      </c>
      <c r="F3686" s="26" t="s">
        <v>9581</v>
      </c>
      <c r="G3686" s="26" t="s">
        <v>108</v>
      </c>
      <c r="H3686" s="80" t="s">
        <v>9171</v>
      </c>
      <c r="I3686" s="17">
        <f ca="1">IFERROR(__xludf.DUMMYFUNCTION("""COMPUTED_VALUE"""),45586)</f>
        <v>45586</v>
      </c>
      <c r="J3686" s="29" t="s">
        <v>10962</v>
      </c>
      <c r="K3686" s="26" t="s">
        <v>13645</v>
      </c>
      <c r="L3686" s="30">
        <v>346307213</v>
      </c>
      <c r="M3686" s="26" t="s">
        <v>5429</v>
      </c>
      <c r="N3686" s="26" t="s">
        <v>756</v>
      </c>
      <c r="O3686" s="26" t="s">
        <v>10964</v>
      </c>
      <c r="P3686" s="42" t="s">
        <v>13646</v>
      </c>
      <c r="Q3686" s="20">
        <v>9317</v>
      </c>
      <c r="R3686" s="26" t="s">
        <v>36</v>
      </c>
      <c r="S3686" s="95">
        <v>2000</v>
      </c>
      <c r="T3686" s="148">
        <v>45495</v>
      </c>
      <c r="U3686" s="95">
        <v>7317</v>
      </c>
      <c r="V3686" s="148">
        <v>45528</v>
      </c>
      <c r="W3686" s="33" t="s">
        <v>10966</v>
      </c>
      <c r="X3686" s="26">
        <v>0</v>
      </c>
      <c r="Y3686" s="22">
        <v>0</v>
      </c>
      <c r="Z3686" s="26" t="s">
        <v>50</v>
      </c>
      <c r="AA3686" s="35" t="s">
        <v>10314</v>
      </c>
      <c r="AB3686" s="26"/>
      <c r="AC3686" s="26" t="s">
        <v>53</v>
      </c>
      <c r="AD3686" s="26" t="s">
        <v>54</v>
      </c>
      <c r="AE3686" s="26" t="s">
        <v>9581</v>
      </c>
      <c r="AF3686" s="17">
        <v>45579</v>
      </c>
      <c r="AG3686" s="26"/>
      <c r="AH3686" s="26"/>
      <c r="AI3686" s="40"/>
      <c r="AJ3686" s="26"/>
      <c r="AK3686" s="26"/>
      <c r="AL3686" s="35"/>
      <c r="AM3686" s="35"/>
      <c r="AN3686" s="35"/>
      <c r="AO3686" s="35"/>
      <c r="AP3686" s="35"/>
    </row>
    <row r="3687" spans="1:42" x14ac:dyDescent="0.2">
      <c r="A3687" s="38">
        <v>45567</v>
      </c>
      <c r="B3687" s="28" t="s">
        <v>37</v>
      </c>
      <c r="C3687" s="41" t="s">
        <v>118</v>
      </c>
      <c r="D3687" s="26" t="s">
        <v>36</v>
      </c>
      <c r="E3687" s="26" t="s">
        <v>56</v>
      </c>
      <c r="F3687" s="26" t="s">
        <v>8635</v>
      </c>
      <c r="G3687" s="26" t="s">
        <v>108</v>
      </c>
      <c r="H3687" s="80" t="s">
        <v>11808</v>
      </c>
      <c r="I3687" s="17">
        <f ca="1">IFERROR(__xludf.DUMMYFUNCTION("""COMPUTED_VALUE"""),45579)</f>
        <v>45579</v>
      </c>
      <c r="J3687" s="29" t="s">
        <v>10309</v>
      </c>
      <c r="K3687" s="26" t="s">
        <v>10310</v>
      </c>
      <c r="L3687" s="30">
        <v>334068020</v>
      </c>
      <c r="M3687" s="26" t="s">
        <v>3728</v>
      </c>
      <c r="N3687" s="26" t="s">
        <v>5277</v>
      </c>
      <c r="O3687" s="26" t="s">
        <v>10311</v>
      </c>
      <c r="P3687" s="42" t="s">
        <v>13647</v>
      </c>
      <c r="Q3687" s="20">
        <v>9317</v>
      </c>
      <c r="R3687" s="26" t="s">
        <v>70</v>
      </c>
      <c r="S3687" s="95">
        <v>2000</v>
      </c>
      <c r="T3687" s="148">
        <v>45428</v>
      </c>
      <c r="U3687" s="95">
        <v>7317</v>
      </c>
      <c r="V3687" s="148">
        <v>45513</v>
      </c>
      <c r="W3687" s="33" t="s">
        <v>10313</v>
      </c>
      <c r="X3687" s="26">
        <v>100</v>
      </c>
      <c r="Y3687" s="22">
        <v>-100</v>
      </c>
      <c r="Z3687" s="26" t="s">
        <v>50</v>
      </c>
      <c r="AA3687" s="96" t="s">
        <v>10314</v>
      </c>
      <c r="AB3687" s="26" t="s">
        <v>36</v>
      </c>
      <c r="AC3687" s="26" t="s">
        <v>53</v>
      </c>
      <c r="AD3687" s="26" t="s">
        <v>138</v>
      </c>
      <c r="AE3687" s="26" t="s">
        <v>8635</v>
      </c>
      <c r="AF3687" s="17">
        <v>45579</v>
      </c>
      <c r="AG3687" s="26"/>
      <c r="AH3687" s="26"/>
      <c r="AI3687" s="40"/>
      <c r="AJ3687" s="26"/>
      <c r="AK3687" s="26"/>
      <c r="AL3687" s="35"/>
      <c r="AM3687" s="35"/>
      <c r="AN3687" s="35"/>
      <c r="AO3687" s="35"/>
      <c r="AP3687" s="35"/>
    </row>
    <row r="3688" spans="1:42" x14ac:dyDescent="0.2">
      <c r="A3688" s="38">
        <v>45567</v>
      </c>
      <c r="B3688" s="28" t="s">
        <v>37</v>
      </c>
      <c r="C3688" s="41" t="s">
        <v>118</v>
      </c>
      <c r="D3688" s="26" t="s">
        <v>36</v>
      </c>
      <c r="E3688" s="26" t="s">
        <v>139</v>
      </c>
      <c r="F3688" s="26" t="s">
        <v>8635</v>
      </c>
      <c r="G3688" s="26" t="s">
        <v>108</v>
      </c>
      <c r="H3688" s="80" t="s">
        <v>11808</v>
      </c>
      <c r="I3688" s="17">
        <f ca="1">IFERROR(__xludf.DUMMYFUNCTION("""COMPUTED_VALUE"""),45579)</f>
        <v>45579</v>
      </c>
      <c r="J3688" s="29" t="s">
        <v>11856</v>
      </c>
      <c r="K3688" s="26" t="s">
        <v>11857</v>
      </c>
      <c r="L3688" s="30">
        <v>349578053</v>
      </c>
      <c r="M3688" s="26" t="s">
        <v>3728</v>
      </c>
      <c r="N3688" s="26" t="s">
        <v>5277</v>
      </c>
      <c r="O3688" s="26" t="s">
        <v>11858</v>
      </c>
      <c r="P3688" s="42" t="s">
        <v>13648</v>
      </c>
      <c r="Q3688" s="20">
        <v>15936</v>
      </c>
      <c r="R3688" s="26" t="s">
        <v>36</v>
      </c>
      <c r="S3688" s="95">
        <v>2000</v>
      </c>
      <c r="T3688" s="148">
        <v>45428</v>
      </c>
      <c r="U3688" s="95">
        <v>13936</v>
      </c>
      <c r="V3688" s="148">
        <v>45539</v>
      </c>
      <c r="W3688" s="33" t="s">
        <v>11860</v>
      </c>
      <c r="X3688" s="26">
        <v>0</v>
      </c>
      <c r="Y3688" s="22">
        <v>0</v>
      </c>
      <c r="Z3688" s="26" t="s">
        <v>50</v>
      </c>
      <c r="AA3688" s="35"/>
      <c r="AB3688" s="26" t="s">
        <v>36</v>
      </c>
      <c r="AC3688" s="26" t="s">
        <v>53</v>
      </c>
      <c r="AD3688" s="26" t="s">
        <v>138</v>
      </c>
      <c r="AE3688" s="26" t="s">
        <v>8635</v>
      </c>
      <c r="AF3688" s="17">
        <v>45579</v>
      </c>
      <c r="AG3688" s="26"/>
      <c r="AH3688" s="26"/>
      <c r="AI3688" s="40" t="s">
        <v>147</v>
      </c>
      <c r="AJ3688" s="26"/>
      <c r="AK3688" s="26"/>
      <c r="AL3688" s="35"/>
      <c r="AM3688" s="35"/>
      <c r="AN3688" s="35"/>
      <c r="AO3688" s="35"/>
      <c r="AP3688" s="35"/>
    </row>
    <row r="3689" spans="1:42" x14ac:dyDescent="0.2">
      <c r="A3689" s="38">
        <v>45567</v>
      </c>
      <c r="B3689" s="28" t="s">
        <v>37</v>
      </c>
      <c r="C3689" s="41" t="s">
        <v>118</v>
      </c>
      <c r="D3689" s="26" t="s">
        <v>36</v>
      </c>
      <c r="E3689" s="26" t="s">
        <v>56</v>
      </c>
      <c r="F3689" s="26" t="s">
        <v>7008</v>
      </c>
      <c r="G3689" s="26" t="s">
        <v>108</v>
      </c>
      <c r="H3689" s="80" t="s">
        <v>11808</v>
      </c>
      <c r="I3689" s="17">
        <f ca="1">IFERROR(__xludf.DUMMYFUNCTION("""COMPUTED_VALUE"""),45579)</f>
        <v>45579</v>
      </c>
      <c r="J3689" s="29" t="s">
        <v>3350</v>
      </c>
      <c r="K3689" s="35" t="s">
        <v>7069</v>
      </c>
      <c r="L3689" s="83">
        <v>985247463</v>
      </c>
      <c r="M3689" s="26" t="s">
        <v>80</v>
      </c>
      <c r="N3689" s="26" t="s">
        <v>299</v>
      </c>
      <c r="O3689" s="26" t="s">
        <v>36</v>
      </c>
      <c r="P3689" s="42" t="s">
        <v>7070</v>
      </c>
      <c r="Q3689" s="20">
        <v>16779</v>
      </c>
      <c r="R3689" s="26" t="s">
        <v>36</v>
      </c>
      <c r="S3689" s="31">
        <v>4000</v>
      </c>
      <c r="T3689" s="32">
        <v>44991</v>
      </c>
      <c r="U3689" s="31">
        <v>12779</v>
      </c>
      <c r="V3689" s="32">
        <v>45008</v>
      </c>
      <c r="W3689" s="33" t="s">
        <v>7071</v>
      </c>
      <c r="X3689" s="26">
        <v>0</v>
      </c>
      <c r="Y3689" s="22">
        <v>0</v>
      </c>
      <c r="Z3689" s="26" t="s">
        <v>118</v>
      </c>
      <c r="AA3689" s="19"/>
      <c r="AB3689" s="26" t="s">
        <v>104</v>
      </c>
      <c r="AC3689" s="26" t="s">
        <v>53</v>
      </c>
      <c r="AD3689" s="19" t="s">
        <v>54</v>
      </c>
      <c r="AE3689" s="26" t="s">
        <v>7008</v>
      </c>
      <c r="AF3689" s="17">
        <v>45579</v>
      </c>
      <c r="AG3689" s="91"/>
      <c r="AH3689" s="26"/>
      <c r="AI3689" s="92"/>
      <c r="AJ3689" s="35"/>
      <c r="AK3689" s="35"/>
      <c r="AL3689" s="35"/>
      <c r="AM3689" s="35"/>
      <c r="AN3689" s="26"/>
      <c r="AO3689" s="26"/>
      <c r="AP3689" s="35"/>
    </row>
    <row r="3690" spans="1:42" x14ac:dyDescent="0.2">
      <c r="A3690" s="14">
        <v>45518</v>
      </c>
      <c r="B3690" s="28" t="s">
        <v>37</v>
      </c>
      <c r="C3690" s="41" t="s">
        <v>118</v>
      </c>
      <c r="D3690" s="26" t="s">
        <v>219</v>
      </c>
      <c r="E3690" s="26" t="s">
        <v>219</v>
      </c>
      <c r="F3690" s="26" t="s">
        <v>7367</v>
      </c>
      <c r="G3690" s="26" t="s">
        <v>221</v>
      </c>
      <c r="H3690" s="26" t="s">
        <v>9032</v>
      </c>
      <c r="I3690" s="17">
        <f ca="1">IFERROR(__xludf.DUMMYFUNCTION("""COMPUTED_VALUE"""),45548)</f>
        <v>45548</v>
      </c>
      <c r="J3690" s="29" t="s">
        <v>4065</v>
      </c>
      <c r="K3690" s="26" t="s">
        <v>13649</v>
      </c>
      <c r="L3690" s="30">
        <v>335529925</v>
      </c>
      <c r="M3690" s="26" t="s">
        <v>123</v>
      </c>
      <c r="N3690" s="26" t="s">
        <v>327</v>
      </c>
      <c r="O3690" s="26" t="s">
        <v>1226</v>
      </c>
      <c r="P3690" s="42" t="s">
        <v>7383</v>
      </c>
      <c r="Q3690" s="20">
        <v>3968</v>
      </c>
      <c r="R3690" s="26" t="s">
        <v>36</v>
      </c>
      <c r="S3690" s="95">
        <v>1984</v>
      </c>
      <c r="T3690" s="32">
        <v>45532</v>
      </c>
      <c r="U3690" s="31">
        <v>100</v>
      </c>
      <c r="V3690" s="32">
        <v>45540</v>
      </c>
      <c r="W3690" s="85" t="s">
        <v>13650</v>
      </c>
      <c r="X3690" s="26">
        <v>100</v>
      </c>
      <c r="Y3690" s="22">
        <v>1784</v>
      </c>
      <c r="Z3690" s="26" t="s">
        <v>118</v>
      </c>
      <c r="AA3690" s="72" t="s">
        <v>13651</v>
      </c>
      <c r="AB3690" s="26" t="s">
        <v>36</v>
      </c>
      <c r="AC3690" s="26" t="s">
        <v>53</v>
      </c>
      <c r="AD3690" s="19" t="s">
        <v>138</v>
      </c>
      <c r="AE3690" s="26" t="s">
        <v>7367</v>
      </c>
      <c r="AF3690" s="17">
        <v>45548</v>
      </c>
      <c r="AG3690" s="26" t="s">
        <v>3399</v>
      </c>
      <c r="AH3690" s="26"/>
      <c r="AI3690" s="40">
        <v>1</v>
      </c>
      <c r="AJ3690" s="26"/>
      <c r="AK3690" s="26"/>
      <c r="AL3690" s="35"/>
      <c r="AM3690" s="35"/>
      <c r="AN3690" s="35"/>
      <c r="AO3690" s="35"/>
      <c r="AP3690" s="35"/>
    </row>
    <row r="3691" spans="1:42" x14ac:dyDescent="0.2">
      <c r="A3691" s="38">
        <v>45568</v>
      </c>
      <c r="B3691" s="28" t="s">
        <v>37</v>
      </c>
      <c r="C3691" s="41" t="s">
        <v>118</v>
      </c>
      <c r="D3691" s="26" t="s">
        <v>36</v>
      </c>
      <c r="E3691" s="26" t="s">
        <v>139</v>
      </c>
      <c r="F3691" s="26" t="s">
        <v>6389</v>
      </c>
      <c r="G3691" s="35" t="s">
        <v>1705</v>
      </c>
      <c r="H3691" s="26" t="s">
        <v>13652</v>
      </c>
      <c r="I3691" s="17">
        <f ca="1">IFERROR(__xludf.DUMMYFUNCTION("""COMPUTED_VALUE"""),45601)</f>
        <v>45601</v>
      </c>
      <c r="J3691" s="29" t="s">
        <v>3661</v>
      </c>
      <c r="K3691" s="26" t="s">
        <v>3662</v>
      </c>
      <c r="L3691" s="30">
        <v>327047878</v>
      </c>
      <c r="M3691" s="26" t="s">
        <v>123</v>
      </c>
      <c r="N3691" s="26" t="s">
        <v>3663</v>
      </c>
      <c r="O3691" s="26" t="s">
        <v>492</v>
      </c>
      <c r="P3691" s="26" t="s">
        <v>5794</v>
      </c>
      <c r="Q3691" s="20">
        <v>15936</v>
      </c>
      <c r="R3691" s="26" t="s">
        <v>36</v>
      </c>
      <c r="S3691" s="31">
        <v>200</v>
      </c>
      <c r="T3691" s="32">
        <v>45185</v>
      </c>
      <c r="U3691" s="31">
        <v>15736</v>
      </c>
      <c r="V3691" s="32">
        <v>45217</v>
      </c>
      <c r="W3691" s="26" t="s">
        <v>3665</v>
      </c>
      <c r="X3691" s="26"/>
      <c r="Y3691" s="22">
        <v>0</v>
      </c>
      <c r="Z3691" s="26" t="s">
        <v>118</v>
      </c>
      <c r="AA3691" s="19" t="s">
        <v>5785</v>
      </c>
      <c r="AB3691" s="26" t="s">
        <v>104</v>
      </c>
      <c r="AC3691" s="26" t="s">
        <v>53</v>
      </c>
      <c r="AD3691" s="19" t="s">
        <v>138</v>
      </c>
      <c r="AE3691" s="26" t="s">
        <v>6389</v>
      </c>
      <c r="AF3691" s="17">
        <v>45601</v>
      </c>
      <c r="AG3691" s="26" t="s">
        <v>1362</v>
      </c>
      <c r="AH3691" s="26"/>
      <c r="AI3691" s="40" t="s">
        <v>147</v>
      </c>
      <c r="AJ3691" s="26"/>
      <c r="AK3691" s="26"/>
      <c r="AL3691" s="35"/>
      <c r="AM3691" s="35"/>
      <c r="AN3691" s="35"/>
      <c r="AO3691" s="35"/>
      <c r="AP3691" s="35"/>
    </row>
    <row r="3692" spans="1:42" x14ac:dyDescent="0.2">
      <c r="A3692" s="38">
        <v>45568</v>
      </c>
      <c r="B3692" s="28" t="s">
        <v>37</v>
      </c>
      <c r="C3692" s="41" t="s">
        <v>118</v>
      </c>
      <c r="D3692" s="26" t="s">
        <v>36</v>
      </c>
      <c r="E3692" s="26" t="s">
        <v>139</v>
      </c>
      <c r="F3692" s="26" t="s">
        <v>6389</v>
      </c>
      <c r="G3692" s="35" t="s">
        <v>1705</v>
      </c>
      <c r="H3692" s="26" t="s">
        <v>13652</v>
      </c>
      <c r="I3692" s="17">
        <f ca="1">IFERROR(__xludf.DUMMYFUNCTION("""COMPUTED_VALUE"""),45601)</f>
        <v>45601</v>
      </c>
      <c r="J3692" s="29" t="s">
        <v>3618</v>
      </c>
      <c r="K3692" s="26" t="s">
        <v>3619</v>
      </c>
      <c r="L3692" s="30">
        <v>917441898</v>
      </c>
      <c r="M3692" s="26" t="s">
        <v>112</v>
      </c>
      <c r="N3692" s="26" t="s">
        <v>3330</v>
      </c>
      <c r="O3692" s="26" t="s">
        <v>125</v>
      </c>
      <c r="P3692" s="26" t="s">
        <v>2641</v>
      </c>
      <c r="Q3692" s="20">
        <v>15936</v>
      </c>
      <c r="R3692" s="26" t="s">
        <v>36</v>
      </c>
      <c r="S3692" s="31">
        <v>4000</v>
      </c>
      <c r="T3692" s="32">
        <v>45185</v>
      </c>
      <c r="U3692" s="31">
        <v>11936</v>
      </c>
      <c r="V3692" s="32">
        <v>45213</v>
      </c>
      <c r="W3692" s="33" t="s">
        <v>3622</v>
      </c>
      <c r="X3692" s="26"/>
      <c r="Y3692" s="22">
        <v>0</v>
      </c>
      <c r="Z3692" s="26" t="s">
        <v>118</v>
      </c>
      <c r="AA3692" s="19" t="s">
        <v>5785</v>
      </c>
      <c r="AB3692" s="26" t="s">
        <v>104</v>
      </c>
      <c r="AC3692" s="26" t="s">
        <v>53</v>
      </c>
      <c r="AD3692" s="19" t="s">
        <v>138</v>
      </c>
      <c r="AE3692" s="26" t="s">
        <v>6389</v>
      </c>
      <c r="AF3692" s="17">
        <v>45601</v>
      </c>
      <c r="AG3692" s="26" t="s">
        <v>1362</v>
      </c>
      <c r="AH3692" s="26"/>
      <c r="AI3692" s="40" t="s">
        <v>147</v>
      </c>
      <c r="AJ3692" s="26"/>
      <c r="AK3692" s="26"/>
      <c r="AL3692" s="35"/>
      <c r="AM3692" s="35"/>
      <c r="AN3692" s="35"/>
      <c r="AO3692" s="35"/>
      <c r="AP3692" s="35"/>
    </row>
    <row r="3693" spans="1:42" x14ac:dyDescent="0.2">
      <c r="A3693" s="38">
        <v>45568</v>
      </c>
      <c r="B3693" s="28" t="s">
        <v>37</v>
      </c>
      <c r="C3693" s="41" t="s">
        <v>118</v>
      </c>
      <c r="D3693" s="26" t="s">
        <v>36</v>
      </c>
      <c r="E3693" s="26" t="s">
        <v>139</v>
      </c>
      <c r="F3693" s="26" t="s">
        <v>6959</v>
      </c>
      <c r="G3693" s="35" t="s">
        <v>1705</v>
      </c>
      <c r="H3693" s="26" t="s">
        <v>13652</v>
      </c>
      <c r="I3693" s="17">
        <f ca="1">IFERROR(__xludf.DUMMYFUNCTION("""COMPUTED_VALUE"""),45601)</f>
        <v>45601</v>
      </c>
      <c r="J3693" s="29" t="s">
        <v>3809</v>
      </c>
      <c r="K3693" s="26" t="s">
        <v>3810</v>
      </c>
      <c r="L3693" s="30">
        <v>899512628</v>
      </c>
      <c r="M3693" s="26" t="s">
        <v>123</v>
      </c>
      <c r="N3693" s="26" t="s">
        <v>850</v>
      </c>
      <c r="O3693" s="26" t="s">
        <v>2737</v>
      </c>
      <c r="P3693" s="42" t="s">
        <v>8008</v>
      </c>
      <c r="Q3693" s="20">
        <v>15936</v>
      </c>
      <c r="R3693" s="26" t="s">
        <v>36</v>
      </c>
      <c r="S3693" s="31">
        <v>2000</v>
      </c>
      <c r="T3693" s="32">
        <v>45189</v>
      </c>
      <c r="U3693" s="31">
        <v>13968</v>
      </c>
      <c r="V3693" s="32">
        <v>45205</v>
      </c>
      <c r="W3693" s="33" t="s">
        <v>3811</v>
      </c>
      <c r="X3693" s="26"/>
      <c r="Y3693" s="22">
        <v>-32</v>
      </c>
      <c r="Z3693" s="26" t="s">
        <v>118</v>
      </c>
      <c r="AA3693" s="19" t="s">
        <v>4541</v>
      </c>
      <c r="AB3693" s="26" t="s">
        <v>36</v>
      </c>
      <c r="AC3693" s="26" t="s">
        <v>53</v>
      </c>
      <c r="AD3693" s="19" t="s">
        <v>138</v>
      </c>
      <c r="AE3693" s="26" t="s">
        <v>6959</v>
      </c>
      <c r="AF3693" s="17">
        <v>45601</v>
      </c>
      <c r="AG3693" s="26" t="s">
        <v>1362</v>
      </c>
      <c r="AH3693" s="26"/>
      <c r="AI3693" s="40"/>
      <c r="AJ3693" s="26"/>
      <c r="AK3693" s="26"/>
      <c r="AL3693" s="35"/>
      <c r="AM3693" s="35"/>
      <c r="AN3693" s="35"/>
      <c r="AO3693" s="35"/>
      <c r="AP3693" s="35"/>
    </row>
    <row r="3694" spans="1:42" x14ac:dyDescent="0.2">
      <c r="A3694" s="38">
        <v>45568</v>
      </c>
      <c r="B3694" s="28" t="s">
        <v>37</v>
      </c>
      <c r="C3694" s="41" t="s">
        <v>118</v>
      </c>
      <c r="D3694" s="26" t="s">
        <v>36</v>
      </c>
      <c r="E3694" s="26" t="s">
        <v>139</v>
      </c>
      <c r="F3694" s="26" t="s">
        <v>6959</v>
      </c>
      <c r="G3694" s="35" t="s">
        <v>1705</v>
      </c>
      <c r="H3694" s="26" t="s">
        <v>13652</v>
      </c>
      <c r="I3694" s="17">
        <f ca="1">IFERROR(__xludf.DUMMYFUNCTION("""COMPUTED_VALUE"""),45601)</f>
        <v>45601</v>
      </c>
      <c r="J3694" s="29" t="s">
        <v>4046</v>
      </c>
      <c r="K3694" s="26" t="s">
        <v>4047</v>
      </c>
      <c r="L3694" s="30">
        <v>945493468</v>
      </c>
      <c r="M3694" s="26" t="s">
        <v>123</v>
      </c>
      <c r="N3694" s="26" t="s">
        <v>850</v>
      </c>
      <c r="O3694" s="26" t="s">
        <v>1226</v>
      </c>
      <c r="P3694" s="42" t="s">
        <v>4965</v>
      </c>
      <c r="Q3694" s="20">
        <v>15936</v>
      </c>
      <c r="R3694" s="26" t="s">
        <v>70</v>
      </c>
      <c r="S3694" s="31">
        <v>2000</v>
      </c>
      <c r="T3694" s="32">
        <v>45202</v>
      </c>
      <c r="U3694" s="31">
        <v>13836</v>
      </c>
      <c r="V3694" s="32">
        <v>45205</v>
      </c>
      <c r="W3694" s="33" t="s">
        <v>4048</v>
      </c>
      <c r="X3694" s="26"/>
      <c r="Y3694" s="22">
        <v>100</v>
      </c>
      <c r="Z3694" s="26" t="s">
        <v>118</v>
      </c>
      <c r="AA3694" s="19" t="s">
        <v>4541</v>
      </c>
      <c r="AB3694" s="26" t="s">
        <v>36</v>
      </c>
      <c r="AC3694" s="26" t="s">
        <v>53</v>
      </c>
      <c r="AD3694" s="19" t="s">
        <v>138</v>
      </c>
      <c r="AE3694" s="26" t="s">
        <v>6959</v>
      </c>
      <c r="AF3694" s="17">
        <v>45601</v>
      </c>
      <c r="AG3694" s="26" t="s">
        <v>1362</v>
      </c>
      <c r="AH3694" s="26"/>
      <c r="AI3694" s="40"/>
      <c r="AJ3694" s="26"/>
      <c r="AK3694" s="26"/>
      <c r="AL3694" s="35"/>
      <c r="AM3694" s="35"/>
      <c r="AN3694" s="35"/>
      <c r="AO3694" s="35"/>
      <c r="AP3694" s="35"/>
    </row>
    <row r="3695" spans="1:42" x14ac:dyDescent="0.2">
      <c r="A3695" s="38">
        <v>45568</v>
      </c>
      <c r="B3695" s="28" t="s">
        <v>37</v>
      </c>
      <c r="C3695" s="41" t="s">
        <v>118</v>
      </c>
      <c r="D3695" s="26" t="s">
        <v>36</v>
      </c>
      <c r="E3695" s="26" t="s">
        <v>119</v>
      </c>
      <c r="F3695" s="26" t="s">
        <v>6389</v>
      </c>
      <c r="G3695" s="35" t="s">
        <v>1705</v>
      </c>
      <c r="H3695" s="26" t="s">
        <v>13652</v>
      </c>
      <c r="I3695" s="17">
        <f ca="1">IFERROR(__xludf.DUMMYFUNCTION("""COMPUTED_VALUE"""),45601)</f>
        <v>45601</v>
      </c>
      <c r="J3695" s="29" t="s">
        <v>6220</v>
      </c>
      <c r="K3695" s="26" t="s">
        <v>6221</v>
      </c>
      <c r="L3695" s="30">
        <v>336953363</v>
      </c>
      <c r="M3695" s="26" t="s">
        <v>3728</v>
      </c>
      <c r="N3695" s="26" t="s">
        <v>5377</v>
      </c>
      <c r="O3695" s="26" t="s">
        <v>6222</v>
      </c>
      <c r="P3695" s="26" t="s">
        <v>4126</v>
      </c>
      <c r="Q3695" s="20">
        <v>13968</v>
      </c>
      <c r="R3695" s="26" t="s">
        <v>36</v>
      </c>
      <c r="S3695" s="31">
        <v>4000</v>
      </c>
      <c r="T3695" s="32">
        <v>45235</v>
      </c>
      <c r="U3695" s="31">
        <v>9968</v>
      </c>
      <c r="V3695" s="32">
        <v>45272</v>
      </c>
      <c r="W3695" s="33" t="s">
        <v>6223</v>
      </c>
      <c r="X3695" s="26"/>
      <c r="Y3695" s="22">
        <v>0</v>
      </c>
      <c r="Z3695" s="26" t="s">
        <v>118</v>
      </c>
      <c r="AA3695" s="19" t="s">
        <v>5961</v>
      </c>
      <c r="AB3695" s="26" t="s">
        <v>104</v>
      </c>
      <c r="AC3695" s="26" t="s">
        <v>53</v>
      </c>
      <c r="AD3695" s="19" t="s">
        <v>138</v>
      </c>
      <c r="AE3695" s="26" t="s">
        <v>6389</v>
      </c>
      <c r="AF3695" s="17">
        <v>45601</v>
      </c>
      <c r="AG3695" s="26" t="s">
        <v>1362</v>
      </c>
      <c r="AH3695" s="26">
        <v>1</v>
      </c>
      <c r="AI3695" s="40"/>
      <c r="AJ3695" s="26"/>
      <c r="AK3695" s="26"/>
      <c r="AL3695" s="35"/>
      <c r="AM3695" s="35"/>
      <c r="AN3695" s="35"/>
      <c r="AO3695" s="35"/>
      <c r="AP3695" s="35"/>
    </row>
    <row r="3696" spans="1:42" x14ac:dyDescent="0.2">
      <c r="A3696" s="38">
        <v>45568</v>
      </c>
      <c r="B3696" s="28" t="s">
        <v>37</v>
      </c>
      <c r="C3696" s="41" t="s">
        <v>118</v>
      </c>
      <c r="D3696" s="26" t="s">
        <v>36</v>
      </c>
      <c r="E3696" s="26" t="s">
        <v>119</v>
      </c>
      <c r="F3696" s="26" t="s">
        <v>6389</v>
      </c>
      <c r="G3696" s="35" t="s">
        <v>1705</v>
      </c>
      <c r="H3696" s="26" t="s">
        <v>13652</v>
      </c>
      <c r="I3696" s="17">
        <f ca="1">IFERROR(__xludf.DUMMYFUNCTION("""COMPUTED_VALUE"""),45601)</f>
        <v>45601</v>
      </c>
      <c r="J3696" s="29" t="s">
        <v>5587</v>
      </c>
      <c r="K3696" s="26" t="s">
        <v>5588</v>
      </c>
      <c r="L3696" s="30">
        <v>822448005</v>
      </c>
      <c r="M3696" s="26" t="s">
        <v>5518</v>
      </c>
      <c r="N3696" s="26" t="s">
        <v>5582</v>
      </c>
      <c r="O3696" s="26" t="s">
        <v>5589</v>
      </c>
      <c r="P3696" s="26" t="s">
        <v>5590</v>
      </c>
      <c r="Q3696" s="20">
        <v>13968</v>
      </c>
      <c r="R3696" s="26" t="s">
        <v>36</v>
      </c>
      <c r="S3696" s="31">
        <v>4000</v>
      </c>
      <c r="T3696" s="32">
        <v>45238</v>
      </c>
      <c r="U3696" s="31">
        <v>9968</v>
      </c>
      <c r="V3696" s="32">
        <v>45258</v>
      </c>
      <c r="W3696" s="33" t="s">
        <v>5591</v>
      </c>
      <c r="X3696" s="26"/>
      <c r="Y3696" s="22">
        <v>0</v>
      </c>
      <c r="Z3696" s="26" t="s">
        <v>118</v>
      </c>
      <c r="AA3696" s="19" t="s">
        <v>5112</v>
      </c>
      <c r="AB3696" s="26" t="s">
        <v>104</v>
      </c>
      <c r="AC3696" s="26" t="s">
        <v>53</v>
      </c>
      <c r="AD3696" s="19" t="s">
        <v>54</v>
      </c>
      <c r="AE3696" s="26" t="s">
        <v>6389</v>
      </c>
      <c r="AF3696" s="17">
        <v>45601</v>
      </c>
      <c r="AG3696" s="26" t="s">
        <v>1362</v>
      </c>
      <c r="AH3696" s="26"/>
      <c r="AI3696" s="40">
        <v>4</v>
      </c>
      <c r="AJ3696" s="26"/>
      <c r="AK3696" s="26"/>
      <c r="AL3696" s="35"/>
      <c r="AM3696" s="35"/>
      <c r="AN3696" s="35"/>
      <c r="AO3696" s="35"/>
      <c r="AP3696" s="35"/>
    </row>
    <row r="3697" spans="1:42" x14ac:dyDescent="0.2">
      <c r="A3697" s="38">
        <v>45568</v>
      </c>
      <c r="B3697" s="28" t="s">
        <v>37</v>
      </c>
      <c r="C3697" s="41" t="s">
        <v>118</v>
      </c>
      <c r="D3697" s="80" t="s">
        <v>36</v>
      </c>
      <c r="E3697" s="80" t="s">
        <v>139</v>
      </c>
      <c r="F3697" s="80" t="s">
        <v>7330</v>
      </c>
      <c r="G3697" s="26" t="s">
        <v>108</v>
      </c>
      <c r="H3697" s="80" t="s">
        <v>13653</v>
      </c>
      <c r="I3697" s="17">
        <f ca="1">IFERROR(__xludf.DUMMYFUNCTION("""COMPUTED_VALUE"""),46048)</f>
        <v>46048</v>
      </c>
      <c r="J3697" s="143" t="s">
        <v>9658</v>
      </c>
      <c r="K3697" s="80" t="s">
        <v>13654</v>
      </c>
      <c r="L3697" s="30">
        <v>837322016</v>
      </c>
      <c r="M3697" s="80" t="s">
        <v>59</v>
      </c>
      <c r="N3697" s="80" t="s">
        <v>9660</v>
      </c>
      <c r="O3697" s="80" t="s">
        <v>9661</v>
      </c>
      <c r="P3697" s="80" t="s">
        <v>9662</v>
      </c>
      <c r="Q3697" s="20"/>
      <c r="R3697" s="80" t="s">
        <v>36</v>
      </c>
      <c r="S3697" s="95">
        <v>15963</v>
      </c>
      <c r="T3697" s="148">
        <v>45498</v>
      </c>
      <c r="U3697" s="77"/>
      <c r="V3697" s="78"/>
      <c r="W3697" s="85" t="s">
        <v>9663</v>
      </c>
      <c r="X3697" s="80"/>
      <c r="Y3697" s="22"/>
      <c r="Z3697" s="80" t="s">
        <v>50</v>
      </c>
      <c r="AA3697" s="70" t="s">
        <v>9070</v>
      </c>
      <c r="AB3697" s="80"/>
      <c r="AC3697" s="80" t="s">
        <v>53</v>
      </c>
      <c r="AD3697" s="80" t="s">
        <v>138</v>
      </c>
      <c r="AE3697" s="80" t="s">
        <v>7330</v>
      </c>
      <c r="AF3697" s="17">
        <v>45579</v>
      </c>
      <c r="AG3697" s="80"/>
      <c r="AH3697" s="80"/>
      <c r="AI3697" s="147"/>
      <c r="AJ3697" s="80"/>
      <c r="AK3697" s="80"/>
      <c r="AL3697" s="35"/>
      <c r="AM3697" s="35"/>
      <c r="AN3697" s="35"/>
      <c r="AO3697" s="35"/>
      <c r="AP3697" s="35"/>
    </row>
    <row r="3698" spans="1:42" x14ac:dyDescent="0.2">
      <c r="A3698" s="38">
        <v>45569</v>
      </c>
      <c r="B3698" s="28" t="s">
        <v>37</v>
      </c>
      <c r="C3698" s="41" t="s">
        <v>118</v>
      </c>
      <c r="D3698" s="26" t="s">
        <v>36</v>
      </c>
      <c r="E3698" s="26" t="s">
        <v>148</v>
      </c>
      <c r="F3698" s="26" t="s">
        <v>4959</v>
      </c>
      <c r="G3698" s="71" t="s">
        <v>221</v>
      </c>
      <c r="H3698" s="26" t="s">
        <v>8536</v>
      </c>
      <c r="I3698" s="17">
        <f ca="1">IFERROR(__xludf.DUMMYFUNCTION("""COMPUTED_VALUE"""),45593)</f>
        <v>45593</v>
      </c>
      <c r="J3698" s="29" t="s">
        <v>6537</v>
      </c>
      <c r="K3698" s="26" t="s">
        <v>1811</v>
      </c>
      <c r="L3698" s="30">
        <v>867028535</v>
      </c>
      <c r="M3698" s="26" t="s">
        <v>1993</v>
      </c>
      <c r="N3698" s="26" t="s">
        <v>2084</v>
      </c>
      <c r="O3698" s="26"/>
      <c r="P3698" s="42" t="s">
        <v>13655</v>
      </c>
      <c r="Q3698" s="20">
        <v>7349</v>
      </c>
      <c r="R3698" s="26" t="s">
        <v>36</v>
      </c>
      <c r="S3698" s="58">
        <v>10704</v>
      </c>
      <c r="T3698" s="32">
        <v>44936</v>
      </c>
      <c r="U3698" s="31"/>
      <c r="V3698" s="32"/>
      <c r="W3698" s="33" t="s">
        <v>6540</v>
      </c>
      <c r="X3698" s="26">
        <v>0</v>
      </c>
      <c r="Y3698" s="22">
        <v>-3355</v>
      </c>
      <c r="Z3698" s="98" t="s">
        <v>118</v>
      </c>
      <c r="AA3698" s="19" t="s">
        <v>6541</v>
      </c>
      <c r="AB3698" s="26" t="s">
        <v>128</v>
      </c>
      <c r="AC3698" s="26" t="s">
        <v>53</v>
      </c>
      <c r="AD3698" s="122" t="s">
        <v>54</v>
      </c>
      <c r="AE3698" s="26" t="s">
        <v>4959</v>
      </c>
      <c r="AF3698" s="43">
        <v>45586</v>
      </c>
      <c r="AG3698" s="40"/>
      <c r="AH3698" s="26">
        <v>1</v>
      </c>
      <c r="AI3698" s="40">
        <v>2</v>
      </c>
      <c r="AJ3698" s="26"/>
      <c r="AK3698" s="26"/>
      <c r="AL3698" s="35"/>
      <c r="AM3698" s="35"/>
      <c r="AN3698" s="35"/>
      <c r="AO3698" s="35"/>
      <c r="AP3698" s="35"/>
    </row>
    <row r="3699" spans="1:42" x14ac:dyDescent="0.2">
      <c r="A3699" s="38">
        <v>45569</v>
      </c>
      <c r="B3699" s="28" t="s">
        <v>37</v>
      </c>
      <c r="C3699" s="41" t="s">
        <v>118</v>
      </c>
      <c r="D3699" s="26" t="s">
        <v>36</v>
      </c>
      <c r="E3699" s="26" t="s">
        <v>139</v>
      </c>
      <c r="F3699" s="26" t="s">
        <v>7365</v>
      </c>
      <c r="G3699" s="71" t="s">
        <v>221</v>
      </c>
      <c r="H3699" s="26" t="s">
        <v>8536</v>
      </c>
      <c r="I3699" s="17">
        <f ca="1">IFERROR(__xludf.DUMMYFUNCTION("""COMPUTED_VALUE"""),45593)</f>
        <v>45593</v>
      </c>
      <c r="J3699" s="29" t="s">
        <v>6760</v>
      </c>
      <c r="K3699" s="26" t="s">
        <v>13656</v>
      </c>
      <c r="L3699" s="30">
        <v>934231409</v>
      </c>
      <c r="M3699" s="26" t="s">
        <v>3728</v>
      </c>
      <c r="N3699" s="26" t="s">
        <v>5312</v>
      </c>
      <c r="O3699" s="26" t="s">
        <v>6761</v>
      </c>
      <c r="P3699" s="42" t="s">
        <v>6762</v>
      </c>
      <c r="Q3699" s="20">
        <v>15936</v>
      </c>
      <c r="R3699" s="26" t="s">
        <v>36</v>
      </c>
      <c r="S3699" s="31">
        <v>2000</v>
      </c>
      <c r="T3699" s="32">
        <v>45301</v>
      </c>
      <c r="U3699" s="31">
        <v>13936</v>
      </c>
      <c r="V3699" s="32">
        <v>45321</v>
      </c>
      <c r="W3699" s="33" t="s">
        <v>6763</v>
      </c>
      <c r="X3699" s="26">
        <v>0</v>
      </c>
      <c r="Y3699" s="22">
        <v>0</v>
      </c>
      <c r="Z3699" s="26" t="s">
        <v>118</v>
      </c>
      <c r="AA3699" s="19" t="s">
        <v>6079</v>
      </c>
      <c r="AB3699" s="26"/>
      <c r="AC3699" s="26" t="s">
        <v>53</v>
      </c>
      <c r="AD3699" s="19" t="s">
        <v>54</v>
      </c>
      <c r="AE3699" s="26" t="s">
        <v>7365</v>
      </c>
      <c r="AF3699" s="43">
        <v>45586</v>
      </c>
      <c r="AG3699" s="26" t="s">
        <v>1362</v>
      </c>
      <c r="AH3699" s="26"/>
      <c r="AI3699" s="40" t="s">
        <v>147</v>
      </c>
      <c r="AJ3699" s="26"/>
      <c r="AK3699" s="26"/>
      <c r="AL3699" s="35"/>
      <c r="AM3699" s="35"/>
      <c r="AN3699" s="35"/>
      <c r="AO3699" s="35"/>
      <c r="AP3699" s="35"/>
    </row>
    <row r="3700" spans="1:42" x14ac:dyDescent="0.2">
      <c r="A3700" s="38">
        <v>45569</v>
      </c>
      <c r="B3700" s="28" t="s">
        <v>37</v>
      </c>
      <c r="C3700" s="41" t="s">
        <v>118</v>
      </c>
      <c r="D3700" s="26" t="s">
        <v>36</v>
      </c>
      <c r="E3700" s="26" t="s">
        <v>119</v>
      </c>
      <c r="F3700" s="26" t="s">
        <v>8867</v>
      </c>
      <c r="G3700" s="71" t="s">
        <v>221</v>
      </c>
      <c r="H3700" s="26" t="s">
        <v>8536</v>
      </c>
      <c r="I3700" s="17">
        <f ca="1">IFERROR(__xludf.DUMMYFUNCTION("""COMPUTED_VALUE"""),45593)</f>
        <v>45593</v>
      </c>
      <c r="J3700" s="29" t="s">
        <v>10754</v>
      </c>
      <c r="K3700" s="26" t="s">
        <v>810</v>
      </c>
      <c r="L3700" s="30">
        <v>942665938</v>
      </c>
      <c r="M3700" s="26" t="s">
        <v>348</v>
      </c>
      <c r="N3700" s="26" t="s">
        <v>200</v>
      </c>
      <c r="O3700" s="26" t="s">
        <v>10755</v>
      </c>
      <c r="P3700" s="42" t="s">
        <v>13657</v>
      </c>
      <c r="Q3700" s="20">
        <v>13968</v>
      </c>
      <c r="R3700" s="26" t="s">
        <v>36</v>
      </c>
      <c r="S3700" s="95">
        <f>1000+2680</f>
        <v>3680</v>
      </c>
      <c r="T3700" s="83" t="s">
        <v>10757</v>
      </c>
      <c r="U3700" s="95">
        <v>10288</v>
      </c>
      <c r="V3700" s="148">
        <v>45505</v>
      </c>
      <c r="W3700" s="33" t="s">
        <v>10758</v>
      </c>
      <c r="X3700" s="26">
        <v>0</v>
      </c>
      <c r="Y3700" s="22">
        <v>0</v>
      </c>
      <c r="Z3700" s="26" t="s">
        <v>50</v>
      </c>
      <c r="AA3700" s="35" t="s">
        <v>10314</v>
      </c>
      <c r="AB3700" s="26"/>
      <c r="AC3700" s="26" t="s">
        <v>53</v>
      </c>
      <c r="AD3700" s="26" t="s">
        <v>54</v>
      </c>
      <c r="AE3700" s="26" t="s">
        <v>8867</v>
      </c>
      <c r="AF3700" s="43">
        <v>45586</v>
      </c>
      <c r="AG3700" s="26"/>
      <c r="AH3700" s="26"/>
      <c r="AI3700" s="40"/>
      <c r="AJ3700" s="26"/>
      <c r="AK3700" s="26"/>
      <c r="AL3700" s="35"/>
      <c r="AM3700" s="35"/>
      <c r="AN3700" s="35"/>
      <c r="AO3700" s="35"/>
      <c r="AP3700" s="35"/>
    </row>
    <row r="3701" spans="1:42" x14ac:dyDescent="0.2">
      <c r="A3701" s="38">
        <v>45569</v>
      </c>
      <c r="B3701" s="28" t="s">
        <v>37</v>
      </c>
      <c r="C3701" s="41" t="s">
        <v>118</v>
      </c>
      <c r="D3701" s="26" t="s">
        <v>36</v>
      </c>
      <c r="E3701" s="26" t="s">
        <v>148</v>
      </c>
      <c r="F3701" s="26" t="s">
        <v>4959</v>
      </c>
      <c r="G3701" s="71" t="s">
        <v>221</v>
      </c>
      <c r="H3701" s="26" t="s">
        <v>8536</v>
      </c>
      <c r="I3701" s="17">
        <f ca="1">IFERROR(__xludf.DUMMYFUNCTION("""COMPUTED_VALUE"""),45593)</f>
        <v>45593</v>
      </c>
      <c r="J3701" s="29" t="s">
        <v>4474</v>
      </c>
      <c r="K3701" s="26" t="s">
        <v>4475</v>
      </c>
      <c r="L3701" s="30">
        <v>346633240</v>
      </c>
      <c r="M3701" s="26" t="s">
        <v>910</v>
      </c>
      <c r="N3701" s="26" t="s">
        <v>3525</v>
      </c>
      <c r="O3701" s="26" t="s">
        <v>4476</v>
      </c>
      <c r="P3701" s="42" t="s">
        <v>13658</v>
      </c>
      <c r="Q3701" s="20">
        <v>7349</v>
      </c>
      <c r="R3701" s="26" t="s">
        <v>36</v>
      </c>
      <c r="S3701" s="31">
        <v>7049</v>
      </c>
      <c r="T3701" s="32">
        <v>45334</v>
      </c>
      <c r="U3701" s="31"/>
      <c r="V3701" s="32"/>
      <c r="W3701" s="33" t="s">
        <v>7146</v>
      </c>
      <c r="X3701" s="26"/>
      <c r="Y3701" s="22">
        <v>300</v>
      </c>
      <c r="Z3701" s="26" t="s">
        <v>50</v>
      </c>
      <c r="AA3701" s="19" t="s">
        <v>7077</v>
      </c>
      <c r="AB3701" s="26" t="s">
        <v>104</v>
      </c>
      <c r="AC3701" s="26" t="s">
        <v>53</v>
      </c>
      <c r="AD3701" s="19" t="s">
        <v>54</v>
      </c>
      <c r="AE3701" s="26" t="s">
        <v>4959</v>
      </c>
      <c r="AF3701" s="43">
        <v>45586</v>
      </c>
      <c r="AG3701" s="26"/>
      <c r="AH3701" s="26"/>
      <c r="AI3701" s="40">
        <v>2</v>
      </c>
      <c r="AJ3701" s="26"/>
      <c r="AK3701" s="26"/>
      <c r="AL3701" s="35"/>
      <c r="AM3701" s="35"/>
      <c r="AN3701" s="35"/>
      <c r="AO3701" s="35"/>
      <c r="AP3701" s="35"/>
    </row>
    <row r="3702" spans="1:42" x14ac:dyDescent="0.2">
      <c r="A3702" s="38">
        <v>45569</v>
      </c>
      <c r="B3702" s="28" t="s">
        <v>37</v>
      </c>
      <c r="C3702" s="41" t="s">
        <v>118</v>
      </c>
      <c r="D3702" s="26" t="s">
        <v>36</v>
      </c>
      <c r="E3702" s="26" t="s">
        <v>119</v>
      </c>
      <c r="F3702" s="26" t="s">
        <v>4646</v>
      </c>
      <c r="G3702" s="35" t="s">
        <v>1705</v>
      </c>
      <c r="H3702" s="26" t="s">
        <v>13652</v>
      </c>
      <c r="I3702" s="17">
        <f ca="1">IFERROR(__xludf.DUMMYFUNCTION("""COMPUTED_VALUE"""),45601)</f>
        <v>45601</v>
      </c>
      <c r="J3702" s="29" t="s">
        <v>5719</v>
      </c>
      <c r="K3702" s="26" t="s">
        <v>5720</v>
      </c>
      <c r="L3702" s="30">
        <v>378143076</v>
      </c>
      <c r="M3702" s="26" t="s">
        <v>5429</v>
      </c>
      <c r="N3702" s="26" t="s">
        <v>81</v>
      </c>
      <c r="O3702" s="26" t="s">
        <v>1492</v>
      </c>
      <c r="P3702" s="26" t="s">
        <v>3324</v>
      </c>
      <c r="Q3702" s="20">
        <v>13968</v>
      </c>
      <c r="R3702" s="26" t="s">
        <v>36</v>
      </c>
      <c r="S3702" s="31">
        <v>10126</v>
      </c>
      <c r="T3702" s="32">
        <v>45253</v>
      </c>
      <c r="U3702" s="31"/>
      <c r="V3702" s="16" t="s">
        <v>5721</v>
      </c>
      <c r="W3702" s="33" t="s">
        <v>5722</v>
      </c>
      <c r="X3702" s="26"/>
      <c r="Y3702" s="22">
        <v>0</v>
      </c>
      <c r="Z3702" s="26" t="s">
        <v>50</v>
      </c>
      <c r="AA3702" s="19" t="s">
        <v>5112</v>
      </c>
      <c r="AB3702" s="26" t="s">
        <v>104</v>
      </c>
      <c r="AC3702" s="26" t="s">
        <v>53</v>
      </c>
      <c r="AD3702" s="19" t="s">
        <v>138</v>
      </c>
      <c r="AE3702" s="26" t="s">
        <v>4646</v>
      </c>
      <c r="AF3702" s="17">
        <v>45601</v>
      </c>
      <c r="AG3702" s="26" t="s">
        <v>1362</v>
      </c>
      <c r="AH3702" s="26"/>
      <c r="AI3702" s="40">
        <v>4</v>
      </c>
      <c r="AJ3702" s="26"/>
      <c r="AK3702" s="26"/>
      <c r="AL3702" s="35"/>
      <c r="AM3702" s="35"/>
      <c r="AN3702" s="35"/>
      <c r="AO3702" s="35"/>
      <c r="AP3702" s="35"/>
    </row>
    <row r="3703" spans="1:42" x14ac:dyDescent="0.2">
      <c r="A3703" s="38">
        <v>45569</v>
      </c>
      <c r="B3703" s="28" t="s">
        <v>37</v>
      </c>
      <c r="C3703" s="41" t="s">
        <v>118</v>
      </c>
      <c r="D3703" s="26" t="s">
        <v>36</v>
      </c>
      <c r="E3703" s="26" t="s">
        <v>119</v>
      </c>
      <c r="F3703" s="26" t="s">
        <v>3439</v>
      </c>
      <c r="G3703" s="71" t="s">
        <v>221</v>
      </c>
      <c r="H3703" s="26" t="s">
        <v>13605</v>
      </c>
      <c r="I3703" s="17">
        <f ca="1">IFERROR(__xludf.DUMMYFUNCTION("""COMPUTED_VALUE"""),45575)</f>
        <v>45575</v>
      </c>
      <c r="J3703" s="29" t="s">
        <v>7701</v>
      </c>
      <c r="K3703" s="26" t="s">
        <v>13659</v>
      </c>
      <c r="L3703" s="30">
        <v>889739828</v>
      </c>
      <c r="M3703" s="26" t="s">
        <v>80</v>
      </c>
      <c r="N3703" s="26" t="s">
        <v>466</v>
      </c>
      <c r="O3703" s="26" t="s">
        <v>7703</v>
      </c>
      <c r="P3703" s="42" t="s">
        <v>13660</v>
      </c>
      <c r="Q3703" s="20">
        <v>13968</v>
      </c>
      <c r="R3703" s="26" t="s">
        <v>36</v>
      </c>
      <c r="S3703" s="31">
        <v>500</v>
      </c>
      <c r="T3703" s="32">
        <v>45313</v>
      </c>
      <c r="U3703" s="31">
        <v>13368</v>
      </c>
      <c r="V3703" s="26" t="s">
        <v>7699</v>
      </c>
      <c r="W3703" s="26" t="s">
        <v>7705</v>
      </c>
      <c r="X3703" s="26"/>
      <c r="Y3703" s="22">
        <v>100</v>
      </c>
      <c r="Z3703" s="26" t="s">
        <v>50</v>
      </c>
      <c r="AA3703" s="19" t="s">
        <v>7361</v>
      </c>
      <c r="AB3703" s="26"/>
      <c r="AC3703" s="26" t="s">
        <v>53</v>
      </c>
      <c r="AD3703" s="19" t="s">
        <v>138</v>
      </c>
      <c r="AE3703" s="26" t="s">
        <v>3439</v>
      </c>
      <c r="AF3703" s="17">
        <v>45569</v>
      </c>
      <c r="AG3703" s="26" t="s">
        <v>1362</v>
      </c>
      <c r="AH3703" s="26"/>
      <c r="AI3703" s="40"/>
      <c r="AJ3703" s="26"/>
      <c r="AK3703" s="26"/>
      <c r="AL3703" s="35"/>
      <c r="AM3703" s="35"/>
      <c r="AN3703" s="35"/>
      <c r="AO3703" s="35"/>
      <c r="AP3703" s="35"/>
    </row>
    <row r="3704" spans="1:42" x14ac:dyDescent="0.2">
      <c r="A3704" s="38">
        <v>45569</v>
      </c>
      <c r="B3704" s="28" t="s">
        <v>37</v>
      </c>
      <c r="C3704" s="41" t="s">
        <v>118</v>
      </c>
      <c r="D3704" s="80" t="s">
        <v>36</v>
      </c>
      <c r="E3704" s="80" t="s">
        <v>139</v>
      </c>
      <c r="F3704" s="80" t="s">
        <v>9560</v>
      </c>
      <c r="G3704" s="80" t="s">
        <v>108</v>
      </c>
      <c r="H3704" s="80" t="s">
        <v>8541</v>
      </c>
      <c r="I3704" s="17">
        <f ca="1">IFERROR(__xludf.DUMMYFUNCTION("""COMPUTED_VALUE"""),45595)</f>
        <v>45595</v>
      </c>
      <c r="J3704" s="143" t="s">
        <v>11070</v>
      </c>
      <c r="K3704" s="80" t="s">
        <v>13661</v>
      </c>
      <c r="L3704" s="30">
        <v>362421865</v>
      </c>
      <c r="M3704" s="80" t="s">
        <v>2755</v>
      </c>
      <c r="N3704" s="80" t="s">
        <v>4402</v>
      </c>
      <c r="O3704" s="80" t="s">
        <v>4503</v>
      </c>
      <c r="P3704" s="80" t="s">
        <v>11072</v>
      </c>
      <c r="Q3704" s="20">
        <v>15936</v>
      </c>
      <c r="R3704" s="80" t="s">
        <v>36</v>
      </c>
      <c r="S3704" s="95">
        <v>2000</v>
      </c>
      <c r="T3704" s="148">
        <v>45498</v>
      </c>
      <c r="U3704" s="95">
        <v>13936</v>
      </c>
      <c r="V3704" s="148">
        <v>45519</v>
      </c>
      <c r="W3704" s="80" t="s">
        <v>11073</v>
      </c>
      <c r="X3704" s="80">
        <v>0</v>
      </c>
      <c r="Y3704" s="22">
        <v>0</v>
      </c>
      <c r="Z3704" s="80" t="s">
        <v>50</v>
      </c>
      <c r="AA3704" s="35" t="s">
        <v>10314</v>
      </c>
      <c r="AB3704" s="80"/>
      <c r="AC3704" s="80" t="s">
        <v>53</v>
      </c>
      <c r="AD3704" s="80" t="s">
        <v>54</v>
      </c>
      <c r="AE3704" s="80" t="s">
        <v>9560</v>
      </c>
      <c r="AF3704" s="17">
        <v>45595</v>
      </c>
      <c r="AG3704" s="80"/>
      <c r="AH3704" s="80"/>
      <c r="AI3704" s="147"/>
      <c r="AJ3704" s="80"/>
      <c r="AK3704" s="80"/>
      <c r="AL3704" s="35"/>
      <c r="AM3704" s="35"/>
      <c r="AN3704" s="35"/>
      <c r="AO3704" s="35"/>
      <c r="AP3704" s="35"/>
    </row>
    <row r="3705" spans="1:42" x14ac:dyDescent="0.2">
      <c r="A3705" s="38">
        <v>45569</v>
      </c>
      <c r="B3705" s="28" t="s">
        <v>37</v>
      </c>
      <c r="C3705" s="41" t="s">
        <v>118</v>
      </c>
      <c r="D3705" s="26" t="s">
        <v>36</v>
      </c>
      <c r="E3705" s="26" t="s">
        <v>139</v>
      </c>
      <c r="F3705" s="26" t="s">
        <v>4469</v>
      </c>
      <c r="G3705" s="35" t="s">
        <v>1705</v>
      </c>
      <c r="H3705" s="26" t="s">
        <v>13652</v>
      </c>
      <c r="I3705" s="17">
        <f ca="1">IFERROR(__xludf.DUMMYFUNCTION("""COMPUTED_VALUE"""),45601)</f>
        <v>45601</v>
      </c>
      <c r="J3705" s="29" t="s">
        <v>3911</v>
      </c>
      <c r="K3705" s="26" t="s">
        <v>3912</v>
      </c>
      <c r="L3705" s="30">
        <v>378138205</v>
      </c>
      <c r="M3705" s="26" t="s">
        <v>910</v>
      </c>
      <c r="N3705" s="26" t="s">
        <v>3525</v>
      </c>
      <c r="O3705" s="26" t="s">
        <v>134</v>
      </c>
      <c r="P3705" s="42" t="s">
        <v>13662</v>
      </c>
      <c r="Q3705" s="20">
        <v>15936</v>
      </c>
      <c r="R3705" s="26" t="s">
        <v>36</v>
      </c>
      <c r="S3705" s="31">
        <v>2000</v>
      </c>
      <c r="T3705" s="32">
        <v>45197</v>
      </c>
      <c r="U3705" s="31">
        <v>13936</v>
      </c>
      <c r="V3705" s="32">
        <v>45226</v>
      </c>
      <c r="W3705" s="33" t="s">
        <v>3914</v>
      </c>
      <c r="X3705" s="26"/>
      <c r="Y3705" s="22">
        <v>0</v>
      </c>
      <c r="Z3705" s="26" t="s">
        <v>118</v>
      </c>
      <c r="AA3705" s="19" t="s">
        <v>5785</v>
      </c>
      <c r="AB3705" s="26" t="s">
        <v>104</v>
      </c>
      <c r="AC3705" s="26" t="s">
        <v>53</v>
      </c>
      <c r="AD3705" s="19" t="s">
        <v>138</v>
      </c>
      <c r="AE3705" s="26" t="s">
        <v>4469</v>
      </c>
      <c r="AF3705" s="17">
        <v>45601</v>
      </c>
      <c r="AG3705" s="26" t="s">
        <v>1362</v>
      </c>
      <c r="AH3705" s="26"/>
      <c r="AI3705" s="40" t="s">
        <v>147</v>
      </c>
      <c r="AJ3705" s="26"/>
      <c r="AK3705" s="26"/>
      <c r="AL3705" s="35"/>
      <c r="AM3705" s="35"/>
      <c r="AN3705" s="35"/>
      <c r="AO3705" s="35"/>
      <c r="AP3705" s="35"/>
    </row>
    <row r="3706" spans="1:42" x14ac:dyDescent="0.2">
      <c r="A3706" s="38">
        <v>45570</v>
      </c>
      <c r="B3706" s="137" t="s">
        <v>37</v>
      </c>
      <c r="C3706" s="41" t="s">
        <v>118</v>
      </c>
      <c r="D3706" s="26" t="s">
        <v>36</v>
      </c>
      <c r="E3706" s="26" t="s">
        <v>139</v>
      </c>
      <c r="F3706" s="26" t="s">
        <v>8830</v>
      </c>
      <c r="G3706" s="26" t="s">
        <v>108</v>
      </c>
      <c r="H3706" s="26" t="s">
        <v>13126</v>
      </c>
      <c r="I3706" s="17">
        <f ca="1">IFERROR(__xludf.DUMMYFUNCTION("""COMPUTED_VALUE"""),45576)</f>
        <v>45576</v>
      </c>
      <c r="J3706" s="29" t="s">
        <v>10478</v>
      </c>
      <c r="K3706" s="26" t="s">
        <v>10479</v>
      </c>
      <c r="L3706" s="30">
        <v>366528455</v>
      </c>
      <c r="M3706" s="26" t="s">
        <v>3728</v>
      </c>
      <c r="N3706" s="26" t="s">
        <v>8725</v>
      </c>
      <c r="O3706" s="26" t="s">
        <v>10480</v>
      </c>
      <c r="P3706" s="42" t="s">
        <v>13663</v>
      </c>
      <c r="Q3706" s="20">
        <v>15936</v>
      </c>
      <c r="R3706" s="26" t="s">
        <v>36</v>
      </c>
      <c r="S3706" s="95">
        <v>2000</v>
      </c>
      <c r="T3706" s="148">
        <v>45476</v>
      </c>
      <c r="U3706" s="95">
        <v>13936</v>
      </c>
      <c r="V3706" s="148">
        <v>45510</v>
      </c>
      <c r="W3706" s="33" t="s">
        <v>10482</v>
      </c>
      <c r="X3706" s="26">
        <v>0</v>
      </c>
      <c r="Y3706" s="22">
        <v>0</v>
      </c>
      <c r="Z3706" s="26" t="s">
        <v>50</v>
      </c>
      <c r="AA3706" s="35" t="s">
        <v>10314</v>
      </c>
      <c r="AB3706" s="26"/>
      <c r="AC3706" s="26" t="s">
        <v>53</v>
      </c>
      <c r="AD3706" s="26" t="s">
        <v>54</v>
      </c>
      <c r="AE3706" s="26" t="s">
        <v>8830</v>
      </c>
      <c r="AF3706" s="17">
        <v>45572</v>
      </c>
      <c r="AG3706" s="26"/>
      <c r="AH3706" s="26"/>
      <c r="AI3706" s="40"/>
      <c r="AJ3706" s="26"/>
      <c r="AK3706" s="26"/>
      <c r="AL3706" s="35"/>
      <c r="AM3706" s="35"/>
      <c r="AN3706" s="35"/>
      <c r="AO3706" s="35"/>
      <c r="AP3706" s="35"/>
    </row>
    <row r="3707" spans="1:42" x14ac:dyDescent="0.2">
      <c r="A3707" s="38">
        <v>45570</v>
      </c>
      <c r="B3707" s="137" t="s">
        <v>37</v>
      </c>
      <c r="C3707" s="41" t="s">
        <v>118</v>
      </c>
      <c r="D3707" s="80" t="s">
        <v>36</v>
      </c>
      <c r="E3707" s="80" t="s">
        <v>139</v>
      </c>
      <c r="F3707" s="80" t="s">
        <v>10304</v>
      </c>
      <c r="G3707" s="26" t="s">
        <v>108</v>
      </c>
      <c r="H3707" s="26" t="s">
        <v>13126</v>
      </c>
      <c r="I3707" s="17">
        <f ca="1">IFERROR(__xludf.DUMMYFUNCTION("""COMPUTED_VALUE"""),45576)</f>
        <v>45576</v>
      </c>
      <c r="J3707" s="143" t="s">
        <v>11113</v>
      </c>
      <c r="K3707" s="80" t="s">
        <v>7846</v>
      </c>
      <c r="L3707" s="30">
        <v>337340260</v>
      </c>
      <c r="M3707" s="80" t="s">
        <v>123</v>
      </c>
      <c r="N3707" s="80" t="s">
        <v>327</v>
      </c>
      <c r="O3707" s="80" t="s">
        <v>4503</v>
      </c>
      <c r="P3707" s="144" t="s">
        <v>11115</v>
      </c>
      <c r="Q3707" s="20">
        <v>15936</v>
      </c>
      <c r="R3707" s="80" t="s">
        <v>36</v>
      </c>
      <c r="S3707" s="95">
        <f>100+1900</f>
        <v>2000</v>
      </c>
      <c r="T3707" s="83" t="s">
        <v>11116</v>
      </c>
      <c r="U3707" s="95">
        <v>13936</v>
      </c>
      <c r="V3707" s="148">
        <v>45525</v>
      </c>
      <c r="W3707" s="80" t="s">
        <v>11117</v>
      </c>
      <c r="X3707" s="80">
        <v>0</v>
      </c>
      <c r="Y3707" s="22">
        <v>0</v>
      </c>
      <c r="Z3707" s="80" t="s">
        <v>50</v>
      </c>
      <c r="AA3707" s="96" t="s">
        <v>10314</v>
      </c>
      <c r="AB3707" s="80"/>
      <c r="AC3707" s="80" t="s">
        <v>53</v>
      </c>
      <c r="AD3707" s="80" t="s">
        <v>54</v>
      </c>
      <c r="AE3707" s="80" t="s">
        <v>10304</v>
      </c>
      <c r="AF3707" s="17">
        <v>45572</v>
      </c>
      <c r="AG3707" s="80"/>
      <c r="AH3707" s="80"/>
      <c r="AI3707" s="147"/>
      <c r="AJ3707" s="80"/>
      <c r="AK3707" s="80"/>
      <c r="AL3707" s="35"/>
      <c r="AM3707" s="35"/>
      <c r="AN3707" s="35"/>
      <c r="AO3707" s="35"/>
      <c r="AP3707" s="35"/>
    </row>
    <row r="3708" spans="1:42" x14ac:dyDescent="0.2">
      <c r="A3708" s="38">
        <v>45570</v>
      </c>
      <c r="B3708" s="137" t="s">
        <v>37</v>
      </c>
      <c r="C3708" s="41" t="s">
        <v>118</v>
      </c>
      <c r="D3708" s="80" t="s">
        <v>36</v>
      </c>
      <c r="E3708" s="80" t="s">
        <v>139</v>
      </c>
      <c r="F3708" s="80" t="s">
        <v>10444</v>
      </c>
      <c r="G3708" s="26" t="s">
        <v>108</v>
      </c>
      <c r="H3708" s="26" t="s">
        <v>13126</v>
      </c>
      <c r="I3708" s="17">
        <f ca="1">IFERROR(__xludf.DUMMYFUNCTION("""COMPUTED_VALUE"""),45576)</f>
        <v>45576</v>
      </c>
      <c r="J3708" s="143" t="s">
        <v>11278</v>
      </c>
      <c r="K3708" s="80" t="s">
        <v>13664</v>
      </c>
      <c r="L3708" s="30">
        <v>829223387</v>
      </c>
      <c r="M3708" s="80" t="s">
        <v>123</v>
      </c>
      <c r="N3708" s="80" t="s">
        <v>327</v>
      </c>
      <c r="O3708" s="80" t="s">
        <v>4503</v>
      </c>
      <c r="P3708" s="144" t="s">
        <v>11280</v>
      </c>
      <c r="Q3708" s="20">
        <v>15936</v>
      </c>
      <c r="R3708" s="80" t="s">
        <v>36</v>
      </c>
      <c r="S3708" s="95">
        <v>2000</v>
      </c>
      <c r="T3708" s="148">
        <v>45510</v>
      </c>
      <c r="U3708" s="95">
        <v>13936</v>
      </c>
      <c r="V3708" s="148">
        <v>45530</v>
      </c>
      <c r="W3708" s="85" t="s">
        <v>11281</v>
      </c>
      <c r="X3708" s="80">
        <v>0</v>
      </c>
      <c r="Y3708" s="22">
        <v>0</v>
      </c>
      <c r="Z3708" s="80" t="s">
        <v>50</v>
      </c>
      <c r="AA3708" s="35" t="s">
        <v>10314</v>
      </c>
      <c r="AB3708" s="80"/>
      <c r="AC3708" s="80" t="s">
        <v>53</v>
      </c>
      <c r="AD3708" s="80" t="s">
        <v>54</v>
      </c>
      <c r="AE3708" s="80" t="s">
        <v>10444</v>
      </c>
      <c r="AF3708" s="17">
        <v>45572</v>
      </c>
      <c r="AG3708" s="80"/>
      <c r="AH3708" s="80"/>
      <c r="AI3708" s="147"/>
      <c r="AJ3708" s="80"/>
      <c r="AK3708" s="80"/>
      <c r="AL3708" s="35"/>
      <c r="AM3708" s="35"/>
      <c r="AN3708" s="35"/>
      <c r="AO3708" s="35"/>
      <c r="AP3708" s="35"/>
    </row>
    <row r="3709" spans="1:42" x14ac:dyDescent="0.2">
      <c r="A3709" s="38">
        <v>45570</v>
      </c>
      <c r="B3709" s="137" t="s">
        <v>37</v>
      </c>
      <c r="C3709" s="41" t="s">
        <v>118</v>
      </c>
      <c r="D3709" s="26" t="s">
        <v>36</v>
      </c>
      <c r="E3709" s="26" t="s">
        <v>139</v>
      </c>
      <c r="F3709" s="26" t="s">
        <v>2163</v>
      </c>
      <c r="G3709" s="26" t="s">
        <v>221</v>
      </c>
      <c r="H3709" s="26" t="s">
        <v>13665</v>
      </c>
      <c r="I3709" s="17">
        <f ca="1">IFERROR(__xludf.DUMMYFUNCTION("""COMPUTED_VALUE"""),45665)</f>
        <v>45665</v>
      </c>
      <c r="J3709" s="29" t="s">
        <v>7599</v>
      </c>
      <c r="K3709" s="26" t="s">
        <v>13666</v>
      </c>
      <c r="L3709" s="30">
        <v>349926599</v>
      </c>
      <c r="M3709" s="26" t="s">
        <v>5558</v>
      </c>
      <c r="N3709" s="26" t="s">
        <v>5559</v>
      </c>
      <c r="O3709" s="26" t="s">
        <v>4503</v>
      </c>
      <c r="P3709" s="42" t="s">
        <v>13667</v>
      </c>
      <c r="Q3709" s="20">
        <v>15936</v>
      </c>
      <c r="R3709" s="26" t="s">
        <v>36</v>
      </c>
      <c r="S3709" s="31">
        <v>2000</v>
      </c>
      <c r="T3709" s="32">
        <v>45317</v>
      </c>
      <c r="U3709" s="31">
        <v>13936</v>
      </c>
      <c r="V3709" s="32">
        <v>45355</v>
      </c>
      <c r="W3709" s="33" t="s">
        <v>7602</v>
      </c>
      <c r="X3709" s="26"/>
      <c r="Y3709" s="22">
        <v>0</v>
      </c>
      <c r="Z3709" s="26" t="s">
        <v>118</v>
      </c>
      <c r="AA3709" s="19" t="s">
        <v>7361</v>
      </c>
      <c r="AB3709" s="26" t="s">
        <v>36</v>
      </c>
      <c r="AC3709" s="26" t="s">
        <v>53</v>
      </c>
      <c r="AD3709" s="19" t="s">
        <v>54</v>
      </c>
      <c r="AE3709" s="26" t="s">
        <v>2163</v>
      </c>
      <c r="AF3709" s="17">
        <v>45587</v>
      </c>
      <c r="AG3709" s="26"/>
      <c r="AH3709" s="26"/>
      <c r="AI3709" s="40"/>
      <c r="AJ3709" s="26"/>
      <c r="AK3709" s="26"/>
      <c r="AL3709" s="35"/>
      <c r="AM3709" s="35"/>
      <c r="AN3709" s="35"/>
      <c r="AO3709" s="35"/>
      <c r="AP3709" s="35"/>
    </row>
    <row r="3710" spans="1:42" x14ac:dyDescent="0.2">
      <c r="A3710" s="38">
        <v>45571</v>
      </c>
      <c r="B3710" s="28" t="s">
        <v>37</v>
      </c>
      <c r="C3710" s="41" t="s">
        <v>118</v>
      </c>
      <c r="D3710" s="26" t="s">
        <v>36</v>
      </c>
      <c r="E3710" s="26" t="s">
        <v>139</v>
      </c>
      <c r="F3710" s="26" t="s">
        <v>5037</v>
      </c>
      <c r="G3710" s="71" t="s">
        <v>221</v>
      </c>
      <c r="H3710" s="26" t="s">
        <v>13605</v>
      </c>
      <c r="I3710" s="17">
        <f ca="1">IFERROR(__xludf.DUMMYFUNCTION("""COMPUTED_VALUE"""),45575)</f>
        <v>45575</v>
      </c>
      <c r="J3710" s="44" t="s">
        <v>5907</v>
      </c>
      <c r="K3710" s="26" t="s">
        <v>3710</v>
      </c>
      <c r="L3710" s="30">
        <v>971434958</v>
      </c>
      <c r="M3710" s="26" t="s">
        <v>112</v>
      </c>
      <c r="N3710" s="26" t="s">
        <v>3330</v>
      </c>
      <c r="O3710" s="26" t="s">
        <v>3711</v>
      </c>
      <c r="P3710" s="42" t="s">
        <v>13668</v>
      </c>
      <c r="Q3710" s="20">
        <v>15936</v>
      </c>
      <c r="R3710" s="26" t="s">
        <v>36</v>
      </c>
      <c r="S3710" s="31">
        <v>2000</v>
      </c>
      <c r="T3710" s="32">
        <v>45188</v>
      </c>
      <c r="U3710" s="31">
        <v>13968</v>
      </c>
      <c r="V3710" s="32">
        <v>45216</v>
      </c>
      <c r="W3710" s="26"/>
      <c r="X3710" s="26"/>
      <c r="Y3710" s="22">
        <v>-32</v>
      </c>
      <c r="Z3710" s="26" t="s">
        <v>118</v>
      </c>
      <c r="AA3710" s="19" t="s">
        <v>5785</v>
      </c>
      <c r="AB3710" s="26" t="s">
        <v>137</v>
      </c>
      <c r="AC3710" s="26" t="s">
        <v>53</v>
      </c>
      <c r="AD3710" s="19" t="s">
        <v>54</v>
      </c>
      <c r="AE3710" s="26" t="s">
        <v>5037</v>
      </c>
      <c r="AF3710" s="17">
        <v>45572</v>
      </c>
      <c r="AG3710" s="26"/>
      <c r="AH3710" s="26"/>
      <c r="AI3710" s="40" t="s">
        <v>147</v>
      </c>
      <c r="AJ3710" s="26"/>
      <c r="AK3710" s="26"/>
      <c r="AL3710" s="35"/>
      <c r="AM3710" s="35"/>
      <c r="AN3710" s="35"/>
      <c r="AO3710" s="35"/>
      <c r="AP3710" s="35"/>
    </row>
    <row r="3711" spans="1:42" x14ac:dyDescent="0.2">
      <c r="A3711" s="38">
        <v>45571</v>
      </c>
      <c r="B3711" s="28" t="s">
        <v>37</v>
      </c>
      <c r="C3711" s="41" t="s">
        <v>118</v>
      </c>
      <c r="D3711" s="26" t="s">
        <v>36</v>
      </c>
      <c r="E3711" s="26" t="s">
        <v>139</v>
      </c>
      <c r="F3711" s="26" t="s">
        <v>6389</v>
      </c>
      <c r="G3711" s="35" t="s">
        <v>1705</v>
      </c>
      <c r="H3711" s="26" t="s">
        <v>13652</v>
      </c>
      <c r="I3711" s="17">
        <f ca="1">IFERROR(__xludf.DUMMYFUNCTION("""COMPUTED_VALUE"""),45601)</f>
        <v>45601</v>
      </c>
      <c r="J3711" s="29" t="s">
        <v>3623</v>
      </c>
      <c r="K3711" s="26" t="s">
        <v>3624</v>
      </c>
      <c r="L3711" s="30">
        <v>775270270</v>
      </c>
      <c r="M3711" s="26" t="s">
        <v>80</v>
      </c>
      <c r="N3711" s="26" t="s">
        <v>81</v>
      </c>
      <c r="O3711" s="26" t="s">
        <v>3625</v>
      </c>
      <c r="P3711" s="26" t="s">
        <v>2641</v>
      </c>
      <c r="Q3711" s="20">
        <v>15936</v>
      </c>
      <c r="R3711" s="26" t="s">
        <v>36</v>
      </c>
      <c r="S3711" s="31">
        <v>4000</v>
      </c>
      <c r="T3711" s="32">
        <v>45185</v>
      </c>
      <c r="U3711" s="31">
        <v>11936</v>
      </c>
      <c r="V3711" s="32">
        <v>45212</v>
      </c>
      <c r="W3711" s="33" t="s">
        <v>3626</v>
      </c>
      <c r="X3711" s="26"/>
      <c r="Y3711" s="22">
        <v>0</v>
      </c>
      <c r="Z3711" s="26" t="s">
        <v>118</v>
      </c>
      <c r="AA3711" s="19" t="s">
        <v>5785</v>
      </c>
      <c r="AB3711" s="26" t="s">
        <v>104</v>
      </c>
      <c r="AC3711" s="26" t="s">
        <v>53</v>
      </c>
      <c r="AD3711" s="19" t="s">
        <v>138</v>
      </c>
      <c r="AE3711" s="26" t="s">
        <v>6389</v>
      </c>
      <c r="AF3711" s="17">
        <v>45601</v>
      </c>
      <c r="AG3711" s="26" t="s">
        <v>1362</v>
      </c>
      <c r="AH3711" s="26"/>
      <c r="AI3711" s="40" t="s">
        <v>147</v>
      </c>
      <c r="AJ3711" s="26"/>
      <c r="AK3711" s="26"/>
      <c r="AL3711" s="35"/>
      <c r="AM3711" s="35"/>
      <c r="AN3711" s="35"/>
      <c r="AO3711" s="35"/>
      <c r="AP3711" s="35"/>
    </row>
    <row r="3712" spans="1:42" x14ac:dyDescent="0.2">
      <c r="A3712" s="38">
        <v>45571</v>
      </c>
      <c r="B3712" s="28" t="s">
        <v>37</v>
      </c>
      <c r="C3712" s="41" t="s">
        <v>118</v>
      </c>
      <c r="D3712" s="26" t="s">
        <v>36</v>
      </c>
      <c r="E3712" s="26" t="s">
        <v>139</v>
      </c>
      <c r="F3712" s="26" t="s">
        <v>6389</v>
      </c>
      <c r="G3712" s="35" t="s">
        <v>1705</v>
      </c>
      <c r="H3712" s="26" t="s">
        <v>13652</v>
      </c>
      <c r="I3712" s="17">
        <f ca="1">IFERROR(__xludf.DUMMYFUNCTION("""COMPUTED_VALUE"""),45601)</f>
        <v>45601</v>
      </c>
      <c r="J3712" s="29" t="s">
        <v>3677</v>
      </c>
      <c r="K3712" s="26" t="s">
        <v>3678</v>
      </c>
      <c r="L3712" s="30">
        <v>988341325</v>
      </c>
      <c r="M3712" s="26" t="s">
        <v>80</v>
      </c>
      <c r="N3712" s="26" t="s">
        <v>186</v>
      </c>
      <c r="O3712" s="26" t="s">
        <v>125</v>
      </c>
      <c r="P3712" s="42" t="s">
        <v>13669</v>
      </c>
      <c r="Q3712" s="20">
        <v>15936</v>
      </c>
      <c r="R3712" s="26" t="s">
        <v>36</v>
      </c>
      <c r="S3712" s="31">
        <v>2000</v>
      </c>
      <c r="T3712" s="32">
        <v>45157</v>
      </c>
      <c r="U3712" s="31">
        <v>13968</v>
      </c>
      <c r="V3712" s="32">
        <v>45212</v>
      </c>
      <c r="W3712" s="33" t="s">
        <v>3680</v>
      </c>
      <c r="X3712" s="26"/>
      <c r="Y3712" s="22">
        <v>-32</v>
      </c>
      <c r="Z3712" s="26" t="s">
        <v>118</v>
      </c>
      <c r="AA3712" s="19" t="s">
        <v>5785</v>
      </c>
      <c r="AB3712" s="26" t="s">
        <v>104</v>
      </c>
      <c r="AC3712" s="26" t="s">
        <v>53</v>
      </c>
      <c r="AD3712" s="19" t="s">
        <v>138</v>
      </c>
      <c r="AE3712" s="26" t="s">
        <v>6389</v>
      </c>
      <c r="AF3712" s="17">
        <v>45601</v>
      </c>
      <c r="AG3712" s="26" t="s">
        <v>1362</v>
      </c>
      <c r="AH3712" s="26"/>
      <c r="AI3712" s="40" t="s">
        <v>147</v>
      </c>
      <c r="AJ3712" s="26"/>
      <c r="AK3712" s="26"/>
      <c r="AL3712" s="35"/>
      <c r="AM3712" s="35"/>
      <c r="AN3712" s="35"/>
      <c r="AO3712" s="35"/>
      <c r="AP3712" s="35"/>
    </row>
    <row r="3713" spans="1:42" x14ac:dyDescent="0.2">
      <c r="A3713" s="38">
        <v>45572</v>
      </c>
      <c r="B3713" s="28" t="s">
        <v>37</v>
      </c>
      <c r="C3713" s="41" t="s">
        <v>118</v>
      </c>
      <c r="D3713" s="26" t="s">
        <v>36</v>
      </c>
      <c r="E3713" s="26" t="s">
        <v>139</v>
      </c>
      <c r="F3713" s="26" t="s">
        <v>7330</v>
      </c>
      <c r="G3713" s="26" t="s">
        <v>108</v>
      </c>
      <c r="H3713" s="80" t="s">
        <v>11808</v>
      </c>
      <c r="I3713" s="17">
        <f ca="1">IFERROR(__xludf.DUMMYFUNCTION("""COMPUTED_VALUE"""),45579)</f>
        <v>45579</v>
      </c>
      <c r="J3713" s="29" t="s">
        <v>10344</v>
      </c>
      <c r="K3713" s="26" t="s">
        <v>10345</v>
      </c>
      <c r="L3713" s="30">
        <v>868130505</v>
      </c>
      <c r="M3713" s="26" t="s">
        <v>5429</v>
      </c>
      <c r="N3713" s="26" t="s">
        <v>9166</v>
      </c>
      <c r="O3713" s="26" t="s">
        <v>10346</v>
      </c>
      <c r="P3713" s="42" t="s">
        <v>13670</v>
      </c>
      <c r="Q3713" s="20">
        <v>15936</v>
      </c>
      <c r="R3713" s="26" t="s">
        <v>3825</v>
      </c>
      <c r="S3713" s="95">
        <f>200+1800</f>
        <v>2000</v>
      </c>
      <c r="T3713" s="83" t="s">
        <v>10347</v>
      </c>
      <c r="U3713" s="95">
        <v>13736</v>
      </c>
      <c r="V3713" s="148">
        <v>45526</v>
      </c>
      <c r="W3713" s="33" t="s">
        <v>10348</v>
      </c>
      <c r="X3713" s="26">
        <v>200</v>
      </c>
      <c r="Y3713" s="22">
        <v>0</v>
      </c>
      <c r="Z3713" s="26" t="s">
        <v>50</v>
      </c>
      <c r="AA3713" s="96" t="s">
        <v>10314</v>
      </c>
      <c r="AB3713" s="26"/>
      <c r="AC3713" s="26" t="s">
        <v>53</v>
      </c>
      <c r="AD3713" s="26" t="s">
        <v>138</v>
      </c>
      <c r="AE3713" s="26" t="s">
        <v>7330</v>
      </c>
      <c r="AF3713" s="17">
        <v>45579</v>
      </c>
      <c r="AG3713" s="26"/>
      <c r="AH3713" s="26"/>
      <c r="AI3713" s="40"/>
      <c r="AJ3713" s="26"/>
      <c r="AK3713" s="26"/>
      <c r="AL3713" s="35"/>
      <c r="AM3713" s="35"/>
      <c r="AN3713" s="35"/>
      <c r="AO3713" s="35"/>
      <c r="AP3713" s="35"/>
    </row>
    <row r="3714" spans="1:42" x14ac:dyDescent="0.2">
      <c r="A3714" s="38">
        <v>45572</v>
      </c>
      <c r="B3714" s="28" t="s">
        <v>37</v>
      </c>
      <c r="C3714" s="41" t="s">
        <v>118</v>
      </c>
      <c r="D3714" s="26" t="s">
        <v>36</v>
      </c>
      <c r="E3714" s="26" t="s">
        <v>119</v>
      </c>
      <c r="F3714" s="26" t="s">
        <v>8602</v>
      </c>
      <c r="G3714" s="26" t="s">
        <v>221</v>
      </c>
      <c r="H3714" s="26" t="s">
        <v>9820</v>
      </c>
      <c r="I3714" s="17">
        <f ca="1">IFERROR(__xludf.DUMMYFUNCTION("""COMPUTED_VALUE"""),45578)</f>
        <v>45578</v>
      </c>
      <c r="J3714" s="29" t="s">
        <v>10572</v>
      </c>
      <c r="K3714" s="26" t="s">
        <v>10573</v>
      </c>
      <c r="L3714" s="30">
        <v>382458066</v>
      </c>
      <c r="M3714" s="26" t="s">
        <v>3728</v>
      </c>
      <c r="N3714" s="26" t="s">
        <v>5312</v>
      </c>
      <c r="O3714" s="26" t="s">
        <v>10574</v>
      </c>
      <c r="P3714" s="42" t="s">
        <v>13671</v>
      </c>
      <c r="Q3714" s="20">
        <v>13968</v>
      </c>
      <c r="R3714" s="26" t="s">
        <v>36</v>
      </c>
      <c r="S3714" s="95">
        <v>4000</v>
      </c>
      <c r="T3714" s="148">
        <v>45480</v>
      </c>
      <c r="U3714" s="95">
        <v>9968</v>
      </c>
      <c r="V3714" s="148">
        <v>45507</v>
      </c>
      <c r="W3714" s="33" t="s">
        <v>10576</v>
      </c>
      <c r="X3714" s="26">
        <v>0</v>
      </c>
      <c r="Y3714" s="22">
        <v>0</v>
      </c>
      <c r="Z3714" s="26" t="s">
        <v>50</v>
      </c>
      <c r="AA3714" s="35" t="s">
        <v>10314</v>
      </c>
      <c r="AB3714" s="26"/>
      <c r="AC3714" s="26" t="s">
        <v>53</v>
      </c>
      <c r="AD3714" s="26" t="s">
        <v>54</v>
      </c>
      <c r="AE3714" s="26" t="s">
        <v>8602</v>
      </c>
      <c r="AF3714" s="17">
        <v>45573</v>
      </c>
      <c r="AG3714" s="26"/>
      <c r="AH3714" s="26"/>
      <c r="AI3714" s="40"/>
      <c r="AJ3714" s="26"/>
      <c r="AK3714" s="26"/>
      <c r="AL3714" s="35"/>
      <c r="AM3714" s="35"/>
      <c r="AN3714" s="35"/>
      <c r="AO3714" s="35"/>
      <c r="AP3714" s="35"/>
    </row>
    <row r="3715" spans="1:42" x14ac:dyDescent="0.2">
      <c r="A3715" s="38">
        <v>45572</v>
      </c>
      <c r="B3715" s="28" t="s">
        <v>37</v>
      </c>
      <c r="C3715" s="41" t="s">
        <v>118</v>
      </c>
      <c r="D3715" s="26" t="s">
        <v>36</v>
      </c>
      <c r="E3715" s="26" t="s">
        <v>148</v>
      </c>
      <c r="F3715" s="26" t="s">
        <v>8602</v>
      </c>
      <c r="G3715" s="26" t="s">
        <v>221</v>
      </c>
      <c r="H3715" s="26" t="s">
        <v>9820</v>
      </c>
      <c r="I3715" s="17">
        <f ca="1">IFERROR(__xludf.DUMMYFUNCTION("""COMPUTED_VALUE"""),45578)</f>
        <v>45578</v>
      </c>
      <c r="J3715" s="29" t="s">
        <v>9468</v>
      </c>
      <c r="K3715" s="26" t="s">
        <v>13672</v>
      </c>
      <c r="L3715" s="30">
        <v>967026905</v>
      </c>
      <c r="M3715" s="26" t="s">
        <v>348</v>
      </c>
      <c r="N3715" s="26" t="s">
        <v>68</v>
      </c>
      <c r="O3715" s="26" t="s">
        <v>9470</v>
      </c>
      <c r="P3715" s="42" t="s">
        <v>13673</v>
      </c>
      <c r="Q3715" s="20"/>
      <c r="R3715" s="26" t="s">
        <v>36</v>
      </c>
      <c r="S3715" s="95">
        <v>7349</v>
      </c>
      <c r="T3715" s="148">
        <v>45484</v>
      </c>
      <c r="U3715" s="31"/>
      <c r="V3715" s="32"/>
      <c r="W3715" s="33" t="s">
        <v>9472</v>
      </c>
      <c r="X3715" s="26"/>
      <c r="Y3715" s="22"/>
      <c r="Z3715" s="26" t="s">
        <v>50</v>
      </c>
      <c r="AA3715" s="70" t="s">
        <v>9070</v>
      </c>
      <c r="AB3715" s="26"/>
      <c r="AC3715" s="26" t="s">
        <v>53</v>
      </c>
      <c r="AD3715" s="26" t="s">
        <v>54</v>
      </c>
      <c r="AE3715" s="26" t="s">
        <v>8602</v>
      </c>
      <c r="AF3715" s="17">
        <v>45573</v>
      </c>
      <c r="AG3715" s="26"/>
      <c r="AH3715" s="26"/>
      <c r="AI3715" s="40"/>
      <c r="AJ3715" s="26"/>
      <c r="AK3715" s="26"/>
      <c r="AL3715" s="35"/>
      <c r="AM3715" s="35"/>
      <c r="AN3715" s="35"/>
      <c r="AO3715" s="35"/>
      <c r="AP3715" s="35"/>
    </row>
    <row r="3716" spans="1:42" x14ac:dyDescent="0.2">
      <c r="A3716" s="38">
        <v>45572</v>
      </c>
      <c r="B3716" s="28" t="s">
        <v>37</v>
      </c>
      <c r="C3716" s="41" t="s">
        <v>118</v>
      </c>
      <c r="D3716" s="80" t="s">
        <v>36</v>
      </c>
      <c r="E3716" s="80" t="s">
        <v>39</v>
      </c>
      <c r="F3716" s="80" t="s">
        <v>11144</v>
      </c>
      <c r="G3716" s="26" t="s">
        <v>108</v>
      </c>
      <c r="H3716" s="80" t="s">
        <v>13674</v>
      </c>
      <c r="I3716" s="17">
        <f ca="1">IFERROR(__xludf.DUMMYFUNCTION("""COMPUTED_VALUE"""),45582)</f>
        <v>45582</v>
      </c>
      <c r="J3716" s="143" t="s">
        <v>11406</v>
      </c>
      <c r="K3716" s="80" t="s">
        <v>13675</v>
      </c>
      <c r="L3716" s="30">
        <v>382276935</v>
      </c>
      <c r="M3716" s="80" t="s">
        <v>45</v>
      </c>
      <c r="N3716" s="80" t="s">
        <v>1472</v>
      </c>
      <c r="O3716" s="80" t="s">
        <v>11408</v>
      </c>
      <c r="P3716" s="144" t="s">
        <v>13676</v>
      </c>
      <c r="Q3716" s="20">
        <v>5736</v>
      </c>
      <c r="R3716" s="80" t="s">
        <v>36</v>
      </c>
      <c r="S3716" s="95">
        <v>5736</v>
      </c>
      <c r="T3716" s="148">
        <v>45516</v>
      </c>
      <c r="U3716" s="77"/>
      <c r="V3716" s="78"/>
      <c r="W3716" s="85" t="s">
        <v>11410</v>
      </c>
      <c r="X3716" s="80">
        <v>0</v>
      </c>
      <c r="Y3716" s="22">
        <v>0</v>
      </c>
      <c r="Z3716" s="80" t="s">
        <v>50</v>
      </c>
      <c r="AA3716" s="35" t="s">
        <v>10314</v>
      </c>
      <c r="AB3716" s="80"/>
      <c r="AC3716" s="80" t="s">
        <v>53</v>
      </c>
      <c r="AD3716" s="80" t="s">
        <v>54</v>
      </c>
      <c r="AE3716" s="80" t="s">
        <v>11144</v>
      </c>
      <c r="AF3716" s="17">
        <v>45575</v>
      </c>
      <c r="AG3716" s="80"/>
      <c r="AH3716" s="80"/>
      <c r="AI3716" s="147"/>
      <c r="AJ3716" s="80"/>
      <c r="AK3716" s="80"/>
      <c r="AL3716" s="35"/>
      <c r="AM3716" s="35"/>
      <c r="AN3716" s="35"/>
      <c r="AO3716" s="35"/>
      <c r="AP3716" s="35"/>
    </row>
    <row r="3717" spans="1:42" x14ac:dyDescent="0.2">
      <c r="A3717" s="38">
        <v>45572</v>
      </c>
      <c r="B3717" s="28" t="s">
        <v>37</v>
      </c>
      <c r="C3717" s="41" t="s">
        <v>118</v>
      </c>
      <c r="D3717" s="80" t="s">
        <v>36</v>
      </c>
      <c r="E3717" s="80" t="s">
        <v>39</v>
      </c>
      <c r="F3717" s="80" t="s">
        <v>11144</v>
      </c>
      <c r="G3717" s="26" t="s">
        <v>108</v>
      </c>
      <c r="H3717" s="80" t="s">
        <v>13674</v>
      </c>
      <c r="I3717" s="17">
        <f ca="1">IFERROR(__xludf.DUMMYFUNCTION("""COMPUTED_VALUE"""),45582)</f>
        <v>45582</v>
      </c>
      <c r="J3717" s="143" t="s">
        <v>11384</v>
      </c>
      <c r="K3717" s="80" t="s">
        <v>11385</v>
      </c>
      <c r="L3717" s="30">
        <v>911597697</v>
      </c>
      <c r="M3717" s="80" t="s">
        <v>59</v>
      </c>
      <c r="N3717" s="80" t="s">
        <v>68</v>
      </c>
      <c r="O3717" s="80" t="s">
        <v>11386</v>
      </c>
      <c r="P3717" s="144" t="s">
        <v>13677</v>
      </c>
      <c r="Q3717" s="20">
        <v>5736</v>
      </c>
      <c r="R3717" s="80" t="s">
        <v>36</v>
      </c>
      <c r="S3717" s="95">
        <v>5744</v>
      </c>
      <c r="T3717" s="148">
        <v>45516</v>
      </c>
      <c r="U3717" s="77"/>
      <c r="V3717" s="78"/>
      <c r="W3717" s="85" t="s">
        <v>11388</v>
      </c>
      <c r="X3717" s="80">
        <v>0</v>
      </c>
      <c r="Y3717" s="22">
        <v>-8</v>
      </c>
      <c r="Z3717" s="80" t="s">
        <v>50</v>
      </c>
      <c r="AA3717" s="96" t="s">
        <v>10314</v>
      </c>
      <c r="AB3717" s="80"/>
      <c r="AC3717" s="80" t="s">
        <v>53</v>
      </c>
      <c r="AD3717" s="80" t="s">
        <v>54</v>
      </c>
      <c r="AE3717" s="80" t="s">
        <v>11144</v>
      </c>
      <c r="AF3717" s="17">
        <v>45575</v>
      </c>
      <c r="AG3717" s="80"/>
      <c r="AH3717" s="80"/>
      <c r="AI3717" s="147"/>
      <c r="AJ3717" s="80"/>
      <c r="AK3717" s="80"/>
      <c r="AL3717" s="35"/>
      <c r="AM3717" s="35"/>
      <c r="AN3717" s="35"/>
      <c r="AO3717" s="35"/>
      <c r="AP3717" s="35"/>
    </row>
    <row r="3718" spans="1:42" x14ac:dyDescent="0.2">
      <c r="A3718" s="38">
        <v>45572</v>
      </c>
      <c r="B3718" s="28" t="s">
        <v>37</v>
      </c>
      <c r="C3718" s="41" t="s">
        <v>118</v>
      </c>
      <c r="D3718" s="80" t="s">
        <v>36</v>
      </c>
      <c r="E3718" s="80" t="s">
        <v>139</v>
      </c>
      <c r="F3718" s="80" t="s">
        <v>11144</v>
      </c>
      <c r="G3718" s="26" t="s">
        <v>108</v>
      </c>
      <c r="H3718" s="80" t="s">
        <v>13678</v>
      </c>
      <c r="I3718" s="17">
        <f ca="1">IFERROR(__xludf.DUMMYFUNCTION("""COMPUTED_VALUE"""),45620)</f>
        <v>45620</v>
      </c>
      <c r="J3718" s="143" t="s">
        <v>12243</v>
      </c>
      <c r="K3718" s="80" t="s">
        <v>13679</v>
      </c>
      <c r="L3718" s="30">
        <v>941448518</v>
      </c>
      <c r="M3718" s="80" t="s">
        <v>123</v>
      </c>
      <c r="N3718" s="80" t="s">
        <v>327</v>
      </c>
      <c r="O3718" s="80" t="s">
        <v>4503</v>
      </c>
      <c r="P3718" s="144" t="s">
        <v>13680</v>
      </c>
      <c r="Q3718" s="20">
        <v>15936</v>
      </c>
      <c r="R3718" s="80" t="s">
        <v>36</v>
      </c>
      <c r="S3718" s="95">
        <v>2000</v>
      </c>
      <c r="T3718" s="148">
        <v>45516</v>
      </c>
      <c r="U3718" s="95">
        <v>13936</v>
      </c>
      <c r="V3718" s="148">
        <v>45551</v>
      </c>
      <c r="W3718" s="85" t="s">
        <v>12246</v>
      </c>
      <c r="X3718" s="80"/>
      <c r="Y3718" s="22">
        <v>0</v>
      </c>
      <c r="Z3718" s="80" t="s">
        <v>50</v>
      </c>
      <c r="AA3718" s="86"/>
      <c r="AB3718" s="80"/>
      <c r="AC3718" s="80" t="s">
        <v>53</v>
      </c>
      <c r="AD3718" s="80" t="s">
        <v>54</v>
      </c>
      <c r="AE3718" s="80" t="s">
        <v>11144</v>
      </c>
      <c r="AF3718" s="17">
        <v>45575</v>
      </c>
      <c r="AG3718" s="80"/>
      <c r="AH3718" s="80"/>
      <c r="AI3718" s="147" t="s">
        <v>147</v>
      </c>
      <c r="AJ3718" s="80"/>
      <c r="AK3718" s="80"/>
      <c r="AL3718" s="35"/>
      <c r="AM3718" s="35"/>
      <c r="AN3718" s="35"/>
      <c r="AO3718" s="35"/>
      <c r="AP3718" s="35"/>
    </row>
    <row r="3719" spans="1:42" x14ac:dyDescent="0.2">
      <c r="A3719" s="38">
        <v>45572</v>
      </c>
      <c r="B3719" s="28" t="s">
        <v>37</v>
      </c>
      <c r="C3719" s="41" t="s">
        <v>118</v>
      </c>
      <c r="D3719" s="26" t="s">
        <v>36</v>
      </c>
      <c r="E3719" s="26" t="s">
        <v>139</v>
      </c>
      <c r="F3719" s="26" t="s">
        <v>9547</v>
      </c>
      <c r="G3719" s="26" t="s">
        <v>108</v>
      </c>
      <c r="H3719" s="80" t="s">
        <v>13674</v>
      </c>
      <c r="I3719" s="17">
        <f ca="1">IFERROR(__xludf.DUMMYFUNCTION("""COMPUTED_VALUE"""),45582)</f>
        <v>45582</v>
      </c>
      <c r="J3719" s="29" t="s">
        <v>10801</v>
      </c>
      <c r="K3719" s="26" t="s">
        <v>10802</v>
      </c>
      <c r="L3719" s="30">
        <v>949758555</v>
      </c>
      <c r="M3719" s="26" t="s">
        <v>3728</v>
      </c>
      <c r="N3719" s="26" t="s">
        <v>8725</v>
      </c>
      <c r="O3719" s="26" t="s">
        <v>10803</v>
      </c>
      <c r="P3719" s="42" t="s">
        <v>13681</v>
      </c>
      <c r="Q3719" s="20">
        <v>15936</v>
      </c>
      <c r="R3719" s="26" t="s">
        <v>36</v>
      </c>
      <c r="S3719" s="95">
        <f>200+1800</f>
        <v>2000</v>
      </c>
      <c r="T3719" s="83" t="s">
        <v>10805</v>
      </c>
      <c r="U3719" s="95">
        <v>13936</v>
      </c>
      <c r="V3719" s="148">
        <v>45525</v>
      </c>
      <c r="W3719" s="33" t="s">
        <v>10806</v>
      </c>
      <c r="X3719" s="26">
        <v>0</v>
      </c>
      <c r="Y3719" s="22">
        <v>0</v>
      </c>
      <c r="Z3719" s="26" t="s">
        <v>50</v>
      </c>
      <c r="AA3719" s="96" t="s">
        <v>10314</v>
      </c>
      <c r="AB3719" s="26"/>
      <c r="AC3719" s="26" t="s">
        <v>53</v>
      </c>
      <c r="AD3719" s="26" t="s">
        <v>54</v>
      </c>
      <c r="AE3719" s="26" t="s">
        <v>9547</v>
      </c>
      <c r="AF3719" s="17">
        <v>45575</v>
      </c>
      <c r="AG3719" s="26"/>
      <c r="AH3719" s="26"/>
      <c r="AI3719" s="40"/>
      <c r="AJ3719" s="26"/>
      <c r="AK3719" s="26"/>
      <c r="AL3719" s="35"/>
      <c r="AM3719" s="35"/>
      <c r="AN3719" s="35"/>
      <c r="AO3719" s="35"/>
      <c r="AP3719" s="35"/>
    </row>
    <row r="3720" spans="1:42" x14ac:dyDescent="0.2">
      <c r="A3720" s="38">
        <v>45572</v>
      </c>
      <c r="B3720" s="28" t="s">
        <v>37</v>
      </c>
      <c r="C3720" s="41" t="s">
        <v>118</v>
      </c>
      <c r="D3720" s="26" t="s">
        <v>36</v>
      </c>
      <c r="E3720" s="26" t="s">
        <v>119</v>
      </c>
      <c r="F3720" s="26" t="s">
        <v>8602</v>
      </c>
      <c r="G3720" s="26" t="s">
        <v>221</v>
      </c>
      <c r="H3720" s="26" t="s">
        <v>13682</v>
      </c>
      <c r="I3720" s="17">
        <f ca="1">IFERROR(__xludf.DUMMYFUNCTION("""COMPUTED_VALUE"""),45653)</f>
        <v>45653</v>
      </c>
      <c r="J3720" s="29" t="s">
        <v>10427</v>
      </c>
      <c r="K3720" s="26" t="s">
        <v>13683</v>
      </c>
      <c r="L3720" s="47">
        <v>966535844</v>
      </c>
      <c r="M3720" s="26" t="s">
        <v>9422</v>
      </c>
      <c r="N3720" s="26" t="s">
        <v>68</v>
      </c>
      <c r="O3720" s="26" t="s">
        <v>10429</v>
      </c>
      <c r="P3720" s="42" t="s">
        <v>13684</v>
      </c>
      <c r="Q3720" s="20">
        <v>13968</v>
      </c>
      <c r="R3720" s="26" t="s">
        <v>36</v>
      </c>
      <c r="S3720" s="95">
        <v>4000</v>
      </c>
      <c r="T3720" s="148">
        <v>45474</v>
      </c>
      <c r="U3720" s="95">
        <v>9968</v>
      </c>
      <c r="V3720" s="148">
        <v>45506</v>
      </c>
      <c r="W3720" s="33" t="s">
        <v>10431</v>
      </c>
      <c r="X3720" s="26">
        <v>0</v>
      </c>
      <c r="Y3720" s="22">
        <v>0</v>
      </c>
      <c r="Z3720" s="26" t="s">
        <v>50</v>
      </c>
      <c r="AA3720" s="35" t="s">
        <v>10314</v>
      </c>
      <c r="AB3720" s="26"/>
      <c r="AC3720" s="26" t="s">
        <v>53</v>
      </c>
      <c r="AD3720" s="26" t="s">
        <v>54</v>
      </c>
      <c r="AE3720" s="26" t="s">
        <v>8602</v>
      </c>
      <c r="AF3720" s="17">
        <v>45573</v>
      </c>
      <c r="AG3720" s="26"/>
      <c r="AH3720" s="26"/>
      <c r="AI3720" s="40"/>
      <c r="AJ3720" s="26"/>
      <c r="AK3720" s="26"/>
      <c r="AL3720" s="35"/>
      <c r="AM3720" s="35"/>
      <c r="AN3720" s="35"/>
      <c r="AO3720" s="35"/>
      <c r="AP3720" s="35"/>
    </row>
    <row r="3721" spans="1:42" x14ac:dyDescent="0.2">
      <c r="A3721" s="38">
        <v>45572</v>
      </c>
      <c r="B3721" s="28" t="s">
        <v>37</v>
      </c>
      <c r="C3721" s="41" t="s">
        <v>118</v>
      </c>
      <c r="D3721" s="26" t="s">
        <v>36</v>
      </c>
      <c r="E3721" s="26" t="s">
        <v>119</v>
      </c>
      <c r="F3721" s="26" t="s">
        <v>8602</v>
      </c>
      <c r="G3721" s="26" t="s">
        <v>221</v>
      </c>
      <c r="H3721" s="26" t="s">
        <v>9820</v>
      </c>
      <c r="I3721" s="17">
        <f ca="1">IFERROR(__xludf.DUMMYFUNCTION("""COMPUTED_VALUE"""),45578)</f>
        <v>45578</v>
      </c>
      <c r="J3721" s="29" t="s">
        <v>9213</v>
      </c>
      <c r="K3721" s="26" t="s">
        <v>13685</v>
      </c>
      <c r="L3721" s="30">
        <v>338434598</v>
      </c>
      <c r="M3721" s="26" t="s">
        <v>80</v>
      </c>
      <c r="N3721" s="26" t="s">
        <v>1073</v>
      </c>
      <c r="O3721" s="26" t="s">
        <v>9215</v>
      </c>
      <c r="P3721" s="42" t="s">
        <v>13686</v>
      </c>
      <c r="Q3721" s="20"/>
      <c r="R3721" s="26" t="s">
        <v>36</v>
      </c>
      <c r="S3721" s="95">
        <f>200+3800</f>
        <v>4000</v>
      </c>
      <c r="T3721" s="83" t="s">
        <v>9217</v>
      </c>
      <c r="U3721" s="95">
        <v>9968</v>
      </c>
      <c r="V3721" s="148">
        <v>45502</v>
      </c>
      <c r="W3721" s="33" t="s">
        <v>9218</v>
      </c>
      <c r="X3721" s="26"/>
      <c r="Y3721" s="22"/>
      <c r="Z3721" s="26" t="s">
        <v>50</v>
      </c>
      <c r="AA3721" s="70" t="s">
        <v>9070</v>
      </c>
      <c r="AB3721" s="26"/>
      <c r="AC3721" s="26" t="s">
        <v>53</v>
      </c>
      <c r="AD3721" s="26" t="s">
        <v>54</v>
      </c>
      <c r="AE3721" s="26" t="s">
        <v>8602</v>
      </c>
      <c r="AF3721" s="17">
        <v>45573</v>
      </c>
      <c r="AG3721" s="26"/>
      <c r="AH3721" s="26"/>
      <c r="AI3721" s="40"/>
      <c r="AJ3721" s="26"/>
      <c r="AK3721" s="26"/>
      <c r="AL3721" s="35"/>
      <c r="AM3721" s="35"/>
      <c r="AN3721" s="35"/>
      <c r="AO3721" s="35"/>
      <c r="AP3721" s="35"/>
    </row>
    <row r="3722" spans="1:42" x14ac:dyDescent="0.2">
      <c r="A3722" s="38">
        <v>45572</v>
      </c>
      <c r="B3722" s="28" t="s">
        <v>37</v>
      </c>
      <c r="C3722" s="41" t="s">
        <v>118</v>
      </c>
      <c r="D3722" s="26" t="s">
        <v>36</v>
      </c>
      <c r="E3722" s="26" t="s">
        <v>119</v>
      </c>
      <c r="F3722" s="26" t="s">
        <v>8602</v>
      </c>
      <c r="G3722" s="26" t="s">
        <v>221</v>
      </c>
      <c r="H3722" s="26" t="s">
        <v>8536</v>
      </c>
      <c r="I3722" s="17">
        <f ca="1">IFERROR(__xludf.DUMMYFUNCTION("""COMPUTED_VALUE"""),45593)</f>
        <v>45593</v>
      </c>
      <c r="J3722" s="29" t="s">
        <v>7630</v>
      </c>
      <c r="K3722" s="26" t="s">
        <v>7631</v>
      </c>
      <c r="L3722" s="30">
        <v>375111308</v>
      </c>
      <c r="M3722" s="26" t="s">
        <v>5429</v>
      </c>
      <c r="N3722" s="26" t="s">
        <v>81</v>
      </c>
      <c r="O3722" s="26" t="s">
        <v>7632</v>
      </c>
      <c r="P3722" s="42" t="s">
        <v>13687</v>
      </c>
      <c r="Q3722" s="20">
        <v>13968</v>
      </c>
      <c r="R3722" s="26" t="s">
        <v>36</v>
      </c>
      <c r="S3722" s="31">
        <v>4000</v>
      </c>
      <c r="T3722" s="32">
        <v>45343</v>
      </c>
      <c r="U3722" s="31">
        <v>9968</v>
      </c>
      <c r="V3722" s="32">
        <v>45367</v>
      </c>
      <c r="W3722" s="33" t="s">
        <v>7634</v>
      </c>
      <c r="X3722" s="26"/>
      <c r="Y3722" s="22">
        <v>0</v>
      </c>
      <c r="Z3722" s="35" t="s">
        <v>118</v>
      </c>
      <c r="AA3722" s="19" t="s">
        <v>7361</v>
      </c>
      <c r="AB3722" s="26" t="s">
        <v>36</v>
      </c>
      <c r="AC3722" s="26" t="s">
        <v>53</v>
      </c>
      <c r="AD3722" s="19" t="s">
        <v>138</v>
      </c>
      <c r="AE3722" s="26" t="s">
        <v>8602</v>
      </c>
      <c r="AF3722" s="43">
        <v>45586</v>
      </c>
      <c r="AG3722" s="26"/>
      <c r="AH3722" s="26"/>
      <c r="AI3722" s="40"/>
      <c r="AJ3722" s="26"/>
      <c r="AK3722" s="26"/>
      <c r="AL3722" s="35"/>
      <c r="AM3722" s="35"/>
      <c r="AN3722" s="35"/>
      <c r="AO3722" s="35"/>
      <c r="AP3722" s="35"/>
    </row>
    <row r="3723" spans="1:42" x14ac:dyDescent="0.2">
      <c r="A3723" s="38">
        <v>45572</v>
      </c>
      <c r="B3723" s="28" t="s">
        <v>37</v>
      </c>
      <c r="C3723" s="41" t="s">
        <v>118</v>
      </c>
      <c r="D3723" s="26" t="s">
        <v>36</v>
      </c>
      <c r="E3723" s="26" t="s">
        <v>119</v>
      </c>
      <c r="F3723" s="26" t="s">
        <v>8602</v>
      </c>
      <c r="G3723" s="26" t="s">
        <v>221</v>
      </c>
      <c r="H3723" s="26" t="s">
        <v>9820</v>
      </c>
      <c r="I3723" s="17">
        <f ca="1">IFERROR(__xludf.DUMMYFUNCTION("""COMPUTED_VALUE"""),45578)</f>
        <v>45578</v>
      </c>
      <c r="J3723" s="29" t="s">
        <v>9197</v>
      </c>
      <c r="K3723" s="26" t="s">
        <v>13688</v>
      </c>
      <c r="L3723" s="47">
        <v>973936302</v>
      </c>
      <c r="M3723" s="26" t="s">
        <v>80</v>
      </c>
      <c r="N3723" s="26" t="s">
        <v>466</v>
      </c>
      <c r="O3723" s="26" t="s">
        <v>9199</v>
      </c>
      <c r="P3723" s="42" t="s">
        <v>9200</v>
      </c>
      <c r="Q3723" s="20"/>
      <c r="R3723" s="26" t="s">
        <v>36</v>
      </c>
      <c r="S3723" s="95">
        <f>200+3600</f>
        <v>3800</v>
      </c>
      <c r="T3723" s="83" t="s">
        <v>9201</v>
      </c>
      <c r="U3723" s="31">
        <v>10168</v>
      </c>
      <c r="V3723" s="32">
        <v>45502</v>
      </c>
      <c r="W3723" s="33" t="s">
        <v>9202</v>
      </c>
      <c r="X3723" s="26"/>
      <c r="Y3723" s="22"/>
      <c r="Z3723" s="26" t="s">
        <v>50</v>
      </c>
      <c r="AA3723" s="70" t="s">
        <v>9070</v>
      </c>
      <c r="AB3723" s="26"/>
      <c r="AC3723" s="26" t="s">
        <v>53</v>
      </c>
      <c r="AD3723" s="26" t="s">
        <v>54</v>
      </c>
      <c r="AE3723" s="26" t="s">
        <v>8602</v>
      </c>
      <c r="AF3723" s="17">
        <v>45573</v>
      </c>
      <c r="AG3723" s="26"/>
      <c r="AH3723" s="26"/>
      <c r="AI3723" s="40"/>
      <c r="AJ3723" s="26"/>
      <c r="AK3723" s="26"/>
      <c r="AL3723" s="35"/>
      <c r="AM3723" s="35"/>
      <c r="AN3723" s="35"/>
      <c r="AO3723" s="35"/>
      <c r="AP3723" s="35"/>
    </row>
    <row r="3724" spans="1:42" x14ac:dyDescent="0.2">
      <c r="A3724" s="38">
        <v>45572</v>
      </c>
      <c r="B3724" s="28" t="s">
        <v>37</v>
      </c>
      <c r="C3724" s="41" t="s">
        <v>118</v>
      </c>
      <c r="D3724" s="26" t="s">
        <v>36</v>
      </c>
      <c r="E3724" s="26" t="s">
        <v>119</v>
      </c>
      <c r="F3724" s="26" t="s">
        <v>8602</v>
      </c>
      <c r="G3724" s="26" t="s">
        <v>221</v>
      </c>
      <c r="H3724" s="26" t="s">
        <v>9820</v>
      </c>
      <c r="I3724" s="17">
        <f ca="1">IFERROR(__xludf.DUMMYFUNCTION("""COMPUTED_VALUE"""),45578)</f>
        <v>45578</v>
      </c>
      <c r="J3724" s="29" t="s">
        <v>9322</v>
      </c>
      <c r="K3724" s="26" t="s">
        <v>13689</v>
      </c>
      <c r="L3724" s="30">
        <v>397331206</v>
      </c>
      <c r="M3724" s="26" t="s">
        <v>45</v>
      </c>
      <c r="N3724" s="26" t="s">
        <v>557</v>
      </c>
      <c r="O3724" s="26" t="s">
        <v>9324</v>
      </c>
      <c r="P3724" s="42" t="s">
        <v>13690</v>
      </c>
      <c r="Q3724" s="20"/>
      <c r="R3724" s="26" t="s">
        <v>36</v>
      </c>
      <c r="S3724" s="95">
        <v>13968</v>
      </c>
      <c r="T3724" s="148">
        <v>45476</v>
      </c>
      <c r="U3724" s="31"/>
      <c r="V3724" s="32"/>
      <c r="W3724" s="55" t="s">
        <v>9326</v>
      </c>
      <c r="X3724" s="26"/>
      <c r="Y3724" s="22"/>
      <c r="Z3724" s="26" t="s">
        <v>50</v>
      </c>
      <c r="AA3724" s="70" t="s">
        <v>9070</v>
      </c>
      <c r="AB3724" s="26"/>
      <c r="AC3724" s="26" t="s">
        <v>53</v>
      </c>
      <c r="AD3724" s="26" t="s">
        <v>54</v>
      </c>
      <c r="AE3724" s="26" t="s">
        <v>8668</v>
      </c>
      <c r="AF3724" s="17">
        <v>45573</v>
      </c>
      <c r="AG3724" s="26"/>
      <c r="AH3724" s="26"/>
      <c r="AI3724" s="40"/>
      <c r="AJ3724" s="26"/>
      <c r="AK3724" s="26"/>
      <c r="AL3724" s="35"/>
      <c r="AM3724" s="35"/>
      <c r="AN3724" s="35"/>
      <c r="AO3724" s="35"/>
      <c r="AP3724" s="35"/>
    </row>
    <row r="3725" spans="1:42" x14ac:dyDescent="0.2">
      <c r="A3725" s="38">
        <v>45572</v>
      </c>
      <c r="B3725" s="28" t="s">
        <v>37</v>
      </c>
      <c r="C3725" s="41" t="s">
        <v>118</v>
      </c>
      <c r="D3725" s="26" t="s">
        <v>36</v>
      </c>
      <c r="E3725" s="26" t="s">
        <v>56</v>
      </c>
      <c r="F3725" s="26" t="s">
        <v>8602</v>
      </c>
      <c r="G3725" s="26" t="s">
        <v>221</v>
      </c>
      <c r="H3725" s="26" t="s">
        <v>9820</v>
      </c>
      <c r="I3725" s="17">
        <f ca="1">IFERROR(__xludf.DUMMYFUNCTION("""COMPUTED_VALUE"""),45578)</f>
        <v>45578</v>
      </c>
      <c r="J3725" s="29" t="s">
        <v>7656</v>
      </c>
      <c r="K3725" s="26" t="s">
        <v>13691</v>
      </c>
      <c r="L3725" s="30">
        <v>961713659</v>
      </c>
      <c r="M3725" s="26" t="s">
        <v>2755</v>
      </c>
      <c r="N3725" s="26" t="s">
        <v>2756</v>
      </c>
      <c r="O3725" s="26" t="s">
        <v>4503</v>
      </c>
      <c r="P3725" s="42" t="s">
        <v>13692</v>
      </c>
      <c r="Q3725" s="20">
        <v>9317</v>
      </c>
      <c r="R3725" s="26" t="s">
        <v>36</v>
      </c>
      <c r="S3725" s="31">
        <v>3000</v>
      </c>
      <c r="T3725" s="32">
        <v>45347</v>
      </c>
      <c r="U3725" s="31">
        <v>6330</v>
      </c>
      <c r="V3725" s="32">
        <v>45369</v>
      </c>
      <c r="W3725" s="33" t="s">
        <v>7659</v>
      </c>
      <c r="X3725" s="26">
        <v>0</v>
      </c>
      <c r="Y3725" s="22">
        <v>-13</v>
      </c>
      <c r="Z3725" s="98" t="s">
        <v>118</v>
      </c>
      <c r="AA3725" s="19" t="s">
        <v>7361</v>
      </c>
      <c r="AB3725" s="26" t="s">
        <v>36</v>
      </c>
      <c r="AC3725" s="26" t="s">
        <v>53</v>
      </c>
      <c r="AD3725" s="19" t="s">
        <v>54</v>
      </c>
      <c r="AE3725" s="26" t="s">
        <v>8704</v>
      </c>
      <c r="AF3725" s="17">
        <v>45573</v>
      </c>
      <c r="AG3725" s="26"/>
      <c r="AH3725" s="40">
        <v>2.5</v>
      </c>
      <c r="AI3725" s="40"/>
      <c r="AJ3725" s="26"/>
      <c r="AK3725" s="26"/>
      <c r="AL3725" s="35"/>
      <c r="AM3725" s="35"/>
      <c r="AN3725" s="35"/>
      <c r="AO3725" s="35"/>
      <c r="AP3725" s="35"/>
    </row>
    <row r="3726" spans="1:42" x14ac:dyDescent="0.2">
      <c r="A3726" s="38">
        <v>45572</v>
      </c>
      <c r="B3726" s="28" t="s">
        <v>37</v>
      </c>
      <c r="C3726" s="41" t="s">
        <v>118</v>
      </c>
      <c r="D3726" s="80" t="s">
        <v>36</v>
      </c>
      <c r="E3726" s="80" t="s">
        <v>56</v>
      </c>
      <c r="F3726" s="80" t="s">
        <v>10999</v>
      </c>
      <c r="G3726" s="26" t="s">
        <v>108</v>
      </c>
      <c r="H3726" s="80" t="s">
        <v>13674</v>
      </c>
      <c r="I3726" s="17">
        <f ca="1">IFERROR(__xludf.DUMMYFUNCTION("""COMPUTED_VALUE"""),45582)</f>
        <v>45582</v>
      </c>
      <c r="J3726" s="143" t="s">
        <v>11190</v>
      </c>
      <c r="K3726" s="80" t="s">
        <v>11191</v>
      </c>
      <c r="L3726" s="30">
        <v>949498637</v>
      </c>
      <c r="M3726" s="80" t="s">
        <v>9422</v>
      </c>
      <c r="N3726" s="80" t="s">
        <v>5574</v>
      </c>
      <c r="O3726" s="80" t="s">
        <v>11192</v>
      </c>
      <c r="P3726" s="144" t="s">
        <v>13693</v>
      </c>
      <c r="Q3726" s="20">
        <v>9317</v>
      </c>
      <c r="R3726" s="80" t="s">
        <v>36</v>
      </c>
      <c r="S3726" s="95">
        <v>2000</v>
      </c>
      <c r="T3726" s="148">
        <v>45506</v>
      </c>
      <c r="U3726" s="95">
        <v>7317</v>
      </c>
      <c r="V3726" s="148">
        <v>45518</v>
      </c>
      <c r="W3726" s="85" t="s">
        <v>11194</v>
      </c>
      <c r="X3726" s="80">
        <v>0</v>
      </c>
      <c r="Y3726" s="22">
        <v>0</v>
      </c>
      <c r="Z3726" s="80" t="s">
        <v>50</v>
      </c>
      <c r="AA3726" s="35" t="s">
        <v>10314</v>
      </c>
      <c r="AB3726" s="80"/>
      <c r="AC3726" s="80" t="s">
        <v>53</v>
      </c>
      <c r="AD3726" s="80" t="s">
        <v>54</v>
      </c>
      <c r="AE3726" s="80" t="s">
        <v>10999</v>
      </c>
      <c r="AF3726" s="17">
        <v>45575</v>
      </c>
      <c r="AG3726" s="80"/>
      <c r="AH3726" s="80"/>
      <c r="AI3726" s="147"/>
      <c r="AJ3726" s="80"/>
      <c r="AK3726" s="80"/>
      <c r="AL3726" s="35"/>
      <c r="AM3726" s="35"/>
      <c r="AN3726" s="35"/>
      <c r="AO3726" s="35"/>
      <c r="AP3726" s="35"/>
    </row>
    <row r="3727" spans="1:42" x14ac:dyDescent="0.2">
      <c r="A3727" s="38">
        <v>45572</v>
      </c>
      <c r="B3727" s="137" t="s">
        <v>37</v>
      </c>
      <c r="C3727" s="41" t="s">
        <v>118</v>
      </c>
      <c r="D3727" s="80" t="s">
        <v>36</v>
      </c>
      <c r="E3727" s="80" t="s">
        <v>56</v>
      </c>
      <c r="F3727" s="80" t="s">
        <v>11144</v>
      </c>
      <c r="G3727" s="26" t="s">
        <v>108</v>
      </c>
      <c r="H3727" s="80" t="s">
        <v>9768</v>
      </c>
      <c r="I3727" s="17">
        <f ca="1">IFERROR(__xludf.DUMMYFUNCTION("""COMPUTED_VALUE"""),45578)</f>
        <v>45578</v>
      </c>
      <c r="J3727" s="143" t="s">
        <v>12275</v>
      </c>
      <c r="K3727" s="80" t="s">
        <v>13694</v>
      </c>
      <c r="L3727" s="30">
        <v>357950973</v>
      </c>
      <c r="M3727" s="80" t="s">
        <v>910</v>
      </c>
      <c r="N3727" s="80" t="s">
        <v>3525</v>
      </c>
      <c r="O3727" s="80" t="s">
        <v>91</v>
      </c>
      <c r="P3727" s="80" t="s">
        <v>12277</v>
      </c>
      <c r="Q3727" s="20">
        <v>9317</v>
      </c>
      <c r="R3727" s="80" t="s">
        <v>36</v>
      </c>
      <c r="S3727" s="95">
        <v>2000</v>
      </c>
      <c r="T3727" s="148">
        <v>45519</v>
      </c>
      <c r="U3727" s="95">
        <v>7317</v>
      </c>
      <c r="V3727" s="148">
        <v>45545</v>
      </c>
      <c r="W3727" s="85" t="s">
        <v>12278</v>
      </c>
      <c r="X3727" s="80"/>
      <c r="Y3727" s="22">
        <v>0</v>
      </c>
      <c r="Z3727" s="80" t="s">
        <v>50</v>
      </c>
      <c r="AA3727" s="82"/>
      <c r="AB3727" s="80"/>
      <c r="AC3727" s="80" t="s">
        <v>53</v>
      </c>
      <c r="AD3727" s="80" t="s">
        <v>54</v>
      </c>
      <c r="AE3727" s="80" t="s">
        <v>11144</v>
      </c>
      <c r="AF3727" s="43">
        <v>45576</v>
      </c>
      <c r="AG3727" s="80" t="s">
        <v>9774</v>
      </c>
      <c r="AH3727" s="80"/>
      <c r="AI3727" s="147" t="s">
        <v>64</v>
      </c>
      <c r="AJ3727" s="80"/>
      <c r="AK3727" s="80"/>
      <c r="AL3727" s="35"/>
      <c r="AM3727" s="35"/>
      <c r="AN3727" s="35"/>
      <c r="AO3727" s="35"/>
      <c r="AP3727" s="35"/>
    </row>
    <row r="3728" spans="1:42" x14ac:dyDescent="0.2">
      <c r="A3728" s="38">
        <v>45572</v>
      </c>
      <c r="B3728" s="28" t="s">
        <v>37</v>
      </c>
      <c r="C3728" s="41" t="s">
        <v>118</v>
      </c>
      <c r="D3728" s="26" t="s">
        <v>36</v>
      </c>
      <c r="E3728" s="26" t="s">
        <v>1704</v>
      </c>
      <c r="F3728" s="26" t="s">
        <v>8655</v>
      </c>
      <c r="G3728" s="26" t="s">
        <v>1847</v>
      </c>
      <c r="H3728" s="26" t="s">
        <v>9044</v>
      </c>
      <c r="I3728" s="17">
        <f ca="1">IFERROR(__xludf.DUMMYFUNCTION("""COMPUTED_VALUE"""),45613)</f>
        <v>45613</v>
      </c>
      <c r="J3728" s="29" t="s">
        <v>9337</v>
      </c>
      <c r="K3728" s="26" t="s">
        <v>9338</v>
      </c>
      <c r="L3728" s="30">
        <v>934521202</v>
      </c>
      <c r="M3728" s="26" t="s">
        <v>348</v>
      </c>
      <c r="N3728" s="26" t="s">
        <v>200</v>
      </c>
      <c r="O3728" s="26" t="s">
        <v>91</v>
      </c>
      <c r="P3728" s="42" t="s">
        <v>13695</v>
      </c>
      <c r="Q3728" s="20"/>
      <c r="R3728" s="26" t="s">
        <v>36</v>
      </c>
      <c r="S3728" s="95">
        <v>7730</v>
      </c>
      <c r="T3728" s="148">
        <v>45477</v>
      </c>
      <c r="U3728" s="31"/>
      <c r="V3728" s="32"/>
      <c r="W3728" s="33" t="s">
        <v>9340</v>
      </c>
      <c r="X3728" s="26"/>
      <c r="Y3728" s="22"/>
      <c r="Z3728" s="26" t="s">
        <v>50</v>
      </c>
      <c r="AA3728" s="70" t="s">
        <v>9070</v>
      </c>
      <c r="AB3728" s="26"/>
      <c r="AC3728" s="26" t="s">
        <v>53</v>
      </c>
      <c r="AD3728" s="26" t="s">
        <v>54</v>
      </c>
      <c r="AE3728" s="26" t="s">
        <v>8655</v>
      </c>
      <c r="AF3728" s="17">
        <v>45609</v>
      </c>
      <c r="AG3728" s="26"/>
      <c r="AH3728" s="26"/>
      <c r="AI3728" s="40"/>
      <c r="AJ3728" s="26"/>
      <c r="AK3728" s="26"/>
      <c r="AL3728" s="35"/>
      <c r="AM3728" s="35"/>
      <c r="AN3728" s="35"/>
      <c r="AO3728" s="35"/>
      <c r="AP3728" s="35"/>
    </row>
    <row r="3729" spans="1:42" x14ac:dyDescent="0.2">
      <c r="A3729" s="38">
        <v>45572</v>
      </c>
      <c r="B3729" s="28" t="s">
        <v>37</v>
      </c>
      <c r="C3729" s="41" t="s">
        <v>118</v>
      </c>
      <c r="D3729" s="26" t="s">
        <v>36</v>
      </c>
      <c r="E3729" s="26" t="s">
        <v>139</v>
      </c>
      <c r="F3729" s="26" t="s">
        <v>6978</v>
      </c>
      <c r="G3729" s="26" t="s">
        <v>1847</v>
      </c>
      <c r="H3729" s="26" t="s">
        <v>9044</v>
      </c>
      <c r="I3729" s="17">
        <f ca="1">IFERROR(__xludf.DUMMYFUNCTION("""COMPUTED_VALUE"""),45613)</f>
        <v>45613</v>
      </c>
      <c r="J3729" s="29" t="s">
        <v>6265</v>
      </c>
      <c r="K3729" s="26" t="s">
        <v>6266</v>
      </c>
      <c r="L3729" s="30">
        <v>869671736</v>
      </c>
      <c r="M3729" s="26" t="s">
        <v>348</v>
      </c>
      <c r="N3729" s="26" t="s">
        <v>200</v>
      </c>
      <c r="O3729" s="26" t="s">
        <v>6267</v>
      </c>
      <c r="P3729" s="42" t="s">
        <v>8359</v>
      </c>
      <c r="Q3729" s="20">
        <v>15936</v>
      </c>
      <c r="R3729" s="26" t="s">
        <v>36</v>
      </c>
      <c r="S3729" s="31">
        <v>2000</v>
      </c>
      <c r="T3729" s="32">
        <v>45250</v>
      </c>
      <c r="U3729" s="31">
        <v>13936</v>
      </c>
      <c r="V3729" s="32">
        <v>45269</v>
      </c>
      <c r="W3729" s="33" t="s">
        <v>6269</v>
      </c>
      <c r="X3729" s="26"/>
      <c r="Y3729" s="22">
        <v>0</v>
      </c>
      <c r="Z3729" s="98" t="s">
        <v>118</v>
      </c>
      <c r="AA3729" s="19" t="s">
        <v>5961</v>
      </c>
      <c r="AB3729" s="26" t="s">
        <v>36</v>
      </c>
      <c r="AC3729" s="26" t="s">
        <v>53</v>
      </c>
      <c r="AD3729" s="19" t="s">
        <v>54</v>
      </c>
      <c r="AE3729" s="26" t="s">
        <v>6978</v>
      </c>
      <c r="AF3729" s="17">
        <v>45607</v>
      </c>
      <c r="AG3729" s="26"/>
      <c r="AH3729" s="26">
        <v>1</v>
      </c>
      <c r="AI3729" s="40"/>
      <c r="AJ3729" s="26"/>
      <c r="AK3729" s="26"/>
      <c r="AL3729" s="35"/>
      <c r="AM3729" s="35"/>
      <c r="AN3729" s="35"/>
      <c r="AO3729" s="35"/>
      <c r="AP3729" s="35"/>
    </row>
    <row r="3730" spans="1:42" x14ac:dyDescent="0.2">
      <c r="A3730" s="38">
        <v>45572</v>
      </c>
      <c r="B3730" s="28" t="s">
        <v>37</v>
      </c>
      <c r="C3730" s="41" t="s">
        <v>118</v>
      </c>
      <c r="D3730" s="26" t="s">
        <v>36</v>
      </c>
      <c r="E3730" s="26" t="s">
        <v>119</v>
      </c>
      <c r="F3730" s="26" t="s">
        <v>8655</v>
      </c>
      <c r="G3730" s="26" t="s">
        <v>1847</v>
      </c>
      <c r="H3730" s="26" t="s">
        <v>9044</v>
      </c>
      <c r="I3730" s="17">
        <f ca="1">IFERROR(__xludf.DUMMYFUNCTION("""COMPUTED_VALUE"""),45613)</f>
        <v>45613</v>
      </c>
      <c r="J3730" s="29" t="s">
        <v>1464</v>
      </c>
      <c r="K3730" s="26" t="s">
        <v>5050</v>
      </c>
      <c r="L3730" s="30">
        <v>888528598</v>
      </c>
      <c r="M3730" s="26" t="s">
        <v>292</v>
      </c>
      <c r="N3730" s="26" t="s">
        <v>1466</v>
      </c>
      <c r="O3730" s="26" t="s">
        <v>1467</v>
      </c>
      <c r="P3730" s="54" t="s">
        <v>13696</v>
      </c>
      <c r="Q3730" s="20">
        <v>13968</v>
      </c>
      <c r="R3730" s="26" t="s">
        <v>36</v>
      </c>
      <c r="S3730" s="31">
        <v>13968</v>
      </c>
      <c r="T3730" s="32">
        <v>45150</v>
      </c>
      <c r="U3730" s="31"/>
      <c r="V3730" s="26"/>
      <c r="W3730" s="33" t="s">
        <v>1469</v>
      </c>
      <c r="X3730" s="26">
        <v>0</v>
      </c>
      <c r="Y3730" s="22">
        <v>0</v>
      </c>
      <c r="Z3730" s="26" t="s">
        <v>118</v>
      </c>
      <c r="AA3730" s="19" t="s">
        <v>901</v>
      </c>
      <c r="AB3730" s="26" t="s">
        <v>36</v>
      </c>
      <c r="AC3730" s="26" t="s">
        <v>53</v>
      </c>
      <c r="AD3730" s="19" t="s">
        <v>54</v>
      </c>
      <c r="AE3730" s="26" t="s">
        <v>8655</v>
      </c>
      <c r="AF3730" s="17">
        <v>45607</v>
      </c>
      <c r="AG3730" s="26"/>
      <c r="AH3730" s="26">
        <v>1</v>
      </c>
      <c r="AI3730" s="40">
        <v>4</v>
      </c>
      <c r="AJ3730" s="26"/>
      <c r="AK3730" s="26"/>
      <c r="AL3730" s="35"/>
      <c r="AM3730" s="35"/>
      <c r="AN3730" s="35"/>
      <c r="AO3730" s="35"/>
      <c r="AP3730" s="35"/>
    </row>
    <row r="3731" spans="1:42" x14ac:dyDescent="0.2">
      <c r="A3731" s="38">
        <v>45572</v>
      </c>
      <c r="B3731" s="28" t="s">
        <v>37</v>
      </c>
      <c r="C3731" s="41" t="s">
        <v>118</v>
      </c>
      <c r="D3731" s="26" t="s">
        <v>36</v>
      </c>
      <c r="E3731" s="26" t="s">
        <v>119</v>
      </c>
      <c r="F3731" s="26" t="s">
        <v>8655</v>
      </c>
      <c r="G3731" s="26" t="s">
        <v>1847</v>
      </c>
      <c r="H3731" s="26" t="s">
        <v>9044</v>
      </c>
      <c r="I3731" s="17">
        <f ca="1">IFERROR(__xludf.DUMMYFUNCTION("""COMPUTED_VALUE"""),45613)</f>
        <v>45613</v>
      </c>
      <c r="J3731" s="44" t="s">
        <v>6026</v>
      </c>
      <c r="K3731" s="26" t="s">
        <v>6027</v>
      </c>
      <c r="L3731" s="30">
        <v>971417226</v>
      </c>
      <c r="M3731" s="26" t="s">
        <v>80</v>
      </c>
      <c r="N3731" s="26" t="s">
        <v>466</v>
      </c>
      <c r="O3731" s="26" t="s">
        <v>2491</v>
      </c>
      <c r="P3731" s="42" t="s">
        <v>13697</v>
      </c>
      <c r="Q3731" s="20">
        <v>13968</v>
      </c>
      <c r="R3731" s="26" t="s">
        <v>36</v>
      </c>
      <c r="S3731" s="31">
        <v>4000</v>
      </c>
      <c r="T3731" s="32">
        <v>45154</v>
      </c>
      <c r="U3731" s="31">
        <v>9968</v>
      </c>
      <c r="V3731" s="32">
        <v>45196</v>
      </c>
      <c r="W3731" s="33" t="s">
        <v>2493</v>
      </c>
      <c r="X3731" s="26"/>
      <c r="Y3731" s="22">
        <v>0</v>
      </c>
      <c r="Z3731" s="26" t="s">
        <v>118</v>
      </c>
      <c r="AA3731" s="19" t="s">
        <v>2449</v>
      </c>
      <c r="AB3731" s="26" t="s">
        <v>36</v>
      </c>
      <c r="AC3731" s="26" t="s">
        <v>53</v>
      </c>
      <c r="AD3731" s="19" t="s">
        <v>54</v>
      </c>
      <c r="AE3731" s="26" t="s">
        <v>8655</v>
      </c>
      <c r="AF3731" s="17">
        <v>45609</v>
      </c>
      <c r="AG3731" s="26"/>
      <c r="AH3731" s="26"/>
      <c r="AI3731" s="40"/>
      <c r="AJ3731" s="26"/>
      <c r="AK3731" s="26"/>
      <c r="AL3731" s="35"/>
      <c r="AM3731" s="35"/>
      <c r="AN3731" s="35"/>
      <c r="AO3731" s="35"/>
      <c r="AP3731" s="35"/>
    </row>
    <row r="3732" spans="1:42" x14ac:dyDescent="0.2">
      <c r="A3732" s="38">
        <v>45572</v>
      </c>
      <c r="B3732" s="28" t="s">
        <v>37</v>
      </c>
      <c r="C3732" s="41" t="s">
        <v>118</v>
      </c>
      <c r="D3732" s="80" t="s">
        <v>36</v>
      </c>
      <c r="E3732" s="80" t="s">
        <v>139</v>
      </c>
      <c r="F3732" s="80" t="s">
        <v>10999</v>
      </c>
      <c r="G3732" s="26" t="s">
        <v>108</v>
      </c>
      <c r="H3732" s="80" t="s">
        <v>13674</v>
      </c>
      <c r="I3732" s="17">
        <f ca="1">IFERROR(__xludf.DUMMYFUNCTION("""COMPUTED_VALUE"""),45582)</f>
        <v>45582</v>
      </c>
      <c r="J3732" s="143" t="s">
        <v>11074</v>
      </c>
      <c r="K3732" s="80" t="s">
        <v>13698</v>
      </c>
      <c r="L3732" s="30">
        <v>903269673</v>
      </c>
      <c r="M3732" s="80" t="s">
        <v>80</v>
      </c>
      <c r="N3732" s="80" t="s">
        <v>1073</v>
      </c>
      <c r="O3732" s="80" t="s">
        <v>13699</v>
      </c>
      <c r="P3732" s="144" t="s">
        <v>13700</v>
      </c>
      <c r="Q3732" s="20">
        <v>15936</v>
      </c>
      <c r="R3732" s="80" t="s">
        <v>36</v>
      </c>
      <c r="S3732" s="95">
        <f t="shared" ref="S3732:S3733" si="54">200+1800</f>
        <v>2000</v>
      </c>
      <c r="T3732" s="83" t="s">
        <v>11078</v>
      </c>
      <c r="U3732" s="95">
        <f>13500+436</f>
        <v>13936</v>
      </c>
      <c r="V3732" s="83" t="s">
        <v>11079</v>
      </c>
      <c r="W3732" s="85" t="s">
        <v>11080</v>
      </c>
      <c r="X3732" s="80">
        <v>0</v>
      </c>
      <c r="Y3732" s="22">
        <v>0</v>
      </c>
      <c r="Z3732" s="80" t="s">
        <v>50</v>
      </c>
      <c r="AA3732" s="35" t="s">
        <v>10314</v>
      </c>
      <c r="AB3732" s="80"/>
      <c r="AC3732" s="80" t="s">
        <v>53</v>
      </c>
      <c r="AD3732" s="80" t="s">
        <v>54</v>
      </c>
      <c r="AE3732" s="80" t="s">
        <v>10999</v>
      </c>
      <c r="AF3732" s="17">
        <v>45575</v>
      </c>
      <c r="AG3732" s="80"/>
      <c r="AH3732" s="80"/>
      <c r="AI3732" s="147"/>
      <c r="AJ3732" s="80"/>
      <c r="AK3732" s="80"/>
      <c r="AL3732" s="35"/>
      <c r="AM3732" s="35"/>
      <c r="AN3732" s="35"/>
      <c r="AO3732" s="35"/>
      <c r="AP3732" s="35"/>
    </row>
    <row r="3733" spans="1:42" x14ac:dyDescent="0.2">
      <c r="A3733" s="38">
        <v>45574</v>
      </c>
      <c r="B3733" s="28" t="s">
        <v>37</v>
      </c>
      <c r="C3733" s="41" t="s">
        <v>118</v>
      </c>
      <c r="D3733" s="26" t="s">
        <v>36</v>
      </c>
      <c r="E3733" s="26" t="s">
        <v>139</v>
      </c>
      <c r="F3733" s="26" t="s">
        <v>8830</v>
      </c>
      <c r="G3733" s="26" t="s">
        <v>108</v>
      </c>
      <c r="H3733" s="80" t="s">
        <v>13674</v>
      </c>
      <c r="I3733" s="17">
        <f ca="1">IFERROR(__xludf.DUMMYFUNCTION("""COMPUTED_VALUE"""),45582)</f>
        <v>45582</v>
      </c>
      <c r="J3733" s="44" t="s">
        <v>13701</v>
      </c>
      <c r="K3733" s="19" t="s">
        <v>13702</v>
      </c>
      <c r="L3733" s="47">
        <v>869699831</v>
      </c>
      <c r="M3733" s="19" t="s">
        <v>3728</v>
      </c>
      <c r="N3733" s="19" t="s">
        <v>8725</v>
      </c>
      <c r="O3733" s="26" t="s">
        <v>10331</v>
      </c>
      <c r="P3733" s="42" t="s">
        <v>13703</v>
      </c>
      <c r="Q3733" s="20">
        <v>15936</v>
      </c>
      <c r="R3733" s="26" t="s">
        <v>36</v>
      </c>
      <c r="S3733" s="95">
        <f t="shared" si="54"/>
        <v>2000</v>
      </c>
      <c r="T3733" s="83" t="s">
        <v>10333</v>
      </c>
      <c r="U3733" s="95">
        <v>13936</v>
      </c>
      <c r="V3733" s="148">
        <v>45508</v>
      </c>
      <c r="W3733" s="33" t="s">
        <v>13704</v>
      </c>
      <c r="X3733" s="26">
        <v>0</v>
      </c>
      <c r="Y3733" s="22">
        <v>0</v>
      </c>
      <c r="Z3733" s="26" t="s">
        <v>50</v>
      </c>
      <c r="AA3733" s="96" t="s">
        <v>10314</v>
      </c>
      <c r="AB3733" s="26" t="s">
        <v>36</v>
      </c>
      <c r="AC3733" s="26" t="s">
        <v>53</v>
      </c>
      <c r="AD3733" s="26" t="s">
        <v>54</v>
      </c>
      <c r="AE3733" s="26" t="s">
        <v>8830</v>
      </c>
      <c r="AF3733" s="17">
        <v>45575</v>
      </c>
      <c r="AG3733" s="26"/>
      <c r="AH3733" s="26"/>
      <c r="AI3733" s="40"/>
      <c r="AJ3733" s="26"/>
      <c r="AK3733" s="26"/>
      <c r="AL3733" s="35"/>
      <c r="AM3733" s="35"/>
      <c r="AN3733" s="35"/>
      <c r="AO3733" s="35"/>
      <c r="AP3733" s="35"/>
    </row>
    <row r="3734" spans="1:42" x14ac:dyDescent="0.2">
      <c r="A3734" s="38">
        <v>45574</v>
      </c>
      <c r="B3734" s="28" t="s">
        <v>37</v>
      </c>
      <c r="C3734" s="41" t="s">
        <v>118</v>
      </c>
      <c r="D3734" s="26" t="s">
        <v>36</v>
      </c>
      <c r="E3734" s="26" t="s">
        <v>139</v>
      </c>
      <c r="F3734" s="26" t="s">
        <v>7871</v>
      </c>
      <c r="G3734" s="26" t="s">
        <v>221</v>
      </c>
      <c r="H3734" s="26" t="s">
        <v>8536</v>
      </c>
      <c r="I3734" s="17">
        <f ca="1">IFERROR(__xludf.DUMMYFUNCTION("""COMPUTED_VALUE"""),45593)</f>
        <v>45593</v>
      </c>
      <c r="J3734" s="29" t="s">
        <v>7635</v>
      </c>
      <c r="K3734" s="26" t="s">
        <v>7636</v>
      </c>
      <c r="L3734" s="30">
        <v>971400552</v>
      </c>
      <c r="M3734" s="26" t="s">
        <v>5518</v>
      </c>
      <c r="N3734" s="26" t="s">
        <v>253</v>
      </c>
      <c r="O3734" s="26" t="s">
        <v>7637</v>
      </c>
      <c r="P3734" s="42" t="s">
        <v>13705</v>
      </c>
      <c r="Q3734" s="20">
        <v>15936</v>
      </c>
      <c r="R3734" s="26" t="s">
        <v>36</v>
      </c>
      <c r="S3734" s="31">
        <v>2000</v>
      </c>
      <c r="T3734" s="32">
        <v>45342</v>
      </c>
      <c r="U3734" s="31">
        <v>13936</v>
      </c>
      <c r="V3734" s="32">
        <v>45377</v>
      </c>
      <c r="W3734" s="33" t="s">
        <v>7638</v>
      </c>
      <c r="X3734" s="26"/>
      <c r="Y3734" s="22">
        <v>0</v>
      </c>
      <c r="Z3734" s="26" t="s">
        <v>118</v>
      </c>
      <c r="AA3734" s="19" t="s">
        <v>7361</v>
      </c>
      <c r="AB3734" s="26" t="s">
        <v>36</v>
      </c>
      <c r="AC3734" s="26" t="s">
        <v>53</v>
      </c>
      <c r="AD3734" s="19" t="s">
        <v>138</v>
      </c>
      <c r="AE3734" s="26" t="s">
        <v>7871</v>
      </c>
      <c r="AF3734" s="43">
        <v>45586</v>
      </c>
      <c r="AG3734" s="26"/>
      <c r="AH3734" s="26"/>
      <c r="AI3734" s="40"/>
      <c r="AJ3734" s="26"/>
      <c r="AK3734" s="26"/>
      <c r="AL3734" s="35"/>
      <c r="AM3734" s="35"/>
      <c r="AN3734" s="35"/>
      <c r="AO3734" s="35"/>
      <c r="AP3734" s="35"/>
    </row>
    <row r="3735" spans="1:42" x14ac:dyDescent="0.2">
      <c r="A3735" s="38">
        <v>45574</v>
      </c>
      <c r="B3735" s="137" t="s">
        <v>37</v>
      </c>
      <c r="C3735" s="41" t="s">
        <v>118</v>
      </c>
      <c r="D3735" s="26" t="s">
        <v>36</v>
      </c>
      <c r="E3735" s="26" t="s">
        <v>56</v>
      </c>
      <c r="F3735" s="26" t="s">
        <v>8238</v>
      </c>
      <c r="G3735" s="26" t="s">
        <v>221</v>
      </c>
      <c r="H3735" s="26" t="s">
        <v>13513</v>
      </c>
      <c r="I3735" s="17">
        <f ca="1">IFERROR(__xludf.DUMMYFUNCTION("""COMPUTED_VALUE"""),45594)</f>
        <v>45594</v>
      </c>
      <c r="J3735" s="29" t="s">
        <v>7376</v>
      </c>
      <c r="K3735" s="26" t="s">
        <v>7377</v>
      </c>
      <c r="L3735" s="30">
        <v>869363242</v>
      </c>
      <c r="M3735" s="26" t="s">
        <v>80</v>
      </c>
      <c r="N3735" s="26" t="s">
        <v>2272</v>
      </c>
      <c r="O3735" s="26" t="s">
        <v>91</v>
      </c>
      <c r="P3735" s="72" t="s">
        <v>8576</v>
      </c>
      <c r="Q3735" s="20">
        <v>16779</v>
      </c>
      <c r="R3735" s="26" t="s">
        <v>36</v>
      </c>
      <c r="S3735" s="31">
        <v>16779</v>
      </c>
      <c r="T3735" s="32">
        <v>44791</v>
      </c>
      <c r="U3735" s="31"/>
      <c r="V3735" s="32"/>
      <c r="W3735" s="33" t="s">
        <v>7379</v>
      </c>
      <c r="X3735" s="26">
        <v>0</v>
      </c>
      <c r="Y3735" s="22">
        <v>0</v>
      </c>
      <c r="Z3735" s="26" t="s">
        <v>118</v>
      </c>
      <c r="AA3735" s="19"/>
      <c r="AB3735" s="26" t="s">
        <v>36</v>
      </c>
      <c r="AC3735" s="26" t="s">
        <v>53</v>
      </c>
      <c r="AD3735" s="19" t="s">
        <v>54</v>
      </c>
      <c r="AE3735" s="26" t="s">
        <v>8238</v>
      </c>
      <c r="AF3735" s="17">
        <v>45587</v>
      </c>
      <c r="AG3735" s="91"/>
      <c r="AH3735" s="26"/>
      <c r="AI3735" s="92"/>
      <c r="AJ3735" s="35"/>
      <c r="AK3735" s="35"/>
      <c r="AL3735" s="35"/>
      <c r="AM3735" s="35"/>
      <c r="AN3735" s="26"/>
      <c r="AO3735" s="26"/>
      <c r="AP3735" s="26"/>
    </row>
    <row r="3736" spans="1:42" x14ac:dyDescent="0.2">
      <c r="A3736" s="38">
        <v>45574</v>
      </c>
      <c r="B3736" s="137" t="s">
        <v>37</v>
      </c>
      <c r="C3736" s="41" t="s">
        <v>118</v>
      </c>
      <c r="D3736" s="26" t="s">
        <v>36</v>
      </c>
      <c r="E3736" s="26" t="s">
        <v>119</v>
      </c>
      <c r="F3736" s="26" t="s">
        <v>8602</v>
      </c>
      <c r="G3736" s="26" t="s">
        <v>221</v>
      </c>
      <c r="H3736" s="26" t="s">
        <v>13513</v>
      </c>
      <c r="I3736" s="17">
        <f ca="1">IFERROR(__xludf.DUMMYFUNCTION("""COMPUTED_VALUE"""),45594)</f>
        <v>45594</v>
      </c>
      <c r="J3736" s="29" t="s">
        <v>9279</v>
      </c>
      <c r="K3736" s="26" t="s">
        <v>4034</v>
      </c>
      <c r="L3736" s="30">
        <v>964853476</v>
      </c>
      <c r="M3736" s="26" t="s">
        <v>80</v>
      </c>
      <c r="N3736" s="26" t="s">
        <v>1073</v>
      </c>
      <c r="O3736" s="26" t="s">
        <v>9281</v>
      </c>
      <c r="P3736" s="42" t="s">
        <v>13706</v>
      </c>
      <c r="Q3736" s="20"/>
      <c r="R3736" s="26" t="s">
        <v>36</v>
      </c>
      <c r="S3736" s="95">
        <f>200+3800</f>
        <v>4000</v>
      </c>
      <c r="T3736" s="83" t="s">
        <v>9283</v>
      </c>
      <c r="U3736" s="95">
        <v>9968</v>
      </c>
      <c r="V3736" s="148">
        <v>45502</v>
      </c>
      <c r="W3736" s="33" t="s">
        <v>9284</v>
      </c>
      <c r="X3736" s="26"/>
      <c r="Y3736" s="22"/>
      <c r="Z3736" s="26" t="s">
        <v>50</v>
      </c>
      <c r="AA3736" s="70" t="s">
        <v>9070</v>
      </c>
      <c r="AB3736" s="26"/>
      <c r="AC3736" s="26" t="s">
        <v>53</v>
      </c>
      <c r="AD3736" s="26" t="s">
        <v>54</v>
      </c>
      <c r="AE3736" s="26" t="s">
        <v>8602</v>
      </c>
      <c r="AF3736" s="17">
        <v>45587</v>
      </c>
      <c r="AG3736" s="26"/>
      <c r="AH3736" s="26"/>
      <c r="AI3736" s="40"/>
      <c r="AJ3736" s="26"/>
      <c r="AK3736" s="26"/>
      <c r="AL3736" s="35"/>
      <c r="AM3736" s="35"/>
      <c r="AN3736" s="35"/>
      <c r="AO3736" s="35"/>
      <c r="AP3736" s="35"/>
    </row>
    <row r="3737" spans="1:42" x14ac:dyDescent="0.2">
      <c r="A3737" s="38">
        <v>45574</v>
      </c>
      <c r="B3737" s="28" t="s">
        <v>37</v>
      </c>
      <c r="C3737" s="41" t="s">
        <v>118</v>
      </c>
      <c r="D3737" s="26" t="s">
        <v>36</v>
      </c>
      <c r="E3737" s="26" t="s">
        <v>139</v>
      </c>
      <c r="F3737" s="26" t="s">
        <v>9502</v>
      </c>
      <c r="G3737" s="26" t="s">
        <v>108</v>
      </c>
      <c r="H3737" s="80" t="s">
        <v>9171</v>
      </c>
      <c r="I3737" s="17">
        <f ca="1">IFERROR(__xludf.DUMMYFUNCTION("""COMPUTED_VALUE"""),45586)</f>
        <v>45586</v>
      </c>
      <c r="J3737" s="29" t="s">
        <v>10374</v>
      </c>
      <c r="K3737" s="26" t="s">
        <v>13707</v>
      </c>
      <c r="L3737" s="30">
        <v>388654605</v>
      </c>
      <c r="M3737" s="26" t="s">
        <v>3728</v>
      </c>
      <c r="N3737" s="26" t="s">
        <v>8725</v>
      </c>
      <c r="O3737" s="26" t="s">
        <v>10376</v>
      </c>
      <c r="P3737" s="42" t="s">
        <v>13708</v>
      </c>
      <c r="Q3737" s="20">
        <v>15936</v>
      </c>
      <c r="R3737" s="26" t="s">
        <v>36</v>
      </c>
      <c r="S3737" s="95">
        <v>2000</v>
      </c>
      <c r="T3737" s="148">
        <v>45473</v>
      </c>
      <c r="U3737" s="95">
        <v>13936</v>
      </c>
      <c r="V3737" s="148">
        <v>45519</v>
      </c>
      <c r="W3737" s="33" t="s">
        <v>10378</v>
      </c>
      <c r="X3737" s="26">
        <v>0</v>
      </c>
      <c r="Y3737" s="22">
        <v>0</v>
      </c>
      <c r="Z3737" s="26" t="s">
        <v>50</v>
      </c>
      <c r="AA3737" s="96" t="s">
        <v>10314</v>
      </c>
      <c r="AB3737" s="26"/>
      <c r="AC3737" s="26" t="s">
        <v>53</v>
      </c>
      <c r="AD3737" s="26" t="s">
        <v>54</v>
      </c>
      <c r="AE3737" s="26" t="s">
        <v>9502</v>
      </c>
      <c r="AF3737" s="17">
        <v>45579</v>
      </c>
      <c r="AG3737" s="26" t="s">
        <v>2075</v>
      </c>
      <c r="AH3737" s="26"/>
      <c r="AI3737" s="40"/>
      <c r="AJ3737" s="26"/>
      <c r="AK3737" s="26"/>
      <c r="AL3737" s="35"/>
      <c r="AM3737" s="35"/>
      <c r="AN3737" s="35"/>
      <c r="AO3737" s="35"/>
      <c r="AP3737" s="35"/>
    </row>
    <row r="3738" spans="1:42" x14ac:dyDescent="0.2">
      <c r="A3738" s="38">
        <v>45574</v>
      </c>
      <c r="B3738" s="28" t="s">
        <v>37</v>
      </c>
      <c r="C3738" s="41" t="s">
        <v>118</v>
      </c>
      <c r="D3738" s="80" t="s">
        <v>36</v>
      </c>
      <c r="E3738" s="80" t="s">
        <v>139</v>
      </c>
      <c r="F3738" s="80" t="s">
        <v>11211</v>
      </c>
      <c r="G3738" s="80" t="s">
        <v>108</v>
      </c>
      <c r="H3738" s="80" t="s">
        <v>10223</v>
      </c>
      <c r="I3738" s="17">
        <f ca="1">IFERROR(__xludf.DUMMYFUNCTION("""COMPUTED_VALUE"""),45578)</f>
        <v>45578</v>
      </c>
      <c r="J3738" s="143" t="s">
        <v>12267</v>
      </c>
      <c r="K3738" s="80" t="s">
        <v>12268</v>
      </c>
      <c r="L3738" s="30">
        <v>357195698</v>
      </c>
      <c r="M3738" s="80" t="s">
        <v>2755</v>
      </c>
      <c r="N3738" s="80" t="s">
        <v>2756</v>
      </c>
      <c r="O3738" s="80" t="s">
        <v>4503</v>
      </c>
      <c r="P3738" s="144" t="s">
        <v>13709</v>
      </c>
      <c r="Q3738" s="20">
        <v>15936</v>
      </c>
      <c r="R3738" s="80" t="s">
        <v>36</v>
      </c>
      <c r="S3738" s="95">
        <v>3000</v>
      </c>
      <c r="T3738" s="148">
        <v>45518</v>
      </c>
      <c r="U3738" s="95">
        <v>12936</v>
      </c>
      <c r="V3738" s="148">
        <v>45552</v>
      </c>
      <c r="W3738" s="85" t="s">
        <v>12270</v>
      </c>
      <c r="X3738" s="80">
        <v>0</v>
      </c>
      <c r="Y3738" s="22">
        <v>0</v>
      </c>
      <c r="Z3738" s="80" t="s">
        <v>50</v>
      </c>
      <c r="AA3738" s="86"/>
      <c r="AB3738" s="80"/>
      <c r="AC3738" s="80" t="s">
        <v>53</v>
      </c>
      <c r="AD3738" s="80" t="s">
        <v>54</v>
      </c>
      <c r="AE3738" s="80" t="s">
        <v>11211</v>
      </c>
      <c r="AF3738" s="17">
        <v>45576</v>
      </c>
      <c r="AG3738" s="26" t="s">
        <v>10229</v>
      </c>
      <c r="AH3738" s="80"/>
      <c r="AI3738" s="147" t="s">
        <v>147</v>
      </c>
      <c r="AJ3738" s="80"/>
      <c r="AK3738" s="80"/>
      <c r="AL3738" s="35"/>
      <c r="AM3738" s="35"/>
      <c r="AN3738" s="35"/>
      <c r="AO3738" s="35"/>
      <c r="AP3738" s="35"/>
    </row>
    <row r="3739" spans="1:42" x14ac:dyDescent="0.2">
      <c r="A3739" s="38">
        <v>45574</v>
      </c>
      <c r="B3739" s="28" t="s">
        <v>37</v>
      </c>
      <c r="C3739" s="41" t="s">
        <v>118</v>
      </c>
      <c r="D3739" s="80" t="s">
        <v>36</v>
      </c>
      <c r="E3739" s="80" t="s">
        <v>39</v>
      </c>
      <c r="F3739" s="80" t="s">
        <v>10444</v>
      </c>
      <c r="G3739" s="26" t="s">
        <v>108</v>
      </c>
      <c r="H3739" s="80" t="s">
        <v>9171</v>
      </c>
      <c r="I3739" s="17">
        <f ca="1">IFERROR(__xludf.DUMMYFUNCTION("""COMPUTED_VALUE"""),45586)</f>
        <v>45586</v>
      </c>
      <c r="J3739" s="143" t="s">
        <v>11255</v>
      </c>
      <c r="K3739" s="80" t="s">
        <v>11256</v>
      </c>
      <c r="L3739" s="30">
        <v>358058900</v>
      </c>
      <c r="M3739" s="80" t="s">
        <v>348</v>
      </c>
      <c r="N3739" s="80" t="s">
        <v>200</v>
      </c>
      <c r="O3739" s="80" t="s">
        <v>11257</v>
      </c>
      <c r="P3739" s="144" t="s">
        <v>11258</v>
      </c>
      <c r="Q3739" s="20">
        <v>5736</v>
      </c>
      <c r="R3739" s="80" t="s">
        <v>36</v>
      </c>
      <c r="S3739" s="95">
        <v>2000</v>
      </c>
      <c r="T3739" s="148">
        <v>45510</v>
      </c>
      <c r="U3739" s="95">
        <v>3736</v>
      </c>
      <c r="V3739" s="148">
        <v>45516</v>
      </c>
      <c r="W3739" s="85" t="s">
        <v>11259</v>
      </c>
      <c r="X3739" s="80">
        <v>0</v>
      </c>
      <c r="Y3739" s="22">
        <v>0</v>
      </c>
      <c r="Z3739" s="80" t="s">
        <v>50</v>
      </c>
      <c r="AA3739" s="96" t="s">
        <v>10314</v>
      </c>
      <c r="AB3739" s="80"/>
      <c r="AC3739" s="80" t="s">
        <v>53</v>
      </c>
      <c r="AD3739" s="80" t="s">
        <v>54</v>
      </c>
      <c r="AE3739" s="80" t="s">
        <v>10444</v>
      </c>
      <c r="AF3739" s="17">
        <v>45579</v>
      </c>
      <c r="AG3739" s="80"/>
      <c r="AH3739" s="80"/>
      <c r="AI3739" s="147"/>
      <c r="AJ3739" s="80"/>
      <c r="AK3739" s="80"/>
      <c r="AL3739" s="35"/>
      <c r="AM3739" s="35"/>
      <c r="AN3739" s="35"/>
      <c r="AO3739" s="35"/>
      <c r="AP3739" s="35"/>
    </row>
    <row r="3740" spans="1:42" x14ac:dyDescent="0.2">
      <c r="A3740" s="38">
        <v>45575</v>
      </c>
      <c r="B3740" s="28" t="s">
        <v>37</v>
      </c>
      <c r="C3740" s="41" t="s">
        <v>118</v>
      </c>
      <c r="D3740" s="26" t="s">
        <v>36</v>
      </c>
      <c r="E3740" s="26" t="s">
        <v>139</v>
      </c>
      <c r="F3740" s="26" t="s">
        <v>10021</v>
      </c>
      <c r="G3740" s="26" t="s">
        <v>108</v>
      </c>
      <c r="H3740" s="80" t="s">
        <v>9171</v>
      </c>
      <c r="I3740" s="17">
        <f ca="1">IFERROR(__xludf.DUMMYFUNCTION("""COMPUTED_VALUE"""),45586)</f>
        <v>45586</v>
      </c>
      <c r="J3740" s="29" t="s">
        <v>10779</v>
      </c>
      <c r="K3740" s="26" t="s">
        <v>13710</v>
      </c>
      <c r="L3740" s="30">
        <v>865440133</v>
      </c>
      <c r="M3740" s="26" t="s">
        <v>3498</v>
      </c>
      <c r="N3740" s="26" t="s">
        <v>4402</v>
      </c>
      <c r="O3740" s="26" t="s">
        <v>4503</v>
      </c>
      <c r="P3740" s="42" t="s">
        <v>13711</v>
      </c>
      <c r="Q3740" s="20">
        <v>15936</v>
      </c>
      <c r="R3740" s="26" t="s">
        <v>36</v>
      </c>
      <c r="S3740" s="95">
        <v>2000</v>
      </c>
      <c r="T3740" s="148">
        <v>45489</v>
      </c>
      <c r="U3740" s="95">
        <v>13936</v>
      </c>
      <c r="V3740" s="148">
        <v>45531</v>
      </c>
      <c r="W3740" s="33" t="s">
        <v>10782</v>
      </c>
      <c r="X3740" s="26">
        <v>0</v>
      </c>
      <c r="Y3740" s="22">
        <v>0</v>
      </c>
      <c r="Z3740" s="26" t="s">
        <v>50</v>
      </c>
      <c r="AA3740" s="35" t="s">
        <v>10314</v>
      </c>
      <c r="AB3740" s="26"/>
      <c r="AC3740" s="26" t="s">
        <v>53</v>
      </c>
      <c r="AD3740" s="26" t="s">
        <v>54</v>
      </c>
      <c r="AE3740" s="26" t="s">
        <v>10021</v>
      </c>
      <c r="AF3740" s="17">
        <v>45579</v>
      </c>
      <c r="AG3740" s="26"/>
      <c r="AH3740" s="26"/>
      <c r="AI3740" s="40"/>
      <c r="AJ3740" s="26"/>
      <c r="AK3740" s="26"/>
      <c r="AL3740" s="35"/>
      <c r="AM3740" s="35"/>
      <c r="AN3740" s="35"/>
      <c r="AO3740" s="35"/>
      <c r="AP3740" s="35"/>
    </row>
    <row r="3741" spans="1:42" x14ac:dyDescent="0.2">
      <c r="A3741" s="38">
        <v>45575</v>
      </c>
      <c r="B3741" s="28" t="s">
        <v>37</v>
      </c>
      <c r="C3741" s="41" t="s">
        <v>118</v>
      </c>
      <c r="D3741" s="26" t="s">
        <v>36</v>
      </c>
      <c r="E3741" s="26" t="s">
        <v>39</v>
      </c>
      <c r="F3741" s="26" t="s">
        <v>9241</v>
      </c>
      <c r="G3741" s="26" t="s">
        <v>108</v>
      </c>
      <c r="H3741" s="80" t="s">
        <v>9171</v>
      </c>
      <c r="I3741" s="17">
        <f ca="1">IFERROR(__xludf.DUMMYFUNCTION("""COMPUTED_VALUE"""),45586)</f>
        <v>45586</v>
      </c>
      <c r="J3741" s="29" t="s">
        <v>10595</v>
      </c>
      <c r="K3741" s="26" t="s">
        <v>13712</v>
      </c>
      <c r="L3741" s="30">
        <v>384870050</v>
      </c>
      <c r="M3741" s="26" t="s">
        <v>45</v>
      </c>
      <c r="N3741" s="26" t="s">
        <v>571</v>
      </c>
      <c r="O3741" s="26" t="s">
        <v>10597</v>
      </c>
      <c r="P3741" s="42" t="s">
        <v>13713</v>
      </c>
      <c r="Q3741" s="20">
        <v>5736</v>
      </c>
      <c r="R3741" s="26" t="s">
        <v>36</v>
      </c>
      <c r="S3741" s="95">
        <v>2500</v>
      </c>
      <c r="T3741" s="148">
        <v>45481</v>
      </c>
      <c r="U3741" s="95">
        <v>3236</v>
      </c>
      <c r="V3741" s="148">
        <v>45505</v>
      </c>
      <c r="W3741" s="33" t="s">
        <v>10599</v>
      </c>
      <c r="X3741" s="26">
        <v>0</v>
      </c>
      <c r="Y3741" s="22">
        <v>0</v>
      </c>
      <c r="Z3741" s="26" t="s">
        <v>50</v>
      </c>
      <c r="AA3741" s="96" t="s">
        <v>10314</v>
      </c>
      <c r="AB3741" s="26"/>
      <c r="AC3741" s="26" t="s">
        <v>53</v>
      </c>
      <c r="AD3741" s="26" t="s">
        <v>54</v>
      </c>
      <c r="AE3741" s="26" t="s">
        <v>9241</v>
      </c>
      <c r="AF3741" s="17">
        <v>45579</v>
      </c>
      <c r="AG3741" s="26"/>
      <c r="AH3741" s="26"/>
      <c r="AI3741" s="40"/>
      <c r="AJ3741" s="26"/>
      <c r="AK3741" s="26"/>
      <c r="AL3741" s="35"/>
      <c r="AM3741" s="35"/>
      <c r="AN3741" s="35"/>
      <c r="AO3741" s="35"/>
      <c r="AP3741" s="35"/>
    </row>
    <row r="3742" spans="1:42" x14ac:dyDescent="0.2">
      <c r="A3742" s="99">
        <v>44912</v>
      </c>
      <c r="B3742" s="28" t="s">
        <v>37</v>
      </c>
      <c r="C3742" s="41" t="s">
        <v>118</v>
      </c>
      <c r="D3742" s="80" t="s">
        <v>36</v>
      </c>
      <c r="E3742" s="80" t="s">
        <v>219</v>
      </c>
      <c r="F3742" s="80" t="s">
        <v>13714</v>
      </c>
      <c r="G3742" s="142" t="s">
        <v>221</v>
      </c>
      <c r="H3742" s="86" t="s">
        <v>8536</v>
      </c>
      <c r="I3742" s="17">
        <f ca="1">IFERROR(__xludf.DUMMYFUNCTION("""COMPUTED_VALUE"""),45593)</f>
        <v>45593</v>
      </c>
      <c r="J3742" s="143" t="s">
        <v>13715</v>
      </c>
      <c r="K3742" s="80" t="s">
        <v>13716</v>
      </c>
      <c r="L3742" s="30">
        <v>973478755</v>
      </c>
      <c r="M3742" s="80" t="s">
        <v>112</v>
      </c>
      <c r="N3742" s="80" t="s">
        <v>193</v>
      </c>
      <c r="O3742" s="80" t="s">
        <v>13717</v>
      </c>
      <c r="P3742" s="175" t="s">
        <v>13718</v>
      </c>
      <c r="Q3742" s="20">
        <v>3968</v>
      </c>
      <c r="R3742" s="80" t="s">
        <v>36</v>
      </c>
      <c r="S3742" s="77">
        <v>3868</v>
      </c>
      <c r="T3742" s="78">
        <v>44910</v>
      </c>
      <c r="U3742" s="77"/>
      <c r="V3742" s="78"/>
      <c r="W3742" s="85" t="s">
        <v>13719</v>
      </c>
      <c r="X3742" s="80">
        <v>100</v>
      </c>
      <c r="Y3742" s="22">
        <v>0</v>
      </c>
      <c r="Z3742" s="81" t="s">
        <v>50</v>
      </c>
      <c r="AA3742" s="86" t="s">
        <v>6985</v>
      </c>
      <c r="AB3742" s="80" t="s">
        <v>36</v>
      </c>
      <c r="AC3742" s="80" t="s">
        <v>53</v>
      </c>
      <c r="AD3742" s="80"/>
      <c r="AE3742" s="80" t="s">
        <v>13714</v>
      </c>
      <c r="AF3742" s="43">
        <v>45586</v>
      </c>
      <c r="AG3742" s="86"/>
      <c r="AH3742" s="150">
        <v>1</v>
      </c>
      <c r="AI3742" s="151"/>
      <c r="AJ3742" s="151">
        <v>44912.09795841435</v>
      </c>
      <c r="AK3742" s="86"/>
      <c r="AL3742" s="86">
        <v>973478755</v>
      </c>
      <c r="AM3742" s="86"/>
      <c r="AN3742" s="80"/>
      <c r="AO3742" s="80"/>
      <c r="AP3742" s="35"/>
    </row>
    <row r="3743" spans="1:42" x14ac:dyDescent="0.2">
      <c r="A3743" s="38">
        <v>45575</v>
      </c>
      <c r="B3743" s="28" t="s">
        <v>37</v>
      </c>
      <c r="C3743" s="41" t="s">
        <v>118</v>
      </c>
      <c r="D3743" s="26" t="s">
        <v>36</v>
      </c>
      <c r="E3743" s="26" t="s">
        <v>139</v>
      </c>
      <c r="F3743" s="26" t="s">
        <v>6600</v>
      </c>
      <c r="G3743" s="142" t="s">
        <v>221</v>
      </c>
      <c r="H3743" s="86" t="s">
        <v>8536</v>
      </c>
      <c r="I3743" s="17">
        <f ca="1">IFERROR(__xludf.DUMMYFUNCTION("""COMPUTED_VALUE"""),45593)</f>
        <v>45593</v>
      </c>
      <c r="J3743" s="29" t="s">
        <v>7085</v>
      </c>
      <c r="K3743" s="26" t="s">
        <v>7086</v>
      </c>
      <c r="L3743" s="30">
        <v>962212489</v>
      </c>
      <c r="M3743" s="26" t="s">
        <v>80</v>
      </c>
      <c r="N3743" s="26" t="s">
        <v>466</v>
      </c>
      <c r="O3743" s="26" t="s">
        <v>7087</v>
      </c>
      <c r="P3743" s="42" t="s">
        <v>13720</v>
      </c>
      <c r="Q3743" s="20">
        <v>15936</v>
      </c>
      <c r="R3743" s="26" t="s">
        <v>36</v>
      </c>
      <c r="S3743" s="31">
        <v>200</v>
      </c>
      <c r="T3743" s="32">
        <v>45291</v>
      </c>
      <c r="U3743" s="31">
        <f>3800+11936</f>
        <v>15736</v>
      </c>
      <c r="V3743" s="26" t="s">
        <v>7089</v>
      </c>
      <c r="W3743" s="26" t="s">
        <v>7090</v>
      </c>
      <c r="X3743" s="26"/>
      <c r="Y3743" s="22">
        <v>0</v>
      </c>
      <c r="Z3743" s="26" t="s">
        <v>118</v>
      </c>
      <c r="AA3743" s="19" t="s">
        <v>7077</v>
      </c>
      <c r="AB3743" s="26" t="s">
        <v>36</v>
      </c>
      <c r="AC3743" s="26" t="s">
        <v>53</v>
      </c>
      <c r="AD3743" s="19" t="s">
        <v>54</v>
      </c>
      <c r="AE3743" s="26" t="s">
        <v>6600</v>
      </c>
      <c r="AF3743" s="43">
        <v>45586</v>
      </c>
      <c r="AG3743" s="26"/>
      <c r="AH3743" s="26"/>
      <c r="AI3743" s="40" t="s">
        <v>147</v>
      </c>
      <c r="AJ3743" s="26"/>
      <c r="AK3743" s="26"/>
      <c r="AL3743" s="35"/>
      <c r="AM3743" s="35"/>
      <c r="AN3743" s="35"/>
      <c r="AO3743" s="35"/>
      <c r="AP3743" s="35"/>
    </row>
    <row r="3744" spans="1:42" x14ac:dyDescent="0.2">
      <c r="A3744" s="38">
        <v>45575</v>
      </c>
      <c r="B3744" s="28" t="s">
        <v>37</v>
      </c>
      <c r="C3744" s="41" t="s">
        <v>118</v>
      </c>
      <c r="D3744" s="26" t="s">
        <v>36</v>
      </c>
      <c r="E3744" s="26" t="s">
        <v>119</v>
      </c>
      <c r="F3744" s="26" t="s">
        <v>6512</v>
      </c>
      <c r="G3744" s="26" t="s">
        <v>1705</v>
      </c>
      <c r="H3744" s="26" t="s">
        <v>13652</v>
      </c>
      <c r="I3744" s="17">
        <f ca="1">IFERROR(__xludf.DUMMYFUNCTION("""COMPUTED_VALUE"""),45601)</f>
        <v>45601</v>
      </c>
      <c r="J3744" s="29" t="s">
        <v>6682</v>
      </c>
      <c r="K3744" s="26" t="s">
        <v>13721</v>
      </c>
      <c r="L3744" s="30">
        <v>968591944</v>
      </c>
      <c r="M3744" s="26" t="s">
        <v>80</v>
      </c>
      <c r="N3744" s="26" t="s">
        <v>466</v>
      </c>
      <c r="O3744" s="26" t="s">
        <v>6684</v>
      </c>
      <c r="P3744" s="42" t="s">
        <v>8011</v>
      </c>
      <c r="Q3744" s="20">
        <v>13968</v>
      </c>
      <c r="R3744" s="26" t="s">
        <v>36</v>
      </c>
      <c r="S3744" s="31">
        <v>200</v>
      </c>
      <c r="T3744" s="32">
        <v>45250</v>
      </c>
      <c r="U3744" s="31">
        <f>3800 +9968</f>
        <v>13768</v>
      </c>
      <c r="V3744" s="26" t="s">
        <v>6686</v>
      </c>
      <c r="W3744" s="33" t="s">
        <v>6687</v>
      </c>
      <c r="X3744" s="26">
        <v>0</v>
      </c>
      <c r="Y3744" s="22">
        <v>0</v>
      </c>
      <c r="Z3744" s="26" t="s">
        <v>118</v>
      </c>
      <c r="AA3744" s="19" t="s">
        <v>6079</v>
      </c>
      <c r="AB3744" s="26" t="s">
        <v>36</v>
      </c>
      <c r="AC3744" s="26" t="s">
        <v>53</v>
      </c>
      <c r="AD3744" s="19" t="s">
        <v>138</v>
      </c>
      <c r="AE3744" s="26" t="s">
        <v>6512</v>
      </c>
      <c r="AF3744" s="17">
        <v>45601</v>
      </c>
      <c r="AG3744" s="26" t="s">
        <v>1362</v>
      </c>
      <c r="AH3744" s="26"/>
      <c r="AI3744" s="40">
        <v>4</v>
      </c>
      <c r="AJ3744" s="26"/>
      <c r="AK3744" s="26"/>
      <c r="AL3744" s="35"/>
      <c r="AM3744" s="35"/>
      <c r="AN3744" s="35"/>
      <c r="AO3744" s="35"/>
      <c r="AP3744" s="35"/>
    </row>
    <row r="3745" spans="1:42" x14ac:dyDescent="0.2">
      <c r="A3745" s="38">
        <v>45576</v>
      </c>
      <c r="B3745" s="28" t="s">
        <v>37</v>
      </c>
      <c r="C3745" s="41" t="s">
        <v>118</v>
      </c>
      <c r="D3745" s="26" t="s">
        <v>36</v>
      </c>
      <c r="E3745" s="26" t="s">
        <v>139</v>
      </c>
      <c r="F3745" s="26" t="s">
        <v>8771</v>
      </c>
      <c r="G3745" s="26" t="s">
        <v>108</v>
      </c>
      <c r="H3745" s="80" t="s">
        <v>13674</v>
      </c>
      <c r="I3745" s="17">
        <f ca="1">IFERROR(__xludf.DUMMYFUNCTION("""COMPUTED_VALUE"""),45582)</f>
        <v>45582</v>
      </c>
      <c r="J3745" s="29" t="s">
        <v>9102</v>
      </c>
      <c r="K3745" s="19" t="s">
        <v>13722</v>
      </c>
      <c r="L3745" s="47">
        <v>399912157</v>
      </c>
      <c r="M3745" s="19" t="s">
        <v>80</v>
      </c>
      <c r="N3745" s="19" t="s">
        <v>1073</v>
      </c>
      <c r="O3745" s="26" t="s">
        <v>9104</v>
      </c>
      <c r="P3745" s="115" t="s">
        <v>13723</v>
      </c>
      <c r="Q3745" s="20"/>
      <c r="R3745" s="26" t="s">
        <v>36</v>
      </c>
      <c r="S3745" s="95">
        <f>200+1800</f>
        <v>2000</v>
      </c>
      <c r="T3745" s="83" t="s">
        <v>9106</v>
      </c>
      <c r="U3745" s="95">
        <v>13936</v>
      </c>
      <c r="V3745" s="148">
        <v>45503</v>
      </c>
      <c r="W3745" s="33" t="s">
        <v>9107</v>
      </c>
      <c r="X3745" s="26"/>
      <c r="Y3745" s="22"/>
      <c r="Z3745" s="26" t="s">
        <v>50</v>
      </c>
      <c r="AA3745" s="70" t="s">
        <v>9070</v>
      </c>
      <c r="AB3745" s="26" t="s">
        <v>36</v>
      </c>
      <c r="AC3745" s="26" t="s">
        <v>53</v>
      </c>
      <c r="AD3745" s="26" t="s">
        <v>54</v>
      </c>
      <c r="AE3745" s="26" t="s">
        <v>8771</v>
      </c>
      <c r="AF3745" s="17">
        <v>45576</v>
      </c>
      <c r="AG3745" s="26"/>
      <c r="AH3745" s="26"/>
      <c r="AI3745" s="40"/>
      <c r="AJ3745" s="26"/>
      <c r="AK3745" s="26"/>
      <c r="AL3745" s="35"/>
      <c r="AM3745" s="35"/>
      <c r="AN3745" s="35"/>
      <c r="AO3745" s="35"/>
      <c r="AP3745" s="35"/>
    </row>
    <row r="3746" spans="1:42" x14ac:dyDescent="0.2">
      <c r="A3746" s="38">
        <v>45576</v>
      </c>
      <c r="B3746" s="28" t="s">
        <v>37</v>
      </c>
      <c r="C3746" s="41" t="s">
        <v>118</v>
      </c>
      <c r="D3746" s="80" t="s">
        <v>36</v>
      </c>
      <c r="E3746" s="80" t="s">
        <v>139</v>
      </c>
      <c r="F3746" s="80" t="s">
        <v>11527</v>
      </c>
      <c r="G3746" s="26" t="s">
        <v>108</v>
      </c>
      <c r="H3746" s="80" t="s">
        <v>9171</v>
      </c>
      <c r="I3746" s="17">
        <f ca="1">IFERROR(__xludf.DUMMYFUNCTION("""COMPUTED_VALUE"""),45586)</f>
        <v>45586</v>
      </c>
      <c r="J3746" s="143" t="s">
        <v>12370</v>
      </c>
      <c r="K3746" s="80" t="s">
        <v>6046</v>
      </c>
      <c r="L3746" s="30">
        <v>363922273</v>
      </c>
      <c r="M3746" s="80" t="s">
        <v>123</v>
      </c>
      <c r="N3746" s="80" t="s">
        <v>186</v>
      </c>
      <c r="O3746" s="80" t="s">
        <v>4503</v>
      </c>
      <c r="P3746" s="144" t="s">
        <v>13724</v>
      </c>
      <c r="Q3746" s="20">
        <v>15936</v>
      </c>
      <c r="R3746" s="80" t="s">
        <v>36</v>
      </c>
      <c r="S3746" s="95">
        <f>200+2000</f>
        <v>2200</v>
      </c>
      <c r="T3746" s="83" t="s">
        <v>12372</v>
      </c>
      <c r="U3746" s="95">
        <v>13736</v>
      </c>
      <c r="V3746" s="148">
        <v>45551</v>
      </c>
      <c r="W3746" s="85" t="s">
        <v>12373</v>
      </c>
      <c r="X3746" s="80">
        <v>0</v>
      </c>
      <c r="Y3746" s="22">
        <v>0</v>
      </c>
      <c r="Z3746" s="80" t="s">
        <v>50</v>
      </c>
      <c r="AA3746" s="86"/>
      <c r="AB3746" s="80"/>
      <c r="AC3746" s="80" t="s">
        <v>53</v>
      </c>
      <c r="AD3746" s="80" t="s">
        <v>138</v>
      </c>
      <c r="AE3746" s="80" t="s">
        <v>11527</v>
      </c>
      <c r="AF3746" s="17">
        <v>45579</v>
      </c>
      <c r="AG3746" s="80"/>
      <c r="AH3746" s="80"/>
      <c r="AI3746" s="147" t="s">
        <v>147</v>
      </c>
      <c r="AJ3746" s="80"/>
      <c r="AK3746" s="80"/>
      <c r="AL3746" s="35"/>
      <c r="AM3746" s="35"/>
      <c r="AN3746" s="35"/>
      <c r="AO3746" s="35"/>
      <c r="AP3746" s="35"/>
    </row>
    <row r="3747" spans="1:42" x14ac:dyDescent="0.2">
      <c r="A3747" s="38">
        <v>45576</v>
      </c>
      <c r="B3747" s="28" t="s">
        <v>37</v>
      </c>
      <c r="C3747" s="41" t="s">
        <v>118</v>
      </c>
      <c r="D3747" s="80" t="s">
        <v>36</v>
      </c>
      <c r="E3747" s="80" t="s">
        <v>139</v>
      </c>
      <c r="F3747" s="80" t="s">
        <v>11527</v>
      </c>
      <c r="G3747" s="26" t="s">
        <v>108</v>
      </c>
      <c r="H3747" s="80" t="s">
        <v>9171</v>
      </c>
      <c r="I3747" s="17">
        <f ca="1">IFERROR(__xludf.DUMMYFUNCTION("""COMPUTED_VALUE"""),45586)</f>
        <v>45586</v>
      </c>
      <c r="J3747" s="143" t="s">
        <v>12382</v>
      </c>
      <c r="K3747" s="80" t="s">
        <v>13725</v>
      </c>
      <c r="L3747" s="30">
        <v>789357603</v>
      </c>
      <c r="M3747" s="80" t="s">
        <v>123</v>
      </c>
      <c r="N3747" s="80" t="s">
        <v>2847</v>
      </c>
      <c r="O3747" s="80" t="s">
        <v>4503</v>
      </c>
      <c r="P3747" s="144" t="s">
        <v>13726</v>
      </c>
      <c r="Q3747" s="20">
        <v>15936</v>
      </c>
      <c r="R3747" s="80" t="s">
        <v>36</v>
      </c>
      <c r="S3747" s="95">
        <f>2000+6000</f>
        <v>8000</v>
      </c>
      <c r="T3747" s="83" t="s">
        <v>12385</v>
      </c>
      <c r="U3747" s="95">
        <v>7936</v>
      </c>
      <c r="V3747" s="148">
        <v>45552</v>
      </c>
      <c r="W3747" s="85" t="s">
        <v>12386</v>
      </c>
      <c r="X3747" s="80">
        <v>0</v>
      </c>
      <c r="Y3747" s="22">
        <v>0</v>
      </c>
      <c r="Z3747" s="80" t="s">
        <v>50</v>
      </c>
      <c r="AA3747" s="82"/>
      <c r="AB3747" s="80"/>
      <c r="AC3747" s="80" t="s">
        <v>53</v>
      </c>
      <c r="AD3747" s="80" t="s">
        <v>54</v>
      </c>
      <c r="AE3747" s="80" t="s">
        <v>11527</v>
      </c>
      <c r="AF3747" s="17">
        <v>45579</v>
      </c>
      <c r="AG3747" s="80"/>
      <c r="AH3747" s="80"/>
      <c r="AI3747" s="147" t="s">
        <v>147</v>
      </c>
      <c r="AJ3747" s="80"/>
      <c r="AK3747" s="80"/>
      <c r="AL3747" s="35"/>
      <c r="AM3747" s="35"/>
      <c r="AN3747" s="35"/>
      <c r="AO3747" s="35"/>
      <c r="AP3747" s="35"/>
    </row>
    <row r="3748" spans="1:42" x14ac:dyDescent="0.2">
      <c r="A3748" s="38">
        <v>45579</v>
      </c>
      <c r="B3748" s="28" t="s">
        <v>37</v>
      </c>
      <c r="C3748" s="41" t="s">
        <v>118</v>
      </c>
      <c r="D3748" s="80" t="s">
        <v>36</v>
      </c>
      <c r="E3748" s="80" t="s">
        <v>56</v>
      </c>
      <c r="F3748" s="80" t="s">
        <v>11015</v>
      </c>
      <c r="G3748" s="80" t="s">
        <v>108</v>
      </c>
      <c r="H3748" s="80" t="s">
        <v>13727</v>
      </c>
      <c r="I3748" s="17">
        <f ca="1">IFERROR(__xludf.DUMMYFUNCTION("""COMPUTED_VALUE"""),45705)</f>
        <v>45705</v>
      </c>
      <c r="J3748" s="143" t="s">
        <v>11016</v>
      </c>
      <c r="K3748" s="80" t="s">
        <v>13728</v>
      </c>
      <c r="L3748" s="30">
        <v>333703089</v>
      </c>
      <c r="M3748" s="80" t="s">
        <v>3728</v>
      </c>
      <c r="N3748" s="80" t="s">
        <v>8725</v>
      </c>
      <c r="O3748" s="80" t="s">
        <v>11018</v>
      </c>
      <c r="P3748" s="144" t="s">
        <v>13729</v>
      </c>
      <c r="Q3748" s="20">
        <v>9317</v>
      </c>
      <c r="R3748" s="80" t="s">
        <v>36</v>
      </c>
      <c r="S3748" s="95">
        <f>200+1800</f>
        <v>2000</v>
      </c>
      <c r="T3748" s="83" t="s">
        <v>11020</v>
      </c>
      <c r="U3748" s="95">
        <v>7317</v>
      </c>
      <c r="V3748" s="148">
        <v>45529</v>
      </c>
      <c r="W3748" s="85" t="s">
        <v>11021</v>
      </c>
      <c r="X3748" s="80">
        <v>0</v>
      </c>
      <c r="Y3748" s="22">
        <v>0</v>
      </c>
      <c r="Z3748" s="80" t="s">
        <v>50</v>
      </c>
      <c r="AA3748" s="35" t="s">
        <v>10314</v>
      </c>
      <c r="AB3748" s="80"/>
      <c r="AC3748" s="80" t="s">
        <v>53</v>
      </c>
      <c r="AD3748" s="80" t="s">
        <v>54</v>
      </c>
      <c r="AE3748" s="80" t="s">
        <v>11015</v>
      </c>
      <c r="AF3748" s="17">
        <v>45722</v>
      </c>
      <c r="AG3748" s="60" t="s">
        <v>13730</v>
      </c>
      <c r="AH3748" s="80"/>
      <c r="AI3748" s="147"/>
      <c r="AJ3748" s="80"/>
      <c r="AK3748" s="80"/>
      <c r="AL3748" s="35"/>
      <c r="AM3748" s="35"/>
      <c r="AN3748" s="35"/>
      <c r="AO3748" s="35"/>
      <c r="AP3748" s="35"/>
    </row>
    <row r="3749" spans="1:42" x14ac:dyDescent="0.2">
      <c r="A3749" s="38">
        <v>45576</v>
      </c>
      <c r="B3749" s="28" t="s">
        <v>37</v>
      </c>
      <c r="C3749" s="41" t="s">
        <v>118</v>
      </c>
      <c r="D3749" s="26" t="s">
        <v>36</v>
      </c>
      <c r="E3749" s="26" t="s">
        <v>139</v>
      </c>
      <c r="F3749" s="26" t="s">
        <v>6623</v>
      </c>
      <c r="G3749" s="26" t="s">
        <v>1705</v>
      </c>
      <c r="H3749" s="26" t="s">
        <v>8927</v>
      </c>
      <c r="I3749" s="17">
        <f ca="1">IFERROR(__xludf.DUMMYFUNCTION("""COMPUTED_VALUE"""),45606)</f>
        <v>45606</v>
      </c>
      <c r="J3749" s="29" t="s">
        <v>7043</v>
      </c>
      <c r="K3749" s="26" t="s">
        <v>4640</v>
      </c>
      <c r="L3749" s="30">
        <v>372627914</v>
      </c>
      <c r="M3749" s="26" t="s">
        <v>59</v>
      </c>
      <c r="N3749" s="26" t="s">
        <v>60</v>
      </c>
      <c r="O3749" s="26" t="s">
        <v>91</v>
      </c>
      <c r="P3749" s="42" t="s">
        <v>7045</v>
      </c>
      <c r="Q3749" s="20">
        <v>15936</v>
      </c>
      <c r="R3749" s="26" t="s">
        <v>36</v>
      </c>
      <c r="S3749" s="31">
        <v>7000</v>
      </c>
      <c r="T3749" s="32">
        <v>45118</v>
      </c>
      <c r="U3749" s="31">
        <v>8936</v>
      </c>
      <c r="V3749" s="32">
        <v>45152</v>
      </c>
      <c r="W3749" s="33" t="s">
        <v>1000</v>
      </c>
      <c r="X3749" s="26">
        <v>0</v>
      </c>
      <c r="Y3749" s="22">
        <v>0</v>
      </c>
      <c r="Z3749" s="26" t="s">
        <v>118</v>
      </c>
      <c r="AA3749" s="19" t="s">
        <v>4541</v>
      </c>
      <c r="AB3749" s="26" t="s">
        <v>104</v>
      </c>
      <c r="AC3749" s="26" t="s">
        <v>53</v>
      </c>
      <c r="AD3749" s="19" t="s">
        <v>138</v>
      </c>
      <c r="AE3749" s="26" t="s">
        <v>6623</v>
      </c>
      <c r="AF3749" s="17">
        <v>45601</v>
      </c>
      <c r="AG3749" s="29" t="s">
        <v>996</v>
      </c>
      <c r="AH3749" s="26"/>
      <c r="AI3749" s="40"/>
      <c r="AJ3749" s="26"/>
      <c r="AK3749" s="26"/>
      <c r="AL3749" s="35"/>
      <c r="AM3749" s="35"/>
      <c r="AN3749" s="35"/>
      <c r="AO3749" s="35"/>
      <c r="AP3749" s="35"/>
    </row>
    <row r="3750" spans="1:42" x14ac:dyDescent="0.2">
      <c r="A3750" s="38">
        <v>45576</v>
      </c>
      <c r="B3750" s="28" t="s">
        <v>37</v>
      </c>
      <c r="C3750" s="41" t="s">
        <v>118</v>
      </c>
      <c r="D3750" s="80" t="s">
        <v>36</v>
      </c>
      <c r="E3750" s="80" t="s">
        <v>56</v>
      </c>
      <c r="F3750" s="80" t="s">
        <v>11527</v>
      </c>
      <c r="G3750" s="26" t="s">
        <v>108</v>
      </c>
      <c r="H3750" s="80" t="s">
        <v>11777</v>
      </c>
      <c r="I3750" s="17">
        <f ca="1">IFERROR(__xludf.DUMMYFUNCTION("""COMPUTED_VALUE"""),45590)</f>
        <v>45590</v>
      </c>
      <c r="J3750" s="143" t="s">
        <v>11691</v>
      </c>
      <c r="K3750" s="80" t="s">
        <v>13731</v>
      </c>
      <c r="L3750" s="30">
        <v>923048325</v>
      </c>
      <c r="M3750" s="80" t="s">
        <v>5558</v>
      </c>
      <c r="N3750" s="80" t="s">
        <v>5559</v>
      </c>
      <c r="O3750" s="80" t="s">
        <v>4503</v>
      </c>
      <c r="P3750" s="144" t="s">
        <v>11693</v>
      </c>
      <c r="Q3750" s="20">
        <v>9317</v>
      </c>
      <c r="R3750" s="80" t="s">
        <v>36</v>
      </c>
      <c r="S3750" s="95">
        <f>200+9117</f>
        <v>9317</v>
      </c>
      <c r="T3750" s="148">
        <v>45530</v>
      </c>
      <c r="U3750" s="95"/>
      <c r="V3750" s="148">
        <v>45531</v>
      </c>
      <c r="W3750" s="80" t="s">
        <v>11694</v>
      </c>
      <c r="X3750" s="80">
        <v>0</v>
      </c>
      <c r="Y3750" s="22">
        <v>0</v>
      </c>
      <c r="Z3750" s="80" t="s">
        <v>50</v>
      </c>
      <c r="AA3750" s="35" t="s">
        <v>10314</v>
      </c>
      <c r="AB3750" s="80"/>
      <c r="AC3750" s="80" t="s">
        <v>53</v>
      </c>
      <c r="AD3750" s="80" t="s">
        <v>54</v>
      </c>
      <c r="AE3750" s="80" t="s">
        <v>11527</v>
      </c>
      <c r="AF3750" s="17">
        <v>45583</v>
      </c>
      <c r="AG3750" s="80"/>
      <c r="AH3750" s="80"/>
      <c r="AI3750" s="147"/>
      <c r="AJ3750" s="80"/>
      <c r="AK3750" s="80"/>
      <c r="AL3750" s="35"/>
      <c r="AM3750" s="35"/>
      <c r="AN3750" s="35"/>
      <c r="AO3750" s="35"/>
      <c r="AP3750" s="35"/>
    </row>
    <row r="3751" spans="1:42" x14ac:dyDescent="0.2">
      <c r="A3751" s="38">
        <v>45577</v>
      </c>
      <c r="B3751" s="28" t="s">
        <v>37</v>
      </c>
      <c r="C3751" s="41" t="s">
        <v>118</v>
      </c>
      <c r="D3751" s="80" t="s">
        <v>36</v>
      </c>
      <c r="E3751" s="80" t="s">
        <v>139</v>
      </c>
      <c r="F3751" s="80" t="s">
        <v>11446</v>
      </c>
      <c r="G3751" s="26" t="s">
        <v>108</v>
      </c>
      <c r="H3751" s="80" t="s">
        <v>11777</v>
      </c>
      <c r="I3751" s="17">
        <f ca="1">IFERROR(__xludf.DUMMYFUNCTION("""COMPUTED_VALUE"""),45590)</f>
        <v>45590</v>
      </c>
      <c r="J3751" s="143" t="s">
        <v>12247</v>
      </c>
      <c r="K3751" s="80" t="s">
        <v>13732</v>
      </c>
      <c r="L3751" s="30">
        <v>822188005</v>
      </c>
      <c r="M3751" s="80" t="s">
        <v>123</v>
      </c>
      <c r="N3751" s="80" t="s">
        <v>327</v>
      </c>
      <c r="O3751" s="80" t="s">
        <v>4503</v>
      </c>
      <c r="P3751" s="144" t="s">
        <v>13733</v>
      </c>
      <c r="Q3751" s="20">
        <v>15936</v>
      </c>
      <c r="R3751" s="80" t="s">
        <v>36</v>
      </c>
      <c r="S3751" s="95">
        <v>2000</v>
      </c>
      <c r="T3751" s="148">
        <v>45516</v>
      </c>
      <c r="U3751" s="95">
        <v>13936</v>
      </c>
      <c r="V3751" s="148">
        <v>45537</v>
      </c>
      <c r="W3751" s="85" t="s">
        <v>12250</v>
      </c>
      <c r="X3751" s="80">
        <v>0</v>
      </c>
      <c r="Y3751" s="22">
        <v>0</v>
      </c>
      <c r="Z3751" s="80" t="s">
        <v>50</v>
      </c>
      <c r="AA3751" s="82"/>
      <c r="AB3751" s="80"/>
      <c r="AC3751" s="80" t="s">
        <v>53</v>
      </c>
      <c r="AD3751" s="80" t="s">
        <v>54</v>
      </c>
      <c r="AE3751" s="80" t="s">
        <v>11446</v>
      </c>
      <c r="AF3751" s="17">
        <v>45583</v>
      </c>
      <c r="AG3751" s="80"/>
      <c r="AH3751" s="80"/>
      <c r="AI3751" s="147" t="s">
        <v>147</v>
      </c>
      <c r="AJ3751" s="80"/>
      <c r="AK3751" s="80"/>
      <c r="AL3751" s="35"/>
      <c r="AM3751" s="35"/>
      <c r="AN3751" s="35"/>
      <c r="AO3751" s="35"/>
      <c r="AP3751" s="35"/>
    </row>
    <row r="3752" spans="1:42" x14ac:dyDescent="0.2">
      <c r="A3752" s="38">
        <v>45577</v>
      </c>
      <c r="B3752" s="28" t="s">
        <v>37</v>
      </c>
      <c r="C3752" s="41" t="s">
        <v>118</v>
      </c>
      <c r="D3752" s="80" t="s">
        <v>36</v>
      </c>
      <c r="E3752" s="80" t="s">
        <v>39</v>
      </c>
      <c r="F3752" s="80" t="s">
        <v>11446</v>
      </c>
      <c r="G3752" s="26" t="s">
        <v>108</v>
      </c>
      <c r="H3752" s="80" t="s">
        <v>11777</v>
      </c>
      <c r="I3752" s="17">
        <f ca="1">IFERROR(__xludf.DUMMYFUNCTION("""COMPUTED_VALUE"""),45590)</f>
        <v>45590</v>
      </c>
      <c r="J3752" s="143" t="s">
        <v>11456</v>
      </c>
      <c r="K3752" s="80" t="s">
        <v>13734</v>
      </c>
      <c r="L3752" s="30">
        <v>379791640</v>
      </c>
      <c r="M3752" s="80" t="s">
        <v>80</v>
      </c>
      <c r="N3752" s="80" t="s">
        <v>1073</v>
      </c>
      <c r="O3752" s="80" t="s">
        <v>11458</v>
      </c>
      <c r="P3752" s="144" t="s">
        <v>11459</v>
      </c>
      <c r="Q3752" s="20">
        <v>5736</v>
      </c>
      <c r="R3752" s="80" t="s">
        <v>36</v>
      </c>
      <c r="S3752" s="95">
        <v>5736</v>
      </c>
      <c r="T3752" s="148">
        <v>45521</v>
      </c>
      <c r="U3752" s="77"/>
      <c r="V3752" s="78"/>
      <c r="W3752" s="80" t="s">
        <v>11460</v>
      </c>
      <c r="X3752" s="80">
        <v>0</v>
      </c>
      <c r="Y3752" s="22">
        <v>0</v>
      </c>
      <c r="Z3752" s="80" t="s">
        <v>50</v>
      </c>
      <c r="AA3752" s="35" t="s">
        <v>10314</v>
      </c>
      <c r="AB3752" s="80"/>
      <c r="AC3752" s="80" t="s">
        <v>53</v>
      </c>
      <c r="AD3752" s="80" t="s">
        <v>54</v>
      </c>
      <c r="AE3752" s="80" t="s">
        <v>11446</v>
      </c>
      <c r="AF3752" s="17">
        <v>45583</v>
      </c>
      <c r="AG3752" s="80"/>
      <c r="AH3752" s="80"/>
      <c r="AI3752" s="147"/>
      <c r="AJ3752" s="80"/>
      <c r="AK3752" s="80"/>
      <c r="AL3752" s="35"/>
      <c r="AM3752" s="35"/>
      <c r="AN3752" s="35"/>
      <c r="AO3752" s="35"/>
      <c r="AP3752" s="35"/>
    </row>
    <row r="3753" spans="1:42" x14ac:dyDescent="0.2">
      <c r="A3753" s="38">
        <v>45577</v>
      </c>
      <c r="B3753" s="28" t="s">
        <v>37</v>
      </c>
      <c r="C3753" s="41" t="s">
        <v>118</v>
      </c>
      <c r="D3753" s="80" t="s">
        <v>36</v>
      </c>
      <c r="E3753" s="80" t="s">
        <v>39</v>
      </c>
      <c r="F3753" s="80" t="s">
        <v>11446</v>
      </c>
      <c r="G3753" s="26" t="s">
        <v>108</v>
      </c>
      <c r="H3753" s="80" t="s">
        <v>11777</v>
      </c>
      <c r="I3753" s="17">
        <f ca="1">IFERROR(__xludf.DUMMYFUNCTION("""COMPUTED_VALUE"""),45590)</f>
        <v>45590</v>
      </c>
      <c r="J3753" s="143" t="s">
        <v>12359</v>
      </c>
      <c r="K3753" s="80" t="s">
        <v>12360</v>
      </c>
      <c r="L3753" s="30">
        <v>975887376</v>
      </c>
      <c r="M3753" s="80" t="s">
        <v>9422</v>
      </c>
      <c r="N3753" s="80" t="s">
        <v>68</v>
      </c>
      <c r="O3753" s="80" t="s">
        <v>12361</v>
      </c>
      <c r="P3753" s="144" t="s">
        <v>13735</v>
      </c>
      <c r="Q3753" s="20">
        <v>5736</v>
      </c>
      <c r="R3753" s="80" t="s">
        <v>11421</v>
      </c>
      <c r="S3753" s="95">
        <v>2000</v>
      </c>
      <c r="T3753" s="148">
        <v>45525</v>
      </c>
      <c r="U3753" s="95">
        <v>3436</v>
      </c>
      <c r="V3753" s="148">
        <v>45545</v>
      </c>
      <c r="W3753" s="85" t="s">
        <v>12363</v>
      </c>
      <c r="X3753" s="80">
        <v>300</v>
      </c>
      <c r="Y3753" s="22">
        <v>0</v>
      </c>
      <c r="Z3753" s="80" t="s">
        <v>50</v>
      </c>
      <c r="AA3753" s="82"/>
      <c r="AB3753" s="80"/>
      <c r="AC3753" s="80" t="s">
        <v>53</v>
      </c>
      <c r="AD3753" s="80" t="s">
        <v>54</v>
      </c>
      <c r="AE3753" s="80" t="s">
        <v>11446</v>
      </c>
      <c r="AF3753" s="17">
        <v>45583</v>
      </c>
      <c r="AG3753" s="80"/>
      <c r="AH3753" s="80"/>
      <c r="AI3753" s="147" t="s">
        <v>55</v>
      </c>
      <c r="AJ3753" s="80"/>
      <c r="AK3753" s="80"/>
      <c r="AL3753" s="35"/>
      <c r="AM3753" s="35"/>
      <c r="AN3753" s="35"/>
      <c r="AO3753" s="35"/>
      <c r="AP3753" s="35"/>
    </row>
    <row r="3754" spans="1:42" x14ac:dyDescent="0.2">
      <c r="A3754" s="38">
        <v>45577</v>
      </c>
      <c r="B3754" s="28" t="s">
        <v>37</v>
      </c>
      <c r="C3754" s="41" t="s">
        <v>118</v>
      </c>
      <c r="D3754" s="80" t="s">
        <v>36</v>
      </c>
      <c r="E3754" s="80" t="s">
        <v>139</v>
      </c>
      <c r="F3754" s="80" t="s">
        <v>11446</v>
      </c>
      <c r="G3754" s="26" t="s">
        <v>108</v>
      </c>
      <c r="H3754" s="80" t="s">
        <v>11777</v>
      </c>
      <c r="I3754" s="17">
        <f ca="1">IFERROR(__xludf.DUMMYFUNCTION("""COMPUTED_VALUE"""),45590)</f>
        <v>45590</v>
      </c>
      <c r="J3754" s="143" t="s">
        <v>12314</v>
      </c>
      <c r="K3754" s="80" t="s">
        <v>7092</v>
      </c>
      <c r="L3754" s="30">
        <v>934306228</v>
      </c>
      <c r="M3754" s="80" t="s">
        <v>123</v>
      </c>
      <c r="N3754" s="80" t="s">
        <v>327</v>
      </c>
      <c r="O3754" s="80" t="s">
        <v>4503</v>
      </c>
      <c r="P3754" s="144" t="s">
        <v>13736</v>
      </c>
      <c r="Q3754" s="20">
        <v>15936</v>
      </c>
      <c r="R3754" s="80" t="s">
        <v>36</v>
      </c>
      <c r="S3754" s="178">
        <v>2000</v>
      </c>
      <c r="T3754" s="148">
        <v>45523</v>
      </c>
      <c r="U3754" s="178">
        <v>13936</v>
      </c>
      <c r="V3754" s="169">
        <v>45562</v>
      </c>
      <c r="W3754" s="85" t="s">
        <v>12317</v>
      </c>
      <c r="X3754" s="80">
        <v>0</v>
      </c>
      <c r="Y3754" s="22">
        <v>0</v>
      </c>
      <c r="Z3754" s="80" t="s">
        <v>50</v>
      </c>
      <c r="AA3754" s="86"/>
      <c r="AB3754" s="80"/>
      <c r="AC3754" s="80" t="s">
        <v>53</v>
      </c>
      <c r="AD3754" s="80" t="s">
        <v>54</v>
      </c>
      <c r="AE3754" s="80" t="s">
        <v>11446</v>
      </c>
      <c r="AF3754" s="43">
        <v>45586</v>
      </c>
      <c r="AG3754" s="60" t="s">
        <v>13737</v>
      </c>
      <c r="AH3754" s="80"/>
      <c r="AI3754" s="147" t="s">
        <v>147</v>
      </c>
      <c r="AJ3754" s="80"/>
      <c r="AK3754" s="80"/>
      <c r="AL3754" s="35"/>
      <c r="AM3754" s="35"/>
      <c r="AN3754" s="35"/>
      <c r="AO3754" s="35"/>
      <c r="AP3754" s="35"/>
    </row>
    <row r="3755" spans="1:42" x14ac:dyDescent="0.2">
      <c r="A3755" s="38">
        <v>45575</v>
      </c>
      <c r="B3755" s="28" t="s">
        <v>37</v>
      </c>
      <c r="C3755" s="41" t="s">
        <v>118</v>
      </c>
      <c r="D3755" s="26" t="s">
        <v>36</v>
      </c>
      <c r="E3755" s="26" t="s">
        <v>139</v>
      </c>
      <c r="F3755" s="26" t="s">
        <v>9248</v>
      </c>
      <c r="G3755" s="26" t="s">
        <v>108</v>
      </c>
      <c r="H3755" s="80" t="s">
        <v>11777</v>
      </c>
      <c r="I3755" s="17">
        <f ca="1">IFERROR(__xludf.DUMMYFUNCTION("""COMPUTED_VALUE"""),45590)</f>
        <v>45590</v>
      </c>
      <c r="J3755" s="29" t="s">
        <v>10472</v>
      </c>
      <c r="K3755" s="26" t="s">
        <v>13738</v>
      </c>
      <c r="L3755" s="30">
        <v>961099542</v>
      </c>
      <c r="M3755" s="26" t="s">
        <v>5558</v>
      </c>
      <c r="N3755" s="26" t="s">
        <v>5559</v>
      </c>
      <c r="O3755" s="26" t="s">
        <v>4503</v>
      </c>
      <c r="P3755" s="42" t="s">
        <v>13739</v>
      </c>
      <c r="Q3755" s="20">
        <v>15936</v>
      </c>
      <c r="R3755" s="26" t="s">
        <v>36</v>
      </c>
      <c r="S3755" s="95">
        <f>2000+9000</f>
        <v>11000</v>
      </c>
      <c r="T3755" s="148">
        <v>45476</v>
      </c>
      <c r="U3755" s="95">
        <v>4936</v>
      </c>
      <c r="V3755" s="148">
        <v>45511</v>
      </c>
      <c r="W3755" s="33" t="s">
        <v>10475</v>
      </c>
      <c r="X3755" s="26">
        <v>0</v>
      </c>
      <c r="Y3755" s="22">
        <v>0</v>
      </c>
      <c r="Z3755" s="26" t="s">
        <v>50</v>
      </c>
      <c r="AA3755" s="96" t="s">
        <v>10314</v>
      </c>
      <c r="AB3755" s="26"/>
      <c r="AC3755" s="26" t="s">
        <v>53</v>
      </c>
      <c r="AD3755" s="26" t="s">
        <v>54</v>
      </c>
      <c r="AE3755" s="26" t="s">
        <v>9248</v>
      </c>
      <c r="AF3755" s="17">
        <v>45583</v>
      </c>
      <c r="AG3755" s="26"/>
      <c r="AH3755" s="26"/>
      <c r="AI3755" s="40"/>
      <c r="AJ3755" s="26"/>
      <c r="AK3755" s="26"/>
      <c r="AL3755" s="35"/>
      <c r="AM3755" s="35"/>
      <c r="AN3755" s="35"/>
      <c r="AO3755" s="35"/>
      <c r="AP3755" s="35"/>
    </row>
    <row r="3756" spans="1:42" x14ac:dyDescent="0.2">
      <c r="A3756" s="38">
        <v>45575</v>
      </c>
      <c r="B3756" s="28" t="s">
        <v>37</v>
      </c>
      <c r="C3756" s="41" t="s">
        <v>118</v>
      </c>
      <c r="D3756" s="26" t="s">
        <v>36</v>
      </c>
      <c r="E3756" s="26" t="s">
        <v>119</v>
      </c>
      <c r="F3756" s="26" t="s">
        <v>6825</v>
      </c>
      <c r="G3756" s="35" t="s">
        <v>1847</v>
      </c>
      <c r="H3756" s="26" t="s">
        <v>9044</v>
      </c>
      <c r="I3756" s="17">
        <f ca="1">IFERROR(__xludf.DUMMYFUNCTION("""COMPUTED_VALUE"""),45613)</f>
        <v>45613</v>
      </c>
      <c r="J3756" s="29" t="s">
        <v>5138</v>
      </c>
      <c r="K3756" s="26" t="s">
        <v>13740</v>
      </c>
      <c r="L3756" s="30">
        <v>968102600</v>
      </c>
      <c r="M3756" s="26" t="s">
        <v>123</v>
      </c>
      <c r="N3756" s="26" t="s">
        <v>327</v>
      </c>
      <c r="O3756" s="26" t="s">
        <v>1226</v>
      </c>
      <c r="P3756" s="42" t="s">
        <v>6927</v>
      </c>
      <c r="Q3756" s="20">
        <v>13968</v>
      </c>
      <c r="R3756" s="26" t="s">
        <v>36</v>
      </c>
      <c r="S3756" s="31">
        <v>200</v>
      </c>
      <c r="T3756" s="32">
        <v>45188</v>
      </c>
      <c r="U3756" s="58">
        <f>10168+3600</f>
        <v>13768</v>
      </c>
      <c r="V3756" s="35" t="s">
        <v>5140</v>
      </c>
      <c r="W3756" s="33" t="s">
        <v>5141</v>
      </c>
      <c r="X3756" s="26"/>
      <c r="Y3756" s="22">
        <v>0</v>
      </c>
      <c r="Z3756" s="26" t="s">
        <v>118</v>
      </c>
      <c r="AA3756" s="19" t="s">
        <v>5112</v>
      </c>
      <c r="AB3756" s="26" t="s">
        <v>104</v>
      </c>
      <c r="AC3756" s="26" t="s">
        <v>53</v>
      </c>
      <c r="AD3756" s="19" t="s">
        <v>138</v>
      </c>
      <c r="AE3756" s="26" t="s">
        <v>6825</v>
      </c>
      <c r="AF3756" s="17">
        <v>45607</v>
      </c>
      <c r="AG3756" s="26" t="s">
        <v>4092</v>
      </c>
      <c r="AH3756" s="26"/>
      <c r="AI3756" s="40">
        <v>4</v>
      </c>
      <c r="AJ3756" s="26"/>
      <c r="AK3756" s="26"/>
      <c r="AL3756" s="35"/>
      <c r="AM3756" s="35"/>
      <c r="AN3756" s="35"/>
      <c r="AO3756" s="35"/>
      <c r="AP3756" s="35"/>
    </row>
    <row r="3757" spans="1:42" x14ac:dyDescent="0.2">
      <c r="A3757" s="38">
        <v>45575</v>
      </c>
      <c r="B3757" s="28" t="s">
        <v>37</v>
      </c>
      <c r="C3757" s="41" t="s">
        <v>118</v>
      </c>
      <c r="D3757" s="26" t="s">
        <v>36</v>
      </c>
      <c r="E3757" s="26" t="s">
        <v>139</v>
      </c>
      <c r="F3757" s="26" t="s">
        <v>6825</v>
      </c>
      <c r="G3757" s="35" t="s">
        <v>1847</v>
      </c>
      <c r="H3757" s="26" t="s">
        <v>9044</v>
      </c>
      <c r="I3757" s="17">
        <f ca="1">IFERROR(__xludf.DUMMYFUNCTION("""COMPUTED_VALUE"""),45613)</f>
        <v>45613</v>
      </c>
      <c r="J3757" s="29" t="s">
        <v>1151</v>
      </c>
      <c r="K3757" s="26" t="s">
        <v>6928</v>
      </c>
      <c r="L3757" s="30">
        <v>372180187</v>
      </c>
      <c r="M3757" s="26" t="s">
        <v>123</v>
      </c>
      <c r="N3757" s="26" t="s">
        <v>310</v>
      </c>
      <c r="O3757" s="26" t="s">
        <v>134</v>
      </c>
      <c r="P3757" s="42" t="s">
        <v>6929</v>
      </c>
      <c r="Q3757" s="20">
        <v>15936</v>
      </c>
      <c r="R3757" s="26" t="s">
        <v>36</v>
      </c>
      <c r="S3757" s="31">
        <v>1968</v>
      </c>
      <c r="T3757" s="32">
        <v>45135</v>
      </c>
      <c r="U3757" s="31">
        <v>13968</v>
      </c>
      <c r="V3757" s="32">
        <v>45163</v>
      </c>
      <c r="W3757" s="33" t="s">
        <v>1154</v>
      </c>
      <c r="X3757" s="26">
        <v>0</v>
      </c>
      <c r="Y3757" s="22">
        <v>0</v>
      </c>
      <c r="Z3757" s="26" t="s">
        <v>118</v>
      </c>
      <c r="AA3757" s="19" t="s">
        <v>901</v>
      </c>
      <c r="AB3757" s="26" t="s">
        <v>104</v>
      </c>
      <c r="AC3757" s="26" t="s">
        <v>53</v>
      </c>
      <c r="AD3757" s="19" t="s">
        <v>54</v>
      </c>
      <c r="AE3757" s="26" t="s">
        <v>6825</v>
      </c>
      <c r="AF3757" s="17">
        <v>45607</v>
      </c>
      <c r="AG3757" s="26" t="s">
        <v>4092</v>
      </c>
      <c r="AH3757" s="26">
        <v>1</v>
      </c>
      <c r="AI3757" s="40" t="s">
        <v>147</v>
      </c>
      <c r="AJ3757" s="26"/>
      <c r="AK3757" s="26"/>
      <c r="AL3757" s="35"/>
      <c r="AM3757" s="35"/>
      <c r="AN3757" s="35"/>
      <c r="AO3757" s="35"/>
      <c r="AP3757" s="35"/>
    </row>
    <row r="3758" spans="1:42" x14ac:dyDescent="0.2">
      <c r="A3758" s="38">
        <v>45576</v>
      </c>
      <c r="B3758" s="28" t="s">
        <v>37</v>
      </c>
      <c r="C3758" s="41" t="s">
        <v>118</v>
      </c>
      <c r="D3758" s="26" t="s">
        <v>36</v>
      </c>
      <c r="E3758" s="26" t="s">
        <v>139</v>
      </c>
      <c r="F3758" s="26" t="s">
        <v>8581</v>
      </c>
      <c r="G3758" s="35" t="s">
        <v>1847</v>
      </c>
      <c r="H3758" s="26" t="s">
        <v>9044</v>
      </c>
      <c r="I3758" s="17">
        <f ca="1">IFERROR(__xludf.DUMMYFUNCTION("""COMPUTED_VALUE"""),45613)</f>
        <v>45613</v>
      </c>
      <c r="J3758" s="29" t="s">
        <v>5244</v>
      </c>
      <c r="K3758" s="26" t="s">
        <v>5245</v>
      </c>
      <c r="L3758" s="30">
        <v>386723413</v>
      </c>
      <c r="M3758" s="26" t="s">
        <v>80</v>
      </c>
      <c r="N3758" s="26" t="s">
        <v>1073</v>
      </c>
      <c r="O3758" s="26" t="s">
        <v>5246</v>
      </c>
      <c r="P3758" s="42" t="s">
        <v>6096</v>
      </c>
      <c r="Q3758" s="20">
        <v>15936</v>
      </c>
      <c r="R3758" s="26" t="s">
        <v>36</v>
      </c>
      <c r="S3758" s="31">
        <v>200</v>
      </c>
      <c r="T3758" s="32">
        <v>45205</v>
      </c>
      <c r="U3758" s="31">
        <f>1800+13936</f>
        <v>15736</v>
      </c>
      <c r="V3758" s="26" t="s">
        <v>5248</v>
      </c>
      <c r="W3758" s="33" t="s">
        <v>5249</v>
      </c>
      <c r="X3758" s="26"/>
      <c r="Y3758" s="22">
        <v>0</v>
      </c>
      <c r="Z3758" s="26" t="s">
        <v>118</v>
      </c>
      <c r="AA3758" s="19" t="s">
        <v>5112</v>
      </c>
      <c r="AB3758" s="26" t="s">
        <v>36</v>
      </c>
      <c r="AC3758" s="26" t="s">
        <v>53</v>
      </c>
      <c r="AD3758" s="19" t="s">
        <v>54</v>
      </c>
      <c r="AE3758" s="26" t="s">
        <v>8581</v>
      </c>
      <c r="AF3758" s="17">
        <v>45609</v>
      </c>
      <c r="AG3758" s="26"/>
      <c r="AH3758" s="26"/>
      <c r="AI3758" s="40" t="s">
        <v>147</v>
      </c>
      <c r="AJ3758" s="26"/>
      <c r="AK3758" s="26"/>
      <c r="AL3758" s="35"/>
      <c r="AM3758" s="35"/>
      <c r="AN3758" s="35"/>
      <c r="AO3758" s="35"/>
      <c r="AP3758" s="35"/>
    </row>
    <row r="3759" spans="1:42" x14ac:dyDescent="0.2">
      <c r="A3759" s="38">
        <v>45576</v>
      </c>
      <c r="B3759" s="28" t="s">
        <v>37</v>
      </c>
      <c r="C3759" s="41" t="s">
        <v>118</v>
      </c>
      <c r="D3759" s="26" t="s">
        <v>36</v>
      </c>
      <c r="E3759" s="26" t="s">
        <v>139</v>
      </c>
      <c r="F3759" s="26" t="s">
        <v>8581</v>
      </c>
      <c r="G3759" s="35" t="s">
        <v>1847</v>
      </c>
      <c r="H3759" s="26" t="s">
        <v>9044</v>
      </c>
      <c r="I3759" s="17">
        <f ca="1">IFERROR(__xludf.DUMMYFUNCTION("""COMPUTED_VALUE"""),45613)</f>
        <v>45613</v>
      </c>
      <c r="J3759" s="29" t="s">
        <v>4105</v>
      </c>
      <c r="K3759" s="26" t="s">
        <v>4106</v>
      </c>
      <c r="L3759" s="30">
        <v>394589165</v>
      </c>
      <c r="M3759" s="26" t="s">
        <v>123</v>
      </c>
      <c r="N3759" s="26" t="s">
        <v>186</v>
      </c>
      <c r="O3759" s="26" t="s">
        <v>1226</v>
      </c>
      <c r="P3759" s="42" t="s">
        <v>13741</v>
      </c>
      <c r="Q3759" s="20">
        <v>15936</v>
      </c>
      <c r="R3759" s="26" t="s">
        <v>36</v>
      </c>
      <c r="S3759" s="31">
        <v>7500</v>
      </c>
      <c r="T3759" s="32">
        <v>45206</v>
      </c>
      <c r="U3759" s="31">
        <v>8436</v>
      </c>
      <c r="V3759" s="32">
        <v>45230</v>
      </c>
      <c r="W3759" s="33" t="s">
        <v>4108</v>
      </c>
      <c r="X3759" s="26"/>
      <c r="Y3759" s="22">
        <v>0</v>
      </c>
      <c r="Z3759" s="35" t="s">
        <v>118</v>
      </c>
      <c r="AA3759" s="19" t="s">
        <v>3454</v>
      </c>
      <c r="AB3759" s="26" t="s">
        <v>36</v>
      </c>
      <c r="AC3759" s="26" t="s">
        <v>53</v>
      </c>
      <c r="AD3759" s="19" t="s">
        <v>54</v>
      </c>
      <c r="AE3759" s="26" t="s">
        <v>8581</v>
      </c>
      <c r="AF3759" s="17">
        <v>45607</v>
      </c>
      <c r="AG3759" s="26"/>
      <c r="AH3759" s="26"/>
      <c r="AI3759" s="40"/>
      <c r="AJ3759" s="26"/>
      <c r="AK3759" s="26"/>
      <c r="AL3759" s="35"/>
      <c r="AM3759" s="35"/>
      <c r="AN3759" s="35"/>
      <c r="AO3759" s="35"/>
      <c r="AP3759" s="35"/>
    </row>
    <row r="3760" spans="1:42" x14ac:dyDescent="0.2">
      <c r="A3760" s="38">
        <v>45578</v>
      </c>
      <c r="B3760" s="28" t="s">
        <v>37</v>
      </c>
      <c r="C3760" s="41" t="s">
        <v>118</v>
      </c>
      <c r="D3760" s="80" t="s">
        <v>36</v>
      </c>
      <c r="E3760" s="80" t="s">
        <v>56</v>
      </c>
      <c r="F3760" s="80" t="s">
        <v>11015</v>
      </c>
      <c r="G3760" s="26" t="s">
        <v>108</v>
      </c>
      <c r="H3760" s="80" t="s">
        <v>9785</v>
      </c>
      <c r="I3760" s="17">
        <f ca="1">IFERROR(__xludf.DUMMYFUNCTION("""COMPUTED_VALUE"""),45589)</f>
        <v>45589</v>
      </c>
      <c r="J3760" s="143" t="s">
        <v>12172</v>
      </c>
      <c r="K3760" s="80" t="s">
        <v>13742</v>
      </c>
      <c r="L3760" s="30">
        <v>818496418</v>
      </c>
      <c r="M3760" s="80" t="s">
        <v>5429</v>
      </c>
      <c r="N3760" s="80" t="s">
        <v>11095</v>
      </c>
      <c r="O3760" s="80" t="s">
        <v>12174</v>
      </c>
      <c r="P3760" s="144" t="s">
        <v>13743</v>
      </c>
      <c r="Q3760" s="20">
        <v>9317</v>
      </c>
      <c r="R3760" s="80" t="s">
        <v>36</v>
      </c>
      <c r="S3760" s="95">
        <f>2000+7317</f>
        <v>9317</v>
      </c>
      <c r="T3760" s="83" t="s">
        <v>12176</v>
      </c>
      <c r="U3760" s="77"/>
      <c r="V3760" s="78"/>
      <c r="W3760" s="85" t="s">
        <v>12177</v>
      </c>
      <c r="X3760" s="80">
        <v>0</v>
      </c>
      <c r="Y3760" s="22">
        <v>0</v>
      </c>
      <c r="Z3760" s="80" t="s">
        <v>50</v>
      </c>
      <c r="AA3760" s="86"/>
      <c r="AB3760" s="80"/>
      <c r="AC3760" s="80" t="s">
        <v>53</v>
      </c>
      <c r="AD3760" s="80" t="s">
        <v>138</v>
      </c>
      <c r="AE3760" s="80" t="s">
        <v>11015</v>
      </c>
      <c r="AF3760" s="43">
        <v>45586</v>
      </c>
      <c r="AG3760" s="39" t="s">
        <v>13744</v>
      </c>
      <c r="AH3760" s="80"/>
      <c r="AI3760" s="147" t="s">
        <v>64</v>
      </c>
      <c r="AJ3760" s="80"/>
      <c r="AK3760" s="80"/>
      <c r="AL3760" s="35"/>
      <c r="AM3760" s="35"/>
      <c r="AN3760" s="35"/>
      <c r="AO3760" s="35"/>
      <c r="AP3760" s="35"/>
    </row>
    <row r="3761" spans="1:42" x14ac:dyDescent="0.2">
      <c r="A3761" s="38">
        <v>45580</v>
      </c>
      <c r="B3761" s="28" t="s">
        <v>37</v>
      </c>
      <c r="C3761" s="41" t="s">
        <v>118</v>
      </c>
      <c r="D3761" s="80" t="s">
        <v>36</v>
      </c>
      <c r="E3761" s="80" t="s">
        <v>119</v>
      </c>
      <c r="F3761" s="80" t="s">
        <v>8931</v>
      </c>
      <c r="G3761" s="80" t="s">
        <v>221</v>
      </c>
      <c r="H3761" s="80" t="s">
        <v>13745</v>
      </c>
      <c r="I3761" s="17">
        <f ca="1">IFERROR(__xludf.DUMMYFUNCTION("""COMPUTED_VALUE"""),45594)</f>
        <v>45594</v>
      </c>
      <c r="J3761" s="143" t="s">
        <v>10983</v>
      </c>
      <c r="K3761" s="80" t="s">
        <v>13746</v>
      </c>
      <c r="L3761" s="30">
        <v>946131225</v>
      </c>
      <c r="M3761" s="80" t="s">
        <v>5558</v>
      </c>
      <c r="N3761" s="80" t="s">
        <v>850</v>
      </c>
      <c r="O3761" s="80" t="s">
        <v>4503</v>
      </c>
      <c r="P3761" s="144" t="s">
        <v>13747</v>
      </c>
      <c r="Q3761" s="20">
        <v>13968</v>
      </c>
      <c r="R3761" s="80" t="s">
        <v>36</v>
      </c>
      <c r="S3761" s="95">
        <v>4000</v>
      </c>
      <c r="T3761" s="148">
        <v>45496</v>
      </c>
      <c r="U3761" s="95">
        <v>9968</v>
      </c>
      <c r="V3761" s="148">
        <v>45520</v>
      </c>
      <c r="W3761" s="85" t="s">
        <v>10986</v>
      </c>
      <c r="X3761" s="80">
        <v>0</v>
      </c>
      <c r="Y3761" s="22">
        <v>0</v>
      </c>
      <c r="Z3761" s="80" t="s">
        <v>50</v>
      </c>
      <c r="AA3761" s="96" t="s">
        <v>10314</v>
      </c>
      <c r="AB3761" s="80"/>
      <c r="AC3761" s="80" t="s">
        <v>53</v>
      </c>
      <c r="AD3761" s="80" t="s">
        <v>54</v>
      </c>
      <c r="AE3761" s="80" t="s">
        <v>8931</v>
      </c>
      <c r="AF3761" s="17">
        <v>45587</v>
      </c>
      <c r="AG3761" s="80"/>
      <c r="AH3761" s="80"/>
      <c r="AI3761" s="147"/>
      <c r="AJ3761" s="80"/>
      <c r="AK3761" s="80"/>
      <c r="AL3761" s="35"/>
      <c r="AM3761" s="35"/>
      <c r="AN3761" s="35"/>
      <c r="AO3761" s="35"/>
      <c r="AP3761" s="35"/>
    </row>
    <row r="3762" spans="1:42" x14ac:dyDescent="0.2">
      <c r="A3762" s="38">
        <v>45580</v>
      </c>
      <c r="B3762" s="28" t="s">
        <v>37</v>
      </c>
      <c r="C3762" s="41" t="s">
        <v>118</v>
      </c>
      <c r="D3762" s="26" t="s">
        <v>36</v>
      </c>
      <c r="E3762" s="26" t="s">
        <v>148</v>
      </c>
      <c r="F3762" s="80" t="s">
        <v>8931</v>
      </c>
      <c r="G3762" s="80" t="s">
        <v>221</v>
      </c>
      <c r="H3762" s="80" t="s">
        <v>13748</v>
      </c>
      <c r="I3762" s="17">
        <f ca="1">IFERROR(__xludf.DUMMYFUNCTION("""COMPUTED_VALUE"""),45636)</f>
        <v>45636</v>
      </c>
      <c r="J3762" s="44" t="s">
        <v>13749</v>
      </c>
      <c r="K3762" s="26" t="s">
        <v>13750</v>
      </c>
      <c r="L3762" s="30">
        <v>971239460</v>
      </c>
      <c r="M3762" s="26" t="s">
        <v>80</v>
      </c>
      <c r="N3762" s="26" t="s">
        <v>1073</v>
      </c>
      <c r="O3762" s="26" t="s">
        <v>10916</v>
      </c>
      <c r="P3762" s="115" t="s">
        <v>13751</v>
      </c>
      <c r="Q3762" s="20">
        <v>7349</v>
      </c>
      <c r="R3762" s="26" t="s">
        <v>36</v>
      </c>
      <c r="S3762" s="95">
        <f>200+3800+3349</f>
        <v>7349</v>
      </c>
      <c r="T3762" s="83" t="s">
        <v>10918</v>
      </c>
      <c r="U3762" s="31"/>
      <c r="V3762" s="32"/>
      <c r="W3762" s="33" t="s">
        <v>10919</v>
      </c>
      <c r="X3762" s="26">
        <v>0</v>
      </c>
      <c r="Y3762" s="22">
        <v>0</v>
      </c>
      <c r="Z3762" s="26" t="s">
        <v>50</v>
      </c>
      <c r="AA3762" s="35" t="s">
        <v>10314</v>
      </c>
      <c r="AB3762" s="26"/>
      <c r="AC3762" s="26" t="s">
        <v>53</v>
      </c>
      <c r="AD3762" s="26" t="s">
        <v>54</v>
      </c>
      <c r="AE3762" s="80" t="s">
        <v>8931</v>
      </c>
      <c r="AF3762" s="17">
        <v>45593</v>
      </c>
      <c r="AG3762" s="39" t="s">
        <v>13752</v>
      </c>
      <c r="AH3762" s="26"/>
      <c r="AI3762" s="40"/>
      <c r="AJ3762" s="26"/>
      <c r="AK3762" s="26"/>
      <c r="AL3762" s="35"/>
      <c r="AM3762" s="35"/>
      <c r="AN3762" s="35"/>
      <c r="AO3762" s="35"/>
      <c r="AP3762" s="35"/>
    </row>
    <row r="3763" spans="1:42" x14ac:dyDescent="0.2">
      <c r="A3763" s="38">
        <v>45580</v>
      </c>
      <c r="B3763" s="28" t="s">
        <v>37</v>
      </c>
      <c r="C3763" s="41" t="s">
        <v>118</v>
      </c>
      <c r="D3763" s="80" t="s">
        <v>36</v>
      </c>
      <c r="E3763" s="80" t="s">
        <v>148</v>
      </c>
      <c r="F3763" s="80" t="s">
        <v>8931</v>
      </c>
      <c r="G3763" s="80" t="s">
        <v>221</v>
      </c>
      <c r="H3763" s="80" t="s">
        <v>13745</v>
      </c>
      <c r="I3763" s="17">
        <f ca="1">IFERROR(__xludf.DUMMYFUNCTION("""COMPUTED_VALUE"""),45594)</f>
        <v>45594</v>
      </c>
      <c r="J3763" s="143" t="s">
        <v>11028</v>
      </c>
      <c r="K3763" s="80" t="s">
        <v>13753</v>
      </c>
      <c r="L3763" s="30">
        <v>948684703</v>
      </c>
      <c r="M3763" s="80" t="s">
        <v>80</v>
      </c>
      <c r="N3763" s="80" t="s">
        <v>1073</v>
      </c>
      <c r="O3763" s="80" t="s">
        <v>11030</v>
      </c>
      <c r="P3763" s="144" t="s">
        <v>13754</v>
      </c>
      <c r="Q3763" s="20">
        <v>7349</v>
      </c>
      <c r="R3763" s="80" t="s">
        <v>36</v>
      </c>
      <c r="S3763" s="95">
        <f>200+3600</f>
        <v>3800</v>
      </c>
      <c r="T3763" s="83" t="s">
        <v>11032</v>
      </c>
      <c r="U3763" s="95">
        <f>3349+200</f>
        <v>3549</v>
      </c>
      <c r="V3763" s="83" t="s">
        <v>11033</v>
      </c>
      <c r="W3763" s="85" t="s">
        <v>11034</v>
      </c>
      <c r="X3763" s="80">
        <v>0</v>
      </c>
      <c r="Y3763" s="22">
        <v>0</v>
      </c>
      <c r="Z3763" s="80" t="s">
        <v>50</v>
      </c>
      <c r="AA3763" s="96" t="s">
        <v>10314</v>
      </c>
      <c r="AB3763" s="80"/>
      <c r="AC3763" s="80" t="s">
        <v>53</v>
      </c>
      <c r="AD3763" s="80" t="s">
        <v>54</v>
      </c>
      <c r="AE3763" s="80" t="s">
        <v>8931</v>
      </c>
      <c r="AF3763" s="17">
        <v>45587</v>
      </c>
      <c r="AG3763" s="80" t="s">
        <v>9053</v>
      </c>
      <c r="AH3763" s="80"/>
      <c r="AI3763" s="147"/>
      <c r="AJ3763" s="80"/>
      <c r="AK3763" s="80"/>
      <c r="AL3763" s="35"/>
      <c r="AM3763" s="35"/>
      <c r="AN3763" s="35"/>
      <c r="AO3763" s="35"/>
      <c r="AP3763" s="35"/>
    </row>
    <row r="3764" spans="1:42" x14ac:dyDescent="0.2">
      <c r="A3764" s="38">
        <v>45580</v>
      </c>
      <c r="B3764" s="28" t="s">
        <v>37</v>
      </c>
      <c r="C3764" s="41" t="s">
        <v>118</v>
      </c>
      <c r="D3764" s="26" t="s">
        <v>36</v>
      </c>
      <c r="E3764" s="26" t="s">
        <v>119</v>
      </c>
      <c r="F3764" s="26" t="s">
        <v>9553</v>
      </c>
      <c r="G3764" s="80" t="s">
        <v>221</v>
      </c>
      <c r="H3764" s="80" t="s">
        <v>13755</v>
      </c>
      <c r="I3764" s="17">
        <f ca="1">IFERROR(__xludf.DUMMYFUNCTION("""COMPUTED_VALUE"""),45595)</f>
        <v>45595</v>
      </c>
      <c r="J3764" s="29" t="s">
        <v>10967</v>
      </c>
      <c r="K3764" s="26" t="s">
        <v>13756</v>
      </c>
      <c r="L3764" s="30">
        <v>345599262</v>
      </c>
      <c r="M3764" s="26" t="s">
        <v>80</v>
      </c>
      <c r="N3764" s="26" t="s">
        <v>466</v>
      </c>
      <c r="O3764" s="26" t="s">
        <v>10969</v>
      </c>
      <c r="P3764" s="42" t="s">
        <v>13757</v>
      </c>
      <c r="Q3764" s="20">
        <v>13968</v>
      </c>
      <c r="R3764" s="26" t="s">
        <v>36</v>
      </c>
      <c r="S3764" s="95">
        <v>3800</v>
      </c>
      <c r="T3764" s="148">
        <v>45495</v>
      </c>
      <c r="U3764" s="95">
        <v>10168</v>
      </c>
      <c r="V3764" s="148">
        <v>45513</v>
      </c>
      <c r="W3764" s="26" t="s">
        <v>10971</v>
      </c>
      <c r="X3764" s="26">
        <v>0</v>
      </c>
      <c r="Y3764" s="22">
        <v>0</v>
      </c>
      <c r="Z3764" s="26" t="s">
        <v>50</v>
      </c>
      <c r="AA3764" s="35" t="s">
        <v>10314</v>
      </c>
      <c r="AB3764" s="26"/>
      <c r="AC3764" s="26" t="s">
        <v>53</v>
      </c>
      <c r="AD3764" s="26" t="s">
        <v>54</v>
      </c>
      <c r="AE3764" s="26" t="s">
        <v>9553</v>
      </c>
      <c r="AF3764" s="17">
        <v>45588</v>
      </c>
      <c r="AG3764" s="26"/>
      <c r="AH3764" s="26"/>
      <c r="AI3764" s="40"/>
      <c r="AJ3764" s="26"/>
      <c r="AK3764" s="26"/>
      <c r="AL3764" s="35"/>
      <c r="AM3764" s="35"/>
      <c r="AN3764" s="35"/>
      <c r="AO3764" s="35"/>
      <c r="AP3764" s="35"/>
    </row>
    <row r="3765" spans="1:42" x14ac:dyDescent="0.2">
      <c r="A3765" s="38">
        <v>45580</v>
      </c>
      <c r="B3765" s="28" t="s">
        <v>37</v>
      </c>
      <c r="C3765" s="41" t="s">
        <v>118</v>
      </c>
      <c r="D3765" s="80" t="s">
        <v>36</v>
      </c>
      <c r="E3765" s="80" t="s">
        <v>119</v>
      </c>
      <c r="F3765" s="26" t="s">
        <v>9553</v>
      </c>
      <c r="G3765" s="80" t="s">
        <v>221</v>
      </c>
      <c r="H3765" s="80" t="s">
        <v>13755</v>
      </c>
      <c r="I3765" s="17">
        <f ca="1">IFERROR(__xludf.DUMMYFUNCTION("""COMPUTED_VALUE"""),45595)</f>
        <v>45595</v>
      </c>
      <c r="J3765" s="143" t="s">
        <v>12012</v>
      </c>
      <c r="K3765" s="80" t="s">
        <v>13758</v>
      </c>
      <c r="L3765" s="30">
        <v>921410686</v>
      </c>
      <c r="M3765" s="80" t="s">
        <v>80</v>
      </c>
      <c r="N3765" s="80" t="s">
        <v>466</v>
      </c>
      <c r="O3765" s="80" t="s">
        <v>12014</v>
      </c>
      <c r="P3765" s="144" t="s">
        <v>13759</v>
      </c>
      <c r="Q3765" s="20">
        <v>13968</v>
      </c>
      <c r="R3765" s="80" t="s">
        <v>36</v>
      </c>
      <c r="S3765" s="95">
        <v>3800</v>
      </c>
      <c r="T3765" s="148">
        <v>45497</v>
      </c>
      <c r="U3765" s="95">
        <f>10100+68</f>
        <v>10168</v>
      </c>
      <c r="V3765" s="83" t="s">
        <v>12016</v>
      </c>
      <c r="W3765" s="85" t="s">
        <v>12017</v>
      </c>
      <c r="X3765" s="80">
        <v>0</v>
      </c>
      <c r="Y3765" s="22">
        <v>0</v>
      </c>
      <c r="Z3765" s="80" t="s">
        <v>50</v>
      </c>
      <c r="AA3765" s="82"/>
      <c r="AB3765" s="80"/>
      <c r="AC3765" s="80" t="s">
        <v>53</v>
      </c>
      <c r="AD3765" s="80" t="s">
        <v>54</v>
      </c>
      <c r="AE3765" s="26" t="s">
        <v>9553</v>
      </c>
      <c r="AF3765" s="17">
        <v>45588</v>
      </c>
      <c r="AG3765" s="80"/>
      <c r="AH3765" s="80"/>
      <c r="AI3765" s="147">
        <v>4</v>
      </c>
      <c r="AJ3765" s="80"/>
      <c r="AK3765" s="80"/>
      <c r="AL3765" s="35"/>
      <c r="AM3765" s="35"/>
      <c r="AN3765" s="35"/>
      <c r="AO3765" s="35"/>
      <c r="AP3765" s="35"/>
    </row>
    <row r="3766" spans="1:42" x14ac:dyDescent="0.2">
      <c r="A3766" s="38">
        <v>45580</v>
      </c>
      <c r="B3766" s="28" t="s">
        <v>37</v>
      </c>
      <c r="C3766" s="41" t="s">
        <v>118</v>
      </c>
      <c r="D3766" s="26" t="s">
        <v>36</v>
      </c>
      <c r="E3766" s="26" t="s">
        <v>119</v>
      </c>
      <c r="F3766" s="26" t="s">
        <v>9553</v>
      </c>
      <c r="G3766" s="80" t="s">
        <v>221</v>
      </c>
      <c r="H3766" s="80" t="s">
        <v>13760</v>
      </c>
      <c r="I3766" s="17">
        <f ca="1">IFERROR(__xludf.DUMMYFUNCTION("""COMPUTED_VALUE"""),45810)</f>
        <v>45810</v>
      </c>
      <c r="J3766" s="29" t="s">
        <v>10684</v>
      </c>
      <c r="K3766" s="26" t="s">
        <v>13761</v>
      </c>
      <c r="L3766" s="30">
        <v>964481397</v>
      </c>
      <c r="M3766" s="26" t="s">
        <v>80</v>
      </c>
      <c r="N3766" s="26" t="s">
        <v>466</v>
      </c>
      <c r="O3766" s="26" t="s">
        <v>10686</v>
      </c>
      <c r="P3766" s="42" t="s">
        <v>13762</v>
      </c>
      <c r="Q3766" s="20">
        <v>13968</v>
      </c>
      <c r="R3766" s="26" t="s">
        <v>36</v>
      </c>
      <c r="S3766" s="95">
        <f>200+3600</f>
        <v>3800</v>
      </c>
      <c r="T3766" s="83" t="s">
        <v>10688</v>
      </c>
      <c r="U3766" s="95">
        <v>10168</v>
      </c>
      <c r="V3766" s="148">
        <v>45524</v>
      </c>
      <c r="W3766" s="33" t="s">
        <v>10689</v>
      </c>
      <c r="X3766" s="26">
        <v>0</v>
      </c>
      <c r="Y3766" s="22">
        <v>0</v>
      </c>
      <c r="Z3766" s="26" t="s">
        <v>50</v>
      </c>
      <c r="AA3766" s="35" t="s">
        <v>10314</v>
      </c>
      <c r="AB3766" s="26"/>
      <c r="AC3766" s="26" t="s">
        <v>53</v>
      </c>
      <c r="AD3766" s="26" t="s">
        <v>54</v>
      </c>
      <c r="AE3766" s="26" t="s">
        <v>9553</v>
      </c>
      <c r="AF3766" s="17">
        <v>45807</v>
      </c>
      <c r="AG3766" s="26" t="s">
        <v>13763</v>
      </c>
      <c r="AH3766" s="26"/>
      <c r="AI3766" s="40"/>
      <c r="AJ3766" s="26"/>
      <c r="AK3766" s="26"/>
      <c r="AL3766" s="35"/>
      <c r="AM3766" s="35"/>
      <c r="AN3766" s="35"/>
      <c r="AO3766" s="35"/>
      <c r="AP3766" s="35"/>
    </row>
    <row r="3767" spans="1:42" x14ac:dyDescent="0.2">
      <c r="A3767" s="38">
        <v>45580</v>
      </c>
      <c r="B3767" s="28" t="s">
        <v>37</v>
      </c>
      <c r="C3767" s="41" t="s">
        <v>118</v>
      </c>
      <c r="D3767" s="26" t="s">
        <v>36</v>
      </c>
      <c r="E3767" s="26" t="s">
        <v>119</v>
      </c>
      <c r="F3767" s="26" t="s">
        <v>8691</v>
      </c>
      <c r="G3767" s="80" t="s">
        <v>221</v>
      </c>
      <c r="H3767" s="80" t="s">
        <v>13745</v>
      </c>
      <c r="I3767" s="17">
        <f ca="1">IFERROR(__xludf.DUMMYFUNCTION("""COMPUTED_VALUE"""),45594)</f>
        <v>45594</v>
      </c>
      <c r="J3767" s="29" t="s">
        <v>9085</v>
      </c>
      <c r="K3767" s="19" t="s">
        <v>13764</v>
      </c>
      <c r="L3767" s="47">
        <v>343143987</v>
      </c>
      <c r="M3767" s="19" t="s">
        <v>80</v>
      </c>
      <c r="N3767" s="19" t="s">
        <v>466</v>
      </c>
      <c r="O3767" s="26" t="s">
        <v>9087</v>
      </c>
      <c r="P3767" s="42" t="s">
        <v>9088</v>
      </c>
      <c r="Q3767" s="20"/>
      <c r="R3767" s="26" t="s">
        <v>36</v>
      </c>
      <c r="S3767" s="95">
        <v>3800</v>
      </c>
      <c r="T3767" s="148">
        <v>45464</v>
      </c>
      <c r="U3767" s="95">
        <v>10168</v>
      </c>
      <c r="V3767" s="148">
        <v>45500</v>
      </c>
      <c r="W3767" s="33" t="s">
        <v>9089</v>
      </c>
      <c r="X3767" s="26"/>
      <c r="Y3767" s="22"/>
      <c r="Z3767" s="26" t="s">
        <v>50</v>
      </c>
      <c r="AA3767" s="70" t="s">
        <v>9070</v>
      </c>
      <c r="AB3767" s="26" t="s">
        <v>36</v>
      </c>
      <c r="AC3767" s="26" t="s">
        <v>53</v>
      </c>
      <c r="AD3767" s="26" t="s">
        <v>54</v>
      </c>
      <c r="AE3767" s="26" t="s">
        <v>8691</v>
      </c>
      <c r="AF3767" s="17">
        <v>45587</v>
      </c>
      <c r="AG3767" s="26"/>
      <c r="AH3767" s="26"/>
      <c r="AI3767" s="40"/>
      <c r="AJ3767" s="26"/>
      <c r="AK3767" s="26"/>
      <c r="AL3767" s="35"/>
      <c r="AM3767" s="35"/>
      <c r="AN3767" s="35"/>
      <c r="AO3767" s="35"/>
      <c r="AP3767" s="35"/>
    </row>
    <row r="3768" spans="1:42" x14ac:dyDescent="0.2">
      <c r="A3768" s="38">
        <v>45580</v>
      </c>
      <c r="B3768" s="28" t="s">
        <v>37</v>
      </c>
      <c r="C3768" s="41" t="s">
        <v>118</v>
      </c>
      <c r="D3768" s="80" t="s">
        <v>36</v>
      </c>
      <c r="E3768" s="80" t="s">
        <v>119</v>
      </c>
      <c r="F3768" s="80" t="s">
        <v>8931</v>
      </c>
      <c r="G3768" s="80" t="s">
        <v>221</v>
      </c>
      <c r="H3768" s="80" t="s">
        <v>13745</v>
      </c>
      <c r="I3768" s="17">
        <f ca="1">IFERROR(__xludf.DUMMYFUNCTION("""COMPUTED_VALUE"""),45594)</f>
        <v>45594</v>
      </c>
      <c r="J3768" s="143" t="s">
        <v>9647</v>
      </c>
      <c r="K3768" s="80" t="s">
        <v>9648</v>
      </c>
      <c r="L3768" s="30">
        <v>367388021</v>
      </c>
      <c r="M3768" s="80" t="s">
        <v>1245</v>
      </c>
      <c r="N3768" s="80" t="s">
        <v>5092</v>
      </c>
      <c r="O3768" s="80" t="s">
        <v>9649</v>
      </c>
      <c r="P3768" s="144" t="s">
        <v>13765</v>
      </c>
      <c r="Q3768" s="20"/>
      <c r="R3768" s="80" t="s">
        <v>36</v>
      </c>
      <c r="S3768" s="95">
        <f>13000+968</f>
        <v>13968</v>
      </c>
      <c r="T3768" s="148">
        <v>38191</v>
      </c>
      <c r="U3768" s="95"/>
      <c r="V3768" s="148"/>
      <c r="W3768" s="80" t="s">
        <v>9651</v>
      </c>
      <c r="X3768" s="80"/>
      <c r="Y3768" s="22"/>
      <c r="Z3768" s="80" t="s">
        <v>50</v>
      </c>
      <c r="AA3768" s="70" t="s">
        <v>9070</v>
      </c>
      <c r="AB3768" s="80"/>
      <c r="AC3768" s="80" t="s">
        <v>53</v>
      </c>
      <c r="AD3768" s="80" t="s">
        <v>54</v>
      </c>
      <c r="AE3768" s="80" t="s">
        <v>8931</v>
      </c>
      <c r="AF3768" s="17">
        <v>45587</v>
      </c>
      <c r="AG3768" s="80"/>
      <c r="AH3768" s="80"/>
      <c r="AI3768" s="147"/>
      <c r="AJ3768" s="80"/>
      <c r="AK3768" s="80"/>
      <c r="AL3768" s="35"/>
      <c r="AM3768" s="35"/>
      <c r="AN3768" s="35"/>
      <c r="AO3768" s="35"/>
      <c r="AP3768" s="35"/>
    </row>
    <row r="3769" spans="1:42" x14ac:dyDescent="0.2">
      <c r="A3769" s="38">
        <v>45580</v>
      </c>
      <c r="B3769" s="28" t="s">
        <v>37</v>
      </c>
      <c r="C3769" s="41" t="s">
        <v>118</v>
      </c>
      <c r="D3769" s="26" t="s">
        <v>36</v>
      </c>
      <c r="E3769" s="26" t="s">
        <v>119</v>
      </c>
      <c r="F3769" s="26" t="s">
        <v>9553</v>
      </c>
      <c r="G3769" s="26" t="s">
        <v>221</v>
      </c>
      <c r="H3769" s="26" t="s">
        <v>13755</v>
      </c>
      <c r="I3769" s="17">
        <f ca="1">IFERROR(__xludf.DUMMYFUNCTION("""COMPUTED_VALUE"""),45595)</f>
        <v>45595</v>
      </c>
      <c r="J3769" s="29" t="s">
        <v>10904</v>
      </c>
      <c r="K3769" s="26" t="s">
        <v>13766</v>
      </c>
      <c r="L3769" s="30">
        <v>812279006</v>
      </c>
      <c r="M3769" s="26" t="s">
        <v>123</v>
      </c>
      <c r="N3769" s="26" t="s">
        <v>186</v>
      </c>
      <c r="O3769" s="26" t="s">
        <v>4503</v>
      </c>
      <c r="P3769" s="42" t="s">
        <v>13767</v>
      </c>
      <c r="Q3769" s="20">
        <v>13968</v>
      </c>
      <c r="R3769" s="26" t="s">
        <v>36</v>
      </c>
      <c r="S3769" s="95">
        <f>2000+1768</f>
        <v>3768</v>
      </c>
      <c r="T3769" s="83" t="s">
        <v>10907</v>
      </c>
      <c r="U3769" s="95">
        <v>10200</v>
      </c>
      <c r="V3769" s="148">
        <v>45529</v>
      </c>
      <c r="W3769" s="33" t="s">
        <v>10908</v>
      </c>
      <c r="X3769" s="26">
        <v>0</v>
      </c>
      <c r="Y3769" s="22">
        <v>0</v>
      </c>
      <c r="Z3769" s="26" t="s">
        <v>50</v>
      </c>
      <c r="AA3769" s="96" t="s">
        <v>10314</v>
      </c>
      <c r="AB3769" s="26"/>
      <c r="AC3769" s="26" t="s">
        <v>53</v>
      </c>
      <c r="AD3769" s="26" t="s">
        <v>54</v>
      </c>
      <c r="AE3769" s="26" t="s">
        <v>9553</v>
      </c>
      <c r="AF3769" s="17">
        <v>45588</v>
      </c>
      <c r="AG3769" s="26"/>
      <c r="AH3769" s="26"/>
      <c r="AI3769" s="40"/>
      <c r="AJ3769" s="26"/>
      <c r="AK3769" s="26"/>
      <c r="AL3769" s="35"/>
      <c r="AM3769" s="35"/>
      <c r="AN3769" s="35"/>
      <c r="AO3769" s="35"/>
      <c r="AP3769" s="35"/>
    </row>
    <row r="3770" spans="1:42" x14ac:dyDescent="0.2">
      <c r="A3770" s="38">
        <v>45580</v>
      </c>
      <c r="B3770" s="28" t="s">
        <v>90</v>
      </c>
      <c r="C3770" s="41" t="s">
        <v>118</v>
      </c>
      <c r="D3770" s="80" t="s">
        <v>36</v>
      </c>
      <c r="E3770" s="80" t="s">
        <v>119</v>
      </c>
      <c r="F3770" s="80" t="s">
        <v>8931</v>
      </c>
      <c r="G3770" s="26" t="s">
        <v>221</v>
      </c>
      <c r="H3770" s="26" t="s">
        <v>13768</v>
      </c>
      <c r="I3770" s="17">
        <f ca="1">IFERROR(__xludf.DUMMYFUNCTION("""COMPUTED_VALUE"""),45726)</f>
        <v>45726</v>
      </c>
      <c r="J3770" s="143" t="s">
        <v>11041</v>
      </c>
      <c r="K3770" s="80" t="s">
        <v>13769</v>
      </c>
      <c r="L3770" s="30">
        <v>942273986</v>
      </c>
      <c r="M3770" s="80" t="s">
        <v>80</v>
      </c>
      <c r="N3770" s="80" t="s">
        <v>466</v>
      </c>
      <c r="O3770" s="80" t="s">
        <v>11043</v>
      </c>
      <c r="P3770" s="144" t="s">
        <v>13770</v>
      </c>
      <c r="Q3770" s="20">
        <v>13968</v>
      </c>
      <c r="R3770" s="80" t="s">
        <v>36</v>
      </c>
      <c r="S3770" s="95">
        <f>200+1800+2000</f>
        <v>4000</v>
      </c>
      <c r="T3770" s="83" t="s">
        <v>11045</v>
      </c>
      <c r="U3770" s="95">
        <v>9968</v>
      </c>
      <c r="V3770" s="148">
        <v>45526</v>
      </c>
      <c r="W3770" s="85" t="s">
        <v>11046</v>
      </c>
      <c r="X3770" s="80">
        <v>0</v>
      </c>
      <c r="Y3770" s="22">
        <v>0</v>
      </c>
      <c r="Z3770" s="80" t="s">
        <v>50</v>
      </c>
      <c r="AA3770" s="35" t="s">
        <v>10314</v>
      </c>
      <c r="AB3770" s="80"/>
      <c r="AC3770" s="80" t="s">
        <v>53</v>
      </c>
      <c r="AD3770" s="80" t="s">
        <v>54</v>
      </c>
      <c r="AE3770" s="80" t="s">
        <v>8931</v>
      </c>
      <c r="AF3770" s="17">
        <v>45587</v>
      </c>
      <c r="AG3770" s="80"/>
      <c r="AH3770" s="80"/>
      <c r="AI3770" s="147"/>
      <c r="AJ3770" s="80"/>
      <c r="AK3770" s="80"/>
      <c r="AL3770" s="35"/>
      <c r="AM3770" s="35"/>
      <c r="AN3770" s="35"/>
      <c r="AO3770" s="35"/>
      <c r="AP3770" s="35"/>
    </row>
    <row r="3771" spans="1:42" x14ac:dyDescent="0.2">
      <c r="A3771" s="38">
        <v>45580</v>
      </c>
      <c r="B3771" s="28" t="s">
        <v>37</v>
      </c>
      <c r="C3771" s="41" t="s">
        <v>118</v>
      </c>
      <c r="D3771" s="80" t="s">
        <v>36</v>
      </c>
      <c r="E3771" s="80" t="s">
        <v>119</v>
      </c>
      <c r="F3771" s="80" t="s">
        <v>8931</v>
      </c>
      <c r="G3771" s="26" t="s">
        <v>221</v>
      </c>
      <c r="H3771" s="26" t="s">
        <v>13745</v>
      </c>
      <c r="I3771" s="17">
        <f ca="1">IFERROR(__xludf.DUMMYFUNCTION("""COMPUTED_VALUE"""),45594)</f>
        <v>45594</v>
      </c>
      <c r="J3771" s="143" t="s">
        <v>11035</v>
      </c>
      <c r="K3771" s="80" t="s">
        <v>13771</v>
      </c>
      <c r="L3771" s="30">
        <v>985621883</v>
      </c>
      <c r="M3771" s="80" t="s">
        <v>80</v>
      </c>
      <c r="N3771" s="80" t="s">
        <v>1073</v>
      </c>
      <c r="O3771" s="80" t="s">
        <v>11037</v>
      </c>
      <c r="P3771" s="144" t="s">
        <v>13772</v>
      </c>
      <c r="Q3771" s="20">
        <v>13968</v>
      </c>
      <c r="R3771" s="80" t="s">
        <v>36</v>
      </c>
      <c r="S3771" s="95">
        <f>200+3600</f>
        <v>3800</v>
      </c>
      <c r="T3771" s="83" t="s">
        <v>11039</v>
      </c>
      <c r="U3771" s="95">
        <v>10168</v>
      </c>
      <c r="V3771" s="148">
        <v>45535</v>
      </c>
      <c r="W3771" s="85" t="s">
        <v>11040</v>
      </c>
      <c r="X3771" s="80">
        <v>0</v>
      </c>
      <c r="Y3771" s="22">
        <v>0</v>
      </c>
      <c r="Z3771" s="80" t="s">
        <v>50</v>
      </c>
      <c r="AA3771" s="96" t="s">
        <v>10314</v>
      </c>
      <c r="AB3771" s="80"/>
      <c r="AC3771" s="80" t="s">
        <v>53</v>
      </c>
      <c r="AD3771" s="80" t="s">
        <v>54</v>
      </c>
      <c r="AE3771" s="80" t="s">
        <v>8931</v>
      </c>
      <c r="AF3771" s="17">
        <v>45587</v>
      </c>
      <c r="AG3771" s="80"/>
      <c r="AH3771" s="80"/>
      <c r="AI3771" s="147"/>
      <c r="AJ3771" s="80"/>
      <c r="AK3771" s="80"/>
      <c r="AL3771" s="35"/>
      <c r="AM3771" s="35"/>
      <c r="AN3771" s="35"/>
      <c r="AO3771" s="35"/>
      <c r="AP3771" s="35"/>
    </row>
    <row r="3772" spans="1:42" x14ac:dyDescent="0.2">
      <c r="A3772" s="38">
        <v>45580</v>
      </c>
      <c r="B3772" s="137" t="s">
        <v>90</v>
      </c>
      <c r="C3772" s="41" t="s">
        <v>118</v>
      </c>
      <c r="D3772" s="80" t="s">
        <v>36</v>
      </c>
      <c r="E3772" s="80" t="s">
        <v>139</v>
      </c>
      <c r="F3772" s="80" t="s">
        <v>11428</v>
      </c>
      <c r="G3772" s="80" t="s">
        <v>108</v>
      </c>
      <c r="H3772" s="80" t="s">
        <v>13773</v>
      </c>
      <c r="I3772" s="17">
        <f ca="1">IFERROR(__xludf.DUMMYFUNCTION("""COMPUTED_VALUE"""),45699)</f>
        <v>45699</v>
      </c>
      <c r="J3772" s="143" t="s">
        <v>13774</v>
      </c>
      <c r="K3772" s="80" t="s">
        <v>13775</v>
      </c>
      <c r="L3772" s="30">
        <v>911445377</v>
      </c>
      <c r="M3772" s="80" t="s">
        <v>3728</v>
      </c>
      <c r="N3772" s="80" t="s">
        <v>5277</v>
      </c>
      <c r="O3772" s="80" t="s">
        <v>13776</v>
      </c>
      <c r="P3772" s="144" t="s">
        <v>13777</v>
      </c>
      <c r="Q3772" s="20">
        <v>15936</v>
      </c>
      <c r="R3772" s="80" t="s">
        <v>36</v>
      </c>
      <c r="S3772" s="95">
        <v>2000</v>
      </c>
      <c r="T3772" s="148">
        <v>45520</v>
      </c>
      <c r="U3772" s="95">
        <v>13936</v>
      </c>
      <c r="V3772" s="148">
        <v>45566</v>
      </c>
      <c r="W3772" s="85" t="s">
        <v>13778</v>
      </c>
      <c r="X3772" s="80">
        <v>0</v>
      </c>
      <c r="Y3772" s="22">
        <v>0</v>
      </c>
      <c r="Z3772" s="26" t="s">
        <v>118</v>
      </c>
      <c r="AA3772" s="86"/>
      <c r="AB3772" s="26" t="s">
        <v>36</v>
      </c>
      <c r="AC3772" s="80" t="s">
        <v>53</v>
      </c>
      <c r="AD3772" s="80" t="s">
        <v>54</v>
      </c>
      <c r="AE3772" s="80" t="s">
        <v>11428</v>
      </c>
      <c r="AF3772" s="17">
        <v>45716</v>
      </c>
      <c r="AG3772" s="80" t="s">
        <v>13779</v>
      </c>
      <c r="AH3772" s="80"/>
      <c r="AI3772" s="147" t="s">
        <v>147</v>
      </c>
      <c r="AJ3772" s="80"/>
      <c r="AK3772" s="80"/>
      <c r="AL3772" s="35"/>
      <c r="AM3772" s="35"/>
      <c r="AN3772" s="35"/>
      <c r="AO3772" s="35"/>
      <c r="AP3772" s="35"/>
    </row>
    <row r="3773" spans="1:42" x14ac:dyDescent="0.2">
      <c r="A3773" s="38">
        <v>45580</v>
      </c>
      <c r="B3773" s="137" t="s">
        <v>37</v>
      </c>
      <c r="C3773" s="41" t="s">
        <v>118</v>
      </c>
      <c r="D3773" s="80" t="s">
        <v>36</v>
      </c>
      <c r="E3773" s="80" t="s">
        <v>139</v>
      </c>
      <c r="F3773" s="80" t="s">
        <v>10999</v>
      </c>
      <c r="G3773" s="80" t="s">
        <v>108</v>
      </c>
      <c r="H3773" s="80" t="s">
        <v>10205</v>
      </c>
      <c r="I3773" s="17">
        <f ca="1">IFERROR(__xludf.DUMMYFUNCTION("""COMPUTED_VALUE"""),45590)</f>
        <v>45590</v>
      </c>
      <c r="J3773" s="143" t="s">
        <v>11010</v>
      </c>
      <c r="K3773" s="80" t="s">
        <v>13780</v>
      </c>
      <c r="L3773" s="30">
        <v>985876405</v>
      </c>
      <c r="M3773" s="80" t="s">
        <v>3728</v>
      </c>
      <c r="N3773" s="80" t="s">
        <v>8725</v>
      </c>
      <c r="O3773" s="80" t="s">
        <v>11012</v>
      </c>
      <c r="P3773" s="144" t="s">
        <v>13781</v>
      </c>
      <c r="Q3773" s="20">
        <v>15936</v>
      </c>
      <c r="R3773" s="80" t="s">
        <v>36</v>
      </c>
      <c r="S3773" s="95">
        <v>2000</v>
      </c>
      <c r="T3773" s="148">
        <v>45497</v>
      </c>
      <c r="U3773" s="95">
        <v>13836</v>
      </c>
      <c r="V3773" s="148">
        <v>45526</v>
      </c>
      <c r="W3773" s="80" t="s">
        <v>11014</v>
      </c>
      <c r="X3773" s="80">
        <v>0</v>
      </c>
      <c r="Y3773" s="22">
        <v>100</v>
      </c>
      <c r="Z3773" s="80" t="s">
        <v>50</v>
      </c>
      <c r="AA3773" s="96" t="s">
        <v>10314</v>
      </c>
      <c r="AB3773" s="80"/>
      <c r="AC3773" s="80" t="s">
        <v>53</v>
      </c>
      <c r="AD3773" s="80" t="s">
        <v>54</v>
      </c>
      <c r="AE3773" s="80" t="s">
        <v>10999</v>
      </c>
      <c r="AF3773" s="17">
        <v>45583</v>
      </c>
      <c r="AG3773" s="80"/>
      <c r="AH3773" s="80"/>
      <c r="AI3773" s="147"/>
      <c r="AJ3773" s="80"/>
      <c r="AK3773" s="80"/>
      <c r="AL3773" s="35"/>
      <c r="AM3773" s="35"/>
      <c r="AN3773" s="35"/>
      <c r="AO3773" s="35"/>
      <c r="AP3773" s="35"/>
    </row>
    <row r="3774" spans="1:42" x14ac:dyDescent="0.2">
      <c r="A3774" s="38">
        <v>45580</v>
      </c>
      <c r="B3774" s="28" t="s">
        <v>37</v>
      </c>
      <c r="C3774" s="41" t="s">
        <v>118</v>
      </c>
      <c r="D3774" s="26" t="s">
        <v>36</v>
      </c>
      <c r="E3774" s="26" t="s">
        <v>139</v>
      </c>
      <c r="F3774" s="26" t="s">
        <v>2258</v>
      </c>
      <c r="G3774" s="26" t="s">
        <v>221</v>
      </c>
      <c r="H3774" s="26" t="s">
        <v>13755</v>
      </c>
      <c r="I3774" s="17">
        <f ca="1">IFERROR(__xludf.DUMMYFUNCTION("""COMPUTED_VALUE"""),45595)</f>
        <v>45595</v>
      </c>
      <c r="J3774" s="29" t="s">
        <v>5973</v>
      </c>
      <c r="K3774" s="26" t="s">
        <v>2364</v>
      </c>
      <c r="L3774" s="30">
        <v>866819319</v>
      </c>
      <c r="M3774" s="26" t="s">
        <v>112</v>
      </c>
      <c r="N3774" s="26" t="s">
        <v>2157</v>
      </c>
      <c r="O3774" s="26" t="s">
        <v>134</v>
      </c>
      <c r="P3774" s="42" t="s">
        <v>5974</v>
      </c>
      <c r="Q3774" s="20">
        <v>15936</v>
      </c>
      <c r="R3774" s="26" t="s">
        <v>36</v>
      </c>
      <c r="S3774" s="31">
        <v>2000</v>
      </c>
      <c r="T3774" s="32">
        <v>45180</v>
      </c>
      <c r="U3774" s="31">
        <v>14232</v>
      </c>
      <c r="V3774" s="32">
        <v>45219</v>
      </c>
      <c r="W3774" s="26"/>
      <c r="X3774" s="26"/>
      <c r="Y3774" s="22">
        <v>-296</v>
      </c>
      <c r="Z3774" s="26" t="s">
        <v>118</v>
      </c>
      <c r="AA3774" s="19" t="s">
        <v>5785</v>
      </c>
      <c r="AB3774" s="26" t="s">
        <v>137</v>
      </c>
      <c r="AC3774" s="26" t="s">
        <v>53</v>
      </c>
      <c r="AD3774" s="19" t="s">
        <v>54</v>
      </c>
      <c r="AE3774" s="26" t="s">
        <v>2258</v>
      </c>
      <c r="AF3774" s="17">
        <v>45588</v>
      </c>
      <c r="AG3774" s="26"/>
      <c r="AH3774" s="26"/>
      <c r="AI3774" s="40" t="s">
        <v>147</v>
      </c>
      <c r="AJ3774" s="26"/>
      <c r="AK3774" s="26"/>
      <c r="AL3774" s="35"/>
      <c r="AM3774" s="35"/>
      <c r="AN3774" s="35"/>
      <c r="AO3774" s="35"/>
      <c r="AP3774" s="35"/>
    </row>
    <row r="3775" spans="1:42" x14ac:dyDescent="0.2">
      <c r="A3775" s="38">
        <v>45580</v>
      </c>
      <c r="B3775" s="28" t="s">
        <v>37</v>
      </c>
      <c r="C3775" s="41" t="s">
        <v>118</v>
      </c>
      <c r="D3775" s="80" t="s">
        <v>36</v>
      </c>
      <c r="E3775" s="80" t="s">
        <v>139</v>
      </c>
      <c r="F3775" s="80" t="s">
        <v>11497</v>
      </c>
      <c r="G3775" s="80" t="s">
        <v>108</v>
      </c>
      <c r="H3775" s="80" t="s">
        <v>13782</v>
      </c>
      <c r="I3775" s="17">
        <f ca="1">IFERROR(__xludf.DUMMYFUNCTION("""COMPUTED_VALUE"""),45623)</f>
        <v>45623</v>
      </c>
      <c r="J3775" s="143" t="s">
        <v>12345</v>
      </c>
      <c r="K3775" s="80" t="s">
        <v>13783</v>
      </c>
      <c r="L3775" s="30">
        <v>345998707</v>
      </c>
      <c r="M3775" s="80" t="s">
        <v>123</v>
      </c>
      <c r="N3775" s="80" t="s">
        <v>186</v>
      </c>
      <c r="O3775" s="80" t="s">
        <v>4503</v>
      </c>
      <c r="P3775" s="144" t="s">
        <v>13784</v>
      </c>
      <c r="Q3775" s="20">
        <v>15936</v>
      </c>
      <c r="R3775" s="80" t="s">
        <v>36</v>
      </c>
      <c r="S3775" s="95">
        <v>2000</v>
      </c>
      <c r="T3775" s="148">
        <v>45525</v>
      </c>
      <c r="U3775" s="95">
        <v>13936</v>
      </c>
      <c r="V3775" s="148">
        <v>45550</v>
      </c>
      <c r="W3775" s="85" t="s">
        <v>12348</v>
      </c>
      <c r="X3775" s="80">
        <v>0</v>
      </c>
      <c r="Y3775" s="22">
        <v>0</v>
      </c>
      <c r="Z3775" s="80" t="s">
        <v>50</v>
      </c>
      <c r="AA3775" s="96" t="s">
        <v>3291</v>
      </c>
      <c r="AB3775" s="80"/>
      <c r="AC3775" s="80" t="s">
        <v>53</v>
      </c>
      <c r="AD3775" s="80" t="s">
        <v>54</v>
      </c>
      <c r="AE3775" s="80" t="s">
        <v>11497</v>
      </c>
      <c r="AF3775" s="17">
        <v>45582</v>
      </c>
      <c r="AG3775" s="80"/>
      <c r="AH3775" s="80"/>
      <c r="AI3775" s="147" t="s">
        <v>147</v>
      </c>
      <c r="AJ3775" s="80"/>
      <c r="AK3775" s="80"/>
      <c r="AL3775" s="35"/>
      <c r="AM3775" s="35"/>
      <c r="AN3775" s="35"/>
      <c r="AO3775" s="35"/>
      <c r="AP3775" s="35"/>
    </row>
    <row r="3776" spans="1:42" x14ac:dyDescent="0.2">
      <c r="A3776" s="38">
        <v>45580</v>
      </c>
      <c r="B3776" s="28" t="s">
        <v>37</v>
      </c>
      <c r="C3776" s="41" t="s">
        <v>118</v>
      </c>
      <c r="D3776" s="80" t="s">
        <v>36</v>
      </c>
      <c r="E3776" s="80" t="s">
        <v>139</v>
      </c>
      <c r="F3776" s="80" t="s">
        <v>11497</v>
      </c>
      <c r="G3776" s="80" t="s">
        <v>108</v>
      </c>
      <c r="H3776" s="80" t="s">
        <v>9785</v>
      </c>
      <c r="I3776" s="17">
        <f ca="1">IFERROR(__xludf.DUMMYFUNCTION("""COMPUTED_VALUE"""),45589)</f>
        <v>45589</v>
      </c>
      <c r="J3776" s="143" t="s">
        <v>12387</v>
      </c>
      <c r="K3776" s="80" t="s">
        <v>13785</v>
      </c>
      <c r="L3776" s="30">
        <v>978877351</v>
      </c>
      <c r="M3776" s="80" t="s">
        <v>5558</v>
      </c>
      <c r="N3776" s="80" t="s">
        <v>5559</v>
      </c>
      <c r="O3776" s="80" t="s">
        <v>4503</v>
      </c>
      <c r="P3776" s="144" t="s">
        <v>13786</v>
      </c>
      <c r="Q3776" s="20">
        <v>15936</v>
      </c>
      <c r="R3776" s="80" t="s">
        <v>36</v>
      </c>
      <c r="S3776" s="95">
        <f>200+1768</f>
        <v>1968</v>
      </c>
      <c r="T3776" s="83" t="s">
        <v>12390</v>
      </c>
      <c r="U3776" s="95">
        <v>13968</v>
      </c>
      <c r="V3776" s="148">
        <v>45544</v>
      </c>
      <c r="W3776" s="80" t="s">
        <v>12391</v>
      </c>
      <c r="X3776" s="80">
        <v>0</v>
      </c>
      <c r="Y3776" s="22">
        <v>0</v>
      </c>
      <c r="Z3776" s="80" t="s">
        <v>50</v>
      </c>
      <c r="AA3776" s="35" t="s">
        <v>3291</v>
      </c>
      <c r="AB3776" s="80"/>
      <c r="AC3776" s="80" t="s">
        <v>53</v>
      </c>
      <c r="AD3776" s="80" t="s">
        <v>54</v>
      </c>
      <c r="AE3776" s="80" t="s">
        <v>11497</v>
      </c>
      <c r="AF3776" s="17">
        <v>45582</v>
      </c>
      <c r="AG3776" s="80"/>
      <c r="AH3776" s="80"/>
      <c r="AI3776" s="147" t="s">
        <v>147</v>
      </c>
      <c r="AJ3776" s="80"/>
      <c r="AK3776" s="80"/>
      <c r="AL3776" s="35"/>
      <c r="AM3776" s="35"/>
      <c r="AN3776" s="35"/>
      <c r="AO3776" s="35"/>
      <c r="AP3776" s="35"/>
    </row>
    <row r="3777" spans="1:42" x14ac:dyDescent="0.2">
      <c r="A3777" s="38">
        <v>45580</v>
      </c>
      <c r="B3777" s="28" t="s">
        <v>37</v>
      </c>
      <c r="C3777" s="41" t="s">
        <v>118</v>
      </c>
      <c r="D3777" s="80" t="s">
        <v>36</v>
      </c>
      <c r="E3777" s="80" t="s">
        <v>139</v>
      </c>
      <c r="F3777" s="80" t="s">
        <v>11497</v>
      </c>
      <c r="G3777" s="80" t="s">
        <v>108</v>
      </c>
      <c r="H3777" s="80" t="s">
        <v>13782</v>
      </c>
      <c r="I3777" s="17">
        <f ca="1">IFERROR(__xludf.DUMMYFUNCTION("""COMPUTED_VALUE"""),45623)</f>
        <v>45623</v>
      </c>
      <c r="J3777" s="143" t="s">
        <v>12374</v>
      </c>
      <c r="K3777" s="80" t="s">
        <v>13787</v>
      </c>
      <c r="L3777" s="30">
        <v>367490337</v>
      </c>
      <c r="M3777" s="80" t="s">
        <v>123</v>
      </c>
      <c r="N3777" s="80" t="s">
        <v>327</v>
      </c>
      <c r="O3777" s="80" t="s">
        <v>4503</v>
      </c>
      <c r="P3777" s="144" t="s">
        <v>13788</v>
      </c>
      <c r="Q3777" s="20">
        <v>15936</v>
      </c>
      <c r="R3777" s="80" t="s">
        <v>36</v>
      </c>
      <c r="S3777" s="95">
        <f>200+180+1620</f>
        <v>2000</v>
      </c>
      <c r="T3777" s="148">
        <v>45525</v>
      </c>
      <c r="U3777" s="95">
        <v>13936</v>
      </c>
      <c r="V3777" s="148">
        <v>45550</v>
      </c>
      <c r="W3777" s="80" t="s">
        <v>12377</v>
      </c>
      <c r="X3777" s="80">
        <v>0</v>
      </c>
      <c r="Y3777" s="22">
        <v>0</v>
      </c>
      <c r="Z3777" s="80" t="s">
        <v>50</v>
      </c>
      <c r="AA3777" s="96" t="s">
        <v>3291</v>
      </c>
      <c r="AB3777" s="80"/>
      <c r="AC3777" s="80" t="s">
        <v>53</v>
      </c>
      <c r="AD3777" s="80" t="s">
        <v>54</v>
      </c>
      <c r="AE3777" s="80" t="s">
        <v>11497</v>
      </c>
      <c r="AF3777" s="17">
        <v>45582</v>
      </c>
      <c r="AG3777" s="80"/>
      <c r="AH3777" s="80"/>
      <c r="AI3777" s="147" t="s">
        <v>147</v>
      </c>
      <c r="AJ3777" s="80"/>
      <c r="AK3777" s="80"/>
      <c r="AL3777" s="35"/>
      <c r="AM3777" s="35"/>
      <c r="AN3777" s="35"/>
      <c r="AO3777" s="35"/>
      <c r="AP3777" s="35"/>
    </row>
    <row r="3778" spans="1:42" x14ac:dyDescent="0.2">
      <c r="A3778" s="38">
        <v>45580</v>
      </c>
      <c r="B3778" s="28" t="s">
        <v>37</v>
      </c>
      <c r="C3778" s="41" t="s">
        <v>118</v>
      </c>
      <c r="D3778" s="26" t="s">
        <v>36</v>
      </c>
      <c r="E3778" s="26" t="s">
        <v>139</v>
      </c>
      <c r="F3778" s="80" t="s">
        <v>11497</v>
      </c>
      <c r="G3778" s="80" t="s">
        <v>108</v>
      </c>
      <c r="H3778" s="80" t="s">
        <v>9785</v>
      </c>
      <c r="I3778" s="17">
        <f ca="1">IFERROR(__xludf.DUMMYFUNCTION("""COMPUTED_VALUE"""),45589)</f>
        <v>45589</v>
      </c>
      <c r="J3778" s="29" t="s">
        <v>11993</v>
      </c>
      <c r="K3778" s="26" t="s">
        <v>13789</v>
      </c>
      <c r="L3778" s="30">
        <v>983220806</v>
      </c>
      <c r="M3778" s="26" t="s">
        <v>3728</v>
      </c>
      <c r="N3778" s="26" t="s">
        <v>5277</v>
      </c>
      <c r="O3778" s="26" t="s">
        <v>11995</v>
      </c>
      <c r="P3778" s="42" t="s">
        <v>13790</v>
      </c>
      <c r="Q3778" s="20">
        <v>15936</v>
      </c>
      <c r="R3778" s="26" t="s">
        <v>36</v>
      </c>
      <c r="S3778" s="95">
        <f>200+1800</f>
        <v>2000</v>
      </c>
      <c r="T3778" s="83" t="s">
        <v>11997</v>
      </c>
      <c r="U3778" s="95">
        <v>13936</v>
      </c>
      <c r="V3778" s="148">
        <v>45554</v>
      </c>
      <c r="W3778" s="33" t="s">
        <v>11998</v>
      </c>
      <c r="X3778" s="26">
        <v>0</v>
      </c>
      <c r="Y3778" s="22">
        <v>0</v>
      </c>
      <c r="Z3778" s="26" t="s">
        <v>50</v>
      </c>
      <c r="AA3778" s="35" t="s">
        <v>3291</v>
      </c>
      <c r="AB3778" s="26"/>
      <c r="AC3778" s="26" t="s">
        <v>53</v>
      </c>
      <c r="AD3778" s="26" t="s">
        <v>54</v>
      </c>
      <c r="AE3778" s="80" t="s">
        <v>11497</v>
      </c>
      <c r="AF3778" s="17">
        <v>45582</v>
      </c>
      <c r="AG3778" s="26"/>
      <c r="AH3778" s="26"/>
      <c r="AI3778" s="40" t="s">
        <v>147</v>
      </c>
      <c r="AJ3778" s="26"/>
      <c r="AK3778" s="26"/>
      <c r="AL3778" s="35"/>
      <c r="AM3778" s="35"/>
      <c r="AN3778" s="35"/>
      <c r="AO3778" s="35"/>
      <c r="AP3778" s="35"/>
    </row>
    <row r="3779" spans="1:42" x14ac:dyDescent="0.2">
      <c r="A3779" s="38">
        <v>45580</v>
      </c>
      <c r="B3779" s="137" t="s">
        <v>37</v>
      </c>
      <c r="C3779" s="41" t="s">
        <v>118</v>
      </c>
      <c r="D3779" s="80" t="s">
        <v>36</v>
      </c>
      <c r="E3779" s="80" t="s">
        <v>139</v>
      </c>
      <c r="F3779" s="80" t="s">
        <v>5666</v>
      </c>
      <c r="G3779" s="26" t="s">
        <v>108</v>
      </c>
      <c r="H3779" s="80" t="s">
        <v>10144</v>
      </c>
      <c r="I3779" s="17">
        <f ca="1">IFERROR(__xludf.DUMMYFUNCTION("""COMPUTED_VALUE"""),45593)</f>
        <v>45593</v>
      </c>
      <c r="J3779" s="143" t="s">
        <v>12264</v>
      </c>
      <c r="K3779" s="80" t="s">
        <v>12265</v>
      </c>
      <c r="L3779" s="30">
        <v>355930816</v>
      </c>
      <c r="M3779" s="80" t="s">
        <v>5429</v>
      </c>
      <c r="N3779" s="80" t="s">
        <v>756</v>
      </c>
      <c r="O3779" s="80" t="s">
        <v>61</v>
      </c>
      <c r="P3779" s="144" t="s">
        <v>13791</v>
      </c>
      <c r="Q3779" s="20">
        <v>15936</v>
      </c>
      <c r="R3779" s="80" t="s">
        <v>36</v>
      </c>
      <c r="S3779" s="95">
        <v>2000</v>
      </c>
      <c r="T3779" s="148">
        <v>45518</v>
      </c>
      <c r="U3779" s="95">
        <v>13936</v>
      </c>
      <c r="V3779" s="148">
        <v>45554</v>
      </c>
      <c r="W3779" s="85" t="s">
        <v>12266</v>
      </c>
      <c r="X3779" s="80">
        <v>0</v>
      </c>
      <c r="Y3779" s="22">
        <v>0</v>
      </c>
      <c r="Z3779" s="80" t="s">
        <v>50</v>
      </c>
      <c r="AA3779" s="96" t="s">
        <v>3291</v>
      </c>
      <c r="AB3779" s="80"/>
      <c r="AC3779" s="80" t="s">
        <v>53</v>
      </c>
      <c r="AD3779" s="80" t="s">
        <v>138</v>
      </c>
      <c r="AE3779" s="80" t="s">
        <v>5666</v>
      </c>
      <c r="AF3779" s="17">
        <v>45593</v>
      </c>
      <c r="AG3779" s="26"/>
      <c r="AH3779" s="80"/>
      <c r="AI3779" s="147" t="s">
        <v>147</v>
      </c>
      <c r="AJ3779" s="80"/>
      <c r="AK3779" s="80"/>
      <c r="AL3779" s="35"/>
      <c r="AM3779" s="35"/>
      <c r="AN3779" s="35"/>
      <c r="AO3779" s="35"/>
      <c r="AP3779" s="35"/>
    </row>
    <row r="3780" spans="1:42" x14ac:dyDescent="0.2">
      <c r="A3780" s="38">
        <v>45580</v>
      </c>
      <c r="B3780" s="137" t="s">
        <v>37</v>
      </c>
      <c r="C3780" s="41" t="s">
        <v>118</v>
      </c>
      <c r="D3780" s="80" t="s">
        <v>36</v>
      </c>
      <c r="E3780" s="80" t="s">
        <v>139</v>
      </c>
      <c r="F3780" s="80" t="s">
        <v>5666</v>
      </c>
      <c r="G3780" s="26" t="s">
        <v>108</v>
      </c>
      <c r="H3780" s="80" t="s">
        <v>10144</v>
      </c>
      <c r="I3780" s="17">
        <f ca="1">IFERROR(__xludf.DUMMYFUNCTION("""COMPUTED_VALUE"""),45593)</f>
        <v>45593</v>
      </c>
      <c r="J3780" s="143" t="s">
        <v>12239</v>
      </c>
      <c r="K3780" s="80" t="s">
        <v>13792</v>
      </c>
      <c r="L3780" s="30">
        <v>389757283</v>
      </c>
      <c r="M3780" s="80" t="s">
        <v>5518</v>
      </c>
      <c r="N3780" s="80" t="s">
        <v>12240</v>
      </c>
      <c r="O3780" s="80" t="s">
        <v>12241</v>
      </c>
      <c r="P3780" s="144" t="s">
        <v>13793</v>
      </c>
      <c r="Q3780" s="20">
        <v>15936</v>
      </c>
      <c r="R3780" s="80" t="s">
        <v>36</v>
      </c>
      <c r="S3780" s="95">
        <v>2000</v>
      </c>
      <c r="T3780" s="148">
        <v>45516</v>
      </c>
      <c r="U3780" s="178">
        <v>13936</v>
      </c>
      <c r="V3780" s="148">
        <v>45555</v>
      </c>
      <c r="W3780" s="85" t="s">
        <v>12242</v>
      </c>
      <c r="X3780" s="80">
        <v>0</v>
      </c>
      <c r="Y3780" s="22">
        <v>0</v>
      </c>
      <c r="Z3780" s="80" t="s">
        <v>50</v>
      </c>
      <c r="AA3780" s="35" t="s">
        <v>3291</v>
      </c>
      <c r="AB3780" s="80"/>
      <c r="AC3780" s="80" t="s">
        <v>53</v>
      </c>
      <c r="AD3780" s="80" t="s">
        <v>138</v>
      </c>
      <c r="AE3780" s="80" t="s">
        <v>5666</v>
      </c>
      <c r="AF3780" s="17">
        <v>45593</v>
      </c>
      <c r="AG3780" s="26"/>
      <c r="AH3780" s="80"/>
      <c r="AI3780" s="147" t="s">
        <v>147</v>
      </c>
      <c r="AJ3780" s="80"/>
      <c r="AK3780" s="80"/>
      <c r="AL3780" s="35"/>
      <c r="AM3780" s="35"/>
      <c r="AN3780" s="35"/>
      <c r="AO3780" s="35"/>
      <c r="AP3780" s="35"/>
    </row>
    <row r="3781" spans="1:42" x14ac:dyDescent="0.2">
      <c r="A3781" s="38">
        <v>45580</v>
      </c>
      <c r="B3781" s="137" t="s">
        <v>37</v>
      </c>
      <c r="C3781" s="41" t="s">
        <v>118</v>
      </c>
      <c r="D3781" s="26" t="s">
        <v>36</v>
      </c>
      <c r="E3781" s="26" t="s">
        <v>139</v>
      </c>
      <c r="F3781" s="80" t="s">
        <v>5666</v>
      </c>
      <c r="G3781" s="26" t="s">
        <v>108</v>
      </c>
      <c r="H3781" s="80" t="s">
        <v>10144</v>
      </c>
      <c r="I3781" s="17">
        <f ca="1">IFERROR(__xludf.DUMMYFUNCTION("""COMPUTED_VALUE"""),45593)</f>
        <v>45593</v>
      </c>
      <c r="J3781" s="29" t="s">
        <v>11957</v>
      </c>
      <c r="K3781" s="26" t="s">
        <v>11958</v>
      </c>
      <c r="L3781" s="30">
        <v>766360938</v>
      </c>
      <c r="M3781" s="26" t="s">
        <v>3728</v>
      </c>
      <c r="N3781" s="26" t="s">
        <v>5277</v>
      </c>
      <c r="O3781" s="26" t="s">
        <v>11959</v>
      </c>
      <c r="P3781" s="42" t="s">
        <v>13794</v>
      </c>
      <c r="Q3781" s="20">
        <v>15936</v>
      </c>
      <c r="R3781" s="26" t="s">
        <v>36</v>
      </c>
      <c r="S3781" s="95">
        <f>500+1500</f>
        <v>2000</v>
      </c>
      <c r="T3781" s="83" t="s">
        <v>11961</v>
      </c>
      <c r="U3781" s="95">
        <v>13936</v>
      </c>
      <c r="V3781" s="148">
        <v>45552</v>
      </c>
      <c r="W3781" s="33" t="s">
        <v>11962</v>
      </c>
      <c r="X3781" s="26">
        <v>0</v>
      </c>
      <c r="Y3781" s="22">
        <v>0</v>
      </c>
      <c r="Z3781" s="26" t="s">
        <v>50</v>
      </c>
      <c r="AA3781" s="96" t="s">
        <v>3291</v>
      </c>
      <c r="AB3781" s="26"/>
      <c r="AC3781" s="26" t="s">
        <v>53</v>
      </c>
      <c r="AD3781" s="26" t="s">
        <v>138</v>
      </c>
      <c r="AE3781" s="80" t="s">
        <v>5666</v>
      </c>
      <c r="AF3781" s="17">
        <v>45593</v>
      </c>
      <c r="AG3781" s="26"/>
      <c r="AH3781" s="26"/>
      <c r="AI3781" s="40" t="s">
        <v>147</v>
      </c>
      <c r="AJ3781" s="26"/>
      <c r="AK3781" s="26"/>
      <c r="AL3781" s="35"/>
      <c r="AM3781" s="35"/>
      <c r="AN3781" s="35"/>
      <c r="AO3781" s="35"/>
      <c r="AP3781" s="35"/>
    </row>
    <row r="3782" spans="1:42" x14ac:dyDescent="0.2">
      <c r="A3782" s="38">
        <v>45580</v>
      </c>
      <c r="B3782" s="137" t="s">
        <v>37</v>
      </c>
      <c r="C3782" s="41" t="s">
        <v>118</v>
      </c>
      <c r="D3782" s="80" t="s">
        <v>36</v>
      </c>
      <c r="E3782" s="80" t="s">
        <v>139</v>
      </c>
      <c r="F3782" s="80" t="s">
        <v>5666</v>
      </c>
      <c r="G3782" s="26" t="s">
        <v>108</v>
      </c>
      <c r="H3782" s="80" t="s">
        <v>10144</v>
      </c>
      <c r="I3782" s="17">
        <f ca="1">IFERROR(__xludf.DUMMYFUNCTION("""COMPUTED_VALUE"""),45593)</f>
        <v>45593</v>
      </c>
      <c r="J3782" s="143" t="s">
        <v>9670</v>
      </c>
      <c r="K3782" s="80" t="s">
        <v>9671</v>
      </c>
      <c r="L3782" s="30">
        <v>372790883</v>
      </c>
      <c r="M3782" s="80" t="s">
        <v>59</v>
      </c>
      <c r="N3782" s="80" t="s">
        <v>68</v>
      </c>
      <c r="O3782" s="80" t="s">
        <v>9672</v>
      </c>
      <c r="P3782" s="144" t="s">
        <v>13795</v>
      </c>
      <c r="Q3782" s="20"/>
      <c r="R3782" s="80" t="s">
        <v>36</v>
      </c>
      <c r="S3782" s="95">
        <v>15963</v>
      </c>
      <c r="T3782" s="148">
        <v>45498</v>
      </c>
      <c r="U3782" s="77"/>
      <c r="V3782" s="78"/>
      <c r="W3782" s="85" t="s">
        <v>9674</v>
      </c>
      <c r="X3782" s="80"/>
      <c r="Y3782" s="22"/>
      <c r="Z3782" s="80" t="s">
        <v>50</v>
      </c>
      <c r="AA3782" s="70" t="s">
        <v>9070</v>
      </c>
      <c r="AB3782" s="80"/>
      <c r="AC3782" s="80" t="s">
        <v>53</v>
      </c>
      <c r="AD3782" s="80" t="s">
        <v>138</v>
      </c>
      <c r="AE3782" s="80" t="s">
        <v>5666</v>
      </c>
      <c r="AF3782" s="17">
        <v>45593</v>
      </c>
      <c r="AG3782" s="26"/>
      <c r="AH3782" s="80"/>
      <c r="AI3782" s="147"/>
      <c r="AJ3782" s="80"/>
      <c r="AK3782" s="80"/>
      <c r="AL3782" s="35"/>
      <c r="AM3782" s="35"/>
      <c r="AN3782" s="35"/>
      <c r="AO3782" s="35"/>
      <c r="AP3782" s="35"/>
    </row>
    <row r="3783" spans="1:42" x14ac:dyDescent="0.2">
      <c r="A3783" s="38">
        <v>45580</v>
      </c>
      <c r="B3783" s="137" t="s">
        <v>37</v>
      </c>
      <c r="C3783" s="41" t="s">
        <v>118</v>
      </c>
      <c r="D3783" s="80" t="s">
        <v>36</v>
      </c>
      <c r="E3783" s="80" t="s">
        <v>39</v>
      </c>
      <c r="F3783" s="80" t="s">
        <v>5666</v>
      </c>
      <c r="G3783" s="26" t="s">
        <v>108</v>
      </c>
      <c r="H3783" s="80" t="s">
        <v>10144</v>
      </c>
      <c r="I3783" s="17">
        <f ca="1">IFERROR(__xludf.DUMMYFUNCTION("""COMPUTED_VALUE"""),45593)</f>
        <v>45593</v>
      </c>
      <c r="J3783" s="143" t="s">
        <v>11481</v>
      </c>
      <c r="K3783" s="80" t="s">
        <v>11482</v>
      </c>
      <c r="L3783" s="30">
        <v>354079220</v>
      </c>
      <c r="M3783" s="80" t="s">
        <v>348</v>
      </c>
      <c r="N3783" s="80" t="s">
        <v>68</v>
      </c>
      <c r="O3783" s="80" t="s">
        <v>11483</v>
      </c>
      <c r="P3783" s="144" t="s">
        <v>11484</v>
      </c>
      <c r="Q3783" s="20">
        <v>5736</v>
      </c>
      <c r="R3783" s="80" t="s">
        <v>36</v>
      </c>
      <c r="S3783" s="95">
        <v>2000</v>
      </c>
      <c r="T3783" s="148">
        <v>45521</v>
      </c>
      <c r="U3783" s="95">
        <v>3736</v>
      </c>
      <c r="V3783" s="148">
        <v>45535</v>
      </c>
      <c r="W3783" s="85" t="s">
        <v>11485</v>
      </c>
      <c r="X3783" s="80">
        <v>0</v>
      </c>
      <c r="Y3783" s="22">
        <v>0</v>
      </c>
      <c r="Z3783" s="80" t="s">
        <v>50</v>
      </c>
      <c r="AA3783" s="96" t="s">
        <v>10314</v>
      </c>
      <c r="AB3783" s="80"/>
      <c r="AC3783" s="80" t="s">
        <v>53</v>
      </c>
      <c r="AD3783" s="80" t="s">
        <v>138</v>
      </c>
      <c r="AE3783" s="80" t="s">
        <v>5666</v>
      </c>
      <c r="AF3783" s="17">
        <v>45593</v>
      </c>
      <c r="AG3783" s="26"/>
      <c r="AH3783" s="80"/>
      <c r="AI3783" s="147"/>
      <c r="AJ3783" s="80"/>
      <c r="AK3783" s="80"/>
      <c r="AL3783" s="35"/>
      <c r="AM3783" s="35"/>
      <c r="AN3783" s="35"/>
      <c r="AO3783" s="35"/>
      <c r="AP3783" s="35"/>
    </row>
    <row r="3784" spans="1:42" x14ac:dyDescent="0.2">
      <c r="A3784" s="38">
        <v>45580</v>
      </c>
      <c r="B3784" s="137" t="s">
        <v>37</v>
      </c>
      <c r="C3784" s="41" t="s">
        <v>118</v>
      </c>
      <c r="D3784" s="80" t="s">
        <v>36</v>
      </c>
      <c r="E3784" s="80" t="s">
        <v>139</v>
      </c>
      <c r="F3784" s="80" t="s">
        <v>5666</v>
      </c>
      <c r="G3784" s="26" t="s">
        <v>108</v>
      </c>
      <c r="H3784" s="80" t="s">
        <v>10144</v>
      </c>
      <c r="I3784" s="17">
        <f ca="1">IFERROR(__xludf.DUMMYFUNCTION("""COMPUTED_VALUE"""),45593)</f>
        <v>45593</v>
      </c>
      <c r="J3784" s="143" t="s">
        <v>12152</v>
      </c>
      <c r="K3784" s="80" t="s">
        <v>12153</v>
      </c>
      <c r="L3784" s="30">
        <v>818045206</v>
      </c>
      <c r="M3784" s="80" t="s">
        <v>5429</v>
      </c>
      <c r="N3784" s="80" t="s">
        <v>3065</v>
      </c>
      <c r="O3784" s="80" t="s">
        <v>12154</v>
      </c>
      <c r="P3784" s="144" t="s">
        <v>13796</v>
      </c>
      <c r="Q3784" s="20">
        <v>15936</v>
      </c>
      <c r="R3784" s="80" t="s">
        <v>36</v>
      </c>
      <c r="S3784" s="95">
        <v>2000</v>
      </c>
      <c r="T3784" s="148">
        <v>45510</v>
      </c>
      <c r="U3784" s="95">
        <v>13936</v>
      </c>
      <c r="V3784" s="148">
        <v>45558</v>
      </c>
      <c r="W3784" s="85" t="s">
        <v>12156</v>
      </c>
      <c r="X3784" s="80">
        <v>0</v>
      </c>
      <c r="Y3784" s="22">
        <v>0</v>
      </c>
      <c r="Z3784" s="80" t="s">
        <v>50</v>
      </c>
      <c r="AA3784" s="35" t="s">
        <v>3291</v>
      </c>
      <c r="AB3784" s="80"/>
      <c r="AC3784" s="80" t="s">
        <v>53</v>
      </c>
      <c r="AD3784" s="80" t="s">
        <v>138</v>
      </c>
      <c r="AE3784" s="80" t="s">
        <v>5666</v>
      </c>
      <c r="AF3784" s="17">
        <v>45593</v>
      </c>
      <c r="AG3784" s="26"/>
      <c r="AH3784" s="80"/>
      <c r="AI3784" s="147" t="s">
        <v>147</v>
      </c>
      <c r="AJ3784" s="80"/>
      <c r="AK3784" s="80"/>
      <c r="AL3784" s="35"/>
      <c r="AM3784" s="35"/>
      <c r="AN3784" s="35"/>
      <c r="AO3784" s="35"/>
      <c r="AP3784" s="35"/>
    </row>
    <row r="3785" spans="1:42" x14ac:dyDescent="0.2">
      <c r="A3785" s="38">
        <v>45580</v>
      </c>
      <c r="B3785" s="137" t="s">
        <v>37</v>
      </c>
      <c r="C3785" s="41" t="s">
        <v>118</v>
      </c>
      <c r="D3785" s="26" t="s">
        <v>36</v>
      </c>
      <c r="E3785" s="26" t="s">
        <v>148</v>
      </c>
      <c r="F3785" s="26" t="s">
        <v>1565</v>
      </c>
      <c r="G3785" s="26" t="s">
        <v>221</v>
      </c>
      <c r="H3785" s="26" t="s">
        <v>8063</v>
      </c>
      <c r="I3785" s="17">
        <f ca="1">IFERROR(__xludf.DUMMYFUNCTION("""COMPUTED_VALUE"""),45596)</f>
        <v>45596</v>
      </c>
      <c r="J3785" s="29" t="s">
        <v>9644</v>
      </c>
      <c r="K3785" s="26" t="s">
        <v>9645</v>
      </c>
      <c r="L3785" s="30">
        <v>974250085</v>
      </c>
      <c r="M3785" s="26" t="s">
        <v>3288</v>
      </c>
      <c r="N3785" s="26" t="s">
        <v>200</v>
      </c>
      <c r="O3785" s="26" t="s">
        <v>8827</v>
      </c>
      <c r="P3785" s="42" t="s">
        <v>13797</v>
      </c>
      <c r="Q3785" s="20"/>
      <c r="R3785" s="26" t="s">
        <v>36</v>
      </c>
      <c r="S3785" s="95">
        <v>7349</v>
      </c>
      <c r="T3785" s="148">
        <v>45496</v>
      </c>
      <c r="U3785" s="31"/>
      <c r="V3785" s="32"/>
      <c r="W3785" s="33" t="s">
        <v>9646</v>
      </c>
      <c r="X3785" s="26"/>
      <c r="Y3785" s="22"/>
      <c r="Z3785" s="26" t="s">
        <v>50</v>
      </c>
      <c r="AA3785" s="70" t="s">
        <v>9070</v>
      </c>
      <c r="AB3785" s="26"/>
      <c r="AC3785" s="26" t="s">
        <v>53</v>
      </c>
      <c r="AD3785" s="26" t="s">
        <v>138</v>
      </c>
      <c r="AE3785" s="26" t="s">
        <v>1565</v>
      </c>
      <c r="AF3785" s="43">
        <v>45596</v>
      </c>
      <c r="AG3785" s="26"/>
      <c r="AH3785" s="26"/>
      <c r="AI3785" s="40"/>
      <c r="AJ3785" s="26"/>
      <c r="AK3785" s="26"/>
      <c r="AL3785" s="35"/>
      <c r="AM3785" s="35"/>
      <c r="AN3785" s="35"/>
      <c r="AO3785" s="35"/>
      <c r="AP3785" s="35"/>
    </row>
    <row r="3786" spans="1:42" x14ac:dyDescent="0.2">
      <c r="A3786" s="38">
        <v>45580</v>
      </c>
      <c r="B3786" s="137" t="s">
        <v>37</v>
      </c>
      <c r="C3786" s="41" t="s">
        <v>118</v>
      </c>
      <c r="D3786" s="80" t="s">
        <v>36</v>
      </c>
      <c r="E3786" s="80" t="s">
        <v>139</v>
      </c>
      <c r="F3786" s="80" t="s">
        <v>5666</v>
      </c>
      <c r="G3786" s="26" t="s">
        <v>108</v>
      </c>
      <c r="H3786" s="80" t="s">
        <v>13798</v>
      </c>
      <c r="I3786" s="17">
        <f ca="1">IFERROR(__xludf.DUMMYFUNCTION("""COMPUTED_VALUE"""),45741)</f>
        <v>45741</v>
      </c>
      <c r="J3786" s="143" t="s">
        <v>12497</v>
      </c>
      <c r="K3786" s="80" t="s">
        <v>13799</v>
      </c>
      <c r="L3786" s="30">
        <v>384426808</v>
      </c>
      <c r="M3786" s="80" t="s">
        <v>123</v>
      </c>
      <c r="N3786" s="80" t="s">
        <v>2847</v>
      </c>
      <c r="O3786" s="80" t="s">
        <v>4503</v>
      </c>
      <c r="P3786" s="144" t="s">
        <v>13800</v>
      </c>
      <c r="Q3786" s="20">
        <v>15936</v>
      </c>
      <c r="R3786" s="80" t="s">
        <v>36</v>
      </c>
      <c r="S3786" s="95">
        <f t="shared" ref="S3786:S3788" si="55">200+1800</f>
        <v>2000</v>
      </c>
      <c r="T3786" s="83" t="s">
        <v>12499</v>
      </c>
      <c r="U3786" s="95">
        <f>13900+36</f>
        <v>13936</v>
      </c>
      <c r="V3786" s="83" t="s">
        <v>12500</v>
      </c>
      <c r="W3786" s="85" t="s">
        <v>12501</v>
      </c>
      <c r="X3786" s="80">
        <v>0</v>
      </c>
      <c r="Y3786" s="22">
        <v>0</v>
      </c>
      <c r="Z3786" s="80" t="s">
        <v>50</v>
      </c>
      <c r="AA3786" s="35" t="s">
        <v>3291</v>
      </c>
      <c r="AB3786" s="80"/>
      <c r="AC3786" s="80" t="s">
        <v>53</v>
      </c>
      <c r="AD3786" s="80" t="s">
        <v>138</v>
      </c>
      <c r="AE3786" s="80" t="s">
        <v>5666</v>
      </c>
      <c r="AF3786" s="17">
        <v>45743</v>
      </c>
      <c r="AG3786" s="60" t="s">
        <v>13801</v>
      </c>
      <c r="AH3786" s="80" t="s">
        <v>13802</v>
      </c>
      <c r="AI3786" s="147" t="s">
        <v>147</v>
      </c>
      <c r="AJ3786" s="80"/>
      <c r="AK3786" s="80"/>
      <c r="AL3786" s="35"/>
      <c r="AM3786" s="35"/>
      <c r="AN3786" s="35"/>
      <c r="AO3786" s="35"/>
      <c r="AP3786" s="35"/>
    </row>
    <row r="3787" spans="1:42" x14ac:dyDescent="0.2">
      <c r="A3787" s="38">
        <v>45580</v>
      </c>
      <c r="B3787" s="137" t="s">
        <v>37</v>
      </c>
      <c r="C3787" s="41" t="s">
        <v>118</v>
      </c>
      <c r="D3787" s="80" t="s">
        <v>36</v>
      </c>
      <c r="E3787" s="80" t="s">
        <v>139</v>
      </c>
      <c r="F3787" s="80" t="s">
        <v>5666</v>
      </c>
      <c r="G3787" s="26" t="s">
        <v>108</v>
      </c>
      <c r="H3787" s="80" t="s">
        <v>10144</v>
      </c>
      <c r="I3787" s="17">
        <f ca="1">IFERROR(__xludf.DUMMYFUNCTION("""COMPUTED_VALUE"""),45593)</f>
        <v>45593</v>
      </c>
      <c r="J3787" s="143" t="s">
        <v>12335</v>
      </c>
      <c r="K3787" s="80" t="s">
        <v>12336</v>
      </c>
      <c r="L3787" s="30">
        <v>327371930</v>
      </c>
      <c r="M3787" s="80" t="s">
        <v>5429</v>
      </c>
      <c r="N3787" s="80" t="s">
        <v>11095</v>
      </c>
      <c r="O3787" s="80" t="s">
        <v>12337</v>
      </c>
      <c r="P3787" s="144" t="s">
        <v>13803</v>
      </c>
      <c r="Q3787" s="20">
        <v>15936</v>
      </c>
      <c r="R3787" s="80" t="s">
        <v>70</v>
      </c>
      <c r="S3787" s="95">
        <f t="shared" si="55"/>
        <v>2000</v>
      </c>
      <c r="T3787" s="83" t="s">
        <v>12338</v>
      </c>
      <c r="U3787" s="95">
        <v>13836</v>
      </c>
      <c r="V3787" s="148">
        <v>45565</v>
      </c>
      <c r="W3787" s="85" t="s">
        <v>12339</v>
      </c>
      <c r="X3787" s="80">
        <v>100</v>
      </c>
      <c r="Y3787" s="22">
        <v>0</v>
      </c>
      <c r="Z3787" s="80" t="s">
        <v>50</v>
      </c>
      <c r="AA3787" s="96" t="s">
        <v>3291</v>
      </c>
      <c r="AB3787" s="80"/>
      <c r="AC3787" s="80" t="s">
        <v>53</v>
      </c>
      <c r="AD3787" s="80" t="s">
        <v>138</v>
      </c>
      <c r="AE3787" s="80" t="s">
        <v>5666</v>
      </c>
      <c r="AF3787" s="17">
        <v>45593</v>
      </c>
      <c r="AG3787" s="26"/>
      <c r="AH3787" s="80"/>
      <c r="AI3787" s="147" t="s">
        <v>147</v>
      </c>
      <c r="AJ3787" s="80"/>
      <c r="AK3787" s="80"/>
      <c r="AL3787" s="35"/>
      <c r="AM3787" s="35"/>
      <c r="AN3787" s="35"/>
      <c r="AO3787" s="35"/>
      <c r="AP3787" s="35"/>
    </row>
    <row r="3788" spans="1:42" x14ac:dyDescent="0.2">
      <c r="A3788" s="38">
        <v>45580</v>
      </c>
      <c r="B3788" s="137" t="s">
        <v>37</v>
      </c>
      <c r="C3788" s="41" t="s">
        <v>118</v>
      </c>
      <c r="D3788" s="80" t="s">
        <v>36</v>
      </c>
      <c r="E3788" s="80" t="s">
        <v>139</v>
      </c>
      <c r="F3788" s="80" t="s">
        <v>5666</v>
      </c>
      <c r="G3788" s="26" t="s">
        <v>108</v>
      </c>
      <c r="H3788" s="80" t="s">
        <v>10144</v>
      </c>
      <c r="I3788" s="17">
        <f ca="1">IFERROR(__xludf.DUMMYFUNCTION("""COMPUTED_VALUE"""),45593)</f>
        <v>45593</v>
      </c>
      <c r="J3788" s="143" t="s">
        <v>12119</v>
      </c>
      <c r="K3788" s="80" t="s">
        <v>12120</v>
      </c>
      <c r="L3788" s="30">
        <v>983016332</v>
      </c>
      <c r="M3788" s="80" t="s">
        <v>5429</v>
      </c>
      <c r="N3788" s="80" t="s">
        <v>1384</v>
      </c>
      <c r="O3788" s="80" t="s">
        <v>12121</v>
      </c>
      <c r="P3788" s="144" t="s">
        <v>13804</v>
      </c>
      <c r="Q3788" s="20">
        <v>15936</v>
      </c>
      <c r="R3788" s="80" t="s">
        <v>70</v>
      </c>
      <c r="S3788" s="95">
        <f t="shared" si="55"/>
        <v>2000</v>
      </c>
      <c r="T3788" s="83" t="s">
        <v>12123</v>
      </c>
      <c r="U3788" s="95">
        <v>13836</v>
      </c>
      <c r="V3788" s="148">
        <v>45553</v>
      </c>
      <c r="W3788" s="85" t="s">
        <v>12124</v>
      </c>
      <c r="X3788" s="80">
        <v>100</v>
      </c>
      <c r="Y3788" s="22">
        <v>0</v>
      </c>
      <c r="Z3788" s="80" t="s">
        <v>50</v>
      </c>
      <c r="AA3788" s="35" t="s">
        <v>3291</v>
      </c>
      <c r="AB3788" s="80"/>
      <c r="AC3788" s="80" t="s">
        <v>53</v>
      </c>
      <c r="AD3788" s="80" t="s">
        <v>138</v>
      </c>
      <c r="AE3788" s="80" t="s">
        <v>5666</v>
      </c>
      <c r="AF3788" s="17">
        <v>45593</v>
      </c>
      <c r="AG3788" s="26"/>
      <c r="AH3788" s="80"/>
      <c r="AI3788" s="147" t="s">
        <v>147</v>
      </c>
      <c r="AJ3788" s="80"/>
      <c r="AK3788" s="80"/>
      <c r="AL3788" s="35"/>
      <c r="AM3788" s="35"/>
      <c r="AN3788" s="35"/>
      <c r="AO3788" s="35"/>
      <c r="AP3788" s="35"/>
    </row>
    <row r="3789" spans="1:42" x14ac:dyDescent="0.2">
      <c r="A3789" s="38">
        <v>45580</v>
      </c>
      <c r="B3789" s="137" t="s">
        <v>37</v>
      </c>
      <c r="C3789" s="41" t="s">
        <v>118</v>
      </c>
      <c r="D3789" s="26" t="s">
        <v>36</v>
      </c>
      <c r="E3789" s="26" t="s">
        <v>119</v>
      </c>
      <c r="F3789" s="26" t="s">
        <v>1565</v>
      </c>
      <c r="G3789" s="26" t="s">
        <v>221</v>
      </c>
      <c r="H3789" s="26" t="s">
        <v>8063</v>
      </c>
      <c r="I3789" s="17">
        <f ca="1">IFERROR(__xludf.DUMMYFUNCTION("""COMPUTED_VALUE"""),45596)</f>
        <v>45596</v>
      </c>
      <c r="J3789" s="29" t="s">
        <v>1566</v>
      </c>
      <c r="K3789" s="26" t="s">
        <v>13805</v>
      </c>
      <c r="L3789" s="30">
        <v>372012901</v>
      </c>
      <c r="M3789" s="26" t="s">
        <v>292</v>
      </c>
      <c r="N3789" s="26" t="s">
        <v>1466</v>
      </c>
      <c r="O3789" s="26" t="s">
        <v>1568</v>
      </c>
      <c r="P3789" s="42" t="s">
        <v>13806</v>
      </c>
      <c r="Q3789" s="20">
        <v>13968</v>
      </c>
      <c r="R3789" s="26" t="s">
        <v>36</v>
      </c>
      <c r="S3789" s="21">
        <v>5975</v>
      </c>
      <c r="T3789" s="46">
        <v>45143</v>
      </c>
      <c r="U3789" s="31">
        <v>6358</v>
      </c>
      <c r="V3789" s="32">
        <v>45152</v>
      </c>
      <c r="W3789" s="26" t="s">
        <v>1570</v>
      </c>
      <c r="X3789" s="26">
        <v>0</v>
      </c>
      <c r="Y3789" s="22">
        <v>1635</v>
      </c>
      <c r="Z3789" s="34" t="s">
        <v>50</v>
      </c>
      <c r="AA3789" s="19" t="s">
        <v>901</v>
      </c>
      <c r="AB3789" s="26" t="s">
        <v>137</v>
      </c>
      <c r="AC3789" s="26" t="s">
        <v>53</v>
      </c>
      <c r="AD3789" s="19" t="s">
        <v>54</v>
      </c>
      <c r="AE3789" s="26" t="s">
        <v>1565</v>
      </c>
      <c r="AF3789" s="43">
        <v>45596</v>
      </c>
      <c r="AG3789" s="26"/>
      <c r="AH3789" s="26"/>
      <c r="AI3789" s="40">
        <v>4</v>
      </c>
      <c r="AJ3789" s="26"/>
      <c r="AK3789" s="26"/>
      <c r="AL3789" s="35"/>
      <c r="AM3789" s="35"/>
      <c r="AN3789" s="35"/>
      <c r="AO3789" s="35"/>
      <c r="AP3789" s="35"/>
    </row>
    <row r="3790" spans="1:42" x14ac:dyDescent="0.2">
      <c r="A3790" s="38">
        <v>45580</v>
      </c>
      <c r="B3790" s="137" t="s">
        <v>37</v>
      </c>
      <c r="C3790" s="41" t="s">
        <v>118</v>
      </c>
      <c r="D3790" s="26" t="s">
        <v>36</v>
      </c>
      <c r="E3790" s="26" t="s">
        <v>139</v>
      </c>
      <c r="F3790" s="26" t="s">
        <v>1565</v>
      </c>
      <c r="G3790" s="26" t="s">
        <v>221</v>
      </c>
      <c r="H3790" s="26" t="s">
        <v>13807</v>
      </c>
      <c r="I3790" s="17">
        <f ca="1">IFERROR(__xludf.DUMMYFUNCTION("""COMPUTED_VALUE"""),45660)</f>
        <v>45660</v>
      </c>
      <c r="J3790" s="29" t="s">
        <v>5486</v>
      </c>
      <c r="K3790" s="26" t="s">
        <v>13808</v>
      </c>
      <c r="L3790" s="30">
        <v>338936412</v>
      </c>
      <c r="M3790" s="26" t="s">
        <v>910</v>
      </c>
      <c r="N3790" s="26" t="s">
        <v>3525</v>
      </c>
      <c r="O3790" s="26" t="s">
        <v>5488</v>
      </c>
      <c r="P3790" s="42" t="s">
        <v>5489</v>
      </c>
      <c r="Q3790" s="20">
        <v>15936</v>
      </c>
      <c r="R3790" s="26" t="s">
        <v>36</v>
      </c>
      <c r="S3790" s="31">
        <v>5000</v>
      </c>
      <c r="T3790" s="32">
        <v>45229</v>
      </c>
      <c r="U3790" s="31">
        <v>10936</v>
      </c>
      <c r="V3790" s="32">
        <v>45246</v>
      </c>
      <c r="W3790" s="26" t="s">
        <v>5490</v>
      </c>
      <c r="X3790" s="26"/>
      <c r="Y3790" s="22">
        <v>0</v>
      </c>
      <c r="Z3790" s="26" t="s">
        <v>118</v>
      </c>
      <c r="AA3790" s="19" t="s">
        <v>5785</v>
      </c>
      <c r="AB3790" s="26" t="s">
        <v>36</v>
      </c>
      <c r="AC3790" s="26" t="s">
        <v>53</v>
      </c>
      <c r="AD3790" s="19" t="s">
        <v>138</v>
      </c>
      <c r="AE3790" s="26" t="s">
        <v>1565</v>
      </c>
      <c r="AF3790" s="43">
        <v>45596</v>
      </c>
      <c r="AG3790" s="26"/>
      <c r="AH3790" s="26"/>
      <c r="AI3790" s="40" t="s">
        <v>147</v>
      </c>
      <c r="AJ3790" s="26"/>
      <c r="AK3790" s="26"/>
      <c r="AL3790" s="35"/>
      <c r="AM3790" s="35"/>
      <c r="AN3790" s="35"/>
      <c r="AO3790" s="35"/>
      <c r="AP3790" s="35"/>
    </row>
    <row r="3791" spans="1:42" x14ac:dyDescent="0.2">
      <c r="A3791" s="38">
        <v>45580</v>
      </c>
      <c r="B3791" s="137" t="s">
        <v>37</v>
      </c>
      <c r="C3791" s="41" t="s">
        <v>118</v>
      </c>
      <c r="D3791" s="26" t="s">
        <v>36</v>
      </c>
      <c r="E3791" s="26" t="s">
        <v>139</v>
      </c>
      <c r="F3791" s="26" t="s">
        <v>1565</v>
      </c>
      <c r="G3791" s="26" t="s">
        <v>221</v>
      </c>
      <c r="H3791" s="26" t="s">
        <v>8063</v>
      </c>
      <c r="I3791" s="17">
        <f ca="1">IFERROR(__xludf.DUMMYFUNCTION("""COMPUTED_VALUE"""),45596)</f>
        <v>45596</v>
      </c>
      <c r="J3791" s="29" t="s">
        <v>6709</v>
      </c>
      <c r="K3791" s="26" t="s">
        <v>6710</v>
      </c>
      <c r="L3791" s="30">
        <v>339602132</v>
      </c>
      <c r="M3791" s="26" t="s">
        <v>5429</v>
      </c>
      <c r="N3791" s="26" t="s">
        <v>3065</v>
      </c>
      <c r="O3791" s="26" t="s">
        <v>6711</v>
      </c>
      <c r="P3791" s="42" t="s">
        <v>13809</v>
      </c>
      <c r="Q3791" s="20">
        <v>15936</v>
      </c>
      <c r="R3791" s="26" t="s">
        <v>70</v>
      </c>
      <c r="S3791" s="31">
        <v>15836</v>
      </c>
      <c r="T3791" s="32">
        <v>45293</v>
      </c>
      <c r="U3791" s="31"/>
      <c r="V3791" s="32"/>
      <c r="W3791" s="33" t="s">
        <v>6712</v>
      </c>
      <c r="X3791" s="26">
        <v>100</v>
      </c>
      <c r="Y3791" s="22">
        <v>0</v>
      </c>
      <c r="Z3791" s="98" t="s">
        <v>118</v>
      </c>
      <c r="AA3791" s="19" t="s">
        <v>6079</v>
      </c>
      <c r="AB3791" s="26" t="s">
        <v>104</v>
      </c>
      <c r="AC3791" s="26" t="s">
        <v>53</v>
      </c>
      <c r="AD3791" s="19" t="s">
        <v>138</v>
      </c>
      <c r="AE3791" s="26" t="s">
        <v>1565</v>
      </c>
      <c r="AF3791" s="43">
        <v>45596</v>
      </c>
      <c r="AG3791" s="26"/>
      <c r="AH3791" s="26"/>
      <c r="AI3791" s="40" t="s">
        <v>147</v>
      </c>
      <c r="AJ3791" s="26"/>
      <c r="AK3791" s="26"/>
      <c r="AL3791" s="35"/>
      <c r="AM3791" s="35"/>
      <c r="AN3791" s="35"/>
      <c r="AO3791" s="35"/>
      <c r="AP3791" s="35"/>
    </row>
    <row r="3792" spans="1:42" x14ac:dyDescent="0.2">
      <c r="A3792" s="38">
        <v>45580</v>
      </c>
      <c r="B3792" s="137" t="s">
        <v>37</v>
      </c>
      <c r="C3792" s="41" t="s">
        <v>118</v>
      </c>
      <c r="D3792" s="26" t="s">
        <v>36</v>
      </c>
      <c r="E3792" s="26" t="s">
        <v>139</v>
      </c>
      <c r="F3792" s="26" t="s">
        <v>1565</v>
      </c>
      <c r="G3792" s="26" t="s">
        <v>221</v>
      </c>
      <c r="H3792" s="26" t="s">
        <v>8063</v>
      </c>
      <c r="I3792" s="17">
        <f ca="1">IFERROR(__xludf.DUMMYFUNCTION("""COMPUTED_VALUE"""),45596)</f>
        <v>45596</v>
      </c>
      <c r="J3792" s="29" t="s">
        <v>6713</v>
      </c>
      <c r="K3792" s="26" t="s">
        <v>13810</v>
      </c>
      <c r="L3792" s="30">
        <v>388006938</v>
      </c>
      <c r="M3792" s="26" t="s">
        <v>5429</v>
      </c>
      <c r="N3792" s="26" t="s">
        <v>3065</v>
      </c>
      <c r="O3792" s="26" t="s">
        <v>6715</v>
      </c>
      <c r="P3792" s="42" t="s">
        <v>13811</v>
      </c>
      <c r="Q3792" s="20">
        <v>15936</v>
      </c>
      <c r="R3792" s="26" t="s">
        <v>70</v>
      </c>
      <c r="S3792" s="31">
        <v>15836</v>
      </c>
      <c r="T3792" s="32">
        <v>45293</v>
      </c>
      <c r="U3792" s="31"/>
      <c r="V3792" s="32"/>
      <c r="W3792" s="33" t="s">
        <v>6716</v>
      </c>
      <c r="X3792" s="26">
        <v>100</v>
      </c>
      <c r="Y3792" s="22">
        <v>0</v>
      </c>
      <c r="Z3792" s="98" t="s">
        <v>118</v>
      </c>
      <c r="AA3792" s="19" t="s">
        <v>6079</v>
      </c>
      <c r="AB3792" s="26" t="s">
        <v>104</v>
      </c>
      <c r="AC3792" s="26" t="s">
        <v>53</v>
      </c>
      <c r="AD3792" s="19" t="s">
        <v>138</v>
      </c>
      <c r="AE3792" s="26" t="s">
        <v>4489</v>
      </c>
      <c r="AF3792" s="43">
        <v>45596</v>
      </c>
      <c r="AG3792" s="26"/>
      <c r="AH3792" s="26"/>
      <c r="AI3792" s="40" t="s">
        <v>147</v>
      </c>
      <c r="AJ3792" s="26"/>
      <c r="AK3792" s="26"/>
      <c r="AL3792" s="35"/>
      <c r="AM3792" s="35"/>
      <c r="AN3792" s="35"/>
      <c r="AO3792" s="35"/>
      <c r="AP3792" s="35"/>
    </row>
    <row r="3793" spans="1:42" x14ac:dyDescent="0.2">
      <c r="A3793" s="38">
        <v>45580</v>
      </c>
      <c r="B3793" s="137" t="s">
        <v>37</v>
      </c>
      <c r="C3793" s="41" t="s">
        <v>118</v>
      </c>
      <c r="D3793" s="80" t="s">
        <v>36</v>
      </c>
      <c r="E3793" s="80" t="s">
        <v>56</v>
      </c>
      <c r="F3793" s="80" t="s">
        <v>5666</v>
      </c>
      <c r="G3793" s="26" t="s">
        <v>108</v>
      </c>
      <c r="H3793" s="80" t="s">
        <v>10144</v>
      </c>
      <c r="I3793" s="17">
        <f ca="1">IFERROR(__xludf.DUMMYFUNCTION("""COMPUTED_VALUE"""),45593)</f>
        <v>45593</v>
      </c>
      <c r="J3793" s="143" t="s">
        <v>12115</v>
      </c>
      <c r="K3793" s="80" t="s">
        <v>12116</v>
      </c>
      <c r="L3793" s="30">
        <v>946720996</v>
      </c>
      <c r="M3793" s="80" t="s">
        <v>5558</v>
      </c>
      <c r="N3793" s="80" t="s">
        <v>5559</v>
      </c>
      <c r="O3793" s="80" t="s">
        <v>4503</v>
      </c>
      <c r="P3793" s="144" t="s">
        <v>12117</v>
      </c>
      <c r="Q3793" s="20">
        <v>9317</v>
      </c>
      <c r="R3793" s="80" t="s">
        <v>36</v>
      </c>
      <c r="S3793" s="95">
        <v>2000</v>
      </c>
      <c r="T3793" s="148">
        <v>45507</v>
      </c>
      <c r="U3793" s="95">
        <v>7317</v>
      </c>
      <c r="V3793" s="148">
        <v>45562</v>
      </c>
      <c r="W3793" s="85" t="s">
        <v>12118</v>
      </c>
      <c r="X3793" s="80">
        <v>0</v>
      </c>
      <c r="Y3793" s="22">
        <v>0</v>
      </c>
      <c r="Z3793" s="80" t="s">
        <v>50</v>
      </c>
      <c r="AA3793" s="96" t="s">
        <v>3291</v>
      </c>
      <c r="AB3793" s="80"/>
      <c r="AC3793" s="80" t="s">
        <v>53</v>
      </c>
      <c r="AD3793" s="80" t="s">
        <v>138</v>
      </c>
      <c r="AE3793" s="80" t="s">
        <v>5666</v>
      </c>
      <c r="AF3793" s="17">
        <v>45593</v>
      </c>
      <c r="AG3793" s="26"/>
      <c r="AH3793" s="80"/>
      <c r="AI3793" s="147" t="s">
        <v>64</v>
      </c>
      <c r="AJ3793" s="80"/>
      <c r="AK3793" s="80"/>
      <c r="AL3793" s="35"/>
      <c r="AM3793" s="35"/>
      <c r="AN3793" s="35"/>
      <c r="AO3793" s="35"/>
      <c r="AP3793" s="35"/>
    </row>
    <row r="3794" spans="1:42" x14ac:dyDescent="0.2">
      <c r="A3794" s="38">
        <v>45580</v>
      </c>
      <c r="B3794" s="137" t="s">
        <v>37</v>
      </c>
      <c r="C3794" s="41" t="s">
        <v>118</v>
      </c>
      <c r="D3794" s="26" t="s">
        <v>36</v>
      </c>
      <c r="E3794" s="26" t="s">
        <v>139</v>
      </c>
      <c r="F3794" s="26" t="s">
        <v>1565</v>
      </c>
      <c r="G3794" s="26" t="s">
        <v>221</v>
      </c>
      <c r="H3794" s="26" t="s">
        <v>13807</v>
      </c>
      <c r="I3794" s="17">
        <f ca="1">IFERROR(__xludf.DUMMYFUNCTION("""COMPUTED_VALUE"""),45660)</f>
        <v>45660</v>
      </c>
      <c r="J3794" s="49" t="s">
        <v>7679</v>
      </c>
      <c r="K3794" s="19" t="s">
        <v>13812</v>
      </c>
      <c r="L3794" s="30">
        <v>342521142</v>
      </c>
      <c r="M3794" s="26" t="s">
        <v>3728</v>
      </c>
      <c r="N3794" s="26" t="s">
        <v>5377</v>
      </c>
      <c r="O3794" s="26" t="s">
        <v>134</v>
      </c>
      <c r="P3794" s="42" t="s">
        <v>8597</v>
      </c>
      <c r="Q3794" s="20">
        <v>15936</v>
      </c>
      <c r="R3794" s="26" t="s">
        <v>36</v>
      </c>
      <c r="S3794" s="31">
        <v>3000</v>
      </c>
      <c r="T3794" s="32">
        <v>45349</v>
      </c>
      <c r="U3794" s="31">
        <v>12936</v>
      </c>
      <c r="V3794" s="32">
        <v>45382</v>
      </c>
      <c r="W3794" s="33" t="s">
        <v>7681</v>
      </c>
      <c r="X3794" s="26"/>
      <c r="Y3794" s="22">
        <v>0</v>
      </c>
      <c r="Z3794" s="98" t="s">
        <v>118</v>
      </c>
      <c r="AA3794" s="19" t="s">
        <v>7361</v>
      </c>
      <c r="AB3794" s="26" t="s">
        <v>36</v>
      </c>
      <c r="AC3794" s="26" t="s">
        <v>53</v>
      </c>
      <c r="AD3794" s="19" t="s">
        <v>138</v>
      </c>
      <c r="AE3794" s="26" t="s">
        <v>1565</v>
      </c>
      <c r="AF3794" s="17">
        <v>45660</v>
      </c>
      <c r="AG3794" s="26"/>
      <c r="AH3794" s="26"/>
      <c r="AI3794" s="40"/>
      <c r="AJ3794" s="26"/>
      <c r="AK3794" s="26"/>
      <c r="AL3794" s="35"/>
      <c r="AM3794" s="35"/>
      <c r="AN3794" s="35"/>
      <c r="AO3794" s="35"/>
      <c r="AP3794" s="35"/>
    </row>
    <row r="3795" spans="1:42" x14ac:dyDescent="0.2">
      <c r="A3795" s="38">
        <v>45580</v>
      </c>
      <c r="B3795" s="137" t="s">
        <v>37</v>
      </c>
      <c r="C3795" s="41" t="s">
        <v>118</v>
      </c>
      <c r="D3795" s="80" t="s">
        <v>36</v>
      </c>
      <c r="E3795" s="80" t="s">
        <v>139</v>
      </c>
      <c r="F3795" s="80" t="s">
        <v>5666</v>
      </c>
      <c r="G3795" s="26" t="s">
        <v>108</v>
      </c>
      <c r="H3795" s="80" t="s">
        <v>10144</v>
      </c>
      <c r="I3795" s="17">
        <f ca="1">IFERROR(__xludf.DUMMYFUNCTION("""COMPUTED_VALUE"""),45593)</f>
        <v>45593</v>
      </c>
      <c r="J3795" s="143" t="s">
        <v>12148</v>
      </c>
      <c r="K3795" s="80" t="s">
        <v>12149</v>
      </c>
      <c r="L3795" s="30">
        <v>869690466</v>
      </c>
      <c r="M3795" s="80" t="s">
        <v>5429</v>
      </c>
      <c r="N3795" s="80" t="s">
        <v>81</v>
      </c>
      <c r="O3795" s="80" t="s">
        <v>12150</v>
      </c>
      <c r="P3795" s="144" t="s">
        <v>13813</v>
      </c>
      <c r="Q3795" s="20">
        <v>15936</v>
      </c>
      <c r="R3795" s="80" t="s">
        <v>36</v>
      </c>
      <c r="S3795" s="95">
        <v>2000</v>
      </c>
      <c r="T3795" s="148">
        <v>45510</v>
      </c>
      <c r="U3795" s="178">
        <v>13936</v>
      </c>
      <c r="V3795" s="169">
        <v>45564</v>
      </c>
      <c r="W3795" s="85" t="s">
        <v>12151</v>
      </c>
      <c r="X3795" s="80">
        <v>0</v>
      </c>
      <c r="Y3795" s="22">
        <v>0</v>
      </c>
      <c r="Z3795" s="80" t="s">
        <v>50</v>
      </c>
      <c r="AA3795" s="96" t="s">
        <v>3291</v>
      </c>
      <c r="AB3795" s="80"/>
      <c r="AC3795" s="80" t="s">
        <v>53</v>
      </c>
      <c r="AD3795" s="80" t="s">
        <v>138</v>
      </c>
      <c r="AE3795" s="80" t="s">
        <v>5666</v>
      </c>
      <c r="AF3795" s="17">
        <v>45593</v>
      </c>
      <c r="AG3795" s="26"/>
      <c r="AH3795" s="80"/>
      <c r="AI3795" s="147" t="s">
        <v>147</v>
      </c>
      <c r="AJ3795" s="80"/>
      <c r="AK3795" s="80"/>
      <c r="AL3795" s="35"/>
      <c r="AM3795" s="35"/>
      <c r="AN3795" s="35"/>
      <c r="AO3795" s="35"/>
      <c r="AP3795" s="35"/>
    </row>
    <row r="3796" spans="1:42" x14ac:dyDescent="0.2">
      <c r="A3796" s="38">
        <v>45580</v>
      </c>
      <c r="B3796" s="137" t="s">
        <v>37</v>
      </c>
      <c r="C3796" s="41" t="s">
        <v>118</v>
      </c>
      <c r="D3796" s="80" t="s">
        <v>36</v>
      </c>
      <c r="E3796" s="80" t="s">
        <v>139</v>
      </c>
      <c r="F3796" s="80" t="s">
        <v>5666</v>
      </c>
      <c r="G3796" s="26" t="s">
        <v>108</v>
      </c>
      <c r="H3796" s="80" t="s">
        <v>10144</v>
      </c>
      <c r="I3796" s="17">
        <f ca="1">IFERROR(__xludf.DUMMYFUNCTION("""COMPUTED_VALUE"""),45593)</f>
        <v>45593</v>
      </c>
      <c r="J3796" s="143" t="s">
        <v>12161</v>
      </c>
      <c r="K3796" s="80" t="s">
        <v>8778</v>
      </c>
      <c r="L3796" s="30">
        <v>815835598</v>
      </c>
      <c r="M3796" s="80" t="s">
        <v>3728</v>
      </c>
      <c r="N3796" s="80" t="s">
        <v>5312</v>
      </c>
      <c r="O3796" s="80" t="s">
        <v>12163</v>
      </c>
      <c r="P3796" s="144" t="s">
        <v>13814</v>
      </c>
      <c r="Q3796" s="20">
        <v>15936</v>
      </c>
      <c r="R3796" s="80" t="s">
        <v>36</v>
      </c>
      <c r="S3796" s="95">
        <f>200+1800</f>
        <v>2000</v>
      </c>
      <c r="T3796" s="83" t="s">
        <v>12165</v>
      </c>
      <c r="U3796" s="95">
        <v>13936</v>
      </c>
      <c r="V3796" s="148">
        <v>45551</v>
      </c>
      <c r="W3796" s="85" t="s">
        <v>12166</v>
      </c>
      <c r="X3796" s="80">
        <v>0</v>
      </c>
      <c r="Y3796" s="22">
        <v>0</v>
      </c>
      <c r="Z3796" s="80" t="s">
        <v>50</v>
      </c>
      <c r="AA3796" s="35" t="s">
        <v>3291</v>
      </c>
      <c r="AB3796" s="80"/>
      <c r="AC3796" s="80" t="s">
        <v>53</v>
      </c>
      <c r="AD3796" s="80" t="s">
        <v>54</v>
      </c>
      <c r="AE3796" s="80" t="s">
        <v>5666</v>
      </c>
      <c r="AF3796" s="17">
        <v>45593</v>
      </c>
      <c r="AG3796" s="26"/>
      <c r="AH3796" s="80"/>
      <c r="AI3796" s="147" t="s">
        <v>147</v>
      </c>
      <c r="AJ3796" s="80"/>
      <c r="AK3796" s="80"/>
      <c r="AL3796" s="35"/>
      <c r="AM3796" s="35"/>
      <c r="AN3796" s="35"/>
      <c r="AO3796" s="35"/>
      <c r="AP3796" s="35"/>
    </row>
    <row r="3797" spans="1:42" x14ac:dyDescent="0.2">
      <c r="A3797" s="38">
        <v>45580</v>
      </c>
      <c r="B3797" s="137" t="s">
        <v>37</v>
      </c>
      <c r="C3797" s="41" t="s">
        <v>118</v>
      </c>
      <c r="D3797" s="26" t="s">
        <v>36</v>
      </c>
      <c r="E3797" s="26" t="s">
        <v>119</v>
      </c>
      <c r="F3797" s="26" t="s">
        <v>1565</v>
      </c>
      <c r="G3797" s="26" t="s">
        <v>221</v>
      </c>
      <c r="H3797" s="26" t="s">
        <v>8063</v>
      </c>
      <c r="I3797" s="17">
        <f ca="1">IFERROR(__xludf.DUMMYFUNCTION("""COMPUTED_VALUE"""),45596)</f>
        <v>45596</v>
      </c>
      <c r="J3797" s="29" t="s">
        <v>11929</v>
      </c>
      <c r="K3797" s="26" t="s">
        <v>13815</v>
      </c>
      <c r="L3797" s="30">
        <v>961633894</v>
      </c>
      <c r="M3797" s="26" t="s">
        <v>3498</v>
      </c>
      <c r="N3797" s="26" t="s">
        <v>2756</v>
      </c>
      <c r="O3797" s="26" t="s">
        <v>4503</v>
      </c>
      <c r="P3797" s="42" t="s">
        <v>11931</v>
      </c>
      <c r="Q3797" s="20">
        <v>13968</v>
      </c>
      <c r="R3797" s="26" t="s">
        <v>36</v>
      </c>
      <c r="S3797" s="95">
        <f>200+3800</f>
        <v>4000</v>
      </c>
      <c r="T3797" s="83" t="s">
        <v>11932</v>
      </c>
      <c r="U3797" s="95">
        <v>9968</v>
      </c>
      <c r="V3797" s="148">
        <v>45547</v>
      </c>
      <c r="W3797" s="33" t="s">
        <v>11933</v>
      </c>
      <c r="X3797" s="26">
        <v>0</v>
      </c>
      <c r="Y3797" s="22">
        <v>0</v>
      </c>
      <c r="Z3797" s="26" t="s">
        <v>50</v>
      </c>
      <c r="AA3797" s="96" t="s">
        <v>3291</v>
      </c>
      <c r="AB3797" s="26"/>
      <c r="AC3797" s="26" t="s">
        <v>53</v>
      </c>
      <c r="AD3797" s="26" t="s">
        <v>54</v>
      </c>
      <c r="AE3797" s="26" t="s">
        <v>1565</v>
      </c>
      <c r="AF3797" s="43">
        <v>45596</v>
      </c>
      <c r="AG3797" s="26"/>
      <c r="AH3797" s="26"/>
      <c r="AI3797" s="40">
        <v>4</v>
      </c>
      <c r="AJ3797" s="26"/>
      <c r="AK3797" s="26"/>
      <c r="AL3797" s="35"/>
      <c r="AM3797" s="35"/>
      <c r="AN3797" s="35"/>
      <c r="AO3797" s="35"/>
      <c r="AP3797" s="35"/>
    </row>
    <row r="3798" spans="1:42" x14ac:dyDescent="0.2">
      <c r="A3798" s="38">
        <v>45580</v>
      </c>
      <c r="B3798" s="137" t="s">
        <v>37</v>
      </c>
      <c r="C3798" s="41" t="s">
        <v>118</v>
      </c>
      <c r="D3798" s="80" t="s">
        <v>36</v>
      </c>
      <c r="E3798" s="80" t="s">
        <v>39</v>
      </c>
      <c r="F3798" s="80" t="s">
        <v>5666</v>
      </c>
      <c r="G3798" s="26" t="s">
        <v>108</v>
      </c>
      <c r="H3798" s="80" t="s">
        <v>10144</v>
      </c>
      <c r="I3798" s="17">
        <f ca="1">IFERROR(__xludf.DUMMYFUNCTION("""COMPUTED_VALUE"""),45593)</f>
        <v>45593</v>
      </c>
      <c r="J3798" s="143" t="s">
        <v>12639</v>
      </c>
      <c r="K3798" s="80" t="s">
        <v>12640</v>
      </c>
      <c r="L3798" s="30">
        <v>988647524</v>
      </c>
      <c r="M3798" s="80" t="s">
        <v>2755</v>
      </c>
      <c r="N3798" s="80" t="s">
        <v>2756</v>
      </c>
      <c r="O3798" s="80" t="s">
        <v>4503</v>
      </c>
      <c r="P3798" s="144" t="s">
        <v>13816</v>
      </c>
      <c r="Q3798" s="20">
        <v>5736</v>
      </c>
      <c r="R3798" s="80" t="s">
        <v>70</v>
      </c>
      <c r="S3798" s="95">
        <v>1968</v>
      </c>
      <c r="T3798" s="148">
        <v>45538</v>
      </c>
      <c r="U3798" s="95">
        <v>3768</v>
      </c>
      <c r="V3798" s="148">
        <v>45557</v>
      </c>
      <c r="W3798" s="80" t="s">
        <v>12641</v>
      </c>
      <c r="X3798" s="80">
        <v>100</v>
      </c>
      <c r="Y3798" s="22">
        <v>-100</v>
      </c>
      <c r="Z3798" s="80" t="s">
        <v>50</v>
      </c>
      <c r="AA3798" s="35" t="s">
        <v>3291</v>
      </c>
      <c r="AB3798" s="80"/>
      <c r="AC3798" s="80" t="s">
        <v>53</v>
      </c>
      <c r="AD3798" s="80" t="s">
        <v>54</v>
      </c>
      <c r="AE3798" s="80" t="s">
        <v>5666</v>
      </c>
      <c r="AF3798" s="17">
        <v>45593</v>
      </c>
      <c r="AG3798" s="26"/>
      <c r="AH3798" s="80"/>
      <c r="AI3798" s="147" t="s">
        <v>55</v>
      </c>
      <c r="AJ3798" s="80"/>
      <c r="AK3798" s="80"/>
      <c r="AL3798" s="35"/>
      <c r="AM3798" s="35"/>
      <c r="AN3798" s="35"/>
      <c r="AO3798" s="35"/>
      <c r="AP3798" s="35"/>
    </row>
    <row r="3799" spans="1:42" x14ac:dyDescent="0.2">
      <c r="A3799" s="38">
        <v>45580</v>
      </c>
      <c r="B3799" s="137" t="s">
        <v>37</v>
      </c>
      <c r="C3799" s="41" t="s">
        <v>118</v>
      </c>
      <c r="D3799" s="80" t="s">
        <v>36</v>
      </c>
      <c r="E3799" s="80" t="s">
        <v>139</v>
      </c>
      <c r="F3799" s="80" t="s">
        <v>11497</v>
      </c>
      <c r="G3799" s="26" t="s">
        <v>108</v>
      </c>
      <c r="H3799" s="80" t="s">
        <v>9785</v>
      </c>
      <c r="I3799" s="17">
        <f ca="1">IFERROR(__xludf.DUMMYFUNCTION("""COMPUTED_VALUE"""),45589)</f>
        <v>45589</v>
      </c>
      <c r="J3799" s="143" t="s">
        <v>12297</v>
      </c>
      <c r="K3799" s="86" t="s">
        <v>13817</v>
      </c>
      <c r="L3799" s="30">
        <v>929556399</v>
      </c>
      <c r="M3799" s="80" t="s">
        <v>123</v>
      </c>
      <c r="N3799" s="80" t="s">
        <v>186</v>
      </c>
      <c r="O3799" s="80" t="s">
        <v>4503</v>
      </c>
      <c r="P3799" s="144" t="s">
        <v>12299</v>
      </c>
      <c r="Q3799" s="20">
        <v>15936</v>
      </c>
      <c r="R3799" s="80" t="s">
        <v>36</v>
      </c>
      <c r="S3799" s="95">
        <f>200+4000</f>
        <v>4200</v>
      </c>
      <c r="T3799" s="83" t="s">
        <v>12300</v>
      </c>
      <c r="U3799" s="95">
        <v>11736</v>
      </c>
      <c r="V3799" s="148">
        <v>45552</v>
      </c>
      <c r="W3799" s="85" t="s">
        <v>12301</v>
      </c>
      <c r="X3799" s="80">
        <v>0</v>
      </c>
      <c r="Y3799" s="22">
        <v>0</v>
      </c>
      <c r="Z3799" s="80" t="s">
        <v>50</v>
      </c>
      <c r="AA3799" s="96" t="s">
        <v>3291</v>
      </c>
      <c r="AB3799" s="80"/>
      <c r="AC3799" s="80" t="s">
        <v>53</v>
      </c>
      <c r="AD3799" s="80" t="s">
        <v>54</v>
      </c>
      <c r="AE3799" s="80" t="s">
        <v>11497</v>
      </c>
      <c r="AF3799" s="17">
        <v>45582</v>
      </c>
      <c r="AG3799" s="80"/>
      <c r="AH3799" s="80"/>
      <c r="AI3799" s="147" t="s">
        <v>147</v>
      </c>
      <c r="AJ3799" s="80"/>
      <c r="AK3799" s="80"/>
      <c r="AL3799" s="35"/>
      <c r="AM3799" s="35"/>
      <c r="AN3799" s="35"/>
      <c r="AO3799" s="35"/>
      <c r="AP3799" s="35"/>
    </row>
    <row r="3800" spans="1:42" x14ac:dyDescent="0.2">
      <c r="A3800" s="38">
        <v>45580</v>
      </c>
      <c r="B3800" s="137" t="s">
        <v>37</v>
      </c>
      <c r="C3800" s="41" t="s">
        <v>118</v>
      </c>
      <c r="D3800" s="26" t="s">
        <v>36</v>
      </c>
      <c r="E3800" s="26" t="s">
        <v>56</v>
      </c>
      <c r="F3800" s="80" t="s">
        <v>5666</v>
      </c>
      <c r="G3800" s="26" t="s">
        <v>108</v>
      </c>
      <c r="H3800" s="80" t="s">
        <v>10144</v>
      </c>
      <c r="I3800" s="17">
        <f ca="1">IFERROR(__xludf.DUMMYFUNCTION("""COMPUTED_VALUE"""),45593)</f>
        <v>45593</v>
      </c>
      <c r="J3800" s="29" t="s">
        <v>5667</v>
      </c>
      <c r="K3800" s="26" t="s">
        <v>12268</v>
      </c>
      <c r="L3800" s="30">
        <v>868434205</v>
      </c>
      <c r="M3800" s="26" t="s">
        <v>59</v>
      </c>
      <c r="N3800" s="26" t="s">
        <v>260</v>
      </c>
      <c r="O3800" s="26" t="s">
        <v>5669</v>
      </c>
      <c r="P3800" s="42" t="s">
        <v>5670</v>
      </c>
      <c r="Q3800" s="20">
        <v>9317</v>
      </c>
      <c r="R3800" s="26" t="s">
        <v>36</v>
      </c>
      <c r="S3800" s="31">
        <v>9317</v>
      </c>
      <c r="T3800" s="32">
        <v>45243</v>
      </c>
      <c r="U3800" s="31"/>
      <c r="V3800" s="32"/>
      <c r="W3800" s="33" t="s">
        <v>5671</v>
      </c>
      <c r="X3800" s="26"/>
      <c r="Y3800" s="22">
        <v>0</v>
      </c>
      <c r="Z3800" s="26" t="s">
        <v>50</v>
      </c>
      <c r="AA3800" s="19" t="s">
        <v>5112</v>
      </c>
      <c r="AB3800" s="26" t="s">
        <v>137</v>
      </c>
      <c r="AC3800" s="26" t="s">
        <v>53</v>
      </c>
      <c r="AD3800" s="19" t="s">
        <v>138</v>
      </c>
      <c r="AE3800" s="80" t="s">
        <v>5666</v>
      </c>
      <c r="AF3800" s="17">
        <v>45593</v>
      </c>
      <c r="AG3800" s="26"/>
      <c r="AH3800" s="26"/>
      <c r="AI3800" s="40" t="s">
        <v>64</v>
      </c>
      <c r="AJ3800" s="26"/>
      <c r="AK3800" s="26"/>
      <c r="AL3800" s="35"/>
      <c r="AM3800" s="35"/>
      <c r="AN3800" s="35"/>
      <c r="AO3800" s="35"/>
      <c r="AP3800" s="35"/>
    </row>
    <row r="3801" spans="1:42" x14ac:dyDescent="0.2">
      <c r="A3801" s="38">
        <v>45580</v>
      </c>
      <c r="B3801" s="28" t="s">
        <v>37</v>
      </c>
      <c r="C3801" s="41" t="s">
        <v>118</v>
      </c>
      <c r="D3801" s="80" t="s">
        <v>36</v>
      </c>
      <c r="E3801" s="80" t="s">
        <v>139</v>
      </c>
      <c r="F3801" s="80" t="s">
        <v>11497</v>
      </c>
      <c r="G3801" s="80" t="s">
        <v>108</v>
      </c>
      <c r="H3801" s="80" t="s">
        <v>9785</v>
      </c>
      <c r="I3801" s="17">
        <f ca="1">IFERROR(__xludf.DUMMYFUNCTION("""COMPUTED_VALUE"""),45589)</f>
        <v>45589</v>
      </c>
      <c r="J3801" s="143" t="s">
        <v>12329</v>
      </c>
      <c r="K3801" s="80" t="s">
        <v>13818</v>
      </c>
      <c r="L3801" s="30">
        <v>984866969</v>
      </c>
      <c r="M3801" s="80" t="s">
        <v>80</v>
      </c>
      <c r="N3801" s="80" t="s">
        <v>466</v>
      </c>
      <c r="O3801" s="80" t="s">
        <v>12331</v>
      </c>
      <c r="P3801" s="144" t="s">
        <v>13819</v>
      </c>
      <c r="Q3801" s="20">
        <v>15936</v>
      </c>
      <c r="R3801" s="80" t="s">
        <v>36</v>
      </c>
      <c r="S3801" s="95">
        <f t="shared" ref="S3801:S3802" si="56">200+1800</f>
        <v>2000</v>
      </c>
      <c r="T3801" s="83" t="s">
        <v>12333</v>
      </c>
      <c r="U3801" s="95">
        <v>13936</v>
      </c>
      <c r="V3801" s="148">
        <v>45565</v>
      </c>
      <c r="W3801" s="85" t="s">
        <v>12334</v>
      </c>
      <c r="X3801" s="80">
        <v>0</v>
      </c>
      <c r="Y3801" s="22">
        <v>0</v>
      </c>
      <c r="Z3801" s="80" t="s">
        <v>50</v>
      </c>
      <c r="AA3801" s="96" t="s">
        <v>3291</v>
      </c>
      <c r="AB3801" s="80"/>
      <c r="AC3801" s="80" t="s">
        <v>53</v>
      </c>
      <c r="AD3801" s="80" t="s">
        <v>54</v>
      </c>
      <c r="AE3801" s="80" t="s">
        <v>11497</v>
      </c>
      <c r="AF3801" s="17">
        <v>45582</v>
      </c>
      <c r="AG3801" s="80"/>
      <c r="AH3801" s="80"/>
      <c r="AI3801" s="147" t="s">
        <v>147</v>
      </c>
      <c r="AJ3801" s="80"/>
      <c r="AK3801" s="80"/>
      <c r="AL3801" s="35"/>
      <c r="AM3801" s="35"/>
      <c r="AN3801" s="35"/>
      <c r="AO3801" s="35"/>
      <c r="AP3801" s="35"/>
    </row>
    <row r="3802" spans="1:42" x14ac:dyDescent="0.2">
      <c r="A3802" s="38">
        <v>45580</v>
      </c>
      <c r="B3802" s="137" t="s">
        <v>37</v>
      </c>
      <c r="C3802" s="41" t="s">
        <v>118</v>
      </c>
      <c r="D3802" s="80" t="s">
        <v>36</v>
      </c>
      <c r="E3802" s="80" t="s">
        <v>139</v>
      </c>
      <c r="F3802" s="80" t="s">
        <v>5666</v>
      </c>
      <c r="G3802" s="26" t="s">
        <v>108</v>
      </c>
      <c r="H3802" s="80" t="s">
        <v>10144</v>
      </c>
      <c r="I3802" s="17">
        <f ca="1">IFERROR(__xludf.DUMMYFUNCTION("""COMPUTED_VALUE"""),45593)</f>
        <v>45593</v>
      </c>
      <c r="J3802" s="143" t="s">
        <v>13820</v>
      </c>
      <c r="K3802" s="80" t="s">
        <v>13821</v>
      </c>
      <c r="L3802" s="30">
        <v>583787786</v>
      </c>
      <c r="M3802" s="80" t="s">
        <v>80</v>
      </c>
      <c r="N3802" s="80" t="s">
        <v>466</v>
      </c>
      <c r="O3802" s="80" t="s">
        <v>13822</v>
      </c>
      <c r="P3802" s="144" t="s">
        <v>13823</v>
      </c>
      <c r="Q3802" s="20">
        <v>15936</v>
      </c>
      <c r="R3802" s="80" t="s">
        <v>36</v>
      </c>
      <c r="S3802" s="95">
        <f t="shared" si="56"/>
        <v>2000</v>
      </c>
      <c r="T3802" s="83" t="s">
        <v>13824</v>
      </c>
      <c r="U3802" s="95">
        <v>13936</v>
      </c>
      <c r="V3802" s="148">
        <v>45567</v>
      </c>
      <c r="W3802" s="85" t="s">
        <v>13825</v>
      </c>
      <c r="X3802" s="80"/>
      <c r="Y3802" s="22">
        <v>0</v>
      </c>
      <c r="Z3802" s="26" t="s">
        <v>118</v>
      </c>
      <c r="AA3802" s="86"/>
      <c r="AB3802" s="80"/>
      <c r="AC3802" s="80" t="s">
        <v>53</v>
      </c>
      <c r="AD3802" s="80" t="s">
        <v>54</v>
      </c>
      <c r="AE3802" s="80" t="s">
        <v>5666</v>
      </c>
      <c r="AF3802" s="17">
        <v>45593</v>
      </c>
      <c r="AG3802" s="26"/>
      <c r="AH3802" s="80"/>
      <c r="AI3802" s="147"/>
      <c r="AJ3802" s="80"/>
      <c r="AK3802" s="80"/>
      <c r="AL3802" s="35"/>
      <c r="AM3802" s="35"/>
      <c r="AN3802" s="35"/>
      <c r="AO3802" s="35"/>
      <c r="AP3802" s="35"/>
    </row>
    <row r="3803" spans="1:42" x14ac:dyDescent="0.2">
      <c r="A3803" s="38">
        <v>45580</v>
      </c>
      <c r="B3803" s="137" t="s">
        <v>37</v>
      </c>
      <c r="C3803" s="41" t="s">
        <v>118</v>
      </c>
      <c r="D3803" s="80" t="s">
        <v>36</v>
      </c>
      <c r="E3803" s="80" t="s">
        <v>119</v>
      </c>
      <c r="F3803" s="80" t="s">
        <v>8931</v>
      </c>
      <c r="G3803" s="80" t="s">
        <v>221</v>
      </c>
      <c r="H3803" s="80" t="s">
        <v>13745</v>
      </c>
      <c r="I3803" s="17">
        <f ca="1">IFERROR(__xludf.DUMMYFUNCTION("""COMPUTED_VALUE"""),45594)</f>
        <v>45594</v>
      </c>
      <c r="J3803" s="172" t="s">
        <v>13826</v>
      </c>
      <c r="K3803" s="80" t="s">
        <v>13827</v>
      </c>
      <c r="L3803" s="30">
        <v>981470106</v>
      </c>
      <c r="M3803" s="80" t="s">
        <v>80</v>
      </c>
      <c r="N3803" s="80" t="s">
        <v>466</v>
      </c>
      <c r="O3803" s="80" t="s">
        <v>11089</v>
      </c>
      <c r="P3803" s="144" t="s">
        <v>13828</v>
      </c>
      <c r="Q3803" s="20">
        <v>13968</v>
      </c>
      <c r="R3803" s="80" t="s">
        <v>36</v>
      </c>
      <c r="S3803" s="95">
        <f>200+3600</f>
        <v>3800</v>
      </c>
      <c r="T3803" s="83" t="s">
        <v>11091</v>
      </c>
      <c r="U3803" s="95">
        <v>10168</v>
      </c>
      <c r="V3803" s="148">
        <v>45532</v>
      </c>
      <c r="W3803" s="85" t="s">
        <v>11092</v>
      </c>
      <c r="X3803" s="80">
        <v>0</v>
      </c>
      <c r="Y3803" s="22">
        <v>0</v>
      </c>
      <c r="Z3803" s="80" t="s">
        <v>50</v>
      </c>
      <c r="AA3803" s="96" t="s">
        <v>10314</v>
      </c>
      <c r="AB3803" s="80"/>
      <c r="AC3803" s="80" t="s">
        <v>53</v>
      </c>
      <c r="AD3803" s="80" t="s">
        <v>54</v>
      </c>
      <c r="AE3803" s="80" t="s">
        <v>8931</v>
      </c>
      <c r="AF3803" s="17">
        <v>45587</v>
      </c>
      <c r="AG3803" s="80"/>
      <c r="AH3803" s="80"/>
      <c r="AI3803" s="147"/>
      <c r="AJ3803" s="80"/>
      <c r="AK3803" s="80"/>
      <c r="AL3803" s="35"/>
      <c r="AM3803" s="35"/>
      <c r="AN3803" s="35"/>
      <c r="AO3803" s="35"/>
      <c r="AP3803" s="35"/>
    </row>
    <row r="3804" spans="1:42" x14ac:dyDescent="0.2">
      <c r="A3804" s="38">
        <v>45580</v>
      </c>
      <c r="B3804" s="137" t="s">
        <v>37</v>
      </c>
      <c r="C3804" s="41" t="s">
        <v>118</v>
      </c>
      <c r="D3804" s="26" t="s">
        <v>36</v>
      </c>
      <c r="E3804" s="26" t="s">
        <v>139</v>
      </c>
      <c r="F3804" s="26" t="s">
        <v>1565</v>
      </c>
      <c r="G3804" s="26" t="s">
        <v>221</v>
      </c>
      <c r="H3804" s="26" t="s">
        <v>8063</v>
      </c>
      <c r="I3804" s="17">
        <f ca="1">IFERROR(__xludf.DUMMYFUNCTION("""COMPUTED_VALUE"""),45596)</f>
        <v>45596</v>
      </c>
      <c r="J3804" s="44" t="s">
        <v>8698</v>
      </c>
      <c r="K3804" s="26" t="s">
        <v>8187</v>
      </c>
      <c r="L3804" s="30">
        <v>398016210</v>
      </c>
      <c r="M3804" s="26" t="s">
        <v>3728</v>
      </c>
      <c r="N3804" s="26" t="s">
        <v>5377</v>
      </c>
      <c r="O3804" s="26" t="s">
        <v>134</v>
      </c>
      <c r="P3804" s="42" t="s">
        <v>8188</v>
      </c>
      <c r="Q3804" s="20">
        <v>15936</v>
      </c>
      <c r="R3804" s="26" t="s">
        <v>36</v>
      </c>
      <c r="S3804" s="31">
        <v>2000</v>
      </c>
      <c r="T3804" s="32">
        <v>45372</v>
      </c>
      <c r="U3804" s="31">
        <v>13936</v>
      </c>
      <c r="V3804" s="32">
        <v>45412</v>
      </c>
      <c r="W3804" s="33" t="s">
        <v>8189</v>
      </c>
      <c r="X3804" s="26"/>
      <c r="Y3804" s="22">
        <v>0</v>
      </c>
      <c r="Z3804" s="35" t="s">
        <v>118</v>
      </c>
      <c r="AA3804" s="19" t="s">
        <v>8102</v>
      </c>
      <c r="AB3804" s="26" t="s">
        <v>36</v>
      </c>
      <c r="AC3804" s="26" t="s">
        <v>53</v>
      </c>
      <c r="AD3804" s="19" t="s">
        <v>138</v>
      </c>
      <c r="AE3804" s="26" t="s">
        <v>1565</v>
      </c>
      <c r="AF3804" s="43">
        <v>45596</v>
      </c>
      <c r="AG3804" s="26"/>
      <c r="AH3804" s="26"/>
      <c r="AI3804" s="40"/>
      <c r="AJ3804" s="26"/>
      <c r="AK3804" s="26"/>
      <c r="AL3804" s="35"/>
      <c r="AM3804" s="35"/>
      <c r="AN3804" s="35"/>
      <c r="AO3804" s="35"/>
      <c r="AP3804" s="35"/>
    </row>
    <row r="3805" spans="1:42" x14ac:dyDescent="0.2">
      <c r="A3805" s="38">
        <v>45580</v>
      </c>
      <c r="B3805" s="137" t="s">
        <v>37</v>
      </c>
      <c r="C3805" s="41" t="s">
        <v>118</v>
      </c>
      <c r="D3805" s="26" t="s">
        <v>36</v>
      </c>
      <c r="E3805" s="26" t="s">
        <v>139</v>
      </c>
      <c r="F3805" s="26" t="s">
        <v>7871</v>
      </c>
      <c r="G3805" s="26" t="s">
        <v>221</v>
      </c>
      <c r="H3805" s="26" t="s">
        <v>8063</v>
      </c>
      <c r="I3805" s="17">
        <f ca="1">IFERROR(__xludf.DUMMYFUNCTION("""COMPUTED_VALUE"""),45596)</f>
        <v>45596</v>
      </c>
      <c r="J3805" s="29" t="s">
        <v>7530</v>
      </c>
      <c r="K3805" s="26" t="s">
        <v>7531</v>
      </c>
      <c r="L3805" s="30">
        <v>978896921</v>
      </c>
      <c r="M3805" s="26" t="s">
        <v>910</v>
      </c>
      <c r="N3805" s="26" t="s">
        <v>3525</v>
      </c>
      <c r="O3805" s="26" t="s">
        <v>3754</v>
      </c>
      <c r="P3805" s="42" t="s">
        <v>7532</v>
      </c>
      <c r="Q3805" s="20">
        <v>15936</v>
      </c>
      <c r="R3805" s="26" t="s">
        <v>36</v>
      </c>
      <c r="S3805" s="31">
        <v>2000</v>
      </c>
      <c r="T3805" s="32">
        <v>45236</v>
      </c>
      <c r="U3805" s="31">
        <v>13936</v>
      </c>
      <c r="V3805" s="32">
        <v>45370</v>
      </c>
      <c r="W3805" s="33" t="s">
        <v>7533</v>
      </c>
      <c r="X3805" s="26"/>
      <c r="Y3805" s="22">
        <v>0</v>
      </c>
      <c r="Z3805" s="26" t="s">
        <v>118</v>
      </c>
      <c r="AA3805" s="19" t="s">
        <v>7361</v>
      </c>
      <c r="AB3805" s="26" t="s">
        <v>36</v>
      </c>
      <c r="AC3805" s="26" t="s">
        <v>53</v>
      </c>
      <c r="AD3805" s="19" t="s">
        <v>138</v>
      </c>
      <c r="AE3805" s="26" t="s">
        <v>7871</v>
      </c>
      <c r="AF3805" s="43">
        <v>45596</v>
      </c>
      <c r="AG3805" s="26"/>
      <c r="AH3805" s="26"/>
      <c r="AI3805" s="40"/>
      <c r="AJ3805" s="26"/>
      <c r="AK3805" s="26"/>
      <c r="AL3805" s="35"/>
      <c r="AM3805" s="35"/>
      <c r="AN3805" s="35"/>
      <c r="AO3805" s="35"/>
      <c r="AP3805" s="35"/>
    </row>
    <row r="3806" spans="1:42" x14ac:dyDescent="0.2">
      <c r="A3806" s="38">
        <v>45581</v>
      </c>
      <c r="B3806" s="137" t="s">
        <v>37</v>
      </c>
      <c r="C3806" s="41" t="s">
        <v>118</v>
      </c>
      <c r="D3806" s="80" t="s">
        <v>36</v>
      </c>
      <c r="E3806" s="80" t="s">
        <v>77</v>
      </c>
      <c r="F3806" s="80" t="s">
        <v>36</v>
      </c>
      <c r="G3806" s="80" t="s">
        <v>41</v>
      </c>
      <c r="H3806" s="80" t="s">
        <v>13829</v>
      </c>
      <c r="I3806" s="17">
        <f ca="1">IFERROR(__xludf.DUMMYFUNCTION("""COMPUTED_VALUE"""),45596)</f>
        <v>45596</v>
      </c>
      <c r="J3806" s="44" t="s">
        <v>13830</v>
      </c>
      <c r="K3806" s="80" t="s">
        <v>13831</v>
      </c>
      <c r="L3806" s="30">
        <v>815309006</v>
      </c>
      <c r="M3806" s="80" t="s">
        <v>12529</v>
      </c>
      <c r="N3806" s="80" t="s">
        <v>13566</v>
      </c>
      <c r="O3806" s="80" t="s">
        <v>13832</v>
      </c>
      <c r="P3806" s="144" t="s">
        <v>13568</v>
      </c>
      <c r="Q3806" s="20">
        <v>1968</v>
      </c>
      <c r="R3806" s="80" t="s">
        <v>36</v>
      </c>
      <c r="S3806" s="95">
        <f>200+1800</f>
        <v>2000</v>
      </c>
      <c r="T3806" s="83" t="s">
        <v>13569</v>
      </c>
      <c r="U3806" s="77"/>
      <c r="V3806" s="78"/>
      <c r="W3806" s="85" t="s">
        <v>13570</v>
      </c>
      <c r="X3806" s="80">
        <v>0</v>
      </c>
      <c r="Y3806" s="22">
        <v>-32</v>
      </c>
      <c r="Z3806" s="80" t="s">
        <v>50</v>
      </c>
      <c r="AA3806" s="35" t="s">
        <v>3291</v>
      </c>
      <c r="AB3806" s="80"/>
      <c r="AC3806" s="80" t="s">
        <v>53</v>
      </c>
      <c r="AD3806" s="80" t="s">
        <v>54</v>
      </c>
      <c r="AE3806" s="80"/>
      <c r="AF3806" s="17">
        <v>45588</v>
      </c>
      <c r="AG3806" s="143" t="s">
        <v>13564</v>
      </c>
      <c r="AH3806" s="80"/>
      <c r="AI3806" s="147" t="s">
        <v>84</v>
      </c>
      <c r="AJ3806" s="80"/>
      <c r="AK3806" s="80"/>
      <c r="AL3806" s="35"/>
      <c r="AM3806" s="35"/>
      <c r="AN3806" s="35"/>
      <c r="AO3806" s="35"/>
      <c r="AP3806" s="35"/>
    </row>
    <row r="3807" spans="1:42" x14ac:dyDescent="0.2">
      <c r="A3807" s="38">
        <v>45581</v>
      </c>
      <c r="B3807" s="137" t="s">
        <v>37</v>
      </c>
      <c r="C3807" s="41" t="s">
        <v>118</v>
      </c>
      <c r="D3807" s="26" t="s">
        <v>36</v>
      </c>
      <c r="E3807" s="26" t="s">
        <v>139</v>
      </c>
      <c r="F3807" s="26" t="s">
        <v>9177</v>
      </c>
      <c r="G3807" s="26" t="s">
        <v>108</v>
      </c>
      <c r="H3807" s="80" t="s">
        <v>10144</v>
      </c>
      <c r="I3807" s="17">
        <f ca="1">IFERROR(__xludf.DUMMYFUNCTION("""COMPUTED_VALUE"""),45593)</f>
        <v>45593</v>
      </c>
      <c r="J3807" s="29" t="s">
        <v>9219</v>
      </c>
      <c r="K3807" s="26" t="s">
        <v>9220</v>
      </c>
      <c r="L3807" s="47">
        <v>384781170</v>
      </c>
      <c r="M3807" s="26" t="s">
        <v>292</v>
      </c>
      <c r="N3807" s="26" t="s">
        <v>1232</v>
      </c>
      <c r="O3807" s="26" t="s">
        <v>9221</v>
      </c>
      <c r="P3807" s="42" t="s">
        <v>13833</v>
      </c>
      <c r="Q3807" s="20"/>
      <c r="R3807" s="26" t="s">
        <v>36</v>
      </c>
      <c r="S3807" s="95">
        <f>1000+11000</f>
        <v>12000</v>
      </c>
      <c r="T3807" s="83" t="s">
        <v>9223</v>
      </c>
      <c r="U3807" s="95">
        <v>3936</v>
      </c>
      <c r="V3807" s="148">
        <v>45503</v>
      </c>
      <c r="W3807" s="33" t="s">
        <v>9224</v>
      </c>
      <c r="X3807" s="26"/>
      <c r="Y3807" s="22"/>
      <c r="Z3807" s="26" t="s">
        <v>50</v>
      </c>
      <c r="AA3807" s="70" t="s">
        <v>9070</v>
      </c>
      <c r="AB3807" s="26"/>
      <c r="AC3807" s="26" t="s">
        <v>53</v>
      </c>
      <c r="AD3807" s="26" t="s">
        <v>54</v>
      </c>
      <c r="AE3807" s="26" t="s">
        <v>9177</v>
      </c>
      <c r="AF3807" s="17">
        <v>45593</v>
      </c>
      <c r="AG3807" s="26"/>
      <c r="AH3807" s="26"/>
      <c r="AI3807" s="40"/>
      <c r="AJ3807" s="26"/>
      <c r="AK3807" s="26"/>
      <c r="AL3807" s="35"/>
      <c r="AM3807" s="35"/>
      <c r="AN3807" s="35"/>
      <c r="AO3807" s="35"/>
      <c r="AP3807" s="35"/>
    </row>
    <row r="3808" spans="1:42" x14ac:dyDescent="0.2">
      <c r="A3808" s="38">
        <v>45581</v>
      </c>
      <c r="B3808" s="137" t="s">
        <v>37</v>
      </c>
      <c r="C3808" s="41" t="s">
        <v>118</v>
      </c>
      <c r="D3808" s="80" t="s">
        <v>36</v>
      </c>
      <c r="E3808" s="80" t="s">
        <v>148</v>
      </c>
      <c r="F3808" s="80" t="s">
        <v>10007</v>
      </c>
      <c r="G3808" s="26" t="s">
        <v>108</v>
      </c>
      <c r="H3808" s="80" t="s">
        <v>10205</v>
      </c>
      <c r="I3808" s="17">
        <f ca="1">IFERROR(__xludf.DUMMYFUNCTION("""COMPUTED_VALUE"""),45590)</f>
        <v>45590</v>
      </c>
      <c r="J3808" s="143" t="s">
        <v>13834</v>
      </c>
      <c r="K3808" s="80" t="s">
        <v>6046</v>
      </c>
      <c r="L3808" s="30">
        <v>362011266</v>
      </c>
      <c r="M3808" s="80" t="s">
        <v>1245</v>
      </c>
      <c r="N3808" s="80" t="s">
        <v>2429</v>
      </c>
      <c r="O3808" s="162" t="s">
        <v>13835</v>
      </c>
      <c r="P3808" s="144" t="s">
        <v>13836</v>
      </c>
      <c r="Q3808" s="95">
        <v>16779</v>
      </c>
      <c r="R3808" s="80" t="s">
        <v>36</v>
      </c>
      <c r="S3808" s="77">
        <v>5000</v>
      </c>
      <c r="T3808" s="78">
        <v>44895</v>
      </c>
      <c r="U3808" s="77">
        <v>11779</v>
      </c>
      <c r="V3808" s="78">
        <v>11700</v>
      </c>
      <c r="W3808" s="85" t="s">
        <v>13837</v>
      </c>
      <c r="X3808" s="80"/>
      <c r="Y3808" s="22">
        <v>0</v>
      </c>
      <c r="Z3808" s="41" t="s">
        <v>118</v>
      </c>
      <c r="AA3808" s="86" t="s">
        <v>3307</v>
      </c>
      <c r="AB3808" s="80" t="s">
        <v>36</v>
      </c>
      <c r="AC3808" s="80" t="s">
        <v>53</v>
      </c>
      <c r="AD3808" s="26" t="s">
        <v>54</v>
      </c>
      <c r="AE3808" s="80" t="s">
        <v>10007</v>
      </c>
      <c r="AF3808" s="17">
        <v>45583</v>
      </c>
      <c r="AG3808" s="26"/>
      <c r="AH3808" s="185"/>
      <c r="AI3808" s="185"/>
      <c r="AJ3808" s="165">
        <v>44992.133955196754</v>
      </c>
      <c r="AK3808" s="82"/>
      <c r="AL3808" s="177" t="s">
        <v>13838</v>
      </c>
      <c r="AM3808" s="82"/>
      <c r="AN3808" s="82"/>
      <c r="AO3808" s="80"/>
      <c r="AP3808" s="80"/>
    </row>
    <row r="3809" spans="1:42" x14ac:dyDescent="0.2">
      <c r="A3809" s="38">
        <v>45581</v>
      </c>
      <c r="B3809" s="28" t="s">
        <v>37</v>
      </c>
      <c r="C3809" s="41" t="s">
        <v>118</v>
      </c>
      <c r="D3809" s="26" t="s">
        <v>36</v>
      </c>
      <c r="E3809" s="26" t="s">
        <v>56</v>
      </c>
      <c r="F3809" s="26" t="s">
        <v>9581</v>
      </c>
      <c r="G3809" s="26" t="s">
        <v>108</v>
      </c>
      <c r="H3809" s="80" t="s">
        <v>9785</v>
      </c>
      <c r="I3809" s="17">
        <f ca="1">IFERROR(__xludf.DUMMYFUNCTION("""COMPUTED_VALUE"""),45589)</f>
        <v>45589</v>
      </c>
      <c r="J3809" s="29" t="s">
        <v>9582</v>
      </c>
      <c r="K3809" s="26" t="s">
        <v>9583</v>
      </c>
      <c r="L3809" s="30">
        <v>386255273</v>
      </c>
      <c r="M3809" s="26" t="s">
        <v>59</v>
      </c>
      <c r="N3809" s="26" t="s">
        <v>4299</v>
      </c>
      <c r="O3809" s="26" t="s">
        <v>9584</v>
      </c>
      <c r="P3809" s="171" t="s">
        <v>13839</v>
      </c>
      <c r="Q3809" s="20"/>
      <c r="R3809" s="26" t="s">
        <v>36</v>
      </c>
      <c r="S3809" s="95">
        <v>9317</v>
      </c>
      <c r="T3809" s="148">
        <v>45494</v>
      </c>
      <c r="U3809" s="31"/>
      <c r="V3809" s="32"/>
      <c r="W3809" s="33" t="s">
        <v>9586</v>
      </c>
      <c r="X3809" s="26"/>
      <c r="Y3809" s="22"/>
      <c r="Z3809" s="26" t="s">
        <v>50</v>
      </c>
      <c r="AA3809" s="70" t="s">
        <v>9070</v>
      </c>
      <c r="AB3809" s="26"/>
      <c r="AC3809" s="26" t="s">
        <v>53</v>
      </c>
      <c r="AD3809" s="26" t="s">
        <v>54</v>
      </c>
      <c r="AE3809" s="26" t="s">
        <v>9581</v>
      </c>
      <c r="AF3809" s="17">
        <v>45582</v>
      </c>
      <c r="AG3809" s="26"/>
      <c r="AH3809" s="26"/>
      <c r="AI3809" s="40"/>
      <c r="AJ3809" s="26"/>
      <c r="AK3809" s="26"/>
      <c r="AL3809" s="35"/>
      <c r="AM3809" s="35"/>
      <c r="AN3809" s="35"/>
      <c r="AO3809" s="35"/>
      <c r="AP3809" s="35"/>
    </row>
    <row r="3810" spans="1:42" x14ac:dyDescent="0.2">
      <c r="A3810" s="38">
        <v>45581</v>
      </c>
      <c r="B3810" s="137" t="s">
        <v>37</v>
      </c>
      <c r="C3810" s="41" t="s">
        <v>118</v>
      </c>
      <c r="D3810" s="26" t="s">
        <v>36</v>
      </c>
      <c r="E3810" s="26" t="s">
        <v>139</v>
      </c>
      <c r="F3810" s="26" t="s">
        <v>9273</v>
      </c>
      <c r="G3810" s="26" t="s">
        <v>108</v>
      </c>
      <c r="H3810" s="80" t="s">
        <v>10205</v>
      </c>
      <c r="I3810" s="17">
        <f ca="1">IFERROR(__xludf.DUMMYFUNCTION("""COMPUTED_VALUE"""),45590)</f>
        <v>45590</v>
      </c>
      <c r="J3810" s="29" t="s">
        <v>9292</v>
      </c>
      <c r="K3810" s="26" t="s">
        <v>9293</v>
      </c>
      <c r="L3810" s="30">
        <v>981746826</v>
      </c>
      <c r="M3810" s="26" t="s">
        <v>59</v>
      </c>
      <c r="N3810" s="26" t="s">
        <v>9294</v>
      </c>
      <c r="O3810" s="26" t="s">
        <v>9295</v>
      </c>
      <c r="P3810" s="115" t="s">
        <v>13840</v>
      </c>
      <c r="Q3810" s="20"/>
      <c r="R3810" s="26" t="s">
        <v>36</v>
      </c>
      <c r="S3810" s="95">
        <v>2200</v>
      </c>
      <c r="T3810" s="83" t="s">
        <v>9297</v>
      </c>
      <c r="U3810" s="95">
        <v>13763</v>
      </c>
      <c r="V3810" s="148">
        <v>45504</v>
      </c>
      <c r="W3810" s="26" t="s">
        <v>9298</v>
      </c>
      <c r="X3810" s="26"/>
      <c r="Y3810" s="22"/>
      <c r="Z3810" s="26" t="s">
        <v>50</v>
      </c>
      <c r="AA3810" s="70" t="s">
        <v>9070</v>
      </c>
      <c r="AB3810" s="26"/>
      <c r="AC3810" s="26" t="s">
        <v>53</v>
      </c>
      <c r="AD3810" s="26" t="s">
        <v>54</v>
      </c>
      <c r="AE3810" s="26" t="s">
        <v>9273</v>
      </c>
      <c r="AF3810" s="17">
        <v>45583</v>
      </c>
      <c r="AG3810" s="26"/>
      <c r="AH3810" s="26"/>
      <c r="AI3810" s="40"/>
      <c r="AJ3810" s="26"/>
      <c r="AK3810" s="26"/>
      <c r="AL3810" s="35"/>
      <c r="AM3810" s="35"/>
      <c r="AN3810" s="35"/>
      <c r="AO3810" s="35"/>
      <c r="AP3810" s="35"/>
    </row>
    <row r="3811" spans="1:42" x14ac:dyDescent="0.2">
      <c r="A3811" s="38">
        <v>45582</v>
      </c>
      <c r="B3811" s="28" t="s">
        <v>37</v>
      </c>
      <c r="C3811" s="41" t="s">
        <v>118</v>
      </c>
      <c r="D3811" s="26" t="s">
        <v>36</v>
      </c>
      <c r="E3811" s="26" t="s">
        <v>119</v>
      </c>
      <c r="F3811" s="26" t="s">
        <v>8691</v>
      </c>
      <c r="G3811" s="26" t="s">
        <v>221</v>
      </c>
      <c r="H3811" s="26" t="s">
        <v>13745</v>
      </c>
      <c r="I3811" s="17">
        <f ca="1">IFERROR(__xludf.DUMMYFUNCTION("""COMPUTED_VALUE"""),45594)</f>
        <v>45594</v>
      </c>
      <c r="J3811" s="29" t="s">
        <v>10707</v>
      </c>
      <c r="K3811" s="26" t="s">
        <v>13841</v>
      </c>
      <c r="L3811" s="30">
        <v>962199042</v>
      </c>
      <c r="M3811" s="26" t="s">
        <v>80</v>
      </c>
      <c r="N3811" s="26" t="s">
        <v>466</v>
      </c>
      <c r="O3811" s="26" t="s">
        <v>10709</v>
      </c>
      <c r="P3811" s="42" t="s">
        <v>13842</v>
      </c>
      <c r="Q3811" s="20">
        <v>13968</v>
      </c>
      <c r="R3811" s="26" t="s">
        <v>36</v>
      </c>
      <c r="S3811" s="95">
        <v>3800</v>
      </c>
      <c r="T3811" s="148">
        <v>45485</v>
      </c>
      <c r="U3811" s="95">
        <v>10168</v>
      </c>
      <c r="V3811" s="148">
        <v>45506</v>
      </c>
      <c r="W3811" s="33" t="s">
        <v>10711</v>
      </c>
      <c r="X3811" s="26">
        <v>0</v>
      </c>
      <c r="Y3811" s="22">
        <v>0</v>
      </c>
      <c r="Z3811" s="26" t="s">
        <v>50</v>
      </c>
      <c r="AA3811" s="96" t="s">
        <v>10314</v>
      </c>
      <c r="AB3811" s="26"/>
      <c r="AC3811" s="26" t="s">
        <v>53</v>
      </c>
      <c r="AD3811" s="26" t="s">
        <v>54</v>
      </c>
      <c r="AE3811" s="26" t="s">
        <v>8691</v>
      </c>
      <c r="AF3811" s="17">
        <v>45587</v>
      </c>
      <c r="AG3811" s="26"/>
      <c r="AH3811" s="26"/>
      <c r="AI3811" s="40"/>
      <c r="AJ3811" s="26"/>
      <c r="AK3811" s="26"/>
      <c r="AL3811" s="35"/>
      <c r="AM3811" s="35"/>
      <c r="AN3811" s="35"/>
      <c r="AO3811" s="35"/>
      <c r="AP3811" s="35"/>
    </row>
    <row r="3812" spans="1:42" x14ac:dyDescent="0.2">
      <c r="A3812" s="38">
        <v>45582</v>
      </c>
      <c r="B3812" s="28" t="s">
        <v>37</v>
      </c>
      <c r="C3812" s="41" t="s">
        <v>118</v>
      </c>
      <c r="D3812" s="26" t="s">
        <v>36</v>
      </c>
      <c r="E3812" s="26" t="s">
        <v>56</v>
      </c>
      <c r="F3812" s="26" t="s">
        <v>10040</v>
      </c>
      <c r="G3812" s="26" t="s">
        <v>221</v>
      </c>
      <c r="H3812" s="26" t="s">
        <v>13755</v>
      </c>
      <c r="I3812" s="17">
        <f ca="1">IFERROR(__xludf.DUMMYFUNCTION("""COMPUTED_VALUE"""),45595)</f>
        <v>45595</v>
      </c>
      <c r="J3812" s="49" t="s">
        <v>7227</v>
      </c>
      <c r="K3812" s="26" t="s">
        <v>7228</v>
      </c>
      <c r="L3812" s="30">
        <v>394612470</v>
      </c>
      <c r="M3812" s="26" t="s">
        <v>3288</v>
      </c>
      <c r="N3812" s="26" t="s">
        <v>200</v>
      </c>
      <c r="O3812" s="26" t="s">
        <v>7229</v>
      </c>
      <c r="P3812" s="26" t="s">
        <v>7230</v>
      </c>
      <c r="Q3812" s="20">
        <v>9317</v>
      </c>
      <c r="R3812" s="26" t="s">
        <v>36</v>
      </c>
      <c r="S3812" s="31">
        <v>9317</v>
      </c>
      <c r="T3812" s="32">
        <v>45346</v>
      </c>
      <c r="U3812" s="31"/>
      <c r="V3812" s="32"/>
      <c r="W3812" s="33" t="s">
        <v>7231</v>
      </c>
      <c r="X3812" s="26"/>
      <c r="Y3812" s="22">
        <v>0</v>
      </c>
      <c r="Z3812" s="26" t="s">
        <v>118</v>
      </c>
      <c r="AA3812" s="19" t="s">
        <v>7077</v>
      </c>
      <c r="AB3812" s="26" t="s">
        <v>36</v>
      </c>
      <c r="AC3812" s="26" t="s">
        <v>53</v>
      </c>
      <c r="AD3812" s="19" t="s">
        <v>54</v>
      </c>
      <c r="AE3812" s="26" t="s">
        <v>10040</v>
      </c>
      <c r="AF3812" s="17">
        <v>45557</v>
      </c>
      <c r="AG3812" s="26" t="s">
        <v>1362</v>
      </c>
      <c r="AH3812" s="26"/>
      <c r="AI3812" s="40" t="s">
        <v>64</v>
      </c>
      <c r="AJ3812" s="26"/>
      <c r="AK3812" s="26"/>
      <c r="AL3812" s="35"/>
      <c r="AM3812" s="35"/>
      <c r="AN3812" s="35"/>
      <c r="AO3812" s="35"/>
      <c r="AP3812" s="35"/>
    </row>
    <row r="3813" spans="1:42" x14ac:dyDescent="0.2">
      <c r="A3813" s="38">
        <v>45582</v>
      </c>
      <c r="B3813" s="28" t="s">
        <v>37</v>
      </c>
      <c r="C3813" s="41" t="s">
        <v>118</v>
      </c>
      <c r="D3813" s="80" t="s">
        <v>36</v>
      </c>
      <c r="E3813" s="80" t="s">
        <v>148</v>
      </c>
      <c r="F3813" s="80" t="s">
        <v>889</v>
      </c>
      <c r="G3813" s="142" t="s">
        <v>221</v>
      </c>
      <c r="H3813" s="26" t="s">
        <v>13755</v>
      </c>
      <c r="I3813" s="17">
        <f ca="1">IFERROR(__xludf.DUMMYFUNCTION("""COMPUTED_VALUE"""),45595)</f>
        <v>45595</v>
      </c>
      <c r="J3813" s="143" t="s">
        <v>13843</v>
      </c>
      <c r="K3813" s="80" t="s">
        <v>13844</v>
      </c>
      <c r="L3813" s="30">
        <v>945641366</v>
      </c>
      <c r="M3813" s="80" t="s">
        <v>94</v>
      </c>
      <c r="N3813" s="80" t="s">
        <v>13845</v>
      </c>
      <c r="O3813" s="80" t="s">
        <v>36</v>
      </c>
      <c r="P3813" s="144" t="s">
        <v>13846</v>
      </c>
      <c r="Q3813" s="20"/>
      <c r="R3813" s="80" t="s">
        <v>36</v>
      </c>
      <c r="S3813" s="77">
        <v>6247</v>
      </c>
      <c r="T3813" s="78">
        <v>44775</v>
      </c>
      <c r="U3813" s="77">
        <v>229</v>
      </c>
      <c r="V3813" s="78">
        <v>44812</v>
      </c>
      <c r="W3813" s="85" t="s">
        <v>13847</v>
      </c>
      <c r="X3813" s="80">
        <v>0</v>
      </c>
      <c r="Y3813" s="22"/>
      <c r="Z3813" s="41" t="s">
        <v>118</v>
      </c>
      <c r="AA3813" s="82" t="s">
        <v>13848</v>
      </c>
      <c r="AB3813" s="80" t="s">
        <v>36</v>
      </c>
      <c r="AC3813" s="80" t="s">
        <v>53</v>
      </c>
      <c r="AD3813" s="19" t="s">
        <v>54</v>
      </c>
      <c r="AE3813" s="80" t="s">
        <v>889</v>
      </c>
      <c r="AF3813" s="17">
        <v>45588</v>
      </c>
      <c r="AG3813" s="86"/>
      <c r="AH3813" s="150" t="e">
        <v>#N/A</v>
      </c>
      <c r="AI3813" s="150"/>
      <c r="AJ3813" s="86"/>
      <c r="AK3813" s="86"/>
      <c r="AL3813" s="86"/>
      <c r="AM3813" s="86"/>
      <c r="AN3813" s="86"/>
      <c r="AO3813" s="86"/>
      <c r="AP3813" s="86"/>
    </row>
    <row r="3814" spans="1:42" x14ac:dyDescent="0.2">
      <c r="A3814" s="38">
        <v>45582</v>
      </c>
      <c r="B3814" s="137" t="s">
        <v>37</v>
      </c>
      <c r="C3814" s="41" t="s">
        <v>118</v>
      </c>
      <c r="D3814" s="80" t="s">
        <v>36</v>
      </c>
      <c r="E3814" s="80" t="s">
        <v>39</v>
      </c>
      <c r="F3814" s="80" t="s">
        <v>13849</v>
      </c>
      <c r="G3814" s="80" t="s">
        <v>41</v>
      </c>
      <c r="H3814" s="80" t="s">
        <v>13850</v>
      </c>
      <c r="I3814" s="17">
        <f ca="1">IFERROR(__xludf.DUMMYFUNCTION("""COMPUTED_VALUE"""),45594)</f>
        <v>45594</v>
      </c>
      <c r="J3814" s="143" t="s">
        <v>13851</v>
      </c>
      <c r="K3814" s="86" t="s">
        <v>13852</v>
      </c>
      <c r="L3814" s="30">
        <v>386782688</v>
      </c>
      <c r="M3814" s="80" t="s">
        <v>1245</v>
      </c>
      <c r="N3814" s="80" t="s">
        <v>1750</v>
      </c>
      <c r="O3814" s="162" t="s">
        <v>13853</v>
      </c>
      <c r="P3814" s="80" t="s">
        <v>13854</v>
      </c>
      <c r="Q3814" s="20">
        <v>16779</v>
      </c>
      <c r="R3814" s="80" t="s">
        <v>36</v>
      </c>
      <c r="S3814" s="77">
        <v>16779</v>
      </c>
      <c r="T3814" s="78">
        <v>44865</v>
      </c>
      <c r="U3814" s="77"/>
      <c r="V3814" s="78"/>
      <c r="W3814" s="85" t="s">
        <v>13855</v>
      </c>
      <c r="X3814" s="80"/>
      <c r="Y3814" s="22">
        <v>0</v>
      </c>
      <c r="Z3814" s="41" t="s">
        <v>118</v>
      </c>
      <c r="AA3814" s="86" t="s">
        <v>2407</v>
      </c>
      <c r="AB3814" s="80" t="s">
        <v>36</v>
      </c>
      <c r="AC3814" s="80" t="s">
        <v>53</v>
      </c>
      <c r="AD3814" s="80" t="s">
        <v>54</v>
      </c>
      <c r="AE3814" s="80" t="s">
        <v>13849</v>
      </c>
      <c r="AF3814" s="43">
        <v>45594</v>
      </c>
      <c r="AG3814" s="86"/>
      <c r="AH3814" s="150"/>
      <c r="AI3814" s="150"/>
      <c r="AJ3814" s="151"/>
      <c r="AK3814" s="86"/>
      <c r="AL3814" s="86"/>
      <c r="AM3814" s="86"/>
      <c r="AN3814" s="86"/>
      <c r="AO3814" s="80"/>
      <c r="AP3814" s="80"/>
    </row>
    <row r="3815" spans="1:42" x14ac:dyDescent="0.2">
      <c r="A3815" s="38">
        <v>45582</v>
      </c>
      <c r="B3815" s="137" t="s">
        <v>37</v>
      </c>
      <c r="C3815" s="41" t="s">
        <v>118</v>
      </c>
      <c r="D3815" s="80" t="s">
        <v>36</v>
      </c>
      <c r="E3815" s="80" t="s">
        <v>77</v>
      </c>
      <c r="F3815" s="80" t="s">
        <v>13856</v>
      </c>
      <c r="G3815" s="80" t="s">
        <v>41</v>
      </c>
      <c r="H3815" s="80" t="s">
        <v>12444</v>
      </c>
      <c r="I3815" s="17">
        <f ca="1">IFERROR(__xludf.DUMMYFUNCTION("""COMPUTED_VALUE"""),45590)</f>
        <v>45590</v>
      </c>
      <c r="J3815" s="143" t="s">
        <v>13857</v>
      </c>
      <c r="K3815" s="80" t="s">
        <v>13858</v>
      </c>
      <c r="L3815" s="30">
        <v>396299926</v>
      </c>
      <c r="M3815" s="80" t="s">
        <v>1245</v>
      </c>
      <c r="N3815" s="80" t="s">
        <v>2429</v>
      </c>
      <c r="O3815" s="80" t="s">
        <v>91</v>
      </c>
      <c r="P3815" s="175" t="s">
        <v>13859</v>
      </c>
      <c r="Q3815" s="95"/>
      <c r="R3815" s="80" t="s">
        <v>36</v>
      </c>
      <c r="S3815" s="77">
        <v>10804</v>
      </c>
      <c r="T3815" s="78">
        <v>44782</v>
      </c>
      <c r="U3815" s="77"/>
      <c r="V3815" s="78"/>
      <c r="W3815" s="85" t="s">
        <v>13860</v>
      </c>
      <c r="X3815" s="80">
        <v>0</v>
      </c>
      <c r="Y3815" s="22">
        <v>0</v>
      </c>
      <c r="Z3815" s="41" t="s">
        <v>118</v>
      </c>
      <c r="AA3815" s="82" t="s">
        <v>13861</v>
      </c>
      <c r="AB3815" s="80" t="s">
        <v>36</v>
      </c>
      <c r="AC3815" s="80" t="s">
        <v>53</v>
      </c>
      <c r="AD3815" s="80" t="s">
        <v>54</v>
      </c>
      <c r="AE3815" s="80" t="s">
        <v>13856</v>
      </c>
      <c r="AF3815" s="17">
        <v>45583</v>
      </c>
      <c r="AG3815" s="86">
        <v>2</v>
      </c>
      <c r="AH3815" s="150">
        <v>3</v>
      </c>
      <c r="AI3815" s="151"/>
      <c r="AJ3815" s="151">
        <v>44868.182591273144</v>
      </c>
      <c r="AK3815" s="86"/>
      <c r="AL3815" s="86">
        <v>396299926</v>
      </c>
      <c r="AM3815" s="86"/>
      <c r="AN3815" s="80"/>
      <c r="AO3815" s="80"/>
      <c r="AP3815" s="80"/>
    </row>
    <row r="3816" spans="1:42" x14ac:dyDescent="0.2">
      <c r="A3816" s="38">
        <v>45582</v>
      </c>
      <c r="B3816" s="137" t="s">
        <v>37</v>
      </c>
      <c r="C3816" s="41" t="s">
        <v>118</v>
      </c>
      <c r="D3816" s="26" t="s">
        <v>36</v>
      </c>
      <c r="E3816" s="26" t="s">
        <v>139</v>
      </c>
      <c r="F3816" s="26" t="s">
        <v>7355</v>
      </c>
      <c r="G3816" s="71" t="s">
        <v>221</v>
      </c>
      <c r="H3816" s="26" t="s">
        <v>8063</v>
      </c>
      <c r="I3816" s="17">
        <f ca="1">IFERROR(__xludf.DUMMYFUNCTION("""COMPUTED_VALUE"""),45596)</f>
        <v>45596</v>
      </c>
      <c r="J3816" s="29" t="s">
        <v>7399</v>
      </c>
      <c r="K3816" s="26" t="s">
        <v>13862</v>
      </c>
      <c r="L3816" s="30">
        <v>394776593</v>
      </c>
      <c r="M3816" s="26" t="s">
        <v>5518</v>
      </c>
      <c r="N3816" s="26" t="s">
        <v>186</v>
      </c>
      <c r="O3816" s="26" t="s">
        <v>7401</v>
      </c>
      <c r="P3816" s="26" t="s">
        <v>6199</v>
      </c>
      <c r="Q3816" s="20">
        <v>15936</v>
      </c>
      <c r="R3816" s="26" t="s">
        <v>36</v>
      </c>
      <c r="S3816" s="31">
        <v>4000</v>
      </c>
      <c r="T3816" s="32">
        <v>45244</v>
      </c>
      <c r="U3816" s="31">
        <v>11836</v>
      </c>
      <c r="V3816" s="32">
        <v>45352</v>
      </c>
      <c r="W3816" s="33" t="s">
        <v>7402</v>
      </c>
      <c r="X3816" s="26"/>
      <c r="Y3816" s="22">
        <v>100</v>
      </c>
      <c r="Z3816" s="26" t="s">
        <v>118</v>
      </c>
      <c r="AA3816" s="19"/>
      <c r="AB3816" s="26" t="s">
        <v>104</v>
      </c>
      <c r="AC3816" s="26" t="s">
        <v>53</v>
      </c>
      <c r="AD3816" s="19" t="s">
        <v>138</v>
      </c>
      <c r="AE3816" s="26" t="s">
        <v>7355</v>
      </c>
      <c r="AF3816" s="43">
        <v>45596</v>
      </c>
      <c r="AG3816" s="26" t="s">
        <v>1362</v>
      </c>
      <c r="AH3816" s="26"/>
      <c r="AI3816" s="40"/>
      <c r="AJ3816" s="26"/>
      <c r="AK3816" s="26"/>
      <c r="AL3816" s="35"/>
      <c r="AM3816" s="35"/>
      <c r="AN3816" s="35"/>
      <c r="AO3816" s="35"/>
      <c r="AP3816" s="35"/>
    </row>
    <row r="3817" spans="1:42" x14ac:dyDescent="0.2">
      <c r="A3817" s="38">
        <v>45582</v>
      </c>
      <c r="B3817" s="137" t="s">
        <v>37</v>
      </c>
      <c r="C3817" s="41" t="s">
        <v>118</v>
      </c>
      <c r="D3817" s="26" t="s">
        <v>36</v>
      </c>
      <c r="E3817" s="26" t="s">
        <v>148</v>
      </c>
      <c r="F3817" s="26" t="s">
        <v>8238</v>
      </c>
      <c r="G3817" s="26" t="s">
        <v>221</v>
      </c>
      <c r="H3817" s="26" t="s">
        <v>13513</v>
      </c>
      <c r="I3817" s="17">
        <f ca="1">IFERROR(__xludf.DUMMYFUNCTION("""COMPUTED_VALUE"""),45594)</f>
        <v>45594</v>
      </c>
      <c r="J3817" s="29" t="s">
        <v>8297</v>
      </c>
      <c r="K3817" s="26" t="s">
        <v>13863</v>
      </c>
      <c r="L3817" s="30">
        <v>365383222</v>
      </c>
      <c r="M3817" s="26" t="s">
        <v>3288</v>
      </c>
      <c r="N3817" s="26" t="s">
        <v>200</v>
      </c>
      <c r="O3817" s="26" t="s">
        <v>8814</v>
      </c>
      <c r="P3817" s="42" t="s">
        <v>13864</v>
      </c>
      <c r="Q3817" s="20">
        <v>7349</v>
      </c>
      <c r="R3817" s="26" t="s">
        <v>36</v>
      </c>
      <c r="S3817" s="31">
        <v>7349</v>
      </c>
      <c r="T3817" s="32">
        <v>45468</v>
      </c>
      <c r="U3817" s="31"/>
      <c r="V3817" s="32"/>
      <c r="W3817" s="33" t="s">
        <v>8816</v>
      </c>
      <c r="X3817" s="26"/>
      <c r="Y3817" s="22">
        <v>0</v>
      </c>
      <c r="Z3817" s="26" t="s">
        <v>50</v>
      </c>
      <c r="AA3817" s="19" t="s">
        <v>8721</v>
      </c>
      <c r="AB3817" s="26" t="s">
        <v>36</v>
      </c>
      <c r="AC3817" s="26" t="s">
        <v>53</v>
      </c>
      <c r="AD3817" s="19" t="s">
        <v>54</v>
      </c>
      <c r="AE3817" s="26" t="s">
        <v>8238</v>
      </c>
      <c r="AF3817" s="17">
        <v>45587</v>
      </c>
      <c r="AG3817" s="26"/>
      <c r="AH3817" s="26"/>
      <c r="AI3817" s="40"/>
      <c r="AJ3817" s="26"/>
      <c r="AK3817" s="26"/>
      <c r="AL3817" s="35"/>
      <c r="AM3817" s="35"/>
      <c r="AN3817" s="35"/>
      <c r="AO3817" s="35"/>
      <c r="AP3817" s="35"/>
    </row>
    <row r="3818" spans="1:42" x14ac:dyDescent="0.2">
      <c r="A3818" s="38">
        <v>45583</v>
      </c>
      <c r="B3818" s="28" t="s">
        <v>37</v>
      </c>
      <c r="C3818" s="41" t="s">
        <v>118</v>
      </c>
      <c r="D3818" s="26" t="s">
        <v>36</v>
      </c>
      <c r="E3818" s="26" t="s">
        <v>56</v>
      </c>
      <c r="F3818" s="26" t="s">
        <v>889</v>
      </c>
      <c r="G3818" s="26" t="s">
        <v>221</v>
      </c>
      <c r="H3818" s="26" t="s">
        <v>13755</v>
      </c>
      <c r="I3818" s="17">
        <f ca="1">IFERROR(__xludf.DUMMYFUNCTION("""COMPUTED_VALUE"""),45595)</f>
        <v>45595</v>
      </c>
      <c r="J3818" s="29" t="s">
        <v>5795</v>
      </c>
      <c r="K3818" s="26" t="s">
        <v>3582</v>
      </c>
      <c r="L3818" s="30">
        <v>866026557</v>
      </c>
      <c r="M3818" s="26" t="s">
        <v>112</v>
      </c>
      <c r="N3818" s="26" t="s">
        <v>3330</v>
      </c>
      <c r="O3818" s="26" t="s">
        <v>3584</v>
      </c>
      <c r="P3818" s="42" t="s">
        <v>13865</v>
      </c>
      <c r="Q3818" s="20">
        <v>9317</v>
      </c>
      <c r="R3818" s="26" t="s">
        <v>36</v>
      </c>
      <c r="S3818" s="31">
        <v>4000</v>
      </c>
      <c r="T3818" s="32">
        <v>45183</v>
      </c>
      <c r="U3818" s="31">
        <v>5317</v>
      </c>
      <c r="V3818" s="32">
        <v>45214</v>
      </c>
      <c r="W3818" s="26"/>
      <c r="X3818" s="26"/>
      <c r="Y3818" s="22">
        <v>0</v>
      </c>
      <c r="Z3818" s="26" t="s">
        <v>118</v>
      </c>
      <c r="AA3818" s="19" t="s">
        <v>5785</v>
      </c>
      <c r="AB3818" s="26" t="s">
        <v>128</v>
      </c>
      <c r="AC3818" s="26" t="s">
        <v>53</v>
      </c>
      <c r="AD3818" s="19" t="s">
        <v>138</v>
      </c>
      <c r="AE3818" s="26" t="s">
        <v>889</v>
      </c>
      <c r="AF3818" s="17">
        <v>45588</v>
      </c>
      <c r="AG3818" s="26"/>
      <c r="AH3818" s="26"/>
      <c r="AI3818" s="40" t="s">
        <v>64</v>
      </c>
      <c r="AJ3818" s="26"/>
      <c r="AK3818" s="26"/>
      <c r="AL3818" s="35"/>
      <c r="AM3818" s="35"/>
      <c r="AN3818" s="35"/>
      <c r="AO3818" s="35"/>
      <c r="AP3818" s="35"/>
    </row>
    <row r="3819" spans="1:42" x14ac:dyDescent="0.2">
      <c r="A3819" s="38">
        <v>45583</v>
      </c>
      <c r="B3819" s="137" t="s">
        <v>37</v>
      </c>
      <c r="C3819" s="41" t="s">
        <v>118</v>
      </c>
      <c r="D3819" s="80" t="s">
        <v>36</v>
      </c>
      <c r="E3819" s="80" t="s">
        <v>56</v>
      </c>
      <c r="F3819" s="80" t="s">
        <v>3439</v>
      </c>
      <c r="G3819" s="26" t="s">
        <v>221</v>
      </c>
      <c r="H3819" s="26" t="s">
        <v>8063</v>
      </c>
      <c r="I3819" s="17">
        <f ca="1">IFERROR(__xludf.DUMMYFUNCTION("""COMPUTED_VALUE"""),45596)</f>
        <v>45596</v>
      </c>
      <c r="J3819" s="143" t="s">
        <v>3106</v>
      </c>
      <c r="K3819" s="80" t="s">
        <v>3107</v>
      </c>
      <c r="L3819" s="30">
        <v>399577330</v>
      </c>
      <c r="M3819" s="80" t="s">
        <v>548</v>
      </c>
      <c r="N3819" s="80" t="s">
        <v>549</v>
      </c>
      <c r="O3819" s="80" t="s">
        <v>3108</v>
      </c>
      <c r="P3819" s="144" t="s">
        <v>3441</v>
      </c>
      <c r="Q3819" s="20">
        <v>9317</v>
      </c>
      <c r="R3819" s="80" t="s">
        <v>36</v>
      </c>
      <c r="S3819" s="77">
        <v>9317</v>
      </c>
      <c r="T3819" s="78">
        <v>45195</v>
      </c>
      <c r="U3819" s="77"/>
      <c r="V3819" s="78"/>
      <c r="W3819" s="85" t="s">
        <v>3110</v>
      </c>
      <c r="X3819" s="80"/>
      <c r="Y3819" s="22">
        <v>0</v>
      </c>
      <c r="Z3819" s="41" t="s">
        <v>118</v>
      </c>
      <c r="AA3819" s="82" t="s">
        <v>2449</v>
      </c>
      <c r="AB3819" s="80"/>
      <c r="AC3819" s="80" t="s">
        <v>53</v>
      </c>
      <c r="AD3819" s="86" t="s">
        <v>138</v>
      </c>
      <c r="AE3819" s="80" t="s">
        <v>3439</v>
      </c>
      <c r="AF3819" s="43">
        <v>45596</v>
      </c>
      <c r="AG3819" s="80"/>
      <c r="AH3819" s="80"/>
      <c r="AI3819" s="147"/>
      <c r="AJ3819" s="80"/>
      <c r="AK3819" s="80"/>
      <c r="AL3819" s="86"/>
      <c r="AM3819" s="86"/>
      <c r="AN3819" s="86"/>
      <c r="AO3819" s="86"/>
      <c r="AP3819" s="86"/>
    </row>
    <row r="3820" spans="1:42" x14ac:dyDescent="0.2">
      <c r="A3820" s="38">
        <v>45585</v>
      </c>
      <c r="B3820" s="28" t="s">
        <v>37</v>
      </c>
      <c r="C3820" s="41" t="s">
        <v>118</v>
      </c>
      <c r="D3820" s="26" t="s">
        <v>36</v>
      </c>
      <c r="E3820" s="26" t="s">
        <v>119</v>
      </c>
      <c r="F3820" s="26" t="s">
        <v>7413</v>
      </c>
      <c r="G3820" s="26" t="s">
        <v>1705</v>
      </c>
      <c r="H3820" s="26" t="s">
        <v>13652</v>
      </c>
      <c r="I3820" s="17">
        <f ca="1">IFERROR(__xludf.DUMMYFUNCTION("""COMPUTED_VALUE"""),45601)</f>
        <v>45601</v>
      </c>
      <c r="J3820" s="29" t="s">
        <v>297</v>
      </c>
      <c r="K3820" s="26" t="s">
        <v>298</v>
      </c>
      <c r="L3820" s="30">
        <v>862932804</v>
      </c>
      <c r="M3820" s="26" t="s">
        <v>80</v>
      </c>
      <c r="N3820" s="26" t="s">
        <v>299</v>
      </c>
      <c r="O3820" s="26" t="s">
        <v>300</v>
      </c>
      <c r="P3820" s="42" t="s">
        <v>13866</v>
      </c>
      <c r="Q3820" s="20">
        <v>13968</v>
      </c>
      <c r="R3820" s="26" t="s">
        <v>36</v>
      </c>
      <c r="S3820" s="31">
        <v>13968</v>
      </c>
      <c r="T3820" s="32">
        <v>45158</v>
      </c>
      <c r="U3820" s="31"/>
      <c r="V3820" s="26"/>
      <c r="W3820" s="33" t="s">
        <v>1629</v>
      </c>
      <c r="X3820" s="26">
        <v>0</v>
      </c>
      <c r="Y3820" s="22">
        <v>0</v>
      </c>
      <c r="Z3820" s="26" t="s">
        <v>118</v>
      </c>
      <c r="AA3820" s="19" t="s">
        <v>901</v>
      </c>
      <c r="AB3820" s="26" t="s">
        <v>104</v>
      </c>
      <c r="AC3820" s="26" t="s">
        <v>53</v>
      </c>
      <c r="AD3820" s="19" t="s">
        <v>54</v>
      </c>
      <c r="AE3820" s="26" t="s">
        <v>7413</v>
      </c>
      <c r="AF3820" s="17">
        <v>45601</v>
      </c>
      <c r="AG3820" s="26" t="s">
        <v>1362</v>
      </c>
      <c r="AH3820" s="26">
        <v>2</v>
      </c>
      <c r="AI3820" s="40">
        <v>4</v>
      </c>
      <c r="AJ3820" s="26"/>
      <c r="AK3820" s="26"/>
      <c r="AL3820" s="35"/>
      <c r="AM3820" s="35"/>
      <c r="AN3820" s="35"/>
      <c r="AO3820" s="35"/>
      <c r="AP3820" s="35"/>
    </row>
    <row r="3821" spans="1:42" x14ac:dyDescent="0.2">
      <c r="A3821" s="38">
        <v>45585</v>
      </c>
      <c r="B3821" s="28" t="s">
        <v>37</v>
      </c>
      <c r="C3821" s="41" t="s">
        <v>118</v>
      </c>
      <c r="D3821" s="80" t="s">
        <v>36</v>
      </c>
      <c r="E3821" s="80" t="s">
        <v>139</v>
      </c>
      <c r="F3821" s="80" t="s">
        <v>6250</v>
      </c>
      <c r="G3821" s="26" t="s">
        <v>221</v>
      </c>
      <c r="H3821" s="26" t="s">
        <v>13755</v>
      </c>
      <c r="I3821" s="17">
        <f ca="1">IFERROR(__xludf.DUMMYFUNCTION("""COMPUTED_VALUE"""),45595)</f>
        <v>45595</v>
      </c>
      <c r="J3821" s="143" t="s">
        <v>5233</v>
      </c>
      <c r="K3821" s="80" t="s">
        <v>13867</v>
      </c>
      <c r="L3821" s="30">
        <v>859088883</v>
      </c>
      <c r="M3821" s="80" t="s">
        <v>80</v>
      </c>
      <c r="N3821" s="80" t="s">
        <v>299</v>
      </c>
      <c r="O3821" s="80" t="s">
        <v>5235</v>
      </c>
      <c r="P3821" s="115" t="s">
        <v>13868</v>
      </c>
      <c r="Q3821" s="20">
        <v>15936</v>
      </c>
      <c r="R3821" s="80" t="s">
        <v>36</v>
      </c>
      <c r="S3821" s="77">
        <v>2000</v>
      </c>
      <c r="T3821" s="78">
        <v>45204</v>
      </c>
      <c r="U3821" s="77">
        <v>13936</v>
      </c>
      <c r="V3821" s="78">
        <v>45246</v>
      </c>
      <c r="W3821" s="85" t="s">
        <v>5237</v>
      </c>
      <c r="X3821" s="80"/>
      <c r="Y3821" s="22">
        <v>0</v>
      </c>
      <c r="Z3821" s="41" t="s">
        <v>118</v>
      </c>
      <c r="AA3821" s="82" t="s">
        <v>5785</v>
      </c>
      <c r="AB3821" s="80" t="s">
        <v>36</v>
      </c>
      <c r="AC3821" s="80" t="s">
        <v>53</v>
      </c>
      <c r="AD3821" s="86" t="s">
        <v>138</v>
      </c>
      <c r="AE3821" s="80" t="s">
        <v>6250</v>
      </c>
      <c r="AF3821" s="17">
        <v>45588</v>
      </c>
      <c r="AG3821" s="80"/>
      <c r="AH3821" s="80"/>
      <c r="AI3821" s="147" t="s">
        <v>147</v>
      </c>
      <c r="AJ3821" s="80"/>
      <c r="AK3821" s="80"/>
      <c r="AL3821" s="86"/>
      <c r="AM3821" s="86"/>
      <c r="AN3821" s="86"/>
      <c r="AO3821" s="86"/>
      <c r="AP3821" s="86"/>
    </row>
    <row r="3822" spans="1:42" x14ac:dyDescent="0.2">
      <c r="A3822" s="38">
        <v>45586</v>
      </c>
      <c r="B3822" s="28" t="s">
        <v>37</v>
      </c>
      <c r="C3822" s="41" t="s">
        <v>118</v>
      </c>
      <c r="D3822" s="80" t="s">
        <v>36</v>
      </c>
      <c r="E3822" s="80" t="s">
        <v>219</v>
      </c>
      <c r="F3822" s="80" t="s">
        <v>13869</v>
      </c>
      <c r="G3822" s="149" t="s">
        <v>221</v>
      </c>
      <c r="H3822" s="80" t="s">
        <v>8972</v>
      </c>
      <c r="I3822" s="17">
        <f ca="1">IFERROR(__xludf.DUMMYFUNCTION("""COMPUTED_VALUE"""),45625)</f>
        <v>45625</v>
      </c>
      <c r="J3822" s="143" t="s">
        <v>13870</v>
      </c>
      <c r="K3822" s="80" t="s">
        <v>13871</v>
      </c>
      <c r="L3822" s="30">
        <v>369913630</v>
      </c>
      <c r="M3822" s="80" t="s">
        <v>1245</v>
      </c>
      <c r="N3822" s="80" t="s">
        <v>2429</v>
      </c>
      <c r="O3822" s="80" t="s">
        <v>91</v>
      </c>
      <c r="P3822" s="144" t="s">
        <v>13872</v>
      </c>
      <c r="Q3822" s="20">
        <v>10804</v>
      </c>
      <c r="R3822" s="80" t="s">
        <v>36</v>
      </c>
      <c r="S3822" s="77">
        <v>10804</v>
      </c>
      <c r="T3822" s="78">
        <v>44833</v>
      </c>
      <c r="U3822" s="77"/>
      <c r="V3822" s="78"/>
      <c r="W3822" s="190" t="s">
        <v>13873</v>
      </c>
      <c r="X3822" s="80">
        <v>0</v>
      </c>
      <c r="Y3822" s="22">
        <v>0</v>
      </c>
      <c r="Z3822" s="41" t="s">
        <v>118</v>
      </c>
      <c r="AA3822" s="86" t="s">
        <v>6985</v>
      </c>
      <c r="AB3822" s="80" t="s">
        <v>36</v>
      </c>
      <c r="AC3822" s="80" t="s">
        <v>53</v>
      </c>
      <c r="AD3822" s="80"/>
      <c r="AE3822" s="80" t="s">
        <v>13874</v>
      </c>
      <c r="AF3822" s="43">
        <v>45617</v>
      </c>
      <c r="AG3822" s="191" t="s">
        <v>13875</v>
      </c>
      <c r="AH3822" s="39" t="s">
        <v>13876</v>
      </c>
      <c r="AI3822" s="165"/>
      <c r="AJ3822" s="165">
        <v>44921.34391181713</v>
      </c>
      <c r="AK3822" s="82"/>
      <c r="AL3822" s="82">
        <v>369913630</v>
      </c>
      <c r="AM3822" s="82"/>
      <c r="AN3822" s="80"/>
      <c r="AO3822" s="80"/>
      <c r="AP3822" s="35"/>
    </row>
    <row r="3823" spans="1:42" x14ac:dyDescent="0.2">
      <c r="A3823" s="38">
        <v>45586</v>
      </c>
      <c r="B3823" s="137" t="s">
        <v>37</v>
      </c>
      <c r="C3823" s="41" t="s">
        <v>118</v>
      </c>
      <c r="D3823" s="80" t="s">
        <v>36</v>
      </c>
      <c r="E3823" s="80" t="s">
        <v>119</v>
      </c>
      <c r="F3823" s="80" t="s">
        <v>8066</v>
      </c>
      <c r="G3823" s="80" t="s">
        <v>221</v>
      </c>
      <c r="H3823" s="80" t="s">
        <v>8063</v>
      </c>
      <c r="I3823" s="17">
        <f ca="1">IFERROR(__xludf.DUMMYFUNCTION("""COMPUTED_VALUE"""),45596)</f>
        <v>45596</v>
      </c>
      <c r="J3823" s="143" t="s">
        <v>11137</v>
      </c>
      <c r="K3823" s="80" t="s">
        <v>11138</v>
      </c>
      <c r="L3823" s="30">
        <v>965544802</v>
      </c>
      <c r="M3823" s="80" t="s">
        <v>5429</v>
      </c>
      <c r="N3823" s="80" t="s">
        <v>756</v>
      </c>
      <c r="O3823" s="80" t="s">
        <v>11139</v>
      </c>
      <c r="P3823" s="80" t="s">
        <v>11140</v>
      </c>
      <c r="Q3823" s="20">
        <v>13968</v>
      </c>
      <c r="R3823" s="80" t="s">
        <v>36</v>
      </c>
      <c r="S3823" s="95">
        <v>4000</v>
      </c>
      <c r="T3823" s="148">
        <v>45504</v>
      </c>
      <c r="U3823" s="95">
        <v>9968</v>
      </c>
      <c r="V3823" s="148">
        <v>45528</v>
      </c>
      <c r="W3823" s="85" t="s">
        <v>11141</v>
      </c>
      <c r="X3823" s="80">
        <v>0</v>
      </c>
      <c r="Y3823" s="22">
        <v>0</v>
      </c>
      <c r="Z3823" s="80" t="s">
        <v>50</v>
      </c>
      <c r="AA3823" s="96" t="s">
        <v>10314</v>
      </c>
      <c r="AB3823" s="80"/>
      <c r="AC3823" s="80" t="s">
        <v>53</v>
      </c>
      <c r="AD3823" s="80" t="s">
        <v>54</v>
      </c>
      <c r="AE3823" s="80" t="s">
        <v>8066</v>
      </c>
      <c r="AF3823" s="43">
        <v>45596</v>
      </c>
      <c r="AG3823" s="80"/>
      <c r="AH3823" s="80"/>
      <c r="AI3823" s="147"/>
      <c r="AJ3823" s="80"/>
      <c r="AK3823" s="80"/>
      <c r="AL3823" s="35"/>
      <c r="AM3823" s="35"/>
      <c r="AN3823" s="35"/>
      <c r="AO3823" s="35"/>
      <c r="AP3823" s="35"/>
    </row>
    <row r="3824" spans="1:42" x14ac:dyDescent="0.2">
      <c r="A3824" s="38">
        <v>45586</v>
      </c>
      <c r="B3824" s="28" t="s">
        <v>37</v>
      </c>
      <c r="C3824" s="41" t="s">
        <v>118</v>
      </c>
      <c r="D3824" s="80" t="s">
        <v>36</v>
      </c>
      <c r="E3824" s="80" t="s">
        <v>56</v>
      </c>
      <c r="F3824" s="80" t="s">
        <v>9994</v>
      </c>
      <c r="G3824" s="149" t="s">
        <v>108</v>
      </c>
      <c r="H3824" s="80" t="s">
        <v>13877</v>
      </c>
      <c r="I3824" s="17">
        <f ca="1">IFERROR(__xludf.DUMMYFUNCTION("""COMPUTED_VALUE"""),45597)</f>
        <v>45597</v>
      </c>
      <c r="J3824" s="143" t="s">
        <v>12875</v>
      </c>
      <c r="K3824" s="166" t="s">
        <v>5210</v>
      </c>
      <c r="L3824" s="30">
        <v>971278816</v>
      </c>
      <c r="M3824" s="80" t="s">
        <v>112</v>
      </c>
      <c r="N3824" s="80" t="s">
        <v>438</v>
      </c>
      <c r="O3824" s="80" t="s">
        <v>12876</v>
      </c>
      <c r="P3824" s="80" t="s">
        <v>12877</v>
      </c>
      <c r="Q3824" s="20">
        <v>9317</v>
      </c>
      <c r="R3824" s="80" t="s">
        <v>36</v>
      </c>
      <c r="S3824" s="95">
        <v>9317</v>
      </c>
      <c r="T3824" s="148">
        <v>45544</v>
      </c>
      <c r="U3824" s="77"/>
      <c r="V3824" s="78"/>
      <c r="W3824" s="85" t="s">
        <v>12878</v>
      </c>
      <c r="X3824" s="80">
        <v>0</v>
      </c>
      <c r="Y3824" s="22">
        <v>0</v>
      </c>
      <c r="Z3824" s="80" t="s">
        <v>50</v>
      </c>
      <c r="AA3824" s="35" t="s">
        <v>3291</v>
      </c>
      <c r="AB3824" s="80"/>
      <c r="AC3824" s="80" t="s">
        <v>53</v>
      </c>
      <c r="AD3824" s="80" t="s">
        <v>54</v>
      </c>
      <c r="AE3824" s="80" t="s">
        <v>9994</v>
      </c>
      <c r="AF3824" s="17">
        <v>45590</v>
      </c>
      <c r="AG3824" s="80"/>
      <c r="AH3824" s="80"/>
      <c r="AI3824" s="147" t="s">
        <v>64</v>
      </c>
      <c r="AJ3824" s="80"/>
      <c r="AK3824" s="80"/>
      <c r="AL3824" s="35"/>
      <c r="AM3824" s="35"/>
      <c r="AN3824" s="35"/>
      <c r="AO3824" s="35"/>
      <c r="AP3824" s="35"/>
    </row>
    <row r="3825" spans="1:42" x14ac:dyDescent="0.2">
      <c r="A3825" s="38">
        <v>45586</v>
      </c>
      <c r="B3825" s="137" t="s">
        <v>37</v>
      </c>
      <c r="C3825" s="41" t="s">
        <v>118</v>
      </c>
      <c r="D3825" s="26" t="s">
        <v>36</v>
      </c>
      <c r="E3825" s="26" t="s">
        <v>119</v>
      </c>
      <c r="F3825" s="26" t="s">
        <v>9132</v>
      </c>
      <c r="G3825" s="26" t="s">
        <v>221</v>
      </c>
      <c r="H3825" s="26" t="s">
        <v>13513</v>
      </c>
      <c r="I3825" s="17">
        <f ca="1">IFERROR(__xludf.DUMMYFUNCTION("""COMPUTED_VALUE"""),45594)</f>
        <v>45594</v>
      </c>
      <c r="J3825" s="29" t="s">
        <v>9157</v>
      </c>
      <c r="K3825" s="26" t="s">
        <v>13878</v>
      </c>
      <c r="L3825" s="30">
        <v>828361067</v>
      </c>
      <c r="M3825" s="26" t="s">
        <v>80</v>
      </c>
      <c r="N3825" s="26" t="s">
        <v>1073</v>
      </c>
      <c r="O3825" s="26" t="s">
        <v>9159</v>
      </c>
      <c r="P3825" s="42" t="s">
        <v>13879</v>
      </c>
      <c r="Q3825" s="20"/>
      <c r="R3825" s="26" t="s">
        <v>36</v>
      </c>
      <c r="S3825" s="95">
        <f>100+3900</f>
        <v>4000</v>
      </c>
      <c r="T3825" s="83" t="s">
        <v>9161</v>
      </c>
      <c r="U3825" s="31">
        <v>9968</v>
      </c>
      <c r="V3825" s="32">
        <v>45495</v>
      </c>
      <c r="W3825" s="33" t="s">
        <v>9162</v>
      </c>
      <c r="X3825" s="26"/>
      <c r="Y3825" s="22"/>
      <c r="Z3825" s="26" t="s">
        <v>50</v>
      </c>
      <c r="AA3825" s="70" t="s">
        <v>9070</v>
      </c>
      <c r="AB3825" s="26"/>
      <c r="AC3825" s="26" t="s">
        <v>53</v>
      </c>
      <c r="AD3825" s="26" t="s">
        <v>54</v>
      </c>
      <c r="AE3825" s="26" t="s">
        <v>9132</v>
      </c>
      <c r="AF3825" s="17">
        <v>45593</v>
      </c>
      <c r="AG3825" s="26"/>
      <c r="AH3825" s="26"/>
      <c r="AI3825" s="40"/>
      <c r="AJ3825" s="26"/>
      <c r="AK3825" s="26"/>
      <c r="AL3825" s="35"/>
      <c r="AM3825" s="35"/>
      <c r="AN3825" s="35"/>
      <c r="AO3825" s="35"/>
      <c r="AP3825" s="35"/>
    </row>
    <row r="3826" spans="1:42" x14ac:dyDescent="0.2">
      <c r="A3826" s="38">
        <v>45587</v>
      </c>
      <c r="B3826" s="28" t="s">
        <v>37</v>
      </c>
      <c r="C3826" s="41" t="s">
        <v>118</v>
      </c>
      <c r="D3826" s="26" t="s">
        <v>36</v>
      </c>
      <c r="E3826" s="26" t="s">
        <v>119</v>
      </c>
      <c r="F3826" s="26" t="s">
        <v>6106</v>
      </c>
      <c r="G3826" s="80" t="s">
        <v>221</v>
      </c>
      <c r="H3826" s="80" t="s">
        <v>8063</v>
      </c>
      <c r="I3826" s="17">
        <f ca="1">IFERROR(__xludf.DUMMYFUNCTION("""COMPUTED_VALUE"""),45596)</f>
        <v>45596</v>
      </c>
      <c r="J3826" s="29" t="s">
        <v>7576</v>
      </c>
      <c r="K3826" s="26" t="s">
        <v>7577</v>
      </c>
      <c r="L3826" s="30">
        <v>967537581</v>
      </c>
      <c r="M3826" s="26" t="s">
        <v>5558</v>
      </c>
      <c r="N3826" s="26" t="s">
        <v>850</v>
      </c>
      <c r="O3826" s="26" t="s">
        <v>4503</v>
      </c>
      <c r="P3826" s="42" t="s">
        <v>13880</v>
      </c>
      <c r="Q3826" s="20">
        <v>13968</v>
      </c>
      <c r="R3826" s="26" t="s">
        <v>36</v>
      </c>
      <c r="S3826" s="31">
        <v>4000</v>
      </c>
      <c r="T3826" s="32">
        <v>45310</v>
      </c>
      <c r="U3826" s="31">
        <v>9968</v>
      </c>
      <c r="V3826" s="32">
        <v>45353</v>
      </c>
      <c r="W3826" s="33" t="s">
        <v>7579</v>
      </c>
      <c r="X3826" s="26"/>
      <c r="Y3826" s="22">
        <v>0</v>
      </c>
      <c r="Z3826" s="26" t="s">
        <v>50</v>
      </c>
      <c r="AA3826" s="19" t="s">
        <v>7361</v>
      </c>
      <c r="AB3826" s="26"/>
      <c r="AC3826" s="26" t="s">
        <v>53</v>
      </c>
      <c r="AD3826" s="19" t="s">
        <v>54</v>
      </c>
      <c r="AE3826" s="26" t="s">
        <v>6106</v>
      </c>
      <c r="AF3826" s="43">
        <v>45596</v>
      </c>
      <c r="AG3826" s="26"/>
      <c r="AH3826" s="26"/>
      <c r="AI3826" s="40"/>
      <c r="AJ3826" s="26"/>
      <c r="AK3826" s="26"/>
      <c r="AL3826" s="35"/>
      <c r="AM3826" s="35"/>
      <c r="AN3826" s="35"/>
      <c r="AO3826" s="35"/>
      <c r="AP3826" s="35"/>
    </row>
    <row r="3827" spans="1:42" x14ac:dyDescent="0.2">
      <c r="A3827" s="38">
        <v>45587</v>
      </c>
      <c r="B3827" s="28" t="s">
        <v>37</v>
      </c>
      <c r="C3827" s="41" t="s">
        <v>118</v>
      </c>
      <c r="D3827" s="80" t="s">
        <v>36</v>
      </c>
      <c r="E3827" s="80" t="s">
        <v>119</v>
      </c>
      <c r="F3827" s="80" t="s">
        <v>8026</v>
      </c>
      <c r="G3827" s="142" t="s">
        <v>221</v>
      </c>
      <c r="H3827" s="80" t="s">
        <v>8063</v>
      </c>
      <c r="I3827" s="17">
        <f ca="1">IFERROR(__xludf.DUMMYFUNCTION("""COMPUTED_VALUE"""),45596)</f>
        <v>45596</v>
      </c>
      <c r="J3827" s="143" t="s">
        <v>5353</v>
      </c>
      <c r="K3827" s="80" t="s">
        <v>13881</v>
      </c>
      <c r="L3827" s="30">
        <v>867951661</v>
      </c>
      <c r="M3827" s="80" t="s">
        <v>80</v>
      </c>
      <c r="N3827" s="80" t="s">
        <v>81</v>
      </c>
      <c r="O3827" s="80" t="s">
        <v>1388</v>
      </c>
      <c r="P3827" s="144" t="s">
        <v>8028</v>
      </c>
      <c r="Q3827" s="20">
        <v>13968</v>
      </c>
      <c r="R3827" s="80" t="s">
        <v>36</v>
      </c>
      <c r="S3827" s="77">
        <v>3968</v>
      </c>
      <c r="T3827" s="78">
        <v>45213</v>
      </c>
      <c r="U3827" s="77">
        <f>4000+4000+2000</f>
        <v>10000</v>
      </c>
      <c r="V3827" s="78" t="s">
        <v>5355</v>
      </c>
      <c r="W3827" s="85" t="s">
        <v>5356</v>
      </c>
      <c r="X3827" s="80"/>
      <c r="Y3827" s="22">
        <v>0</v>
      </c>
      <c r="Z3827" s="41" t="s">
        <v>118</v>
      </c>
      <c r="AA3827" s="82" t="s">
        <v>5112</v>
      </c>
      <c r="AB3827" s="80" t="s">
        <v>36</v>
      </c>
      <c r="AC3827" s="80" t="s">
        <v>53</v>
      </c>
      <c r="AD3827" s="86" t="s">
        <v>138</v>
      </c>
      <c r="AE3827" s="80" t="s">
        <v>13882</v>
      </c>
      <c r="AF3827" s="17">
        <v>45415</v>
      </c>
      <c r="AG3827" s="80" t="s">
        <v>13883</v>
      </c>
      <c r="AH3827" s="80"/>
      <c r="AI3827" s="147">
        <v>4</v>
      </c>
      <c r="AJ3827" s="80"/>
      <c r="AK3827" s="80"/>
      <c r="AL3827" s="86"/>
      <c r="AM3827" s="86"/>
      <c r="AN3827" s="86"/>
      <c r="AO3827" s="86"/>
      <c r="AP3827" s="86"/>
    </row>
    <row r="3828" spans="1:42" x14ac:dyDescent="0.2">
      <c r="A3828" s="38">
        <v>45587</v>
      </c>
      <c r="B3828" s="28" t="s">
        <v>37</v>
      </c>
      <c r="C3828" s="41" t="s">
        <v>118</v>
      </c>
      <c r="D3828" s="80" t="s">
        <v>36</v>
      </c>
      <c r="E3828" s="80" t="s">
        <v>77</v>
      </c>
      <c r="F3828" s="80" t="s">
        <v>5666</v>
      </c>
      <c r="G3828" s="26" t="s">
        <v>41</v>
      </c>
      <c r="H3828" s="80" t="s">
        <v>12700</v>
      </c>
      <c r="I3828" s="17">
        <f ca="1">IFERROR(__xludf.DUMMYFUNCTION("""COMPUTED_VALUE"""),45601)</f>
        <v>45601</v>
      </c>
      <c r="J3828" s="143" t="s">
        <v>12215</v>
      </c>
      <c r="K3828" s="80" t="s">
        <v>13884</v>
      </c>
      <c r="L3828" s="30">
        <v>366910271</v>
      </c>
      <c r="M3828" s="80" t="s">
        <v>80</v>
      </c>
      <c r="N3828" s="80" t="s">
        <v>1073</v>
      </c>
      <c r="O3828" s="80" t="s">
        <v>12217</v>
      </c>
      <c r="P3828" s="144" t="s">
        <v>12218</v>
      </c>
      <c r="Q3828" s="20">
        <v>1968</v>
      </c>
      <c r="R3828" s="80" t="s">
        <v>36</v>
      </c>
      <c r="S3828" s="95">
        <f>500+1468</f>
        <v>1968</v>
      </c>
      <c r="T3828" s="83" t="s">
        <v>12219</v>
      </c>
      <c r="U3828" s="77"/>
      <c r="V3828" s="78"/>
      <c r="W3828" s="85" t="s">
        <v>12220</v>
      </c>
      <c r="X3828" s="80">
        <v>0</v>
      </c>
      <c r="Y3828" s="22">
        <v>0</v>
      </c>
      <c r="Z3828" s="80" t="s">
        <v>50</v>
      </c>
      <c r="AA3828" s="35" t="s">
        <v>3291</v>
      </c>
      <c r="AB3828" s="80"/>
      <c r="AC3828" s="80" t="s">
        <v>53</v>
      </c>
      <c r="AD3828" s="80" t="s">
        <v>54</v>
      </c>
      <c r="AE3828" s="83">
        <v>0</v>
      </c>
      <c r="AF3828" s="17">
        <v>45540</v>
      </c>
      <c r="AG3828" s="26" t="s">
        <v>3399</v>
      </c>
      <c r="AH3828" s="80"/>
      <c r="AI3828" s="147" t="s">
        <v>84</v>
      </c>
      <c r="AJ3828" s="80"/>
      <c r="AK3828" s="80"/>
      <c r="AL3828" s="35"/>
      <c r="AM3828" s="35"/>
      <c r="AN3828" s="35"/>
      <c r="AO3828" s="35"/>
      <c r="AP3828" s="35"/>
    </row>
    <row r="3829" spans="1:42" x14ac:dyDescent="0.2">
      <c r="A3829" s="38">
        <v>45587</v>
      </c>
      <c r="B3829" s="28" t="s">
        <v>37</v>
      </c>
      <c r="C3829" s="41" t="s">
        <v>118</v>
      </c>
      <c r="D3829" s="26" t="s">
        <v>36</v>
      </c>
      <c r="E3829" s="26" t="s">
        <v>119</v>
      </c>
      <c r="F3829" s="26" t="s">
        <v>6570</v>
      </c>
      <c r="G3829" s="26" t="s">
        <v>1705</v>
      </c>
      <c r="H3829" s="26" t="s">
        <v>8927</v>
      </c>
      <c r="I3829" s="17">
        <f ca="1">IFERROR(__xludf.DUMMYFUNCTION("""COMPUTED_VALUE"""),45606)</f>
        <v>45606</v>
      </c>
      <c r="J3829" s="29" t="s">
        <v>3936</v>
      </c>
      <c r="K3829" s="26" t="s">
        <v>3937</v>
      </c>
      <c r="L3829" s="30">
        <v>793427625</v>
      </c>
      <c r="M3829" s="26" t="s">
        <v>3498</v>
      </c>
      <c r="N3829" s="26" t="s">
        <v>3874</v>
      </c>
      <c r="O3829" s="26" t="s">
        <v>2144</v>
      </c>
      <c r="P3829" s="42" t="s">
        <v>6580</v>
      </c>
      <c r="Q3829" s="20">
        <v>13968</v>
      </c>
      <c r="R3829" s="26" t="s">
        <v>70</v>
      </c>
      <c r="S3829" s="31">
        <v>200</v>
      </c>
      <c r="T3829" s="32">
        <v>45197</v>
      </c>
      <c r="U3829" s="31">
        <f>9868+3800</f>
        <v>13668</v>
      </c>
      <c r="V3829" s="26" t="s">
        <v>3939</v>
      </c>
      <c r="W3829" s="33" t="s">
        <v>3940</v>
      </c>
      <c r="X3829" s="26"/>
      <c r="Y3829" s="22">
        <v>100</v>
      </c>
      <c r="Z3829" s="98" t="s">
        <v>118</v>
      </c>
      <c r="AA3829" s="19" t="s">
        <v>3454</v>
      </c>
      <c r="AB3829" s="26" t="s">
        <v>104</v>
      </c>
      <c r="AC3829" s="26" t="s">
        <v>53</v>
      </c>
      <c r="AD3829" s="19" t="s">
        <v>138</v>
      </c>
      <c r="AE3829" s="26" t="s">
        <v>6570</v>
      </c>
      <c r="AF3829" s="17">
        <v>45601</v>
      </c>
      <c r="AG3829" s="26"/>
      <c r="AH3829" s="26"/>
      <c r="AI3829" s="40"/>
      <c r="AJ3829" s="26"/>
      <c r="AK3829" s="26"/>
      <c r="AL3829" s="35"/>
      <c r="AM3829" s="35"/>
      <c r="AN3829" s="35"/>
      <c r="AO3829" s="35"/>
      <c r="AP3829" s="35"/>
    </row>
    <row r="3830" spans="1:42" x14ac:dyDescent="0.2">
      <c r="A3830" s="38">
        <v>45587</v>
      </c>
      <c r="B3830" s="28" t="s">
        <v>37</v>
      </c>
      <c r="C3830" s="41" t="s">
        <v>118</v>
      </c>
      <c r="D3830" s="26" t="s">
        <v>36</v>
      </c>
      <c r="E3830" s="26" t="s">
        <v>119</v>
      </c>
      <c r="F3830" s="26" t="s">
        <v>6570</v>
      </c>
      <c r="G3830" s="26" t="s">
        <v>1705</v>
      </c>
      <c r="H3830" s="26" t="s">
        <v>8927</v>
      </c>
      <c r="I3830" s="17">
        <f ca="1">IFERROR(__xludf.DUMMYFUNCTION("""COMPUTED_VALUE"""),45606)</f>
        <v>45606</v>
      </c>
      <c r="J3830" s="29" t="s">
        <v>3941</v>
      </c>
      <c r="K3830" s="26" t="s">
        <v>6581</v>
      </c>
      <c r="L3830" s="30">
        <v>327557518</v>
      </c>
      <c r="M3830" s="26" t="s">
        <v>2755</v>
      </c>
      <c r="N3830" s="26" t="s">
        <v>3874</v>
      </c>
      <c r="O3830" s="26" t="s">
        <v>3943</v>
      </c>
      <c r="P3830" s="42" t="s">
        <v>13885</v>
      </c>
      <c r="Q3830" s="20">
        <v>13968</v>
      </c>
      <c r="R3830" s="26" t="s">
        <v>70</v>
      </c>
      <c r="S3830" s="31">
        <v>200</v>
      </c>
      <c r="T3830" s="32">
        <v>45198</v>
      </c>
      <c r="U3830" s="31">
        <f>4000+9668</f>
        <v>13668</v>
      </c>
      <c r="V3830" s="26" t="s">
        <v>3945</v>
      </c>
      <c r="W3830" s="33" t="s">
        <v>3946</v>
      </c>
      <c r="X3830" s="26"/>
      <c r="Y3830" s="22">
        <v>100</v>
      </c>
      <c r="Z3830" s="98" t="s">
        <v>118</v>
      </c>
      <c r="AA3830" s="19" t="s">
        <v>3454</v>
      </c>
      <c r="AB3830" s="26" t="s">
        <v>104</v>
      </c>
      <c r="AC3830" s="26" t="s">
        <v>53</v>
      </c>
      <c r="AD3830" s="19" t="s">
        <v>54</v>
      </c>
      <c r="AE3830" s="26" t="s">
        <v>6570</v>
      </c>
      <c r="AF3830" s="17">
        <v>45601</v>
      </c>
      <c r="AG3830" s="26"/>
      <c r="AH3830" s="26"/>
      <c r="AI3830" s="40"/>
      <c r="AJ3830" s="26"/>
      <c r="AK3830" s="26"/>
      <c r="AL3830" s="35"/>
      <c r="AM3830" s="35"/>
      <c r="AN3830" s="35"/>
      <c r="AO3830" s="35"/>
      <c r="AP3830" s="35"/>
    </row>
    <row r="3831" spans="1:42" x14ac:dyDescent="0.2">
      <c r="A3831" s="38">
        <v>45587</v>
      </c>
      <c r="B3831" s="28" t="s">
        <v>37</v>
      </c>
      <c r="C3831" s="41" t="s">
        <v>118</v>
      </c>
      <c r="D3831" s="26" t="s">
        <v>36</v>
      </c>
      <c r="E3831" s="26" t="s">
        <v>139</v>
      </c>
      <c r="F3831" s="26" t="s">
        <v>6976</v>
      </c>
      <c r="G3831" s="26" t="s">
        <v>1705</v>
      </c>
      <c r="H3831" s="26" t="s">
        <v>13886</v>
      </c>
      <c r="I3831" s="17">
        <f ca="1">IFERROR(__xludf.DUMMYFUNCTION("""COMPUTED_VALUE"""),45610)</f>
        <v>45610</v>
      </c>
      <c r="J3831" s="29" t="s">
        <v>5481</v>
      </c>
      <c r="K3831" s="26" t="s">
        <v>13887</v>
      </c>
      <c r="L3831" s="30">
        <v>332762963</v>
      </c>
      <c r="M3831" s="26" t="s">
        <v>80</v>
      </c>
      <c r="N3831" s="26" t="s">
        <v>186</v>
      </c>
      <c r="O3831" s="26" t="s">
        <v>5483</v>
      </c>
      <c r="P3831" s="42" t="s">
        <v>13888</v>
      </c>
      <c r="Q3831" s="20">
        <v>15936</v>
      </c>
      <c r="R3831" s="26" t="s">
        <v>36</v>
      </c>
      <c r="S3831" s="31">
        <v>2000</v>
      </c>
      <c r="T3831" s="32">
        <v>45225</v>
      </c>
      <c r="U3831" s="31">
        <v>13936</v>
      </c>
      <c r="V3831" s="32">
        <v>45257</v>
      </c>
      <c r="W3831" s="33" t="s">
        <v>5485</v>
      </c>
      <c r="X3831" s="26"/>
      <c r="Y3831" s="22">
        <v>0</v>
      </c>
      <c r="Z3831" s="98" t="s">
        <v>118</v>
      </c>
      <c r="AA3831" s="19" t="s">
        <v>5112</v>
      </c>
      <c r="AB3831" s="26" t="s">
        <v>36</v>
      </c>
      <c r="AC3831" s="26" t="s">
        <v>53</v>
      </c>
      <c r="AD3831" s="14" t="s">
        <v>138</v>
      </c>
      <c r="AE3831" s="26" t="s">
        <v>6976</v>
      </c>
      <c r="AF3831" s="17">
        <v>45604</v>
      </c>
      <c r="AG3831" s="91"/>
      <c r="AH3831" s="26"/>
      <c r="AI3831" s="40" t="s">
        <v>147</v>
      </c>
      <c r="AJ3831" s="26"/>
      <c r="AK3831" s="26"/>
      <c r="AL3831" s="35"/>
      <c r="AM3831" s="35"/>
      <c r="AN3831" s="35"/>
      <c r="AO3831" s="35"/>
      <c r="AP3831" s="35"/>
    </row>
    <row r="3832" spans="1:42" x14ac:dyDescent="0.2">
      <c r="A3832" s="38">
        <v>45588</v>
      </c>
      <c r="B3832" s="28" t="s">
        <v>37</v>
      </c>
      <c r="C3832" s="41" t="s">
        <v>118</v>
      </c>
      <c r="D3832" s="26" t="s">
        <v>36</v>
      </c>
      <c r="E3832" s="26" t="s">
        <v>139</v>
      </c>
      <c r="F3832" s="26" t="s">
        <v>4984</v>
      </c>
      <c r="G3832" s="80" t="s">
        <v>221</v>
      </c>
      <c r="H3832" s="80" t="s">
        <v>8063</v>
      </c>
      <c r="I3832" s="17">
        <f ca="1">IFERROR(__xludf.DUMMYFUNCTION("""COMPUTED_VALUE"""),45596)</f>
        <v>45596</v>
      </c>
      <c r="J3832" s="29" t="s">
        <v>4057</v>
      </c>
      <c r="K3832" s="26" t="s">
        <v>4058</v>
      </c>
      <c r="L3832" s="30">
        <v>848075289</v>
      </c>
      <c r="M3832" s="26" t="s">
        <v>123</v>
      </c>
      <c r="N3832" s="26" t="s">
        <v>850</v>
      </c>
      <c r="O3832" s="26" t="s">
        <v>1226</v>
      </c>
      <c r="P3832" s="42" t="s">
        <v>4993</v>
      </c>
      <c r="Q3832" s="20">
        <v>15936</v>
      </c>
      <c r="R3832" s="26" t="s">
        <v>36</v>
      </c>
      <c r="S3832" s="31">
        <f>2000+4000</f>
        <v>6000</v>
      </c>
      <c r="T3832" s="26" t="s">
        <v>4059</v>
      </c>
      <c r="U3832" s="31">
        <v>9936</v>
      </c>
      <c r="V3832" s="32" t="s">
        <v>4060</v>
      </c>
      <c r="W3832" s="26" t="s">
        <v>4061</v>
      </c>
      <c r="X3832" s="26"/>
      <c r="Y3832" s="22">
        <v>0</v>
      </c>
      <c r="Z3832" s="26" t="s">
        <v>118</v>
      </c>
      <c r="AA3832" s="19" t="s">
        <v>3454</v>
      </c>
      <c r="AB3832" s="26" t="s">
        <v>128</v>
      </c>
      <c r="AC3832" s="26" t="s">
        <v>53</v>
      </c>
      <c r="AD3832" s="19" t="s">
        <v>138</v>
      </c>
      <c r="AE3832" s="26" t="s">
        <v>4984</v>
      </c>
      <c r="AF3832" s="43">
        <v>45596</v>
      </c>
      <c r="AG3832" s="26" t="s">
        <v>1362</v>
      </c>
      <c r="AH3832" s="26"/>
      <c r="AI3832" s="40"/>
      <c r="AJ3832" s="26"/>
      <c r="AK3832" s="26"/>
      <c r="AL3832" s="35"/>
      <c r="AM3832" s="35"/>
      <c r="AN3832" s="35"/>
      <c r="AO3832" s="35"/>
      <c r="AP3832" s="35"/>
    </row>
    <row r="3833" spans="1:42" x14ac:dyDescent="0.2">
      <c r="A3833" s="38">
        <v>45588</v>
      </c>
      <c r="B3833" s="28" t="s">
        <v>37</v>
      </c>
      <c r="C3833" s="41" t="s">
        <v>118</v>
      </c>
      <c r="D3833" s="26" t="s">
        <v>36</v>
      </c>
      <c r="E3833" s="26" t="s">
        <v>39</v>
      </c>
      <c r="F3833" s="26" t="s">
        <v>6814</v>
      </c>
      <c r="G3833" s="26" t="s">
        <v>108</v>
      </c>
      <c r="H3833" s="26" t="s">
        <v>8844</v>
      </c>
      <c r="I3833" s="17">
        <f ca="1">IFERROR(__xludf.DUMMYFUNCTION("""COMPUTED_VALUE"""),45593)</f>
        <v>45593</v>
      </c>
      <c r="J3833" s="29" t="s">
        <v>7609</v>
      </c>
      <c r="K3833" s="26" t="s">
        <v>7610</v>
      </c>
      <c r="L3833" s="30">
        <v>912536851</v>
      </c>
      <c r="M3833" s="26" t="s">
        <v>45</v>
      </c>
      <c r="N3833" s="26" t="s">
        <v>3839</v>
      </c>
      <c r="O3833" s="26" t="s">
        <v>7611</v>
      </c>
      <c r="P3833" s="26" t="s">
        <v>7612</v>
      </c>
      <c r="Q3833" s="20">
        <v>5736</v>
      </c>
      <c r="R3833" s="26" t="s">
        <v>36</v>
      </c>
      <c r="S3833" s="31">
        <v>2000</v>
      </c>
      <c r="T3833" s="32">
        <v>45339</v>
      </c>
      <c r="U3833" s="31">
        <v>3736</v>
      </c>
      <c r="V3833" s="32">
        <v>45366</v>
      </c>
      <c r="W3833" s="33" t="s">
        <v>7613</v>
      </c>
      <c r="X3833" s="26"/>
      <c r="Y3833" s="22">
        <v>0</v>
      </c>
      <c r="Z3833" s="26" t="s">
        <v>50</v>
      </c>
      <c r="AA3833" s="19" t="s">
        <v>7361</v>
      </c>
      <c r="AB3833" s="26" t="s">
        <v>104</v>
      </c>
      <c r="AC3833" s="26" t="s">
        <v>53</v>
      </c>
      <c r="AD3833" s="19" t="s">
        <v>54</v>
      </c>
      <c r="AE3833" s="26" t="s">
        <v>6814</v>
      </c>
      <c r="AF3833" s="17">
        <v>45588</v>
      </c>
      <c r="AG3833" s="26"/>
      <c r="AH3833" s="26"/>
      <c r="AI3833" s="40"/>
      <c r="AJ3833" s="26"/>
      <c r="AK3833" s="26"/>
      <c r="AL3833" s="35"/>
      <c r="AM3833" s="35"/>
      <c r="AN3833" s="35"/>
      <c r="AO3833" s="35"/>
      <c r="AP3833" s="35"/>
    </row>
    <row r="3834" spans="1:42" x14ac:dyDescent="0.2">
      <c r="A3834" s="38">
        <v>45588</v>
      </c>
      <c r="B3834" s="28" t="s">
        <v>37</v>
      </c>
      <c r="C3834" s="41" t="s">
        <v>118</v>
      </c>
      <c r="D3834" s="26" t="s">
        <v>36</v>
      </c>
      <c r="E3834" s="26" t="s">
        <v>148</v>
      </c>
      <c r="F3834" s="26" t="s">
        <v>8708</v>
      </c>
      <c r="G3834" s="26" t="s">
        <v>221</v>
      </c>
      <c r="H3834" s="26" t="s">
        <v>13889</v>
      </c>
      <c r="I3834" s="17">
        <f ca="1">IFERROR(__xludf.DUMMYFUNCTION("""COMPUTED_VALUE"""),45601)</f>
        <v>45601</v>
      </c>
      <c r="J3834" s="29" t="s">
        <v>9476</v>
      </c>
      <c r="K3834" s="26" t="s">
        <v>9477</v>
      </c>
      <c r="L3834" s="30">
        <v>943396589</v>
      </c>
      <c r="M3834" s="26" t="s">
        <v>94</v>
      </c>
      <c r="N3834" s="26" t="s">
        <v>9478</v>
      </c>
      <c r="O3834" s="26" t="s">
        <v>9479</v>
      </c>
      <c r="P3834" s="42" t="s">
        <v>13890</v>
      </c>
      <c r="Q3834" s="20"/>
      <c r="R3834" s="26" t="s">
        <v>36</v>
      </c>
      <c r="S3834" s="95">
        <v>7349</v>
      </c>
      <c r="T3834" s="148">
        <v>45483</v>
      </c>
      <c r="U3834" s="31"/>
      <c r="V3834" s="32"/>
      <c r="W3834" s="33" t="s">
        <v>9481</v>
      </c>
      <c r="X3834" s="26"/>
      <c r="Y3834" s="22"/>
      <c r="Z3834" s="26" t="s">
        <v>50</v>
      </c>
      <c r="AA3834" s="70" t="s">
        <v>9070</v>
      </c>
      <c r="AB3834" s="26" t="s">
        <v>8827</v>
      </c>
      <c r="AC3834" s="26" t="s">
        <v>53</v>
      </c>
      <c r="AD3834" s="26" t="s">
        <v>54</v>
      </c>
      <c r="AE3834" s="26" t="s">
        <v>8708</v>
      </c>
      <c r="AF3834" s="17">
        <v>45596</v>
      </c>
      <c r="AG3834" s="26"/>
      <c r="AH3834" s="26"/>
      <c r="AI3834" s="40"/>
      <c r="AJ3834" s="26"/>
      <c r="AK3834" s="26"/>
      <c r="AL3834" s="35"/>
      <c r="AM3834" s="35"/>
      <c r="AN3834" s="35"/>
      <c r="AO3834" s="35"/>
      <c r="AP3834" s="35"/>
    </row>
    <row r="3835" spans="1:42" x14ac:dyDescent="0.2">
      <c r="A3835" s="38">
        <v>45588</v>
      </c>
      <c r="B3835" s="28" t="s">
        <v>37</v>
      </c>
      <c r="C3835" s="41" t="s">
        <v>118</v>
      </c>
      <c r="D3835" s="26" t="s">
        <v>36</v>
      </c>
      <c r="E3835" s="26" t="s">
        <v>119</v>
      </c>
      <c r="F3835" s="26" t="s">
        <v>8708</v>
      </c>
      <c r="G3835" s="26" t="s">
        <v>221</v>
      </c>
      <c r="H3835" s="26" t="s">
        <v>13889</v>
      </c>
      <c r="I3835" s="17">
        <f ca="1">IFERROR(__xludf.DUMMYFUNCTION("""COMPUTED_VALUE"""),45601)</f>
        <v>45601</v>
      </c>
      <c r="J3835" s="29" t="s">
        <v>10696</v>
      </c>
      <c r="K3835" s="26" t="s">
        <v>13891</v>
      </c>
      <c r="L3835" s="30">
        <v>967007462</v>
      </c>
      <c r="M3835" s="26" t="s">
        <v>5518</v>
      </c>
      <c r="N3835" s="26" t="s">
        <v>10698</v>
      </c>
      <c r="O3835" s="26" t="s">
        <v>10699</v>
      </c>
      <c r="P3835" s="42" t="s">
        <v>13892</v>
      </c>
      <c r="Q3835" s="20">
        <v>13968</v>
      </c>
      <c r="R3835" s="26" t="s">
        <v>36</v>
      </c>
      <c r="S3835" s="95">
        <f>500+3500</f>
        <v>4000</v>
      </c>
      <c r="T3835" s="148">
        <v>45485</v>
      </c>
      <c r="U3835" s="95">
        <v>9968</v>
      </c>
      <c r="V3835" s="148">
        <v>45510</v>
      </c>
      <c r="W3835" s="33" t="s">
        <v>10701</v>
      </c>
      <c r="X3835" s="26">
        <v>0</v>
      </c>
      <c r="Y3835" s="22">
        <v>0</v>
      </c>
      <c r="Z3835" s="26" t="s">
        <v>50</v>
      </c>
      <c r="AA3835" s="96" t="s">
        <v>10314</v>
      </c>
      <c r="AB3835" s="26"/>
      <c r="AC3835" s="26" t="s">
        <v>53</v>
      </c>
      <c r="AD3835" s="26" t="s">
        <v>54</v>
      </c>
      <c r="AE3835" s="26" t="s">
        <v>8708</v>
      </c>
      <c r="AF3835" s="17">
        <v>45596</v>
      </c>
      <c r="AG3835" s="26"/>
      <c r="AH3835" s="26"/>
      <c r="AI3835" s="40"/>
      <c r="AJ3835" s="26"/>
      <c r="AK3835" s="26"/>
      <c r="AL3835" s="35"/>
      <c r="AM3835" s="35"/>
      <c r="AN3835" s="35"/>
      <c r="AO3835" s="35"/>
      <c r="AP3835" s="35"/>
    </row>
    <row r="3836" spans="1:42" x14ac:dyDescent="0.2">
      <c r="A3836" s="38">
        <v>45588</v>
      </c>
      <c r="B3836" s="28" t="s">
        <v>37</v>
      </c>
      <c r="C3836" s="41" t="s">
        <v>118</v>
      </c>
      <c r="D3836" s="26" t="s">
        <v>36</v>
      </c>
      <c r="E3836" s="26" t="s">
        <v>119</v>
      </c>
      <c r="F3836" s="26" t="s">
        <v>8708</v>
      </c>
      <c r="G3836" s="26" t="s">
        <v>221</v>
      </c>
      <c r="H3836" s="26" t="s">
        <v>13889</v>
      </c>
      <c r="I3836" s="17">
        <f ca="1">IFERROR(__xludf.DUMMYFUNCTION("""COMPUTED_VALUE"""),45601)</f>
        <v>45601</v>
      </c>
      <c r="J3836" s="29" t="s">
        <v>10656</v>
      </c>
      <c r="K3836" s="26" t="s">
        <v>13893</v>
      </c>
      <c r="L3836" s="30">
        <v>912874414</v>
      </c>
      <c r="M3836" s="26" t="s">
        <v>80</v>
      </c>
      <c r="N3836" s="26" t="s">
        <v>466</v>
      </c>
      <c r="O3836" s="26" t="s">
        <v>10658</v>
      </c>
      <c r="P3836" s="42" t="s">
        <v>13894</v>
      </c>
      <c r="Q3836" s="20">
        <v>13968</v>
      </c>
      <c r="R3836" s="26" t="s">
        <v>36</v>
      </c>
      <c r="S3836" s="95">
        <f>200+3600</f>
        <v>3800</v>
      </c>
      <c r="T3836" s="83" t="s">
        <v>10660</v>
      </c>
      <c r="U3836" s="95">
        <v>10168</v>
      </c>
      <c r="V3836" s="148">
        <v>45512</v>
      </c>
      <c r="W3836" s="33" t="s">
        <v>10661</v>
      </c>
      <c r="X3836" s="26">
        <v>0</v>
      </c>
      <c r="Y3836" s="22">
        <v>0</v>
      </c>
      <c r="Z3836" s="26" t="s">
        <v>50</v>
      </c>
      <c r="AA3836" s="35" t="s">
        <v>10314</v>
      </c>
      <c r="AB3836" s="26"/>
      <c r="AC3836" s="26" t="s">
        <v>53</v>
      </c>
      <c r="AD3836" s="26" t="s">
        <v>54</v>
      </c>
      <c r="AE3836" s="26" t="s">
        <v>8708</v>
      </c>
      <c r="AF3836" s="17">
        <v>45596</v>
      </c>
      <c r="AG3836" s="26"/>
      <c r="AH3836" s="26"/>
      <c r="AI3836" s="40"/>
      <c r="AJ3836" s="26"/>
      <c r="AK3836" s="26"/>
      <c r="AL3836" s="35"/>
      <c r="AM3836" s="35"/>
      <c r="AN3836" s="35"/>
      <c r="AO3836" s="35"/>
      <c r="AP3836" s="35"/>
    </row>
    <row r="3837" spans="1:42" x14ac:dyDescent="0.2">
      <c r="A3837" s="38">
        <v>45588</v>
      </c>
      <c r="B3837" s="28" t="s">
        <v>37</v>
      </c>
      <c r="C3837" s="41" t="s">
        <v>118</v>
      </c>
      <c r="D3837" s="26" t="s">
        <v>36</v>
      </c>
      <c r="E3837" s="26" t="s">
        <v>119</v>
      </c>
      <c r="F3837" s="26" t="s">
        <v>8708</v>
      </c>
      <c r="G3837" s="26" t="s">
        <v>221</v>
      </c>
      <c r="H3837" s="26" t="s">
        <v>13889</v>
      </c>
      <c r="I3837" s="17">
        <f ca="1">IFERROR(__xludf.DUMMYFUNCTION("""COMPUTED_VALUE"""),45601)</f>
        <v>45601</v>
      </c>
      <c r="J3837" s="44" t="s">
        <v>13895</v>
      </c>
      <c r="K3837" s="26" t="s">
        <v>13896</v>
      </c>
      <c r="L3837" s="30">
        <v>326778369</v>
      </c>
      <c r="M3837" s="26" t="s">
        <v>80</v>
      </c>
      <c r="N3837" s="26" t="s">
        <v>1073</v>
      </c>
      <c r="O3837" s="26" t="s">
        <v>10664</v>
      </c>
      <c r="P3837" s="42" t="s">
        <v>13897</v>
      </c>
      <c r="Q3837" s="20">
        <v>13968</v>
      </c>
      <c r="R3837" s="26" t="s">
        <v>36</v>
      </c>
      <c r="S3837" s="95">
        <f>200+3800</f>
        <v>4000</v>
      </c>
      <c r="T3837" s="83" t="s">
        <v>10660</v>
      </c>
      <c r="U3837" s="95">
        <v>9968</v>
      </c>
      <c r="V3837" s="148">
        <v>45513</v>
      </c>
      <c r="W3837" s="33" t="s">
        <v>10666</v>
      </c>
      <c r="X3837" s="26">
        <v>0</v>
      </c>
      <c r="Y3837" s="22">
        <v>0</v>
      </c>
      <c r="Z3837" s="26" t="s">
        <v>50</v>
      </c>
      <c r="AA3837" s="96" t="s">
        <v>10314</v>
      </c>
      <c r="AB3837" s="26"/>
      <c r="AC3837" s="26" t="s">
        <v>53</v>
      </c>
      <c r="AD3837" s="26" t="s">
        <v>54</v>
      </c>
      <c r="AE3837" s="26" t="s">
        <v>8708</v>
      </c>
      <c r="AF3837" s="17">
        <v>45596</v>
      </c>
      <c r="AG3837" s="26"/>
      <c r="AH3837" s="26"/>
      <c r="AI3837" s="40"/>
      <c r="AJ3837" s="26"/>
      <c r="AK3837" s="26"/>
      <c r="AL3837" s="35"/>
      <c r="AM3837" s="35"/>
      <c r="AN3837" s="35"/>
      <c r="AO3837" s="35"/>
      <c r="AP3837" s="35"/>
    </row>
    <row r="3838" spans="1:42" x14ac:dyDescent="0.2">
      <c r="A3838" s="38">
        <v>45588</v>
      </c>
      <c r="B3838" s="28" t="s">
        <v>37</v>
      </c>
      <c r="C3838" s="41" t="s">
        <v>118</v>
      </c>
      <c r="D3838" s="26" t="s">
        <v>36</v>
      </c>
      <c r="E3838" s="26" t="s">
        <v>119</v>
      </c>
      <c r="F3838" s="26" t="s">
        <v>8917</v>
      </c>
      <c r="G3838" s="26" t="s">
        <v>1705</v>
      </c>
      <c r="H3838" s="26" t="s">
        <v>13652</v>
      </c>
      <c r="I3838" s="17">
        <f ca="1">IFERROR(__xludf.DUMMYFUNCTION("""COMPUTED_VALUE"""),45601)</f>
        <v>45601</v>
      </c>
      <c r="J3838" s="29" t="s">
        <v>3467</v>
      </c>
      <c r="K3838" s="26" t="s">
        <v>6030</v>
      </c>
      <c r="L3838" s="30">
        <v>796424066</v>
      </c>
      <c r="M3838" s="26" t="s">
        <v>1245</v>
      </c>
      <c r="N3838" s="26" t="s">
        <v>4957</v>
      </c>
      <c r="O3838" s="26" t="s">
        <v>3469</v>
      </c>
      <c r="P3838" s="42" t="s">
        <v>3470</v>
      </c>
      <c r="Q3838" s="20">
        <v>13968</v>
      </c>
      <c r="R3838" s="26" t="s">
        <v>36</v>
      </c>
      <c r="S3838" s="31">
        <v>4000</v>
      </c>
      <c r="T3838" s="32">
        <v>45173</v>
      </c>
      <c r="U3838" s="31">
        <v>9968</v>
      </c>
      <c r="V3838" s="32">
        <v>45220</v>
      </c>
      <c r="W3838" s="33" t="s">
        <v>3471</v>
      </c>
      <c r="X3838" s="35"/>
      <c r="Y3838" s="22">
        <v>0</v>
      </c>
      <c r="Z3838" s="26" t="s">
        <v>118</v>
      </c>
      <c r="AA3838" s="19" t="s">
        <v>3454</v>
      </c>
      <c r="AB3838" s="26" t="s">
        <v>3472</v>
      </c>
      <c r="AC3838" s="26" t="s">
        <v>53</v>
      </c>
      <c r="AD3838" s="19" t="s">
        <v>138</v>
      </c>
      <c r="AE3838" s="26" t="s">
        <v>8917</v>
      </c>
      <c r="AF3838" s="17">
        <v>45601</v>
      </c>
      <c r="AG3838" s="26" t="s">
        <v>1362</v>
      </c>
      <c r="AH3838" s="36"/>
      <c r="AI3838" s="37"/>
      <c r="AJ3838" s="35"/>
      <c r="AK3838" s="35"/>
      <c r="AL3838" s="35"/>
      <c r="AM3838" s="35"/>
      <c r="AN3838" s="35"/>
      <c r="AO3838" s="35"/>
      <c r="AP3838" s="35"/>
    </row>
    <row r="3839" spans="1:42" x14ac:dyDescent="0.2">
      <c r="A3839" s="38">
        <v>45588</v>
      </c>
      <c r="B3839" s="28" t="s">
        <v>37</v>
      </c>
      <c r="C3839" s="41" t="s">
        <v>118</v>
      </c>
      <c r="D3839" s="26" t="s">
        <v>36</v>
      </c>
      <c r="E3839" s="26" t="s">
        <v>139</v>
      </c>
      <c r="F3839" s="26" t="s">
        <v>4469</v>
      </c>
      <c r="G3839" s="26" t="s">
        <v>1705</v>
      </c>
      <c r="H3839" s="26" t="s">
        <v>8927</v>
      </c>
      <c r="I3839" s="17">
        <f ca="1">IFERROR(__xludf.DUMMYFUNCTION("""COMPUTED_VALUE"""),45606)</f>
        <v>45606</v>
      </c>
      <c r="J3839" s="29" t="s">
        <v>3872</v>
      </c>
      <c r="K3839" s="26" t="s">
        <v>3873</v>
      </c>
      <c r="L3839" s="30">
        <v>971764067</v>
      </c>
      <c r="M3839" s="26" t="s">
        <v>3498</v>
      </c>
      <c r="N3839" s="26" t="s">
        <v>3874</v>
      </c>
      <c r="O3839" s="26" t="s">
        <v>134</v>
      </c>
      <c r="P3839" s="42" t="s">
        <v>7026</v>
      </c>
      <c r="Q3839" s="20">
        <v>15936</v>
      </c>
      <c r="R3839" s="26" t="s">
        <v>36</v>
      </c>
      <c r="S3839" s="31">
        <v>2000</v>
      </c>
      <c r="T3839" s="32">
        <v>45195</v>
      </c>
      <c r="U3839" s="31">
        <v>13968</v>
      </c>
      <c r="V3839" s="32">
        <v>45225</v>
      </c>
      <c r="W3839" s="33" t="s">
        <v>3876</v>
      </c>
      <c r="X3839" s="26"/>
      <c r="Y3839" s="22">
        <v>-32</v>
      </c>
      <c r="Z3839" s="26" t="s">
        <v>118</v>
      </c>
      <c r="AA3839" s="19" t="s">
        <v>5785</v>
      </c>
      <c r="AB3839" s="26"/>
      <c r="AC3839" s="26" t="s">
        <v>53</v>
      </c>
      <c r="AD3839" s="19" t="s">
        <v>138</v>
      </c>
      <c r="AE3839" s="26" t="s">
        <v>4469</v>
      </c>
      <c r="AF3839" s="17">
        <v>45601</v>
      </c>
      <c r="AG3839" s="26" t="s">
        <v>3399</v>
      </c>
      <c r="AH3839" s="26"/>
      <c r="AI3839" s="40" t="s">
        <v>147</v>
      </c>
      <c r="AJ3839" s="26"/>
      <c r="AK3839" s="26"/>
      <c r="AL3839" s="35"/>
      <c r="AM3839" s="35"/>
      <c r="AN3839" s="35"/>
      <c r="AO3839" s="35"/>
      <c r="AP3839" s="35"/>
    </row>
    <row r="3840" spans="1:42" x14ac:dyDescent="0.2">
      <c r="A3840" s="38">
        <v>45588</v>
      </c>
      <c r="B3840" s="28" t="s">
        <v>37</v>
      </c>
      <c r="C3840" s="41" t="s">
        <v>118</v>
      </c>
      <c r="D3840" s="80" t="s">
        <v>36</v>
      </c>
      <c r="E3840" s="80" t="s">
        <v>139</v>
      </c>
      <c r="F3840" s="80" t="s">
        <v>11428</v>
      </c>
      <c r="G3840" s="26" t="s">
        <v>108</v>
      </c>
      <c r="H3840" s="26" t="s">
        <v>13877</v>
      </c>
      <c r="I3840" s="17">
        <f ca="1">IFERROR(__xludf.DUMMYFUNCTION("""COMPUTED_VALUE"""),45597)</f>
        <v>45597</v>
      </c>
      <c r="J3840" s="143" t="s">
        <v>11429</v>
      </c>
      <c r="K3840" s="80" t="s">
        <v>4515</v>
      </c>
      <c r="L3840" s="30">
        <v>353486229</v>
      </c>
      <c r="M3840" s="80" t="s">
        <v>45</v>
      </c>
      <c r="N3840" s="80" t="s">
        <v>7814</v>
      </c>
      <c r="O3840" s="80" t="s">
        <v>11430</v>
      </c>
      <c r="P3840" s="144" t="s">
        <v>13898</v>
      </c>
      <c r="Q3840" s="20">
        <v>15936</v>
      </c>
      <c r="R3840" s="80" t="s">
        <v>36</v>
      </c>
      <c r="S3840" s="95">
        <v>10000</v>
      </c>
      <c r="T3840" s="148">
        <v>45517</v>
      </c>
      <c r="U3840" s="95">
        <v>5936</v>
      </c>
      <c r="V3840" s="148">
        <v>45535</v>
      </c>
      <c r="W3840" s="85" t="s">
        <v>11432</v>
      </c>
      <c r="X3840" s="80">
        <v>0</v>
      </c>
      <c r="Y3840" s="22">
        <v>0</v>
      </c>
      <c r="Z3840" s="80" t="s">
        <v>50</v>
      </c>
      <c r="AA3840" s="35" t="s">
        <v>10314</v>
      </c>
      <c r="AB3840" s="80"/>
      <c r="AC3840" s="80" t="s">
        <v>53</v>
      </c>
      <c r="AD3840" s="80" t="s">
        <v>54</v>
      </c>
      <c r="AE3840" s="80" t="s">
        <v>11428</v>
      </c>
      <c r="AF3840" s="17">
        <v>45590</v>
      </c>
      <c r="AG3840" s="80"/>
      <c r="AH3840" s="80"/>
      <c r="AI3840" s="147"/>
      <c r="AJ3840" s="80"/>
      <c r="AK3840" s="80"/>
      <c r="AL3840" s="35"/>
      <c r="AM3840" s="35"/>
      <c r="AN3840" s="35"/>
      <c r="AO3840" s="35"/>
      <c r="AP3840" s="35"/>
    </row>
    <row r="3841" spans="1:42" x14ac:dyDescent="0.2">
      <c r="A3841" s="38">
        <v>45588</v>
      </c>
      <c r="B3841" s="28" t="s">
        <v>37</v>
      </c>
      <c r="C3841" s="41" t="s">
        <v>118</v>
      </c>
      <c r="D3841" s="80" t="s">
        <v>36</v>
      </c>
      <c r="E3841" s="80" t="s">
        <v>139</v>
      </c>
      <c r="F3841" s="80" t="s">
        <v>11589</v>
      </c>
      <c r="G3841" s="26" t="s">
        <v>108</v>
      </c>
      <c r="H3841" s="26" t="s">
        <v>13877</v>
      </c>
      <c r="I3841" s="17">
        <f ca="1">IFERROR(__xludf.DUMMYFUNCTION("""COMPUTED_VALUE"""),45597)</f>
        <v>45597</v>
      </c>
      <c r="J3841" s="143" t="s">
        <v>12585</v>
      </c>
      <c r="K3841" s="80" t="s">
        <v>7228</v>
      </c>
      <c r="L3841" s="30">
        <v>886624106</v>
      </c>
      <c r="M3841" s="80" t="s">
        <v>2755</v>
      </c>
      <c r="N3841" s="80" t="s">
        <v>4402</v>
      </c>
      <c r="O3841" s="80" t="s">
        <v>4503</v>
      </c>
      <c r="P3841" s="80" t="s">
        <v>12587</v>
      </c>
      <c r="Q3841" s="20">
        <v>15936</v>
      </c>
      <c r="R3841" s="80" t="s">
        <v>36</v>
      </c>
      <c r="S3841" s="95">
        <v>5000</v>
      </c>
      <c r="T3841" s="148">
        <v>45535</v>
      </c>
      <c r="U3841" s="95">
        <v>10936</v>
      </c>
      <c r="V3841" s="148" t="s">
        <v>12588</v>
      </c>
      <c r="W3841" s="80" t="s">
        <v>12589</v>
      </c>
      <c r="X3841" s="80">
        <v>0</v>
      </c>
      <c r="Y3841" s="22">
        <v>0</v>
      </c>
      <c r="Z3841" s="80" t="s">
        <v>50</v>
      </c>
      <c r="AA3841" s="96" t="s">
        <v>3291</v>
      </c>
      <c r="AB3841" s="80"/>
      <c r="AC3841" s="80" t="s">
        <v>53</v>
      </c>
      <c r="AD3841" s="80" t="s">
        <v>54</v>
      </c>
      <c r="AE3841" s="80" t="s">
        <v>11589</v>
      </c>
      <c r="AF3841" s="17">
        <v>45590</v>
      </c>
      <c r="AG3841" s="80"/>
      <c r="AH3841" s="80"/>
      <c r="AI3841" s="147" t="s">
        <v>147</v>
      </c>
      <c r="AJ3841" s="80"/>
      <c r="AK3841" s="80"/>
      <c r="AL3841" s="35"/>
      <c r="AM3841" s="35"/>
      <c r="AN3841" s="35"/>
      <c r="AO3841" s="35"/>
      <c r="AP3841" s="35"/>
    </row>
    <row r="3842" spans="1:42" x14ac:dyDescent="0.2">
      <c r="A3842" s="38">
        <v>45588</v>
      </c>
      <c r="B3842" s="28" t="s">
        <v>37</v>
      </c>
      <c r="C3842" s="41" t="s">
        <v>118</v>
      </c>
      <c r="D3842" s="26" t="s">
        <v>36</v>
      </c>
      <c r="E3842" s="26" t="s">
        <v>119</v>
      </c>
      <c r="F3842" s="26" t="s">
        <v>9132</v>
      </c>
      <c r="G3842" s="80" t="s">
        <v>221</v>
      </c>
      <c r="H3842" s="80" t="s">
        <v>8063</v>
      </c>
      <c r="I3842" s="17">
        <f ca="1">IFERROR(__xludf.DUMMYFUNCTION("""COMPUTED_VALUE"""),45596)</f>
        <v>45596</v>
      </c>
      <c r="J3842" s="29" t="s">
        <v>10397</v>
      </c>
      <c r="K3842" s="26" t="s">
        <v>7092</v>
      </c>
      <c r="L3842" s="47">
        <v>375509943</v>
      </c>
      <c r="M3842" s="26" t="s">
        <v>5558</v>
      </c>
      <c r="N3842" s="26" t="s">
        <v>850</v>
      </c>
      <c r="O3842" s="26" t="s">
        <v>4503</v>
      </c>
      <c r="P3842" s="42" t="s">
        <v>13899</v>
      </c>
      <c r="Q3842" s="20">
        <v>13968</v>
      </c>
      <c r="R3842" s="55" t="s">
        <v>36</v>
      </c>
      <c r="S3842" s="95">
        <f>2000+2000</f>
        <v>4000</v>
      </c>
      <c r="T3842" s="83" t="s">
        <v>10400</v>
      </c>
      <c r="U3842" s="95">
        <v>9968</v>
      </c>
      <c r="V3842" s="148">
        <v>45497</v>
      </c>
      <c r="W3842" s="33" t="s">
        <v>10401</v>
      </c>
      <c r="X3842" s="26">
        <v>0</v>
      </c>
      <c r="Y3842" s="22">
        <v>0</v>
      </c>
      <c r="Z3842" s="26" t="s">
        <v>50</v>
      </c>
      <c r="AA3842" s="35" t="s">
        <v>10314</v>
      </c>
      <c r="AB3842" s="26"/>
      <c r="AC3842" s="26" t="s">
        <v>53</v>
      </c>
      <c r="AD3842" s="26" t="s">
        <v>54</v>
      </c>
      <c r="AE3842" s="26" t="s">
        <v>9132</v>
      </c>
      <c r="AF3842" s="43">
        <v>45596</v>
      </c>
      <c r="AG3842" s="26"/>
      <c r="AH3842" s="26"/>
      <c r="AI3842" s="40"/>
      <c r="AJ3842" s="26"/>
      <c r="AK3842" s="26"/>
      <c r="AL3842" s="35"/>
      <c r="AM3842" s="35"/>
      <c r="AN3842" s="35"/>
      <c r="AO3842" s="35"/>
      <c r="AP3842" s="35"/>
    </row>
    <row r="3843" spans="1:42" x14ac:dyDescent="0.2">
      <c r="A3843" s="38">
        <v>45588</v>
      </c>
      <c r="B3843" s="28" t="s">
        <v>37</v>
      </c>
      <c r="C3843" s="41" t="s">
        <v>118</v>
      </c>
      <c r="D3843" s="26" t="s">
        <v>36</v>
      </c>
      <c r="E3843" s="26" t="s">
        <v>119</v>
      </c>
      <c r="F3843" s="26" t="s">
        <v>6083</v>
      </c>
      <c r="G3843" s="26" t="s">
        <v>1705</v>
      </c>
      <c r="H3843" s="26" t="s">
        <v>8927</v>
      </c>
      <c r="I3843" s="17">
        <f ca="1">IFERROR(__xludf.DUMMYFUNCTION("""COMPUTED_VALUE"""),45606)</f>
        <v>45606</v>
      </c>
      <c r="J3843" s="29" t="s">
        <v>3456</v>
      </c>
      <c r="K3843" s="26" t="s">
        <v>13900</v>
      </c>
      <c r="L3843" s="30">
        <v>867556958</v>
      </c>
      <c r="M3843" s="26" t="s">
        <v>80</v>
      </c>
      <c r="N3843" s="26" t="s">
        <v>186</v>
      </c>
      <c r="O3843" s="26" t="s">
        <v>3458</v>
      </c>
      <c r="P3843" s="42" t="s">
        <v>13901</v>
      </c>
      <c r="Q3843" s="20">
        <v>13968</v>
      </c>
      <c r="R3843" s="26" t="s">
        <v>36</v>
      </c>
      <c r="S3843" s="31">
        <v>5000</v>
      </c>
      <c r="T3843" s="32">
        <v>45169</v>
      </c>
      <c r="U3843" s="31">
        <v>8968</v>
      </c>
      <c r="V3843" s="32">
        <v>45209</v>
      </c>
      <c r="W3843" s="33" t="s">
        <v>3460</v>
      </c>
      <c r="X3843" s="26"/>
      <c r="Y3843" s="22">
        <v>0</v>
      </c>
      <c r="Z3843" s="26" t="s">
        <v>118</v>
      </c>
      <c r="AA3843" s="19" t="s">
        <v>3454</v>
      </c>
      <c r="AB3843" s="26" t="s">
        <v>104</v>
      </c>
      <c r="AC3843" s="26" t="s">
        <v>53</v>
      </c>
      <c r="AD3843" s="19" t="s">
        <v>138</v>
      </c>
      <c r="AE3843" s="26" t="s">
        <v>6083</v>
      </c>
      <c r="AF3843" s="17">
        <v>45601</v>
      </c>
      <c r="AG3843" s="26"/>
      <c r="AH3843" s="26"/>
      <c r="AI3843" s="40"/>
      <c r="AJ3843" s="26"/>
      <c r="AK3843" s="26"/>
      <c r="AL3843" s="35"/>
      <c r="AM3843" s="35"/>
      <c r="AN3843" s="35"/>
      <c r="AO3843" s="35"/>
      <c r="AP3843" s="35"/>
    </row>
    <row r="3844" spans="1:42" x14ac:dyDescent="0.2">
      <c r="A3844" s="38">
        <v>45588</v>
      </c>
      <c r="B3844" s="28" t="s">
        <v>37</v>
      </c>
      <c r="C3844" s="41" t="s">
        <v>118</v>
      </c>
      <c r="D3844" s="80" t="s">
        <v>36</v>
      </c>
      <c r="E3844" s="80" t="s">
        <v>139</v>
      </c>
      <c r="F3844" s="80" t="s">
        <v>11589</v>
      </c>
      <c r="G3844" s="26" t="s">
        <v>108</v>
      </c>
      <c r="H3844" s="26" t="s">
        <v>13902</v>
      </c>
      <c r="I3844" s="17">
        <f ca="1">IFERROR(__xludf.DUMMYFUNCTION("""COMPUTED_VALUE"""),45643)</f>
        <v>45643</v>
      </c>
      <c r="J3844" s="143" t="s">
        <v>12710</v>
      </c>
      <c r="K3844" s="80" t="s">
        <v>13903</v>
      </c>
      <c r="L3844" s="30">
        <v>343259413</v>
      </c>
      <c r="M3844" s="80" t="s">
        <v>45</v>
      </c>
      <c r="N3844" s="80" t="s">
        <v>12712</v>
      </c>
      <c r="O3844" s="80" t="s">
        <v>12713</v>
      </c>
      <c r="P3844" s="144" t="s">
        <v>13904</v>
      </c>
      <c r="Q3844" s="20">
        <v>15936</v>
      </c>
      <c r="R3844" s="80" t="s">
        <v>36</v>
      </c>
      <c r="S3844" s="95">
        <v>15963</v>
      </c>
      <c r="T3844" s="148">
        <v>45532</v>
      </c>
      <c r="U3844" s="77"/>
      <c r="V3844" s="78"/>
      <c r="W3844" s="85" t="s">
        <v>12714</v>
      </c>
      <c r="X3844" s="80">
        <v>0</v>
      </c>
      <c r="Y3844" s="22">
        <v>-27</v>
      </c>
      <c r="Z3844" s="80" t="s">
        <v>50</v>
      </c>
      <c r="AA3844" s="35" t="s">
        <v>3291</v>
      </c>
      <c r="AB3844" s="80"/>
      <c r="AC3844" s="26" t="s">
        <v>53</v>
      </c>
      <c r="AD3844" s="80" t="s">
        <v>54</v>
      </c>
      <c r="AE3844" s="80" t="s">
        <v>11589</v>
      </c>
      <c r="AF3844" s="17">
        <v>45603</v>
      </c>
      <c r="AG3844" s="80"/>
      <c r="AH3844" s="80"/>
      <c r="AI3844" s="147" t="s">
        <v>147</v>
      </c>
      <c r="AJ3844" s="80"/>
      <c r="AK3844" s="80"/>
      <c r="AL3844" s="35"/>
      <c r="AM3844" s="35"/>
      <c r="AN3844" s="35"/>
      <c r="AO3844" s="35"/>
      <c r="AP3844" s="35"/>
    </row>
    <row r="3845" spans="1:42" x14ac:dyDescent="0.2">
      <c r="A3845" s="38">
        <v>45588</v>
      </c>
      <c r="B3845" s="28" t="s">
        <v>37</v>
      </c>
      <c r="C3845" s="41" t="s">
        <v>118</v>
      </c>
      <c r="D3845" s="80" t="s">
        <v>36</v>
      </c>
      <c r="E3845" s="80" t="s">
        <v>56</v>
      </c>
      <c r="F3845" s="80" t="s">
        <v>11723</v>
      </c>
      <c r="G3845" s="26" t="s">
        <v>108</v>
      </c>
      <c r="H3845" s="26" t="s">
        <v>10205</v>
      </c>
      <c r="I3845" s="17">
        <f ca="1">IFERROR(__xludf.DUMMYFUNCTION("""COMPUTED_VALUE"""),45590)</f>
        <v>45590</v>
      </c>
      <c r="J3845" s="143" t="s">
        <v>13905</v>
      </c>
      <c r="K3845" s="80" t="s">
        <v>13906</v>
      </c>
      <c r="L3845" s="30">
        <v>368860583</v>
      </c>
      <c r="M3845" s="80" t="s">
        <v>348</v>
      </c>
      <c r="N3845" s="80" t="s">
        <v>68</v>
      </c>
      <c r="O3845" s="80" t="s">
        <v>13907</v>
      </c>
      <c r="P3845" s="80" t="s">
        <v>13908</v>
      </c>
      <c r="Q3845" s="20">
        <v>9317</v>
      </c>
      <c r="R3845" s="80" t="s">
        <v>36</v>
      </c>
      <c r="S3845" s="95">
        <f>200+1800+3000</f>
        <v>5000</v>
      </c>
      <c r="T3845" s="83" t="s">
        <v>13909</v>
      </c>
      <c r="U3845" s="95">
        <v>4317</v>
      </c>
      <c r="V3845" s="148">
        <v>45576</v>
      </c>
      <c r="W3845" s="85" t="s">
        <v>13910</v>
      </c>
      <c r="X3845" s="80">
        <v>0</v>
      </c>
      <c r="Y3845" s="22">
        <v>0</v>
      </c>
      <c r="Z3845" s="80" t="s">
        <v>50</v>
      </c>
      <c r="AA3845" s="96" t="s">
        <v>3291</v>
      </c>
      <c r="AB3845" s="80"/>
      <c r="AC3845" s="80" t="s">
        <v>53</v>
      </c>
      <c r="AD3845" s="80" t="s">
        <v>54</v>
      </c>
      <c r="AE3845" s="80" t="s">
        <v>11723</v>
      </c>
      <c r="AF3845" s="17">
        <v>45588</v>
      </c>
      <c r="AG3845" s="80"/>
      <c r="AH3845" s="80"/>
      <c r="AI3845" s="147" t="s">
        <v>84</v>
      </c>
      <c r="AJ3845" s="80"/>
      <c r="AK3845" s="80"/>
      <c r="AL3845" s="35"/>
      <c r="AM3845" s="35"/>
      <c r="AN3845" s="35"/>
      <c r="AO3845" s="35"/>
      <c r="AP3845" s="35"/>
    </row>
    <row r="3846" spans="1:42" x14ac:dyDescent="0.2">
      <c r="A3846" s="38">
        <v>45588</v>
      </c>
      <c r="B3846" s="28" t="s">
        <v>37</v>
      </c>
      <c r="C3846" s="41" t="s">
        <v>118</v>
      </c>
      <c r="D3846" s="80" t="s">
        <v>36</v>
      </c>
      <c r="E3846" s="80" t="s">
        <v>56</v>
      </c>
      <c r="F3846" s="80" t="s">
        <v>11723</v>
      </c>
      <c r="G3846" s="26" t="s">
        <v>108</v>
      </c>
      <c r="H3846" s="26" t="s">
        <v>8844</v>
      </c>
      <c r="I3846" s="17">
        <f ca="1">IFERROR(__xludf.DUMMYFUNCTION("""COMPUTED_VALUE"""),45593)</f>
        <v>45593</v>
      </c>
      <c r="J3846" s="143" t="s">
        <v>11730</v>
      </c>
      <c r="K3846" s="80" t="s">
        <v>11731</v>
      </c>
      <c r="L3846" s="30">
        <v>943824257</v>
      </c>
      <c r="M3846" s="80" t="s">
        <v>59</v>
      </c>
      <c r="N3846" s="80" t="s">
        <v>7298</v>
      </c>
      <c r="O3846" s="80" t="s">
        <v>11732</v>
      </c>
      <c r="P3846" s="144" t="s">
        <v>13911</v>
      </c>
      <c r="Q3846" s="20">
        <v>9317</v>
      </c>
      <c r="R3846" s="80" t="s">
        <v>36</v>
      </c>
      <c r="S3846" s="95">
        <v>9317</v>
      </c>
      <c r="T3846" s="148">
        <v>45532</v>
      </c>
      <c r="U3846" s="77"/>
      <c r="V3846" s="78"/>
      <c r="W3846" s="85" t="s">
        <v>11734</v>
      </c>
      <c r="X3846" s="80">
        <v>0</v>
      </c>
      <c r="Y3846" s="22">
        <v>0</v>
      </c>
      <c r="Z3846" s="80" t="s">
        <v>50</v>
      </c>
      <c r="AA3846" s="35" t="s">
        <v>10314</v>
      </c>
      <c r="AB3846" s="80"/>
      <c r="AC3846" s="80" t="s">
        <v>53</v>
      </c>
      <c r="AD3846" s="80" t="s">
        <v>54</v>
      </c>
      <c r="AE3846" s="80" t="s">
        <v>11723</v>
      </c>
      <c r="AF3846" s="43">
        <v>45589</v>
      </c>
      <c r="AG3846" s="80"/>
      <c r="AH3846" s="80"/>
      <c r="AI3846" s="147"/>
      <c r="AJ3846" s="80"/>
      <c r="AK3846" s="80"/>
      <c r="AL3846" s="35"/>
      <c r="AM3846" s="35"/>
      <c r="AN3846" s="35"/>
      <c r="AO3846" s="35"/>
      <c r="AP3846" s="35"/>
    </row>
    <row r="3847" spans="1:42" x14ac:dyDescent="0.2">
      <c r="A3847" s="38">
        <v>45588</v>
      </c>
      <c r="B3847" s="28" t="s">
        <v>37</v>
      </c>
      <c r="C3847" s="41" t="s">
        <v>118</v>
      </c>
      <c r="D3847" s="80" t="s">
        <v>36</v>
      </c>
      <c r="E3847" s="80" t="s">
        <v>139</v>
      </c>
      <c r="F3847" s="80" t="s">
        <v>11589</v>
      </c>
      <c r="G3847" s="26" t="s">
        <v>108</v>
      </c>
      <c r="H3847" s="26" t="s">
        <v>13877</v>
      </c>
      <c r="I3847" s="17">
        <f ca="1">IFERROR(__xludf.DUMMYFUNCTION("""COMPUTED_VALUE"""),45597)</f>
        <v>45597</v>
      </c>
      <c r="J3847" s="143" t="s">
        <v>12521</v>
      </c>
      <c r="K3847" s="145" t="s">
        <v>13624</v>
      </c>
      <c r="L3847" s="30">
        <v>339463843</v>
      </c>
      <c r="M3847" s="80" t="s">
        <v>5518</v>
      </c>
      <c r="N3847" s="80" t="s">
        <v>253</v>
      </c>
      <c r="O3847" s="80" t="s">
        <v>12523</v>
      </c>
      <c r="P3847" s="115" t="s">
        <v>13912</v>
      </c>
      <c r="Q3847" s="20">
        <v>15936</v>
      </c>
      <c r="R3847" s="80" t="s">
        <v>36</v>
      </c>
      <c r="S3847" s="95">
        <f>2000+3000</f>
        <v>5000</v>
      </c>
      <c r="T3847" s="83" t="s">
        <v>12525</v>
      </c>
      <c r="U3847" s="95">
        <v>10936</v>
      </c>
      <c r="V3847" s="148">
        <v>45557</v>
      </c>
      <c r="W3847" s="85" t="s">
        <v>12526</v>
      </c>
      <c r="X3847" s="80">
        <v>0</v>
      </c>
      <c r="Y3847" s="22">
        <v>0</v>
      </c>
      <c r="Z3847" s="80" t="s">
        <v>50</v>
      </c>
      <c r="AA3847" s="96" t="s">
        <v>3291</v>
      </c>
      <c r="AB3847" s="80"/>
      <c r="AC3847" s="80" t="s">
        <v>53</v>
      </c>
      <c r="AD3847" s="80" t="s">
        <v>54</v>
      </c>
      <c r="AE3847" s="80" t="s">
        <v>11589</v>
      </c>
      <c r="AF3847" s="17">
        <v>45590</v>
      </c>
      <c r="AG3847" s="80"/>
      <c r="AH3847" s="80"/>
      <c r="AI3847" s="147" t="s">
        <v>147</v>
      </c>
      <c r="AJ3847" s="80"/>
      <c r="AK3847" s="80"/>
      <c r="AL3847" s="35"/>
      <c r="AM3847" s="35"/>
      <c r="AN3847" s="35"/>
      <c r="AO3847" s="35"/>
      <c r="AP3847" s="35"/>
    </row>
    <row r="3848" spans="1:42" x14ac:dyDescent="0.2">
      <c r="A3848" s="38">
        <v>45588</v>
      </c>
      <c r="B3848" s="28" t="s">
        <v>37</v>
      </c>
      <c r="C3848" s="41" t="s">
        <v>118</v>
      </c>
      <c r="D3848" s="80" t="s">
        <v>36</v>
      </c>
      <c r="E3848" s="80" t="s">
        <v>139</v>
      </c>
      <c r="F3848" s="80" t="s">
        <v>8635</v>
      </c>
      <c r="G3848" s="80" t="s">
        <v>108</v>
      </c>
      <c r="H3848" s="80" t="s">
        <v>13913</v>
      </c>
      <c r="I3848" s="17">
        <f ca="1">IFERROR(__xludf.DUMMYFUNCTION("""COMPUTED_VALUE"""),45602)</f>
        <v>45602</v>
      </c>
      <c r="J3848" s="143" t="s">
        <v>11282</v>
      </c>
      <c r="K3848" s="80" t="s">
        <v>11283</v>
      </c>
      <c r="L3848" s="30">
        <v>988563706</v>
      </c>
      <c r="M3848" s="80" t="s">
        <v>80</v>
      </c>
      <c r="N3848" s="80" t="s">
        <v>1073</v>
      </c>
      <c r="O3848" s="80" t="s">
        <v>11284</v>
      </c>
      <c r="P3848" s="144" t="s">
        <v>13914</v>
      </c>
      <c r="Q3848" s="20">
        <v>15936</v>
      </c>
      <c r="R3848" s="80" t="s">
        <v>3825</v>
      </c>
      <c r="S3848" s="95">
        <v>2000</v>
      </c>
      <c r="T3848" s="148">
        <v>45510</v>
      </c>
      <c r="U3848" s="95">
        <v>13736</v>
      </c>
      <c r="V3848" s="148">
        <v>45527</v>
      </c>
      <c r="W3848" s="85" t="s">
        <v>11285</v>
      </c>
      <c r="X3848" s="80">
        <v>200</v>
      </c>
      <c r="Y3848" s="22">
        <v>0</v>
      </c>
      <c r="Z3848" s="80" t="s">
        <v>50</v>
      </c>
      <c r="AA3848" s="35" t="s">
        <v>10314</v>
      </c>
      <c r="AB3848" s="80"/>
      <c r="AC3848" s="80" t="s">
        <v>53</v>
      </c>
      <c r="AD3848" s="80" t="s">
        <v>54</v>
      </c>
      <c r="AE3848" s="80" t="s">
        <v>8635</v>
      </c>
      <c r="AF3848" s="17">
        <v>45602</v>
      </c>
      <c r="AG3848" s="80" t="s">
        <v>13915</v>
      </c>
      <c r="AH3848" s="80"/>
      <c r="AI3848" s="147"/>
      <c r="AJ3848" s="80"/>
      <c r="AK3848" s="80"/>
      <c r="AL3848" s="35"/>
      <c r="AM3848" s="35"/>
      <c r="AN3848" s="35"/>
      <c r="AO3848" s="35"/>
      <c r="AP3848" s="35"/>
    </row>
    <row r="3849" spans="1:42" x14ac:dyDescent="0.2">
      <c r="A3849" s="38">
        <v>45588</v>
      </c>
      <c r="B3849" s="28" t="s">
        <v>37</v>
      </c>
      <c r="C3849" s="41" t="s">
        <v>118</v>
      </c>
      <c r="D3849" s="80" t="s">
        <v>36</v>
      </c>
      <c r="E3849" s="80" t="s">
        <v>139</v>
      </c>
      <c r="F3849" s="80" t="s">
        <v>11428</v>
      </c>
      <c r="G3849" s="80" t="s">
        <v>108</v>
      </c>
      <c r="H3849" s="80" t="s">
        <v>13913</v>
      </c>
      <c r="I3849" s="17">
        <f ca="1">IFERROR(__xludf.DUMMYFUNCTION("""COMPUTED_VALUE"""),45602)</f>
        <v>45602</v>
      </c>
      <c r="J3849" s="172" t="s">
        <v>12271</v>
      </c>
      <c r="K3849" s="80" t="s">
        <v>5482</v>
      </c>
      <c r="L3849" s="30">
        <v>372502534</v>
      </c>
      <c r="M3849" s="80" t="s">
        <v>5429</v>
      </c>
      <c r="N3849" s="80" t="s">
        <v>1384</v>
      </c>
      <c r="O3849" s="80" t="s">
        <v>12272</v>
      </c>
      <c r="P3849" s="80" t="s">
        <v>12273</v>
      </c>
      <c r="Q3849" s="20">
        <v>15936</v>
      </c>
      <c r="R3849" s="80" t="s">
        <v>36</v>
      </c>
      <c r="S3849" s="95">
        <v>2000</v>
      </c>
      <c r="T3849" s="148">
        <v>45519</v>
      </c>
      <c r="U3849" s="95">
        <v>13936</v>
      </c>
      <c r="V3849" s="148">
        <v>45553</v>
      </c>
      <c r="W3849" s="85" t="s">
        <v>12274</v>
      </c>
      <c r="X3849" s="80">
        <v>0</v>
      </c>
      <c r="Y3849" s="22">
        <v>0</v>
      </c>
      <c r="Z3849" s="80" t="s">
        <v>50</v>
      </c>
      <c r="AA3849" s="96" t="s">
        <v>3291</v>
      </c>
      <c r="AB3849" s="80"/>
      <c r="AC3849" s="80" t="s">
        <v>53</v>
      </c>
      <c r="AD3849" s="80" t="s">
        <v>54</v>
      </c>
      <c r="AE3849" s="80" t="s">
        <v>11428</v>
      </c>
      <c r="AF3849" s="17">
        <v>45602</v>
      </c>
      <c r="AG3849" s="80" t="s">
        <v>13915</v>
      </c>
      <c r="AH3849" s="80"/>
      <c r="AI3849" s="147" t="s">
        <v>147</v>
      </c>
      <c r="AJ3849" s="80"/>
      <c r="AK3849" s="80"/>
      <c r="AL3849" s="35"/>
      <c r="AM3849" s="35"/>
      <c r="AN3849" s="35"/>
      <c r="AO3849" s="35"/>
      <c r="AP3849" s="35"/>
    </row>
    <row r="3850" spans="1:42" x14ac:dyDescent="0.2">
      <c r="A3850" s="38">
        <v>45589</v>
      </c>
      <c r="B3850" s="28" t="s">
        <v>37</v>
      </c>
      <c r="C3850" s="41" t="s">
        <v>118</v>
      </c>
      <c r="D3850" s="26" t="s">
        <v>36</v>
      </c>
      <c r="E3850" s="26" t="s">
        <v>56</v>
      </c>
      <c r="F3850" s="26" t="s">
        <v>6106</v>
      </c>
      <c r="G3850" s="26" t="s">
        <v>221</v>
      </c>
      <c r="H3850" s="26" t="s">
        <v>13916</v>
      </c>
      <c r="I3850" s="17" t="str">
        <f ca="1">IFERROR(__xludf.DUMMYFUNCTION("""COMPUTED_VALUE""")," ")</f>
        <v xml:space="preserve"> </v>
      </c>
      <c r="J3850" s="29" t="s">
        <v>5362</v>
      </c>
      <c r="K3850" s="26" t="s">
        <v>5363</v>
      </c>
      <c r="L3850" s="30">
        <v>862995083</v>
      </c>
      <c r="M3850" s="26" t="s">
        <v>123</v>
      </c>
      <c r="N3850" s="26" t="s">
        <v>327</v>
      </c>
      <c r="O3850" s="26" t="s">
        <v>1226</v>
      </c>
      <c r="P3850" s="42" t="s">
        <v>13917</v>
      </c>
      <c r="Q3850" s="20">
        <v>9317</v>
      </c>
      <c r="R3850" s="26" t="s">
        <v>36</v>
      </c>
      <c r="S3850" s="31">
        <v>200</v>
      </c>
      <c r="T3850" s="32">
        <v>45157</v>
      </c>
      <c r="U3850" s="31">
        <f>2000+7117</f>
        <v>9117</v>
      </c>
      <c r="V3850" s="26" t="s">
        <v>5365</v>
      </c>
      <c r="W3850" s="33" t="s">
        <v>5366</v>
      </c>
      <c r="X3850" s="26"/>
      <c r="Y3850" s="22">
        <v>0</v>
      </c>
      <c r="Z3850" s="98" t="s">
        <v>118</v>
      </c>
      <c r="AA3850" s="19" t="s">
        <v>5112</v>
      </c>
      <c r="AB3850" s="26" t="s">
        <v>104</v>
      </c>
      <c r="AC3850" s="26" t="s">
        <v>53</v>
      </c>
      <c r="AD3850" s="19" t="s">
        <v>54</v>
      </c>
      <c r="AE3850" s="26" t="s">
        <v>6106</v>
      </c>
      <c r="AF3850" s="17">
        <v>45596</v>
      </c>
      <c r="AG3850" s="26"/>
      <c r="AH3850" s="26"/>
      <c r="AI3850" s="40" t="s">
        <v>64</v>
      </c>
      <c r="AJ3850" s="26"/>
      <c r="AK3850" s="26"/>
      <c r="AL3850" s="35"/>
      <c r="AM3850" s="35"/>
      <c r="AN3850" s="35"/>
      <c r="AO3850" s="35"/>
      <c r="AP3850" s="35"/>
    </row>
    <row r="3851" spans="1:42" x14ac:dyDescent="0.2">
      <c r="A3851" s="38">
        <v>45589</v>
      </c>
      <c r="B3851" s="28" t="s">
        <v>37</v>
      </c>
      <c r="C3851" s="41" t="s">
        <v>118</v>
      </c>
      <c r="D3851" s="26" t="s">
        <v>36</v>
      </c>
      <c r="E3851" s="26" t="s">
        <v>119</v>
      </c>
      <c r="F3851" s="26" t="s">
        <v>8704</v>
      </c>
      <c r="G3851" s="26" t="s">
        <v>221</v>
      </c>
      <c r="H3851" s="26" t="s">
        <v>10843</v>
      </c>
      <c r="I3851" s="17">
        <f ca="1">IFERROR(__xludf.DUMMYFUNCTION("""COMPUTED_VALUE"""),45606)</f>
        <v>45606</v>
      </c>
      <c r="J3851" s="29" t="s">
        <v>10679</v>
      </c>
      <c r="K3851" s="26" t="s">
        <v>12611</v>
      </c>
      <c r="L3851" s="30">
        <v>983093268</v>
      </c>
      <c r="M3851" s="26" t="s">
        <v>80</v>
      </c>
      <c r="N3851" s="26" t="s">
        <v>466</v>
      </c>
      <c r="O3851" s="26" t="s">
        <v>10681</v>
      </c>
      <c r="P3851" s="42" t="s">
        <v>13918</v>
      </c>
      <c r="Q3851" s="20">
        <v>13968</v>
      </c>
      <c r="R3851" s="26" t="s">
        <v>36</v>
      </c>
      <c r="S3851" s="95">
        <v>3800</v>
      </c>
      <c r="T3851" s="148">
        <v>45484</v>
      </c>
      <c r="U3851" s="95">
        <v>10168</v>
      </c>
      <c r="V3851" s="148">
        <v>45528</v>
      </c>
      <c r="W3851" s="33" t="s">
        <v>10683</v>
      </c>
      <c r="X3851" s="26">
        <v>0</v>
      </c>
      <c r="Y3851" s="22">
        <v>0</v>
      </c>
      <c r="Z3851" s="26" t="s">
        <v>50</v>
      </c>
      <c r="AA3851" s="96" t="s">
        <v>10314</v>
      </c>
      <c r="AB3851" s="26"/>
      <c r="AC3851" s="26" t="s">
        <v>53</v>
      </c>
      <c r="AD3851" s="26" t="s">
        <v>54</v>
      </c>
      <c r="AE3851" s="26" t="s">
        <v>8704</v>
      </c>
      <c r="AF3851" s="17">
        <v>45601</v>
      </c>
      <c r="AG3851" s="26"/>
      <c r="AH3851" s="26"/>
      <c r="AI3851" s="40"/>
      <c r="AJ3851" s="26"/>
      <c r="AK3851" s="26"/>
      <c r="AL3851" s="35"/>
      <c r="AM3851" s="35"/>
      <c r="AN3851" s="35"/>
      <c r="AO3851" s="35"/>
      <c r="AP3851" s="35"/>
    </row>
    <row r="3852" spans="1:42" x14ac:dyDescent="0.2">
      <c r="A3852" s="38">
        <v>45589</v>
      </c>
      <c r="B3852" s="28" t="s">
        <v>37</v>
      </c>
      <c r="C3852" s="41" t="s">
        <v>118</v>
      </c>
      <c r="D3852" s="26" t="s">
        <v>36</v>
      </c>
      <c r="E3852" s="26" t="s">
        <v>119</v>
      </c>
      <c r="F3852" s="26" t="s">
        <v>4469</v>
      </c>
      <c r="G3852" s="26" t="s">
        <v>1847</v>
      </c>
      <c r="H3852" s="26" t="s">
        <v>9050</v>
      </c>
      <c r="I3852" s="17">
        <f ca="1">IFERROR(__xludf.DUMMYFUNCTION("""COMPUTED_VALUE"""),45607)</f>
        <v>45607</v>
      </c>
      <c r="J3852" s="29" t="s">
        <v>3176</v>
      </c>
      <c r="K3852" s="26" t="s">
        <v>4363</v>
      </c>
      <c r="L3852" s="30">
        <v>367221127</v>
      </c>
      <c r="M3852" s="26" t="s">
        <v>80</v>
      </c>
      <c r="N3852" s="26" t="s">
        <v>186</v>
      </c>
      <c r="O3852" s="26" t="s">
        <v>4364</v>
      </c>
      <c r="P3852" s="42" t="s">
        <v>4365</v>
      </c>
      <c r="Q3852" s="20">
        <v>13968</v>
      </c>
      <c r="R3852" s="26" t="s">
        <v>36</v>
      </c>
      <c r="S3852" s="31">
        <v>13968</v>
      </c>
      <c r="T3852" s="32">
        <v>45217</v>
      </c>
      <c r="U3852" s="31"/>
      <c r="V3852" s="26"/>
      <c r="W3852" s="26" t="s">
        <v>4366</v>
      </c>
      <c r="X3852" s="26"/>
      <c r="Y3852" s="22">
        <v>0</v>
      </c>
      <c r="Z3852" s="26" t="s">
        <v>118</v>
      </c>
      <c r="AA3852" s="19" t="s">
        <v>3454</v>
      </c>
      <c r="AB3852" s="26" t="s">
        <v>104</v>
      </c>
      <c r="AC3852" s="26" t="s">
        <v>53</v>
      </c>
      <c r="AD3852" s="19" t="s">
        <v>138</v>
      </c>
      <c r="AE3852" s="26" t="s">
        <v>4469</v>
      </c>
      <c r="AF3852" s="17">
        <v>45607</v>
      </c>
      <c r="AG3852" s="26" t="s">
        <v>3399</v>
      </c>
      <c r="AH3852" s="26"/>
      <c r="AI3852" s="40"/>
      <c r="AJ3852" s="26"/>
      <c r="AK3852" s="26"/>
      <c r="AL3852" s="35"/>
      <c r="AM3852" s="35"/>
      <c r="AN3852" s="35"/>
      <c r="AO3852" s="35"/>
      <c r="AP3852" s="35"/>
    </row>
    <row r="3853" spans="1:42" x14ac:dyDescent="0.2">
      <c r="A3853" s="38">
        <v>45589</v>
      </c>
      <c r="B3853" s="28" t="s">
        <v>37</v>
      </c>
      <c r="C3853" s="41" t="s">
        <v>118</v>
      </c>
      <c r="D3853" s="26" t="s">
        <v>36</v>
      </c>
      <c r="E3853" s="26" t="s">
        <v>119</v>
      </c>
      <c r="F3853" s="26" t="s">
        <v>8704</v>
      </c>
      <c r="G3853" s="26" t="s">
        <v>221</v>
      </c>
      <c r="H3853" s="26" t="s">
        <v>10843</v>
      </c>
      <c r="I3853" s="17">
        <f ca="1">IFERROR(__xludf.DUMMYFUNCTION("""COMPUTED_VALUE"""),45606)</f>
        <v>45606</v>
      </c>
      <c r="J3853" s="29" t="s">
        <v>13919</v>
      </c>
      <c r="K3853" s="26" t="s">
        <v>13920</v>
      </c>
      <c r="L3853" s="30">
        <v>363278262</v>
      </c>
      <c r="M3853" s="26" t="s">
        <v>5558</v>
      </c>
      <c r="N3853" s="26" t="s">
        <v>2847</v>
      </c>
      <c r="O3853" s="26" t="s">
        <v>4503</v>
      </c>
      <c r="P3853" s="115" t="s">
        <v>13921</v>
      </c>
      <c r="Q3853" s="20">
        <v>13968</v>
      </c>
      <c r="R3853" s="26" t="s">
        <v>36</v>
      </c>
      <c r="S3853" s="95">
        <v>4000</v>
      </c>
      <c r="T3853" s="148">
        <v>45483</v>
      </c>
      <c r="U3853" s="95">
        <v>9968</v>
      </c>
      <c r="V3853" s="148">
        <v>45506</v>
      </c>
      <c r="W3853" s="33" t="s">
        <v>10639</v>
      </c>
      <c r="X3853" s="26">
        <v>0</v>
      </c>
      <c r="Y3853" s="22">
        <v>0</v>
      </c>
      <c r="Z3853" s="26" t="s">
        <v>50</v>
      </c>
      <c r="AA3853" s="96" t="s">
        <v>10314</v>
      </c>
      <c r="AB3853" s="26"/>
      <c r="AC3853" s="26" t="s">
        <v>53</v>
      </c>
      <c r="AD3853" s="26" t="s">
        <v>54</v>
      </c>
      <c r="AE3853" s="26" t="s">
        <v>8704</v>
      </c>
      <c r="AF3853" s="17">
        <v>45594</v>
      </c>
      <c r="AG3853" s="26"/>
      <c r="AH3853" s="26"/>
      <c r="AI3853" s="40"/>
      <c r="AJ3853" s="26"/>
      <c r="AK3853" s="26"/>
      <c r="AL3853" s="35"/>
      <c r="AM3853" s="35"/>
      <c r="AN3853" s="35"/>
      <c r="AO3853" s="35"/>
      <c r="AP3853" s="35"/>
    </row>
    <row r="3854" spans="1:42" x14ac:dyDescent="0.2">
      <c r="A3854" s="38">
        <v>45589</v>
      </c>
      <c r="B3854" s="28" t="s">
        <v>37</v>
      </c>
      <c r="C3854" s="41" t="s">
        <v>118</v>
      </c>
      <c r="D3854" s="26" t="s">
        <v>36</v>
      </c>
      <c r="E3854" s="26" t="s">
        <v>119</v>
      </c>
      <c r="F3854" s="26" t="s">
        <v>8704</v>
      </c>
      <c r="G3854" s="26" t="s">
        <v>221</v>
      </c>
      <c r="H3854" s="26" t="s">
        <v>10843</v>
      </c>
      <c r="I3854" s="17">
        <f ca="1">IFERROR(__xludf.DUMMYFUNCTION("""COMPUTED_VALUE"""),45606)</f>
        <v>45606</v>
      </c>
      <c r="J3854" s="29" t="s">
        <v>10562</v>
      </c>
      <c r="K3854" s="26" t="s">
        <v>13922</v>
      </c>
      <c r="L3854" s="30">
        <v>398378429</v>
      </c>
      <c r="M3854" s="26" t="s">
        <v>3498</v>
      </c>
      <c r="N3854" s="26" t="s">
        <v>2756</v>
      </c>
      <c r="O3854" s="26" t="s">
        <v>4503</v>
      </c>
      <c r="P3854" s="42" t="s">
        <v>13923</v>
      </c>
      <c r="Q3854" s="20">
        <v>13968</v>
      </c>
      <c r="R3854" s="26" t="s">
        <v>36</v>
      </c>
      <c r="S3854" s="95">
        <v>3768</v>
      </c>
      <c r="T3854" s="148">
        <v>45476</v>
      </c>
      <c r="U3854" s="95">
        <v>10200</v>
      </c>
      <c r="V3854" s="148">
        <v>45507</v>
      </c>
      <c r="W3854" s="26" t="s">
        <v>10565</v>
      </c>
      <c r="X3854" s="26">
        <v>0</v>
      </c>
      <c r="Y3854" s="22">
        <v>0</v>
      </c>
      <c r="Z3854" s="26" t="s">
        <v>50</v>
      </c>
      <c r="AA3854" s="35" t="s">
        <v>10314</v>
      </c>
      <c r="AB3854" s="26"/>
      <c r="AC3854" s="26" t="s">
        <v>53</v>
      </c>
      <c r="AD3854" s="26" t="s">
        <v>54</v>
      </c>
      <c r="AE3854" s="26" t="s">
        <v>8704</v>
      </c>
      <c r="AF3854" s="17">
        <v>45601</v>
      </c>
      <c r="AG3854" s="26"/>
      <c r="AH3854" s="26"/>
      <c r="AI3854" s="40"/>
      <c r="AJ3854" s="26"/>
      <c r="AK3854" s="26"/>
      <c r="AL3854" s="35"/>
      <c r="AM3854" s="35"/>
      <c r="AN3854" s="35"/>
      <c r="AO3854" s="35"/>
      <c r="AP3854" s="35"/>
    </row>
    <row r="3855" spans="1:42" x14ac:dyDescent="0.2">
      <c r="A3855" s="38">
        <v>45589</v>
      </c>
      <c r="B3855" s="28" t="s">
        <v>37</v>
      </c>
      <c r="C3855" s="41" t="s">
        <v>118</v>
      </c>
      <c r="D3855" s="26" t="s">
        <v>36</v>
      </c>
      <c r="E3855" s="26" t="s">
        <v>119</v>
      </c>
      <c r="F3855" s="26" t="s">
        <v>8704</v>
      </c>
      <c r="G3855" s="26" t="s">
        <v>221</v>
      </c>
      <c r="H3855" s="26" t="s">
        <v>13924</v>
      </c>
      <c r="I3855" s="17" t="str">
        <f ca="1">IFERROR(__xludf.DUMMYFUNCTION("""COMPUTED_VALUE""")," ")</f>
        <v xml:space="preserve"> </v>
      </c>
      <c r="J3855" s="29" t="s">
        <v>10690</v>
      </c>
      <c r="K3855" s="26" t="s">
        <v>13925</v>
      </c>
      <c r="L3855" s="30">
        <v>972837338</v>
      </c>
      <c r="M3855" s="26" t="s">
        <v>80</v>
      </c>
      <c r="N3855" s="26" t="s">
        <v>466</v>
      </c>
      <c r="O3855" s="26" t="s">
        <v>10692</v>
      </c>
      <c r="P3855" s="42" t="s">
        <v>13926</v>
      </c>
      <c r="Q3855" s="20">
        <v>13968</v>
      </c>
      <c r="R3855" s="26" t="s">
        <v>36</v>
      </c>
      <c r="S3855" s="95">
        <f>200+3600</f>
        <v>3800</v>
      </c>
      <c r="T3855" s="83" t="s">
        <v>10694</v>
      </c>
      <c r="U3855" s="95">
        <v>10168</v>
      </c>
      <c r="V3855" s="148">
        <v>45519</v>
      </c>
      <c r="W3855" s="33" t="s">
        <v>10695</v>
      </c>
      <c r="X3855" s="26">
        <v>0</v>
      </c>
      <c r="Y3855" s="22">
        <v>0</v>
      </c>
      <c r="Z3855" s="26" t="s">
        <v>50</v>
      </c>
      <c r="AA3855" s="96" t="s">
        <v>10314</v>
      </c>
      <c r="AB3855" s="26"/>
      <c r="AC3855" s="26" t="s">
        <v>53</v>
      </c>
      <c r="AD3855" s="26" t="s">
        <v>54</v>
      </c>
      <c r="AE3855" s="26" t="s">
        <v>8704</v>
      </c>
      <c r="AF3855" s="17">
        <v>45601</v>
      </c>
      <c r="AG3855" s="26"/>
      <c r="AH3855" s="26"/>
      <c r="AI3855" s="40"/>
      <c r="AJ3855" s="26"/>
      <c r="AK3855" s="26"/>
      <c r="AL3855" s="35"/>
      <c r="AM3855" s="35"/>
      <c r="AN3855" s="35"/>
      <c r="AO3855" s="35"/>
      <c r="AP3855" s="35"/>
    </row>
    <row r="3856" spans="1:42" x14ac:dyDescent="0.2">
      <c r="A3856" s="38">
        <v>45589</v>
      </c>
      <c r="B3856" s="28" t="s">
        <v>37</v>
      </c>
      <c r="C3856" s="41" t="s">
        <v>118</v>
      </c>
      <c r="D3856" s="26" t="s">
        <v>36</v>
      </c>
      <c r="E3856" s="26" t="s">
        <v>119</v>
      </c>
      <c r="F3856" s="26" t="s">
        <v>8704</v>
      </c>
      <c r="G3856" s="26" t="s">
        <v>221</v>
      </c>
      <c r="H3856" s="26" t="s">
        <v>10843</v>
      </c>
      <c r="I3856" s="17">
        <f ca="1">IFERROR(__xludf.DUMMYFUNCTION("""COMPUTED_VALUE"""),45606)</f>
        <v>45606</v>
      </c>
      <c r="J3856" s="29" t="s">
        <v>9373</v>
      </c>
      <c r="K3856" s="26" t="s">
        <v>9374</v>
      </c>
      <c r="L3856" s="30">
        <v>928988879</v>
      </c>
      <c r="M3856" s="26" t="s">
        <v>59</v>
      </c>
      <c r="N3856" s="26" t="s">
        <v>68</v>
      </c>
      <c r="O3856" s="26" t="s">
        <v>9375</v>
      </c>
      <c r="P3856" s="42" t="s">
        <v>13927</v>
      </c>
      <c r="Q3856" s="20"/>
      <c r="R3856" s="26" t="s">
        <v>36</v>
      </c>
      <c r="S3856" s="95">
        <v>13968</v>
      </c>
      <c r="T3856" s="148">
        <v>45478</v>
      </c>
      <c r="U3856" s="31"/>
      <c r="V3856" s="32"/>
      <c r="W3856" s="33" t="s">
        <v>9377</v>
      </c>
      <c r="X3856" s="26"/>
      <c r="Y3856" s="22"/>
      <c r="Z3856" s="26" t="s">
        <v>50</v>
      </c>
      <c r="AA3856" s="70" t="s">
        <v>9070</v>
      </c>
      <c r="AB3856" s="26"/>
      <c r="AC3856" s="26" t="s">
        <v>53</v>
      </c>
      <c r="AD3856" s="26" t="s">
        <v>54</v>
      </c>
      <c r="AE3856" s="26" t="s">
        <v>8704</v>
      </c>
      <c r="AF3856" s="17">
        <v>45601</v>
      </c>
      <c r="AG3856" s="26"/>
      <c r="AH3856" s="26"/>
      <c r="AI3856" s="40"/>
      <c r="AJ3856" s="26"/>
      <c r="AK3856" s="26"/>
      <c r="AL3856" s="35"/>
      <c r="AM3856" s="35"/>
      <c r="AN3856" s="35"/>
      <c r="AO3856" s="35"/>
      <c r="AP3856" s="35"/>
    </row>
    <row r="3857" spans="1:42" x14ac:dyDescent="0.2">
      <c r="A3857" s="38">
        <v>45589</v>
      </c>
      <c r="B3857" s="28" t="s">
        <v>37</v>
      </c>
      <c r="C3857" s="41" t="s">
        <v>118</v>
      </c>
      <c r="D3857" s="26" t="s">
        <v>36</v>
      </c>
      <c r="E3857" s="26" t="s">
        <v>139</v>
      </c>
      <c r="F3857" s="26" t="s">
        <v>4469</v>
      </c>
      <c r="G3857" s="26" t="s">
        <v>1847</v>
      </c>
      <c r="H3857" s="26" t="s">
        <v>9050</v>
      </c>
      <c r="I3857" s="17">
        <f ca="1">IFERROR(__xludf.DUMMYFUNCTION("""COMPUTED_VALUE"""),45607)</f>
        <v>45607</v>
      </c>
      <c r="J3857" s="29" t="s">
        <v>3812</v>
      </c>
      <c r="K3857" s="26" t="s">
        <v>5913</v>
      </c>
      <c r="L3857" s="30">
        <v>869261465</v>
      </c>
      <c r="M3857" s="26" t="s">
        <v>80</v>
      </c>
      <c r="N3857" s="26" t="s">
        <v>186</v>
      </c>
      <c r="O3857" s="26" t="s">
        <v>3814</v>
      </c>
      <c r="P3857" s="42" t="s">
        <v>13928</v>
      </c>
      <c r="Q3857" s="20">
        <v>15936</v>
      </c>
      <c r="R3857" s="26" t="s">
        <v>36</v>
      </c>
      <c r="S3857" s="31">
        <v>4000</v>
      </c>
      <c r="T3857" s="32">
        <v>45192</v>
      </c>
      <c r="U3857" s="31">
        <v>11936</v>
      </c>
      <c r="V3857" s="32">
        <v>45220</v>
      </c>
      <c r="W3857" s="33" t="s">
        <v>3816</v>
      </c>
      <c r="X3857" s="26"/>
      <c r="Y3857" s="22">
        <v>0</v>
      </c>
      <c r="Z3857" s="26" t="s">
        <v>118</v>
      </c>
      <c r="AA3857" s="19" t="s">
        <v>5785</v>
      </c>
      <c r="AB3857" s="26" t="s">
        <v>104</v>
      </c>
      <c r="AC3857" s="26" t="s">
        <v>53</v>
      </c>
      <c r="AD3857" s="19" t="s">
        <v>138</v>
      </c>
      <c r="AE3857" s="26" t="s">
        <v>4469</v>
      </c>
      <c r="AF3857" s="17">
        <v>45607</v>
      </c>
      <c r="AG3857" s="26"/>
      <c r="AH3857" s="26"/>
      <c r="AI3857" s="40" t="s">
        <v>147</v>
      </c>
      <c r="AJ3857" s="26"/>
      <c r="AK3857" s="26"/>
      <c r="AL3857" s="35"/>
      <c r="AM3857" s="35"/>
      <c r="AN3857" s="35"/>
      <c r="AO3857" s="35"/>
      <c r="AP3857" s="35"/>
    </row>
    <row r="3858" spans="1:42" x14ac:dyDescent="0.2">
      <c r="A3858" s="38">
        <v>45589</v>
      </c>
      <c r="B3858" s="28" t="s">
        <v>37</v>
      </c>
      <c r="C3858" s="41" t="s">
        <v>118</v>
      </c>
      <c r="D3858" s="26" t="s">
        <v>36</v>
      </c>
      <c r="E3858" s="26" t="s">
        <v>119</v>
      </c>
      <c r="F3858" s="26" t="s">
        <v>7944</v>
      </c>
      <c r="G3858" s="26" t="s">
        <v>1847</v>
      </c>
      <c r="H3858" s="26" t="s">
        <v>9050</v>
      </c>
      <c r="I3858" s="17">
        <f ca="1">IFERROR(__xludf.DUMMYFUNCTION("""COMPUTED_VALUE"""),45607)</f>
        <v>45607</v>
      </c>
      <c r="J3858" s="29" t="s">
        <v>5990</v>
      </c>
      <c r="K3858" s="26" t="s">
        <v>5991</v>
      </c>
      <c r="L3858" s="30">
        <v>816308200</v>
      </c>
      <c r="M3858" s="26" t="s">
        <v>1245</v>
      </c>
      <c r="N3858" s="26" t="s">
        <v>5992</v>
      </c>
      <c r="O3858" s="26" t="s">
        <v>5993</v>
      </c>
      <c r="P3858" s="42" t="s">
        <v>5994</v>
      </c>
      <c r="Q3858" s="20">
        <v>13968</v>
      </c>
      <c r="R3858" s="26" t="s">
        <v>36</v>
      </c>
      <c r="S3858" s="31">
        <v>13968</v>
      </c>
      <c r="T3858" s="32">
        <v>45184</v>
      </c>
      <c r="U3858" s="31"/>
      <c r="V3858" s="26"/>
      <c r="W3858" s="33" t="s">
        <v>2844</v>
      </c>
      <c r="X3858" s="26"/>
      <c r="Y3858" s="22">
        <v>0</v>
      </c>
      <c r="Z3858" s="26" t="s">
        <v>118</v>
      </c>
      <c r="AA3858" s="19" t="s">
        <v>5785</v>
      </c>
      <c r="AB3858" s="26" t="s">
        <v>36</v>
      </c>
      <c r="AC3858" s="26" t="s">
        <v>53</v>
      </c>
      <c r="AD3858" s="19" t="s">
        <v>138</v>
      </c>
      <c r="AE3858" s="26" t="s">
        <v>7944</v>
      </c>
      <c r="AF3858" s="17">
        <v>45607</v>
      </c>
      <c r="AG3858" s="26"/>
      <c r="AH3858" s="26"/>
      <c r="AI3858" s="40">
        <v>4</v>
      </c>
      <c r="AJ3858" s="26"/>
      <c r="AK3858" s="26"/>
      <c r="AL3858" s="35"/>
      <c r="AM3858" s="35"/>
      <c r="AN3858" s="35"/>
      <c r="AO3858" s="35"/>
      <c r="AP3858" s="35"/>
    </row>
    <row r="3859" spans="1:42" x14ac:dyDescent="0.2">
      <c r="A3859" s="38">
        <v>45589</v>
      </c>
      <c r="B3859" s="28" t="s">
        <v>37</v>
      </c>
      <c r="C3859" s="41" t="s">
        <v>118</v>
      </c>
      <c r="D3859" s="26" t="s">
        <v>36</v>
      </c>
      <c r="E3859" s="26" t="s">
        <v>139</v>
      </c>
      <c r="F3859" s="26" t="s">
        <v>7013</v>
      </c>
      <c r="G3859" s="26" t="s">
        <v>1847</v>
      </c>
      <c r="H3859" s="26" t="s">
        <v>9050</v>
      </c>
      <c r="I3859" s="17">
        <f ca="1">IFERROR(__xludf.DUMMYFUNCTION("""COMPUTED_VALUE"""),45607)</f>
        <v>45607</v>
      </c>
      <c r="J3859" s="29" t="s">
        <v>5192</v>
      </c>
      <c r="K3859" s="26" t="s">
        <v>5193</v>
      </c>
      <c r="L3859" s="30">
        <v>373944787</v>
      </c>
      <c r="M3859" s="26" t="s">
        <v>2755</v>
      </c>
      <c r="N3859" s="26" t="s">
        <v>2756</v>
      </c>
      <c r="O3859" s="26" t="s">
        <v>134</v>
      </c>
      <c r="P3859" s="42" t="s">
        <v>13929</v>
      </c>
      <c r="Q3859" s="20">
        <v>15936</v>
      </c>
      <c r="R3859" s="26" t="s">
        <v>1106</v>
      </c>
      <c r="S3859" s="31">
        <v>2000</v>
      </c>
      <c r="T3859" s="32">
        <v>45201</v>
      </c>
      <c r="U3859" s="31">
        <v>13768</v>
      </c>
      <c r="V3859" s="32">
        <v>45232</v>
      </c>
      <c r="W3859" s="33" t="s">
        <v>5195</v>
      </c>
      <c r="X3859" s="26"/>
      <c r="Y3859" s="22">
        <v>168</v>
      </c>
      <c r="Z3859" s="26" t="s">
        <v>118</v>
      </c>
      <c r="AA3859" s="19" t="s">
        <v>5785</v>
      </c>
      <c r="AB3859" s="26" t="s">
        <v>104</v>
      </c>
      <c r="AC3859" s="26" t="s">
        <v>53</v>
      </c>
      <c r="AD3859" s="19" t="s">
        <v>138</v>
      </c>
      <c r="AE3859" s="26" t="s">
        <v>7013</v>
      </c>
      <c r="AF3859" s="17">
        <v>45607</v>
      </c>
      <c r="AG3859" s="26"/>
      <c r="AH3859" s="26"/>
      <c r="AI3859" s="40" t="s">
        <v>147</v>
      </c>
      <c r="AJ3859" s="26"/>
      <c r="AK3859" s="26"/>
      <c r="AL3859" s="35"/>
      <c r="AM3859" s="35"/>
      <c r="AN3859" s="35"/>
      <c r="AO3859" s="35"/>
      <c r="AP3859" s="35"/>
    </row>
    <row r="3860" spans="1:42" x14ac:dyDescent="0.2">
      <c r="A3860" s="38">
        <v>45589</v>
      </c>
      <c r="B3860" s="28" t="s">
        <v>37</v>
      </c>
      <c r="C3860" s="41" t="s">
        <v>118</v>
      </c>
      <c r="D3860" s="26" t="s">
        <v>36</v>
      </c>
      <c r="E3860" s="26" t="s">
        <v>139</v>
      </c>
      <c r="F3860" s="26" t="s">
        <v>7013</v>
      </c>
      <c r="G3860" s="26" t="s">
        <v>1847</v>
      </c>
      <c r="H3860" s="26" t="s">
        <v>9050</v>
      </c>
      <c r="I3860" s="17">
        <f ca="1">IFERROR(__xludf.DUMMYFUNCTION("""COMPUTED_VALUE"""),45607)</f>
        <v>45607</v>
      </c>
      <c r="J3860" s="29" t="s">
        <v>5280</v>
      </c>
      <c r="K3860" s="26" t="s">
        <v>5281</v>
      </c>
      <c r="L3860" s="30">
        <v>379911659</v>
      </c>
      <c r="M3860" s="26" t="s">
        <v>3498</v>
      </c>
      <c r="N3860" s="26" t="s">
        <v>2756</v>
      </c>
      <c r="O3860" s="26" t="s">
        <v>143</v>
      </c>
      <c r="P3860" s="42" t="s">
        <v>5928</v>
      </c>
      <c r="Q3860" s="20">
        <v>15936</v>
      </c>
      <c r="R3860" s="26" t="s">
        <v>70</v>
      </c>
      <c r="S3860" s="31">
        <v>500</v>
      </c>
      <c r="T3860" s="32">
        <v>45207</v>
      </c>
      <c r="U3860" s="58">
        <f>1500+13936</f>
        <v>15436</v>
      </c>
      <c r="V3860" s="35" t="s">
        <v>5282</v>
      </c>
      <c r="W3860" s="33" t="s">
        <v>5283</v>
      </c>
      <c r="X3860" s="26"/>
      <c r="Y3860" s="22">
        <v>0</v>
      </c>
      <c r="Z3860" s="26" t="s">
        <v>118</v>
      </c>
      <c r="AA3860" s="19" t="s">
        <v>5785</v>
      </c>
      <c r="AB3860" s="26" t="s">
        <v>104</v>
      </c>
      <c r="AC3860" s="26" t="s">
        <v>53</v>
      </c>
      <c r="AD3860" s="19" t="s">
        <v>138</v>
      </c>
      <c r="AE3860" s="26" t="s">
        <v>7013</v>
      </c>
      <c r="AF3860" s="17">
        <v>45607</v>
      </c>
      <c r="AG3860" s="26"/>
      <c r="AH3860" s="26"/>
      <c r="AI3860" s="40" t="s">
        <v>147</v>
      </c>
      <c r="AJ3860" s="26"/>
      <c r="AK3860" s="26"/>
      <c r="AL3860" s="35"/>
      <c r="AM3860" s="35"/>
      <c r="AN3860" s="35"/>
      <c r="AO3860" s="35"/>
      <c r="AP3860" s="35"/>
    </row>
    <row r="3861" spans="1:42" x14ac:dyDescent="0.2">
      <c r="A3861" s="38">
        <v>45589</v>
      </c>
      <c r="B3861" s="28" t="s">
        <v>37</v>
      </c>
      <c r="C3861" s="41" t="s">
        <v>118</v>
      </c>
      <c r="D3861" s="26" t="s">
        <v>36</v>
      </c>
      <c r="E3861" s="26" t="s">
        <v>139</v>
      </c>
      <c r="F3861" s="26" t="s">
        <v>7013</v>
      </c>
      <c r="G3861" s="26" t="s">
        <v>1847</v>
      </c>
      <c r="H3861" s="26" t="s">
        <v>9050</v>
      </c>
      <c r="I3861" s="17">
        <f ca="1">IFERROR(__xludf.DUMMYFUNCTION("""COMPUTED_VALUE"""),45607)</f>
        <v>45607</v>
      </c>
      <c r="J3861" s="29" t="s">
        <v>5200</v>
      </c>
      <c r="K3861" s="26" t="s">
        <v>5201</v>
      </c>
      <c r="L3861" s="30">
        <v>563626888</v>
      </c>
      <c r="M3861" s="26" t="s">
        <v>2755</v>
      </c>
      <c r="N3861" s="26" t="s">
        <v>2756</v>
      </c>
      <c r="O3861" s="26" t="s">
        <v>2819</v>
      </c>
      <c r="P3861" s="26" t="s">
        <v>5202</v>
      </c>
      <c r="Q3861" s="20">
        <v>15936</v>
      </c>
      <c r="R3861" s="26" t="s">
        <v>1106</v>
      </c>
      <c r="S3861" s="31">
        <v>2000</v>
      </c>
      <c r="T3861" s="32">
        <v>45201</v>
      </c>
      <c r="U3861" s="31">
        <f>13768+18</f>
        <v>13786</v>
      </c>
      <c r="V3861" s="26" t="s">
        <v>5203</v>
      </c>
      <c r="W3861" s="33" t="s">
        <v>5204</v>
      </c>
      <c r="X3861" s="26"/>
      <c r="Y3861" s="22">
        <v>150</v>
      </c>
      <c r="Z3861" s="26" t="s">
        <v>118</v>
      </c>
      <c r="AA3861" s="19" t="s">
        <v>5112</v>
      </c>
      <c r="AB3861" s="26" t="s">
        <v>104</v>
      </c>
      <c r="AC3861" s="26" t="s">
        <v>53</v>
      </c>
      <c r="AD3861" s="19" t="s">
        <v>138</v>
      </c>
      <c r="AE3861" s="26" t="s">
        <v>7013</v>
      </c>
      <c r="AF3861" s="17">
        <v>45607</v>
      </c>
      <c r="AG3861" s="26"/>
      <c r="AH3861" s="26"/>
      <c r="AI3861" s="40" t="s">
        <v>147</v>
      </c>
      <c r="AJ3861" s="26"/>
      <c r="AK3861" s="26"/>
      <c r="AL3861" s="35"/>
      <c r="AM3861" s="35"/>
      <c r="AN3861" s="35"/>
      <c r="AO3861" s="35"/>
      <c r="AP3861" s="35"/>
    </row>
    <row r="3862" spans="1:42" x14ac:dyDescent="0.2">
      <c r="A3862" s="38">
        <v>45589</v>
      </c>
      <c r="B3862" s="28" t="s">
        <v>37</v>
      </c>
      <c r="C3862" s="41" t="s">
        <v>118</v>
      </c>
      <c r="D3862" s="26" t="s">
        <v>36</v>
      </c>
      <c r="E3862" s="26" t="s">
        <v>139</v>
      </c>
      <c r="F3862" s="26" t="s">
        <v>7013</v>
      </c>
      <c r="G3862" s="26" t="s">
        <v>1847</v>
      </c>
      <c r="H3862" s="26" t="s">
        <v>9050</v>
      </c>
      <c r="I3862" s="17">
        <f ca="1">IFERROR(__xludf.DUMMYFUNCTION("""COMPUTED_VALUE"""),45607)</f>
        <v>45607</v>
      </c>
      <c r="J3862" s="29" t="s">
        <v>5196</v>
      </c>
      <c r="K3862" s="26" t="s">
        <v>5197</v>
      </c>
      <c r="L3862" s="30">
        <v>977943642</v>
      </c>
      <c r="M3862" s="26" t="s">
        <v>2755</v>
      </c>
      <c r="N3862" s="26" t="s">
        <v>2756</v>
      </c>
      <c r="O3862" s="26" t="s">
        <v>2819</v>
      </c>
      <c r="P3862" s="42" t="s">
        <v>5198</v>
      </c>
      <c r="Q3862" s="20">
        <v>15936</v>
      </c>
      <c r="R3862" s="26" t="s">
        <v>1106</v>
      </c>
      <c r="S3862" s="31">
        <v>2000</v>
      </c>
      <c r="T3862" s="32">
        <v>45201</v>
      </c>
      <c r="U3862" s="31">
        <v>13768</v>
      </c>
      <c r="V3862" s="32">
        <v>45232</v>
      </c>
      <c r="W3862" s="33" t="s">
        <v>5199</v>
      </c>
      <c r="X3862" s="26"/>
      <c r="Y3862" s="22">
        <v>168</v>
      </c>
      <c r="Z3862" s="26" t="s">
        <v>118</v>
      </c>
      <c r="AA3862" s="19" t="s">
        <v>5785</v>
      </c>
      <c r="AB3862" s="26" t="s">
        <v>104</v>
      </c>
      <c r="AC3862" s="26" t="s">
        <v>53</v>
      </c>
      <c r="AD3862" s="19" t="s">
        <v>138</v>
      </c>
      <c r="AE3862" s="26" t="s">
        <v>7013</v>
      </c>
      <c r="AF3862" s="17">
        <v>45607</v>
      </c>
      <c r="AG3862" s="26"/>
      <c r="AH3862" s="26"/>
      <c r="AI3862" s="40" t="s">
        <v>147</v>
      </c>
      <c r="AJ3862" s="26"/>
      <c r="AK3862" s="26"/>
      <c r="AL3862" s="35"/>
      <c r="AM3862" s="35"/>
      <c r="AN3862" s="35"/>
      <c r="AO3862" s="35"/>
      <c r="AP3862" s="35"/>
    </row>
    <row r="3863" spans="1:42" x14ac:dyDescent="0.2">
      <c r="A3863" s="38">
        <v>45589</v>
      </c>
      <c r="B3863" s="28" t="s">
        <v>37</v>
      </c>
      <c r="C3863" s="41" t="s">
        <v>118</v>
      </c>
      <c r="D3863" s="26" t="s">
        <v>36</v>
      </c>
      <c r="E3863" s="26" t="s">
        <v>56</v>
      </c>
      <c r="F3863" s="26" t="s">
        <v>7716</v>
      </c>
      <c r="G3863" s="26" t="s">
        <v>221</v>
      </c>
      <c r="H3863" s="26" t="s">
        <v>10843</v>
      </c>
      <c r="I3863" s="17">
        <f ca="1">IFERROR(__xludf.DUMMYFUNCTION("""COMPUTED_VALUE"""),45606)</f>
        <v>45606</v>
      </c>
      <c r="J3863" s="29" t="s">
        <v>5640</v>
      </c>
      <c r="K3863" s="26" t="s">
        <v>13930</v>
      </c>
      <c r="L3863" s="30">
        <v>394272046</v>
      </c>
      <c r="M3863" s="26" t="s">
        <v>910</v>
      </c>
      <c r="N3863" s="26" t="s">
        <v>3221</v>
      </c>
      <c r="O3863" s="26" t="s">
        <v>5642</v>
      </c>
      <c r="P3863" s="42" t="s">
        <v>13931</v>
      </c>
      <c r="Q3863" s="20">
        <v>9317</v>
      </c>
      <c r="R3863" s="26" t="s">
        <v>36</v>
      </c>
      <c r="S3863" s="31">
        <v>9317</v>
      </c>
      <c r="T3863" s="32">
        <v>45243</v>
      </c>
      <c r="U3863" s="31"/>
      <c r="V3863" s="32"/>
      <c r="W3863" s="33" t="s">
        <v>5644</v>
      </c>
      <c r="X3863" s="26"/>
      <c r="Y3863" s="22">
        <v>0</v>
      </c>
      <c r="Z3863" s="26" t="s">
        <v>118</v>
      </c>
      <c r="AA3863" s="19" t="s">
        <v>5112</v>
      </c>
      <c r="AB3863" s="26" t="s">
        <v>36</v>
      </c>
      <c r="AC3863" s="26" t="s">
        <v>53</v>
      </c>
      <c r="AD3863" s="19" t="s">
        <v>54</v>
      </c>
      <c r="AE3863" s="26" t="s">
        <v>7716</v>
      </c>
      <c r="AF3863" s="17">
        <v>45601</v>
      </c>
      <c r="AG3863" s="26"/>
      <c r="AH3863" s="26"/>
      <c r="AI3863" s="40" t="s">
        <v>64</v>
      </c>
      <c r="AJ3863" s="26"/>
      <c r="AK3863" s="26"/>
      <c r="AL3863" s="35"/>
      <c r="AM3863" s="35"/>
      <c r="AN3863" s="35"/>
      <c r="AO3863" s="35"/>
      <c r="AP3863" s="35"/>
    </row>
    <row r="3864" spans="1:42" x14ac:dyDescent="0.2">
      <c r="A3864" s="38">
        <v>45589</v>
      </c>
      <c r="B3864" s="137" t="s">
        <v>37</v>
      </c>
      <c r="C3864" s="41" t="s">
        <v>118</v>
      </c>
      <c r="D3864" s="26" t="s">
        <v>36</v>
      </c>
      <c r="E3864" s="26" t="s">
        <v>139</v>
      </c>
      <c r="F3864" s="26" t="s">
        <v>2017</v>
      </c>
      <c r="G3864" s="26" t="s">
        <v>221</v>
      </c>
      <c r="H3864" s="26" t="s">
        <v>13932</v>
      </c>
      <c r="I3864" s="17">
        <f ca="1">IFERROR(__xludf.DUMMYFUNCTION("""COMPUTED_VALUE"""),45762)</f>
        <v>45762</v>
      </c>
      <c r="J3864" s="29" t="s">
        <v>7902</v>
      </c>
      <c r="K3864" s="26" t="s">
        <v>13933</v>
      </c>
      <c r="L3864" s="30">
        <v>858062005</v>
      </c>
      <c r="M3864" s="26" t="s">
        <v>348</v>
      </c>
      <c r="N3864" s="26" t="s">
        <v>68</v>
      </c>
      <c r="O3864" s="26" t="s">
        <v>7904</v>
      </c>
      <c r="P3864" s="42" t="s">
        <v>13934</v>
      </c>
      <c r="Q3864" s="20">
        <v>15936</v>
      </c>
      <c r="R3864" s="26" t="s">
        <v>36</v>
      </c>
      <c r="S3864" s="31">
        <v>15963</v>
      </c>
      <c r="T3864" s="32">
        <v>45372</v>
      </c>
      <c r="U3864" s="31"/>
      <c r="V3864" s="32"/>
      <c r="W3864" s="33" t="s">
        <v>7906</v>
      </c>
      <c r="X3864" s="26"/>
      <c r="Y3864" s="22">
        <v>-27</v>
      </c>
      <c r="Z3864" s="98" t="s">
        <v>118</v>
      </c>
      <c r="AA3864" s="19" t="s">
        <v>7361</v>
      </c>
      <c r="AB3864" s="26" t="s">
        <v>36</v>
      </c>
      <c r="AC3864" s="26" t="s">
        <v>53</v>
      </c>
      <c r="AD3864" s="19" t="s">
        <v>54</v>
      </c>
      <c r="AE3864" s="26" t="s">
        <v>2017</v>
      </c>
      <c r="AF3864" s="17">
        <v>45601</v>
      </c>
      <c r="AG3864" s="26"/>
      <c r="AH3864" s="26"/>
      <c r="AI3864" s="40"/>
      <c r="AJ3864" s="26"/>
      <c r="AK3864" s="26"/>
      <c r="AL3864" s="35"/>
      <c r="AM3864" s="35"/>
      <c r="AN3864" s="35"/>
      <c r="AO3864" s="35"/>
      <c r="AP3864" s="35"/>
    </row>
    <row r="3865" spans="1:42" x14ac:dyDescent="0.2">
      <c r="A3865" s="38">
        <v>45589</v>
      </c>
      <c r="B3865" s="28" t="s">
        <v>37</v>
      </c>
      <c r="C3865" s="41" t="s">
        <v>118</v>
      </c>
      <c r="D3865" s="26" t="s">
        <v>36</v>
      </c>
      <c r="E3865" s="26" t="s">
        <v>139</v>
      </c>
      <c r="F3865" s="26" t="s">
        <v>5093</v>
      </c>
      <c r="G3865" s="26" t="s">
        <v>1705</v>
      </c>
      <c r="H3865" s="26" t="s">
        <v>8927</v>
      </c>
      <c r="I3865" s="17">
        <f ca="1">IFERROR(__xludf.DUMMYFUNCTION("""COMPUTED_VALUE"""),45606)</f>
        <v>45606</v>
      </c>
      <c r="J3865" s="29" t="s">
        <v>1775</v>
      </c>
      <c r="K3865" s="26" t="s">
        <v>1776</v>
      </c>
      <c r="L3865" s="30">
        <v>362000460</v>
      </c>
      <c r="M3865" s="26" t="s">
        <v>80</v>
      </c>
      <c r="N3865" s="26" t="s">
        <v>299</v>
      </c>
      <c r="O3865" s="26" t="s">
        <v>1777</v>
      </c>
      <c r="P3865" s="42" t="s">
        <v>13935</v>
      </c>
      <c r="Q3865" s="20">
        <v>15936</v>
      </c>
      <c r="R3865" s="26" t="s">
        <v>36</v>
      </c>
      <c r="S3865" s="31">
        <v>15936</v>
      </c>
      <c r="T3865" s="32">
        <v>45164</v>
      </c>
      <c r="U3865" s="31"/>
      <c r="V3865" s="26"/>
      <c r="W3865" s="33" t="s">
        <v>1779</v>
      </c>
      <c r="X3865" s="26">
        <v>0</v>
      </c>
      <c r="Y3865" s="22">
        <v>0</v>
      </c>
      <c r="Z3865" s="26" t="s">
        <v>118</v>
      </c>
      <c r="AA3865" s="19" t="s">
        <v>901</v>
      </c>
      <c r="AB3865" s="26" t="s">
        <v>104</v>
      </c>
      <c r="AC3865" s="26" t="s">
        <v>53</v>
      </c>
      <c r="AD3865" s="19" t="s">
        <v>138</v>
      </c>
      <c r="AE3865" s="26" t="s">
        <v>5093</v>
      </c>
      <c r="AF3865" s="17">
        <v>45601</v>
      </c>
      <c r="AG3865" s="26"/>
      <c r="AH3865" s="26">
        <v>1</v>
      </c>
      <c r="AI3865" s="40" t="s">
        <v>147</v>
      </c>
      <c r="AJ3865" s="26"/>
      <c r="AK3865" s="26"/>
      <c r="AL3865" s="35"/>
      <c r="AM3865" s="35"/>
      <c r="AN3865" s="35"/>
      <c r="AO3865" s="35"/>
      <c r="AP3865" s="35"/>
    </row>
    <row r="3866" spans="1:42" x14ac:dyDescent="0.2">
      <c r="A3866" s="38">
        <v>45589</v>
      </c>
      <c r="B3866" s="28" t="s">
        <v>37</v>
      </c>
      <c r="C3866" s="41" t="s">
        <v>118</v>
      </c>
      <c r="D3866" s="26" t="s">
        <v>36</v>
      </c>
      <c r="E3866" s="26" t="s">
        <v>119</v>
      </c>
      <c r="F3866" s="26" t="s">
        <v>8704</v>
      </c>
      <c r="G3866" s="26" t="s">
        <v>221</v>
      </c>
      <c r="H3866" s="26" t="s">
        <v>10843</v>
      </c>
      <c r="I3866" s="17">
        <f ca="1">IFERROR(__xludf.DUMMYFUNCTION("""COMPUTED_VALUE"""),45606)</f>
        <v>45606</v>
      </c>
      <c r="J3866" s="29" t="s">
        <v>10714</v>
      </c>
      <c r="K3866" s="26" t="s">
        <v>13936</v>
      </c>
      <c r="L3866" s="30">
        <v>941672906</v>
      </c>
      <c r="M3866" s="26" t="s">
        <v>80</v>
      </c>
      <c r="N3866" s="26" t="s">
        <v>466</v>
      </c>
      <c r="O3866" s="26" t="s">
        <v>10716</v>
      </c>
      <c r="P3866" s="26" t="s">
        <v>10717</v>
      </c>
      <c r="Q3866" s="20">
        <v>13968</v>
      </c>
      <c r="R3866" s="26" t="s">
        <v>36</v>
      </c>
      <c r="S3866" s="95">
        <f>200+3600</f>
        <v>3800</v>
      </c>
      <c r="T3866" s="83" t="s">
        <v>10718</v>
      </c>
      <c r="U3866" s="95">
        <v>10168</v>
      </c>
      <c r="V3866" s="148">
        <v>45525</v>
      </c>
      <c r="W3866" s="33" t="s">
        <v>10719</v>
      </c>
      <c r="X3866" s="26">
        <v>0</v>
      </c>
      <c r="Y3866" s="22">
        <v>0</v>
      </c>
      <c r="Z3866" s="26" t="s">
        <v>50</v>
      </c>
      <c r="AA3866" s="35" t="s">
        <v>10314</v>
      </c>
      <c r="AB3866" s="26"/>
      <c r="AC3866" s="26" t="s">
        <v>53</v>
      </c>
      <c r="AD3866" s="26" t="s">
        <v>54</v>
      </c>
      <c r="AE3866" s="26" t="s">
        <v>8704</v>
      </c>
      <c r="AF3866" s="17">
        <v>45601</v>
      </c>
      <c r="AG3866" s="26"/>
      <c r="AH3866" s="26"/>
      <c r="AI3866" s="40"/>
      <c r="AJ3866" s="26"/>
      <c r="AK3866" s="26"/>
      <c r="AL3866" s="35"/>
      <c r="AM3866" s="35"/>
      <c r="AN3866" s="35"/>
      <c r="AO3866" s="35"/>
      <c r="AP3866" s="35"/>
    </row>
    <row r="3867" spans="1:42" x14ac:dyDescent="0.2">
      <c r="A3867" s="38">
        <v>45589</v>
      </c>
      <c r="B3867" s="28" t="s">
        <v>37</v>
      </c>
      <c r="C3867" s="41" t="s">
        <v>118</v>
      </c>
      <c r="D3867" s="26" t="s">
        <v>36</v>
      </c>
      <c r="E3867" s="26" t="s">
        <v>119</v>
      </c>
      <c r="F3867" s="26" t="s">
        <v>8704</v>
      </c>
      <c r="G3867" s="26" t="s">
        <v>221</v>
      </c>
      <c r="H3867" s="26" t="s">
        <v>10843</v>
      </c>
      <c r="I3867" s="17">
        <f ca="1">IFERROR(__xludf.DUMMYFUNCTION("""COMPUTED_VALUE"""),45606)</f>
        <v>45606</v>
      </c>
      <c r="J3867" s="29" t="s">
        <v>9482</v>
      </c>
      <c r="K3867" s="26" t="s">
        <v>13937</v>
      </c>
      <c r="L3867" s="30">
        <v>962764866</v>
      </c>
      <c r="M3867" s="26" t="s">
        <v>94</v>
      </c>
      <c r="N3867" s="26" t="s">
        <v>9478</v>
      </c>
      <c r="O3867" s="26" t="s">
        <v>9484</v>
      </c>
      <c r="P3867" s="42" t="s">
        <v>13938</v>
      </c>
      <c r="Q3867" s="20"/>
      <c r="R3867" s="26" t="s">
        <v>36</v>
      </c>
      <c r="S3867" s="95">
        <v>13968</v>
      </c>
      <c r="T3867" s="148">
        <v>45484</v>
      </c>
      <c r="U3867" s="31"/>
      <c r="V3867" s="32"/>
      <c r="W3867" s="33" t="s">
        <v>9486</v>
      </c>
      <c r="X3867" s="26"/>
      <c r="Y3867" s="22"/>
      <c r="Z3867" s="26" t="s">
        <v>50</v>
      </c>
      <c r="AA3867" s="70" t="s">
        <v>9070</v>
      </c>
      <c r="AB3867" s="26" t="s">
        <v>8827</v>
      </c>
      <c r="AC3867" s="26" t="s">
        <v>53</v>
      </c>
      <c r="AD3867" s="26" t="s">
        <v>54</v>
      </c>
      <c r="AE3867" s="26" t="s">
        <v>8704</v>
      </c>
      <c r="AF3867" s="17">
        <v>45601</v>
      </c>
      <c r="AG3867" s="26"/>
      <c r="AH3867" s="26"/>
      <c r="AI3867" s="40"/>
      <c r="AJ3867" s="26"/>
      <c r="AK3867" s="26"/>
      <c r="AL3867" s="35"/>
      <c r="AM3867" s="35"/>
      <c r="AN3867" s="35"/>
      <c r="AO3867" s="35"/>
      <c r="AP3867" s="35"/>
    </row>
    <row r="3868" spans="1:42" x14ac:dyDescent="0.2">
      <c r="A3868" s="38">
        <v>45589</v>
      </c>
      <c r="B3868" s="28" t="s">
        <v>37</v>
      </c>
      <c r="C3868" s="41" t="s">
        <v>118</v>
      </c>
      <c r="D3868" s="26" t="s">
        <v>36</v>
      </c>
      <c r="E3868" s="26" t="s">
        <v>139</v>
      </c>
      <c r="F3868" s="26" t="s">
        <v>8708</v>
      </c>
      <c r="G3868" s="26" t="s">
        <v>221</v>
      </c>
      <c r="H3868" s="26" t="s">
        <v>13889</v>
      </c>
      <c r="I3868" s="17">
        <f ca="1">IFERROR(__xludf.DUMMYFUNCTION("""COMPUTED_VALUE"""),45601)</f>
        <v>45601</v>
      </c>
      <c r="J3868" s="29" t="s">
        <v>13939</v>
      </c>
      <c r="K3868" s="26" t="s">
        <v>8158</v>
      </c>
      <c r="L3868" s="30">
        <v>386685516</v>
      </c>
      <c r="M3868" s="26" t="s">
        <v>3728</v>
      </c>
      <c r="N3868" s="26" t="s">
        <v>5312</v>
      </c>
      <c r="O3868" s="26" t="s">
        <v>8159</v>
      </c>
      <c r="P3868" s="42" t="s">
        <v>13940</v>
      </c>
      <c r="Q3868" s="20">
        <v>15936</v>
      </c>
      <c r="R3868" s="26" t="s">
        <v>36</v>
      </c>
      <c r="S3868" s="31">
        <v>2000</v>
      </c>
      <c r="T3868" s="32">
        <v>45367</v>
      </c>
      <c r="U3868" s="31">
        <v>13936</v>
      </c>
      <c r="V3868" s="32">
        <v>45410</v>
      </c>
      <c r="W3868" s="33" t="s">
        <v>8161</v>
      </c>
      <c r="X3868" s="26"/>
      <c r="Y3868" s="22">
        <v>0</v>
      </c>
      <c r="Z3868" s="26" t="s">
        <v>118</v>
      </c>
      <c r="AA3868" s="19" t="s">
        <v>8102</v>
      </c>
      <c r="AB3868" s="26" t="s">
        <v>36</v>
      </c>
      <c r="AC3868" s="26" t="s">
        <v>53</v>
      </c>
      <c r="AD3868" s="19" t="s">
        <v>54</v>
      </c>
      <c r="AE3868" s="26" t="s">
        <v>8708</v>
      </c>
      <c r="AF3868" s="17">
        <v>45596</v>
      </c>
      <c r="AG3868" s="26"/>
      <c r="AH3868" s="26"/>
      <c r="AI3868" s="40"/>
      <c r="AJ3868" s="26"/>
      <c r="AK3868" s="26"/>
      <c r="AL3868" s="35"/>
      <c r="AM3868" s="35"/>
      <c r="AN3868" s="35"/>
      <c r="AO3868" s="35"/>
      <c r="AP3868" s="35"/>
    </row>
    <row r="3869" spans="1:42" x14ac:dyDescent="0.2">
      <c r="A3869" s="38">
        <v>45590</v>
      </c>
      <c r="B3869" s="28" t="s">
        <v>37</v>
      </c>
      <c r="C3869" s="41" t="s">
        <v>118</v>
      </c>
      <c r="D3869" s="26" t="s">
        <v>36</v>
      </c>
      <c r="E3869" s="26" t="s">
        <v>56</v>
      </c>
      <c r="F3869" s="26" t="s">
        <v>9419</v>
      </c>
      <c r="G3869" s="26" t="s">
        <v>108</v>
      </c>
      <c r="H3869" s="26" t="s">
        <v>13941</v>
      </c>
      <c r="I3869" s="17">
        <f ca="1">IFERROR(__xludf.DUMMYFUNCTION("""COMPUTED_VALUE"""),45802)</f>
        <v>45802</v>
      </c>
      <c r="J3869" s="29" t="s">
        <v>9458</v>
      </c>
      <c r="K3869" s="26" t="s">
        <v>13942</v>
      </c>
      <c r="L3869" s="30">
        <v>981302862</v>
      </c>
      <c r="M3869" s="26" t="s">
        <v>45</v>
      </c>
      <c r="N3869" s="26" t="s">
        <v>8518</v>
      </c>
      <c r="O3869" s="26" t="s">
        <v>9460</v>
      </c>
      <c r="P3869" s="26" t="s">
        <v>9461</v>
      </c>
      <c r="Q3869" s="20"/>
      <c r="R3869" s="26" t="s">
        <v>36</v>
      </c>
      <c r="S3869" s="95">
        <v>9317</v>
      </c>
      <c r="T3869" s="148">
        <v>45483</v>
      </c>
      <c r="U3869" s="31"/>
      <c r="V3869" s="32"/>
      <c r="W3869" s="33" t="s">
        <v>9462</v>
      </c>
      <c r="X3869" s="26"/>
      <c r="Y3869" s="22"/>
      <c r="Z3869" s="26" t="s">
        <v>50</v>
      </c>
      <c r="AA3869" s="70" t="s">
        <v>9070</v>
      </c>
      <c r="AB3869" s="26"/>
      <c r="AC3869" s="26" t="s">
        <v>53</v>
      </c>
      <c r="AD3869" s="26" t="s">
        <v>54</v>
      </c>
      <c r="AE3869" s="26" t="s">
        <v>9419</v>
      </c>
      <c r="AF3869" s="17">
        <v>45782</v>
      </c>
      <c r="AG3869" s="26"/>
      <c r="AH3869" s="26"/>
      <c r="AI3869" s="40"/>
      <c r="AJ3869" s="26"/>
      <c r="AK3869" s="26"/>
      <c r="AL3869" s="35"/>
      <c r="AM3869" s="35"/>
      <c r="AN3869" s="35"/>
      <c r="AO3869" s="35"/>
      <c r="AP3869" s="35"/>
    </row>
    <row r="3870" spans="1:42" x14ac:dyDescent="0.2">
      <c r="A3870" s="38">
        <v>45591</v>
      </c>
      <c r="B3870" s="28" t="s">
        <v>37</v>
      </c>
      <c r="C3870" s="41" t="s">
        <v>118</v>
      </c>
      <c r="D3870" s="80" t="s">
        <v>36</v>
      </c>
      <c r="E3870" s="80" t="s">
        <v>39</v>
      </c>
      <c r="F3870" s="80" t="s">
        <v>11723</v>
      </c>
      <c r="G3870" s="26" t="s">
        <v>108</v>
      </c>
      <c r="H3870" s="26" t="s">
        <v>13943</v>
      </c>
      <c r="I3870" s="17">
        <f ca="1">IFERROR(__xludf.DUMMYFUNCTION("""COMPUTED_VALUE"""),45660)</f>
        <v>45660</v>
      </c>
      <c r="J3870" s="143" t="s">
        <v>12732</v>
      </c>
      <c r="K3870" s="80" t="s">
        <v>13944</v>
      </c>
      <c r="L3870" s="30">
        <v>375959015</v>
      </c>
      <c r="M3870" s="80" t="s">
        <v>45</v>
      </c>
      <c r="N3870" s="80" t="s">
        <v>299</v>
      </c>
      <c r="O3870" s="80" t="s">
        <v>12734</v>
      </c>
      <c r="P3870" s="144" t="s">
        <v>13945</v>
      </c>
      <c r="Q3870" s="20">
        <v>5736</v>
      </c>
      <c r="R3870" s="80" t="s">
        <v>36</v>
      </c>
      <c r="S3870" s="95">
        <v>5736</v>
      </c>
      <c r="T3870" s="148">
        <v>45539</v>
      </c>
      <c r="U3870" s="77"/>
      <c r="V3870" s="78"/>
      <c r="W3870" s="80" t="s">
        <v>12736</v>
      </c>
      <c r="X3870" s="80">
        <v>0</v>
      </c>
      <c r="Y3870" s="22">
        <v>0</v>
      </c>
      <c r="Z3870" s="80" t="s">
        <v>50</v>
      </c>
      <c r="AA3870" s="35" t="s">
        <v>3291</v>
      </c>
      <c r="AB3870" s="80"/>
      <c r="AC3870" s="80" t="s">
        <v>53</v>
      </c>
      <c r="AD3870" s="80" t="s">
        <v>54</v>
      </c>
      <c r="AE3870" s="80" t="s">
        <v>11723</v>
      </c>
      <c r="AF3870" s="17">
        <v>45595</v>
      </c>
      <c r="AG3870" s="80"/>
      <c r="AH3870" s="80"/>
      <c r="AI3870" s="147" t="s">
        <v>55</v>
      </c>
      <c r="AJ3870" s="80"/>
      <c r="AK3870" s="80"/>
      <c r="AL3870" s="35"/>
      <c r="AM3870" s="35"/>
      <c r="AN3870" s="35"/>
      <c r="AO3870" s="35"/>
      <c r="AP3870" s="35"/>
    </row>
    <row r="3871" spans="1:42" x14ac:dyDescent="0.2">
      <c r="A3871" s="38">
        <v>45591</v>
      </c>
      <c r="B3871" s="28" t="s">
        <v>37</v>
      </c>
      <c r="C3871" s="41" t="s">
        <v>118</v>
      </c>
      <c r="D3871" s="80" t="s">
        <v>36</v>
      </c>
      <c r="E3871" s="80" t="s">
        <v>139</v>
      </c>
      <c r="F3871" s="80" t="s">
        <v>11718</v>
      </c>
      <c r="G3871" s="26" t="s">
        <v>108</v>
      </c>
      <c r="H3871" s="26" t="s">
        <v>10199</v>
      </c>
      <c r="I3871" s="17">
        <f ca="1">IFERROR(__xludf.DUMMYFUNCTION("""COMPUTED_VALUE"""),45600)</f>
        <v>45600</v>
      </c>
      <c r="J3871" s="143" t="s">
        <v>12610</v>
      </c>
      <c r="K3871" s="80" t="s">
        <v>12611</v>
      </c>
      <c r="L3871" s="30">
        <v>866115013</v>
      </c>
      <c r="M3871" s="80" t="s">
        <v>3288</v>
      </c>
      <c r="N3871" s="80" t="s">
        <v>200</v>
      </c>
      <c r="O3871" s="80" t="s">
        <v>12612</v>
      </c>
      <c r="P3871" s="144" t="s">
        <v>12613</v>
      </c>
      <c r="Q3871" s="20">
        <v>15936</v>
      </c>
      <c r="R3871" s="80" t="s">
        <v>36</v>
      </c>
      <c r="S3871" s="95">
        <v>1968</v>
      </c>
      <c r="T3871" s="148">
        <v>45537</v>
      </c>
      <c r="U3871" s="95">
        <v>13968</v>
      </c>
      <c r="V3871" s="148">
        <v>45554</v>
      </c>
      <c r="W3871" s="85" t="s">
        <v>12614</v>
      </c>
      <c r="X3871" s="80">
        <v>0</v>
      </c>
      <c r="Y3871" s="22">
        <v>0</v>
      </c>
      <c r="Z3871" s="80" t="s">
        <v>50</v>
      </c>
      <c r="AA3871" s="96" t="s">
        <v>3291</v>
      </c>
      <c r="AB3871" s="80"/>
      <c r="AC3871" s="80" t="s">
        <v>53</v>
      </c>
      <c r="AD3871" s="80" t="s">
        <v>54</v>
      </c>
      <c r="AE3871" s="80" t="s">
        <v>11718</v>
      </c>
      <c r="AF3871" s="17">
        <v>45595</v>
      </c>
      <c r="AG3871" s="80"/>
      <c r="AH3871" s="80"/>
      <c r="AI3871" s="147" t="s">
        <v>147</v>
      </c>
      <c r="AJ3871" s="80"/>
      <c r="AK3871" s="80"/>
      <c r="AL3871" s="35"/>
      <c r="AM3871" s="35"/>
      <c r="AN3871" s="35"/>
      <c r="AO3871" s="35"/>
      <c r="AP3871" s="35"/>
    </row>
    <row r="3872" spans="1:42" x14ac:dyDescent="0.2">
      <c r="A3872" s="38">
        <v>45591</v>
      </c>
      <c r="B3872" s="28" t="s">
        <v>37</v>
      </c>
      <c r="C3872" s="41" t="s">
        <v>118</v>
      </c>
      <c r="D3872" s="80" t="s">
        <v>36</v>
      </c>
      <c r="E3872" s="80" t="s">
        <v>139</v>
      </c>
      <c r="F3872" s="80" t="s">
        <v>11723</v>
      </c>
      <c r="G3872" s="26" t="s">
        <v>108</v>
      </c>
      <c r="H3872" s="26" t="s">
        <v>8844</v>
      </c>
      <c r="I3872" s="17">
        <f ca="1">IFERROR(__xludf.DUMMYFUNCTION("""COMPUTED_VALUE"""),45593)</f>
        <v>45593</v>
      </c>
      <c r="J3872" s="143" t="s">
        <v>13946</v>
      </c>
      <c r="K3872" s="80" t="s">
        <v>13947</v>
      </c>
      <c r="L3872" s="30">
        <v>393066196</v>
      </c>
      <c r="M3872" s="80" t="s">
        <v>80</v>
      </c>
      <c r="N3872" s="80" t="s">
        <v>1073</v>
      </c>
      <c r="O3872" s="80" t="s">
        <v>13948</v>
      </c>
      <c r="P3872" s="144" t="s">
        <v>13949</v>
      </c>
      <c r="Q3872" s="20">
        <v>15936</v>
      </c>
      <c r="R3872" s="80" t="s">
        <v>36</v>
      </c>
      <c r="S3872" s="95">
        <f>200+1800</f>
        <v>2000</v>
      </c>
      <c r="T3872" s="83" t="s">
        <v>13950</v>
      </c>
      <c r="U3872" s="95">
        <f>10000+3936</f>
        <v>13936</v>
      </c>
      <c r="V3872" s="83" t="s">
        <v>13951</v>
      </c>
      <c r="W3872" s="85" t="s">
        <v>13952</v>
      </c>
      <c r="X3872" s="80">
        <v>0</v>
      </c>
      <c r="Y3872" s="22">
        <v>0</v>
      </c>
      <c r="Z3872" s="26" t="s">
        <v>118</v>
      </c>
      <c r="AA3872" s="86"/>
      <c r="AB3872" s="80"/>
      <c r="AC3872" s="80" t="s">
        <v>53</v>
      </c>
      <c r="AD3872" s="80" t="s">
        <v>54</v>
      </c>
      <c r="AE3872" s="80" t="s">
        <v>11723</v>
      </c>
      <c r="AF3872" s="17">
        <v>45593</v>
      </c>
      <c r="AG3872" s="80"/>
      <c r="AH3872" s="80"/>
      <c r="AI3872" s="147"/>
      <c r="AJ3872" s="80"/>
      <c r="AK3872" s="80"/>
      <c r="AL3872" s="35"/>
      <c r="AM3872" s="35"/>
      <c r="AN3872" s="35"/>
      <c r="AO3872" s="35"/>
      <c r="AP3872" s="35"/>
    </row>
    <row r="3873" spans="1:42" x14ac:dyDescent="0.2">
      <c r="A3873" s="38">
        <v>45592</v>
      </c>
      <c r="B3873" s="28" t="s">
        <v>37</v>
      </c>
      <c r="C3873" s="41" t="s">
        <v>118</v>
      </c>
      <c r="D3873" s="80" t="s">
        <v>36</v>
      </c>
      <c r="E3873" s="80" t="s">
        <v>56</v>
      </c>
      <c r="F3873" s="80" t="s">
        <v>11718</v>
      </c>
      <c r="G3873" s="26" t="s">
        <v>108</v>
      </c>
      <c r="H3873" s="26" t="s">
        <v>10199</v>
      </c>
      <c r="I3873" s="17">
        <f ca="1">IFERROR(__xludf.DUMMYFUNCTION("""COMPUTED_VALUE"""),45600)</f>
        <v>45600</v>
      </c>
      <c r="J3873" s="143" t="s">
        <v>12590</v>
      </c>
      <c r="K3873" s="80" t="s">
        <v>13953</v>
      </c>
      <c r="L3873" s="30">
        <v>383038266</v>
      </c>
      <c r="M3873" s="80" t="s">
        <v>5558</v>
      </c>
      <c r="N3873" s="80" t="s">
        <v>5559</v>
      </c>
      <c r="O3873" s="80" t="s">
        <v>4503</v>
      </c>
      <c r="P3873" s="144" t="s">
        <v>13954</v>
      </c>
      <c r="Q3873" s="20">
        <v>9317</v>
      </c>
      <c r="R3873" s="80" t="s">
        <v>36</v>
      </c>
      <c r="S3873" s="95">
        <v>2000</v>
      </c>
      <c r="T3873" s="148">
        <v>45535</v>
      </c>
      <c r="U3873" s="95">
        <v>7317</v>
      </c>
      <c r="V3873" s="148">
        <v>45559</v>
      </c>
      <c r="W3873" s="85" t="s">
        <v>12593</v>
      </c>
      <c r="X3873" s="80">
        <v>0</v>
      </c>
      <c r="Y3873" s="22">
        <v>0</v>
      </c>
      <c r="Z3873" s="80" t="s">
        <v>50</v>
      </c>
      <c r="AA3873" s="96" t="s">
        <v>3291</v>
      </c>
      <c r="AB3873" s="80"/>
      <c r="AC3873" s="80" t="s">
        <v>53</v>
      </c>
      <c r="AD3873" s="80" t="s">
        <v>54</v>
      </c>
      <c r="AE3873" s="80" t="s">
        <v>11718</v>
      </c>
      <c r="AF3873" s="17">
        <v>45595</v>
      </c>
      <c r="AG3873" s="80"/>
      <c r="AH3873" s="80"/>
      <c r="AI3873" s="147" t="s">
        <v>64</v>
      </c>
      <c r="AJ3873" s="80"/>
      <c r="AK3873" s="80"/>
      <c r="AL3873" s="35"/>
      <c r="AM3873" s="35"/>
      <c r="AN3873" s="35"/>
      <c r="AO3873" s="35"/>
      <c r="AP3873" s="35"/>
    </row>
    <row r="3874" spans="1:42" x14ac:dyDescent="0.2">
      <c r="A3874" s="38">
        <v>45592</v>
      </c>
      <c r="B3874" s="28" t="s">
        <v>37</v>
      </c>
      <c r="C3874" s="41" t="s">
        <v>118</v>
      </c>
      <c r="D3874" s="80" t="s">
        <v>36</v>
      </c>
      <c r="E3874" s="80" t="s">
        <v>139</v>
      </c>
      <c r="F3874" s="80" t="s">
        <v>11718</v>
      </c>
      <c r="G3874" s="26" t="s">
        <v>108</v>
      </c>
      <c r="H3874" s="26" t="s">
        <v>10199</v>
      </c>
      <c r="I3874" s="17">
        <f ca="1">IFERROR(__xludf.DUMMYFUNCTION("""COMPUTED_VALUE"""),45600)</f>
        <v>45600</v>
      </c>
      <c r="J3874" s="143" t="s">
        <v>12563</v>
      </c>
      <c r="K3874" s="145" t="s">
        <v>13955</v>
      </c>
      <c r="L3874" s="47">
        <v>817210276</v>
      </c>
      <c r="M3874" s="145" t="s">
        <v>123</v>
      </c>
      <c r="N3874" s="145" t="s">
        <v>327</v>
      </c>
      <c r="O3874" s="80" t="s">
        <v>4503</v>
      </c>
      <c r="P3874" s="144" t="s">
        <v>13956</v>
      </c>
      <c r="Q3874" s="20">
        <v>15936</v>
      </c>
      <c r="R3874" s="80" t="s">
        <v>36</v>
      </c>
      <c r="S3874" s="95">
        <f>200+2800+5000</f>
        <v>8000</v>
      </c>
      <c r="T3874" s="83" t="s">
        <v>12566</v>
      </c>
      <c r="U3874" s="95">
        <v>7936</v>
      </c>
      <c r="V3874" s="148">
        <v>45564</v>
      </c>
      <c r="W3874" s="85" t="s">
        <v>12567</v>
      </c>
      <c r="X3874" s="80">
        <v>0</v>
      </c>
      <c r="Y3874" s="22">
        <v>0</v>
      </c>
      <c r="Z3874" s="80" t="s">
        <v>50</v>
      </c>
      <c r="AA3874" s="35" t="s">
        <v>3291</v>
      </c>
      <c r="AB3874" s="80"/>
      <c r="AC3874" s="80" t="s">
        <v>53</v>
      </c>
      <c r="AD3874" s="80" t="s">
        <v>54</v>
      </c>
      <c r="AE3874" s="80" t="s">
        <v>11718</v>
      </c>
      <c r="AF3874" s="17">
        <v>45595</v>
      </c>
      <c r="AG3874" s="80"/>
      <c r="AH3874" s="80"/>
      <c r="AI3874" s="147" t="s">
        <v>147</v>
      </c>
      <c r="AJ3874" s="80"/>
      <c r="AK3874" s="80"/>
      <c r="AL3874" s="35"/>
      <c r="AM3874" s="35"/>
      <c r="AN3874" s="35"/>
      <c r="AO3874" s="35"/>
      <c r="AP3874" s="35"/>
    </row>
    <row r="3875" spans="1:42" x14ac:dyDescent="0.2">
      <c r="A3875" s="38">
        <v>45593</v>
      </c>
      <c r="B3875" s="137" t="s">
        <v>37</v>
      </c>
      <c r="C3875" s="41" t="s">
        <v>118</v>
      </c>
      <c r="D3875" s="80" t="s">
        <v>36</v>
      </c>
      <c r="E3875" s="80" t="s">
        <v>139</v>
      </c>
      <c r="F3875" s="80" t="s">
        <v>8392</v>
      </c>
      <c r="G3875" s="26" t="s">
        <v>108</v>
      </c>
      <c r="H3875" s="26" t="s">
        <v>13957</v>
      </c>
      <c r="I3875" s="17">
        <f ca="1">IFERROR(__xludf.DUMMYFUNCTION("""COMPUTED_VALUE"""),45600)</f>
        <v>45600</v>
      </c>
      <c r="J3875" s="143" t="s">
        <v>12125</v>
      </c>
      <c r="K3875" s="80" t="s">
        <v>13958</v>
      </c>
      <c r="L3875" s="30">
        <v>333350675</v>
      </c>
      <c r="M3875" s="80" t="s">
        <v>3728</v>
      </c>
      <c r="N3875" s="80" t="s">
        <v>5312</v>
      </c>
      <c r="O3875" s="80" t="s">
        <v>12127</v>
      </c>
      <c r="P3875" s="80" t="s">
        <v>12128</v>
      </c>
      <c r="Q3875" s="20">
        <v>15936</v>
      </c>
      <c r="R3875" s="80" t="s">
        <v>36</v>
      </c>
      <c r="S3875" s="95">
        <f>200+1800</f>
        <v>2000</v>
      </c>
      <c r="T3875" s="83" t="s">
        <v>12129</v>
      </c>
      <c r="U3875" s="95">
        <v>13936</v>
      </c>
      <c r="V3875" s="148">
        <v>45553</v>
      </c>
      <c r="W3875" s="85" t="s">
        <v>12130</v>
      </c>
      <c r="X3875" s="80">
        <v>0</v>
      </c>
      <c r="Y3875" s="22">
        <v>0</v>
      </c>
      <c r="Z3875" s="80" t="s">
        <v>50</v>
      </c>
      <c r="AA3875" s="96" t="s">
        <v>3291</v>
      </c>
      <c r="AB3875" s="80"/>
      <c r="AC3875" s="80" t="s">
        <v>53</v>
      </c>
      <c r="AD3875" s="80" t="s">
        <v>54</v>
      </c>
      <c r="AE3875" s="80" t="s">
        <v>8392</v>
      </c>
      <c r="AF3875" s="17">
        <v>45595</v>
      </c>
      <c r="AG3875" s="80"/>
      <c r="AH3875" s="80"/>
      <c r="AI3875" s="147" t="s">
        <v>147</v>
      </c>
      <c r="AJ3875" s="80"/>
      <c r="AK3875" s="80"/>
      <c r="AL3875" s="35"/>
      <c r="AM3875" s="35"/>
      <c r="AN3875" s="35"/>
      <c r="AO3875" s="35"/>
      <c r="AP3875" s="35"/>
    </row>
    <row r="3876" spans="1:42" x14ac:dyDescent="0.2">
      <c r="A3876" s="38">
        <v>45593</v>
      </c>
      <c r="B3876" s="137" t="s">
        <v>37</v>
      </c>
      <c r="C3876" s="41" t="s">
        <v>118</v>
      </c>
      <c r="D3876" s="26" t="s">
        <v>36</v>
      </c>
      <c r="E3876" s="26" t="s">
        <v>56</v>
      </c>
      <c r="F3876" s="80" t="s">
        <v>8392</v>
      </c>
      <c r="G3876" s="26" t="s">
        <v>108</v>
      </c>
      <c r="H3876" s="26" t="s">
        <v>13957</v>
      </c>
      <c r="I3876" s="17">
        <f ca="1">IFERROR(__xludf.DUMMYFUNCTION("""COMPUTED_VALUE"""),45600)</f>
        <v>45600</v>
      </c>
      <c r="J3876" s="29" t="s">
        <v>8393</v>
      </c>
      <c r="K3876" s="26" t="s">
        <v>8394</v>
      </c>
      <c r="L3876" s="30">
        <v>773386206</v>
      </c>
      <c r="M3876" s="26" t="s">
        <v>633</v>
      </c>
      <c r="N3876" s="26" t="s">
        <v>2847</v>
      </c>
      <c r="O3876" s="26" t="s">
        <v>8395</v>
      </c>
      <c r="P3876" s="42" t="s">
        <v>13959</v>
      </c>
      <c r="Q3876" s="20">
        <v>15936</v>
      </c>
      <c r="R3876" s="26" t="s">
        <v>36</v>
      </c>
      <c r="S3876" s="31">
        <v>15936</v>
      </c>
      <c r="T3876" s="32">
        <v>45210</v>
      </c>
      <c r="U3876" s="31"/>
      <c r="V3876" s="32"/>
      <c r="W3876" s="33" t="s">
        <v>4202</v>
      </c>
      <c r="X3876" s="26"/>
      <c r="Y3876" s="22">
        <v>0</v>
      </c>
      <c r="Z3876" s="26" t="s">
        <v>118</v>
      </c>
      <c r="AA3876" s="19" t="s">
        <v>5785</v>
      </c>
      <c r="AB3876" s="26" t="s">
        <v>36</v>
      </c>
      <c r="AC3876" s="26" t="s">
        <v>53</v>
      </c>
      <c r="AD3876" s="19" t="s">
        <v>54</v>
      </c>
      <c r="AE3876" s="80" t="s">
        <v>8392</v>
      </c>
      <c r="AF3876" s="17">
        <v>45595</v>
      </c>
      <c r="AG3876" s="91" t="s">
        <v>8397</v>
      </c>
      <c r="AH3876" s="29" t="s">
        <v>4199</v>
      </c>
      <c r="AI3876" s="40" t="s">
        <v>147</v>
      </c>
      <c r="AJ3876" s="26"/>
      <c r="AK3876" s="26"/>
      <c r="AL3876" s="35"/>
      <c r="AM3876" s="35"/>
      <c r="AN3876" s="35"/>
      <c r="AO3876" s="35"/>
      <c r="AP3876" s="35"/>
    </row>
    <row r="3877" spans="1:42" x14ac:dyDescent="0.2">
      <c r="A3877" s="38">
        <v>45593</v>
      </c>
      <c r="B3877" s="137" t="s">
        <v>37</v>
      </c>
      <c r="C3877" s="41" t="s">
        <v>118</v>
      </c>
      <c r="D3877" s="80" t="s">
        <v>36</v>
      </c>
      <c r="E3877" s="80" t="s">
        <v>56</v>
      </c>
      <c r="F3877" s="80" t="s">
        <v>8392</v>
      </c>
      <c r="G3877" s="26" t="s">
        <v>108</v>
      </c>
      <c r="H3877" s="26" t="s">
        <v>13957</v>
      </c>
      <c r="I3877" s="17">
        <f ca="1">IFERROR(__xludf.DUMMYFUNCTION("""COMPUTED_VALUE"""),45600)</f>
        <v>45600</v>
      </c>
      <c r="J3877" s="143" t="s">
        <v>12422</v>
      </c>
      <c r="K3877" s="80" t="s">
        <v>12423</v>
      </c>
      <c r="L3877" s="30">
        <v>912535512</v>
      </c>
      <c r="M3877" s="80" t="s">
        <v>9422</v>
      </c>
      <c r="N3877" s="80" t="s">
        <v>68</v>
      </c>
      <c r="O3877" s="80" t="s">
        <v>12424</v>
      </c>
      <c r="P3877" s="144" t="s">
        <v>12425</v>
      </c>
      <c r="Q3877" s="20">
        <v>9317</v>
      </c>
      <c r="R3877" s="80" t="s">
        <v>11421</v>
      </c>
      <c r="S3877" s="95">
        <f>2000+3000</f>
        <v>5000</v>
      </c>
      <c r="T3877" s="83" t="s">
        <v>12426</v>
      </c>
      <c r="U3877" s="95">
        <v>4017</v>
      </c>
      <c r="V3877" s="148">
        <v>45552</v>
      </c>
      <c r="W3877" s="85" t="s">
        <v>12427</v>
      </c>
      <c r="X3877" s="80">
        <v>300</v>
      </c>
      <c r="Y3877" s="22">
        <v>0</v>
      </c>
      <c r="Z3877" s="80" t="s">
        <v>50</v>
      </c>
      <c r="AA3877" s="96" t="s">
        <v>3291</v>
      </c>
      <c r="AB3877" s="80"/>
      <c r="AC3877" s="80" t="s">
        <v>1828</v>
      </c>
      <c r="AD3877" s="80" t="s">
        <v>54</v>
      </c>
      <c r="AE3877" s="80" t="s">
        <v>8392</v>
      </c>
      <c r="AF3877" s="60" t="s">
        <v>1829</v>
      </c>
      <c r="AG3877" s="80" t="s">
        <v>1828</v>
      </c>
      <c r="AH3877" s="80"/>
      <c r="AI3877" s="147" t="s">
        <v>64</v>
      </c>
      <c r="AJ3877" s="80"/>
      <c r="AK3877" s="80"/>
      <c r="AL3877" s="35"/>
      <c r="AM3877" s="35"/>
      <c r="AN3877" s="35"/>
      <c r="AO3877" s="35"/>
      <c r="AP3877" s="35"/>
    </row>
    <row r="3878" spans="1:42" x14ac:dyDescent="0.2">
      <c r="A3878" s="38">
        <v>45593</v>
      </c>
      <c r="B3878" s="137" t="s">
        <v>37</v>
      </c>
      <c r="C3878" s="41" t="s">
        <v>118</v>
      </c>
      <c r="D3878" s="80" t="s">
        <v>36</v>
      </c>
      <c r="E3878" s="80" t="s">
        <v>39</v>
      </c>
      <c r="F3878" s="80" t="s">
        <v>8392</v>
      </c>
      <c r="G3878" s="26" t="s">
        <v>108</v>
      </c>
      <c r="H3878" s="26" t="s">
        <v>13957</v>
      </c>
      <c r="I3878" s="17">
        <f ca="1">IFERROR(__xludf.DUMMYFUNCTION("""COMPUTED_VALUE"""),45600)</f>
        <v>45600</v>
      </c>
      <c r="J3878" s="143" t="s">
        <v>11646</v>
      </c>
      <c r="K3878" s="80" t="s">
        <v>11647</v>
      </c>
      <c r="L3878" s="30">
        <v>947700459</v>
      </c>
      <c r="M3878" s="80" t="s">
        <v>348</v>
      </c>
      <c r="N3878" s="80" t="s">
        <v>68</v>
      </c>
      <c r="O3878" s="80" t="s">
        <v>11648</v>
      </c>
      <c r="P3878" s="144" t="s">
        <v>13960</v>
      </c>
      <c r="Q3878" s="20">
        <v>5736</v>
      </c>
      <c r="R3878" s="80" t="s">
        <v>36</v>
      </c>
      <c r="S3878" s="95">
        <v>5736</v>
      </c>
      <c r="T3878" s="148">
        <v>45529</v>
      </c>
      <c r="U3878" s="77"/>
      <c r="V3878" s="78"/>
      <c r="W3878" s="85" t="s">
        <v>11650</v>
      </c>
      <c r="X3878" s="80">
        <v>0</v>
      </c>
      <c r="Y3878" s="22">
        <v>0</v>
      </c>
      <c r="Z3878" s="80" t="s">
        <v>50</v>
      </c>
      <c r="AA3878" s="35" t="s">
        <v>10314</v>
      </c>
      <c r="AB3878" s="80"/>
      <c r="AC3878" s="80" t="s">
        <v>53</v>
      </c>
      <c r="AD3878" s="80"/>
      <c r="AE3878" s="80" t="s">
        <v>8392</v>
      </c>
      <c r="AF3878" s="17">
        <v>45595</v>
      </c>
      <c r="AG3878" s="80"/>
      <c r="AH3878" s="80"/>
      <c r="AI3878" s="147"/>
      <c r="AJ3878" s="80"/>
      <c r="AK3878" s="80"/>
      <c r="AL3878" s="35"/>
      <c r="AM3878" s="35"/>
      <c r="AN3878" s="35"/>
      <c r="AO3878" s="35"/>
      <c r="AP3878" s="35"/>
    </row>
    <row r="3879" spans="1:42" x14ac:dyDescent="0.2">
      <c r="A3879" s="38">
        <v>45593</v>
      </c>
      <c r="B3879" s="137" t="s">
        <v>37</v>
      </c>
      <c r="C3879" s="41" t="s">
        <v>118</v>
      </c>
      <c r="D3879" s="80" t="s">
        <v>36</v>
      </c>
      <c r="E3879" s="80" t="s">
        <v>39</v>
      </c>
      <c r="F3879" s="80" t="s">
        <v>8392</v>
      </c>
      <c r="G3879" s="26" t="s">
        <v>108</v>
      </c>
      <c r="H3879" s="26" t="s">
        <v>13957</v>
      </c>
      <c r="I3879" s="17">
        <f ca="1">IFERROR(__xludf.DUMMYFUNCTION("""COMPUTED_VALUE"""),45600)</f>
        <v>45600</v>
      </c>
      <c r="J3879" s="143" t="s">
        <v>12428</v>
      </c>
      <c r="K3879" s="80" t="s">
        <v>12429</v>
      </c>
      <c r="L3879" s="30">
        <v>375165182</v>
      </c>
      <c r="M3879" s="80" t="s">
        <v>9422</v>
      </c>
      <c r="N3879" s="80" t="s">
        <v>2157</v>
      </c>
      <c r="O3879" s="80" t="s">
        <v>12430</v>
      </c>
      <c r="P3879" s="186" t="s">
        <v>12431</v>
      </c>
      <c r="Q3879" s="20">
        <v>5736</v>
      </c>
      <c r="R3879" s="80" t="s">
        <v>11421</v>
      </c>
      <c r="S3879" s="95">
        <v>1968</v>
      </c>
      <c r="T3879" s="148">
        <v>45529</v>
      </c>
      <c r="U3879" s="95">
        <v>3436</v>
      </c>
      <c r="V3879" s="148">
        <v>45560</v>
      </c>
      <c r="W3879" s="85" t="s">
        <v>12432</v>
      </c>
      <c r="X3879" s="80">
        <v>300</v>
      </c>
      <c r="Y3879" s="22">
        <v>32</v>
      </c>
      <c r="Z3879" s="80" t="s">
        <v>50</v>
      </c>
      <c r="AA3879" s="96" t="s">
        <v>3291</v>
      </c>
      <c r="AB3879" s="80"/>
      <c r="AC3879" s="80" t="s">
        <v>53</v>
      </c>
      <c r="AD3879" s="80" t="s">
        <v>54</v>
      </c>
      <c r="AE3879" s="80" t="s">
        <v>8392</v>
      </c>
      <c r="AF3879" s="17">
        <v>45595</v>
      </c>
      <c r="AG3879" s="80"/>
      <c r="AH3879" s="80"/>
      <c r="AI3879" s="147" t="s">
        <v>55</v>
      </c>
      <c r="AJ3879" s="80"/>
      <c r="AK3879" s="80"/>
      <c r="AL3879" s="35"/>
      <c r="AM3879" s="35"/>
      <c r="AN3879" s="35"/>
      <c r="AO3879" s="35"/>
      <c r="AP3879" s="35"/>
    </row>
    <row r="3880" spans="1:42" x14ac:dyDescent="0.2">
      <c r="A3880" s="38">
        <v>45593</v>
      </c>
      <c r="B3880" s="137" t="s">
        <v>37</v>
      </c>
      <c r="C3880" s="41" t="s">
        <v>118</v>
      </c>
      <c r="D3880" s="80" t="s">
        <v>36</v>
      </c>
      <c r="E3880" s="80" t="s">
        <v>56</v>
      </c>
      <c r="F3880" s="80" t="s">
        <v>8392</v>
      </c>
      <c r="G3880" s="26" t="s">
        <v>108</v>
      </c>
      <c r="H3880" s="26" t="s">
        <v>13957</v>
      </c>
      <c r="I3880" s="17">
        <f ca="1">IFERROR(__xludf.DUMMYFUNCTION("""COMPUTED_VALUE"""),45600)</f>
        <v>45600</v>
      </c>
      <c r="J3880" s="143" t="s">
        <v>12433</v>
      </c>
      <c r="K3880" s="80" t="s">
        <v>13961</v>
      </c>
      <c r="L3880" s="30">
        <v>367933862</v>
      </c>
      <c r="M3880" s="80" t="s">
        <v>3728</v>
      </c>
      <c r="N3880" s="80" t="s">
        <v>5312</v>
      </c>
      <c r="O3880" s="80" t="s">
        <v>12435</v>
      </c>
      <c r="P3880" s="144" t="s">
        <v>12436</v>
      </c>
      <c r="Q3880" s="20">
        <v>9317</v>
      </c>
      <c r="R3880" s="80" t="s">
        <v>36</v>
      </c>
      <c r="S3880" s="95">
        <f>200+1800</f>
        <v>2000</v>
      </c>
      <c r="T3880" s="83" t="s">
        <v>12437</v>
      </c>
      <c r="U3880" s="95">
        <v>7317</v>
      </c>
      <c r="V3880" s="148">
        <v>45554</v>
      </c>
      <c r="W3880" s="85" t="s">
        <v>12438</v>
      </c>
      <c r="X3880" s="80">
        <v>0</v>
      </c>
      <c r="Y3880" s="22">
        <v>0</v>
      </c>
      <c r="Z3880" s="80" t="s">
        <v>50</v>
      </c>
      <c r="AA3880" s="35" t="s">
        <v>3291</v>
      </c>
      <c r="AB3880" s="80"/>
      <c r="AC3880" s="80" t="s">
        <v>53</v>
      </c>
      <c r="AD3880" s="80" t="s">
        <v>54</v>
      </c>
      <c r="AE3880" s="80" t="s">
        <v>8392</v>
      </c>
      <c r="AF3880" s="17">
        <v>45595</v>
      </c>
      <c r="AG3880" s="80"/>
      <c r="AH3880" s="80"/>
      <c r="AI3880" s="147" t="s">
        <v>64</v>
      </c>
      <c r="AJ3880" s="80"/>
      <c r="AK3880" s="80"/>
      <c r="AL3880" s="35"/>
      <c r="AM3880" s="35"/>
      <c r="AN3880" s="35"/>
      <c r="AO3880" s="35"/>
      <c r="AP3880" s="35"/>
    </row>
    <row r="3881" spans="1:42" x14ac:dyDescent="0.2">
      <c r="A3881" s="38">
        <v>45593</v>
      </c>
      <c r="B3881" s="137" t="s">
        <v>37</v>
      </c>
      <c r="C3881" s="41" t="s">
        <v>118</v>
      </c>
      <c r="D3881" s="80" t="s">
        <v>36</v>
      </c>
      <c r="E3881" s="80" t="s">
        <v>139</v>
      </c>
      <c r="F3881" s="80" t="s">
        <v>8392</v>
      </c>
      <c r="G3881" s="26" t="s">
        <v>108</v>
      </c>
      <c r="H3881" s="26" t="s">
        <v>13957</v>
      </c>
      <c r="I3881" s="17">
        <f ca="1">IFERROR(__xludf.DUMMYFUNCTION("""COMPUTED_VALUE"""),45600)</f>
        <v>45600</v>
      </c>
      <c r="J3881" s="143" t="s">
        <v>12489</v>
      </c>
      <c r="K3881" s="80" t="s">
        <v>13962</v>
      </c>
      <c r="L3881" s="30">
        <v>336982229</v>
      </c>
      <c r="M3881" s="80" t="s">
        <v>123</v>
      </c>
      <c r="N3881" s="80" t="s">
        <v>327</v>
      </c>
      <c r="O3881" s="80" t="s">
        <v>4503</v>
      </c>
      <c r="P3881" s="144" t="s">
        <v>13963</v>
      </c>
      <c r="Q3881" s="20">
        <v>15936</v>
      </c>
      <c r="R3881" s="80" t="s">
        <v>36</v>
      </c>
      <c r="S3881" s="95">
        <v>2000</v>
      </c>
      <c r="T3881" s="148">
        <v>45528</v>
      </c>
      <c r="U3881" s="95">
        <v>13936</v>
      </c>
      <c r="V3881" s="148">
        <v>45559</v>
      </c>
      <c r="W3881" s="85" t="s">
        <v>12492</v>
      </c>
      <c r="X3881" s="80">
        <v>0</v>
      </c>
      <c r="Y3881" s="22">
        <v>0</v>
      </c>
      <c r="Z3881" s="80" t="s">
        <v>50</v>
      </c>
      <c r="AA3881" s="96" t="s">
        <v>3291</v>
      </c>
      <c r="AB3881" s="80"/>
      <c r="AC3881" s="80" t="s">
        <v>53</v>
      </c>
      <c r="AD3881" s="80" t="s">
        <v>54</v>
      </c>
      <c r="AE3881" s="80" t="s">
        <v>8392</v>
      </c>
      <c r="AF3881" s="17">
        <v>45595</v>
      </c>
      <c r="AG3881" s="80"/>
      <c r="AH3881" s="80"/>
      <c r="AI3881" s="147" t="s">
        <v>147</v>
      </c>
      <c r="AJ3881" s="80"/>
      <c r="AK3881" s="80"/>
      <c r="AL3881" s="35"/>
      <c r="AM3881" s="35"/>
      <c r="AN3881" s="35"/>
      <c r="AO3881" s="35"/>
      <c r="AP3881" s="35"/>
    </row>
    <row r="3882" spans="1:42" x14ac:dyDescent="0.2">
      <c r="A3882" s="38">
        <v>45593</v>
      </c>
      <c r="B3882" s="137" t="s">
        <v>37</v>
      </c>
      <c r="C3882" s="41" t="s">
        <v>118</v>
      </c>
      <c r="D3882" s="26" t="s">
        <v>36</v>
      </c>
      <c r="E3882" s="26" t="s">
        <v>119</v>
      </c>
      <c r="F3882" s="26" t="s">
        <v>1565</v>
      </c>
      <c r="G3882" s="26" t="s">
        <v>221</v>
      </c>
      <c r="H3882" s="26" t="s">
        <v>8063</v>
      </c>
      <c r="I3882" s="17">
        <f ca="1">IFERROR(__xludf.DUMMYFUNCTION("""COMPUTED_VALUE"""),45596)</f>
        <v>45596</v>
      </c>
      <c r="J3882" s="29" t="s">
        <v>10601</v>
      </c>
      <c r="K3882" s="26" t="s">
        <v>13964</v>
      </c>
      <c r="L3882" s="30">
        <v>965543676</v>
      </c>
      <c r="M3882" s="26" t="s">
        <v>80</v>
      </c>
      <c r="N3882" s="26" t="s">
        <v>466</v>
      </c>
      <c r="O3882" s="26" t="s">
        <v>10603</v>
      </c>
      <c r="P3882" s="42" t="s">
        <v>13965</v>
      </c>
      <c r="Q3882" s="20">
        <v>13968</v>
      </c>
      <c r="R3882" s="26" t="s">
        <v>36</v>
      </c>
      <c r="S3882" s="95">
        <f>200+3600</f>
        <v>3800</v>
      </c>
      <c r="T3882" s="83" t="s">
        <v>10605</v>
      </c>
      <c r="U3882" s="95">
        <v>10168</v>
      </c>
      <c r="V3882" s="148">
        <v>45521</v>
      </c>
      <c r="W3882" s="33" t="s">
        <v>10606</v>
      </c>
      <c r="X3882" s="26">
        <v>0</v>
      </c>
      <c r="Y3882" s="22">
        <v>0</v>
      </c>
      <c r="Z3882" s="26" t="s">
        <v>50</v>
      </c>
      <c r="AA3882" s="35" t="s">
        <v>10314</v>
      </c>
      <c r="AB3882" s="26"/>
      <c r="AC3882" s="26" t="s">
        <v>53</v>
      </c>
      <c r="AD3882" s="26" t="s">
        <v>138</v>
      </c>
      <c r="AE3882" s="26" t="s">
        <v>1565</v>
      </c>
      <c r="AF3882" s="43">
        <v>45596</v>
      </c>
      <c r="AG3882" s="26" t="s">
        <v>4279</v>
      </c>
      <c r="AH3882" s="26"/>
      <c r="AI3882" s="40"/>
      <c r="AJ3882" s="26"/>
      <c r="AK3882" s="26"/>
      <c r="AL3882" s="35"/>
      <c r="AM3882" s="35"/>
      <c r="AN3882" s="35"/>
      <c r="AO3882" s="35"/>
      <c r="AP3882" s="35"/>
    </row>
    <row r="3883" spans="1:42" x14ac:dyDescent="0.2">
      <c r="A3883" s="38">
        <v>45593</v>
      </c>
      <c r="B3883" s="137" t="s">
        <v>37</v>
      </c>
      <c r="C3883" s="41" t="s">
        <v>118</v>
      </c>
      <c r="D3883" s="80" t="s">
        <v>36</v>
      </c>
      <c r="E3883" s="80" t="s">
        <v>148</v>
      </c>
      <c r="F3883" s="80" t="s">
        <v>8867</v>
      </c>
      <c r="G3883" s="149" t="s">
        <v>221</v>
      </c>
      <c r="H3883" s="80" t="s">
        <v>13508</v>
      </c>
      <c r="I3883" s="17">
        <f ca="1">IFERROR(__xludf.DUMMYFUNCTION("""COMPUTED_VALUE"""),45604)</f>
        <v>45604</v>
      </c>
      <c r="J3883" s="172" t="s">
        <v>13966</v>
      </c>
      <c r="K3883" s="80" t="s">
        <v>8895</v>
      </c>
      <c r="L3883" s="30">
        <v>774851847</v>
      </c>
      <c r="M3883" s="80" t="s">
        <v>94</v>
      </c>
      <c r="N3883" s="80" t="s">
        <v>8896</v>
      </c>
      <c r="O3883" s="80" t="s">
        <v>36</v>
      </c>
      <c r="P3883" s="144" t="s">
        <v>8897</v>
      </c>
      <c r="Q3883" s="20">
        <v>7824</v>
      </c>
      <c r="R3883" s="80" t="s">
        <v>36</v>
      </c>
      <c r="S3883" s="77">
        <v>10804</v>
      </c>
      <c r="T3883" s="78">
        <v>45143</v>
      </c>
      <c r="U3883" s="77">
        <v>313</v>
      </c>
      <c r="V3883" s="38">
        <v>45492</v>
      </c>
      <c r="W3883" s="33" t="s">
        <v>8898</v>
      </c>
      <c r="X3883" s="80"/>
      <c r="Y3883" s="22">
        <v>0</v>
      </c>
      <c r="Z3883" s="41" t="s">
        <v>118</v>
      </c>
      <c r="AA3883" s="145" t="s">
        <v>8899</v>
      </c>
      <c r="AB3883" s="80" t="s">
        <v>36</v>
      </c>
      <c r="AC3883" s="80" t="s">
        <v>53</v>
      </c>
      <c r="AD3883" s="153" t="s">
        <v>54</v>
      </c>
      <c r="AE3883" s="80" t="s">
        <v>8867</v>
      </c>
      <c r="AF3883" s="17">
        <v>45600</v>
      </c>
      <c r="AG3883" s="29" t="s">
        <v>8900</v>
      </c>
      <c r="AH3883" s="147">
        <v>1</v>
      </c>
      <c r="AI3883" s="154"/>
      <c r="AJ3883" s="80"/>
      <c r="AK3883" s="80"/>
      <c r="AL3883" s="80"/>
      <c r="AM3883" s="86"/>
      <c r="AN3883" s="86"/>
      <c r="AO3883" s="86"/>
      <c r="AP3883" s="35"/>
    </row>
    <row r="3884" spans="1:42" x14ac:dyDescent="0.2">
      <c r="A3884" s="38">
        <v>45593</v>
      </c>
      <c r="B3884" s="137" t="s">
        <v>37</v>
      </c>
      <c r="C3884" s="41" t="s">
        <v>118</v>
      </c>
      <c r="D3884" s="26" t="s">
        <v>36</v>
      </c>
      <c r="E3884" s="26" t="s">
        <v>148</v>
      </c>
      <c r="F3884" s="26" t="s">
        <v>8668</v>
      </c>
      <c r="G3884" s="149" t="s">
        <v>221</v>
      </c>
      <c r="H3884" s="80" t="s">
        <v>13508</v>
      </c>
      <c r="I3884" s="17">
        <f ca="1">IFERROR(__xludf.DUMMYFUNCTION("""COMPUTED_VALUE"""),45604)</f>
        <v>45604</v>
      </c>
      <c r="J3884" s="29" t="s">
        <v>10453</v>
      </c>
      <c r="K3884" s="26" t="s">
        <v>13967</v>
      </c>
      <c r="L3884" s="47">
        <v>947184306</v>
      </c>
      <c r="M3884" s="26" t="s">
        <v>3728</v>
      </c>
      <c r="N3884" s="26" t="s">
        <v>8725</v>
      </c>
      <c r="O3884" s="26" t="s">
        <v>10455</v>
      </c>
      <c r="P3884" s="42" t="s">
        <v>13968</v>
      </c>
      <c r="Q3884" s="20">
        <v>7349</v>
      </c>
      <c r="R3884" s="26" t="s">
        <v>36</v>
      </c>
      <c r="S3884" s="95">
        <f>200+3800</f>
        <v>4000</v>
      </c>
      <c r="T3884" s="83" t="s">
        <v>10457</v>
      </c>
      <c r="U3884" s="95">
        <v>3349</v>
      </c>
      <c r="V3884" s="148">
        <v>45518</v>
      </c>
      <c r="W3884" s="33" t="s">
        <v>10458</v>
      </c>
      <c r="X3884" s="26">
        <v>0</v>
      </c>
      <c r="Y3884" s="22">
        <v>0</v>
      </c>
      <c r="Z3884" s="26" t="s">
        <v>50</v>
      </c>
      <c r="AA3884" s="35" t="s">
        <v>10314</v>
      </c>
      <c r="AB3884" s="26"/>
      <c r="AC3884" s="26" t="s">
        <v>53</v>
      </c>
      <c r="AD3884" s="26" t="s">
        <v>54</v>
      </c>
      <c r="AE3884" s="26" t="s">
        <v>8668</v>
      </c>
      <c r="AF3884" s="17">
        <v>45600</v>
      </c>
      <c r="AG3884" s="26"/>
      <c r="AH3884" s="26"/>
      <c r="AI3884" s="40"/>
      <c r="AJ3884" s="26"/>
      <c r="AK3884" s="26"/>
      <c r="AL3884" s="35"/>
      <c r="AM3884" s="35"/>
      <c r="AN3884" s="35"/>
      <c r="AO3884" s="35"/>
      <c r="AP3884" s="35"/>
    </row>
    <row r="3885" spans="1:42" x14ac:dyDescent="0.2">
      <c r="A3885" s="38">
        <v>45593</v>
      </c>
      <c r="B3885" s="137" t="s">
        <v>37</v>
      </c>
      <c r="C3885" s="41" t="s">
        <v>118</v>
      </c>
      <c r="D3885" s="26" t="s">
        <v>36</v>
      </c>
      <c r="E3885" s="26" t="s">
        <v>119</v>
      </c>
      <c r="F3885" s="26" t="s">
        <v>8867</v>
      </c>
      <c r="G3885" s="149" t="s">
        <v>221</v>
      </c>
      <c r="H3885" s="80" t="s">
        <v>13508</v>
      </c>
      <c r="I3885" s="17">
        <f ca="1">IFERROR(__xludf.DUMMYFUNCTION("""COMPUTED_VALUE"""),45604)</f>
        <v>45604</v>
      </c>
      <c r="J3885" s="29" t="s">
        <v>10931</v>
      </c>
      <c r="K3885" s="26" t="s">
        <v>13969</v>
      </c>
      <c r="L3885" s="30">
        <v>366331267</v>
      </c>
      <c r="M3885" s="26" t="s">
        <v>80</v>
      </c>
      <c r="N3885" s="26" t="s">
        <v>466</v>
      </c>
      <c r="O3885" s="26" t="s">
        <v>10933</v>
      </c>
      <c r="P3885" s="42" t="s">
        <v>13970</v>
      </c>
      <c r="Q3885" s="20">
        <v>13968</v>
      </c>
      <c r="R3885" s="26" t="s">
        <v>36</v>
      </c>
      <c r="S3885" s="95">
        <v>3800</v>
      </c>
      <c r="T3885" s="148">
        <v>45494</v>
      </c>
      <c r="U3885" s="95">
        <v>10168</v>
      </c>
      <c r="V3885" s="148">
        <v>45517</v>
      </c>
      <c r="W3885" s="33" t="s">
        <v>10935</v>
      </c>
      <c r="X3885" s="26">
        <v>0</v>
      </c>
      <c r="Y3885" s="22">
        <v>0</v>
      </c>
      <c r="Z3885" s="26" t="s">
        <v>50</v>
      </c>
      <c r="AA3885" s="96" t="s">
        <v>10314</v>
      </c>
      <c r="AB3885" s="26"/>
      <c r="AC3885" s="26" t="s">
        <v>53</v>
      </c>
      <c r="AD3885" s="26" t="s">
        <v>54</v>
      </c>
      <c r="AE3885" s="26" t="s">
        <v>8867</v>
      </c>
      <c r="AF3885" s="17">
        <v>45600</v>
      </c>
      <c r="AG3885" s="26"/>
      <c r="AH3885" s="26"/>
      <c r="AI3885" s="40"/>
      <c r="AJ3885" s="26"/>
      <c r="AK3885" s="26"/>
      <c r="AL3885" s="35"/>
      <c r="AM3885" s="35"/>
      <c r="AN3885" s="35"/>
      <c r="AO3885" s="35"/>
      <c r="AP3885" s="35"/>
    </row>
    <row r="3886" spans="1:42" x14ac:dyDescent="0.2">
      <c r="A3886" s="38">
        <v>45580</v>
      </c>
      <c r="B3886" s="137" t="s">
        <v>37</v>
      </c>
      <c r="C3886" s="41" t="s">
        <v>118</v>
      </c>
      <c r="D3886" s="80" t="s">
        <v>36</v>
      </c>
      <c r="E3886" s="80" t="s">
        <v>39</v>
      </c>
      <c r="F3886" s="80" t="s">
        <v>5666</v>
      </c>
      <c r="G3886" s="26" t="s">
        <v>108</v>
      </c>
      <c r="H3886" s="80" t="s">
        <v>10144</v>
      </c>
      <c r="I3886" s="17">
        <f ca="1">IFERROR(__xludf.DUMMYFUNCTION("""COMPUTED_VALUE"""),45593)</f>
        <v>45593</v>
      </c>
      <c r="J3886" s="143" t="s">
        <v>13971</v>
      </c>
      <c r="K3886" s="80" t="s">
        <v>13972</v>
      </c>
      <c r="L3886" s="30">
        <v>918195958</v>
      </c>
      <c r="M3886" s="80" t="s">
        <v>5558</v>
      </c>
      <c r="N3886" s="80" t="s">
        <v>5559</v>
      </c>
      <c r="O3886" s="80" t="s">
        <v>4503</v>
      </c>
      <c r="P3886" s="144" t="s">
        <v>13973</v>
      </c>
      <c r="Q3886" s="20">
        <v>5736</v>
      </c>
      <c r="R3886" s="80" t="s">
        <v>36</v>
      </c>
      <c r="S3886" s="77">
        <v>6000</v>
      </c>
      <c r="T3886" s="80" t="s">
        <v>13974</v>
      </c>
      <c r="U3886" s="77"/>
      <c r="V3886" s="78"/>
      <c r="W3886" s="80" t="s">
        <v>13975</v>
      </c>
      <c r="X3886" s="86"/>
      <c r="Y3886" s="22">
        <v>-264</v>
      </c>
      <c r="Z3886" s="80" t="s">
        <v>50</v>
      </c>
      <c r="AA3886" s="86" t="s">
        <v>9905</v>
      </c>
      <c r="AB3886" s="80"/>
      <c r="AC3886" s="80" t="s">
        <v>53</v>
      </c>
      <c r="AD3886" s="80" t="s">
        <v>138</v>
      </c>
      <c r="AE3886" s="80" t="s">
        <v>5666</v>
      </c>
      <c r="AF3886" s="17">
        <v>45593</v>
      </c>
      <c r="AG3886" s="26" t="s">
        <v>7078</v>
      </c>
      <c r="AH3886" s="80"/>
      <c r="AI3886" s="147" t="s">
        <v>64</v>
      </c>
      <c r="AJ3886" s="80"/>
      <c r="AK3886" s="80"/>
      <c r="AL3886" s="35"/>
      <c r="AM3886" s="35"/>
      <c r="AN3886" s="35"/>
      <c r="AO3886" s="35"/>
      <c r="AP3886" s="35"/>
    </row>
    <row r="3887" spans="1:42" x14ac:dyDescent="0.2">
      <c r="A3887" s="38">
        <v>45594</v>
      </c>
      <c r="B3887" s="137" t="s">
        <v>90</v>
      </c>
      <c r="C3887" s="41" t="s">
        <v>118</v>
      </c>
      <c r="D3887" s="26" t="s">
        <v>36</v>
      </c>
      <c r="E3887" s="26" t="s">
        <v>56</v>
      </c>
      <c r="F3887" s="26" t="s">
        <v>8867</v>
      </c>
      <c r="G3887" s="149" t="s">
        <v>221</v>
      </c>
      <c r="H3887" s="80" t="s">
        <v>13513</v>
      </c>
      <c r="I3887" s="17">
        <f ca="1">IFERROR(__xludf.DUMMYFUNCTION("""COMPUTED_VALUE"""),45594)</f>
        <v>45594</v>
      </c>
      <c r="J3887" s="29" t="s">
        <v>7614</v>
      </c>
      <c r="K3887" s="26" t="s">
        <v>7615</v>
      </c>
      <c r="L3887" s="30">
        <v>965821042</v>
      </c>
      <c r="M3887" s="26" t="s">
        <v>2755</v>
      </c>
      <c r="N3887" s="26" t="s">
        <v>7153</v>
      </c>
      <c r="O3887" s="26" t="s">
        <v>4503</v>
      </c>
      <c r="P3887" s="42" t="s">
        <v>8868</v>
      </c>
      <c r="Q3887" s="20">
        <v>9317</v>
      </c>
      <c r="R3887" s="26" t="s">
        <v>36</v>
      </c>
      <c r="S3887" s="31">
        <v>500</v>
      </c>
      <c r="T3887" s="32">
        <v>45321</v>
      </c>
      <c r="U3887" s="31">
        <f>1500+7317</f>
        <v>8817</v>
      </c>
      <c r="V3887" s="26" t="s">
        <v>7617</v>
      </c>
      <c r="W3887" s="26" t="s">
        <v>7618</v>
      </c>
      <c r="X3887" s="26"/>
      <c r="Y3887" s="22">
        <v>0</v>
      </c>
      <c r="Z3887" s="41" t="s">
        <v>118</v>
      </c>
      <c r="AA3887" s="19" t="s">
        <v>7361</v>
      </c>
      <c r="AB3887" s="80" t="s">
        <v>36</v>
      </c>
      <c r="AC3887" s="26" t="s">
        <v>53</v>
      </c>
      <c r="AD3887" s="19" t="s">
        <v>54</v>
      </c>
      <c r="AE3887" s="26" t="s">
        <v>8867</v>
      </c>
      <c r="AF3887" s="17">
        <v>45594</v>
      </c>
      <c r="AG3887" s="26"/>
      <c r="AH3887" s="26"/>
      <c r="AI3887" s="40"/>
      <c r="AJ3887" s="26"/>
      <c r="AK3887" s="26"/>
      <c r="AL3887" s="35"/>
      <c r="AM3887" s="35"/>
      <c r="AN3887" s="35"/>
      <c r="AO3887" s="35"/>
      <c r="AP3887" s="35"/>
    </row>
    <row r="3888" spans="1:42" x14ac:dyDescent="0.2">
      <c r="A3888" s="38">
        <v>45594</v>
      </c>
      <c r="B3888" s="137" t="s">
        <v>37</v>
      </c>
      <c r="C3888" s="41" t="s">
        <v>118</v>
      </c>
      <c r="D3888" s="26" t="s">
        <v>36</v>
      </c>
      <c r="E3888" s="26" t="s">
        <v>139</v>
      </c>
      <c r="F3888" s="26" t="s">
        <v>9994</v>
      </c>
      <c r="G3888" s="26" t="s">
        <v>108</v>
      </c>
      <c r="H3888" s="26" t="s">
        <v>13976</v>
      </c>
      <c r="I3888" s="17">
        <f ca="1">IFERROR(__xludf.DUMMYFUNCTION("""COMPUTED_VALUE"""),45607)</f>
        <v>45607</v>
      </c>
      <c r="J3888" s="29" t="s">
        <v>9995</v>
      </c>
      <c r="K3888" s="26" t="s">
        <v>13977</v>
      </c>
      <c r="L3888" s="47">
        <v>367740064</v>
      </c>
      <c r="M3888" s="26" t="s">
        <v>5429</v>
      </c>
      <c r="N3888" s="26" t="s">
        <v>9997</v>
      </c>
      <c r="O3888" s="26" t="s">
        <v>9998</v>
      </c>
      <c r="P3888" s="26" t="s">
        <v>9999</v>
      </c>
      <c r="Q3888" s="20">
        <v>15936</v>
      </c>
      <c r="R3888" s="26" t="s">
        <v>36</v>
      </c>
      <c r="S3888" s="95">
        <v>2000</v>
      </c>
      <c r="T3888" s="148">
        <v>45474</v>
      </c>
      <c r="U3888" s="95">
        <v>13936</v>
      </c>
      <c r="V3888" s="148">
        <v>45505</v>
      </c>
      <c r="W3888" s="33" t="s">
        <v>10000</v>
      </c>
      <c r="X3888" s="26">
        <v>0</v>
      </c>
      <c r="Y3888" s="22">
        <v>0</v>
      </c>
      <c r="Z3888" s="98" t="s">
        <v>118</v>
      </c>
      <c r="AA3888" s="35"/>
      <c r="AB3888" s="26"/>
      <c r="AC3888" s="26" t="s">
        <v>53</v>
      </c>
      <c r="AD3888" s="26" t="s">
        <v>54</v>
      </c>
      <c r="AE3888" s="26" t="s">
        <v>9994</v>
      </c>
      <c r="AF3888" s="17">
        <v>45602</v>
      </c>
      <c r="AG3888" s="26"/>
      <c r="AH3888" s="26"/>
      <c r="AI3888" s="40"/>
      <c r="AJ3888" s="26"/>
      <c r="AK3888" s="26"/>
      <c r="AL3888" s="35"/>
      <c r="AM3888" s="35"/>
      <c r="AN3888" s="35"/>
      <c r="AO3888" s="35"/>
      <c r="AP3888" s="35"/>
    </row>
    <row r="3889" spans="1:42" x14ac:dyDescent="0.2">
      <c r="A3889" s="38">
        <v>45594</v>
      </c>
      <c r="B3889" s="137" t="s">
        <v>37</v>
      </c>
      <c r="C3889" s="41" t="s">
        <v>118</v>
      </c>
      <c r="D3889" s="80" t="s">
        <v>36</v>
      </c>
      <c r="E3889" s="80" t="s">
        <v>139</v>
      </c>
      <c r="F3889" s="26" t="s">
        <v>9994</v>
      </c>
      <c r="G3889" s="26" t="s">
        <v>108</v>
      </c>
      <c r="H3889" s="26" t="s">
        <v>13976</v>
      </c>
      <c r="I3889" s="17">
        <f ca="1">IFERROR(__xludf.DUMMYFUNCTION("""COMPUTED_VALUE"""),45607)</f>
        <v>45607</v>
      </c>
      <c r="J3889" s="143" t="s">
        <v>12642</v>
      </c>
      <c r="K3889" s="80" t="s">
        <v>13978</v>
      </c>
      <c r="L3889" s="30">
        <v>944561036</v>
      </c>
      <c r="M3889" s="80" t="s">
        <v>12644</v>
      </c>
      <c r="N3889" s="80" t="s">
        <v>8725</v>
      </c>
      <c r="O3889" s="80" t="s">
        <v>12645</v>
      </c>
      <c r="P3889" s="115" t="s">
        <v>13979</v>
      </c>
      <c r="Q3889" s="20">
        <v>15936</v>
      </c>
      <c r="R3889" s="80" t="s">
        <v>36</v>
      </c>
      <c r="S3889" s="95">
        <v>2000</v>
      </c>
      <c r="T3889" s="148">
        <v>45537</v>
      </c>
      <c r="U3889" s="95">
        <v>13936</v>
      </c>
      <c r="V3889" s="148">
        <v>45565</v>
      </c>
      <c r="W3889" s="85" t="s">
        <v>12647</v>
      </c>
      <c r="X3889" s="80">
        <v>0</v>
      </c>
      <c r="Y3889" s="22">
        <v>0</v>
      </c>
      <c r="Z3889" s="80" t="s">
        <v>50</v>
      </c>
      <c r="AA3889" s="96" t="s">
        <v>3291</v>
      </c>
      <c r="AB3889" s="80"/>
      <c r="AC3889" s="80" t="s">
        <v>53</v>
      </c>
      <c r="AD3889" s="80" t="s">
        <v>54</v>
      </c>
      <c r="AE3889" s="26" t="s">
        <v>9994</v>
      </c>
      <c r="AF3889" s="17">
        <v>45602</v>
      </c>
      <c r="AG3889" s="80"/>
      <c r="AH3889" s="80"/>
      <c r="AI3889" s="147" t="s">
        <v>147</v>
      </c>
      <c r="AJ3889" s="80"/>
      <c r="AK3889" s="80"/>
      <c r="AL3889" s="35"/>
      <c r="AM3889" s="35"/>
      <c r="AN3889" s="35"/>
      <c r="AO3889" s="35"/>
      <c r="AP3889" s="35"/>
    </row>
    <row r="3890" spans="1:42" x14ac:dyDescent="0.2">
      <c r="A3890" s="38">
        <v>45594</v>
      </c>
      <c r="B3890" s="137" t="s">
        <v>37</v>
      </c>
      <c r="C3890" s="41" t="s">
        <v>118</v>
      </c>
      <c r="D3890" s="80" t="s">
        <v>36</v>
      </c>
      <c r="E3890" s="80" t="s">
        <v>139</v>
      </c>
      <c r="F3890" s="26" t="s">
        <v>9994</v>
      </c>
      <c r="G3890" s="26" t="s">
        <v>108</v>
      </c>
      <c r="H3890" s="26" t="s">
        <v>10033</v>
      </c>
      <c r="I3890" s="17">
        <f ca="1">IFERROR(__xludf.DUMMYFUNCTION("""COMPUTED_VALUE"""),45664)</f>
        <v>45664</v>
      </c>
      <c r="J3890" s="143" t="s">
        <v>12628</v>
      </c>
      <c r="K3890" s="80" t="s">
        <v>13980</v>
      </c>
      <c r="L3890" s="30">
        <v>866631644</v>
      </c>
      <c r="M3890" s="80" t="s">
        <v>123</v>
      </c>
      <c r="N3890" s="80" t="s">
        <v>2847</v>
      </c>
      <c r="O3890" s="80" t="s">
        <v>4503</v>
      </c>
      <c r="P3890" s="80" t="s">
        <v>12630</v>
      </c>
      <c r="Q3890" s="20">
        <v>15936</v>
      </c>
      <c r="R3890" s="80" t="s">
        <v>36</v>
      </c>
      <c r="S3890" s="95">
        <v>2000</v>
      </c>
      <c r="T3890" s="148">
        <v>45538</v>
      </c>
      <c r="U3890" s="178">
        <v>13936</v>
      </c>
      <c r="V3890" s="169">
        <v>45561</v>
      </c>
      <c r="W3890" s="85" t="s">
        <v>12631</v>
      </c>
      <c r="X3890" s="80">
        <v>0</v>
      </c>
      <c r="Y3890" s="22">
        <v>0</v>
      </c>
      <c r="Z3890" s="80" t="s">
        <v>50</v>
      </c>
      <c r="AA3890" s="35" t="s">
        <v>3291</v>
      </c>
      <c r="AB3890" s="80"/>
      <c r="AC3890" s="80" t="s">
        <v>53</v>
      </c>
      <c r="AD3890" s="80" t="s">
        <v>54</v>
      </c>
      <c r="AE3890" s="26" t="s">
        <v>9994</v>
      </c>
      <c r="AF3890" s="17">
        <v>45602</v>
      </c>
      <c r="AG3890" s="80"/>
      <c r="AH3890" s="80"/>
      <c r="AI3890" s="147" t="s">
        <v>147</v>
      </c>
      <c r="AJ3890" s="80"/>
      <c r="AK3890" s="80"/>
      <c r="AL3890" s="35"/>
      <c r="AM3890" s="35"/>
      <c r="AN3890" s="35"/>
      <c r="AO3890" s="35"/>
      <c r="AP3890" s="35"/>
    </row>
    <row r="3891" spans="1:42" x14ac:dyDescent="0.2">
      <c r="A3891" s="38">
        <v>45594</v>
      </c>
      <c r="B3891" s="137" t="s">
        <v>37</v>
      </c>
      <c r="C3891" s="41" t="s">
        <v>118</v>
      </c>
      <c r="D3891" s="80" t="s">
        <v>36</v>
      </c>
      <c r="E3891" s="80" t="s">
        <v>39</v>
      </c>
      <c r="F3891" s="26" t="s">
        <v>9994</v>
      </c>
      <c r="G3891" s="26" t="s">
        <v>108</v>
      </c>
      <c r="H3891" s="26" t="s">
        <v>13976</v>
      </c>
      <c r="I3891" s="17">
        <f ca="1">IFERROR(__xludf.DUMMYFUNCTION("""COMPUTED_VALUE"""),45607)</f>
        <v>45607</v>
      </c>
      <c r="J3891" s="143" t="s">
        <v>12695</v>
      </c>
      <c r="K3891" s="80" t="s">
        <v>12696</v>
      </c>
      <c r="L3891" s="30">
        <v>346738095</v>
      </c>
      <c r="M3891" s="80" t="s">
        <v>59</v>
      </c>
      <c r="N3891" s="80" t="s">
        <v>11476</v>
      </c>
      <c r="O3891" s="80" t="s">
        <v>12697</v>
      </c>
      <c r="P3891" s="80" t="s">
        <v>12698</v>
      </c>
      <c r="Q3891" s="20">
        <v>5736</v>
      </c>
      <c r="R3891" s="80" t="s">
        <v>36</v>
      </c>
      <c r="S3891" s="95">
        <f>200+5536</f>
        <v>5736</v>
      </c>
      <c r="T3891" s="83" t="s">
        <v>12626</v>
      </c>
      <c r="U3891" s="77"/>
      <c r="V3891" s="78"/>
      <c r="W3891" s="85" t="s">
        <v>12699</v>
      </c>
      <c r="X3891" s="80">
        <v>0</v>
      </c>
      <c r="Y3891" s="22">
        <v>0</v>
      </c>
      <c r="Z3891" s="80" t="s">
        <v>50</v>
      </c>
      <c r="AA3891" s="96" t="s">
        <v>3291</v>
      </c>
      <c r="AB3891" s="80"/>
      <c r="AC3891" s="80" t="s">
        <v>53</v>
      </c>
      <c r="AD3891" s="80" t="s">
        <v>54</v>
      </c>
      <c r="AE3891" s="26" t="s">
        <v>9994</v>
      </c>
      <c r="AF3891" s="17">
        <v>45602</v>
      </c>
      <c r="AG3891" s="80"/>
      <c r="AH3891" s="80"/>
      <c r="AI3891" s="147" t="s">
        <v>55</v>
      </c>
      <c r="AJ3891" s="80"/>
      <c r="AK3891" s="80"/>
      <c r="AL3891" s="35"/>
      <c r="AM3891" s="35"/>
      <c r="AN3891" s="35"/>
      <c r="AO3891" s="35"/>
      <c r="AP3891" s="35"/>
    </row>
    <row r="3892" spans="1:42" x14ac:dyDescent="0.2">
      <c r="A3892" s="38">
        <v>45594</v>
      </c>
      <c r="B3892" s="137" t="s">
        <v>37</v>
      </c>
      <c r="C3892" s="41" t="s">
        <v>118</v>
      </c>
      <c r="D3892" s="80" t="s">
        <v>36</v>
      </c>
      <c r="E3892" s="80" t="s">
        <v>39</v>
      </c>
      <c r="F3892" s="26" t="s">
        <v>9994</v>
      </c>
      <c r="G3892" s="26" t="s">
        <v>108</v>
      </c>
      <c r="H3892" s="26" t="s">
        <v>13976</v>
      </c>
      <c r="I3892" s="17">
        <f ca="1">IFERROR(__xludf.DUMMYFUNCTION("""COMPUTED_VALUE"""),45607)</f>
        <v>45607</v>
      </c>
      <c r="J3892" s="143" t="s">
        <v>12788</v>
      </c>
      <c r="K3892" s="80" t="s">
        <v>12789</v>
      </c>
      <c r="L3892" s="30">
        <v>707292681</v>
      </c>
      <c r="M3892" s="80" t="s">
        <v>59</v>
      </c>
      <c r="N3892" s="80" t="s">
        <v>9301</v>
      </c>
      <c r="O3892" s="80" t="s">
        <v>12790</v>
      </c>
      <c r="P3892" s="80" t="s">
        <v>12791</v>
      </c>
      <c r="Q3892" s="20">
        <v>5736</v>
      </c>
      <c r="R3892" s="80" t="s">
        <v>36</v>
      </c>
      <c r="S3892" s="95">
        <v>5736</v>
      </c>
      <c r="T3892" s="148">
        <v>45539</v>
      </c>
      <c r="U3892" s="77"/>
      <c r="V3892" s="78"/>
      <c r="W3892" s="85" t="s">
        <v>12792</v>
      </c>
      <c r="X3892" s="80">
        <v>0</v>
      </c>
      <c r="Y3892" s="22">
        <v>0</v>
      </c>
      <c r="Z3892" s="80" t="s">
        <v>50</v>
      </c>
      <c r="AA3892" s="35" t="s">
        <v>3291</v>
      </c>
      <c r="AB3892" s="80"/>
      <c r="AC3892" s="80" t="s">
        <v>53</v>
      </c>
      <c r="AD3892" s="80" t="s">
        <v>54</v>
      </c>
      <c r="AE3892" s="26" t="s">
        <v>9994</v>
      </c>
      <c r="AF3892" s="17">
        <v>45602</v>
      </c>
      <c r="AG3892" s="80"/>
      <c r="AH3892" s="80"/>
      <c r="AI3892" s="147" t="s">
        <v>55</v>
      </c>
      <c r="AJ3892" s="80"/>
      <c r="AK3892" s="80"/>
      <c r="AL3892" s="35"/>
      <c r="AM3892" s="35"/>
      <c r="AN3892" s="35"/>
      <c r="AO3892" s="35"/>
      <c r="AP3892" s="35"/>
    </row>
    <row r="3893" spans="1:42" x14ac:dyDescent="0.2">
      <c r="A3893" s="38">
        <v>45594</v>
      </c>
      <c r="B3893" s="137" t="s">
        <v>37</v>
      </c>
      <c r="C3893" s="41" t="s">
        <v>118</v>
      </c>
      <c r="D3893" s="80" t="s">
        <v>36</v>
      </c>
      <c r="E3893" s="80" t="s">
        <v>139</v>
      </c>
      <c r="F3893" s="26" t="s">
        <v>9994</v>
      </c>
      <c r="G3893" s="26" t="s">
        <v>108</v>
      </c>
      <c r="H3893" s="26" t="s">
        <v>13976</v>
      </c>
      <c r="I3893" s="17">
        <f ca="1">IFERROR(__xludf.DUMMYFUNCTION("""COMPUTED_VALUE"""),45607)</f>
        <v>45607</v>
      </c>
      <c r="J3893" s="143" t="s">
        <v>12909</v>
      </c>
      <c r="K3893" s="80" t="s">
        <v>13981</v>
      </c>
      <c r="L3893" s="30">
        <v>343581185</v>
      </c>
      <c r="M3893" s="80" t="s">
        <v>5558</v>
      </c>
      <c r="N3893" s="80" t="s">
        <v>5559</v>
      </c>
      <c r="O3893" s="80" t="s">
        <v>4503</v>
      </c>
      <c r="P3893" s="144" t="s">
        <v>12911</v>
      </c>
      <c r="Q3893" s="20">
        <v>15936</v>
      </c>
      <c r="R3893" s="80" t="s">
        <v>36</v>
      </c>
      <c r="S3893" s="95">
        <f>200+3000</f>
        <v>3200</v>
      </c>
      <c r="T3893" s="83" t="s">
        <v>12912</v>
      </c>
      <c r="U3893" s="95">
        <v>12736</v>
      </c>
      <c r="V3893" s="148">
        <v>45561</v>
      </c>
      <c r="W3893" s="85" t="s">
        <v>12913</v>
      </c>
      <c r="X3893" s="80">
        <v>0</v>
      </c>
      <c r="Y3893" s="22">
        <v>0</v>
      </c>
      <c r="Z3893" s="80" t="s">
        <v>50</v>
      </c>
      <c r="AA3893" s="96" t="s">
        <v>3291</v>
      </c>
      <c r="AB3893" s="80"/>
      <c r="AC3893" s="80" t="s">
        <v>53</v>
      </c>
      <c r="AD3893" s="80" t="s">
        <v>54</v>
      </c>
      <c r="AE3893" s="26" t="s">
        <v>9994</v>
      </c>
      <c r="AF3893" s="17">
        <v>45602</v>
      </c>
      <c r="AG3893" s="80"/>
      <c r="AH3893" s="80"/>
      <c r="AI3893" s="147" t="s">
        <v>147</v>
      </c>
      <c r="AJ3893" s="80"/>
      <c r="AK3893" s="80"/>
      <c r="AL3893" s="35"/>
      <c r="AM3893" s="35"/>
      <c r="AN3893" s="35"/>
      <c r="AO3893" s="35"/>
      <c r="AP3893" s="35"/>
    </row>
    <row r="3894" spans="1:42" x14ac:dyDescent="0.2">
      <c r="A3894" s="38">
        <v>45594</v>
      </c>
      <c r="B3894" s="137" t="s">
        <v>37</v>
      </c>
      <c r="C3894" s="41" t="s">
        <v>118</v>
      </c>
      <c r="D3894" s="80" t="s">
        <v>36</v>
      </c>
      <c r="E3894" s="80" t="s">
        <v>139</v>
      </c>
      <c r="F3894" s="26" t="s">
        <v>9994</v>
      </c>
      <c r="G3894" s="26" t="s">
        <v>108</v>
      </c>
      <c r="H3894" s="26" t="s">
        <v>13976</v>
      </c>
      <c r="I3894" s="17">
        <f ca="1">IFERROR(__xludf.DUMMYFUNCTION("""COMPUTED_VALUE"""),45607)</f>
        <v>45607</v>
      </c>
      <c r="J3894" s="143" t="s">
        <v>13982</v>
      </c>
      <c r="K3894" s="80" t="s">
        <v>13983</v>
      </c>
      <c r="L3894" s="30">
        <v>911045978</v>
      </c>
      <c r="M3894" s="80" t="s">
        <v>5518</v>
      </c>
      <c r="N3894" s="80" t="s">
        <v>253</v>
      </c>
      <c r="O3894" s="80" t="s">
        <v>13984</v>
      </c>
      <c r="P3894" s="80" t="s">
        <v>13985</v>
      </c>
      <c r="Q3894" s="20">
        <v>15936</v>
      </c>
      <c r="R3894" s="80" t="s">
        <v>36</v>
      </c>
      <c r="S3894" s="95">
        <v>2000</v>
      </c>
      <c r="T3894" s="148">
        <v>45542</v>
      </c>
      <c r="U3894" s="95">
        <v>13936</v>
      </c>
      <c r="V3894" s="148">
        <v>45571</v>
      </c>
      <c r="W3894" s="85" t="s">
        <v>13986</v>
      </c>
      <c r="X3894" s="80"/>
      <c r="Y3894" s="22">
        <v>0</v>
      </c>
      <c r="Z3894" s="80" t="s">
        <v>50</v>
      </c>
      <c r="AA3894" s="86"/>
      <c r="AB3894" s="80"/>
      <c r="AC3894" s="80" t="s">
        <v>53</v>
      </c>
      <c r="AD3894" s="80" t="s">
        <v>54</v>
      </c>
      <c r="AE3894" s="26" t="s">
        <v>9994</v>
      </c>
      <c r="AF3894" s="17">
        <v>45602</v>
      </c>
      <c r="AG3894" s="80"/>
      <c r="AH3894" s="80"/>
      <c r="AI3894" s="147"/>
      <c r="AJ3894" s="80"/>
      <c r="AK3894" s="80"/>
      <c r="AL3894" s="35"/>
      <c r="AM3894" s="35"/>
      <c r="AN3894" s="35"/>
      <c r="AO3894" s="35"/>
      <c r="AP3894" s="35"/>
    </row>
    <row r="3895" spans="1:42" x14ac:dyDescent="0.2">
      <c r="A3895" s="38">
        <v>45594</v>
      </c>
      <c r="B3895" s="137" t="s">
        <v>37</v>
      </c>
      <c r="C3895" s="41" t="s">
        <v>118</v>
      </c>
      <c r="D3895" s="80" t="s">
        <v>36</v>
      </c>
      <c r="E3895" s="80" t="s">
        <v>56</v>
      </c>
      <c r="F3895" s="80" t="s">
        <v>11545</v>
      </c>
      <c r="G3895" s="26" t="s">
        <v>108</v>
      </c>
      <c r="H3895" s="26" t="s">
        <v>13987</v>
      </c>
      <c r="I3895" s="17">
        <f ca="1">IFERROR(__xludf.DUMMYFUNCTION("""COMPUTED_VALUE"""),45610)</f>
        <v>45610</v>
      </c>
      <c r="J3895" s="143" t="s">
        <v>13988</v>
      </c>
      <c r="K3895" s="80" t="s">
        <v>13989</v>
      </c>
      <c r="L3895" s="30">
        <v>931117806</v>
      </c>
      <c r="M3895" s="80" t="s">
        <v>80</v>
      </c>
      <c r="N3895" s="80" t="s">
        <v>1073</v>
      </c>
      <c r="O3895" s="80" t="s">
        <v>13990</v>
      </c>
      <c r="P3895" s="144" t="s">
        <v>13991</v>
      </c>
      <c r="Q3895" s="20">
        <v>9317</v>
      </c>
      <c r="R3895" s="80" t="s">
        <v>36</v>
      </c>
      <c r="S3895" s="95">
        <f>200+1800</f>
        <v>2000</v>
      </c>
      <c r="T3895" s="83" t="s">
        <v>13992</v>
      </c>
      <c r="U3895" s="95">
        <v>7317</v>
      </c>
      <c r="V3895" s="148">
        <v>45567</v>
      </c>
      <c r="W3895" s="85" t="s">
        <v>13993</v>
      </c>
      <c r="X3895" s="80"/>
      <c r="Y3895" s="22">
        <v>0</v>
      </c>
      <c r="Z3895" s="80" t="s">
        <v>50</v>
      </c>
      <c r="AA3895" s="82"/>
      <c r="AB3895" s="80"/>
      <c r="AC3895" s="80" t="s">
        <v>53</v>
      </c>
      <c r="AD3895" s="80" t="s">
        <v>54</v>
      </c>
      <c r="AE3895" s="80" t="s">
        <v>11545</v>
      </c>
      <c r="AF3895" s="17">
        <v>45605</v>
      </c>
      <c r="AG3895" s="80"/>
      <c r="AH3895" s="80"/>
      <c r="AI3895" s="147"/>
      <c r="AJ3895" s="80"/>
      <c r="AK3895" s="80"/>
      <c r="AL3895" s="35"/>
      <c r="AM3895" s="35"/>
      <c r="AN3895" s="35"/>
      <c r="AO3895" s="35"/>
      <c r="AP3895" s="35"/>
    </row>
    <row r="3896" spans="1:42" x14ac:dyDescent="0.2">
      <c r="A3896" s="38">
        <v>45594</v>
      </c>
      <c r="B3896" s="137" t="s">
        <v>37</v>
      </c>
      <c r="C3896" s="41" t="s">
        <v>118</v>
      </c>
      <c r="D3896" s="80" t="s">
        <v>36</v>
      </c>
      <c r="E3896" s="80" t="s">
        <v>139</v>
      </c>
      <c r="F3896" s="80" t="s">
        <v>11545</v>
      </c>
      <c r="G3896" s="26" t="s">
        <v>108</v>
      </c>
      <c r="H3896" s="26" t="s">
        <v>13987</v>
      </c>
      <c r="I3896" s="17">
        <f ca="1">IFERROR(__xludf.DUMMYFUNCTION("""COMPUTED_VALUE"""),45610)</f>
        <v>45610</v>
      </c>
      <c r="J3896" s="143" t="s">
        <v>13994</v>
      </c>
      <c r="K3896" s="80" t="s">
        <v>13995</v>
      </c>
      <c r="L3896" s="30">
        <v>397013023</v>
      </c>
      <c r="M3896" s="80" t="s">
        <v>12529</v>
      </c>
      <c r="N3896" s="80" t="s">
        <v>466</v>
      </c>
      <c r="O3896" s="80" t="s">
        <v>13996</v>
      </c>
      <c r="P3896" s="80" t="s">
        <v>13997</v>
      </c>
      <c r="Q3896" s="20">
        <v>15936</v>
      </c>
      <c r="R3896" s="80" t="s">
        <v>36</v>
      </c>
      <c r="S3896" s="95">
        <v>2000</v>
      </c>
      <c r="T3896" s="148">
        <v>45533</v>
      </c>
      <c r="U3896" s="95">
        <v>13936</v>
      </c>
      <c r="V3896" s="148">
        <v>45570</v>
      </c>
      <c r="W3896" s="85" t="s">
        <v>13998</v>
      </c>
      <c r="X3896" s="80"/>
      <c r="Y3896" s="22">
        <v>0</v>
      </c>
      <c r="Z3896" s="80" t="s">
        <v>50</v>
      </c>
      <c r="AA3896" s="86"/>
      <c r="AB3896" s="80"/>
      <c r="AC3896" s="80" t="s">
        <v>53</v>
      </c>
      <c r="AD3896" s="80" t="s">
        <v>54</v>
      </c>
      <c r="AE3896" s="80" t="s">
        <v>11545</v>
      </c>
      <c r="AF3896" s="17">
        <v>45605</v>
      </c>
      <c r="AG3896" s="80"/>
      <c r="AH3896" s="80"/>
      <c r="AI3896" s="147"/>
      <c r="AJ3896" s="80"/>
      <c r="AK3896" s="80"/>
      <c r="AL3896" s="35"/>
      <c r="AM3896" s="35"/>
      <c r="AN3896" s="35"/>
      <c r="AO3896" s="35"/>
      <c r="AP3896" s="35"/>
    </row>
    <row r="3897" spans="1:42" x14ac:dyDescent="0.2">
      <c r="A3897" s="38">
        <v>45594</v>
      </c>
      <c r="B3897" s="137" t="s">
        <v>37</v>
      </c>
      <c r="C3897" s="41" t="s">
        <v>118</v>
      </c>
      <c r="D3897" s="80" t="s">
        <v>36</v>
      </c>
      <c r="E3897" s="80" t="s">
        <v>139</v>
      </c>
      <c r="F3897" s="80" t="s">
        <v>11545</v>
      </c>
      <c r="G3897" s="26" t="s">
        <v>108</v>
      </c>
      <c r="H3897" s="26" t="s">
        <v>13999</v>
      </c>
      <c r="I3897" s="17">
        <f ca="1">IFERROR(__xludf.DUMMYFUNCTION("""COMPUTED_VALUE"""),45698)</f>
        <v>45698</v>
      </c>
      <c r="J3897" s="143" t="s">
        <v>12349</v>
      </c>
      <c r="K3897" s="80" t="s">
        <v>14000</v>
      </c>
      <c r="L3897" s="30">
        <v>824373559</v>
      </c>
      <c r="M3897" s="80" t="s">
        <v>3728</v>
      </c>
      <c r="N3897" s="80" t="s">
        <v>5312</v>
      </c>
      <c r="O3897" s="80" t="s">
        <v>12351</v>
      </c>
      <c r="P3897" s="144" t="s">
        <v>14001</v>
      </c>
      <c r="Q3897" s="20">
        <v>15936</v>
      </c>
      <c r="R3897" s="80" t="s">
        <v>36</v>
      </c>
      <c r="S3897" s="95">
        <v>2000</v>
      </c>
      <c r="T3897" s="148">
        <v>45525</v>
      </c>
      <c r="U3897" s="95">
        <v>13936</v>
      </c>
      <c r="V3897" s="148">
        <v>45550</v>
      </c>
      <c r="W3897" s="85" t="s">
        <v>12353</v>
      </c>
      <c r="X3897" s="80">
        <v>0</v>
      </c>
      <c r="Y3897" s="22">
        <v>0</v>
      </c>
      <c r="Z3897" s="80" t="s">
        <v>50</v>
      </c>
      <c r="AA3897" s="96" t="s">
        <v>3291</v>
      </c>
      <c r="AB3897" s="80"/>
      <c r="AC3897" s="80" t="s">
        <v>53</v>
      </c>
      <c r="AD3897" s="80" t="s">
        <v>54</v>
      </c>
      <c r="AE3897" s="80" t="s">
        <v>11545</v>
      </c>
      <c r="AF3897" s="17">
        <v>45605</v>
      </c>
      <c r="AG3897" s="80"/>
      <c r="AH3897" s="80"/>
      <c r="AI3897" s="147" t="s">
        <v>147</v>
      </c>
      <c r="AJ3897" s="80"/>
      <c r="AK3897" s="80"/>
      <c r="AL3897" s="35"/>
      <c r="AM3897" s="35"/>
      <c r="AN3897" s="35"/>
      <c r="AO3897" s="35"/>
      <c r="AP3897" s="35"/>
    </row>
    <row r="3898" spans="1:42" x14ac:dyDescent="0.2">
      <c r="A3898" s="38">
        <v>45594</v>
      </c>
      <c r="B3898" s="137" t="s">
        <v>37</v>
      </c>
      <c r="C3898" s="41" t="s">
        <v>118</v>
      </c>
      <c r="D3898" s="80" t="s">
        <v>36</v>
      </c>
      <c r="E3898" s="80" t="s">
        <v>39</v>
      </c>
      <c r="F3898" s="80" t="s">
        <v>11545</v>
      </c>
      <c r="G3898" s="26" t="s">
        <v>108</v>
      </c>
      <c r="H3898" s="26" t="s">
        <v>14002</v>
      </c>
      <c r="I3898" s="17">
        <f ca="1">IFERROR(__xludf.DUMMYFUNCTION("""COMPUTED_VALUE"""),45735)</f>
        <v>45735</v>
      </c>
      <c r="J3898" s="143" t="s">
        <v>11546</v>
      </c>
      <c r="K3898" s="80" t="s">
        <v>14003</v>
      </c>
      <c r="L3898" s="30">
        <v>373476693</v>
      </c>
      <c r="M3898" s="80" t="s">
        <v>112</v>
      </c>
      <c r="N3898" s="80" t="s">
        <v>438</v>
      </c>
      <c r="O3898" s="80" t="s">
        <v>11548</v>
      </c>
      <c r="P3898" s="144" t="s">
        <v>14004</v>
      </c>
      <c r="Q3898" s="20">
        <v>5736</v>
      </c>
      <c r="R3898" s="80" t="s">
        <v>36</v>
      </c>
      <c r="S3898" s="95">
        <v>5736</v>
      </c>
      <c r="T3898" s="148">
        <v>45525</v>
      </c>
      <c r="U3898" s="77"/>
      <c r="V3898" s="78"/>
      <c r="W3898" s="85" t="s">
        <v>11550</v>
      </c>
      <c r="X3898" s="80">
        <v>0</v>
      </c>
      <c r="Y3898" s="22">
        <v>0</v>
      </c>
      <c r="Z3898" s="80" t="s">
        <v>50</v>
      </c>
      <c r="AA3898" s="35" t="s">
        <v>10314</v>
      </c>
      <c r="AB3898" s="80"/>
      <c r="AC3898" s="80" t="s">
        <v>53</v>
      </c>
      <c r="AD3898" s="80" t="s">
        <v>54</v>
      </c>
      <c r="AE3898" s="80" t="s">
        <v>11545</v>
      </c>
      <c r="AF3898" s="17">
        <v>45730</v>
      </c>
      <c r="AG3898" s="60" t="s">
        <v>14005</v>
      </c>
      <c r="AH3898" s="80"/>
      <c r="AI3898" s="147"/>
      <c r="AJ3898" s="80"/>
      <c r="AK3898" s="80"/>
      <c r="AL3898" s="35"/>
      <c r="AM3898" s="35"/>
      <c r="AN3898" s="35"/>
      <c r="AO3898" s="35"/>
      <c r="AP3898" s="35"/>
    </row>
    <row r="3899" spans="1:42" x14ac:dyDescent="0.2">
      <c r="A3899" s="38">
        <v>45594</v>
      </c>
      <c r="B3899" s="137" t="s">
        <v>37</v>
      </c>
      <c r="C3899" s="41" t="s">
        <v>118</v>
      </c>
      <c r="D3899" s="80" t="s">
        <v>36</v>
      </c>
      <c r="E3899" s="80" t="s">
        <v>39</v>
      </c>
      <c r="F3899" s="80" t="s">
        <v>11545</v>
      </c>
      <c r="G3899" s="26" t="s">
        <v>108</v>
      </c>
      <c r="H3899" s="26" t="s">
        <v>13987</v>
      </c>
      <c r="I3899" s="17">
        <f ca="1">IFERROR(__xludf.DUMMYFUNCTION("""COMPUTED_VALUE"""),45610)</f>
        <v>45610</v>
      </c>
      <c r="J3899" s="143" t="s">
        <v>12392</v>
      </c>
      <c r="K3899" s="80" t="s">
        <v>12393</v>
      </c>
      <c r="L3899" s="30">
        <v>336679515</v>
      </c>
      <c r="M3899" s="80" t="s">
        <v>9422</v>
      </c>
      <c r="N3899" s="80" t="s">
        <v>2157</v>
      </c>
      <c r="O3899" s="80" t="s">
        <v>12394</v>
      </c>
      <c r="P3899" s="144" t="s">
        <v>14006</v>
      </c>
      <c r="Q3899" s="20">
        <v>5736</v>
      </c>
      <c r="R3899" s="80" t="s">
        <v>11421</v>
      </c>
      <c r="S3899" s="95">
        <f>500+1500</f>
        <v>2000</v>
      </c>
      <c r="T3899" s="83" t="s">
        <v>12396</v>
      </c>
      <c r="U3899" s="95">
        <v>3436</v>
      </c>
      <c r="V3899" s="148">
        <v>45555</v>
      </c>
      <c r="W3899" s="80" t="s">
        <v>12397</v>
      </c>
      <c r="X3899" s="80">
        <v>300</v>
      </c>
      <c r="Y3899" s="22">
        <v>0</v>
      </c>
      <c r="Z3899" s="80" t="s">
        <v>50</v>
      </c>
      <c r="AA3899" s="96" t="s">
        <v>3291</v>
      </c>
      <c r="AB3899" s="80"/>
      <c r="AC3899" s="80" t="s">
        <v>53</v>
      </c>
      <c r="AD3899" s="80" t="s">
        <v>54</v>
      </c>
      <c r="AE3899" s="80" t="s">
        <v>11545</v>
      </c>
      <c r="AF3899" s="17">
        <v>45605</v>
      </c>
      <c r="AG3899" s="80"/>
      <c r="AH3899" s="80"/>
      <c r="AI3899" s="147" t="s">
        <v>55</v>
      </c>
      <c r="AJ3899" s="80"/>
      <c r="AK3899" s="80"/>
      <c r="AL3899" s="35"/>
      <c r="AM3899" s="35"/>
      <c r="AN3899" s="35"/>
      <c r="AO3899" s="35"/>
      <c r="AP3899" s="35"/>
    </row>
    <row r="3900" spans="1:42" x14ac:dyDescent="0.2">
      <c r="A3900" s="38">
        <v>45594</v>
      </c>
      <c r="B3900" s="137" t="s">
        <v>37</v>
      </c>
      <c r="C3900" s="41" t="s">
        <v>118</v>
      </c>
      <c r="D3900" s="80" t="s">
        <v>36</v>
      </c>
      <c r="E3900" s="80" t="s">
        <v>139</v>
      </c>
      <c r="F3900" s="80" t="s">
        <v>11707</v>
      </c>
      <c r="G3900" s="80" t="s">
        <v>108</v>
      </c>
      <c r="H3900" s="80" t="s">
        <v>14007</v>
      </c>
      <c r="I3900" s="17">
        <f ca="1">IFERROR(__xludf.DUMMYFUNCTION("""COMPUTED_VALUE"""),45603)</f>
        <v>45603</v>
      </c>
      <c r="J3900" s="143" t="s">
        <v>14008</v>
      </c>
      <c r="K3900" s="80" t="s">
        <v>14009</v>
      </c>
      <c r="L3900" s="30">
        <v>352268163</v>
      </c>
      <c r="M3900" s="80" t="s">
        <v>123</v>
      </c>
      <c r="N3900" s="80" t="s">
        <v>186</v>
      </c>
      <c r="O3900" s="80" t="s">
        <v>4503</v>
      </c>
      <c r="P3900" s="80" t="s">
        <v>3487</v>
      </c>
      <c r="Q3900" s="20">
        <v>15936</v>
      </c>
      <c r="R3900" s="80" t="s">
        <v>70</v>
      </c>
      <c r="S3900" s="95">
        <f>200+2800</f>
        <v>3000</v>
      </c>
      <c r="T3900" s="83" t="s">
        <v>14010</v>
      </c>
      <c r="U3900" s="95">
        <v>12836</v>
      </c>
      <c r="V3900" s="148">
        <v>45574</v>
      </c>
      <c r="W3900" s="85" t="s">
        <v>14011</v>
      </c>
      <c r="X3900" s="80"/>
      <c r="Y3900" s="22">
        <v>100</v>
      </c>
      <c r="Z3900" s="80" t="s">
        <v>50</v>
      </c>
      <c r="AA3900" s="35" t="s">
        <v>9905</v>
      </c>
      <c r="AB3900" s="80"/>
      <c r="AC3900" s="80" t="s">
        <v>53</v>
      </c>
      <c r="AD3900" s="80" t="s">
        <v>138</v>
      </c>
      <c r="AE3900" s="80" t="s">
        <v>11707</v>
      </c>
      <c r="AF3900" s="17">
        <v>45603</v>
      </c>
      <c r="AG3900" s="80"/>
      <c r="AH3900" s="80"/>
      <c r="AI3900" s="147"/>
      <c r="AJ3900" s="80"/>
      <c r="AK3900" s="80"/>
      <c r="AL3900" s="35"/>
      <c r="AM3900" s="35"/>
      <c r="AN3900" s="35"/>
      <c r="AO3900" s="35"/>
      <c r="AP3900" s="35"/>
    </row>
    <row r="3901" spans="1:42" x14ac:dyDescent="0.2">
      <c r="A3901" s="38">
        <v>45594</v>
      </c>
      <c r="B3901" s="137" t="s">
        <v>37</v>
      </c>
      <c r="C3901" s="41" t="s">
        <v>118</v>
      </c>
      <c r="D3901" s="80" t="s">
        <v>36</v>
      </c>
      <c r="E3901" s="80" t="s">
        <v>139</v>
      </c>
      <c r="F3901" s="80" t="s">
        <v>11707</v>
      </c>
      <c r="G3901" s="80" t="s">
        <v>108</v>
      </c>
      <c r="H3901" s="80" t="s">
        <v>14007</v>
      </c>
      <c r="I3901" s="17">
        <f ca="1">IFERROR(__xludf.DUMMYFUNCTION("""COMPUTED_VALUE"""),45603)</f>
        <v>45603</v>
      </c>
      <c r="J3901" s="143" t="s">
        <v>13075</v>
      </c>
      <c r="K3901" s="80" t="s">
        <v>14012</v>
      </c>
      <c r="L3901" s="30">
        <v>971006184</v>
      </c>
      <c r="M3901" s="80" t="s">
        <v>45</v>
      </c>
      <c r="N3901" s="80" t="s">
        <v>13077</v>
      </c>
      <c r="O3901" s="80" t="s">
        <v>13078</v>
      </c>
      <c r="P3901" s="80" t="s">
        <v>13079</v>
      </c>
      <c r="Q3901" s="20">
        <v>15936</v>
      </c>
      <c r="R3901" s="80" t="s">
        <v>36</v>
      </c>
      <c r="S3901" s="95">
        <v>15936</v>
      </c>
      <c r="T3901" s="148">
        <v>45548</v>
      </c>
      <c r="U3901" s="77"/>
      <c r="V3901" s="78"/>
      <c r="W3901" s="85" t="s">
        <v>13080</v>
      </c>
      <c r="X3901" s="80">
        <v>0</v>
      </c>
      <c r="Y3901" s="22">
        <v>0</v>
      </c>
      <c r="Z3901" s="80" t="s">
        <v>50</v>
      </c>
      <c r="AA3901" s="96" t="s">
        <v>3291</v>
      </c>
      <c r="AB3901" s="80"/>
      <c r="AC3901" s="80" t="s">
        <v>53</v>
      </c>
      <c r="AD3901" s="80" t="s">
        <v>138</v>
      </c>
      <c r="AE3901" s="80" t="s">
        <v>11707</v>
      </c>
      <c r="AF3901" s="17">
        <v>45603</v>
      </c>
      <c r="AG3901" s="80"/>
      <c r="AH3901" s="80"/>
      <c r="AI3901" s="147" t="s">
        <v>147</v>
      </c>
      <c r="AJ3901" s="80"/>
      <c r="AK3901" s="80"/>
      <c r="AL3901" s="35"/>
      <c r="AM3901" s="35"/>
      <c r="AN3901" s="35"/>
      <c r="AO3901" s="35"/>
      <c r="AP3901" s="35"/>
    </row>
    <row r="3902" spans="1:42" x14ac:dyDescent="0.2">
      <c r="A3902" s="38">
        <v>45594</v>
      </c>
      <c r="B3902" s="137" t="s">
        <v>37</v>
      </c>
      <c r="C3902" s="41" t="s">
        <v>118</v>
      </c>
      <c r="D3902" s="80" t="s">
        <v>36</v>
      </c>
      <c r="E3902" s="80" t="s">
        <v>139</v>
      </c>
      <c r="F3902" s="80" t="s">
        <v>11707</v>
      </c>
      <c r="G3902" s="80" t="s">
        <v>108</v>
      </c>
      <c r="H3902" s="80" t="s">
        <v>14007</v>
      </c>
      <c r="I3902" s="17">
        <f ca="1">IFERROR(__xludf.DUMMYFUNCTION("""COMPUTED_VALUE"""),45603)</f>
        <v>45603</v>
      </c>
      <c r="J3902" s="143" t="s">
        <v>14013</v>
      </c>
      <c r="K3902" s="80" t="s">
        <v>14014</v>
      </c>
      <c r="L3902" s="30">
        <v>366221180</v>
      </c>
      <c r="M3902" s="80" t="s">
        <v>123</v>
      </c>
      <c r="N3902" s="80" t="s">
        <v>327</v>
      </c>
      <c r="O3902" s="80" t="s">
        <v>4503</v>
      </c>
      <c r="P3902" s="80" t="s">
        <v>3487</v>
      </c>
      <c r="Q3902" s="20">
        <v>15936</v>
      </c>
      <c r="R3902" s="80" t="s">
        <v>70</v>
      </c>
      <c r="S3902" s="95">
        <f>200+2800</f>
        <v>3000</v>
      </c>
      <c r="T3902" s="83" t="s">
        <v>14015</v>
      </c>
      <c r="U3902" s="95">
        <v>12836</v>
      </c>
      <c r="V3902" s="148">
        <v>45566</v>
      </c>
      <c r="W3902" s="85" t="s">
        <v>14016</v>
      </c>
      <c r="X3902" s="80"/>
      <c r="Y3902" s="22">
        <v>100</v>
      </c>
      <c r="Z3902" s="26" t="s">
        <v>118</v>
      </c>
      <c r="AA3902" s="86"/>
      <c r="AB3902" s="80"/>
      <c r="AC3902" s="80" t="s">
        <v>53</v>
      </c>
      <c r="AD3902" s="80" t="s">
        <v>138</v>
      </c>
      <c r="AE3902" s="80" t="s">
        <v>11707</v>
      </c>
      <c r="AF3902" s="17">
        <v>45603</v>
      </c>
      <c r="AG3902" s="80"/>
      <c r="AH3902" s="80"/>
      <c r="AI3902" s="147"/>
      <c r="AJ3902" s="80"/>
      <c r="AK3902" s="80"/>
      <c r="AL3902" s="35"/>
      <c r="AM3902" s="35"/>
      <c r="AN3902" s="35"/>
      <c r="AO3902" s="35"/>
      <c r="AP3902" s="35"/>
    </row>
    <row r="3903" spans="1:42" x14ac:dyDescent="0.2">
      <c r="A3903" s="38">
        <v>45594</v>
      </c>
      <c r="B3903" s="137" t="s">
        <v>37</v>
      </c>
      <c r="C3903" s="41" t="s">
        <v>118</v>
      </c>
      <c r="D3903" s="80" t="s">
        <v>36</v>
      </c>
      <c r="E3903" s="80" t="s">
        <v>139</v>
      </c>
      <c r="F3903" s="80" t="s">
        <v>11183</v>
      </c>
      <c r="G3903" s="80" t="s">
        <v>108</v>
      </c>
      <c r="H3903" s="80" t="s">
        <v>13600</v>
      </c>
      <c r="I3903" s="17">
        <f ca="1">IFERROR(__xludf.DUMMYFUNCTION("""COMPUTED_VALUE"""),45607)</f>
        <v>45607</v>
      </c>
      <c r="J3903" s="143" t="s">
        <v>12318</v>
      </c>
      <c r="K3903" s="80" t="s">
        <v>14017</v>
      </c>
      <c r="L3903" s="30">
        <v>968262803</v>
      </c>
      <c r="M3903" s="80" t="s">
        <v>910</v>
      </c>
      <c r="N3903" s="80" t="s">
        <v>3525</v>
      </c>
      <c r="O3903" s="80" t="s">
        <v>12320</v>
      </c>
      <c r="P3903" s="80" t="s">
        <v>12321</v>
      </c>
      <c r="Q3903" s="20">
        <v>15936</v>
      </c>
      <c r="R3903" s="80" t="s">
        <v>36</v>
      </c>
      <c r="S3903" s="95">
        <f>200+2000</f>
        <v>2200</v>
      </c>
      <c r="T3903" s="83" t="s">
        <v>12322</v>
      </c>
      <c r="U3903" s="95">
        <v>13736</v>
      </c>
      <c r="V3903" s="148">
        <v>45563</v>
      </c>
      <c r="W3903" s="85" t="s">
        <v>12323</v>
      </c>
      <c r="X3903" s="80">
        <v>0</v>
      </c>
      <c r="Y3903" s="22">
        <v>0</v>
      </c>
      <c r="Z3903" s="80" t="s">
        <v>50</v>
      </c>
      <c r="AA3903" s="96" t="s">
        <v>3291</v>
      </c>
      <c r="AB3903" s="80"/>
      <c r="AC3903" s="80" t="s">
        <v>53</v>
      </c>
      <c r="AD3903" s="80" t="s">
        <v>138</v>
      </c>
      <c r="AE3903" s="80" t="s">
        <v>11183</v>
      </c>
      <c r="AF3903" s="43">
        <v>45607</v>
      </c>
      <c r="AG3903" s="80"/>
      <c r="AH3903" s="80"/>
      <c r="AI3903" s="147" t="s">
        <v>147</v>
      </c>
      <c r="AJ3903" s="80"/>
      <c r="AK3903" s="80"/>
      <c r="AL3903" s="35"/>
      <c r="AM3903" s="35"/>
      <c r="AN3903" s="35"/>
      <c r="AO3903" s="35"/>
      <c r="AP3903" s="35"/>
    </row>
    <row r="3904" spans="1:42" x14ac:dyDescent="0.2">
      <c r="A3904" s="38">
        <v>45594</v>
      </c>
      <c r="B3904" s="137" t="s">
        <v>37</v>
      </c>
      <c r="C3904" s="41" t="s">
        <v>118</v>
      </c>
      <c r="D3904" s="80" t="s">
        <v>36</v>
      </c>
      <c r="E3904" s="80" t="s">
        <v>139</v>
      </c>
      <c r="F3904" s="80" t="s">
        <v>11183</v>
      </c>
      <c r="G3904" s="80" t="s">
        <v>108</v>
      </c>
      <c r="H3904" s="80" t="s">
        <v>13600</v>
      </c>
      <c r="I3904" s="17">
        <f ca="1">IFERROR(__xludf.DUMMYFUNCTION("""COMPUTED_VALUE"""),45607)</f>
        <v>45607</v>
      </c>
      <c r="J3904" s="143" t="s">
        <v>14018</v>
      </c>
      <c r="K3904" s="80" t="s">
        <v>14019</v>
      </c>
      <c r="L3904" s="30">
        <v>868610733</v>
      </c>
      <c r="M3904" s="80" t="s">
        <v>123</v>
      </c>
      <c r="N3904" s="80" t="s">
        <v>186</v>
      </c>
      <c r="O3904" s="80" t="s">
        <v>4503</v>
      </c>
      <c r="P3904" s="80" t="s">
        <v>14020</v>
      </c>
      <c r="Q3904" s="20">
        <v>15936</v>
      </c>
      <c r="R3904" s="80" t="s">
        <v>36</v>
      </c>
      <c r="S3904" s="95">
        <f>200+2800</f>
        <v>3000</v>
      </c>
      <c r="T3904" s="83" t="s">
        <v>14021</v>
      </c>
      <c r="U3904" s="95">
        <v>12936</v>
      </c>
      <c r="V3904" s="148">
        <v>45571</v>
      </c>
      <c r="W3904" s="85" t="s">
        <v>14022</v>
      </c>
      <c r="X3904" s="80"/>
      <c r="Y3904" s="22">
        <v>0</v>
      </c>
      <c r="Z3904" s="80" t="s">
        <v>50</v>
      </c>
      <c r="AA3904" s="86"/>
      <c r="AB3904" s="80"/>
      <c r="AC3904" s="80" t="s">
        <v>53</v>
      </c>
      <c r="AD3904" s="80" t="s">
        <v>54</v>
      </c>
      <c r="AE3904" s="80" t="s">
        <v>11183</v>
      </c>
      <c r="AF3904" s="43">
        <v>45607</v>
      </c>
      <c r="AG3904" s="80"/>
      <c r="AH3904" s="80"/>
      <c r="AI3904" s="147"/>
      <c r="AJ3904" s="80"/>
      <c r="AK3904" s="80"/>
      <c r="AL3904" s="35"/>
      <c r="AM3904" s="35"/>
      <c r="AN3904" s="35"/>
      <c r="AO3904" s="35"/>
      <c r="AP3904" s="35"/>
    </row>
    <row r="3905" spans="1:42" x14ac:dyDescent="0.2">
      <c r="A3905" s="38">
        <v>45594</v>
      </c>
      <c r="B3905" s="137" t="s">
        <v>37</v>
      </c>
      <c r="C3905" s="41" t="s">
        <v>118</v>
      </c>
      <c r="D3905" s="80" t="s">
        <v>36</v>
      </c>
      <c r="E3905" s="80" t="s">
        <v>56</v>
      </c>
      <c r="F3905" s="80" t="s">
        <v>11183</v>
      </c>
      <c r="G3905" s="80" t="s">
        <v>108</v>
      </c>
      <c r="H3905" s="80" t="s">
        <v>13600</v>
      </c>
      <c r="I3905" s="17">
        <f ca="1">IFERROR(__xludf.DUMMYFUNCTION("""COMPUTED_VALUE"""),45607)</f>
        <v>45607</v>
      </c>
      <c r="J3905" s="143" t="s">
        <v>14023</v>
      </c>
      <c r="K3905" s="80" t="s">
        <v>14024</v>
      </c>
      <c r="L3905" s="30">
        <v>945015436</v>
      </c>
      <c r="M3905" s="80" t="s">
        <v>123</v>
      </c>
      <c r="N3905" s="80" t="s">
        <v>327</v>
      </c>
      <c r="O3905" s="80" t="s">
        <v>4503</v>
      </c>
      <c r="P3905" s="80" t="s">
        <v>3117</v>
      </c>
      <c r="Q3905" s="20">
        <v>9317</v>
      </c>
      <c r="R3905" s="80" t="s">
        <v>36</v>
      </c>
      <c r="S3905" s="95">
        <f>200+2000</f>
        <v>2200</v>
      </c>
      <c r="T3905" s="83" t="s">
        <v>14025</v>
      </c>
      <c r="U3905" s="95">
        <v>7117</v>
      </c>
      <c r="V3905" s="148">
        <v>45567</v>
      </c>
      <c r="W3905" s="85" t="s">
        <v>14026</v>
      </c>
      <c r="X3905" s="80"/>
      <c r="Y3905" s="22">
        <v>0</v>
      </c>
      <c r="Z3905" s="26" t="s">
        <v>118</v>
      </c>
      <c r="AA3905" s="82"/>
      <c r="AB3905" s="80"/>
      <c r="AC3905" s="80" t="s">
        <v>53</v>
      </c>
      <c r="AD3905" s="80" t="s">
        <v>138</v>
      </c>
      <c r="AE3905" s="80" t="s">
        <v>11183</v>
      </c>
      <c r="AF3905" s="43">
        <v>45607</v>
      </c>
      <c r="AG3905" s="80"/>
      <c r="AH3905" s="80"/>
      <c r="AI3905" s="147"/>
      <c r="AJ3905" s="80"/>
      <c r="AK3905" s="80"/>
      <c r="AL3905" s="35"/>
      <c r="AM3905" s="35"/>
      <c r="AN3905" s="35"/>
      <c r="AO3905" s="35"/>
      <c r="AP3905" s="35"/>
    </row>
    <row r="3906" spans="1:42" x14ac:dyDescent="0.2">
      <c r="A3906" s="38">
        <v>45594</v>
      </c>
      <c r="B3906" s="137" t="s">
        <v>37</v>
      </c>
      <c r="C3906" s="41" t="s">
        <v>118</v>
      </c>
      <c r="D3906" s="80" t="s">
        <v>36</v>
      </c>
      <c r="E3906" s="80" t="s">
        <v>139</v>
      </c>
      <c r="F3906" s="80" t="s">
        <v>11183</v>
      </c>
      <c r="G3906" s="80" t="s">
        <v>108</v>
      </c>
      <c r="H3906" s="80" t="s">
        <v>14007</v>
      </c>
      <c r="I3906" s="17">
        <f ca="1">IFERROR(__xludf.DUMMYFUNCTION("""COMPUTED_VALUE"""),45603)</f>
        <v>45603</v>
      </c>
      <c r="J3906" s="143" t="s">
        <v>14027</v>
      </c>
      <c r="K3906" s="80" t="s">
        <v>14028</v>
      </c>
      <c r="L3906" s="30">
        <v>984778699</v>
      </c>
      <c r="M3906" s="80" t="s">
        <v>123</v>
      </c>
      <c r="N3906" s="80" t="s">
        <v>327</v>
      </c>
      <c r="O3906" s="80" t="s">
        <v>4503</v>
      </c>
      <c r="P3906" s="80" t="s">
        <v>3487</v>
      </c>
      <c r="Q3906" s="20">
        <v>15936</v>
      </c>
      <c r="R3906" s="80" t="s">
        <v>1106</v>
      </c>
      <c r="S3906" s="95">
        <f>200+1800</f>
        <v>2000</v>
      </c>
      <c r="T3906" s="83" t="s">
        <v>14029</v>
      </c>
      <c r="U3906" s="95">
        <v>13750</v>
      </c>
      <c r="V3906" s="148">
        <v>45593</v>
      </c>
      <c r="W3906" s="85" t="s">
        <v>14030</v>
      </c>
      <c r="X3906" s="80"/>
      <c r="Y3906" s="22">
        <v>186</v>
      </c>
      <c r="Z3906" s="26" t="s">
        <v>118</v>
      </c>
      <c r="AA3906" s="86"/>
      <c r="AB3906" s="80"/>
      <c r="AC3906" s="80" t="s">
        <v>53</v>
      </c>
      <c r="AD3906" s="80" t="s">
        <v>138</v>
      </c>
      <c r="AE3906" s="80" t="s">
        <v>11183</v>
      </c>
      <c r="AF3906" s="17">
        <v>45603</v>
      </c>
      <c r="AG3906" s="80"/>
      <c r="AH3906" s="80"/>
      <c r="AI3906" s="147"/>
      <c r="AJ3906" s="80"/>
      <c r="AK3906" s="80"/>
      <c r="AL3906" s="35"/>
      <c r="AM3906" s="35"/>
      <c r="AN3906" s="35"/>
      <c r="AO3906" s="35"/>
      <c r="AP3906" s="35"/>
    </row>
    <row r="3907" spans="1:42" x14ac:dyDescent="0.2">
      <c r="A3907" s="38">
        <v>45594</v>
      </c>
      <c r="B3907" s="137" t="s">
        <v>37</v>
      </c>
      <c r="C3907" s="41" t="s">
        <v>118</v>
      </c>
      <c r="D3907" s="80" t="s">
        <v>36</v>
      </c>
      <c r="E3907" s="80" t="s">
        <v>139</v>
      </c>
      <c r="F3907" s="80" t="s">
        <v>11589</v>
      </c>
      <c r="G3907" s="80" t="s">
        <v>108</v>
      </c>
      <c r="H3907" s="80" t="s">
        <v>13976</v>
      </c>
      <c r="I3907" s="17">
        <f ca="1">IFERROR(__xludf.DUMMYFUNCTION("""COMPUTED_VALUE"""),45607)</f>
        <v>45607</v>
      </c>
      <c r="J3907" s="143" t="s">
        <v>12484</v>
      </c>
      <c r="K3907" s="80" t="s">
        <v>12485</v>
      </c>
      <c r="L3907" s="30">
        <v>972450746</v>
      </c>
      <c r="M3907" s="80" t="s">
        <v>5518</v>
      </c>
      <c r="N3907" s="80" t="s">
        <v>5252</v>
      </c>
      <c r="O3907" s="80" t="s">
        <v>12486</v>
      </c>
      <c r="P3907" s="144" t="s">
        <v>12487</v>
      </c>
      <c r="Q3907" s="20">
        <v>15936</v>
      </c>
      <c r="R3907" s="80" t="s">
        <v>36</v>
      </c>
      <c r="S3907" s="95">
        <v>2000</v>
      </c>
      <c r="T3907" s="148">
        <v>45531</v>
      </c>
      <c r="U3907" s="95">
        <v>13936</v>
      </c>
      <c r="V3907" s="148">
        <v>45552</v>
      </c>
      <c r="W3907" s="85" t="s">
        <v>12488</v>
      </c>
      <c r="X3907" s="80">
        <v>0</v>
      </c>
      <c r="Y3907" s="22">
        <v>0</v>
      </c>
      <c r="Z3907" s="80" t="s">
        <v>50</v>
      </c>
      <c r="AA3907" s="96" t="s">
        <v>3291</v>
      </c>
      <c r="AB3907" s="80"/>
      <c r="AC3907" s="80" t="s">
        <v>53</v>
      </c>
      <c r="AD3907" s="80" t="s">
        <v>54</v>
      </c>
      <c r="AE3907" s="80" t="s">
        <v>11589</v>
      </c>
      <c r="AF3907" s="17">
        <v>45602</v>
      </c>
      <c r="AG3907" s="80"/>
      <c r="AH3907" s="80"/>
      <c r="AI3907" s="147" t="s">
        <v>147</v>
      </c>
      <c r="AJ3907" s="80"/>
      <c r="AK3907" s="80"/>
      <c r="AL3907" s="35"/>
      <c r="AM3907" s="35"/>
      <c r="AN3907" s="35"/>
      <c r="AO3907" s="35"/>
      <c r="AP3907" s="35"/>
    </row>
    <row r="3908" spans="1:42" x14ac:dyDescent="0.2">
      <c r="A3908" s="38">
        <v>45594</v>
      </c>
      <c r="B3908" s="28" t="s">
        <v>37</v>
      </c>
      <c r="C3908" s="41" t="s">
        <v>118</v>
      </c>
      <c r="D3908" s="26" t="s">
        <v>36</v>
      </c>
      <c r="E3908" s="26" t="s">
        <v>139</v>
      </c>
      <c r="F3908" s="26" t="s">
        <v>10021</v>
      </c>
      <c r="G3908" s="80" t="s">
        <v>108</v>
      </c>
      <c r="H3908" s="80" t="s">
        <v>10199</v>
      </c>
      <c r="I3908" s="17">
        <f ca="1">IFERROR(__xludf.DUMMYFUNCTION("""COMPUTED_VALUE"""),45600)</f>
        <v>45600</v>
      </c>
      <c r="J3908" s="29" t="s">
        <v>10832</v>
      </c>
      <c r="K3908" s="26" t="s">
        <v>7163</v>
      </c>
      <c r="L3908" s="30">
        <v>358395716</v>
      </c>
      <c r="M3908" s="26" t="s">
        <v>80</v>
      </c>
      <c r="N3908" s="26" t="s">
        <v>1073</v>
      </c>
      <c r="O3908" s="26" t="s">
        <v>10834</v>
      </c>
      <c r="P3908" s="26" t="s">
        <v>10835</v>
      </c>
      <c r="Q3908" s="20">
        <v>15936</v>
      </c>
      <c r="R3908" s="26" t="s">
        <v>36</v>
      </c>
      <c r="S3908" s="95">
        <f t="shared" ref="S3908:S3909" si="57">200+1800</f>
        <v>2000</v>
      </c>
      <c r="T3908" s="83" t="s">
        <v>10828</v>
      </c>
      <c r="U3908" s="95">
        <v>13936</v>
      </c>
      <c r="V3908" s="148">
        <v>45523</v>
      </c>
      <c r="W3908" s="33" t="s">
        <v>10836</v>
      </c>
      <c r="X3908" s="26">
        <v>0</v>
      </c>
      <c r="Y3908" s="22">
        <v>0</v>
      </c>
      <c r="Z3908" s="26" t="s">
        <v>50</v>
      </c>
      <c r="AA3908" s="35" t="s">
        <v>10314</v>
      </c>
      <c r="AB3908" s="26"/>
      <c r="AC3908" s="26" t="s">
        <v>53</v>
      </c>
      <c r="AD3908" s="26" t="s">
        <v>54</v>
      </c>
      <c r="AE3908" s="26" t="s">
        <v>10021</v>
      </c>
      <c r="AF3908" s="17">
        <v>45595</v>
      </c>
      <c r="AG3908" s="26"/>
      <c r="AH3908" s="26"/>
      <c r="AI3908" s="40"/>
      <c r="AJ3908" s="26"/>
      <c r="AK3908" s="26"/>
      <c r="AL3908" s="35"/>
      <c r="AM3908" s="35"/>
      <c r="AN3908" s="35"/>
      <c r="AO3908" s="35"/>
      <c r="AP3908" s="35"/>
    </row>
    <row r="3909" spans="1:42" x14ac:dyDescent="0.2">
      <c r="A3909" s="38">
        <v>45594</v>
      </c>
      <c r="B3909" s="137" t="s">
        <v>37</v>
      </c>
      <c r="C3909" s="41" t="s">
        <v>118</v>
      </c>
      <c r="D3909" s="80" t="s">
        <v>36</v>
      </c>
      <c r="E3909" s="80" t="s">
        <v>139</v>
      </c>
      <c r="F3909" s="80" t="s">
        <v>11183</v>
      </c>
      <c r="G3909" s="80" t="s">
        <v>108</v>
      </c>
      <c r="H3909" s="80" t="s">
        <v>13600</v>
      </c>
      <c r="I3909" s="17">
        <f ca="1">IFERROR(__xludf.DUMMYFUNCTION("""COMPUTED_VALUE"""),45607)</f>
        <v>45607</v>
      </c>
      <c r="J3909" s="143" t="s">
        <v>12039</v>
      </c>
      <c r="K3909" s="80" t="s">
        <v>14031</v>
      </c>
      <c r="L3909" s="30">
        <v>359481219</v>
      </c>
      <c r="M3909" s="80" t="s">
        <v>5429</v>
      </c>
      <c r="N3909" s="80" t="s">
        <v>756</v>
      </c>
      <c r="O3909" s="80" t="s">
        <v>12041</v>
      </c>
      <c r="P3909" s="80" t="s">
        <v>7107</v>
      </c>
      <c r="Q3909" s="20">
        <v>15936</v>
      </c>
      <c r="R3909" s="80" t="s">
        <v>36</v>
      </c>
      <c r="S3909" s="95">
        <f t="shared" si="57"/>
        <v>2000</v>
      </c>
      <c r="T3909" s="83" t="s">
        <v>12042</v>
      </c>
      <c r="U3909" s="95">
        <v>13936</v>
      </c>
      <c r="V3909" s="148">
        <v>45558</v>
      </c>
      <c r="W3909" s="85" t="s">
        <v>12043</v>
      </c>
      <c r="X3909" s="80">
        <v>0</v>
      </c>
      <c r="Y3909" s="22">
        <v>0</v>
      </c>
      <c r="Z3909" s="80" t="s">
        <v>50</v>
      </c>
      <c r="AA3909" s="96" t="s">
        <v>3291</v>
      </c>
      <c r="AB3909" s="80"/>
      <c r="AC3909" s="80" t="s">
        <v>53</v>
      </c>
      <c r="AD3909" s="80" t="s">
        <v>138</v>
      </c>
      <c r="AE3909" s="80" t="s">
        <v>11183</v>
      </c>
      <c r="AF3909" s="43">
        <v>45607</v>
      </c>
      <c r="AG3909" s="80"/>
      <c r="AH3909" s="80"/>
      <c r="AI3909" s="147" t="s">
        <v>147</v>
      </c>
      <c r="AJ3909" s="80"/>
      <c r="AK3909" s="80"/>
      <c r="AL3909" s="35"/>
      <c r="AM3909" s="35"/>
      <c r="AN3909" s="35"/>
      <c r="AO3909" s="35"/>
      <c r="AP3909" s="35"/>
    </row>
    <row r="3910" spans="1:42" x14ac:dyDescent="0.2">
      <c r="A3910" s="38">
        <v>45595</v>
      </c>
      <c r="B3910" s="137" t="s">
        <v>37</v>
      </c>
      <c r="C3910" s="41" t="s">
        <v>118</v>
      </c>
      <c r="D3910" s="26" t="s">
        <v>36</v>
      </c>
      <c r="E3910" s="26" t="s">
        <v>915</v>
      </c>
      <c r="F3910" s="26" t="s">
        <v>6615</v>
      </c>
      <c r="G3910" s="26" t="s">
        <v>1705</v>
      </c>
      <c r="H3910" s="26" t="s">
        <v>13886</v>
      </c>
      <c r="I3910" s="17">
        <f ca="1">IFERROR(__xludf.DUMMYFUNCTION("""COMPUTED_VALUE"""),45610)</f>
        <v>45610</v>
      </c>
      <c r="J3910" s="29" t="s">
        <v>9512</v>
      </c>
      <c r="K3910" s="26" t="s">
        <v>14032</v>
      </c>
      <c r="L3910" s="30">
        <v>356943507</v>
      </c>
      <c r="M3910" s="26" t="s">
        <v>5518</v>
      </c>
      <c r="N3910" s="26" t="s">
        <v>5524</v>
      </c>
      <c r="O3910" s="26" t="s">
        <v>9514</v>
      </c>
      <c r="P3910" s="42" t="s">
        <v>14033</v>
      </c>
      <c r="Q3910" s="20"/>
      <c r="R3910" s="26" t="s">
        <v>36</v>
      </c>
      <c r="S3910" s="95">
        <f>200+10694</f>
        <v>10894</v>
      </c>
      <c r="T3910" s="148">
        <v>45488</v>
      </c>
      <c r="U3910" s="31"/>
      <c r="V3910" s="32"/>
      <c r="W3910" s="33" t="s">
        <v>9516</v>
      </c>
      <c r="X3910" s="26"/>
      <c r="Y3910" s="22"/>
      <c r="Z3910" s="26" t="s">
        <v>50</v>
      </c>
      <c r="AA3910" s="70" t="s">
        <v>9070</v>
      </c>
      <c r="AB3910" s="26"/>
      <c r="AC3910" s="26" t="s">
        <v>53</v>
      </c>
      <c r="AD3910" s="26" t="s">
        <v>54</v>
      </c>
      <c r="AE3910" s="26" t="s">
        <v>6615</v>
      </c>
      <c r="AF3910" s="17">
        <v>45604</v>
      </c>
      <c r="AG3910" s="26"/>
      <c r="AH3910" s="26"/>
      <c r="AI3910" s="40"/>
      <c r="AJ3910" s="26"/>
      <c r="AK3910" s="26"/>
      <c r="AL3910" s="35"/>
      <c r="AM3910" s="35"/>
      <c r="AN3910" s="35"/>
      <c r="AO3910" s="35"/>
      <c r="AP3910" s="35"/>
    </row>
    <row r="3911" spans="1:42" x14ac:dyDescent="0.2">
      <c r="A3911" s="38">
        <v>45595</v>
      </c>
      <c r="B3911" s="28" t="s">
        <v>37</v>
      </c>
      <c r="C3911" s="41" t="s">
        <v>118</v>
      </c>
      <c r="D3911" s="80" t="s">
        <v>36</v>
      </c>
      <c r="E3911" s="80" t="s">
        <v>139</v>
      </c>
      <c r="F3911" s="80" t="s">
        <v>11718</v>
      </c>
      <c r="G3911" s="80" t="s">
        <v>108</v>
      </c>
      <c r="H3911" s="80" t="s">
        <v>10199</v>
      </c>
      <c r="I3911" s="17">
        <f ca="1">IFERROR(__xludf.DUMMYFUNCTION("""COMPUTED_VALUE"""),45600)</f>
        <v>45600</v>
      </c>
      <c r="J3911" s="143" t="s">
        <v>12559</v>
      </c>
      <c r="K3911" s="80" t="s">
        <v>14034</v>
      </c>
      <c r="L3911" s="30">
        <v>775227665</v>
      </c>
      <c r="M3911" s="80" t="s">
        <v>123</v>
      </c>
      <c r="N3911" s="80" t="s">
        <v>327</v>
      </c>
      <c r="O3911" s="80" t="s">
        <v>4503</v>
      </c>
      <c r="P3911" s="144" t="s">
        <v>14035</v>
      </c>
      <c r="Q3911" s="20">
        <v>15936</v>
      </c>
      <c r="R3911" s="80" t="s">
        <v>36</v>
      </c>
      <c r="S3911" s="95">
        <v>5000</v>
      </c>
      <c r="T3911" s="148">
        <v>45533</v>
      </c>
      <c r="U3911" s="95">
        <v>10936</v>
      </c>
      <c r="V3911" s="148">
        <v>45557</v>
      </c>
      <c r="W3911" s="85" t="s">
        <v>12562</v>
      </c>
      <c r="X3911" s="80">
        <v>0</v>
      </c>
      <c r="Y3911" s="22">
        <v>0</v>
      </c>
      <c r="Z3911" s="80" t="s">
        <v>50</v>
      </c>
      <c r="AA3911" s="96" t="s">
        <v>3291</v>
      </c>
      <c r="AB3911" s="80"/>
      <c r="AC3911" s="80" t="s">
        <v>53</v>
      </c>
      <c r="AD3911" s="80" t="s">
        <v>54</v>
      </c>
      <c r="AE3911" s="80" t="s">
        <v>11718</v>
      </c>
      <c r="AF3911" s="17">
        <v>45595</v>
      </c>
      <c r="AG3911" s="80"/>
      <c r="AH3911" s="80"/>
      <c r="AI3911" s="147" t="s">
        <v>147</v>
      </c>
      <c r="AJ3911" s="80"/>
      <c r="AK3911" s="80"/>
      <c r="AL3911" s="35"/>
      <c r="AM3911" s="35"/>
      <c r="AN3911" s="35"/>
      <c r="AO3911" s="35"/>
      <c r="AP3911" s="35"/>
    </row>
    <row r="3912" spans="1:42" x14ac:dyDescent="0.2">
      <c r="A3912" s="38">
        <v>45595</v>
      </c>
      <c r="B3912" s="28" t="s">
        <v>37</v>
      </c>
      <c r="C3912" s="41" t="s">
        <v>118</v>
      </c>
      <c r="D3912" s="26" t="s">
        <v>36</v>
      </c>
      <c r="E3912" s="26" t="s">
        <v>119</v>
      </c>
      <c r="F3912" s="26" t="s">
        <v>6976</v>
      </c>
      <c r="G3912" s="26" t="s">
        <v>1705</v>
      </c>
      <c r="H3912" s="26" t="s">
        <v>13886</v>
      </c>
      <c r="I3912" s="17">
        <f ca="1">IFERROR(__xludf.DUMMYFUNCTION("""COMPUTED_VALUE"""),45610)</f>
        <v>45610</v>
      </c>
      <c r="J3912" s="29" t="s">
        <v>7644</v>
      </c>
      <c r="K3912" s="26" t="s">
        <v>7645</v>
      </c>
      <c r="L3912" s="30">
        <v>968449834</v>
      </c>
      <c r="M3912" s="26" t="s">
        <v>2755</v>
      </c>
      <c r="N3912" s="26" t="s">
        <v>3760</v>
      </c>
      <c r="O3912" s="26" t="s">
        <v>4503</v>
      </c>
      <c r="P3912" s="42" t="s">
        <v>14036</v>
      </c>
      <c r="Q3912" s="20">
        <v>13968</v>
      </c>
      <c r="R3912" s="26" t="s">
        <v>36</v>
      </c>
      <c r="S3912" s="31">
        <v>8000</v>
      </c>
      <c r="T3912" s="32">
        <v>45342</v>
      </c>
      <c r="U3912" s="31">
        <v>5968</v>
      </c>
      <c r="V3912" s="32">
        <v>45361</v>
      </c>
      <c r="W3912" s="33" t="s">
        <v>7647</v>
      </c>
      <c r="X3912" s="26"/>
      <c r="Y3912" s="22">
        <v>0</v>
      </c>
      <c r="Z3912" s="98" t="s">
        <v>118</v>
      </c>
      <c r="AA3912" s="19" t="s">
        <v>7361</v>
      </c>
      <c r="AB3912" s="26" t="s">
        <v>36</v>
      </c>
      <c r="AC3912" s="26" t="s">
        <v>53</v>
      </c>
      <c r="AD3912" s="19" t="s">
        <v>54</v>
      </c>
      <c r="AE3912" s="26" t="s">
        <v>6976</v>
      </c>
      <c r="AF3912" s="17">
        <v>45604</v>
      </c>
      <c r="AG3912" s="26"/>
      <c r="AH3912" s="26"/>
      <c r="AI3912" s="40"/>
      <c r="AJ3912" s="26"/>
      <c r="AK3912" s="26"/>
      <c r="AL3912" s="35"/>
      <c r="AM3912" s="35"/>
      <c r="AN3912" s="35"/>
      <c r="AO3912" s="35"/>
      <c r="AP3912" s="35"/>
    </row>
    <row r="3913" spans="1:42" x14ac:dyDescent="0.2">
      <c r="A3913" s="38">
        <v>45595</v>
      </c>
      <c r="B3913" s="28" t="s">
        <v>37</v>
      </c>
      <c r="C3913" s="41" t="s">
        <v>118</v>
      </c>
      <c r="D3913" s="26" t="s">
        <v>36</v>
      </c>
      <c r="E3913" s="26" t="s">
        <v>119</v>
      </c>
      <c r="F3913" s="26" t="s">
        <v>8708</v>
      </c>
      <c r="G3913" s="26" t="s">
        <v>221</v>
      </c>
      <c r="H3913" s="26" t="s">
        <v>13889</v>
      </c>
      <c r="I3913" s="17">
        <f ca="1">IFERROR(__xludf.DUMMYFUNCTION("""COMPUTED_VALUE"""),45601)</f>
        <v>45601</v>
      </c>
      <c r="J3913" s="29" t="s">
        <v>10539</v>
      </c>
      <c r="K3913" s="26" t="s">
        <v>13732</v>
      </c>
      <c r="L3913" s="30">
        <v>868601098</v>
      </c>
      <c r="M3913" s="26" t="s">
        <v>80</v>
      </c>
      <c r="N3913" s="26" t="s">
        <v>1073</v>
      </c>
      <c r="O3913" s="26" t="s">
        <v>10541</v>
      </c>
      <c r="P3913" s="42" t="s">
        <v>14037</v>
      </c>
      <c r="Q3913" s="20">
        <v>13968</v>
      </c>
      <c r="R3913" s="26" t="s">
        <v>36</v>
      </c>
      <c r="S3913" s="95">
        <f>200+3800</f>
        <v>4000</v>
      </c>
      <c r="T3913" s="83" t="s">
        <v>10543</v>
      </c>
      <c r="U3913" s="95">
        <v>9968</v>
      </c>
      <c r="V3913" s="148">
        <v>45512</v>
      </c>
      <c r="W3913" s="33" t="s">
        <v>10544</v>
      </c>
      <c r="X3913" s="26">
        <v>0</v>
      </c>
      <c r="Y3913" s="22">
        <v>0</v>
      </c>
      <c r="Z3913" s="26" t="s">
        <v>50</v>
      </c>
      <c r="AA3913" s="96" t="s">
        <v>10314</v>
      </c>
      <c r="AB3913" s="26"/>
      <c r="AC3913" s="26" t="s">
        <v>53</v>
      </c>
      <c r="AD3913" s="26" t="s">
        <v>54</v>
      </c>
      <c r="AE3913" s="26" t="s">
        <v>8708</v>
      </c>
      <c r="AF3913" s="17">
        <v>45596</v>
      </c>
      <c r="AG3913" s="26"/>
      <c r="AH3913" s="26"/>
      <c r="AI3913" s="40"/>
      <c r="AJ3913" s="26"/>
      <c r="AK3913" s="26"/>
      <c r="AL3913" s="35"/>
      <c r="AM3913" s="35"/>
      <c r="AN3913" s="35"/>
      <c r="AO3913" s="35"/>
      <c r="AP3913" s="35"/>
    </row>
    <row r="3914" spans="1:42" x14ac:dyDescent="0.2">
      <c r="A3914" s="38">
        <v>45596</v>
      </c>
      <c r="B3914" s="137" t="s">
        <v>37</v>
      </c>
      <c r="C3914" s="41" t="s">
        <v>118</v>
      </c>
      <c r="D3914" s="80" t="s">
        <v>36</v>
      </c>
      <c r="E3914" s="80" t="s">
        <v>139</v>
      </c>
      <c r="F3914" s="80" t="s">
        <v>11183</v>
      </c>
      <c r="G3914" s="80" t="s">
        <v>108</v>
      </c>
      <c r="H3914" s="80" t="s">
        <v>14038</v>
      </c>
      <c r="I3914" s="17">
        <f ca="1">IFERROR(__xludf.DUMMYFUNCTION("""COMPUTED_VALUE"""),45621)</f>
        <v>45621</v>
      </c>
      <c r="J3914" s="143" t="s">
        <v>14039</v>
      </c>
      <c r="K3914" s="80" t="s">
        <v>14040</v>
      </c>
      <c r="L3914" s="30">
        <v>978694033</v>
      </c>
      <c r="M3914" s="80" t="s">
        <v>123</v>
      </c>
      <c r="N3914" s="80" t="s">
        <v>2847</v>
      </c>
      <c r="O3914" s="80" t="s">
        <v>4503</v>
      </c>
      <c r="P3914" s="80" t="s">
        <v>3487</v>
      </c>
      <c r="Q3914" s="20">
        <v>15936</v>
      </c>
      <c r="R3914" s="80" t="s">
        <v>36</v>
      </c>
      <c r="S3914" s="95">
        <f>200+1800</f>
        <v>2000</v>
      </c>
      <c r="T3914" s="83" t="s">
        <v>14041</v>
      </c>
      <c r="U3914" s="95">
        <f>7000+6936</f>
        <v>13936</v>
      </c>
      <c r="V3914" s="148">
        <v>45579</v>
      </c>
      <c r="W3914" s="85" t="s">
        <v>14042</v>
      </c>
      <c r="X3914" s="80"/>
      <c r="Y3914" s="22">
        <v>0</v>
      </c>
      <c r="Z3914" s="26" t="s">
        <v>118</v>
      </c>
      <c r="AA3914" s="86"/>
      <c r="AB3914" s="80"/>
      <c r="AC3914" s="80" t="s">
        <v>53</v>
      </c>
      <c r="AD3914" s="80" t="s">
        <v>138</v>
      </c>
      <c r="AE3914" s="80" t="s">
        <v>11183</v>
      </c>
      <c r="AF3914" s="43">
        <v>45607</v>
      </c>
      <c r="AG3914" s="80"/>
      <c r="AH3914" s="80"/>
      <c r="AI3914" s="147"/>
      <c r="AJ3914" s="80"/>
      <c r="AK3914" s="80"/>
      <c r="AL3914" s="35"/>
      <c r="AM3914" s="35"/>
      <c r="AN3914" s="35"/>
      <c r="AO3914" s="35"/>
      <c r="AP3914" s="35"/>
    </row>
    <row r="3915" spans="1:42" x14ac:dyDescent="0.2">
      <c r="A3915" s="38">
        <v>45596</v>
      </c>
      <c r="B3915" s="137" t="s">
        <v>37</v>
      </c>
      <c r="C3915" s="41" t="s">
        <v>118</v>
      </c>
      <c r="D3915" s="80" t="s">
        <v>36</v>
      </c>
      <c r="E3915" s="80" t="s">
        <v>56</v>
      </c>
      <c r="F3915" s="80" t="s">
        <v>11183</v>
      </c>
      <c r="G3915" s="80" t="s">
        <v>108</v>
      </c>
      <c r="H3915" s="80" t="s">
        <v>13600</v>
      </c>
      <c r="I3915" s="17">
        <f ca="1">IFERROR(__xludf.DUMMYFUNCTION("""COMPUTED_VALUE"""),45607)</f>
        <v>45607</v>
      </c>
      <c r="J3915" s="143" t="s">
        <v>14043</v>
      </c>
      <c r="K3915" s="80" t="s">
        <v>14044</v>
      </c>
      <c r="L3915" s="30">
        <v>855960900</v>
      </c>
      <c r="M3915" s="80" t="s">
        <v>80</v>
      </c>
      <c r="N3915" s="80" t="s">
        <v>466</v>
      </c>
      <c r="O3915" s="80" t="s">
        <v>14045</v>
      </c>
      <c r="P3915" s="80" t="s">
        <v>14046</v>
      </c>
      <c r="Q3915" s="20">
        <v>9317</v>
      </c>
      <c r="R3915" s="80" t="s">
        <v>70</v>
      </c>
      <c r="S3915" s="95">
        <v>2000</v>
      </c>
      <c r="T3915" s="148">
        <v>45527</v>
      </c>
      <c r="U3915" s="95">
        <v>7317</v>
      </c>
      <c r="V3915" s="148">
        <v>45580</v>
      </c>
      <c r="W3915" s="85" t="s">
        <v>14047</v>
      </c>
      <c r="X3915" s="80"/>
      <c r="Y3915" s="22">
        <v>0</v>
      </c>
      <c r="Z3915" s="80" t="s">
        <v>50</v>
      </c>
      <c r="AA3915" s="82"/>
      <c r="AB3915" s="80"/>
      <c r="AC3915" s="80" t="s">
        <v>53</v>
      </c>
      <c r="AD3915" s="80" t="s">
        <v>138</v>
      </c>
      <c r="AE3915" s="80" t="s">
        <v>11183</v>
      </c>
      <c r="AF3915" s="43">
        <v>45607</v>
      </c>
      <c r="AG3915" s="80"/>
      <c r="AH3915" s="80"/>
      <c r="AI3915" s="147"/>
      <c r="AJ3915" s="80"/>
      <c r="AK3915" s="80"/>
      <c r="AL3915" s="35"/>
      <c r="AM3915" s="35"/>
      <c r="AN3915" s="35"/>
      <c r="AO3915" s="35"/>
      <c r="AP3915" s="35"/>
    </row>
    <row r="3916" spans="1:42" x14ac:dyDescent="0.2">
      <c r="A3916" s="38">
        <v>45596</v>
      </c>
      <c r="B3916" s="137" t="s">
        <v>37</v>
      </c>
      <c r="C3916" s="41" t="s">
        <v>118</v>
      </c>
      <c r="D3916" s="80" t="s">
        <v>36</v>
      </c>
      <c r="E3916" s="80" t="s">
        <v>139</v>
      </c>
      <c r="F3916" s="80" t="s">
        <v>11183</v>
      </c>
      <c r="G3916" s="80" t="s">
        <v>108</v>
      </c>
      <c r="H3916" s="80" t="s">
        <v>13600</v>
      </c>
      <c r="I3916" s="17">
        <f ca="1">IFERROR(__xludf.DUMMYFUNCTION("""COMPUTED_VALUE"""),45607)</f>
        <v>45607</v>
      </c>
      <c r="J3916" s="143" t="s">
        <v>14048</v>
      </c>
      <c r="K3916" s="80" t="s">
        <v>14049</v>
      </c>
      <c r="L3916" s="30">
        <v>375844618</v>
      </c>
      <c r="M3916" s="80" t="s">
        <v>123</v>
      </c>
      <c r="N3916" s="80" t="s">
        <v>2847</v>
      </c>
      <c r="O3916" s="80" t="s">
        <v>4503</v>
      </c>
      <c r="P3916" s="80" t="s">
        <v>3487</v>
      </c>
      <c r="Q3916" s="20">
        <v>15936</v>
      </c>
      <c r="R3916" s="80" t="s">
        <v>36</v>
      </c>
      <c r="S3916" s="95">
        <v>2000</v>
      </c>
      <c r="T3916" s="148">
        <v>45524</v>
      </c>
      <c r="U3916" s="95">
        <v>13936</v>
      </c>
      <c r="V3916" s="148">
        <v>45571</v>
      </c>
      <c r="W3916" s="85" t="s">
        <v>14050</v>
      </c>
      <c r="X3916" s="80"/>
      <c r="Y3916" s="22">
        <v>0</v>
      </c>
      <c r="Z3916" s="26" t="s">
        <v>118</v>
      </c>
      <c r="AA3916" s="86"/>
      <c r="AB3916" s="80"/>
      <c r="AC3916" s="80" t="s">
        <v>53</v>
      </c>
      <c r="AD3916" s="80" t="s">
        <v>138</v>
      </c>
      <c r="AE3916" s="80" t="s">
        <v>11183</v>
      </c>
      <c r="AF3916" s="43">
        <v>45607</v>
      </c>
      <c r="AG3916" s="80"/>
      <c r="AH3916" s="80"/>
      <c r="AI3916" s="147"/>
      <c r="AJ3916" s="80"/>
      <c r="AK3916" s="80"/>
      <c r="AL3916" s="35"/>
      <c r="AM3916" s="35"/>
      <c r="AN3916" s="35"/>
      <c r="AO3916" s="35"/>
      <c r="AP3916" s="35"/>
    </row>
    <row r="3917" spans="1:42" x14ac:dyDescent="0.2">
      <c r="A3917" s="126">
        <v>45596.527020671296</v>
      </c>
      <c r="B3917" s="137" t="s">
        <v>37</v>
      </c>
      <c r="C3917" s="41" t="s">
        <v>118</v>
      </c>
      <c r="D3917" s="80" t="s">
        <v>36</v>
      </c>
      <c r="E3917" s="80" t="s">
        <v>77</v>
      </c>
      <c r="F3917" s="80" t="s">
        <v>36</v>
      </c>
      <c r="G3917" s="80" t="s">
        <v>41</v>
      </c>
      <c r="H3917" s="80" t="s">
        <v>14051</v>
      </c>
      <c r="I3917" s="17">
        <f ca="1">IFERROR(__xludf.DUMMYFUNCTION("""COMPUTED_VALUE"""),45615)</f>
        <v>45615</v>
      </c>
      <c r="J3917" s="143" t="s">
        <v>14052</v>
      </c>
      <c r="K3917" s="80" t="s">
        <v>14053</v>
      </c>
      <c r="L3917" s="30">
        <v>326646383</v>
      </c>
      <c r="M3917" s="80" t="s">
        <v>910</v>
      </c>
      <c r="N3917" s="80" t="s">
        <v>355</v>
      </c>
      <c r="O3917" s="80" t="s">
        <v>91</v>
      </c>
      <c r="P3917" s="80" t="s">
        <v>12578</v>
      </c>
      <c r="Q3917" s="20">
        <v>1968</v>
      </c>
      <c r="R3917" s="80" t="s">
        <v>36</v>
      </c>
      <c r="S3917" s="95">
        <v>1968</v>
      </c>
      <c r="T3917" s="148">
        <v>45259</v>
      </c>
      <c r="U3917" s="77"/>
      <c r="V3917" s="78"/>
      <c r="W3917" s="85" t="s">
        <v>14054</v>
      </c>
      <c r="X3917" s="80"/>
      <c r="Y3917" s="83">
        <v>0</v>
      </c>
      <c r="Z3917" s="26" t="s">
        <v>118</v>
      </c>
      <c r="AA3917" s="82"/>
      <c r="AB3917" s="80"/>
      <c r="AC3917" s="80" t="s">
        <v>53</v>
      </c>
      <c r="AD3917" s="80" t="s">
        <v>138</v>
      </c>
      <c r="AE3917" s="80" t="s">
        <v>14055</v>
      </c>
      <c r="AF3917" s="17">
        <v>45615</v>
      </c>
      <c r="AG3917" s="80"/>
      <c r="AH3917" s="80"/>
      <c r="AI3917" s="147"/>
      <c r="AJ3917" s="80"/>
      <c r="AK3917" s="80"/>
      <c r="AL3917" s="35"/>
      <c r="AM3917" s="35"/>
      <c r="AN3917" s="35"/>
      <c r="AO3917" s="35"/>
      <c r="AP3917" s="35"/>
    </row>
    <row r="3918" spans="1:42" x14ac:dyDescent="0.2">
      <c r="A3918" s="126">
        <v>45596.527020671296</v>
      </c>
      <c r="B3918" s="28" t="s">
        <v>37</v>
      </c>
      <c r="C3918" s="41" t="s">
        <v>118</v>
      </c>
      <c r="D3918" s="26" t="s">
        <v>36</v>
      </c>
      <c r="E3918" s="26" t="s">
        <v>119</v>
      </c>
      <c r="F3918" s="26" t="s">
        <v>8338</v>
      </c>
      <c r="G3918" s="26" t="s">
        <v>1705</v>
      </c>
      <c r="H3918" s="80" t="s">
        <v>13886</v>
      </c>
      <c r="I3918" s="17">
        <f ca="1">IFERROR(__xludf.DUMMYFUNCTION("""COMPUTED_VALUE"""),45610)</f>
        <v>45610</v>
      </c>
      <c r="J3918" s="29" t="s">
        <v>1029</v>
      </c>
      <c r="K3918" s="26" t="s">
        <v>1350</v>
      </c>
      <c r="L3918" s="30">
        <v>984718447</v>
      </c>
      <c r="M3918" s="26" t="s">
        <v>80</v>
      </c>
      <c r="N3918" s="26" t="s">
        <v>253</v>
      </c>
      <c r="O3918" s="26" t="s">
        <v>1031</v>
      </c>
      <c r="P3918" s="42" t="s">
        <v>14056</v>
      </c>
      <c r="Q3918" s="20">
        <v>13968</v>
      </c>
      <c r="R3918" s="26" t="s">
        <v>36</v>
      </c>
      <c r="S3918" s="31">
        <v>4000</v>
      </c>
      <c r="T3918" s="32">
        <v>45121</v>
      </c>
      <c r="U3918" s="31">
        <v>9968</v>
      </c>
      <c r="V3918" s="32">
        <v>45140</v>
      </c>
      <c r="W3918" s="33" t="s">
        <v>1033</v>
      </c>
      <c r="X3918" s="26">
        <v>0</v>
      </c>
      <c r="Y3918" s="22">
        <v>0</v>
      </c>
      <c r="Z3918" s="26" t="s">
        <v>118</v>
      </c>
      <c r="AA3918" s="19" t="s">
        <v>901</v>
      </c>
      <c r="AB3918" s="26" t="s">
        <v>36</v>
      </c>
      <c r="AC3918" s="26" t="s">
        <v>53</v>
      </c>
      <c r="AD3918" s="19" t="s">
        <v>54</v>
      </c>
      <c r="AE3918" s="26" t="s">
        <v>8338</v>
      </c>
      <c r="AF3918" s="17">
        <v>45604</v>
      </c>
      <c r="AG3918" s="26"/>
      <c r="AH3918" s="26">
        <v>1</v>
      </c>
      <c r="AI3918" s="40">
        <v>4</v>
      </c>
      <c r="AJ3918" s="26"/>
      <c r="AK3918" s="26"/>
      <c r="AL3918" s="35"/>
      <c r="AM3918" s="35"/>
      <c r="AN3918" s="35"/>
      <c r="AO3918" s="35"/>
      <c r="AP3918" s="35"/>
    </row>
    <row r="3919" spans="1:42" x14ac:dyDescent="0.2">
      <c r="A3919" s="126">
        <v>45596.527020671296</v>
      </c>
      <c r="B3919" s="28" t="s">
        <v>37</v>
      </c>
      <c r="C3919" s="41" t="s">
        <v>118</v>
      </c>
      <c r="D3919" s="26" t="s">
        <v>36</v>
      </c>
      <c r="E3919" s="26" t="s">
        <v>139</v>
      </c>
      <c r="F3919" s="26" t="s">
        <v>6615</v>
      </c>
      <c r="G3919" s="26" t="s">
        <v>1705</v>
      </c>
      <c r="H3919" s="80" t="s">
        <v>13886</v>
      </c>
      <c r="I3919" s="17">
        <f ca="1">IFERROR(__xludf.DUMMYFUNCTION("""COMPUTED_VALUE"""),45610)</f>
        <v>45610</v>
      </c>
      <c r="J3919" s="29" t="s">
        <v>4510</v>
      </c>
      <c r="K3919" s="26" t="s">
        <v>4511</v>
      </c>
      <c r="L3919" s="30">
        <v>988467310</v>
      </c>
      <c r="M3919" s="26" t="s">
        <v>123</v>
      </c>
      <c r="N3919" s="26" t="s">
        <v>186</v>
      </c>
      <c r="O3919" s="26" t="s">
        <v>4503</v>
      </c>
      <c r="P3919" s="42" t="s">
        <v>14057</v>
      </c>
      <c r="Q3919" s="20">
        <v>15936</v>
      </c>
      <c r="R3919" s="26" t="s">
        <v>36</v>
      </c>
      <c r="S3919" s="31">
        <v>15936</v>
      </c>
      <c r="T3919" s="32">
        <v>45226</v>
      </c>
      <c r="U3919" s="31"/>
      <c r="V3919" s="26"/>
      <c r="W3919" s="33" t="s">
        <v>4513</v>
      </c>
      <c r="X3919" s="26"/>
      <c r="Y3919" s="22">
        <v>0</v>
      </c>
      <c r="Z3919" s="98" t="s">
        <v>118</v>
      </c>
      <c r="AA3919" s="19" t="s">
        <v>3454</v>
      </c>
      <c r="AB3919" s="26" t="s">
        <v>36</v>
      </c>
      <c r="AC3919" s="26" t="s">
        <v>53</v>
      </c>
      <c r="AD3919" s="19" t="s">
        <v>138</v>
      </c>
      <c r="AE3919" s="26" t="s">
        <v>6615</v>
      </c>
      <c r="AF3919" s="17">
        <v>45604</v>
      </c>
      <c r="AG3919" s="26"/>
      <c r="AH3919" s="26"/>
      <c r="AI3919" s="40"/>
      <c r="AJ3919" s="26"/>
      <c r="AK3919" s="26"/>
      <c r="AL3919" s="35"/>
      <c r="AM3919" s="35"/>
      <c r="AN3919" s="35"/>
      <c r="AO3919" s="35"/>
      <c r="AP3919" s="35"/>
    </row>
    <row r="3920" spans="1:42" x14ac:dyDescent="0.2">
      <c r="A3920" s="126">
        <v>45596.527020671296</v>
      </c>
      <c r="B3920" s="28" t="s">
        <v>37</v>
      </c>
      <c r="C3920" s="41" t="s">
        <v>118</v>
      </c>
      <c r="D3920" s="26" t="s">
        <v>36</v>
      </c>
      <c r="E3920" s="26" t="s">
        <v>119</v>
      </c>
      <c r="F3920" s="26" t="s">
        <v>8338</v>
      </c>
      <c r="G3920" s="26" t="s">
        <v>1705</v>
      </c>
      <c r="H3920" s="80" t="s">
        <v>13886</v>
      </c>
      <c r="I3920" s="17">
        <f ca="1">IFERROR(__xludf.DUMMYFUNCTION("""COMPUTED_VALUE"""),45610)</f>
        <v>45610</v>
      </c>
      <c r="J3920" s="29" t="s">
        <v>2155</v>
      </c>
      <c r="K3920" s="26" t="s">
        <v>5904</v>
      </c>
      <c r="L3920" s="30">
        <v>824048516</v>
      </c>
      <c r="M3920" s="26" t="s">
        <v>123</v>
      </c>
      <c r="N3920" s="26" t="s">
        <v>2157</v>
      </c>
      <c r="O3920" s="67" t="s">
        <v>2158</v>
      </c>
      <c r="P3920" s="42" t="s">
        <v>8367</v>
      </c>
      <c r="Q3920" s="20">
        <v>13968</v>
      </c>
      <c r="R3920" s="26" t="s">
        <v>36</v>
      </c>
      <c r="S3920" s="19">
        <f>500+12779</f>
        <v>13279</v>
      </c>
      <c r="T3920" s="19" t="s">
        <v>2159</v>
      </c>
      <c r="U3920" s="31">
        <v>957</v>
      </c>
      <c r="V3920" s="32">
        <v>45147</v>
      </c>
      <c r="W3920" s="33" t="s">
        <v>2160</v>
      </c>
      <c r="X3920" s="35">
        <v>0</v>
      </c>
      <c r="Y3920" s="22">
        <v>0</v>
      </c>
      <c r="Z3920" s="26" t="s">
        <v>118</v>
      </c>
      <c r="AA3920" s="19" t="s">
        <v>5785</v>
      </c>
      <c r="AB3920" s="26" t="s">
        <v>36</v>
      </c>
      <c r="AC3920" s="26" t="s">
        <v>53</v>
      </c>
      <c r="AD3920" s="19" t="s">
        <v>54</v>
      </c>
      <c r="AE3920" s="26" t="s">
        <v>8338</v>
      </c>
      <c r="AF3920" s="17">
        <v>45604</v>
      </c>
      <c r="AG3920" s="35"/>
      <c r="AH3920" s="26"/>
      <c r="AI3920" s="40">
        <v>4</v>
      </c>
      <c r="AJ3920" s="26"/>
      <c r="AK3920" s="26"/>
      <c r="AL3920" s="35"/>
      <c r="AM3920" s="35"/>
      <c r="AN3920" s="35"/>
      <c r="AO3920" s="35"/>
      <c r="AP3920" s="35"/>
    </row>
    <row r="3921" spans="1:42" x14ac:dyDescent="0.2">
      <c r="A3921" s="38">
        <v>45597</v>
      </c>
      <c r="B3921" s="28" t="s">
        <v>37</v>
      </c>
      <c r="C3921" s="41" t="s">
        <v>118</v>
      </c>
      <c r="D3921" s="26" t="s">
        <v>36</v>
      </c>
      <c r="E3921" s="26" t="s">
        <v>139</v>
      </c>
      <c r="F3921" s="26" t="s">
        <v>6128</v>
      </c>
      <c r="G3921" s="26" t="s">
        <v>1705</v>
      </c>
      <c r="H3921" s="80" t="s">
        <v>8927</v>
      </c>
      <c r="I3921" s="17">
        <f ca="1">IFERROR(__xludf.DUMMYFUNCTION("""COMPUTED_VALUE"""),45606)</f>
        <v>45606</v>
      </c>
      <c r="J3921" s="29" t="s">
        <v>2554</v>
      </c>
      <c r="K3921" s="26" t="s">
        <v>4871</v>
      </c>
      <c r="L3921" s="30">
        <v>973852521</v>
      </c>
      <c r="M3921" s="26" t="s">
        <v>123</v>
      </c>
      <c r="N3921" s="26" t="s">
        <v>850</v>
      </c>
      <c r="O3921" s="26" t="s">
        <v>125</v>
      </c>
      <c r="P3921" s="42" t="s">
        <v>14058</v>
      </c>
      <c r="Q3921" s="20">
        <v>15936</v>
      </c>
      <c r="R3921" s="26" t="s">
        <v>36</v>
      </c>
      <c r="S3921" s="31">
        <v>200</v>
      </c>
      <c r="T3921" s="32">
        <v>45155</v>
      </c>
      <c r="U3921" s="31">
        <f>4000+11736</f>
        <v>15736</v>
      </c>
      <c r="V3921" s="26" t="s">
        <v>2557</v>
      </c>
      <c r="W3921" s="26" t="s">
        <v>2558</v>
      </c>
      <c r="X3921" s="26"/>
      <c r="Y3921" s="22">
        <v>0</v>
      </c>
      <c r="Z3921" s="26" t="s">
        <v>118</v>
      </c>
      <c r="AA3921" s="19" t="s">
        <v>4541</v>
      </c>
      <c r="AB3921" s="26" t="s">
        <v>104</v>
      </c>
      <c r="AC3921" s="26" t="s">
        <v>53</v>
      </c>
      <c r="AD3921" s="19" t="s">
        <v>138</v>
      </c>
      <c r="AE3921" s="26" t="s">
        <v>6128</v>
      </c>
      <c r="AF3921" s="17">
        <v>45601</v>
      </c>
      <c r="AG3921" s="26"/>
      <c r="AH3921" s="26"/>
      <c r="AI3921" s="40"/>
      <c r="AJ3921" s="26"/>
      <c r="AK3921" s="26"/>
      <c r="AL3921" s="35"/>
      <c r="AM3921" s="35"/>
      <c r="AN3921" s="35"/>
      <c r="AO3921" s="35"/>
      <c r="AP3921" s="35"/>
    </row>
    <row r="3922" spans="1:42" x14ac:dyDescent="0.2">
      <c r="A3922" s="38">
        <v>45597</v>
      </c>
      <c r="B3922" s="137" t="s">
        <v>37</v>
      </c>
      <c r="C3922" s="41" t="s">
        <v>118</v>
      </c>
      <c r="D3922" s="80" t="s">
        <v>36</v>
      </c>
      <c r="E3922" s="80" t="s">
        <v>139</v>
      </c>
      <c r="F3922" s="80" t="s">
        <v>11707</v>
      </c>
      <c r="G3922" s="80" t="s">
        <v>108</v>
      </c>
      <c r="H3922" s="80" t="s">
        <v>14007</v>
      </c>
      <c r="I3922" s="17">
        <f ca="1">IFERROR(__xludf.DUMMYFUNCTION("""COMPUTED_VALUE"""),45603)</f>
        <v>45603</v>
      </c>
      <c r="J3922" s="143" t="s">
        <v>12568</v>
      </c>
      <c r="K3922" s="80" t="s">
        <v>14059</v>
      </c>
      <c r="L3922" s="30">
        <v>769427056</v>
      </c>
      <c r="M3922" s="80" t="s">
        <v>123</v>
      </c>
      <c r="N3922" s="80" t="s">
        <v>2847</v>
      </c>
      <c r="O3922" s="80" t="s">
        <v>4503</v>
      </c>
      <c r="P3922" s="80" t="s">
        <v>3487</v>
      </c>
      <c r="Q3922" s="20">
        <v>15936</v>
      </c>
      <c r="R3922" s="80" t="s">
        <v>36</v>
      </c>
      <c r="S3922" s="95">
        <v>2000</v>
      </c>
      <c r="T3922" s="148">
        <v>45533</v>
      </c>
      <c r="U3922" s="178">
        <v>13936</v>
      </c>
      <c r="V3922" s="169">
        <v>45560</v>
      </c>
      <c r="W3922" s="85" t="s">
        <v>12570</v>
      </c>
      <c r="X3922" s="80">
        <v>0</v>
      </c>
      <c r="Y3922" s="22">
        <v>0</v>
      </c>
      <c r="Z3922" s="80" t="s">
        <v>50</v>
      </c>
      <c r="AA3922" s="35" t="s">
        <v>3291</v>
      </c>
      <c r="AB3922" s="80"/>
      <c r="AC3922" s="80" t="s">
        <v>53</v>
      </c>
      <c r="AD3922" s="80" t="s">
        <v>138</v>
      </c>
      <c r="AE3922" s="80" t="s">
        <v>11707</v>
      </c>
      <c r="AF3922" s="17">
        <v>45603</v>
      </c>
      <c r="AG3922" s="80"/>
      <c r="AH3922" s="80"/>
      <c r="AI3922" s="147" t="s">
        <v>147</v>
      </c>
      <c r="AJ3922" s="80"/>
      <c r="AK3922" s="80"/>
      <c r="AL3922" s="35"/>
      <c r="AM3922" s="35"/>
      <c r="AN3922" s="35"/>
      <c r="AO3922" s="35"/>
      <c r="AP3922" s="35"/>
    </row>
    <row r="3923" spans="1:42" x14ac:dyDescent="0.2">
      <c r="A3923" s="38">
        <v>45597</v>
      </c>
      <c r="B3923" s="137" t="s">
        <v>37</v>
      </c>
      <c r="C3923" s="41" t="s">
        <v>118</v>
      </c>
      <c r="D3923" s="80" t="s">
        <v>36</v>
      </c>
      <c r="E3923" s="80" t="s">
        <v>39</v>
      </c>
      <c r="F3923" s="80" t="s">
        <v>11707</v>
      </c>
      <c r="G3923" s="80" t="s">
        <v>108</v>
      </c>
      <c r="H3923" s="80" t="s">
        <v>13987</v>
      </c>
      <c r="I3923" s="17">
        <f ca="1">IFERROR(__xludf.DUMMYFUNCTION("""COMPUTED_VALUE"""),45610)</f>
        <v>45610</v>
      </c>
      <c r="J3923" s="143" t="s">
        <v>13154</v>
      </c>
      <c r="K3923" s="80" t="s">
        <v>13155</v>
      </c>
      <c r="L3923" s="30">
        <v>375412130</v>
      </c>
      <c r="M3923" s="80" t="s">
        <v>9422</v>
      </c>
      <c r="N3923" s="80" t="s">
        <v>13156</v>
      </c>
      <c r="O3923" s="80" t="s">
        <v>11607</v>
      </c>
      <c r="P3923" s="144" t="s">
        <v>14060</v>
      </c>
      <c r="Q3923" s="20">
        <v>5736</v>
      </c>
      <c r="R3923" s="80" t="s">
        <v>11421</v>
      </c>
      <c r="S3923" s="95">
        <v>2000</v>
      </c>
      <c r="T3923" s="148">
        <v>45550</v>
      </c>
      <c r="U3923" s="95">
        <v>3436</v>
      </c>
      <c r="V3923" s="148">
        <v>45565</v>
      </c>
      <c r="W3923" s="85" t="s">
        <v>13157</v>
      </c>
      <c r="X3923" s="80">
        <v>300</v>
      </c>
      <c r="Y3923" s="22">
        <v>0</v>
      </c>
      <c r="Z3923" s="80" t="s">
        <v>50</v>
      </c>
      <c r="AA3923" s="96" t="s">
        <v>3291</v>
      </c>
      <c r="AB3923" s="80"/>
      <c r="AC3923" s="80" t="s">
        <v>53</v>
      </c>
      <c r="AD3923" s="80" t="s">
        <v>138</v>
      </c>
      <c r="AE3923" s="80" t="s">
        <v>11707</v>
      </c>
      <c r="AF3923" s="17">
        <v>45605</v>
      </c>
      <c r="AG3923" s="80" t="s">
        <v>7078</v>
      </c>
      <c r="AH3923" s="80"/>
      <c r="AI3923" s="147" t="s">
        <v>55</v>
      </c>
      <c r="AJ3923" s="80"/>
      <c r="AK3923" s="80"/>
      <c r="AL3923" s="35"/>
      <c r="AM3923" s="35"/>
      <c r="AN3923" s="35"/>
      <c r="AO3923" s="35"/>
      <c r="AP3923" s="35"/>
    </row>
    <row r="3924" spans="1:42" x14ac:dyDescent="0.2">
      <c r="A3924" s="38">
        <v>45597</v>
      </c>
      <c r="B3924" s="137" t="s">
        <v>37</v>
      </c>
      <c r="C3924" s="41" t="s">
        <v>118</v>
      </c>
      <c r="D3924" s="80" t="s">
        <v>36</v>
      </c>
      <c r="E3924" s="80" t="s">
        <v>139</v>
      </c>
      <c r="F3924" s="80" t="s">
        <v>11707</v>
      </c>
      <c r="G3924" s="80" t="s">
        <v>108</v>
      </c>
      <c r="H3924" s="80" t="s">
        <v>14007</v>
      </c>
      <c r="I3924" s="17">
        <f ca="1">IFERROR(__xludf.DUMMYFUNCTION("""COMPUTED_VALUE"""),45603)</f>
        <v>45603</v>
      </c>
      <c r="J3924" s="143" t="s">
        <v>14061</v>
      </c>
      <c r="K3924" s="80" t="s">
        <v>14062</v>
      </c>
      <c r="L3924" s="30">
        <v>862107206</v>
      </c>
      <c r="M3924" s="80" t="s">
        <v>123</v>
      </c>
      <c r="N3924" s="80" t="s">
        <v>327</v>
      </c>
      <c r="O3924" s="80" t="s">
        <v>4503</v>
      </c>
      <c r="P3924" s="80" t="s">
        <v>3487</v>
      </c>
      <c r="Q3924" s="20">
        <v>15936</v>
      </c>
      <c r="R3924" s="80" t="s">
        <v>36</v>
      </c>
      <c r="S3924" s="77">
        <v>2200</v>
      </c>
      <c r="T3924" s="80" t="s">
        <v>14063</v>
      </c>
      <c r="U3924" s="77">
        <v>13736</v>
      </c>
      <c r="V3924" s="78">
        <v>45566</v>
      </c>
      <c r="W3924" s="80" t="s">
        <v>14064</v>
      </c>
      <c r="X3924" s="86"/>
      <c r="Y3924" s="22">
        <v>0</v>
      </c>
      <c r="Z3924" s="80" t="s">
        <v>50</v>
      </c>
      <c r="AA3924" s="86" t="s">
        <v>9905</v>
      </c>
      <c r="AB3924" s="80"/>
      <c r="AC3924" s="80" t="s">
        <v>53</v>
      </c>
      <c r="AD3924" s="80" t="s">
        <v>138</v>
      </c>
      <c r="AE3924" s="80" t="s">
        <v>11707</v>
      </c>
      <c r="AF3924" s="17">
        <v>45603</v>
      </c>
      <c r="AG3924" s="80"/>
      <c r="AH3924" s="80"/>
      <c r="AI3924" s="147"/>
      <c r="AJ3924" s="80"/>
      <c r="AK3924" s="80"/>
      <c r="AL3924" s="35"/>
      <c r="AM3924" s="35"/>
      <c r="AN3924" s="35"/>
      <c r="AO3924" s="35"/>
      <c r="AP3924" s="35"/>
    </row>
    <row r="3925" spans="1:42" x14ac:dyDescent="0.2">
      <c r="A3925" s="38">
        <v>45597</v>
      </c>
      <c r="B3925" s="137" t="s">
        <v>37</v>
      </c>
      <c r="C3925" s="41" t="s">
        <v>118</v>
      </c>
      <c r="D3925" s="80" t="s">
        <v>36</v>
      </c>
      <c r="E3925" s="80" t="s">
        <v>56</v>
      </c>
      <c r="F3925" s="80" t="s">
        <v>11707</v>
      </c>
      <c r="G3925" s="80" t="s">
        <v>108</v>
      </c>
      <c r="H3925" s="80" t="s">
        <v>14007</v>
      </c>
      <c r="I3925" s="17">
        <f ca="1">IFERROR(__xludf.DUMMYFUNCTION("""COMPUTED_VALUE"""),45603)</f>
        <v>45603</v>
      </c>
      <c r="J3925" s="143" t="s">
        <v>11708</v>
      </c>
      <c r="K3925" s="80" t="s">
        <v>11709</v>
      </c>
      <c r="L3925" s="30">
        <v>332252290</v>
      </c>
      <c r="M3925" s="80" t="s">
        <v>59</v>
      </c>
      <c r="N3925" s="80" t="s">
        <v>68</v>
      </c>
      <c r="O3925" s="80" t="s">
        <v>11710</v>
      </c>
      <c r="P3925" s="80" t="s">
        <v>11711</v>
      </c>
      <c r="Q3925" s="20">
        <v>9317</v>
      </c>
      <c r="R3925" s="80" t="s">
        <v>70</v>
      </c>
      <c r="S3925" s="95">
        <f t="shared" ref="S3925:S3926" si="58">200+9017</f>
        <v>9217</v>
      </c>
      <c r="T3925" s="83" t="s">
        <v>11712</v>
      </c>
      <c r="U3925" s="77"/>
      <c r="V3925" s="78"/>
      <c r="W3925" s="85" t="s">
        <v>11713</v>
      </c>
      <c r="X3925" s="80">
        <v>100</v>
      </c>
      <c r="Y3925" s="22">
        <v>0</v>
      </c>
      <c r="Z3925" s="80" t="s">
        <v>50</v>
      </c>
      <c r="AA3925" s="96" t="s">
        <v>10314</v>
      </c>
      <c r="AB3925" s="80"/>
      <c r="AC3925" s="80" t="s">
        <v>53</v>
      </c>
      <c r="AD3925" s="80" t="s">
        <v>138</v>
      </c>
      <c r="AE3925" s="80" t="s">
        <v>11707</v>
      </c>
      <c r="AF3925" s="17">
        <v>45603</v>
      </c>
      <c r="AG3925" s="80"/>
      <c r="AH3925" s="80"/>
      <c r="AI3925" s="147"/>
      <c r="AJ3925" s="80"/>
      <c r="AK3925" s="80"/>
      <c r="AL3925" s="35"/>
      <c r="AM3925" s="35"/>
      <c r="AN3925" s="35"/>
      <c r="AO3925" s="35"/>
      <c r="AP3925" s="35"/>
    </row>
    <row r="3926" spans="1:42" x14ac:dyDescent="0.2">
      <c r="A3926" s="38">
        <v>45597</v>
      </c>
      <c r="B3926" s="137" t="s">
        <v>37</v>
      </c>
      <c r="C3926" s="41" t="s">
        <v>118</v>
      </c>
      <c r="D3926" s="80" t="s">
        <v>36</v>
      </c>
      <c r="E3926" s="80" t="s">
        <v>56</v>
      </c>
      <c r="F3926" s="80" t="s">
        <v>11707</v>
      </c>
      <c r="G3926" s="80" t="s">
        <v>108</v>
      </c>
      <c r="H3926" s="80" t="s">
        <v>14007</v>
      </c>
      <c r="I3926" s="17">
        <f ca="1">IFERROR(__xludf.DUMMYFUNCTION("""COMPUTED_VALUE"""),45603)</f>
        <v>45603</v>
      </c>
      <c r="J3926" s="143" t="s">
        <v>11714</v>
      </c>
      <c r="K3926" s="80" t="s">
        <v>11715</v>
      </c>
      <c r="L3926" s="30">
        <v>335722690</v>
      </c>
      <c r="M3926" s="80" t="s">
        <v>59</v>
      </c>
      <c r="N3926" s="80" t="s">
        <v>68</v>
      </c>
      <c r="O3926" s="80" t="s">
        <v>11716</v>
      </c>
      <c r="P3926" s="80" t="s">
        <v>11711</v>
      </c>
      <c r="Q3926" s="20">
        <v>9317</v>
      </c>
      <c r="R3926" s="80" t="s">
        <v>70</v>
      </c>
      <c r="S3926" s="95">
        <f t="shared" si="58"/>
        <v>9217</v>
      </c>
      <c r="T3926" s="83" t="s">
        <v>11712</v>
      </c>
      <c r="U3926" s="77"/>
      <c r="V3926" s="78"/>
      <c r="W3926" s="85" t="s">
        <v>11717</v>
      </c>
      <c r="X3926" s="80">
        <v>100</v>
      </c>
      <c r="Y3926" s="22">
        <v>0</v>
      </c>
      <c r="Z3926" s="80" t="s">
        <v>50</v>
      </c>
      <c r="AA3926" s="35" t="s">
        <v>10314</v>
      </c>
      <c r="AB3926" s="80"/>
      <c r="AC3926" s="80" t="s">
        <v>53</v>
      </c>
      <c r="AD3926" s="80" t="s">
        <v>138</v>
      </c>
      <c r="AE3926" s="80" t="s">
        <v>11707</v>
      </c>
      <c r="AF3926" s="17">
        <v>45603</v>
      </c>
      <c r="AG3926" s="80"/>
      <c r="AH3926" s="80"/>
      <c r="AI3926" s="147"/>
      <c r="AJ3926" s="80"/>
      <c r="AK3926" s="80"/>
      <c r="AL3926" s="35"/>
      <c r="AM3926" s="35"/>
      <c r="AN3926" s="35"/>
      <c r="AO3926" s="35"/>
      <c r="AP3926" s="35"/>
    </row>
    <row r="3927" spans="1:42" x14ac:dyDescent="0.2">
      <c r="A3927" s="38">
        <v>45597</v>
      </c>
      <c r="B3927" s="28" t="s">
        <v>37</v>
      </c>
      <c r="C3927" s="41" t="s">
        <v>118</v>
      </c>
      <c r="D3927" s="80" t="s">
        <v>36</v>
      </c>
      <c r="E3927" s="80" t="s">
        <v>139</v>
      </c>
      <c r="F3927" s="26" t="s">
        <v>8650</v>
      </c>
      <c r="G3927" s="26" t="s">
        <v>1705</v>
      </c>
      <c r="H3927" s="26" t="s">
        <v>13886</v>
      </c>
      <c r="I3927" s="17">
        <f ca="1">IFERROR(__xludf.DUMMYFUNCTION("""COMPUTED_VALUE"""),45610)</f>
        <v>45610</v>
      </c>
      <c r="J3927" s="143" t="s">
        <v>1277</v>
      </c>
      <c r="K3927" s="80" t="s">
        <v>4728</v>
      </c>
      <c r="L3927" s="30">
        <v>916927480</v>
      </c>
      <c r="M3927" s="80" t="s">
        <v>123</v>
      </c>
      <c r="N3927" s="80" t="s">
        <v>310</v>
      </c>
      <c r="O3927" s="80" t="s">
        <v>91</v>
      </c>
      <c r="P3927" s="144" t="s">
        <v>14065</v>
      </c>
      <c r="Q3927" s="20">
        <v>15936</v>
      </c>
      <c r="R3927" s="80" t="s">
        <v>36</v>
      </c>
      <c r="S3927" s="77">
        <v>1968</v>
      </c>
      <c r="T3927" s="78">
        <v>45142</v>
      </c>
      <c r="U3927" s="77">
        <v>13968</v>
      </c>
      <c r="V3927" s="78">
        <v>45165</v>
      </c>
      <c r="W3927" s="85" t="s">
        <v>1280</v>
      </c>
      <c r="X3927" s="80">
        <v>0</v>
      </c>
      <c r="Y3927" s="22">
        <v>0</v>
      </c>
      <c r="Z3927" s="41" t="s">
        <v>118</v>
      </c>
      <c r="AA3927" s="145" t="s">
        <v>4541</v>
      </c>
      <c r="AB3927" s="80" t="s">
        <v>36</v>
      </c>
      <c r="AC3927" s="80" t="s">
        <v>53</v>
      </c>
      <c r="AD3927" s="146" t="s">
        <v>54</v>
      </c>
      <c r="AE3927" s="26" t="s">
        <v>8650</v>
      </c>
      <c r="AF3927" s="17">
        <v>45604</v>
      </c>
      <c r="AG3927" s="147"/>
      <c r="AH3927" s="80"/>
      <c r="AI3927" s="147"/>
      <c r="AJ3927" s="80"/>
      <c r="AK3927" s="80"/>
      <c r="AL3927" s="86"/>
      <c r="AM3927" s="86"/>
      <c r="AN3927" s="86"/>
      <c r="AO3927" s="86"/>
      <c r="AP3927" s="86"/>
    </row>
    <row r="3928" spans="1:42" x14ac:dyDescent="0.2">
      <c r="A3928" s="38">
        <v>45597</v>
      </c>
      <c r="B3928" s="137" t="s">
        <v>37</v>
      </c>
      <c r="C3928" s="41" t="s">
        <v>118</v>
      </c>
      <c r="D3928" s="80" t="s">
        <v>36</v>
      </c>
      <c r="E3928" s="80" t="s">
        <v>139</v>
      </c>
      <c r="F3928" s="80" t="s">
        <v>11610</v>
      </c>
      <c r="G3928" s="80" t="s">
        <v>108</v>
      </c>
      <c r="H3928" s="80" t="s">
        <v>14066</v>
      </c>
      <c r="I3928" s="17">
        <f ca="1">IFERROR(__xludf.DUMMYFUNCTION("""COMPUTED_VALUE"""),45604)</f>
        <v>45604</v>
      </c>
      <c r="J3928" s="143" t="s">
        <v>14067</v>
      </c>
      <c r="K3928" s="80" t="s">
        <v>14068</v>
      </c>
      <c r="L3928" s="30">
        <v>359400465</v>
      </c>
      <c r="M3928" s="80" t="s">
        <v>5429</v>
      </c>
      <c r="N3928" s="80" t="s">
        <v>81</v>
      </c>
      <c r="O3928" s="80" t="s">
        <v>14069</v>
      </c>
      <c r="P3928" s="80" t="s">
        <v>6368</v>
      </c>
      <c r="Q3928" s="20">
        <v>15936</v>
      </c>
      <c r="R3928" s="80" t="s">
        <v>36</v>
      </c>
      <c r="S3928" s="77">
        <v>2000</v>
      </c>
      <c r="T3928" s="80" t="s">
        <v>14070</v>
      </c>
      <c r="U3928" s="77">
        <v>13936</v>
      </c>
      <c r="V3928" s="78">
        <v>45576</v>
      </c>
      <c r="W3928" s="80" t="s">
        <v>14071</v>
      </c>
      <c r="X3928" s="86"/>
      <c r="Y3928" s="22">
        <v>0</v>
      </c>
      <c r="Z3928" s="80" t="s">
        <v>50</v>
      </c>
      <c r="AA3928" s="86" t="s">
        <v>9905</v>
      </c>
      <c r="AB3928" s="80"/>
      <c r="AC3928" s="80" t="s">
        <v>53</v>
      </c>
      <c r="AD3928" s="80" t="s">
        <v>138</v>
      </c>
      <c r="AE3928" s="80" t="s">
        <v>11610</v>
      </c>
      <c r="AF3928" s="60" t="s">
        <v>14072</v>
      </c>
      <c r="AG3928" s="80"/>
      <c r="AH3928" s="80"/>
      <c r="AI3928" s="147"/>
      <c r="AJ3928" s="80"/>
      <c r="AK3928" s="80"/>
      <c r="AL3928" s="35"/>
      <c r="AM3928" s="35"/>
      <c r="AN3928" s="35"/>
      <c r="AO3928" s="35"/>
      <c r="AP3928" s="35"/>
    </row>
    <row r="3929" spans="1:42" x14ac:dyDescent="0.2">
      <c r="A3929" s="38">
        <v>45597</v>
      </c>
      <c r="B3929" s="137" t="s">
        <v>37</v>
      </c>
      <c r="C3929" s="41" t="s">
        <v>118</v>
      </c>
      <c r="D3929" s="80" t="s">
        <v>36</v>
      </c>
      <c r="E3929" s="80" t="s">
        <v>139</v>
      </c>
      <c r="F3929" s="80" t="s">
        <v>12766</v>
      </c>
      <c r="G3929" s="80" t="s">
        <v>108</v>
      </c>
      <c r="H3929" s="80" t="s">
        <v>14073</v>
      </c>
      <c r="I3929" s="17">
        <f ca="1">IFERROR(__xludf.DUMMYFUNCTION("""COMPUTED_VALUE"""),45615)</f>
        <v>45615</v>
      </c>
      <c r="J3929" s="143" t="s">
        <v>14074</v>
      </c>
      <c r="K3929" s="80" t="s">
        <v>14075</v>
      </c>
      <c r="L3929" s="30">
        <v>379165908</v>
      </c>
      <c r="M3929" s="80" t="s">
        <v>9422</v>
      </c>
      <c r="N3929" s="80" t="s">
        <v>327</v>
      </c>
      <c r="O3929" s="80" t="s">
        <v>8827</v>
      </c>
      <c r="P3929" s="80" t="s">
        <v>3117</v>
      </c>
      <c r="Q3929" s="20">
        <v>15936</v>
      </c>
      <c r="R3929" s="80" t="s">
        <v>11421</v>
      </c>
      <c r="S3929" s="95">
        <f>1000+1000</f>
        <v>2000</v>
      </c>
      <c r="T3929" s="148">
        <v>45553</v>
      </c>
      <c r="U3929" s="95">
        <v>13636</v>
      </c>
      <c r="V3929" s="148">
        <v>45573</v>
      </c>
      <c r="W3929" s="85" t="s">
        <v>14076</v>
      </c>
      <c r="X3929" s="80">
        <v>300</v>
      </c>
      <c r="Y3929" s="22">
        <v>0</v>
      </c>
      <c r="Z3929" s="26" t="s">
        <v>118</v>
      </c>
      <c r="AA3929" s="82"/>
      <c r="AB3929" s="80"/>
      <c r="AC3929" s="80" t="s">
        <v>53</v>
      </c>
      <c r="AD3929" s="80" t="s">
        <v>138</v>
      </c>
      <c r="AE3929" s="80" t="s">
        <v>11610</v>
      </c>
      <c r="AF3929" s="60" t="s">
        <v>14077</v>
      </c>
      <c r="AG3929" s="39" t="s">
        <v>14078</v>
      </c>
      <c r="AH3929" s="80"/>
      <c r="AI3929" s="147"/>
      <c r="AJ3929" s="80"/>
      <c r="AK3929" s="80"/>
      <c r="AL3929" s="35"/>
      <c r="AM3929" s="35"/>
      <c r="AN3929" s="35"/>
      <c r="AO3929" s="35"/>
      <c r="AP3929" s="35"/>
    </row>
    <row r="3930" spans="1:42" x14ac:dyDescent="0.2">
      <c r="A3930" s="38">
        <v>45597</v>
      </c>
      <c r="B3930" s="137" t="s">
        <v>37</v>
      </c>
      <c r="C3930" s="41" t="s">
        <v>118</v>
      </c>
      <c r="D3930" s="80" t="s">
        <v>36</v>
      </c>
      <c r="E3930" s="80" t="s">
        <v>139</v>
      </c>
      <c r="F3930" s="80" t="s">
        <v>12766</v>
      </c>
      <c r="G3930" s="80" t="s">
        <v>108</v>
      </c>
      <c r="H3930" s="80" t="s">
        <v>14073</v>
      </c>
      <c r="I3930" s="17">
        <f ca="1">IFERROR(__xludf.DUMMYFUNCTION("""COMPUTED_VALUE"""),45615)</f>
        <v>45615</v>
      </c>
      <c r="J3930" s="143" t="s">
        <v>12767</v>
      </c>
      <c r="K3930" s="80" t="s">
        <v>12768</v>
      </c>
      <c r="L3930" s="30">
        <v>822996453</v>
      </c>
      <c r="M3930" s="80" t="s">
        <v>12644</v>
      </c>
      <c r="N3930" s="80" t="s">
        <v>8725</v>
      </c>
      <c r="O3930" s="80" t="s">
        <v>12769</v>
      </c>
      <c r="P3930" s="80" t="s">
        <v>12770</v>
      </c>
      <c r="Q3930" s="20">
        <v>15936</v>
      </c>
      <c r="R3930" s="80" t="s">
        <v>36</v>
      </c>
      <c r="S3930" s="95">
        <v>2000</v>
      </c>
      <c r="T3930" s="148">
        <v>45540</v>
      </c>
      <c r="U3930" s="95">
        <v>13936</v>
      </c>
      <c r="V3930" s="148">
        <v>45555</v>
      </c>
      <c r="W3930" s="85" t="s">
        <v>12771</v>
      </c>
      <c r="X3930" s="80">
        <v>0</v>
      </c>
      <c r="Y3930" s="22">
        <v>0</v>
      </c>
      <c r="Z3930" s="80" t="s">
        <v>50</v>
      </c>
      <c r="AA3930" s="35" t="s">
        <v>3291</v>
      </c>
      <c r="AB3930" s="80"/>
      <c r="AC3930" s="80" t="s">
        <v>53</v>
      </c>
      <c r="AD3930" s="80" t="s">
        <v>138</v>
      </c>
      <c r="AE3930" s="80" t="s">
        <v>11610</v>
      </c>
      <c r="AF3930" s="60" t="s">
        <v>14077</v>
      </c>
      <c r="AG3930" s="39" t="s">
        <v>14078</v>
      </c>
      <c r="AH3930" s="80"/>
      <c r="AI3930" s="147" t="s">
        <v>147</v>
      </c>
      <c r="AJ3930" s="80"/>
      <c r="AK3930" s="80"/>
      <c r="AL3930" s="35"/>
      <c r="AM3930" s="35"/>
      <c r="AN3930" s="35"/>
      <c r="AO3930" s="35"/>
      <c r="AP3930" s="35"/>
    </row>
    <row r="3931" spans="1:42" x14ac:dyDescent="0.2">
      <c r="A3931" s="38">
        <v>45597</v>
      </c>
      <c r="B3931" s="137" t="s">
        <v>37</v>
      </c>
      <c r="C3931" s="41" t="s">
        <v>118</v>
      </c>
      <c r="D3931" s="80" t="s">
        <v>36</v>
      </c>
      <c r="E3931" s="80" t="s">
        <v>139</v>
      </c>
      <c r="F3931" s="80" t="s">
        <v>11610</v>
      </c>
      <c r="G3931" s="80" t="s">
        <v>108</v>
      </c>
      <c r="H3931" s="80" t="s">
        <v>14066</v>
      </c>
      <c r="I3931" s="17">
        <f ca="1">IFERROR(__xludf.DUMMYFUNCTION("""COMPUTED_VALUE"""),45604)</f>
        <v>45604</v>
      </c>
      <c r="J3931" s="143" t="s">
        <v>14079</v>
      </c>
      <c r="K3931" s="80" t="s">
        <v>279</v>
      </c>
      <c r="L3931" s="30">
        <v>942997108</v>
      </c>
      <c r="M3931" s="80" t="s">
        <v>910</v>
      </c>
      <c r="N3931" s="80" t="s">
        <v>3525</v>
      </c>
      <c r="O3931" s="80" t="s">
        <v>91</v>
      </c>
      <c r="P3931" s="80" t="s">
        <v>14080</v>
      </c>
      <c r="Q3931" s="20">
        <v>15936</v>
      </c>
      <c r="R3931" s="80" t="s">
        <v>36</v>
      </c>
      <c r="S3931" s="95">
        <v>3000</v>
      </c>
      <c r="T3931" s="148">
        <v>45527</v>
      </c>
      <c r="U3931" s="95">
        <v>12936</v>
      </c>
      <c r="V3931" s="148">
        <v>45568</v>
      </c>
      <c r="W3931" s="85" t="s">
        <v>14081</v>
      </c>
      <c r="X3931" s="80">
        <v>0</v>
      </c>
      <c r="Y3931" s="22">
        <v>0</v>
      </c>
      <c r="Z3931" s="80" t="s">
        <v>50</v>
      </c>
      <c r="AA3931" s="82"/>
      <c r="AB3931" s="80"/>
      <c r="AC3931" s="80" t="s">
        <v>53</v>
      </c>
      <c r="AD3931" s="80" t="s">
        <v>138</v>
      </c>
      <c r="AE3931" s="80" t="s">
        <v>11610</v>
      </c>
      <c r="AF3931" s="60" t="s">
        <v>14072</v>
      </c>
      <c r="AG3931" s="80"/>
      <c r="AH3931" s="80"/>
      <c r="AI3931" s="147"/>
      <c r="AJ3931" s="80"/>
      <c r="AK3931" s="80"/>
      <c r="AL3931" s="35"/>
      <c r="AM3931" s="35"/>
      <c r="AN3931" s="35"/>
      <c r="AO3931" s="35"/>
      <c r="AP3931" s="35"/>
    </row>
    <row r="3932" spans="1:42" x14ac:dyDescent="0.2">
      <c r="A3932" s="38">
        <v>45597</v>
      </c>
      <c r="B3932" s="137" t="s">
        <v>37</v>
      </c>
      <c r="C3932" s="41" t="s">
        <v>118</v>
      </c>
      <c r="D3932" s="80" t="s">
        <v>36</v>
      </c>
      <c r="E3932" s="80" t="s">
        <v>39</v>
      </c>
      <c r="F3932" s="80" t="s">
        <v>11610</v>
      </c>
      <c r="G3932" s="80" t="s">
        <v>108</v>
      </c>
      <c r="H3932" s="80" t="s">
        <v>14066</v>
      </c>
      <c r="I3932" s="17">
        <f ca="1">IFERROR(__xludf.DUMMYFUNCTION("""COMPUTED_VALUE"""),45604)</f>
        <v>45604</v>
      </c>
      <c r="J3932" s="143" t="s">
        <v>12819</v>
      </c>
      <c r="K3932" s="80" t="s">
        <v>3033</v>
      </c>
      <c r="L3932" s="30">
        <v>355471610</v>
      </c>
      <c r="M3932" s="80" t="s">
        <v>45</v>
      </c>
      <c r="N3932" s="80" t="s">
        <v>1472</v>
      </c>
      <c r="O3932" s="80" t="s">
        <v>12820</v>
      </c>
      <c r="P3932" s="80" t="s">
        <v>3694</v>
      </c>
      <c r="Q3932" s="20">
        <v>5736</v>
      </c>
      <c r="R3932" s="80" t="s">
        <v>70</v>
      </c>
      <c r="S3932" s="95">
        <v>5636</v>
      </c>
      <c r="T3932" s="148">
        <v>45531</v>
      </c>
      <c r="U3932" s="77"/>
      <c r="V3932" s="78"/>
      <c r="W3932" s="80" t="s">
        <v>12821</v>
      </c>
      <c r="X3932" s="80">
        <v>100</v>
      </c>
      <c r="Y3932" s="22">
        <v>0</v>
      </c>
      <c r="Z3932" s="80" t="s">
        <v>50</v>
      </c>
      <c r="AA3932" s="35" t="s">
        <v>3291</v>
      </c>
      <c r="AB3932" s="80"/>
      <c r="AC3932" s="80" t="s">
        <v>53</v>
      </c>
      <c r="AD3932" s="80" t="s">
        <v>138</v>
      </c>
      <c r="AE3932" s="80" t="s">
        <v>11610</v>
      </c>
      <c r="AF3932" s="60" t="s">
        <v>14072</v>
      </c>
      <c r="AG3932" s="80"/>
      <c r="AH3932" s="80"/>
      <c r="AI3932" s="147" t="s">
        <v>55</v>
      </c>
      <c r="AJ3932" s="80"/>
      <c r="AK3932" s="80"/>
      <c r="AL3932" s="35"/>
      <c r="AM3932" s="35"/>
      <c r="AN3932" s="35"/>
      <c r="AO3932" s="35"/>
      <c r="AP3932" s="35"/>
    </row>
    <row r="3933" spans="1:42" x14ac:dyDescent="0.2">
      <c r="A3933" s="38">
        <v>45597</v>
      </c>
      <c r="B3933" s="137" t="s">
        <v>37</v>
      </c>
      <c r="C3933" s="41" t="s">
        <v>118</v>
      </c>
      <c r="D3933" s="80" t="s">
        <v>36</v>
      </c>
      <c r="E3933" s="80" t="s">
        <v>139</v>
      </c>
      <c r="F3933" s="80" t="s">
        <v>11610</v>
      </c>
      <c r="G3933" s="80" t="s">
        <v>108</v>
      </c>
      <c r="H3933" s="80" t="s">
        <v>14066</v>
      </c>
      <c r="I3933" s="17">
        <f ca="1">IFERROR(__xludf.DUMMYFUNCTION("""COMPUTED_VALUE"""),45604)</f>
        <v>45604</v>
      </c>
      <c r="J3933" s="143" t="s">
        <v>12689</v>
      </c>
      <c r="K3933" s="145" t="s">
        <v>12690</v>
      </c>
      <c r="L3933" s="30">
        <v>393509248</v>
      </c>
      <c r="M3933" s="80" t="s">
        <v>123</v>
      </c>
      <c r="N3933" s="80" t="s">
        <v>327</v>
      </c>
      <c r="O3933" s="80" t="s">
        <v>12691</v>
      </c>
      <c r="P3933" s="80" t="s">
        <v>12692</v>
      </c>
      <c r="Q3933" s="20">
        <v>15936</v>
      </c>
      <c r="R3933" s="80" t="s">
        <v>36</v>
      </c>
      <c r="S3933" s="95">
        <v>15963</v>
      </c>
      <c r="T3933" s="148">
        <v>45538</v>
      </c>
      <c r="U3933" s="77"/>
      <c r="V3933" s="78"/>
      <c r="W3933" s="85" t="s">
        <v>12693</v>
      </c>
      <c r="X3933" s="80">
        <v>0</v>
      </c>
      <c r="Y3933" s="22">
        <v>-27</v>
      </c>
      <c r="Z3933" s="80" t="s">
        <v>50</v>
      </c>
      <c r="AA3933" s="96" t="s">
        <v>3291</v>
      </c>
      <c r="AB3933" s="80"/>
      <c r="AC3933" s="80" t="s">
        <v>53</v>
      </c>
      <c r="AD3933" s="80" t="s">
        <v>138</v>
      </c>
      <c r="AE3933" s="80" t="s">
        <v>11610</v>
      </c>
      <c r="AF3933" s="60" t="s">
        <v>14072</v>
      </c>
      <c r="AG3933" s="80"/>
      <c r="AH3933" s="80"/>
      <c r="AI3933" s="147" t="s">
        <v>147</v>
      </c>
      <c r="AJ3933" s="80"/>
      <c r="AK3933" s="80"/>
      <c r="AL3933" s="35"/>
      <c r="AM3933" s="35"/>
      <c r="AN3933" s="35"/>
      <c r="AO3933" s="35"/>
      <c r="AP3933" s="35"/>
    </row>
    <row r="3934" spans="1:42" x14ac:dyDescent="0.2">
      <c r="A3934" s="38">
        <v>45597</v>
      </c>
      <c r="B3934" s="137" t="s">
        <v>37</v>
      </c>
      <c r="C3934" s="41" t="s">
        <v>118</v>
      </c>
      <c r="D3934" s="80" t="s">
        <v>36</v>
      </c>
      <c r="E3934" s="80" t="s">
        <v>56</v>
      </c>
      <c r="F3934" s="80" t="s">
        <v>11610</v>
      </c>
      <c r="G3934" s="80" t="s">
        <v>108</v>
      </c>
      <c r="H3934" s="80" t="s">
        <v>14066</v>
      </c>
      <c r="I3934" s="17">
        <f ca="1">IFERROR(__xludf.DUMMYFUNCTION("""COMPUTED_VALUE"""),45604)</f>
        <v>45604</v>
      </c>
      <c r="J3934" s="143" t="s">
        <v>13214</v>
      </c>
      <c r="K3934" s="80" t="s">
        <v>13215</v>
      </c>
      <c r="L3934" s="30">
        <v>368130450</v>
      </c>
      <c r="M3934" s="80" t="s">
        <v>11413</v>
      </c>
      <c r="N3934" s="80" t="s">
        <v>1246</v>
      </c>
      <c r="O3934" s="80" t="s">
        <v>13216</v>
      </c>
      <c r="P3934" s="80" t="s">
        <v>13217</v>
      </c>
      <c r="Q3934" s="20">
        <v>9317</v>
      </c>
      <c r="R3934" s="80" t="s">
        <v>36</v>
      </c>
      <c r="S3934" s="95">
        <v>9317</v>
      </c>
      <c r="T3934" s="148">
        <v>45551</v>
      </c>
      <c r="U3934" s="77"/>
      <c r="V3934" s="78"/>
      <c r="W3934" s="85" t="s">
        <v>13218</v>
      </c>
      <c r="X3934" s="80">
        <v>0</v>
      </c>
      <c r="Y3934" s="22">
        <v>0</v>
      </c>
      <c r="Z3934" s="80" t="s">
        <v>50</v>
      </c>
      <c r="AA3934" s="35" t="s">
        <v>3291</v>
      </c>
      <c r="AB3934" s="80"/>
      <c r="AC3934" s="80" t="s">
        <v>53</v>
      </c>
      <c r="AD3934" s="80" t="s">
        <v>138</v>
      </c>
      <c r="AE3934" s="80" t="s">
        <v>11610</v>
      </c>
      <c r="AF3934" s="60" t="s">
        <v>14072</v>
      </c>
      <c r="AG3934" s="80"/>
      <c r="AH3934" s="80"/>
      <c r="AI3934" s="147" t="s">
        <v>64</v>
      </c>
      <c r="AJ3934" s="80"/>
      <c r="AK3934" s="80"/>
      <c r="AL3934" s="35"/>
      <c r="AM3934" s="35"/>
      <c r="AN3934" s="35"/>
      <c r="AO3934" s="35"/>
      <c r="AP3934" s="35"/>
    </row>
    <row r="3935" spans="1:42" x14ac:dyDescent="0.2">
      <c r="A3935" s="38">
        <v>45597</v>
      </c>
      <c r="B3935" s="137" t="s">
        <v>37</v>
      </c>
      <c r="C3935" s="41" t="s">
        <v>118</v>
      </c>
      <c r="D3935" s="80" t="s">
        <v>36</v>
      </c>
      <c r="E3935" s="80" t="s">
        <v>139</v>
      </c>
      <c r="F3935" s="80" t="s">
        <v>11610</v>
      </c>
      <c r="G3935" s="80" t="s">
        <v>108</v>
      </c>
      <c r="H3935" s="80" t="s">
        <v>14082</v>
      </c>
      <c r="I3935" s="17">
        <f ca="1">IFERROR(__xludf.DUMMYFUNCTION("""COMPUTED_VALUE"""),45621)</f>
        <v>45621</v>
      </c>
      <c r="J3935" s="143" t="s">
        <v>14083</v>
      </c>
      <c r="K3935" s="80" t="s">
        <v>14084</v>
      </c>
      <c r="L3935" s="30">
        <v>812141662</v>
      </c>
      <c r="M3935" s="80" t="s">
        <v>3728</v>
      </c>
      <c r="N3935" s="80" t="s">
        <v>5312</v>
      </c>
      <c r="O3935" s="80" t="s">
        <v>134</v>
      </c>
      <c r="P3935" s="80" t="s">
        <v>14085</v>
      </c>
      <c r="Q3935" s="20">
        <v>15936</v>
      </c>
      <c r="R3935" s="80" t="s">
        <v>36</v>
      </c>
      <c r="S3935" s="95">
        <f>200+1800+7000</f>
        <v>9000</v>
      </c>
      <c r="T3935" s="83" t="s">
        <v>14086</v>
      </c>
      <c r="U3935" s="95">
        <v>6936</v>
      </c>
      <c r="V3935" s="148">
        <v>45586</v>
      </c>
      <c r="W3935" s="85" t="s">
        <v>14087</v>
      </c>
      <c r="X3935" s="80"/>
      <c r="Y3935" s="22">
        <v>0</v>
      </c>
      <c r="Z3935" s="80" t="s">
        <v>50</v>
      </c>
      <c r="AA3935" s="82"/>
      <c r="AB3935" s="80"/>
      <c r="AC3935" s="80" t="s">
        <v>53</v>
      </c>
      <c r="AD3935" s="80" t="s">
        <v>138</v>
      </c>
      <c r="AE3935" s="80" t="s">
        <v>11610</v>
      </c>
      <c r="AF3935" s="43">
        <v>45621</v>
      </c>
      <c r="AG3935" s="80"/>
      <c r="AH3935" s="80"/>
      <c r="AI3935" s="147"/>
      <c r="AJ3935" s="80"/>
      <c r="AK3935" s="80"/>
      <c r="AL3935" s="35"/>
      <c r="AM3935" s="35"/>
      <c r="AN3935" s="35"/>
      <c r="AO3935" s="35"/>
      <c r="AP3935" s="35"/>
    </row>
    <row r="3936" spans="1:42" x14ac:dyDescent="0.2">
      <c r="A3936" s="38">
        <v>45597</v>
      </c>
      <c r="B3936" s="137" t="s">
        <v>37</v>
      </c>
      <c r="C3936" s="41" t="s">
        <v>118</v>
      </c>
      <c r="D3936" s="80" t="s">
        <v>36</v>
      </c>
      <c r="E3936" s="80" t="s">
        <v>56</v>
      </c>
      <c r="F3936" s="80" t="s">
        <v>11610</v>
      </c>
      <c r="G3936" s="80" t="s">
        <v>108</v>
      </c>
      <c r="H3936" s="80" t="s">
        <v>14088</v>
      </c>
      <c r="I3936" s="17">
        <f ca="1">IFERROR(__xludf.DUMMYFUNCTION("""COMPUTED_VALUE"""),45699)</f>
        <v>45699</v>
      </c>
      <c r="J3936" s="143" t="s">
        <v>14089</v>
      </c>
      <c r="K3936" s="80" t="s">
        <v>14090</v>
      </c>
      <c r="L3936" s="30">
        <v>332988432</v>
      </c>
      <c r="M3936" s="80" t="s">
        <v>5558</v>
      </c>
      <c r="N3936" s="80" t="s">
        <v>5559</v>
      </c>
      <c r="O3936" s="80" t="s">
        <v>4503</v>
      </c>
      <c r="P3936" s="80" t="s">
        <v>14091</v>
      </c>
      <c r="Q3936" s="20">
        <v>9317</v>
      </c>
      <c r="R3936" s="80" t="s">
        <v>36</v>
      </c>
      <c r="S3936" s="95">
        <v>2000</v>
      </c>
      <c r="T3936" s="148">
        <v>45545</v>
      </c>
      <c r="U3936" s="95">
        <v>7317</v>
      </c>
      <c r="V3936" s="78">
        <v>45572</v>
      </c>
      <c r="W3936" s="85" t="s">
        <v>14092</v>
      </c>
      <c r="X3936" s="80"/>
      <c r="Y3936" s="22">
        <v>0</v>
      </c>
      <c r="Z3936" s="80" t="s">
        <v>50</v>
      </c>
      <c r="AA3936" s="86"/>
      <c r="AB3936" s="80"/>
      <c r="AC3936" s="80" t="s">
        <v>53</v>
      </c>
      <c r="AD3936" s="80" t="s">
        <v>138</v>
      </c>
      <c r="AE3936" s="80" t="s">
        <v>11610</v>
      </c>
      <c r="AF3936" s="17">
        <v>45699</v>
      </c>
      <c r="AG3936" s="80"/>
      <c r="AH3936" s="80"/>
      <c r="AI3936" s="147"/>
      <c r="AJ3936" s="80"/>
      <c r="AK3936" s="80"/>
      <c r="AL3936" s="35"/>
      <c r="AM3936" s="35"/>
      <c r="AN3936" s="35"/>
      <c r="AO3936" s="35"/>
      <c r="AP3936" s="35"/>
    </row>
    <row r="3937" spans="1:42" x14ac:dyDescent="0.2">
      <c r="A3937" s="38">
        <v>45597</v>
      </c>
      <c r="B3937" s="137" t="s">
        <v>37</v>
      </c>
      <c r="C3937" s="41" t="s">
        <v>118</v>
      </c>
      <c r="D3937" s="80" t="s">
        <v>36</v>
      </c>
      <c r="E3937" s="80" t="s">
        <v>39</v>
      </c>
      <c r="F3937" s="80" t="s">
        <v>11610</v>
      </c>
      <c r="G3937" s="80" t="s">
        <v>108</v>
      </c>
      <c r="H3937" s="80" t="s">
        <v>14066</v>
      </c>
      <c r="I3937" s="17">
        <f ca="1">IFERROR(__xludf.DUMMYFUNCTION("""COMPUTED_VALUE"""),45604)</f>
        <v>45604</v>
      </c>
      <c r="J3937" s="143" t="s">
        <v>12815</v>
      </c>
      <c r="K3937" s="80" t="s">
        <v>12816</v>
      </c>
      <c r="L3937" s="30">
        <v>346197605</v>
      </c>
      <c r="M3937" s="80" t="s">
        <v>45</v>
      </c>
      <c r="N3937" s="80" t="s">
        <v>1472</v>
      </c>
      <c r="O3937" s="80" t="s">
        <v>12817</v>
      </c>
      <c r="P3937" s="80" t="s">
        <v>3694</v>
      </c>
      <c r="Q3937" s="20">
        <v>5736</v>
      </c>
      <c r="R3937" s="80" t="s">
        <v>70</v>
      </c>
      <c r="S3937" s="95">
        <v>5636</v>
      </c>
      <c r="T3937" s="148">
        <v>45532</v>
      </c>
      <c r="U3937" s="77"/>
      <c r="V3937" s="78"/>
      <c r="W3937" s="80" t="s">
        <v>12818</v>
      </c>
      <c r="X3937" s="80">
        <v>100</v>
      </c>
      <c r="Y3937" s="22">
        <v>0</v>
      </c>
      <c r="Z3937" s="80" t="s">
        <v>50</v>
      </c>
      <c r="AA3937" s="96" t="s">
        <v>3291</v>
      </c>
      <c r="AB3937" s="80"/>
      <c r="AC3937" s="80" t="s">
        <v>53</v>
      </c>
      <c r="AD3937" s="80" t="s">
        <v>138</v>
      </c>
      <c r="AE3937" s="80" t="s">
        <v>11610</v>
      </c>
      <c r="AF3937" s="60" t="s">
        <v>14072</v>
      </c>
      <c r="AG3937" s="80"/>
      <c r="AH3937" s="80"/>
      <c r="AI3937" s="147" t="s">
        <v>55</v>
      </c>
      <c r="AJ3937" s="80"/>
      <c r="AK3937" s="80"/>
      <c r="AL3937" s="35"/>
      <c r="AM3937" s="35"/>
      <c r="AN3937" s="35"/>
      <c r="AO3937" s="35"/>
      <c r="AP3937" s="35"/>
    </row>
    <row r="3938" spans="1:42" x14ac:dyDescent="0.2">
      <c r="A3938" s="38">
        <v>45597</v>
      </c>
      <c r="B3938" s="137" t="s">
        <v>37</v>
      </c>
      <c r="C3938" s="41" t="s">
        <v>118</v>
      </c>
      <c r="D3938" s="80" t="s">
        <v>36</v>
      </c>
      <c r="E3938" s="80" t="s">
        <v>139</v>
      </c>
      <c r="F3938" s="80" t="s">
        <v>11610</v>
      </c>
      <c r="G3938" s="80" t="s">
        <v>108</v>
      </c>
      <c r="H3938" s="80" t="s">
        <v>5946</v>
      </c>
      <c r="I3938" s="17">
        <f ca="1">IFERROR(__xludf.DUMMYFUNCTION("""COMPUTED_VALUE"""),45742)</f>
        <v>45742</v>
      </c>
      <c r="J3938" s="143" t="s">
        <v>14093</v>
      </c>
      <c r="K3938" s="80" t="s">
        <v>14094</v>
      </c>
      <c r="L3938" s="30">
        <v>912865733</v>
      </c>
      <c r="M3938" s="80" t="s">
        <v>910</v>
      </c>
      <c r="N3938" s="80" t="s">
        <v>3525</v>
      </c>
      <c r="O3938" s="80" t="s">
        <v>91</v>
      </c>
      <c r="P3938" s="80" t="s">
        <v>12578</v>
      </c>
      <c r="Q3938" s="20">
        <v>15936</v>
      </c>
      <c r="R3938" s="80" t="s">
        <v>70</v>
      </c>
      <c r="S3938" s="95">
        <v>2000</v>
      </c>
      <c r="T3938" s="148">
        <v>45550</v>
      </c>
      <c r="U3938" s="95">
        <v>13936</v>
      </c>
      <c r="V3938" s="148">
        <v>45566</v>
      </c>
      <c r="W3938" s="85" t="s">
        <v>14095</v>
      </c>
      <c r="X3938" s="80"/>
      <c r="Y3938" s="22">
        <v>0</v>
      </c>
      <c r="Z3938" s="80" t="s">
        <v>50</v>
      </c>
      <c r="AA3938" s="86"/>
      <c r="AB3938" s="80"/>
      <c r="AC3938" s="80" t="s">
        <v>53</v>
      </c>
      <c r="AD3938" s="80" t="s">
        <v>138</v>
      </c>
      <c r="AE3938" s="80" t="s">
        <v>11610</v>
      </c>
      <c r="AF3938" s="60" t="s">
        <v>14072</v>
      </c>
      <c r="AG3938" s="143" t="s">
        <v>14096</v>
      </c>
      <c r="AH3938" s="80"/>
      <c r="AI3938" s="147"/>
      <c r="AJ3938" s="80"/>
      <c r="AK3938" s="80"/>
      <c r="AL3938" s="35"/>
      <c r="AM3938" s="35"/>
      <c r="AN3938" s="35"/>
      <c r="AO3938" s="35"/>
      <c r="AP3938" s="35"/>
    </row>
    <row r="3939" spans="1:42" x14ac:dyDescent="0.2">
      <c r="A3939" s="38">
        <v>45597</v>
      </c>
      <c r="B3939" s="137" t="s">
        <v>37</v>
      </c>
      <c r="C3939" s="41" t="s">
        <v>118</v>
      </c>
      <c r="D3939" s="80" t="s">
        <v>36</v>
      </c>
      <c r="E3939" s="80" t="s">
        <v>139</v>
      </c>
      <c r="F3939" s="80" t="s">
        <v>11610</v>
      </c>
      <c r="G3939" s="80" t="s">
        <v>108</v>
      </c>
      <c r="H3939" s="80" t="s">
        <v>14097</v>
      </c>
      <c r="I3939" s="17" t="str">
        <f ca="1">IFERROR(__xludf.DUMMYFUNCTION("""COMPUTED_VALUE""")," ")</f>
        <v xml:space="preserve"> </v>
      </c>
      <c r="J3939" s="143" t="s">
        <v>14098</v>
      </c>
      <c r="K3939" s="80" t="s">
        <v>14099</v>
      </c>
      <c r="L3939" s="30">
        <v>327480636</v>
      </c>
      <c r="M3939" s="80" t="s">
        <v>2755</v>
      </c>
      <c r="N3939" s="80" t="s">
        <v>2756</v>
      </c>
      <c r="O3939" s="80" t="s">
        <v>4503</v>
      </c>
      <c r="P3939" s="80" t="s">
        <v>7649</v>
      </c>
      <c r="Q3939" s="20">
        <v>15936</v>
      </c>
      <c r="R3939" s="80" t="s">
        <v>36</v>
      </c>
      <c r="S3939" s="95">
        <v>2000</v>
      </c>
      <c r="T3939" s="148">
        <v>45545</v>
      </c>
      <c r="U3939" s="95">
        <v>13936</v>
      </c>
      <c r="V3939" s="148">
        <v>45566</v>
      </c>
      <c r="W3939" s="80" t="s">
        <v>14100</v>
      </c>
      <c r="X3939" s="80"/>
      <c r="Y3939" s="22">
        <v>0</v>
      </c>
      <c r="Z3939" s="80" t="s">
        <v>50</v>
      </c>
      <c r="AA3939" s="82"/>
      <c r="AB3939" s="80"/>
      <c r="AC3939" s="80" t="s">
        <v>53</v>
      </c>
      <c r="AD3939" s="80" t="s">
        <v>138</v>
      </c>
      <c r="AE3939" s="80" t="s">
        <v>11610</v>
      </c>
      <c r="AF3939" s="60" t="s">
        <v>14072</v>
      </c>
      <c r="AG3939" s="80"/>
      <c r="AH3939" s="80"/>
      <c r="AI3939" s="147"/>
      <c r="AJ3939" s="80"/>
      <c r="AK3939" s="80"/>
      <c r="AL3939" s="35"/>
      <c r="AM3939" s="35"/>
      <c r="AN3939" s="35"/>
      <c r="AO3939" s="35"/>
      <c r="AP3939" s="35"/>
    </row>
    <row r="3940" spans="1:42" x14ac:dyDescent="0.2">
      <c r="A3940" s="38">
        <v>45597</v>
      </c>
      <c r="B3940" s="137" t="s">
        <v>37</v>
      </c>
      <c r="C3940" s="41" t="s">
        <v>118</v>
      </c>
      <c r="D3940" s="80" t="s">
        <v>36</v>
      </c>
      <c r="E3940" s="80" t="s">
        <v>139</v>
      </c>
      <c r="F3940" s="80" t="s">
        <v>11610</v>
      </c>
      <c r="G3940" s="80" t="s">
        <v>108</v>
      </c>
      <c r="H3940" s="80" t="s">
        <v>14066</v>
      </c>
      <c r="I3940" s="17">
        <f ca="1">IFERROR(__xludf.DUMMYFUNCTION("""COMPUTED_VALUE"""),45604)</f>
        <v>45604</v>
      </c>
      <c r="J3940" s="143" t="s">
        <v>14101</v>
      </c>
      <c r="K3940" s="80" t="s">
        <v>274</v>
      </c>
      <c r="L3940" s="30">
        <v>398078027</v>
      </c>
      <c r="M3940" s="80" t="s">
        <v>910</v>
      </c>
      <c r="N3940" s="80" t="s">
        <v>3525</v>
      </c>
      <c r="O3940" s="80" t="s">
        <v>91</v>
      </c>
      <c r="P3940" s="80" t="s">
        <v>12578</v>
      </c>
      <c r="Q3940" s="20">
        <v>15936</v>
      </c>
      <c r="R3940" s="80" t="s">
        <v>36</v>
      </c>
      <c r="S3940" s="95">
        <f>200+2000</f>
        <v>2200</v>
      </c>
      <c r="T3940" s="83" t="s">
        <v>14102</v>
      </c>
      <c r="U3940" s="95">
        <v>13736</v>
      </c>
      <c r="V3940" s="148">
        <v>45568</v>
      </c>
      <c r="W3940" s="85" t="s">
        <v>14103</v>
      </c>
      <c r="X3940" s="80"/>
      <c r="Y3940" s="22">
        <v>0</v>
      </c>
      <c r="Z3940" s="80" t="s">
        <v>50</v>
      </c>
      <c r="AA3940" s="86"/>
      <c r="AB3940" s="80"/>
      <c r="AC3940" s="80" t="s">
        <v>53</v>
      </c>
      <c r="AD3940" s="80" t="s">
        <v>138</v>
      </c>
      <c r="AE3940" s="80" t="s">
        <v>11610</v>
      </c>
      <c r="AF3940" s="60" t="s">
        <v>14072</v>
      </c>
      <c r="AG3940" s="80"/>
      <c r="AH3940" s="80"/>
      <c r="AI3940" s="147"/>
      <c r="AJ3940" s="80"/>
      <c r="AK3940" s="80"/>
      <c r="AL3940" s="35"/>
      <c r="AM3940" s="35"/>
      <c r="AN3940" s="35"/>
      <c r="AO3940" s="35"/>
      <c r="AP3940" s="35"/>
    </row>
    <row r="3941" spans="1:42" x14ac:dyDescent="0.2">
      <c r="A3941" s="38">
        <v>45597</v>
      </c>
      <c r="B3941" s="137" t="s">
        <v>37</v>
      </c>
      <c r="C3941" s="41" t="s">
        <v>118</v>
      </c>
      <c r="D3941" s="80" t="s">
        <v>36</v>
      </c>
      <c r="E3941" s="80" t="s">
        <v>139</v>
      </c>
      <c r="F3941" s="80" t="s">
        <v>11610</v>
      </c>
      <c r="G3941" s="80" t="s">
        <v>108</v>
      </c>
      <c r="H3941" s="80" t="s">
        <v>14066</v>
      </c>
      <c r="I3941" s="17">
        <f ca="1">IFERROR(__xludf.DUMMYFUNCTION("""COMPUTED_VALUE"""),45604)</f>
        <v>45604</v>
      </c>
      <c r="J3941" s="143" t="s">
        <v>14104</v>
      </c>
      <c r="K3941" s="80" t="s">
        <v>14105</v>
      </c>
      <c r="L3941" s="30">
        <v>985745020</v>
      </c>
      <c r="M3941" s="80" t="s">
        <v>12644</v>
      </c>
      <c r="N3941" s="80" t="s">
        <v>8725</v>
      </c>
      <c r="O3941" s="80" t="s">
        <v>14106</v>
      </c>
      <c r="P3941" s="80" t="s">
        <v>14107</v>
      </c>
      <c r="Q3941" s="20">
        <v>15936</v>
      </c>
      <c r="R3941" s="80" t="s">
        <v>36</v>
      </c>
      <c r="S3941" s="95">
        <v>2000</v>
      </c>
      <c r="T3941" s="148">
        <v>45545</v>
      </c>
      <c r="U3941" s="95">
        <f>7000+6936</f>
        <v>13936</v>
      </c>
      <c r="V3941" s="83" t="s">
        <v>14108</v>
      </c>
      <c r="W3941" s="85" t="s">
        <v>14109</v>
      </c>
      <c r="X3941" s="80"/>
      <c r="Y3941" s="22">
        <v>0</v>
      </c>
      <c r="Z3941" s="80" t="s">
        <v>50</v>
      </c>
      <c r="AA3941" s="82" t="s">
        <v>9905</v>
      </c>
      <c r="AB3941" s="80"/>
      <c r="AC3941" s="80" t="s">
        <v>53</v>
      </c>
      <c r="AD3941" s="80" t="s">
        <v>138</v>
      </c>
      <c r="AE3941" s="80" t="s">
        <v>11610</v>
      </c>
      <c r="AF3941" s="60" t="s">
        <v>14072</v>
      </c>
      <c r="AG3941" s="80"/>
      <c r="AH3941" s="80"/>
      <c r="AI3941" s="147"/>
      <c r="AJ3941" s="80"/>
      <c r="AK3941" s="80"/>
      <c r="AL3941" s="35"/>
      <c r="AM3941" s="35"/>
      <c r="AN3941" s="35"/>
      <c r="AO3941" s="35"/>
      <c r="AP3941" s="35"/>
    </row>
    <row r="3942" spans="1:42" x14ac:dyDescent="0.2">
      <c r="A3942" s="38">
        <v>45597</v>
      </c>
      <c r="B3942" s="137" t="s">
        <v>37</v>
      </c>
      <c r="C3942" s="41" t="s">
        <v>118</v>
      </c>
      <c r="D3942" s="80" t="s">
        <v>36</v>
      </c>
      <c r="E3942" s="80" t="s">
        <v>139</v>
      </c>
      <c r="F3942" s="80" t="s">
        <v>11610</v>
      </c>
      <c r="G3942" s="80" t="s">
        <v>108</v>
      </c>
      <c r="H3942" s="80" t="s">
        <v>14066</v>
      </c>
      <c r="I3942" s="17">
        <f ca="1">IFERROR(__xludf.DUMMYFUNCTION("""COMPUTED_VALUE"""),45604)</f>
        <v>45604</v>
      </c>
      <c r="J3942" s="143" t="s">
        <v>14110</v>
      </c>
      <c r="K3942" s="80" t="s">
        <v>14111</v>
      </c>
      <c r="L3942" s="30">
        <v>964774521</v>
      </c>
      <c r="M3942" s="80" t="s">
        <v>123</v>
      </c>
      <c r="N3942" s="80" t="s">
        <v>186</v>
      </c>
      <c r="O3942" s="80" t="s">
        <v>4503</v>
      </c>
      <c r="P3942" s="80" t="s">
        <v>14112</v>
      </c>
      <c r="Q3942" s="20">
        <v>15936</v>
      </c>
      <c r="R3942" s="80" t="s">
        <v>36</v>
      </c>
      <c r="S3942" s="95">
        <f>200+1800</f>
        <v>2000</v>
      </c>
      <c r="T3942" s="148">
        <v>45546</v>
      </c>
      <c r="U3942" s="95">
        <v>13936</v>
      </c>
      <c r="V3942" s="148">
        <v>45593</v>
      </c>
      <c r="W3942" s="85" t="s">
        <v>14113</v>
      </c>
      <c r="X3942" s="80"/>
      <c r="Y3942" s="22">
        <v>0</v>
      </c>
      <c r="Z3942" s="80" t="s">
        <v>50</v>
      </c>
      <c r="AA3942" s="86"/>
      <c r="AB3942" s="80"/>
      <c r="AC3942" s="80" t="s">
        <v>53</v>
      </c>
      <c r="AD3942" s="80" t="s">
        <v>138</v>
      </c>
      <c r="AE3942" s="80" t="s">
        <v>11610</v>
      </c>
      <c r="AF3942" s="60" t="s">
        <v>14072</v>
      </c>
      <c r="AG3942" s="80"/>
      <c r="AH3942" s="80"/>
      <c r="AI3942" s="147"/>
      <c r="AJ3942" s="80"/>
      <c r="AK3942" s="80"/>
      <c r="AL3942" s="35"/>
      <c r="AM3942" s="35"/>
      <c r="AN3942" s="35"/>
      <c r="AO3942" s="35"/>
      <c r="AP3942" s="35"/>
    </row>
    <row r="3943" spans="1:42" x14ac:dyDescent="0.2">
      <c r="A3943" s="38">
        <v>45597</v>
      </c>
      <c r="B3943" s="137" t="s">
        <v>37</v>
      </c>
      <c r="C3943" s="41" t="s">
        <v>118</v>
      </c>
      <c r="D3943" s="80" t="s">
        <v>36</v>
      </c>
      <c r="E3943" s="80" t="s">
        <v>139</v>
      </c>
      <c r="F3943" s="80" t="s">
        <v>12766</v>
      </c>
      <c r="G3943" s="80" t="s">
        <v>108</v>
      </c>
      <c r="H3943" s="80" t="s">
        <v>14114</v>
      </c>
      <c r="I3943" s="17">
        <f ca="1">IFERROR(__xludf.DUMMYFUNCTION("""COMPUTED_VALUE"""),45750)</f>
        <v>45750</v>
      </c>
      <c r="J3943" s="143" t="s">
        <v>14115</v>
      </c>
      <c r="K3943" s="80" t="s">
        <v>14116</v>
      </c>
      <c r="L3943" s="30">
        <v>565622833</v>
      </c>
      <c r="M3943" s="80" t="s">
        <v>910</v>
      </c>
      <c r="N3943" s="80" t="s">
        <v>3525</v>
      </c>
      <c r="O3943" s="80" t="s">
        <v>91</v>
      </c>
      <c r="P3943" s="80" t="s">
        <v>12578</v>
      </c>
      <c r="Q3943" s="20">
        <v>15936</v>
      </c>
      <c r="R3943" s="80" t="s">
        <v>36</v>
      </c>
      <c r="S3943" s="95">
        <v>2000</v>
      </c>
      <c r="T3943" s="148">
        <v>45553</v>
      </c>
      <c r="U3943" s="95">
        <v>13936</v>
      </c>
      <c r="V3943" s="148">
        <v>45586</v>
      </c>
      <c r="W3943" s="85" t="s">
        <v>14117</v>
      </c>
      <c r="X3943" s="80"/>
      <c r="Y3943" s="22">
        <v>0</v>
      </c>
      <c r="Z3943" s="80" t="s">
        <v>50</v>
      </c>
      <c r="AA3943" s="82"/>
      <c r="AB3943" s="80"/>
      <c r="AC3943" s="80" t="s">
        <v>53</v>
      </c>
      <c r="AD3943" s="80" t="s">
        <v>138</v>
      </c>
      <c r="AE3943" s="80" t="s">
        <v>12766</v>
      </c>
      <c r="AF3943" s="60" t="s">
        <v>14077</v>
      </c>
      <c r="AG3943" s="39" t="s">
        <v>14078</v>
      </c>
      <c r="AH3943" s="80"/>
      <c r="AI3943" s="147"/>
      <c r="AJ3943" s="80"/>
      <c r="AK3943" s="80"/>
      <c r="AL3943" s="35"/>
      <c r="AM3943" s="35"/>
      <c r="AN3943" s="35"/>
      <c r="AO3943" s="35"/>
      <c r="AP3943" s="35"/>
    </row>
    <row r="3944" spans="1:42" x14ac:dyDescent="0.2">
      <c r="A3944" s="38">
        <v>45597</v>
      </c>
      <c r="B3944" s="137" t="s">
        <v>37</v>
      </c>
      <c r="C3944" s="41" t="s">
        <v>118</v>
      </c>
      <c r="D3944" s="80" t="s">
        <v>36</v>
      </c>
      <c r="E3944" s="80" t="s">
        <v>139</v>
      </c>
      <c r="F3944" s="80" t="s">
        <v>12766</v>
      </c>
      <c r="G3944" s="80" t="s">
        <v>108</v>
      </c>
      <c r="H3944" s="80" t="s">
        <v>14073</v>
      </c>
      <c r="I3944" s="17">
        <f ca="1">IFERROR(__xludf.DUMMYFUNCTION("""COMPUTED_VALUE"""),45615)</f>
        <v>45615</v>
      </c>
      <c r="J3944" s="143" t="s">
        <v>14118</v>
      </c>
      <c r="K3944" s="145" t="s">
        <v>14119</v>
      </c>
      <c r="L3944" s="30">
        <v>337675222</v>
      </c>
      <c r="M3944" s="80" t="s">
        <v>910</v>
      </c>
      <c r="N3944" s="80" t="s">
        <v>3525</v>
      </c>
      <c r="O3944" s="80" t="s">
        <v>91</v>
      </c>
      <c r="P3944" s="80" t="s">
        <v>14120</v>
      </c>
      <c r="Q3944" s="20">
        <v>15936</v>
      </c>
      <c r="R3944" s="80" t="s">
        <v>36</v>
      </c>
      <c r="S3944" s="95">
        <f>200+1800</f>
        <v>2000</v>
      </c>
      <c r="T3944" s="170">
        <v>45550</v>
      </c>
      <c r="U3944" s="95">
        <v>13936</v>
      </c>
      <c r="V3944" s="148">
        <v>45566</v>
      </c>
      <c r="W3944" s="85" t="s">
        <v>14121</v>
      </c>
      <c r="X3944" s="80"/>
      <c r="Y3944" s="22">
        <v>0</v>
      </c>
      <c r="Z3944" s="80" t="s">
        <v>50</v>
      </c>
      <c r="AA3944" s="86"/>
      <c r="AB3944" s="80"/>
      <c r="AC3944" s="80" t="s">
        <v>53</v>
      </c>
      <c r="AD3944" s="80" t="s">
        <v>138</v>
      </c>
      <c r="AE3944" s="80" t="s">
        <v>12766</v>
      </c>
      <c r="AF3944" s="60" t="s">
        <v>14077</v>
      </c>
      <c r="AG3944" s="39" t="s">
        <v>14078</v>
      </c>
      <c r="AH3944" s="80"/>
      <c r="AI3944" s="147"/>
      <c r="AJ3944" s="80"/>
      <c r="AK3944" s="80"/>
      <c r="AL3944" s="35"/>
      <c r="AM3944" s="35"/>
      <c r="AN3944" s="35"/>
      <c r="AO3944" s="35"/>
      <c r="AP3944" s="35"/>
    </row>
    <row r="3945" spans="1:42" x14ac:dyDescent="0.2">
      <c r="A3945" s="38">
        <v>45597</v>
      </c>
      <c r="B3945" s="137" t="s">
        <v>37</v>
      </c>
      <c r="C3945" s="41" t="s">
        <v>118</v>
      </c>
      <c r="D3945" s="26" t="s">
        <v>36</v>
      </c>
      <c r="E3945" s="26" t="s">
        <v>139</v>
      </c>
      <c r="F3945" s="80" t="s">
        <v>12766</v>
      </c>
      <c r="G3945" s="80" t="s">
        <v>108</v>
      </c>
      <c r="H3945" s="80" t="s">
        <v>14073</v>
      </c>
      <c r="I3945" s="17">
        <f ca="1">IFERROR(__xludf.DUMMYFUNCTION("""COMPUTED_VALUE"""),45615)</f>
        <v>45615</v>
      </c>
      <c r="J3945" s="29" t="s">
        <v>14122</v>
      </c>
      <c r="K3945" s="26" t="s">
        <v>14123</v>
      </c>
      <c r="L3945" s="30">
        <v>338516118</v>
      </c>
      <c r="M3945" s="26" t="s">
        <v>80</v>
      </c>
      <c r="N3945" s="26" t="s">
        <v>466</v>
      </c>
      <c r="O3945" s="26" t="s">
        <v>14124</v>
      </c>
      <c r="P3945" s="26" t="s">
        <v>14125</v>
      </c>
      <c r="Q3945" s="20">
        <v>15936</v>
      </c>
      <c r="R3945" s="26" t="s">
        <v>36</v>
      </c>
      <c r="S3945" s="95">
        <f>200+2000</f>
        <v>2200</v>
      </c>
      <c r="T3945" s="83" t="s">
        <v>14126</v>
      </c>
      <c r="U3945" s="95">
        <v>13936</v>
      </c>
      <c r="V3945" s="148">
        <v>45588</v>
      </c>
      <c r="W3945" s="33" t="s">
        <v>14127</v>
      </c>
      <c r="X3945" s="26"/>
      <c r="Y3945" s="22">
        <v>-200</v>
      </c>
      <c r="Z3945" s="26" t="s">
        <v>50</v>
      </c>
      <c r="AA3945" s="96"/>
      <c r="AB3945" s="26"/>
      <c r="AC3945" s="26" t="s">
        <v>53</v>
      </c>
      <c r="AD3945" s="26" t="s">
        <v>54</v>
      </c>
      <c r="AE3945" s="80" t="s">
        <v>12766</v>
      </c>
      <c r="AF3945" s="60" t="s">
        <v>14077</v>
      </c>
      <c r="AG3945" s="39" t="s">
        <v>14078</v>
      </c>
      <c r="AH3945" s="26"/>
      <c r="AI3945" s="40"/>
      <c r="AJ3945" s="26"/>
      <c r="AK3945" s="26"/>
      <c r="AL3945" s="35"/>
      <c r="AM3945" s="35"/>
      <c r="AN3945" s="35"/>
      <c r="AO3945" s="35"/>
      <c r="AP3945" s="35"/>
    </row>
    <row r="3946" spans="1:42" x14ac:dyDescent="0.2">
      <c r="A3946" s="38">
        <v>45597</v>
      </c>
      <c r="B3946" s="137" t="s">
        <v>37</v>
      </c>
      <c r="C3946" s="41" t="s">
        <v>118</v>
      </c>
      <c r="D3946" s="80" t="s">
        <v>36</v>
      </c>
      <c r="E3946" s="80" t="s">
        <v>56</v>
      </c>
      <c r="F3946" s="80" t="s">
        <v>12766</v>
      </c>
      <c r="G3946" s="80" t="s">
        <v>41</v>
      </c>
      <c r="H3946" s="80" t="s">
        <v>11640</v>
      </c>
      <c r="I3946" s="17">
        <f ca="1">IFERROR(__xludf.DUMMYFUNCTION("""COMPUTED_VALUE"""),45636)</f>
        <v>45636</v>
      </c>
      <c r="J3946" s="143" t="s">
        <v>14128</v>
      </c>
      <c r="K3946" s="80" t="s">
        <v>14129</v>
      </c>
      <c r="L3946" s="30">
        <v>843668567</v>
      </c>
      <c r="M3946" s="80" t="s">
        <v>123</v>
      </c>
      <c r="N3946" s="80" t="s">
        <v>327</v>
      </c>
      <c r="O3946" s="80" t="s">
        <v>4503</v>
      </c>
      <c r="P3946" s="80" t="s">
        <v>3487</v>
      </c>
      <c r="Q3946" s="20">
        <v>9317</v>
      </c>
      <c r="R3946" s="80" t="s">
        <v>36</v>
      </c>
      <c r="S3946" s="95">
        <v>2000</v>
      </c>
      <c r="T3946" s="148">
        <v>45544</v>
      </c>
      <c r="U3946" s="95">
        <v>7317</v>
      </c>
      <c r="V3946" s="148">
        <v>45570</v>
      </c>
      <c r="W3946" s="85" t="s">
        <v>14130</v>
      </c>
      <c r="X3946" s="80"/>
      <c r="Y3946" s="22">
        <v>0</v>
      </c>
      <c r="Z3946" s="80" t="s">
        <v>50</v>
      </c>
      <c r="AA3946" s="86"/>
      <c r="AB3946" s="80"/>
      <c r="AC3946" s="80" t="s">
        <v>53</v>
      </c>
      <c r="AD3946" s="80" t="s">
        <v>138</v>
      </c>
      <c r="AE3946" s="80" t="s">
        <v>12766</v>
      </c>
      <c r="AF3946" s="17">
        <v>45636</v>
      </c>
      <c r="AG3946" s="80"/>
      <c r="AH3946" s="80"/>
      <c r="AI3946" s="147"/>
      <c r="AJ3946" s="80"/>
      <c r="AK3946" s="80"/>
      <c r="AL3946" s="35"/>
      <c r="AM3946" s="35"/>
      <c r="AN3946" s="35"/>
      <c r="AO3946" s="35"/>
      <c r="AP3946" s="35"/>
    </row>
    <row r="3947" spans="1:42" x14ac:dyDescent="0.2">
      <c r="A3947" s="38">
        <v>45597</v>
      </c>
      <c r="B3947" s="137" t="s">
        <v>37</v>
      </c>
      <c r="C3947" s="41" t="s">
        <v>118</v>
      </c>
      <c r="D3947" s="80" t="s">
        <v>36</v>
      </c>
      <c r="E3947" s="80" t="s">
        <v>139</v>
      </c>
      <c r="F3947" s="80" t="s">
        <v>12766</v>
      </c>
      <c r="G3947" s="80" t="s">
        <v>108</v>
      </c>
      <c r="H3947" s="80" t="s">
        <v>14131</v>
      </c>
      <c r="I3947" s="17">
        <f ca="1">IFERROR(__xludf.DUMMYFUNCTION("""COMPUTED_VALUE"""),45705)</f>
        <v>45705</v>
      </c>
      <c r="J3947" s="143" t="s">
        <v>14132</v>
      </c>
      <c r="K3947" s="80" t="s">
        <v>14133</v>
      </c>
      <c r="L3947" s="30">
        <v>917958678</v>
      </c>
      <c r="M3947" s="80" t="s">
        <v>5518</v>
      </c>
      <c r="N3947" s="80" t="s">
        <v>5252</v>
      </c>
      <c r="O3947" s="80" t="s">
        <v>1487</v>
      </c>
      <c r="P3947" s="80" t="s">
        <v>7743</v>
      </c>
      <c r="Q3947" s="20">
        <v>15936</v>
      </c>
      <c r="R3947" s="80" t="s">
        <v>36</v>
      </c>
      <c r="S3947" s="95">
        <v>2000</v>
      </c>
      <c r="T3947" s="148">
        <v>45554</v>
      </c>
      <c r="U3947" s="95">
        <v>13936</v>
      </c>
      <c r="V3947" s="148">
        <v>45572</v>
      </c>
      <c r="W3947" s="85" t="s">
        <v>14134</v>
      </c>
      <c r="X3947" s="80"/>
      <c r="Y3947" s="22">
        <v>0</v>
      </c>
      <c r="Z3947" s="26" t="s">
        <v>118</v>
      </c>
      <c r="AA3947" s="82"/>
      <c r="AB3947" s="80"/>
      <c r="AC3947" s="80" t="s">
        <v>53</v>
      </c>
      <c r="AD3947" s="80" t="s">
        <v>138</v>
      </c>
      <c r="AE3947" s="80" t="s">
        <v>12766</v>
      </c>
      <c r="AF3947" s="60" t="s">
        <v>14077</v>
      </c>
      <c r="AG3947" s="39" t="s">
        <v>14078</v>
      </c>
      <c r="AH3947" s="80"/>
      <c r="AI3947" s="147"/>
      <c r="AJ3947" s="80"/>
      <c r="AK3947" s="80"/>
      <c r="AL3947" s="35"/>
      <c r="AM3947" s="35"/>
      <c r="AN3947" s="35"/>
      <c r="AO3947" s="35"/>
      <c r="AP3947" s="35"/>
    </row>
    <row r="3948" spans="1:42" x14ac:dyDescent="0.2">
      <c r="A3948" s="38">
        <v>45597</v>
      </c>
      <c r="B3948" s="137" t="s">
        <v>37</v>
      </c>
      <c r="C3948" s="41" t="s">
        <v>118</v>
      </c>
      <c r="D3948" s="80" t="s">
        <v>36</v>
      </c>
      <c r="E3948" s="80" t="s">
        <v>56</v>
      </c>
      <c r="F3948" s="80" t="s">
        <v>12766</v>
      </c>
      <c r="G3948" s="80" t="s">
        <v>108</v>
      </c>
      <c r="H3948" s="80" t="s">
        <v>14073</v>
      </c>
      <c r="I3948" s="17">
        <f ca="1">IFERROR(__xludf.DUMMYFUNCTION("""COMPUTED_VALUE"""),45615)</f>
        <v>45615</v>
      </c>
      <c r="J3948" s="143" t="s">
        <v>13174</v>
      </c>
      <c r="K3948" s="80" t="s">
        <v>13175</v>
      </c>
      <c r="L3948" s="30">
        <v>326880393</v>
      </c>
      <c r="M3948" s="80" t="s">
        <v>45</v>
      </c>
      <c r="N3948" s="80" t="s">
        <v>1472</v>
      </c>
      <c r="O3948" s="80" t="s">
        <v>13176</v>
      </c>
      <c r="P3948" s="80" t="s">
        <v>3694</v>
      </c>
      <c r="Q3948" s="20">
        <v>9317</v>
      </c>
      <c r="R3948" s="80" t="s">
        <v>36</v>
      </c>
      <c r="S3948" s="95">
        <v>9317</v>
      </c>
      <c r="T3948" s="148">
        <v>45551</v>
      </c>
      <c r="U3948" s="77"/>
      <c r="V3948" s="78"/>
      <c r="W3948" s="80" t="s">
        <v>13177</v>
      </c>
      <c r="X3948" s="80">
        <v>0</v>
      </c>
      <c r="Y3948" s="22">
        <v>0</v>
      </c>
      <c r="Z3948" s="80" t="s">
        <v>50</v>
      </c>
      <c r="AA3948" s="35" t="s">
        <v>3291</v>
      </c>
      <c r="AB3948" s="80"/>
      <c r="AC3948" s="80" t="s">
        <v>53</v>
      </c>
      <c r="AD3948" s="80" t="s">
        <v>138</v>
      </c>
      <c r="AE3948" s="80" t="s">
        <v>12766</v>
      </c>
      <c r="AF3948" s="60" t="s">
        <v>14077</v>
      </c>
      <c r="AG3948" s="39" t="s">
        <v>14078</v>
      </c>
      <c r="AH3948" s="80"/>
      <c r="AI3948" s="147" t="s">
        <v>64</v>
      </c>
      <c r="AJ3948" s="80"/>
      <c r="AK3948" s="80"/>
      <c r="AL3948" s="35"/>
      <c r="AM3948" s="35"/>
      <c r="AN3948" s="35"/>
      <c r="AO3948" s="35"/>
      <c r="AP3948" s="35"/>
    </row>
    <row r="3949" spans="1:42" x14ac:dyDescent="0.2">
      <c r="A3949" s="38">
        <v>45597</v>
      </c>
      <c r="B3949" s="137" t="s">
        <v>37</v>
      </c>
      <c r="C3949" s="41" t="s">
        <v>118</v>
      </c>
      <c r="D3949" s="80" t="s">
        <v>36</v>
      </c>
      <c r="E3949" s="80" t="s">
        <v>139</v>
      </c>
      <c r="F3949" s="80" t="s">
        <v>12766</v>
      </c>
      <c r="G3949" s="80" t="s">
        <v>108</v>
      </c>
      <c r="H3949" s="80" t="s">
        <v>14073</v>
      </c>
      <c r="I3949" s="17">
        <f ca="1">IFERROR(__xludf.DUMMYFUNCTION("""COMPUTED_VALUE"""),45615)</f>
        <v>45615</v>
      </c>
      <c r="J3949" s="143" t="s">
        <v>12942</v>
      </c>
      <c r="K3949" s="80" t="s">
        <v>12943</v>
      </c>
      <c r="L3949" s="30">
        <v>869332508</v>
      </c>
      <c r="M3949" s="80" t="s">
        <v>9422</v>
      </c>
      <c r="N3949" s="80" t="s">
        <v>2157</v>
      </c>
      <c r="O3949" s="80" t="s">
        <v>11607</v>
      </c>
      <c r="P3949" s="80" t="s">
        <v>11607</v>
      </c>
      <c r="Q3949" s="20">
        <v>15936</v>
      </c>
      <c r="R3949" s="80" t="s">
        <v>11421</v>
      </c>
      <c r="S3949" s="95">
        <v>2000</v>
      </c>
      <c r="T3949" s="148">
        <v>45545</v>
      </c>
      <c r="U3949" s="95">
        <v>13636</v>
      </c>
      <c r="V3949" s="148">
        <v>45564</v>
      </c>
      <c r="W3949" s="85" t="s">
        <v>12944</v>
      </c>
      <c r="X3949" s="80">
        <v>300</v>
      </c>
      <c r="Y3949" s="22">
        <v>0</v>
      </c>
      <c r="Z3949" s="80" t="s">
        <v>50</v>
      </c>
      <c r="AA3949" s="96" t="s">
        <v>3291</v>
      </c>
      <c r="AB3949" s="80"/>
      <c r="AC3949" s="80" t="s">
        <v>53</v>
      </c>
      <c r="AD3949" s="80" t="s">
        <v>138</v>
      </c>
      <c r="AE3949" s="80" t="s">
        <v>12766</v>
      </c>
      <c r="AF3949" s="60" t="s">
        <v>14077</v>
      </c>
      <c r="AG3949" s="39" t="s">
        <v>14078</v>
      </c>
      <c r="AH3949" s="80"/>
      <c r="AI3949" s="147" t="s">
        <v>147</v>
      </c>
      <c r="AJ3949" s="80"/>
      <c r="AK3949" s="80"/>
      <c r="AL3949" s="35"/>
      <c r="AM3949" s="35"/>
      <c r="AN3949" s="35"/>
      <c r="AO3949" s="35"/>
      <c r="AP3949" s="35"/>
    </row>
    <row r="3950" spans="1:42" x14ac:dyDescent="0.2">
      <c r="A3950" s="38">
        <v>45598</v>
      </c>
      <c r="B3950" s="137" t="s">
        <v>37</v>
      </c>
      <c r="C3950" s="41" t="s">
        <v>118</v>
      </c>
      <c r="D3950" s="26" t="s">
        <v>36</v>
      </c>
      <c r="E3950" s="26" t="s">
        <v>139</v>
      </c>
      <c r="F3950" s="26" t="s">
        <v>14073</v>
      </c>
      <c r="G3950" s="26" t="s">
        <v>108</v>
      </c>
      <c r="H3950" s="80" t="s">
        <v>14135</v>
      </c>
      <c r="I3950" s="17">
        <f ca="1">IFERROR(__xludf.DUMMYFUNCTION("""COMPUTED_VALUE"""),45757)</f>
        <v>45757</v>
      </c>
      <c r="J3950" s="29" t="s">
        <v>10583</v>
      </c>
      <c r="K3950" s="26" t="s">
        <v>14136</v>
      </c>
      <c r="L3950" s="30">
        <v>813375655</v>
      </c>
      <c r="M3950" s="26" t="s">
        <v>3728</v>
      </c>
      <c r="N3950" s="26" t="s">
        <v>5312</v>
      </c>
      <c r="O3950" s="26" t="s">
        <v>10585</v>
      </c>
      <c r="P3950" s="26" t="s">
        <v>10586</v>
      </c>
      <c r="Q3950" s="20">
        <v>15936</v>
      </c>
      <c r="R3950" s="26" t="s">
        <v>36</v>
      </c>
      <c r="S3950" s="95">
        <v>2000</v>
      </c>
      <c r="T3950" s="148">
        <v>45481</v>
      </c>
      <c r="U3950" s="95">
        <v>13936</v>
      </c>
      <c r="V3950" s="148">
        <v>45516</v>
      </c>
      <c r="W3950" s="33" t="s">
        <v>10587</v>
      </c>
      <c r="X3950" s="26">
        <v>0</v>
      </c>
      <c r="Y3950" s="22">
        <v>0</v>
      </c>
      <c r="Z3950" s="26" t="s">
        <v>50</v>
      </c>
      <c r="AA3950" s="35" t="s">
        <v>10314</v>
      </c>
      <c r="AB3950" s="26"/>
      <c r="AC3950" s="26" t="s">
        <v>53</v>
      </c>
      <c r="AD3950" s="26" t="s">
        <v>54</v>
      </c>
      <c r="AE3950" s="26" t="s">
        <v>9241</v>
      </c>
      <c r="AF3950" s="60" t="s">
        <v>14077</v>
      </c>
      <c r="AG3950" s="39" t="s">
        <v>14078</v>
      </c>
      <c r="AH3950" s="26"/>
      <c r="AI3950" s="40"/>
      <c r="AJ3950" s="26"/>
      <c r="AK3950" s="26"/>
      <c r="AL3950" s="35"/>
      <c r="AM3950" s="35"/>
      <c r="AN3950" s="35"/>
      <c r="AO3950" s="35"/>
      <c r="AP3950" s="35"/>
    </row>
    <row r="3951" spans="1:42" x14ac:dyDescent="0.2">
      <c r="A3951" s="38">
        <v>45598</v>
      </c>
      <c r="B3951" s="137" t="s">
        <v>37</v>
      </c>
      <c r="C3951" s="41" t="s">
        <v>118</v>
      </c>
      <c r="D3951" s="80" t="s">
        <v>36</v>
      </c>
      <c r="E3951" s="80" t="s">
        <v>139</v>
      </c>
      <c r="F3951" s="80" t="s">
        <v>12766</v>
      </c>
      <c r="G3951" s="80" t="s">
        <v>108</v>
      </c>
      <c r="H3951" s="80" t="s">
        <v>14073</v>
      </c>
      <c r="I3951" s="17">
        <f ca="1">IFERROR(__xludf.DUMMYFUNCTION("""COMPUTED_VALUE"""),45615)</f>
        <v>45615</v>
      </c>
      <c r="J3951" s="143" t="s">
        <v>14137</v>
      </c>
      <c r="K3951" s="80" t="s">
        <v>14138</v>
      </c>
      <c r="L3951" s="30">
        <v>845576999</v>
      </c>
      <c r="M3951" s="80" t="s">
        <v>123</v>
      </c>
      <c r="N3951" s="80" t="s">
        <v>2847</v>
      </c>
      <c r="O3951" s="80" t="s">
        <v>4503</v>
      </c>
      <c r="P3951" s="80" t="s">
        <v>3487</v>
      </c>
      <c r="Q3951" s="20">
        <v>15936</v>
      </c>
      <c r="R3951" s="80" t="s">
        <v>36</v>
      </c>
      <c r="S3951" s="95">
        <v>1968</v>
      </c>
      <c r="T3951" s="148">
        <v>45540</v>
      </c>
      <c r="U3951" s="95">
        <v>13968</v>
      </c>
      <c r="V3951" s="148">
        <v>45598</v>
      </c>
      <c r="W3951" s="85" t="s">
        <v>14139</v>
      </c>
      <c r="X3951" s="80"/>
      <c r="Y3951" s="22">
        <v>0</v>
      </c>
      <c r="Z3951" s="80" t="s">
        <v>50</v>
      </c>
      <c r="AA3951" s="82"/>
      <c r="AB3951" s="80"/>
      <c r="AC3951" s="80" t="s">
        <v>53</v>
      </c>
      <c r="AD3951" s="80" t="s">
        <v>138</v>
      </c>
      <c r="AE3951" s="80" t="s">
        <v>12766</v>
      </c>
      <c r="AF3951" s="60" t="s">
        <v>14077</v>
      </c>
      <c r="AG3951" s="39" t="s">
        <v>14078</v>
      </c>
      <c r="AH3951" s="80"/>
      <c r="AI3951" s="147"/>
      <c r="AJ3951" s="80"/>
      <c r="AK3951" s="80"/>
      <c r="AL3951" s="35"/>
      <c r="AM3951" s="35"/>
      <c r="AN3951" s="35"/>
      <c r="AO3951" s="35"/>
      <c r="AP3951" s="35"/>
    </row>
    <row r="3952" spans="1:42" x14ac:dyDescent="0.2">
      <c r="A3952" s="38">
        <v>45598</v>
      </c>
      <c r="B3952" s="137" t="s">
        <v>37</v>
      </c>
      <c r="C3952" s="41" t="s">
        <v>118</v>
      </c>
      <c r="D3952" s="80" t="s">
        <v>36</v>
      </c>
      <c r="E3952" s="80" t="s">
        <v>56</v>
      </c>
      <c r="F3952" s="80" t="s">
        <v>12766</v>
      </c>
      <c r="G3952" s="80" t="s">
        <v>108</v>
      </c>
      <c r="H3952" s="80" t="s">
        <v>14140</v>
      </c>
      <c r="I3952" s="17">
        <f ca="1">IFERROR(__xludf.DUMMYFUNCTION("""COMPUTED_VALUE"""),45642)</f>
        <v>45642</v>
      </c>
      <c r="J3952" s="143" t="s">
        <v>14141</v>
      </c>
      <c r="K3952" s="80" t="s">
        <v>14142</v>
      </c>
      <c r="L3952" s="30">
        <v>364563802</v>
      </c>
      <c r="M3952" s="80" t="s">
        <v>9422</v>
      </c>
      <c r="N3952" s="80" t="s">
        <v>5574</v>
      </c>
      <c r="O3952" s="80" t="s">
        <v>14143</v>
      </c>
      <c r="P3952" s="80" t="s">
        <v>14144</v>
      </c>
      <c r="Q3952" s="20">
        <v>9317</v>
      </c>
      <c r="R3952" s="80" t="s">
        <v>11421</v>
      </c>
      <c r="S3952" s="95">
        <v>2000</v>
      </c>
      <c r="T3952" s="148">
        <v>45554</v>
      </c>
      <c r="U3952" s="95">
        <v>7017</v>
      </c>
      <c r="V3952" s="148">
        <v>45567</v>
      </c>
      <c r="W3952" s="85" t="s">
        <v>14145</v>
      </c>
      <c r="X3952" s="80"/>
      <c r="Y3952" s="22">
        <v>300</v>
      </c>
      <c r="Z3952" s="80" t="s">
        <v>50</v>
      </c>
      <c r="AA3952" s="86"/>
      <c r="AB3952" s="80"/>
      <c r="AC3952" s="80" t="s">
        <v>53</v>
      </c>
      <c r="AD3952" s="80" t="s">
        <v>138</v>
      </c>
      <c r="AE3952" s="80" t="s">
        <v>12766</v>
      </c>
      <c r="AF3952" s="60" t="s">
        <v>14077</v>
      </c>
      <c r="AG3952" s="39" t="s">
        <v>14078</v>
      </c>
      <c r="AH3952" s="80"/>
      <c r="AI3952" s="147"/>
      <c r="AJ3952" s="80"/>
      <c r="AK3952" s="80"/>
      <c r="AL3952" s="35"/>
      <c r="AM3952" s="35"/>
      <c r="AN3952" s="35"/>
      <c r="AO3952" s="35"/>
      <c r="AP3952" s="35"/>
    </row>
    <row r="3953" spans="1:42" x14ac:dyDescent="0.2">
      <c r="A3953" s="38">
        <v>45598</v>
      </c>
      <c r="B3953" s="137" t="s">
        <v>37</v>
      </c>
      <c r="C3953" s="41" t="s">
        <v>118</v>
      </c>
      <c r="D3953" s="80" t="s">
        <v>36</v>
      </c>
      <c r="E3953" s="80" t="s">
        <v>139</v>
      </c>
      <c r="F3953" s="80" t="s">
        <v>14073</v>
      </c>
      <c r="G3953" s="80" t="s">
        <v>108</v>
      </c>
      <c r="H3953" s="80" t="s">
        <v>5946</v>
      </c>
      <c r="I3953" s="17">
        <f ca="1">IFERROR(__xludf.DUMMYFUNCTION("""COMPUTED_VALUE"""),45742)</f>
        <v>45742</v>
      </c>
      <c r="J3953" s="143" t="s">
        <v>14146</v>
      </c>
      <c r="K3953" s="80" t="s">
        <v>14147</v>
      </c>
      <c r="L3953" s="30">
        <v>945115606</v>
      </c>
      <c r="M3953" s="80" t="s">
        <v>3728</v>
      </c>
      <c r="N3953" s="80" t="s">
        <v>5312</v>
      </c>
      <c r="O3953" s="80" t="s">
        <v>14148</v>
      </c>
      <c r="P3953" s="80" t="s">
        <v>11644</v>
      </c>
      <c r="Q3953" s="20">
        <v>15936</v>
      </c>
      <c r="R3953" s="80" t="s">
        <v>36</v>
      </c>
      <c r="S3953" s="95">
        <f>200+1800</f>
        <v>2000</v>
      </c>
      <c r="T3953" s="83" t="s">
        <v>14149</v>
      </c>
      <c r="U3953" s="95">
        <v>13936</v>
      </c>
      <c r="V3953" s="148">
        <v>45573</v>
      </c>
      <c r="W3953" s="80" t="s">
        <v>14150</v>
      </c>
      <c r="X3953" s="80"/>
      <c r="Y3953" s="22">
        <v>0</v>
      </c>
      <c r="Z3953" s="80" t="s">
        <v>50</v>
      </c>
      <c r="AA3953" s="82"/>
      <c r="AB3953" s="80"/>
      <c r="AC3953" s="80" t="s">
        <v>53</v>
      </c>
      <c r="AD3953" s="80" t="s">
        <v>138</v>
      </c>
      <c r="AE3953" s="80" t="s">
        <v>12766</v>
      </c>
      <c r="AF3953" s="60" t="s">
        <v>14077</v>
      </c>
      <c r="AG3953" s="39" t="s">
        <v>14078</v>
      </c>
      <c r="AH3953" s="80"/>
      <c r="AI3953" s="147"/>
      <c r="AJ3953" s="80"/>
      <c r="AK3953" s="80"/>
      <c r="AL3953" s="35"/>
      <c r="AM3953" s="35"/>
      <c r="AN3953" s="35"/>
      <c r="AO3953" s="35"/>
      <c r="AP3953" s="35"/>
    </row>
    <row r="3954" spans="1:42" x14ac:dyDescent="0.2">
      <c r="A3954" s="38">
        <v>45598</v>
      </c>
      <c r="B3954" s="137" t="s">
        <v>37</v>
      </c>
      <c r="C3954" s="41" t="s">
        <v>118</v>
      </c>
      <c r="D3954" s="26" t="s">
        <v>36</v>
      </c>
      <c r="E3954" s="26" t="s">
        <v>139</v>
      </c>
      <c r="F3954" s="26" t="s">
        <v>7330</v>
      </c>
      <c r="G3954" s="80" t="s">
        <v>108</v>
      </c>
      <c r="H3954" s="80" t="s">
        <v>14073</v>
      </c>
      <c r="I3954" s="17">
        <f ca="1">IFERROR(__xludf.DUMMYFUNCTION("""COMPUTED_VALUE"""),45615)</f>
        <v>45615</v>
      </c>
      <c r="J3954" s="29" t="s">
        <v>10815</v>
      </c>
      <c r="K3954" s="26" t="s">
        <v>10816</v>
      </c>
      <c r="L3954" s="30">
        <v>968311050</v>
      </c>
      <c r="M3954" s="26" t="s">
        <v>80</v>
      </c>
      <c r="N3954" s="26" t="s">
        <v>1073</v>
      </c>
      <c r="O3954" s="26" t="s">
        <v>1492</v>
      </c>
      <c r="P3954" s="26" t="s">
        <v>2641</v>
      </c>
      <c r="Q3954" s="20">
        <v>15936</v>
      </c>
      <c r="R3954" s="26" t="s">
        <v>36</v>
      </c>
      <c r="S3954" s="95">
        <v>2000</v>
      </c>
      <c r="T3954" s="148">
        <v>45491</v>
      </c>
      <c r="U3954" s="95">
        <v>13936</v>
      </c>
      <c r="V3954" s="148">
        <v>45530</v>
      </c>
      <c r="W3954" s="33" t="s">
        <v>10817</v>
      </c>
      <c r="X3954" s="26">
        <v>0</v>
      </c>
      <c r="Y3954" s="22">
        <v>0</v>
      </c>
      <c r="Z3954" s="26" t="s">
        <v>50</v>
      </c>
      <c r="AA3954" s="35" t="s">
        <v>10314</v>
      </c>
      <c r="AB3954" s="26"/>
      <c r="AC3954" s="26" t="s">
        <v>53</v>
      </c>
      <c r="AD3954" s="26" t="s">
        <v>138</v>
      </c>
      <c r="AE3954" s="26" t="s">
        <v>7330</v>
      </c>
      <c r="AF3954" s="60" t="s">
        <v>14077</v>
      </c>
      <c r="AG3954" s="39" t="s">
        <v>14078</v>
      </c>
      <c r="AH3954" s="26"/>
      <c r="AI3954" s="40"/>
      <c r="AJ3954" s="26"/>
      <c r="AK3954" s="26"/>
      <c r="AL3954" s="35"/>
      <c r="AM3954" s="35"/>
      <c r="AN3954" s="35"/>
      <c r="AO3954" s="35"/>
      <c r="AP3954" s="35"/>
    </row>
    <row r="3955" spans="1:42" x14ac:dyDescent="0.2">
      <c r="A3955" s="38">
        <v>45598</v>
      </c>
      <c r="B3955" s="137" t="s">
        <v>37</v>
      </c>
      <c r="C3955" s="41" t="s">
        <v>118</v>
      </c>
      <c r="D3955" s="26" t="s">
        <v>36</v>
      </c>
      <c r="E3955" s="26" t="s">
        <v>139</v>
      </c>
      <c r="F3955" s="26" t="s">
        <v>7330</v>
      </c>
      <c r="G3955" s="80" t="s">
        <v>108</v>
      </c>
      <c r="H3955" s="80" t="s">
        <v>14073</v>
      </c>
      <c r="I3955" s="17">
        <f ca="1">IFERROR(__xludf.DUMMYFUNCTION("""COMPUTED_VALUE"""),45615)</f>
        <v>45615</v>
      </c>
      <c r="J3955" s="29" t="s">
        <v>10812</v>
      </c>
      <c r="K3955" s="26" t="s">
        <v>10813</v>
      </c>
      <c r="L3955" s="30">
        <v>868914206</v>
      </c>
      <c r="M3955" s="26" t="s">
        <v>80</v>
      </c>
      <c r="N3955" s="26" t="s">
        <v>1073</v>
      </c>
      <c r="O3955" s="26" t="s">
        <v>1492</v>
      </c>
      <c r="P3955" s="26" t="s">
        <v>4126</v>
      </c>
      <c r="Q3955" s="20">
        <v>15936</v>
      </c>
      <c r="R3955" s="26" t="s">
        <v>36</v>
      </c>
      <c r="S3955" s="95">
        <v>2000</v>
      </c>
      <c r="T3955" s="148">
        <v>45491</v>
      </c>
      <c r="U3955" s="95">
        <v>13936</v>
      </c>
      <c r="V3955" s="148">
        <v>45530</v>
      </c>
      <c r="W3955" s="33" t="s">
        <v>10814</v>
      </c>
      <c r="X3955" s="26">
        <v>0</v>
      </c>
      <c r="Y3955" s="22">
        <v>0</v>
      </c>
      <c r="Z3955" s="26" t="s">
        <v>50</v>
      </c>
      <c r="AA3955" s="96" t="s">
        <v>10314</v>
      </c>
      <c r="AB3955" s="26"/>
      <c r="AC3955" s="26" t="s">
        <v>53</v>
      </c>
      <c r="AD3955" s="26" t="s">
        <v>138</v>
      </c>
      <c r="AE3955" s="26" t="s">
        <v>7330</v>
      </c>
      <c r="AF3955" s="60" t="s">
        <v>14077</v>
      </c>
      <c r="AG3955" s="39" t="s">
        <v>14078</v>
      </c>
      <c r="AH3955" s="26"/>
      <c r="AI3955" s="40"/>
      <c r="AJ3955" s="26"/>
      <c r="AK3955" s="26"/>
      <c r="AL3955" s="35"/>
      <c r="AM3955" s="35"/>
      <c r="AN3955" s="35"/>
      <c r="AO3955" s="35"/>
      <c r="AP3955" s="35"/>
    </row>
    <row r="3956" spans="1:42" x14ac:dyDescent="0.2">
      <c r="A3956" s="38">
        <v>45598</v>
      </c>
      <c r="B3956" s="137" t="s">
        <v>37</v>
      </c>
      <c r="C3956" s="41" t="s">
        <v>118</v>
      </c>
      <c r="D3956" s="80" t="s">
        <v>36</v>
      </c>
      <c r="E3956" s="80" t="s">
        <v>56</v>
      </c>
      <c r="F3956" s="80" t="s">
        <v>12793</v>
      </c>
      <c r="G3956" s="80" t="s">
        <v>108</v>
      </c>
      <c r="H3956" s="80" t="s">
        <v>13976</v>
      </c>
      <c r="I3956" s="17">
        <f ca="1">IFERROR(__xludf.DUMMYFUNCTION("""COMPUTED_VALUE"""),45607)</f>
        <v>45607</v>
      </c>
      <c r="J3956" s="143" t="s">
        <v>12831</v>
      </c>
      <c r="K3956" s="145" t="s">
        <v>14151</v>
      </c>
      <c r="L3956" s="30">
        <v>522232166</v>
      </c>
      <c r="M3956" s="80" t="s">
        <v>59</v>
      </c>
      <c r="N3956" s="80" t="s">
        <v>68</v>
      </c>
      <c r="O3956" s="80" t="s">
        <v>12833</v>
      </c>
      <c r="P3956" s="144" t="s">
        <v>14152</v>
      </c>
      <c r="Q3956" s="20">
        <v>9317</v>
      </c>
      <c r="R3956" s="80" t="s">
        <v>36</v>
      </c>
      <c r="S3956" s="95">
        <v>9317</v>
      </c>
      <c r="T3956" s="148">
        <v>45541</v>
      </c>
      <c r="U3956" s="77"/>
      <c r="V3956" s="78"/>
      <c r="W3956" s="85" t="s">
        <v>12835</v>
      </c>
      <c r="X3956" s="80">
        <v>0</v>
      </c>
      <c r="Y3956" s="22">
        <v>0</v>
      </c>
      <c r="Z3956" s="80" t="s">
        <v>50</v>
      </c>
      <c r="AA3956" s="35" t="s">
        <v>3291</v>
      </c>
      <c r="AB3956" s="80"/>
      <c r="AC3956" s="80" t="s">
        <v>53</v>
      </c>
      <c r="AD3956" s="80" t="s">
        <v>54</v>
      </c>
      <c r="AE3956" s="80" t="s">
        <v>12793</v>
      </c>
      <c r="AF3956" s="17">
        <v>45602</v>
      </c>
      <c r="AG3956" s="80"/>
      <c r="AH3956" s="80"/>
      <c r="AI3956" s="147" t="s">
        <v>64</v>
      </c>
      <c r="AJ3956" s="80"/>
      <c r="AK3956" s="80"/>
      <c r="AL3956" s="35"/>
      <c r="AM3956" s="35"/>
      <c r="AN3956" s="35"/>
      <c r="AO3956" s="35"/>
      <c r="AP3956" s="35"/>
    </row>
    <row r="3957" spans="1:42" x14ac:dyDescent="0.2">
      <c r="A3957" s="38">
        <v>45599</v>
      </c>
      <c r="B3957" s="137" t="s">
        <v>37</v>
      </c>
      <c r="C3957" s="41" t="s">
        <v>118</v>
      </c>
      <c r="D3957" s="80" t="s">
        <v>36</v>
      </c>
      <c r="E3957" s="80" t="s">
        <v>139</v>
      </c>
      <c r="F3957" s="80" t="s">
        <v>12793</v>
      </c>
      <c r="G3957" s="80" t="s">
        <v>108</v>
      </c>
      <c r="H3957" s="80" t="s">
        <v>13987</v>
      </c>
      <c r="I3957" s="17">
        <f ca="1">IFERROR(__xludf.DUMMYFUNCTION("""COMPUTED_VALUE"""),45610)</f>
        <v>45610</v>
      </c>
      <c r="J3957" s="143" t="s">
        <v>14153</v>
      </c>
      <c r="K3957" s="80" t="s">
        <v>14154</v>
      </c>
      <c r="L3957" s="30">
        <v>825864735</v>
      </c>
      <c r="M3957" s="80" t="s">
        <v>123</v>
      </c>
      <c r="N3957" s="80" t="s">
        <v>186</v>
      </c>
      <c r="O3957" s="80" t="s">
        <v>4503</v>
      </c>
      <c r="P3957" s="115" t="s">
        <v>14155</v>
      </c>
      <c r="Q3957" s="20">
        <v>15936</v>
      </c>
      <c r="R3957" s="80" t="s">
        <v>36</v>
      </c>
      <c r="S3957" s="95">
        <v>2000</v>
      </c>
      <c r="T3957" s="148">
        <v>45541</v>
      </c>
      <c r="U3957" s="95">
        <v>13936</v>
      </c>
      <c r="V3957" s="148">
        <v>45589</v>
      </c>
      <c r="W3957" s="85" t="s">
        <v>14156</v>
      </c>
      <c r="X3957" s="80"/>
      <c r="Y3957" s="22">
        <v>0</v>
      </c>
      <c r="Z3957" s="80" t="s">
        <v>50</v>
      </c>
      <c r="AA3957" s="82"/>
      <c r="AB3957" s="80"/>
      <c r="AC3957" s="80" t="s">
        <v>53</v>
      </c>
      <c r="AD3957" s="80" t="s">
        <v>54</v>
      </c>
      <c r="AE3957" s="80" t="s">
        <v>12793</v>
      </c>
      <c r="AF3957" s="17">
        <v>45605</v>
      </c>
      <c r="AG3957" s="80"/>
      <c r="AH3957" s="80"/>
      <c r="AI3957" s="147"/>
      <c r="AJ3957" s="80"/>
      <c r="AK3957" s="80"/>
      <c r="AL3957" s="35"/>
      <c r="AM3957" s="35"/>
      <c r="AN3957" s="35"/>
      <c r="AO3957" s="35"/>
      <c r="AP3957" s="35"/>
    </row>
    <row r="3958" spans="1:42" x14ac:dyDescent="0.2">
      <c r="A3958" s="38">
        <v>45599</v>
      </c>
      <c r="B3958" s="137" t="s">
        <v>37</v>
      </c>
      <c r="C3958" s="41" t="s">
        <v>118</v>
      </c>
      <c r="D3958" s="26" t="s">
        <v>36</v>
      </c>
      <c r="E3958" s="26" t="s">
        <v>119</v>
      </c>
      <c r="F3958" s="26" t="s">
        <v>8867</v>
      </c>
      <c r="G3958" s="26" t="s">
        <v>221</v>
      </c>
      <c r="H3958" s="26" t="s">
        <v>13508</v>
      </c>
      <c r="I3958" s="17">
        <f ca="1">IFERROR(__xludf.DUMMYFUNCTION("""COMPUTED_VALUE"""),45604)</f>
        <v>45604</v>
      </c>
      <c r="J3958" s="29" t="s">
        <v>10824</v>
      </c>
      <c r="K3958" s="26" t="s">
        <v>14157</v>
      </c>
      <c r="L3958" s="30">
        <v>942285298</v>
      </c>
      <c r="M3958" s="26" t="s">
        <v>80</v>
      </c>
      <c r="N3958" s="26" t="s">
        <v>1073</v>
      </c>
      <c r="O3958" s="26" t="s">
        <v>10826</v>
      </c>
      <c r="P3958" s="26" t="s">
        <v>10827</v>
      </c>
      <c r="Q3958" s="20">
        <v>13968</v>
      </c>
      <c r="R3958" s="26" t="s">
        <v>36</v>
      </c>
      <c r="S3958" s="95">
        <f>200+4000</f>
        <v>4200</v>
      </c>
      <c r="T3958" s="83" t="s">
        <v>10828</v>
      </c>
      <c r="U3958" s="95">
        <v>9768</v>
      </c>
      <c r="V3958" s="148">
        <v>45523</v>
      </c>
      <c r="W3958" s="33" t="s">
        <v>10829</v>
      </c>
      <c r="X3958" s="26">
        <v>0</v>
      </c>
      <c r="Y3958" s="22">
        <v>0</v>
      </c>
      <c r="Z3958" s="26" t="s">
        <v>50</v>
      </c>
      <c r="AA3958" s="35" t="s">
        <v>10314</v>
      </c>
      <c r="AB3958" s="26"/>
      <c r="AC3958" s="26" t="s">
        <v>53</v>
      </c>
      <c r="AD3958" s="26" t="s">
        <v>54</v>
      </c>
      <c r="AE3958" s="26" t="s">
        <v>8867</v>
      </c>
      <c r="AF3958" s="17">
        <v>45600</v>
      </c>
      <c r="AG3958" s="26"/>
      <c r="AH3958" s="26"/>
      <c r="AI3958" s="40"/>
      <c r="AJ3958" s="26"/>
      <c r="AK3958" s="26"/>
      <c r="AL3958" s="35"/>
      <c r="AM3958" s="35"/>
      <c r="AN3958" s="35"/>
      <c r="AO3958" s="35"/>
      <c r="AP3958" s="35"/>
    </row>
    <row r="3959" spans="1:42" x14ac:dyDescent="0.2">
      <c r="A3959" s="38">
        <v>45599</v>
      </c>
      <c r="B3959" s="28" t="s">
        <v>37</v>
      </c>
      <c r="C3959" s="41" t="s">
        <v>118</v>
      </c>
      <c r="D3959" s="26" t="s">
        <v>36</v>
      </c>
      <c r="E3959" s="26" t="s">
        <v>119</v>
      </c>
      <c r="F3959" s="26" t="s">
        <v>8338</v>
      </c>
      <c r="G3959" s="26" t="s">
        <v>1705</v>
      </c>
      <c r="H3959" s="26" t="s">
        <v>13886</v>
      </c>
      <c r="I3959" s="17">
        <f ca="1">IFERROR(__xludf.DUMMYFUNCTION("""COMPUTED_VALUE"""),45610)</f>
        <v>45610</v>
      </c>
      <c r="J3959" s="29" t="s">
        <v>563</v>
      </c>
      <c r="K3959" s="26" t="s">
        <v>3389</v>
      </c>
      <c r="L3959" s="30">
        <v>982295843</v>
      </c>
      <c r="M3959" s="26" t="s">
        <v>45</v>
      </c>
      <c r="N3959" s="26" t="s">
        <v>565</v>
      </c>
      <c r="O3959" s="26" t="s">
        <v>566</v>
      </c>
      <c r="P3959" s="42" t="s">
        <v>14158</v>
      </c>
      <c r="Q3959" s="20">
        <v>13968</v>
      </c>
      <c r="R3959" s="26" t="s">
        <v>36</v>
      </c>
      <c r="S3959" s="31">
        <v>13968</v>
      </c>
      <c r="T3959" s="32">
        <v>45127</v>
      </c>
      <c r="U3959" s="31"/>
      <c r="V3959" s="26"/>
      <c r="W3959" s="33" t="s">
        <v>568</v>
      </c>
      <c r="X3959" s="26">
        <v>0</v>
      </c>
      <c r="Y3959" s="22">
        <v>0</v>
      </c>
      <c r="Z3959" s="26" t="s">
        <v>118</v>
      </c>
      <c r="AA3959" s="19" t="s">
        <v>51</v>
      </c>
      <c r="AB3959" s="26" t="s">
        <v>36</v>
      </c>
      <c r="AC3959" s="26" t="s">
        <v>53</v>
      </c>
      <c r="AD3959" s="19" t="s">
        <v>54</v>
      </c>
      <c r="AE3959" s="26" t="s">
        <v>8338</v>
      </c>
      <c r="AF3959" s="17">
        <v>45604</v>
      </c>
      <c r="AG3959" s="26"/>
      <c r="AH3959" s="26">
        <v>1</v>
      </c>
      <c r="AI3959" s="40">
        <v>4</v>
      </c>
      <c r="AJ3959" s="26"/>
      <c r="AK3959" s="26"/>
      <c r="AL3959" s="35"/>
      <c r="AM3959" s="35"/>
      <c r="AN3959" s="35"/>
      <c r="AO3959" s="35"/>
      <c r="AP3959" s="35"/>
    </row>
    <row r="3960" spans="1:42" x14ac:dyDescent="0.2">
      <c r="A3960" s="126">
        <v>45572.72142361111</v>
      </c>
      <c r="B3960" s="137" t="s">
        <v>37</v>
      </c>
      <c r="C3960" s="41" t="s">
        <v>118</v>
      </c>
      <c r="D3960" s="80" t="s">
        <v>36</v>
      </c>
      <c r="E3960" s="80" t="s">
        <v>77</v>
      </c>
      <c r="F3960" s="80" t="s">
        <v>11151</v>
      </c>
      <c r="G3960" s="80" t="s">
        <v>41</v>
      </c>
      <c r="H3960" s="80" t="s">
        <v>14159</v>
      </c>
      <c r="I3960" s="17">
        <f ca="1">IFERROR(__xludf.DUMMYFUNCTION("""COMPUTED_VALUE"""),45576)</f>
        <v>45576</v>
      </c>
      <c r="J3960" s="143" t="s">
        <v>11152</v>
      </c>
      <c r="K3960" s="80" t="s">
        <v>14160</v>
      </c>
      <c r="L3960" s="57">
        <v>333816280</v>
      </c>
      <c r="M3960" s="80" t="s">
        <v>1245</v>
      </c>
      <c r="N3960" s="80" t="s">
        <v>1246</v>
      </c>
      <c r="O3960" s="80" t="s">
        <v>11154</v>
      </c>
      <c r="P3960" s="80" t="s">
        <v>11155</v>
      </c>
      <c r="Q3960" s="20">
        <v>1968</v>
      </c>
      <c r="R3960" s="80" t="s">
        <v>36</v>
      </c>
      <c r="S3960" s="95">
        <v>984</v>
      </c>
      <c r="T3960" s="148">
        <v>45571</v>
      </c>
      <c r="U3960" s="77"/>
      <c r="V3960" s="78"/>
      <c r="W3960" s="79" t="s">
        <v>14161</v>
      </c>
      <c r="X3960" s="80"/>
      <c r="Y3960" s="22">
        <v>984</v>
      </c>
      <c r="Z3960" s="26" t="s">
        <v>118</v>
      </c>
      <c r="AA3960" s="35"/>
      <c r="AB3960" s="80"/>
      <c r="AC3960" s="80" t="s">
        <v>53</v>
      </c>
      <c r="AD3960" s="80" t="s">
        <v>54</v>
      </c>
      <c r="AE3960" s="80" t="s">
        <v>11151</v>
      </c>
      <c r="AF3960" s="17">
        <v>45507</v>
      </c>
      <c r="AG3960" s="80"/>
      <c r="AH3960" s="80"/>
      <c r="AI3960" s="147"/>
      <c r="AJ3960" s="80"/>
      <c r="AK3960" s="80"/>
      <c r="AL3960" s="35"/>
      <c r="AM3960" s="35"/>
      <c r="AN3960" s="35"/>
      <c r="AO3960" s="35"/>
      <c r="AP3960" s="35"/>
    </row>
    <row r="3961" spans="1:42" x14ac:dyDescent="0.2">
      <c r="A3961" s="38">
        <v>45600</v>
      </c>
      <c r="B3961" s="137" t="s">
        <v>37</v>
      </c>
      <c r="C3961" s="41" t="s">
        <v>118</v>
      </c>
      <c r="D3961" s="80" t="s">
        <v>36</v>
      </c>
      <c r="E3961" s="80" t="s">
        <v>139</v>
      </c>
      <c r="F3961" s="80" t="s">
        <v>11707</v>
      </c>
      <c r="G3961" s="80" t="s">
        <v>108</v>
      </c>
      <c r="H3961" s="80" t="s">
        <v>14007</v>
      </c>
      <c r="I3961" s="17">
        <f ca="1">IFERROR(__xludf.DUMMYFUNCTION("""COMPUTED_VALUE"""),45603)</f>
        <v>45603</v>
      </c>
      <c r="J3961" s="143" t="s">
        <v>14162</v>
      </c>
      <c r="K3961" s="80" t="s">
        <v>14163</v>
      </c>
      <c r="L3961" s="30">
        <v>326210386</v>
      </c>
      <c r="M3961" s="80" t="s">
        <v>5518</v>
      </c>
      <c r="N3961" s="80"/>
      <c r="O3961" s="80" t="s">
        <v>14164</v>
      </c>
      <c r="P3961" s="80" t="s">
        <v>2641</v>
      </c>
      <c r="Q3961" s="20">
        <v>15936</v>
      </c>
      <c r="R3961" s="80" t="s">
        <v>36</v>
      </c>
      <c r="S3961" s="95">
        <f>200+1800</f>
        <v>2000</v>
      </c>
      <c r="T3961" s="83" t="s">
        <v>14165</v>
      </c>
      <c r="U3961" s="95">
        <v>13936</v>
      </c>
      <c r="V3961" s="148">
        <v>45596</v>
      </c>
      <c r="W3961" s="85" t="s">
        <v>14166</v>
      </c>
      <c r="X3961" s="80"/>
      <c r="Y3961" s="22">
        <v>0</v>
      </c>
      <c r="Z3961" s="26" t="s">
        <v>118</v>
      </c>
      <c r="AA3961" s="82"/>
      <c r="AB3961" s="80"/>
      <c r="AC3961" s="80" t="s">
        <v>53</v>
      </c>
      <c r="AD3961" s="80" t="s">
        <v>54</v>
      </c>
      <c r="AE3961" s="80" t="s">
        <v>11707</v>
      </c>
      <c r="AF3961" s="17">
        <v>45603</v>
      </c>
      <c r="AG3961" s="80"/>
      <c r="AH3961" s="80"/>
      <c r="AI3961" s="147"/>
      <c r="AJ3961" s="80"/>
      <c r="AK3961" s="80"/>
      <c r="AL3961" s="35"/>
      <c r="AM3961" s="35"/>
      <c r="AN3961" s="35"/>
      <c r="AO3961" s="35"/>
      <c r="AP3961" s="35"/>
    </row>
    <row r="3962" spans="1:42" x14ac:dyDescent="0.2">
      <c r="A3962" s="38">
        <v>45600</v>
      </c>
      <c r="B3962" s="137" t="s">
        <v>37</v>
      </c>
      <c r="C3962" s="41" t="s">
        <v>118</v>
      </c>
      <c r="D3962" s="80" t="s">
        <v>36</v>
      </c>
      <c r="E3962" s="80" t="s">
        <v>139</v>
      </c>
      <c r="F3962" s="80" t="s">
        <v>11707</v>
      </c>
      <c r="G3962" s="80" t="s">
        <v>108</v>
      </c>
      <c r="H3962" s="80" t="s">
        <v>14007</v>
      </c>
      <c r="I3962" s="17">
        <f ca="1">IFERROR(__xludf.DUMMYFUNCTION("""COMPUTED_VALUE"""),45603)</f>
        <v>45603</v>
      </c>
      <c r="J3962" s="143" t="s">
        <v>14167</v>
      </c>
      <c r="K3962" s="80" t="s">
        <v>14168</v>
      </c>
      <c r="L3962" s="30">
        <v>364470393</v>
      </c>
      <c r="M3962" s="80" t="s">
        <v>80</v>
      </c>
      <c r="N3962" s="80" t="s">
        <v>1073</v>
      </c>
      <c r="O3962" s="80" t="s">
        <v>14169</v>
      </c>
      <c r="P3962" s="80" t="s">
        <v>2641</v>
      </c>
      <c r="Q3962" s="20">
        <v>15936</v>
      </c>
      <c r="R3962" s="80" t="s">
        <v>70</v>
      </c>
      <c r="S3962" s="95">
        <v>2000</v>
      </c>
      <c r="T3962" s="148">
        <v>45530</v>
      </c>
      <c r="U3962" s="95">
        <v>13936</v>
      </c>
      <c r="V3962" s="148">
        <v>45595</v>
      </c>
      <c r="W3962" s="85" t="s">
        <v>14170</v>
      </c>
      <c r="X3962" s="80"/>
      <c r="Y3962" s="22">
        <v>0</v>
      </c>
      <c r="Z3962" s="80" t="s">
        <v>50</v>
      </c>
      <c r="AA3962" s="86"/>
      <c r="AB3962" s="80"/>
      <c r="AC3962" s="80" t="s">
        <v>53</v>
      </c>
      <c r="AD3962" s="80" t="s">
        <v>138</v>
      </c>
      <c r="AE3962" s="80" t="s">
        <v>11707</v>
      </c>
      <c r="AF3962" s="17">
        <v>45603</v>
      </c>
      <c r="AG3962" s="80"/>
      <c r="AH3962" s="80"/>
      <c r="AI3962" s="147"/>
      <c r="AJ3962" s="80"/>
      <c r="AK3962" s="80"/>
      <c r="AL3962" s="35"/>
      <c r="AM3962" s="35"/>
      <c r="AN3962" s="35"/>
      <c r="AO3962" s="35"/>
      <c r="AP3962" s="35"/>
    </row>
    <row r="3963" spans="1:42" x14ac:dyDescent="0.2">
      <c r="A3963" s="38">
        <v>45600</v>
      </c>
      <c r="B3963" s="137" t="s">
        <v>37</v>
      </c>
      <c r="C3963" s="41" t="s">
        <v>118</v>
      </c>
      <c r="D3963" s="80" t="s">
        <v>36</v>
      </c>
      <c r="E3963" s="80" t="s">
        <v>139</v>
      </c>
      <c r="F3963" s="80" t="s">
        <v>11183</v>
      </c>
      <c r="G3963" s="80" t="s">
        <v>108</v>
      </c>
      <c r="H3963" s="80" t="s">
        <v>13600</v>
      </c>
      <c r="I3963" s="17">
        <f ca="1">IFERROR(__xludf.DUMMYFUNCTION("""COMPUTED_VALUE"""),45607)</f>
        <v>45607</v>
      </c>
      <c r="J3963" s="143" t="s">
        <v>14171</v>
      </c>
      <c r="K3963" s="80" t="s">
        <v>14172</v>
      </c>
      <c r="L3963" s="30">
        <v>352971510</v>
      </c>
      <c r="M3963" s="80" t="s">
        <v>5558</v>
      </c>
      <c r="N3963" s="80" t="s">
        <v>5559</v>
      </c>
      <c r="O3963" s="80" t="s">
        <v>14173</v>
      </c>
      <c r="P3963" s="80" t="s">
        <v>14174</v>
      </c>
      <c r="Q3963" s="20">
        <v>15936</v>
      </c>
      <c r="R3963" s="80" t="s">
        <v>36</v>
      </c>
      <c r="S3963" s="95">
        <f>2000+6500</f>
        <v>8500</v>
      </c>
      <c r="T3963" s="83" t="s">
        <v>14175</v>
      </c>
      <c r="U3963" s="95">
        <v>7436</v>
      </c>
      <c r="V3963" s="148">
        <v>45598</v>
      </c>
      <c r="W3963" s="85" t="s">
        <v>14176</v>
      </c>
      <c r="X3963" s="80"/>
      <c r="Y3963" s="22">
        <v>0</v>
      </c>
      <c r="Z3963" s="26" t="s">
        <v>118</v>
      </c>
      <c r="AA3963" s="82"/>
      <c r="AB3963" s="80"/>
      <c r="AC3963" s="80" t="s">
        <v>53</v>
      </c>
      <c r="AD3963" s="80" t="s">
        <v>138</v>
      </c>
      <c r="AE3963" s="80" t="s">
        <v>11183</v>
      </c>
      <c r="AF3963" s="43">
        <v>45607</v>
      </c>
      <c r="AG3963" s="80"/>
      <c r="AH3963" s="80"/>
      <c r="AI3963" s="147"/>
      <c r="AJ3963" s="80"/>
      <c r="AK3963" s="80"/>
      <c r="AL3963" s="35"/>
      <c r="AM3963" s="35"/>
      <c r="AN3963" s="35"/>
      <c r="AO3963" s="35"/>
      <c r="AP3963" s="35"/>
    </row>
    <row r="3964" spans="1:42" x14ac:dyDescent="0.2">
      <c r="A3964" s="38">
        <v>45600</v>
      </c>
      <c r="B3964" s="137" t="s">
        <v>37</v>
      </c>
      <c r="C3964" s="41" t="s">
        <v>118</v>
      </c>
      <c r="D3964" s="80" t="s">
        <v>36</v>
      </c>
      <c r="E3964" s="80" t="s">
        <v>56</v>
      </c>
      <c r="F3964" s="80" t="s">
        <v>11347</v>
      </c>
      <c r="G3964" s="80" t="s">
        <v>108</v>
      </c>
      <c r="H3964" s="80" t="s">
        <v>14177</v>
      </c>
      <c r="I3964" s="17">
        <f ca="1">IFERROR(__xludf.DUMMYFUNCTION("""COMPUTED_VALUE"""),45614)</f>
        <v>45614</v>
      </c>
      <c r="J3964" s="143" t="s">
        <v>12464</v>
      </c>
      <c r="K3964" s="80" t="s">
        <v>12465</v>
      </c>
      <c r="L3964" s="30">
        <v>967294936</v>
      </c>
      <c r="M3964" s="80" t="s">
        <v>3728</v>
      </c>
      <c r="N3964" s="80" t="s">
        <v>260</v>
      </c>
      <c r="O3964" s="80" t="s">
        <v>12466</v>
      </c>
      <c r="P3964" s="80" t="s">
        <v>12467</v>
      </c>
      <c r="Q3964" s="20">
        <v>9317</v>
      </c>
      <c r="R3964" s="80" t="s">
        <v>1989</v>
      </c>
      <c r="S3964" s="95">
        <f t="shared" ref="S3964:S3966" si="59">200+1800</f>
        <v>2000</v>
      </c>
      <c r="T3964" s="83" t="s">
        <v>12458</v>
      </c>
      <c r="U3964" s="95">
        <v>7067</v>
      </c>
      <c r="V3964" s="148">
        <v>45564</v>
      </c>
      <c r="W3964" s="85" t="s">
        <v>12468</v>
      </c>
      <c r="X3964" s="80">
        <v>250</v>
      </c>
      <c r="Y3964" s="22">
        <v>0</v>
      </c>
      <c r="Z3964" s="80" t="s">
        <v>50</v>
      </c>
      <c r="AA3964" s="35" t="s">
        <v>3291</v>
      </c>
      <c r="AB3964" s="80"/>
      <c r="AC3964" s="80" t="s">
        <v>53</v>
      </c>
      <c r="AD3964" s="80" t="s">
        <v>138</v>
      </c>
      <c r="AE3964" s="80" t="s">
        <v>11347</v>
      </c>
      <c r="AF3964" s="17">
        <v>45614</v>
      </c>
      <c r="AG3964" s="80"/>
      <c r="AH3964" s="80"/>
      <c r="AI3964" s="147" t="s">
        <v>64</v>
      </c>
      <c r="AJ3964" s="80"/>
      <c r="AK3964" s="80"/>
      <c r="AL3964" s="35"/>
      <c r="AM3964" s="35"/>
      <c r="AN3964" s="35"/>
      <c r="AO3964" s="35"/>
      <c r="AP3964" s="35"/>
    </row>
    <row r="3965" spans="1:42" x14ac:dyDescent="0.2">
      <c r="A3965" s="38">
        <v>45600</v>
      </c>
      <c r="B3965" s="137" t="s">
        <v>37</v>
      </c>
      <c r="C3965" s="41" t="s">
        <v>118</v>
      </c>
      <c r="D3965" s="80" t="s">
        <v>36</v>
      </c>
      <c r="E3965" s="80" t="s">
        <v>56</v>
      </c>
      <c r="F3965" s="80" t="s">
        <v>11347</v>
      </c>
      <c r="G3965" s="80" t="s">
        <v>108</v>
      </c>
      <c r="H3965" s="80" t="s">
        <v>14177</v>
      </c>
      <c r="I3965" s="17">
        <f ca="1">IFERROR(__xludf.DUMMYFUNCTION("""COMPUTED_VALUE"""),45614)</f>
        <v>45614</v>
      </c>
      <c r="J3965" s="143" t="s">
        <v>12460</v>
      </c>
      <c r="K3965" s="80" t="s">
        <v>12461</v>
      </c>
      <c r="L3965" s="30">
        <v>971591203</v>
      </c>
      <c r="M3965" s="80" t="s">
        <v>3728</v>
      </c>
      <c r="N3965" s="80" t="s">
        <v>260</v>
      </c>
      <c r="O3965" s="80" t="s">
        <v>12462</v>
      </c>
      <c r="P3965" s="80" t="s">
        <v>11644</v>
      </c>
      <c r="Q3965" s="20">
        <v>9317</v>
      </c>
      <c r="R3965" s="80" t="s">
        <v>1989</v>
      </c>
      <c r="S3965" s="95">
        <f t="shared" si="59"/>
        <v>2000</v>
      </c>
      <c r="T3965" s="83" t="s">
        <v>12458</v>
      </c>
      <c r="U3965" s="95">
        <v>7067</v>
      </c>
      <c r="V3965" s="148">
        <v>45564</v>
      </c>
      <c r="W3965" s="85" t="s">
        <v>12463</v>
      </c>
      <c r="X3965" s="80">
        <v>250</v>
      </c>
      <c r="Y3965" s="22">
        <v>0</v>
      </c>
      <c r="Z3965" s="80" t="s">
        <v>50</v>
      </c>
      <c r="AA3965" s="96" t="s">
        <v>3291</v>
      </c>
      <c r="AB3965" s="80"/>
      <c r="AC3965" s="80" t="s">
        <v>53</v>
      </c>
      <c r="AD3965" s="80" t="s">
        <v>138</v>
      </c>
      <c r="AE3965" s="80" t="s">
        <v>11347</v>
      </c>
      <c r="AF3965" s="17">
        <v>45614</v>
      </c>
      <c r="AG3965" s="80"/>
      <c r="AH3965" s="80"/>
      <c r="AI3965" s="147" t="s">
        <v>64</v>
      </c>
      <c r="AJ3965" s="80"/>
      <c r="AK3965" s="80"/>
      <c r="AL3965" s="35"/>
      <c r="AM3965" s="35"/>
      <c r="AN3965" s="35"/>
      <c r="AO3965" s="35"/>
      <c r="AP3965" s="35"/>
    </row>
    <row r="3966" spans="1:42" x14ac:dyDescent="0.2">
      <c r="A3966" s="38">
        <v>45600</v>
      </c>
      <c r="B3966" s="137" t="s">
        <v>37</v>
      </c>
      <c r="C3966" s="41" t="s">
        <v>118</v>
      </c>
      <c r="D3966" s="80" t="s">
        <v>36</v>
      </c>
      <c r="E3966" s="80" t="s">
        <v>56</v>
      </c>
      <c r="F3966" s="80" t="s">
        <v>11347</v>
      </c>
      <c r="G3966" s="80" t="s">
        <v>108</v>
      </c>
      <c r="H3966" s="80" t="s">
        <v>14177</v>
      </c>
      <c r="I3966" s="17">
        <f ca="1">IFERROR(__xludf.DUMMYFUNCTION("""COMPUTED_VALUE"""),45614)</f>
        <v>45614</v>
      </c>
      <c r="J3966" s="143" t="s">
        <v>12455</v>
      </c>
      <c r="K3966" s="80" t="s">
        <v>14178</v>
      </c>
      <c r="L3966" s="30">
        <v>368926935</v>
      </c>
      <c r="M3966" s="80" t="s">
        <v>3728</v>
      </c>
      <c r="N3966" s="80" t="s">
        <v>260</v>
      </c>
      <c r="O3966" s="80" t="s">
        <v>12457</v>
      </c>
      <c r="P3966" s="80" t="s">
        <v>11644</v>
      </c>
      <c r="Q3966" s="20">
        <v>9317</v>
      </c>
      <c r="R3966" s="80" t="s">
        <v>1989</v>
      </c>
      <c r="S3966" s="95">
        <f t="shared" si="59"/>
        <v>2000</v>
      </c>
      <c r="T3966" s="83" t="s">
        <v>12458</v>
      </c>
      <c r="U3966" s="95">
        <v>7067</v>
      </c>
      <c r="V3966" s="148">
        <v>45564</v>
      </c>
      <c r="W3966" s="85" t="s">
        <v>12459</v>
      </c>
      <c r="X3966" s="80">
        <v>250</v>
      </c>
      <c r="Y3966" s="22">
        <v>0</v>
      </c>
      <c r="Z3966" s="80" t="s">
        <v>50</v>
      </c>
      <c r="AA3966" s="35" t="s">
        <v>3291</v>
      </c>
      <c r="AB3966" s="80"/>
      <c r="AC3966" s="80" t="s">
        <v>53</v>
      </c>
      <c r="AD3966" s="80" t="s">
        <v>138</v>
      </c>
      <c r="AE3966" s="80" t="s">
        <v>11347</v>
      </c>
      <c r="AF3966" s="17">
        <v>45614</v>
      </c>
      <c r="AG3966" s="80"/>
      <c r="AH3966" s="80"/>
      <c r="AI3966" s="147" t="s">
        <v>64</v>
      </c>
      <c r="AJ3966" s="80"/>
      <c r="AK3966" s="80"/>
      <c r="AL3966" s="35"/>
      <c r="AM3966" s="35"/>
      <c r="AN3966" s="35"/>
      <c r="AO3966" s="35"/>
      <c r="AP3966" s="35"/>
    </row>
    <row r="3967" spans="1:42" x14ac:dyDescent="0.2">
      <c r="A3967" s="38">
        <v>45600</v>
      </c>
      <c r="B3967" s="137" t="s">
        <v>37</v>
      </c>
      <c r="C3967" s="41" t="s">
        <v>118</v>
      </c>
      <c r="D3967" s="80" t="s">
        <v>36</v>
      </c>
      <c r="E3967" s="80" t="s">
        <v>56</v>
      </c>
      <c r="F3967" s="80" t="s">
        <v>11347</v>
      </c>
      <c r="G3967" s="80" t="s">
        <v>108</v>
      </c>
      <c r="H3967" s="80" t="s">
        <v>14038</v>
      </c>
      <c r="I3967" s="17">
        <f ca="1">IFERROR(__xludf.DUMMYFUNCTION("""COMPUTED_VALUE"""),45621)</f>
        <v>45621</v>
      </c>
      <c r="J3967" s="143" t="s">
        <v>12571</v>
      </c>
      <c r="K3967" s="80" t="s">
        <v>14179</v>
      </c>
      <c r="L3967" s="30">
        <v>386351505</v>
      </c>
      <c r="M3967" s="80" t="s">
        <v>59</v>
      </c>
      <c r="N3967" s="80" t="s">
        <v>68</v>
      </c>
      <c r="O3967" s="80" t="s">
        <v>12573</v>
      </c>
      <c r="P3967" s="80" t="s">
        <v>3694</v>
      </c>
      <c r="Q3967" s="20">
        <v>9317</v>
      </c>
      <c r="R3967" s="80" t="s">
        <v>36</v>
      </c>
      <c r="S3967" s="95">
        <f>200+9117</f>
        <v>9317</v>
      </c>
      <c r="T3967" s="148">
        <v>45534</v>
      </c>
      <c r="U3967" s="77"/>
      <c r="V3967" s="78">
        <v>45541</v>
      </c>
      <c r="W3967" s="85" t="s">
        <v>12574</v>
      </c>
      <c r="X3967" s="80">
        <v>0</v>
      </c>
      <c r="Y3967" s="22">
        <v>0</v>
      </c>
      <c r="Z3967" s="80" t="s">
        <v>50</v>
      </c>
      <c r="AA3967" s="96" t="s">
        <v>3291</v>
      </c>
      <c r="AB3967" s="80"/>
      <c r="AC3967" s="80" t="s">
        <v>53</v>
      </c>
      <c r="AD3967" s="80" t="s">
        <v>138</v>
      </c>
      <c r="AE3967" s="80" t="s">
        <v>11347</v>
      </c>
      <c r="AF3967" s="17">
        <v>45614</v>
      </c>
      <c r="AG3967" s="80"/>
      <c r="AH3967" s="80"/>
      <c r="AI3967" s="147" t="s">
        <v>64</v>
      </c>
      <c r="AJ3967" s="80"/>
      <c r="AK3967" s="80"/>
      <c r="AL3967" s="35"/>
      <c r="AM3967" s="35"/>
      <c r="AN3967" s="35"/>
      <c r="AO3967" s="35"/>
      <c r="AP3967" s="35"/>
    </row>
    <row r="3968" spans="1:42" x14ac:dyDescent="0.2">
      <c r="A3968" s="38">
        <v>45600</v>
      </c>
      <c r="B3968" s="137" t="s">
        <v>37</v>
      </c>
      <c r="C3968" s="41" t="s">
        <v>118</v>
      </c>
      <c r="D3968" s="80" t="s">
        <v>36</v>
      </c>
      <c r="E3968" s="80" t="s">
        <v>56</v>
      </c>
      <c r="F3968" s="80" t="s">
        <v>11347</v>
      </c>
      <c r="G3968" s="80" t="s">
        <v>108</v>
      </c>
      <c r="H3968" s="80" t="s">
        <v>14177</v>
      </c>
      <c r="I3968" s="17">
        <f ca="1">IFERROR(__xludf.DUMMYFUNCTION("""COMPUTED_VALUE"""),45614)</f>
        <v>45614</v>
      </c>
      <c r="J3968" s="143" t="s">
        <v>13071</v>
      </c>
      <c r="K3968" s="80" t="s">
        <v>13072</v>
      </c>
      <c r="L3968" s="30">
        <v>365138834</v>
      </c>
      <c r="M3968" s="80" t="s">
        <v>45</v>
      </c>
      <c r="N3968" s="80" t="s">
        <v>1472</v>
      </c>
      <c r="O3968" s="80" t="s">
        <v>13073</v>
      </c>
      <c r="P3968" s="80" t="s">
        <v>7743</v>
      </c>
      <c r="Q3968" s="20">
        <v>9317</v>
      </c>
      <c r="R3968" s="80" t="s">
        <v>36</v>
      </c>
      <c r="S3968" s="95">
        <v>9317</v>
      </c>
      <c r="T3968" s="148">
        <v>45547</v>
      </c>
      <c r="U3968" s="77"/>
      <c r="V3968" s="78"/>
      <c r="W3968" s="80" t="s">
        <v>13074</v>
      </c>
      <c r="X3968" s="80">
        <v>0</v>
      </c>
      <c r="Y3968" s="22">
        <v>0</v>
      </c>
      <c r="Z3968" s="80" t="s">
        <v>50</v>
      </c>
      <c r="AA3968" s="35" t="s">
        <v>3291</v>
      </c>
      <c r="AB3968" s="80"/>
      <c r="AC3968" s="80" t="s">
        <v>53</v>
      </c>
      <c r="AD3968" s="80" t="s">
        <v>138</v>
      </c>
      <c r="AE3968" s="80" t="s">
        <v>11347</v>
      </c>
      <c r="AF3968" s="17">
        <v>45614</v>
      </c>
      <c r="AG3968" s="80"/>
      <c r="AH3968" s="80"/>
      <c r="AI3968" s="147" t="s">
        <v>64</v>
      </c>
      <c r="AJ3968" s="80"/>
      <c r="AK3968" s="80"/>
      <c r="AL3968" s="35"/>
      <c r="AM3968" s="35"/>
      <c r="AN3968" s="35"/>
      <c r="AO3968" s="35"/>
      <c r="AP3968" s="35"/>
    </row>
    <row r="3969" spans="1:42" x14ac:dyDescent="0.2">
      <c r="A3969" s="38">
        <v>45600</v>
      </c>
      <c r="B3969" s="137" t="s">
        <v>37</v>
      </c>
      <c r="C3969" s="41" t="s">
        <v>118</v>
      </c>
      <c r="D3969" s="80" t="s">
        <v>36</v>
      </c>
      <c r="E3969" s="80" t="s">
        <v>139</v>
      </c>
      <c r="F3969" s="80" t="s">
        <v>11347</v>
      </c>
      <c r="G3969" s="80" t="s">
        <v>108</v>
      </c>
      <c r="H3969" s="80" t="s">
        <v>14180</v>
      </c>
      <c r="I3969" s="17" t="str">
        <f ca="1">IFERROR(__xludf.DUMMYFUNCTION("""COMPUTED_VALUE""")," ")</f>
        <v xml:space="preserve"> </v>
      </c>
      <c r="J3969" s="143" t="s">
        <v>12439</v>
      </c>
      <c r="K3969" s="80" t="s">
        <v>12440</v>
      </c>
      <c r="L3969" s="30">
        <v>835779577</v>
      </c>
      <c r="M3969" s="80" t="s">
        <v>910</v>
      </c>
      <c r="N3969" s="80" t="s">
        <v>3525</v>
      </c>
      <c r="O3969" s="80" t="s">
        <v>91</v>
      </c>
      <c r="P3969" s="80" t="s">
        <v>12441</v>
      </c>
      <c r="Q3969" s="20">
        <v>15936</v>
      </c>
      <c r="R3969" s="80" t="s">
        <v>36</v>
      </c>
      <c r="S3969" s="95">
        <f t="shared" ref="S3969:S3970" si="60">200+1800</f>
        <v>2000</v>
      </c>
      <c r="T3969" s="83" t="s">
        <v>12442</v>
      </c>
      <c r="U3969" s="95">
        <v>13936</v>
      </c>
      <c r="V3969" s="148">
        <v>45565</v>
      </c>
      <c r="W3969" s="85" t="s">
        <v>12443</v>
      </c>
      <c r="X3969" s="80">
        <v>0</v>
      </c>
      <c r="Y3969" s="22">
        <v>0</v>
      </c>
      <c r="Z3969" s="80" t="s">
        <v>50</v>
      </c>
      <c r="AA3969" s="96" t="s">
        <v>3291</v>
      </c>
      <c r="AB3969" s="80"/>
      <c r="AC3969" s="80" t="s">
        <v>53</v>
      </c>
      <c r="AD3969" s="80" t="s">
        <v>138</v>
      </c>
      <c r="AE3969" s="80" t="s">
        <v>11347</v>
      </c>
      <c r="AF3969" s="17">
        <v>45614</v>
      </c>
      <c r="AG3969" s="80"/>
      <c r="AH3969" s="80"/>
      <c r="AI3969" s="147" t="s">
        <v>147</v>
      </c>
      <c r="AJ3969" s="80"/>
      <c r="AK3969" s="80"/>
      <c r="AL3969" s="35"/>
      <c r="AM3969" s="35"/>
      <c r="AN3969" s="35"/>
      <c r="AO3969" s="35"/>
      <c r="AP3969" s="35"/>
    </row>
    <row r="3970" spans="1:42" x14ac:dyDescent="0.2">
      <c r="A3970" s="38">
        <v>45600</v>
      </c>
      <c r="B3970" s="137" t="s">
        <v>37</v>
      </c>
      <c r="C3970" s="41" t="s">
        <v>118</v>
      </c>
      <c r="D3970" s="80" t="s">
        <v>36</v>
      </c>
      <c r="E3970" s="80" t="s">
        <v>139</v>
      </c>
      <c r="F3970" s="80" t="s">
        <v>11347</v>
      </c>
      <c r="G3970" s="80" t="s">
        <v>108</v>
      </c>
      <c r="H3970" s="80" t="s">
        <v>14140</v>
      </c>
      <c r="I3970" s="17">
        <f ca="1">IFERROR(__xludf.DUMMYFUNCTION("""COMPUTED_VALUE"""),45642)</f>
        <v>45642</v>
      </c>
      <c r="J3970" s="143" t="s">
        <v>12707</v>
      </c>
      <c r="K3970" s="80" t="s">
        <v>14181</v>
      </c>
      <c r="L3970" s="30">
        <v>376827623</v>
      </c>
      <c r="M3970" s="80" t="s">
        <v>910</v>
      </c>
      <c r="N3970" s="80" t="s">
        <v>3525</v>
      </c>
      <c r="O3970" s="80" t="s">
        <v>91</v>
      </c>
      <c r="P3970" s="80" t="s">
        <v>3694</v>
      </c>
      <c r="Q3970" s="20">
        <v>15936</v>
      </c>
      <c r="R3970" s="80" t="s">
        <v>36</v>
      </c>
      <c r="S3970" s="95">
        <f t="shared" si="60"/>
        <v>2000</v>
      </c>
      <c r="T3970" s="83" t="s">
        <v>12708</v>
      </c>
      <c r="U3970" s="95">
        <f>13000+936</f>
        <v>13936</v>
      </c>
      <c r="V3970" s="148">
        <v>45565</v>
      </c>
      <c r="W3970" s="85" t="s">
        <v>12709</v>
      </c>
      <c r="X3970" s="80">
        <v>0</v>
      </c>
      <c r="Y3970" s="22">
        <v>0</v>
      </c>
      <c r="Z3970" s="80" t="s">
        <v>50</v>
      </c>
      <c r="AA3970" s="35" t="s">
        <v>3291</v>
      </c>
      <c r="AB3970" s="80"/>
      <c r="AC3970" s="80" t="s">
        <v>53</v>
      </c>
      <c r="AD3970" s="80" t="s">
        <v>138</v>
      </c>
      <c r="AE3970" s="80" t="s">
        <v>11347</v>
      </c>
      <c r="AF3970" s="17">
        <v>45614</v>
      </c>
      <c r="AG3970" s="80"/>
      <c r="AH3970" s="80"/>
      <c r="AI3970" s="147" t="s">
        <v>147</v>
      </c>
      <c r="AJ3970" s="80"/>
      <c r="AK3970" s="80"/>
      <c r="AL3970" s="35"/>
      <c r="AM3970" s="35"/>
      <c r="AN3970" s="35"/>
      <c r="AO3970" s="35"/>
      <c r="AP3970" s="35"/>
    </row>
    <row r="3971" spans="1:42" x14ac:dyDescent="0.2">
      <c r="A3971" s="38">
        <v>45600</v>
      </c>
      <c r="B3971" s="137" t="s">
        <v>37</v>
      </c>
      <c r="C3971" s="41" t="s">
        <v>118</v>
      </c>
      <c r="D3971" s="80" t="s">
        <v>36</v>
      </c>
      <c r="E3971" s="80" t="s">
        <v>39</v>
      </c>
      <c r="F3971" s="80" t="s">
        <v>11347</v>
      </c>
      <c r="G3971" s="80" t="s">
        <v>108</v>
      </c>
      <c r="H3971" s="80" t="s">
        <v>14177</v>
      </c>
      <c r="I3971" s="17">
        <f ca="1">IFERROR(__xludf.DUMMYFUNCTION("""COMPUTED_VALUE"""),45614)</f>
        <v>45614</v>
      </c>
      <c r="J3971" s="172" t="s">
        <v>14182</v>
      </c>
      <c r="K3971" s="80" t="s">
        <v>14183</v>
      </c>
      <c r="L3971" s="30">
        <v>829165116</v>
      </c>
      <c r="M3971" s="80" t="s">
        <v>59</v>
      </c>
      <c r="N3971" s="80" t="s">
        <v>11476</v>
      </c>
      <c r="O3971" s="80" t="s">
        <v>11576</v>
      </c>
      <c r="P3971" s="80" t="s">
        <v>11577</v>
      </c>
      <c r="Q3971" s="20">
        <v>5736</v>
      </c>
      <c r="R3971" s="80" t="s">
        <v>36</v>
      </c>
      <c r="S3971" s="95">
        <f>200+5536</f>
        <v>5736</v>
      </c>
      <c r="T3971" s="148">
        <v>45518</v>
      </c>
      <c r="U3971" s="95"/>
      <c r="V3971" s="148">
        <v>45526</v>
      </c>
      <c r="W3971" s="80" t="s">
        <v>11578</v>
      </c>
      <c r="X3971" s="80">
        <v>0</v>
      </c>
      <c r="Y3971" s="22">
        <v>0</v>
      </c>
      <c r="Z3971" s="80" t="s">
        <v>50</v>
      </c>
      <c r="AA3971" s="96" t="s">
        <v>10314</v>
      </c>
      <c r="AB3971" s="80"/>
      <c r="AC3971" s="80" t="s">
        <v>53</v>
      </c>
      <c r="AD3971" s="80" t="s">
        <v>138</v>
      </c>
      <c r="AE3971" s="80" t="s">
        <v>11347</v>
      </c>
      <c r="AF3971" s="17">
        <v>45614</v>
      </c>
      <c r="AG3971" s="80"/>
      <c r="AH3971" s="80"/>
      <c r="AI3971" s="147"/>
      <c r="AJ3971" s="80"/>
      <c r="AK3971" s="80"/>
      <c r="AL3971" s="35"/>
      <c r="AM3971" s="35"/>
      <c r="AN3971" s="35"/>
      <c r="AO3971" s="35"/>
      <c r="AP3971" s="35"/>
    </row>
    <row r="3972" spans="1:42" x14ac:dyDescent="0.2">
      <c r="A3972" s="38">
        <v>45600</v>
      </c>
      <c r="B3972" s="137" t="s">
        <v>37</v>
      </c>
      <c r="C3972" s="41" t="s">
        <v>118</v>
      </c>
      <c r="D3972" s="80" t="s">
        <v>36</v>
      </c>
      <c r="E3972" s="80" t="s">
        <v>139</v>
      </c>
      <c r="F3972" s="80" t="s">
        <v>12793</v>
      </c>
      <c r="G3972" s="80" t="s">
        <v>108</v>
      </c>
      <c r="H3972" s="80" t="s">
        <v>12857</v>
      </c>
      <c r="I3972" s="17">
        <f ca="1">IFERROR(__xludf.DUMMYFUNCTION("""COMPUTED_VALUE"""),45611)</f>
        <v>45611</v>
      </c>
      <c r="J3972" s="143" t="s">
        <v>14184</v>
      </c>
      <c r="K3972" s="80" t="s">
        <v>14185</v>
      </c>
      <c r="L3972" s="30">
        <v>386460018</v>
      </c>
      <c r="M3972" s="80" t="s">
        <v>12644</v>
      </c>
      <c r="N3972" s="80" t="s">
        <v>8725</v>
      </c>
      <c r="O3972" s="80" t="s">
        <v>14186</v>
      </c>
      <c r="P3972" s="80" t="s">
        <v>14187</v>
      </c>
      <c r="Q3972" s="20">
        <v>15936</v>
      </c>
      <c r="R3972" s="80" t="s">
        <v>36</v>
      </c>
      <c r="S3972" s="95">
        <v>2000</v>
      </c>
      <c r="T3972" s="148">
        <v>45540</v>
      </c>
      <c r="U3972" s="95">
        <v>14000</v>
      </c>
      <c r="V3972" s="148">
        <v>45576</v>
      </c>
      <c r="W3972" s="85" t="s">
        <v>14188</v>
      </c>
      <c r="X3972" s="80"/>
      <c r="Y3972" s="22">
        <v>-64</v>
      </c>
      <c r="Z3972" s="80" t="s">
        <v>50</v>
      </c>
      <c r="AA3972" s="86"/>
      <c r="AB3972" s="80"/>
      <c r="AC3972" s="80" t="s">
        <v>53</v>
      </c>
      <c r="AD3972" s="80" t="s">
        <v>54</v>
      </c>
      <c r="AE3972" s="80" t="s">
        <v>12793</v>
      </c>
      <c r="AF3972" s="17">
        <v>45607</v>
      </c>
      <c r="AG3972" s="80"/>
      <c r="AH3972" s="80"/>
      <c r="AI3972" s="147"/>
      <c r="AJ3972" s="80"/>
      <c r="AK3972" s="80"/>
      <c r="AL3972" s="35"/>
      <c r="AM3972" s="35"/>
      <c r="AN3972" s="35"/>
      <c r="AO3972" s="35"/>
      <c r="AP3972" s="35"/>
    </row>
    <row r="3973" spans="1:42" x14ac:dyDescent="0.2">
      <c r="A3973" s="38">
        <v>45600</v>
      </c>
      <c r="B3973" s="137" t="s">
        <v>37</v>
      </c>
      <c r="C3973" s="41" t="s">
        <v>118</v>
      </c>
      <c r="D3973" s="80" t="s">
        <v>36</v>
      </c>
      <c r="E3973" s="80" t="s">
        <v>56</v>
      </c>
      <c r="F3973" s="80" t="s">
        <v>11589</v>
      </c>
      <c r="G3973" s="80" t="s">
        <v>108</v>
      </c>
      <c r="H3973" s="80" t="s">
        <v>12857</v>
      </c>
      <c r="I3973" s="17">
        <f ca="1">IFERROR(__xludf.DUMMYFUNCTION("""COMPUTED_VALUE"""),45611)</f>
        <v>45611</v>
      </c>
      <c r="J3973" s="143" t="s">
        <v>12502</v>
      </c>
      <c r="K3973" s="80" t="s">
        <v>14189</v>
      </c>
      <c r="L3973" s="30">
        <v>913646613</v>
      </c>
      <c r="M3973" s="80" t="s">
        <v>910</v>
      </c>
      <c r="N3973" s="80" t="s">
        <v>3525</v>
      </c>
      <c r="O3973" s="80" t="s">
        <v>12504</v>
      </c>
      <c r="P3973" s="144" t="s">
        <v>14190</v>
      </c>
      <c r="Q3973" s="20">
        <v>9317</v>
      </c>
      <c r="R3973" s="80" t="s">
        <v>36</v>
      </c>
      <c r="S3973" s="95">
        <f>200+1768</f>
        <v>1968</v>
      </c>
      <c r="T3973" s="83" t="s">
        <v>12506</v>
      </c>
      <c r="U3973" s="95">
        <v>7349</v>
      </c>
      <c r="V3973" s="148">
        <v>45551</v>
      </c>
      <c r="W3973" s="85" t="s">
        <v>12507</v>
      </c>
      <c r="X3973" s="80">
        <v>0</v>
      </c>
      <c r="Y3973" s="22">
        <v>0</v>
      </c>
      <c r="Z3973" s="80" t="s">
        <v>50</v>
      </c>
      <c r="AA3973" s="96" t="s">
        <v>3291</v>
      </c>
      <c r="AB3973" s="80"/>
      <c r="AC3973" s="80" t="s">
        <v>53</v>
      </c>
      <c r="AD3973" s="80" t="s">
        <v>138</v>
      </c>
      <c r="AE3973" s="80" t="s">
        <v>11589</v>
      </c>
      <c r="AF3973" s="17">
        <v>45607</v>
      </c>
      <c r="AG3973" s="80"/>
      <c r="AH3973" s="80"/>
      <c r="AI3973" s="147" t="s">
        <v>64</v>
      </c>
      <c r="AJ3973" s="80"/>
      <c r="AK3973" s="80"/>
      <c r="AL3973" s="35"/>
      <c r="AM3973" s="35"/>
      <c r="AN3973" s="35"/>
      <c r="AO3973" s="35"/>
      <c r="AP3973" s="35"/>
    </row>
    <row r="3974" spans="1:42" x14ac:dyDescent="0.2">
      <c r="A3974" s="38">
        <v>45600</v>
      </c>
      <c r="B3974" s="137" t="s">
        <v>37</v>
      </c>
      <c r="C3974" s="41" t="s">
        <v>118</v>
      </c>
      <c r="D3974" s="26" t="s">
        <v>36</v>
      </c>
      <c r="E3974" s="26" t="s">
        <v>56</v>
      </c>
      <c r="F3974" s="26" t="s">
        <v>7330</v>
      </c>
      <c r="G3974" s="80" t="s">
        <v>108</v>
      </c>
      <c r="H3974" s="80" t="s">
        <v>14177</v>
      </c>
      <c r="I3974" s="17">
        <f ca="1">IFERROR(__xludf.DUMMYFUNCTION("""COMPUTED_VALUE"""),45614)</f>
        <v>45614</v>
      </c>
      <c r="J3974" s="29" t="s">
        <v>9311</v>
      </c>
      <c r="K3974" s="26" t="s">
        <v>14191</v>
      </c>
      <c r="L3974" s="30">
        <v>373170479</v>
      </c>
      <c r="M3974" s="26" t="s">
        <v>59</v>
      </c>
      <c r="N3974" s="26" t="s">
        <v>68</v>
      </c>
      <c r="O3974" s="26" t="s">
        <v>9313</v>
      </c>
      <c r="P3974" s="26" t="s">
        <v>9314</v>
      </c>
      <c r="Q3974" s="20"/>
      <c r="R3974" s="26" t="s">
        <v>36</v>
      </c>
      <c r="S3974" s="95">
        <v>9317</v>
      </c>
      <c r="T3974" s="148">
        <v>45475</v>
      </c>
      <c r="U3974" s="31"/>
      <c r="V3974" s="32"/>
      <c r="W3974" s="33" t="s">
        <v>9315</v>
      </c>
      <c r="X3974" s="26"/>
      <c r="Y3974" s="22"/>
      <c r="Z3974" s="26" t="s">
        <v>50</v>
      </c>
      <c r="AA3974" s="70" t="s">
        <v>9070</v>
      </c>
      <c r="AB3974" s="26"/>
      <c r="AC3974" s="26" t="s">
        <v>53</v>
      </c>
      <c r="AD3974" s="26" t="s">
        <v>138</v>
      </c>
      <c r="AE3974" s="26" t="s">
        <v>7330</v>
      </c>
      <c r="AF3974" s="17">
        <v>45614</v>
      </c>
      <c r="AG3974" s="26"/>
      <c r="AH3974" s="26"/>
      <c r="AI3974" s="40"/>
      <c r="AJ3974" s="26"/>
      <c r="AK3974" s="26"/>
      <c r="AL3974" s="35"/>
      <c r="AM3974" s="35"/>
      <c r="AN3974" s="35"/>
      <c r="AO3974" s="35"/>
      <c r="AP3974" s="35"/>
    </row>
    <row r="3975" spans="1:42" x14ac:dyDescent="0.2">
      <c r="A3975" s="38">
        <v>45600</v>
      </c>
      <c r="B3975" s="28" t="s">
        <v>37</v>
      </c>
      <c r="C3975" s="41" t="s">
        <v>118</v>
      </c>
      <c r="D3975" s="26" t="s">
        <v>36</v>
      </c>
      <c r="E3975" s="26" t="s">
        <v>915</v>
      </c>
      <c r="F3975" s="26" t="s">
        <v>8406</v>
      </c>
      <c r="G3975" s="26" t="s">
        <v>1705</v>
      </c>
      <c r="H3975" s="26" t="s">
        <v>13886</v>
      </c>
      <c r="I3975" s="17">
        <f ca="1">IFERROR(__xludf.DUMMYFUNCTION("""COMPUTED_VALUE"""),45610)</f>
        <v>45610</v>
      </c>
      <c r="J3975" s="29" t="s">
        <v>10972</v>
      </c>
      <c r="K3975" s="26" t="s">
        <v>10973</v>
      </c>
      <c r="L3975" s="30">
        <v>359737515</v>
      </c>
      <c r="M3975" s="26" t="s">
        <v>80</v>
      </c>
      <c r="N3975" s="26" t="s">
        <v>1073</v>
      </c>
      <c r="O3975" s="26" t="s">
        <v>10974</v>
      </c>
      <c r="P3975" s="42" t="s">
        <v>14192</v>
      </c>
      <c r="Q3975" s="20">
        <v>10894</v>
      </c>
      <c r="R3975" s="26" t="s">
        <v>36</v>
      </c>
      <c r="S3975" s="95">
        <f>200+3800</f>
        <v>4000</v>
      </c>
      <c r="T3975" s="83" t="s">
        <v>10954</v>
      </c>
      <c r="U3975" s="95">
        <v>6894</v>
      </c>
      <c r="V3975" s="148">
        <v>45529</v>
      </c>
      <c r="W3975" s="33" t="s">
        <v>10976</v>
      </c>
      <c r="X3975" s="26">
        <v>0</v>
      </c>
      <c r="Y3975" s="22">
        <v>0</v>
      </c>
      <c r="Z3975" s="26" t="s">
        <v>50</v>
      </c>
      <c r="AA3975" s="96" t="s">
        <v>10314</v>
      </c>
      <c r="AB3975" s="26"/>
      <c r="AC3975" s="26" t="s">
        <v>53</v>
      </c>
      <c r="AD3975" s="26" t="s">
        <v>54</v>
      </c>
      <c r="AE3975" s="26" t="s">
        <v>8406</v>
      </c>
      <c r="AF3975" s="17">
        <v>45604</v>
      </c>
      <c r="AG3975" s="26"/>
      <c r="AH3975" s="26"/>
      <c r="AI3975" s="40"/>
      <c r="AJ3975" s="26"/>
      <c r="AK3975" s="26"/>
      <c r="AL3975" s="35"/>
      <c r="AM3975" s="35"/>
      <c r="AN3975" s="35"/>
      <c r="AO3975" s="35"/>
      <c r="AP3975" s="35"/>
    </row>
    <row r="3976" spans="1:42" x14ac:dyDescent="0.2">
      <c r="A3976" s="38">
        <v>45600</v>
      </c>
      <c r="B3976" s="137" t="s">
        <v>37</v>
      </c>
      <c r="C3976" s="41" t="s">
        <v>118</v>
      </c>
      <c r="D3976" s="80" t="s">
        <v>36</v>
      </c>
      <c r="E3976" s="80" t="s">
        <v>56</v>
      </c>
      <c r="F3976" s="80" t="s">
        <v>12793</v>
      </c>
      <c r="G3976" s="80" t="s">
        <v>108</v>
      </c>
      <c r="H3976" s="80" t="s">
        <v>12857</v>
      </c>
      <c r="I3976" s="17">
        <f ca="1">IFERROR(__xludf.DUMMYFUNCTION("""COMPUTED_VALUE"""),45611)</f>
        <v>45611</v>
      </c>
      <c r="J3976" s="143" t="s">
        <v>12893</v>
      </c>
      <c r="K3976" s="80" t="s">
        <v>14193</v>
      </c>
      <c r="L3976" s="30">
        <v>332610749</v>
      </c>
      <c r="M3976" s="80" t="s">
        <v>45</v>
      </c>
      <c r="N3976" s="80" t="s">
        <v>12895</v>
      </c>
      <c r="O3976" s="80" t="s">
        <v>12896</v>
      </c>
      <c r="P3976" s="144" t="s">
        <v>14194</v>
      </c>
      <c r="Q3976" s="20">
        <v>9317</v>
      </c>
      <c r="R3976" s="80" t="s">
        <v>36</v>
      </c>
      <c r="S3976" s="95">
        <v>1000</v>
      </c>
      <c r="T3976" s="148">
        <v>45543</v>
      </c>
      <c r="U3976" s="95">
        <v>8327</v>
      </c>
      <c r="V3976" s="148">
        <v>45552</v>
      </c>
      <c r="W3976" s="85" t="s">
        <v>12898</v>
      </c>
      <c r="X3976" s="80">
        <v>0</v>
      </c>
      <c r="Y3976" s="22">
        <v>-10</v>
      </c>
      <c r="Z3976" s="80" t="s">
        <v>50</v>
      </c>
      <c r="AA3976" s="35" t="s">
        <v>3291</v>
      </c>
      <c r="AB3976" s="80"/>
      <c r="AC3976" s="80" t="s">
        <v>53</v>
      </c>
      <c r="AD3976" s="80" t="s">
        <v>54</v>
      </c>
      <c r="AE3976" s="80" t="s">
        <v>12793</v>
      </c>
      <c r="AF3976" s="17">
        <v>45607</v>
      </c>
      <c r="AG3976" s="80"/>
      <c r="AH3976" s="80"/>
      <c r="AI3976" s="147" t="s">
        <v>64</v>
      </c>
      <c r="AJ3976" s="80"/>
      <c r="AK3976" s="80"/>
      <c r="AL3976" s="35"/>
      <c r="AM3976" s="35"/>
      <c r="AN3976" s="35"/>
      <c r="AO3976" s="35"/>
      <c r="AP3976" s="35"/>
    </row>
    <row r="3977" spans="1:42" x14ac:dyDescent="0.2">
      <c r="A3977" s="38">
        <v>45601</v>
      </c>
      <c r="B3977" s="137" t="s">
        <v>37</v>
      </c>
      <c r="C3977" s="41" t="s">
        <v>118</v>
      </c>
      <c r="D3977" s="80" t="s">
        <v>36</v>
      </c>
      <c r="E3977" s="80" t="s">
        <v>139</v>
      </c>
      <c r="F3977" s="80" t="s">
        <v>9626</v>
      </c>
      <c r="G3977" s="80" t="s">
        <v>108</v>
      </c>
      <c r="H3977" s="80" t="s">
        <v>8088</v>
      </c>
      <c r="I3977" s="17">
        <f ca="1">IFERROR(__xludf.DUMMYFUNCTION("""COMPUTED_VALUE"""),45611)</f>
        <v>45611</v>
      </c>
      <c r="J3977" s="143" t="s">
        <v>14195</v>
      </c>
      <c r="K3977" s="80" t="s">
        <v>14196</v>
      </c>
      <c r="L3977" s="30">
        <v>946892813</v>
      </c>
      <c r="M3977" s="80" t="s">
        <v>2755</v>
      </c>
      <c r="N3977" s="80" t="s">
        <v>2756</v>
      </c>
      <c r="O3977" s="80" t="s">
        <v>4503</v>
      </c>
      <c r="P3977" s="80" t="s">
        <v>14197</v>
      </c>
      <c r="Q3977" s="20">
        <v>15936</v>
      </c>
      <c r="R3977" s="80" t="s">
        <v>36</v>
      </c>
      <c r="S3977" s="95">
        <v>4200</v>
      </c>
      <c r="T3977" s="148">
        <v>45547</v>
      </c>
      <c r="U3977" s="178">
        <v>11736</v>
      </c>
      <c r="V3977" s="169">
        <v>45573</v>
      </c>
      <c r="W3977" s="79" t="s">
        <v>14198</v>
      </c>
      <c r="X3977" s="80"/>
      <c r="Y3977" s="22">
        <v>0</v>
      </c>
      <c r="Z3977" s="80" t="s">
        <v>50</v>
      </c>
      <c r="AA3977" s="82"/>
      <c r="AB3977" s="80"/>
      <c r="AC3977" s="80" t="s">
        <v>53</v>
      </c>
      <c r="AD3977" s="80" t="s">
        <v>138</v>
      </c>
      <c r="AE3977" s="80" t="s">
        <v>9626</v>
      </c>
      <c r="AF3977" s="17">
        <v>45611</v>
      </c>
      <c r="AG3977" s="80" t="s">
        <v>14199</v>
      </c>
      <c r="AH3977" s="80"/>
      <c r="AI3977" s="147"/>
      <c r="AJ3977" s="80"/>
      <c r="AK3977" s="80"/>
      <c r="AL3977" s="35"/>
      <c r="AM3977" s="35"/>
      <c r="AN3977" s="35"/>
      <c r="AO3977" s="35"/>
      <c r="AP3977" s="35"/>
    </row>
    <row r="3978" spans="1:42" x14ac:dyDescent="0.2">
      <c r="A3978" s="38">
        <v>45601</v>
      </c>
      <c r="B3978" s="137" t="s">
        <v>37</v>
      </c>
      <c r="C3978" s="41" t="s">
        <v>118</v>
      </c>
      <c r="D3978" s="80" t="s">
        <v>36</v>
      </c>
      <c r="E3978" s="80" t="s">
        <v>139</v>
      </c>
      <c r="F3978" s="80" t="s">
        <v>12474</v>
      </c>
      <c r="G3978" s="80" t="s">
        <v>108</v>
      </c>
      <c r="H3978" s="80" t="s">
        <v>14200</v>
      </c>
      <c r="I3978" s="17">
        <f ca="1">IFERROR(__xludf.DUMMYFUNCTION("""COMPUTED_VALUE"""),45607)</f>
        <v>45607</v>
      </c>
      <c r="J3978" s="143" t="s">
        <v>12475</v>
      </c>
      <c r="K3978" s="80" t="s">
        <v>12476</v>
      </c>
      <c r="L3978" s="30">
        <v>964718117</v>
      </c>
      <c r="M3978" s="80" t="s">
        <v>5518</v>
      </c>
      <c r="N3978" s="80" t="s">
        <v>12477</v>
      </c>
      <c r="O3978" s="80" t="s">
        <v>12478</v>
      </c>
      <c r="P3978" s="80" t="s">
        <v>5462</v>
      </c>
      <c r="Q3978" s="20">
        <v>15936</v>
      </c>
      <c r="R3978" s="80" t="s">
        <v>36</v>
      </c>
      <c r="S3978" s="95">
        <v>2000</v>
      </c>
      <c r="T3978" s="148">
        <v>45530</v>
      </c>
      <c r="U3978" s="95">
        <v>13936</v>
      </c>
      <c r="V3978" s="148">
        <v>45565</v>
      </c>
      <c r="W3978" s="85" t="s">
        <v>12479</v>
      </c>
      <c r="X3978" s="80">
        <v>0</v>
      </c>
      <c r="Y3978" s="22">
        <v>0</v>
      </c>
      <c r="Z3978" s="80" t="s">
        <v>50</v>
      </c>
      <c r="AA3978" s="35" t="s">
        <v>3291</v>
      </c>
      <c r="AB3978" s="80"/>
      <c r="AC3978" s="80" t="s">
        <v>53</v>
      </c>
      <c r="AD3978" s="80" t="s">
        <v>138</v>
      </c>
      <c r="AE3978" s="80" t="s">
        <v>12474</v>
      </c>
      <c r="AF3978" s="17">
        <v>45607</v>
      </c>
      <c r="AG3978" s="80"/>
      <c r="AH3978" s="80"/>
      <c r="AI3978" s="147" t="s">
        <v>147</v>
      </c>
      <c r="AJ3978" s="80"/>
      <c r="AK3978" s="80"/>
      <c r="AL3978" s="35"/>
      <c r="AM3978" s="35"/>
      <c r="AN3978" s="35"/>
      <c r="AO3978" s="35"/>
      <c r="AP3978" s="35"/>
    </row>
    <row r="3979" spans="1:42" x14ac:dyDescent="0.2">
      <c r="A3979" s="38">
        <v>45601</v>
      </c>
      <c r="B3979" s="137" t="s">
        <v>37</v>
      </c>
      <c r="C3979" s="41" t="s">
        <v>118</v>
      </c>
      <c r="D3979" s="80" t="s">
        <v>36</v>
      </c>
      <c r="E3979" s="80" t="s">
        <v>139</v>
      </c>
      <c r="F3979" s="80" t="s">
        <v>12474</v>
      </c>
      <c r="G3979" s="80" t="s">
        <v>108</v>
      </c>
      <c r="H3979" s="80" t="s">
        <v>14200</v>
      </c>
      <c r="I3979" s="17">
        <f ca="1">IFERROR(__xludf.DUMMYFUNCTION("""COMPUTED_VALUE"""),45607)</f>
        <v>45607</v>
      </c>
      <c r="J3979" s="143" t="s">
        <v>14201</v>
      </c>
      <c r="K3979" s="80" t="s">
        <v>3733</v>
      </c>
      <c r="L3979" s="30">
        <v>972236387</v>
      </c>
      <c r="M3979" s="80" t="s">
        <v>5518</v>
      </c>
      <c r="N3979" s="80" t="s">
        <v>5524</v>
      </c>
      <c r="O3979" s="80" t="s">
        <v>14202</v>
      </c>
      <c r="P3979" s="80" t="s">
        <v>3694</v>
      </c>
      <c r="Q3979" s="20">
        <v>15936</v>
      </c>
      <c r="R3979" s="80" t="s">
        <v>36</v>
      </c>
      <c r="S3979" s="95">
        <f>200+1800</f>
        <v>2000</v>
      </c>
      <c r="T3979" s="83" t="s">
        <v>14203</v>
      </c>
      <c r="U3979" s="95">
        <v>13936</v>
      </c>
      <c r="V3979" s="148">
        <v>45566</v>
      </c>
      <c r="W3979" s="85" t="s">
        <v>14204</v>
      </c>
      <c r="X3979" s="80"/>
      <c r="Y3979" s="22">
        <v>0</v>
      </c>
      <c r="Z3979" s="80" t="s">
        <v>50</v>
      </c>
      <c r="AA3979" s="82"/>
      <c r="AB3979" s="80"/>
      <c r="AC3979" s="80" t="s">
        <v>53</v>
      </c>
      <c r="AD3979" s="80" t="s">
        <v>138</v>
      </c>
      <c r="AE3979" s="80" t="s">
        <v>12474</v>
      </c>
      <c r="AF3979" s="17">
        <v>45607</v>
      </c>
      <c r="AG3979" s="80"/>
      <c r="AH3979" s="80"/>
      <c r="AI3979" s="147"/>
      <c r="AJ3979" s="80"/>
      <c r="AK3979" s="80"/>
      <c r="AL3979" s="35"/>
      <c r="AM3979" s="35"/>
      <c r="AN3979" s="35"/>
      <c r="AO3979" s="35"/>
      <c r="AP3979" s="35"/>
    </row>
    <row r="3980" spans="1:42" x14ac:dyDescent="0.2">
      <c r="A3980" s="38">
        <v>45601</v>
      </c>
      <c r="B3980" s="137" t="s">
        <v>37</v>
      </c>
      <c r="C3980" s="41" t="s">
        <v>118</v>
      </c>
      <c r="D3980" s="80" t="s">
        <v>36</v>
      </c>
      <c r="E3980" s="80" t="s">
        <v>139</v>
      </c>
      <c r="F3980" s="80" t="s">
        <v>12474</v>
      </c>
      <c r="G3980" s="80" t="s">
        <v>108</v>
      </c>
      <c r="H3980" s="80" t="s">
        <v>14200</v>
      </c>
      <c r="I3980" s="17">
        <f ca="1">IFERROR(__xludf.DUMMYFUNCTION("""COMPUTED_VALUE"""),45607)</f>
        <v>45607</v>
      </c>
      <c r="J3980" s="143" t="s">
        <v>14205</v>
      </c>
      <c r="K3980" s="80" t="s">
        <v>14206</v>
      </c>
      <c r="L3980" s="30">
        <v>793210540</v>
      </c>
      <c r="M3980" s="80" t="s">
        <v>5429</v>
      </c>
      <c r="N3980" s="80" t="s">
        <v>9180</v>
      </c>
      <c r="O3980" s="80" t="s">
        <v>61</v>
      </c>
      <c r="P3980" s="80" t="s">
        <v>6368</v>
      </c>
      <c r="Q3980" s="20">
        <v>15936</v>
      </c>
      <c r="R3980" s="80" t="s">
        <v>36</v>
      </c>
      <c r="S3980" s="95">
        <v>2000</v>
      </c>
      <c r="T3980" s="148">
        <v>45540</v>
      </c>
      <c r="U3980" s="95">
        <v>13936</v>
      </c>
      <c r="V3980" s="148">
        <v>45568</v>
      </c>
      <c r="W3980" s="85" t="s">
        <v>14207</v>
      </c>
      <c r="X3980" s="80"/>
      <c r="Y3980" s="22">
        <v>0</v>
      </c>
      <c r="Z3980" s="80" t="s">
        <v>50</v>
      </c>
      <c r="AA3980" s="86"/>
      <c r="AB3980" s="80"/>
      <c r="AC3980" s="80" t="s">
        <v>53</v>
      </c>
      <c r="AD3980" s="80" t="s">
        <v>138</v>
      </c>
      <c r="AE3980" s="80" t="s">
        <v>12474</v>
      </c>
      <c r="AF3980" s="17">
        <v>45607</v>
      </c>
      <c r="AG3980" s="80"/>
      <c r="AH3980" s="80"/>
      <c r="AI3980" s="147"/>
      <c r="AJ3980" s="80"/>
      <c r="AK3980" s="80"/>
      <c r="AL3980" s="35"/>
      <c r="AM3980" s="35"/>
      <c r="AN3980" s="35"/>
      <c r="AO3980" s="35"/>
      <c r="AP3980" s="35"/>
    </row>
    <row r="3981" spans="1:42" x14ac:dyDescent="0.2">
      <c r="A3981" s="38">
        <v>45601</v>
      </c>
      <c r="B3981" s="28" t="s">
        <v>37</v>
      </c>
      <c r="C3981" s="41" t="s">
        <v>118</v>
      </c>
      <c r="D3981" s="80" t="s">
        <v>36</v>
      </c>
      <c r="E3981" s="80" t="s">
        <v>39</v>
      </c>
      <c r="F3981" s="80" t="s">
        <v>9626</v>
      </c>
      <c r="G3981" s="80" t="s">
        <v>108</v>
      </c>
      <c r="H3981" s="80" t="s">
        <v>14208</v>
      </c>
      <c r="I3981" s="17" t="str">
        <f ca="1">IFERROR(__xludf.DUMMYFUNCTION("""COMPUTED_VALUE""")," ")</f>
        <v xml:space="preserve"> </v>
      </c>
      <c r="J3981" s="143" t="s">
        <v>11344</v>
      </c>
      <c r="K3981" s="80" t="s">
        <v>14209</v>
      </c>
      <c r="L3981" s="30">
        <v>978584264</v>
      </c>
      <c r="M3981" s="80" t="s">
        <v>348</v>
      </c>
      <c r="N3981" s="80" t="s">
        <v>200</v>
      </c>
      <c r="O3981" s="80" t="s">
        <v>91</v>
      </c>
      <c r="P3981" s="80" t="s">
        <v>3117</v>
      </c>
      <c r="Q3981" s="20">
        <v>5736</v>
      </c>
      <c r="R3981" s="80" t="s">
        <v>36</v>
      </c>
      <c r="S3981" s="95">
        <v>1000</v>
      </c>
      <c r="T3981" s="148">
        <v>45515</v>
      </c>
      <c r="U3981" s="95">
        <v>4736</v>
      </c>
      <c r="V3981" s="148">
        <v>45519</v>
      </c>
      <c r="W3981" s="85" t="s">
        <v>11346</v>
      </c>
      <c r="X3981" s="80">
        <v>0</v>
      </c>
      <c r="Y3981" s="22">
        <v>0</v>
      </c>
      <c r="Z3981" s="80" t="s">
        <v>50</v>
      </c>
      <c r="AA3981" s="96" t="s">
        <v>10314</v>
      </c>
      <c r="AB3981" s="80"/>
      <c r="AC3981" s="80" t="s">
        <v>53</v>
      </c>
      <c r="AD3981" s="80" t="s">
        <v>138</v>
      </c>
      <c r="AE3981" s="80" t="s">
        <v>9626</v>
      </c>
      <c r="AF3981" s="17">
        <v>45611</v>
      </c>
      <c r="AG3981" s="80" t="s">
        <v>14199</v>
      </c>
      <c r="AH3981" s="80"/>
      <c r="AI3981" s="147"/>
      <c r="AJ3981" s="80"/>
      <c r="AK3981" s="80"/>
      <c r="AL3981" s="35"/>
      <c r="AM3981" s="35"/>
      <c r="AN3981" s="35"/>
      <c r="AO3981" s="35"/>
      <c r="AP3981" s="35"/>
    </row>
    <row r="3982" spans="1:42" x14ac:dyDescent="0.2">
      <c r="A3982" s="38">
        <v>45601</v>
      </c>
      <c r="B3982" s="28" t="s">
        <v>37</v>
      </c>
      <c r="C3982" s="41" t="s">
        <v>118</v>
      </c>
      <c r="D3982" s="80" t="s">
        <v>36</v>
      </c>
      <c r="E3982" s="80" t="s">
        <v>39</v>
      </c>
      <c r="F3982" s="80" t="s">
        <v>9626</v>
      </c>
      <c r="G3982" s="80" t="s">
        <v>108</v>
      </c>
      <c r="H3982" s="80" t="s">
        <v>14210</v>
      </c>
      <c r="I3982" s="17">
        <f ca="1">IFERROR(__xludf.DUMMYFUNCTION("""COMPUTED_VALUE"""),45622)</f>
        <v>45622</v>
      </c>
      <c r="J3982" s="143" t="s">
        <v>11461</v>
      </c>
      <c r="K3982" s="80" t="s">
        <v>14211</v>
      </c>
      <c r="L3982" s="30">
        <v>789323248</v>
      </c>
      <c r="M3982" s="80" t="s">
        <v>3288</v>
      </c>
      <c r="N3982" s="80" t="s">
        <v>200</v>
      </c>
      <c r="O3982" s="80" t="s">
        <v>91</v>
      </c>
      <c r="P3982" s="80" t="s">
        <v>3117</v>
      </c>
      <c r="Q3982" s="20">
        <v>5736</v>
      </c>
      <c r="R3982" s="80" t="s">
        <v>1106</v>
      </c>
      <c r="S3982" s="95">
        <v>5586</v>
      </c>
      <c r="T3982" s="148">
        <v>45521</v>
      </c>
      <c r="U3982" s="77"/>
      <c r="V3982" s="78"/>
      <c r="W3982" s="85" t="s">
        <v>11463</v>
      </c>
      <c r="X3982" s="80">
        <v>150</v>
      </c>
      <c r="Y3982" s="22">
        <v>0</v>
      </c>
      <c r="Z3982" s="80" t="s">
        <v>50</v>
      </c>
      <c r="AA3982" s="35" t="s">
        <v>10314</v>
      </c>
      <c r="AB3982" s="80"/>
      <c r="AC3982" s="80" t="s">
        <v>53</v>
      </c>
      <c r="AD3982" s="80" t="s">
        <v>138</v>
      </c>
      <c r="AE3982" s="80" t="s">
        <v>9626</v>
      </c>
      <c r="AF3982" s="17">
        <v>45611</v>
      </c>
      <c r="AG3982" s="80" t="s">
        <v>14199</v>
      </c>
      <c r="AH3982" s="80"/>
      <c r="AI3982" s="147"/>
      <c r="AJ3982" s="80"/>
      <c r="AK3982" s="80"/>
      <c r="AL3982" s="35"/>
      <c r="AM3982" s="35"/>
      <c r="AN3982" s="35"/>
      <c r="AO3982" s="35"/>
      <c r="AP3982" s="35"/>
    </row>
    <row r="3983" spans="1:42" x14ac:dyDescent="0.2">
      <c r="A3983" s="38">
        <v>45601</v>
      </c>
      <c r="B3983" s="28" t="s">
        <v>37</v>
      </c>
      <c r="C3983" s="41" t="s">
        <v>118</v>
      </c>
      <c r="D3983" s="80" t="s">
        <v>36</v>
      </c>
      <c r="E3983" s="80" t="s">
        <v>39</v>
      </c>
      <c r="F3983" s="80" t="s">
        <v>9626</v>
      </c>
      <c r="G3983" s="80" t="s">
        <v>108</v>
      </c>
      <c r="H3983" s="80" t="s">
        <v>13678</v>
      </c>
      <c r="I3983" s="17">
        <f ca="1">IFERROR(__xludf.DUMMYFUNCTION("""COMPUTED_VALUE"""),45620)</f>
        <v>45620</v>
      </c>
      <c r="J3983" s="143" t="s">
        <v>11465</v>
      </c>
      <c r="K3983" s="80" t="s">
        <v>14212</v>
      </c>
      <c r="L3983" s="30">
        <v>329272811</v>
      </c>
      <c r="M3983" s="80" t="s">
        <v>3288</v>
      </c>
      <c r="N3983" s="80" t="s">
        <v>200</v>
      </c>
      <c r="O3983" s="80" t="s">
        <v>91</v>
      </c>
      <c r="P3983" s="80" t="s">
        <v>3117</v>
      </c>
      <c r="Q3983" s="20">
        <v>5736</v>
      </c>
      <c r="R3983" s="80" t="s">
        <v>1106</v>
      </c>
      <c r="S3983" s="95">
        <v>2000</v>
      </c>
      <c r="T3983" s="148">
        <v>45521</v>
      </c>
      <c r="U3983" s="95">
        <v>3586</v>
      </c>
      <c r="V3983" s="148">
        <v>45529</v>
      </c>
      <c r="W3983" s="85" t="s">
        <v>11467</v>
      </c>
      <c r="X3983" s="80">
        <v>150</v>
      </c>
      <c r="Y3983" s="22">
        <v>0</v>
      </c>
      <c r="Z3983" s="80" t="s">
        <v>50</v>
      </c>
      <c r="AA3983" s="96" t="s">
        <v>10314</v>
      </c>
      <c r="AB3983" s="80"/>
      <c r="AC3983" s="80" t="s">
        <v>53</v>
      </c>
      <c r="AD3983" s="80" t="s">
        <v>138</v>
      </c>
      <c r="AE3983" s="80" t="s">
        <v>9626</v>
      </c>
      <c r="AF3983" s="17">
        <v>45611</v>
      </c>
      <c r="AG3983" s="80" t="s">
        <v>14199</v>
      </c>
      <c r="AH3983" s="80"/>
      <c r="AI3983" s="147"/>
      <c r="AJ3983" s="80"/>
      <c r="AK3983" s="80"/>
      <c r="AL3983" s="35"/>
      <c r="AM3983" s="35"/>
      <c r="AN3983" s="35"/>
      <c r="AO3983" s="35"/>
      <c r="AP3983" s="35"/>
    </row>
    <row r="3984" spans="1:42" x14ac:dyDescent="0.2">
      <c r="A3984" s="38">
        <v>45601</v>
      </c>
      <c r="B3984" s="137" t="s">
        <v>37</v>
      </c>
      <c r="C3984" s="41" t="s">
        <v>118</v>
      </c>
      <c r="D3984" s="80" t="s">
        <v>36</v>
      </c>
      <c r="E3984" s="80" t="s">
        <v>139</v>
      </c>
      <c r="F3984" s="80" t="s">
        <v>12474</v>
      </c>
      <c r="G3984" s="80" t="s">
        <v>108</v>
      </c>
      <c r="H3984" s="80" t="s">
        <v>14200</v>
      </c>
      <c r="I3984" s="17">
        <f ca="1">IFERROR(__xludf.DUMMYFUNCTION("""COMPUTED_VALUE"""),45607)</f>
        <v>45607</v>
      </c>
      <c r="J3984" s="143" t="s">
        <v>14213</v>
      </c>
      <c r="K3984" s="80" t="s">
        <v>14214</v>
      </c>
      <c r="L3984" s="30">
        <v>399922370</v>
      </c>
      <c r="M3984" s="80" t="s">
        <v>5429</v>
      </c>
      <c r="N3984" s="80" t="s">
        <v>3065</v>
      </c>
      <c r="O3984" s="80" t="s">
        <v>61</v>
      </c>
      <c r="P3984" s="80" t="s">
        <v>14215</v>
      </c>
      <c r="Q3984" s="20">
        <v>15936</v>
      </c>
      <c r="R3984" s="80" t="s">
        <v>36</v>
      </c>
      <c r="S3984" s="95">
        <v>2000</v>
      </c>
      <c r="T3984" s="148">
        <v>45540</v>
      </c>
      <c r="U3984" s="95">
        <v>13936</v>
      </c>
      <c r="V3984" s="148">
        <v>45569</v>
      </c>
      <c r="W3984" s="85" t="s">
        <v>14216</v>
      </c>
      <c r="X3984" s="80"/>
      <c r="Y3984" s="22">
        <v>0</v>
      </c>
      <c r="Z3984" s="80" t="s">
        <v>50</v>
      </c>
      <c r="AA3984" s="86"/>
      <c r="AB3984" s="80"/>
      <c r="AC3984" s="80" t="s">
        <v>53</v>
      </c>
      <c r="AD3984" s="80" t="s">
        <v>138</v>
      </c>
      <c r="AE3984" s="80" t="s">
        <v>12474</v>
      </c>
      <c r="AF3984" s="17">
        <v>45607</v>
      </c>
      <c r="AG3984" s="80"/>
      <c r="AH3984" s="80"/>
      <c r="AI3984" s="147"/>
      <c r="AJ3984" s="80"/>
      <c r="AK3984" s="80"/>
      <c r="AL3984" s="35"/>
      <c r="AM3984" s="35"/>
      <c r="AN3984" s="35"/>
      <c r="AO3984" s="35"/>
      <c r="AP3984" s="35"/>
    </row>
    <row r="3985" spans="1:42" x14ac:dyDescent="0.2">
      <c r="A3985" s="38">
        <v>45601</v>
      </c>
      <c r="B3985" s="137" t="s">
        <v>37</v>
      </c>
      <c r="C3985" s="41" t="s">
        <v>118</v>
      </c>
      <c r="D3985" s="80" t="s">
        <v>36</v>
      </c>
      <c r="E3985" s="80" t="s">
        <v>139</v>
      </c>
      <c r="F3985" s="80" t="s">
        <v>12474</v>
      </c>
      <c r="G3985" s="80" t="s">
        <v>108</v>
      </c>
      <c r="H3985" s="80" t="s">
        <v>5946</v>
      </c>
      <c r="I3985" s="17">
        <f ca="1">IFERROR(__xludf.DUMMYFUNCTION("""COMPUTED_VALUE"""),45742)</f>
        <v>45742</v>
      </c>
      <c r="J3985" s="143" t="s">
        <v>12855</v>
      </c>
      <c r="K3985" s="80" t="s">
        <v>14217</v>
      </c>
      <c r="L3985" s="30">
        <v>363291358</v>
      </c>
      <c r="M3985" s="80" t="s">
        <v>910</v>
      </c>
      <c r="N3985" s="80" t="s">
        <v>3525</v>
      </c>
      <c r="O3985" s="80" t="s">
        <v>91</v>
      </c>
      <c r="P3985" s="80" t="s">
        <v>12578</v>
      </c>
      <c r="Q3985" s="20">
        <v>15936</v>
      </c>
      <c r="R3985" s="80" t="s">
        <v>36</v>
      </c>
      <c r="S3985" s="95">
        <f>2500+500</f>
        <v>3000</v>
      </c>
      <c r="T3985" s="83" t="s">
        <v>12780</v>
      </c>
      <c r="U3985" s="95">
        <f>10000+2936</f>
        <v>12936</v>
      </c>
      <c r="V3985" s="148">
        <v>45565</v>
      </c>
      <c r="W3985" s="80" t="s">
        <v>12856</v>
      </c>
      <c r="X3985" s="80">
        <v>0</v>
      </c>
      <c r="Y3985" s="22">
        <v>0</v>
      </c>
      <c r="Z3985" s="80" t="s">
        <v>50</v>
      </c>
      <c r="AA3985" s="96" t="s">
        <v>3291</v>
      </c>
      <c r="AB3985" s="80"/>
      <c r="AC3985" s="80" t="s">
        <v>53</v>
      </c>
      <c r="AD3985" s="80" t="s">
        <v>138</v>
      </c>
      <c r="AE3985" s="80" t="s">
        <v>14200</v>
      </c>
      <c r="AF3985" s="17">
        <v>45742</v>
      </c>
      <c r="AG3985" s="60" t="s">
        <v>14218</v>
      </c>
      <c r="AH3985" s="80"/>
      <c r="AI3985" s="147" t="s">
        <v>147</v>
      </c>
      <c r="AJ3985" s="80"/>
      <c r="AK3985" s="80"/>
      <c r="AL3985" s="35"/>
      <c r="AM3985" s="35"/>
      <c r="AN3985" s="35"/>
      <c r="AO3985" s="35"/>
      <c r="AP3985" s="35"/>
    </row>
    <row r="3986" spans="1:42" x14ac:dyDescent="0.2">
      <c r="A3986" s="38">
        <v>45601</v>
      </c>
      <c r="B3986" s="137" t="s">
        <v>37</v>
      </c>
      <c r="C3986" s="41" t="s">
        <v>118</v>
      </c>
      <c r="D3986" s="80" t="s">
        <v>36</v>
      </c>
      <c r="E3986" s="80" t="s">
        <v>139</v>
      </c>
      <c r="F3986" s="80" t="s">
        <v>12474</v>
      </c>
      <c r="G3986" s="80" t="s">
        <v>108</v>
      </c>
      <c r="H3986" s="80" t="s">
        <v>14200</v>
      </c>
      <c r="I3986" s="17">
        <f ca="1">IFERROR(__xludf.DUMMYFUNCTION("""COMPUTED_VALUE"""),45607)</f>
        <v>45607</v>
      </c>
      <c r="J3986" s="143" t="s">
        <v>14219</v>
      </c>
      <c r="K3986" s="80" t="s">
        <v>14220</v>
      </c>
      <c r="L3986" s="30">
        <v>912227891</v>
      </c>
      <c r="M3986" s="80" t="s">
        <v>5518</v>
      </c>
      <c r="N3986" s="80" t="s">
        <v>12380</v>
      </c>
      <c r="O3986" s="80" t="s">
        <v>14221</v>
      </c>
      <c r="P3986" s="80" t="s">
        <v>5462</v>
      </c>
      <c r="Q3986" s="20">
        <v>15936</v>
      </c>
      <c r="R3986" s="80" t="s">
        <v>70</v>
      </c>
      <c r="S3986" s="95">
        <f t="shared" ref="S3986:S3987" si="61">500+1500</f>
        <v>2000</v>
      </c>
      <c r="T3986" s="83" t="s">
        <v>12901</v>
      </c>
      <c r="U3986" s="95">
        <v>13836</v>
      </c>
      <c r="V3986" s="148">
        <v>45572</v>
      </c>
      <c r="W3986" s="85" t="s">
        <v>14222</v>
      </c>
      <c r="X3986" s="80"/>
      <c r="Y3986" s="22">
        <v>100</v>
      </c>
      <c r="Z3986" s="80" t="s">
        <v>50</v>
      </c>
      <c r="AA3986" s="86"/>
      <c r="AB3986" s="80"/>
      <c r="AC3986" s="80" t="s">
        <v>53</v>
      </c>
      <c r="AD3986" s="80" t="s">
        <v>138</v>
      </c>
      <c r="AE3986" s="80" t="s">
        <v>12474</v>
      </c>
      <c r="AF3986" s="17">
        <v>45607</v>
      </c>
      <c r="AG3986" s="80"/>
      <c r="AH3986" s="80"/>
      <c r="AI3986" s="147"/>
      <c r="AJ3986" s="80"/>
      <c r="AK3986" s="80"/>
      <c r="AL3986" s="35"/>
      <c r="AM3986" s="35"/>
      <c r="AN3986" s="35"/>
      <c r="AO3986" s="35"/>
      <c r="AP3986" s="35"/>
    </row>
    <row r="3987" spans="1:42" x14ac:dyDescent="0.2">
      <c r="A3987" s="38">
        <v>45601</v>
      </c>
      <c r="B3987" s="137" t="s">
        <v>37</v>
      </c>
      <c r="C3987" s="41" t="s">
        <v>118</v>
      </c>
      <c r="D3987" s="80" t="s">
        <v>36</v>
      </c>
      <c r="E3987" s="80" t="s">
        <v>139</v>
      </c>
      <c r="F3987" s="80" t="s">
        <v>12474</v>
      </c>
      <c r="G3987" s="80" t="s">
        <v>108</v>
      </c>
      <c r="H3987" s="80" t="s">
        <v>14200</v>
      </c>
      <c r="I3987" s="17">
        <f ca="1">IFERROR(__xludf.DUMMYFUNCTION("""COMPUTED_VALUE"""),45607)</f>
        <v>45607</v>
      </c>
      <c r="J3987" s="143" t="s">
        <v>14223</v>
      </c>
      <c r="K3987" s="80" t="s">
        <v>14224</v>
      </c>
      <c r="L3987" s="30">
        <v>966727559</v>
      </c>
      <c r="M3987" s="80" t="s">
        <v>5518</v>
      </c>
      <c r="N3987" s="80" t="s">
        <v>12380</v>
      </c>
      <c r="O3987" s="80" t="s">
        <v>14225</v>
      </c>
      <c r="P3987" s="80" t="s">
        <v>5462</v>
      </c>
      <c r="Q3987" s="20">
        <v>15936</v>
      </c>
      <c r="R3987" s="80" t="s">
        <v>70</v>
      </c>
      <c r="S3987" s="95">
        <f t="shared" si="61"/>
        <v>2000</v>
      </c>
      <c r="T3987" s="83" t="s">
        <v>12901</v>
      </c>
      <c r="U3987" s="95">
        <v>13836</v>
      </c>
      <c r="V3987" s="148">
        <v>45572</v>
      </c>
      <c r="W3987" s="85" t="s">
        <v>14226</v>
      </c>
      <c r="X3987" s="80"/>
      <c r="Y3987" s="22">
        <v>100</v>
      </c>
      <c r="Z3987" s="80" t="s">
        <v>50</v>
      </c>
      <c r="AA3987" s="82"/>
      <c r="AB3987" s="80"/>
      <c r="AC3987" s="80" t="s">
        <v>53</v>
      </c>
      <c r="AD3987" s="80" t="s">
        <v>138</v>
      </c>
      <c r="AE3987" s="80" t="s">
        <v>12474</v>
      </c>
      <c r="AF3987" s="17">
        <v>45607</v>
      </c>
      <c r="AG3987" s="80"/>
      <c r="AH3987" s="80"/>
      <c r="AI3987" s="147"/>
      <c r="AJ3987" s="80"/>
      <c r="AK3987" s="80"/>
      <c r="AL3987" s="35"/>
      <c r="AM3987" s="35"/>
      <c r="AN3987" s="35"/>
      <c r="AO3987" s="35"/>
      <c r="AP3987" s="35"/>
    </row>
    <row r="3988" spans="1:42" x14ac:dyDescent="0.2">
      <c r="A3988" s="38">
        <v>45601</v>
      </c>
      <c r="B3988" s="137" t="s">
        <v>37</v>
      </c>
      <c r="C3988" s="41" t="s">
        <v>118</v>
      </c>
      <c r="D3988" s="80" t="s">
        <v>36</v>
      </c>
      <c r="E3988" s="80" t="s">
        <v>139</v>
      </c>
      <c r="F3988" s="80" t="s">
        <v>11183</v>
      </c>
      <c r="G3988" s="80" t="s">
        <v>108</v>
      </c>
      <c r="H3988" s="80" t="s">
        <v>14227</v>
      </c>
      <c r="I3988" s="17">
        <f ca="1">IFERROR(__xludf.DUMMYFUNCTION("""COMPUTED_VALUE"""),45811)</f>
        <v>45811</v>
      </c>
      <c r="J3988" s="143" t="s">
        <v>14228</v>
      </c>
      <c r="K3988" s="145" t="s">
        <v>14229</v>
      </c>
      <c r="L3988" s="30">
        <v>904086205</v>
      </c>
      <c r="M3988" s="80" t="s">
        <v>123</v>
      </c>
      <c r="N3988" s="80" t="s">
        <v>2847</v>
      </c>
      <c r="O3988" s="80" t="s">
        <v>4503</v>
      </c>
      <c r="P3988" s="80" t="s">
        <v>3487</v>
      </c>
      <c r="Q3988" s="20">
        <v>15936</v>
      </c>
      <c r="R3988" s="80" t="s">
        <v>70</v>
      </c>
      <c r="S3988" s="168">
        <f>200+2000</f>
        <v>2200</v>
      </c>
      <c r="T3988" s="192" t="s">
        <v>14230</v>
      </c>
      <c r="U3988" s="95">
        <v>13836</v>
      </c>
      <c r="V3988" s="148">
        <v>45574</v>
      </c>
      <c r="W3988" s="85" t="s">
        <v>14231</v>
      </c>
      <c r="X3988" s="80"/>
      <c r="Y3988" s="22">
        <v>-100</v>
      </c>
      <c r="Z3988" s="80" t="s">
        <v>50</v>
      </c>
      <c r="AA3988" s="86"/>
      <c r="AB3988" s="80"/>
      <c r="AC3988" s="80" t="s">
        <v>53</v>
      </c>
      <c r="AD3988" s="80" t="s">
        <v>138</v>
      </c>
      <c r="AE3988" s="80" t="s">
        <v>11183</v>
      </c>
      <c r="AF3988" s="43">
        <v>45607</v>
      </c>
      <c r="AG3988" s="26" t="s">
        <v>8366</v>
      </c>
      <c r="AH3988" s="80"/>
      <c r="AI3988" s="147"/>
      <c r="AJ3988" s="80"/>
      <c r="AK3988" s="80"/>
      <c r="AL3988" s="35"/>
      <c r="AM3988" s="35"/>
      <c r="AN3988" s="35"/>
      <c r="AO3988" s="35"/>
      <c r="AP3988" s="35"/>
    </row>
    <row r="3989" spans="1:42" x14ac:dyDescent="0.2">
      <c r="A3989" s="38">
        <v>45601</v>
      </c>
      <c r="B3989" s="137" t="s">
        <v>37</v>
      </c>
      <c r="C3989" s="41" t="s">
        <v>118</v>
      </c>
      <c r="D3989" s="80" t="s">
        <v>36</v>
      </c>
      <c r="E3989" s="80" t="s">
        <v>119</v>
      </c>
      <c r="F3989" s="80" t="s">
        <v>1242</v>
      </c>
      <c r="G3989" s="80" t="s">
        <v>221</v>
      </c>
      <c r="H3989" s="80" t="s">
        <v>13665</v>
      </c>
      <c r="I3989" s="17">
        <f ca="1">IFERROR(__xludf.DUMMYFUNCTION("""COMPUTED_VALUE"""),45665)</f>
        <v>45665</v>
      </c>
      <c r="J3989" s="143" t="s">
        <v>11250</v>
      </c>
      <c r="K3989" s="80" t="s">
        <v>14232</v>
      </c>
      <c r="L3989" s="30">
        <v>399107609</v>
      </c>
      <c r="M3989" s="80" t="s">
        <v>11252</v>
      </c>
      <c r="N3989" s="80" t="s">
        <v>1306</v>
      </c>
      <c r="O3989" s="80"/>
      <c r="P3989" s="115" t="s">
        <v>14233</v>
      </c>
      <c r="Q3989" s="20">
        <v>13968</v>
      </c>
      <c r="R3989" s="80" t="s">
        <v>36</v>
      </c>
      <c r="S3989" s="95">
        <v>6984</v>
      </c>
      <c r="T3989" s="148">
        <v>45509</v>
      </c>
      <c r="U3989" s="95">
        <v>6984</v>
      </c>
      <c r="V3989" s="148">
        <v>45521</v>
      </c>
      <c r="W3989" s="85" t="s">
        <v>11254</v>
      </c>
      <c r="X3989" s="80">
        <v>0</v>
      </c>
      <c r="Y3989" s="22">
        <v>0</v>
      </c>
      <c r="Z3989" s="80" t="s">
        <v>50</v>
      </c>
      <c r="AA3989" s="96" t="s">
        <v>10314</v>
      </c>
      <c r="AB3989" s="80"/>
      <c r="AC3989" s="80" t="s">
        <v>53</v>
      </c>
      <c r="AD3989" s="80" t="s">
        <v>54</v>
      </c>
      <c r="AE3989" s="80" t="s">
        <v>1242</v>
      </c>
      <c r="AF3989" s="17">
        <v>45601</v>
      </c>
      <c r="AG3989" s="80"/>
      <c r="AH3989" s="80"/>
      <c r="AI3989" s="147"/>
      <c r="AJ3989" s="80"/>
      <c r="AK3989" s="80"/>
      <c r="AL3989" s="35"/>
      <c r="AM3989" s="35"/>
      <c r="AN3989" s="35"/>
      <c r="AO3989" s="35"/>
      <c r="AP3989" s="35"/>
    </row>
    <row r="3990" spans="1:42" x14ac:dyDescent="0.2">
      <c r="A3990" s="38">
        <v>45601</v>
      </c>
      <c r="B3990" s="137" t="s">
        <v>37</v>
      </c>
      <c r="C3990" s="41" t="s">
        <v>118</v>
      </c>
      <c r="D3990" s="80" t="s">
        <v>36</v>
      </c>
      <c r="E3990" s="80" t="s">
        <v>139</v>
      </c>
      <c r="F3990" s="80" t="s">
        <v>12474</v>
      </c>
      <c r="G3990" s="80" t="s">
        <v>108</v>
      </c>
      <c r="H3990" s="80" t="s">
        <v>14234</v>
      </c>
      <c r="I3990" s="17">
        <f ca="1">IFERROR(__xludf.DUMMYFUNCTION("""COMPUTED_VALUE"""),45642)</f>
        <v>45642</v>
      </c>
      <c r="J3990" s="172" t="s">
        <v>12822</v>
      </c>
      <c r="K3990" s="80" t="s">
        <v>14235</v>
      </c>
      <c r="L3990" s="30">
        <v>398025674</v>
      </c>
      <c r="M3990" s="80" t="s">
        <v>11413</v>
      </c>
      <c r="N3990" s="80" t="s">
        <v>5092</v>
      </c>
      <c r="O3990" s="80" t="s">
        <v>61</v>
      </c>
      <c r="P3990" s="80" t="s">
        <v>5462</v>
      </c>
      <c r="Q3990" s="20">
        <v>15936</v>
      </c>
      <c r="R3990" s="80" t="s">
        <v>36</v>
      </c>
      <c r="S3990" s="95">
        <v>15936</v>
      </c>
      <c r="T3990" s="148">
        <v>45541</v>
      </c>
      <c r="U3990" s="77"/>
      <c r="V3990" s="78"/>
      <c r="W3990" s="85" t="s">
        <v>12824</v>
      </c>
      <c r="X3990" s="80">
        <v>0</v>
      </c>
      <c r="Y3990" s="22">
        <v>0</v>
      </c>
      <c r="Z3990" s="26" t="s">
        <v>50</v>
      </c>
      <c r="AA3990" s="35" t="s">
        <v>3291</v>
      </c>
      <c r="AB3990" s="80"/>
      <c r="AC3990" s="80" t="s">
        <v>53</v>
      </c>
      <c r="AD3990" s="80" t="s">
        <v>54</v>
      </c>
      <c r="AE3990" s="80" t="s">
        <v>12474</v>
      </c>
      <c r="AF3990" s="17">
        <v>45607</v>
      </c>
      <c r="AG3990" s="80"/>
      <c r="AH3990" s="80"/>
      <c r="AI3990" s="147" t="s">
        <v>147</v>
      </c>
      <c r="AJ3990" s="80"/>
      <c r="AK3990" s="80"/>
      <c r="AL3990" s="35"/>
      <c r="AM3990" s="35"/>
      <c r="AN3990" s="35"/>
      <c r="AO3990" s="35"/>
      <c r="AP3990" s="35"/>
    </row>
    <row r="3991" spans="1:42" x14ac:dyDescent="0.2">
      <c r="A3991" s="38">
        <v>45601</v>
      </c>
      <c r="B3991" s="28" t="s">
        <v>37</v>
      </c>
      <c r="C3991" s="41" t="s">
        <v>118</v>
      </c>
      <c r="D3991" s="26" t="s">
        <v>36</v>
      </c>
      <c r="E3991" s="26" t="s">
        <v>119</v>
      </c>
      <c r="F3991" s="26" t="s">
        <v>6519</v>
      </c>
      <c r="G3991" s="26" t="s">
        <v>1847</v>
      </c>
      <c r="H3991" s="26" t="s">
        <v>9050</v>
      </c>
      <c r="I3991" s="17">
        <f ca="1">IFERROR(__xludf.DUMMYFUNCTION("""COMPUTED_VALUE"""),45607)</f>
        <v>45607</v>
      </c>
      <c r="J3991" s="29" t="s">
        <v>5344</v>
      </c>
      <c r="K3991" s="26" t="s">
        <v>5345</v>
      </c>
      <c r="L3991" s="30">
        <v>365045442</v>
      </c>
      <c r="M3991" s="26" t="s">
        <v>123</v>
      </c>
      <c r="N3991" s="26" t="s">
        <v>850</v>
      </c>
      <c r="O3991" s="26" t="s">
        <v>2737</v>
      </c>
      <c r="P3991" s="42" t="s">
        <v>9015</v>
      </c>
      <c r="Q3991" s="20">
        <v>13968</v>
      </c>
      <c r="R3991" s="26" t="s">
        <v>36</v>
      </c>
      <c r="S3991" s="31">
        <v>4000</v>
      </c>
      <c r="T3991" s="32" t="s">
        <v>5346</v>
      </c>
      <c r="U3991" s="58">
        <v>9968</v>
      </c>
      <c r="V3991" s="59">
        <v>45240</v>
      </c>
      <c r="W3991" s="33" t="s">
        <v>5347</v>
      </c>
      <c r="X3991" s="26"/>
      <c r="Y3991" s="22">
        <v>0</v>
      </c>
      <c r="Z3991" s="26" t="s">
        <v>118</v>
      </c>
      <c r="AA3991" s="19" t="s">
        <v>5112</v>
      </c>
      <c r="AB3991" s="26" t="s">
        <v>36</v>
      </c>
      <c r="AC3991" s="26" t="s">
        <v>53</v>
      </c>
      <c r="AD3991" s="19" t="s">
        <v>138</v>
      </c>
      <c r="AE3991" s="26" t="s">
        <v>6519</v>
      </c>
      <c r="AF3991" s="17">
        <v>45607</v>
      </c>
      <c r="AG3991" s="26"/>
      <c r="AH3991" s="26"/>
      <c r="AI3991" s="40">
        <v>4</v>
      </c>
      <c r="AJ3991" s="26"/>
      <c r="AK3991" s="26"/>
      <c r="AL3991" s="35"/>
      <c r="AM3991" s="35"/>
      <c r="AN3991" s="35"/>
      <c r="AO3991" s="35"/>
      <c r="AP3991" s="35"/>
    </row>
    <row r="3992" spans="1:42" x14ac:dyDescent="0.2">
      <c r="A3992" s="38">
        <v>45601</v>
      </c>
      <c r="B3992" s="137" t="s">
        <v>37</v>
      </c>
      <c r="C3992" s="41" t="s">
        <v>118</v>
      </c>
      <c r="D3992" s="80" t="s">
        <v>36</v>
      </c>
      <c r="E3992" s="80" t="s">
        <v>139</v>
      </c>
      <c r="F3992" s="80" t="s">
        <v>12474</v>
      </c>
      <c r="G3992" s="80" t="s">
        <v>108</v>
      </c>
      <c r="H3992" s="80" t="s">
        <v>14200</v>
      </c>
      <c r="I3992" s="17">
        <f ca="1">IFERROR(__xludf.DUMMYFUNCTION("""COMPUTED_VALUE"""),45607)</f>
        <v>45607</v>
      </c>
      <c r="J3992" s="143" t="s">
        <v>14236</v>
      </c>
      <c r="K3992" s="80" t="s">
        <v>13732</v>
      </c>
      <c r="L3992" s="30">
        <v>383364180</v>
      </c>
      <c r="M3992" s="80" t="s">
        <v>5558</v>
      </c>
      <c r="N3992" s="80" t="s">
        <v>5559</v>
      </c>
      <c r="O3992" s="80" t="s">
        <v>4503</v>
      </c>
      <c r="P3992" s="80" t="s">
        <v>4503</v>
      </c>
      <c r="Q3992" s="20">
        <v>15936</v>
      </c>
      <c r="R3992" s="80" t="s">
        <v>36</v>
      </c>
      <c r="S3992" s="95">
        <f>200+1800+9000</f>
        <v>11000</v>
      </c>
      <c r="T3992" s="83" t="s">
        <v>14237</v>
      </c>
      <c r="U3992" s="95">
        <v>4936</v>
      </c>
      <c r="V3992" s="148">
        <v>45566</v>
      </c>
      <c r="W3992" s="85" t="s">
        <v>14238</v>
      </c>
      <c r="X3992" s="80"/>
      <c r="Y3992" s="22">
        <v>0</v>
      </c>
      <c r="Z3992" s="80" t="s">
        <v>50</v>
      </c>
      <c r="AA3992" s="86"/>
      <c r="AB3992" s="80"/>
      <c r="AC3992" s="80" t="s">
        <v>53</v>
      </c>
      <c r="AD3992" s="80" t="s">
        <v>138</v>
      </c>
      <c r="AE3992" s="80" t="s">
        <v>12474</v>
      </c>
      <c r="AF3992" s="17">
        <v>45607</v>
      </c>
      <c r="AG3992" s="80"/>
      <c r="AH3992" s="80"/>
      <c r="AI3992" s="147"/>
      <c r="AJ3992" s="80"/>
      <c r="AK3992" s="80"/>
      <c r="AL3992" s="35"/>
      <c r="AM3992" s="35"/>
      <c r="AN3992" s="35"/>
      <c r="AO3992" s="35"/>
      <c r="AP3992" s="35"/>
    </row>
    <row r="3993" spans="1:42" x14ac:dyDescent="0.2">
      <c r="A3993" s="38">
        <v>45601</v>
      </c>
      <c r="B3993" s="137" t="s">
        <v>37</v>
      </c>
      <c r="C3993" s="41" t="s">
        <v>118</v>
      </c>
      <c r="D3993" s="80" t="s">
        <v>36</v>
      </c>
      <c r="E3993" s="80" t="s">
        <v>139</v>
      </c>
      <c r="F3993" s="80" t="s">
        <v>12474</v>
      </c>
      <c r="G3993" s="80" t="s">
        <v>108</v>
      </c>
      <c r="H3993" s="80" t="s">
        <v>14200</v>
      </c>
      <c r="I3993" s="17">
        <f ca="1">IFERROR(__xludf.DUMMYFUNCTION("""COMPUTED_VALUE"""),45607)</f>
        <v>45607</v>
      </c>
      <c r="J3993" s="143" t="s">
        <v>12594</v>
      </c>
      <c r="K3993" s="80" t="s">
        <v>12595</v>
      </c>
      <c r="L3993" s="30">
        <v>855612106</v>
      </c>
      <c r="M3993" s="80" t="s">
        <v>5429</v>
      </c>
      <c r="N3993" s="80" t="s">
        <v>756</v>
      </c>
      <c r="O3993" s="80" t="s">
        <v>12596</v>
      </c>
      <c r="P3993" s="80" t="s">
        <v>12597</v>
      </c>
      <c r="Q3993" s="20">
        <v>15936</v>
      </c>
      <c r="R3993" s="80" t="s">
        <v>36</v>
      </c>
      <c r="S3993" s="95">
        <f>200+1800</f>
        <v>2000</v>
      </c>
      <c r="T3993" s="83" t="s">
        <v>12598</v>
      </c>
      <c r="U3993" s="95">
        <v>13936</v>
      </c>
      <c r="V3993" s="148">
        <v>45565</v>
      </c>
      <c r="W3993" s="85" t="s">
        <v>12599</v>
      </c>
      <c r="X3993" s="80">
        <v>0</v>
      </c>
      <c r="Y3993" s="22">
        <v>0</v>
      </c>
      <c r="Z3993" s="80" t="s">
        <v>50</v>
      </c>
      <c r="AA3993" s="96" t="s">
        <v>3291</v>
      </c>
      <c r="AB3993" s="80"/>
      <c r="AC3993" s="80" t="s">
        <v>53</v>
      </c>
      <c r="AD3993" s="80" t="s">
        <v>138</v>
      </c>
      <c r="AE3993" s="80" t="s">
        <v>12474</v>
      </c>
      <c r="AF3993" s="17">
        <v>45607</v>
      </c>
      <c r="AG3993" s="80"/>
      <c r="AH3993" s="80"/>
      <c r="AI3993" s="147" t="s">
        <v>147</v>
      </c>
      <c r="AJ3993" s="80"/>
      <c r="AK3993" s="80"/>
      <c r="AL3993" s="35"/>
      <c r="AM3993" s="35"/>
      <c r="AN3993" s="35"/>
      <c r="AO3993" s="35"/>
      <c r="AP3993" s="35"/>
    </row>
    <row r="3994" spans="1:42" x14ac:dyDescent="0.2">
      <c r="A3994" s="38">
        <v>45601</v>
      </c>
      <c r="B3994" s="137" t="s">
        <v>37</v>
      </c>
      <c r="C3994" s="41" t="s">
        <v>118</v>
      </c>
      <c r="D3994" s="80" t="s">
        <v>36</v>
      </c>
      <c r="E3994" s="80" t="s">
        <v>139</v>
      </c>
      <c r="F3994" s="80" t="s">
        <v>11735</v>
      </c>
      <c r="G3994" s="80" t="s">
        <v>108</v>
      </c>
      <c r="H3994" s="80" t="s">
        <v>8702</v>
      </c>
      <c r="I3994" s="17">
        <f ca="1">IFERROR(__xludf.DUMMYFUNCTION("""COMPUTED_VALUE"""),45608)</f>
        <v>45608</v>
      </c>
      <c r="J3994" s="143" t="s">
        <v>14239</v>
      </c>
      <c r="K3994" s="80" t="s">
        <v>14240</v>
      </c>
      <c r="L3994" s="30">
        <v>835201106</v>
      </c>
      <c r="M3994" s="80" t="s">
        <v>2755</v>
      </c>
      <c r="N3994" s="80" t="s">
        <v>2756</v>
      </c>
      <c r="O3994" s="80" t="s">
        <v>4503</v>
      </c>
      <c r="P3994" s="80" t="s">
        <v>7649</v>
      </c>
      <c r="Q3994" s="20">
        <v>15936</v>
      </c>
      <c r="R3994" s="80" t="s">
        <v>36</v>
      </c>
      <c r="S3994" s="95">
        <v>2200</v>
      </c>
      <c r="T3994" s="148">
        <v>45544</v>
      </c>
      <c r="U3994" s="95">
        <v>13736</v>
      </c>
      <c r="V3994" s="148">
        <v>45572</v>
      </c>
      <c r="W3994" s="80" t="s">
        <v>14241</v>
      </c>
      <c r="X3994" s="80"/>
      <c r="Y3994" s="22">
        <v>0</v>
      </c>
      <c r="Z3994" s="80" t="s">
        <v>50</v>
      </c>
      <c r="AA3994" s="86"/>
      <c r="AB3994" s="80"/>
      <c r="AC3994" s="80" t="s">
        <v>53</v>
      </c>
      <c r="AD3994" s="80" t="s">
        <v>54</v>
      </c>
      <c r="AE3994" s="80" t="s">
        <v>11735</v>
      </c>
      <c r="AF3994" s="17">
        <v>45611</v>
      </c>
      <c r="AG3994" s="80" t="s">
        <v>14199</v>
      </c>
      <c r="AH3994" s="80"/>
      <c r="AI3994" s="147"/>
      <c r="AJ3994" s="80"/>
      <c r="AK3994" s="80"/>
      <c r="AL3994" s="35"/>
      <c r="AM3994" s="35"/>
      <c r="AN3994" s="35"/>
      <c r="AO3994" s="35"/>
      <c r="AP3994" s="35"/>
    </row>
    <row r="3995" spans="1:42" x14ac:dyDescent="0.2">
      <c r="A3995" s="38">
        <v>45601</v>
      </c>
      <c r="B3995" s="137" t="s">
        <v>37</v>
      </c>
      <c r="C3995" s="41" t="s">
        <v>118</v>
      </c>
      <c r="D3995" s="80" t="s">
        <v>36</v>
      </c>
      <c r="E3995" s="80" t="s">
        <v>139</v>
      </c>
      <c r="F3995" s="80" t="s">
        <v>10033</v>
      </c>
      <c r="G3995" s="80" t="s">
        <v>108</v>
      </c>
      <c r="H3995" s="80" t="s">
        <v>10033</v>
      </c>
      <c r="I3995" s="17">
        <f ca="1">IFERROR(__xludf.DUMMYFUNCTION("""COMPUTED_VALUE"""),45664)</f>
        <v>45664</v>
      </c>
      <c r="J3995" s="143" t="s">
        <v>12722</v>
      </c>
      <c r="K3995" s="80" t="s">
        <v>14242</v>
      </c>
      <c r="L3995" s="30">
        <v>365158954</v>
      </c>
      <c r="M3995" s="80" t="s">
        <v>5518</v>
      </c>
      <c r="N3995" s="80" t="s">
        <v>5524</v>
      </c>
      <c r="O3995" s="80" t="s">
        <v>12724</v>
      </c>
      <c r="P3995" s="80" t="s">
        <v>5462</v>
      </c>
      <c r="Q3995" s="20">
        <v>15936</v>
      </c>
      <c r="R3995" s="80" t="s">
        <v>70</v>
      </c>
      <c r="S3995" s="95">
        <f>200+1800</f>
        <v>2000</v>
      </c>
      <c r="T3995" s="83" t="s">
        <v>12725</v>
      </c>
      <c r="U3995" s="95">
        <v>13936</v>
      </c>
      <c r="V3995" s="148">
        <v>45565</v>
      </c>
      <c r="W3995" s="85" t="s">
        <v>12726</v>
      </c>
      <c r="X3995" s="80">
        <v>100</v>
      </c>
      <c r="Y3995" s="22">
        <v>-100</v>
      </c>
      <c r="Z3995" s="80" t="s">
        <v>50</v>
      </c>
      <c r="AA3995" s="96" t="s">
        <v>3291</v>
      </c>
      <c r="AB3995" s="80"/>
      <c r="AC3995" s="80" t="s">
        <v>53</v>
      </c>
      <c r="AD3995" s="80" t="s">
        <v>138</v>
      </c>
      <c r="AE3995" s="80" t="s">
        <v>12474</v>
      </c>
      <c r="AF3995" s="17">
        <v>45607</v>
      </c>
      <c r="AG3995" s="80"/>
      <c r="AH3995" s="80"/>
      <c r="AI3995" s="147" t="s">
        <v>147</v>
      </c>
      <c r="AJ3995" s="80"/>
      <c r="AK3995" s="80"/>
      <c r="AL3995" s="35"/>
      <c r="AM3995" s="35"/>
      <c r="AN3995" s="35"/>
      <c r="AO3995" s="35"/>
      <c r="AP3995" s="35"/>
    </row>
    <row r="3996" spans="1:42" x14ac:dyDescent="0.2">
      <c r="A3996" s="38">
        <v>45601</v>
      </c>
      <c r="B3996" s="137" t="s">
        <v>37</v>
      </c>
      <c r="C3996" s="41" t="s">
        <v>118</v>
      </c>
      <c r="D3996" s="80" t="s">
        <v>36</v>
      </c>
      <c r="E3996" s="80" t="s">
        <v>139</v>
      </c>
      <c r="F3996" s="80" t="s">
        <v>11735</v>
      </c>
      <c r="G3996" s="26" t="s">
        <v>108</v>
      </c>
      <c r="H3996" s="80" t="s">
        <v>8702</v>
      </c>
      <c r="I3996" s="17">
        <f ca="1">IFERROR(__xludf.DUMMYFUNCTION("""COMPUTED_VALUE"""),45608)</f>
        <v>45608</v>
      </c>
      <c r="J3996" s="143" t="s">
        <v>14243</v>
      </c>
      <c r="K3996" s="80" t="s">
        <v>14244</v>
      </c>
      <c r="L3996" s="30">
        <v>931381308</v>
      </c>
      <c r="M3996" s="80" t="s">
        <v>5429</v>
      </c>
      <c r="N3996" s="80" t="s">
        <v>3065</v>
      </c>
      <c r="O3996" s="80" t="s">
        <v>14245</v>
      </c>
      <c r="P3996" s="80" t="s">
        <v>7107</v>
      </c>
      <c r="Q3996" s="20">
        <v>15936</v>
      </c>
      <c r="R3996" s="80" t="s">
        <v>36</v>
      </c>
      <c r="S3996" s="95">
        <v>2000</v>
      </c>
      <c r="T3996" s="148">
        <v>45538</v>
      </c>
      <c r="U3996" s="95">
        <v>13936</v>
      </c>
      <c r="V3996" s="148">
        <v>45570</v>
      </c>
      <c r="W3996" s="85" t="s">
        <v>14246</v>
      </c>
      <c r="X3996" s="80"/>
      <c r="Y3996" s="22">
        <v>0</v>
      </c>
      <c r="Z3996" s="80" t="s">
        <v>50</v>
      </c>
      <c r="AA3996" s="86"/>
      <c r="AB3996" s="80"/>
      <c r="AC3996" s="80" t="s">
        <v>53</v>
      </c>
      <c r="AD3996" s="80" t="s">
        <v>138</v>
      </c>
      <c r="AE3996" s="80" t="s">
        <v>11735</v>
      </c>
      <c r="AF3996" s="17">
        <v>45611</v>
      </c>
      <c r="AG3996" s="80" t="s">
        <v>14199</v>
      </c>
      <c r="AH3996" s="80"/>
      <c r="AI3996" s="147"/>
      <c r="AJ3996" s="80"/>
      <c r="AK3996" s="80"/>
      <c r="AL3996" s="35"/>
      <c r="AM3996" s="35"/>
      <c r="AN3996" s="35"/>
      <c r="AO3996" s="35"/>
      <c r="AP3996" s="35"/>
    </row>
    <row r="3997" spans="1:42" x14ac:dyDescent="0.2">
      <c r="A3997" s="38">
        <v>45601</v>
      </c>
      <c r="B3997" s="137" t="s">
        <v>37</v>
      </c>
      <c r="C3997" s="41" t="s">
        <v>118</v>
      </c>
      <c r="D3997" s="80" t="s">
        <v>36</v>
      </c>
      <c r="E3997" s="80" t="s">
        <v>139</v>
      </c>
      <c r="F3997" s="80" t="s">
        <v>11735</v>
      </c>
      <c r="G3997" s="80" t="s">
        <v>108</v>
      </c>
      <c r="H3997" s="80" t="s">
        <v>8702</v>
      </c>
      <c r="I3997" s="17">
        <f ca="1">IFERROR(__xludf.DUMMYFUNCTION("""COMPUTED_VALUE"""),45608)</f>
        <v>45608</v>
      </c>
      <c r="J3997" s="143" t="s">
        <v>12679</v>
      </c>
      <c r="K3997" s="80" t="s">
        <v>1616</v>
      </c>
      <c r="L3997" s="30">
        <v>973530940</v>
      </c>
      <c r="M3997" s="80" t="s">
        <v>59</v>
      </c>
      <c r="N3997" s="80" t="s">
        <v>4299</v>
      </c>
      <c r="O3997" s="80" t="s">
        <v>12680</v>
      </c>
      <c r="P3997" s="80" t="s">
        <v>12681</v>
      </c>
      <c r="Q3997" s="20">
        <v>15936</v>
      </c>
      <c r="R3997" s="80" t="s">
        <v>1106</v>
      </c>
      <c r="S3997" s="95">
        <f>200+2000</f>
        <v>2200</v>
      </c>
      <c r="T3997" s="83" t="s">
        <v>12682</v>
      </c>
      <c r="U3997" s="95">
        <v>13613</v>
      </c>
      <c r="V3997" s="148">
        <v>45558</v>
      </c>
      <c r="W3997" s="85" t="s">
        <v>12683</v>
      </c>
      <c r="X3997" s="80">
        <v>150</v>
      </c>
      <c r="Y3997" s="22">
        <v>-27</v>
      </c>
      <c r="Z3997" s="80" t="s">
        <v>50</v>
      </c>
      <c r="AA3997" s="96" t="s">
        <v>3291</v>
      </c>
      <c r="AB3997" s="80"/>
      <c r="AC3997" s="80" t="s">
        <v>53</v>
      </c>
      <c r="AD3997" s="80" t="s">
        <v>138</v>
      </c>
      <c r="AE3997" s="80" t="s">
        <v>11735</v>
      </c>
      <c r="AF3997" s="17">
        <v>45611</v>
      </c>
      <c r="AG3997" s="80" t="s">
        <v>14199</v>
      </c>
      <c r="AH3997" s="80"/>
      <c r="AI3997" s="147" t="s">
        <v>147</v>
      </c>
      <c r="AJ3997" s="80"/>
      <c r="AK3997" s="80"/>
      <c r="AL3997" s="35"/>
      <c r="AM3997" s="35"/>
      <c r="AN3997" s="35"/>
      <c r="AO3997" s="35"/>
      <c r="AP3997" s="35"/>
    </row>
    <row r="3998" spans="1:42" x14ac:dyDescent="0.2">
      <c r="A3998" s="38">
        <v>45601</v>
      </c>
      <c r="B3998" s="137" t="s">
        <v>37</v>
      </c>
      <c r="C3998" s="41" t="s">
        <v>118</v>
      </c>
      <c r="D3998" s="80" t="s">
        <v>36</v>
      </c>
      <c r="E3998" s="80" t="s">
        <v>139</v>
      </c>
      <c r="F3998" s="80" t="s">
        <v>12474</v>
      </c>
      <c r="G3998" s="80" t="s">
        <v>108</v>
      </c>
      <c r="H3998" s="80" t="s">
        <v>14200</v>
      </c>
      <c r="I3998" s="17">
        <f ca="1">IFERROR(__xludf.DUMMYFUNCTION("""COMPUTED_VALUE"""),45607)</f>
        <v>45607</v>
      </c>
      <c r="J3998" s="143" t="s">
        <v>14247</v>
      </c>
      <c r="K3998" s="80" t="s">
        <v>14248</v>
      </c>
      <c r="L3998" s="30">
        <v>398507115</v>
      </c>
      <c r="M3998" s="80" t="s">
        <v>3728</v>
      </c>
      <c r="N3998" s="80" t="s">
        <v>5277</v>
      </c>
      <c r="O3998" s="80" t="s">
        <v>14249</v>
      </c>
      <c r="P3998" s="80" t="s">
        <v>11644</v>
      </c>
      <c r="Q3998" s="20">
        <v>15936</v>
      </c>
      <c r="R3998" s="80" t="s">
        <v>36</v>
      </c>
      <c r="S3998" s="95">
        <f>500+1500</f>
        <v>2000</v>
      </c>
      <c r="T3998" s="83" t="s">
        <v>14250</v>
      </c>
      <c r="U3998" s="95">
        <v>13936</v>
      </c>
      <c r="V3998" s="148">
        <v>45571</v>
      </c>
      <c r="W3998" s="85" t="s">
        <v>14251</v>
      </c>
      <c r="X3998" s="80"/>
      <c r="Y3998" s="22">
        <v>0</v>
      </c>
      <c r="Z3998" s="80" t="s">
        <v>50</v>
      </c>
      <c r="AA3998" s="86"/>
      <c r="AB3998" s="80"/>
      <c r="AC3998" s="80" t="s">
        <v>53</v>
      </c>
      <c r="AD3998" s="80" t="s">
        <v>138</v>
      </c>
      <c r="AE3998" s="80" t="s">
        <v>12474</v>
      </c>
      <c r="AF3998" s="17">
        <v>45607</v>
      </c>
      <c r="AG3998" s="80"/>
      <c r="AH3998" s="80"/>
      <c r="AI3998" s="147"/>
      <c r="AJ3998" s="80"/>
      <c r="AK3998" s="80"/>
      <c r="AL3998" s="35"/>
      <c r="AM3998" s="35"/>
      <c r="AN3998" s="35"/>
      <c r="AO3998" s="35"/>
      <c r="AP3998" s="35"/>
    </row>
    <row r="3999" spans="1:42" x14ac:dyDescent="0.2">
      <c r="A3999" s="38">
        <v>45601</v>
      </c>
      <c r="B3999" s="137" t="s">
        <v>37</v>
      </c>
      <c r="C3999" s="41" t="s">
        <v>118</v>
      </c>
      <c r="D3999" s="80" t="s">
        <v>36</v>
      </c>
      <c r="E3999" s="80" t="s">
        <v>139</v>
      </c>
      <c r="F3999" s="80" t="s">
        <v>11735</v>
      </c>
      <c r="G3999" s="80" t="s">
        <v>108</v>
      </c>
      <c r="H3999" s="80" t="s">
        <v>8702</v>
      </c>
      <c r="I3999" s="17">
        <f ca="1">IFERROR(__xludf.DUMMYFUNCTION("""COMPUTED_VALUE"""),45608)</f>
        <v>45608</v>
      </c>
      <c r="J3999" s="143" t="s">
        <v>12684</v>
      </c>
      <c r="K3999" s="80" t="s">
        <v>12685</v>
      </c>
      <c r="L3999" s="30">
        <v>397097747</v>
      </c>
      <c r="M3999" s="80" t="s">
        <v>59</v>
      </c>
      <c r="N3999" s="80" t="s">
        <v>68</v>
      </c>
      <c r="O3999" s="80" t="s">
        <v>12686</v>
      </c>
      <c r="P3999" s="80" t="s">
        <v>12687</v>
      </c>
      <c r="Q3999" s="20">
        <v>15936</v>
      </c>
      <c r="R3999" s="80" t="s">
        <v>1106</v>
      </c>
      <c r="S3999" s="95">
        <f t="shared" ref="S3999:S4000" si="62">200+2000</f>
        <v>2200</v>
      </c>
      <c r="T3999" s="83" t="s">
        <v>12682</v>
      </c>
      <c r="U3999" s="95">
        <v>13613</v>
      </c>
      <c r="V3999" s="148">
        <v>45558</v>
      </c>
      <c r="W3999" s="85" t="s">
        <v>12688</v>
      </c>
      <c r="X3999" s="80">
        <v>150</v>
      </c>
      <c r="Y3999" s="22">
        <v>-27</v>
      </c>
      <c r="Z3999" s="80" t="s">
        <v>50</v>
      </c>
      <c r="AA3999" s="96" t="s">
        <v>3291</v>
      </c>
      <c r="AB3999" s="80"/>
      <c r="AC3999" s="80" t="s">
        <v>53</v>
      </c>
      <c r="AD3999" s="80" t="s">
        <v>138</v>
      </c>
      <c r="AE3999" s="80" t="s">
        <v>11735</v>
      </c>
      <c r="AF3999" s="17">
        <v>45611</v>
      </c>
      <c r="AG3999" s="80" t="s">
        <v>14199</v>
      </c>
      <c r="AH3999" s="80"/>
      <c r="AI3999" s="147" t="s">
        <v>147</v>
      </c>
      <c r="AJ3999" s="80"/>
      <c r="AK3999" s="80"/>
      <c r="AL3999" s="35"/>
      <c r="AM3999" s="35"/>
      <c r="AN3999" s="35"/>
      <c r="AO3999" s="35"/>
      <c r="AP3999" s="35"/>
    </row>
    <row r="4000" spans="1:42" x14ac:dyDescent="0.2">
      <c r="A4000" s="38">
        <v>45601</v>
      </c>
      <c r="B4000" s="137" t="s">
        <v>37</v>
      </c>
      <c r="C4000" s="41" t="s">
        <v>118</v>
      </c>
      <c r="D4000" s="80" t="s">
        <v>36</v>
      </c>
      <c r="E4000" s="80" t="s">
        <v>139</v>
      </c>
      <c r="F4000" s="80" t="s">
        <v>11735</v>
      </c>
      <c r="G4000" s="80" t="s">
        <v>108</v>
      </c>
      <c r="H4000" s="80" t="s">
        <v>8702</v>
      </c>
      <c r="I4000" s="17">
        <f ca="1">IFERROR(__xludf.DUMMYFUNCTION("""COMPUTED_VALUE"""),45608)</f>
        <v>45608</v>
      </c>
      <c r="J4000" s="143" t="s">
        <v>12674</v>
      </c>
      <c r="K4000" s="80" t="s">
        <v>12675</v>
      </c>
      <c r="L4000" s="30">
        <v>362165621</v>
      </c>
      <c r="M4000" s="80" t="s">
        <v>59</v>
      </c>
      <c r="N4000" s="80" t="s">
        <v>68</v>
      </c>
      <c r="O4000" s="80" t="s">
        <v>12676</v>
      </c>
      <c r="P4000" s="80" t="s">
        <v>12677</v>
      </c>
      <c r="Q4000" s="20">
        <v>15936</v>
      </c>
      <c r="R4000" s="80" t="s">
        <v>1106</v>
      </c>
      <c r="S4000" s="95">
        <f t="shared" si="62"/>
        <v>2200</v>
      </c>
      <c r="T4000" s="83" t="s">
        <v>12657</v>
      </c>
      <c r="U4000" s="95">
        <v>13613</v>
      </c>
      <c r="V4000" s="148">
        <v>45560</v>
      </c>
      <c r="W4000" s="85" t="s">
        <v>12678</v>
      </c>
      <c r="X4000" s="80">
        <v>150</v>
      </c>
      <c r="Y4000" s="22">
        <v>-27</v>
      </c>
      <c r="Z4000" s="80" t="s">
        <v>50</v>
      </c>
      <c r="AA4000" s="35" t="s">
        <v>3291</v>
      </c>
      <c r="AB4000" s="80"/>
      <c r="AC4000" s="80" t="s">
        <v>53</v>
      </c>
      <c r="AD4000" s="80" t="s">
        <v>138</v>
      </c>
      <c r="AE4000" s="80" t="s">
        <v>11735</v>
      </c>
      <c r="AF4000" s="17">
        <v>45611</v>
      </c>
      <c r="AG4000" s="80" t="s">
        <v>14199</v>
      </c>
      <c r="AH4000" s="80"/>
      <c r="AI4000" s="147" t="s">
        <v>147</v>
      </c>
      <c r="AJ4000" s="80"/>
      <c r="AK4000" s="80"/>
      <c r="AL4000" s="35"/>
      <c r="AM4000" s="35"/>
      <c r="AN4000" s="35"/>
      <c r="AO4000" s="35"/>
      <c r="AP4000" s="35"/>
    </row>
    <row r="4001" spans="1:42" x14ac:dyDescent="0.2">
      <c r="A4001" s="38">
        <v>45601</v>
      </c>
      <c r="B4001" s="137" t="s">
        <v>37</v>
      </c>
      <c r="C4001" s="41" t="s">
        <v>118</v>
      </c>
      <c r="D4001" s="80" t="s">
        <v>36</v>
      </c>
      <c r="E4001" s="80" t="s">
        <v>139</v>
      </c>
      <c r="F4001" s="80" t="s">
        <v>11735</v>
      </c>
      <c r="G4001" s="80" t="s">
        <v>108</v>
      </c>
      <c r="H4001" s="80" t="s">
        <v>8702</v>
      </c>
      <c r="I4001" s="17">
        <f ca="1">IFERROR(__xludf.DUMMYFUNCTION("""COMPUTED_VALUE"""),45608)</f>
        <v>45608</v>
      </c>
      <c r="J4001" s="143" t="s">
        <v>14252</v>
      </c>
      <c r="K4001" s="80" t="s">
        <v>14253</v>
      </c>
      <c r="L4001" s="30">
        <v>349623318</v>
      </c>
      <c r="M4001" s="80" t="s">
        <v>2755</v>
      </c>
      <c r="N4001" s="80" t="s">
        <v>2756</v>
      </c>
      <c r="O4001" s="80" t="s">
        <v>4503</v>
      </c>
      <c r="P4001" s="144" t="s">
        <v>14254</v>
      </c>
      <c r="Q4001" s="20">
        <v>15936</v>
      </c>
      <c r="R4001" s="80" t="s">
        <v>36</v>
      </c>
      <c r="S4001" s="95">
        <v>1968</v>
      </c>
      <c r="T4001" s="148">
        <v>45552</v>
      </c>
      <c r="U4001" s="95">
        <v>13968</v>
      </c>
      <c r="V4001" s="148">
        <v>45596</v>
      </c>
      <c r="W4001" s="85" t="s">
        <v>14255</v>
      </c>
      <c r="X4001" s="80"/>
      <c r="Y4001" s="22">
        <v>0</v>
      </c>
      <c r="Z4001" s="80" t="s">
        <v>50</v>
      </c>
      <c r="AA4001" s="82"/>
      <c r="AB4001" s="80"/>
      <c r="AC4001" s="80" t="s">
        <v>53</v>
      </c>
      <c r="AD4001" s="80" t="s">
        <v>138</v>
      </c>
      <c r="AE4001" s="80" t="s">
        <v>11735</v>
      </c>
      <c r="AF4001" s="17">
        <v>45611</v>
      </c>
      <c r="AG4001" s="80" t="s">
        <v>14199</v>
      </c>
      <c r="AH4001" s="80"/>
      <c r="AI4001" s="147"/>
      <c r="AJ4001" s="80"/>
      <c r="AK4001" s="80"/>
      <c r="AL4001" s="35"/>
      <c r="AM4001" s="35"/>
      <c r="AN4001" s="35"/>
      <c r="AO4001" s="35"/>
      <c r="AP4001" s="35"/>
    </row>
    <row r="4002" spans="1:42" x14ac:dyDescent="0.2">
      <c r="A4002" s="38">
        <v>45601</v>
      </c>
      <c r="B4002" s="137" t="s">
        <v>37</v>
      </c>
      <c r="C4002" s="41" t="s">
        <v>118</v>
      </c>
      <c r="D4002" s="80" t="s">
        <v>36</v>
      </c>
      <c r="E4002" s="80" t="s">
        <v>139</v>
      </c>
      <c r="F4002" s="80" t="s">
        <v>11735</v>
      </c>
      <c r="G4002" s="80" t="s">
        <v>108</v>
      </c>
      <c r="H4002" s="80" t="s">
        <v>8702</v>
      </c>
      <c r="I4002" s="17">
        <f ca="1">IFERROR(__xludf.DUMMYFUNCTION("""COMPUTED_VALUE"""),45608)</f>
        <v>45608</v>
      </c>
      <c r="J4002" s="143" t="s">
        <v>14256</v>
      </c>
      <c r="K4002" s="80" t="s">
        <v>14257</v>
      </c>
      <c r="L4002" s="30">
        <v>818059558</v>
      </c>
      <c r="M4002" s="80" t="s">
        <v>5558</v>
      </c>
      <c r="N4002" s="80" t="s">
        <v>5559</v>
      </c>
      <c r="O4002" s="80" t="s">
        <v>14258</v>
      </c>
      <c r="P4002" s="80" t="s">
        <v>14259</v>
      </c>
      <c r="Q4002" s="20">
        <v>15936</v>
      </c>
      <c r="R4002" s="80" t="s">
        <v>36</v>
      </c>
      <c r="S4002" s="95">
        <v>2000</v>
      </c>
      <c r="T4002" s="148">
        <v>45539</v>
      </c>
      <c r="U4002" s="95">
        <v>13936</v>
      </c>
      <c r="V4002" s="148">
        <v>45572</v>
      </c>
      <c r="W4002" s="85" t="s">
        <v>14260</v>
      </c>
      <c r="X4002" s="80"/>
      <c r="Y4002" s="22">
        <v>0</v>
      </c>
      <c r="Z4002" s="80" t="s">
        <v>50</v>
      </c>
      <c r="AA4002" s="86"/>
      <c r="AB4002" s="80"/>
      <c r="AC4002" s="80" t="s">
        <v>53</v>
      </c>
      <c r="AD4002" s="80" t="s">
        <v>138</v>
      </c>
      <c r="AE4002" s="80" t="s">
        <v>11735</v>
      </c>
      <c r="AF4002" s="17">
        <v>45611</v>
      </c>
      <c r="AG4002" s="80" t="s">
        <v>14199</v>
      </c>
      <c r="AH4002" s="80"/>
      <c r="AI4002" s="147"/>
      <c r="AJ4002" s="80"/>
      <c r="AK4002" s="80"/>
      <c r="AL4002" s="35"/>
      <c r="AM4002" s="35"/>
      <c r="AN4002" s="35"/>
      <c r="AO4002" s="35"/>
      <c r="AP4002" s="35"/>
    </row>
    <row r="4003" spans="1:42" x14ac:dyDescent="0.2">
      <c r="A4003" s="38">
        <v>45601</v>
      </c>
      <c r="B4003" s="137" t="s">
        <v>37</v>
      </c>
      <c r="C4003" s="41" t="s">
        <v>118</v>
      </c>
      <c r="D4003" s="80" t="s">
        <v>36</v>
      </c>
      <c r="E4003" s="80" t="s">
        <v>139</v>
      </c>
      <c r="F4003" s="80" t="s">
        <v>11735</v>
      </c>
      <c r="G4003" s="80" t="s">
        <v>108</v>
      </c>
      <c r="H4003" s="80" t="s">
        <v>8702</v>
      </c>
      <c r="I4003" s="17">
        <f ca="1">IFERROR(__xludf.DUMMYFUNCTION("""COMPUTED_VALUE"""),45608)</f>
        <v>45608</v>
      </c>
      <c r="J4003" s="143" t="s">
        <v>14261</v>
      </c>
      <c r="K4003" s="80" t="s">
        <v>14262</v>
      </c>
      <c r="L4003" s="30">
        <v>862943626</v>
      </c>
      <c r="M4003" s="80" t="s">
        <v>2755</v>
      </c>
      <c r="N4003" s="80" t="s">
        <v>2756</v>
      </c>
      <c r="O4003" s="80" t="s">
        <v>4503</v>
      </c>
      <c r="P4003" s="80" t="s">
        <v>7649</v>
      </c>
      <c r="Q4003" s="20">
        <v>15936</v>
      </c>
      <c r="R4003" s="80" t="s">
        <v>36</v>
      </c>
      <c r="S4003" s="95">
        <v>3200</v>
      </c>
      <c r="T4003" s="148">
        <v>45553</v>
      </c>
      <c r="U4003" s="178">
        <v>12736</v>
      </c>
      <c r="V4003" s="169">
        <v>45572</v>
      </c>
      <c r="W4003" s="80" t="s">
        <v>14263</v>
      </c>
      <c r="X4003" s="80"/>
      <c r="Y4003" s="22">
        <v>0</v>
      </c>
      <c r="Z4003" s="80" t="s">
        <v>50</v>
      </c>
      <c r="AA4003" s="82"/>
      <c r="AB4003" s="80"/>
      <c r="AC4003" s="80" t="s">
        <v>53</v>
      </c>
      <c r="AD4003" s="80" t="s">
        <v>138</v>
      </c>
      <c r="AE4003" s="80" t="s">
        <v>11735</v>
      </c>
      <c r="AF4003" s="17">
        <v>45611</v>
      </c>
      <c r="AG4003" s="80" t="s">
        <v>14199</v>
      </c>
      <c r="AH4003" s="80"/>
      <c r="AI4003" s="147"/>
      <c r="AJ4003" s="80"/>
      <c r="AK4003" s="80"/>
      <c r="AL4003" s="35"/>
      <c r="AM4003" s="35"/>
      <c r="AN4003" s="35"/>
      <c r="AO4003" s="35"/>
      <c r="AP4003" s="35"/>
    </row>
    <row r="4004" spans="1:42" x14ac:dyDescent="0.2">
      <c r="A4004" s="38">
        <v>45601</v>
      </c>
      <c r="B4004" s="137" t="s">
        <v>37</v>
      </c>
      <c r="C4004" s="41" t="s">
        <v>118</v>
      </c>
      <c r="D4004" s="80" t="s">
        <v>36</v>
      </c>
      <c r="E4004" s="80" t="s">
        <v>56</v>
      </c>
      <c r="F4004" s="80" t="s">
        <v>11735</v>
      </c>
      <c r="G4004" s="80" t="s">
        <v>108</v>
      </c>
      <c r="H4004" s="80" t="s">
        <v>8702</v>
      </c>
      <c r="I4004" s="17">
        <f ca="1">IFERROR(__xludf.DUMMYFUNCTION("""COMPUTED_VALUE"""),45608)</f>
        <v>45608</v>
      </c>
      <c r="J4004" s="143" t="s">
        <v>11742</v>
      </c>
      <c r="K4004" s="80" t="s">
        <v>11743</v>
      </c>
      <c r="L4004" s="30">
        <v>366750955</v>
      </c>
      <c r="M4004" s="80" t="s">
        <v>59</v>
      </c>
      <c r="N4004" s="80" t="s">
        <v>68</v>
      </c>
      <c r="O4004" s="80" t="s">
        <v>11744</v>
      </c>
      <c r="P4004" s="80" t="s">
        <v>11745</v>
      </c>
      <c r="Q4004" s="20">
        <v>9317</v>
      </c>
      <c r="R4004" s="80" t="s">
        <v>70</v>
      </c>
      <c r="S4004" s="95">
        <v>9217</v>
      </c>
      <c r="T4004" s="148">
        <v>45528</v>
      </c>
      <c r="U4004" s="77"/>
      <c r="V4004" s="78"/>
      <c r="W4004" s="85" t="s">
        <v>11746</v>
      </c>
      <c r="X4004" s="80">
        <v>100</v>
      </c>
      <c r="Y4004" s="22">
        <v>0</v>
      </c>
      <c r="Z4004" s="80" t="s">
        <v>50</v>
      </c>
      <c r="AA4004" s="35" t="s">
        <v>10314</v>
      </c>
      <c r="AB4004" s="80"/>
      <c r="AC4004" s="80" t="s">
        <v>53</v>
      </c>
      <c r="AD4004" s="80" t="s">
        <v>138</v>
      </c>
      <c r="AE4004" s="80" t="s">
        <v>11735</v>
      </c>
      <c r="AF4004" s="17">
        <v>45611</v>
      </c>
      <c r="AG4004" s="80" t="s">
        <v>14199</v>
      </c>
      <c r="AH4004" s="80"/>
      <c r="AI4004" s="147"/>
      <c r="AJ4004" s="80"/>
      <c r="AK4004" s="80"/>
      <c r="AL4004" s="35"/>
      <c r="AM4004" s="35"/>
      <c r="AN4004" s="35"/>
      <c r="AO4004" s="35"/>
      <c r="AP4004" s="35"/>
    </row>
    <row r="4005" spans="1:42" x14ac:dyDescent="0.2">
      <c r="A4005" s="38">
        <v>45601</v>
      </c>
      <c r="B4005" s="137" t="s">
        <v>37</v>
      </c>
      <c r="C4005" s="41" t="s">
        <v>118</v>
      </c>
      <c r="D4005" s="80" t="s">
        <v>36</v>
      </c>
      <c r="E4005" s="80" t="s">
        <v>56</v>
      </c>
      <c r="F4005" s="80" t="s">
        <v>11735</v>
      </c>
      <c r="G4005" s="80" t="s">
        <v>108</v>
      </c>
      <c r="H4005" s="80" t="s">
        <v>8702</v>
      </c>
      <c r="I4005" s="17">
        <f ca="1">IFERROR(__xludf.DUMMYFUNCTION("""COMPUTED_VALUE"""),45608)</f>
        <v>45608</v>
      </c>
      <c r="J4005" s="143" t="s">
        <v>11736</v>
      </c>
      <c r="K4005" s="80" t="s">
        <v>11737</v>
      </c>
      <c r="L4005" s="30">
        <v>916482189</v>
      </c>
      <c r="M4005" s="80" t="s">
        <v>59</v>
      </c>
      <c r="N4005" s="80" t="s">
        <v>68</v>
      </c>
      <c r="O4005" s="80" t="s">
        <v>11738</v>
      </c>
      <c r="P4005" s="80" t="s">
        <v>11739</v>
      </c>
      <c r="Q4005" s="20">
        <v>9317</v>
      </c>
      <c r="R4005" s="80" t="s">
        <v>70</v>
      </c>
      <c r="S4005" s="95">
        <v>9217</v>
      </c>
      <c r="T4005" s="148">
        <v>45528</v>
      </c>
      <c r="U4005" s="77"/>
      <c r="V4005" s="78"/>
      <c r="W4005" s="85" t="s">
        <v>11740</v>
      </c>
      <c r="X4005" s="80">
        <v>100</v>
      </c>
      <c r="Y4005" s="22">
        <v>0</v>
      </c>
      <c r="Z4005" s="80" t="s">
        <v>50</v>
      </c>
      <c r="AA4005" s="96" t="s">
        <v>10314</v>
      </c>
      <c r="AB4005" s="80"/>
      <c r="AC4005" s="80" t="s">
        <v>53</v>
      </c>
      <c r="AD4005" s="80" t="s">
        <v>138</v>
      </c>
      <c r="AE4005" s="80" t="s">
        <v>11735</v>
      </c>
      <c r="AF4005" s="17">
        <v>45611</v>
      </c>
      <c r="AG4005" s="80" t="s">
        <v>14199</v>
      </c>
      <c r="AH4005" s="80"/>
      <c r="AI4005" s="147"/>
      <c r="AJ4005" s="80"/>
      <c r="AK4005" s="80"/>
      <c r="AL4005" s="35"/>
      <c r="AM4005" s="35"/>
      <c r="AN4005" s="35"/>
      <c r="AO4005" s="35"/>
      <c r="AP4005" s="35"/>
    </row>
    <row r="4006" spans="1:42" x14ac:dyDescent="0.2">
      <c r="A4006" s="38">
        <v>45601</v>
      </c>
      <c r="B4006" s="137" t="s">
        <v>37</v>
      </c>
      <c r="C4006" s="41" t="s">
        <v>118</v>
      </c>
      <c r="D4006" s="80" t="s">
        <v>36</v>
      </c>
      <c r="E4006" s="80" t="s">
        <v>139</v>
      </c>
      <c r="F4006" s="80" t="s">
        <v>11735</v>
      </c>
      <c r="G4006" s="80" t="s">
        <v>108</v>
      </c>
      <c r="H4006" s="80" t="s">
        <v>8702</v>
      </c>
      <c r="I4006" s="17">
        <f ca="1">IFERROR(__xludf.DUMMYFUNCTION("""COMPUTED_VALUE"""),45608)</f>
        <v>45608</v>
      </c>
      <c r="J4006" s="143" t="s">
        <v>14264</v>
      </c>
      <c r="K4006" s="80" t="s">
        <v>14265</v>
      </c>
      <c r="L4006" s="30">
        <v>969215206</v>
      </c>
      <c r="M4006" s="80" t="s">
        <v>3498</v>
      </c>
      <c r="N4006" s="80" t="s">
        <v>4402</v>
      </c>
      <c r="O4006" s="80" t="s">
        <v>4503</v>
      </c>
      <c r="P4006" s="80" t="s">
        <v>7649</v>
      </c>
      <c r="Q4006" s="20">
        <v>15936</v>
      </c>
      <c r="R4006" s="80" t="s">
        <v>36</v>
      </c>
      <c r="S4006" s="95">
        <f>200+2800</f>
        <v>3000</v>
      </c>
      <c r="T4006" s="83" t="s">
        <v>14266</v>
      </c>
      <c r="U4006" s="178">
        <v>12936</v>
      </c>
      <c r="V4006" s="169">
        <v>45573</v>
      </c>
      <c r="W4006" s="85" t="s">
        <v>14267</v>
      </c>
      <c r="X4006" s="80"/>
      <c r="Y4006" s="22">
        <v>0</v>
      </c>
      <c r="Z4006" s="80" t="s">
        <v>50</v>
      </c>
      <c r="AA4006" s="86"/>
      <c r="AB4006" s="80"/>
      <c r="AC4006" s="80" t="s">
        <v>53</v>
      </c>
      <c r="AD4006" s="80" t="s">
        <v>54</v>
      </c>
      <c r="AE4006" s="80" t="s">
        <v>11735</v>
      </c>
      <c r="AF4006" s="17">
        <v>45611</v>
      </c>
      <c r="AG4006" s="80" t="s">
        <v>14199</v>
      </c>
      <c r="AH4006" s="80"/>
      <c r="AI4006" s="147"/>
      <c r="AJ4006" s="80"/>
      <c r="AK4006" s="80"/>
      <c r="AL4006" s="35"/>
      <c r="AM4006" s="35"/>
      <c r="AN4006" s="35"/>
      <c r="AO4006" s="35"/>
      <c r="AP4006" s="35"/>
    </row>
    <row r="4007" spans="1:42" x14ac:dyDescent="0.2">
      <c r="A4007" s="38">
        <v>45601</v>
      </c>
      <c r="B4007" s="137" t="s">
        <v>37</v>
      </c>
      <c r="C4007" s="41" t="s">
        <v>118</v>
      </c>
      <c r="D4007" s="26" t="s">
        <v>36</v>
      </c>
      <c r="E4007" s="26" t="s">
        <v>139</v>
      </c>
      <c r="F4007" s="80" t="s">
        <v>11735</v>
      </c>
      <c r="G4007" s="80" t="s">
        <v>108</v>
      </c>
      <c r="H4007" s="80" t="s">
        <v>8702</v>
      </c>
      <c r="I4007" s="17">
        <f ca="1">IFERROR(__xludf.DUMMYFUNCTION("""COMPUTED_VALUE"""),45608)</f>
        <v>45608</v>
      </c>
      <c r="J4007" s="29" t="s">
        <v>14268</v>
      </c>
      <c r="K4007" s="26" t="s">
        <v>14269</v>
      </c>
      <c r="L4007" s="30">
        <v>339690477</v>
      </c>
      <c r="M4007" s="26" t="s">
        <v>80</v>
      </c>
      <c r="N4007" s="26" t="s">
        <v>466</v>
      </c>
      <c r="O4007" s="26" t="s">
        <v>14270</v>
      </c>
      <c r="P4007" s="26" t="s">
        <v>14271</v>
      </c>
      <c r="Q4007" s="20">
        <v>15936</v>
      </c>
      <c r="R4007" s="26" t="s">
        <v>36</v>
      </c>
      <c r="S4007" s="95">
        <v>2000</v>
      </c>
      <c r="T4007" s="148">
        <v>45485</v>
      </c>
      <c r="U4007" s="95">
        <v>13936</v>
      </c>
      <c r="V4007" s="148">
        <v>45587</v>
      </c>
      <c r="W4007" s="33" t="s">
        <v>14272</v>
      </c>
      <c r="X4007" s="26"/>
      <c r="Y4007" s="22">
        <v>0</v>
      </c>
      <c r="Z4007" s="26" t="s">
        <v>50</v>
      </c>
      <c r="AA4007" s="96"/>
      <c r="AB4007" s="26"/>
      <c r="AC4007" s="26" t="s">
        <v>53</v>
      </c>
      <c r="AD4007" s="26" t="s">
        <v>54</v>
      </c>
      <c r="AE4007" s="80" t="s">
        <v>11735</v>
      </c>
      <c r="AF4007" s="17">
        <v>45611</v>
      </c>
      <c r="AG4007" s="80" t="s">
        <v>14199</v>
      </c>
      <c r="AH4007" s="26"/>
      <c r="AI4007" s="40"/>
      <c r="AJ4007" s="26"/>
      <c r="AK4007" s="26"/>
      <c r="AL4007" s="35"/>
      <c r="AM4007" s="35"/>
      <c r="AN4007" s="35"/>
      <c r="AO4007" s="35"/>
      <c r="AP4007" s="35"/>
    </row>
    <row r="4008" spans="1:42" x14ac:dyDescent="0.2">
      <c r="A4008" s="38">
        <v>45601</v>
      </c>
      <c r="B4008" s="137" t="s">
        <v>37</v>
      </c>
      <c r="C4008" s="41" t="s">
        <v>118</v>
      </c>
      <c r="D4008" s="80" t="s">
        <v>36</v>
      </c>
      <c r="E4008" s="80" t="s">
        <v>139</v>
      </c>
      <c r="F4008" s="80" t="s">
        <v>11735</v>
      </c>
      <c r="G4008" s="80" t="s">
        <v>108</v>
      </c>
      <c r="H4008" s="80" t="s">
        <v>8702</v>
      </c>
      <c r="I4008" s="17">
        <f ca="1">IFERROR(__xludf.DUMMYFUNCTION("""COMPUTED_VALUE"""),45608)</f>
        <v>45608</v>
      </c>
      <c r="J4008" s="143" t="s">
        <v>14273</v>
      </c>
      <c r="K4008" s="80" t="s">
        <v>9263</v>
      </c>
      <c r="L4008" s="30">
        <v>388436456</v>
      </c>
      <c r="M4008" s="80" t="s">
        <v>2755</v>
      </c>
      <c r="N4008" s="80" t="s">
        <v>2756</v>
      </c>
      <c r="O4008" s="80" t="s">
        <v>4503</v>
      </c>
      <c r="P4008" s="80" t="s">
        <v>3694</v>
      </c>
      <c r="Q4008" s="20">
        <v>15936</v>
      </c>
      <c r="R4008" s="80" t="s">
        <v>36</v>
      </c>
      <c r="S4008" s="95">
        <v>2000</v>
      </c>
      <c r="T4008" s="148">
        <v>45540</v>
      </c>
      <c r="U4008" s="95">
        <v>13936</v>
      </c>
      <c r="V4008" s="148">
        <v>45596</v>
      </c>
      <c r="W4008" s="85" t="s">
        <v>14274</v>
      </c>
      <c r="X4008" s="80"/>
      <c r="Y4008" s="22">
        <v>0</v>
      </c>
      <c r="Z4008" s="80" t="s">
        <v>50</v>
      </c>
      <c r="AA4008" s="86"/>
      <c r="AB4008" s="80"/>
      <c r="AC4008" s="80" t="s">
        <v>53</v>
      </c>
      <c r="AD4008" s="80" t="s">
        <v>138</v>
      </c>
      <c r="AE4008" s="80" t="s">
        <v>11735</v>
      </c>
      <c r="AF4008" s="17">
        <v>45611</v>
      </c>
      <c r="AG4008" s="80" t="s">
        <v>14199</v>
      </c>
      <c r="AH4008" s="80"/>
      <c r="AI4008" s="147"/>
      <c r="AJ4008" s="80"/>
      <c r="AK4008" s="80"/>
      <c r="AL4008" s="35"/>
      <c r="AM4008" s="35"/>
      <c r="AN4008" s="35"/>
      <c r="AO4008" s="35"/>
      <c r="AP4008" s="35"/>
    </row>
    <row r="4009" spans="1:42" x14ac:dyDescent="0.2">
      <c r="A4009" s="38">
        <v>45601</v>
      </c>
      <c r="B4009" s="137" t="s">
        <v>37</v>
      </c>
      <c r="C4009" s="41" t="s">
        <v>118</v>
      </c>
      <c r="D4009" s="80" t="s">
        <v>36</v>
      </c>
      <c r="E4009" s="80" t="s">
        <v>139</v>
      </c>
      <c r="F4009" s="80" t="s">
        <v>12474</v>
      </c>
      <c r="G4009" s="80" t="s">
        <v>108</v>
      </c>
      <c r="H4009" s="80" t="s">
        <v>14200</v>
      </c>
      <c r="I4009" s="17">
        <f ca="1">IFERROR(__xludf.DUMMYFUNCTION("""COMPUTED_VALUE"""),45607)</f>
        <v>45607</v>
      </c>
      <c r="J4009" s="143" t="s">
        <v>14275</v>
      </c>
      <c r="K4009" s="80" t="s">
        <v>6318</v>
      </c>
      <c r="L4009" s="30">
        <v>343639375</v>
      </c>
      <c r="M4009" s="80" t="s">
        <v>2755</v>
      </c>
      <c r="N4009" s="80" t="s">
        <v>4402</v>
      </c>
      <c r="O4009" s="80" t="s">
        <v>4503</v>
      </c>
      <c r="P4009" s="80" t="s">
        <v>7649</v>
      </c>
      <c r="Q4009" s="20">
        <v>15936</v>
      </c>
      <c r="R4009" s="80" t="s">
        <v>36</v>
      </c>
      <c r="S4009" s="95">
        <v>4200</v>
      </c>
      <c r="T4009" s="148">
        <v>45540</v>
      </c>
      <c r="U4009" s="95">
        <v>11736</v>
      </c>
      <c r="V4009" s="148">
        <v>45573</v>
      </c>
      <c r="W4009" s="80" t="s">
        <v>14276</v>
      </c>
      <c r="X4009" s="80"/>
      <c r="Y4009" s="22">
        <v>0</v>
      </c>
      <c r="Z4009" s="80" t="s">
        <v>50</v>
      </c>
      <c r="AA4009" s="82"/>
      <c r="AB4009" s="80"/>
      <c r="AC4009" s="80" t="s">
        <v>53</v>
      </c>
      <c r="AD4009" s="80" t="s">
        <v>138</v>
      </c>
      <c r="AE4009" s="80" t="s">
        <v>12474</v>
      </c>
      <c r="AF4009" s="17">
        <v>45607</v>
      </c>
      <c r="AG4009" s="80"/>
      <c r="AH4009" s="80"/>
      <c r="AI4009" s="147"/>
      <c r="AJ4009" s="80"/>
      <c r="AK4009" s="80"/>
      <c r="AL4009" s="35"/>
      <c r="AM4009" s="35"/>
      <c r="AN4009" s="35"/>
      <c r="AO4009" s="35"/>
      <c r="AP4009" s="35"/>
    </row>
    <row r="4010" spans="1:42" x14ac:dyDescent="0.2">
      <c r="A4010" s="38">
        <v>45601</v>
      </c>
      <c r="B4010" s="137" t="s">
        <v>37</v>
      </c>
      <c r="C4010" s="41" t="s">
        <v>118</v>
      </c>
      <c r="D4010" s="80" t="s">
        <v>36</v>
      </c>
      <c r="E4010" s="80" t="s">
        <v>139</v>
      </c>
      <c r="F4010" s="80" t="s">
        <v>12474</v>
      </c>
      <c r="G4010" s="80" t="s">
        <v>108</v>
      </c>
      <c r="H4010" s="80" t="s">
        <v>14200</v>
      </c>
      <c r="I4010" s="17">
        <f ca="1">IFERROR(__xludf.DUMMYFUNCTION("""COMPUTED_VALUE"""),45607)</f>
        <v>45607</v>
      </c>
      <c r="J4010" s="143" t="s">
        <v>14277</v>
      </c>
      <c r="K4010" s="80" t="s">
        <v>14278</v>
      </c>
      <c r="L4010" s="30">
        <v>978951035</v>
      </c>
      <c r="M4010" s="80" t="s">
        <v>5518</v>
      </c>
      <c r="N4010" s="80" t="s">
        <v>12380</v>
      </c>
      <c r="O4010" s="80" t="s">
        <v>14279</v>
      </c>
      <c r="P4010" s="80" t="s">
        <v>5462</v>
      </c>
      <c r="Q4010" s="20">
        <v>15936</v>
      </c>
      <c r="R4010" s="80" t="s">
        <v>70</v>
      </c>
      <c r="S4010" s="95">
        <f>200+1800</f>
        <v>2000</v>
      </c>
      <c r="T4010" s="83" t="s">
        <v>14280</v>
      </c>
      <c r="U4010" s="95">
        <v>13836</v>
      </c>
      <c r="V4010" s="148">
        <v>45573</v>
      </c>
      <c r="W4010" s="85" t="s">
        <v>14281</v>
      </c>
      <c r="X4010" s="80"/>
      <c r="Y4010" s="22">
        <v>100</v>
      </c>
      <c r="Z4010" s="80" t="s">
        <v>50</v>
      </c>
      <c r="AA4010" s="86"/>
      <c r="AB4010" s="80"/>
      <c r="AC4010" s="80" t="s">
        <v>53</v>
      </c>
      <c r="AD4010" s="80" t="s">
        <v>138</v>
      </c>
      <c r="AE4010" s="80" t="s">
        <v>12474</v>
      </c>
      <c r="AF4010" s="17">
        <v>45607</v>
      </c>
      <c r="AG4010" s="80"/>
      <c r="AH4010" s="80"/>
      <c r="AI4010" s="147"/>
      <c r="AJ4010" s="80"/>
      <c r="AK4010" s="80"/>
      <c r="AL4010" s="35"/>
      <c r="AM4010" s="35"/>
      <c r="AN4010" s="35"/>
      <c r="AO4010" s="35"/>
      <c r="AP4010" s="35"/>
    </row>
    <row r="4011" spans="1:42" x14ac:dyDescent="0.2">
      <c r="A4011" s="38">
        <v>45601</v>
      </c>
      <c r="B4011" s="137" t="s">
        <v>37</v>
      </c>
      <c r="C4011" s="41" t="s">
        <v>118</v>
      </c>
      <c r="D4011" s="80" t="s">
        <v>36</v>
      </c>
      <c r="E4011" s="80" t="s">
        <v>139</v>
      </c>
      <c r="F4011" s="80" t="s">
        <v>12474</v>
      </c>
      <c r="G4011" s="80" t="s">
        <v>108</v>
      </c>
      <c r="H4011" s="80" t="s">
        <v>14200</v>
      </c>
      <c r="I4011" s="17">
        <f ca="1">IFERROR(__xludf.DUMMYFUNCTION("""COMPUTED_VALUE"""),45607)</f>
        <v>45607</v>
      </c>
      <c r="J4011" s="143" t="s">
        <v>14282</v>
      </c>
      <c r="K4011" s="80" t="s">
        <v>14283</v>
      </c>
      <c r="L4011" s="30">
        <v>853118306</v>
      </c>
      <c r="M4011" s="80" t="s">
        <v>3728</v>
      </c>
      <c r="N4011" s="80" t="s">
        <v>5312</v>
      </c>
      <c r="O4011" s="80" t="s">
        <v>134</v>
      </c>
      <c r="P4011" s="80" t="s">
        <v>11644</v>
      </c>
      <c r="Q4011" s="20">
        <v>15936</v>
      </c>
      <c r="R4011" s="80" t="s">
        <v>36</v>
      </c>
      <c r="S4011" s="95">
        <v>2000</v>
      </c>
      <c r="T4011" s="148">
        <v>45541</v>
      </c>
      <c r="U4011" s="95">
        <v>13936</v>
      </c>
      <c r="V4011" s="148">
        <v>45572</v>
      </c>
      <c r="W4011" s="85" t="s">
        <v>14284</v>
      </c>
      <c r="X4011" s="80"/>
      <c r="Y4011" s="22">
        <v>0</v>
      </c>
      <c r="Z4011" s="80" t="s">
        <v>50</v>
      </c>
      <c r="AA4011" s="82"/>
      <c r="AB4011" s="80"/>
      <c r="AC4011" s="80" t="s">
        <v>53</v>
      </c>
      <c r="AD4011" s="80" t="s">
        <v>138</v>
      </c>
      <c r="AE4011" s="80" t="s">
        <v>12474</v>
      </c>
      <c r="AF4011" s="17">
        <v>45607</v>
      </c>
      <c r="AG4011" s="80"/>
      <c r="AH4011" s="80"/>
      <c r="AI4011" s="147"/>
      <c r="AJ4011" s="80"/>
      <c r="AK4011" s="80"/>
      <c r="AL4011" s="35"/>
      <c r="AM4011" s="35"/>
      <c r="AN4011" s="35"/>
      <c r="AO4011" s="35"/>
      <c r="AP4011" s="35"/>
    </row>
    <row r="4012" spans="1:42" x14ac:dyDescent="0.2">
      <c r="A4012" s="38">
        <v>45601</v>
      </c>
      <c r="B4012" s="137" t="s">
        <v>37</v>
      </c>
      <c r="C4012" s="41" t="s">
        <v>118</v>
      </c>
      <c r="D4012" s="80" t="s">
        <v>36</v>
      </c>
      <c r="E4012" s="80" t="s">
        <v>139</v>
      </c>
      <c r="F4012" s="80" t="s">
        <v>9626</v>
      </c>
      <c r="G4012" s="80" t="s">
        <v>108</v>
      </c>
      <c r="H4012" s="80" t="s">
        <v>8088</v>
      </c>
      <c r="I4012" s="17">
        <f ca="1">IFERROR(__xludf.DUMMYFUNCTION("""COMPUTED_VALUE"""),45611)</f>
        <v>45611</v>
      </c>
      <c r="J4012" s="172" t="s">
        <v>14285</v>
      </c>
      <c r="K4012" s="80" t="s">
        <v>14286</v>
      </c>
      <c r="L4012" s="30">
        <v>913164728</v>
      </c>
      <c r="M4012" s="80" t="s">
        <v>12529</v>
      </c>
      <c r="N4012" s="80" t="s">
        <v>9750</v>
      </c>
      <c r="O4012" s="80"/>
      <c r="P4012" s="80" t="s">
        <v>14287</v>
      </c>
      <c r="Q4012" s="20">
        <v>15936</v>
      </c>
      <c r="R4012" s="80" t="s">
        <v>36</v>
      </c>
      <c r="S4012" s="95">
        <f t="shared" ref="S4012:S4013" si="63">200+1800</f>
        <v>2000</v>
      </c>
      <c r="T4012" s="83" t="s">
        <v>14288</v>
      </c>
      <c r="U4012" s="95">
        <v>13936</v>
      </c>
      <c r="V4012" s="148">
        <v>45595</v>
      </c>
      <c r="W4012" s="80" t="s">
        <v>14289</v>
      </c>
      <c r="X4012" s="80"/>
      <c r="Y4012" s="22">
        <v>0</v>
      </c>
      <c r="Z4012" s="80" t="s">
        <v>50</v>
      </c>
      <c r="AA4012" s="86"/>
      <c r="AB4012" s="80"/>
      <c r="AC4012" s="80" t="s">
        <v>53</v>
      </c>
      <c r="AD4012" s="80" t="s">
        <v>54</v>
      </c>
      <c r="AE4012" s="80" t="s">
        <v>9626</v>
      </c>
      <c r="AF4012" s="17">
        <v>45611</v>
      </c>
      <c r="AG4012" s="80" t="s">
        <v>14199</v>
      </c>
      <c r="AH4012" s="80"/>
      <c r="AI4012" s="147"/>
      <c r="AJ4012" s="80"/>
      <c r="AK4012" s="80"/>
      <c r="AL4012" s="35"/>
      <c r="AM4012" s="35"/>
      <c r="AN4012" s="35"/>
      <c r="AO4012" s="35"/>
      <c r="AP4012" s="35"/>
    </row>
    <row r="4013" spans="1:42" x14ac:dyDescent="0.2">
      <c r="A4013" s="38">
        <v>45601</v>
      </c>
      <c r="B4013" s="137" t="s">
        <v>37</v>
      </c>
      <c r="C4013" s="41" t="s">
        <v>118</v>
      </c>
      <c r="D4013" s="26" t="s">
        <v>36</v>
      </c>
      <c r="E4013" s="26" t="s">
        <v>139</v>
      </c>
      <c r="F4013" s="80" t="s">
        <v>9626</v>
      </c>
      <c r="G4013" s="80" t="s">
        <v>108</v>
      </c>
      <c r="H4013" s="80" t="s">
        <v>8088</v>
      </c>
      <c r="I4013" s="17">
        <f ca="1">IFERROR(__xludf.DUMMYFUNCTION("""COMPUTED_VALUE"""),45611)</f>
        <v>45611</v>
      </c>
      <c r="J4013" s="29" t="s">
        <v>14290</v>
      </c>
      <c r="K4013" s="26" t="s">
        <v>14291</v>
      </c>
      <c r="L4013" s="30">
        <v>965036399</v>
      </c>
      <c r="M4013" s="26" t="s">
        <v>5558</v>
      </c>
      <c r="N4013" s="26" t="s">
        <v>5559</v>
      </c>
      <c r="O4013" s="26" t="s">
        <v>4503</v>
      </c>
      <c r="P4013" s="26" t="s">
        <v>14292</v>
      </c>
      <c r="Q4013" s="20">
        <v>15936</v>
      </c>
      <c r="R4013" s="26" t="s">
        <v>36</v>
      </c>
      <c r="S4013" s="95">
        <f t="shared" si="63"/>
        <v>2000</v>
      </c>
      <c r="T4013" s="83" t="s">
        <v>14293</v>
      </c>
      <c r="U4013" s="95">
        <f>6936+7000</f>
        <v>13936</v>
      </c>
      <c r="V4013" s="169">
        <v>45593</v>
      </c>
      <c r="W4013" s="33" t="s">
        <v>14294</v>
      </c>
      <c r="X4013" s="26"/>
      <c r="Y4013" s="22">
        <v>0</v>
      </c>
      <c r="Z4013" s="26" t="s">
        <v>50</v>
      </c>
      <c r="AA4013" s="96"/>
      <c r="AB4013" s="26"/>
      <c r="AC4013" s="26" t="s">
        <v>53</v>
      </c>
      <c r="AD4013" s="26" t="s">
        <v>138</v>
      </c>
      <c r="AE4013" s="80" t="s">
        <v>9626</v>
      </c>
      <c r="AF4013" s="17">
        <v>45611</v>
      </c>
      <c r="AG4013" s="80" t="s">
        <v>14199</v>
      </c>
      <c r="AH4013" s="26"/>
      <c r="AI4013" s="40"/>
      <c r="AJ4013" s="26"/>
      <c r="AK4013" s="26"/>
      <c r="AL4013" s="35"/>
      <c r="AM4013" s="35"/>
      <c r="AN4013" s="35"/>
      <c r="AO4013" s="35"/>
      <c r="AP4013" s="35"/>
    </row>
    <row r="4014" spans="1:42" x14ac:dyDescent="0.2">
      <c r="A4014" s="38">
        <v>45601</v>
      </c>
      <c r="B4014" s="137" t="s">
        <v>37</v>
      </c>
      <c r="C4014" s="41" t="s">
        <v>118</v>
      </c>
      <c r="D4014" s="80" t="s">
        <v>36</v>
      </c>
      <c r="E4014" s="80" t="s">
        <v>139</v>
      </c>
      <c r="F4014" s="80" t="s">
        <v>9626</v>
      </c>
      <c r="G4014" s="80" t="s">
        <v>108</v>
      </c>
      <c r="H4014" s="80" t="s">
        <v>8088</v>
      </c>
      <c r="I4014" s="17">
        <f ca="1">IFERROR(__xludf.DUMMYFUNCTION("""COMPUTED_VALUE"""),45611)</f>
        <v>45611</v>
      </c>
      <c r="J4014" s="143" t="s">
        <v>14295</v>
      </c>
      <c r="K4014" s="80" t="s">
        <v>14296</v>
      </c>
      <c r="L4014" s="30">
        <v>966828344</v>
      </c>
      <c r="M4014" s="80" t="s">
        <v>3498</v>
      </c>
      <c r="N4014" s="80" t="s">
        <v>2756</v>
      </c>
      <c r="O4014" s="80" t="s">
        <v>4503</v>
      </c>
      <c r="P4014" s="80" t="s">
        <v>7649</v>
      </c>
      <c r="Q4014" s="20">
        <v>15936</v>
      </c>
      <c r="R4014" s="80" t="s">
        <v>36</v>
      </c>
      <c r="S4014" s="95">
        <v>2000</v>
      </c>
      <c r="T4014" s="148">
        <v>45541</v>
      </c>
      <c r="U4014" s="95">
        <v>13936</v>
      </c>
      <c r="V4014" s="148">
        <v>45576</v>
      </c>
      <c r="W4014" s="79" t="s">
        <v>14297</v>
      </c>
      <c r="X4014" s="80"/>
      <c r="Y4014" s="22">
        <v>0</v>
      </c>
      <c r="Z4014" s="80" t="s">
        <v>50</v>
      </c>
      <c r="AA4014" s="86"/>
      <c r="AB4014" s="80"/>
      <c r="AC4014" s="80" t="s">
        <v>53</v>
      </c>
      <c r="AD4014" s="80" t="s">
        <v>138</v>
      </c>
      <c r="AE4014" s="80" t="s">
        <v>9626</v>
      </c>
      <c r="AF4014" s="17">
        <v>45611</v>
      </c>
      <c r="AG4014" s="80" t="s">
        <v>14199</v>
      </c>
      <c r="AH4014" s="80"/>
      <c r="AI4014" s="147"/>
      <c r="AJ4014" s="80"/>
      <c r="AK4014" s="80"/>
      <c r="AL4014" s="35"/>
      <c r="AM4014" s="35"/>
      <c r="AN4014" s="35"/>
      <c r="AO4014" s="35"/>
      <c r="AP4014" s="35"/>
    </row>
    <row r="4015" spans="1:42" x14ac:dyDescent="0.2">
      <c r="A4015" s="38">
        <v>45601</v>
      </c>
      <c r="B4015" s="137" t="s">
        <v>37</v>
      </c>
      <c r="C4015" s="41" t="s">
        <v>118</v>
      </c>
      <c r="D4015" s="80" t="s">
        <v>36</v>
      </c>
      <c r="E4015" s="80" t="s">
        <v>139</v>
      </c>
      <c r="F4015" s="80" t="s">
        <v>12474</v>
      </c>
      <c r="G4015" s="80" t="s">
        <v>108</v>
      </c>
      <c r="H4015" s="80" t="s">
        <v>14200</v>
      </c>
      <c r="I4015" s="17">
        <f ca="1">IFERROR(__xludf.DUMMYFUNCTION("""COMPUTED_VALUE"""),45607)</f>
        <v>45607</v>
      </c>
      <c r="J4015" s="143" t="s">
        <v>13025</v>
      </c>
      <c r="K4015" s="80" t="s">
        <v>13026</v>
      </c>
      <c r="L4015" s="30">
        <v>904306778</v>
      </c>
      <c r="M4015" s="80" t="s">
        <v>9422</v>
      </c>
      <c r="N4015" s="80" t="s">
        <v>1232</v>
      </c>
      <c r="O4015" s="80" t="s">
        <v>13027</v>
      </c>
      <c r="P4015" s="80" t="s">
        <v>13028</v>
      </c>
      <c r="Q4015" s="20">
        <v>15936</v>
      </c>
      <c r="R4015" s="80" t="s">
        <v>36</v>
      </c>
      <c r="S4015" s="95">
        <v>2000</v>
      </c>
      <c r="T4015" s="148">
        <v>45635</v>
      </c>
      <c r="U4015" s="95">
        <v>13936</v>
      </c>
      <c r="V4015" s="148">
        <v>45561</v>
      </c>
      <c r="W4015" s="85" t="s">
        <v>13029</v>
      </c>
      <c r="X4015" s="80">
        <v>0</v>
      </c>
      <c r="Y4015" s="22">
        <v>0</v>
      </c>
      <c r="Z4015" s="80" t="s">
        <v>50</v>
      </c>
      <c r="AA4015" s="96" t="s">
        <v>3291</v>
      </c>
      <c r="AB4015" s="80"/>
      <c r="AC4015" s="80" t="s">
        <v>53</v>
      </c>
      <c r="AD4015" s="80" t="s">
        <v>138</v>
      </c>
      <c r="AE4015" s="80" t="s">
        <v>12474</v>
      </c>
      <c r="AF4015" s="17">
        <v>45607</v>
      </c>
      <c r="AG4015" s="80"/>
      <c r="AH4015" s="80"/>
      <c r="AI4015" s="147" t="s">
        <v>147</v>
      </c>
      <c r="AJ4015" s="80"/>
      <c r="AK4015" s="80"/>
      <c r="AL4015" s="35"/>
      <c r="AM4015" s="35"/>
      <c r="AN4015" s="35"/>
      <c r="AO4015" s="35"/>
      <c r="AP4015" s="35"/>
    </row>
    <row r="4016" spans="1:42" x14ac:dyDescent="0.2">
      <c r="A4016" s="38">
        <v>45601</v>
      </c>
      <c r="B4016" s="137" t="s">
        <v>37</v>
      </c>
      <c r="C4016" s="41" t="s">
        <v>118</v>
      </c>
      <c r="D4016" s="80" t="s">
        <v>36</v>
      </c>
      <c r="E4016" s="80" t="s">
        <v>139</v>
      </c>
      <c r="F4016" s="80" t="s">
        <v>12793</v>
      </c>
      <c r="G4016" s="80" t="s">
        <v>108</v>
      </c>
      <c r="H4016" s="80" t="s">
        <v>14298</v>
      </c>
      <c r="I4016" s="17">
        <f ca="1">IFERROR(__xludf.DUMMYFUNCTION("""COMPUTED_VALUE"""),45621)</f>
        <v>45621</v>
      </c>
      <c r="J4016" s="143" t="s">
        <v>14299</v>
      </c>
      <c r="K4016" s="80" t="s">
        <v>14300</v>
      </c>
      <c r="L4016" s="30">
        <v>329652613</v>
      </c>
      <c r="M4016" s="80" t="s">
        <v>3728</v>
      </c>
      <c r="N4016" s="80" t="s">
        <v>5277</v>
      </c>
      <c r="O4016" s="80" t="s">
        <v>14301</v>
      </c>
      <c r="P4016" s="80" t="s">
        <v>14302</v>
      </c>
      <c r="Q4016" s="20">
        <v>15936</v>
      </c>
      <c r="R4016" s="80" t="s">
        <v>36</v>
      </c>
      <c r="S4016" s="95">
        <v>2000</v>
      </c>
      <c r="T4016" s="148">
        <v>45544</v>
      </c>
      <c r="U4016" s="95">
        <v>13936</v>
      </c>
      <c r="V4016" s="148">
        <v>45594</v>
      </c>
      <c r="W4016" s="85" t="s">
        <v>14303</v>
      </c>
      <c r="X4016" s="80"/>
      <c r="Y4016" s="22">
        <v>0</v>
      </c>
      <c r="Z4016" s="81" t="s">
        <v>50</v>
      </c>
      <c r="AA4016" s="86"/>
      <c r="AB4016" s="80"/>
      <c r="AC4016" s="80" t="s">
        <v>53</v>
      </c>
      <c r="AD4016" s="80" t="s">
        <v>54</v>
      </c>
      <c r="AE4016" s="80" t="s">
        <v>12793</v>
      </c>
      <c r="AF4016" s="17">
        <v>45605</v>
      </c>
      <c r="AG4016" s="80"/>
      <c r="AH4016" s="80"/>
      <c r="AI4016" s="147"/>
      <c r="AJ4016" s="80"/>
      <c r="AK4016" s="80"/>
      <c r="AL4016" s="86"/>
      <c r="AM4016" s="86"/>
      <c r="AN4016" s="86"/>
      <c r="AO4016" s="86"/>
      <c r="AP4016" s="35"/>
    </row>
    <row r="4017" spans="1:42" x14ac:dyDescent="0.2">
      <c r="A4017" s="38">
        <v>45601</v>
      </c>
      <c r="B4017" s="137" t="s">
        <v>37</v>
      </c>
      <c r="C4017" s="41" t="s">
        <v>118</v>
      </c>
      <c r="D4017" s="80" t="s">
        <v>36</v>
      </c>
      <c r="E4017" s="80" t="s">
        <v>139</v>
      </c>
      <c r="F4017" s="80" t="s">
        <v>9626</v>
      </c>
      <c r="G4017" s="80" t="s">
        <v>108</v>
      </c>
      <c r="H4017" s="80" t="s">
        <v>8088</v>
      </c>
      <c r="I4017" s="17">
        <f ca="1">IFERROR(__xludf.DUMMYFUNCTION("""COMPUTED_VALUE"""),45611)</f>
        <v>45611</v>
      </c>
      <c r="J4017" s="143" t="s">
        <v>14304</v>
      </c>
      <c r="K4017" s="80" t="s">
        <v>14305</v>
      </c>
      <c r="L4017" s="30">
        <v>352068933</v>
      </c>
      <c r="M4017" s="80" t="s">
        <v>5558</v>
      </c>
      <c r="N4017" s="80" t="s">
        <v>5559</v>
      </c>
      <c r="O4017" s="80" t="s">
        <v>4503</v>
      </c>
      <c r="P4017" s="144" t="s">
        <v>14306</v>
      </c>
      <c r="Q4017" s="20">
        <v>15936</v>
      </c>
      <c r="R4017" s="80" t="s">
        <v>36</v>
      </c>
      <c r="S4017" s="95">
        <f>200+1800</f>
        <v>2000</v>
      </c>
      <c r="T4017" s="83" t="s">
        <v>14307</v>
      </c>
      <c r="U4017" s="95">
        <v>13936</v>
      </c>
      <c r="V4017" s="148">
        <v>45575</v>
      </c>
      <c r="W4017" s="79" t="s">
        <v>14308</v>
      </c>
      <c r="X4017" s="80"/>
      <c r="Y4017" s="22">
        <v>0</v>
      </c>
      <c r="Z4017" s="80" t="s">
        <v>50</v>
      </c>
      <c r="AA4017" s="82"/>
      <c r="AB4017" s="80"/>
      <c r="AC4017" s="80" t="s">
        <v>53</v>
      </c>
      <c r="AD4017" s="80" t="s">
        <v>138</v>
      </c>
      <c r="AE4017" s="80" t="s">
        <v>9626</v>
      </c>
      <c r="AF4017" s="17">
        <v>45611</v>
      </c>
      <c r="AG4017" s="80" t="s">
        <v>14199</v>
      </c>
      <c r="AH4017" s="80"/>
      <c r="AI4017" s="147"/>
      <c r="AJ4017" s="80"/>
      <c r="AK4017" s="80"/>
      <c r="AL4017" s="35"/>
      <c r="AM4017" s="35"/>
      <c r="AN4017" s="35"/>
      <c r="AO4017" s="35"/>
      <c r="AP4017" s="35"/>
    </row>
    <row r="4018" spans="1:42" x14ac:dyDescent="0.2">
      <c r="A4018" s="38">
        <v>45601</v>
      </c>
      <c r="B4018" s="137" t="s">
        <v>37</v>
      </c>
      <c r="C4018" s="41" t="s">
        <v>118</v>
      </c>
      <c r="D4018" s="80" t="s">
        <v>36</v>
      </c>
      <c r="E4018" s="80" t="s">
        <v>139</v>
      </c>
      <c r="F4018" s="80" t="s">
        <v>9626</v>
      </c>
      <c r="G4018" s="80" t="s">
        <v>108</v>
      </c>
      <c r="H4018" s="80" t="s">
        <v>8088</v>
      </c>
      <c r="I4018" s="17">
        <f ca="1">IFERROR(__xludf.DUMMYFUNCTION("""COMPUTED_VALUE"""),45611)</f>
        <v>45611</v>
      </c>
      <c r="J4018" s="172" t="s">
        <v>14309</v>
      </c>
      <c r="K4018" s="80" t="s">
        <v>14310</v>
      </c>
      <c r="L4018" s="30">
        <v>386019806</v>
      </c>
      <c r="M4018" s="80" t="s">
        <v>5558</v>
      </c>
      <c r="N4018" s="80" t="s">
        <v>5559</v>
      </c>
      <c r="O4018" s="80" t="s">
        <v>4503</v>
      </c>
      <c r="P4018" s="80" t="s">
        <v>14311</v>
      </c>
      <c r="Q4018" s="20">
        <v>15936</v>
      </c>
      <c r="R4018" s="80" t="s">
        <v>36</v>
      </c>
      <c r="S4018" s="95">
        <f>200+1768</f>
        <v>1968</v>
      </c>
      <c r="T4018" s="83" t="s">
        <v>14312</v>
      </c>
      <c r="U4018" s="95">
        <v>13968</v>
      </c>
      <c r="V4018" s="148">
        <v>45576</v>
      </c>
      <c r="W4018" s="85" t="s">
        <v>14313</v>
      </c>
      <c r="X4018" s="80"/>
      <c r="Y4018" s="22">
        <v>0</v>
      </c>
      <c r="Z4018" s="80" t="s">
        <v>50</v>
      </c>
      <c r="AA4018" s="86"/>
      <c r="AB4018" s="80"/>
      <c r="AC4018" s="80" t="s">
        <v>53</v>
      </c>
      <c r="AD4018" s="80" t="s">
        <v>138</v>
      </c>
      <c r="AE4018" s="80" t="s">
        <v>9626</v>
      </c>
      <c r="AF4018" s="17">
        <v>45611</v>
      </c>
      <c r="AG4018" s="80" t="s">
        <v>14199</v>
      </c>
      <c r="AH4018" s="80"/>
      <c r="AI4018" s="147"/>
      <c r="AJ4018" s="80"/>
      <c r="AK4018" s="80"/>
      <c r="AL4018" s="35"/>
      <c r="AM4018" s="35"/>
      <c r="AN4018" s="35"/>
      <c r="AO4018" s="35"/>
      <c r="AP4018" s="35"/>
    </row>
    <row r="4019" spans="1:42" x14ac:dyDescent="0.2">
      <c r="A4019" s="38">
        <v>45601</v>
      </c>
      <c r="B4019" s="137" t="s">
        <v>37</v>
      </c>
      <c r="C4019" s="41" t="s">
        <v>118</v>
      </c>
      <c r="D4019" s="80" t="s">
        <v>36</v>
      </c>
      <c r="E4019" s="80" t="s">
        <v>139</v>
      </c>
      <c r="F4019" s="80" t="s">
        <v>9626</v>
      </c>
      <c r="G4019" s="80" t="s">
        <v>108</v>
      </c>
      <c r="H4019" s="80" t="s">
        <v>8088</v>
      </c>
      <c r="I4019" s="17">
        <f ca="1">IFERROR(__xludf.DUMMYFUNCTION("""COMPUTED_VALUE"""),45611)</f>
        <v>45611</v>
      </c>
      <c r="J4019" s="143" t="s">
        <v>14314</v>
      </c>
      <c r="K4019" s="80" t="s">
        <v>14315</v>
      </c>
      <c r="L4019" s="30">
        <v>334206729</v>
      </c>
      <c r="M4019" s="80" t="s">
        <v>2755</v>
      </c>
      <c r="N4019" s="80" t="s">
        <v>2756</v>
      </c>
      <c r="O4019" s="80" t="s">
        <v>4503</v>
      </c>
      <c r="P4019" s="80" t="s">
        <v>7649</v>
      </c>
      <c r="Q4019" s="20">
        <v>15936</v>
      </c>
      <c r="R4019" s="80" t="s">
        <v>36</v>
      </c>
      <c r="S4019" s="95">
        <v>2000</v>
      </c>
      <c r="T4019" s="148">
        <v>45545</v>
      </c>
      <c r="U4019" s="178">
        <v>13936</v>
      </c>
      <c r="V4019" s="169">
        <v>45575</v>
      </c>
      <c r="W4019" s="85" t="s">
        <v>14316</v>
      </c>
      <c r="X4019" s="80"/>
      <c r="Y4019" s="22">
        <v>0</v>
      </c>
      <c r="Z4019" s="80" t="s">
        <v>50</v>
      </c>
      <c r="AA4019" s="82"/>
      <c r="AB4019" s="80"/>
      <c r="AC4019" s="80" t="s">
        <v>53</v>
      </c>
      <c r="AD4019" s="80" t="s">
        <v>138</v>
      </c>
      <c r="AE4019" s="80" t="s">
        <v>9626</v>
      </c>
      <c r="AF4019" s="17">
        <v>45611</v>
      </c>
      <c r="AG4019" s="80" t="s">
        <v>14199</v>
      </c>
      <c r="AH4019" s="80"/>
      <c r="AI4019" s="147"/>
      <c r="AJ4019" s="80"/>
      <c r="AK4019" s="80"/>
      <c r="AL4019" s="35"/>
      <c r="AM4019" s="35"/>
      <c r="AN4019" s="35"/>
      <c r="AO4019" s="35"/>
      <c r="AP4019" s="35"/>
    </row>
    <row r="4020" spans="1:42" x14ac:dyDescent="0.2">
      <c r="A4020" s="38">
        <v>45601</v>
      </c>
      <c r="B4020" s="137" t="s">
        <v>37</v>
      </c>
      <c r="C4020" s="41" t="s">
        <v>118</v>
      </c>
      <c r="D4020" s="80" t="s">
        <v>36</v>
      </c>
      <c r="E4020" s="80" t="s">
        <v>139</v>
      </c>
      <c r="F4020" s="80" t="s">
        <v>12474</v>
      </c>
      <c r="G4020" s="80" t="s">
        <v>108</v>
      </c>
      <c r="H4020" s="80" t="s">
        <v>14114</v>
      </c>
      <c r="I4020" s="17">
        <f ca="1">IFERROR(__xludf.DUMMYFUNCTION("""COMPUTED_VALUE"""),45750)</f>
        <v>45750</v>
      </c>
      <c r="J4020" s="143" t="s">
        <v>12480</v>
      </c>
      <c r="K4020" s="80" t="s">
        <v>14317</v>
      </c>
      <c r="L4020" s="30">
        <v>374055571</v>
      </c>
      <c r="M4020" s="80" t="s">
        <v>5518</v>
      </c>
      <c r="N4020" s="80" t="s">
        <v>5252</v>
      </c>
      <c r="O4020" s="80" t="s">
        <v>12482</v>
      </c>
      <c r="P4020" s="144" t="s">
        <v>14318</v>
      </c>
      <c r="Q4020" s="20">
        <v>15936</v>
      </c>
      <c r="R4020" s="80" t="s">
        <v>36</v>
      </c>
      <c r="S4020" s="95">
        <f>200+15736</f>
        <v>15936</v>
      </c>
      <c r="T4020" s="148">
        <v>45530</v>
      </c>
      <c r="U4020" s="95"/>
      <c r="V4020" s="148">
        <v>45546</v>
      </c>
      <c r="W4020" s="85" t="s">
        <v>12483</v>
      </c>
      <c r="X4020" s="80">
        <v>0</v>
      </c>
      <c r="Y4020" s="22">
        <v>0</v>
      </c>
      <c r="Z4020" s="80" t="s">
        <v>50</v>
      </c>
      <c r="AA4020" s="35" t="s">
        <v>3291</v>
      </c>
      <c r="AB4020" s="80"/>
      <c r="AC4020" s="80" t="s">
        <v>53</v>
      </c>
      <c r="AD4020" s="80" t="s">
        <v>138</v>
      </c>
      <c r="AE4020" s="80" t="s">
        <v>12474</v>
      </c>
      <c r="AF4020" s="17">
        <v>45383</v>
      </c>
      <c r="AG4020" s="60" t="s">
        <v>14218</v>
      </c>
      <c r="AH4020" s="80"/>
      <c r="AI4020" s="147" t="s">
        <v>147</v>
      </c>
      <c r="AJ4020" s="80"/>
      <c r="AK4020" s="80"/>
      <c r="AL4020" s="35"/>
      <c r="AM4020" s="35"/>
      <c r="AN4020" s="35"/>
      <c r="AO4020" s="35"/>
      <c r="AP4020" s="35"/>
    </row>
    <row r="4021" spans="1:42" x14ac:dyDescent="0.2">
      <c r="A4021" s="38">
        <v>45601</v>
      </c>
      <c r="B4021" s="137" t="s">
        <v>37</v>
      </c>
      <c r="C4021" s="41" t="s">
        <v>118</v>
      </c>
      <c r="D4021" s="80" t="s">
        <v>36</v>
      </c>
      <c r="E4021" s="80" t="s">
        <v>139</v>
      </c>
      <c r="F4021" s="80" t="s">
        <v>12474</v>
      </c>
      <c r="G4021" s="80" t="s">
        <v>108</v>
      </c>
      <c r="H4021" s="80" t="s">
        <v>14200</v>
      </c>
      <c r="I4021" s="17">
        <f ca="1">IFERROR(__xludf.DUMMYFUNCTION("""COMPUTED_VALUE"""),45607)</f>
        <v>45607</v>
      </c>
      <c r="J4021" s="143" t="s">
        <v>14319</v>
      </c>
      <c r="K4021" s="80" t="s">
        <v>14320</v>
      </c>
      <c r="L4021" s="30">
        <v>388630987</v>
      </c>
      <c r="M4021" s="80" t="s">
        <v>5429</v>
      </c>
      <c r="N4021" s="80" t="s">
        <v>9251</v>
      </c>
      <c r="O4021" s="80" t="s">
        <v>4626</v>
      </c>
      <c r="P4021" s="80" t="s">
        <v>7107</v>
      </c>
      <c r="Q4021" s="20">
        <v>15936</v>
      </c>
      <c r="R4021" s="80" t="s">
        <v>36</v>
      </c>
      <c r="S4021" s="95">
        <f>200+1800</f>
        <v>2000</v>
      </c>
      <c r="T4021" s="83" t="s">
        <v>14321</v>
      </c>
      <c r="U4021" s="95">
        <v>13936</v>
      </c>
      <c r="V4021" s="148">
        <v>45570</v>
      </c>
      <c r="W4021" s="85" t="s">
        <v>14322</v>
      </c>
      <c r="X4021" s="80"/>
      <c r="Y4021" s="22">
        <v>0</v>
      </c>
      <c r="Z4021" s="80" t="s">
        <v>50</v>
      </c>
      <c r="AA4021" s="82"/>
      <c r="AB4021" s="80"/>
      <c r="AC4021" s="80" t="s">
        <v>53</v>
      </c>
      <c r="AD4021" s="80" t="s">
        <v>138</v>
      </c>
      <c r="AE4021" s="80" t="s">
        <v>12474</v>
      </c>
      <c r="AF4021" s="17">
        <v>45607</v>
      </c>
      <c r="AG4021" s="80"/>
      <c r="AH4021" s="80"/>
      <c r="AI4021" s="147"/>
      <c r="AJ4021" s="80"/>
      <c r="AK4021" s="80"/>
      <c r="AL4021" s="35"/>
      <c r="AM4021" s="35"/>
      <c r="AN4021" s="35"/>
      <c r="AO4021" s="35"/>
      <c r="AP4021" s="35"/>
    </row>
    <row r="4022" spans="1:42" x14ac:dyDescent="0.2">
      <c r="A4022" s="38">
        <v>45601</v>
      </c>
      <c r="B4022" s="137" t="s">
        <v>37</v>
      </c>
      <c r="C4022" s="41" t="s">
        <v>118</v>
      </c>
      <c r="D4022" s="80" t="s">
        <v>36</v>
      </c>
      <c r="E4022" s="80" t="s">
        <v>139</v>
      </c>
      <c r="F4022" s="80" t="s">
        <v>9626</v>
      </c>
      <c r="G4022" s="80" t="s">
        <v>108</v>
      </c>
      <c r="H4022" s="80" t="s">
        <v>8088</v>
      </c>
      <c r="I4022" s="17">
        <f ca="1">IFERROR(__xludf.DUMMYFUNCTION("""COMPUTED_VALUE"""),45611)</f>
        <v>45611</v>
      </c>
      <c r="J4022" s="143" t="s">
        <v>14323</v>
      </c>
      <c r="K4022" s="80" t="s">
        <v>14324</v>
      </c>
      <c r="L4022" s="30">
        <v>961906726</v>
      </c>
      <c r="M4022" s="80" t="s">
        <v>5558</v>
      </c>
      <c r="N4022" s="80" t="s">
        <v>5559</v>
      </c>
      <c r="O4022" s="80" t="s">
        <v>4503</v>
      </c>
      <c r="P4022" s="80" t="s">
        <v>14325</v>
      </c>
      <c r="Q4022" s="20">
        <v>15936</v>
      </c>
      <c r="R4022" s="80" t="s">
        <v>36</v>
      </c>
      <c r="S4022" s="95">
        <v>2000</v>
      </c>
      <c r="T4022" s="148">
        <v>45541</v>
      </c>
      <c r="U4022" s="95">
        <v>13936</v>
      </c>
      <c r="V4022" s="148">
        <v>45575</v>
      </c>
      <c r="W4022" s="85" t="s">
        <v>14326</v>
      </c>
      <c r="X4022" s="80"/>
      <c r="Y4022" s="22">
        <v>0</v>
      </c>
      <c r="Z4022" s="80" t="s">
        <v>50</v>
      </c>
      <c r="AA4022" s="86"/>
      <c r="AB4022" s="80"/>
      <c r="AC4022" s="80" t="s">
        <v>53</v>
      </c>
      <c r="AD4022" s="80" t="s">
        <v>138</v>
      </c>
      <c r="AE4022" s="80" t="s">
        <v>9626</v>
      </c>
      <c r="AF4022" s="17">
        <v>45611</v>
      </c>
      <c r="AG4022" s="80" t="s">
        <v>14199</v>
      </c>
      <c r="AH4022" s="80"/>
      <c r="AI4022" s="147"/>
      <c r="AJ4022" s="80"/>
      <c r="AK4022" s="80"/>
      <c r="AL4022" s="35"/>
      <c r="AM4022" s="35"/>
      <c r="AN4022" s="35"/>
      <c r="AO4022" s="35"/>
      <c r="AP4022" s="35"/>
    </row>
    <row r="4023" spans="1:42" x14ac:dyDescent="0.2">
      <c r="A4023" s="38">
        <v>45601</v>
      </c>
      <c r="B4023" s="137" t="s">
        <v>37</v>
      </c>
      <c r="C4023" s="41" t="s">
        <v>118</v>
      </c>
      <c r="D4023" s="80" t="s">
        <v>36</v>
      </c>
      <c r="E4023" s="80" t="s">
        <v>139</v>
      </c>
      <c r="F4023" s="80" t="s">
        <v>11735</v>
      </c>
      <c r="G4023" s="80" t="s">
        <v>108</v>
      </c>
      <c r="H4023" s="80" t="s">
        <v>8702</v>
      </c>
      <c r="I4023" s="17">
        <f ca="1">IFERROR(__xludf.DUMMYFUNCTION("""COMPUTED_VALUE"""),45608)</f>
        <v>45608</v>
      </c>
      <c r="J4023" s="143" t="s">
        <v>12992</v>
      </c>
      <c r="K4023" s="80" t="s">
        <v>14327</v>
      </c>
      <c r="L4023" s="30">
        <v>369055178</v>
      </c>
      <c r="M4023" s="80" t="s">
        <v>9422</v>
      </c>
      <c r="N4023" s="80" t="s">
        <v>186</v>
      </c>
      <c r="O4023" s="80" t="s">
        <v>11607</v>
      </c>
      <c r="P4023" s="80" t="s">
        <v>11607</v>
      </c>
      <c r="Q4023" s="20">
        <v>15936</v>
      </c>
      <c r="R4023" s="80" t="s">
        <v>36</v>
      </c>
      <c r="S4023" s="95">
        <v>2000</v>
      </c>
      <c r="T4023" s="148">
        <v>45546</v>
      </c>
      <c r="U4023" s="95">
        <v>13636</v>
      </c>
      <c r="V4023" s="148">
        <v>45553</v>
      </c>
      <c r="W4023" s="85" t="s">
        <v>12994</v>
      </c>
      <c r="X4023" s="80">
        <v>0</v>
      </c>
      <c r="Y4023" s="22">
        <v>300</v>
      </c>
      <c r="Z4023" s="80" t="s">
        <v>50</v>
      </c>
      <c r="AA4023" s="96" t="s">
        <v>3291</v>
      </c>
      <c r="AB4023" s="80"/>
      <c r="AC4023" s="80" t="s">
        <v>53</v>
      </c>
      <c r="AD4023" s="80" t="s">
        <v>138</v>
      </c>
      <c r="AE4023" s="80" t="s">
        <v>11735</v>
      </c>
      <c r="AF4023" s="17">
        <v>45611</v>
      </c>
      <c r="AG4023" s="80" t="s">
        <v>14199</v>
      </c>
      <c r="AH4023" s="80"/>
      <c r="AI4023" s="147" t="s">
        <v>147</v>
      </c>
      <c r="AJ4023" s="80"/>
      <c r="AK4023" s="80"/>
      <c r="AL4023" s="35"/>
      <c r="AM4023" s="35"/>
      <c r="AN4023" s="35"/>
      <c r="AO4023" s="35"/>
      <c r="AP4023" s="35"/>
    </row>
    <row r="4024" spans="1:42" x14ac:dyDescent="0.2">
      <c r="A4024" s="38">
        <v>45601</v>
      </c>
      <c r="B4024" s="137" t="s">
        <v>37</v>
      </c>
      <c r="C4024" s="41" t="s">
        <v>118</v>
      </c>
      <c r="D4024" s="80" t="s">
        <v>36</v>
      </c>
      <c r="E4024" s="80" t="s">
        <v>39</v>
      </c>
      <c r="F4024" s="80" t="s">
        <v>9626</v>
      </c>
      <c r="G4024" s="80" t="s">
        <v>108</v>
      </c>
      <c r="H4024" s="80" t="s">
        <v>14328</v>
      </c>
      <c r="I4024" s="17" t="str">
        <f ca="1">IFERROR(__xludf.DUMMYFUNCTION("""COMPUTED_VALUE""")," ")</f>
        <v xml:space="preserve"> </v>
      </c>
      <c r="J4024" s="143" t="s">
        <v>11356</v>
      </c>
      <c r="K4024" s="80" t="s">
        <v>14329</v>
      </c>
      <c r="L4024" s="30">
        <v>568023381</v>
      </c>
      <c r="M4024" s="80" t="s">
        <v>3288</v>
      </c>
      <c r="N4024" s="80" t="s">
        <v>200</v>
      </c>
      <c r="O4024" s="80" t="s">
        <v>91</v>
      </c>
      <c r="P4024" s="80" t="s">
        <v>3117</v>
      </c>
      <c r="Q4024" s="20">
        <v>5736</v>
      </c>
      <c r="R4024" s="80" t="s">
        <v>1106</v>
      </c>
      <c r="S4024" s="95">
        <v>1000</v>
      </c>
      <c r="T4024" s="148">
        <v>45515</v>
      </c>
      <c r="U4024" s="95">
        <v>4586</v>
      </c>
      <c r="V4024" s="148">
        <v>45521</v>
      </c>
      <c r="W4024" s="85" t="s">
        <v>11358</v>
      </c>
      <c r="X4024" s="80">
        <v>150</v>
      </c>
      <c r="Y4024" s="22">
        <v>0</v>
      </c>
      <c r="Z4024" s="80" t="s">
        <v>50</v>
      </c>
      <c r="AA4024" s="35" t="s">
        <v>10314</v>
      </c>
      <c r="AB4024" s="80"/>
      <c r="AC4024" s="80" t="s">
        <v>53</v>
      </c>
      <c r="AD4024" s="80" t="s">
        <v>138</v>
      </c>
      <c r="AE4024" s="80" t="s">
        <v>9626</v>
      </c>
      <c r="AF4024" s="17">
        <v>45611</v>
      </c>
      <c r="AG4024" s="80" t="s">
        <v>14199</v>
      </c>
      <c r="AH4024" s="80"/>
      <c r="AI4024" s="147"/>
      <c r="AJ4024" s="80"/>
      <c r="AK4024" s="80"/>
      <c r="AL4024" s="35"/>
      <c r="AM4024" s="35"/>
      <c r="AN4024" s="35"/>
      <c r="AO4024" s="35"/>
      <c r="AP4024" s="35"/>
    </row>
    <row r="4025" spans="1:42" x14ac:dyDescent="0.2">
      <c r="A4025" s="38">
        <v>45601</v>
      </c>
      <c r="B4025" s="137" t="s">
        <v>37</v>
      </c>
      <c r="C4025" s="41" t="s">
        <v>118</v>
      </c>
      <c r="D4025" s="26" t="s">
        <v>36</v>
      </c>
      <c r="E4025" s="26" t="s">
        <v>119</v>
      </c>
      <c r="F4025" s="26" t="s">
        <v>524</v>
      </c>
      <c r="G4025" s="26" t="s">
        <v>108</v>
      </c>
      <c r="H4025" s="26" t="s">
        <v>12857</v>
      </c>
      <c r="I4025" s="17">
        <f ca="1">IFERROR(__xludf.DUMMYFUNCTION("""COMPUTED_VALUE"""),45611)</f>
        <v>45611</v>
      </c>
      <c r="J4025" s="44" t="s">
        <v>14330</v>
      </c>
      <c r="K4025" s="26" t="s">
        <v>14331</v>
      </c>
      <c r="L4025" s="30">
        <v>338090014</v>
      </c>
      <c r="M4025" s="26" t="s">
        <v>123</v>
      </c>
      <c r="N4025" s="26" t="s">
        <v>310</v>
      </c>
      <c r="O4025" s="26" t="s">
        <v>1288</v>
      </c>
      <c r="P4025" s="26" t="s">
        <v>1289</v>
      </c>
      <c r="Q4025" s="20">
        <v>13968</v>
      </c>
      <c r="R4025" s="26" t="s">
        <v>36</v>
      </c>
      <c r="S4025" s="31">
        <v>4000</v>
      </c>
      <c r="T4025" s="32">
        <v>45143</v>
      </c>
      <c r="U4025" s="31">
        <v>9968</v>
      </c>
      <c r="V4025" s="38">
        <v>45161</v>
      </c>
      <c r="W4025" s="26" t="s">
        <v>1290</v>
      </c>
      <c r="X4025" s="26">
        <v>0</v>
      </c>
      <c r="Y4025" s="22">
        <v>0</v>
      </c>
      <c r="Z4025" s="34" t="s">
        <v>50</v>
      </c>
      <c r="AA4025" s="19" t="s">
        <v>901</v>
      </c>
      <c r="AB4025" s="26" t="s">
        <v>128</v>
      </c>
      <c r="AC4025" s="26" t="s">
        <v>53</v>
      </c>
      <c r="AD4025" s="19" t="s">
        <v>54</v>
      </c>
      <c r="AE4025" s="26" t="s">
        <v>524</v>
      </c>
      <c r="AF4025" s="17">
        <v>45607</v>
      </c>
      <c r="AG4025" s="26"/>
      <c r="AH4025" s="26">
        <v>1</v>
      </c>
      <c r="AI4025" s="40">
        <v>4</v>
      </c>
      <c r="AJ4025" s="26"/>
      <c r="AK4025" s="26"/>
      <c r="AL4025" s="35"/>
      <c r="AM4025" s="35"/>
      <c r="AN4025" s="35"/>
      <c r="AO4025" s="35"/>
      <c r="AP4025" s="35"/>
    </row>
    <row r="4026" spans="1:42" x14ac:dyDescent="0.2">
      <c r="A4026" s="38">
        <v>45601</v>
      </c>
      <c r="B4026" s="137" t="s">
        <v>37</v>
      </c>
      <c r="C4026" s="41" t="s">
        <v>118</v>
      </c>
      <c r="D4026" s="80" t="s">
        <v>36</v>
      </c>
      <c r="E4026" s="80" t="s">
        <v>139</v>
      </c>
      <c r="F4026" s="80" t="s">
        <v>9626</v>
      </c>
      <c r="G4026" s="80" t="s">
        <v>108</v>
      </c>
      <c r="H4026" s="80" t="s">
        <v>8088</v>
      </c>
      <c r="I4026" s="17">
        <f ca="1">IFERROR(__xludf.DUMMYFUNCTION("""COMPUTED_VALUE"""),45611)</f>
        <v>45611</v>
      </c>
      <c r="J4026" s="172" t="s">
        <v>14332</v>
      </c>
      <c r="K4026" s="80" t="s">
        <v>14333</v>
      </c>
      <c r="L4026" s="30">
        <v>766778889</v>
      </c>
      <c r="M4026" s="80" t="s">
        <v>5558</v>
      </c>
      <c r="N4026" s="80" t="s">
        <v>850</v>
      </c>
      <c r="O4026" s="80" t="s">
        <v>4503</v>
      </c>
      <c r="P4026" s="80" t="s">
        <v>14334</v>
      </c>
      <c r="Q4026" s="20">
        <v>15936</v>
      </c>
      <c r="R4026" s="80" t="s">
        <v>36</v>
      </c>
      <c r="S4026" s="77">
        <v>2000</v>
      </c>
      <c r="T4026" s="78">
        <v>45550</v>
      </c>
      <c r="U4026" s="77">
        <v>13936</v>
      </c>
      <c r="V4026" s="80" t="s">
        <v>14335</v>
      </c>
      <c r="W4026" s="80" t="s">
        <v>14336</v>
      </c>
      <c r="X4026" s="86"/>
      <c r="Y4026" s="22">
        <v>0</v>
      </c>
      <c r="Z4026" s="80" t="s">
        <v>50</v>
      </c>
      <c r="AA4026" s="86"/>
      <c r="AB4026" s="80"/>
      <c r="AC4026" s="80" t="s">
        <v>53</v>
      </c>
      <c r="AD4026" s="80" t="s">
        <v>138</v>
      </c>
      <c r="AE4026" s="80" t="s">
        <v>9626</v>
      </c>
      <c r="AF4026" s="17">
        <v>45611</v>
      </c>
      <c r="AG4026" s="80" t="s">
        <v>14199</v>
      </c>
      <c r="AH4026" s="80"/>
      <c r="AI4026" s="147"/>
      <c r="AJ4026" s="80"/>
      <c r="AK4026" s="80"/>
      <c r="AL4026" s="35"/>
      <c r="AM4026" s="35"/>
      <c r="AN4026" s="35"/>
      <c r="AO4026" s="35"/>
      <c r="AP4026" s="35"/>
    </row>
    <row r="4027" spans="1:42" x14ac:dyDescent="0.2">
      <c r="A4027" s="38">
        <v>45601</v>
      </c>
      <c r="B4027" s="137" t="s">
        <v>37</v>
      </c>
      <c r="C4027" s="41" t="s">
        <v>118</v>
      </c>
      <c r="D4027" s="80" t="s">
        <v>36</v>
      </c>
      <c r="E4027" s="80" t="s">
        <v>139</v>
      </c>
      <c r="F4027" s="80" t="s">
        <v>11347</v>
      </c>
      <c r="G4027" s="80" t="s">
        <v>108</v>
      </c>
      <c r="H4027" s="80" t="s">
        <v>14177</v>
      </c>
      <c r="I4027" s="17">
        <f ca="1">IFERROR(__xludf.DUMMYFUNCTION("""COMPUTED_VALUE"""),45614)</f>
        <v>45614</v>
      </c>
      <c r="J4027" s="143" t="s">
        <v>14337</v>
      </c>
      <c r="K4027" s="80" t="s">
        <v>14338</v>
      </c>
      <c r="L4027" s="30">
        <v>359783526</v>
      </c>
      <c r="M4027" s="80" t="s">
        <v>3728</v>
      </c>
      <c r="N4027" s="80" t="s">
        <v>8725</v>
      </c>
      <c r="O4027" s="80" t="s">
        <v>14339</v>
      </c>
      <c r="P4027" s="80" t="s">
        <v>12452</v>
      </c>
      <c r="Q4027" s="20">
        <v>15936</v>
      </c>
      <c r="R4027" s="80" t="s">
        <v>1106</v>
      </c>
      <c r="S4027" s="95">
        <v>2000</v>
      </c>
      <c r="T4027" s="83" t="s">
        <v>14340</v>
      </c>
      <c r="U4027" s="95">
        <v>13786</v>
      </c>
      <c r="V4027" s="148">
        <v>45575</v>
      </c>
      <c r="W4027" s="80" t="s">
        <v>14341</v>
      </c>
      <c r="X4027" s="80"/>
      <c r="Y4027" s="22">
        <v>150</v>
      </c>
      <c r="Z4027" s="80" t="s">
        <v>50</v>
      </c>
      <c r="AA4027" s="82"/>
      <c r="AB4027" s="80"/>
      <c r="AC4027" s="80" t="s">
        <v>53</v>
      </c>
      <c r="AD4027" s="80" t="s">
        <v>138</v>
      </c>
      <c r="AE4027" s="80" t="s">
        <v>11347</v>
      </c>
      <c r="AF4027" s="17">
        <v>45614</v>
      </c>
      <c r="AG4027" s="80"/>
      <c r="AH4027" s="80"/>
      <c r="AI4027" s="147"/>
      <c r="AJ4027" s="80"/>
      <c r="AK4027" s="80"/>
      <c r="AL4027" s="35"/>
      <c r="AM4027" s="35"/>
      <c r="AN4027" s="35"/>
      <c r="AO4027" s="35"/>
      <c r="AP4027" s="35"/>
    </row>
    <row r="4028" spans="1:42" x14ac:dyDescent="0.2">
      <c r="A4028" s="38">
        <v>45601</v>
      </c>
      <c r="B4028" s="137" t="s">
        <v>37</v>
      </c>
      <c r="C4028" s="41" t="s">
        <v>118</v>
      </c>
      <c r="D4028" s="80" t="s">
        <v>36</v>
      </c>
      <c r="E4028" s="26" t="s">
        <v>119</v>
      </c>
      <c r="F4028" s="26" t="s">
        <v>1242</v>
      </c>
      <c r="G4028" s="26" t="s">
        <v>221</v>
      </c>
      <c r="H4028" s="26" t="s">
        <v>13508</v>
      </c>
      <c r="I4028" s="17">
        <f ca="1">IFERROR(__xludf.DUMMYFUNCTION("""COMPUTED_VALUE"""),45604)</f>
        <v>45604</v>
      </c>
      <c r="J4028" s="29" t="s">
        <v>11262</v>
      </c>
      <c r="K4028" s="26" t="s">
        <v>11263</v>
      </c>
      <c r="L4028" s="30">
        <v>975877639</v>
      </c>
      <c r="M4028" s="26" t="s">
        <v>1245</v>
      </c>
      <c r="N4028" s="26" t="s">
        <v>5092</v>
      </c>
      <c r="O4028" s="80" t="s">
        <v>9649</v>
      </c>
      <c r="P4028" s="42" t="s">
        <v>11264</v>
      </c>
      <c r="Q4028" s="20">
        <v>13968</v>
      </c>
      <c r="R4028" s="80" t="s">
        <v>36</v>
      </c>
      <c r="S4028" s="95">
        <v>13968</v>
      </c>
      <c r="T4028" s="148">
        <v>45510</v>
      </c>
      <c r="U4028" s="31"/>
      <c r="V4028" s="32"/>
      <c r="W4028" s="33" t="s">
        <v>11265</v>
      </c>
      <c r="X4028" s="26">
        <v>0</v>
      </c>
      <c r="Y4028" s="22">
        <v>0</v>
      </c>
      <c r="Z4028" s="26" t="s">
        <v>50</v>
      </c>
      <c r="AA4028" s="35" t="s">
        <v>10314</v>
      </c>
      <c r="AB4028" s="26"/>
      <c r="AC4028" s="80" t="s">
        <v>53</v>
      </c>
      <c r="AD4028" s="80" t="s">
        <v>54</v>
      </c>
      <c r="AE4028" s="26" t="s">
        <v>1242</v>
      </c>
      <c r="AF4028" s="17">
        <v>45602</v>
      </c>
      <c r="AG4028" s="26"/>
      <c r="AH4028" s="26"/>
      <c r="AI4028" s="40"/>
      <c r="AJ4028" s="26"/>
      <c r="AK4028" s="26"/>
      <c r="AL4028" s="35"/>
      <c r="AM4028" s="35"/>
      <c r="AN4028" s="35"/>
      <c r="AO4028" s="35"/>
      <c r="AP4028" s="35"/>
    </row>
    <row r="4029" spans="1:42" x14ac:dyDescent="0.2">
      <c r="A4029" s="38">
        <v>45601</v>
      </c>
      <c r="B4029" s="137" t="s">
        <v>37</v>
      </c>
      <c r="C4029" s="41" t="s">
        <v>118</v>
      </c>
      <c r="D4029" s="80" t="s">
        <v>36</v>
      </c>
      <c r="E4029" s="80" t="s">
        <v>39</v>
      </c>
      <c r="F4029" s="80" t="s">
        <v>11595</v>
      </c>
      <c r="G4029" s="80" t="s">
        <v>108</v>
      </c>
      <c r="H4029" s="80" t="s">
        <v>14200</v>
      </c>
      <c r="I4029" s="17">
        <f ca="1">IFERROR(__xludf.DUMMYFUNCTION("""COMPUTED_VALUE"""),45607)</f>
        <v>45607</v>
      </c>
      <c r="J4029" s="143" t="s">
        <v>13193</v>
      </c>
      <c r="K4029" s="80" t="s">
        <v>10181</v>
      </c>
      <c r="L4029" s="30">
        <v>325492108</v>
      </c>
      <c r="M4029" s="80" t="s">
        <v>45</v>
      </c>
      <c r="N4029" s="80" t="s">
        <v>299</v>
      </c>
      <c r="O4029" s="80" t="s">
        <v>13194</v>
      </c>
      <c r="P4029" s="80" t="s">
        <v>7743</v>
      </c>
      <c r="Q4029" s="20">
        <v>5736</v>
      </c>
      <c r="R4029" s="80" t="s">
        <v>36</v>
      </c>
      <c r="S4029" s="95">
        <f>1000+4736</f>
        <v>5736</v>
      </c>
      <c r="T4029" s="148">
        <v>45531</v>
      </c>
      <c r="U4029" s="95"/>
      <c r="V4029" s="148">
        <v>45552</v>
      </c>
      <c r="W4029" s="85" t="s">
        <v>13195</v>
      </c>
      <c r="X4029" s="80">
        <v>0</v>
      </c>
      <c r="Y4029" s="22">
        <v>0</v>
      </c>
      <c r="Z4029" s="80" t="s">
        <v>50</v>
      </c>
      <c r="AA4029" s="96" t="s">
        <v>3291</v>
      </c>
      <c r="AB4029" s="80"/>
      <c r="AC4029" s="80" t="s">
        <v>53</v>
      </c>
      <c r="AD4029" s="80" t="s">
        <v>138</v>
      </c>
      <c r="AE4029" s="80" t="s">
        <v>11595</v>
      </c>
      <c r="AF4029" s="17">
        <v>45607</v>
      </c>
      <c r="AG4029" s="80"/>
      <c r="AH4029" s="80"/>
      <c r="AI4029" s="147" t="s">
        <v>55</v>
      </c>
      <c r="AJ4029" s="80"/>
      <c r="AK4029" s="80"/>
      <c r="AL4029" s="35"/>
      <c r="AM4029" s="35"/>
      <c r="AN4029" s="35"/>
      <c r="AO4029" s="35"/>
      <c r="AP4029" s="35"/>
    </row>
    <row r="4030" spans="1:42" x14ac:dyDescent="0.2">
      <c r="A4030" s="38">
        <v>45602</v>
      </c>
      <c r="B4030" s="137" t="s">
        <v>37</v>
      </c>
      <c r="C4030" s="41" t="s">
        <v>118</v>
      </c>
      <c r="D4030" s="80" t="s">
        <v>36</v>
      </c>
      <c r="E4030" s="80" t="s">
        <v>139</v>
      </c>
      <c r="F4030" s="80" t="s">
        <v>11845</v>
      </c>
      <c r="G4030" s="80" t="s">
        <v>108</v>
      </c>
      <c r="H4030" s="80" t="s">
        <v>14342</v>
      </c>
      <c r="I4030" s="17">
        <f ca="1">IFERROR(__xludf.DUMMYFUNCTION("""COMPUTED_VALUE"""),45611)</f>
        <v>45611</v>
      </c>
      <c r="J4030" s="143" t="s">
        <v>14343</v>
      </c>
      <c r="K4030" s="80" t="s">
        <v>14344</v>
      </c>
      <c r="L4030" s="30">
        <v>349389402</v>
      </c>
      <c r="M4030" s="80" t="s">
        <v>5429</v>
      </c>
      <c r="N4030" s="80" t="s">
        <v>1384</v>
      </c>
      <c r="O4030" s="80" t="s">
        <v>61</v>
      </c>
      <c r="P4030" s="80" t="s">
        <v>6368</v>
      </c>
      <c r="Q4030" s="20">
        <v>15936</v>
      </c>
      <c r="R4030" s="80" t="s">
        <v>36</v>
      </c>
      <c r="S4030" s="95">
        <v>2000</v>
      </c>
      <c r="T4030" s="148">
        <v>45545</v>
      </c>
      <c r="U4030" s="95">
        <v>13936</v>
      </c>
      <c r="V4030" s="148">
        <v>45567</v>
      </c>
      <c r="W4030" s="85" t="s">
        <v>14345</v>
      </c>
      <c r="X4030" s="80"/>
      <c r="Y4030" s="22">
        <v>0</v>
      </c>
      <c r="Z4030" s="80" t="s">
        <v>50</v>
      </c>
      <c r="AA4030" s="86"/>
      <c r="AB4030" s="80"/>
      <c r="AC4030" s="80" t="s">
        <v>53</v>
      </c>
      <c r="AD4030" s="80" t="s">
        <v>138</v>
      </c>
      <c r="AE4030" s="80" t="s">
        <v>11845</v>
      </c>
      <c r="AF4030" s="17">
        <v>45611</v>
      </c>
      <c r="AG4030" s="80"/>
      <c r="AH4030" s="80"/>
      <c r="AI4030" s="147"/>
      <c r="AJ4030" s="80"/>
      <c r="AK4030" s="80"/>
      <c r="AL4030" s="35"/>
      <c r="AM4030" s="35"/>
      <c r="AN4030" s="35"/>
      <c r="AO4030" s="35"/>
      <c r="AP4030" s="35"/>
    </row>
    <row r="4031" spans="1:42" x14ac:dyDescent="0.2">
      <c r="A4031" s="38">
        <v>45602</v>
      </c>
      <c r="B4031" s="137" t="s">
        <v>37</v>
      </c>
      <c r="C4031" s="41" t="s">
        <v>118</v>
      </c>
      <c r="D4031" s="80" t="s">
        <v>36</v>
      </c>
      <c r="E4031" s="80" t="s">
        <v>56</v>
      </c>
      <c r="F4031" s="80" t="s">
        <v>11845</v>
      </c>
      <c r="G4031" s="80" t="s">
        <v>108</v>
      </c>
      <c r="H4031" s="80" t="s">
        <v>14342</v>
      </c>
      <c r="I4031" s="17">
        <f ca="1">IFERROR(__xludf.DUMMYFUNCTION("""COMPUTED_VALUE"""),45611)</f>
        <v>45611</v>
      </c>
      <c r="J4031" s="143" t="s">
        <v>14346</v>
      </c>
      <c r="K4031" s="80" t="s">
        <v>14347</v>
      </c>
      <c r="L4031" s="30">
        <v>816918886</v>
      </c>
      <c r="M4031" s="80" t="s">
        <v>5518</v>
      </c>
      <c r="N4031" s="80" t="s">
        <v>253</v>
      </c>
      <c r="O4031" s="80" t="s">
        <v>14348</v>
      </c>
      <c r="P4031" s="80" t="s">
        <v>5462</v>
      </c>
      <c r="Q4031" s="20">
        <v>9317</v>
      </c>
      <c r="R4031" s="80" t="s">
        <v>36</v>
      </c>
      <c r="S4031" s="95">
        <f>200+1800</f>
        <v>2000</v>
      </c>
      <c r="T4031" s="83" t="s">
        <v>14349</v>
      </c>
      <c r="U4031" s="95">
        <v>7317</v>
      </c>
      <c r="V4031" s="148">
        <v>45568</v>
      </c>
      <c r="W4031" s="85" t="s">
        <v>14350</v>
      </c>
      <c r="X4031" s="80"/>
      <c r="Y4031" s="22">
        <v>0</v>
      </c>
      <c r="Z4031" s="80" t="s">
        <v>50</v>
      </c>
      <c r="AA4031" s="82"/>
      <c r="AB4031" s="80"/>
      <c r="AC4031" s="80" t="s">
        <v>53</v>
      </c>
      <c r="AD4031" s="80" t="s">
        <v>138</v>
      </c>
      <c r="AE4031" s="80" t="s">
        <v>11845</v>
      </c>
      <c r="AF4031" s="17">
        <v>45611</v>
      </c>
      <c r="AG4031" s="80"/>
      <c r="AH4031" s="80"/>
      <c r="AI4031" s="147"/>
      <c r="AJ4031" s="80"/>
      <c r="AK4031" s="80"/>
      <c r="AL4031" s="35"/>
      <c r="AM4031" s="35"/>
      <c r="AN4031" s="35"/>
      <c r="AO4031" s="35"/>
      <c r="AP4031" s="35"/>
    </row>
    <row r="4032" spans="1:42" x14ac:dyDescent="0.2">
      <c r="A4032" s="38">
        <v>45602</v>
      </c>
      <c r="B4032" s="137" t="s">
        <v>37</v>
      </c>
      <c r="C4032" s="41" t="s">
        <v>118</v>
      </c>
      <c r="D4032" s="80" t="s">
        <v>36</v>
      </c>
      <c r="E4032" s="80" t="s">
        <v>139</v>
      </c>
      <c r="F4032" s="80" t="s">
        <v>11845</v>
      </c>
      <c r="G4032" s="80" t="s">
        <v>108</v>
      </c>
      <c r="H4032" s="80" t="s">
        <v>14342</v>
      </c>
      <c r="I4032" s="17">
        <f ca="1">IFERROR(__xludf.DUMMYFUNCTION("""COMPUTED_VALUE"""),45611)</f>
        <v>45611</v>
      </c>
      <c r="J4032" s="143" t="s">
        <v>12958</v>
      </c>
      <c r="K4032" s="80" t="s">
        <v>12959</v>
      </c>
      <c r="L4032" s="30">
        <v>373805610</v>
      </c>
      <c r="M4032" s="80" t="s">
        <v>5518</v>
      </c>
      <c r="N4032" s="80" t="s">
        <v>5524</v>
      </c>
      <c r="O4032" s="80" t="s">
        <v>12960</v>
      </c>
      <c r="P4032" s="80" t="s">
        <v>5462</v>
      </c>
      <c r="Q4032" s="20">
        <v>15936</v>
      </c>
      <c r="R4032" s="80" t="s">
        <v>36</v>
      </c>
      <c r="S4032" s="95">
        <v>2000</v>
      </c>
      <c r="T4032" s="148">
        <v>45545</v>
      </c>
      <c r="U4032" s="95">
        <v>13936</v>
      </c>
      <c r="V4032" s="148">
        <v>45565</v>
      </c>
      <c r="W4032" s="85" t="s">
        <v>12961</v>
      </c>
      <c r="X4032" s="80">
        <v>0</v>
      </c>
      <c r="Y4032" s="22">
        <v>0</v>
      </c>
      <c r="Z4032" s="80" t="s">
        <v>50</v>
      </c>
      <c r="AA4032" s="35" t="s">
        <v>3291</v>
      </c>
      <c r="AB4032" s="80"/>
      <c r="AC4032" s="80" t="s">
        <v>53</v>
      </c>
      <c r="AD4032" s="80" t="s">
        <v>138</v>
      </c>
      <c r="AE4032" s="80" t="s">
        <v>11845</v>
      </c>
      <c r="AF4032" s="17">
        <v>45611</v>
      </c>
      <c r="AG4032" s="80"/>
      <c r="AH4032" s="80"/>
      <c r="AI4032" s="147" t="s">
        <v>147</v>
      </c>
      <c r="AJ4032" s="80"/>
      <c r="AK4032" s="80"/>
      <c r="AL4032" s="35"/>
      <c r="AM4032" s="35"/>
      <c r="AN4032" s="35"/>
      <c r="AO4032" s="35"/>
      <c r="AP4032" s="35"/>
    </row>
    <row r="4033" spans="1:42" x14ac:dyDescent="0.2">
      <c r="A4033" s="38">
        <v>45602</v>
      </c>
      <c r="B4033" s="137" t="s">
        <v>37</v>
      </c>
      <c r="C4033" s="41" t="s">
        <v>118</v>
      </c>
      <c r="D4033" s="80" t="s">
        <v>36</v>
      </c>
      <c r="E4033" s="80" t="s">
        <v>139</v>
      </c>
      <c r="F4033" s="80" t="s">
        <v>11845</v>
      </c>
      <c r="G4033" s="80" t="s">
        <v>108</v>
      </c>
      <c r="H4033" s="80" t="s">
        <v>14342</v>
      </c>
      <c r="I4033" s="17">
        <f ca="1">IFERROR(__xludf.DUMMYFUNCTION("""COMPUTED_VALUE"""),45611)</f>
        <v>45611</v>
      </c>
      <c r="J4033" s="143" t="s">
        <v>12904</v>
      </c>
      <c r="K4033" s="80" t="s">
        <v>14351</v>
      </c>
      <c r="L4033" s="30">
        <v>399769205</v>
      </c>
      <c r="M4033" s="80" t="s">
        <v>5558</v>
      </c>
      <c r="N4033" s="80" t="s">
        <v>5559</v>
      </c>
      <c r="O4033" s="80" t="s">
        <v>4503</v>
      </c>
      <c r="P4033" s="80" t="s">
        <v>12906</v>
      </c>
      <c r="Q4033" s="20">
        <v>15936</v>
      </c>
      <c r="R4033" s="80" t="s">
        <v>36</v>
      </c>
      <c r="S4033" s="95">
        <f>200+2000</f>
        <v>2200</v>
      </c>
      <c r="T4033" s="83" t="s">
        <v>12907</v>
      </c>
      <c r="U4033" s="95">
        <v>13736</v>
      </c>
      <c r="V4033" s="148">
        <v>45556</v>
      </c>
      <c r="W4033" s="85" t="s">
        <v>12908</v>
      </c>
      <c r="X4033" s="80">
        <v>0</v>
      </c>
      <c r="Y4033" s="22">
        <v>0</v>
      </c>
      <c r="Z4033" s="80" t="s">
        <v>50</v>
      </c>
      <c r="AA4033" s="96" t="s">
        <v>3291</v>
      </c>
      <c r="AB4033" s="80"/>
      <c r="AC4033" s="80" t="s">
        <v>53</v>
      </c>
      <c r="AD4033" s="80" t="s">
        <v>138</v>
      </c>
      <c r="AE4033" s="80" t="s">
        <v>11845</v>
      </c>
      <c r="AF4033" s="17">
        <v>45611</v>
      </c>
      <c r="AG4033" s="80"/>
      <c r="AH4033" s="80"/>
      <c r="AI4033" s="147" t="s">
        <v>147</v>
      </c>
      <c r="AJ4033" s="80"/>
      <c r="AK4033" s="80"/>
      <c r="AL4033" s="35"/>
      <c r="AM4033" s="35"/>
      <c r="AN4033" s="35"/>
      <c r="AO4033" s="35"/>
      <c r="AP4033" s="35"/>
    </row>
    <row r="4034" spans="1:42" x14ac:dyDescent="0.2">
      <c r="A4034" s="38">
        <v>45602</v>
      </c>
      <c r="B4034" s="137" t="s">
        <v>37</v>
      </c>
      <c r="C4034" s="41" t="s">
        <v>118</v>
      </c>
      <c r="D4034" s="80" t="s">
        <v>36</v>
      </c>
      <c r="E4034" s="80" t="s">
        <v>139</v>
      </c>
      <c r="F4034" s="80" t="s">
        <v>11845</v>
      </c>
      <c r="G4034" s="80" t="s">
        <v>108</v>
      </c>
      <c r="H4034" s="80" t="s">
        <v>14342</v>
      </c>
      <c r="I4034" s="17">
        <f ca="1">IFERROR(__xludf.DUMMYFUNCTION("""COMPUTED_VALUE"""),45611)</f>
        <v>45611</v>
      </c>
      <c r="J4034" s="143" t="s">
        <v>14352</v>
      </c>
      <c r="K4034" s="80" t="s">
        <v>14353</v>
      </c>
      <c r="L4034" s="30">
        <v>867642623</v>
      </c>
      <c r="M4034" s="80" t="s">
        <v>3728</v>
      </c>
      <c r="N4034" s="80" t="s">
        <v>5277</v>
      </c>
      <c r="O4034" s="80" t="s">
        <v>14354</v>
      </c>
      <c r="P4034" s="80" t="s">
        <v>14355</v>
      </c>
      <c r="Q4034" s="20">
        <v>15936</v>
      </c>
      <c r="R4034" s="80" t="s">
        <v>70</v>
      </c>
      <c r="S4034" s="95">
        <f>500+1500</f>
        <v>2000</v>
      </c>
      <c r="T4034" s="83" t="s">
        <v>14356</v>
      </c>
      <c r="U4034" s="95">
        <v>13836</v>
      </c>
      <c r="V4034" s="148">
        <v>45566</v>
      </c>
      <c r="W4034" s="85" t="s">
        <v>14357</v>
      </c>
      <c r="X4034" s="80"/>
      <c r="Y4034" s="22">
        <v>100</v>
      </c>
      <c r="Z4034" s="80" t="s">
        <v>50</v>
      </c>
      <c r="AA4034" s="86"/>
      <c r="AB4034" s="80"/>
      <c r="AC4034" s="80" t="s">
        <v>53</v>
      </c>
      <c r="AD4034" s="80" t="s">
        <v>138</v>
      </c>
      <c r="AE4034" s="80" t="s">
        <v>11845</v>
      </c>
      <c r="AF4034" s="17">
        <v>45611</v>
      </c>
      <c r="AG4034" s="80"/>
      <c r="AH4034" s="80"/>
      <c r="AI4034" s="147"/>
      <c r="AJ4034" s="80"/>
      <c r="AK4034" s="80"/>
      <c r="AL4034" s="35"/>
      <c r="AM4034" s="35"/>
      <c r="AN4034" s="35"/>
      <c r="AO4034" s="35"/>
      <c r="AP4034" s="35"/>
    </row>
    <row r="4035" spans="1:42" x14ac:dyDescent="0.2">
      <c r="A4035" s="38">
        <v>45602</v>
      </c>
      <c r="B4035" s="137" t="s">
        <v>37</v>
      </c>
      <c r="C4035" s="41" t="s">
        <v>118</v>
      </c>
      <c r="D4035" s="80" t="s">
        <v>36</v>
      </c>
      <c r="E4035" s="80" t="s">
        <v>139</v>
      </c>
      <c r="F4035" s="80" t="s">
        <v>11845</v>
      </c>
      <c r="G4035" s="80" t="s">
        <v>108</v>
      </c>
      <c r="H4035" s="80" t="s">
        <v>14342</v>
      </c>
      <c r="I4035" s="17">
        <f ca="1">IFERROR(__xludf.DUMMYFUNCTION("""COMPUTED_VALUE"""),45611)</f>
        <v>45611</v>
      </c>
      <c r="J4035" s="143" t="s">
        <v>14358</v>
      </c>
      <c r="K4035" s="80" t="s">
        <v>14359</v>
      </c>
      <c r="L4035" s="30">
        <v>924057055</v>
      </c>
      <c r="M4035" s="80" t="s">
        <v>5518</v>
      </c>
      <c r="N4035" s="80" t="s">
        <v>253</v>
      </c>
      <c r="O4035" s="80" t="s">
        <v>14360</v>
      </c>
      <c r="P4035" s="80" t="s">
        <v>3694</v>
      </c>
      <c r="Q4035" s="20">
        <v>15936</v>
      </c>
      <c r="R4035" s="80" t="s">
        <v>36</v>
      </c>
      <c r="S4035" s="95">
        <v>2000</v>
      </c>
      <c r="T4035" s="148">
        <v>45544</v>
      </c>
      <c r="U4035" s="95">
        <v>13936</v>
      </c>
      <c r="V4035" s="148">
        <v>45566</v>
      </c>
      <c r="W4035" s="85" t="s">
        <v>14361</v>
      </c>
      <c r="X4035" s="80"/>
      <c r="Y4035" s="22">
        <v>0</v>
      </c>
      <c r="Z4035" s="80" t="s">
        <v>50</v>
      </c>
      <c r="AA4035" s="82"/>
      <c r="AB4035" s="80"/>
      <c r="AC4035" s="80" t="s">
        <v>53</v>
      </c>
      <c r="AD4035" s="80" t="s">
        <v>138</v>
      </c>
      <c r="AE4035" s="80" t="s">
        <v>11845</v>
      </c>
      <c r="AF4035" s="17">
        <v>45611</v>
      </c>
      <c r="AG4035" s="80"/>
      <c r="AH4035" s="80"/>
      <c r="AI4035" s="147"/>
      <c r="AJ4035" s="80"/>
      <c r="AK4035" s="80"/>
      <c r="AL4035" s="35"/>
      <c r="AM4035" s="35"/>
      <c r="AN4035" s="35"/>
      <c r="AO4035" s="35"/>
      <c r="AP4035" s="35"/>
    </row>
    <row r="4036" spans="1:42" x14ac:dyDescent="0.2">
      <c r="A4036" s="38">
        <v>45602</v>
      </c>
      <c r="B4036" s="137" t="s">
        <v>37</v>
      </c>
      <c r="C4036" s="41" t="s">
        <v>118</v>
      </c>
      <c r="D4036" s="80" t="s">
        <v>36</v>
      </c>
      <c r="E4036" s="80" t="s">
        <v>56</v>
      </c>
      <c r="F4036" s="80" t="s">
        <v>11845</v>
      </c>
      <c r="G4036" s="80" t="s">
        <v>108</v>
      </c>
      <c r="H4036" s="80" t="s">
        <v>14362</v>
      </c>
      <c r="I4036" s="17" t="str">
        <f ca="1">IFERROR(__xludf.DUMMYFUNCTION("""COMPUTED_VALUE""")," ")</f>
        <v xml:space="preserve"> </v>
      </c>
      <c r="J4036" s="143" t="s">
        <v>14363</v>
      </c>
      <c r="K4036" s="80" t="s">
        <v>14364</v>
      </c>
      <c r="L4036" s="30">
        <v>832020506</v>
      </c>
      <c r="M4036" s="80" t="s">
        <v>12720</v>
      </c>
      <c r="N4036" s="80" t="s">
        <v>1073</v>
      </c>
      <c r="O4036" s="80" t="s">
        <v>14365</v>
      </c>
      <c r="P4036" s="80" t="s">
        <v>2219</v>
      </c>
      <c r="Q4036" s="20">
        <v>9317</v>
      </c>
      <c r="R4036" s="80" t="s">
        <v>36</v>
      </c>
      <c r="S4036" s="95">
        <v>2000</v>
      </c>
      <c r="T4036" s="148">
        <v>45543</v>
      </c>
      <c r="U4036" s="95">
        <v>7317</v>
      </c>
      <c r="V4036" s="148">
        <v>45568</v>
      </c>
      <c r="W4036" s="85" t="s">
        <v>14366</v>
      </c>
      <c r="X4036" s="80"/>
      <c r="Y4036" s="22">
        <v>0</v>
      </c>
      <c r="Z4036" s="80" t="s">
        <v>50</v>
      </c>
      <c r="AA4036" s="86"/>
      <c r="AB4036" s="80"/>
      <c r="AC4036" s="80" t="s">
        <v>53</v>
      </c>
      <c r="AD4036" s="80" t="s">
        <v>138</v>
      </c>
      <c r="AE4036" s="80" t="s">
        <v>11845</v>
      </c>
      <c r="AF4036" s="17">
        <v>45611</v>
      </c>
      <c r="AG4036" s="80"/>
      <c r="AH4036" s="80"/>
      <c r="AI4036" s="147"/>
      <c r="AJ4036" s="80"/>
      <c r="AK4036" s="80"/>
      <c r="AL4036" s="35"/>
      <c r="AM4036" s="35"/>
      <c r="AN4036" s="35"/>
      <c r="AO4036" s="35"/>
      <c r="AP4036" s="35"/>
    </row>
    <row r="4037" spans="1:42" x14ac:dyDescent="0.2">
      <c r="A4037" s="38">
        <v>45602</v>
      </c>
      <c r="B4037" s="137" t="s">
        <v>37</v>
      </c>
      <c r="C4037" s="41" t="s">
        <v>118</v>
      </c>
      <c r="D4037" s="80" t="s">
        <v>36</v>
      </c>
      <c r="E4037" s="80" t="s">
        <v>139</v>
      </c>
      <c r="F4037" s="80" t="s">
        <v>11347</v>
      </c>
      <c r="G4037" s="80" t="s">
        <v>108</v>
      </c>
      <c r="H4037" s="80" t="s">
        <v>14177</v>
      </c>
      <c r="I4037" s="17">
        <f ca="1">IFERROR(__xludf.DUMMYFUNCTION("""COMPUTED_VALUE"""),45614)</f>
        <v>45614</v>
      </c>
      <c r="J4037" s="143" t="s">
        <v>14367</v>
      </c>
      <c r="K4037" s="80" t="s">
        <v>10428</v>
      </c>
      <c r="L4037" s="30">
        <v>969047156</v>
      </c>
      <c r="M4037" s="80" t="s">
        <v>3728</v>
      </c>
      <c r="N4037" s="80" t="s">
        <v>8725</v>
      </c>
      <c r="O4037" s="80" t="s">
        <v>14368</v>
      </c>
      <c r="P4037" s="80" t="s">
        <v>12452</v>
      </c>
      <c r="Q4037" s="20">
        <v>15936</v>
      </c>
      <c r="R4037" s="80" t="s">
        <v>1106</v>
      </c>
      <c r="S4037" s="178">
        <f>150+1850</f>
        <v>2000</v>
      </c>
      <c r="T4037" s="83" t="s">
        <v>14340</v>
      </c>
      <c r="U4037" s="95">
        <v>13786</v>
      </c>
      <c r="V4037" s="148">
        <v>45570</v>
      </c>
      <c r="W4037" s="85" t="s">
        <v>14369</v>
      </c>
      <c r="X4037" s="80"/>
      <c r="Y4037" s="22">
        <v>150</v>
      </c>
      <c r="Z4037" s="80" t="s">
        <v>50</v>
      </c>
      <c r="AA4037" s="82"/>
      <c r="AB4037" s="80"/>
      <c r="AC4037" s="80" t="s">
        <v>53</v>
      </c>
      <c r="AD4037" s="80" t="s">
        <v>138</v>
      </c>
      <c r="AE4037" s="80" t="s">
        <v>11347</v>
      </c>
      <c r="AF4037" s="17">
        <v>45614</v>
      </c>
      <c r="AG4037" s="80"/>
      <c r="AH4037" s="80"/>
      <c r="AI4037" s="147"/>
      <c r="AJ4037" s="80"/>
      <c r="AK4037" s="80"/>
      <c r="AL4037" s="35"/>
      <c r="AM4037" s="35"/>
      <c r="AN4037" s="35"/>
      <c r="AO4037" s="35"/>
      <c r="AP4037" s="35"/>
    </row>
    <row r="4038" spans="1:42" x14ac:dyDescent="0.2">
      <c r="A4038" s="38">
        <v>45603</v>
      </c>
      <c r="B4038" s="137" t="s">
        <v>37</v>
      </c>
      <c r="C4038" s="41" t="s">
        <v>118</v>
      </c>
      <c r="D4038" s="80" t="s">
        <v>36</v>
      </c>
      <c r="E4038" s="80" t="s">
        <v>139</v>
      </c>
      <c r="F4038" s="80" t="s">
        <v>13106</v>
      </c>
      <c r="G4038" s="80" t="s">
        <v>108</v>
      </c>
      <c r="H4038" s="80" t="s">
        <v>14370</v>
      </c>
      <c r="I4038" s="17">
        <f ca="1">IFERROR(__xludf.DUMMYFUNCTION("""COMPUTED_VALUE"""),45606)</f>
        <v>45606</v>
      </c>
      <c r="J4038" s="143" t="s">
        <v>14371</v>
      </c>
      <c r="K4038" s="80" t="s">
        <v>14372</v>
      </c>
      <c r="L4038" s="30">
        <v>365102439</v>
      </c>
      <c r="M4038" s="80" t="s">
        <v>3498</v>
      </c>
      <c r="N4038" s="80" t="s">
        <v>4402</v>
      </c>
      <c r="O4038" s="80" t="s">
        <v>4503</v>
      </c>
      <c r="P4038" s="144" t="s">
        <v>14373</v>
      </c>
      <c r="Q4038" s="20">
        <v>15936</v>
      </c>
      <c r="R4038" s="80" t="s">
        <v>36</v>
      </c>
      <c r="S4038" s="95">
        <v>3000</v>
      </c>
      <c r="T4038" s="148">
        <v>45554</v>
      </c>
      <c r="U4038" s="95">
        <v>12936</v>
      </c>
      <c r="V4038" s="148">
        <v>45587</v>
      </c>
      <c r="W4038" s="80" t="s">
        <v>14374</v>
      </c>
      <c r="X4038" s="80"/>
      <c r="Y4038" s="22">
        <v>0</v>
      </c>
      <c r="Z4038" s="80" t="s">
        <v>50</v>
      </c>
      <c r="AA4038" s="86"/>
      <c r="AB4038" s="80"/>
      <c r="AC4038" s="80" t="s">
        <v>53</v>
      </c>
      <c r="AD4038" s="80" t="s">
        <v>54</v>
      </c>
      <c r="AE4038" s="80" t="s">
        <v>13106</v>
      </c>
      <c r="AF4038" s="17">
        <v>45603</v>
      </c>
      <c r="AG4038" s="80"/>
      <c r="AH4038" s="80"/>
      <c r="AI4038" s="147"/>
      <c r="AJ4038" s="80"/>
      <c r="AK4038" s="80"/>
      <c r="AL4038" s="35"/>
      <c r="AM4038" s="35"/>
      <c r="AN4038" s="35"/>
      <c r="AO4038" s="35"/>
      <c r="AP4038" s="35"/>
    </row>
    <row r="4039" spans="1:42" x14ac:dyDescent="0.2">
      <c r="A4039" s="38">
        <v>45603</v>
      </c>
      <c r="B4039" s="137" t="s">
        <v>37</v>
      </c>
      <c r="C4039" s="41" t="s">
        <v>118</v>
      </c>
      <c r="D4039" s="80" t="s">
        <v>36</v>
      </c>
      <c r="E4039" s="80" t="s">
        <v>139</v>
      </c>
      <c r="F4039" s="80" t="s">
        <v>13106</v>
      </c>
      <c r="G4039" s="80" t="s">
        <v>108</v>
      </c>
      <c r="H4039" s="80" t="s">
        <v>14370</v>
      </c>
      <c r="I4039" s="17">
        <f ca="1">IFERROR(__xludf.DUMMYFUNCTION("""COMPUTED_VALUE"""),45606)</f>
        <v>45606</v>
      </c>
      <c r="J4039" s="172" t="s">
        <v>14375</v>
      </c>
      <c r="K4039" s="80" t="s">
        <v>14376</v>
      </c>
      <c r="L4039" s="30">
        <v>355565062</v>
      </c>
      <c r="M4039" s="80" t="s">
        <v>2755</v>
      </c>
      <c r="N4039" s="80" t="s">
        <v>4402</v>
      </c>
      <c r="O4039" s="80" t="s">
        <v>4503</v>
      </c>
      <c r="P4039" s="144" t="s">
        <v>14377</v>
      </c>
      <c r="Q4039" s="20">
        <v>15936</v>
      </c>
      <c r="R4039" s="80" t="s">
        <v>36</v>
      </c>
      <c r="S4039" s="95">
        <v>3200</v>
      </c>
      <c r="T4039" s="148">
        <v>45554</v>
      </c>
      <c r="U4039" s="95">
        <v>12736</v>
      </c>
      <c r="V4039" s="148">
        <v>45583</v>
      </c>
      <c r="W4039" s="80" t="s">
        <v>14378</v>
      </c>
      <c r="X4039" s="80"/>
      <c r="Y4039" s="22">
        <v>0</v>
      </c>
      <c r="Z4039" s="80" t="s">
        <v>50</v>
      </c>
      <c r="AA4039" s="82"/>
      <c r="AB4039" s="80"/>
      <c r="AC4039" s="80" t="s">
        <v>53</v>
      </c>
      <c r="AD4039" s="80" t="s">
        <v>54</v>
      </c>
      <c r="AE4039" s="80" t="s">
        <v>13106</v>
      </c>
      <c r="AF4039" s="17">
        <v>45603</v>
      </c>
      <c r="AG4039" s="80"/>
      <c r="AH4039" s="80"/>
      <c r="AI4039" s="147"/>
      <c r="AJ4039" s="80"/>
      <c r="AK4039" s="80"/>
      <c r="AL4039" s="35"/>
      <c r="AM4039" s="35"/>
      <c r="AN4039" s="35"/>
      <c r="AO4039" s="35"/>
      <c r="AP4039" s="35"/>
    </row>
    <row r="4040" spans="1:42" x14ac:dyDescent="0.2">
      <c r="A4040" s="38">
        <v>45603</v>
      </c>
      <c r="B4040" s="137" t="s">
        <v>37</v>
      </c>
      <c r="C4040" s="41" t="s">
        <v>118</v>
      </c>
      <c r="D4040" s="80" t="s">
        <v>36</v>
      </c>
      <c r="E4040" s="80" t="s">
        <v>56</v>
      </c>
      <c r="F4040" s="80" t="s">
        <v>13106</v>
      </c>
      <c r="G4040" s="80" t="s">
        <v>108</v>
      </c>
      <c r="H4040" s="80" t="s">
        <v>14370</v>
      </c>
      <c r="I4040" s="17">
        <f ca="1">IFERROR(__xludf.DUMMYFUNCTION("""COMPUTED_VALUE"""),45606)</f>
        <v>45606</v>
      </c>
      <c r="J4040" s="143" t="s">
        <v>13107</v>
      </c>
      <c r="K4040" s="80" t="s">
        <v>14379</v>
      </c>
      <c r="L4040" s="30">
        <v>325257996</v>
      </c>
      <c r="M4040" s="80" t="s">
        <v>5558</v>
      </c>
      <c r="N4040" s="80" t="s">
        <v>5559</v>
      </c>
      <c r="O4040" s="80" t="s">
        <v>4503</v>
      </c>
      <c r="P4040" s="144" t="s">
        <v>14380</v>
      </c>
      <c r="Q4040" s="20">
        <v>9317</v>
      </c>
      <c r="R4040" s="80" t="s">
        <v>36</v>
      </c>
      <c r="S4040" s="95">
        <v>9317</v>
      </c>
      <c r="T4040" s="148">
        <v>45549</v>
      </c>
      <c r="U4040" s="77"/>
      <c r="V4040" s="78"/>
      <c r="W4040" s="85" t="s">
        <v>13110</v>
      </c>
      <c r="X4040" s="80">
        <v>0</v>
      </c>
      <c r="Y4040" s="22">
        <v>0</v>
      </c>
      <c r="Z4040" s="80" t="s">
        <v>50</v>
      </c>
      <c r="AA4040" s="35" t="s">
        <v>3291</v>
      </c>
      <c r="AB4040" s="80"/>
      <c r="AC4040" s="80" t="s">
        <v>53</v>
      </c>
      <c r="AD4040" s="80" t="s">
        <v>54</v>
      </c>
      <c r="AE4040" s="80" t="s">
        <v>13106</v>
      </c>
      <c r="AF4040" s="17">
        <v>45603</v>
      </c>
      <c r="AG4040" s="80"/>
      <c r="AH4040" s="80"/>
      <c r="AI4040" s="147" t="s">
        <v>64</v>
      </c>
      <c r="AJ4040" s="80"/>
      <c r="AK4040" s="80"/>
      <c r="AL4040" s="35"/>
      <c r="AM4040" s="35"/>
      <c r="AN4040" s="35"/>
      <c r="AO4040" s="35"/>
      <c r="AP4040" s="35"/>
    </row>
    <row r="4041" spans="1:42" x14ac:dyDescent="0.2">
      <c r="A4041" s="38">
        <v>45603</v>
      </c>
      <c r="B4041" s="137" t="s">
        <v>37</v>
      </c>
      <c r="C4041" s="41" t="s">
        <v>118</v>
      </c>
      <c r="D4041" s="26" t="s">
        <v>36</v>
      </c>
      <c r="E4041" s="26" t="s">
        <v>139</v>
      </c>
      <c r="F4041" s="26" t="s">
        <v>8026</v>
      </c>
      <c r="G4041" s="26" t="s">
        <v>1847</v>
      </c>
      <c r="H4041" s="26" t="s">
        <v>14381</v>
      </c>
      <c r="I4041" s="17">
        <f ca="1">IFERROR(__xludf.DUMMYFUNCTION("""COMPUTED_VALUE"""),45699)</f>
        <v>45699</v>
      </c>
      <c r="J4041" s="29" t="s">
        <v>5421</v>
      </c>
      <c r="K4041" s="26" t="s">
        <v>14382</v>
      </c>
      <c r="L4041" s="30">
        <v>357656025</v>
      </c>
      <c r="M4041" s="26" t="s">
        <v>123</v>
      </c>
      <c r="N4041" s="26" t="s">
        <v>186</v>
      </c>
      <c r="O4041" s="26" t="s">
        <v>1226</v>
      </c>
      <c r="P4041" s="42" t="s">
        <v>14383</v>
      </c>
      <c r="Q4041" s="20">
        <v>15936</v>
      </c>
      <c r="R4041" s="26" t="s">
        <v>36</v>
      </c>
      <c r="S4041" s="31">
        <v>200</v>
      </c>
      <c r="T4041" s="32">
        <v>45222</v>
      </c>
      <c r="U4041" s="31">
        <f>8000+7936</f>
        <v>15936</v>
      </c>
      <c r="V4041" s="26" t="s">
        <v>5424</v>
      </c>
      <c r="W4041" s="33" t="s">
        <v>5425</v>
      </c>
      <c r="X4041" s="26"/>
      <c r="Y4041" s="22">
        <v>-200</v>
      </c>
      <c r="Z4041" s="26" t="s">
        <v>118</v>
      </c>
      <c r="AA4041" s="19" t="s">
        <v>5112</v>
      </c>
      <c r="AB4041" s="26" t="s">
        <v>36</v>
      </c>
      <c r="AC4041" s="26" t="s">
        <v>53</v>
      </c>
      <c r="AD4041" s="19" t="s">
        <v>54</v>
      </c>
      <c r="AE4041" s="26" t="s">
        <v>8026</v>
      </c>
      <c r="AF4041" s="17">
        <v>45607</v>
      </c>
      <c r="AG4041" s="26"/>
      <c r="AH4041" s="26"/>
      <c r="AI4041" s="40" t="s">
        <v>147</v>
      </c>
      <c r="AJ4041" s="26"/>
      <c r="AK4041" s="26"/>
      <c r="AL4041" s="35"/>
      <c r="AM4041" s="35"/>
      <c r="AN4041" s="35"/>
      <c r="AO4041" s="35"/>
      <c r="AP4041" s="35"/>
    </row>
    <row r="4042" spans="1:42" x14ac:dyDescent="0.2">
      <c r="A4042" s="38">
        <v>45603</v>
      </c>
      <c r="B4042" s="137" t="s">
        <v>37</v>
      </c>
      <c r="C4042" s="41" t="s">
        <v>118</v>
      </c>
      <c r="D4042" s="80" t="s">
        <v>36</v>
      </c>
      <c r="E4042" s="80" t="s">
        <v>139</v>
      </c>
      <c r="F4042" s="80" t="s">
        <v>11747</v>
      </c>
      <c r="G4042" s="80" t="s">
        <v>108</v>
      </c>
      <c r="H4042" s="80" t="s">
        <v>13600</v>
      </c>
      <c r="I4042" s="17">
        <f ca="1">IFERROR(__xludf.DUMMYFUNCTION("""COMPUTED_VALUE"""),45607)</f>
        <v>45607</v>
      </c>
      <c r="J4042" s="143" t="s">
        <v>14384</v>
      </c>
      <c r="K4042" s="80" t="s">
        <v>14385</v>
      </c>
      <c r="L4042" s="30">
        <v>352668765</v>
      </c>
      <c r="M4042" s="80" t="s">
        <v>123</v>
      </c>
      <c r="N4042" s="80" t="s">
        <v>2847</v>
      </c>
      <c r="O4042" s="80" t="s">
        <v>4503</v>
      </c>
      <c r="P4042" s="80" t="s">
        <v>3487</v>
      </c>
      <c r="Q4042" s="20">
        <v>15936</v>
      </c>
      <c r="R4042" s="80" t="s">
        <v>36</v>
      </c>
      <c r="S4042" s="95">
        <v>3000</v>
      </c>
      <c r="T4042" s="148">
        <v>45549</v>
      </c>
      <c r="U4042" s="95">
        <v>12936</v>
      </c>
      <c r="V4042" s="148">
        <v>45586</v>
      </c>
      <c r="W4042" s="85" t="s">
        <v>14386</v>
      </c>
      <c r="X4042" s="80"/>
      <c r="Y4042" s="22">
        <v>0</v>
      </c>
      <c r="Z4042" s="80" t="s">
        <v>50</v>
      </c>
      <c r="AA4042" s="86"/>
      <c r="AB4042" s="80"/>
      <c r="AC4042" s="80" t="s">
        <v>53</v>
      </c>
      <c r="AD4042" s="80" t="s">
        <v>138</v>
      </c>
      <c r="AE4042" s="80" t="s">
        <v>11747</v>
      </c>
      <c r="AF4042" s="43">
        <v>45607</v>
      </c>
      <c r="AG4042" s="80"/>
      <c r="AH4042" s="80"/>
      <c r="AI4042" s="147"/>
      <c r="AJ4042" s="80"/>
      <c r="AK4042" s="80"/>
      <c r="AL4042" s="35"/>
      <c r="AM4042" s="35"/>
      <c r="AN4042" s="35"/>
      <c r="AO4042" s="35"/>
      <c r="AP4042" s="35"/>
    </row>
    <row r="4043" spans="1:42" x14ac:dyDescent="0.2">
      <c r="A4043" s="38">
        <v>45603</v>
      </c>
      <c r="B4043" s="137" t="s">
        <v>37</v>
      </c>
      <c r="C4043" s="41" t="s">
        <v>118</v>
      </c>
      <c r="D4043" s="80" t="s">
        <v>36</v>
      </c>
      <c r="E4043" s="80" t="s">
        <v>39</v>
      </c>
      <c r="F4043" s="80" t="s">
        <v>13301</v>
      </c>
      <c r="G4043" s="80" t="s">
        <v>108</v>
      </c>
      <c r="H4043" s="80" t="s">
        <v>14387</v>
      </c>
      <c r="I4043" s="17">
        <f ca="1">IFERROR(__xludf.DUMMYFUNCTION("""COMPUTED_VALUE"""),45615)</f>
        <v>45615</v>
      </c>
      <c r="J4043" s="143" t="s">
        <v>14388</v>
      </c>
      <c r="K4043" s="80" t="s">
        <v>14389</v>
      </c>
      <c r="L4043" s="30">
        <v>376173402</v>
      </c>
      <c r="M4043" s="80" t="s">
        <v>123</v>
      </c>
      <c r="N4043" s="80" t="s">
        <v>327</v>
      </c>
      <c r="O4043" s="80" t="s">
        <v>4503</v>
      </c>
      <c r="P4043" s="80" t="s">
        <v>5794</v>
      </c>
      <c r="Q4043" s="20">
        <v>5736</v>
      </c>
      <c r="R4043" s="80" t="s">
        <v>36</v>
      </c>
      <c r="S4043" s="95">
        <f>200+1800</f>
        <v>2000</v>
      </c>
      <c r="T4043" s="83" t="s">
        <v>14390</v>
      </c>
      <c r="U4043" s="95">
        <v>3736</v>
      </c>
      <c r="V4043" s="148">
        <v>45582</v>
      </c>
      <c r="W4043" s="85" t="s">
        <v>14391</v>
      </c>
      <c r="X4043" s="80"/>
      <c r="Y4043" s="22">
        <v>0</v>
      </c>
      <c r="Z4043" s="80" t="s">
        <v>50</v>
      </c>
      <c r="AA4043" s="82"/>
      <c r="AB4043" s="80"/>
      <c r="AC4043" s="80" t="s">
        <v>53</v>
      </c>
      <c r="AD4043" s="80" t="s">
        <v>138</v>
      </c>
      <c r="AE4043" s="80" t="s">
        <v>13301</v>
      </c>
      <c r="AF4043" s="17">
        <v>45615</v>
      </c>
      <c r="AG4043" s="80"/>
      <c r="AH4043" s="80"/>
      <c r="AI4043" s="147"/>
      <c r="AJ4043" s="80"/>
      <c r="AK4043" s="80"/>
      <c r="AL4043" s="35"/>
      <c r="AM4043" s="35"/>
      <c r="AN4043" s="35"/>
      <c r="AO4043" s="35"/>
      <c r="AP4043" s="35"/>
    </row>
    <row r="4044" spans="1:42" x14ac:dyDescent="0.2">
      <c r="A4044" s="38">
        <v>45603</v>
      </c>
      <c r="B4044" s="137" t="s">
        <v>37</v>
      </c>
      <c r="C4044" s="41" t="s">
        <v>118</v>
      </c>
      <c r="D4044" s="80" t="s">
        <v>36</v>
      </c>
      <c r="E4044" s="80" t="s">
        <v>139</v>
      </c>
      <c r="F4044" s="80" t="s">
        <v>13301</v>
      </c>
      <c r="G4044" s="80" t="s">
        <v>108</v>
      </c>
      <c r="H4044" s="80" t="s">
        <v>14387</v>
      </c>
      <c r="I4044" s="17">
        <f ca="1">IFERROR(__xludf.DUMMYFUNCTION("""COMPUTED_VALUE"""),45615)</f>
        <v>45615</v>
      </c>
      <c r="J4044" s="143" t="s">
        <v>13349</v>
      </c>
      <c r="K4044" s="80" t="s">
        <v>14392</v>
      </c>
      <c r="L4044" s="30">
        <v>398892879</v>
      </c>
      <c r="M4044" s="80" t="s">
        <v>59</v>
      </c>
      <c r="N4044" s="80" t="s">
        <v>7298</v>
      </c>
      <c r="O4044" s="80" t="s">
        <v>13351</v>
      </c>
      <c r="P4044" s="80" t="s">
        <v>12687</v>
      </c>
      <c r="Q4044" s="20">
        <v>15936</v>
      </c>
      <c r="R4044" s="80" t="s">
        <v>36</v>
      </c>
      <c r="S4044" s="95">
        <f>200+2000</f>
        <v>2200</v>
      </c>
      <c r="T4044" s="83" t="s">
        <v>13352</v>
      </c>
      <c r="U4044" s="95">
        <v>13736</v>
      </c>
      <c r="V4044" s="148">
        <v>45559</v>
      </c>
      <c r="W4044" s="85" t="s">
        <v>13353</v>
      </c>
      <c r="X4044" s="80">
        <v>0</v>
      </c>
      <c r="Y4044" s="22">
        <v>0</v>
      </c>
      <c r="Z4044" s="80" t="s">
        <v>50</v>
      </c>
      <c r="AA4044" s="35" t="s">
        <v>3291</v>
      </c>
      <c r="AB4044" s="80"/>
      <c r="AC4044" s="80" t="s">
        <v>53</v>
      </c>
      <c r="AD4044" s="80" t="s">
        <v>138</v>
      </c>
      <c r="AE4044" s="80" t="s">
        <v>13301</v>
      </c>
      <c r="AF4044" s="17">
        <v>45615</v>
      </c>
      <c r="AG4044" s="80"/>
      <c r="AH4044" s="80"/>
      <c r="AI4044" s="147" t="s">
        <v>147</v>
      </c>
      <c r="AJ4044" s="80"/>
      <c r="AK4044" s="80"/>
      <c r="AL4044" s="35"/>
      <c r="AM4044" s="35"/>
      <c r="AN4044" s="35"/>
      <c r="AO4044" s="35"/>
      <c r="AP4044" s="35"/>
    </row>
    <row r="4045" spans="1:42" x14ac:dyDescent="0.2">
      <c r="A4045" s="38">
        <v>45603</v>
      </c>
      <c r="B4045" s="137" t="s">
        <v>37</v>
      </c>
      <c r="C4045" s="41" t="s">
        <v>118</v>
      </c>
      <c r="D4045" s="80" t="s">
        <v>36</v>
      </c>
      <c r="E4045" s="80" t="s">
        <v>139</v>
      </c>
      <c r="F4045" s="80" t="s">
        <v>11347</v>
      </c>
      <c r="G4045" s="80" t="s">
        <v>108</v>
      </c>
      <c r="H4045" s="80" t="s">
        <v>14177</v>
      </c>
      <c r="I4045" s="17">
        <f ca="1">IFERROR(__xludf.DUMMYFUNCTION("""COMPUTED_VALUE"""),45614)</f>
        <v>45614</v>
      </c>
      <c r="J4045" s="143" t="s">
        <v>14393</v>
      </c>
      <c r="K4045" s="80" t="s">
        <v>14394</v>
      </c>
      <c r="L4045" s="30">
        <v>364550655</v>
      </c>
      <c r="M4045" s="80" t="s">
        <v>3728</v>
      </c>
      <c r="N4045" s="80" t="s">
        <v>5312</v>
      </c>
      <c r="O4045" s="80" t="s">
        <v>14395</v>
      </c>
      <c r="P4045" s="80" t="s">
        <v>12452</v>
      </c>
      <c r="Q4045" s="20">
        <v>15936</v>
      </c>
      <c r="R4045" s="80" t="s">
        <v>1106</v>
      </c>
      <c r="S4045" s="95">
        <f>150+1850</f>
        <v>2000</v>
      </c>
      <c r="T4045" s="83" t="s">
        <v>14396</v>
      </c>
      <c r="U4045" s="95">
        <v>13786</v>
      </c>
      <c r="V4045" s="148">
        <v>45570</v>
      </c>
      <c r="W4045" s="85" t="s">
        <v>14397</v>
      </c>
      <c r="X4045" s="80"/>
      <c r="Y4045" s="22">
        <v>150</v>
      </c>
      <c r="Z4045" s="80" t="s">
        <v>50</v>
      </c>
      <c r="AA4045" s="82"/>
      <c r="AB4045" s="80"/>
      <c r="AC4045" s="80" t="s">
        <v>53</v>
      </c>
      <c r="AD4045" s="80" t="s">
        <v>138</v>
      </c>
      <c r="AE4045" s="80" t="s">
        <v>11347</v>
      </c>
      <c r="AF4045" s="17">
        <v>45614</v>
      </c>
      <c r="AG4045" s="80"/>
      <c r="AH4045" s="80"/>
      <c r="AI4045" s="147"/>
      <c r="AJ4045" s="80"/>
      <c r="AK4045" s="80"/>
      <c r="AL4045" s="35"/>
      <c r="AM4045" s="35"/>
      <c r="AN4045" s="35"/>
      <c r="AO4045" s="35"/>
      <c r="AP4045" s="35"/>
    </row>
    <row r="4046" spans="1:42" x14ac:dyDescent="0.2">
      <c r="A4046" s="38">
        <v>45603</v>
      </c>
      <c r="B4046" s="137" t="s">
        <v>37</v>
      </c>
      <c r="C4046" s="41" t="s">
        <v>118</v>
      </c>
      <c r="D4046" s="80" t="s">
        <v>36</v>
      </c>
      <c r="E4046" s="80" t="s">
        <v>39</v>
      </c>
      <c r="F4046" s="80" t="s">
        <v>13106</v>
      </c>
      <c r="G4046" s="80" t="s">
        <v>108</v>
      </c>
      <c r="H4046" s="80" t="s">
        <v>14370</v>
      </c>
      <c r="I4046" s="17">
        <f ca="1">IFERROR(__xludf.DUMMYFUNCTION("""COMPUTED_VALUE"""),45606)</f>
        <v>45606</v>
      </c>
      <c r="J4046" s="143" t="s">
        <v>14398</v>
      </c>
      <c r="K4046" s="80" t="s">
        <v>14399</v>
      </c>
      <c r="L4046" s="30">
        <v>919026528</v>
      </c>
      <c r="M4046" s="80" t="s">
        <v>5558</v>
      </c>
      <c r="N4046" s="80" t="s">
        <v>5277</v>
      </c>
      <c r="O4046" s="80" t="s">
        <v>4503</v>
      </c>
      <c r="P4046" s="144" t="s">
        <v>14400</v>
      </c>
      <c r="Q4046" s="20">
        <v>5736</v>
      </c>
      <c r="R4046" s="80" t="s">
        <v>70</v>
      </c>
      <c r="S4046" s="95">
        <v>2000</v>
      </c>
      <c r="T4046" s="148">
        <v>45549</v>
      </c>
      <c r="U4046" s="95">
        <f>3635+1</f>
        <v>3636</v>
      </c>
      <c r="V4046" s="170">
        <v>45574</v>
      </c>
      <c r="W4046" s="85" t="s">
        <v>14401</v>
      </c>
      <c r="X4046" s="80"/>
      <c r="Y4046" s="22">
        <v>100</v>
      </c>
      <c r="Z4046" s="80" t="s">
        <v>50</v>
      </c>
      <c r="AA4046" s="86"/>
      <c r="AB4046" s="144" t="s">
        <v>14402</v>
      </c>
      <c r="AC4046" s="80" t="s">
        <v>53</v>
      </c>
      <c r="AD4046" s="80" t="s">
        <v>54</v>
      </c>
      <c r="AE4046" s="80" t="s">
        <v>13106</v>
      </c>
      <c r="AF4046" s="17">
        <v>45605</v>
      </c>
      <c r="AG4046" s="80"/>
      <c r="AH4046" s="80"/>
      <c r="AI4046" s="147"/>
      <c r="AJ4046" s="80"/>
      <c r="AK4046" s="80"/>
      <c r="AL4046" s="35"/>
      <c r="AM4046" s="35"/>
      <c r="AN4046" s="35"/>
      <c r="AO4046" s="35"/>
      <c r="AP4046" s="35"/>
    </row>
    <row r="4047" spans="1:42" x14ac:dyDescent="0.2">
      <c r="A4047" s="38">
        <v>45603</v>
      </c>
      <c r="B4047" s="137" t="s">
        <v>37</v>
      </c>
      <c r="C4047" s="41" t="s">
        <v>118</v>
      </c>
      <c r="D4047" s="80" t="s">
        <v>36</v>
      </c>
      <c r="E4047" s="80" t="s">
        <v>56</v>
      </c>
      <c r="F4047" s="80" t="s">
        <v>13106</v>
      </c>
      <c r="G4047" s="80" t="s">
        <v>108</v>
      </c>
      <c r="H4047" s="80" t="s">
        <v>14370</v>
      </c>
      <c r="I4047" s="17">
        <f ca="1">IFERROR(__xludf.DUMMYFUNCTION("""COMPUTED_VALUE"""),45606)</f>
        <v>45606</v>
      </c>
      <c r="J4047" s="143" t="s">
        <v>14403</v>
      </c>
      <c r="K4047" s="80" t="s">
        <v>14404</v>
      </c>
      <c r="L4047" s="30">
        <v>339771412</v>
      </c>
      <c r="M4047" s="80" t="s">
        <v>5429</v>
      </c>
      <c r="N4047" s="80" t="s">
        <v>9251</v>
      </c>
      <c r="O4047" s="80" t="s">
        <v>14405</v>
      </c>
      <c r="P4047" s="144" t="s">
        <v>14406</v>
      </c>
      <c r="Q4047" s="20">
        <v>9317</v>
      </c>
      <c r="R4047" s="80" t="s">
        <v>36</v>
      </c>
      <c r="S4047" s="95">
        <f>200+1800</f>
        <v>2000</v>
      </c>
      <c r="T4047" s="83" t="s">
        <v>14407</v>
      </c>
      <c r="U4047" s="95">
        <v>7317</v>
      </c>
      <c r="V4047" s="148">
        <v>45573</v>
      </c>
      <c r="W4047" s="85" t="s">
        <v>14408</v>
      </c>
      <c r="X4047" s="80"/>
      <c r="Y4047" s="22">
        <v>0</v>
      </c>
      <c r="Z4047" s="80" t="s">
        <v>50</v>
      </c>
      <c r="AA4047" s="82"/>
      <c r="AB4047" s="80"/>
      <c r="AC4047" s="80" t="s">
        <v>53</v>
      </c>
      <c r="AD4047" s="80" t="s">
        <v>54</v>
      </c>
      <c r="AE4047" s="80" t="s">
        <v>13106</v>
      </c>
      <c r="AF4047" s="17">
        <v>45603</v>
      </c>
      <c r="AG4047" s="80"/>
      <c r="AH4047" s="80"/>
      <c r="AI4047" s="147"/>
      <c r="AJ4047" s="80"/>
      <c r="AK4047" s="80"/>
      <c r="AL4047" s="35"/>
      <c r="AM4047" s="35"/>
      <c r="AN4047" s="35"/>
      <c r="AO4047" s="35"/>
      <c r="AP4047" s="35"/>
    </row>
    <row r="4048" spans="1:42" x14ac:dyDescent="0.2">
      <c r="A4048" s="38">
        <v>45603</v>
      </c>
      <c r="B4048" s="137" t="s">
        <v>37</v>
      </c>
      <c r="C4048" s="41" t="s">
        <v>118</v>
      </c>
      <c r="D4048" s="80" t="s">
        <v>36</v>
      </c>
      <c r="E4048" s="80" t="s">
        <v>56</v>
      </c>
      <c r="F4048" s="80" t="s">
        <v>13301</v>
      </c>
      <c r="G4048" s="80" t="s">
        <v>108</v>
      </c>
      <c r="H4048" s="80" t="s">
        <v>14409</v>
      </c>
      <c r="I4048" s="17">
        <f ca="1">IFERROR(__xludf.DUMMYFUNCTION("""COMPUTED_VALUE"""),45624)</f>
        <v>45624</v>
      </c>
      <c r="J4048" s="143" t="s">
        <v>14410</v>
      </c>
      <c r="K4048" s="80" t="s">
        <v>14411</v>
      </c>
      <c r="L4048" s="30">
        <v>868105728</v>
      </c>
      <c r="M4048" s="80" t="s">
        <v>123</v>
      </c>
      <c r="N4048" s="80" t="s">
        <v>2847</v>
      </c>
      <c r="O4048" s="80" t="s">
        <v>4503</v>
      </c>
      <c r="P4048" s="115" t="s">
        <v>14412</v>
      </c>
      <c r="Q4048" s="20">
        <v>9317</v>
      </c>
      <c r="R4048" s="80" t="s">
        <v>36</v>
      </c>
      <c r="S4048" s="95">
        <f>200+2000+3000</f>
        <v>5200</v>
      </c>
      <c r="T4048" s="83" t="s">
        <v>14413</v>
      </c>
      <c r="U4048" s="95">
        <v>4117</v>
      </c>
      <c r="V4048" s="148">
        <v>45578</v>
      </c>
      <c r="W4048" s="85" t="s">
        <v>14414</v>
      </c>
      <c r="X4048" s="80"/>
      <c r="Y4048" s="22">
        <v>0</v>
      </c>
      <c r="Z4048" s="80" t="s">
        <v>50</v>
      </c>
      <c r="AA4048" s="86"/>
      <c r="AB4048" s="80"/>
      <c r="AC4048" s="80" t="s">
        <v>53</v>
      </c>
      <c r="AD4048" s="80" t="s">
        <v>138</v>
      </c>
      <c r="AE4048" s="80" t="s">
        <v>13301</v>
      </c>
      <c r="AF4048" s="17">
        <v>45608</v>
      </c>
      <c r="AG4048" s="80"/>
      <c r="AH4048" s="80"/>
      <c r="AI4048" s="147"/>
      <c r="AJ4048" s="80"/>
      <c r="AK4048" s="80"/>
      <c r="AL4048" s="35"/>
      <c r="AM4048" s="35"/>
      <c r="AN4048" s="35"/>
      <c r="AO4048" s="35"/>
      <c r="AP4048" s="35"/>
    </row>
    <row r="4049" spans="1:42" x14ac:dyDescent="0.2">
      <c r="A4049" s="38">
        <v>45603</v>
      </c>
      <c r="B4049" s="137" t="s">
        <v>37</v>
      </c>
      <c r="C4049" s="41" t="s">
        <v>118</v>
      </c>
      <c r="D4049" s="80" t="s">
        <v>36</v>
      </c>
      <c r="E4049" s="80" t="s">
        <v>139</v>
      </c>
      <c r="F4049" s="80" t="s">
        <v>11747</v>
      </c>
      <c r="G4049" s="80" t="s">
        <v>108</v>
      </c>
      <c r="H4049" s="80" t="s">
        <v>14387</v>
      </c>
      <c r="I4049" s="17">
        <f ca="1">IFERROR(__xludf.DUMMYFUNCTION("""COMPUTED_VALUE"""),45615)</f>
        <v>45615</v>
      </c>
      <c r="J4049" s="172" t="s">
        <v>14415</v>
      </c>
      <c r="K4049" s="80" t="s">
        <v>14416</v>
      </c>
      <c r="L4049" s="30">
        <v>866855569</v>
      </c>
      <c r="M4049" s="80" t="s">
        <v>123</v>
      </c>
      <c r="N4049" s="80" t="s">
        <v>2847</v>
      </c>
      <c r="O4049" s="80" t="s">
        <v>4503</v>
      </c>
      <c r="P4049" s="80" t="s">
        <v>3487</v>
      </c>
      <c r="Q4049" s="20">
        <v>15936</v>
      </c>
      <c r="R4049" s="80" t="s">
        <v>36</v>
      </c>
      <c r="S4049" s="95">
        <f>200+1800</f>
        <v>2000</v>
      </c>
      <c r="T4049" s="83" t="s">
        <v>14417</v>
      </c>
      <c r="U4049" s="95">
        <v>13936</v>
      </c>
      <c r="V4049" s="148">
        <v>45596</v>
      </c>
      <c r="W4049" s="85" t="s">
        <v>14418</v>
      </c>
      <c r="X4049" s="80"/>
      <c r="Y4049" s="22">
        <v>0</v>
      </c>
      <c r="Z4049" s="80" t="s">
        <v>50</v>
      </c>
      <c r="AA4049" s="82"/>
      <c r="AB4049" s="80"/>
      <c r="AC4049" s="80" t="s">
        <v>53</v>
      </c>
      <c r="AD4049" s="80" t="s">
        <v>138</v>
      </c>
      <c r="AE4049" s="80" t="s">
        <v>11747</v>
      </c>
      <c r="AF4049" s="17">
        <v>45615</v>
      </c>
      <c r="AG4049" s="80"/>
      <c r="AH4049" s="80"/>
      <c r="AI4049" s="147"/>
      <c r="AJ4049" s="80"/>
      <c r="AK4049" s="80"/>
      <c r="AL4049" s="35"/>
      <c r="AM4049" s="35"/>
      <c r="AN4049" s="35"/>
      <c r="AO4049" s="35"/>
      <c r="AP4049" s="35"/>
    </row>
    <row r="4050" spans="1:42" x14ac:dyDescent="0.2">
      <c r="A4050" s="38">
        <v>45603</v>
      </c>
      <c r="B4050" s="137" t="s">
        <v>37</v>
      </c>
      <c r="C4050" s="41" t="s">
        <v>118</v>
      </c>
      <c r="D4050" s="80" t="s">
        <v>36</v>
      </c>
      <c r="E4050" s="80" t="s">
        <v>119</v>
      </c>
      <c r="F4050" s="80" t="s">
        <v>7524</v>
      </c>
      <c r="G4050" s="80" t="s">
        <v>221</v>
      </c>
      <c r="H4050" s="80" t="s">
        <v>11436</v>
      </c>
      <c r="I4050" s="17">
        <f ca="1">IFERROR(__xludf.DUMMYFUNCTION("""COMPUTED_VALUE"""),45624)</f>
        <v>45624</v>
      </c>
      <c r="J4050" s="143" t="s">
        <v>11266</v>
      </c>
      <c r="K4050" s="80" t="s">
        <v>11267</v>
      </c>
      <c r="L4050" s="30">
        <v>862432205</v>
      </c>
      <c r="M4050" s="80" t="s">
        <v>45</v>
      </c>
      <c r="N4050" s="80" t="s">
        <v>3839</v>
      </c>
      <c r="O4050" s="80" t="s">
        <v>11268</v>
      </c>
      <c r="P4050" s="144" t="s">
        <v>14419</v>
      </c>
      <c r="Q4050" s="20">
        <v>13968</v>
      </c>
      <c r="R4050" s="80" t="s">
        <v>36</v>
      </c>
      <c r="S4050" s="95">
        <v>13968</v>
      </c>
      <c r="T4050" s="148">
        <v>45510</v>
      </c>
      <c r="U4050" s="77"/>
      <c r="V4050" s="78"/>
      <c r="W4050" s="80" t="s">
        <v>11270</v>
      </c>
      <c r="X4050" s="80">
        <v>0</v>
      </c>
      <c r="Y4050" s="22">
        <v>0</v>
      </c>
      <c r="Z4050" s="80" t="s">
        <v>50</v>
      </c>
      <c r="AA4050" s="35" t="s">
        <v>10314</v>
      </c>
      <c r="AB4050" s="80"/>
      <c r="AC4050" s="80" t="s">
        <v>53</v>
      </c>
      <c r="AD4050" s="80" t="s">
        <v>54</v>
      </c>
      <c r="AE4050" s="80" t="s">
        <v>7524</v>
      </c>
      <c r="AF4050" s="17">
        <v>45609</v>
      </c>
      <c r="AG4050" s="80"/>
      <c r="AH4050" s="80"/>
      <c r="AI4050" s="147"/>
      <c r="AJ4050" s="80"/>
      <c r="AK4050" s="80"/>
      <c r="AL4050" s="35"/>
      <c r="AM4050" s="35"/>
      <c r="AN4050" s="35"/>
      <c r="AO4050" s="35"/>
      <c r="AP4050" s="35"/>
    </row>
    <row r="4051" spans="1:42" x14ac:dyDescent="0.2">
      <c r="A4051" s="38">
        <v>45603</v>
      </c>
      <c r="B4051" s="137" t="s">
        <v>37</v>
      </c>
      <c r="C4051" s="41" t="s">
        <v>118</v>
      </c>
      <c r="D4051" s="26" t="s">
        <v>36</v>
      </c>
      <c r="E4051" s="26" t="s">
        <v>56</v>
      </c>
      <c r="F4051" s="80" t="s">
        <v>7524</v>
      </c>
      <c r="G4051" s="80" t="s">
        <v>221</v>
      </c>
      <c r="H4051" s="80" t="s">
        <v>11436</v>
      </c>
      <c r="I4051" s="17">
        <f ca="1">IFERROR(__xludf.DUMMYFUNCTION("""COMPUTED_VALUE"""),45624)</f>
        <v>45624</v>
      </c>
      <c r="J4051" s="29" t="s">
        <v>8512</v>
      </c>
      <c r="K4051" s="26" t="s">
        <v>8513</v>
      </c>
      <c r="L4051" s="30">
        <v>364404463</v>
      </c>
      <c r="M4051" s="26" t="s">
        <v>6309</v>
      </c>
      <c r="N4051" s="26" t="s">
        <v>1400</v>
      </c>
      <c r="O4051" s="26" t="s">
        <v>91</v>
      </c>
      <c r="P4051" s="42" t="s">
        <v>14420</v>
      </c>
      <c r="Q4051" s="20">
        <v>9317</v>
      </c>
      <c r="R4051" s="26" t="s">
        <v>1106</v>
      </c>
      <c r="S4051" s="31">
        <v>9217</v>
      </c>
      <c r="T4051" s="32">
        <v>45437</v>
      </c>
      <c r="U4051" s="31"/>
      <c r="V4051" s="32"/>
      <c r="W4051" s="33" t="s">
        <v>8515</v>
      </c>
      <c r="X4051" s="26"/>
      <c r="Y4051" s="22">
        <v>100</v>
      </c>
      <c r="Z4051" s="26" t="s">
        <v>118</v>
      </c>
      <c r="AA4051" s="19" t="s">
        <v>8410</v>
      </c>
      <c r="AB4051" s="26" t="s">
        <v>36</v>
      </c>
      <c r="AC4051" s="26" t="s">
        <v>53</v>
      </c>
      <c r="AD4051" s="19" t="s">
        <v>54</v>
      </c>
      <c r="AE4051" s="26" t="s">
        <v>8479</v>
      </c>
      <c r="AF4051" s="17">
        <v>45608</v>
      </c>
      <c r="AG4051" s="26"/>
      <c r="AH4051" s="26"/>
      <c r="AI4051" s="40"/>
      <c r="AJ4051" s="26"/>
      <c r="AK4051" s="26"/>
      <c r="AL4051" s="35"/>
      <c r="AM4051" s="35"/>
      <c r="AN4051" s="35"/>
      <c r="AO4051" s="35"/>
      <c r="AP4051" s="35"/>
    </row>
    <row r="4052" spans="1:42" x14ac:dyDescent="0.2">
      <c r="A4052" s="38">
        <v>45603</v>
      </c>
      <c r="B4052" s="137" t="s">
        <v>37</v>
      </c>
      <c r="C4052" s="41" t="s">
        <v>118</v>
      </c>
      <c r="D4052" s="80" t="s">
        <v>36</v>
      </c>
      <c r="E4052" s="80" t="s">
        <v>39</v>
      </c>
      <c r="F4052" s="80" t="s">
        <v>11747</v>
      </c>
      <c r="G4052" s="80" t="s">
        <v>108</v>
      </c>
      <c r="H4052" s="80" t="s">
        <v>13600</v>
      </c>
      <c r="I4052" s="17">
        <f ca="1">IFERROR(__xludf.DUMMYFUNCTION("""COMPUTED_VALUE"""),45607)</f>
        <v>45607</v>
      </c>
      <c r="J4052" s="143" t="s">
        <v>13015</v>
      </c>
      <c r="K4052" s="80" t="s">
        <v>14421</v>
      </c>
      <c r="L4052" s="30">
        <v>344454478</v>
      </c>
      <c r="M4052" s="80" t="s">
        <v>59</v>
      </c>
      <c r="N4052" s="80" t="s">
        <v>9294</v>
      </c>
      <c r="O4052" s="80" t="s">
        <v>13017</v>
      </c>
      <c r="P4052" s="80" t="s">
        <v>12687</v>
      </c>
      <c r="Q4052" s="20">
        <v>5736</v>
      </c>
      <c r="R4052" s="80" t="s">
        <v>36</v>
      </c>
      <c r="S4052" s="95">
        <f>200+2000</f>
        <v>2200</v>
      </c>
      <c r="T4052" s="83" t="s">
        <v>13018</v>
      </c>
      <c r="U4052" s="178">
        <v>3536</v>
      </c>
      <c r="V4052" s="169">
        <v>45564</v>
      </c>
      <c r="W4052" s="85" t="s">
        <v>13019</v>
      </c>
      <c r="X4052" s="80">
        <v>0</v>
      </c>
      <c r="Y4052" s="22">
        <v>0</v>
      </c>
      <c r="Z4052" s="80" t="s">
        <v>50</v>
      </c>
      <c r="AA4052" s="35" t="s">
        <v>3291</v>
      </c>
      <c r="AB4052" s="80"/>
      <c r="AC4052" s="80" t="s">
        <v>53</v>
      </c>
      <c r="AD4052" s="80" t="s">
        <v>138</v>
      </c>
      <c r="AE4052" s="80" t="s">
        <v>11747</v>
      </c>
      <c r="AF4052" s="43">
        <v>45607</v>
      </c>
      <c r="AG4052" s="80"/>
      <c r="AH4052" s="80"/>
      <c r="AI4052" s="147" t="s">
        <v>55</v>
      </c>
      <c r="AJ4052" s="80"/>
      <c r="AK4052" s="80"/>
      <c r="AL4052" s="35"/>
      <c r="AM4052" s="35"/>
      <c r="AN4052" s="35"/>
      <c r="AO4052" s="35"/>
      <c r="AP4052" s="35"/>
    </row>
    <row r="4053" spans="1:42" x14ac:dyDescent="0.2">
      <c r="A4053" s="38">
        <v>45603</v>
      </c>
      <c r="B4053" s="137" t="s">
        <v>37</v>
      </c>
      <c r="C4053" s="41" t="s">
        <v>118</v>
      </c>
      <c r="D4053" s="80" t="s">
        <v>36</v>
      </c>
      <c r="E4053" s="80" t="s">
        <v>139</v>
      </c>
      <c r="F4053" s="80" t="s">
        <v>12799</v>
      </c>
      <c r="G4053" s="80" t="s">
        <v>108</v>
      </c>
      <c r="H4053" s="80" t="s">
        <v>14200</v>
      </c>
      <c r="I4053" s="17">
        <f ca="1">IFERROR(__xludf.DUMMYFUNCTION("""COMPUTED_VALUE"""),45607)</f>
        <v>45607</v>
      </c>
      <c r="J4053" s="143" t="s">
        <v>14422</v>
      </c>
      <c r="K4053" s="80" t="s">
        <v>14423</v>
      </c>
      <c r="L4053" s="30">
        <v>966804176</v>
      </c>
      <c r="M4053" s="80" t="s">
        <v>348</v>
      </c>
      <c r="N4053" s="80" t="s">
        <v>4299</v>
      </c>
      <c r="O4053" s="80" t="s">
        <v>14424</v>
      </c>
      <c r="P4053" s="80" t="s">
        <v>14425</v>
      </c>
      <c r="Q4053" s="20">
        <v>15936</v>
      </c>
      <c r="R4053" s="80" t="s">
        <v>1106</v>
      </c>
      <c r="S4053" s="95">
        <f t="shared" ref="S4053:S4055" si="64">200+4000</f>
        <v>4200</v>
      </c>
      <c r="T4053" s="83" t="s">
        <v>14426</v>
      </c>
      <c r="U4053" s="95">
        <f t="shared" ref="U4053:U4055" si="65">11486+100</f>
        <v>11586</v>
      </c>
      <c r="V4053" s="83" t="s">
        <v>14427</v>
      </c>
      <c r="W4053" s="85" t="s">
        <v>14428</v>
      </c>
      <c r="X4053" s="80"/>
      <c r="Y4053" s="22">
        <v>150</v>
      </c>
      <c r="Z4053" s="80" t="s">
        <v>50</v>
      </c>
      <c r="AA4053" s="82"/>
      <c r="AB4053" s="80"/>
      <c r="AC4053" s="80" t="s">
        <v>53</v>
      </c>
      <c r="AD4053" s="80" t="s">
        <v>138</v>
      </c>
      <c r="AE4053" s="80" t="s">
        <v>12799</v>
      </c>
      <c r="AF4053" s="17">
        <v>45607</v>
      </c>
      <c r="AG4053" s="80"/>
      <c r="AH4053" s="80"/>
      <c r="AI4053" s="147"/>
      <c r="AJ4053" s="80"/>
      <c r="AK4053" s="80"/>
      <c r="AL4053" s="35"/>
      <c r="AM4053" s="35"/>
      <c r="AN4053" s="35"/>
      <c r="AO4053" s="35"/>
      <c r="AP4053" s="35"/>
    </row>
    <row r="4054" spans="1:42" x14ac:dyDescent="0.2">
      <c r="A4054" s="38">
        <v>45603</v>
      </c>
      <c r="B4054" s="137" t="s">
        <v>37</v>
      </c>
      <c r="C4054" s="41" t="s">
        <v>118</v>
      </c>
      <c r="D4054" s="80" t="s">
        <v>36</v>
      </c>
      <c r="E4054" s="80" t="s">
        <v>139</v>
      </c>
      <c r="F4054" s="80" t="s">
        <v>12799</v>
      </c>
      <c r="G4054" s="80" t="s">
        <v>108</v>
      </c>
      <c r="H4054" s="80" t="s">
        <v>14429</v>
      </c>
      <c r="I4054" s="17">
        <f ca="1">IFERROR(__xludf.DUMMYFUNCTION("""COMPUTED_VALUE"""),45615)</f>
        <v>45615</v>
      </c>
      <c r="J4054" s="143" t="s">
        <v>14430</v>
      </c>
      <c r="K4054" s="80" t="s">
        <v>14431</v>
      </c>
      <c r="L4054" s="30">
        <v>358713864</v>
      </c>
      <c r="M4054" s="80" t="s">
        <v>59</v>
      </c>
      <c r="N4054" s="80" t="s">
        <v>4299</v>
      </c>
      <c r="O4054" s="80" t="s">
        <v>14432</v>
      </c>
      <c r="P4054" s="80" t="s">
        <v>12687</v>
      </c>
      <c r="Q4054" s="20">
        <v>15936</v>
      </c>
      <c r="R4054" s="80" t="s">
        <v>1106</v>
      </c>
      <c r="S4054" s="95">
        <f t="shared" si="64"/>
        <v>4200</v>
      </c>
      <c r="T4054" s="83" t="s">
        <v>14426</v>
      </c>
      <c r="U4054" s="95">
        <f t="shared" si="65"/>
        <v>11586</v>
      </c>
      <c r="V4054" s="83" t="s">
        <v>14427</v>
      </c>
      <c r="W4054" s="85" t="s">
        <v>14433</v>
      </c>
      <c r="X4054" s="80"/>
      <c r="Y4054" s="22">
        <v>150</v>
      </c>
      <c r="Z4054" s="80" t="s">
        <v>50</v>
      </c>
      <c r="AA4054" s="86"/>
      <c r="AB4054" s="80"/>
      <c r="AC4054" s="80" t="s">
        <v>53</v>
      </c>
      <c r="AD4054" s="80" t="s">
        <v>138</v>
      </c>
      <c r="AE4054" s="80" t="s">
        <v>12799</v>
      </c>
      <c r="AF4054" s="17">
        <v>45615</v>
      </c>
      <c r="AG4054" s="80"/>
      <c r="AH4054" s="80"/>
      <c r="AI4054" s="147"/>
      <c r="AJ4054" s="80"/>
      <c r="AK4054" s="80"/>
      <c r="AL4054" s="35"/>
      <c r="AM4054" s="35"/>
      <c r="AN4054" s="35"/>
      <c r="AO4054" s="35"/>
      <c r="AP4054" s="35"/>
    </row>
    <row r="4055" spans="1:42" x14ac:dyDescent="0.2">
      <c r="A4055" s="38">
        <v>45603</v>
      </c>
      <c r="B4055" s="137" t="s">
        <v>37</v>
      </c>
      <c r="C4055" s="41" t="s">
        <v>118</v>
      </c>
      <c r="D4055" s="80" t="s">
        <v>36</v>
      </c>
      <c r="E4055" s="80" t="s">
        <v>139</v>
      </c>
      <c r="F4055" s="80" t="s">
        <v>12799</v>
      </c>
      <c r="G4055" s="80" t="s">
        <v>108</v>
      </c>
      <c r="H4055" s="80" t="s">
        <v>14429</v>
      </c>
      <c r="I4055" s="17">
        <f ca="1">IFERROR(__xludf.DUMMYFUNCTION("""COMPUTED_VALUE"""),45615)</f>
        <v>45615</v>
      </c>
      <c r="J4055" s="143" t="s">
        <v>14434</v>
      </c>
      <c r="K4055" s="80" t="s">
        <v>14435</v>
      </c>
      <c r="L4055" s="30">
        <v>978801325</v>
      </c>
      <c r="M4055" s="80" t="s">
        <v>59</v>
      </c>
      <c r="N4055" s="80" t="s">
        <v>68</v>
      </c>
      <c r="O4055" s="80" t="s">
        <v>14436</v>
      </c>
      <c r="P4055" s="80" t="s">
        <v>12687</v>
      </c>
      <c r="Q4055" s="20">
        <v>15936</v>
      </c>
      <c r="R4055" s="80" t="s">
        <v>1106</v>
      </c>
      <c r="S4055" s="95">
        <f t="shared" si="64"/>
        <v>4200</v>
      </c>
      <c r="T4055" s="83" t="s">
        <v>13252</v>
      </c>
      <c r="U4055" s="95">
        <f t="shared" si="65"/>
        <v>11586</v>
      </c>
      <c r="V4055" s="83" t="s">
        <v>14427</v>
      </c>
      <c r="W4055" s="85" t="s">
        <v>14437</v>
      </c>
      <c r="X4055" s="80"/>
      <c r="Y4055" s="22">
        <v>150</v>
      </c>
      <c r="Z4055" s="80" t="s">
        <v>50</v>
      </c>
      <c r="AA4055" s="82"/>
      <c r="AB4055" s="80"/>
      <c r="AC4055" s="80" t="s">
        <v>53</v>
      </c>
      <c r="AD4055" s="80" t="s">
        <v>138</v>
      </c>
      <c r="AE4055" s="80" t="s">
        <v>12799</v>
      </c>
      <c r="AF4055" s="17">
        <v>45615</v>
      </c>
      <c r="AG4055" s="80"/>
      <c r="AH4055" s="80"/>
      <c r="AI4055" s="147"/>
      <c r="AJ4055" s="80"/>
      <c r="AK4055" s="80"/>
      <c r="AL4055" s="35"/>
      <c r="AM4055" s="35"/>
      <c r="AN4055" s="35"/>
      <c r="AO4055" s="35"/>
      <c r="AP4055" s="35"/>
    </row>
    <row r="4056" spans="1:42" x14ac:dyDescent="0.2">
      <c r="A4056" s="38">
        <v>45603</v>
      </c>
      <c r="B4056" s="137" t="s">
        <v>37</v>
      </c>
      <c r="C4056" s="41" t="s">
        <v>118</v>
      </c>
      <c r="D4056" s="26" t="s">
        <v>36</v>
      </c>
      <c r="E4056" s="26" t="s">
        <v>139</v>
      </c>
      <c r="F4056" s="26" t="s">
        <v>8026</v>
      </c>
      <c r="G4056" s="26" t="s">
        <v>1847</v>
      </c>
      <c r="H4056" s="26" t="s">
        <v>14438</v>
      </c>
      <c r="I4056" s="17">
        <f ca="1">IFERROR(__xludf.DUMMYFUNCTION("""COMPUTED_VALUE"""),45645)</f>
        <v>45645</v>
      </c>
      <c r="J4056" s="29" t="s">
        <v>5331</v>
      </c>
      <c r="K4056" s="26" t="s">
        <v>14439</v>
      </c>
      <c r="L4056" s="30">
        <v>336138599</v>
      </c>
      <c r="M4056" s="26" t="s">
        <v>80</v>
      </c>
      <c r="N4056" s="26" t="s">
        <v>186</v>
      </c>
      <c r="O4056" s="26" t="s">
        <v>5333</v>
      </c>
      <c r="P4056" s="42" t="s">
        <v>14440</v>
      </c>
      <c r="Q4056" s="20">
        <v>15936</v>
      </c>
      <c r="R4056" s="26" t="s">
        <v>36</v>
      </c>
      <c r="S4056" s="31">
        <v>4000</v>
      </c>
      <c r="T4056" s="32">
        <v>45214</v>
      </c>
      <c r="U4056" s="31">
        <v>11936</v>
      </c>
      <c r="V4056" s="32">
        <v>45239</v>
      </c>
      <c r="W4056" s="33" t="s">
        <v>5335</v>
      </c>
      <c r="X4056" s="26"/>
      <c r="Y4056" s="22">
        <v>0</v>
      </c>
      <c r="Z4056" s="26" t="s">
        <v>118</v>
      </c>
      <c r="AA4056" s="19" t="s">
        <v>5112</v>
      </c>
      <c r="AB4056" s="26" t="s">
        <v>36</v>
      </c>
      <c r="AC4056" s="26" t="s">
        <v>53</v>
      </c>
      <c r="AD4056" s="19" t="s">
        <v>138</v>
      </c>
      <c r="AE4056" s="26" t="s">
        <v>8026</v>
      </c>
      <c r="AF4056" s="17">
        <v>45638</v>
      </c>
      <c r="AG4056" s="26"/>
      <c r="AH4056" s="26"/>
      <c r="AI4056" s="40" t="s">
        <v>147</v>
      </c>
      <c r="AJ4056" s="26"/>
      <c r="AK4056" s="26"/>
      <c r="AL4056" s="35"/>
      <c r="AM4056" s="35"/>
      <c r="AN4056" s="35"/>
      <c r="AO4056" s="35"/>
      <c r="AP4056" s="35"/>
    </row>
    <row r="4057" spans="1:42" x14ac:dyDescent="0.2">
      <c r="A4057" s="38">
        <v>45603</v>
      </c>
      <c r="B4057" s="137" t="s">
        <v>37</v>
      </c>
      <c r="C4057" s="41" t="s">
        <v>118</v>
      </c>
      <c r="D4057" s="26" t="s">
        <v>36</v>
      </c>
      <c r="E4057" s="26" t="s">
        <v>56</v>
      </c>
      <c r="F4057" s="26" t="s">
        <v>8704</v>
      </c>
      <c r="G4057" s="80" t="s">
        <v>221</v>
      </c>
      <c r="H4057" s="80" t="s">
        <v>11436</v>
      </c>
      <c r="I4057" s="17">
        <f ca="1">IFERROR(__xludf.DUMMYFUNCTION("""COMPUTED_VALUE"""),45624)</f>
        <v>45624</v>
      </c>
      <c r="J4057" s="29" t="s">
        <v>6002</v>
      </c>
      <c r="K4057" s="26" t="s">
        <v>14441</v>
      </c>
      <c r="L4057" s="30">
        <v>389204443</v>
      </c>
      <c r="M4057" s="26" t="s">
        <v>123</v>
      </c>
      <c r="N4057" s="26" t="s">
        <v>4521</v>
      </c>
      <c r="O4057" s="26" t="s">
        <v>2737</v>
      </c>
      <c r="P4057" s="42" t="s">
        <v>14442</v>
      </c>
      <c r="Q4057" s="20">
        <v>9317</v>
      </c>
      <c r="R4057" s="26" t="s">
        <v>36</v>
      </c>
      <c r="S4057" s="31">
        <f>200+1768</f>
        <v>1968</v>
      </c>
      <c r="T4057" s="26" t="s">
        <v>6005</v>
      </c>
      <c r="U4057" s="31">
        <v>7349</v>
      </c>
      <c r="V4057" s="32">
        <v>45267</v>
      </c>
      <c r="W4057" s="33" t="s">
        <v>6006</v>
      </c>
      <c r="X4057" s="26"/>
      <c r="Y4057" s="22">
        <v>0</v>
      </c>
      <c r="Z4057" s="26" t="s">
        <v>118</v>
      </c>
      <c r="AA4057" s="19" t="s">
        <v>5785</v>
      </c>
      <c r="AB4057" s="26" t="s">
        <v>36</v>
      </c>
      <c r="AC4057" s="26" t="s">
        <v>53</v>
      </c>
      <c r="AD4057" s="19" t="s">
        <v>138</v>
      </c>
      <c r="AE4057" s="26" t="s">
        <v>8704</v>
      </c>
      <c r="AF4057" s="17">
        <v>45609</v>
      </c>
      <c r="AG4057" s="26"/>
      <c r="AH4057" s="26"/>
      <c r="AI4057" s="40" t="s">
        <v>64</v>
      </c>
      <c r="AJ4057" s="26"/>
      <c r="AK4057" s="26"/>
      <c r="AL4057" s="35"/>
      <c r="AM4057" s="35"/>
      <c r="AN4057" s="35"/>
      <c r="AO4057" s="35"/>
      <c r="AP4057" s="35"/>
    </row>
    <row r="4058" spans="1:42" x14ac:dyDescent="0.2">
      <c r="A4058" s="38">
        <v>45603</v>
      </c>
      <c r="B4058" s="137" t="s">
        <v>37</v>
      </c>
      <c r="C4058" s="41" t="s">
        <v>118</v>
      </c>
      <c r="D4058" s="80" t="s">
        <v>36</v>
      </c>
      <c r="E4058" s="80" t="s">
        <v>139</v>
      </c>
      <c r="F4058" s="80" t="s">
        <v>13301</v>
      </c>
      <c r="G4058" s="80" t="s">
        <v>108</v>
      </c>
      <c r="H4058" s="80" t="s">
        <v>14387</v>
      </c>
      <c r="I4058" s="17">
        <f ca="1">IFERROR(__xludf.DUMMYFUNCTION("""COMPUTED_VALUE"""),45615)</f>
        <v>45615</v>
      </c>
      <c r="J4058" s="143" t="s">
        <v>14443</v>
      </c>
      <c r="K4058" s="80" t="s">
        <v>14444</v>
      </c>
      <c r="L4058" s="30">
        <v>813781506</v>
      </c>
      <c r="M4058" s="80" t="s">
        <v>123</v>
      </c>
      <c r="N4058" s="80" t="s">
        <v>2847</v>
      </c>
      <c r="O4058" s="80" t="s">
        <v>4503</v>
      </c>
      <c r="P4058" s="80" t="s">
        <v>5794</v>
      </c>
      <c r="Q4058" s="20">
        <v>15936</v>
      </c>
      <c r="R4058" s="80" t="s">
        <v>70</v>
      </c>
      <c r="S4058" s="95">
        <f>200+3000</f>
        <v>3200</v>
      </c>
      <c r="T4058" s="83" t="s">
        <v>14445</v>
      </c>
      <c r="U4058" s="95">
        <v>12736</v>
      </c>
      <c r="V4058" s="148">
        <v>45586</v>
      </c>
      <c r="W4058" s="85" t="s">
        <v>14446</v>
      </c>
      <c r="X4058" s="80"/>
      <c r="Y4058" s="22">
        <v>0</v>
      </c>
      <c r="Z4058" s="80" t="s">
        <v>50</v>
      </c>
      <c r="AA4058" s="86"/>
      <c r="AB4058" s="80"/>
      <c r="AC4058" s="80" t="s">
        <v>53</v>
      </c>
      <c r="AD4058" s="80" t="s">
        <v>138</v>
      </c>
      <c r="AE4058" s="80" t="s">
        <v>13301</v>
      </c>
      <c r="AF4058" s="17">
        <v>45615</v>
      </c>
      <c r="AG4058" s="26"/>
      <c r="AH4058" s="80"/>
      <c r="AI4058" s="147"/>
      <c r="AJ4058" s="80"/>
      <c r="AK4058" s="80"/>
      <c r="AL4058" s="35"/>
      <c r="AM4058" s="35"/>
      <c r="AN4058" s="35"/>
      <c r="AO4058" s="35"/>
      <c r="AP4058" s="35"/>
    </row>
    <row r="4059" spans="1:42" x14ac:dyDescent="0.2">
      <c r="A4059" s="38">
        <v>45603</v>
      </c>
      <c r="B4059" s="137" t="s">
        <v>37</v>
      </c>
      <c r="C4059" s="41" t="s">
        <v>118</v>
      </c>
      <c r="D4059" s="80" t="s">
        <v>36</v>
      </c>
      <c r="E4059" s="80" t="s">
        <v>139</v>
      </c>
      <c r="F4059" s="80" t="s">
        <v>13301</v>
      </c>
      <c r="G4059" s="80" t="s">
        <v>108</v>
      </c>
      <c r="H4059" s="80" t="s">
        <v>14298</v>
      </c>
      <c r="I4059" s="17">
        <f ca="1">IFERROR(__xludf.DUMMYFUNCTION("""COMPUTED_VALUE"""),45621)</f>
        <v>45621</v>
      </c>
      <c r="J4059" s="143" t="s">
        <v>14447</v>
      </c>
      <c r="K4059" s="80" t="s">
        <v>14448</v>
      </c>
      <c r="L4059" s="30">
        <v>859998815</v>
      </c>
      <c r="M4059" s="80" t="s">
        <v>2755</v>
      </c>
      <c r="N4059" s="80" t="s">
        <v>2756</v>
      </c>
      <c r="O4059" s="80" t="s">
        <v>4503</v>
      </c>
      <c r="P4059" s="144" t="s">
        <v>14449</v>
      </c>
      <c r="Q4059" s="20">
        <v>15936</v>
      </c>
      <c r="R4059" s="80" t="s">
        <v>70</v>
      </c>
      <c r="S4059" s="95">
        <v>3000</v>
      </c>
      <c r="T4059" s="148">
        <v>45574</v>
      </c>
      <c r="U4059" s="95">
        <v>12936</v>
      </c>
      <c r="V4059" s="148">
        <v>45590</v>
      </c>
      <c r="W4059" s="85" t="s">
        <v>14450</v>
      </c>
      <c r="X4059" s="80"/>
      <c r="Y4059" s="22">
        <v>0</v>
      </c>
      <c r="Z4059" s="80" t="s">
        <v>50</v>
      </c>
      <c r="AA4059" s="82"/>
      <c r="AB4059" s="80"/>
      <c r="AC4059" s="80" t="s">
        <v>53</v>
      </c>
      <c r="AD4059" s="80" t="s">
        <v>138</v>
      </c>
      <c r="AE4059" s="80" t="s">
        <v>13301</v>
      </c>
      <c r="AF4059" s="17">
        <v>45615</v>
      </c>
      <c r="AG4059" s="80"/>
      <c r="AH4059" s="80"/>
      <c r="AI4059" s="147"/>
      <c r="AJ4059" s="80"/>
      <c r="AK4059" s="80"/>
      <c r="AL4059" s="35"/>
      <c r="AM4059" s="35"/>
      <c r="AN4059" s="35"/>
      <c r="AO4059" s="35"/>
      <c r="AP4059" s="35"/>
    </row>
    <row r="4060" spans="1:42" x14ac:dyDescent="0.2">
      <c r="A4060" s="38">
        <v>45603</v>
      </c>
      <c r="B4060" s="137" t="s">
        <v>37</v>
      </c>
      <c r="C4060" s="41" t="s">
        <v>118</v>
      </c>
      <c r="D4060" s="26" t="s">
        <v>36</v>
      </c>
      <c r="E4060" s="26" t="s">
        <v>139</v>
      </c>
      <c r="F4060" s="26" t="s">
        <v>8026</v>
      </c>
      <c r="G4060" s="26" t="s">
        <v>1847</v>
      </c>
      <c r="H4060" s="26" t="s">
        <v>14451</v>
      </c>
      <c r="I4060" s="17">
        <f ca="1">IFERROR(__xludf.DUMMYFUNCTION("""COMPUTED_VALUE"""),45750)</f>
        <v>45750</v>
      </c>
      <c r="J4060" s="29" t="s">
        <v>3732</v>
      </c>
      <c r="K4060" s="26" t="s">
        <v>14452</v>
      </c>
      <c r="L4060" s="30">
        <v>385729320</v>
      </c>
      <c r="M4060" s="26" t="s">
        <v>80</v>
      </c>
      <c r="N4060" s="26" t="s">
        <v>299</v>
      </c>
      <c r="O4060" s="26" t="s">
        <v>3734</v>
      </c>
      <c r="P4060" s="42" t="s">
        <v>14453</v>
      </c>
      <c r="Q4060" s="20">
        <v>15936</v>
      </c>
      <c r="R4060" s="26" t="s">
        <v>36</v>
      </c>
      <c r="S4060" s="31">
        <v>2000</v>
      </c>
      <c r="T4060" s="32">
        <v>45188</v>
      </c>
      <c r="U4060" s="31">
        <v>13936</v>
      </c>
      <c r="V4060" s="32">
        <v>45221</v>
      </c>
      <c r="W4060" s="33" t="s">
        <v>3736</v>
      </c>
      <c r="X4060" s="26"/>
      <c r="Y4060" s="22">
        <v>0</v>
      </c>
      <c r="Z4060" s="26" t="s">
        <v>118</v>
      </c>
      <c r="AA4060" s="19" t="s">
        <v>5785</v>
      </c>
      <c r="AB4060" s="26" t="s">
        <v>36</v>
      </c>
      <c r="AC4060" s="26" t="s">
        <v>53</v>
      </c>
      <c r="AD4060" s="19" t="s">
        <v>138</v>
      </c>
      <c r="AE4060" s="26" t="s">
        <v>8026</v>
      </c>
      <c r="AF4060" s="17">
        <v>45607</v>
      </c>
      <c r="AG4060" s="26"/>
      <c r="AH4060" s="26"/>
      <c r="AI4060" s="40" t="s">
        <v>147</v>
      </c>
      <c r="AJ4060" s="26"/>
      <c r="AK4060" s="26"/>
      <c r="AL4060" s="35"/>
      <c r="AM4060" s="35"/>
      <c r="AN4060" s="35"/>
      <c r="AO4060" s="35"/>
      <c r="AP4060" s="35"/>
    </row>
    <row r="4061" spans="1:42" x14ac:dyDescent="0.2">
      <c r="A4061" s="38">
        <v>45603</v>
      </c>
      <c r="B4061" s="137" t="s">
        <v>37</v>
      </c>
      <c r="C4061" s="41" t="s">
        <v>118</v>
      </c>
      <c r="D4061" s="80" t="s">
        <v>36</v>
      </c>
      <c r="E4061" s="80" t="s">
        <v>39</v>
      </c>
      <c r="F4061" s="80" t="s">
        <v>13106</v>
      </c>
      <c r="G4061" s="80" t="s">
        <v>108</v>
      </c>
      <c r="H4061" s="80" t="s">
        <v>14370</v>
      </c>
      <c r="I4061" s="17">
        <f ca="1">IFERROR(__xludf.DUMMYFUNCTION("""COMPUTED_VALUE"""),45606)</f>
        <v>45606</v>
      </c>
      <c r="J4061" s="143" t="s">
        <v>14454</v>
      </c>
      <c r="K4061" s="80" t="s">
        <v>14455</v>
      </c>
      <c r="L4061" s="30">
        <v>824290406</v>
      </c>
      <c r="M4061" s="80" t="s">
        <v>5558</v>
      </c>
      <c r="N4061" s="80" t="s">
        <v>5277</v>
      </c>
      <c r="O4061" s="80" t="s">
        <v>4503</v>
      </c>
      <c r="P4061" s="80" t="s">
        <v>14456</v>
      </c>
      <c r="Q4061" s="20">
        <v>5736</v>
      </c>
      <c r="R4061" s="80" t="s">
        <v>70</v>
      </c>
      <c r="S4061" s="95">
        <v>2000</v>
      </c>
      <c r="T4061" s="148">
        <v>45549</v>
      </c>
      <c r="U4061" s="95">
        <f>3635+1</f>
        <v>3636</v>
      </c>
      <c r="V4061" s="170">
        <v>41921</v>
      </c>
      <c r="W4061" s="85" t="s">
        <v>14457</v>
      </c>
      <c r="X4061" s="80"/>
      <c r="Y4061" s="22">
        <v>100</v>
      </c>
      <c r="Z4061" s="80" t="s">
        <v>50</v>
      </c>
      <c r="AA4061" s="82"/>
      <c r="AB4061" s="144" t="s">
        <v>14402</v>
      </c>
      <c r="AC4061" s="80" t="s">
        <v>53</v>
      </c>
      <c r="AD4061" s="80" t="s">
        <v>54</v>
      </c>
      <c r="AE4061" s="80" t="s">
        <v>13106</v>
      </c>
      <c r="AF4061" s="17">
        <v>45605</v>
      </c>
      <c r="AG4061" s="80"/>
      <c r="AH4061" s="80"/>
      <c r="AI4061" s="147"/>
      <c r="AJ4061" s="80"/>
      <c r="AK4061" s="80"/>
      <c r="AL4061" s="35"/>
      <c r="AM4061" s="35"/>
      <c r="AN4061" s="35"/>
      <c r="AO4061" s="35"/>
      <c r="AP4061" s="35"/>
    </row>
    <row r="4062" spans="1:42" x14ac:dyDescent="0.2">
      <c r="A4062" s="38">
        <v>45603</v>
      </c>
      <c r="B4062" s="137" t="s">
        <v>37</v>
      </c>
      <c r="C4062" s="41" t="s">
        <v>118</v>
      </c>
      <c r="D4062" s="80" t="s">
        <v>36</v>
      </c>
      <c r="E4062" s="80" t="s">
        <v>139</v>
      </c>
      <c r="F4062" s="80" t="s">
        <v>13301</v>
      </c>
      <c r="G4062" s="80" t="s">
        <v>108</v>
      </c>
      <c r="H4062" s="80" t="s">
        <v>14387</v>
      </c>
      <c r="I4062" s="17">
        <f ca="1">IFERROR(__xludf.DUMMYFUNCTION("""COMPUTED_VALUE"""),45615)</f>
        <v>45615</v>
      </c>
      <c r="J4062" s="143" t="s">
        <v>14458</v>
      </c>
      <c r="K4062" s="80" t="s">
        <v>14459</v>
      </c>
      <c r="L4062" s="30">
        <v>337821606</v>
      </c>
      <c r="M4062" s="80" t="s">
        <v>123</v>
      </c>
      <c r="N4062" s="80" t="s">
        <v>2847</v>
      </c>
      <c r="O4062" s="80" t="s">
        <v>4503</v>
      </c>
      <c r="P4062" s="80" t="s">
        <v>5794</v>
      </c>
      <c r="Q4062" s="20">
        <v>15936</v>
      </c>
      <c r="R4062" s="80" t="s">
        <v>36</v>
      </c>
      <c r="S4062" s="77">
        <v>5200</v>
      </c>
      <c r="T4062" s="80" t="s">
        <v>14460</v>
      </c>
      <c r="U4062" s="77">
        <v>10736</v>
      </c>
      <c r="V4062" s="78">
        <v>45603</v>
      </c>
      <c r="W4062" s="80" t="s">
        <v>14461</v>
      </c>
      <c r="X4062" s="86"/>
      <c r="Y4062" s="22">
        <v>0</v>
      </c>
      <c r="Z4062" s="80" t="s">
        <v>50</v>
      </c>
      <c r="AA4062" s="86"/>
      <c r="AB4062" s="80"/>
      <c r="AC4062" s="80" t="s">
        <v>53</v>
      </c>
      <c r="AD4062" s="80" t="s">
        <v>138</v>
      </c>
      <c r="AE4062" s="80" t="s">
        <v>13301</v>
      </c>
      <c r="AF4062" s="17">
        <v>45615</v>
      </c>
      <c r="AG4062" s="143" t="s">
        <v>14462</v>
      </c>
      <c r="AH4062" s="80"/>
      <c r="AI4062" s="147"/>
      <c r="AJ4062" s="80"/>
      <c r="AK4062" s="80"/>
      <c r="AL4062" s="35"/>
      <c r="AM4062" s="35"/>
      <c r="AN4062" s="35"/>
      <c r="AO4062" s="35"/>
      <c r="AP4062" s="35"/>
    </row>
    <row r="4063" spans="1:42" x14ac:dyDescent="0.2">
      <c r="A4063" s="38">
        <v>45603</v>
      </c>
      <c r="B4063" s="137" t="s">
        <v>37</v>
      </c>
      <c r="C4063" s="41" t="s">
        <v>118</v>
      </c>
      <c r="D4063" s="80" t="s">
        <v>36</v>
      </c>
      <c r="E4063" s="80" t="s">
        <v>139</v>
      </c>
      <c r="F4063" s="80" t="s">
        <v>13301</v>
      </c>
      <c r="G4063" s="80" t="s">
        <v>108</v>
      </c>
      <c r="H4063" s="80" t="s">
        <v>14387</v>
      </c>
      <c r="I4063" s="17">
        <f ca="1">IFERROR(__xludf.DUMMYFUNCTION("""COMPUTED_VALUE"""),45615)</f>
        <v>45615</v>
      </c>
      <c r="J4063" s="172" t="s">
        <v>14463</v>
      </c>
      <c r="K4063" s="80" t="s">
        <v>12967</v>
      </c>
      <c r="L4063" s="30">
        <v>912583268</v>
      </c>
      <c r="M4063" s="80" t="s">
        <v>123</v>
      </c>
      <c r="N4063" s="80" t="s">
        <v>327</v>
      </c>
      <c r="O4063" s="80" t="s">
        <v>4503</v>
      </c>
      <c r="P4063" s="80" t="s">
        <v>12968</v>
      </c>
      <c r="Q4063" s="20">
        <v>15936</v>
      </c>
      <c r="R4063" s="80" t="s">
        <v>36</v>
      </c>
      <c r="S4063" s="95">
        <f>200+15736</f>
        <v>15936</v>
      </c>
      <c r="T4063" s="83" t="s">
        <v>12969</v>
      </c>
      <c r="U4063" s="77"/>
      <c r="V4063" s="78"/>
      <c r="W4063" s="85" t="s">
        <v>12970</v>
      </c>
      <c r="X4063" s="80">
        <v>0</v>
      </c>
      <c r="Y4063" s="22">
        <v>0</v>
      </c>
      <c r="Z4063" s="80" t="s">
        <v>50</v>
      </c>
      <c r="AA4063" s="96" t="s">
        <v>3291</v>
      </c>
      <c r="AB4063" s="80"/>
      <c r="AC4063" s="80" t="s">
        <v>53</v>
      </c>
      <c r="AD4063" s="80" t="s">
        <v>138</v>
      </c>
      <c r="AE4063" s="80" t="s">
        <v>13301</v>
      </c>
      <c r="AF4063" s="17">
        <v>45615</v>
      </c>
      <c r="AG4063" s="80"/>
      <c r="AH4063" s="80"/>
      <c r="AI4063" s="147" t="s">
        <v>147</v>
      </c>
      <c r="AJ4063" s="80"/>
      <c r="AK4063" s="80"/>
      <c r="AL4063" s="35"/>
      <c r="AM4063" s="35"/>
      <c r="AN4063" s="35"/>
      <c r="AO4063" s="35"/>
      <c r="AP4063" s="35"/>
    </row>
    <row r="4064" spans="1:42" x14ac:dyDescent="0.2">
      <c r="A4064" s="38">
        <v>45603</v>
      </c>
      <c r="B4064" s="137" t="s">
        <v>37</v>
      </c>
      <c r="C4064" s="41" t="s">
        <v>118</v>
      </c>
      <c r="D4064" s="80" t="s">
        <v>36</v>
      </c>
      <c r="E4064" s="80" t="s">
        <v>139</v>
      </c>
      <c r="F4064" s="80" t="s">
        <v>13106</v>
      </c>
      <c r="G4064" s="80" t="s">
        <v>108</v>
      </c>
      <c r="H4064" s="80" t="s">
        <v>14370</v>
      </c>
      <c r="I4064" s="17">
        <f ca="1">IFERROR(__xludf.DUMMYFUNCTION("""COMPUTED_VALUE"""),45606)</f>
        <v>45606</v>
      </c>
      <c r="J4064" s="143" t="s">
        <v>13278</v>
      </c>
      <c r="K4064" s="80" t="s">
        <v>7239</v>
      </c>
      <c r="L4064" s="30">
        <v>395250848</v>
      </c>
      <c r="M4064" s="80" t="s">
        <v>45</v>
      </c>
      <c r="N4064" s="80" t="s">
        <v>299</v>
      </c>
      <c r="O4064" s="80" t="s">
        <v>13280</v>
      </c>
      <c r="P4064" s="144" t="s">
        <v>14464</v>
      </c>
      <c r="Q4064" s="20">
        <v>15936</v>
      </c>
      <c r="R4064" s="80" t="s">
        <v>36</v>
      </c>
      <c r="S4064" s="95">
        <v>15936</v>
      </c>
      <c r="T4064" s="148">
        <v>45551</v>
      </c>
      <c r="U4064" s="77"/>
      <c r="V4064" s="78"/>
      <c r="W4064" s="85" t="s">
        <v>13282</v>
      </c>
      <c r="X4064" s="80">
        <v>0</v>
      </c>
      <c r="Y4064" s="22">
        <v>0</v>
      </c>
      <c r="Z4064" s="80" t="s">
        <v>50</v>
      </c>
      <c r="AA4064" s="35" t="s">
        <v>3291</v>
      </c>
      <c r="AB4064" s="80"/>
      <c r="AC4064" s="80" t="s">
        <v>53</v>
      </c>
      <c r="AD4064" s="80" t="s">
        <v>54</v>
      </c>
      <c r="AE4064" s="80" t="s">
        <v>13106</v>
      </c>
      <c r="AF4064" s="17">
        <v>45603</v>
      </c>
      <c r="AG4064" s="80"/>
      <c r="AH4064" s="80"/>
      <c r="AI4064" s="147" t="s">
        <v>147</v>
      </c>
      <c r="AJ4064" s="80"/>
      <c r="AK4064" s="80"/>
      <c r="AL4064" s="35"/>
      <c r="AM4064" s="35"/>
      <c r="AN4064" s="35"/>
      <c r="AO4064" s="35"/>
      <c r="AP4064" s="35"/>
    </row>
    <row r="4065" spans="1:42" x14ac:dyDescent="0.2">
      <c r="A4065" s="38">
        <v>45603</v>
      </c>
      <c r="B4065" s="137" t="s">
        <v>37</v>
      </c>
      <c r="C4065" s="41" t="s">
        <v>118</v>
      </c>
      <c r="D4065" s="80" t="s">
        <v>36</v>
      </c>
      <c r="E4065" s="80" t="s">
        <v>39</v>
      </c>
      <c r="F4065" s="80" t="s">
        <v>12737</v>
      </c>
      <c r="G4065" s="80" t="s">
        <v>108</v>
      </c>
      <c r="H4065" s="80" t="s">
        <v>14465</v>
      </c>
      <c r="I4065" s="17">
        <f ca="1">IFERROR(__xludf.DUMMYFUNCTION("""COMPUTED_VALUE"""),45618)</f>
        <v>45618</v>
      </c>
      <c r="J4065" s="79" t="s">
        <v>12863</v>
      </c>
      <c r="K4065" s="80" t="s">
        <v>5126</v>
      </c>
      <c r="L4065" s="30">
        <v>344420788</v>
      </c>
      <c r="M4065" s="80" t="s">
        <v>45</v>
      </c>
      <c r="N4065" s="80" t="s">
        <v>8420</v>
      </c>
      <c r="O4065" s="80" t="s">
        <v>12864</v>
      </c>
      <c r="P4065" s="144" t="s">
        <v>12865</v>
      </c>
      <c r="Q4065" s="20">
        <v>5736</v>
      </c>
      <c r="R4065" s="80" t="s">
        <v>36</v>
      </c>
      <c r="S4065" s="95">
        <f>500+5236</f>
        <v>5736</v>
      </c>
      <c r="T4065" s="83" t="s">
        <v>12866</v>
      </c>
      <c r="U4065" s="77"/>
      <c r="V4065" s="78"/>
      <c r="W4065" s="85" t="s">
        <v>12867</v>
      </c>
      <c r="X4065" s="80">
        <v>0</v>
      </c>
      <c r="Y4065" s="22">
        <v>0</v>
      </c>
      <c r="Z4065" s="80" t="s">
        <v>50</v>
      </c>
      <c r="AA4065" s="96" t="s">
        <v>3291</v>
      </c>
      <c r="AB4065" s="80"/>
      <c r="AC4065" s="80" t="s">
        <v>53</v>
      </c>
      <c r="AD4065" s="80" t="s">
        <v>138</v>
      </c>
      <c r="AE4065" s="80" t="s">
        <v>12737</v>
      </c>
      <c r="AF4065" s="17">
        <v>45610</v>
      </c>
      <c r="AG4065" s="143" t="s">
        <v>12868</v>
      </c>
      <c r="AH4065" s="26" t="s">
        <v>12869</v>
      </c>
      <c r="AI4065" s="147" t="s">
        <v>55</v>
      </c>
      <c r="AJ4065" s="80"/>
      <c r="AK4065" s="80"/>
      <c r="AL4065" s="35"/>
      <c r="AM4065" s="35"/>
      <c r="AN4065" s="35"/>
      <c r="AO4065" s="35"/>
      <c r="AP4065" s="35"/>
    </row>
    <row r="4066" spans="1:42" x14ac:dyDescent="0.2">
      <c r="A4066" s="38">
        <v>45603</v>
      </c>
      <c r="B4066" s="137" t="s">
        <v>37</v>
      </c>
      <c r="C4066" s="41" t="s">
        <v>118</v>
      </c>
      <c r="D4066" s="80" t="s">
        <v>36</v>
      </c>
      <c r="E4066" s="80" t="s">
        <v>56</v>
      </c>
      <c r="F4066" s="80" t="s">
        <v>12737</v>
      </c>
      <c r="G4066" s="80" t="s">
        <v>108</v>
      </c>
      <c r="H4066" s="80" t="s">
        <v>14465</v>
      </c>
      <c r="I4066" s="17">
        <f ca="1">IFERROR(__xludf.DUMMYFUNCTION("""COMPUTED_VALUE"""),45618)</f>
        <v>45618</v>
      </c>
      <c r="J4066" s="143" t="s">
        <v>14466</v>
      </c>
      <c r="K4066" s="80" t="s">
        <v>14467</v>
      </c>
      <c r="L4066" s="30">
        <v>879193756</v>
      </c>
      <c r="M4066" s="80" t="s">
        <v>9422</v>
      </c>
      <c r="N4066" s="80" t="s">
        <v>2696</v>
      </c>
      <c r="O4066" s="80" t="s">
        <v>8827</v>
      </c>
      <c r="P4066" s="80" t="s">
        <v>14468</v>
      </c>
      <c r="Q4066" s="20">
        <v>9317</v>
      </c>
      <c r="R4066" s="80" t="s">
        <v>11421</v>
      </c>
      <c r="S4066" s="95">
        <f>300+1700</f>
        <v>2000</v>
      </c>
      <c r="T4066" s="83" t="s">
        <v>14469</v>
      </c>
      <c r="U4066" s="95">
        <v>7017</v>
      </c>
      <c r="V4066" s="148">
        <v>45583</v>
      </c>
      <c r="W4066" s="85" t="s">
        <v>14470</v>
      </c>
      <c r="X4066" s="80"/>
      <c r="Y4066" s="22">
        <v>300</v>
      </c>
      <c r="Z4066" s="80" t="s">
        <v>50</v>
      </c>
      <c r="AA4066" s="86"/>
      <c r="AB4066" s="80"/>
      <c r="AC4066" s="80" t="s">
        <v>53</v>
      </c>
      <c r="AD4066" s="80" t="s">
        <v>54</v>
      </c>
      <c r="AE4066" s="80" t="s">
        <v>12737</v>
      </c>
      <c r="AF4066" s="17">
        <v>45610</v>
      </c>
      <c r="AG4066" s="80"/>
      <c r="AH4066" s="80"/>
      <c r="AI4066" s="147"/>
      <c r="AJ4066" s="80"/>
      <c r="AK4066" s="80"/>
      <c r="AL4066" s="35"/>
      <c r="AM4066" s="35"/>
      <c r="AN4066" s="35"/>
      <c r="AO4066" s="35"/>
      <c r="AP4066" s="35"/>
    </row>
    <row r="4067" spans="1:42" x14ac:dyDescent="0.2">
      <c r="A4067" s="38">
        <v>45603</v>
      </c>
      <c r="B4067" s="137" t="s">
        <v>37</v>
      </c>
      <c r="C4067" s="41" t="s">
        <v>118</v>
      </c>
      <c r="D4067" s="80" t="s">
        <v>36</v>
      </c>
      <c r="E4067" s="80" t="s">
        <v>139</v>
      </c>
      <c r="F4067" s="80" t="s">
        <v>12737</v>
      </c>
      <c r="G4067" s="80" t="s">
        <v>108</v>
      </c>
      <c r="H4067" s="80" t="s">
        <v>14471</v>
      </c>
      <c r="I4067" s="17">
        <f ca="1">IFERROR(__xludf.DUMMYFUNCTION("""COMPUTED_VALUE"""),45701)</f>
        <v>45701</v>
      </c>
      <c r="J4067" s="143" t="s">
        <v>14472</v>
      </c>
      <c r="K4067" s="80" t="s">
        <v>14473</v>
      </c>
      <c r="L4067" s="30">
        <v>886442246</v>
      </c>
      <c r="M4067" s="80" t="s">
        <v>12529</v>
      </c>
      <c r="N4067" s="80" t="s">
        <v>466</v>
      </c>
      <c r="O4067" s="80" t="s">
        <v>14474</v>
      </c>
      <c r="P4067" s="115" t="s">
        <v>14475</v>
      </c>
      <c r="Q4067" s="20">
        <v>15936</v>
      </c>
      <c r="R4067" s="80" t="s">
        <v>36</v>
      </c>
      <c r="S4067" s="95">
        <f>200+1800</f>
        <v>2000</v>
      </c>
      <c r="T4067" s="83" t="s">
        <v>14476</v>
      </c>
      <c r="U4067" s="95">
        <v>13936</v>
      </c>
      <c r="V4067" s="148">
        <v>37908</v>
      </c>
      <c r="W4067" s="85" t="s">
        <v>14477</v>
      </c>
      <c r="X4067" s="80"/>
      <c r="Y4067" s="22">
        <v>0</v>
      </c>
      <c r="Z4067" s="80" t="s">
        <v>50</v>
      </c>
      <c r="AA4067" s="82"/>
      <c r="AB4067" s="80"/>
      <c r="AC4067" s="80" t="s">
        <v>53</v>
      </c>
      <c r="AD4067" s="80" t="s">
        <v>54</v>
      </c>
      <c r="AE4067" s="80" t="s">
        <v>12737</v>
      </c>
      <c r="AF4067" s="17">
        <v>45610</v>
      </c>
      <c r="AG4067" s="80"/>
      <c r="AH4067" s="80"/>
      <c r="AI4067" s="147"/>
      <c r="AJ4067" s="80"/>
      <c r="AK4067" s="80"/>
      <c r="AL4067" s="35"/>
      <c r="AM4067" s="35"/>
      <c r="AN4067" s="35"/>
      <c r="AO4067" s="35"/>
      <c r="AP4067" s="35"/>
    </row>
    <row r="4068" spans="1:42" x14ac:dyDescent="0.2">
      <c r="A4068" s="38">
        <v>45603</v>
      </c>
      <c r="B4068" s="137" t="s">
        <v>37</v>
      </c>
      <c r="C4068" s="41" t="s">
        <v>118</v>
      </c>
      <c r="D4068" s="80" t="s">
        <v>36</v>
      </c>
      <c r="E4068" s="80" t="s">
        <v>139</v>
      </c>
      <c r="F4068" s="80" t="s">
        <v>12737</v>
      </c>
      <c r="G4068" s="80" t="s">
        <v>108</v>
      </c>
      <c r="H4068" s="80" t="s">
        <v>14465</v>
      </c>
      <c r="I4068" s="17">
        <f ca="1">IFERROR(__xludf.DUMMYFUNCTION("""COMPUTED_VALUE"""),45618)</f>
        <v>45618</v>
      </c>
      <c r="J4068" s="143" t="s">
        <v>13330</v>
      </c>
      <c r="K4068" s="80" t="s">
        <v>14478</v>
      </c>
      <c r="L4068" s="30">
        <v>765178100</v>
      </c>
      <c r="M4068" s="80" t="s">
        <v>5558</v>
      </c>
      <c r="N4068" s="80" t="s">
        <v>5559</v>
      </c>
      <c r="O4068" s="80" t="s">
        <v>4503</v>
      </c>
      <c r="P4068" s="80" t="s">
        <v>13332</v>
      </c>
      <c r="Q4068" s="20">
        <v>15936</v>
      </c>
      <c r="R4068" s="80" t="s">
        <v>36</v>
      </c>
      <c r="S4068" s="95">
        <f>200+15736</f>
        <v>15936</v>
      </c>
      <c r="T4068" s="148">
        <v>45553</v>
      </c>
      <c r="U4068" s="95"/>
      <c r="V4068" s="148">
        <v>45557</v>
      </c>
      <c r="W4068" s="85" t="s">
        <v>13333</v>
      </c>
      <c r="X4068" s="80">
        <v>0</v>
      </c>
      <c r="Y4068" s="22">
        <v>0</v>
      </c>
      <c r="Z4068" s="80" t="s">
        <v>50</v>
      </c>
      <c r="AA4068" s="35" t="s">
        <v>3291</v>
      </c>
      <c r="AB4068" s="80"/>
      <c r="AC4068" s="80" t="s">
        <v>53</v>
      </c>
      <c r="AD4068" s="80" t="s">
        <v>54</v>
      </c>
      <c r="AE4068" s="80" t="s">
        <v>12737</v>
      </c>
      <c r="AF4068" s="17">
        <v>45610</v>
      </c>
      <c r="AG4068" s="80"/>
      <c r="AH4068" s="80"/>
      <c r="AI4068" s="147" t="s">
        <v>147</v>
      </c>
      <c r="AJ4068" s="80"/>
      <c r="AK4068" s="80"/>
      <c r="AL4068" s="35"/>
      <c r="AM4068" s="35"/>
      <c r="AN4068" s="35"/>
      <c r="AO4068" s="35"/>
      <c r="AP4068" s="35"/>
    </row>
    <row r="4069" spans="1:42" x14ac:dyDescent="0.2">
      <c r="A4069" s="38">
        <v>45603</v>
      </c>
      <c r="B4069" s="137" t="s">
        <v>37</v>
      </c>
      <c r="C4069" s="41" t="s">
        <v>118</v>
      </c>
      <c r="D4069" s="80" t="s">
        <v>36</v>
      </c>
      <c r="E4069" s="80" t="s">
        <v>139</v>
      </c>
      <c r="F4069" s="80" t="s">
        <v>13301</v>
      </c>
      <c r="G4069" s="80" t="s">
        <v>108</v>
      </c>
      <c r="H4069" s="80" t="s">
        <v>14387</v>
      </c>
      <c r="I4069" s="17">
        <f ca="1">IFERROR(__xludf.DUMMYFUNCTION("""COMPUTED_VALUE"""),45615)</f>
        <v>45615</v>
      </c>
      <c r="J4069" s="143" t="s">
        <v>13414</v>
      </c>
      <c r="K4069" s="80" t="s">
        <v>13415</v>
      </c>
      <c r="L4069" s="30">
        <v>328359969</v>
      </c>
      <c r="M4069" s="80" t="s">
        <v>123</v>
      </c>
      <c r="N4069" s="80" t="s">
        <v>327</v>
      </c>
      <c r="O4069" s="80" t="s">
        <v>4503</v>
      </c>
      <c r="P4069" s="80" t="s">
        <v>5794</v>
      </c>
      <c r="Q4069" s="20">
        <v>15936</v>
      </c>
      <c r="R4069" s="80" t="s">
        <v>36</v>
      </c>
      <c r="S4069" s="95">
        <f>400+15536</f>
        <v>15936</v>
      </c>
      <c r="T4069" s="83" t="s">
        <v>13416</v>
      </c>
      <c r="U4069" s="77"/>
      <c r="V4069" s="78"/>
      <c r="W4069" s="85" t="s">
        <v>13417</v>
      </c>
      <c r="X4069" s="80">
        <v>0</v>
      </c>
      <c r="Y4069" s="22">
        <v>0</v>
      </c>
      <c r="Z4069" s="80" t="s">
        <v>50</v>
      </c>
      <c r="AA4069" s="96" t="s">
        <v>3291</v>
      </c>
      <c r="AB4069" s="80"/>
      <c r="AC4069" s="80" t="s">
        <v>53</v>
      </c>
      <c r="AD4069" s="80" t="s">
        <v>138</v>
      </c>
      <c r="AE4069" s="80" t="s">
        <v>13301</v>
      </c>
      <c r="AF4069" s="17">
        <v>45615</v>
      </c>
      <c r="AG4069" s="80"/>
      <c r="AH4069" s="80"/>
      <c r="AI4069" s="147" t="s">
        <v>147</v>
      </c>
      <c r="AJ4069" s="80"/>
      <c r="AK4069" s="80"/>
      <c r="AL4069" s="35"/>
      <c r="AM4069" s="35"/>
      <c r="AN4069" s="35"/>
      <c r="AO4069" s="35"/>
      <c r="AP4069" s="35"/>
    </row>
    <row r="4070" spans="1:42" x14ac:dyDescent="0.2">
      <c r="A4070" s="38">
        <v>45603</v>
      </c>
      <c r="B4070" s="137" t="s">
        <v>37</v>
      </c>
      <c r="C4070" s="41" t="s">
        <v>118</v>
      </c>
      <c r="D4070" s="80" t="s">
        <v>36</v>
      </c>
      <c r="E4070" s="80" t="s">
        <v>139</v>
      </c>
      <c r="F4070" s="80" t="s">
        <v>13301</v>
      </c>
      <c r="G4070" s="80" t="s">
        <v>108</v>
      </c>
      <c r="H4070" s="80" t="s">
        <v>14387</v>
      </c>
      <c r="I4070" s="17">
        <f ca="1">IFERROR(__xludf.DUMMYFUNCTION("""COMPUTED_VALUE"""),45615)</f>
        <v>45615</v>
      </c>
      <c r="J4070" s="143" t="s">
        <v>14479</v>
      </c>
      <c r="K4070" s="80" t="s">
        <v>14480</v>
      </c>
      <c r="L4070" s="30">
        <v>348106516</v>
      </c>
      <c r="M4070" s="80" t="s">
        <v>123</v>
      </c>
      <c r="N4070" s="80" t="s">
        <v>2847</v>
      </c>
      <c r="O4070" s="80" t="s">
        <v>4503</v>
      </c>
      <c r="P4070" s="80" t="s">
        <v>5794</v>
      </c>
      <c r="Q4070" s="20">
        <v>15936</v>
      </c>
      <c r="R4070" s="80" t="s">
        <v>70</v>
      </c>
      <c r="S4070" s="95">
        <f>100+5000</f>
        <v>5100</v>
      </c>
      <c r="T4070" s="83" t="s">
        <v>14481</v>
      </c>
      <c r="U4070" s="95">
        <v>10736</v>
      </c>
      <c r="V4070" s="148">
        <v>45588</v>
      </c>
      <c r="W4070" s="85" t="s">
        <v>14482</v>
      </c>
      <c r="X4070" s="80"/>
      <c r="Y4070" s="22">
        <v>100</v>
      </c>
      <c r="Z4070" s="80" t="s">
        <v>50</v>
      </c>
      <c r="AA4070" s="86"/>
      <c r="AB4070" s="80"/>
      <c r="AC4070" s="80" t="s">
        <v>53</v>
      </c>
      <c r="AD4070" s="80" t="s">
        <v>138</v>
      </c>
      <c r="AE4070" s="80" t="s">
        <v>13301</v>
      </c>
      <c r="AF4070" s="17">
        <v>45615</v>
      </c>
      <c r="AG4070" s="80"/>
      <c r="AH4070" s="80"/>
      <c r="AI4070" s="147"/>
      <c r="AJ4070" s="80"/>
      <c r="AK4070" s="80"/>
      <c r="AL4070" s="35"/>
      <c r="AM4070" s="35"/>
      <c r="AN4070" s="35"/>
      <c r="AO4070" s="35"/>
      <c r="AP4070" s="35"/>
    </row>
    <row r="4071" spans="1:42" x14ac:dyDescent="0.2">
      <c r="A4071" s="38">
        <v>45603</v>
      </c>
      <c r="B4071" s="137" t="s">
        <v>37</v>
      </c>
      <c r="C4071" s="41" t="s">
        <v>118</v>
      </c>
      <c r="D4071" s="80" t="s">
        <v>36</v>
      </c>
      <c r="E4071" s="80" t="s">
        <v>56</v>
      </c>
      <c r="F4071" s="145" t="s">
        <v>13106</v>
      </c>
      <c r="G4071" s="80" t="s">
        <v>108</v>
      </c>
      <c r="H4071" s="145" t="s">
        <v>14370</v>
      </c>
      <c r="I4071" s="17">
        <f ca="1">IFERROR(__xludf.DUMMYFUNCTION("""COMPUTED_VALUE"""),45606)</f>
        <v>45606</v>
      </c>
      <c r="J4071" s="189" t="s">
        <v>14483</v>
      </c>
      <c r="K4071" s="145" t="s">
        <v>13130</v>
      </c>
      <c r="L4071" s="47">
        <v>829808026</v>
      </c>
      <c r="M4071" s="145" t="s">
        <v>80</v>
      </c>
      <c r="N4071" s="145" t="s">
        <v>13131</v>
      </c>
      <c r="O4071" s="80" t="s">
        <v>13132</v>
      </c>
      <c r="P4071" s="144" t="s">
        <v>14484</v>
      </c>
      <c r="Q4071" s="20">
        <v>9317</v>
      </c>
      <c r="R4071" s="80" t="s">
        <v>36</v>
      </c>
      <c r="S4071" s="95">
        <v>9317</v>
      </c>
      <c r="T4071" s="148">
        <v>45549</v>
      </c>
      <c r="U4071" s="77"/>
      <c r="V4071" s="78"/>
      <c r="W4071" s="85" t="s">
        <v>13134</v>
      </c>
      <c r="X4071" s="80">
        <v>0</v>
      </c>
      <c r="Y4071" s="22">
        <v>0</v>
      </c>
      <c r="Z4071" s="80" t="s">
        <v>50</v>
      </c>
      <c r="AA4071" s="96" t="s">
        <v>3291</v>
      </c>
      <c r="AB4071" s="80"/>
      <c r="AC4071" s="80" t="s">
        <v>53</v>
      </c>
      <c r="AD4071" s="80" t="s">
        <v>54</v>
      </c>
      <c r="AE4071" s="145" t="s">
        <v>13106</v>
      </c>
      <c r="AF4071" s="17">
        <v>45603</v>
      </c>
      <c r="AG4071" s="80"/>
      <c r="AH4071" s="80"/>
      <c r="AI4071" s="147" t="s">
        <v>64</v>
      </c>
      <c r="AJ4071" s="80"/>
      <c r="AK4071" s="80"/>
      <c r="AL4071" s="35"/>
      <c r="AM4071" s="35"/>
      <c r="AN4071" s="35"/>
      <c r="AO4071" s="35"/>
      <c r="AP4071" s="35"/>
    </row>
    <row r="4072" spans="1:42" x14ac:dyDescent="0.2">
      <c r="A4072" s="38">
        <v>45603</v>
      </c>
      <c r="B4072" s="137" t="s">
        <v>37</v>
      </c>
      <c r="C4072" s="41" t="s">
        <v>118</v>
      </c>
      <c r="D4072" s="26" t="s">
        <v>36</v>
      </c>
      <c r="E4072" s="26" t="s">
        <v>139</v>
      </c>
      <c r="F4072" s="26" t="s">
        <v>11747</v>
      </c>
      <c r="G4072" s="80" t="s">
        <v>108</v>
      </c>
      <c r="H4072" s="80" t="s">
        <v>13600</v>
      </c>
      <c r="I4072" s="17">
        <f ca="1">IFERROR(__xludf.DUMMYFUNCTION("""COMPUTED_VALUE"""),45607)</f>
        <v>45607</v>
      </c>
      <c r="J4072" s="29" t="s">
        <v>14485</v>
      </c>
      <c r="K4072" s="26" t="s">
        <v>14486</v>
      </c>
      <c r="L4072" s="30">
        <v>969604423</v>
      </c>
      <c r="M4072" s="26" t="s">
        <v>5429</v>
      </c>
      <c r="N4072" s="26" t="s">
        <v>11095</v>
      </c>
      <c r="O4072" s="26" t="s">
        <v>14487</v>
      </c>
      <c r="P4072" s="26" t="s">
        <v>14488</v>
      </c>
      <c r="Q4072" s="20">
        <v>15936</v>
      </c>
      <c r="R4072" s="26" t="s">
        <v>36</v>
      </c>
      <c r="S4072" s="95">
        <f>200+1800</f>
        <v>2000</v>
      </c>
      <c r="T4072" s="83" t="s">
        <v>14489</v>
      </c>
      <c r="U4072" s="95">
        <v>13936</v>
      </c>
      <c r="V4072" s="148">
        <v>45595</v>
      </c>
      <c r="W4072" s="33" t="s">
        <v>14490</v>
      </c>
      <c r="X4072" s="26"/>
      <c r="Y4072" s="22">
        <v>0</v>
      </c>
      <c r="Z4072" s="26" t="s">
        <v>50</v>
      </c>
      <c r="AA4072" s="35"/>
      <c r="AB4072" s="26"/>
      <c r="AC4072" s="26" t="s">
        <v>53</v>
      </c>
      <c r="AD4072" s="26" t="s">
        <v>138</v>
      </c>
      <c r="AE4072" s="26" t="s">
        <v>11747</v>
      </c>
      <c r="AF4072" s="43">
        <v>45607</v>
      </c>
      <c r="AG4072" s="26"/>
      <c r="AH4072" s="26"/>
      <c r="AI4072" s="40"/>
      <c r="AJ4072" s="26"/>
      <c r="AK4072" s="26"/>
      <c r="AL4072" s="35"/>
      <c r="AM4072" s="35"/>
      <c r="AN4072" s="35"/>
      <c r="AO4072" s="35"/>
      <c r="AP4072" s="35"/>
    </row>
    <row r="4073" spans="1:42" x14ac:dyDescent="0.2">
      <c r="A4073" s="38">
        <v>45603</v>
      </c>
      <c r="B4073" s="137" t="s">
        <v>37</v>
      </c>
      <c r="C4073" s="41" t="s">
        <v>118</v>
      </c>
      <c r="D4073" s="80" t="s">
        <v>36</v>
      </c>
      <c r="E4073" s="80" t="s">
        <v>139</v>
      </c>
      <c r="F4073" s="26" t="s">
        <v>11747</v>
      </c>
      <c r="G4073" s="80" t="s">
        <v>108</v>
      </c>
      <c r="H4073" s="80" t="s">
        <v>14387</v>
      </c>
      <c r="I4073" s="17">
        <f ca="1">IFERROR(__xludf.DUMMYFUNCTION("""COMPUTED_VALUE"""),45615)</f>
        <v>45615</v>
      </c>
      <c r="J4073" s="143" t="s">
        <v>14491</v>
      </c>
      <c r="K4073" s="80" t="s">
        <v>14492</v>
      </c>
      <c r="L4073" s="30">
        <v>911634169</v>
      </c>
      <c r="M4073" s="80" t="s">
        <v>123</v>
      </c>
      <c r="N4073" s="80" t="s">
        <v>2847</v>
      </c>
      <c r="O4073" s="80" t="s">
        <v>4503</v>
      </c>
      <c r="P4073" s="80" t="s">
        <v>12968</v>
      </c>
      <c r="Q4073" s="20">
        <v>15936</v>
      </c>
      <c r="R4073" s="80" t="s">
        <v>36</v>
      </c>
      <c r="S4073" s="95">
        <f>200+2000</f>
        <v>2200</v>
      </c>
      <c r="T4073" s="83" t="s">
        <v>14493</v>
      </c>
      <c r="U4073" s="95">
        <v>13736</v>
      </c>
      <c r="V4073" s="148">
        <v>45577</v>
      </c>
      <c r="W4073" s="80" t="s">
        <v>14494</v>
      </c>
      <c r="X4073" s="80"/>
      <c r="Y4073" s="22">
        <v>0</v>
      </c>
      <c r="Z4073" s="80" t="s">
        <v>50</v>
      </c>
      <c r="AA4073" s="82"/>
      <c r="AB4073" s="80"/>
      <c r="AC4073" s="80" t="s">
        <v>53</v>
      </c>
      <c r="AD4073" s="80" t="s">
        <v>138</v>
      </c>
      <c r="AE4073" s="26" t="s">
        <v>11747</v>
      </c>
      <c r="AF4073" s="17">
        <v>45615</v>
      </c>
      <c r="AG4073" s="80"/>
      <c r="AH4073" s="80"/>
      <c r="AI4073" s="147"/>
      <c r="AJ4073" s="80"/>
      <c r="AK4073" s="80"/>
      <c r="AL4073" s="35"/>
      <c r="AM4073" s="35"/>
      <c r="AN4073" s="35"/>
      <c r="AO4073" s="35"/>
      <c r="AP4073" s="35"/>
    </row>
    <row r="4074" spans="1:42" x14ac:dyDescent="0.2">
      <c r="A4074" s="38">
        <v>45603</v>
      </c>
      <c r="B4074" s="137" t="s">
        <v>37</v>
      </c>
      <c r="C4074" s="41" t="s">
        <v>118</v>
      </c>
      <c r="D4074" s="80" t="s">
        <v>36</v>
      </c>
      <c r="E4074" s="80" t="s">
        <v>139</v>
      </c>
      <c r="F4074" s="26" t="s">
        <v>7524</v>
      </c>
      <c r="G4074" s="26" t="s">
        <v>221</v>
      </c>
      <c r="H4074" s="26" t="s">
        <v>11436</v>
      </c>
      <c r="I4074" s="17">
        <f ca="1">IFERROR(__xludf.DUMMYFUNCTION("""COMPUTED_VALUE"""),45624)</f>
        <v>45624</v>
      </c>
      <c r="J4074" s="143" t="s">
        <v>8749</v>
      </c>
      <c r="K4074" s="80" t="s">
        <v>8750</v>
      </c>
      <c r="L4074" s="30">
        <v>944453307</v>
      </c>
      <c r="M4074" s="80" t="s">
        <v>45</v>
      </c>
      <c r="N4074" s="80" t="s">
        <v>571</v>
      </c>
      <c r="O4074" s="80" t="s">
        <v>8751</v>
      </c>
      <c r="P4074" s="144" t="s">
        <v>8752</v>
      </c>
      <c r="Q4074" s="20">
        <v>15936</v>
      </c>
      <c r="R4074" s="80" t="s">
        <v>36</v>
      </c>
      <c r="S4074" s="77">
        <v>15936</v>
      </c>
      <c r="T4074" s="78">
        <v>45449</v>
      </c>
      <c r="U4074" s="77"/>
      <c r="V4074" s="78"/>
      <c r="W4074" s="85" t="s">
        <v>8753</v>
      </c>
      <c r="X4074" s="80"/>
      <c r="Y4074" s="22">
        <v>0</v>
      </c>
      <c r="Z4074" s="26" t="s">
        <v>118</v>
      </c>
      <c r="AA4074" s="145" t="s">
        <v>8721</v>
      </c>
      <c r="AB4074" s="80" t="s">
        <v>36</v>
      </c>
      <c r="AC4074" s="80" t="s">
        <v>53</v>
      </c>
      <c r="AD4074" s="157" t="s">
        <v>54</v>
      </c>
      <c r="AE4074" s="26" t="s">
        <v>7524</v>
      </c>
      <c r="AF4074" s="17">
        <v>45608</v>
      </c>
      <c r="AG4074" s="147"/>
      <c r="AH4074" s="80"/>
      <c r="AI4074" s="147"/>
      <c r="AJ4074" s="80"/>
      <c r="AK4074" s="80"/>
      <c r="AL4074" s="86"/>
      <c r="AM4074" s="86"/>
      <c r="AN4074" s="86"/>
      <c r="AO4074" s="86"/>
      <c r="AP4074" s="86"/>
    </row>
    <row r="4075" spans="1:42" x14ac:dyDescent="0.2">
      <c r="A4075" s="38">
        <v>45603</v>
      </c>
      <c r="B4075" s="137" t="s">
        <v>37</v>
      </c>
      <c r="C4075" s="41" t="s">
        <v>118</v>
      </c>
      <c r="D4075" s="80" t="s">
        <v>36</v>
      </c>
      <c r="E4075" s="80" t="s">
        <v>139</v>
      </c>
      <c r="F4075" s="26" t="s">
        <v>11747</v>
      </c>
      <c r="G4075" s="80" t="s">
        <v>108</v>
      </c>
      <c r="H4075" s="80" t="s">
        <v>14495</v>
      </c>
      <c r="I4075" s="17">
        <f ca="1">IFERROR(__xludf.DUMMYFUNCTION("""COMPUTED_VALUE"""),45627)</f>
        <v>45627</v>
      </c>
      <c r="J4075" s="172" t="s">
        <v>13421</v>
      </c>
      <c r="K4075" s="80" t="s">
        <v>14496</v>
      </c>
      <c r="L4075" s="30">
        <v>374612006</v>
      </c>
      <c r="M4075" s="80" t="s">
        <v>123</v>
      </c>
      <c r="N4075" s="80" t="s">
        <v>327</v>
      </c>
      <c r="O4075" s="80" t="s">
        <v>4503</v>
      </c>
      <c r="P4075" s="80" t="s">
        <v>3056</v>
      </c>
      <c r="Q4075" s="20">
        <v>15936</v>
      </c>
      <c r="R4075" s="80" t="s">
        <v>36</v>
      </c>
      <c r="S4075" s="95">
        <f>400+15536</f>
        <v>15936</v>
      </c>
      <c r="T4075" s="83" t="s">
        <v>13422</v>
      </c>
      <c r="U4075" s="77"/>
      <c r="V4075" s="78"/>
      <c r="W4075" s="85" t="s">
        <v>13423</v>
      </c>
      <c r="X4075" s="80">
        <v>0</v>
      </c>
      <c r="Y4075" s="22">
        <v>0</v>
      </c>
      <c r="Z4075" s="80" t="s">
        <v>50</v>
      </c>
      <c r="AA4075" s="96" t="s">
        <v>3291</v>
      </c>
      <c r="AB4075" s="80"/>
      <c r="AC4075" s="80" t="s">
        <v>53</v>
      </c>
      <c r="AD4075" s="80" t="s">
        <v>138</v>
      </c>
      <c r="AE4075" s="26" t="s">
        <v>11747</v>
      </c>
      <c r="AF4075" s="17">
        <v>45615</v>
      </c>
      <c r="AG4075" s="80"/>
      <c r="AH4075" s="80"/>
      <c r="AI4075" s="147" t="s">
        <v>147</v>
      </c>
      <c r="AJ4075" s="80"/>
      <c r="AK4075" s="80"/>
      <c r="AL4075" s="35"/>
      <c r="AM4075" s="35"/>
      <c r="AN4075" s="35"/>
      <c r="AO4075" s="35"/>
      <c r="AP4075" s="35"/>
    </row>
    <row r="4076" spans="1:42" x14ac:dyDescent="0.2">
      <c r="A4076" s="38">
        <v>45603</v>
      </c>
      <c r="B4076" s="137" t="s">
        <v>37</v>
      </c>
      <c r="C4076" s="41" t="s">
        <v>118</v>
      </c>
      <c r="D4076" s="80" t="s">
        <v>36</v>
      </c>
      <c r="E4076" s="80" t="s">
        <v>139</v>
      </c>
      <c r="F4076" s="80" t="s">
        <v>9626</v>
      </c>
      <c r="G4076" s="80" t="s">
        <v>108</v>
      </c>
      <c r="H4076" s="80" t="s">
        <v>8088</v>
      </c>
      <c r="I4076" s="17">
        <f ca="1">IFERROR(__xludf.DUMMYFUNCTION("""COMPUTED_VALUE"""),45611)</f>
        <v>45611</v>
      </c>
      <c r="J4076" s="143" t="s">
        <v>14497</v>
      </c>
      <c r="K4076" s="80" t="s">
        <v>14498</v>
      </c>
      <c r="L4076" s="30">
        <v>398237882</v>
      </c>
      <c r="M4076" s="80" t="s">
        <v>3728</v>
      </c>
      <c r="N4076" s="80" t="s">
        <v>5312</v>
      </c>
      <c r="O4076" s="80" t="s">
        <v>14499</v>
      </c>
      <c r="P4076" s="80" t="s">
        <v>14500</v>
      </c>
      <c r="Q4076" s="20">
        <v>15936</v>
      </c>
      <c r="R4076" s="80" t="s">
        <v>36</v>
      </c>
      <c r="S4076" s="95">
        <f>200+1800</f>
        <v>2000</v>
      </c>
      <c r="T4076" s="83" t="s">
        <v>14501</v>
      </c>
      <c r="U4076" s="95">
        <v>13836</v>
      </c>
      <c r="V4076" s="148">
        <v>45592</v>
      </c>
      <c r="W4076" s="85" t="s">
        <v>14502</v>
      </c>
      <c r="X4076" s="80"/>
      <c r="Y4076" s="22">
        <v>100</v>
      </c>
      <c r="Z4076" s="80" t="s">
        <v>50</v>
      </c>
      <c r="AA4076" s="86"/>
      <c r="AB4076" s="80"/>
      <c r="AC4076" s="80" t="s">
        <v>53</v>
      </c>
      <c r="AD4076" s="80" t="s">
        <v>138</v>
      </c>
      <c r="AE4076" s="80" t="s">
        <v>9626</v>
      </c>
      <c r="AF4076" s="17">
        <v>45611</v>
      </c>
      <c r="AG4076" s="80" t="s">
        <v>14199</v>
      </c>
      <c r="AH4076" s="80"/>
      <c r="AI4076" s="147"/>
      <c r="AJ4076" s="80"/>
      <c r="AK4076" s="80"/>
      <c r="AL4076" s="35"/>
      <c r="AM4076" s="35"/>
      <c r="AN4076" s="35"/>
      <c r="AO4076" s="35"/>
      <c r="AP4076" s="35"/>
    </row>
    <row r="4077" spans="1:42" x14ac:dyDescent="0.2">
      <c r="A4077" s="38">
        <v>45603</v>
      </c>
      <c r="B4077" s="137" t="s">
        <v>37</v>
      </c>
      <c r="C4077" s="41" t="s">
        <v>118</v>
      </c>
      <c r="D4077" s="80" t="s">
        <v>36</v>
      </c>
      <c r="E4077" s="80" t="s">
        <v>139</v>
      </c>
      <c r="F4077" s="80" t="s">
        <v>12737</v>
      </c>
      <c r="G4077" s="80" t="s">
        <v>108</v>
      </c>
      <c r="H4077" s="145" t="s">
        <v>14465</v>
      </c>
      <c r="I4077" s="17">
        <f ca="1">IFERROR(__xludf.DUMMYFUNCTION("""COMPUTED_VALUE"""),45618)</f>
        <v>45618</v>
      </c>
      <c r="J4077" s="143" t="s">
        <v>14503</v>
      </c>
      <c r="K4077" s="80" t="s">
        <v>14504</v>
      </c>
      <c r="L4077" s="30">
        <v>878759626</v>
      </c>
      <c r="M4077" s="80" t="s">
        <v>9422</v>
      </c>
      <c r="N4077" s="80" t="s">
        <v>4136</v>
      </c>
      <c r="O4077" s="80" t="s">
        <v>11607</v>
      </c>
      <c r="P4077" s="80" t="s">
        <v>14505</v>
      </c>
      <c r="Q4077" s="20">
        <v>15936</v>
      </c>
      <c r="R4077" s="80" t="s">
        <v>11421</v>
      </c>
      <c r="S4077" s="95">
        <f>500+5000</f>
        <v>5500</v>
      </c>
      <c r="T4077" s="83" t="s">
        <v>14506</v>
      </c>
      <c r="U4077" s="95">
        <v>10436</v>
      </c>
      <c r="V4077" s="148">
        <v>45580</v>
      </c>
      <c r="W4077" s="85" t="s">
        <v>14507</v>
      </c>
      <c r="X4077" s="80"/>
      <c r="Y4077" s="22">
        <v>0</v>
      </c>
      <c r="Z4077" s="80" t="s">
        <v>50</v>
      </c>
      <c r="AA4077" s="82"/>
      <c r="AB4077" s="80"/>
      <c r="AC4077" s="80" t="s">
        <v>53</v>
      </c>
      <c r="AD4077" s="80" t="s">
        <v>54</v>
      </c>
      <c r="AE4077" s="80" t="s">
        <v>12737</v>
      </c>
      <c r="AF4077" s="17">
        <v>45610</v>
      </c>
      <c r="AG4077" s="80"/>
      <c r="AH4077" s="80"/>
      <c r="AI4077" s="147"/>
      <c r="AJ4077" s="80"/>
      <c r="AK4077" s="80"/>
      <c r="AL4077" s="35"/>
      <c r="AM4077" s="35"/>
      <c r="AN4077" s="35"/>
      <c r="AO4077" s="35"/>
      <c r="AP4077" s="35"/>
    </row>
    <row r="4078" spans="1:42" x14ac:dyDescent="0.2">
      <c r="A4078" s="38">
        <v>45603</v>
      </c>
      <c r="B4078" s="137" t="s">
        <v>37</v>
      </c>
      <c r="C4078" s="41" t="s">
        <v>118</v>
      </c>
      <c r="D4078" s="26" t="s">
        <v>36</v>
      </c>
      <c r="E4078" s="26" t="s">
        <v>119</v>
      </c>
      <c r="F4078" s="26" t="s">
        <v>6825</v>
      </c>
      <c r="G4078" s="35" t="s">
        <v>1705</v>
      </c>
      <c r="H4078" s="26" t="s">
        <v>6989</v>
      </c>
      <c r="I4078" s="17">
        <f ca="1">IFERROR(__xludf.DUMMYFUNCTION("""COMPUTED_VALUE"""),45622)</f>
        <v>45622</v>
      </c>
      <c r="J4078" s="29" t="s">
        <v>3768</v>
      </c>
      <c r="K4078" s="19" t="s">
        <v>3769</v>
      </c>
      <c r="L4078" s="30">
        <v>373665946</v>
      </c>
      <c r="M4078" s="26" t="s">
        <v>2755</v>
      </c>
      <c r="N4078" s="26" t="s">
        <v>3760</v>
      </c>
      <c r="O4078" s="26" t="s">
        <v>2819</v>
      </c>
      <c r="P4078" s="42" t="s">
        <v>14508</v>
      </c>
      <c r="Q4078" s="20">
        <v>13968</v>
      </c>
      <c r="R4078" s="26" t="s">
        <v>36</v>
      </c>
      <c r="S4078" s="31">
        <v>500</v>
      </c>
      <c r="T4078" s="32">
        <v>45189</v>
      </c>
      <c r="U4078" s="31">
        <v>13468</v>
      </c>
      <c r="V4078" s="32">
        <v>45202</v>
      </c>
      <c r="W4078" s="33" t="s">
        <v>3771</v>
      </c>
      <c r="X4078" s="26"/>
      <c r="Y4078" s="22">
        <v>0</v>
      </c>
      <c r="Z4078" s="26" t="s">
        <v>118</v>
      </c>
      <c r="AA4078" s="19" t="s">
        <v>3454</v>
      </c>
      <c r="AB4078" s="26" t="s">
        <v>104</v>
      </c>
      <c r="AC4078" s="26" t="s">
        <v>53</v>
      </c>
      <c r="AD4078" s="19" t="s">
        <v>138</v>
      </c>
      <c r="AE4078" s="26" t="s">
        <v>6825</v>
      </c>
      <c r="AF4078" s="43">
        <v>45616</v>
      </c>
      <c r="AG4078" s="26"/>
      <c r="AH4078" s="26"/>
      <c r="AI4078" s="40"/>
      <c r="AJ4078" s="26"/>
      <c r="AK4078" s="26"/>
      <c r="AL4078" s="35"/>
      <c r="AM4078" s="35"/>
      <c r="AN4078" s="35"/>
      <c r="AO4078" s="35"/>
      <c r="AP4078" s="35"/>
    </row>
    <row r="4079" spans="1:42" x14ac:dyDescent="0.2">
      <c r="A4079" s="38">
        <v>45603</v>
      </c>
      <c r="B4079" s="137" t="s">
        <v>37</v>
      </c>
      <c r="C4079" s="41" t="s">
        <v>118</v>
      </c>
      <c r="D4079" s="80" t="s">
        <v>36</v>
      </c>
      <c r="E4079" s="80" t="s">
        <v>139</v>
      </c>
      <c r="F4079" s="80" t="s">
        <v>12737</v>
      </c>
      <c r="G4079" s="80" t="s">
        <v>108</v>
      </c>
      <c r="H4079" s="145" t="s">
        <v>14465</v>
      </c>
      <c r="I4079" s="17">
        <f ca="1">IFERROR(__xludf.DUMMYFUNCTION("""COMPUTED_VALUE"""),45618)</f>
        <v>45618</v>
      </c>
      <c r="J4079" s="143" t="s">
        <v>12738</v>
      </c>
      <c r="K4079" s="80" t="s">
        <v>14509</v>
      </c>
      <c r="L4079" s="30">
        <v>374432510</v>
      </c>
      <c r="M4079" s="80" t="s">
        <v>9422</v>
      </c>
      <c r="N4079" s="80" t="s">
        <v>68</v>
      </c>
      <c r="O4079" s="80" t="s">
        <v>12740</v>
      </c>
      <c r="P4079" s="137" t="s">
        <v>12741</v>
      </c>
      <c r="Q4079" s="20">
        <v>15936</v>
      </c>
      <c r="R4079" s="80" t="s">
        <v>36</v>
      </c>
      <c r="S4079" s="95">
        <v>7800</v>
      </c>
      <c r="T4079" s="148">
        <v>45539</v>
      </c>
      <c r="U4079" s="95">
        <v>8136</v>
      </c>
      <c r="V4079" s="148">
        <v>45563</v>
      </c>
      <c r="W4079" s="85" t="s">
        <v>12742</v>
      </c>
      <c r="X4079" s="80">
        <v>0</v>
      </c>
      <c r="Y4079" s="22">
        <v>0</v>
      </c>
      <c r="Z4079" s="80" t="s">
        <v>50</v>
      </c>
      <c r="AA4079" s="96" t="s">
        <v>3291</v>
      </c>
      <c r="AB4079" s="80"/>
      <c r="AC4079" s="80" t="s">
        <v>53</v>
      </c>
      <c r="AD4079" s="80" t="s">
        <v>54</v>
      </c>
      <c r="AE4079" s="145" t="s">
        <v>14465</v>
      </c>
      <c r="AF4079" s="17">
        <v>45610</v>
      </c>
      <c r="AG4079" s="80"/>
      <c r="AH4079" s="80"/>
      <c r="AI4079" s="147" t="s">
        <v>147</v>
      </c>
      <c r="AJ4079" s="80"/>
      <c r="AK4079" s="80"/>
      <c r="AL4079" s="35"/>
      <c r="AM4079" s="35"/>
      <c r="AN4079" s="35"/>
      <c r="AO4079" s="35"/>
      <c r="AP4079" s="35"/>
    </row>
    <row r="4080" spans="1:42" x14ac:dyDescent="0.2">
      <c r="A4080" s="38">
        <v>45603</v>
      </c>
      <c r="B4080" s="137" t="s">
        <v>37</v>
      </c>
      <c r="C4080" s="41" t="s">
        <v>118</v>
      </c>
      <c r="D4080" s="80" t="s">
        <v>36</v>
      </c>
      <c r="E4080" s="80" t="s">
        <v>56</v>
      </c>
      <c r="F4080" s="80" t="s">
        <v>11747</v>
      </c>
      <c r="G4080" s="80" t="s">
        <v>108</v>
      </c>
      <c r="H4080" s="80" t="s">
        <v>13600</v>
      </c>
      <c r="I4080" s="17">
        <f ca="1">IFERROR(__xludf.DUMMYFUNCTION("""COMPUTED_VALUE"""),45607)</f>
        <v>45607</v>
      </c>
      <c r="J4080" s="143" t="s">
        <v>13064</v>
      </c>
      <c r="K4080" s="80" t="s">
        <v>13065</v>
      </c>
      <c r="L4080" s="30">
        <v>982521740</v>
      </c>
      <c r="M4080" s="80" t="s">
        <v>59</v>
      </c>
      <c r="N4080" s="80" t="s">
        <v>9294</v>
      </c>
      <c r="O4080" s="80" t="s">
        <v>13066</v>
      </c>
      <c r="P4080" s="80" t="s">
        <v>12687</v>
      </c>
      <c r="Q4080" s="20">
        <v>9317</v>
      </c>
      <c r="R4080" s="80" t="s">
        <v>70</v>
      </c>
      <c r="S4080" s="95">
        <f>200+9117</f>
        <v>9317</v>
      </c>
      <c r="T4080" s="148">
        <v>45548</v>
      </c>
      <c r="U4080" s="95"/>
      <c r="V4080" s="148">
        <v>45553</v>
      </c>
      <c r="W4080" s="85" t="s">
        <v>13067</v>
      </c>
      <c r="X4080" s="80">
        <v>100</v>
      </c>
      <c r="Y4080" s="22">
        <v>-100</v>
      </c>
      <c r="Z4080" s="80" t="s">
        <v>50</v>
      </c>
      <c r="AA4080" s="35" t="s">
        <v>3291</v>
      </c>
      <c r="AB4080" s="80"/>
      <c r="AC4080" s="80" t="s">
        <v>53</v>
      </c>
      <c r="AD4080" s="80" t="s">
        <v>138</v>
      </c>
      <c r="AE4080" s="80" t="s">
        <v>11747</v>
      </c>
      <c r="AF4080" s="43">
        <v>45607</v>
      </c>
      <c r="AG4080" s="80"/>
      <c r="AH4080" s="80"/>
      <c r="AI4080" s="147" t="s">
        <v>64</v>
      </c>
      <c r="AJ4080" s="80"/>
      <c r="AK4080" s="80"/>
      <c r="AL4080" s="35"/>
      <c r="AM4080" s="35"/>
      <c r="AN4080" s="35"/>
      <c r="AO4080" s="35"/>
      <c r="AP4080" s="35"/>
    </row>
    <row r="4081" spans="1:42" x14ac:dyDescent="0.2">
      <c r="A4081" s="38">
        <v>45603</v>
      </c>
      <c r="B4081" s="137" t="s">
        <v>37</v>
      </c>
      <c r="C4081" s="41" t="s">
        <v>118</v>
      </c>
      <c r="D4081" s="80" t="s">
        <v>36</v>
      </c>
      <c r="E4081" s="80" t="s">
        <v>39</v>
      </c>
      <c r="F4081" s="80" t="s">
        <v>11392</v>
      </c>
      <c r="G4081" s="80" t="s">
        <v>108</v>
      </c>
      <c r="H4081" s="145" t="s">
        <v>14298</v>
      </c>
      <c r="I4081" s="17">
        <f ca="1">IFERROR(__xludf.DUMMYFUNCTION("""COMPUTED_VALUE"""),45621)</f>
        <v>45621</v>
      </c>
      <c r="J4081" s="143" t="s">
        <v>11616</v>
      </c>
      <c r="K4081" s="80" t="s">
        <v>11617</v>
      </c>
      <c r="L4081" s="30">
        <v>389423222</v>
      </c>
      <c r="M4081" s="80" t="s">
        <v>348</v>
      </c>
      <c r="N4081" s="80" t="s">
        <v>200</v>
      </c>
      <c r="O4081" s="80" t="s">
        <v>91</v>
      </c>
      <c r="P4081" s="144" t="s">
        <v>14510</v>
      </c>
      <c r="Q4081" s="20">
        <v>5736</v>
      </c>
      <c r="R4081" s="80" t="s">
        <v>36</v>
      </c>
      <c r="S4081" s="95">
        <v>1000</v>
      </c>
      <c r="T4081" s="148">
        <v>45529</v>
      </c>
      <c r="U4081" s="95">
        <v>4736</v>
      </c>
      <c r="V4081" s="148">
        <v>45533</v>
      </c>
      <c r="W4081" s="85" t="s">
        <v>11619</v>
      </c>
      <c r="X4081" s="80">
        <v>0</v>
      </c>
      <c r="Y4081" s="22">
        <v>0</v>
      </c>
      <c r="Z4081" s="80" t="s">
        <v>50</v>
      </c>
      <c r="AA4081" s="96" t="s">
        <v>10314</v>
      </c>
      <c r="AB4081" s="80"/>
      <c r="AC4081" s="80" t="s">
        <v>53</v>
      </c>
      <c r="AD4081" s="80" t="s">
        <v>54</v>
      </c>
      <c r="AE4081" s="145" t="s">
        <v>14298</v>
      </c>
      <c r="AF4081" s="17">
        <v>45605</v>
      </c>
      <c r="AG4081" s="80"/>
      <c r="AH4081" s="80"/>
      <c r="AI4081" s="147"/>
      <c r="AJ4081" s="80"/>
      <c r="AK4081" s="80"/>
      <c r="AL4081" s="35"/>
      <c r="AM4081" s="35"/>
      <c r="AN4081" s="35"/>
      <c r="AO4081" s="35"/>
      <c r="AP4081" s="35"/>
    </row>
    <row r="4082" spans="1:42" x14ac:dyDescent="0.2">
      <c r="A4082" s="38">
        <v>45603</v>
      </c>
      <c r="B4082" s="137" t="s">
        <v>37</v>
      </c>
      <c r="C4082" s="41" t="s">
        <v>118</v>
      </c>
      <c r="D4082" s="80" t="s">
        <v>36</v>
      </c>
      <c r="E4082" s="80" t="s">
        <v>39</v>
      </c>
      <c r="F4082" s="80" t="s">
        <v>11392</v>
      </c>
      <c r="G4082" s="80" t="s">
        <v>108</v>
      </c>
      <c r="H4082" s="145" t="s">
        <v>14298</v>
      </c>
      <c r="I4082" s="17">
        <f ca="1">IFERROR(__xludf.DUMMYFUNCTION("""COMPUTED_VALUE"""),45621)</f>
        <v>45621</v>
      </c>
      <c r="J4082" s="143" t="s">
        <v>11620</v>
      </c>
      <c r="K4082" s="80" t="s">
        <v>11621</v>
      </c>
      <c r="L4082" s="30">
        <v>377538552</v>
      </c>
      <c r="M4082" s="80" t="s">
        <v>3288</v>
      </c>
      <c r="N4082" s="80" t="s">
        <v>200</v>
      </c>
      <c r="O4082" s="80" t="s">
        <v>91</v>
      </c>
      <c r="P4082" s="144" t="s">
        <v>14510</v>
      </c>
      <c r="Q4082" s="20">
        <v>5736</v>
      </c>
      <c r="R4082" s="80" t="s">
        <v>36</v>
      </c>
      <c r="S4082" s="95">
        <v>1000</v>
      </c>
      <c r="T4082" s="148">
        <v>45529</v>
      </c>
      <c r="U4082" s="95">
        <v>4736</v>
      </c>
      <c r="V4082" s="148">
        <v>45533</v>
      </c>
      <c r="W4082" s="85" t="s">
        <v>11622</v>
      </c>
      <c r="X4082" s="80">
        <v>0</v>
      </c>
      <c r="Y4082" s="22">
        <v>0</v>
      </c>
      <c r="Z4082" s="80" t="s">
        <v>50</v>
      </c>
      <c r="AA4082" s="35" t="s">
        <v>10314</v>
      </c>
      <c r="AB4082" s="80"/>
      <c r="AC4082" s="80" t="s">
        <v>53</v>
      </c>
      <c r="AD4082" s="80" t="s">
        <v>54</v>
      </c>
      <c r="AE4082" s="145" t="s">
        <v>14298</v>
      </c>
      <c r="AF4082" s="17">
        <v>45605</v>
      </c>
      <c r="AG4082" s="80"/>
      <c r="AH4082" s="80"/>
      <c r="AI4082" s="147"/>
      <c r="AJ4082" s="80"/>
      <c r="AK4082" s="80"/>
      <c r="AL4082" s="35"/>
      <c r="AM4082" s="35"/>
      <c r="AN4082" s="35"/>
      <c r="AO4082" s="35"/>
      <c r="AP4082" s="35"/>
    </row>
    <row r="4083" spans="1:42" x14ac:dyDescent="0.2">
      <c r="A4083" s="38">
        <v>45603</v>
      </c>
      <c r="B4083" s="137" t="s">
        <v>37</v>
      </c>
      <c r="C4083" s="41" t="s">
        <v>118</v>
      </c>
      <c r="D4083" s="80" t="s">
        <v>219</v>
      </c>
      <c r="E4083" s="80" t="s">
        <v>1704</v>
      </c>
      <c r="F4083" s="80" t="s">
        <v>6519</v>
      </c>
      <c r="G4083" s="80" t="s">
        <v>1847</v>
      </c>
      <c r="H4083" s="80" t="s">
        <v>9050</v>
      </c>
      <c r="I4083" s="17">
        <f ca="1">IFERROR(__xludf.DUMMYFUNCTION("""COMPUTED_VALUE"""),45607)</f>
        <v>45607</v>
      </c>
      <c r="J4083" s="143" t="s">
        <v>3193</v>
      </c>
      <c r="K4083" s="80" t="s">
        <v>4276</v>
      </c>
      <c r="L4083" s="30">
        <v>823436698</v>
      </c>
      <c r="M4083" s="80" t="s">
        <v>59</v>
      </c>
      <c r="N4083" s="80" t="s">
        <v>68</v>
      </c>
      <c r="O4083" s="80" t="s">
        <v>3195</v>
      </c>
      <c r="P4083" s="80" t="s">
        <v>9729</v>
      </c>
      <c r="Q4083" s="20"/>
      <c r="R4083" s="80" t="s">
        <v>36</v>
      </c>
      <c r="S4083" s="95">
        <v>7629</v>
      </c>
      <c r="T4083" s="148">
        <v>45502</v>
      </c>
      <c r="U4083" s="77"/>
      <c r="V4083" s="78"/>
      <c r="W4083" s="85" t="s">
        <v>9730</v>
      </c>
      <c r="X4083" s="80"/>
      <c r="Y4083" s="22"/>
      <c r="Z4083" s="80" t="s">
        <v>50</v>
      </c>
      <c r="AA4083" s="70" t="s">
        <v>9070</v>
      </c>
      <c r="AB4083" s="80"/>
      <c r="AC4083" s="80" t="s">
        <v>53</v>
      </c>
      <c r="AD4083" s="80" t="s">
        <v>138</v>
      </c>
      <c r="AE4083" s="80" t="s">
        <v>9050</v>
      </c>
      <c r="AF4083" s="17">
        <v>45607</v>
      </c>
      <c r="AG4083" s="80"/>
      <c r="AH4083" s="80"/>
      <c r="AI4083" s="147"/>
      <c r="AJ4083" s="80"/>
      <c r="AK4083" s="80"/>
      <c r="AL4083" s="35"/>
      <c r="AM4083" s="35"/>
      <c r="AN4083" s="35"/>
      <c r="AO4083" s="35"/>
      <c r="AP4083" s="35"/>
    </row>
    <row r="4084" spans="1:42" x14ac:dyDescent="0.2">
      <c r="A4084" s="38">
        <v>45603</v>
      </c>
      <c r="B4084" s="137" t="s">
        <v>37</v>
      </c>
      <c r="C4084" s="41" t="s">
        <v>118</v>
      </c>
      <c r="D4084" s="80" t="s">
        <v>36</v>
      </c>
      <c r="E4084" s="80" t="s">
        <v>139</v>
      </c>
      <c r="F4084" s="80" t="s">
        <v>11392</v>
      </c>
      <c r="G4084" s="80" t="s">
        <v>108</v>
      </c>
      <c r="H4084" s="145" t="s">
        <v>14298</v>
      </c>
      <c r="I4084" s="17">
        <f ca="1">IFERROR(__xludf.DUMMYFUNCTION("""COMPUTED_VALUE"""),45621)</f>
        <v>45621</v>
      </c>
      <c r="J4084" s="143" t="s">
        <v>12580</v>
      </c>
      <c r="K4084" s="80" t="s">
        <v>12581</v>
      </c>
      <c r="L4084" s="30">
        <v>388455976</v>
      </c>
      <c r="M4084" s="80" t="s">
        <v>9422</v>
      </c>
      <c r="N4084" s="80" t="s">
        <v>2157</v>
      </c>
      <c r="O4084" s="80" t="s">
        <v>12582</v>
      </c>
      <c r="P4084" s="144" t="s">
        <v>14511</v>
      </c>
      <c r="Q4084" s="20">
        <v>15936</v>
      </c>
      <c r="R4084" s="80" t="s">
        <v>11421</v>
      </c>
      <c r="S4084" s="95">
        <v>2000</v>
      </c>
      <c r="T4084" s="148">
        <v>45533</v>
      </c>
      <c r="U4084" s="95">
        <v>13636</v>
      </c>
      <c r="V4084" s="148">
        <v>45560</v>
      </c>
      <c r="W4084" s="85" t="s">
        <v>12584</v>
      </c>
      <c r="X4084" s="80">
        <v>300</v>
      </c>
      <c r="Y4084" s="22">
        <v>0</v>
      </c>
      <c r="Z4084" s="80" t="s">
        <v>50</v>
      </c>
      <c r="AA4084" s="35" t="s">
        <v>3291</v>
      </c>
      <c r="AB4084" s="80"/>
      <c r="AC4084" s="80" t="s">
        <v>53</v>
      </c>
      <c r="AD4084" s="80" t="s">
        <v>54</v>
      </c>
      <c r="AE4084" s="145" t="s">
        <v>14298</v>
      </c>
      <c r="AF4084" s="17">
        <v>45605</v>
      </c>
      <c r="AG4084" s="80"/>
      <c r="AH4084" s="80"/>
      <c r="AI4084" s="147" t="s">
        <v>147</v>
      </c>
      <c r="AJ4084" s="80"/>
      <c r="AK4084" s="80"/>
      <c r="AL4084" s="35"/>
      <c r="AM4084" s="35"/>
      <c r="AN4084" s="35"/>
      <c r="AO4084" s="35"/>
      <c r="AP4084" s="35"/>
    </row>
    <row r="4085" spans="1:42" x14ac:dyDescent="0.2">
      <c r="A4085" s="38">
        <v>45603</v>
      </c>
      <c r="B4085" s="137" t="s">
        <v>37</v>
      </c>
      <c r="C4085" s="41" t="s">
        <v>118</v>
      </c>
      <c r="D4085" s="80" t="s">
        <v>36</v>
      </c>
      <c r="E4085" s="80" t="s">
        <v>139</v>
      </c>
      <c r="F4085" s="80" t="s">
        <v>12737</v>
      </c>
      <c r="G4085" s="80" t="s">
        <v>108</v>
      </c>
      <c r="H4085" s="145" t="s">
        <v>14465</v>
      </c>
      <c r="I4085" s="17">
        <f ca="1">IFERROR(__xludf.DUMMYFUNCTION("""COMPUTED_VALUE"""),45618)</f>
        <v>45618</v>
      </c>
      <c r="J4085" s="143" t="s">
        <v>14512</v>
      </c>
      <c r="K4085" s="80" t="s">
        <v>14513</v>
      </c>
      <c r="L4085" s="30">
        <v>973820285</v>
      </c>
      <c r="M4085" s="80" t="s">
        <v>5558</v>
      </c>
      <c r="N4085" s="80" t="s">
        <v>5277</v>
      </c>
      <c r="O4085" s="80" t="s">
        <v>4503</v>
      </c>
      <c r="P4085" s="80" t="s">
        <v>14514</v>
      </c>
      <c r="Q4085" s="20">
        <v>15936</v>
      </c>
      <c r="R4085" s="80" t="s">
        <v>36</v>
      </c>
      <c r="S4085" s="95">
        <v>2000</v>
      </c>
      <c r="T4085" s="148">
        <v>45558</v>
      </c>
      <c r="U4085" s="95">
        <v>13936</v>
      </c>
      <c r="V4085" s="169">
        <v>45575</v>
      </c>
      <c r="W4085" s="85" t="s">
        <v>14515</v>
      </c>
      <c r="X4085" s="80"/>
      <c r="Y4085" s="22">
        <v>0</v>
      </c>
      <c r="Z4085" s="80" t="s">
        <v>50</v>
      </c>
      <c r="AA4085" s="82"/>
      <c r="AB4085" s="80"/>
      <c r="AC4085" s="80" t="s">
        <v>53</v>
      </c>
      <c r="AD4085" s="80" t="s">
        <v>54</v>
      </c>
      <c r="AE4085" s="145" t="s">
        <v>14465</v>
      </c>
      <c r="AF4085" s="17">
        <v>45610</v>
      </c>
      <c r="AG4085" s="80"/>
      <c r="AH4085" s="80"/>
      <c r="AI4085" s="147"/>
      <c r="AJ4085" s="80"/>
      <c r="AK4085" s="80"/>
      <c r="AL4085" s="35"/>
      <c r="AM4085" s="35"/>
      <c r="AN4085" s="35"/>
      <c r="AO4085" s="35"/>
      <c r="AP4085" s="35"/>
    </row>
    <row r="4086" spans="1:42" x14ac:dyDescent="0.2">
      <c r="A4086" s="38">
        <v>45603</v>
      </c>
      <c r="B4086" s="137" t="s">
        <v>37</v>
      </c>
      <c r="C4086" s="41" t="s">
        <v>118</v>
      </c>
      <c r="D4086" s="26" t="s">
        <v>36</v>
      </c>
      <c r="E4086" s="26" t="s">
        <v>56</v>
      </c>
      <c r="F4086" s="26" t="s">
        <v>7524</v>
      </c>
      <c r="G4086" s="26" t="s">
        <v>221</v>
      </c>
      <c r="H4086" s="26" t="s">
        <v>11436</v>
      </c>
      <c r="I4086" s="17">
        <f ca="1">IFERROR(__xludf.DUMMYFUNCTION("""COMPUTED_VALUE"""),45624)</f>
        <v>45624</v>
      </c>
      <c r="J4086" s="29" t="s">
        <v>8950</v>
      </c>
      <c r="K4086" s="26" t="s">
        <v>8951</v>
      </c>
      <c r="L4086" s="30">
        <v>763354265</v>
      </c>
      <c r="M4086" s="26" t="s">
        <v>80</v>
      </c>
      <c r="N4086" s="26" t="s">
        <v>466</v>
      </c>
      <c r="O4086" s="26" t="s">
        <v>8952</v>
      </c>
      <c r="P4086" s="42" t="s">
        <v>8953</v>
      </c>
      <c r="Q4086" s="20">
        <v>9317</v>
      </c>
      <c r="R4086" s="26" t="s">
        <v>36</v>
      </c>
      <c r="S4086" s="95">
        <f>200+1800</f>
        <v>2000</v>
      </c>
      <c r="T4086" s="83" t="s">
        <v>8954</v>
      </c>
      <c r="U4086" s="31">
        <v>7310</v>
      </c>
      <c r="V4086" s="32">
        <v>45480</v>
      </c>
      <c r="W4086" s="33" t="s">
        <v>8955</v>
      </c>
      <c r="X4086" s="26"/>
      <c r="Y4086" s="22">
        <v>7</v>
      </c>
      <c r="Z4086" s="26" t="s">
        <v>118</v>
      </c>
      <c r="AA4086" s="19"/>
      <c r="AB4086" s="26" t="s">
        <v>36</v>
      </c>
      <c r="AC4086" s="26" t="s">
        <v>53</v>
      </c>
      <c r="AD4086" s="26" t="s">
        <v>54</v>
      </c>
      <c r="AE4086" s="26" t="s">
        <v>11436</v>
      </c>
      <c r="AF4086" s="17">
        <v>45608</v>
      </c>
      <c r="AG4086" s="26"/>
      <c r="AH4086" s="26"/>
      <c r="AI4086" s="40"/>
      <c r="AJ4086" s="26"/>
      <c r="AK4086" s="26"/>
      <c r="AL4086" s="35"/>
      <c r="AM4086" s="35"/>
      <c r="AN4086" s="35"/>
      <c r="AO4086" s="35"/>
      <c r="AP4086" s="35"/>
    </row>
    <row r="4087" spans="1:42" x14ac:dyDescent="0.2">
      <c r="A4087" s="38">
        <v>45603</v>
      </c>
      <c r="B4087" s="137" t="s">
        <v>37</v>
      </c>
      <c r="C4087" s="41" t="s">
        <v>118</v>
      </c>
      <c r="D4087" s="80" t="s">
        <v>36</v>
      </c>
      <c r="E4087" s="80" t="s">
        <v>139</v>
      </c>
      <c r="F4087" s="80" t="s">
        <v>13315</v>
      </c>
      <c r="G4087" s="80" t="s">
        <v>108</v>
      </c>
      <c r="H4087" s="80" t="s">
        <v>14409</v>
      </c>
      <c r="I4087" s="17">
        <f ca="1">IFERROR(__xludf.DUMMYFUNCTION("""COMPUTED_VALUE"""),45624)</f>
        <v>45624</v>
      </c>
      <c r="J4087" s="143" t="s">
        <v>14516</v>
      </c>
      <c r="K4087" s="80" t="s">
        <v>14517</v>
      </c>
      <c r="L4087" s="30">
        <v>349348036</v>
      </c>
      <c r="M4087" s="26" t="s">
        <v>3498</v>
      </c>
      <c r="N4087" s="80" t="s">
        <v>4402</v>
      </c>
      <c r="O4087" s="80" t="s">
        <v>4503</v>
      </c>
      <c r="P4087" s="80" t="s">
        <v>14518</v>
      </c>
      <c r="Q4087" s="20">
        <v>15936</v>
      </c>
      <c r="R4087" s="80" t="s">
        <v>36</v>
      </c>
      <c r="S4087" s="95">
        <v>5200</v>
      </c>
      <c r="T4087" s="148">
        <v>45555</v>
      </c>
      <c r="U4087" s="31">
        <v>10736</v>
      </c>
      <c r="V4087" s="32">
        <v>45597</v>
      </c>
      <c r="W4087" s="80" t="s">
        <v>14519</v>
      </c>
      <c r="X4087" s="80"/>
      <c r="Y4087" s="22">
        <v>0</v>
      </c>
      <c r="Z4087" s="26" t="s">
        <v>118</v>
      </c>
      <c r="AA4087" s="82"/>
      <c r="AB4087" s="80"/>
      <c r="AC4087" s="80" t="s">
        <v>53</v>
      </c>
      <c r="AD4087" s="80" t="s">
        <v>54</v>
      </c>
      <c r="AE4087" s="80" t="s">
        <v>14409</v>
      </c>
      <c r="AF4087" s="17">
        <v>45608</v>
      </c>
      <c r="AG4087" s="80"/>
      <c r="AH4087" s="80"/>
      <c r="AI4087" s="147"/>
      <c r="AJ4087" s="80"/>
      <c r="AK4087" s="80"/>
      <c r="AL4087" s="35"/>
      <c r="AM4087" s="35"/>
      <c r="AN4087" s="35"/>
      <c r="AO4087" s="35"/>
      <c r="AP4087" s="35"/>
    </row>
    <row r="4088" spans="1:42" x14ac:dyDescent="0.2">
      <c r="A4088" s="38">
        <v>45604</v>
      </c>
      <c r="B4088" s="137" t="s">
        <v>37</v>
      </c>
      <c r="C4088" s="41" t="s">
        <v>118</v>
      </c>
      <c r="D4088" s="80" t="s">
        <v>36</v>
      </c>
      <c r="E4088" s="80" t="s">
        <v>56</v>
      </c>
      <c r="F4088" s="80" t="s">
        <v>9614</v>
      </c>
      <c r="G4088" s="80" t="s">
        <v>108</v>
      </c>
      <c r="H4088" s="145" t="s">
        <v>14210</v>
      </c>
      <c r="I4088" s="17">
        <f ca="1">IFERROR(__xludf.DUMMYFUNCTION("""COMPUTED_VALUE"""),45622)</f>
        <v>45622</v>
      </c>
      <c r="J4088" s="143" t="s">
        <v>13149</v>
      </c>
      <c r="K4088" s="80" t="s">
        <v>13150</v>
      </c>
      <c r="L4088" s="30">
        <v>385019562</v>
      </c>
      <c r="M4088" s="80" t="s">
        <v>45</v>
      </c>
      <c r="N4088" s="80" t="s">
        <v>1472</v>
      </c>
      <c r="O4088" s="80" t="s">
        <v>13151</v>
      </c>
      <c r="P4088" s="144" t="s">
        <v>14520</v>
      </c>
      <c r="Q4088" s="20">
        <v>9317</v>
      </c>
      <c r="R4088" s="80" t="s">
        <v>36</v>
      </c>
      <c r="S4088" s="95">
        <v>9317</v>
      </c>
      <c r="T4088" s="148">
        <v>45549</v>
      </c>
      <c r="U4088" s="77"/>
      <c r="V4088" s="78"/>
      <c r="W4088" s="79" t="s">
        <v>13153</v>
      </c>
      <c r="X4088" s="80">
        <v>0</v>
      </c>
      <c r="Y4088" s="22">
        <v>0</v>
      </c>
      <c r="Z4088" s="80" t="s">
        <v>50</v>
      </c>
      <c r="AA4088" s="35" t="s">
        <v>3291</v>
      </c>
      <c r="AB4088" s="80"/>
      <c r="AC4088" s="80" t="s">
        <v>53</v>
      </c>
      <c r="AD4088" s="80" t="s">
        <v>54</v>
      </c>
      <c r="AE4088" s="80" t="s">
        <v>9614</v>
      </c>
      <c r="AF4088" s="43">
        <v>45616</v>
      </c>
      <c r="AG4088" s="80"/>
      <c r="AH4088" s="80"/>
      <c r="AI4088" s="147" t="s">
        <v>64</v>
      </c>
      <c r="AJ4088" s="80"/>
      <c r="AK4088" s="80"/>
      <c r="AL4088" s="35"/>
      <c r="AM4088" s="35"/>
      <c r="AN4088" s="35"/>
      <c r="AO4088" s="35"/>
      <c r="AP4088" s="35"/>
    </row>
    <row r="4089" spans="1:42" x14ac:dyDescent="0.2">
      <c r="A4089" s="38">
        <v>45604</v>
      </c>
      <c r="B4089" s="137" t="s">
        <v>37</v>
      </c>
      <c r="C4089" s="41" t="s">
        <v>118</v>
      </c>
      <c r="D4089" s="26" t="s">
        <v>36</v>
      </c>
      <c r="E4089" s="26" t="s">
        <v>56</v>
      </c>
      <c r="F4089" s="26" t="s">
        <v>7524</v>
      </c>
      <c r="G4089" s="26" t="s">
        <v>221</v>
      </c>
      <c r="H4089" s="26" t="s">
        <v>14521</v>
      </c>
      <c r="I4089" s="17" t="str">
        <f ca="1">IFERROR(__xludf.DUMMYFUNCTION("""COMPUTED_VALUE""")," ")</f>
        <v xml:space="preserve"> </v>
      </c>
      <c r="J4089" s="29" t="s">
        <v>8492</v>
      </c>
      <c r="K4089" s="26" t="s">
        <v>14522</v>
      </c>
      <c r="L4089" s="30">
        <v>394585738</v>
      </c>
      <c r="M4089" s="26" t="s">
        <v>59</v>
      </c>
      <c r="N4089" s="26" t="s">
        <v>4299</v>
      </c>
      <c r="O4089" s="26" t="s">
        <v>8494</v>
      </c>
      <c r="P4089" s="42" t="s">
        <v>14523</v>
      </c>
      <c r="Q4089" s="20">
        <v>9317</v>
      </c>
      <c r="R4089" s="26" t="s">
        <v>36</v>
      </c>
      <c r="S4089" s="31">
        <v>9317</v>
      </c>
      <c r="T4089" s="32">
        <v>45432</v>
      </c>
      <c r="U4089" s="31"/>
      <c r="V4089" s="32"/>
      <c r="W4089" s="33" t="s">
        <v>8496</v>
      </c>
      <c r="X4089" s="26"/>
      <c r="Y4089" s="22">
        <v>0</v>
      </c>
      <c r="Z4089" s="26" t="s">
        <v>118</v>
      </c>
      <c r="AA4089" s="19" t="s">
        <v>8410</v>
      </c>
      <c r="AB4089" s="26" t="s">
        <v>36</v>
      </c>
      <c r="AC4089" s="26" t="s">
        <v>53</v>
      </c>
      <c r="AD4089" s="19" t="s">
        <v>54</v>
      </c>
      <c r="AE4089" s="26" t="s">
        <v>7524</v>
      </c>
      <c r="AF4089" s="17">
        <v>45609</v>
      </c>
      <c r="AG4089" s="26"/>
      <c r="AH4089" s="26"/>
      <c r="AI4089" s="40"/>
      <c r="AJ4089" s="26"/>
      <c r="AK4089" s="26"/>
      <c r="AL4089" s="35"/>
      <c r="AM4089" s="35"/>
      <c r="AN4089" s="35"/>
      <c r="AO4089" s="35"/>
      <c r="AP4089" s="35"/>
    </row>
    <row r="4090" spans="1:42" x14ac:dyDescent="0.2">
      <c r="A4090" s="38">
        <v>45604</v>
      </c>
      <c r="B4090" s="137" t="s">
        <v>37</v>
      </c>
      <c r="C4090" s="41" t="s">
        <v>118</v>
      </c>
      <c r="D4090" s="26" t="s">
        <v>36</v>
      </c>
      <c r="E4090" s="26" t="s">
        <v>139</v>
      </c>
      <c r="F4090" s="26" t="s">
        <v>8338</v>
      </c>
      <c r="G4090" s="26" t="s">
        <v>1705</v>
      </c>
      <c r="H4090" s="26" t="s">
        <v>8927</v>
      </c>
      <c r="I4090" s="17">
        <f ca="1">IFERROR(__xludf.DUMMYFUNCTION("""COMPUTED_VALUE"""),45606)</f>
        <v>45606</v>
      </c>
      <c r="J4090" s="29" t="s">
        <v>2484</v>
      </c>
      <c r="K4090" s="26" t="s">
        <v>4834</v>
      </c>
      <c r="L4090" s="30">
        <v>989920758</v>
      </c>
      <c r="M4090" s="26" t="s">
        <v>123</v>
      </c>
      <c r="N4090" s="26" t="s">
        <v>850</v>
      </c>
      <c r="O4090" s="26" t="s">
        <v>125</v>
      </c>
      <c r="P4090" s="42" t="s">
        <v>6644</v>
      </c>
      <c r="Q4090" s="20">
        <v>15936</v>
      </c>
      <c r="R4090" s="26" t="s">
        <v>36</v>
      </c>
      <c r="S4090" s="31">
        <v>500</v>
      </c>
      <c r="T4090" s="32">
        <v>45154</v>
      </c>
      <c r="U4090" s="21">
        <f>1500+13936</f>
        <v>15436</v>
      </c>
      <c r="V4090" s="26" t="s">
        <v>2487</v>
      </c>
      <c r="W4090" s="33" t="s">
        <v>2488</v>
      </c>
      <c r="X4090" s="26"/>
      <c r="Y4090" s="22">
        <v>0</v>
      </c>
      <c r="Z4090" s="26" t="s">
        <v>118</v>
      </c>
      <c r="AA4090" s="19" t="s">
        <v>4541</v>
      </c>
      <c r="AB4090" s="26" t="s">
        <v>36</v>
      </c>
      <c r="AC4090" s="26" t="s">
        <v>53</v>
      </c>
      <c r="AD4090" s="19" t="s">
        <v>54</v>
      </c>
      <c r="AE4090" s="26" t="s">
        <v>8338</v>
      </c>
      <c r="AF4090" s="17">
        <v>45604</v>
      </c>
      <c r="AG4090" s="26"/>
      <c r="AH4090" s="26"/>
      <c r="AI4090" s="40"/>
      <c r="AJ4090" s="26"/>
      <c r="AK4090" s="26"/>
      <c r="AL4090" s="35"/>
      <c r="AM4090" s="35"/>
      <c r="AN4090" s="35"/>
      <c r="AO4090" s="35"/>
      <c r="AP4090" s="35"/>
    </row>
    <row r="4091" spans="1:42" x14ac:dyDescent="0.2">
      <c r="A4091" s="38">
        <v>45604</v>
      </c>
      <c r="B4091" s="137" t="s">
        <v>37</v>
      </c>
      <c r="C4091" s="41" t="s">
        <v>118</v>
      </c>
      <c r="D4091" s="80" t="s">
        <v>36</v>
      </c>
      <c r="E4091" s="80" t="s">
        <v>139</v>
      </c>
      <c r="F4091" s="80" t="s">
        <v>12799</v>
      </c>
      <c r="G4091" s="80" t="s">
        <v>108</v>
      </c>
      <c r="H4091" s="80" t="s">
        <v>14429</v>
      </c>
      <c r="I4091" s="17">
        <f ca="1">IFERROR(__xludf.DUMMYFUNCTION("""COMPUTED_VALUE"""),45615)</f>
        <v>45615</v>
      </c>
      <c r="J4091" s="143" t="s">
        <v>14524</v>
      </c>
      <c r="K4091" s="80" t="s">
        <v>2413</v>
      </c>
      <c r="L4091" s="30">
        <v>943982113</v>
      </c>
      <c r="M4091" s="80" t="s">
        <v>12720</v>
      </c>
      <c r="N4091" s="80" t="s">
        <v>14525</v>
      </c>
      <c r="O4091" s="80" t="s">
        <v>1492</v>
      </c>
      <c r="P4091" s="80" t="s">
        <v>14526</v>
      </c>
      <c r="Q4091" s="20">
        <v>15936</v>
      </c>
      <c r="R4091" s="80" t="s">
        <v>36</v>
      </c>
      <c r="S4091" s="95">
        <f t="shared" ref="S4091:S4092" si="66">200+1800</f>
        <v>2000</v>
      </c>
      <c r="T4091" s="83" t="s">
        <v>14527</v>
      </c>
      <c r="U4091" s="95">
        <v>13936</v>
      </c>
      <c r="V4091" s="148">
        <v>45590</v>
      </c>
      <c r="W4091" s="85" t="s">
        <v>14528</v>
      </c>
      <c r="X4091" s="80"/>
      <c r="Y4091" s="22">
        <v>0</v>
      </c>
      <c r="Z4091" s="80" t="s">
        <v>50</v>
      </c>
      <c r="AA4091" s="82"/>
      <c r="AB4091" s="80"/>
      <c r="AC4091" s="80" t="s">
        <v>53</v>
      </c>
      <c r="AD4091" s="80" t="s">
        <v>138</v>
      </c>
      <c r="AE4091" s="80" t="s">
        <v>12799</v>
      </c>
      <c r="AF4091" s="17">
        <v>45615</v>
      </c>
      <c r="AG4091" s="80"/>
      <c r="AH4091" s="80"/>
      <c r="AI4091" s="147"/>
      <c r="AJ4091" s="80"/>
      <c r="AK4091" s="80"/>
      <c r="AL4091" s="35"/>
      <c r="AM4091" s="35"/>
      <c r="AN4091" s="35"/>
      <c r="AO4091" s="35"/>
      <c r="AP4091" s="35"/>
    </row>
    <row r="4092" spans="1:42" x14ac:dyDescent="0.2">
      <c r="A4092" s="38">
        <v>45604</v>
      </c>
      <c r="B4092" s="137" t="s">
        <v>37</v>
      </c>
      <c r="C4092" s="41" t="s">
        <v>118</v>
      </c>
      <c r="D4092" s="80" t="s">
        <v>36</v>
      </c>
      <c r="E4092" s="80" t="s">
        <v>139</v>
      </c>
      <c r="F4092" s="80" t="s">
        <v>12799</v>
      </c>
      <c r="G4092" s="80" t="s">
        <v>108</v>
      </c>
      <c r="H4092" s="80" t="s">
        <v>14429</v>
      </c>
      <c r="I4092" s="17">
        <f ca="1">IFERROR(__xludf.DUMMYFUNCTION("""COMPUTED_VALUE"""),45615)</f>
        <v>45615</v>
      </c>
      <c r="J4092" s="143" t="s">
        <v>14529</v>
      </c>
      <c r="K4092" s="80" t="s">
        <v>14530</v>
      </c>
      <c r="L4092" s="30">
        <v>886203633</v>
      </c>
      <c r="M4092" s="80" t="s">
        <v>3498</v>
      </c>
      <c r="N4092" s="80" t="s">
        <v>4402</v>
      </c>
      <c r="O4092" s="80" t="s">
        <v>4503</v>
      </c>
      <c r="P4092" s="80" t="s">
        <v>5794</v>
      </c>
      <c r="Q4092" s="20">
        <v>15936</v>
      </c>
      <c r="R4092" s="80" t="s">
        <v>36</v>
      </c>
      <c r="S4092" s="95">
        <f t="shared" si="66"/>
        <v>2000</v>
      </c>
      <c r="T4092" s="83" t="s">
        <v>14531</v>
      </c>
      <c r="U4092" s="178">
        <v>13936</v>
      </c>
      <c r="V4092" s="148">
        <v>45576</v>
      </c>
      <c r="W4092" s="85" t="s">
        <v>14532</v>
      </c>
      <c r="X4092" s="80"/>
      <c r="Y4092" s="22">
        <v>0</v>
      </c>
      <c r="Z4092" s="80" t="s">
        <v>50</v>
      </c>
      <c r="AA4092" s="86"/>
      <c r="AB4092" s="80"/>
      <c r="AC4092" s="80" t="s">
        <v>53</v>
      </c>
      <c r="AD4092" s="80" t="s">
        <v>138</v>
      </c>
      <c r="AE4092" s="80" t="s">
        <v>12799</v>
      </c>
      <c r="AF4092" s="17">
        <v>45615</v>
      </c>
      <c r="AG4092" s="80"/>
      <c r="AH4092" s="80"/>
      <c r="AI4092" s="147"/>
      <c r="AJ4092" s="80"/>
      <c r="AK4092" s="80"/>
      <c r="AL4092" s="35"/>
      <c r="AM4092" s="35"/>
      <c r="AN4092" s="35"/>
      <c r="AO4092" s="35"/>
      <c r="AP4092" s="35"/>
    </row>
    <row r="4093" spans="1:42" x14ac:dyDescent="0.2">
      <c r="A4093" s="38">
        <v>45604</v>
      </c>
      <c r="B4093" s="137" t="s">
        <v>37</v>
      </c>
      <c r="C4093" s="41" t="s">
        <v>118</v>
      </c>
      <c r="D4093" s="80" t="s">
        <v>36</v>
      </c>
      <c r="E4093" s="80" t="s">
        <v>139</v>
      </c>
      <c r="F4093" s="80" t="s">
        <v>12799</v>
      </c>
      <c r="G4093" s="80" t="s">
        <v>108</v>
      </c>
      <c r="H4093" s="80" t="s">
        <v>14342</v>
      </c>
      <c r="I4093" s="17">
        <f ca="1">IFERROR(__xludf.DUMMYFUNCTION("""COMPUTED_VALUE"""),45611)</f>
        <v>45611</v>
      </c>
      <c r="J4093" s="143" t="s">
        <v>12883</v>
      </c>
      <c r="K4093" s="80" t="s">
        <v>12884</v>
      </c>
      <c r="L4093" s="30">
        <v>376622818</v>
      </c>
      <c r="M4093" s="80" t="s">
        <v>59</v>
      </c>
      <c r="N4093" s="80" t="s">
        <v>9294</v>
      </c>
      <c r="O4093" s="80" t="s">
        <v>12885</v>
      </c>
      <c r="P4093" s="80" t="s">
        <v>12886</v>
      </c>
      <c r="Q4093" s="20">
        <v>15936</v>
      </c>
      <c r="R4093" s="80" t="s">
        <v>36</v>
      </c>
      <c r="S4093" s="95">
        <f>200+15763</f>
        <v>15963</v>
      </c>
      <c r="T4093" s="148">
        <v>45542</v>
      </c>
      <c r="U4093" s="95"/>
      <c r="V4093" s="148">
        <v>45543</v>
      </c>
      <c r="W4093" s="80" t="s">
        <v>12887</v>
      </c>
      <c r="X4093" s="80">
        <v>0</v>
      </c>
      <c r="Y4093" s="22">
        <v>-27</v>
      </c>
      <c r="Z4093" s="80" t="s">
        <v>50</v>
      </c>
      <c r="AA4093" s="96" t="s">
        <v>3291</v>
      </c>
      <c r="AB4093" s="80"/>
      <c r="AC4093" s="80" t="s">
        <v>53</v>
      </c>
      <c r="AD4093" s="80" t="s">
        <v>138</v>
      </c>
      <c r="AE4093" s="80" t="s">
        <v>12799</v>
      </c>
      <c r="AF4093" s="17">
        <v>45611</v>
      </c>
      <c r="AG4093" s="80"/>
      <c r="AH4093" s="80"/>
      <c r="AI4093" s="147" t="s">
        <v>147</v>
      </c>
      <c r="AJ4093" s="80"/>
      <c r="AK4093" s="80"/>
      <c r="AL4093" s="35"/>
      <c r="AM4093" s="35"/>
      <c r="AN4093" s="35"/>
      <c r="AO4093" s="35"/>
      <c r="AP4093" s="35"/>
    </row>
    <row r="4094" spans="1:42" x14ac:dyDescent="0.2">
      <c r="A4094" s="38">
        <v>45604</v>
      </c>
      <c r="B4094" s="137" t="s">
        <v>37</v>
      </c>
      <c r="C4094" s="41" t="s">
        <v>118</v>
      </c>
      <c r="D4094" s="80" t="s">
        <v>36</v>
      </c>
      <c r="E4094" s="80" t="s">
        <v>56</v>
      </c>
      <c r="F4094" s="80" t="s">
        <v>12799</v>
      </c>
      <c r="G4094" s="80" t="s">
        <v>108</v>
      </c>
      <c r="H4094" s="80" t="s">
        <v>14429</v>
      </c>
      <c r="I4094" s="17">
        <f ca="1">IFERROR(__xludf.DUMMYFUNCTION("""COMPUTED_VALUE"""),45615)</f>
        <v>45615</v>
      </c>
      <c r="J4094" s="172" t="s">
        <v>14533</v>
      </c>
      <c r="K4094" s="80" t="s">
        <v>14534</v>
      </c>
      <c r="L4094" s="30">
        <v>343729621</v>
      </c>
      <c r="M4094" s="80" t="s">
        <v>45</v>
      </c>
      <c r="N4094" s="80" t="s">
        <v>1472</v>
      </c>
      <c r="O4094" s="80" t="s">
        <v>12802</v>
      </c>
      <c r="P4094" s="80" t="s">
        <v>3694</v>
      </c>
      <c r="Q4094" s="20">
        <v>9317</v>
      </c>
      <c r="R4094" s="80" t="s">
        <v>36</v>
      </c>
      <c r="S4094" s="95">
        <v>9317</v>
      </c>
      <c r="T4094" s="148">
        <v>45534</v>
      </c>
      <c r="U4094" s="77"/>
      <c r="V4094" s="78"/>
      <c r="W4094" s="85" t="s">
        <v>12803</v>
      </c>
      <c r="X4094" s="80">
        <v>0</v>
      </c>
      <c r="Y4094" s="22">
        <v>0</v>
      </c>
      <c r="Z4094" s="80" t="s">
        <v>50</v>
      </c>
      <c r="AA4094" s="35" t="s">
        <v>3291</v>
      </c>
      <c r="AB4094" s="80"/>
      <c r="AC4094" s="80" t="s">
        <v>53</v>
      </c>
      <c r="AD4094" s="80" t="s">
        <v>138</v>
      </c>
      <c r="AE4094" s="80" t="s">
        <v>12799</v>
      </c>
      <c r="AF4094" s="17">
        <v>45615</v>
      </c>
      <c r="AG4094" s="80"/>
      <c r="AH4094" s="80"/>
      <c r="AI4094" s="147" t="s">
        <v>64</v>
      </c>
      <c r="AJ4094" s="80"/>
      <c r="AK4094" s="80"/>
      <c r="AL4094" s="35"/>
      <c r="AM4094" s="35"/>
      <c r="AN4094" s="35"/>
      <c r="AO4094" s="35"/>
      <c r="AP4094" s="35"/>
    </row>
    <row r="4095" spans="1:42" x14ac:dyDescent="0.2">
      <c r="A4095" s="38">
        <v>45604</v>
      </c>
      <c r="B4095" s="137" t="s">
        <v>37</v>
      </c>
      <c r="C4095" s="41" t="s">
        <v>118</v>
      </c>
      <c r="D4095" s="80" t="s">
        <v>36</v>
      </c>
      <c r="E4095" s="80" t="s">
        <v>139</v>
      </c>
      <c r="F4095" s="80" t="s">
        <v>11595</v>
      </c>
      <c r="G4095" s="80" t="s">
        <v>108</v>
      </c>
      <c r="H4095" s="80" t="s">
        <v>9970</v>
      </c>
      <c r="I4095" s="17">
        <f ca="1">IFERROR(__xludf.DUMMYFUNCTION("""COMPUTED_VALUE"""),45714)</f>
        <v>45714</v>
      </c>
      <c r="J4095" s="143" t="s">
        <v>14535</v>
      </c>
      <c r="K4095" s="80" t="s">
        <v>14536</v>
      </c>
      <c r="L4095" s="30">
        <v>396114264</v>
      </c>
      <c r="M4095" s="80" t="s">
        <v>80</v>
      </c>
      <c r="N4095" s="80" t="s">
        <v>466</v>
      </c>
      <c r="O4095" s="80" t="s">
        <v>14537</v>
      </c>
      <c r="P4095" s="80" t="s">
        <v>14538</v>
      </c>
      <c r="Q4095" s="20">
        <v>15936</v>
      </c>
      <c r="R4095" s="80" t="s">
        <v>36</v>
      </c>
      <c r="S4095" s="95">
        <f>200+2000</f>
        <v>2200</v>
      </c>
      <c r="T4095" s="83" t="s">
        <v>14539</v>
      </c>
      <c r="U4095" s="95">
        <v>13736</v>
      </c>
      <c r="V4095" s="148">
        <v>45576</v>
      </c>
      <c r="W4095" s="85" t="s">
        <v>14540</v>
      </c>
      <c r="X4095" s="26"/>
      <c r="Y4095" s="22">
        <v>0</v>
      </c>
      <c r="Z4095" s="26" t="s">
        <v>50</v>
      </c>
      <c r="AA4095" s="96"/>
      <c r="AB4095" s="26"/>
      <c r="AC4095" s="80" t="s">
        <v>53</v>
      </c>
      <c r="AD4095" s="80" t="s">
        <v>138</v>
      </c>
      <c r="AE4095" s="80" t="s">
        <v>11595</v>
      </c>
      <c r="AF4095" s="17">
        <v>45610</v>
      </c>
      <c r="AG4095" s="80" t="s">
        <v>14541</v>
      </c>
      <c r="AH4095" s="26"/>
      <c r="AI4095" s="40"/>
      <c r="AJ4095" s="26"/>
      <c r="AK4095" s="26"/>
      <c r="AL4095" s="35"/>
      <c r="AM4095" s="35"/>
      <c r="AN4095" s="35"/>
      <c r="AO4095" s="35"/>
      <c r="AP4095" s="35"/>
    </row>
    <row r="4096" spans="1:42" x14ac:dyDescent="0.2">
      <c r="A4096" s="38">
        <v>45604</v>
      </c>
      <c r="B4096" s="137" t="s">
        <v>37</v>
      </c>
      <c r="C4096" s="41" t="s">
        <v>118</v>
      </c>
      <c r="D4096" s="80" t="s">
        <v>36</v>
      </c>
      <c r="E4096" s="80" t="s">
        <v>139</v>
      </c>
      <c r="F4096" s="80" t="s">
        <v>11595</v>
      </c>
      <c r="G4096" s="80" t="s">
        <v>108</v>
      </c>
      <c r="H4096" s="80" t="s">
        <v>14542</v>
      </c>
      <c r="I4096" s="17">
        <f ca="1">IFERROR(__xludf.DUMMYFUNCTION("""COMPUTED_VALUE"""),45610)</f>
        <v>45610</v>
      </c>
      <c r="J4096" s="172" t="s">
        <v>14543</v>
      </c>
      <c r="K4096" s="80" t="s">
        <v>14544</v>
      </c>
      <c r="L4096" s="30">
        <v>962510713</v>
      </c>
      <c r="M4096" s="80" t="s">
        <v>5558</v>
      </c>
      <c r="N4096" s="80" t="s">
        <v>5559</v>
      </c>
      <c r="O4096" s="80" t="s">
        <v>4503</v>
      </c>
      <c r="P4096" s="80" t="s">
        <v>14545</v>
      </c>
      <c r="Q4096" s="20">
        <v>15936</v>
      </c>
      <c r="R4096" s="80" t="s">
        <v>36</v>
      </c>
      <c r="S4096" s="95">
        <f>200+1800+9936+4000</f>
        <v>15936</v>
      </c>
      <c r="T4096" s="83" t="s">
        <v>14539</v>
      </c>
      <c r="U4096" s="95"/>
      <c r="V4096" s="148">
        <v>45582</v>
      </c>
      <c r="W4096" s="80" t="s">
        <v>14546</v>
      </c>
      <c r="X4096" s="80"/>
      <c r="Y4096" s="22">
        <v>0</v>
      </c>
      <c r="Z4096" s="80" t="s">
        <v>50</v>
      </c>
      <c r="AA4096" s="86"/>
      <c r="AB4096" s="80"/>
      <c r="AC4096" s="80" t="s">
        <v>53</v>
      </c>
      <c r="AD4096" s="80" t="s">
        <v>138</v>
      </c>
      <c r="AE4096" s="80" t="s">
        <v>11595</v>
      </c>
      <c r="AF4096" s="17">
        <v>45610</v>
      </c>
      <c r="AG4096" s="80" t="s">
        <v>14541</v>
      </c>
      <c r="AH4096" s="80"/>
      <c r="AI4096" s="147"/>
      <c r="AJ4096" s="80"/>
      <c r="AK4096" s="80"/>
      <c r="AL4096" s="35"/>
      <c r="AM4096" s="35"/>
      <c r="AN4096" s="35"/>
      <c r="AO4096" s="35"/>
      <c r="AP4096" s="35"/>
    </row>
    <row r="4097" spans="1:42" x14ac:dyDescent="0.2">
      <c r="A4097" s="38">
        <v>45604</v>
      </c>
      <c r="B4097" s="137" t="s">
        <v>37</v>
      </c>
      <c r="C4097" s="41" t="s">
        <v>118</v>
      </c>
      <c r="D4097" s="80" t="s">
        <v>36</v>
      </c>
      <c r="E4097" s="80" t="s">
        <v>139</v>
      </c>
      <c r="F4097" s="80" t="s">
        <v>11595</v>
      </c>
      <c r="G4097" s="80" t="s">
        <v>108</v>
      </c>
      <c r="H4097" s="80" t="s">
        <v>14547</v>
      </c>
      <c r="I4097" s="17">
        <f ca="1">IFERROR(__xludf.DUMMYFUNCTION("""COMPUTED_VALUE"""),45726)</f>
        <v>45726</v>
      </c>
      <c r="J4097" s="143" t="s">
        <v>14548</v>
      </c>
      <c r="K4097" s="80" t="s">
        <v>14549</v>
      </c>
      <c r="L4097" s="30">
        <v>834840438</v>
      </c>
      <c r="M4097" s="80" t="s">
        <v>80</v>
      </c>
      <c r="N4097" s="80" t="s">
        <v>1073</v>
      </c>
      <c r="O4097" s="80" t="s">
        <v>14550</v>
      </c>
      <c r="P4097" s="80" t="s">
        <v>14551</v>
      </c>
      <c r="Q4097" s="20">
        <v>15936</v>
      </c>
      <c r="R4097" s="80" t="s">
        <v>36</v>
      </c>
      <c r="S4097" s="95">
        <f>200+1800</f>
        <v>2000</v>
      </c>
      <c r="T4097" s="83" t="s">
        <v>14552</v>
      </c>
      <c r="U4097" s="95">
        <v>13936</v>
      </c>
      <c r="V4097" s="148">
        <v>45578</v>
      </c>
      <c r="W4097" s="85" t="s">
        <v>14553</v>
      </c>
      <c r="X4097" s="80"/>
      <c r="Y4097" s="22">
        <v>0</v>
      </c>
      <c r="Z4097" s="80" t="s">
        <v>50</v>
      </c>
      <c r="AA4097" s="82"/>
      <c r="AB4097" s="80"/>
      <c r="AC4097" s="80" t="s">
        <v>53</v>
      </c>
      <c r="AD4097" s="80" t="s">
        <v>138</v>
      </c>
      <c r="AE4097" s="80" t="s">
        <v>11595</v>
      </c>
      <c r="AF4097" s="17">
        <v>45610</v>
      </c>
      <c r="AG4097" s="80" t="s">
        <v>14541</v>
      </c>
      <c r="AH4097" s="80"/>
      <c r="AI4097" s="147"/>
      <c r="AJ4097" s="80"/>
      <c r="AK4097" s="80"/>
      <c r="AL4097" s="35"/>
      <c r="AM4097" s="35"/>
      <c r="AN4097" s="35"/>
      <c r="AO4097" s="35"/>
      <c r="AP4097" s="35"/>
    </row>
    <row r="4098" spans="1:42" x14ac:dyDescent="0.2">
      <c r="A4098" s="38">
        <v>45604</v>
      </c>
      <c r="B4098" s="137" t="s">
        <v>37</v>
      </c>
      <c r="C4098" s="41" t="s">
        <v>118</v>
      </c>
      <c r="D4098" s="80" t="s">
        <v>36</v>
      </c>
      <c r="E4098" s="80" t="s">
        <v>39</v>
      </c>
      <c r="F4098" s="80" t="s">
        <v>11595</v>
      </c>
      <c r="G4098" s="80" t="s">
        <v>108</v>
      </c>
      <c r="H4098" s="80" t="s">
        <v>14542</v>
      </c>
      <c r="I4098" s="17">
        <f ca="1">IFERROR(__xludf.DUMMYFUNCTION("""COMPUTED_VALUE"""),45610)</f>
        <v>45610</v>
      </c>
      <c r="J4098" s="143" t="s">
        <v>11601</v>
      </c>
      <c r="K4098" s="80" t="s">
        <v>11602</v>
      </c>
      <c r="L4098" s="30">
        <v>379713350</v>
      </c>
      <c r="M4098" s="80" t="s">
        <v>9422</v>
      </c>
      <c r="N4098" s="80" t="s">
        <v>5574</v>
      </c>
      <c r="O4098" s="80" t="s">
        <v>11603</v>
      </c>
      <c r="P4098" s="80" t="s">
        <v>11599</v>
      </c>
      <c r="Q4098" s="20">
        <v>5736</v>
      </c>
      <c r="R4098" s="80" t="s">
        <v>70</v>
      </c>
      <c r="S4098" s="95">
        <v>5636</v>
      </c>
      <c r="T4098" s="148">
        <v>45527</v>
      </c>
      <c r="U4098" s="77"/>
      <c r="V4098" s="78"/>
      <c r="W4098" s="85" t="s">
        <v>11604</v>
      </c>
      <c r="X4098" s="80">
        <v>100</v>
      </c>
      <c r="Y4098" s="22">
        <v>0</v>
      </c>
      <c r="Z4098" s="80" t="s">
        <v>50</v>
      </c>
      <c r="AA4098" s="35" t="s">
        <v>10314</v>
      </c>
      <c r="AB4098" s="80"/>
      <c r="AC4098" s="80" t="s">
        <v>53</v>
      </c>
      <c r="AD4098" s="80" t="s">
        <v>138</v>
      </c>
      <c r="AE4098" s="80" t="s">
        <v>11595</v>
      </c>
      <c r="AF4098" s="17">
        <v>45610</v>
      </c>
      <c r="AG4098" s="80" t="s">
        <v>14541</v>
      </c>
      <c r="AH4098" s="80"/>
      <c r="AI4098" s="147"/>
      <c r="AJ4098" s="80"/>
      <c r="AK4098" s="80"/>
      <c r="AL4098" s="35"/>
      <c r="AM4098" s="35"/>
      <c r="AN4098" s="35"/>
      <c r="AO4098" s="35"/>
      <c r="AP4098" s="35"/>
    </row>
    <row r="4099" spans="1:42" x14ac:dyDescent="0.2">
      <c r="A4099" s="38">
        <v>45604</v>
      </c>
      <c r="B4099" s="137" t="s">
        <v>37</v>
      </c>
      <c r="C4099" s="41" t="s">
        <v>118</v>
      </c>
      <c r="D4099" s="80" t="s">
        <v>36</v>
      </c>
      <c r="E4099" s="80" t="s">
        <v>139</v>
      </c>
      <c r="F4099" s="80" t="s">
        <v>11595</v>
      </c>
      <c r="G4099" s="80" t="s">
        <v>108</v>
      </c>
      <c r="H4099" s="80" t="s">
        <v>14542</v>
      </c>
      <c r="I4099" s="17">
        <f ca="1">IFERROR(__xludf.DUMMYFUNCTION("""COMPUTED_VALUE"""),45610)</f>
        <v>45610</v>
      </c>
      <c r="J4099" s="143" t="s">
        <v>14554</v>
      </c>
      <c r="K4099" s="80" t="s">
        <v>14555</v>
      </c>
      <c r="L4099" s="30">
        <v>343127749</v>
      </c>
      <c r="M4099" s="80" t="s">
        <v>80</v>
      </c>
      <c r="N4099" s="80" t="s">
        <v>1073</v>
      </c>
      <c r="O4099" s="80" t="s">
        <v>14556</v>
      </c>
      <c r="P4099" s="80" t="s">
        <v>2641</v>
      </c>
      <c r="Q4099" s="20">
        <v>15936</v>
      </c>
      <c r="R4099" s="80" t="s">
        <v>36</v>
      </c>
      <c r="S4099" s="95">
        <f>170+8030</f>
        <v>8200</v>
      </c>
      <c r="T4099" s="83" t="s">
        <v>14557</v>
      </c>
      <c r="U4099" s="95">
        <v>7736</v>
      </c>
      <c r="V4099" s="148">
        <v>45588</v>
      </c>
      <c r="W4099" s="85" t="s">
        <v>14558</v>
      </c>
      <c r="X4099" s="26"/>
      <c r="Y4099" s="22">
        <v>0</v>
      </c>
      <c r="Z4099" s="26" t="s">
        <v>50</v>
      </c>
      <c r="AA4099" s="96"/>
      <c r="AB4099" s="26"/>
      <c r="AC4099" s="80" t="s">
        <v>53</v>
      </c>
      <c r="AD4099" s="80" t="s">
        <v>138</v>
      </c>
      <c r="AE4099" s="80" t="s">
        <v>11595</v>
      </c>
      <c r="AF4099" s="17">
        <v>45610</v>
      </c>
      <c r="AG4099" s="80" t="s">
        <v>14541</v>
      </c>
      <c r="AH4099" s="26"/>
      <c r="AI4099" s="40"/>
      <c r="AJ4099" s="26"/>
      <c r="AK4099" s="26"/>
      <c r="AL4099" s="35"/>
      <c r="AM4099" s="35"/>
      <c r="AN4099" s="35"/>
      <c r="AO4099" s="35"/>
      <c r="AP4099" s="35"/>
    </row>
    <row r="4100" spans="1:42" x14ac:dyDescent="0.2">
      <c r="A4100" s="38">
        <v>45604</v>
      </c>
      <c r="B4100" s="137" t="s">
        <v>37</v>
      </c>
      <c r="C4100" s="41" t="s">
        <v>118</v>
      </c>
      <c r="D4100" s="80" t="s">
        <v>36</v>
      </c>
      <c r="E4100" s="80" t="s">
        <v>39</v>
      </c>
      <c r="F4100" s="80" t="s">
        <v>11595</v>
      </c>
      <c r="G4100" s="80" t="s">
        <v>108</v>
      </c>
      <c r="H4100" s="80" t="s">
        <v>14542</v>
      </c>
      <c r="I4100" s="17">
        <f ca="1">IFERROR(__xludf.DUMMYFUNCTION("""COMPUTED_VALUE"""),45610)</f>
        <v>45610</v>
      </c>
      <c r="J4100" s="143" t="s">
        <v>11596</v>
      </c>
      <c r="K4100" s="80" t="s">
        <v>11597</v>
      </c>
      <c r="L4100" s="30">
        <v>862355204</v>
      </c>
      <c r="M4100" s="80" t="s">
        <v>9422</v>
      </c>
      <c r="N4100" s="80" t="s">
        <v>5574</v>
      </c>
      <c r="O4100" s="80" t="s">
        <v>11598</v>
      </c>
      <c r="P4100" s="80" t="s">
        <v>11599</v>
      </c>
      <c r="Q4100" s="20">
        <v>5736</v>
      </c>
      <c r="R4100" s="80" t="s">
        <v>70</v>
      </c>
      <c r="S4100" s="95">
        <v>5636</v>
      </c>
      <c r="T4100" s="148">
        <v>45527</v>
      </c>
      <c r="U4100" s="77"/>
      <c r="V4100" s="78"/>
      <c r="W4100" s="85" t="s">
        <v>11600</v>
      </c>
      <c r="X4100" s="80">
        <v>100</v>
      </c>
      <c r="Y4100" s="22">
        <v>0</v>
      </c>
      <c r="Z4100" s="80" t="s">
        <v>50</v>
      </c>
      <c r="AA4100" s="35" t="s">
        <v>10314</v>
      </c>
      <c r="AB4100" s="80"/>
      <c r="AC4100" s="80" t="s">
        <v>53</v>
      </c>
      <c r="AD4100" s="80" t="s">
        <v>138</v>
      </c>
      <c r="AE4100" s="80" t="s">
        <v>11595</v>
      </c>
      <c r="AF4100" s="17">
        <v>45610</v>
      </c>
      <c r="AG4100" s="80" t="s">
        <v>14541</v>
      </c>
      <c r="AH4100" s="80"/>
      <c r="AI4100" s="147"/>
      <c r="AJ4100" s="80"/>
      <c r="AK4100" s="80"/>
      <c r="AL4100" s="35"/>
      <c r="AM4100" s="35"/>
      <c r="AN4100" s="35"/>
      <c r="AO4100" s="35"/>
      <c r="AP4100" s="35"/>
    </row>
    <row r="4101" spans="1:42" x14ac:dyDescent="0.2">
      <c r="A4101" s="38">
        <v>45604</v>
      </c>
      <c r="B4101" s="137" t="s">
        <v>37</v>
      </c>
      <c r="C4101" s="41" t="s">
        <v>118</v>
      </c>
      <c r="D4101" s="80" t="s">
        <v>36</v>
      </c>
      <c r="E4101" s="80" t="s">
        <v>139</v>
      </c>
      <c r="F4101" s="80" t="s">
        <v>11595</v>
      </c>
      <c r="G4101" s="80" t="s">
        <v>108</v>
      </c>
      <c r="H4101" s="80" t="s">
        <v>14542</v>
      </c>
      <c r="I4101" s="17">
        <f ca="1">IFERROR(__xludf.DUMMYFUNCTION("""COMPUTED_VALUE"""),45610)</f>
        <v>45610</v>
      </c>
      <c r="J4101" s="143" t="s">
        <v>14559</v>
      </c>
      <c r="K4101" s="80" t="s">
        <v>14560</v>
      </c>
      <c r="L4101" s="30">
        <v>344564202</v>
      </c>
      <c r="M4101" s="80" t="s">
        <v>80</v>
      </c>
      <c r="N4101" s="80" t="s">
        <v>1073</v>
      </c>
      <c r="O4101" s="80" t="s">
        <v>14561</v>
      </c>
      <c r="P4101" s="80" t="s">
        <v>14562</v>
      </c>
      <c r="Q4101" s="20">
        <v>15936</v>
      </c>
      <c r="R4101" s="80" t="s">
        <v>36</v>
      </c>
      <c r="S4101" s="95">
        <f>200+2000+6000</f>
        <v>8200</v>
      </c>
      <c r="T4101" s="83" t="s">
        <v>14563</v>
      </c>
      <c r="U4101" s="95">
        <v>7736</v>
      </c>
      <c r="V4101" s="148">
        <v>45572</v>
      </c>
      <c r="W4101" s="85" t="s">
        <v>14564</v>
      </c>
      <c r="X4101" s="80"/>
      <c r="Y4101" s="22">
        <v>0</v>
      </c>
      <c r="Z4101" s="80" t="s">
        <v>50</v>
      </c>
      <c r="AA4101" s="82"/>
      <c r="AB4101" s="80"/>
      <c r="AC4101" s="80" t="s">
        <v>53</v>
      </c>
      <c r="AD4101" s="80" t="s">
        <v>138</v>
      </c>
      <c r="AE4101" s="80" t="s">
        <v>11595</v>
      </c>
      <c r="AF4101" s="17">
        <v>45610</v>
      </c>
      <c r="AG4101" s="80" t="s">
        <v>14541</v>
      </c>
      <c r="AH4101" s="80"/>
      <c r="AI4101" s="147"/>
      <c r="AJ4101" s="80"/>
      <c r="AK4101" s="80"/>
      <c r="AL4101" s="35"/>
      <c r="AM4101" s="35"/>
      <c r="AN4101" s="35"/>
      <c r="AO4101" s="35"/>
      <c r="AP4101" s="35"/>
    </row>
    <row r="4102" spans="1:42" x14ac:dyDescent="0.2">
      <c r="A4102" s="38">
        <v>45604</v>
      </c>
      <c r="B4102" s="137" t="s">
        <v>37</v>
      </c>
      <c r="C4102" s="41" t="s">
        <v>118</v>
      </c>
      <c r="D4102" s="80" t="s">
        <v>36</v>
      </c>
      <c r="E4102" s="80" t="s">
        <v>139</v>
      </c>
      <c r="F4102" s="80" t="s">
        <v>11595</v>
      </c>
      <c r="G4102" s="80" t="s">
        <v>108</v>
      </c>
      <c r="H4102" s="80" t="s">
        <v>14542</v>
      </c>
      <c r="I4102" s="17">
        <f ca="1">IFERROR(__xludf.DUMMYFUNCTION("""COMPUTED_VALUE"""),45610)</f>
        <v>45610</v>
      </c>
      <c r="J4102" s="143" t="s">
        <v>12378</v>
      </c>
      <c r="K4102" s="80" t="s">
        <v>12379</v>
      </c>
      <c r="L4102" s="30">
        <v>983739244</v>
      </c>
      <c r="M4102" s="80" t="s">
        <v>5518</v>
      </c>
      <c r="N4102" s="80" t="s">
        <v>12380</v>
      </c>
      <c r="O4102" s="80" t="s">
        <v>1492</v>
      </c>
      <c r="P4102" s="80" t="s">
        <v>9528</v>
      </c>
      <c r="Q4102" s="20">
        <v>15936</v>
      </c>
      <c r="R4102" s="80" t="s">
        <v>36</v>
      </c>
      <c r="S4102" s="95">
        <f>500+15436</f>
        <v>15936</v>
      </c>
      <c r="T4102" s="148">
        <v>45525</v>
      </c>
      <c r="U4102" s="77"/>
      <c r="V4102" s="78">
        <v>45541</v>
      </c>
      <c r="W4102" s="85" t="s">
        <v>12381</v>
      </c>
      <c r="X4102" s="80">
        <v>0</v>
      </c>
      <c r="Y4102" s="22">
        <v>0</v>
      </c>
      <c r="Z4102" s="80" t="s">
        <v>50</v>
      </c>
      <c r="AA4102" s="35" t="s">
        <v>3291</v>
      </c>
      <c r="AB4102" s="80"/>
      <c r="AC4102" s="80" t="s">
        <v>53</v>
      </c>
      <c r="AD4102" s="80" t="s">
        <v>138</v>
      </c>
      <c r="AE4102" s="80" t="s">
        <v>11595</v>
      </c>
      <c r="AF4102" s="17">
        <v>45610</v>
      </c>
      <c r="AG4102" s="80" t="s">
        <v>14541</v>
      </c>
      <c r="AH4102" s="80"/>
      <c r="AI4102" s="147" t="s">
        <v>147</v>
      </c>
      <c r="AJ4102" s="80"/>
      <c r="AK4102" s="80"/>
      <c r="AL4102" s="35"/>
      <c r="AM4102" s="35"/>
      <c r="AN4102" s="35"/>
      <c r="AO4102" s="35"/>
      <c r="AP4102" s="35"/>
    </row>
    <row r="4103" spans="1:42" x14ac:dyDescent="0.2">
      <c r="A4103" s="38">
        <v>45604</v>
      </c>
      <c r="B4103" s="137" t="s">
        <v>37</v>
      </c>
      <c r="C4103" s="41" t="s">
        <v>118</v>
      </c>
      <c r="D4103" s="80" t="s">
        <v>36</v>
      </c>
      <c r="E4103" s="80" t="s">
        <v>139</v>
      </c>
      <c r="F4103" s="80" t="s">
        <v>11595</v>
      </c>
      <c r="G4103" s="80" t="s">
        <v>108</v>
      </c>
      <c r="H4103" s="80" t="s">
        <v>14342</v>
      </c>
      <c r="I4103" s="17">
        <f ca="1">IFERROR(__xludf.DUMMYFUNCTION("""COMPUTED_VALUE"""),45611)</f>
        <v>45611</v>
      </c>
      <c r="J4103" s="143" t="s">
        <v>14565</v>
      </c>
      <c r="K4103" s="80" t="s">
        <v>14566</v>
      </c>
      <c r="L4103" s="30">
        <v>858383787</v>
      </c>
      <c r="M4103" s="80" t="s">
        <v>2755</v>
      </c>
      <c r="N4103" s="80" t="s">
        <v>2756</v>
      </c>
      <c r="O4103" s="80" t="s">
        <v>4503</v>
      </c>
      <c r="P4103" s="80" t="s">
        <v>3694</v>
      </c>
      <c r="Q4103" s="20">
        <v>15936</v>
      </c>
      <c r="R4103" s="80" t="s">
        <v>36</v>
      </c>
      <c r="S4103" s="95">
        <v>2168</v>
      </c>
      <c r="T4103" s="148">
        <v>45549</v>
      </c>
      <c r="U4103" s="178">
        <v>13768</v>
      </c>
      <c r="V4103" s="169">
        <v>45573</v>
      </c>
      <c r="W4103" s="80" t="s">
        <v>14567</v>
      </c>
      <c r="X4103" s="80"/>
      <c r="Y4103" s="22">
        <v>0</v>
      </c>
      <c r="Z4103" s="80" t="s">
        <v>50</v>
      </c>
      <c r="AA4103" s="82"/>
      <c r="AB4103" s="80"/>
      <c r="AC4103" s="80" t="s">
        <v>53</v>
      </c>
      <c r="AD4103" s="80" t="s">
        <v>138</v>
      </c>
      <c r="AE4103" s="80" t="s">
        <v>11595</v>
      </c>
      <c r="AF4103" s="17">
        <v>45611</v>
      </c>
      <c r="AG4103" s="80"/>
      <c r="AH4103" s="80"/>
      <c r="AI4103" s="147"/>
      <c r="AJ4103" s="80"/>
      <c r="AK4103" s="80"/>
      <c r="AL4103" s="35"/>
      <c r="AM4103" s="35"/>
      <c r="AN4103" s="35"/>
      <c r="AO4103" s="35"/>
      <c r="AP4103" s="35"/>
    </row>
    <row r="4104" spans="1:42" x14ac:dyDescent="0.2">
      <c r="A4104" s="38">
        <v>45604</v>
      </c>
      <c r="B4104" s="137" t="s">
        <v>37</v>
      </c>
      <c r="C4104" s="41" t="s">
        <v>118</v>
      </c>
      <c r="D4104" s="80" t="s">
        <v>36</v>
      </c>
      <c r="E4104" s="80" t="s">
        <v>56</v>
      </c>
      <c r="F4104" s="80" t="s">
        <v>12799</v>
      </c>
      <c r="G4104" s="80" t="s">
        <v>108</v>
      </c>
      <c r="H4104" s="80" t="s">
        <v>14429</v>
      </c>
      <c r="I4104" s="17">
        <f ca="1">IFERROR(__xludf.DUMMYFUNCTION("""COMPUTED_VALUE"""),45615)</f>
        <v>45615</v>
      </c>
      <c r="J4104" s="143" t="s">
        <v>14568</v>
      </c>
      <c r="K4104" s="80" t="s">
        <v>14569</v>
      </c>
      <c r="L4104" s="30">
        <v>359024728</v>
      </c>
      <c r="M4104" s="80" t="s">
        <v>5429</v>
      </c>
      <c r="N4104" s="80" t="s">
        <v>11095</v>
      </c>
      <c r="O4104" s="80" t="s">
        <v>14570</v>
      </c>
      <c r="P4104" s="80" t="s">
        <v>7107</v>
      </c>
      <c r="Q4104" s="20">
        <v>9317</v>
      </c>
      <c r="R4104" s="80" t="s">
        <v>70</v>
      </c>
      <c r="S4104" s="95">
        <f>200+2000</f>
        <v>2200</v>
      </c>
      <c r="T4104" s="83" t="s">
        <v>14571</v>
      </c>
      <c r="U4104" s="95">
        <v>6917</v>
      </c>
      <c r="V4104" s="148">
        <v>45587</v>
      </c>
      <c r="W4104" s="85" t="s">
        <v>14572</v>
      </c>
      <c r="X4104" s="80"/>
      <c r="Y4104" s="22">
        <v>200</v>
      </c>
      <c r="Z4104" s="80" t="s">
        <v>50</v>
      </c>
      <c r="AA4104" s="86"/>
      <c r="AB4104" s="80"/>
      <c r="AC4104" s="80" t="s">
        <v>53</v>
      </c>
      <c r="AD4104" s="80" t="s">
        <v>138</v>
      </c>
      <c r="AE4104" s="80" t="s">
        <v>12799</v>
      </c>
      <c r="AF4104" s="17">
        <v>45615</v>
      </c>
      <c r="AG4104" s="80"/>
      <c r="AH4104" s="80"/>
      <c r="AI4104" s="147"/>
      <c r="AJ4104" s="80"/>
      <c r="AK4104" s="80"/>
      <c r="AL4104" s="35"/>
      <c r="AM4104" s="35"/>
      <c r="AN4104" s="35"/>
      <c r="AO4104" s="35"/>
      <c r="AP4104" s="35"/>
    </row>
    <row r="4105" spans="1:42" x14ac:dyDescent="0.2">
      <c r="A4105" s="38">
        <v>45604</v>
      </c>
      <c r="B4105" s="137" t="s">
        <v>37</v>
      </c>
      <c r="C4105" s="41" t="s">
        <v>118</v>
      </c>
      <c r="D4105" s="80" t="s">
        <v>36</v>
      </c>
      <c r="E4105" s="80" t="s">
        <v>139</v>
      </c>
      <c r="F4105" s="80" t="s">
        <v>11845</v>
      </c>
      <c r="G4105" s="26" t="s">
        <v>108</v>
      </c>
      <c r="H4105" s="80" t="s">
        <v>12857</v>
      </c>
      <c r="I4105" s="17">
        <f ca="1">IFERROR(__xludf.DUMMYFUNCTION("""COMPUTED_VALUE"""),45611)</f>
        <v>45611</v>
      </c>
      <c r="J4105" s="143" t="s">
        <v>14573</v>
      </c>
      <c r="K4105" s="80" t="s">
        <v>14574</v>
      </c>
      <c r="L4105" s="30">
        <v>337339564</v>
      </c>
      <c r="M4105" s="80" t="s">
        <v>5429</v>
      </c>
      <c r="N4105" s="80" t="s">
        <v>81</v>
      </c>
      <c r="O4105" s="80" t="s">
        <v>61</v>
      </c>
      <c r="P4105" s="144" t="s">
        <v>14575</v>
      </c>
      <c r="Q4105" s="20">
        <v>15936</v>
      </c>
      <c r="R4105" s="80" t="s">
        <v>36</v>
      </c>
      <c r="S4105" s="95">
        <v>2000</v>
      </c>
      <c r="T4105" s="148">
        <v>45544</v>
      </c>
      <c r="U4105" s="95">
        <v>13936</v>
      </c>
      <c r="V4105" s="148">
        <v>45568</v>
      </c>
      <c r="W4105" s="85" t="s">
        <v>14576</v>
      </c>
      <c r="X4105" s="80"/>
      <c r="Y4105" s="22">
        <v>0</v>
      </c>
      <c r="Z4105" s="80" t="s">
        <v>50</v>
      </c>
      <c r="AA4105" s="82"/>
      <c r="AB4105" s="80"/>
      <c r="AC4105" s="80" t="s">
        <v>53</v>
      </c>
      <c r="AD4105" s="80" t="s">
        <v>138</v>
      </c>
      <c r="AE4105" s="80" t="s">
        <v>11845</v>
      </c>
      <c r="AF4105" s="17">
        <v>45607</v>
      </c>
      <c r="AG4105" s="80"/>
      <c r="AH4105" s="80"/>
      <c r="AI4105" s="147"/>
      <c r="AJ4105" s="80"/>
      <c r="AK4105" s="80"/>
      <c r="AL4105" s="35"/>
      <c r="AM4105" s="35"/>
      <c r="AN4105" s="35"/>
      <c r="AO4105" s="35"/>
      <c r="AP4105" s="35"/>
    </row>
    <row r="4106" spans="1:42" x14ac:dyDescent="0.2">
      <c r="A4106" s="38">
        <v>45604</v>
      </c>
      <c r="B4106" s="137" t="s">
        <v>37</v>
      </c>
      <c r="C4106" s="41" t="s">
        <v>118</v>
      </c>
      <c r="D4106" s="80" t="s">
        <v>36</v>
      </c>
      <c r="E4106" s="80" t="s">
        <v>139</v>
      </c>
      <c r="F4106" s="80" t="s">
        <v>12799</v>
      </c>
      <c r="G4106" s="80" t="s">
        <v>108</v>
      </c>
      <c r="H4106" s="80" t="s">
        <v>14429</v>
      </c>
      <c r="I4106" s="17">
        <f ca="1">IFERROR(__xludf.DUMMYFUNCTION("""COMPUTED_VALUE"""),45615)</f>
        <v>45615</v>
      </c>
      <c r="J4106" s="143" t="s">
        <v>14577</v>
      </c>
      <c r="K4106" s="80" t="s">
        <v>14578</v>
      </c>
      <c r="L4106" s="30">
        <v>989843009</v>
      </c>
      <c r="M4106" s="80" t="s">
        <v>123</v>
      </c>
      <c r="N4106" s="80" t="s">
        <v>2847</v>
      </c>
      <c r="O4106" s="80" t="s">
        <v>4503</v>
      </c>
      <c r="P4106" s="80" t="s">
        <v>3487</v>
      </c>
      <c r="Q4106" s="20">
        <v>15936</v>
      </c>
      <c r="R4106" s="80" t="s">
        <v>70</v>
      </c>
      <c r="S4106" s="95">
        <f>200+2700</f>
        <v>2900</v>
      </c>
      <c r="T4106" s="83" t="s">
        <v>14579</v>
      </c>
      <c r="U4106" s="95">
        <v>12936</v>
      </c>
      <c r="V4106" s="148">
        <v>45593</v>
      </c>
      <c r="W4106" s="85" t="s">
        <v>14580</v>
      </c>
      <c r="X4106" s="80"/>
      <c r="Y4106" s="22">
        <v>100</v>
      </c>
      <c r="Z4106" s="80" t="s">
        <v>50</v>
      </c>
      <c r="AA4106" s="86"/>
      <c r="AB4106" s="80"/>
      <c r="AC4106" s="80" t="s">
        <v>53</v>
      </c>
      <c r="AD4106" s="80" t="s">
        <v>138</v>
      </c>
      <c r="AE4106" s="80" t="s">
        <v>12799</v>
      </c>
      <c r="AF4106" s="17">
        <v>45615</v>
      </c>
      <c r="AG4106" s="80"/>
      <c r="AH4106" s="80"/>
      <c r="AI4106" s="147"/>
      <c r="AJ4106" s="80"/>
      <c r="AK4106" s="80"/>
      <c r="AL4106" s="35"/>
      <c r="AM4106" s="35"/>
      <c r="AN4106" s="35"/>
      <c r="AO4106" s="35"/>
      <c r="AP4106" s="35"/>
    </row>
    <row r="4107" spans="1:42" x14ac:dyDescent="0.2">
      <c r="A4107" s="38">
        <v>45604</v>
      </c>
      <c r="B4107" s="137" t="s">
        <v>37</v>
      </c>
      <c r="C4107" s="41" t="s">
        <v>118</v>
      </c>
      <c r="D4107" s="80" t="s">
        <v>36</v>
      </c>
      <c r="E4107" s="80" t="s">
        <v>139</v>
      </c>
      <c r="F4107" s="80" t="s">
        <v>12870</v>
      </c>
      <c r="G4107" s="80" t="s">
        <v>108</v>
      </c>
      <c r="H4107" s="80" t="s">
        <v>14038</v>
      </c>
      <c r="I4107" s="17">
        <f ca="1">IFERROR(__xludf.DUMMYFUNCTION("""COMPUTED_VALUE"""),45621)</f>
        <v>45621</v>
      </c>
      <c r="J4107" s="143" t="s">
        <v>14581</v>
      </c>
      <c r="K4107" s="80" t="s">
        <v>14582</v>
      </c>
      <c r="L4107" s="30">
        <v>338997368</v>
      </c>
      <c r="M4107" s="80" t="s">
        <v>59</v>
      </c>
      <c r="N4107" s="80" t="s">
        <v>9287</v>
      </c>
      <c r="O4107" s="80" t="s">
        <v>14583</v>
      </c>
      <c r="P4107" s="80" t="s">
        <v>14584</v>
      </c>
      <c r="Q4107" s="20">
        <v>15936</v>
      </c>
      <c r="R4107" s="80" t="s">
        <v>36</v>
      </c>
      <c r="S4107" s="95">
        <f>200+2000+5000</f>
        <v>7200</v>
      </c>
      <c r="T4107" s="83" t="s">
        <v>14585</v>
      </c>
      <c r="U4107" s="95">
        <v>8736</v>
      </c>
      <c r="V4107" s="148">
        <v>45582</v>
      </c>
      <c r="W4107" s="85" t="s">
        <v>14586</v>
      </c>
      <c r="X4107" s="80"/>
      <c r="Y4107" s="22">
        <v>0</v>
      </c>
      <c r="Z4107" s="80" t="s">
        <v>50</v>
      </c>
      <c r="AA4107" s="82"/>
      <c r="AB4107" s="80"/>
      <c r="AC4107" s="80" t="s">
        <v>53</v>
      </c>
      <c r="AD4107" s="80" t="s">
        <v>54</v>
      </c>
      <c r="AE4107" s="80" t="s">
        <v>12870</v>
      </c>
      <c r="AF4107" s="17">
        <v>45615</v>
      </c>
      <c r="AG4107" s="80"/>
      <c r="AH4107" s="80"/>
      <c r="AI4107" s="147"/>
      <c r="AJ4107" s="80"/>
      <c r="AK4107" s="80"/>
      <c r="AL4107" s="35"/>
      <c r="AM4107" s="35"/>
      <c r="AN4107" s="35"/>
      <c r="AO4107" s="35"/>
      <c r="AP4107" s="35"/>
    </row>
    <row r="4108" spans="1:42" x14ac:dyDescent="0.2">
      <c r="A4108" s="38">
        <v>45604</v>
      </c>
      <c r="B4108" s="137" t="s">
        <v>37</v>
      </c>
      <c r="C4108" s="41" t="s">
        <v>118</v>
      </c>
      <c r="D4108" s="80" t="s">
        <v>36</v>
      </c>
      <c r="E4108" s="80" t="s">
        <v>139</v>
      </c>
      <c r="F4108" s="80" t="s">
        <v>11845</v>
      </c>
      <c r="G4108" s="26" t="s">
        <v>108</v>
      </c>
      <c r="H4108" s="80" t="s">
        <v>14342</v>
      </c>
      <c r="I4108" s="17">
        <f ca="1">IFERROR(__xludf.DUMMYFUNCTION("""COMPUTED_VALUE"""),45611)</f>
        <v>45611</v>
      </c>
      <c r="J4108" s="143" t="s">
        <v>14587</v>
      </c>
      <c r="K4108" s="80" t="s">
        <v>14588</v>
      </c>
      <c r="L4108" s="30">
        <v>796442191</v>
      </c>
      <c r="M4108" s="80" t="s">
        <v>5518</v>
      </c>
      <c r="N4108" s="80" t="s">
        <v>253</v>
      </c>
      <c r="O4108" s="80" t="s">
        <v>14589</v>
      </c>
      <c r="P4108" s="80" t="s">
        <v>5462</v>
      </c>
      <c r="Q4108" s="20">
        <v>15936</v>
      </c>
      <c r="R4108" s="80" t="s">
        <v>70</v>
      </c>
      <c r="S4108" s="95">
        <v>2000</v>
      </c>
      <c r="T4108" s="170">
        <v>45545</v>
      </c>
      <c r="U4108" s="95">
        <v>13836</v>
      </c>
      <c r="V4108" s="148">
        <v>45569</v>
      </c>
      <c r="W4108" s="85" t="s">
        <v>14590</v>
      </c>
      <c r="X4108" s="80"/>
      <c r="Y4108" s="22">
        <v>100</v>
      </c>
      <c r="Z4108" s="80" t="s">
        <v>50</v>
      </c>
      <c r="AA4108" s="86"/>
      <c r="AB4108" s="80"/>
      <c r="AC4108" s="80" t="s">
        <v>53</v>
      </c>
      <c r="AD4108" s="80" t="s">
        <v>138</v>
      </c>
      <c r="AE4108" s="80" t="s">
        <v>11845</v>
      </c>
      <c r="AF4108" s="17">
        <v>45611</v>
      </c>
      <c r="AG4108" s="80"/>
      <c r="AH4108" s="80"/>
      <c r="AI4108" s="147"/>
      <c r="AJ4108" s="80"/>
      <c r="AK4108" s="80"/>
      <c r="AL4108" s="35"/>
      <c r="AM4108" s="35"/>
      <c r="AN4108" s="35"/>
      <c r="AO4108" s="35"/>
      <c r="AP4108" s="35"/>
    </row>
    <row r="4109" spans="1:42" x14ac:dyDescent="0.2">
      <c r="A4109" s="38">
        <v>45604</v>
      </c>
      <c r="B4109" s="137" t="s">
        <v>37</v>
      </c>
      <c r="C4109" s="41" t="s">
        <v>118</v>
      </c>
      <c r="D4109" s="80" t="s">
        <v>36</v>
      </c>
      <c r="E4109" s="80" t="s">
        <v>139</v>
      </c>
      <c r="F4109" s="80" t="s">
        <v>11747</v>
      </c>
      <c r="G4109" s="26" t="s">
        <v>108</v>
      </c>
      <c r="H4109" s="80" t="s">
        <v>13600</v>
      </c>
      <c r="I4109" s="17">
        <f ca="1">IFERROR(__xludf.DUMMYFUNCTION("""COMPUTED_VALUE"""),45607)</f>
        <v>45607</v>
      </c>
      <c r="J4109" s="143" t="s">
        <v>14591</v>
      </c>
      <c r="K4109" s="80" t="s">
        <v>14592</v>
      </c>
      <c r="L4109" s="30">
        <v>343682461</v>
      </c>
      <c r="M4109" s="80" t="s">
        <v>123</v>
      </c>
      <c r="N4109" s="80" t="s">
        <v>2847</v>
      </c>
      <c r="O4109" s="80" t="s">
        <v>4503</v>
      </c>
      <c r="P4109" s="80" t="s">
        <v>14593</v>
      </c>
      <c r="Q4109" s="20">
        <v>15936</v>
      </c>
      <c r="R4109" s="80" t="s">
        <v>36</v>
      </c>
      <c r="S4109" s="95">
        <f>100+1900</f>
        <v>2000</v>
      </c>
      <c r="T4109" s="83" t="s">
        <v>14594</v>
      </c>
      <c r="U4109" s="95">
        <f>13836+100</f>
        <v>13936</v>
      </c>
      <c r="V4109" s="83" t="s">
        <v>14595</v>
      </c>
      <c r="W4109" s="85" t="s">
        <v>14596</v>
      </c>
      <c r="X4109" s="80"/>
      <c r="Y4109" s="22">
        <v>0</v>
      </c>
      <c r="Z4109" s="80" t="s">
        <v>50</v>
      </c>
      <c r="AA4109" s="82"/>
      <c r="AB4109" s="80"/>
      <c r="AC4109" s="80" t="s">
        <v>53</v>
      </c>
      <c r="AD4109" s="80" t="s">
        <v>138</v>
      </c>
      <c r="AE4109" s="80" t="s">
        <v>11747</v>
      </c>
      <c r="AF4109" s="43">
        <v>45607</v>
      </c>
      <c r="AG4109" s="80"/>
      <c r="AH4109" s="80"/>
      <c r="AI4109" s="147"/>
      <c r="AJ4109" s="80"/>
      <c r="AK4109" s="80"/>
      <c r="AL4109" s="35"/>
      <c r="AM4109" s="35"/>
      <c r="AN4109" s="35"/>
      <c r="AO4109" s="35"/>
      <c r="AP4109" s="35"/>
    </row>
    <row r="4110" spans="1:42" x14ac:dyDescent="0.2">
      <c r="A4110" s="38">
        <v>45604</v>
      </c>
      <c r="B4110" s="137" t="s">
        <v>37</v>
      </c>
      <c r="C4110" s="41" t="s">
        <v>118</v>
      </c>
      <c r="D4110" s="26" t="s">
        <v>36</v>
      </c>
      <c r="E4110" s="26" t="s">
        <v>56</v>
      </c>
      <c r="F4110" s="26" t="s">
        <v>4087</v>
      </c>
      <c r="G4110" s="26" t="s">
        <v>108</v>
      </c>
      <c r="H4110" s="80" t="s">
        <v>14200</v>
      </c>
      <c r="I4110" s="17">
        <f ca="1">IFERROR(__xludf.DUMMYFUNCTION("""COMPUTED_VALUE"""),45607)</f>
        <v>45607</v>
      </c>
      <c r="J4110" s="29" t="s">
        <v>4088</v>
      </c>
      <c r="K4110" s="26" t="s">
        <v>4089</v>
      </c>
      <c r="L4110" s="30">
        <v>862613804</v>
      </c>
      <c r="M4110" s="26" t="s">
        <v>3288</v>
      </c>
      <c r="N4110" s="26" t="s">
        <v>200</v>
      </c>
      <c r="O4110" s="26" t="s">
        <v>91</v>
      </c>
      <c r="P4110" s="42" t="s">
        <v>14597</v>
      </c>
      <c r="Q4110" s="20">
        <v>9317</v>
      </c>
      <c r="R4110" s="26" t="s">
        <v>36</v>
      </c>
      <c r="S4110" s="31">
        <v>9317</v>
      </c>
      <c r="T4110" s="32">
        <v>45203</v>
      </c>
      <c r="U4110" s="31"/>
      <c r="V4110" s="26"/>
      <c r="W4110" s="33" t="s">
        <v>4091</v>
      </c>
      <c r="X4110" s="26"/>
      <c r="Y4110" s="22">
        <v>0</v>
      </c>
      <c r="Z4110" s="26" t="s">
        <v>50</v>
      </c>
      <c r="AA4110" s="19" t="s">
        <v>3454</v>
      </c>
      <c r="AB4110" s="26" t="s">
        <v>104</v>
      </c>
      <c r="AC4110" s="26" t="s">
        <v>53</v>
      </c>
      <c r="AD4110" s="19" t="s">
        <v>54</v>
      </c>
      <c r="AE4110" s="26" t="s">
        <v>4087</v>
      </c>
      <c r="AF4110" s="17">
        <v>45607</v>
      </c>
      <c r="AG4110" s="26"/>
      <c r="AH4110" s="26"/>
      <c r="AI4110" s="40"/>
      <c r="AJ4110" s="26"/>
      <c r="AK4110" s="26"/>
      <c r="AL4110" s="35"/>
      <c r="AM4110" s="35"/>
      <c r="AN4110" s="35"/>
      <c r="AO4110" s="35"/>
      <c r="AP4110" s="35"/>
    </row>
    <row r="4111" spans="1:42" x14ac:dyDescent="0.2">
      <c r="A4111" s="38">
        <v>45604</v>
      </c>
      <c r="B4111" s="137" t="s">
        <v>37</v>
      </c>
      <c r="C4111" s="41" t="s">
        <v>118</v>
      </c>
      <c r="D4111" s="80" t="s">
        <v>36</v>
      </c>
      <c r="E4111" s="80" t="s">
        <v>139</v>
      </c>
      <c r="F4111" s="80" t="s">
        <v>12799</v>
      </c>
      <c r="G4111" s="80" t="s">
        <v>108</v>
      </c>
      <c r="H4111" s="80" t="s">
        <v>14429</v>
      </c>
      <c r="I4111" s="17">
        <f ca="1">IFERROR(__xludf.DUMMYFUNCTION("""COMPUTED_VALUE"""),45615)</f>
        <v>45615</v>
      </c>
      <c r="J4111" s="143" t="s">
        <v>14598</v>
      </c>
      <c r="K4111" s="80" t="s">
        <v>14599</v>
      </c>
      <c r="L4111" s="30">
        <v>398386514</v>
      </c>
      <c r="M4111" s="80" t="s">
        <v>910</v>
      </c>
      <c r="N4111" s="80" t="s">
        <v>3525</v>
      </c>
      <c r="O4111" s="80" t="s">
        <v>91</v>
      </c>
      <c r="P4111" s="80" t="s">
        <v>12578</v>
      </c>
      <c r="Q4111" s="20">
        <v>15936</v>
      </c>
      <c r="R4111" s="80" t="s">
        <v>36</v>
      </c>
      <c r="S4111" s="95">
        <v>2000</v>
      </c>
      <c r="T4111" s="148">
        <v>45555</v>
      </c>
      <c r="U4111" s="95">
        <v>13936</v>
      </c>
      <c r="V4111" s="148">
        <v>45575</v>
      </c>
      <c r="W4111" s="85" t="s">
        <v>14600</v>
      </c>
      <c r="X4111" s="80"/>
      <c r="Y4111" s="22">
        <v>0</v>
      </c>
      <c r="Z4111" s="80" t="s">
        <v>50</v>
      </c>
      <c r="AA4111" s="82"/>
      <c r="AB4111" s="80"/>
      <c r="AC4111" s="80" t="s">
        <v>53</v>
      </c>
      <c r="AD4111" s="80" t="s">
        <v>138</v>
      </c>
      <c r="AE4111" s="80" t="s">
        <v>12799</v>
      </c>
      <c r="AF4111" s="17">
        <v>45615</v>
      </c>
      <c r="AG4111" s="80"/>
      <c r="AH4111" s="80"/>
      <c r="AI4111" s="147"/>
      <c r="AJ4111" s="80"/>
      <c r="AK4111" s="80"/>
      <c r="AL4111" s="35"/>
      <c r="AM4111" s="35"/>
      <c r="AN4111" s="35"/>
      <c r="AO4111" s="35"/>
      <c r="AP4111" s="35"/>
    </row>
    <row r="4112" spans="1:42" x14ac:dyDescent="0.2">
      <c r="A4112" s="38">
        <v>45604</v>
      </c>
      <c r="B4112" s="137" t="s">
        <v>37</v>
      </c>
      <c r="C4112" s="41" t="s">
        <v>118</v>
      </c>
      <c r="D4112" s="80" t="s">
        <v>36</v>
      </c>
      <c r="E4112" s="80" t="s">
        <v>139</v>
      </c>
      <c r="F4112" s="80" t="s">
        <v>12799</v>
      </c>
      <c r="G4112" s="80" t="s">
        <v>108</v>
      </c>
      <c r="H4112" s="80" t="s">
        <v>14601</v>
      </c>
      <c r="I4112" s="17" t="str">
        <f ca="1">IFERROR(__xludf.DUMMYFUNCTION("""COMPUTED_VALUE""")," ")</f>
        <v xml:space="preserve"> </v>
      </c>
      <c r="J4112" s="143" t="s">
        <v>14602</v>
      </c>
      <c r="K4112" s="80" t="s">
        <v>14603</v>
      </c>
      <c r="L4112" s="30">
        <v>362506576</v>
      </c>
      <c r="M4112" s="80" t="s">
        <v>123</v>
      </c>
      <c r="N4112" s="80" t="s">
        <v>327</v>
      </c>
      <c r="O4112" s="80" t="s">
        <v>4503</v>
      </c>
      <c r="P4112" s="80" t="s">
        <v>14604</v>
      </c>
      <c r="Q4112" s="20">
        <v>15936</v>
      </c>
      <c r="R4112" s="80" t="s">
        <v>36</v>
      </c>
      <c r="S4112" s="95">
        <v>2000</v>
      </c>
      <c r="T4112" s="148">
        <v>45521</v>
      </c>
      <c r="U4112" s="95">
        <f>6936+7000</f>
        <v>13936</v>
      </c>
      <c r="V4112" s="148">
        <v>45583</v>
      </c>
      <c r="W4112" s="85" t="s">
        <v>14605</v>
      </c>
      <c r="X4112" s="80"/>
      <c r="Y4112" s="22">
        <v>0</v>
      </c>
      <c r="Z4112" s="80" t="s">
        <v>50</v>
      </c>
      <c r="AA4112" s="86"/>
      <c r="AB4112" s="80"/>
      <c r="AC4112" s="80" t="s">
        <v>53</v>
      </c>
      <c r="AD4112" s="80" t="s">
        <v>54</v>
      </c>
      <c r="AE4112" s="80" t="s">
        <v>12799</v>
      </c>
      <c r="AF4112" s="17">
        <v>45615</v>
      </c>
      <c r="AG4112" s="80"/>
      <c r="AH4112" s="80"/>
      <c r="AI4112" s="147"/>
      <c r="AJ4112" s="80"/>
      <c r="AK4112" s="80"/>
      <c r="AL4112" s="35"/>
      <c r="AM4112" s="35"/>
      <c r="AN4112" s="35"/>
      <c r="AO4112" s="35"/>
      <c r="AP4112" s="35"/>
    </row>
    <row r="4113" spans="1:42" x14ac:dyDescent="0.2">
      <c r="A4113" s="38">
        <v>45604</v>
      </c>
      <c r="B4113" s="137" t="s">
        <v>37</v>
      </c>
      <c r="C4113" s="41" t="s">
        <v>118</v>
      </c>
      <c r="D4113" s="80" t="s">
        <v>36</v>
      </c>
      <c r="E4113" s="80" t="s">
        <v>139</v>
      </c>
      <c r="F4113" s="80" t="s">
        <v>12799</v>
      </c>
      <c r="G4113" s="80" t="s">
        <v>108</v>
      </c>
      <c r="H4113" s="80" t="s">
        <v>14606</v>
      </c>
      <c r="I4113" s="17" t="str">
        <f ca="1">IFERROR(__xludf.DUMMYFUNCTION("""COMPUTED_VALUE""")," ")</f>
        <v xml:space="preserve"> </v>
      </c>
      <c r="J4113" s="172" t="s">
        <v>14607</v>
      </c>
      <c r="K4113" s="80" t="s">
        <v>14608</v>
      </c>
      <c r="L4113" s="30">
        <v>565812545</v>
      </c>
      <c r="M4113" s="80" t="s">
        <v>5429</v>
      </c>
      <c r="N4113" s="80" t="s">
        <v>11095</v>
      </c>
      <c r="O4113" s="80" t="s">
        <v>6822</v>
      </c>
      <c r="P4113" s="80" t="s">
        <v>12597</v>
      </c>
      <c r="Q4113" s="20">
        <v>15936</v>
      </c>
      <c r="R4113" s="80" t="s">
        <v>1106</v>
      </c>
      <c r="S4113" s="95">
        <v>2000</v>
      </c>
      <c r="T4113" s="148">
        <v>45551</v>
      </c>
      <c r="U4113" s="95">
        <v>13786</v>
      </c>
      <c r="V4113" s="148">
        <v>45604</v>
      </c>
      <c r="W4113" s="85" t="s">
        <v>14609</v>
      </c>
      <c r="X4113" s="80"/>
      <c r="Y4113" s="22">
        <v>150</v>
      </c>
      <c r="Z4113" s="26" t="s">
        <v>118</v>
      </c>
      <c r="AA4113" s="82"/>
      <c r="AB4113" s="80"/>
      <c r="AC4113" s="80" t="s">
        <v>53</v>
      </c>
      <c r="AD4113" s="80" t="s">
        <v>138</v>
      </c>
      <c r="AE4113" s="80" t="s">
        <v>12799</v>
      </c>
      <c r="AF4113" s="17">
        <v>45615</v>
      </c>
      <c r="AG4113" s="80"/>
      <c r="AH4113" s="80"/>
      <c r="AI4113" s="147"/>
      <c r="AJ4113" s="80"/>
      <c r="AK4113" s="80"/>
      <c r="AL4113" s="35"/>
      <c r="AM4113" s="35"/>
      <c r="AN4113" s="35"/>
      <c r="AO4113" s="35"/>
      <c r="AP4113" s="35"/>
    </row>
    <row r="4114" spans="1:42" x14ac:dyDescent="0.2">
      <c r="A4114" s="38">
        <v>45604</v>
      </c>
      <c r="B4114" s="137" t="s">
        <v>37</v>
      </c>
      <c r="C4114" s="41" t="s">
        <v>118</v>
      </c>
      <c r="D4114" s="80" t="s">
        <v>36</v>
      </c>
      <c r="E4114" s="80" t="s">
        <v>56</v>
      </c>
      <c r="F4114" s="80" t="s">
        <v>12799</v>
      </c>
      <c r="G4114" s="80" t="s">
        <v>108</v>
      </c>
      <c r="H4114" s="80" t="s">
        <v>14429</v>
      </c>
      <c r="I4114" s="17">
        <f ca="1">IFERROR(__xludf.DUMMYFUNCTION("""COMPUTED_VALUE"""),45615)</f>
        <v>45615</v>
      </c>
      <c r="J4114" s="143" t="s">
        <v>14610</v>
      </c>
      <c r="K4114" s="80" t="s">
        <v>14611</v>
      </c>
      <c r="L4114" s="30">
        <v>384843468</v>
      </c>
      <c r="M4114" s="80" t="s">
        <v>5429</v>
      </c>
      <c r="N4114" s="80" t="s">
        <v>1384</v>
      </c>
      <c r="O4114" s="80" t="s">
        <v>14612</v>
      </c>
      <c r="P4114" s="80" t="s">
        <v>7107</v>
      </c>
      <c r="Q4114" s="20">
        <v>9317</v>
      </c>
      <c r="R4114" s="80" t="s">
        <v>70</v>
      </c>
      <c r="S4114" s="95">
        <f>200+2000</f>
        <v>2200</v>
      </c>
      <c r="T4114" s="83" t="s">
        <v>14571</v>
      </c>
      <c r="U4114" s="95">
        <v>7117</v>
      </c>
      <c r="V4114" s="148">
        <v>45587</v>
      </c>
      <c r="W4114" s="85" t="s">
        <v>14613</v>
      </c>
      <c r="X4114" s="80"/>
      <c r="Y4114" s="22">
        <v>0</v>
      </c>
      <c r="Z4114" s="80" t="s">
        <v>50</v>
      </c>
      <c r="AA4114" s="86"/>
      <c r="AB4114" s="80"/>
      <c r="AC4114" s="80" t="s">
        <v>53</v>
      </c>
      <c r="AD4114" s="80" t="s">
        <v>138</v>
      </c>
      <c r="AE4114" s="80" t="s">
        <v>12799</v>
      </c>
      <c r="AF4114" s="17">
        <v>45615</v>
      </c>
      <c r="AG4114" s="80"/>
      <c r="AH4114" s="80"/>
      <c r="AI4114" s="147"/>
      <c r="AJ4114" s="80"/>
      <c r="AK4114" s="80"/>
      <c r="AL4114" s="35"/>
      <c r="AM4114" s="35"/>
      <c r="AN4114" s="35"/>
      <c r="AO4114" s="35"/>
      <c r="AP4114" s="35"/>
    </row>
    <row r="4115" spans="1:42" x14ac:dyDescent="0.2">
      <c r="A4115" s="38">
        <v>45604</v>
      </c>
      <c r="B4115" s="137" t="s">
        <v>37</v>
      </c>
      <c r="C4115" s="41" t="s">
        <v>118</v>
      </c>
      <c r="D4115" s="80" t="s">
        <v>36</v>
      </c>
      <c r="E4115" s="80" t="s">
        <v>56</v>
      </c>
      <c r="F4115" s="80" t="s">
        <v>12799</v>
      </c>
      <c r="G4115" s="80" t="s">
        <v>108</v>
      </c>
      <c r="H4115" s="80" t="s">
        <v>14614</v>
      </c>
      <c r="I4115" s="17" t="str">
        <f ca="1">IFERROR(__xludf.DUMMYFUNCTION("""COMPUTED_VALUE""")," ")</f>
        <v xml:space="preserve"> </v>
      </c>
      <c r="J4115" s="143" t="s">
        <v>14615</v>
      </c>
      <c r="K4115" s="80" t="s">
        <v>14616</v>
      </c>
      <c r="L4115" s="30">
        <v>384191466</v>
      </c>
      <c r="M4115" s="80" t="s">
        <v>59</v>
      </c>
      <c r="N4115" s="80" t="s">
        <v>10947</v>
      </c>
      <c r="O4115" s="80" t="s">
        <v>14617</v>
      </c>
      <c r="P4115" s="80" t="s">
        <v>12687</v>
      </c>
      <c r="Q4115" s="20">
        <v>9317</v>
      </c>
      <c r="R4115" s="80" t="s">
        <v>36</v>
      </c>
      <c r="S4115" s="95">
        <v>2000</v>
      </c>
      <c r="T4115" s="148">
        <v>45553</v>
      </c>
      <c r="U4115" s="95">
        <v>7317</v>
      </c>
      <c r="V4115" s="148">
        <v>45566</v>
      </c>
      <c r="W4115" s="85" t="s">
        <v>14618</v>
      </c>
      <c r="X4115" s="80"/>
      <c r="Y4115" s="22">
        <v>0</v>
      </c>
      <c r="Z4115" s="80" t="s">
        <v>50</v>
      </c>
      <c r="AA4115" s="82"/>
      <c r="AB4115" s="80"/>
      <c r="AC4115" s="80" t="s">
        <v>53</v>
      </c>
      <c r="AD4115" s="80" t="s">
        <v>138</v>
      </c>
      <c r="AE4115" s="80" t="s">
        <v>12799</v>
      </c>
      <c r="AF4115" s="17">
        <v>45615</v>
      </c>
      <c r="AG4115" s="80"/>
      <c r="AH4115" s="80"/>
      <c r="AI4115" s="147"/>
      <c r="AJ4115" s="80"/>
      <c r="AK4115" s="80"/>
      <c r="AL4115" s="35"/>
      <c r="AM4115" s="35"/>
      <c r="AN4115" s="35"/>
      <c r="AO4115" s="35"/>
      <c r="AP4115" s="35"/>
    </row>
    <row r="4116" spans="1:42" x14ac:dyDescent="0.2">
      <c r="A4116" s="38">
        <v>45604</v>
      </c>
      <c r="B4116" s="137" t="s">
        <v>37</v>
      </c>
      <c r="C4116" s="41" t="s">
        <v>118</v>
      </c>
      <c r="D4116" s="80" t="s">
        <v>36</v>
      </c>
      <c r="E4116" s="80" t="s">
        <v>56</v>
      </c>
      <c r="F4116" s="80" t="s">
        <v>12799</v>
      </c>
      <c r="G4116" s="80" t="s">
        <v>108</v>
      </c>
      <c r="H4116" s="80" t="s">
        <v>14429</v>
      </c>
      <c r="I4116" s="17">
        <f ca="1">IFERROR(__xludf.DUMMYFUNCTION("""COMPUTED_VALUE"""),45615)</f>
        <v>45615</v>
      </c>
      <c r="J4116" s="143" t="s">
        <v>14619</v>
      </c>
      <c r="K4116" s="80" t="s">
        <v>14620</v>
      </c>
      <c r="L4116" s="30">
        <v>866974902</v>
      </c>
      <c r="M4116" s="80" t="s">
        <v>45</v>
      </c>
      <c r="N4116" s="80" t="s">
        <v>299</v>
      </c>
      <c r="O4116" s="80" t="s">
        <v>14621</v>
      </c>
      <c r="P4116" s="80" t="s">
        <v>7743</v>
      </c>
      <c r="Q4116" s="20">
        <v>9317</v>
      </c>
      <c r="R4116" s="80" t="s">
        <v>36</v>
      </c>
      <c r="S4116" s="95">
        <v>2000</v>
      </c>
      <c r="T4116" s="148">
        <v>45557</v>
      </c>
      <c r="U4116" s="95">
        <v>7317</v>
      </c>
      <c r="V4116" s="148">
        <v>45575</v>
      </c>
      <c r="W4116" s="85" t="s">
        <v>14622</v>
      </c>
      <c r="X4116" s="80"/>
      <c r="Y4116" s="22">
        <v>0</v>
      </c>
      <c r="Z4116" s="80" t="s">
        <v>50</v>
      </c>
      <c r="AA4116" s="86"/>
      <c r="AB4116" s="80"/>
      <c r="AC4116" s="80" t="s">
        <v>53</v>
      </c>
      <c r="AD4116" s="80" t="s">
        <v>138</v>
      </c>
      <c r="AE4116" s="80" t="s">
        <v>12799</v>
      </c>
      <c r="AF4116" s="17">
        <v>45615</v>
      </c>
      <c r="AG4116" s="80"/>
      <c r="AH4116" s="80"/>
      <c r="AI4116" s="147"/>
      <c r="AJ4116" s="80"/>
      <c r="AK4116" s="80"/>
      <c r="AL4116" s="35"/>
      <c r="AM4116" s="35"/>
      <c r="AN4116" s="35"/>
      <c r="AO4116" s="35"/>
      <c r="AP4116" s="35"/>
    </row>
    <row r="4117" spans="1:42" x14ac:dyDescent="0.2">
      <c r="A4117" s="38">
        <v>45604</v>
      </c>
      <c r="B4117" s="137" t="s">
        <v>37</v>
      </c>
      <c r="C4117" s="41" t="s">
        <v>118</v>
      </c>
      <c r="D4117" s="80" t="s">
        <v>36</v>
      </c>
      <c r="E4117" s="80" t="s">
        <v>139</v>
      </c>
      <c r="F4117" s="80" t="s">
        <v>11747</v>
      </c>
      <c r="G4117" s="80" t="s">
        <v>108</v>
      </c>
      <c r="H4117" s="80" t="s">
        <v>14387</v>
      </c>
      <c r="I4117" s="17">
        <f ca="1">IFERROR(__xludf.DUMMYFUNCTION("""COMPUTED_VALUE"""),45615)</f>
        <v>45615</v>
      </c>
      <c r="J4117" s="143" t="s">
        <v>12763</v>
      </c>
      <c r="K4117" s="80" t="s">
        <v>12764</v>
      </c>
      <c r="L4117" s="30">
        <v>856354943</v>
      </c>
      <c r="M4117" s="80" t="s">
        <v>3728</v>
      </c>
      <c r="N4117" s="80" t="s">
        <v>5312</v>
      </c>
      <c r="O4117" s="80" t="s">
        <v>134</v>
      </c>
      <c r="P4117" s="80" t="s">
        <v>11644</v>
      </c>
      <c r="Q4117" s="20">
        <v>15936</v>
      </c>
      <c r="R4117" s="80" t="s">
        <v>36</v>
      </c>
      <c r="S4117" s="95">
        <v>2000</v>
      </c>
      <c r="T4117" s="148">
        <v>45540</v>
      </c>
      <c r="U4117" s="95">
        <v>13936</v>
      </c>
      <c r="V4117" s="148">
        <v>45560</v>
      </c>
      <c r="W4117" s="85" t="s">
        <v>12765</v>
      </c>
      <c r="X4117" s="80">
        <v>0</v>
      </c>
      <c r="Y4117" s="22">
        <v>0</v>
      </c>
      <c r="Z4117" s="80" t="s">
        <v>50</v>
      </c>
      <c r="AA4117" s="96" t="s">
        <v>3291</v>
      </c>
      <c r="AB4117" s="80"/>
      <c r="AC4117" s="80" t="s">
        <v>53</v>
      </c>
      <c r="AD4117" s="80" t="s">
        <v>138</v>
      </c>
      <c r="AE4117" s="80" t="s">
        <v>11747</v>
      </c>
      <c r="AF4117" s="17">
        <v>45615</v>
      </c>
      <c r="AG4117" s="80"/>
      <c r="AH4117" s="80"/>
      <c r="AI4117" s="147" t="s">
        <v>147</v>
      </c>
      <c r="AJ4117" s="80"/>
      <c r="AK4117" s="80"/>
      <c r="AL4117" s="35"/>
      <c r="AM4117" s="35"/>
      <c r="AN4117" s="35"/>
      <c r="AO4117" s="35"/>
      <c r="AP4117" s="35"/>
    </row>
    <row r="4118" spans="1:42" x14ac:dyDescent="0.2">
      <c r="A4118" s="38">
        <v>45604</v>
      </c>
      <c r="B4118" s="137" t="s">
        <v>37</v>
      </c>
      <c r="C4118" s="41" t="s">
        <v>118</v>
      </c>
      <c r="D4118" s="80" t="s">
        <v>36</v>
      </c>
      <c r="E4118" s="80" t="s">
        <v>56</v>
      </c>
      <c r="F4118" s="80" t="s">
        <v>11392</v>
      </c>
      <c r="G4118" s="80" t="s">
        <v>108</v>
      </c>
      <c r="H4118" s="80" t="s">
        <v>14623</v>
      </c>
      <c r="I4118" s="17" t="str">
        <f ca="1">IFERROR(__xludf.DUMMYFUNCTION("""COMPUTED_VALUE""")," ")</f>
        <v xml:space="preserve"> </v>
      </c>
      <c r="J4118" s="143" t="s">
        <v>14624</v>
      </c>
      <c r="K4118" s="80" t="s">
        <v>14625</v>
      </c>
      <c r="L4118" s="30">
        <v>382534604</v>
      </c>
      <c r="M4118" s="80" t="s">
        <v>80</v>
      </c>
      <c r="N4118" s="80" t="s">
        <v>1073</v>
      </c>
      <c r="O4118" s="80" t="s">
        <v>14626</v>
      </c>
      <c r="P4118" s="144" t="s">
        <v>14627</v>
      </c>
      <c r="Q4118" s="20">
        <v>9317</v>
      </c>
      <c r="R4118" s="80" t="s">
        <v>36</v>
      </c>
      <c r="S4118" s="95">
        <f>200+1800</f>
        <v>2000</v>
      </c>
      <c r="T4118" s="83" t="s">
        <v>14628</v>
      </c>
      <c r="U4118" s="95">
        <v>7317</v>
      </c>
      <c r="V4118" s="148">
        <v>45589</v>
      </c>
      <c r="W4118" s="85" t="s">
        <v>14629</v>
      </c>
      <c r="X4118" s="80"/>
      <c r="Y4118" s="22">
        <v>0</v>
      </c>
      <c r="Z4118" s="80" t="s">
        <v>50</v>
      </c>
      <c r="AA4118" s="86"/>
      <c r="AB4118" s="80"/>
      <c r="AC4118" s="80" t="s">
        <v>53</v>
      </c>
      <c r="AD4118" s="80" t="s">
        <v>54</v>
      </c>
      <c r="AE4118" s="80" t="s">
        <v>11392</v>
      </c>
      <c r="AF4118" s="17">
        <v>45605</v>
      </c>
      <c r="AG4118" s="80"/>
      <c r="AH4118" s="80"/>
      <c r="AI4118" s="147"/>
      <c r="AJ4118" s="80"/>
      <c r="AK4118" s="80"/>
      <c r="AL4118" s="35"/>
      <c r="AM4118" s="35"/>
      <c r="AN4118" s="35"/>
      <c r="AO4118" s="35"/>
      <c r="AP4118" s="35"/>
    </row>
    <row r="4119" spans="1:42" x14ac:dyDescent="0.2">
      <c r="A4119" s="38">
        <v>45604</v>
      </c>
      <c r="B4119" s="137" t="s">
        <v>37</v>
      </c>
      <c r="C4119" s="41" t="s">
        <v>118</v>
      </c>
      <c r="D4119" s="80" t="s">
        <v>36</v>
      </c>
      <c r="E4119" s="80" t="s">
        <v>139</v>
      </c>
      <c r="F4119" s="80" t="s">
        <v>11392</v>
      </c>
      <c r="G4119" s="80" t="s">
        <v>108</v>
      </c>
      <c r="H4119" s="80" t="s">
        <v>14210</v>
      </c>
      <c r="I4119" s="17">
        <f ca="1">IFERROR(__xludf.DUMMYFUNCTION("""COMPUTED_VALUE"""),45622)</f>
        <v>45622</v>
      </c>
      <c r="J4119" s="172" t="s">
        <v>14630</v>
      </c>
      <c r="K4119" s="80" t="s">
        <v>14631</v>
      </c>
      <c r="L4119" s="30">
        <v>818319940</v>
      </c>
      <c r="M4119" s="80" t="s">
        <v>59</v>
      </c>
      <c r="N4119" s="80" t="s">
        <v>9301</v>
      </c>
      <c r="O4119" s="80" t="s">
        <v>11668</v>
      </c>
      <c r="P4119" s="144" t="s">
        <v>14632</v>
      </c>
      <c r="Q4119" s="20">
        <v>15936</v>
      </c>
      <c r="R4119" s="80" t="s">
        <v>36</v>
      </c>
      <c r="S4119" s="95">
        <v>15936</v>
      </c>
      <c r="T4119" s="148">
        <v>45530</v>
      </c>
      <c r="U4119" s="77"/>
      <c r="V4119" s="78"/>
      <c r="W4119" s="80" t="s">
        <v>11670</v>
      </c>
      <c r="X4119" s="80">
        <v>0</v>
      </c>
      <c r="Y4119" s="22">
        <v>0</v>
      </c>
      <c r="Z4119" s="80" t="s">
        <v>50</v>
      </c>
      <c r="AA4119" s="96" t="s">
        <v>10314</v>
      </c>
      <c r="AB4119" s="80"/>
      <c r="AC4119" s="80" t="s">
        <v>53</v>
      </c>
      <c r="AD4119" s="80" t="s">
        <v>54</v>
      </c>
      <c r="AE4119" s="80" t="s">
        <v>11392</v>
      </c>
      <c r="AF4119" s="17">
        <v>45605</v>
      </c>
      <c r="AG4119" s="80"/>
      <c r="AH4119" s="80"/>
      <c r="AI4119" s="147"/>
      <c r="AJ4119" s="80"/>
      <c r="AK4119" s="80"/>
      <c r="AL4119" s="35"/>
      <c r="AM4119" s="35"/>
      <c r="AN4119" s="35"/>
      <c r="AO4119" s="35"/>
      <c r="AP4119" s="35"/>
    </row>
    <row r="4120" spans="1:42" x14ac:dyDescent="0.2">
      <c r="A4120" s="38">
        <v>45604</v>
      </c>
      <c r="B4120" s="137" t="s">
        <v>37</v>
      </c>
      <c r="C4120" s="41" t="s">
        <v>118</v>
      </c>
      <c r="D4120" s="80" t="s">
        <v>36</v>
      </c>
      <c r="E4120" s="80" t="s">
        <v>139</v>
      </c>
      <c r="F4120" s="80" t="s">
        <v>11747</v>
      </c>
      <c r="G4120" s="80" t="s">
        <v>108</v>
      </c>
      <c r="H4120" s="80" t="s">
        <v>14387</v>
      </c>
      <c r="I4120" s="17">
        <f ca="1">IFERROR(__xludf.DUMMYFUNCTION("""COMPUTED_VALUE"""),45615)</f>
        <v>45615</v>
      </c>
      <c r="J4120" s="143" t="s">
        <v>14633</v>
      </c>
      <c r="K4120" s="80" t="s">
        <v>14634</v>
      </c>
      <c r="L4120" s="30">
        <v>968897551</v>
      </c>
      <c r="M4120" s="80" t="s">
        <v>123</v>
      </c>
      <c r="N4120" s="80" t="s">
        <v>186</v>
      </c>
      <c r="O4120" s="80" t="s">
        <v>4503</v>
      </c>
      <c r="P4120" s="80" t="s">
        <v>14635</v>
      </c>
      <c r="Q4120" s="20">
        <v>15936</v>
      </c>
      <c r="R4120" s="80" t="s">
        <v>70</v>
      </c>
      <c r="S4120" s="95">
        <v>3000</v>
      </c>
      <c r="T4120" s="148">
        <v>45550</v>
      </c>
      <c r="U4120" s="95">
        <v>12836</v>
      </c>
      <c r="V4120" s="169">
        <v>45575</v>
      </c>
      <c r="W4120" s="85" t="s">
        <v>14636</v>
      </c>
      <c r="X4120" s="80"/>
      <c r="Y4120" s="22">
        <v>100</v>
      </c>
      <c r="Z4120" s="80" t="s">
        <v>50</v>
      </c>
      <c r="AA4120" s="86"/>
      <c r="AB4120" s="80"/>
      <c r="AC4120" s="80" t="s">
        <v>53</v>
      </c>
      <c r="AD4120" s="80" t="s">
        <v>138</v>
      </c>
      <c r="AE4120" s="80" t="s">
        <v>11747</v>
      </c>
      <c r="AF4120" s="17">
        <v>45615</v>
      </c>
      <c r="AG4120" s="80"/>
      <c r="AH4120" s="80"/>
      <c r="AI4120" s="147"/>
      <c r="AJ4120" s="80"/>
      <c r="AK4120" s="80"/>
      <c r="AL4120" s="35"/>
      <c r="AM4120" s="35"/>
      <c r="AN4120" s="35"/>
      <c r="AO4120" s="35"/>
      <c r="AP4120" s="35"/>
    </row>
    <row r="4121" spans="1:42" x14ac:dyDescent="0.2">
      <c r="A4121" s="38">
        <v>45605</v>
      </c>
      <c r="B4121" s="137" t="s">
        <v>37</v>
      </c>
      <c r="C4121" s="41" t="s">
        <v>118</v>
      </c>
      <c r="D4121" s="80" t="s">
        <v>36</v>
      </c>
      <c r="E4121" s="80" t="s">
        <v>39</v>
      </c>
      <c r="F4121" s="80" t="s">
        <v>12870</v>
      </c>
      <c r="G4121" s="80" t="s">
        <v>108</v>
      </c>
      <c r="H4121" s="80" t="s">
        <v>14637</v>
      </c>
      <c r="I4121" s="17">
        <f ca="1">IFERROR(__xludf.DUMMYFUNCTION("""COMPUTED_VALUE"""),45611)</f>
        <v>45611</v>
      </c>
      <c r="J4121" s="143" t="s">
        <v>13000</v>
      </c>
      <c r="K4121" s="80" t="s">
        <v>13001</v>
      </c>
      <c r="L4121" s="30">
        <v>968922484</v>
      </c>
      <c r="M4121" s="80" t="s">
        <v>348</v>
      </c>
      <c r="N4121" s="80" t="s">
        <v>68</v>
      </c>
      <c r="O4121" s="80" t="s">
        <v>13002</v>
      </c>
      <c r="P4121" s="144" t="s">
        <v>14638</v>
      </c>
      <c r="Q4121" s="20">
        <v>5736</v>
      </c>
      <c r="R4121" s="80" t="s">
        <v>1106</v>
      </c>
      <c r="S4121" s="95">
        <f t="shared" ref="S4121:S4123" si="67">100+5486</f>
        <v>5586</v>
      </c>
      <c r="T4121" s="148">
        <v>45544</v>
      </c>
      <c r="U4121" s="95"/>
      <c r="V4121" s="148">
        <v>45546</v>
      </c>
      <c r="W4121" s="80" t="s">
        <v>13004</v>
      </c>
      <c r="X4121" s="80">
        <v>150</v>
      </c>
      <c r="Y4121" s="22">
        <v>0</v>
      </c>
      <c r="Z4121" s="80" t="s">
        <v>50</v>
      </c>
      <c r="AA4121" s="96" t="s">
        <v>3291</v>
      </c>
      <c r="AB4121" s="80"/>
      <c r="AC4121" s="80" t="s">
        <v>53</v>
      </c>
      <c r="AD4121" s="80" t="s">
        <v>54</v>
      </c>
      <c r="AE4121" s="80" t="s">
        <v>12870</v>
      </c>
      <c r="AF4121" s="17">
        <v>45607</v>
      </c>
      <c r="AG4121" s="80"/>
      <c r="AH4121" s="80"/>
      <c r="AI4121" s="147" t="s">
        <v>55</v>
      </c>
      <c r="AJ4121" s="80"/>
      <c r="AK4121" s="80"/>
      <c r="AL4121" s="35"/>
      <c r="AM4121" s="35"/>
      <c r="AN4121" s="35"/>
      <c r="AO4121" s="35"/>
      <c r="AP4121" s="35"/>
    </row>
    <row r="4122" spans="1:42" x14ac:dyDescent="0.2">
      <c r="A4122" s="38">
        <v>45605</v>
      </c>
      <c r="B4122" s="137" t="s">
        <v>37</v>
      </c>
      <c r="C4122" s="41" t="s">
        <v>118</v>
      </c>
      <c r="D4122" s="80" t="s">
        <v>36</v>
      </c>
      <c r="E4122" s="80" t="s">
        <v>39</v>
      </c>
      <c r="F4122" s="80" t="s">
        <v>12870</v>
      </c>
      <c r="G4122" s="80" t="s">
        <v>108</v>
      </c>
      <c r="H4122" s="80" t="s">
        <v>14637</v>
      </c>
      <c r="I4122" s="17">
        <f ca="1">IFERROR(__xludf.DUMMYFUNCTION("""COMPUTED_VALUE"""),45611)</f>
        <v>45611</v>
      </c>
      <c r="J4122" s="143" t="s">
        <v>13005</v>
      </c>
      <c r="K4122" s="80" t="s">
        <v>13006</v>
      </c>
      <c r="L4122" s="30">
        <v>919055383</v>
      </c>
      <c r="M4122" s="80" t="s">
        <v>59</v>
      </c>
      <c r="N4122" s="80" t="s">
        <v>68</v>
      </c>
      <c r="O4122" s="80" t="s">
        <v>13007</v>
      </c>
      <c r="P4122" s="144" t="s">
        <v>14638</v>
      </c>
      <c r="Q4122" s="20">
        <v>5736</v>
      </c>
      <c r="R4122" s="80" t="s">
        <v>1106</v>
      </c>
      <c r="S4122" s="95">
        <f t="shared" si="67"/>
        <v>5586</v>
      </c>
      <c r="T4122" s="148">
        <v>45544</v>
      </c>
      <c r="U4122" s="95"/>
      <c r="V4122" s="148">
        <v>45546</v>
      </c>
      <c r="W4122" s="80" t="s">
        <v>13009</v>
      </c>
      <c r="X4122" s="80">
        <v>150</v>
      </c>
      <c r="Y4122" s="22">
        <v>0</v>
      </c>
      <c r="Z4122" s="80" t="s">
        <v>50</v>
      </c>
      <c r="AA4122" s="35" t="s">
        <v>3291</v>
      </c>
      <c r="AB4122" s="80"/>
      <c r="AC4122" s="80" t="s">
        <v>53</v>
      </c>
      <c r="AD4122" s="80" t="s">
        <v>54</v>
      </c>
      <c r="AE4122" s="80" t="s">
        <v>12870</v>
      </c>
      <c r="AF4122" s="17">
        <v>45607</v>
      </c>
      <c r="AG4122" s="80"/>
      <c r="AH4122" s="80"/>
      <c r="AI4122" s="147" t="s">
        <v>55</v>
      </c>
      <c r="AJ4122" s="80"/>
      <c r="AK4122" s="80"/>
      <c r="AL4122" s="35"/>
      <c r="AM4122" s="35"/>
      <c r="AN4122" s="35"/>
      <c r="AO4122" s="35"/>
      <c r="AP4122" s="35"/>
    </row>
    <row r="4123" spans="1:42" x14ac:dyDescent="0.2">
      <c r="A4123" s="38">
        <v>45605</v>
      </c>
      <c r="B4123" s="137" t="s">
        <v>37</v>
      </c>
      <c r="C4123" s="41" t="s">
        <v>118</v>
      </c>
      <c r="D4123" s="80" t="s">
        <v>36</v>
      </c>
      <c r="E4123" s="80" t="s">
        <v>39</v>
      </c>
      <c r="F4123" s="80" t="s">
        <v>12870</v>
      </c>
      <c r="G4123" s="80" t="s">
        <v>108</v>
      </c>
      <c r="H4123" s="80" t="s">
        <v>14637</v>
      </c>
      <c r="I4123" s="17">
        <f ca="1">IFERROR(__xludf.DUMMYFUNCTION("""COMPUTED_VALUE"""),45611)</f>
        <v>45611</v>
      </c>
      <c r="J4123" s="143" t="s">
        <v>13010</v>
      </c>
      <c r="K4123" s="80" t="s">
        <v>13011</v>
      </c>
      <c r="L4123" s="30">
        <v>977034507</v>
      </c>
      <c r="M4123" s="80" t="s">
        <v>59</v>
      </c>
      <c r="N4123" s="80" t="s">
        <v>68</v>
      </c>
      <c r="O4123" s="80" t="s">
        <v>13012</v>
      </c>
      <c r="P4123" s="144" t="s">
        <v>14639</v>
      </c>
      <c r="Q4123" s="20">
        <v>5736</v>
      </c>
      <c r="R4123" s="80" t="s">
        <v>1106</v>
      </c>
      <c r="S4123" s="95">
        <f t="shared" si="67"/>
        <v>5586</v>
      </c>
      <c r="T4123" s="148">
        <v>45544</v>
      </c>
      <c r="U4123" s="95"/>
      <c r="V4123" s="148">
        <v>45546</v>
      </c>
      <c r="W4123" s="80" t="s">
        <v>13014</v>
      </c>
      <c r="X4123" s="80">
        <v>150</v>
      </c>
      <c r="Y4123" s="22">
        <v>0</v>
      </c>
      <c r="Z4123" s="80" t="s">
        <v>50</v>
      </c>
      <c r="AA4123" s="96" t="s">
        <v>3291</v>
      </c>
      <c r="AB4123" s="80"/>
      <c r="AC4123" s="80" t="s">
        <v>53</v>
      </c>
      <c r="AD4123" s="80" t="s">
        <v>54</v>
      </c>
      <c r="AE4123" s="80" t="s">
        <v>12870</v>
      </c>
      <c r="AF4123" s="17">
        <v>45607</v>
      </c>
      <c r="AG4123" s="80"/>
      <c r="AH4123" s="80"/>
      <c r="AI4123" s="147" t="s">
        <v>55</v>
      </c>
      <c r="AJ4123" s="80"/>
      <c r="AK4123" s="80"/>
      <c r="AL4123" s="35"/>
      <c r="AM4123" s="35"/>
      <c r="AN4123" s="35"/>
      <c r="AO4123" s="35"/>
      <c r="AP4123" s="35"/>
    </row>
    <row r="4124" spans="1:42" x14ac:dyDescent="0.2">
      <c r="A4124" s="38">
        <v>45605</v>
      </c>
      <c r="B4124" s="137" t="s">
        <v>37</v>
      </c>
      <c r="C4124" s="41" t="s">
        <v>118</v>
      </c>
      <c r="D4124" s="80" t="s">
        <v>36</v>
      </c>
      <c r="E4124" s="80" t="s">
        <v>139</v>
      </c>
      <c r="F4124" s="80" t="s">
        <v>12870</v>
      </c>
      <c r="G4124" s="80" t="s">
        <v>108</v>
      </c>
      <c r="H4124" s="80" t="s">
        <v>14637</v>
      </c>
      <c r="I4124" s="17">
        <f ca="1">IFERROR(__xludf.DUMMYFUNCTION("""COMPUTED_VALUE"""),45611)</f>
        <v>45611</v>
      </c>
      <c r="J4124" s="143" t="s">
        <v>14640</v>
      </c>
      <c r="K4124" s="80" t="s">
        <v>14641</v>
      </c>
      <c r="L4124" s="30">
        <v>945715066</v>
      </c>
      <c r="M4124" s="80" t="s">
        <v>123</v>
      </c>
      <c r="N4124" s="80" t="s">
        <v>2847</v>
      </c>
      <c r="O4124" s="80" t="s">
        <v>4503</v>
      </c>
      <c r="P4124" s="144" t="s">
        <v>14642</v>
      </c>
      <c r="Q4124" s="20">
        <v>15936</v>
      </c>
      <c r="R4124" s="80" t="s">
        <v>36</v>
      </c>
      <c r="S4124" s="95">
        <f>200+3000</f>
        <v>3200</v>
      </c>
      <c r="T4124" s="83" t="s">
        <v>14643</v>
      </c>
      <c r="U4124" s="95">
        <v>12736</v>
      </c>
      <c r="V4124" s="148">
        <v>45545</v>
      </c>
      <c r="W4124" s="85" t="s">
        <v>14644</v>
      </c>
      <c r="X4124" s="80"/>
      <c r="Y4124" s="22">
        <v>0</v>
      </c>
      <c r="Z4124" s="80" t="s">
        <v>50</v>
      </c>
      <c r="AA4124" s="86"/>
      <c r="AB4124" s="80"/>
      <c r="AC4124" s="80" t="s">
        <v>53</v>
      </c>
      <c r="AD4124" s="80" t="s">
        <v>54</v>
      </c>
      <c r="AE4124" s="80" t="s">
        <v>12870</v>
      </c>
      <c r="AF4124" s="17">
        <v>45607</v>
      </c>
      <c r="AG4124" s="80"/>
      <c r="AH4124" s="80"/>
      <c r="AI4124" s="147"/>
      <c r="AJ4124" s="80"/>
      <c r="AK4124" s="80"/>
      <c r="AL4124" s="35"/>
      <c r="AM4124" s="35"/>
      <c r="AN4124" s="35"/>
      <c r="AO4124" s="35"/>
      <c r="AP4124" s="35"/>
    </row>
    <row r="4125" spans="1:42" x14ac:dyDescent="0.2">
      <c r="A4125" s="38">
        <v>45605</v>
      </c>
      <c r="B4125" s="137" t="s">
        <v>37</v>
      </c>
      <c r="C4125" s="41" t="s">
        <v>118</v>
      </c>
      <c r="D4125" s="80" t="s">
        <v>36</v>
      </c>
      <c r="E4125" s="80" t="s">
        <v>56</v>
      </c>
      <c r="F4125" s="80" t="s">
        <v>12870</v>
      </c>
      <c r="G4125" s="80" t="s">
        <v>108</v>
      </c>
      <c r="H4125" s="80" t="s">
        <v>14637</v>
      </c>
      <c r="I4125" s="17">
        <f ca="1">IFERROR(__xludf.DUMMYFUNCTION("""COMPUTED_VALUE"""),45611)</f>
        <v>45611</v>
      </c>
      <c r="J4125" s="143" t="s">
        <v>14645</v>
      </c>
      <c r="K4125" s="80" t="s">
        <v>14646</v>
      </c>
      <c r="L4125" s="30">
        <v>987451396</v>
      </c>
      <c r="M4125" s="80" t="s">
        <v>5429</v>
      </c>
      <c r="N4125" s="80" t="s">
        <v>81</v>
      </c>
      <c r="O4125" s="80" t="s">
        <v>14647</v>
      </c>
      <c r="P4125" s="144" t="s">
        <v>14648</v>
      </c>
      <c r="Q4125" s="20">
        <v>9317</v>
      </c>
      <c r="R4125" s="80" t="s">
        <v>36</v>
      </c>
      <c r="S4125" s="95">
        <v>2000</v>
      </c>
      <c r="T4125" s="148">
        <v>45542</v>
      </c>
      <c r="U4125" s="95">
        <v>7317</v>
      </c>
      <c r="V4125" s="148">
        <v>45575</v>
      </c>
      <c r="W4125" s="85" t="s">
        <v>14649</v>
      </c>
      <c r="X4125" s="26"/>
      <c r="Y4125" s="22">
        <v>0</v>
      </c>
      <c r="Z4125" s="26" t="s">
        <v>50</v>
      </c>
      <c r="AA4125" s="96"/>
      <c r="AB4125" s="26"/>
      <c r="AC4125" s="26"/>
      <c r="AD4125" s="80" t="s">
        <v>54</v>
      </c>
      <c r="AE4125" s="80" t="s">
        <v>12870</v>
      </c>
      <c r="AF4125" s="17">
        <v>45607</v>
      </c>
      <c r="AG4125" s="26"/>
      <c r="AH4125" s="26"/>
      <c r="AI4125" s="40"/>
      <c r="AJ4125" s="26"/>
      <c r="AK4125" s="26"/>
      <c r="AL4125" s="35"/>
      <c r="AM4125" s="35"/>
      <c r="AN4125" s="35"/>
      <c r="AO4125" s="35"/>
      <c r="AP4125" s="35"/>
    </row>
    <row r="4126" spans="1:42" x14ac:dyDescent="0.2">
      <c r="A4126" s="38">
        <v>45605</v>
      </c>
      <c r="B4126" s="137" t="s">
        <v>37</v>
      </c>
      <c r="C4126" s="41" t="s">
        <v>118</v>
      </c>
      <c r="D4126" s="80" t="s">
        <v>36</v>
      </c>
      <c r="E4126" s="80" t="s">
        <v>56</v>
      </c>
      <c r="F4126" s="80" t="s">
        <v>12870</v>
      </c>
      <c r="G4126" s="80" t="s">
        <v>108</v>
      </c>
      <c r="H4126" s="80" t="s">
        <v>14637</v>
      </c>
      <c r="I4126" s="17">
        <f ca="1">IFERROR(__xludf.DUMMYFUNCTION("""COMPUTED_VALUE"""),45611)</f>
        <v>45611</v>
      </c>
      <c r="J4126" s="143" t="s">
        <v>14650</v>
      </c>
      <c r="K4126" s="80" t="s">
        <v>14651</v>
      </c>
      <c r="L4126" s="30">
        <v>905956179</v>
      </c>
      <c r="M4126" s="80" t="s">
        <v>348</v>
      </c>
      <c r="N4126" s="80" t="s">
        <v>68</v>
      </c>
      <c r="O4126" s="80" t="s">
        <v>11399</v>
      </c>
      <c r="P4126" s="144" t="s">
        <v>14652</v>
      </c>
      <c r="Q4126" s="20">
        <v>9317</v>
      </c>
      <c r="R4126" s="80" t="s">
        <v>36</v>
      </c>
      <c r="S4126" s="95">
        <v>2000</v>
      </c>
      <c r="T4126" s="148">
        <v>45541</v>
      </c>
      <c r="U4126" s="95">
        <v>7317</v>
      </c>
      <c r="V4126" s="148">
        <v>45566</v>
      </c>
      <c r="W4126" s="85" t="s">
        <v>14653</v>
      </c>
      <c r="X4126" s="80"/>
      <c r="Y4126" s="22">
        <v>0</v>
      </c>
      <c r="Z4126" s="80" t="s">
        <v>50</v>
      </c>
      <c r="AA4126" s="86"/>
      <c r="AB4126" s="80"/>
      <c r="AC4126" s="80" t="s">
        <v>53</v>
      </c>
      <c r="AD4126" s="80" t="s">
        <v>54</v>
      </c>
      <c r="AE4126" s="80" t="s">
        <v>12870</v>
      </c>
      <c r="AF4126" s="17">
        <v>45607</v>
      </c>
      <c r="AG4126" s="80"/>
      <c r="AH4126" s="80"/>
      <c r="AI4126" s="147"/>
      <c r="AJ4126" s="80"/>
      <c r="AK4126" s="80"/>
      <c r="AL4126" s="35"/>
      <c r="AM4126" s="35"/>
      <c r="AN4126" s="35"/>
      <c r="AO4126" s="35"/>
      <c r="AP4126" s="35"/>
    </row>
    <row r="4127" spans="1:42" x14ac:dyDescent="0.2">
      <c r="A4127" s="38">
        <v>45605</v>
      </c>
      <c r="B4127" s="137" t="s">
        <v>37</v>
      </c>
      <c r="C4127" s="41" t="s">
        <v>118</v>
      </c>
      <c r="D4127" s="80" t="s">
        <v>36</v>
      </c>
      <c r="E4127" s="80" t="s">
        <v>139</v>
      </c>
      <c r="F4127" s="80" t="s">
        <v>12870</v>
      </c>
      <c r="G4127" s="80" t="s">
        <v>108</v>
      </c>
      <c r="H4127" s="80" t="s">
        <v>12857</v>
      </c>
      <c r="I4127" s="17">
        <f ca="1">IFERROR(__xludf.DUMMYFUNCTION("""COMPUTED_VALUE"""),45611)</f>
        <v>45611</v>
      </c>
      <c r="J4127" s="143" t="s">
        <v>14654</v>
      </c>
      <c r="K4127" s="80" t="s">
        <v>14655</v>
      </c>
      <c r="L4127" s="30">
        <v>385986006</v>
      </c>
      <c r="M4127" s="80" t="s">
        <v>80</v>
      </c>
      <c r="N4127" s="80" t="s">
        <v>1073</v>
      </c>
      <c r="O4127" s="80" t="s">
        <v>14656</v>
      </c>
      <c r="P4127" s="144" t="s">
        <v>14657</v>
      </c>
      <c r="Q4127" s="20">
        <v>15936</v>
      </c>
      <c r="R4127" s="80" t="s">
        <v>36</v>
      </c>
      <c r="S4127" s="95">
        <f>200+1800</f>
        <v>2000</v>
      </c>
      <c r="T4127" s="83" t="s">
        <v>14658</v>
      </c>
      <c r="U4127" s="95">
        <v>13936</v>
      </c>
      <c r="V4127" s="148">
        <v>45586</v>
      </c>
      <c r="W4127" s="85" t="s">
        <v>14659</v>
      </c>
      <c r="X4127" s="80"/>
      <c r="Y4127" s="22">
        <v>0</v>
      </c>
      <c r="Z4127" s="80" t="s">
        <v>50</v>
      </c>
      <c r="AA4127" s="82"/>
      <c r="AB4127" s="80"/>
      <c r="AC4127" s="80" t="s">
        <v>53</v>
      </c>
      <c r="AD4127" s="80" t="s">
        <v>54</v>
      </c>
      <c r="AE4127" s="80" t="s">
        <v>12870</v>
      </c>
      <c r="AF4127" s="17">
        <v>45607</v>
      </c>
      <c r="AG4127" s="80"/>
      <c r="AH4127" s="80"/>
      <c r="AI4127" s="147"/>
      <c r="AJ4127" s="80"/>
      <c r="AK4127" s="80"/>
      <c r="AL4127" s="35"/>
      <c r="AM4127" s="35"/>
      <c r="AN4127" s="35"/>
      <c r="AO4127" s="35"/>
      <c r="AP4127" s="35"/>
    </row>
    <row r="4128" spans="1:42" x14ac:dyDescent="0.2">
      <c r="A4128" s="38">
        <v>45605</v>
      </c>
      <c r="B4128" s="137" t="s">
        <v>37</v>
      </c>
      <c r="C4128" s="41" t="s">
        <v>118</v>
      </c>
      <c r="D4128" s="80" t="s">
        <v>36</v>
      </c>
      <c r="E4128" s="80" t="s">
        <v>56</v>
      </c>
      <c r="F4128" s="80" t="s">
        <v>11845</v>
      </c>
      <c r="G4128" s="26" t="s">
        <v>108</v>
      </c>
      <c r="H4128" s="80" t="s">
        <v>14342</v>
      </c>
      <c r="I4128" s="17">
        <f ca="1">IFERROR(__xludf.DUMMYFUNCTION("""COMPUTED_VALUE"""),45611)</f>
        <v>45611</v>
      </c>
      <c r="J4128" s="143" t="s">
        <v>14660</v>
      </c>
      <c r="K4128" s="80" t="s">
        <v>14661</v>
      </c>
      <c r="L4128" s="30">
        <v>332708454</v>
      </c>
      <c r="M4128" s="80" t="s">
        <v>9422</v>
      </c>
      <c r="N4128" s="80" t="s">
        <v>1232</v>
      </c>
      <c r="O4128" s="80" t="s">
        <v>14662</v>
      </c>
      <c r="P4128" s="80" t="s">
        <v>14663</v>
      </c>
      <c r="Q4128" s="20">
        <v>9317</v>
      </c>
      <c r="R4128" s="80" t="s">
        <v>36</v>
      </c>
      <c r="S4128" s="95">
        <v>2000</v>
      </c>
      <c r="T4128" s="148">
        <v>45545</v>
      </c>
      <c r="U4128" s="95">
        <v>7317</v>
      </c>
      <c r="V4128" s="78">
        <v>45572</v>
      </c>
      <c r="W4128" s="85" t="s">
        <v>14664</v>
      </c>
      <c r="X4128" s="80"/>
      <c r="Y4128" s="22">
        <v>0</v>
      </c>
      <c r="Z4128" s="80" t="s">
        <v>50</v>
      </c>
      <c r="AA4128" s="86"/>
      <c r="AB4128" s="80"/>
      <c r="AC4128" s="80" t="s">
        <v>53</v>
      </c>
      <c r="AD4128" s="80" t="s">
        <v>138</v>
      </c>
      <c r="AE4128" s="80" t="s">
        <v>11845</v>
      </c>
      <c r="AF4128" s="17">
        <v>45611</v>
      </c>
      <c r="AG4128" s="80"/>
      <c r="AH4128" s="80"/>
      <c r="AI4128" s="147"/>
      <c r="AJ4128" s="80"/>
      <c r="AK4128" s="80"/>
      <c r="AL4128" s="35"/>
      <c r="AM4128" s="35"/>
      <c r="AN4128" s="35"/>
      <c r="AO4128" s="35"/>
      <c r="AP4128" s="35"/>
    </row>
    <row r="4129" spans="1:42" x14ac:dyDescent="0.2">
      <c r="A4129" s="38">
        <v>45605</v>
      </c>
      <c r="B4129" s="137" t="s">
        <v>37</v>
      </c>
      <c r="C4129" s="41" t="s">
        <v>118</v>
      </c>
      <c r="D4129" s="80" t="s">
        <v>36</v>
      </c>
      <c r="E4129" s="80" t="s">
        <v>139</v>
      </c>
      <c r="F4129" s="80" t="s">
        <v>11595</v>
      </c>
      <c r="G4129" s="26" t="s">
        <v>108</v>
      </c>
      <c r="H4129" s="80" t="s">
        <v>14542</v>
      </c>
      <c r="I4129" s="17">
        <f ca="1">IFERROR(__xludf.DUMMYFUNCTION("""COMPUTED_VALUE"""),45610)</f>
        <v>45610</v>
      </c>
      <c r="J4129" s="143" t="s">
        <v>14665</v>
      </c>
      <c r="K4129" s="80" t="s">
        <v>14666</v>
      </c>
      <c r="L4129" s="30">
        <v>865414606</v>
      </c>
      <c r="M4129" s="80" t="s">
        <v>80</v>
      </c>
      <c r="N4129" s="80" t="s">
        <v>1073</v>
      </c>
      <c r="O4129" s="80" t="s">
        <v>14667</v>
      </c>
      <c r="P4129" s="80" t="s">
        <v>2641</v>
      </c>
      <c r="Q4129" s="20">
        <v>15936</v>
      </c>
      <c r="R4129" s="80" t="s">
        <v>36</v>
      </c>
      <c r="S4129" s="95">
        <f t="shared" ref="S4129:S4130" si="68">200+1800</f>
        <v>2000</v>
      </c>
      <c r="T4129" s="83" t="s">
        <v>14668</v>
      </c>
      <c r="U4129" s="95">
        <v>13936</v>
      </c>
      <c r="V4129" s="148">
        <v>45571</v>
      </c>
      <c r="W4129" s="85" t="s">
        <v>14669</v>
      </c>
      <c r="X4129" s="80"/>
      <c r="Y4129" s="22">
        <v>0</v>
      </c>
      <c r="Z4129" s="80" t="s">
        <v>50</v>
      </c>
      <c r="AA4129" s="82"/>
      <c r="AB4129" s="80"/>
      <c r="AC4129" s="80" t="s">
        <v>53</v>
      </c>
      <c r="AD4129" s="80" t="s">
        <v>54</v>
      </c>
      <c r="AE4129" s="80" t="s">
        <v>11595</v>
      </c>
      <c r="AF4129" s="17">
        <v>45610</v>
      </c>
      <c r="AG4129" s="80" t="s">
        <v>14541</v>
      </c>
      <c r="AH4129" s="143" t="s">
        <v>14670</v>
      </c>
      <c r="AI4129" s="147"/>
      <c r="AJ4129" s="80"/>
      <c r="AK4129" s="80"/>
      <c r="AL4129" s="35"/>
      <c r="AM4129" s="35"/>
      <c r="AN4129" s="35"/>
      <c r="AO4129" s="35"/>
      <c r="AP4129" s="35"/>
    </row>
    <row r="4130" spans="1:42" x14ac:dyDescent="0.2">
      <c r="A4130" s="38">
        <v>45605</v>
      </c>
      <c r="B4130" s="137" t="s">
        <v>37</v>
      </c>
      <c r="C4130" s="41" t="s">
        <v>118</v>
      </c>
      <c r="D4130" s="80" t="s">
        <v>36</v>
      </c>
      <c r="E4130" s="80" t="s">
        <v>139</v>
      </c>
      <c r="F4130" s="80" t="s">
        <v>11595</v>
      </c>
      <c r="G4130" s="26" t="s">
        <v>108</v>
      </c>
      <c r="H4130" s="80" t="s">
        <v>14542</v>
      </c>
      <c r="I4130" s="17">
        <f ca="1">IFERROR(__xludf.DUMMYFUNCTION("""COMPUTED_VALUE"""),45610)</f>
        <v>45610</v>
      </c>
      <c r="J4130" s="143" t="s">
        <v>14671</v>
      </c>
      <c r="K4130" s="80" t="s">
        <v>14672</v>
      </c>
      <c r="L4130" s="30">
        <v>357186051</v>
      </c>
      <c r="M4130" s="80" t="s">
        <v>80</v>
      </c>
      <c r="N4130" s="80" t="s">
        <v>186</v>
      </c>
      <c r="O4130" s="80" t="s">
        <v>14673</v>
      </c>
      <c r="P4130" s="80" t="s">
        <v>2641</v>
      </c>
      <c r="Q4130" s="20">
        <v>15936</v>
      </c>
      <c r="R4130" s="80" t="s">
        <v>36</v>
      </c>
      <c r="S4130" s="95">
        <f t="shared" si="68"/>
        <v>2000</v>
      </c>
      <c r="T4130" s="83" t="s">
        <v>14674</v>
      </c>
      <c r="U4130" s="95">
        <v>13936</v>
      </c>
      <c r="V4130" s="148">
        <v>45583</v>
      </c>
      <c r="W4130" s="85" t="s">
        <v>14675</v>
      </c>
      <c r="X4130" s="80"/>
      <c r="Y4130" s="22">
        <v>0</v>
      </c>
      <c r="Z4130" s="80" t="s">
        <v>50</v>
      </c>
      <c r="AA4130" s="86"/>
      <c r="AB4130" s="80"/>
      <c r="AC4130" s="80" t="s">
        <v>53</v>
      </c>
      <c r="AD4130" s="80" t="s">
        <v>138</v>
      </c>
      <c r="AE4130" s="80" t="s">
        <v>11595</v>
      </c>
      <c r="AF4130" s="17">
        <v>45610</v>
      </c>
      <c r="AG4130" s="80" t="s">
        <v>14541</v>
      </c>
      <c r="AH4130" s="80"/>
      <c r="AI4130" s="147"/>
      <c r="AJ4130" s="80"/>
      <c r="AK4130" s="80"/>
      <c r="AL4130" s="35"/>
      <c r="AM4130" s="35"/>
      <c r="AN4130" s="35"/>
      <c r="AO4130" s="35"/>
      <c r="AP4130" s="35"/>
    </row>
    <row r="4131" spans="1:42" x14ac:dyDescent="0.2">
      <c r="A4131" s="38">
        <v>45605</v>
      </c>
      <c r="B4131" s="137" t="s">
        <v>37</v>
      </c>
      <c r="C4131" s="41" t="s">
        <v>118</v>
      </c>
      <c r="D4131" s="80" t="s">
        <v>36</v>
      </c>
      <c r="E4131" s="80" t="s">
        <v>139</v>
      </c>
      <c r="F4131" s="80" t="s">
        <v>11595</v>
      </c>
      <c r="G4131" s="26" t="s">
        <v>108</v>
      </c>
      <c r="H4131" s="80" t="s">
        <v>14542</v>
      </c>
      <c r="I4131" s="17">
        <f ca="1">IFERROR(__xludf.DUMMYFUNCTION("""COMPUTED_VALUE"""),45610)</f>
        <v>45610</v>
      </c>
      <c r="J4131" s="143" t="s">
        <v>14676</v>
      </c>
      <c r="K4131" s="80" t="s">
        <v>14677</v>
      </c>
      <c r="L4131" s="30">
        <v>965438781</v>
      </c>
      <c r="M4131" s="80" t="s">
        <v>80</v>
      </c>
      <c r="N4131" s="80" t="s">
        <v>1073</v>
      </c>
      <c r="O4131" s="80" t="s">
        <v>14678</v>
      </c>
      <c r="P4131" s="80" t="s">
        <v>2641</v>
      </c>
      <c r="Q4131" s="20">
        <v>15936</v>
      </c>
      <c r="R4131" s="80" t="s">
        <v>36</v>
      </c>
      <c r="S4131" s="95">
        <f>500+1500</f>
        <v>2000</v>
      </c>
      <c r="T4131" s="83" t="s">
        <v>14679</v>
      </c>
      <c r="U4131" s="95">
        <v>13936</v>
      </c>
      <c r="V4131" s="148">
        <v>45569</v>
      </c>
      <c r="W4131" s="85" t="s">
        <v>14680</v>
      </c>
      <c r="X4131" s="80"/>
      <c r="Y4131" s="22">
        <v>0</v>
      </c>
      <c r="Z4131" s="80" t="s">
        <v>50</v>
      </c>
      <c r="AA4131" s="82"/>
      <c r="AB4131" s="80"/>
      <c r="AC4131" s="80" t="s">
        <v>53</v>
      </c>
      <c r="AD4131" s="80" t="s">
        <v>54</v>
      </c>
      <c r="AE4131" s="80" t="s">
        <v>11595</v>
      </c>
      <c r="AF4131" s="17">
        <v>45610</v>
      </c>
      <c r="AG4131" s="80" t="s">
        <v>14541</v>
      </c>
      <c r="AH4131" s="80"/>
      <c r="AI4131" s="147"/>
      <c r="AJ4131" s="80"/>
      <c r="AK4131" s="80"/>
      <c r="AL4131" s="35"/>
      <c r="AM4131" s="35"/>
      <c r="AN4131" s="35"/>
      <c r="AO4131" s="35"/>
      <c r="AP4131" s="35"/>
    </row>
    <row r="4132" spans="1:42" x14ac:dyDescent="0.2">
      <c r="A4132" s="38">
        <v>45605</v>
      </c>
      <c r="B4132" s="137" t="s">
        <v>37</v>
      </c>
      <c r="C4132" s="41" t="s">
        <v>118</v>
      </c>
      <c r="D4132" s="80" t="s">
        <v>36</v>
      </c>
      <c r="E4132" s="80" t="s">
        <v>139</v>
      </c>
      <c r="F4132" s="80" t="s">
        <v>11595</v>
      </c>
      <c r="G4132" s="26" t="s">
        <v>108</v>
      </c>
      <c r="H4132" s="80" t="s">
        <v>9970</v>
      </c>
      <c r="I4132" s="17">
        <f ca="1">IFERROR(__xludf.DUMMYFUNCTION("""COMPUTED_VALUE"""),45714)</f>
        <v>45714</v>
      </c>
      <c r="J4132" s="143" t="s">
        <v>14681</v>
      </c>
      <c r="K4132" s="80" t="s">
        <v>14682</v>
      </c>
      <c r="L4132" s="30">
        <v>943475525</v>
      </c>
      <c r="M4132" s="80" t="s">
        <v>80</v>
      </c>
      <c r="N4132" s="80" t="s">
        <v>1073</v>
      </c>
      <c r="O4132" s="80" t="s">
        <v>14683</v>
      </c>
      <c r="P4132" s="80" t="s">
        <v>2641</v>
      </c>
      <c r="Q4132" s="20">
        <v>15936</v>
      </c>
      <c r="R4132" s="80" t="s">
        <v>36</v>
      </c>
      <c r="S4132" s="95">
        <f>200+1800</f>
        <v>2000</v>
      </c>
      <c r="T4132" s="83" t="s">
        <v>14684</v>
      </c>
      <c r="U4132" s="95">
        <v>13936</v>
      </c>
      <c r="V4132" s="148">
        <v>45573</v>
      </c>
      <c r="W4132" s="85" t="s">
        <v>14685</v>
      </c>
      <c r="X4132" s="80"/>
      <c r="Y4132" s="22">
        <v>0</v>
      </c>
      <c r="Z4132" s="80" t="s">
        <v>50</v>
      </c>
      <c r="AA4132" s="86"/>
      <c r="AB4132" s="80"/>
      <c r="AC4132" s="80" t="s">
        <v>53</v>
      </c>
      <c r="AD4132" s="80" t="s">
        <v>138</v>
      </c>
      <c r="AE4132" s="80" t="s">
        <v>11595</v>
      </c>
      <c r="AF4132" s="17">
        <v>45610</v>
      </c>
      <c r="AG4132" s="80" t="s">
        <v>14541</v>
      </c>
      <c r="AH4132" s="80"/>
      <c r="AI4132" s="147"/>
      <c r="AJ4132" s="80"/>
      <c r="AK4132" s="80"/>
      <c r="AL4132" s="35"/>
      <c r="AM4132" s="35"/>
      <c r="AN4132" s="35"/>
      <c r="AO4132" s="35"/>
      <c r="AP4132" s="35"/>
    </row>
    <row r="4133" spans="1:42" x14ac:dyDescent="0.2">
      <c r="A4133" s="38">
        <v>45605</v>
      </c>
      <c r="B4133" s="137" t="s">
        <v>37</v>
      </c>
      <c r="C4133" s="41" t="s">
        <v>118</v>
      </c>
      <c r="D4133" s="80" t="s">
        <v>36</v>
      </c>
      <c r="E4133" s="80" t="s">
        <v>56</v>
      </c>
      <c r="F4133" s="80" t="s">
        <v>11595</v>
      </c>
      <c r="G4133" s="26" t="s">
        <v>108</v>
      </c>
      <c r="H4133" s="80" t="s">
        <v>14542</v>
      </c>
      <c r="I4133" s="17">
        <f ca="1">IFERROR(__xludf.DUMMYFUNCTION("""COMPUTED_VALUE"""),45610)</f>
        <v>45610</v>
      </c>
      <c r="J4133" s="143" t="s">
        <v>12917</v>
      </c>
      <c r="K4133" s="80" t="s">
        <v>12918</v>
      </c>
      <c r="L4133" s="30">
        <v>963282713</v>
      </c>
      <c r="M4133" s="80" t="s">
        <v>9422</v>
      </c>
      <c r="N4133" s="80" t="s">
        <v>12670</v>
      </c>
      <c r="O4133" s="80" t="s">
        <v>12919</v>
      </c>
      <c r="P4133" s="80" t="s">
        <v>12920</v>
      </c>
      <c r="Q4133" s="20">
        <v>9317</v>
      </c>
      <c r="R4133" s="80" t="s">
        <v>36</v>
      </c>
      <c r="S4133" s="95">
        <v>9317</v>
      </c>
      <c r="T4133" s="148">
        <v>45544</v>
      </c>
      <c r="U4133" s="77"/>
      <c r="V4133" s="78"/>
      <c r="W4133" s="85" t="s">
        <v>12921</v>
      </c>
      <c r="X4133" s="80">
        <v>0</v>
      </c>
      <c r="Y4133" s="22">
        <v>0</v>
      </c>
      <c r="Z4133" s="80" t="s">
        <v>50</v>
      </c>
      <c r="AA4133" s="96" t="s">
        <v>3291</v>
      </c>
      <c r="AB4133" s="80"/>
      <c r="AC4133" s="80" t="s">
        <v>53</v>
      </c>
      <c r="AD4133" s="80" t="s">
        <v>138</v>
      </c>
      <c r="AE4133" s="80" t="s">
        <v>11595</v>
      </c>
      <c r="AF4133" s="17">
        <v>45610</v>
      </c>
      <c r="AG4133" s="80" t="s">
        <v>14541</v>
      </c>
      <c r="AH4133" s="80"/>
      <c r="AI4133" s="147" t="s">
        <v>64</v>
      </c>
      <c r="AJ4133" s="80"/>
      <c r="AK4133" s="80"/>
      <c r="AL4133" s="35"/>
      <c r="AM4133" s="35"/>
      <c r="AN4133" s="35"/>
      <c r="AO4133" s="35"/>
      <c r="AP4133" s="35"/>
    </row>
    <row r="4134" spans="1:42" x14ac:dyDescent="0.2">
      <c r="A4134" s="38">
        <v>45605</v>
      </c>
      <c r="B4134" s="137" t="s">
        <v>37</v>
      </c>
      <c r="C4134" s="41" t="s">
        <v>118</v>
      </c>
      <c r="D4134" s="80" t="s">
        <v>36</v>
      </c>
      <c r="E4134" s="80" t="s">
        <v>139</v>
      </c>
      <c r="F4134" s="80" t="s">
        <v>11595</v>
      </c>
      <c r="G4134" s="26" t="s">
        <v>108</v>
      </c>
      <c r="H4134" s="80" t="s">
        <v>14542</v>
      </c>
      <c r="I4134" s="17">
        <f ca="1">IFERROR(__xludf.DUMMYFUNCTION("""COMPUTED_VALUE"""),45610)</f>
        <v>45610</v>
      </c>
      <c r="J4134" s="143" t="s">
        <v>14686</v>
      </c>
      <c r="K4134" s="80" t="s">
        <v>14687</v>
      </c>
      <c r="L4134" s="30">
        <v>983331598</v>
      </c>
      <c r="M4134" s="80" t="s">
        <v>80</v>
      </c>
      <c r="N4134" s="80" t="s">
        <v>1073</v>
      </c>
      <c r="O4134" s="80" t="s">
        <v>14688</v>
      </c>
      <c r="P4134" s="80" t="s">
        <v>2641</v>
      </c>
      <c r="Q4134" s="20">
        <v>15936</v>
      </c>
      <c r="R4134" s="80" t="s">
        <v>36</v>
      </c>
      <c r="S4134" s="95">
        <f>200+1800</f>
        <v>2000</v>
      </c>
      <c r="T4134" s="148" t="s">
        <v>14689</v>
      </c>
      <c r="U4134" s="95">
        <f>10000+3936</f>
        <v>13936</v>
      </c>
      <c r="V4134" s="148" t="s">
        <v>14690</v>
      </c>
      <c r="W4134" s="85" t="s">
        <v>14691</v>
      </c>
      <c r="X4134" s="80"/>
      <c r="Y4134" s="22">
        <v>0</v>
      </c>
      <c r="Z4134" s="81" t="s">
        <v>50</v>
      </c>
      <c r="AA4134" s="86"/>
      <c r="AB4134" s="80"/>
      <c r="AC4134" s="80" t="s">
        <v>53</v>
      </c>
      <c r="AD4134" s="80" t="s">
        <v>138</v>
      </c>
      <c r="AE4134" s="80" t="s">
        <v>11595</v>
      </c>
      <c r="AF4134" s="17">
        <v>45610</v>
      </c>
      <c r="AG4134" s="80" t="s">
        <v>14541</v>
      </c>
      <c r="AH4134" s="80"/>
      <c r="AI4134" s="147"/>
      <c r="AJ4134" s="80"/>
      <c r="AK4134" s="80"/>
      <c r="AL4134" s="86"/>
      <c r="AM4134" s="86"/>
      <c r="AN4134" s="86"/>
      <c r="AO4134" s="86"/>
      <c r="AP4134" s="86"/>
    </row>
    <row r="4135" spans="1:42" x14ac:dyDescent="0.2">
      <c r="A4135" s="38">
        <v>45605</v>
      </c>
      <c r="B4135" s="137" t="s">
        <v>37</v>
      </c>
      <c r="C4135" s="41" t="s">
        <v>118</v>
      </c>
      <c r="D4135" s="80" t="s">
        <v>36</v>
      </c>
      <c r="E4135" s="80" t="s">
        <v>139</v>
      </c>
      <c r="F4135" s="80" t="s">
        <v>12870</v>
      </c>
      <c r="G4135" s="80" t="s">
        <v>108</v>
      </c>
      <c r="H4135" s="80" t="s">
        <v>14637</v>
      </c>
      <c r="I4135" s="17">
        <f ca="1">IFERROR(__xludf.DUMMYFUNCTION("""COMPUTED_VALUE"""),45611)</f>
        <v>45611</v>
      </c>
      <c r="J4135" s="143" t="s">
        <v>12871</v>
      </c>
      <c r="K4135" s="80" t="s">
        <v>14692</v>
      </c>
      <c r="L4135" s="30">
        <v>338207435</v>
      </c>
      <c r="M4135" s="80" t="s">
        <v>123</v>
      </c>
      <c r="N4135" s="80" t="s">
        <v>2847</v>
      </c>
      <c r="O4135" s="80" t="s">
        <v>4503</v>
      </c>
      <c r="P4135" s="144" t="s">
        <v>14693</v>
      </c>
      <c r="Q4135" s="20">
        <v>15936</v>
      </c>
      <c r="R4135" s="80" t="s">
        <v>36</v>
      </c>
      <c r="S4135" s="95">
        <v>3000</v>
      </c>
      <c r="T4135" s="148">
        <v>45543</v>
      </c>
      <c r="U4135" s="178">
        <v>12936</v>
      </c>
      <c r="V4135" s="169">
        <v>45564</v>
      </c>
      <c r="W4135" s="85" t="s">
        <v>12874</v>
      </c>
      <c r="X4135" s="80">
        <v>0</v>
      </c>
      <c r="Y4135" s="22">
        <v>0</v>
      </c>
      <c r="Z4135" s="80" t="s">
        <v>50</v>
      </c>
      <c r="AA4135" s="96" t="s">
        <v>3291</v>
      </c>
      <c r="AB4135" s="80"/>
      <c r="AC4135" s="80" t="s">
        <v>53</v>
      </c>
      <c r="AD4135" s="80" t="s">
        <v>138</v>
      </c>
      <c r="AE4135" s="80" t="s">
        <v>12870</v>
      </c>
      <c r="AF4135" s="17">
        <v>45607</v>
      </c>
      <c r="AG4135" s="80"/>
      <c r="AH4135" s="80"/>
      <c r="AI4135" s="147" t="s">
        <v>147</v>
      </c>
      <c r="AJ4135" s="80"/>
      <c r="AK4135" s="80"/>
      <c r="AL4135" s="35"/>
      <c r="AM4135" s="35"/>
      <c r="AN4135" s="35"/>
      <c r="AO4135" s="35"/>
      <c r="AP4135" s="35"/>
    </row>
    <row r="4136" spans="1:42" x14ac:dyDescent="0.2">
      <c r="A4136" s="38">
        <v>45605</v>
      </c>
      <c r="B4136" s="137" t="s">
        <v>37</v>
      </c>
      <c r="C4136" s="41" t="s">
        <v>118</v>
      </c>
      <c r="D4136" s="26" t="s">
        <v>36</v>
      </c>
      <c r="E4136" s="80" t="s">
        <v>56</v>
      </c>
      <c r="F4136" s="26" t="s">
        <v>3285</v>
      </c>
      <c r="G4136" s="26" t="s">
        <v>108</v>
      </c>
      <c r="H4136" s="26" t="s">
        <v>14429</v>
      </c>
      <c r="I4136" s="17">
        <f ca="1">IFERROR(__xludf.DUMMYFUNCTION("""COMPUTED_VALUE"""),45615)</f>
        <v>45615</v>
      </c>
      <c r="J4136" s="29" t="s">
        <v>3286</v>
      </c>
      <c r="K4136" s="26" t="s">
        <v>14694</v>
      </c>
      <c r="L4136" s="30">
        <v>965010104</v>
      </c>
      <c r="M4136" s="80" t="s">
        <v>3288</v>
      </c>
      <c r="N4136" s="80" t="s">
        <v>200</v>
      </c>
      <c r="O4136" s="26" t="s">
        <v>36</v>
      </c>
      <c r="P4136" s="42" t="s">
        <v>14695</v>
      </c>
      <c r="Q4136" s="20">
        <v>3768</v>
      </c>
      <c r="R4136" s="26" t="s">
        <v>36</v>
      </c>
      <c r="S4136" s="95">
        <v>9317</v>
      </c>
      <c r="T4136" s="148">
        <v>45558</v>
      </c>
      <c r="U4136" s="77"/>
      <c r="V4136" s="78"/>
      <c r="W4136" s="85" t="s">
        <v>13470</v>
      </c>
      <c r="X4136" s="80">
        <v>0</v>
      </c>
      <c r="Y4136" s="22">
        <v>0</v>
      </c>
      <c r="Z4136" s="80" t="s">
        <v>50</v>
      </c>
      <c r="AA4136" s="35" t="s">
        <v>3291</v>
      </c>
      <c r="AB4136" s="26" t="s">
        <v>137</v>
      </c>
      <c r="AC4136" s="26" t="s">
        <v>53</v>
      </c>
      <c r="AD4136" s="19" t="s">
        <v>138</v>
      </c>
      <c r="AE4136" s="26" t="s">
        <v>3285</v>
      </c>
      <c r="AF4136" s="17">
        <v>45615</v>
      </c>
      <c r="AG4136" s="26"/>
      <c r="AH4136" s="26"/>
      <c r="AI4136" s="40"/>
      <c r="AJ4136" s="26"/>
      <c r="AK4136" s="26"/>
      <c r="AL4136" s="35"/>
      <c r="AM4136" s="35"/>
      <c r="AN4136" s="35"/>
      <c r="AO4136" s="35"/>
      <c r="AP4136" s="35"/>
    </row>
    <row r="4137" spans="1:42" x14ac:dyDescent="0.2">
      <c r="A4137" s="38">
        <v>45605</v>
      </c>
      <c r="B4137" s="137" t="s">
        <v>37</v>
      </c>
      <c r="C4137" s="41" t="s">
        <v>118</v>
      </c>
      <c r="D4137" s="80" t="s">
        <v>36</v>
      </c>
      <c r="E4137" s="80" t="s">
        <v>56</v>
      </c>
      <c r="F4137" s="80" t="s">
        <v>12799</v>
      </c>
      <c r="G4137" s="26" t="s">
        <v>108</v>
      </c>
      <c r="H4137" s="26" t="s">
        <v>14429</v>
      </c>
      <c r="I4137" s="17">
        <f ca="1">IFERROR(__xludf.DUMMYFUNCTION("""COMPUTED_VALUE"""),45615)</f>
        <v>45615</v>
      </c>
      <c r="J4137" s="143" t="s">
        <v>14696</v>
      </c>
      <c r="K4137" s="80" t="s">
        <v>14697</v>
      </c>
      <c r="L4137" s="30">
        <v>896537311</v>
      </c>
      <c r="M4137" s="80" t="s">
        <v>12720</v>
      </c>
      <c r="N4137" s="80" t="s">
        <v>1073</v>
      </c>
      <c r="O4137" s="80" t="s">
        <v>14698</v>
      </c>
      <c r="P4137" s="80" t="s">
        <v>14699</v>
      </c>
      <c r="Q4137" s="20">
        <v>9317</v>
      </c>
      <c r="R4137" s="80" t="s">
        <v>36</v>
      </c>
      <c r="S4137" s="95">
        <f>200+1800</f>
        <v>2000</v>
      </c>
      <c r="T4137" s="83" t="s">
        <v>14700</v>
      </c>
      <c r="U4137" s="95">
        <v>7317</v>
      </c>
      <c r="V4137" s="148">
        <v>45591</v>
      </c>
      <c r="W4137" s="85" t="s">
        <v>14701</v>
      </c>
      <c r="X4137" s="80"/>
      <c r="Y4137" s="22">
        <v>0</v>
      </c>
      <c r="Z4137" s="80" t="s">
        <v>50</v>
      </c>
      <c r="AA4137" s="82"/>
      <c r="AB4137" s="80"/>
      <c r="AC4137" s="80" t="s">
        <v>53</v>
      </c>
      <c r="AD4137" s="80" t="s">
        <v>138</v>
      </c>
      <c r="AE4137" s="80" t="s">
        <v>12799</v>
      </c>
      <c r="AF4137" s="17">
        <v>45615</v>
      </c>
      <c r="AG4137" s="80"/>
      <c r="AH4137" s="80"/>
      <c r="AI4137" s="147"/>
      <c r="AJ4137" s="80"/>
      <c r="AK4137" s="80"/>
      <c r="AL4137" s="35"/>
      <c r="AM4137" s="35"/>
      <c r="AN4137" s="35"/>
      <c r="AO4137" s="35"/>
      <c r="AP4137" s="35"/>
    </row>
    <row r="4138" spans="1:42" x14ac:dyDescent="0.2">
      <c r="A4138" s="38">
        <v>45607</v>
      </c>
      <c r="B4138" s="137" t="s">
        <v>37</v>
      </c>
      <c r="C4138" s="41" t="s">
        <v>118</v>
      </c>
      <c r="D4138" s="80" t="s">
        <v>36</v>
      </c>
      <c r="E4138" s="80" t="s">
        <v>56</v>
      </c>
      <c r="F4138" s="80" t="s">
        <v>11758</v>
      </c>
      <c r="G4138" s="80" t="s">
        <v>108</v>
      </c>
      <c r="H4138" s="80" t="s">
        <v>14038</v>
      </c>
      <c r="I4138" s="17">
        <f ca="1">IFERROR(__xludf.DUMMYFUNCTION("""COMPUTED_VALUE"""),45621)</f>
        <v>45621</v>
      </c>
      <c r="J4138" s="143" t="s">
        <v>11759</v>
      </c>
      <c r="K4138" s="80" t="s">
        <v>11760</v>
      </c>
      <c r="L4138" s="30">
        <v>344254155</v>
      </c>
      <c r="M4138" s="80" t="s">
        <v>11252</v>
      </c>
      <c r="N4138" s="80" t="s">
        <v>1306</v>
      </c>
      <c r="O4138" s="80" t="s">
        <v>36</v>
      </c>
      <c r="P4138" s="144" t="s">
        <v>14702</v>
      </c>
      <c r="Q4138" s="20">
        <v>9317</v>
      </c>
      <c r="R4138" s="80" t="s">
        <v>36</v>
      </c>
      <c r="S4138" s="95">
        <v>9317</v>
      </c>
      <c r="T4138" s="148">
        <v>45533</v>
      </c>
      <c r="U4138" s="77"/>
      <c r="V4138" s="78"/>
      <c r="W4138" s="85" t="s">
        <v>11762</v>
      </c>
      <c r="X4138" s="80">
        <v>0</v>
      </c>
      <c r="Y4138" s="22">
        <v>0</v>
      </c>
      <c r="Z4138" s="80" t="s">
        <v>50</v>
      </c>
      <c r="AA4138" s="35" t="s">
        <v>10314</v>
      </c>
      <c r="AB4138" s="80"/>
      <c r="AC4138" s="80" t="s">
        <v>53</v>
      </c>
      <c r="AD4138" s="80" t="s">
        <v>54</v>
      </c>
      <c r="AE4138" s="80" t="s">
        <v>11758</v>
      </c>
      <c r="AF4138" s="17">
        <v>45615</v>
      </c>
      <c r="AG4138" s="80"/>
      <c r="AH4138" s="80"/>
      <c r="AI4138" s="147"/>
      <c r="AJ4138" s="80"/>
      <c r="AK4138" s="80"/>
      <c r="AL4138" s="35"/>
      <c r="AM4138" s="35"/>
      <c r="AN4138" s="35"/>
      <c r="AO4138" s="35"/>
      <c r="AP4138" s="35"/>
    </row>
    <row r="4139" spans="1:42" x14ac:dyDescent="0.2">
      <c r="A4139" s="38">
        <v>45607</v>
      </c>
      <c r="B4139" s="137" t="s">
        <v>37</v>
      </c>
      <c r="C4139" s="41" t="s">
        <v>118</v>
      </c>
      <c r="D4139" s="80" t="s">
        <v>36</v>
      </c>
      <c r="E4139" s="80" t="s">
        <v>139</v>
      </c>
      <c r="F4139" s="80" t="s">
        <v>11758</v>
      </c>
      <c r="G4139" s="80" t="s">
        <v>108</v>
      </c>
      <c r="H4139" s="80" t="s">
        <v>14038</v>
      </c>
      <c r="I4139" s="17">
        <f ca="1">IFERROR(__xludf.DUMMYFUNCTION("""COMPUTED_VALUE"""),45621)</f>
        <v>45621</v>
      </c>
      <c r="J4139" s="143" t="s">
        <v>12615</v>
      </c>
      <c r="K4139" s="80" t="s">
        <v>14703</v>
      </c>
      <c r="L4139" s="30">
        <v>348077506</v>
      </c>
      <c r="M4139" s="80" t="s">
        <v>123</v>
      </c>
      <c r="N4139" s="80" t="s">
        <v>327</v>
      </c>
      <c r="O4139" s="80" t="s">
        <v>4503</v>
      </c>
      <c r="P4139" s="144" t="s">
        <v>14704</v>
      </c>
      <c r="Q4139" s="20">
        <v>15936</v>
      </c>
      <c r="R4139" s="80" t="s">
        <v>36</v>
      </c>
      <c r="S4139" s="95">
        <v>2000</v>
      </c>
      <c r="T4139" s="148">
        <v>45535</v>
      </c>
      <c r="U4139" s="95">
        <v>13936</v>
      </c>
      <c r="V4139" s="148">
        <v>45556</v>
      </c>
      <c r="W4139" s="85" t="s">
        <v>12618</v>
      </c>
      <c r="X4139" s="80">
        <v>0</v>
      </c>
      <c r="Y4139" s="22">
        <v>0</v>
      </c>
      <c r="Z4139" s="80" t="s">
        <v>50</v>
      </c>
      <c r="AA4139" s="96" t="s">
        <v>3291</v>
      </c>
      <c r="AB4139" s="80"/>
      <c r="AC4139" s="80" t="s">
        <v>53</v>
      </c>
      <c r="AD4139" s="80" t="s">
        <v>54</v>
      </c>
      <c r="AE4139" s="80" t="s">
        <v>11758</v>
      </c>
      <c r="AF4139" s="17">
        <v>45615</v>
      </c>
      <c r="AG4139" s="80"/>
      <c r="AH4139" s="80"/>
      <c r="AI4139" s="147" t="s">
        <v>147</v>
      </c>
      <c r="AJ4139" s="80"/>
      <c r="AK4139" s="80"/>
      <c r="AL4139" s="35"/>
      <c r="AM4139" s="35"/>
      <c r="AN4139" s="35"/>
      <c r="AO4139" s="35"/>
      <c r="AP4139" s="35"/>
    </row>
    <row r="4140" spans="1:42" x14ac:dyDescent="0.2">
      <c r="A4140" s="38">
        <v>45607</v>
      </c>
      <c r="B4140" s="137" t="s">
        <v>37</v>
      </c>
      <c r="C4140" s="41" t="s">
        <v>118</v>
      </c>
      <c r="D4140" s="80" t="s">
        <v>36</v>
      </c>
      <c r="E4140" s="80" t="s">
        <v>139</v>
      </c>
      <c r="F4140" s="80" t="s">
        <v>11758</v>
      </c>
      <c r="G4140" s="80" t="s">
        <v>108</v>
      </c>
      <c r="H4140" s="80" t="s">
        <v>14038</v>
      </c>
      <c r="I4140" s="17">
        <f ca="1">IFERROR(__xludf.DUMMYFUNCTION("""COMPUTED_VALUE"""),45621)</f>
        <v>45621</v>
      </c>
      <c r="J4140" s="143" t="s">
        <v>12632</v>
      </c>
      <c r="K4140" s="80" t="s">
        <v>14705</v>
      </c>
      <c r="L4140" s="30">
        <v>899989595</v>
      </c>
      <c r="M4140" s="80" t="s">
        <v>123</v>
      </c>
      <c r="N4140" s="80" t="s">
        <v>186</v>
      </c>
      <c r="O4140" s="80" t="s">
        <v>4503</v>
      </c>
      <c r="P4140" s="144" t="s">
        <v>14706</v>
      </c>
      <c r="Q4140" s="20">
        <v>15936</v>
      </c>
      <c r="R4140" s="80" t="s">
        <v>70</v>
      </c>
      <c r="S4140" s="95">
        <v>3000</v>
      </c>
      <c r="T4140" s="148">
        <v>45538</v>
      </c>
      <c r="U4140" s="95">
        <v>12936</v>
      </c>
      <c r="V4140" s="148">
        <v>45551</v>
      </c>
      <c r="W4140" s="85" t="s">
        <v>12635</v>
      </c>
      <c r="X4140" s="83">
        <v>100</v>
      </c>
      <c r="Y4140" s="22">
        <v>-100</v>
      </c>
      <c r="Z4140" s="81" t="s">
        <v>50</v>
      </c>
      <c r="AA4140" s="86" t="s">
        <v>3291</v>
      </c>
      <c r="AB4140" s="80"/>
      <c r="AC4140" s="80" t="s">
        <v>53</v>
      </c>
      <c r="AD4140" s="80" t="s">
        <v>54</v>
      </c>
      <c r="AE4140" s="80" t="s">
        <v>11758</v>
      </c>
      <c r="AF4140" s="17">
        <v>45615</v>
      </c>
      <c r="AG4140" s="80"/>
      <c r="AH4140" s="80"/>
      <c r="AI4140" s="147" t="s">
        <v>147</v>
      </c>
      <c r="AJ4140" s="80"/>
      <c r="AK4140" s="80"/>
      <c r="AL4140" s="86"/>
      <c r="AM4140" s="86"/>
      <c r="AN4140" s="86"/>
      <c r="AO4140" s="86"/>
      <c r="AP4140" s="35"/>
    </row>
    <row r="4141" spans="1:42" x14ac:dyDescent="0.2">
      <c r="A4141" s="38">
        <v>45607</v>
      </c>
      <c r="B4141" s="137" t="s">
        <v>37</v>
      </c>
      <c r="C4141" s="41" t="s">
        <v>118</v>
      </c>
      <c r="D4141" s="80" t="s">
        <v>36</v>
      </c>
      <c r="E4141" s="80" t="s">
        <v>139</v>
      </c>
      <c r="F4141" s="80" t="s">
        <v>11758</v>
      </c>
      <c r="G4141" s="80" t="s">
        <v>108</v>
      </c>
      <c r="H4141" s="80" t="s">
        <v>14038</v>
      </c>
      <c r="I4141" s="17">
        <f ca="1">IFERROR(__xludf.DUMMYFUNCTION("""COMPUTED_VALUE"""),45621)</f>
        <v>45621</v>
      </c>
      <c r="J4141" s="143" t="s">
        <v>14707</v>
      </c>
      <c r="K4141" s="80" t="s">
        <v>14708</v>
      </c>
      <c r="L4141" s="30">
        <v>981962561</v>
      </c>
      <c r="M4141" s="80" t="s">
        <v>2755</v>
      </c>
      <c r="N4141" s="80" t="s">
        <v>4402</v>
      </c>
      <c r="O4141" s="80" t="s">
        <v>4503</v>
      </c>
      <c r="P4141" s="144" t="s">
        <v>14709</v>
      </c>
      <c r="Q4141" s="20">
        <v>15936</v>
      </c>
      <c r="R4141" s="80" t="s">
        <v>36</v>
      </c>
      <c r="S4141" s="95">
        <v>2000</v>
      </c>
      <c r="T4141" s="148">
        <v>45542</v>
      </c>
      <c r="U4141" s="95">
        <v>13936</v>
      </c>
      <c r="V4141" s="148">
        <v>45574</v>
      </c>
      <c r="W4141" s="79" t="s">
        <v>14710</v>
      </c>
      <c r="X4141" s="26"/>
      <c r="Y4141" s="22">
        <v>0</v>
      </c>
      <c r="Z4141" s="26" t="s">
        <v>50</v>
      </c>
      <c r="AA4141" s="96"/>
      <c r="AB4141" s="26"/>
      <c r="AC4141" s="26"/>
      <c r="AD4141" s="26"/>
      <c r="AE4141" s="80" t="s">
        <v>11758</v>
      </c>
      <c r="AF4141" s="17">
        <v>45615</v>
      </c>
      <c r="AG4141" s="26"/>
      <c r="AH4141" s="26"/>
      <c r="AI4141" s="40"/>
      <c r="AJ4141" s="26"/>
      <c r="AK4141" s="26"/>
      <c r="AL4141" s="35"/>
      <c r="AM4141" s="35"/>
      <c r="AN4141" s="35"/>
      <c r="AO4141" s="35"/>
      <c r="AP4141" s="35"/>
    </row>
    <row r="4142" spans="1:42" x14ac:dyDescent="0.2">
      <c r="A4142" s="38">
        <v>45607</v>
      </c>
      <c r="B4142" s="137" t="s">
        <v>37</v>
      </c>
      <c r="C4142" s="41" t="s">
        <v>118</v>
      </c>
      <c r="D4142" s="80" t="s">
        <v>36</v>
      </c>
      <c r="E4142" s="80" t="s">
        <v>39</v>
      </c>
      <c r="F4142" s="80" t="s">
        <v>12937</v>
      </c>
      <c r="G4142" s="80" t="s">
        <v>108</v>
      </c>
      <c r="H4142" s="80" t="s">
        <v>14711</v>
      </c>
      <c r="I4142" s="17">
        <f ca="1">IFERROR(__xludf.DUMMYFUNCTION("""COMPUTED_VALUE"""),45678)</f>
        <v>45678</v>
      </c>
      <c r="J4142" s="143" t="s">
        <v>13138</v>
      </c>
      <c r="K4142" s="80" t="s">
        <v>14712</v>
      </c>
      <c r="L4142" s="30">
        <v>869738584</v>
      </c>
      <c r="M4142" s="80" t="s">
        <v>45</v>
      </c>
      <c r="N4142" s="80" t="s">
        <v>1384</v>
      </c>
      <c r="O4142" s="80" t="s">
        <v>13140</v>
      </c>
      <c r="P4142" s="144" t="s">
        <v>13141</v>
      </c>
      <c r="Q4142" s="20">
        <v>5736</v>
      </c>
      <c r="R4142" s="80" t="s">
        <v>36</v>
      </c>
      <c r="S4142" s="95">
        <v>5736</v>
      </c>
      <c r="T4142" s="148">
        <v>45550</v>
      </c>
      <c r="U4142" s="77"/>
      <c r="V4142" s="78">
        <v>45545</v>
      </c>
      <c r="W4142" s="79" t="s">
        <v>13142</v>
      </c>
      <c r="X4142" s="80">
        <v>0</v>
      </c>
      <c r="Y4142" s="22">
        <v>0</v>
      </c>
      <c r="Z4142" s="80" t="s">
        <v>50</v>
      </c>
      <c r="AA4142" s="35" t="s">
        <v>3291</v>
      </c>
      <c r="AB4142" s="80"/>
      <c r="AC4142" s="80" t="s">
        <v>53</v>
      </c>
      <c r="AD4142" s="80" t="s">
        <v>54</v>
      </c>
      <c r="AE4142" s="80" t="s">
        <v>12937</v>
      </c>
      <c r="AF4142" s="17">
        <v>45615</v>
      </c>
      <c r="AG4142" s="80"/>
      <c r="AH4142" s="80"/>
      <c r="AI4142" s="147" t="s">
        <v>55</v>
      </c>
      <c r="AJ4142" s="80"/>
      <c r="AK4142" s="80"/>
      <c r="AL4142" s="35"/>
      <c r="AM4142" s="35"/>
      <c r="AN4142" s="35"/>
      <c r="AO4142" s="35"/>
      <c r="AP4142" s="35"/>
    </row>
    <row r="4143" spans="1:42" x14ac:dyDescent="0.2">
      <c r="A4143" s="38">
        <v>45607</v>
      </c>
      <c r="B4143" s="137" t="s">
        <v>37</v>
      </c>
      <c r="C4143" s="41" t="s">
        <v>118</v>
      </c>
      <c r="D4143" s="80" t="s">
        <v>36</v>
      </c>
      <c r="E4143" s="80" t="s">
        <v>139</v>
      </c>
      <c r="F4143" s="80" t="s">
        <v>13206</v>
      </c>
      <c r="G4143" s="80" t="s">
        <v>108</v>
      </c>
      <c r="H4143" s="80" t="s">
        <v>13678</v>
      </c>
      <c r="I4143" s="17">
        <f ca="1">IFERROR(__xludf.DUMMYFUNCTION("""COMPUTED_VALUE"""),45620)</f>
        <v>45620</v>
      </c>
      <c r="J4143" s="143" t="s">
        <v>14713</v>
      </c>
      <c r="K4143" s="80" t="s">
        <v>14714</v>
      </c>
      <c r="L4143" s="30">
        <v>375131459</v>
      </c>
      <c r="M4143" s="80" t="s">
        <v>5429</v>
      </c>
      <c r="N4143" s="80" t="s">
        <v>1384</v>
      </c>
      <c r="O4143" s="80" t="s">
        <v>14715</v>
      </c>
      <c r="P4143" s="144" t="s">
        <v>14716</v>
      </c>
      <c r="Q4143" s="20">
        <v>15936</v>
      </c>
      <c r="R4143" s="80" t="s">
        <v>36</v>
      </c>
      <c r="S4143" s="95">
        <f>200+1800</f>
        <v>2000</v>
      </c>
      <c r="T4143" s="148">
        <v>45557</v>
      </c>
      <c r="U4143" s="95">
        <v>13936</v>
      </c>
      <c r="V4143" s="148">
        <v>45578</v>
      </c>
      <c r="W4143" s="85" t="s">
        <v>14717</v>
      </c>
      <c r="X4143" s="80"/>
      <c r="Y4143" s="22">
        <v>0</v>
      </c>
      <c r="Z4143" s="80" t="s">
        <v>50</v>
      </c>
      <c r="AA4143" s="82"/>
      <c r="AB4143" s="80"/>
      <c r="AC4143" s="80" t="s">
        <v>53</v>
      </c>
      <c r="AD4143" s="80" t="s">
        <v>54</v>
      </c>
      <c r="AE4143" s="80" t="s">
        <v>13206</v>
      </c>
      <c r="AF4143" s="17">
        <v>45614</v>
      </c>
      <c r="AG4143" s="80"/>
      <c r="AH4143" s="80"/>
      <c r="AI4143" s="147"/>
      <c r="AJ4143" s="80"/>
      <c r="AK4143" s="80"/>
      <c r="AL4143" s="35"/>
      <c r="AM4143" s="35"/>
      <c r="AN4143" s="35"/>
      <c r="AO4143" s="35"/>
      <c r="AP4143" s="35"/>
    </row>
    <row r="4144" spans="1:42" x14ac:dyDescent="0.2">
      <c r="A4144" s="38">
        <v>45607</v>
      </c>
      <c r="B4144" s="137" t="s">
        <v>37</v>
      </c>
      <c r="C4144" s="41" t="s">
        <v>118</v>
      </c>
      <c r="D4144" s="80" t="s">
        <v>36</v>
      </c>
      <c r="E4144" s="80" t="s">
        <v>56</v>
      </c>
      <c r="F4144" s="80" t="s">
        <v>13206</v>
      </c>
      <c r="G4144" s="80" t="s">
        <v>108</v>
      </c>
      <c r="H4144" s="80" t="s">
        <v>13678</v>
      </c>
      <c r="I4144" s="17">
        <f ca="1">IFERROR(__xludf.DUMMYFUNCTION("""COMPUTED_VALUE"""),45620)</f>
        <v>45620</v>
      </c>
      <c r="J4144" s="143" t="s">
        <v>14718</v>
      </c>
      <c r="K4144" s="80" t="s">
        <v>14719</v>
      </c>
      <c r="L4144" s="30">
        <v>338400898</v>
      </c>
      <c r="M4144" s="80" t="s">
        <v>5558</v>
      </c>
      <c r="N4144" s="80" t="s">
        <v>5559</v>
      </c>
      <c r="O4144" s="80" t="s">
        <v>4503</v>
      </c>
      <c r="P4144" s="144" t="s">
        <v>14720</v>
      </c>
      <c r="Q4144" s="20">
        <v>15936</v>
      </c>
      <c r="R4144" s="80" t="s">
        <v>36</v>
      </c>
      <c r="S4144" s="95">
        <f>200+9000+117</f>
        <v>9317</v>
      </c>
      <c r="T4144" s="83" t="s">
        <v>14721</v>
      </c>
      <c r="U4144" s="77"/>
      <c r="V4144" s="78"/>
      <c r="W4144" s="85" t="s">
        <v>14722</v>
      </c>
      <c r="X4144" s="80"/>
      <c r="Y4144" s="22">
        <v>0</v>
      </c>
      <c r="Z4144" s="80" t="s">
        <v>50</v>
      </c>
      <c r="AA4144" s="86" t="s">
        <v>14723</v>
      </c>
      <c r="AB4144" s="80"/>
      <c r="AC4144" s="80" t="s">
        <v>53</v>
      </c>
      <c r="AD4144" s="80" t="s">
        <v>54</v>
      </c>
      <c r="AE4144" s="80" t="s">
        <v>13206</v>
      </c>
      <c r="AF4144" s="17">
        <v>45614</v>
      </c>
      <c r="AG4144" s="80"/>
      <c r="AH4144" s="80"/>
      <c r="AI4144" s="147"/>
      <c r="AJ4144" s="80"/>
      <c r="AK4144" s="80"/>
      <c r="AL4144" s="35"/>
      <c r="AM4144" s="35"/>
      <c r="AN4144" s="35"/>
      <c r="AO4144" s="35"/>
      <c r="AP4144" s="35"/>
    </row>
    <row r="4145" spans="1:42" x14ac:dyDescent="0.2">
      <c r="A4145" s="38">
        <v>45607</v>
      </c>
      <c r="B4145" s="137" t="s">
        <v>37</v>
      </c>
      <c r="C4145" s="41" t="s">
        <v>118</v>
      </c>
      <c r="D4145" s="80" t="s">
        <v>36</v>
      </c>
      <c r="E4145" s="80" t="s">
        <v>39</v>
      </c>
      <c r="F4145" s="80" t="s">
        <v>13206</v>
      </c>
      <c r="G4145" s="80" t="s">
        <v>108</v>
      </c>
      <c r="H4145" s="80" t="s">
        <v>13678</v>
      </c>
      <c r="I4145" s="17">
        <f ca="1">IFERROR(__xludf.DUMMYFUNCTION("""COMPUTED_VALUE"""),45620)</f>
        <v>45620</v>
      </c>
      <c r="J4145" s="143" t="s">
        <v>14724</v>
      </c>
      <c r="K4145" s="80" t="s">
        <v>14725</v>
      </c>
      <c r="L4145" s="30">
        <v>812921368</v>
      </c>
      <c r="M4145" s="80" t="s">
        <v>5558</v>
      </c>
      <c r="N4145" s="80" t="s">
        <v>5559</v>
      </c>
      <c r="O4145" s="80" t="s">
        <v>4503</v>
      </c>
      <c r="P4145" s="144" t="s">
        <v>14726</v>
      </c>
      <c r="Q4145" s="20">
        <v>5736</v>
      </c>
      <c r="R4145" s="80" t="s">
        <v>36</v>
      </c>
      <c r="S4145" s="95">
        <f>200+2500</f>
        <v>2700</v>
      </c>
      <c r="T4145" s="83" t="s">
        <v>13271</v>
      </c>
      <c r="U4145" s="95">
        <v>3036</v>
      </c>
      <c r="V4145" s="148">
        <v>45581</v>
      </c>
      <c r="W4145" s="85" t="s">
        <v>14727</v>
      </c>
      <c r="X4145" s="80"/>
      <c r="Y4145" s="22">
        <v>0</v>
      </c>
      <c r="Z4145" s="80" t="s">
        <v>50</v>
      </c>
      <c r="AA4145" s="82"/>
      <c r="AB4145" s="80"/>
      <c r="AC4145" s="80" t="s">
        <v>53</v>
      </c>
      <c r="AD4145" s="80" t="s">
        <v>54</v>
      </c>
      <c r="AE4145" s="80" t="s">
        <v>13206</v>
      </c>
      <c r="AF4145" s="17">
        <v>45614</v>
      </c>
      <c r="AG4145" s="80"/>
      <c r="AH4145" s="80"/>
      <c r="AI4145" s="147"/>
      <c r="AJ4145" s="80"/>
      <c r="AK4145" s="80"/>
      <c r="AL4145" s="35"/>
      <c r="AM4145" s="35"/>
      <c r="AN4145" s="35"/>
      <c r="AO4145" s="35"/>
      <c r="AP4145" s="35"/>
    </row>
    <row r="4146" spans="1:42" x14ac:dyDescent="0.2">
      <c r="A4146" s="38">
        <v>45607</v>
      </c>
      <c r="B4146" s="137" t="s">
        <v>37</v>
      </c>
      <c r="C4146" s="41" t="s">
        <v>118</v>
      </c>
      <c r="D4146" s="80" t="s">
        <v>36</v>
      </c>
      <c r="E4146" s="80" t="s">
        <v>139</v>
      </c>
      <c r="F4146" s="80" t="s">
        <v>13206</v>
      </c>
      <c r="G4146" s="80" t="s">
        <v>108</v>
      </c>
      <c r="H4146" s="80" t="s">
        <v>13678</v>
      </c>
      <c r="I4146" s="17">
        <f ca="1">IFERROR(__xludf.DUMMYFUNCTION("""COMPUTED_VALUE"""),45620)</f>
        <v>45620</v>
      </c>
      <c r="J4146" s="143" t="s">
        <v>14728</v>
      </c>
      <c r="K4146" s="80" t="s">
        <v>14729</v>
      </c>
      <c r="L4146" s="30">
        <v>356773802</v>
      </c>
      <c r="M4146" s="80" t="s">
        <v>3498</v>
      </c>
      <c r="N4146" s="80" t="s">
        <v>4402</v>
      </c>
      <c r="O4146" s="80" t="s">
        <v>4503</v>
      </c>
      <c r="P4146" s="144" t="s">
        <v>14730</v>
      </c>
      <c r="Q4146" s="20">
        <v>15936</v>
      </c>
      <c r="R4146" s="80" t="s">
        <v>70</v>
      </c>
      <c r="S4146" s="95">
        <v>3000</v>
      </c>
      <c r="T4146" s="148">
        <v>45552</v>
      </c>
      <c r="U4146" s="95">
        <v>12836</v>
      </c>
      <c r="V4146" s="148">
        <v>45580</v>
      </c>
      <c r="W4146" s="85" t="s">
        <v>14731</v>
      </c>
      <c r="X4146" s="80"/>
      <c r="Y4146" s="22">
        <v>100</v>
      </c>
      <c r="Z4146" s="80" t="s">
        <v>50</v>
      </c>
      <c r="AA4146" s="86"/>
      <c r="AB4146" s="80"/>
      <c r="AC4146" s="80" t="s">
        <v>53</v>
      </c>
      <c r="AD4146" s="80" t="s">
        <v>138</v>
      </c>
      <c r="AE4146" s="80" t="s">
        <v>13206</v>
      </c>
      <c r="AF4146" s="17">
        <v>45614</v>
      </c>
      <c r="AG4146" s="80"/>
      <c r="AH4146" s="80"/>
      <c r="AI4146" s="147"/>
      <c r="AJ4146" s="80"/>
      <c r="AK4146" s="80"/>
      <c r="AL4146" s="35"/>
      <c r="AM4146" s="35"/>
      <c r="AN4146" s="35"/>
      <c r="AO4146" s="35"/>
      <c r="AP4146" s="35"/>
    </row>
    <row r="4147" spans="1:42" x14ac:dyDescent="0.2">
      <c r="A4147" s="38">
        <v>45607</v>
      </c>
      <c r="B4147" s="137" t="s">
        <v>37</v>
      </c>
      <c r="C4147" s="41" t="s">
        <v>118</v>
      </c>
      <c r="D4147" s="80" t="s">
        <v>36</v>
      </c>
      <c r="E4147" s="80" t="s">
        <v>139</v>
      </c>
      <c r="F4147" s="80" t="s">
        <v>11747</v>
      </c>
      <c r="G4147" s="80" t="s">
        <v>108</v>
      </c>
      <c r="H4147" s="80" t="s">
        <v>14387</v>
      </c>
      <c r="I4147" s="17">
        <f ca="1">IFERROR(__xludf.DUMMYFUNCTION("""COMPUTED_VALUE"""),45615)</f>
        <v>45615</v>
      </c>
      <c r="J4147" s="143" t="s">
        <v>14732</v>
      </c>
      <c r="K4147" s="80" t="s">
        <v>14733</v>
      </c>
      <c r="L4147" s="30">
        <v>364792721</v>
      </c>
      <c r="M4147" s="80" t="s">
        <v>910</v>
      </c>
      <c r="N4147" s="80" t="s">
        <v>355</v>
      </c>
      <c r="O4147" s="80" t="s">
        <v>91</v>
      </c>
      <c r="P4147" s="80" t="s">
        <v>14734</v>
      </c>
      <c r="Q4147" s="20">
        <v>15936</v>
      </c>
      <c r="R4147" s="80" t="s">
        <v>36</v>
      </c>
      <c r="S4147" s="95">
        <v>2000</v>
      </c>
      <c r="T4147" s="148">
        <v>45541</v>
      </c>
      <c r="U4147" s="95">
        <v>13936</v>
      </c>
      <c r="V4147" s="148">
        <v>45580</v>
      </c>
      <c r="W4147" s="85" t="s">
        <v>14735</v>
      </c>
      <c r="X4147" s="80"/>
      <c r="Y4147" s="22">
        <v>0</v>
      </c>
      <c r="Z4147" s="80" t="s">
        <v>50</v>
      </c>
      <c r="AA4147" s="82"/>
      <c r="AB4147" s="80"/>
      <c r="AC4147" s="80" t="s">
        <v>53</v>
      </c>
      <c r="AD4147" s="80" t="s">
        <v>138</v>
      </c>
      <c r="AE4147" s="80" t="s">
        <v>11747</v>
      </c>
      <c r="AF4147" s="17">
        <v>45615</v>
      </c>
      <c r="AG4147" s="80"/>
      <c r="AH4147" s="80"/>
      <c r="AI4147" s="147"/>
      <c r="AJ4147" s="80"/>
      <c r="AK4147" s="80"/>
      <c r="AL4147" s="35"/>
      <c r="AM4147" s="35"/>
      <c r="AN4147" s="35"/>
      <c r="AO4147" s="35"/>
      <c r="AP4147" s="35"/>
    </row>
    <row r="4148" spans="1:42" x14ac:dyDescent="0.2">
      <c r="A4148" s="38">
        <v>45607</v>
      </c>
      <c r="B4148" s="137" t="s">
        <v>37</v>
      </c>
      <c r="C4148" s="41" t="s">
        <v>118</v>
      </c>
      <c r="D4148" s="80" t="s">
        <v>36</v>
      </c>
      <c r="E4148" s="80" t="s">
        <v>139</v>
      </c>
      <c r="F4148" s="80" t="s">
        <v>12937</v>
      </c>
      <c r="G4148" s="80" t="s">
        <v>108</v>
      </c>
      <c r="H4148" s="80" t="s">
        <v>14038</v>
      </c>
      <c r="I4148" s="17">
        <f ca="1">IFERROR(__xludf.DUMMYFUNCTION("""COMPUTED_VALUE"""),45621)</f>
        <v>45621</v>
      </c>
      <c r="J4148" s="143" t="s">
        <v>12938</v>
      </c>
      <c r="K4148" s="80" t="s">
        <v>14736</v>
      </c>
      <c r="L4148" s="30">
        <v>342551792</v>
      </c>
      <c r="M4148" s="80" t="s">
        <v>5558</v>
      </c>
      <c r="N4148" s="80" t="s">
        <v>5559</v>
      </c>
      <c r="O4148" s="80" t="s">
        <v>4503</v>
      </c>
      <c r="P4148" s="115" t="s">
        <v>12940</v>
      </c>
      <c r="Q4148" s="20">
        <v>15936</v>
      </c>
      <c r="R4148" s="80" t="s">
        <v>36</v>
      </c>
      <c r="S4148" s="95">
        <v>1968</v>
      </c>
      <c r="T4148" s="148">
        <v>45545</v>
      </c>
      <c r="U4148" s="95">
        <v>13968</v>
      </c>
      <c r="V4148" s="148">
        <v>45561</v>
      </c>
      <c r="W4148" s="85" t="s">
        <v>12941</v>
      </c>
      <c r="X4148" s="80">
        <v>0</v>
      </c>
      <c r="Y4148" s="22">
        <v>0</v>
      </c>
      <c r="Z4148" s="80" t="s">
        <v>50</v>
      </c>
      <c r="AA4148" s="35" t="s">
        <v>3291</v>
      </c>
      <c r="AB4148" s="80"/>
      <c r="AC4148" s="80" t="s">
        <v>53</v>
      </c>
      <c r="AD4148" s="80" t="s">
        <v>54</v>
      </c>
      <c r="AE4148" s="80" t="s">
        <v>12937</v>
      </c>
      <c r="AF4148" s="17">
        <v>45615</v>
      </c>
      <c r="AG4148" s="80"/>
      <c r="AH4148" s="80"/>
      <c r="AI4148" s="147" t="s">
        <v>147</v>
      </c>
      <c r="AJ4148" s="80"/>
      <c r="AK4148" s="80"/>
      <c r="AL4148" s="35"/>
      <c r="AM4148" s="35"/>
      <c r="AN4148" s="35"/>
      <c r="AO4148" s="35"/>
      <c r="AP4148" s="35"/>
    </row>
    <row r="4149" spans="1:42" x14ac:dyDescent="0.2">
      <c r="A4149" s="38">
        <v>45607</v>
      </c>
      <c r="B4149" s="137" t="s">
        <v>37</v>
      </c>
      <c r="C4149" s="41" t="s">
        <v>118</v>
      </c>
      <c r="D4149" s="80" t="s">
        <v>36</v>
      </c>
      <c r="E4149" s="80" t="s">
        <v>139</v>
      </c>
      <c r="F4149" s="80" t="s">
        <v>11846</v>
      </c>
      <c r="G4149" s="80" t="s">
        <v>108</v>
      </c>
      <c r="H4149" s="80" t="s">
        <v>14737</v>
      </c>
      <c r="I4149" s="17">
        <f ca="1">IFERROR(__xludf.DUMMYFUNCTION("""COMPUTED_VALUE"""),45616)</f>
        <v>45616</v>
      </c>
      <c r="J4149" s="172" t="s">
        <v>14738</v>
      </c>
      <c r="K4149" s="80" t="s">
        <v>14739</v>
      </c>
      <c r="L4149" s="30">
        <v>819607696</v>
      </c>
      <c r="M4149" s="80" t="s">
        <v>5558</v>
      </c>
      <c r="N4149" s="80" t="s">
        <v>5559</v>
      </c>
      <c r="O4149" s="80" t="s">
        <v>4503</v>
      </c>
      <c r="P4149" s="80" t="s">
        <v>14740</v>
      </c>
      <c r="Q4149" s="20">
        <v>15936</v>
      </c>
      <c r="R4149" s="80" t="s">
        <v>36</v>
      </c>
      <c r="S4149" s="95">
        <f>200+5000</f>
        <v>5200</v>
      </c>
      <c r="T4149" s="83" t="s">
        <v>14741</v>
      </c>
      <c r="U4149" s="95">
        <v>10936</v>
      </c>
      <c r="V4149" s="148">
        <v>45579</v>
      </c>
      <c r="W4149" s="85" t="s">
        <v>14742</v>
      </c>
      <c r="X4149" s="80"/>
      <c r="Y4149" s="22">
        <v>-200</v>
      </c>
      <c r="Z4149" s="80" t="s">
        <v>50</v>
      </c>
      <c r="AA4149" s="82"/>
      <c r="AB4149" s="80"/>
      <c r="AC4149" s="80" t="s">
        <v>53</v>
      </c>
      <c r="AD4149" s="80" t="s">
        <v>54</v>
      </c>
      <c r="AE4149" s="80" t="s">
        <v>11846</v>
      </c>
      <c r="AF4149" s="17">
        <v>45609</v>
      </c>
      <c r="AG4149" s="80"/>
      <c r="AH4149" s="80"/>
      <c r="AI4149" s="147"/>
      <c r="AJ4149" s="80"/>
      <c r="AK4149" s="80"/>
      <c r="AL4149" s="35"/>
      <c r="AM4149" s="35"/>
      <c r="AN4149" s="35"/>
      <c r="AO4149" s="35"/>
      <c r="AP4149" s="35"/>
    </row>
    <row r="4150" spans="1:42" x14ac:dyDescent="0.2">
      <c r="A4150" s="38">
        <v>45607</v>
      </c>
      <c r="B4150" s="137" t="s">
        <v>37</v>
      </c>
      <c r="C4150" s="41" t="s">
        <v>118</v>
      </c>
      <c r="D4150" s="80" t="s">
        <v>36</v>
      </c>
      <c r="E4150" s="80" t="s">
        <v>139</v>
      </c>
      <c r="F4150" s="80" t="s">
        <v>11846</v>
      </c>
      <c r="G4150" s="80" t="s">
        <v>108</v>
      </c>
      <c r="H4150" s="80" t="s">
        <v>14737</v>
      </c>
      <c r="I4150" s="17">
        <f ca="1">IFERROR(__xludf.DUMMYFUNCTION("""COMPUTED_VALUE"""),45616)</f>
        <v>45616</v>
      </c>
      <c r="J4150" s="143" t="s">
        <v>13436</v>
      </c>
      <c r="K4150" s="80" t="s">
        <v>13437</v>
      </c>
      <c r="L4150" s="30">
        <v>397695337</v>
      </c>
      <c r="M4150" s="80" t="s">
        <v>45</v>
      </c>
      <c r="N4150" s="80" t="s">
        <v>1472</v>
      </c>
      <c r="O4150" s="80" t="s">
        <v>13438</v>
      </c>
      <c r="P4150" s="144" t="s">
        <v>14743</v>
      </c>
      <c r="Q4150" s="20">
        <v>15936</v>
      </c>
      <c r="R4150" s="80" t="s">
        <v>36</v>
      </c>
      <c r="S4150" s="95">
        <v>15936</v>
      </c>
      <c r="T4150" s="148">
        <v>45557</v>
      </c>
      <c r="U4150" s="77"/>
      <c r="V4150" s="78"/>
      <c r="W4150" s="80" t="s">
        <v>13440</v>
      </c>
      <c r="X4150" s="80">
        <v>0</v>
      </c>
      <c r="Y4150" s="22">
        <v>0</v>
      </c>
      <c r="Z4150" s="80" t="s">
        <v>50</v>
      </c>
      <c r="AA4150" s="35" t="s">
        <v>3291</v>
      </c>
      <c r="AB4150" s="80"/>
      <c r="AC4150" s="80" t="s">
        <v>53</v>
      </c>
      <c r="AD4150" s="80" t="s">
        <v>54</v>
      </c>
      <c r="AE4150" s="80" t="s">
        <v>11846</v>
      </c>
      <c r="AF4150" s="17">
        <v>45609</v>
      </c>
      <c r="AG4150" s="80"/>
      <c r="AH4150" s="80"/>
      <c r="AI4150" s="147" t="s">
        <v>147</v>
      </c>
      <c r="AJ4150" s="80"/>
      <c r="AK4150" s="80"/>
      <c r="AL4150" s="35"/>
      <c r="AM4150" s="35"/>
      <c r="AN4150" s="35"/>
      <c r="AO4150" s="35"/>
      <c r="AP4150" s="35"/>
    </row>
    <row r="4151" spans="1:42" x14ac:dyDescent="0.2">
      <c r="A4151" s="38">
        <v>45607</v>
      </c>
      <c r="B4151" s="137" t="s">
        <v>37</v>
      </c>
      <c r="C4151" s="41" t="s">
        <v>118</v>
      </c>
      <c r="D4151" s="80" t="s">
        <v>36</v>
      </c>
      <c r="E4151" s="80" t="s">
        <v>39</v>
      </c>
      <c r="F4151" s="80" t="s">
        <v>11846</v>
      </c>
      <c r="G4151" s="80" t="s">
        <v>108</v>
      </c>
      <c r="H4151" s="80" t="s">
        <v>14737</v>
      </c>
      <c r="I4151" s="17">
        <f ca="1">IFERROR(__xludf.DUMMYFUNCTION("""COMPUTED_VALUE"""),45616)</f>
        <v>45616</v>
      </c>
      <c r="J4151" s="143" t="s">
        <v>13359</v>
      </c>
      <c r="K4151" s="80" t="s">
        <v>13360</v>
      </c>
      <c r="L4151" s="30">
        <v>947548991</v>
      </c>
      <c r="M4151" s="80" t="s">
        <v>9422</v>
      </c>
      <c r="N4151" s="80" t="s">
        <v>327</v>
      </c>
      <c r="O4151" s="80" t="s">
        <v>11607</v>
      </c>
      <c r="P4151" s="144" t="s">
        <v>14744</v>
      </c>
      <c r="Q4151" s="20">
        <v>5736</v>
      </c>
      <c r="R4151" s="80" t="s">
        <v>11421</v>
      </c>
      <c r="S4151" s="95">
        <v>5436</v>
      </c>
      <c r="T4151" s="148">
        <v>45554</v>
      </c>
      <c r="U4151" s="77"/>
      <c r="V4151" s="78"/>
      <c r="W4151" s="85" t="s">
        <v>13362</v>
      </c>
      <c r="X4151" s="80">
        <v>300</v>
      </c>
      <c r="Y4151" s="22">
        <v>0</v>
      </c>
      <c r="Z4151" s="80" t="s">
        <v>50</v>
      </c>
      <c r="AA4151" s="96" t="s">
        <v>3291</v>
      </c>
      <c r="AB4151" s="80"/>
      <c r="AC4151" s="80" t="s">
        <v>53</v>
      </c>
      <c r="AD4151" s="80" t="s">
        <v>54</v>
      </c>
      <c r="AE4151" s="80" t="s">
        <v>11846</v>
      </c>
      <c r="AF4151" s="17">
        <v>45609</v>
      </c>
      <c r="AG4151" s="80"/>
      <c r="AH4151" s="80"/>
      <c r="AI4151" s="147" t="s">
        <v>55</v>
      </c>
      <c r="AJ4151" s="80"/>
      <c r="AK4151" s="80"/>
      <c r="AL4151" s="35"/>
      <c r="AM4151" s="35"/>
      <c r="AN4151" s="35"/>
      <c r="AO4151" s="35"/>
      <c r="AP4151" s="35"/>
    </row>
    <row r="4152" spans="1:42" x14ac:dyDescent="0.2">
      <c r="A4152" s="38">
        <v>45607</v>
      </c>
      <c r="B4152" s="137" t="s">
        <v>37</v>
      </c>
      <c r="C4152" s="41" t="s">
        <v>118</v>
      </c>
      <c r="D4152" s="80" t="s">
        <v>36</v>
      </c>
      <c r="E4152" s="80" t="s">
        <v>139</v>
      </c>
      <c r="F4152" s="80" t="s">
        <v>11846</v>
      </c>
      <c r="G4152" s="80" t="s">
        <v>108</v>
      </c>
      <c r="H4152" s="80" t="s">
        <v>14737</v>
      </c>
      <c r="I4152" s="17">
        <f ca="1">IFERROR(__xludf.DUMMYFUNCTION("""COMPUTED_VALUE"""),45616)</f>
        <v>45616</v>
      </c>
      <c r="J4152" s="143" t="s">
        <v>13431</v>
      </c>
      <c r="K4152" s="80" t="s">
        <v>13432</v>
      </c>
      <c r="L4152" s="30">
        <v>562924427</v>
      </c>
      <c r="M4152" s="80" t="s">
        <v>45</v>
      </c>
      <c r="N4152" s="80" t="s">
        <v>1472</v>
      </c>
      <c r="O4152" s="80" t="s">
        <v>13433</v>
      </c>
      <c r="P4152" s="144" t="s">
        <v>13434</v>
      </c>
      <c r="Q4152" s="20">
        <v>15936</v>
      </c>
      <c r="R4152" s="80" t="s">
        <v>36</v>
      </c>
      <c r="S4152" s="95">
        <f>500+15436</f>
        <v>15936</v>
      </c>
      <c r="T4152" s="83" t="s">
        <v>13124</v>
      </c>
      <c r="U4152" s="77"/>
      <c r="V4152" s="78"/>
      <c r="W4152" s="85" t="s">
        <v>13435</v>
      </c>
      <c r="X4152" s="80">
        <v>0</v>
      </c>
      <c r="Y4152" s="22">
        <v>0</v>
      </c>
      <c r="Z4152" s="80" t="s">
        <v>50</v>
      </c>
      <c r="AA4152" s="35" t="s">
        <v>3291</v>
      </c>
      <c r="AB4152" s="80"/>
      <c r="AC4152" s="80" t="s">
        <v>53</v>
      </c>
      <c r="AD4152" s="80" t="s">
        <v>54</v>
      </c>
      <c r="AE4152" s="80" t="s">
        <v>11846</v>
      </c>
      <c r="AF4152" s="17">
        <v>45609</v>
      </c>
      <c r="AG4152" s="80"/>
      <c r="AH4152" s="80"/>
      <c r="AI4152" s="147" t="s">
        <v>147</v>
      </c>
      <c r="AJ4152" s="80"/>
      <c r="AK4152" s="80"/>
      <c r="AL4152" s="35"/>
      <c r="AM4152" s="35"/>
      <c r="AN4152" s="35"/>
      <c r="AO4152" s="35"/>
      <c r="AP4152" s="35"/>
    </row>
    <row r="4153" spans="1:42" x14ac:dyDescent="0.2">
      <c r="A4153" s="38">
        <v>45607</v>
      </c>
      <c r="B4153" s="137" t="s">
        <v>37</v>
      </c>
      <c r="C4153" s="41" t="s">
        <v>118</v>
      </c>
      <c r="D4153" s="80" t="s">
        <v>36</v>
      </c>
      <c r="E4153" s="80" t="s">
        <v>139</v>
      </c>
      <c r="F4153" s="80" t="s">
        <v>11846</v>
      </c>
      <c r="G4153" s="80" t="s">
        <v>108</v>
      </c>
      <c r="H4153" s="80" t="s">
        <v>14737</v>
      </c>
      <c r="I4153" s="17">
        <f ca="1">IFERROR(__xludf.DUMMYFUNCTION("""COMPUTED_VALUE"""),45616)</f>
        <v>45616</v>
      </c>
      <c r="J4153" s="143" t="s">
        <v>13116</v>
      </c>
      <c r="K4153" s="80" t="s">
        <v>14745</v>
      </c>
      <c r="L4153" s="30">
        <v>975098265</v>
      </c>
      <c r="M4153" s="80" t="s">
        <v>5558</v>
      </c>
      <c r="N4153" s="80" t="s">
        <v>5277</v>
      </c>
      <c r="O4153" s="80" t="s">
        <v>4503</v>
      </c>
      <c r="P4153" s="144" t="s">
        <v>14746</v>
      </c>
      <c r="Q4153" s="20">
        <v>15936</v>
      </c>
      <c r="R4153" s="80" t="s">
        <v>36</v>
      </c>
      <c r="S4153" s="95">
        <f>200+1800</f>
        <v>2000</v>
      </c>
      <c r="T4153" s="83" t="s">
        <v>13119</v>
      </c>
      <c r="U4153" s="95">
        <v>13936</v>
      </c>
      <c r="V4153" s="148">
        <v>45565</v>
      </c>
      <c r="W4153" s="85" t="s">
        <v>13120</v>
      </c>
      <c r="X4153" s="80">
        <v>0</v>
      </c>
      <c r="Y4153" s="22">
        <v>0</v>
      </c>
      <c r="Z4153" s="80" t="s">
        <v>50</v>
      </c>
      <c r="AA4153" s="96" t="s">
        <v>3291</v>
      </c>
      <c r="AB4153" s="80"/>
      <c r="AC4153" s="80" t="s">
        <v>53</v>
      </c>
      <c r="AD4153" s="80" t="s">
        <v>54</v>
      </c>
      <c r="AE4153" s="80" t="s">
        <v>11846</v>
      </c>
      <c r="AF4153" s="17">
        <v>45609</v>
      </c>
      <c r="AG4153" s="80"/>
      <c r="AH4153" s="80"/>
      <c r="AI4153" s="147" t="s">
        <v>147</v>
      </c>
      <c r="AJ4153" s="80"/>
      <c r="AK4153" s="80"/>
      <c r="AL4153" s="35"/>
      <c r="AM4153" s="35"/>
      <c r="AN4153" s="35"/>
      <c r="AO4153" s="35"/>
      <c r="AP4153" s="35"/>
    </row>
    <row r="4154" spans="1:42" x14ac:dyDescent="0.2">
      <c r="A4154" s="38">
        <v>45607</v>
      </c>
      <c r="B4154" s="137" t="s">
        <v>37</v>
      </c>
      <c r="C4154" s="41" t="s">
        <v>118</v>
      </c>
      <c r="D4154" s="80" t="s">
        <v>36</v>
      </c>
      <c r="E4154" s="80" t="s">
        <v>139</v>
      </c>
      <c r="F4154" s="80" t="s">
        <v>13206</v>
      </c>
      <c r="G4154" s="80" t="s">
        <v>108</v>
      </c>
      <c r="H4154" s="80" t="s">
        <v>14747</v>
      </c>
      <c r="I4154" s="17" t="str">
        <f ca="1">IFERROR(__xludf.DUMMYFUNCTION("""COMPUTED_VALUE""")," ")</f>
        <v xml:space="preserve"> </v>
      </c>
      <c r="J4154" s="143" t="s">
        <v>14748</v>
      </c>
      <c r="K4154" s="80" t="s">
        <v>14749</v>
      </c>
      <c r="L4154" s="30">
        <v>879188496</v>
      </c>
      <c r="M4154" s="80" t="s">
        <v>5558</v>
      </c>
      <c r="N4154" s="80" t="s">
        <v>5559</v>
      </c>
      <c r="O4154" s="80" t="s">
        <v>4503</v>
      </c>
      <c r="P4154" s="144" t="s">
        <v>14746</v>
      </c>
      <c r="Q4154" s="20">
        <v>15936</v>
      </c>
      <c r="R4154" s="80" t="s">
        <v>36</v>
      </c>
      <c r="S4154" s="95">
        <v>2000</v>
      </c>
      <c r="T4154" s="148">
        <v>45551</v>
      </c>
      <c r="U4154" s="95">
        <v>13936</v>
      </c>
      <c r="V4154" s="148">
        <v>45575</v>
      </c>
      <c r="W4154" s="85" t="s">
        <v>14750</v>
      </c>
      <c r="X4154" s="80"/>
      <c r="Y4154" s="22">
        <v>0</v>
      </c>
      <c r="Z4154" s="80" t="s">
        <v>50</v>
      </c>
      <c r="AA4154" s="86"/>
      <c r="AB4154" s="80"/>
      <c r="AC4154" s="80" t="s">
        <v>53</v>
      </c>
      <c r="AD4154" s="80" t="s">
        <v>54</v>
      </c>
      <c r="AE4154" s="80" t="s">
        <v>13206</v>
      </c>
      <c r="AF4154" s="17">
        <v>45663</v>
      </c>
      <c r="AG4154" s="80"/>
      <c r="AH4154" s="80"/>
      <c r="AI4154" s="147"/>
      <c r="AJ4154" s="80"/>
      <c r="AK4154" s="80"/>
      <c r="AL4154" s="35"/>
      <c r="AM4154" s="35"/>
      <c r="AN4154" s="35"/>
      <c r="AO4154" s="35"/>
      <c r="AP4154" s="35"/>
    </row>
    <row r="4155" spans="1:42" x14ac:dyDescent="0.2">
      <c r="A4155" s="38">
        <v>45607</v>
      </c>
      <c r="B4155" s="137" t="s">
        <v>37</v>
      </c>
      <c r="C4155" s="41" t="s">
        <v>118</v>
      </c>
      <c r="D4155" s="80" t="s">
        <v>36</v>
      </c>
      <c r="E4155" s="80" t="s">
        <v>39</v>
      </c>
      <c r="F4155" s="80" t="s">
        <v>12799</v>
      </c>
      <c r="G4155" s="80" t="s">
        <v>108</v>
      </c>
      <c r="H4155" s="80" t="s">
        <v>14429</v>
      </c>
      <c r="I4155" s="17">
        <f ca="1">IFERROR(__xludf.DUMMYFUNCTION("""COMPUTED_VALUE"""),45615)</f>
        <v>45615</v>
      </c>
      <c r="J4155" s="143" t="s">
        <v>13056</v>
      </c>
      <c r="K4155" s="80" t="s">
        <v>13057</v>
      </c>
      <c r="L4155" s="30">
        <v>814769610</v>
      </c>
      <c r="M4155" s="80" t="s">
        <v>59</v>
      </c>
      <c r="N4155" s="80" t="s">
        <v>9301</v>
      </c>
      <c r="O4155" s="80" t="s">
        <v>13058</v>
      </c>
      <c r="P4155" s="80" t="s">
        <v>12687</v>
      </c>
      <c r="Q4155" s="20">
        <v>5736</v>
      </c>
      <c r="R4155" s="80" t="s">
        <v>36</v>
      </c>
      <c r="S4155" s="95">
        <v>5736</v>
      </c>
      <c r="T4155" s="148">
        <v>45547</v>
      </c>
      <c r="U4155" s="77"/>
      <c r="V4155" s="78"/>
      <c r="W4155" s="85" t="s">
        <v>13059</v>
      </c>
      <c r="X4155" s="80">
        <v>0</v>
      </c>
      <c r="Y4155" s="22">
        <v>0</v>
      </c>
      <c r="Z4155" s="80" t="s">
        <v>50</v>
      </c>
      <c r="AA4155" s="96" t="s">
        <v>3291</v>
      </c>
      <c r="AB4155" s="80"/>
      <c r="AC4155" s="80" t="s">
        <v>53</v>
      </c>
      <c r="AD4155" s="80" t="s">
        <v>138</v>
      </c>
      <c r="AE4155" s="80" t="s">
        <v>12799</v>
      </c>
      <c r="AF4155" s="17">
        <v>45615</v>
      </c>
      <c r="AG4155" s="80"/>
      <c r="AH4155" s="80"/>
      <c r="AI4155" s="147" t="s">
        <v>55</v>
      </c>
      <c r="AJ4155" s="80"/>
      <c r="AK4155" s="80"/>
      <c r="AL4155" s="35"/>
      <c r="AM4155" s="35"/>
      <c r="AN4155" s="35"/>
      <c r="AO4155" s="35"/>
      <c r="AP4155" s="35"/>
    </row>
    <row r="4156" spans="1:42" x14ac:dyDescent="0.2">
      <c r="A4156" s="38">
        <v>45607</v>
      </c>
      <c r="B4156" s="137" t="s">
        <v>37</v>
      </c>
      <c r="C4156" s="41" t="s">
        <v>118</v>
      </c>
      <c r="D4156" s="80" t="s">
        <v>36</v>
      </c>
      <c r="E4156" s="80" t="s">
        <v>39</v>
      </c>
      <c r="F4156" s="80" t="s">
        <v>11846</v>
      </c>
      <c r="G4156" s="80" t="s">
        <v>108</v>
      </c>
      <c r="H4156" s="80" t="s">
        <v>14737</v>
      </c>
      <c r="I4156" s="17">
        <f ca="1">IFERROR(__xludf.DUMMYFUNCTION("""COMPUTED_VALUE"""),45616)</f>
        <v>45616</v>
      </c>
      <c r="J4156" s="143" t="s">
        <v>13334</v>
      </c>
      <c r="K4156" s="80" t="s">
        <v>13335</v>
      </c>
      <c r="L4156" s="30">
        <v>947822145</v>
      </c>
      <c r="M4156" s="80" t="s">
        <v>9422</v>
      </c>
      <c r="N4156" s="80" t="s">
        <v>327</v>
      </c>
      <c r="O4156" s="80" t="s">
        <v>13336</v>
      </c>
      <c r="P4156" s="144" t="s">
        <v>14751</v>
      </c>
      <c r="Q4156" s="20">
        <v>5736</v>
      </c>
      <c r="R4156" s="80" t="s">
        <v>11421</v>
      </c>
      <c r="S4156" s="95">
        <v>5436</v>
      </c>
      <c r="T4156" s="148">
        <v>45553</v>
      </c>
      <c r="U4156" s="77"/>
      <c r="V4156" s="78"/>
      <c r="W4156" s="79" t="s">
        <v>13338</v>
      </c>
      <c r="X4156" s="80">
        <v>300</v>
      </c>
      <c r="Y4156" s="22">
        <v>0</v>
      </c>
      <c r="Z4156" s="80" t="s">
        <v>50</v>
      </c>
      <c r="AA4156" s="35" t="s">
        <v>3291</v>
      </c>
      <c r="AB4156" s="80"/>
      <c r="AC4156" s="80" t="s">
        <v>53</v>
      </c>
      <c r="AD4156" s="80" t="s">
        <v>54</v>
      </c>
      <c r="AE4156" s="80" t="s">
        <v>11846</v>
      </c>
      <c r="AF4156" s="17">
        <v>45609</v>
      </c>
      <c r="AG4156" s="80"/>
      <c r="AH4156" s="80"/>
      <c r="AI4156" s="147" t="s">
        <v>55</v>
      </c>
      <c r="AJ4156" s="80"/>
      <c r="AK4156" s="80"/>
      <c r="AL4156" s="35"/>
      <c r="AM4156" s="35"/>
      <c r="AN4156" s="35"/>
      <c r="AO4156" s="35"/>
      <c r="AP4156" s="35"/>
    </row>
    <row r="4157" spans="1:42" x14ac:dyDescent="0.2">
      <c r="A4157" s="38">
        <v>45608</v>
      </c>
      <c r="B4157" s="137" t="s">
        <v>37</v>
      </c>
      <c r="C4157" s="41" t="s">
        <v>118</v>
      </c>
      <c r="D4157" s="35" t="s">
        <v>36</v>
      </c>
      <c r="E4157" s="26" t="s">
        <v>148</v>
      </c>
      <c r="F4157" s="26" t="s">
        <v>2017</v>
      </c>
      <c r="G4157" s="26" t="s">
        <v>221</v>
      </c>
      <c r="H4157" s="26" t="s">
        <v>11436</v>
      </c>
      <c r="I4157" s="17">
        <f ca="1">IFERROR(__xludf.DUMMYFUNCTION("""COMPUTED_VALUE"""),45624)</f>
        <v>45624</v>
      </c>
      <c r="J4157" s="29" t="s">
        <v>8585</v>
      </c>
      <c r="K4157" s="26" t="s">
        <v>8586</v>
      </c>
      <c r="L4157" s="30">
        <v>353658981</v>
      </c>
      <c r="M4157" s="26" t="s">
        <v>80</v>
      </c>
      <c r="N4157" s="26" t="s">
        <v>81</v>
      </c>
      <c r="O4157" s="67" t="s">
        <v>8587</v>
      </c>
      <c r="P4157" s="72" t="s">
        <v>14752</v>
      </c>
      <c r="Q4157" s="20">
        <v>13615</v>
      </c>
      <c r="R4157" s="35" t="s">
        <v>36</v>
      </c>
      <c r="S4157" s="31">
        <v>5000</v>
      </c>
      <c r="T4157" s="32">
        <v>44984</v>
      </c>
      <c r="U4157" s="31">
        <v>8615</v>
      </c>
      <c r="V4157" s="138">
        <v>45014</v>
      </c>
      <c r="W4157" s="55" t="s">
        <v>8589</v>
      </c>
      <c r="X4157" s="35"/>
      <c r="Y4157" s="22">
        <v>0</v>
      </c>
      <c r="Z4157" s="26" t="s">
        <v>118</v>
      </c>
      <c r="AA4157" s="19" t="s">
        <v>8334</v>
      </c>
      <c r="AB4157" s="26" t="s">
        <v>36</v>
      </c>
      <c r="AC4157" s="26" t="s">
        <v>53</v>
      </c>
      <c r="AD4157" s="19" t="s">
        <v>54</v>
      </c>
      <c r="AE4157" s="26" t="s">
        <v>2017</v>
      </c>
      <c r="AF4157" s="17">
        <v>45609</v>
      </c>
      <c r="AG4157" s="91"/>
      <c r="AH4157" s="26"/>
      <c r="AI4157" s="92"/>
      <c r="AJ4157" s="35"/>
      <c r="AK4157" s="35"/>
      <c r="AL4157" s="35"/>
      <c r="AM4157" s="35"/>
      <c r="AN4157" s="26"/>
      <c r="AO4157" s="26"/>
      <c r="AP4157" s="26"/>
    </row>
    <row r="4158" spans="1:42" x14ac:dyDescent="0.2">
      <c r="A4158" s="38">
        <v>45608</v>
      </c>
      <c r="B4158" s="137" t="s">
        <v>37</v>
      </c>
      <c r="C4158" s="41" t="s">
        <v>118</v>
      </c>
      <c r="D4158" s="80" t="s">
        <v>36</v>
      </c>
      <c r="E4158" s="80" t="s">
        <v>139</v>
      </c>
      <c r="F4158" s="80" t="s">
        <v>12799</v>
      </c>
      <c r="G4158" s="80" t="s">
        <v>108</v>
      </c>
      <c r="H4158" s="80" t="s">
        <v>14429</v>
      </c>
      <c r="I4158" s="17">
        <f ca="1">IFERROR(__xludf.DUMMYFUNCTION("""COMPUTED_VALUE"""),45615)</f>
        <v>45615</v>
      </c>
      <c r="J4158" s="143" t="s">
        <v>14753</v>
      </c>
      <c r="K4158" s="80" t="s">
        <v>14754</v>
      </c>
      <c r="L4158" s="30">
        <v>364407146</v>
      </c>
      <c r="M4158" s="80" t="s">
        <v>5429</v>
      </c>
      <c r="N4158" s="80" t="s">
        <v>756</v>
      </c>
      <c r="O4158" s="80" t="s">
        <v>4626</v>
      </c>
      <c r="P4158" s="80" t="s">
        <v>7107</v>
      </c>
      <c r="Q4158" s="20">
        <v>15936</v>
      </c>
      <c r="R4158" s="80" t="s">
        <v>70</v>
      </c>
      <c r="S4158" s="95">
        <v>2000</v>
      </c>
      <c r="T4158" s="83" t="s">
        <v>14755</v>
      </c>
      <c r="U4158" s="95">
        <v>13836</v>
      </c>
      <c r="V4158" s="148">
        <v>45575</v>
      </c>
      <c r="W4158" s="80" t="s">
        <v>14756</v>
      </c>
      <c r="X4158" s="80"/>
      <c r="Y4158" s="22">
        <v>100</v>
      </c>
      <c r="Z4158" s="80" t="s">
        <v>50</v>
      </c>
      <c r="AA4158" s="35" t="s">
        <v>9905</v>
      </c>
      <c r="AB4158" s="80"/>
      <c r="AC4158" s="80" t="s">
        <v>53</v>
      </c>
      <c r="AD4158" s="80" t="s">
        <v>138</v>
      </c>
      <c r="AE4158" s="80" t="s">
        <v>12799</v>
      </c>
      <c r="AF4158" s="17">
        <v>45615</v>
      </c>
      <c r="AG4158" s="80"/>
      <c r="AH4158" s="80"/>
      <c r="AI4158" s="147"/>
      <c r="AJ4158" s="80"/>
      <c r="AK4158" s="80"/>
      <c r="AL4158" s="35"/>
      <c r="AM4158" s="35"/>
      <c r="AN4158" s="35"/>
      <c r="AO4158" s="35"/>
      <c r="AP4158" s="35"/>
    </row>
    <row r="4159" spans="1:42" x14ac:dyDescent="0.2">
      <c r="A4159" s="38">
        <v>45608</v>
      </c>
      <c r="B4159" s="137" t="s">
        <v>37</v>
      </c>
      <c r="C4159" s="41" t="s">
        <v>118</v>
      </c>
      <c r="D4159" s="80" t="s">
        <v>36</v>
      </c>
      <c r="E4159" s="80" t="s">
        <v>139</v>
      </c>
      <c r="F4159" s="80" t="s">
        <v>12799</v>
      </c>
      <c r="G4159" s="80" t="s">
        <v>108</v>
      </c>
      <c r="H4159" s="80" t="s">
        <v>14200</v>
      </c>
      <c r="I4159" s="17">
        <f ca="1">IFERROR(__xludf.DUMMYFUNCTION("""COMPUTED_VALUE"""),45607)</f>
        <v>45607</v>
      </c>
      <c r="J4159" s="143" t="s">
        <v>14757</v>
      </c>
      <c r="K4159" s="80" t="s">
        <v>14758</v>
      </c>
      <c r="L4159" s="30">
        <v>857352057</v>
      </c>
      <c r="M4159" s="80" t="s">
        <v>5429</v>
      </c>
      <c r="N4159" s="80" t="s">
        <v>9251</v>
      </c>
      <c r="O4159" s="80" t="s">
        <v>14759</v>
      </c>
      <c r="P4159" s="144" t="s">
        <v>14760</v>
      </c>
      <c r="Q4159" s="20">
        <v>15936</v>
      </c>
      <c r="R4159" s="80" t="s">
        <v>36</v>
      </c>
      <c r="S4159" s="95">
        <f>100+1900</f>
        <v>2000</v>
      </c>
      <c r="T4159" s="83" t="s">
        <v>14761</v>
      </c>
      <c r="U4159" s="95">
        <v>13936</v>
      </c>
      <c r="V4159" s="148">
        <v>45575</v>
      </c>
      <c r="W4159" s="85" t="s">
        <v>14762</v>
      </c>
      <c r="X4159" s="80"/>
      <c r="Y4159" s="22">
        <v>0</v>
      </c>
      <c r="Z4159" s="80" t="s">
        <v>50</v>
      </c>
      <c r="AA4159" s="96" t="s">
        <v>9905</v>
      </c>
      <c r="AB4159" s="80"/>
      <c r="AC4159" s="80" t="s">
        <v>53</v>
      </c>
      <c r="AD4159" s="80" t="s">
        <v>138</v>
      </c>
      <c r="AE4159" s="80" t="s">
        <v>12799</v>
      </c>
      <c r="AF4159" s="17">
        <v>45609</v>
      </c>
      <c r="AG4159" s="80" t="s">
        <v>14763</v>
      </c>
      <c r="AH4159" s="80"/>
      <c r="AI4159" s="147"/>
      <c r="AJ4159" s="80"/>
      <c r="AK4159" s="80"/>
      <c r="AL4159" s="35"/>
      <c r="AM4159" s="35"/>
      <c r="AN4159" s="35"/>
      <c r="AO4159" s="35"/>
      <c r="AP4159" s="35"/>
    </row>
    <row r="4160" spans="1:42" x14ac:dyDescent="0.2">
      <c r="A4160" s="126">
        <v>45465.965097824075</v>
      </c>
      <c r="B4160" s="28" t="s">
        <v>37</v>
      </c>
      <c r="C4160" s="41" t="s">
        <v>118</v>
      </c>
      <c r="D4160" s="26" t="s">
        <v>36</v>
      </c>
      <c r="E4160" s="26" t="s">
        <v>139</v>
      </c>
      <c r="F4160" s="26" t="s">
        <v>36</v>
      </c>
      <c r="G4160" s="26" t="s">
        <v>41</v>
      </c>
      <c r="H4160" s="26" t="s">
        <v>8830</v>
      </c>
      <c r="I4160" s="17">
        <f ca="1">IFERROR(__xludf.DUMMYFUNCTION("""COMPUTED_VALUE"""),45478)</f>
        <v>45478</v>
      </c>
      <c r="J4160" s="29" t="s">
        <v>14764</v>
      </c>
      <c r="K4160" s="19" t="s">
        <v>14765</v>
      </c>
      <c r="L4160" s="47">
        <v>345580946</v>
      </c>
      <c r="M4160" s="19" t="s">
        <v>910</v>
      </c>
      <c r="N4160" s="19" t="s">
        <v>3525</v>
      </c>
      <c r="O4160" s="26" t="s">
        <v>14766</v>
      </c>
      <c r="P4160" s="26" t="s">
        <v>14767</v>
      </c>
      <c r="Q4160" s="20">
        <v>15936</v>
      </c>
      <c r="R4160" s="26" t="s">
        <v>36</v>
      </c>
      <c r="S4160" s="95">
        <f>100+1868+5000</f>
        <v>6968</v>
      </c>
      <c r="T4160" s="83" t="s">
        <v>14768</v>
      </c>
      <c r="U4160" s="95">
        <f>4000+4968</f>
        <v>8968</v>
      </c>
      <c r="V4160" s="83" t="s">
        <v>14769</v>
      </c>
      <c r="W4160" s="79" t="s">
        <v>14770</v>
      </c>
      <c r="X4160" s="26"/>
      <c r="Y4160" s="22">
        <v>0</v>
      </c>
      <c r="Z4160" s="26" t="s">
        <v>50</v>
      </c>
      <c r="AA4160" s="35" t="s">
        <v>9905</v>
      </c>
      <c r="AB4160" s="26" t="s">
        <v>36</v>
      </c>
      <c r="AC4160" s="26" t="s">
        <v>53</v>
      </c>
      <c r="AD4160" s="26" t="s">
        <v>54</v>
      </c>
      <c r="AE4160" s="26"/>
      <c r="AF4160" s="17">
        <v>45475</v>
      </c>
      <c r="AG4160" s="26"/>
      <c r="AH4160" s="26"/>
      <c r="AI4160" s="40"/>
      <c r="AJ4160" s="26"/>
      <c r="AK4160" s="26"/>
      <c r="AL4160" s="35"/>
      <c r="AM4160" s="35"/>
      <c r="AN4160" s="35"/>
      <c r="AO4160" s="35"/>
      <c r="AP4160" s="35"/>
    </row>
    <row r="4161" spans="1:42" x14ac:dyDescent="0.2">
      <c r="A4161" s="126">
        <v>45477.926594340279</v>
      </c>
      <c r="B4161" s="137" t="s">
        <v>37</v>
      </c>
      <c r="C4161" s="41" t="s">
        <v>118</v>
      </c>
      <c r="D4161" s="26" t="s">
        <v>36</v>
      </c>
      <c r="E4161" s="26" t="s">
        <v>139</v>
      </c>
      <c r="F4161" s="26" t="s">
        <v>36</v>
      </c>
      <c r="G4161" s="26" t="s">
        <v>41</v>
      </c>
      <c r="H4161" s="26" t="s">
        <v>12766</v>
      </c>
      <c r="I4161" s="17">
        <f ca="1">IFERROR(__xludf.DUMMYFUNCTION("""COMPUTED_VALUE"""),45555)</f>
        <v>45555</v>
      </c>
      <c r="J4161" s="29" t="s">
        <v>14122</v>
      </c>
      <c r="K4161" s="26" t="s">
        <v>14771</v>
      </c>
      <c r="L4161" s="30">
        <v>338516118</v>
      </c>
      <c r="M4161" s="26" t="s">
        <v>80</v>
      </c>
      <c r="N4161" s="26" t="s">
        <v>466</v>
      </c>
      <c r="O4161" s="26" t="s">
        <v>14124</v>
      </c>
      <c r="P4161" s="26" t="s">
        <v>14125</v>
      </c>
      <c r="Q4161" s="20">
        <v>15936</v>
      </c>
      <c r="R4161" s="26" t="s">
        <v>36</v>
      </c>
      <c r="S4161" s="95">
        <f>200+2000</f>
        <v>2200</v>
      </c>
      <c r="T4161" s="83" t="s">
        <v>14126</v>
      </c>
      <c r="U4161" s="95">
        <v>13936</v>
      </c>
      <c r="V4161" s="148">
        <v>45588</v>
      </c>
      <c r="W4161" s="33" t="s">
        <v>14127</v>
      </c>
      <c r="X4161" s="26"/>
      <c r="Y4161" s="22">
        <v>-200</v>
      </c>
      <c r="Z4161" s="26" t="s">
        <v>50</v>
      </c>
      <c r="AA4161" s="96" t="s">
        <v>9905</v>
      </c>
      <c r="AB4161" s="26"/>
      <c r="AC4161" s="26" t="s">
        <v>53</v>
      </c>
      <c r="AD4161" s="26" t="s">
        <v>54</v>
      </c>
      <c r="AE4161" s="26">
        <v>0</v>
      </c>
      <c r="AF4161" s="17">
        <v>45555</v>
      </c>
      <c r="AG4161" s="26"/>
      <c r="AH4161" s="26"/>
      <c r="AI4161" s="40"/>
      <c r="AJ4161" s="26"/>
      <c r="AK4161" s="26"/>
      <c r="AL4161" s="35"/>
      <c r="AM4161" s="35"/>
      <c r="AN4161" s="35"/>
      <c r="AO4161" s="35"/>
      <c r="AP4161" s="35"/>
    </row>
    <row r="4162" spans="1:42" x14ac:dyDescent="0.2">
      <c r="A4162" s="126">
        <v>45478.889534780094</v>
      </c>
      <c r="B4162" s="28" t="s">
        <v>37</v>
      </c>
      <c r="C4162" s="41" t="s">
        <v>118</v>
      </c>
      <c r="D4162" s="26" t="s">
        <v>36</v>
      </c>
      <c r="E4162" s="26" t="s">
        <v>56</v>
      </c>
      <c r="F4162" s="26" t="s">
        <v>36</v>
      </c>
      <c r="G4162" s="26" t="s">
        <v>41</v>
      </c>
      <c r="H4162" s="26" t="s">
        <v>8771</v>
      </c>
      <c r="I4162" s="17">
        <f ca="1">IFERROR(__xludf.DUMMYFUNCTION("""COMPUTED_VALUE"""),45481)</f>
        <v>45481</v>
      </c>
      <c r="J4162" s="29" t="s">
        <v>9901</v>
      </c>
      <c r="K4162" s="26" t="s">
        <v>14772</v>
      </c>
      <c r="L4162" s="30">
        <v>385692086</v>
      </c>
      <c r="M4162" s="26" t="s">
        <v>910</v>
      </c>
      <c r="N4162" s="26" t="s">
        <v>355</v>
      </c>
      <c r="O4162" s="26" t="s">
        <v>9903</v>
      </c>
      <c r="P4162" s="26" t="s">
        <v>14773</v>
      </c>
      <c r="Q4162" s="20">
        <v>9317</v>
      </c>
      <c r="R4162" s="26" t="s">
        <v>36</v>
      </c>
      <c r="S4162" s="95">
        <v>5736</v>
      </c>
      <c r="T4162" s="148">
        <v>45478</v>
      </c>
      <c r="U4162" s="95">
        <v>3581</v>
      </c>
      <c r="V4162" s="148">
        <v>45567</v>
      </c>
      <c r="W4162" s="33" t="s">
        <v>14774</v>
      </c>
      <c r="X4162" s="26"/>
      <c r="Y4162" s="22">
        <v>0</v>
      </c>
      <c r="Z4162" s="26" t="s">
        <v>50</v>
      </c>
      <c r="AA4162" s="35" t="s">
        <v>9905</v>
      </c>
      <c r="AB4162" s="26" t="s">
        <v>36</v>
      </c>
      <c r="AC4162" s="26" t="s">
        <v>53</v>
      </c>
      <c r="AD4162" s="26" t="s">
        <v>54</v>
      </c>
      <c r="AE4162" s="26"/>
      <c r="AF4162" s="17">
        <v>45481</v>
      </c>
      <c r="AG4162" s="26"/>
      <c r="AH4162" s="26"/>
      <c r="AI4162" s="40"/>
      <c r="AJ4162" s="26"/>
      <c r="AK4162" s="26"/>
      <c r="AL4162" s="35"/>
      <c r="AM4162" s="35"/>
      <c r="AN4162" s="35"/>
      <c r="AO4162" s="35"/>
      <c r="AP4162" s="35"/>
    </row>
    <row r="4163" spans="1:42" x14ac:dyDescent="0.2">
      <c r="A4163" s="126">
        <v>45480.93704326389</v>
      </c>
      <c r="B4163" s="137" t="s">
        <v>37</v>
      </c>
      <c r="C4163" s="41" t="s">
        <v>118</v>
      </c>
      <c r="D4163" s="26" t="s">
        <v>36</v>
      </c>
      <c r="E4163" s="26" t="s">
        <v>139</v>
      </c>
      <c r="F4163" s="26" t="s">
        <v>36</v>
      </c>
      <c r="G4163" s="80" t="s">
        <v>41</v>
      </c>
      <c r="H4163" s="26" t="s">
        <v>9626</v>
      </c>
      <c r="I4163" s="17">
        <f ca="1">IFERROR(__xludf.DUMMYFUNCTION("""COMPUTED_VALUE"""),45559)</f>
        <v>45559</v>
      </c>
      <c r="J4163" s="29" t="s">
        <v>14290</v>
      </c>
      <c r="K4163" s="26" t="s">
        <v>14291</v>
      </c>
      <c r="L4163" s="30">
        <v>965036399</v>
      </c>
      <c r="M4163" s="26" t="s">
        <v>5558</v>
      </c>
      <c r="N4163" s="26" t="s">
        <v>5559</v>
      </c>
      <c r="O4163" s="26" t="s">
        <v>4503</v>
      </c>
      <c r="P4163" s="26" t="s">
        <v>14292</v>
      </c>
      <c r="Q4163" s="20">
        <v>15936</v>
      </c>
      <c r="R4163" s="26" t="s">
        <v>36</v>
      </c>
      <c r="S4163" s="95">
        <f>200+1800</f>
        <v>2000</v>
      </c>
      <c r="T4163" s="83" t="s">
        <v>14293</v>
      </c>
      <c r="U4163" s="95">
        <f>6936+7000</f>
        <v>13936</v>
      </c>
      <c r="V4163" s="169">
        <v>45593</v>
      </c>
      <c r="W4163" s="33" t="s">
        <v>14294</v>
      </c>
      <c r="X4163" s="26"/>
      <c r="Y4163" s="22">
        <v>0</v>
      </c>
      <c r="Z4163" s="26" t="s">
        <v>50</v>
      </c>
      <c r="AA4163" s="96" t="s">
        <v>9905</v>
      </c>
      <c r="AB4163" s="26"/>
      <c r="AC4163" s="26" t="s">
        <v>53</v>
      </c>
      <c r="AD4163" s="26" t="s">
        <v>138</v>
      </c>
      <c r="AE4163" s="26"/>
      <c r="AF4163" s="17">
        <v>45559</v>
      </c>
      <c r="AG4163" s="26"/>
      <c r="AH4163" s="26"/>
      <c r="AI4163" s="40"/>
      <c r="AJ4163" s="26"/>
      <c r="AK4163" s="26"/>
      <c r="AL4163" s="35"/>
      <c r="AM4163" s="35"/>
      <c r="AN4163" s="35"/>
      <c r="AO4163" s="35"/>
      <c r="AP4163" s="35"/>
    </row>
    <row r="4164" spans="1:42" x14ac:dyDescent="0.2">
      <c r="A4164" s="126">
        <v>45485.457915636573</v>
      </c>
      <c r="B4164" s="137" t="s">
        <v>37</v>
      </c>
      <c r="C4164" s="41" t="s">
        <v>118</v>
      </c>
      <c r="D4164" s="26" t="s">
        <v>36</v>
      </c>
      <c r="E4164" s="26" t="s">
        <v>106</v>
      </c>
      <c r="F4164" s="26" t="s">
        <v>36</v>
      </c>
      <c r="G4164" s="26" t="s">
        <v>108</v>
      </c>
      <c r="H4164" s="26" t="s">
        <v>9825</v>
      </c>
      <c r="I4164" s="17">
        <f ca="1">IFERROR(__xludf.DUMMYFUNCTION("""COMPUTED_VALUE"""),45548)</f>
        <v>45548</v>
      </c>
      <c r="J4164" s="29" t="s">
        <v>14775</v>
      </c>
      <c r="K4164" s="26" t="s">
        <v>14776</v>
      </c>
      <c r="L4164" s="30">
        <v>396212122</v>
      </c>
      <c r="M4164" s="26" t="s">
        <v>80</v>
      </c>
      <c r="N4164" s="26" t="s">
        <v>466</v>
      </c>
      <c r="O4164" s="26" t="s">
        <v>14777</v>
      </c>
      <c r="P4164" s="26" t="s">
        <v>14778</v>
      </c>
      <c r="Q4164" s="20">
        <v>3768</v>
      </c>
      <c r="R4164" s="26" t="s">
        <v>36</v>
      </c>
      <c r="S4164" s="95">
        <f>200+3800</f>
        <v>4000</v>
      </c>
      <c r="T4164" s="83" t="s">
        <v>14779</v>
      </c>
      <c r="U4164" s="31"/>
      <c r="V4164" s="32"/>
      <c r="W4164" s="33" t="s">
        <v>14780</v>
      </c>
      <c r="X4164" s="26"/>
      <c r="Y4164" s="22">
        <v>-232</v>
      </c>
      <c r="Z4164" s="26" t="s">
        <v>50</v>
      </c>
      <c r="AA4164" s="35" t="s">
        <v>9905</v>
      </c>
      <c r="AB4164" s="26"/>
      <c r="AC4164" s="26" t="s">
        <v>53</v>
      </c>
      <c r="AD4164" s="26" t="s">
        <v>54</v>
      </c>
      <c r="AE4164" s="26">
        <v>470</v>
      </c>
      <c r="AF4164" s="17">
        <v>45548</v>
      </c>
      <c r="AG4164" s="26" t="s">
        <v>7078</v>
      </c>
      <c r="AH4164" s="26"/>
      <c r="AI4164" s="40"/>
      <c r="AJ4164" s="26"/>
      <c r="AK4164" s="26"/>
      <c r="AL4164" s="35"/>
      <c r="AM4164" s="35"/>
      <c r="AN4164" s="35"/>
      <c r="AO4164" s="35"/>
      <c r="AP4164" s="35"/>
    </row>
    <row r="4165" spans="1:42" x14ac:dyDescent="0.2">
      <c r="A4165" s="126">
        <v>45485.965606215279</v>
      </c>
      <c r="B4165" s="137" t="s">
        <v>37</v>
      </c>
      <c r="C4165" s="41" t="s">
        <v>118</v>
      </c>
      <c r="D4165" s="26" t="s">
        <v>36</v>
      </c>
      <c r="E4165" s="26" t="s">
        <v>139</v>
      </c>
      <c r="F4165" s="26" t="s">
        <v>36</v>
      </c>
      <c r="G4165" s="26" t="s">
        <v>41</v>
      </c>
      <c r="H4165" s="26" t="s">
        <v>11735</v>
      </c>
      <c r="I4165" s="17">
        <f ca="1">IFERROR(__xludf.DUMMYFUNCTION("""COMPUTED_VALUE"""),45555)</f>
        <v>45555</v>
      </c>
      <c r="J4165" s="29" t="s">
        <v>14268</v>
      </c>
      <c r="K4165" s="26" t="s">
        <v>14781</v>
      </c>
      <c r="L4165" s="30">
        <v>339690477</v>
      </c>
      <c r="M4165" s="26" t="s">
        <v>80</v>
      </c>
      <c r="N4165" s="26" t="s">
        <v>466</v>
      </c>
      <c r="O4165" s="26" t="s">
        <v>14270</v>
      </c>
      <c r="P4165" s="26" t="s">
        <v>14271</v>
      </c>
      <c r="Q4165" s="20">
        <v>15936</v>
      </c>
      <c r="R4165" s="26" t="s">
        <v>36</v>
      </c>
      <c r="S4165" s="95">
        <v>2000</v>
      </c>
      <c r="T4165" s="148">
        <v>45485</v>
      </c>
      <c r="U4165" s="95">
        <v>13936</v>
      </c>
      <c r="V4165" s="148">
        <v>45587</v>
      </c>
      <c r="W4165" s="33" t="s">
        <v>14272</v>
      </c>
      <c r="X4165" s="26"/>
      <c r="Y4165" s="22">
        <v>0</v>
      </c>
      <c r="Z4165" s="26" t="s">
        <v>50</v>
      </c>
      <c r="AA4165" s="96" t="s">
        <v>9905</v>
      </c>
      <c r="AB4165" s="26"/>
      <c r="AC4165" s="26" t="s">
        <v>53</v>
      </c>
      <c r="AD4165" s="26" t="s">
        <v>54</v>
      </c>
      <c r="AE4165" s="26">
        <v>0</v>
      </c>
      <c r="AF4165" s="17">
        <v>45486</v>
      </c>
      <c r="AG4165" s="26"/>
      <c r="AH4165" s="26"/>
      <c r="AI4165" s="40"/>
      <c r="AJ4165" s="26"/>
      <c r="AK4165" s="26"/>
      <c r="AL4165" s="35"/>
      <c r="AM4165" s="35"/>
      <c r="AN4165" s="35"/>
      <c r="AO4165" s="35"/>
      <c r="AP4165" s="35"/>
    </row>
    <row r="4166" spans="1:42" x14ac:dyDescent="0.2">
      <c r="A4166" s="126">
        <v>45486.898282060181</v>
      </c>
      <c r="B4166" s="28" t="s">
        <v>37</v>
      </c>
      <c r="C4166" s="41" t="s">
        <v>118</v>
      </c>
      <c r="D4166" s="26" t="s">
        <v>36</v>
      </c>
      <c r="E4166" s="26" t="s">
        <v>139</v>
      </c>
      <c r="F4166" s="26" t="s">
        <v>40</v>
      </c>
      <c r="G4166" s="80" t="s">
        <v>41</v>
      </c>
      <c r="H4166" s="26" t="s">
        <v>11747</v>
      </c>
      <c r="I4166" s="17">
        <f ca="1">IFERROR(__xludf.DUMMYFUNCTION("""COMPUTED_VALUE"""),45559)</f>
        <v>45559</v>
      </c>
      <c r="J4166" s="29" t="s">
        <v>14485</v>
      </c>
      <c r="K4166" s="26" t="s">
        <v>14782</v>
      </c>
      <c r="L4166" s="30">
        <v>969604423</v>
      </c>
      <c r="M4166" s="26" t="s">
        <v>5429</v>
      </c>
      <c r="N4166" s="26" t="s">
        <v>11095</v>
      </c>
      <c r="O4166" s="26" t="s">
        <v>14487</v>
      </c>
      <c r="P4166" s="26" t="s">
        <v>14488</v>
      </c>
      <c r="Q4166" s="20">
        <v>15936</v>
      </c>
      <c r="R4166" s="26" t="s">
        <v>36</v>
      </c>
      <c r="S4166" s="95">
        <f>200+1800</f>
        <v>2000</v>
      </c>
      <c r="T4166" s="83" t="s">
        <v>14489</v>
      </c>
      <c r="U4166" s="95">
        <v>13936</v>
      </c>
      <c r="V4166" s="148">
        <v>45595</v>
      </c>
      <c r="W4166" s="33" t="s">
        <v>14490</v>
      </c>
      <c r="X4166" s="26"/>
      <c r="Y4166" s="22">
        <v>0</v>
      </c>
      <c r="Z4166" s="26" t="s">
        <v>50</v>
      </c>
      <c r="AA4166" s="35" t="s">
        <v>9905</v>
      </c>
      <c r="AB4166" s="26"/>
      <c r="AC4166" s="26" t="s">
        <v>53</v>
      </c>
      <c r="AD4166" s="26" t="s">
        <v>138</v>
      </c>
      <c r="AE4166" s="26" t="s">
        <v>430</v>
      </c>
      <c r="AF4166" s="17">
        <v>45559</v>
      </c>
      <c r="AG4166" s="26"/>
      <c r="AH4166" s="26"/>
      <c r="AI4166" s="40"/>
      <c r="AJ4166" s="26"/>
      <c r="AK4166" s="26"/>
      <c r="AL4166" s="35"/>
      <c r="AM4166" s="35"/>
      <c r="AN4166" s="35"/>
      <c r="AO4166" s="35"/>
      <c r="AP4166" s="35"/>
    </row>
    <row r="4167" spans="1:42" x14ac:dyDescent="0.2">
      <c r="A4167" s="126">
        <v>45490.901443819443</v>
      </c>
      <c r="B4167" s="28" t="s">
        <v>37</v>
      </c>
      <c r="C4167" s="41" t="s">
        <v>118</v>
      </c>
      <c r="D4167" s="26" t="s">
        <v>36</v>
      </c>
      <c r="E4167" s="26" t="s">
        <v>915</v>
      </c>
      <c r="F4167" s="26" t="s">
        <v>36</v>
      </c>
      <c r="G4167" s="26" t="s">
        <v>221</v>
      </c>
      <c r="H4167" s="26" t="s">
        <v>7024</v>
      </c>
      <c r="I4167" s="17">
        <f ca="1">IFERROR(__xludf.DUMMYFUNCTION("""COMPUTED_VALUE"""),45557)</f>
        <v>45557</v>
      </c>
      <c r="J4167" s="29" t="s">
        <v>14783</v>
      </c>
      <c r="K4167" s="26" t="s">
        <v>14784</v>
      </c>
      <c r="L4167" s="30">
        <v>388721585</v>
      </c>
      <c r="M4167" s="26" t="s">
        <v>3728</v>
      </c>
      <c r="N4167" s="26" t="s">
        <v>5277</v>
      </c>
      <c r="O4167" s="26" t="s">
        <v>14785</v>
      </c>
      <c r="P4167" s="26" t="s">
        <v>14786</v>
      </c>
      <c r="Q4167" s="20">
        <v>10894</v>
      </c>
      <c r="R4167" s="26" t="s">
        <v>36</v>
      </c>
      <c r="S4167" s="95">
        <f>500+3500</f>
        <v>4000</v>
      </c>
      <c r="T4167" s="83" t="s">
        <v>14787</v>
      </c>
      <c r="U4167" s="95">
        <v>6894</v>
      </c>
      <c r="V4167" s="148">
        <v>45576</v>
      </c>
      <c r="W4167" s="33" t="s">
        <v>14788</v>
      </c>
      <c r="X4167" s="26"/>
      <c r="Y4167" s="22">
        <v>0</v>
      </c>
      <c r="Z4167" s="26" t="s">
        <v>50</v>
      </c>
      <c r="AA4167" s="96" t="s">
        <v>9905</v>
      </c>
      <c r="AB4167" s="26"/>
      <c r="AC4167" s="26" t="s">
        <v>53</v>
      </c>
      <c r="AD4167" s="26" t="s">
        <v>138</v>
      </c>
      <c r="AE4167" s="26"/>
      <c r="AF4167" s="17">
        <v>45557</v>
      </c>
      <c r="AG4167" s="26"/>
      <c r="AH4167" s="26"/>
      <c r="AI4167" s="40"/>
      <c r="AJ4167" s="26"/>
      <c r="AK4167" s="26"/>
      <c r="AL4167" s="35"/>
      <c r="AM4167" s="35"/>
      <c r="AN4167" s="35"/>
      <c r="AO4167" s="35"/>
      <c r="AP4167" s="35"/>
    </row>
    <row r="4168" spans="1:42" x14ac:dyDescent="0.2">
      <c r="A4168" s="126">
        <v>45502.899225173613</v>
      </c>
      <c r="B4168" s="137" t="s">
        <v>37</v>
      </c>
      <c r="C4168" s="41" t="s">
        <v>118</v>
      </c>
      <c r="D4168" s="80" t="s">
        <v>36</v>
      </c>
      <c r="E4168" s="80" t="s">
        <v>39</v>
      </c>
      <c r="F4168" s="26" t="s">
        <v>36</v>
      </c>
      <c r="G4168" s="26" t="s">
        <v>41</v>
      </c>
      <c r="H4168" s="80" t="s">
        <v>5666</v>
      </c>
      <c r="I4168" s="17">
        <f ca="1">IFERROR(__xludf.DUMMYFUNCTION("""COMPUTED_VALUE"""),45540)</f>
        <v>45540</v>
      </c>
      <c r="J4168" s="143" t="s">
        <v>13971</v>
      </c>
      <c r="K4168" s="80" t="s">
        <v>13972</v>
      </c>
      <c r="L4168" s="30">
        <v>918195958</v>
      </c>
      <c r="M4168" s="80" t="s">
        <v>5558</v>
      </c>
      <c r="N4168" s="80" t="s">
        <v>5559</v>
      </c>
      <c r="O4168" s="80" t="s">
        <v>4503</v>
      </c>
      <c r="P4168" s="80" t="s">
        <v>13973</v>
      </c>
      <c r="Q4168" s="20">
        <v>5736</v>
      </c>
      <c r="R4168" s="80" t="s">
        <v>36</v>
      </c>
      <c r="S4168" s="95">
        <f>2000+4000</f>
        <v>6000</v>
      </c>
      <c r="T4168" s="83" t="s">
        <v>13974</v>
      </c>
      <c r="U4168" s="77"/>
      <c r="V4168" s="78"/>
      <c r="W4168" s="85" t="s">
        <v>13975</v>
      </c>
      <c r="X4168" s="80"/>
      <c r="Y4168" s="22">
        <v>-264</v>
      </c>
      <c r="Z4168" s="80" t="s">
        <v>50</v>
      </c>
      <c r="AA4168" s="35" t="s">
        <v>9905</v>
      </c>
      <c r="AB4168" s="80"/>
      <c r="AC4168" s="80" t="s">
        <v>53</v>
      </c>
      <c r="AD4168" s="80" t="s">
        <v>138</v>
      </c>
      <c r="AE4168" s="80"/>
      <c r="AF4168" s="17">
        <v>45540</v>
      </c>
      <c r="AG4168" s="26" t="s">
        <v>7078</v>
      </c>
      <c r="AH4168" s="80"/>
      <c r="AI4168" s="147"/>
      <c r="AJ4168" s="80"/>
      <c r="AK4168" s="80"/>
      <c r="AL4168" s="35"/>
      <c r="AM4168" s="35"/>
      <c r="AN4168" s="35"/>
      <c r="AO4168" s="35"/>
      <c r="AP4168" s="35"/>
    </row>
    <row r="4169" spans="1:42" x14ac:dyDescent="0.2">
      <c r="A4169" s="126">
        <v>45506.879859907407</v>
      </c>
      <c r="B4169" s="137" t="s">
        <v>37</v>
      </c>
      <c r="C4169" s="41" t="s">
        <v>118</v>
      </c>
      <c r="D4169" s="80" t="s">
        <v>36</v>
      </c>
      <c r="E4169" s="80" t="s">
        <v>77</v>
      </c>
      <c r="F4169" s="80" t="s">
        <v>36</v>
      </c>
      <c r="G4169" s="80" t="s">
        <v>41</v>
      </c>
      <c r="H4169" s="80" t="s">
        <v>9763</v>
      </c>
      <c r="I4169" s="17">
        <f ca="1">IFERROR(__xludf.DUMMYFUNCTION("""COMPUTED_VALUE"""),45512)</f>
        <v>45512</v>
      </c>
      <c r="J4169" s="143" t="s">
        <v>14789</v>
      </c>
      <c r="K4169" s="80" t="s">
        <v>14790</v>
      </c>
      <c r="L4169" s="30">
        <v>357148816</v>
      </c>
      <c r="M4169" s="80" t="s">
        <v>80</v>
      </c>
      <c r="N4169" s="80" t="s">
        <v>466</v>
      </c>
      <c r="O4169" s="80" t="s">
        <v>14791</v>
      </c>
      <c r="P4169" s="80" t="s">
        <v>14792</v>
      </c>
      <c r="Q4169" s="20">
        <v>1968</v>
      </c>
      <c r="R4169" s="80" t="s">
        <v>36</v>
      </c>
      <c r="S4169" s="95">
        <f>200+1800</f>
        <v>2000</v>
      </c>
      <c r="T4169" s="83" t="s">
        <v>14793</v>
      </c>
      <c r="U4169" s="77"/>
      <c r="V4169" s="78"/>
      <c r="W4169" s="85" t="s">
        <v>14794</v>
      </c>
      <c r="X4169" s="80"/>
      <c r="Y4169" s="22">
        <v>-32</v>
      </c>
      <c r="Z4169" s="80" t="s">
        <v>50</v>
      </c>
      <c r="AA4169" s="96" t="s">
        <v>9905</v>
      </c>
      <c r="AB4169" s="80"/>
      <c r="AC4169" s="80" t="s">
        <v>53</v>
      </c>
      <c r="AD4169" s="80" t="s">
        <v>54</v>
      </c>
      <c r="AE4169" s="83">
        <v>0</v>
      </c>
      <c r="AF4169" s="17">
        <v>45509</v>
      </c>
      <c r="AG4169" s="80" t="s">
        <v>7078</v>
      </c>
      <c r="AH4169" s="80"/>
      <c r="AI4169" s="147"/>
      <c r="AJ4169" s="80"/>
      <c r="AK4169" s="80"/>
      <c r="AL4169" s="35"/>
      <c r="AM4169" s="35"/>
      <c r="AN4169" s="35"/>
      <c r="AO4169" s="35"/>
      <c r="AP4169" s="35"/>
    </row>
    <row r="4170" spans="1:42" x14ac:dyDescent="0.2">
      <c r="A4170" s="126">
        <v>45513.320503877316</v>
      </c>
      <c r="B4170" s="137" t="s">
        <v>90</v>
      </c>
      <c r="C4170" s="41" t="s">
        <v>118</v>
      </c>
      <c r="D4170" s="80" t="s">
        <v>36</v>
      </c>
      <c r="E4170" s="80" t="s">
        <v>77</v>
      </c>
      <c r="F4170" s="80" t="s">
        <v>40</v>
      </c>
      <c r="G4170" s="80" t="s">
        <v>41</v>
      </c>
      <c r="H4170" s="80" t="s">
        <v>14795</v>
      </c>
      <c r="I4170" s="17" t="str">
        <f ca="1">IFERROR(__xludf.DUMMYFUNCTION("""COMPUTED_VALUE""")," ")</f>
        <v xml:space="preserve"> </v>
      </c>
      <c r="J4170" s="143" t="s">
        <v>14796</v>
      </c>
      <c r="K4170" s="80" t="s">
        <v>14797</v>
      </c>
      <c r="L4170" s="30">
        <v>904141856</v>
      </c>
      <c r="M4170" s="80" t="s">
        <v>123</v>
      </c>
      <c r="N4170" s="80" t="s">
        <v>186</v>
      </c>
      <c r="O4170" s="80" t="s">
        <v>4503</v>
      </c>
      <c r="P4170" s="80" t="s">
        <v>14798</v>
      </c>
      <c r="Q4170" s="20">
        <v>1968</v>
      </c>
      <c r="R4170" s="80" t="s">
        <v>36</v>
      </c>
      <c r="S4170" s="95">
        <v>2000</v>
      </c>
      <c r="T4170" s="148">
        <v>45512</v>
      </c>
      <c r="U4170" s="77"/>
      <c r="V4170" s="78"/>
      <c r="W4170" s="85" t="s">
        <v>14799</v>
      </c>
      <c r="X4170" s="80"/>
      <c r="Y4170" s="22">
        <v>-32</v>
      </c>
      <c r="Z4170" s="80" t="s">
        <v>50</v>
      </c>
      <c r="AA4170" s="35" t="s">
        <v>9905</v>
      </c>
      <c r="AB4170" s="80" t="s">
        <v>4503</v>
      </c>
      <c r="AC4170" s="80" t="s">
        <v>2218</v>
      </c>
      <c r="AD4170" s="80" t="s">
        <v>54</v>
      </c>
      <c r="AE4170" s="80"/>
      <c r="AF4170" s="17">
        <v>45512</v>
      </c>
      <c r="AG4170" s="80" t="s">
        <v>14800</v>
      </c>
      <c r="AH4170" s="80"/>
      <c r="AI4170" s="147"/>
      <c r="AJ4170" s="80"/>
      <c r="AK4170" s="80"/>
      <c r="AL4170" s="35"/>
      <c r="AM4170" s="35"/>
      <c r="AN4170" s="35"/>
      <c r="AO4170" s="35"/>
      <c r="AP4170" s="35"/>
    </row>
    <row r="4171" spans="1:42" x14ac:dyDescent="0.2">
      <c r="A4171" s="126">
        <v>45514.936540405091</v>
      </c>
      <c r="B4171" s="137" t="s">
        <v>37</v>
      </c>
      <c r="C4171" s="41" t="s">
        <v>118</v>
      </c>
      <c r="D4171" s="80" t="s">
        <v>36</v>
      </c>
      <c r="E4171" s="80" t="s">
        <v>106</v>
      </c>
      <c r="F4171" s="80" t="s">
        <v>36</v>
      </c>
      <c r="G4171" s="80" t="s">
        <v>108</v>
      </c>
      <c r="H4171" s="80" t="s">
        <v>450</v>
      </c>
      <c r="I4171" s="17">
        <f ca="1">IFERROR(__xludf.DUMMYFUNCTION("""COMPUTED_VALUE"""),45525)</f>
        <v>45525</v>
      </c>
      <c r="J4171" s="143" t="s">
        <v>14801</v>
      </c>
      <c r="K4171" s="80" t="s">
        <v>14802</v>
      </c>
      <c r="L4171" s="30">
        <v>379973013</v>
      </c>
      <c r="M4171" s="80" t="s">
        <v>80</v>
      </c>
      <c r="N4171" s="80" t="s">
        <v>466</v>
      </c>
      <c r="O4171" s="80" t="s">
        <v>14803</v>
      </c>
      <c r="P4171" s="80" t="s">
        <v>14804</v>
      </c>
      <c r="Q4171" s="20">
        <v>3768</v>
      </c>
      <c r="R4171" s="80" t="s">
        <v>36</v>
      </c>
      <c r="S4171" s="95">
        <f>200+3800</f>
        <v>4000</v>
      </c>
      <c r="T4171" s="83" t="s">
        <v>12191</v>
      </c>
      <c r="U4171" s="77"/>
      <c r="V4171" s="78"/>
      <c r="W4171" s="85" t="s">
        <v>14805</v>
      </c>
      <c r="X4171" s="80"/>
      <c r="Y4171" s="22">
        <v>-232</v>
      </c>
      <c r="Z4171" s="80" t="s">
        <v>50</v>
      </c>
      <c r="AA4171" s="96" t="s">
        <v>9905</v>
      </c>
      <c r="AB4171" s="80"/>
      <c r="AC4171" s="80" t="s">
        <v>53</v>
      </c>
      <c r="AD4171" s="80" t="s">
        <v>54</v>
      </c>
      <c r="AE4171" s="83">
        <v>430</v>
      </c>
      <c r="AF4171" s="17">
        <v>45520</v>
      </c>
      <c r="AG4171" s="80" t="s">
        <v>7078</v>
      </c>
      <c r="AH4171" s="80"/>
      <c r="AI4171" s="147"/>
      <c r="AJ4171" s="80"/>
      <c r="AK4171" s="80"/>
      <c r="AL4171" s="35"/>
      <c r="AM4171" s="35"/>
      <c r="AN4171" s="35"/>
      <c r="AO4171" s="35"/>
      <c r="AP4171" s="35"/>
    </row>
    <row r="4172" spans="1:42" x14ac:dyDescent="0.2">
      <c r="A4172" s="126">
        <v>45516.322971030095</v>
      </c>
      <c r="B4172" s="137" t="s">
        <v>37</v>
      </c>
      <c r="C4172" s="41" t="s">
        <v>118</v>
      </c>
      <c r="D4172" s="80" t="s">
        <v>36</v>
      </c>
      <c r="E4172" s="80" t="s">
        <v>77</v>
      </c>
      <c r="F4172" s="80" t="s">
        <v>40</v>
      </c>
      <c r="G4172" s="80" t="s">
        <v>41</v>
      </c>
      <c r="H4172" s="80" t="s">
        <v>12049</v>
      </c>
      <c r="I4172" s="17">
        <f ca="1">IFERROR(__xludf.DUMMYFUNCTION("""COMPUTED_VALUE"""),45522)</f>
        <v>45522</v>
      </c>
      <c r="J4172" s="143" t="s">
        <v>14806</v>
      </c>
      <c r="K4172" s="80" t="s">
        <v>14807</v>
      </c>
      <c r="L4172" s="30">
        <v>397479182</v>
      </c>
      <c r="M4172" s="80" t="s">
        <v>123</v>
      </c>
      <c r="N4172" s="80" t="s">
        <v>186</v>
      </c>
      <c r="O4172" s="80" t="s">
        <v>4503</v>
      </c>
      <c r="P4172" s="80" t="s">
        <v>14808</v>
      </c>
      <c r="Q4172" s="20">
        <v>1968</v>
      </c>
      <c r="R4172" s="80" t="s">
        <v>36</v>
      </c>
      <c r="S4172" s="95">
        <v>2000</v>
      </c>
      <c r="T4172" s="148">
        <v>45515</v>
      </c>
      <c r="U4172" s="77"/>
      <c r="V4172" s="78"/>
      <c r="W4172" s="85" t="s">
        <v>14809</v>
      </c>
      <c r="X4172" s="80"/>
      <c r="Y4172" s="22">
        <v>-32</v>
      </c>
      <c r="Z4172" s="80" t="s">
        <v>50</v>
      </c>
      <c r="AA4172" s="35" t="s">
        <v>9905</v>
      </c>
      <c r="AB4172" s="80"/>
      <c r="AC4172" s="80" t="s">
        <v>53</v>
      </c>
      <c r="AD4172" s="80" t="s">
        <v>54</v>
      </c>
      <c r="AE4172" s="80"/>
      <c r="AF4172" s="17">
        <v>45517</v>
      </c>
      <c r="AG4172" s="80" t="s">
        <v>7078</v>
      </c>
      <c r="AH4172" s="80"/>
      <c r="AI4172" s="147"/>
      <c r="AJ4172" s="80"/>
      <c r="AK4172" s="80"/>
      <c r="AL4172" s="35"/>
      <c r="AM4172" s="35"/>
      <c r="AN4172" s="35"/>
      <c r="AO4172" s="35"/>
      <c r="AP4172" s="35"/>
    </row>
    <row r="4173" spans="1:42" x14ac:dyDescent="0.2">
      <c r="A4173" s="126">
        <v>45516.33033592593</v>
      </c>
      <c r="B4173" s="137" t="s">
        <v>37</v>
      </c>
      <c r="C4173" s="41" t="s">
        <v>118</v>
      </c>
      <c r="D4173" s="80" t="s">
        <v>36</v>
      </c>
      <c r="E4173" s="80" t="s">
        <v>77</v>
      </c>
      <c r="F4173" s="80" t="s">
        <v>40</v>
      </c>
      <c r="G4173" s="80" t="s">
        <v>41</v>
      </c>
      <c r="H4173" s="80" t="s">
        <v>11211</v>
      </c>
      <c r="I4173" s="17">
        <f ca="1">IFERROR(__xludf.DUMMYFUNCTION("""COMPUTED_VALUE"""),45519)</f>
        <v>45519</v>
      </c>
      <c r="J4173" s="143" t="s">
        <v>14810</v>
      </c>
      <c r="K4173" s="80" t="s">
        <v>14811</v>
      </c>
      <c r="L4173" s="30">
        <v>365903832</v>
      </c>
      <c r="M4173" s="80" t="s">
        <v>123</v>
      </c>
      <c r="N4173" s="80" t="s">
        <v>327</v>
      </c>
      <c r="O4173" s="80" t="s">
        <v>4503</v>
      </c>
      <c r="P4173" s="80" t="s">
        <v>14812</v>
      </c>
      <c r="Q4173" s="20">
        <v>1968</v>
      </c>
      <c r="R4173" s="80" t="s">
        <v>36</v>
      </c>
      <c r="S4173" s="95">
        <f>200+1800</f>
        <v>2000</v>
      </c>
      <c r="T4173" s="83" t="s">
        <v>11320</v>
      </c>
      <c r="U4173" s="95"/>
      <c r="V4173" s="148"/>
      <c r="W4173" s="80" t="s">
        <v>14813</v>
      </c>
      <c r="X4173" s="80"/>
      <c r="Y4173" s="22">
        <v>-32</v>
      </c>
      <c r="Z4173" s="80" t="s">
        <v>50</v>
      </c>
      <c r="AA4173" s="96" t="s">
        <v>9905</v>
      </c>
      <c r="AB4173" s="80"/>
      <c r="AC4173" s="80" t="s">
        <v>53</v>
      </c>
      <c r="AD4173" s="80" t="s">
        <v>54</v>
      </c>
      <c r="AE4173" s="80"/>
      <c r="AF4173" s="17">
        <v>45516</v>
      </c>
      <c r="AG4173" s="80" t="s">
        <v>7078</v>
      </c>
      <c r="AH4173" s="80"/>
      <c r="AI4173" s="147"/>
      <c r="AJ4173" s="80"/>
      <c r="AK4173" s="80"/>
      <c r="AL4173" s="35"/>
      <c r="AM4173" s="35"/>
      <c r="AN4173" s="35"/>
      <c r="AO4173" s="35"/>
      <c r="AP4173" s="35"/>
    </row>
    <row r="4174" spans="1:42" x14ac:dyDescent="0.2">
      <c r="A4174" s="126">
        <v>45517.651628796295</v>
      </c>
      <c r="B4174" s="137" t="s">
        <v>37</v>
      </c>
      <c r="C4174" s="41" t="s">
        <v>118</v>
      </c>
      <c r="D4174" s="80" t="s">
        <v>36</v>
      </c>
      <c r="E4174" s="80" t="s">
        <v>77</v>
      </c>
      <c r="F4174" s="80" t="s">
        <v>36</v>
      </c>
      <c r="G4174" s="80" t="s">
        <v>41</v>
      </c>
      <c r="H4174" s="80" t="s">
        <v>11428</v>
      </c>
      <c r="I4174" s="17">
        <f ca="1">IFERROR(__xludf.DUMMYFUNCTION("""COMPUTED_VALUE"""),45527)</f>
        <v>45527</v>
      </c>
      <c r="J4174" s="143" t="s">
        <v>14814</v>
      </c>
      <c r="K4174" s="80" t="s">
        <v>14815</v>
      </c>
      <c r="L4174" s="30">
        <v>962525365</v>
      </c>
      <c r="M4174" s="80" t="s">
        <v>123</v>
      </c>
      <c r="N4174" s="80" t="s">
        <v>327</v>
      </c>
      <c r="O4174" s="80" t="s">
        <v>4503</v>
      </c>
      <c r="P4174" s="80" t="s">
        <v>14816</v>
      </c>
      <c r="Q4174" s="20">
        <v>1968</v>
      </c>
      <c r="R4174" s="80" t="s">
        <v>36</v>
      </c>
      <c r="S4174" s="95">
        <v>2000</v>
      </c>
      <c r="T4174" s="148">
        <v>45517</v>
      </c>
      <c r="U4174" s="77"/>
      <c r="V4174" s="78"/>
      <c r="W4174" s="85" t="s">
        <v>14817</v>
      </c>
      <c r="X4174" s="80"/>
      <c r="Y4174" s="22">
        <v>-32</v>
      </c>
      <c r="Z4174" s="80" t="s">
        <v>50</v>
      </c>
      <c r="AA4174" s="35" t="s">
        <v>9905</v>
      </c>
      <c r="AB4174" s="80"/>
      <c r="AC4174" s="80" t="s">
        <v>53</v>
      </c>
      <c r="AD4174" s="80" t="s">
        <v>54</v>
      </c>
      <c r="AE4174" s="80"/>
      <c r="AF4174" s="17">
        <v>45517</v>
      </c>
      <c r="AG4174" s="80" t="s">
        <v>7078</v>
      </c>
      <c r="AH4174" s="80"/>
      <c r="AI4174" s="147"/>
      <c r="AJ4174" s="80"/>
      <c r="AK4174" s="80"/>
      <c r="AL4174" s="35"/>
      <c r="AM4174" s="35"/>
      <c r="AN4174" s="35"/>
      <c r="AO4174" s="35"/>
      <c r="AP4174" s="35"/>
    </row>
    <row r="4175" spans="1:42" x14ac:dyDescent="0.2">
      <c r="A4175" s="126">
        <v>45520.823298958334</v>
      </c>
      <c r="B4175" s="137" t="s">
        <v>37</v>
      </c>
      <c r="C4175" s="41" t="s">
        <v>118</v>
      </c>
      <c r="D4175" s="80" t="s">
        <v>36</v>
      </c>
      <c r="E4175" s="80" t="s">
        <v>139</v>
      </c>
      <c r="F4175" s="80" t="s">
        <v>36</v>
      </c>
      <c r="G4175" s="80" t="s">
        <v>41</v>
      </c>
      <c r="H4175" s="80" t="s">
        <v>11428</v>
      </c>
      <c r="I4175" s="17">
        <f ca="1">IFERROR(__xludf.DUMMYFUNCTION("""COMPUTED_VALUE"""),45527)</f>
        <v>45527</v>
      </c>
      <c r="J4175" s="143" t="s">
        <v>13774</v>
      </c>
      <c r="K4175" s="80" t="s">
        <v>14818</v>
      </c>
      <c r="L4175" s="30">
        <v>911445377</v>
      </c>
      <c r="M4175" s="80" t="s">
        <v>3728</v>
      </c>
      <c r="N4175" s="80" t="s">
        <v>5277</v>
      </c>
      <c r="O4175" s="80" t="s">
        <v>13776</v>
      </c>
      <c r="P4175" s="144" t="s">
        <v>14819</v>
      </c>
      <c r="Q4175" s="20">
        <v>15936</v>
      </c>
      <c r="R4175" s="80" t="s">
        <v>36</v>
      </c>
      <c r="S4175" s="95">
        <v>2000</v>
      </c>
      <c r="T4175" s="148">
        <v>45520</v>
      </c>
      <c r="U4175" s="95">
        <v>13936</v>
      </c>
      <c r="V4175" s="148">
        <v>45566</v>
      </c>
      <c r="W4175" s="85" t="s">
        <v>13778</v>
      </c>
      <c r="X4175" s="80"/>
      <c r="Y4175" s="22">
        <v>0</v>
      </c>
      <c r="Z4175" s="80" t="s">
        <v>50</v>
      </c>
      <c r="AA4175" s="96" t="s">
        <v>9905</v>
      </c>
      <c r="AB4175" s="26" t="s">
        <v>36</v>
      </c>
      <c r="AC4175" s="80" t="s">
        <v>53</v>
      </c>
      <c r="AD4175" s="80" t="s">
        <v>54</v>
      </c>
      <c r="AE4175" s="80"/>
      <c r="AF4175" s="17">
        <v>45521</v>
      </c>
      <c r="AG4175" s="80"/>
      <c r="AH4175" s="80"/>
      <c r="AI4175" s="147"/>
      <c r="AJ4175" s="80"/>
      <c r="AK4175" s="80"/>
      <c r="AL4175" s="35"/>
      <c r="AM4175" s="35"/>
      <c r="AN4175" s="35"/>
      <c r="AO4175" s="35"/>
      <c r="AP4175" s="35"/>
    </row>
    <row r="4176" spans="1:42" x14ac:dyDescent="0.2">
      <c r="A4176" s="126">
        <v>45520.838225381944</v>
      </c>
      <c r="B4176" s="137" t="s">
        <v>37</v>
      </c>
      <c r="C4176" s="41" t="s">
        <v>118</v>
      </c>
      <c r="D4176" s="80" t="s">
        <v>36</v>
      </c>
      <c r="E4176" s="80" t="s">
        <v>139</v>
      </c>
      <c r="F4176" s="80" t="s">
        <v>36</v>
      </c>
      <c r="G4176" s="80" t="s">
        <v>41</v>
      </c>
      <c r="H4176" s="80" t="s">
        <v>11595</v>
      </c>
      <c r="I4176" s="17">
        <f ca="1">IFERROR(__xludf.DUMMYFUNCTION("""COMPUTED_VALUE"""),45554)</f>
        <v>45554</v>
      </c>
      <c r="J4176" s="143" t="s">
        <v>14676</v>
      </c>
      <c r="K4176" s="80" t="s">
        <v>14820</v>
      </c>
      <c r="L4176" s="30">
        <v>965438781</v>
      </c>
      <c r="M4176" s="80" t="s">
        <v>80</v>
      </c>
      <c r="N4176" s="80" t="s">
        <v>1073</v>
      </c>
      <c r="O4176" s="80" t="s">
        <v>14678</v>
      </c>
      <c r="P4176" s="80" t="s">
        <v>2641</v>
      </c>
      <c r="Q4176" s="20">
        <v>15936</v>
      </c>
      <c r="R4176" s="80" t="s">
        <v>36</v>
      </c>
      <c r="S4176" s="95">
        <f>500+1500</f>
        <v>2000</v>
      </c>
      <c r="T4176" s="83" t="s">
        <v>14679</v>
      </c>
      <c r="U4176" s="95">
        <v>13936</v>
      </c>
      <c r="V4176" s="148">
        <v>45569</v>
      </c>
      <c r="W4176" s="85" t="s">
        <v>14680</v>
      </c>
      <c r="X4176" s="80"/>
      <c r="Y4176" s="22">
        <v>0</v>
      </c>
      <c r="Z4176" s="80" t="s">
        <v>50</v>
      </c>
      <c r="AA4176" s="35" t="s">
        <v>9905</v>
      </c>
      <c r="AB4176" s="80"/>
      <c r="AC4176" s="80" t="s">
        <v>53</v>
      </c>
      <c r="AD4176" s="80" t="s">
        <v>54</v>
      </c>
      <c r="AE4176" s="83">
        <v>0</v>
      </c>
      <c r="AF4176" s="17">
        <v>45554</v>
      </c>
      <c r="AG4176" s="80"/>
      <c r="AH4176" s="80"/>
      <c r="AI4176" s="147"/>
      <c r="AJ4176" s="80"/>
      <c r="AK4176" s="80"/>
      <c r="AL4176" s="35"/>
      <c r="AM4176" s="35"/>
      <c r="AN4176" s="35"/>
      <c r="AO4176" s="35"/>
      <c r="AP4176" s="35"/>
    </row>
    <row r="4177" spans="1:42" x14ac:dyDescent="0.2">
      <c r="A4177" s="126">
        <v>45521.51016607639</v>
      </c>
      <c r="B4177" s="137" t="s">
        <v>37</v>
      </c>
      <c r="C4177" s="41" t="s">
        <v>118</v>
      </c>
      <c r="D4177" s="80" t="s">
        <v>36</v>
      </c>
      <c r="E4177" s="80" t="s">
        <v>77</v>
      </c>
      <c r="F4177" s="80" t="s">
        <v>36</v>
      </c>
      <c r="G4177" s="80" t="s">
        <v>41</v>
      </c>
      <c r="H4177" s="80" t="s">
        <v>11428</v>
      </c>
      <c r="I4177" s="17">
        <f ca="1">IFERROR(__xludf.DUMMYFUNCTION("""COMPUTED_VALUE"""),45527)</f>
        <v>45527</v>
      </c>
      <c r="J4177" s="143" t="s">
        <v>14821</v>
      </c>
      <c r="K4177" s="80" t="s">
        <v>14822</v>
      </c>
      <c r="L4177" s="30">
        <v>356716816</v>
      </c>
      <c r="M4177" s="80" t="s">
        <v>80</v>
      </c>
      <c r="N4177" s="80" t="s">
        <v>466</v>
      </c>
      <c r="O4177" s="80" t="s">
        <v>14823</v>
      </c>
      <c r="P4177" s="80" t="s">
        <v>14824</v>
      </c>
      <c r="Q4177" s="20">
        <v>1968</v>
      </c>
      <c r="R4177" s="80" t="s">
        <v>36</v>
      </c>
      <c r="S4177" s="95">
        <v>2000</v>
      </c>
      <c r="T4177" s="148">
        <v>45520</v>
      </c>
      <c r="U4177" s="77"/>
      <c r="V4177" s="78"/>
      <c r="W4177" s="85" t="s">
        <v>14825</v>
      </c>
      <c r="X4177" s="26"/>
      <c r="Y4177" s="22">
        <v>-32</v>
      </c>
      <c r="Z4177" s="26" t="s">
        <v>50</v>
      </c>
      <c r="AA4177" s="96" t="s">
        <v>9905</v>
      </c>
      <c r="AB4177" s="26"/>
      <c r="AC4177" s="26"/>
      <c r="AD4177" s="26"/>
      <c r="AE4177" s="26"/>
      <c r="AF4177" s="17">
        <v>45521</v>
      </c>
      <c r="AG4177" s="26" t="s">
        <v>7078</v>
      </c>
      <c r="AH4177" s="26"/>
      <c r="AI4177" s="40"/>
      <c r="AJ4177" s="26"/>
      <c r="AK4177" s="26"/>
      <c r="AL4177" s="35"/>
      <c r="AM4177" s="35"/>
      <c r="AN4177" s="35"/>
      <c r="AO4177" s="35"/>
      <c r="AP4177" s="35"/>
    </row>
    <row r="4178" spans="1:42" x14ac:dyDescent="0.2">
      <c r="A4178" s="126">
        <v>45522.48590594907</v>
      </c>
      <c r="B4178" s="137" t="s">
        <v>37</v>
      </c>
      <c r="C4178" s="41" t="s">
        <v>118</v>
      </c>
      <c r="D4178" s="80" t="s">
        <v>36</v>
      </c>
      <c r="E4178" s="80" t="s">
        <v>139</v>
      </c>
      <c r="F4178" s="26" t="s">
        <v>36</v>
      </c>
      <c r="G4178" s="26" t="s">
        <v>41</v>
      </c>
      <c r="H4178" s="80" t="s">
        <v>11610</v>
      </c>
      <c r="I4178" s="17">
        <f ca="1">IFERROR(__xludf.DUMMYFUNCTION("""COMPUTED_VALUE"""),45552)</f>
        <v>45552</v>
      </c>
      <c r="J4178" s="143" t="s">
        <v>14067</v>
      </c>
      <c r="K4178" s="80" t="s">
        <v>14068</v>
      </c>
      <c r="L4178" s="30">
        <v>359400465</v>
      </c>
      <c r="M4178" s="80" t="s">
        <v>5429</v>
      </c>
      <c r="N4178" s="80" t="s">
        <v>81</v>
      </c>
      <c r="O4178" s="80" t="s">
        <v>14069</v>
      </c>
      <c r="P4178" s="80" t="s">
        <v>6368</v>
      </c>
      <c r="Q4178" s="20">
        <v>15936</v>
      </c>
      <c r="R4178" s="80" t="s">
        <v>36</v>
      </c>
      <c r="S4178" s="95">
        <f>200+1800</f>
        <v>2000</v>
      </c>
      <c r="T4178" s="83" t="s">
        <v>14070</v>
      </c>
      <c r="U4178" s="95">
        <v>13936</v>
      </c>
      <c r="V4178" s="148">
        <v>45576</v>
      </c>
      <c r="W4178" s="85" t="s">
        <v>14071</v>
      </c>
      <c r="X4178" s="80"/>
      <c r="Y4178" s="22">
        <v>0</v>
      </c>
      <c r="Z4178" s="80" t="s">
        <v>50</v>
      </c>
      <c r="AA4178" s="35" t="s">
        <v>9905</v>
      </c>
      <c r="AB4178" s="80"/>
      <c r="AC4178" s="80" t="s">
        <v>53</v>
      </c>
      <c r="AD4178" s="80" t="s">
        <v>138</v>
      </c>
      <c r="AE4178" s="80" t="s">
        <v>72</v>
      </c>
      <c r="AF4178" s="17">
        <v>45551</v>
      </c>
      <c r="AG4178" s="80"/>
      <c r="AH4178" s="80"/>
      <c r="AI4178" s="147"/>
      <c r="AJ4178" s="80"/>
      <c r="AK4178" s="80"/>
      <c r="AL4178" s="35"/>
      <c r="AM4178" s="35"/>
      <c r="AN4178" s="35"/>
      <c r="AO4178" s="35"/>
      <c r="AP4178" s="35"/>
    </row>
    <row r="4179" spans="1:42" x14ac:dyDescent="0.2">
      <c r="A4179" s="126">
        <v>45523.330052870369</v>
      </c>
      <c r="B4179" s="137" t="s">
        <v>37</v>
      </c>
      <c r="C4179" s="41" t="s">
        <v>118</v>
      </c>
      <c r="D4179" s="80" t="s">
        <v>36</v>
      </c>
      <c r="E4179" s="80" t="s">
        <v>139</v>
      </c>
      <c r="F4179" s="80" t="s">
        <v>36</v>
      </c>
      <c r="G4179" s="80" t="s">
        <v>41</v>
      </c>
      <c r="H4179" s="80" t="s">
        <v>12799</v>
      </c>
      <c r="I4179" s="17">
        <f ca="1">IFERROR(__xludf.DUMMYFUNCTION("""COMPUTED_VALUE"""),45559)</f>
        <v>45559</v>
      </c>
      <c r="J4179" s="143" t="s">
        <v>14602</v>
      </c>
      <c r="K4179" s="80" t="s">
        <v>14826</v>
      </c>
      <c r="L4179" s="30">
        <v>362506576</v>
      </c>
      <c r="M4179" s="80" t="s">
        <v>123</v>
      </c>
      <c r="N4179" s="80" t="s">
        <v>327</v>
      </c>
      <c r="O4179" s="80" t="s">
        <v>4503</v>
      </c>
      <c r="P4179" s="80" t="s">
        <v>14604</v>
      </c>
      <c r="Q4179" s="20">
        <v>15936</v>
      </c>
      <c r="R4179" s="80" t="s">
        <v>36</v>
      </c>
      <c r="S4179" s="95">
        <v>2000</v>
      </c>
      <c r="T4179" s="148">
        <v>45521</v>
      </c>
      <c r="U4179" s="95">
        <f>6936+7000</f>
        <v>13936</v>
      </c>
      <c r="V4179" s="148">
        <v>45583</v>
      </c>
      <c r="W4179" s="85" t="s">
        <v>14605</v>
      </c>
      <c r="X4179" s="80"/>
      <c r="Y4179" s="22">
        <v>0</v>
      </c>
      <c r="Z4179" s="80" t="s">
        <v>50</v>
      </c>
      <c r="AA4179" s="96" t="s">
        <v>9905</v>
      </c>
      <c r="AB4179" s="80"/>
      <c r="AC4179" s="80" t="s">
        <v>53</v>
      </c>
      <c r="AD4179" s="80" t="s">
        <v>54</v>
      </c>
      <c r="AE4179" s="80"/>
      <c r="AF4179" s="17">
        <v>45523</v>
      </c>
      <c r="AG4179" s="80"/>
      <c r="AH4179" s="80"/>
      <c r="AI4179" s="147"/>
      <c r="AJ4179" s="80"/>
      <c r="AK4179" s="80"/>
      <c r="AL4179" s="35"/>
      <c r="AM4179" s="35"/>
      <c r="AN4179" s="35"/>
      <c r="AO4179" s="35"/>
      <c r="AP4179" s="35"/>
    </row>
    <row r="4180" spans="1:42" x14ac:dyDescent="0.2">
      <c r="A4180" s="126">
        <v>45523.838305034718</v>
      </c>
      <c r="B4180" s="137" t="s">
        <v>37</v>
      </c>
      <c r="C4180" s="41" t="s">
        <v>118</v>
      </c>
      <c r="D4180" s="80" t="s">
        <v>36</v>
      </c>
      <c r="E4180" s="80" t="s">
        <v>139</v>
      </c>
      <c r="F4180" s="26" t="s">
        <v>36</v>
      </c>
      <c r="G4180" s="26" t="s">
        <v>41</v>
      </c>
      <c r="H4180" s="80" t="s">
        <v>5666</v>
      </c>
      <c r="I4180" s="17">
        <f ca="1">IFERROR(__xludf.DUMMYFUNCTION("""COMPUTED_VALUE"""),45540)</f>
        <v>45540</v>
      </c>
      <c r="J4180" s="143" t="s">
        <v>13820</v>
      </c>
      <c r="K4180" s="80" t="s">
        <v>14827</v>
      </c>
      <c r="L4180" s="30">
        <v>583787786</v>
      </c>
      <c r="M4180" s="80" t="s">
        <v>80</v>
      </c>
      <c r="N4180" s="80" t="s">
        <v>466</v>
      </c>
      <c r="O4180" s="80" t="s">
        <v>13822</v>
      </c>
      <c r="P4180" s="80" t="s">
        <v>14828</v>
      </c>
      <c r="Q4180" s="20">
        <v>15936</v>
      </c>
      <c r="R4180" s="80" t="s">
        <v>36</v>
      </c>
      <c r="S4180" s="95">
        <f>200+1800</f>
        <v>2000</v>
      </c>
      <c r="T4180" s="83" t="s">
        <v>13824</v>
      </c>
      <c r="U4180" s="95">
        <v>13936</v>
      </c>
      <c r="V4180" s="148">
        <v>45567</v>
      </c>
      <c r="W4180" s="85" t="s">
        <v>13825</v>
      </c>
      <c r="X4180" s="80"/>
      <c r="Y4180" s="22">
        <v>0</v>
      </c>
      <c r="Z4180" s="80" t="s">
        <v>50</v>
      </c>
      <c r="AA4180" s="35" t="s">
        <v>9905</v>
      </c>
      <c r="AB4180" s="80"/>
      <c r="AC4180" s="80" t="s">
        <v>53</v>
      </c>
      <c r="AD4180" s="80" t="s">
        <v>54</v>
      </c>
      <c r="AE4180" s="83">
        <v>500</v>
      </c>
      <c r="AF4180" s="17">
        <v>45540</v>
      </c>
      <c r="AG4180" s="26" t="s">
        <v>3399</v>
      </c>
      <c r="AH4180" s="80"/>
      <c r="AI4180" s="147"/>
      <c r="AJ4180" s="80"/>
      <c r="AK4180" s="80"/>
      <c r="AL4180" s="35"/>
      <c r="AM4180" s="35"/>
      <c r="AN4180" s="35"/>
      <c r="AO4180" s="35"/>
      <c r="AP4180" s="35"/>
    </row>
    <row r="4181" spans="1:42" x14ac:dyDescent="0.2">
      <c r="A4181" s="126">
        <v>45523.961527708336</v>
      </c>
      <c r="B4181" s="137" t="s">
        <v>37</v>
      </c>
      <c r="C4181" s="41" t="s">
        <v>118</v>
      </c>
      <c r="D4181" s="80" t="s">
        <v>36</v>
      </c>
      <c r="E4181" s="80" t="s">
        <v>139</v>
      </c>
      <c r="F4181" s="80" t="s">
        <v>36</v>
      </c>
      <c r="G4181" s="80" t="s">
        <v>41</v>
      </c>
      <c r="H4181" s="80" t="s">
        <v>12799</v>
      </c>
      <c r="I4181" s="17">
        <f ca="1">IFERROR(__xludf.DUMMYFUNCTION("""COMPUTED_VALUE"""),45559)</f>
        <v>45559</v>
      </c>
      <c r="J4181" s="143" t="s">
        <v>14757</v>
      </c>
      <c r="K4181" s="80" t="s">
        <v>14829</v>
      </c>
      <c r="L4181" s="30">
        <v>857352057</v>
      </c>
      <c r="M4181" s="80" t="s">
        <v>5429</v>
      </c>
      <c r="N4181" s="80" t="s">
        <v>9251</v>
      </c>
      <c r="O4181" s="80" t="s">
        <v>14759</v>
      </c>
      <c r="P4181" s="144" t="s">
        <v>14760</v>
      </c>
      <c r="Q4181" s="20">
        <v>15936</v>
      </c>
      <c r="R4181" s="80" t="s">
        <v>36</v>
      </c>
      <c r="S4181" s="95">
        <f>100+1900</f>
        <v>2000</v>
      </c>
      <c r="T4181" s="83" t="s">
        <v>14761</v>
      </c>
      <c r="U4181" s="95">
        <v>13936</v>
      </c>
      <c r="V4181" s="148">
        <v>45575</v>
      </c>
      <c r="W4181" s="85" t="s">
        <v>14762</v>
      </c>
      <c r="X4181" s="80"/>
      <c r="Y4181" s="22">
        <v>0</v>
      </c>
      <c r="Z4181" s="80" t="s">
        <v>50</v>
      </c>
      <c r="AA4181" s="96" t="s">
        <v>9905</v>
      </c>
      <c r="AB4181" s="80"/>
      <c r="AC4181" s="80" t="s">
        <v>53</v>
      </c>
      <c r="AD4181" s="80" t="s">
        <v>138</v>
      </c>
      <c r="AE4181" s="80" t="s">
        <v>72</v>
      </c>
      <c r="AF4181" s="17">
        <v>45559</v>
      </c>
      <c r="AG4181" s="80"/>
      <c r="AH4181" s="80"/>
      <c r="AI4181" s="147"/>
      <c r="AJ4181" s="80"/>
      <c r="AK4181" s="80"/>
      <c r="AL4181" s="35"/>
      <c r="AM4181" s="35"/>
      <c r="AN4181" s="35"/>
      <c r="AO4181" s="35"/>
      <c r="AP4181" s="35"/>
    </row>
    <row r="4182" spans="1:42" x14ac:dyDescent="0.2">
      <c r="A4182" s="126">
        <v>45524.340810231486</v>
      </c>
      <c r="B4182" s="137" t="s">
        <v>37</v>
      </c>
      <c r="C4182" s="41" t="s">
        <v>118</v>
      </c>
      <c r="D4182" s="80" t="s">
        <v>36</v>
      </c>
      <c r="E4182" s="80" t="s">
        <v>77</v>
      </c>
      <c r="F4182" s="80" t="s">
        <v>36</v>
      </c>
      <c r="G4182" s="80" t="s">
        <v>41</v>
      </c>
      <c r="H4182" s="80" t="s">
        <v>11595</v>
      </c>
      <c r="I4182" s="17">
        <f ca="1">IFERROR(__xludf.DUMMYFUNCTION("""COMPUTED_VALUE"""),45554)</f>
        <v>45554</v>
      </c>
      <c r="J4182" s="143" t="s">
        <v>14830</v>
      </c>
      <c r="K4182" s="80" t="s">
        <v>14831</v>
      </c>
      <c r="L4182" s="30">
        <v>385755826</v>
      </c>
      <c r="M4182" s="80" t="s">
        <v>80</v>
      </c>
      <c r="N4182" s="80" t="s">
        <v>1073</v>
      </c>
      <c r="O4182" s="80" t="s">
        <v>14832</v>
      </c>
      <c r="P4182" s="80" t="s">
        <v>2641</v>
      </c>
      <c r="Q4182" s="20">
        <v>1968</v>
      </c>
      <c r="R4182" s="80" t="s">
        <v>36</v>
      </c>
      <c r="S4182" s="95">
        <f t="shared" ref="S4182:S4185" si="69">200+1800</f>
        <v>2000</v>
      </c>
      <c r="T4182" s="83" t="s">
        <v>13824</v>
      </c>
      <c r="U4182" s="77"/>
      <c r="V4182" s="78"/>
      <c r="W4182" s="85" t="s">
        <v>14833</v>
      </c>
      <c r="X4182" s="80"/>
      <c r="Y4182" s="22">
        <v>-32</v>
      </c>
      <c r="Z4182" s="80" t="s">
        <v>50</v>
      </c>
      <c r="AA4182" s="35" t="s">
        <v>9905</v>
      </c>
      <c r="AB4182" s="80"/>
      <c r="AC4182" s="80" t="s">
        <v>53</v>
      </c>
      <c r="AD4182" s="80" t="s">
        <v>54</v>
      </c>
      <c r="AE4182" s="83"/>
      <c r="AF4182" s="17">
        <v>45540</v>
      </c>
      <c r="AG4182" s="80" t="s">
        <v>14834</v>
      </c>
      <c r="AH4182" s="80"/>
      <c r="AI4182" s="147"/>
      <c r="AJ4182" s="80"/>
      <c r="AK4182" s="80"/>
      <c r="AL4182" s="35"/>
      <c r="AM4182" s="35"/>
      <c r="AN4182" s="35"/>
      <c r="AO4182" s="35"/>
      <c r="AP4182" s="35"/>
    </row>
    <row r="4183" spans="1:42" x14ac:dyDescent="0.2">
      <c r="A4183" s="126">
        <v>45524.342237812496</v>
      </c>
      <c r="B4183" s="137" t="s">
        <v>37</v>
      </c>
      <c r="C4183" s="41" t="s">
        <v>118</v>
      </c>
      <c r="D4183" s="80" t="s">
        <v>36</v>
      </c>
      <c r="E4183" s="80" t="s">
        <v>139</v>
      </c>
      <c r="F4183" s="80" t="s">
        <v>36</v>
      </c>
      <c r="G4183" s="80" t="s">
        <v>41</v>
      </c>
      <c r="H4183" s="80" t="s">
        <v>11707</v>
      </c>
      <c r="I4183" s="17">
        <f ca="1">IFERROR(__xludf.DUMMYFUNCTION("""COMPUTED_VALUE"""),45551)</f>
        <v>45551</v>
      </c>
      <c r="J4183" s="143" t="s">
        <v>14835</v>
      </c>
      <c r="K4183" s="80" t="s">
        <v>14836</v>
      </c>
      <c r="L4183" s="30">
        <v>339650501</v>
      </c>
      <c r="M4183" s="80" t="s">
        <v>123</v>
      </c>
      <c r="N4183" s="80" t="s">
        <v>2847</v>
      </c>
      <c r="O4183" s="80" t="s">
        <v>4503</v>
      </c>
      <c r="P4183" s="80" t="s">
        <v>5462</v>
      </c>
      <c r="Q4183" s="20">
        <v>15936</v>
      </c>
      <c r="R4183" s="80" t="s">
        <v>36</v>
      </c>
      <c r="S4183" s="95">
        <f t="shared" si="69"/>
        <v>2000</v>
      </c>
      <c r="T4183" s="83" t="s">
        <v>14837</v>
      </c>
      <c r="U4183" s="95">
        <v>13936</v>
      </c>
      <c r="V4183" s="148">
        <v>45569</v>
      </c>
      <c r="W4183" s="85" t="s">
        <v>14838</v>
      </c>
      <c r="X4183" s="80"/>
      <c r="Y4183" s="22">
        <v>0</v>
      </c>
      <c r="Z4183" s="80" t="s">
        <v>50</v>
      </c>
      <c r="AA4183" s="96" t="s">
        <v>9905</v>
      </c>
      <c r="AB4183" s="80"/>
      <c r="AC4183" s="80" t="s">
        <v>53</v>
      </c>
      <c r="AD4183" s="80" t="s">
        <v>138</v>
      </c>
      <c r="AE4183" s="80"/>
      <c r="AF4183" s="17">
        <v>45551</v>
      </c>
      <c r="AG4183" s="80"/>
      <c r="AH4183" s="80"/>
      <c r="AI4183" s="147"/>
      <c r="AJ4183" s="80"/>
      <c r="AK4183" s="80"/>
      <c r="AL4183" s="35"/>
      <c r="AM4183" s="35"/>
      <c r="AN4183" s="35"/>
      <c r="AO4183" s="35"/>
      <c r="AP4183" s="35"/>
    </row>
    <row r="4184" spans="1:42" x14ac:dyDescent="0.2">
      <c r="A4184" s="126">
        <v>45524.348643437501</v>
      </c>
      <c r="B4184" s="137" t="s">
        <v>90</v>
      </c>
      <c r="C4184" s="41" t="s">
        <v>118</v>
      </c>
      <c r="D4184" s="80" t="s">
        <v>36</v>
      </c>
      <c r="E4184" s="80" t="s">
        <v>139</v>
      </c>
      <c r="F4184" s="80" t="s">
        <v>36</v>
      </c>
      <c r="G4184" s="80" t="s">
        <v>41</v>
      </c>
      <c r="H4184" s="80" t="s">
        <v>11595</v>
      </c>
      <c r="I4184" s="17">
        <f ca="1">IFERROR(__xludf.DUMMYFUNCTION("""COMPUTED_VALUE"""),45554)</f>
        <v>45554</v>
      </c>
      <c r="J4184" s="143" t="s">
        <v>14670</v>
      </c>
      <c r="K4184" s="80" t="s">
        <v>14839</v>
      </c>
      <c r="L4184" s="30">
        <v>865414606</v>
      </c>
      <c r="M4184" s="80" t="s">
        <v>80</v>
      </c>
      <c r="N4184" s="80" t="s">
        <v>1073</v>
      </c>
      <c r="O4184" s="80" t="s">
        <v>14667</v>
      </c>
      <c r="P4184" s="80" t="s">
        <v>2641</v>
      </c>
      <c r="Q4184" s="20">
        <v>15936</v>
      </c>
      <c r="R4184" s="80" t="s">
        <v>36</v>
      </c>
      <c r="S4184" s="95">
        <f t="shared" si="69"/>
        <v>2000</v>
      </c>
      <c r="T4184" s="83" t="s">
        <v>14668</v>
      </c>
      <c r="U4184" s="95">
        <v>13936</v>
      </c>
      <c r="V4184" s="148">
        <v>45571</v>
      </c>
      <c r="W4184" s="85" t="s">
        <v>14669</v>
      </c>
      <c r="X4184" s="80"/>
      <c r="Y4184" s="22">
        <v>0</v>
      </c>
      <c r="Z4184" s="80" t="s">
        <v>50</v>
      </c>
      <c r="AA4184" s="35" t="s">
        <v>9905</v>
      </c>
      <c r="AB4184" s="80"/>
      <c r="AC4184" s="80" t="s">
        <v>53</v>
      </c>
      <c r="AD4184" s="80" t="s">
        <v>54</v>
      </c>
      <c r="AE4184" s="83">
        <v>0</v>
      </c>
      <c r="AF4184" s="17">
        <v>45554</v>
      </c>
      <c r="AG4184" s="80"/>
      <c r="AH4184" s="80"/>
      <c r="AI4184" s="147"/>
      <c r="AJ4184" s="80"/>
      <c r="AK4184" s="80"/>
      <c r="AL4184" s="35"/>
      <c r="AM4184" s="35"/>
      <c r="AN4184" s="35"/>
      <c r="AO4184" s="35"/>
      <c r="AP4184" s="35"/>
    </row>
    <row r="4185" spans="1:42" x14ac:dyDescent="0.2">
      <c r="A4185" s="126">
        <v>45524.891932881947</v>
      </c>
      <c r="B4185" s="137" t="s">
        <v>37</v>
      </c>
      <c r="C4185" s="41" t="s">
        <v>118</v>
      </c>
      <c r="D4185" s="80" t="s">
        <v>36</v>
      </c>
      <c r="E4185" s="80" t="s">
        <v>139</v>
      </c>
      <c r="F4185" s="80" t="s">
        <v>36</v>
      </c>
      <c r="G4185" s="80" t="s">
        <v>41</v>
      </c>
      <c r="H4185" s="80" t="s">
        <v>13121</v>
      </c>
      <c r="I4185" s="17">
        <f ca="1">IFERROR(__xludf.DUMMYFUNCTION("""COMPUTED_VALUE"""),45565)</f>
        <v>45565</v>
      </c>
      <c r="J4185" s="143" t="s">
        <v>14840</v>
      </c>
      <c r="K4185" s="80" t="s">
        <v>14841</v>
      </c>
      <c r="L4185" s="30">
        <v>339387599</v>
      </c>
      <c r="M4185" s="80" t="s">
        <v>3728</v>
      </c>
      <c r="N4185" s="80" t="s">
        <v>5277</v>
      </c>
      <c r="O4185" s="80" t="s">
        <v>14842</v>
      </c>
      <c r="P4185" s="80" t="s">
        <v>14843</v>
      </c>
      <c r="Q4185" s="20">
        <v>15936</v>
      </c>
      <c r="R4185" s="80" t="s">
        <v>36</v>
      </c>
      <c r="S4185" s="95">
        <f t="shared" si="69"/>
        <v>2000</v>
      </c>
      <c r="T4185" s="83" t="s">
        <v>14844</v>
      </c>
      <c r="U4185" s="95">
        <v>13936</v>
      </c>
      <c r="V4185" s="148">
        <v>45582</v>
      </c>
      <c r="W4185" s="85" t="s">
        <v>14845</v>
      </c>
      <c r="X4185" s="80"/>
      <c r="Y4185" s="22">
        <v>0</v>
      </c>
      <c r="Z4185" s="80" t="s">
        <v>50</v>
      </c>
      <c r="AA4185" s="96" t="s">
        <v>9905</v>
      </c>
      <c r="AB4185" s="80"/>
      <c r="AC4185" s="80" t="s">
        <v>53</v>
      </c>
      <c r="AD4185" s="80" t="s">
        <v>54</v>
      </c>
      <c r="AE4185" s="80"/>
      <c r="AF4185" s="17">
        <v>45565</v>
      </c>
      <c r="AG4185" s="80"/>
      <c r="AH4185" s="80"/>
      <c r="AI4185" s="147"/>
      <c r="AJ4185" s="80"/>
      <c r="AK4185" s="80"/>
      <c r="AL4185" s="35"/>
      <c r="AM4185" s="35"/>
      <c r="AN4185" s="35"/>
      <c r="AO4185" s="35"/>
      <c r="AP4185" s="35"/>
    </row>
    <row r="4186" spans="1:42" x14ac:dyDescent="0.2">
      <c r="A4186" s="126">
        <v>45525.31829520833</v>
      </c>
      <c r="B4186" s="137" t="s">
        <v>37</v>
      </c>
      <c r="C4186" s="41" t="s">
        <v>118</v>
      </c>
      <c r="D4186" s="80" t="s">
        <v>36</v>
      </c>
      <c r="E4186" s="80" t="s">
        <v>56</v>
      </c>
      <c r="F4186" s="80" t="s">
        <v>40</v>
      </c>
      <c r="G4186" s="80" t="s">
        <v>41</v>
      </c>
      <c r="H4186" s="80" t="s">
        <v>11183</v>
      </c>
      <c r="I4186" s="17">
        <f ca="1">IFERROR(__xludf.DUMMYFUNCTION("""COMPUTED_VALUE"""),45554)</f>
        <v>45554</v>
      </c>
      <c r="J4186" s="143" t="s">
        <v>14023</v>
      </c>
      <c r="K4186" s="80" t="s">
        <v>14846</v>
      </c>
      <c r="L4186" s="30">
        <v>945015436</v>
      </c>
      <c r="M4186" s="80" t="s">
        <v>123</v>
      </c>
      <c r="N4186" s="80" t="s">
        <v>327</v>
      </c>
      <c r="O4186" s="80" t="s">
        <v>4503</v>
      </c>
      <c r="P4186" s="80" t="s">
        <v>3117</v>
      </c>
      <c r="Q4186" s="20">
        <v>9317</v>
      </c>
      <c r="R4186" s="80" t="s">
        <v>36</v>
      </c>
      <c r="S4186" s="95">
        <f>200+2000</f>
        <v>2200</v>
      </c>
      <c r="T4186" s="83" t="s">
        <v>14025</v>
      </c>
      <c r="U4186" s="95">
        <v>7117</v>
      </c>
      <c r="V4186" s="148">
        <v>45567</v>
      </c>
      <c r="W4186" s="85" t="s">
        <v>14026</v>
      </c>
      <c r="X4186" s="80"/>
      <c r="Y4186" s="22">
        <v>0</v>
      </c>
      <c r="Z4186" s="80" t="s">
        <v>50</v>
      </c>
      <c r="AA4186" s="35" t="s">
        <v>9905</v>
      </c>
      <c r="AB4186" s="80"/>
      <c r="AC4186" s="80" t="s">
        <v>53</v>
      </c>
      <c r="AD4186" s="80" t="s">
        <v>138</v>
      </c>
      <c r="AE4186" s="80"/>
      <c r="AF4186" s="17">
        <v>45554</v>
      </c>
      <c r="AG4186" s="80"/>
      <c r="AH4186" s="80"/>
      <c r="AI4186" s="147"/>
      <c r="AJ4186" s="80"/>
      <c r="AK4186" s="80"/>
      <c r="AL4186" s="35"/>
      <c r="AM4186" s="35"/>
      <c r="AN4186" s="35"/>
      <c r="AO4186" s="35"/>
      <c r="AP4186" s="35"/>
    </row>
    <row r="4187" spans="1:42" x14ac:dyDescent="0.2">
      <c r="A4187" s="126">
        <v>45525.31998388889</v>
      </c>
      <c r="B4187" s="137" t="s">
        <v>37</v>
      </c>
      <c r="C4187" s="41" t="s">
        <v>118</v>
      </c>
      <c r="D4187" s="80" t="s">
        <v>36</v>
      </c>
      <c r="E4187" s="80" t="s">
        <v>77</v>
      </c>
      <c r="F4187" s="80" t="s">
        <v>36</v>
      </c>
      <c r="G4187" s="80" t="s">
        <v>41</v>
      </c>
      <c r="H4187" s="80" t="s">
        <v>11446</v>
      </c>
      <c r="I4187" s="17">
        <f ca="1">IFERROR(__xludf.DUMMYFUNCTION("""COMPUTED_VALUE"""),45527)</f>
        <v>45527</v>
      </c>
      <c r="J4187" s="143" t="s">
        <v>14847</v>
      </c>
      <c r="K4187" s="80" t="s">
        <v>14848</v>
      </c>
      <c r="L4187" s="30">
        <v>362125784</v>
      </c>
      <c r="M4187" s="80" t="s">
        <v>123</v>
      </c>
      <c r="N4187" s="80" t="s">
        <v>327</v>
      </c>
      <c r="O4187" s="80" t="s">
        <v>4503</v>
      </c>
      <c r="P4187" s="80" t="s">
        <v>14849</v>
      </c>
      <c r="Q4187" s="20">
        <v>1968</v>
      </c>
      <c r="R4187" s="80" t="s">
        <v>70</v>
      </c>
      <c r="S4187" s="95">
        <v>2000</v>
      </c>
      <c r="T4187" s="148">
        <v>45524</v>
      </c>
      <c r="U4187" s="77"/>
      <c r="V4187" s="78"/>
      <c r="W4187" s="85" t="s">
        <v>14850</v>
      </c>
      <c r="X4187" s="80"/>
      <c r="Y4187" s="22">
        <v>-32</v>
      </c>
      <c r="Z4187" s="80" t="s">
        <v>50</v>
      </c>
      <c r="AA4187" s="96" t="s">
        <v>9905</v>
      </c>
      <c r="AB4187" s="80"/>
      <c r="AC4187" s="80" t="s">
        <v>53</v>
      </c>
      <c r="AD4187" s="80" t="s">
        <v>54</v>
      </c>
      <c r="AE4187" s="80"/>
      <c r="AF4187" s="17">
        <v>45525</v>
      </c>
      <c r="AG4187" s="80" t="s">
        <v>7078</v>
      </c>
      <c r="AH4187" s="80"/>
      <c r="AI4187" s="147"/>
      <c r="AJ4187" s="80"/>
      <c r="AK4187" s="80"/>
      <c r="AL4187" s="35"/>
      <c r="AM4187" s="35"/>
      <c r="AN4187" s="35"/>
      <c r="AO4187" s="35"/>
      <c r="AP4187" s="35"/>
    </row>
    <row r="4188" spans="1:42" x14ac:dyDescent="0.2">
      <c r="A4188" s="126">
        <v>45525.321297812501</v>
      </c>
      <c r="B4188" s="137" t="s">
        <v>37</v>
      </c>
      <c r="C4188" s="41" t="s">
        <v>118</v>
      </c>
      <c r="D4188" s="80" t="s">
        <v>36</v>
      </c>
      <c r="E4188" s="80" t="s">
        <v>77</v>
      </c>
      <c r="F4188" s="80" t="s">
        <v>36</v>
      </c>
      <c r="G4188" s="80" t="s">
        <v>41</v>
      </c>
      <c r="H4188" s="80" t="s">
        <v>11545</v>
      </c>
      <c r="I4188" s="17">
        <f ca="1">IFERROR(__xludf.DUMMYFUNCTION("""COMPUTED_VALUE"""),45540)</f>
        <v>45540</v>
      </c>
      <c r="J4188" s="143" t="s">
        <v>14851</v>
      </c>
      <c r="K4188" s="80" t="s">
        <v>14852</v>
      </c>
      <c r="L4188" s="30">
        <v>328514932</v>
      </c>
      <c r="M4188" s="80" t="s">
        <v>123</v>
      </c>
      <c r="N4188" s="80" t="s">
        <v>327</v>
      </c>
      <c r="O4188" s="80" t="s">
        <v>4503</v>
      </c>
      <c r="P4188" s="80" t="s">
        <v>14853</v>
      </c>
      <c r="Q4188" s="20">
        <v>1968</v>
      </c>
      <c r="R4188" s="80" t="s">
        <v>36</v>
      </c>
      <c r="S4188" s="95">
        <v>2000</v>
      </c>
      <c r="T4188" s="148">
        <v>45524</v>
      </c>
      <c r="U4188" s="77"/>
      <c r="V4188" s="78"/>
      <c r="W4188" s="85" t="s">
        <v>14854</v>
      </c>
      <c r="X4188" s="80"/>
      <c r="Y4188" s="22">
        <v>-32</v>
      </c>
      <c r="Z4188" s="80" t="s">
        <v>50</v>
      </c>
      <c r="AA4188" s="35" t="s">
        <v>9905</v>
      </c>
      <c r="AB4188" s="80"/>
      <c r="AC4188" s="80" t="s">
        <v>53</v>
      </c>
      <c r="AD4188" s="80" t="s">
        <v>54</v>
      </c>
      <c r="AE4188" s="80"/>
      <c r="AF4188" s="17">
        <v>45526</v>
      </c>
      <c r="AG4188" s="80" t="s">
        <v>7078</v>
      </c>
      <c r="AH4188" s="80"/>
      <c r="AI4188" s="147"/>
      <c r="AJ4188" s="80"/>
      <c r="AK4188" s="80"/>
      <c r="AL4188" s="35"/>
      <c r="AM4188" s="35"/>
      <c r="AN4188" s="35"/>
      <c r="AO4188" s="35"/>
      <c r="AP4188" s="35"/>
    </row>
    <row r="4189" spans="1:42" x14ac:dyDescent="0.2">
      <c r="A4189" s="126">
        <v>45525.323782418986</v>
      </c>
      <c r="B4189" s="137" t="s">
        <v>37</v>
      </c>
      <c r="C4189" s="41" t="s">
        <v>118</v>
      </c>
      <c r="D4189" s="80" t="s">
        <v>36</v>
      </c>
      <c r="E4189" s="80" t="s">
        <v>77</v>
      </c>
      <c r="F4189" s="80" t="s">
        <v>36</v>
      </c>
      <c r="G4189" s="80" t="s">
        <v>41</v>
      </c>
      <c r="H4189" s="80" t="s">
        <v>11446</v>
      </c>
      <c r="I4189" s="17">
        <f ca="1">IFERROR(__xludf.DUMMYFUNCTION("""COMPUTED_VALUE"""),45527)</f>
        <v>45527</v>
      </c>
      <c r="J4189" s="143" t="s">
        <v>14855</v>
      </c>
      <c r="K4189" s="80" t="s">
        <v>14856</v>
      </c>
      <c r="L4189" s="30">
        <v>325252890</v>
      </c>
      <c r="M4189" s="80" t="s">
        <v>123</v>
      </c>
      <c r="N4189" s="80" t="s">
        <v>327</v>
      </c>
      <c r="O4189" s="80" t="s">
        <v>4503</v>
      </c>
      <c r="P4189" s="80" t="s">
        <v>14857</v>
      </c>
      <c r="Q4189" s="20">
        <v>1968</v>
      </c>
      <c r="R4189" s="80" t="s">
        <v>70</v>
      </c>
      <c r="S4189" s="95">
        <f>200+1800</f>
        <v>2000</v>
      </c>
      <c r="T4189" s="83" t="s">
        <v>14858</v>
      </c>
      <c r="U4189" s="95"/>
      <c r="V4189" s="148"/>
      <c r="W4189" s="80" t="s">
        <v>14859</v>
      </c>
      <c r="X4189" s="80"/>
      <c r="Y4189" s="22">
        <v>-32</v>
      </c>
      <c r="Z4189" s="80" t="s">
        <v>50</v>
      </c>
      <c r="AA4189" s="96" t="s">
        <v>9905</v>
      </c>
      <c r="AB4189" s="80"/>
      <c r="AC4189" s="80" t="s">
        <v>53</v>
      </c>
      <c r="AD4189" s="80" t="s">
        <v>54</v>
      </c>
      <c r="AE4189" s="80"/>
      <c r="AF4189" s="17">
        <v>45525</v>
      </c>
      <c r="AG4189" s="80" t="s">
        <v>7078</v>
      </c>
      <c r="AH4189" s="80"/>
      <c r="AI4189" s="147"/>
      <c r="AJ4189" s="80"/>
      <c r="AK4189" s="80"/>
      <c r="AL4189" s="35"/>
      <c r="AM4189" s="35"/>
      <c r="AN4189" s="35"/>
      <c r="AO4189" s="35"/>
      <c r="AP4189" s="35"/>
    </row>
    <row r="4190" spans="1:42" x14ac:dyDescent="0.2">
      <c r="A4190" s="126">
        <v>45525.326138263888</v>
      </c>
      <c r="B4190" s="137" t="s">
        <v>37</v>
      </c>
      <c r="C4190" s="41" t="s">
        <v>118</v>
      </c>
      <c r="D4190" s="80" t="s">
        <v>36</v>
      </c>
      <c r="E4190" s="80" t="s">
        <v>139</v>
      </c>
      <c r="F4190" s="80" t="s">
        <v>40</v>
      </c>
      <c r="G4190" s="80" t="s">
        <v>41</v>
      </c>
      <c r="H4190" s="80" t="s">
        <v>11183</v>
      </c>
      <c r="I4190" s="17">
        <f ca="1">IFERROR(__xludf.DUMMYFUNCTION("""COMPUTED_VALUE"""),45554)</f>
        <v>45554</v>
      </c>
      <c r="J4190" s="143" t="s">
        <v>14018</v>
      </c>
      <c r="K4190" s="80" t="s">
        <v>14860</v>
      </c>
      <c r="L4190" s="30">
        <v>868610733</v>
      </c>
      <c r="M4190" s="80" t="s">
        <v>123</v>
      </c>
      <c r="N4190" s="80" t="s">
        <v>186</v>
      </c>
      <c r="O4190" s="80" t="s">
        <v>4503</v>
      </c>
      <c r="P4190" s="80" t="s">
        <v>14020</v>
      </c>
      <c r="Q4190" s="20">
        <v>15936</v>
      </c>
      <c r="R4190" s="80" t="s">
        <v>36</v>
      </c>
      <c r="S4190" s="95">
        <f>200+2800</f>
        <v>3000</v>
      </c>
      <c r="T4190" s="83" t="s">
        <v>14021</v>
      </c>
      <c r="U4190" s="95">
        <v>12936</v>
      </c>
      <c r="V4190" s="148">
        <v>45571</v>
      </c>
      <c r="W4190" s="85" t="s">
        <v>14022</v>
      </c>
      <c r="X4190" s="80"/>
      <c r="Y4190" s="22">
        <v>0</v>
      </c>
      <c r="Z4190" s="80" t="s">
        <v>50</v>
      </c>
      <c r="AA4190" s="35" t="s">
        <v>9905</v>
      </c>
      <c r="AB4190" s="80"/>
      <c r="AC4190" s="80" t="s">
        <v>53</v>
      </c>
      <c r="AD4190" s="80" t="s">
        <v>54</v>
      </c>
      <c r="AE4190" s="80"/>
      <c r="AF4190" s="17">
        <v>45554</v>
      </c>
      <c r="AG4190" s="80"/>
      <c r="AH4190" s="80"/>
      <c r="AI4190" s="147"/>
      <c r="AJ4190" s="80"/>
      <c r="AK4190" s="80"/>
      <c r="AL4190" s="35"/>
      <c r="AM4190" s="35"/>
      <c r="AN4190" s="35"/>
      <c r="AO4190" s="35"/>
      <c r="AP4190" s="35"/>
    </row>
    <row r="4191" spans="1:42" x14ac:dyDescent="0.2">
      <c r="A4191" s="126">
        <v>45525.394711157409</v>
      </c>
      <c r="B4191" s="137" t="s">
        <v>37</v>
      </c>
      <c r="C4191" s="41" t="s">
        <v>118</v>
      </c>
      <c r="D4191" s="80" t="s">
        <v>36</v>
      </c>
      <c r="E4191" s="80" t="s">
        <v>119</v>
      </c>
      <c r="F4191" s="26" t="s">
        <v>36</v>
      </c>
      <c r="G4191" s="26" t="s">
        <v>108</v>
      </c>
      <c r="H4191" s="80" t="s">
        <v>9825</v>
      </c>
      <c r="I4191" s="17">
        <f ca="1">IFERROR(__xludf.DUMMYFUNCTION("""COMPUTED_VALUE"""),45548)</f>
        <v>45548</v>
      </c>
      <c r="J4191" s="143" t="s">
        <v>14861</v>
      </c>
      <c r="K4191" s="80" t="s">
        <v>14862</v>
      </c>
      <c r="L4191" s="30">
        <v>966289913</v>
      </c>
      <c r="M4191" s="80" t="s">
        <v>80</v>
      </c>
      <c r="N4191" s="80" t="s">
        <v>1073</v>
      </c>
      <c r="O4191" s="80" t="s">
        <v>14863</v>
      </c>
      <c r="P4191" s="80" t="s">
        <v>14864</v>
      </c>
      <c r="Q4191" s="20">
        <v>13968</v>
      </c>
      <c r="R4191" s="80" t="s">
        <v>36</v>
      </c>
      <c r="S4191" s="95">
        <f>200+3800</f>
        <v>4000</v>
      </c>
      <c r="T4191" s="83" t="s">
        <v>14865</v>
      </c>
      <c r="U4191" s="95">
        <v>9968</v>
      </c>
      <c r="V4191" s="148">
        <v>45575</v>
      </c>
      <c r="W4191" s="85" t="s">
        <v>14866</v>
      </c>
      <c r="X4191" s="80"/>
      <c r="Y4191" s="22">
        <v>0</v>
      </c>
      <c r="Z4191" s="80" t="s">
        <v>50</v>
      </c>
      <c r="AA4191" s="96" t="s">
        <v>9905</v>
      </c>
      <c r="AB4191" s="80"/>
      <c r="AC4191" s="80" t="s">
        <v>53</v>
      </c>
      <c r="AD4191" s="80" t="s">
        <v>54</v>
      </c>
      <c r="AE4191" s="83">
        <v>500</v>
      </c>
      <c r="AF4191" s="17">
        <v>45544</v>
      </c>
      <c r="AG4191" s="80" t="s">
        <v>14867</v>
      </c>
      <c r="AH4191" s="80"/>
      <c r="AI4191" s="147"/>
      <c r="AJ4191" s="80"/>
      <c r="AK4191" s="80"/>
      <c r="AL4191" s="35"/>
      <c r="AM4191" s="35"/>
      <c r="AN4191" s="35"/>
      <c r="AO4191" s="35"/>
      <c r="AP4191" s="35"/>
    </row>
    <row r="4192" spans="1:42" x14ac:dyDescent="0.2">
      <c r="A4192" s="126">
        <v>45525.395883761579</v>
      </c>
      <c r="B4192" s="137" t="s">
        <v>37</v>
      </c>
      <c r="C4192" s="41" t="s">
        <v>118</v>
      </c>
      <c r="D4192" s="80" t="s">
        <v>36</v>
      </c>
      <c r="E4192" s="80" t="s">
        <v>119</v>
      </c>
      <c r="F4192" s="26" t="s">
        <v>36</v>
      </c>
      <c r="G4192" s="26" t="s">
        <v>108</v>
      </c>
      <c r="H4192" s="80" t="s">
        <v>9825</v>
      </c>
      <c r="I4192" s="17">
        <f ca="1">IFERROR(__xludf.DUMMYFUNCTION("""COMPUTED_VALUE"""),45548)</f>
        <v>45548</v>
      </c>
      <c r="J4192" s="143" t="s">
        <v>14868</v>
      </c>
      <c r="K4192" s="80" t="s">
        <v>14869</v>
      </c>
      <c r="L4192" s="30">
        <v>969532720</v>
      </c>
      <c r="M4192" s="80" t="s">
        <v>80</v>
      </c>
      <c r="N4192" s="80" t="s">
        <v>1073</v>
      </c>
      <c r="O4192" s="80" t="s">
        <v>14870</v>
      </c>
      <c r="P4192" s="80" t="s">
        <v>14871</v>
      </c>
      <c r="Q4192" s="20">
        <v>13968</v>
      </c>
      <c r="R4192" s="80" t="s">
        <v>36</v>
      </c>
      <c r="S4192" s="95">
        <f>500+3500</f>
        <v>4000</v>
      </c>
      <c r="T4192" s="83" t="s">
        <v>14872</v>
      </c>
      <c r="U4192" s="95">
        <v>9968</v>
      </c>
      <c r="V4192" s="148">
        <v>45580</v>
      </c>
      <c r="W4192" s="85" t="s">
        <v>14873</v>
      </c>
      <c r="X4192" s="80"/>
      <c r="Y4192" s="22">
        <v>0</v>
      </c>
      <c r="Z4192" s="80" t="s">
        <v>50</v>
      </c>
      <c r="AA4192" s="35" t="s">
        <v>9905</v>
      </c>
      <c r="AB4192" s="80"/>
      <c r="AC4192" s="80" t="s">
        <v>53</v>
      </c>
      <c r="AD4192" s="80" t="s">
        <v>54</v>
      </c>
      <c r="AE4192" s="83">
        <v>450</v>
      </c>
      <c r="AF4192" s="17">
        <v>45548</v>
      </c>
      <c r="AG4192" s="26" t="s">
        <v>4996</v>
      </c>
      <c r="AH4192" s="80"/>
      <c r="AI4192" s="147"/>
      <c r="AJ4192" s="80"/>
      <c r="AK4192" s="80"/>
      <c r="AL4192" s="35"/>
      <c r="AM4192" s="35"/>
      <c r="AN4192" s="35"/>
      <c r="AO4192" s="35"/>
      <c r="AP4192" s="35"/>
    </row>
    <row r="4193" spans="1:42" x14ac:dyDescent="0.2">
      <c r="A4193" s="126">
        <v>45525.599090763892</v>
      </c>
      <c r="B4193" s="137" t="s">
        <v>37</v>
      </c>
      <c r="C4193" s="41" t="s">
        <v>118</v>
      </c>
      <c r="D4193" s="80" t="s">
        <v>36</v>
      </c>
      <c r="E4193" s="80" t="s">
        <v>77</v>
      </c>
      <c r="F4193" s="26" t="s">
        <v>36</v>
      </c>
      <c r="G4193" s="26" t="s">
        <v>41</v>
      </c>
      <c r="H4193" s="80" t="s">
        <v>12937</v>
      </c>
      <c r="I4193" s="17">
        <f ca="1">IFERROR(__xludf.DUMMYFUNCTION("""COMPUTED_VALUE"""),45552)</f>
        <v>45552</v>
      </c>
      <c r="J4193" s="143" t="s">
        <v>14874</v>
      </c>
      <c r="K4193" s="80" t="s">
        <v>14875</v>
      </c>
      <c r="L4193" s="30">
        <v>385840981</v>
      </c>
      <c r="M4193" s="80" t="s">
        <v>3728</v>
      </c>
      <c r="N4193" s="80" t="s">
        <v>5312</v>
      </c>
      <c r="O4193" s="80" t="s">
        <v>14876</v>
      </c>
      <c r="P4193" s="80" t="s">
        <v>14877</v>
      </c>
      <c r="Q4193" s="20">
        <v>1968</v>
      </c>
      <c r="R4193" s="80" t="s">
        <v>36</v>
      </c>
      <c r="S4193" s="95">
        <f>200+1800</f>
        <v>2000</v>
      </c>
      <c r="T4193" s="83" t="s">
        <v>14878</v>
      </c>
      <c r="U4193" s="77"/>
      <c r="V4193" s="78"/>
      <c r="W4193" s="85" t="s">
        <v>14879</v>
      </c>
      <c r="X4193" s="80"/>
      <c r="Y4193" s="22">
        <v>-32</v>
      </c>
      <c r="Z4193" s="80" t="s">
        <v>50</v>
      </c>
      <c r="AA4193" s="96" t="s">
        <v>9905</v>
      </c>
      <c r="AB4193" s="80"/>
      <c r="AC4193" s="80" t="s">
        <v>53</v>
      </c>
      <c r="AD4193" s="80" t="s">
        <v>138</v>
      </c>
      <c r="AE4193" s="80"/>
      <c r="AF4193" s="17">
        <v>45551</v>
      </c>
      <c r="AG4193" s="80" t="s">
        <v>7078</v>
      </c>
      <c r="AH4193" s="80"/>
      <c r="AI4193" s="147"/>
      <c r="AJ4193" s="80"/>
      <c r="AK4193" s="80"/>
      <c r="AL4193" s="35"/>
      <c r="AM4193" s="35"/>
      <c r="AN4193" s="35"/>
      <c r="AO4193" s="35"/>
      <c r="AP4193" s="35"/>
    </row>
    <row r="4194" spans="1:42" x14ac:dyDescent="0.2">
      <c r="A4194" s="126">
        <v>45525.884107789352</v>
      </c>
      <c r="B4194" s="137" t="s">
        <v>37</v>
      </c>
      <c r="C4194" s="41" t="s">
        <v>118</v>
      </c>
      <c r="D4194" s="80" t="s">
        <v>36</v>
      </c>
      <c r="E4194" s="80" t="s">
        <v>119</v>
      </c>
      <c r="F4194" s="26" t="s">
        <v>36</v>
      </c>
      <c r="G4194" s="26" t="s">
        <v>108</v>
      </c>
      <c r="H4194" s="80" t="s">
        <v>9825</v>
      </c>
      <c r="I4194" s="17">
        <f ca="1">IFERROR(__xludf.DUMMYFUNCTION("""COMPUTED_VALUE"""),45548)</f>
        <v>45548</v>
      </c>
      <c r="J4194" s="143" t="s">
        <v>14880</v>
      </c>
      <c r="K4194" s="80" t="s">
        <v>14881</v>
      </c>
      <c r="L4194" s="30">
        <v>327532209</v>
      </c>
      <c r="M4194" s="80" t="s">
        <v>80</v>
      </c>
      <c r="N4194" s="80" t="s">
        <v>466</v>
      </c>
      <c r="O4194" s="80" t="s">
        <v>14882</v>
      </c>
      <c r="P4194" s="80" t="s">
        <v>14883</v>
      </c>
      <c r="Q4194" s="20">
        <v>13968</v>
      </c>
      <c r="R4194" s="80" t="s">
        <v>36</v>
      </c>
      <c r="S4194" s="95">
        <f>200+3800</f>
        <v>4000</v>
      </c>
      <c r="T4194" s="83" t="s">
        <v>14884</v>
      </c>
      <c r="U4194" s="95">
        <v>9968</v>
      </c>
      <c r="V4194" s="148">
        <v>45579</v>
      </c>
      <c r="W4194" s="85" t="s">
        <v>14885</v>
      </c>
      <c r="X4194" s="80"/>
      <c r="Y4194" s="22">
        <v>0</v>
      </c>
      <c r="Z4194" s="80" t="s">
        <v>50</v>
      </c>
      <c r="AA4194" s="35" t="s">
        <v>9905</v>
      </c>
      <c r="AB4194" s="80"/>
      <c r="AC4194" s="80" t="s">
        <v>53</v>
      </c>
      <c r="AD4194" s="80" t="s">
        <v>138</v>
      </c>
      <c r="AE4194" s="83">
        <v>400</v>
      </c>
      <c r="AF4194" s="17">
        <v>45548</v>
      </c>
      <c r="AG4194" s="26" t="s">
        <v>4996</v>
      </c>
      <c r="AH4194" s="80"/>
      <c r="AI4194" s="147"/>
      <c r="AJ4194" s="80"/>
      <c r="AK4194" s="80"/>
      <c r="AL4194" s="35"/>
      <c r="AM4194" s="35"/>
      <c r="AN4194" s="35"/>
      <c r="AO4194" s="35"/>
      <c r="AP4194" s="35"/>
    </row>
    <row r="4195" spans="1:42" x14ac:dyDescent="0.2">
      <c r="A4195" s="126">
        <v>45525.991806307866</v>
      </c>
      <c r="B4195" s="137" t="s">
        <v>37</v>
      </c>
      <c r="C4195" s="41" t="s">
        <v>118</v>
      </c>
      <c r="D4195" s="80" t="s">
        <v>36</v>
      </c>
      <c r="E4195" s="80" t="s">
        <v>56</v>
      </c>
      <c r="F4195" s="80" t="s">
        <v>36</v>
      </c>
      <c r="G4195" s="80" t="s">
        <v>41</v>
      </c>
      <c r="H4195" s="80" t="s">
        <v>11545</v>
      </c>
      <c r="I4195" s="17">
        <f ca="1">IFERROR(__xludf.DUMMYFUNCTION("""COMPUTED_VALUE"""),45540)</f>
        <v>45540</v>
      </c>
      <c r="J4195" s="143" t="s">
        <v>13988</v>
      </c>
      <c r="K4195" s="80" t="s">
        <v>14886</v>
      </c>
      <c r="L4195" s="30">
        <v>931117806</v>
      </c>
      <c r="M4195" s="80" t="s">
        <v>80</v>
      </c>
      <c r="N4195" s="80" t="s">
        <v>1073</v>
      </c>
      <c r="O4195" s="80" t="s">
        <v>13990</v>
      </c>
      <c r="P4195" s="80" t="s">
        <v>14887</v>
      </c>
      <c r="Q4195" s="20">
        <v>9317</v>
      </c>
      <c r="R4195" s="80" t="s">
        <v>36</v>
      </c>
      <c r="S4195" s="95">
        <f>200+1800</f>
        <v>2000</v>
      </c>
      <c r="T4195" s="83" t="s">
        <v>13992</v>
      </c>
      <c r="U4195" s="95">
        <v>7317</v>
      </c>
      <c r="V4195" s="148">
        <v>45567</v>
      </c>
      <c r="W4195" s="85" t="s">
        <v>13993</v>
      </c>
      <c r="X4195" s="80"/>
      <c r="Y4195" s="22">
        <v>0</v>
      </c>
      <c r="Z4195" s="80" t="s">
        <v>50</v>
      </c>
      <c r="AA4195" s="96" t="s">
        <v>9905</v>
      </c>
      <c r="AB4195" s="80"/>
      <c r="AC4195" s="80" t="s">
        <v>53</v>
      </c>
      <c r="AD4195" s="80" t="s">
        <v>54</v>
      </c>
      <c r="AE4195" s="83">
        <v>0</v>
      </c>
      <c r="AF4195" s="17">
        <v>45527</v>
      </c>
      <c r="AG4195" s="80"/>
      <c r="AH4195" s="80"/>
      <c r="AI4195" s="147"/>
      <c r="AJ4195" s="80"/>
      <c r="AK4195" s="80"/>
      <c r="AL4195" s="35"/>
      <c r="AM4195" s="35"/>
      <c r="AN4195" s="35"/>
      <c r="AO4195" s="35"/>
      <c r="AP4195" s="35"/>
    </row>
    <row r="4196" spans="1:42" x14ac:dyDescent="0.2">
      <c r="A4196" s="26">
        <v>343682461</v>
      </c>
      <c r="B4196" s="137" t="s">
        <v>37</v>
      </c>
      <c r="C4196" s="41" t="s">
        <v>118</v>
      </c>
      <c r="D4196" s="80" t="s">
        <v>36</v>
      </c>
      <c r="E4196" s="80" t="s">
        <v>139</v>
      </c>
      <c r="F4196" s="26" t="s">
        <v>40</v>
      </c>
      <c r="G4196" s="80" t="s">
        <v>41</v>
      </c>
      <c r="H4196" s="80" t="s">
        <v>11747</v>
      </c>
      <c r="I4196" s="17">
        <f ca="1">IFERROR(__xludf.DUMMYFUNCTION("""COMPUTED_VALUE"""),45559)</f>
        <v>45559</v>
      </c>
      <c r="J4196" s="143" t="s">
        <v>14591</v>
      </c>
      <c r="K4196" s="80" t="s">
        <v>14888</v>
      </c>
      <c r="L4196" s="30">
        <v>343682461</v>
      </c>
      <c r="M4196" s="80" t="s">
        <v>123</v>
      </c>
      <c r="N4196" s="80" t="s">
        <v>2847</v>
      </c>
      <c r="O4196" s="80" t="s">
        <v>4503</v>
      </c>
      <c r="P4196" s="80" t="s">
        <v>14593</v>
      </c>
      <c r="Q4196" s="20">
        <v>15936</v>
      </c>
      <c r="R4196" s="80" t="s">
        <v>36</v>
      </c>
      <c r="S4196" s="95">
        <f>100+1900</f>
        <v>2000</v>
      </c>
      <c r="T4196" s="83" t="s">
        <v>14594</v>
      </c>
      <c r="U4196" s="95">
        <f>13836+100</f>
        <v>13936</v>
      </c>
      <c r="V4196" s="83" t="s">
        <v>14595</v>
      </c>
      <c r="W4196" s="85" t="s">
        <v>14596</v>
      </c>
      <c r="X4196" s="80"/>
      <c r="Y4196" s="22">
        <v>0</v>
      </c>
      <c r="Z4196" s="80" t="s">
        <v>50</v>
      </c>
      <c r="AA4196" s="35" t="s">
        <v>9905</v>
      </c>
      <c r="AB4196" s="80"/>
      <c r="AC4196" s="80" t="s">
        <v>53</v>
      </c>
      <c r="AD4196" s="80" t="s">
        <v>138</v>
      </c>
      <c r="AE4196" s="80"/>
      <c r="AF4196" s="17">
        <v>45559</v>
      </c>
      <c r="AG4196" s="80"/>
      <c r="AH4196" s="80"/>
      <c r="AI4196" s="147"/>
      <c r="AJ4196" s="80"/>
      <c r="AK4196" s="80"/>
      <c r="AL4196" s="35"/>
      <c r="AM4196" s="35"/>
      <c r="AN4196" s="35"/>
      <c r="AO4196" s="35"/>
      <c r="AP4196" s="35"/>
    </row>
    <row r="4197" spans="1:42" x14ac:dyDescent="0.2">
      <c r="A4197" s="126">
        <v>45526.331207974537</v>
      </c>
      <c r="B4197" s="137" t="s">
        <v>37</v>
      </c>
      <c r="C4197" s="41" t="s">
        <v>118</v>
      </c>
      <c r="D4197" s="80" t="s">
        <v>36</v>
      </c>
      <c r="E4197" s="80" t="s">
        <v>139</v>
      </c>
      <c r="F4197" s="26" t="s">
        <v>36</v>
      </c>
      <c r="G4197" s="26" t="s">
        <v>41</v>
      </c>
      <c r="H4197" s="80" t="s">
        <v>11610</v>
      </c>
      <c r="I4197" s="17">
        <f ca="1">IFERROR(__xludf.DUMMYFUNCTION("""COMPUTED_VALUE"""),45552)</f>
        <v>45552</v>
      </c>
      <c r="J4197" s="143" t="s">
        <v>14110</v>
      </c>
      <c r="K4197" s="80" t="s">
        <v>14111</v>
      </c>
      <c r="L4197" s="30">
        <v>964774521</v>
      </c>
      <c r="M4197" s="80" t="s">
        <v>123</v>
      </c>
      <c r="N4197" s="80" t="s">
        <v>186</v>
      </c>
      <c r="O4197" s="80" t="s">
        <v>4503</v>
      </c>
      <c r="P4197" s="80" t="s">
        <v>14112</v>
      </c>
      <c r="Q4197" s="20">
        <v>15936</v>
      </c>
      <c r="R4197" s="80" t="s">
        <v>36</v>
      </c>
      <c r="S4197" s="95">
        <f>200+1800</f>
        <v>2000</v>
      </c>
      <c r="T4197" s="148">
        <v>45546</v>
      </c>
      <c r="U4197" s="95">
        <v>13936</v>
      </c>
      <c r="V4197" s="148">
        <v>45593</v>
      </c>
      <c r="W4197" s="85" t="s">
        <v>14113</v>
      </c>
      <c r="X4197" s="80"/>
      <c r="Y4197" s="22">
        <v>0</v>
      </c>
      <c r="Z4197" s="80" t="s">
        <v>50</v>
      </c>
      <c r="AA4197" s="96" t="s">
        <v>9905</v>
      </c>
      <c r="AB4197" s="80"/>
      <c r="AC4197" s="80" t="s">
        <v>53</v>
      </c>
      <c r="AD4197" s="80" t="s">
        <v>138</v>
      </c>
      <c r="AE4197" s="80"/>
      <c r="AF4197" s="17">
        <v>45551</v>
      </c>
      <c r="AG4197" s="80"/>
      <c r="AH4197" s="80"/>
      <c r="AI4197" s="147"/>
      <c r="AJ4197" s="80"/>
      <c r="AK4197" s="80"/>
      <c r="AL4197" s="35"/>
      <c r="AM4197" s="35"/>
      <c r="AN4197" s="35"/>
      <c r="AO4197" s="35"/>
      <c r="AP4197" s="35"/>
    </row>
    <row r="4198" spans="1:42" x14ac:dyDescent="0.2">
      <c r="A4198" s="126">
        <v>45526.349604317133</v>
      </c>
      <c r="B4198" s="137" t="s">
        <v>37</v>
      </c>
      <c r="C4198" s="41" t="s">
        <v>118</v>
      </c>
      <c r="D4198" s="80" t="s">
        <v>36</v>
      </c>
      <c r="E4198" s="80" t="s">
        <v>139</v>
      </c>
      <c r="F4198" s="26" t="s">
        <v>40</v>
      </c>
      <c r="G4198" s="80" t="s">
        <v>41</v>
      </c>
      <c r="H4198" s="80" t="s">
        <v>11747</v>
      </c>
      <c r="I4198" s="17">
        <f ca="1">IFERROR(__xludf.DUMMYFUNCTION("""COMPUTED_VALUE"""),45559)</f>
        <v>45559</v>
      </c>
      <c r="J4198" s="143" t="s">
        <v>14889</v>
      </c>
      <c r="K4198" s="80" t="s">
        <v>14890</v>
      </c>
      <c r="L4198" s="30">
        <v>382360645</v>
      </c>
      <c r="M4198" s="80" t="s">
        <v>123</v>
      </c>
      <c r="N4198" s="80" t="s">
        <v>2847</v>
      </c>
      <c r="O4198" s="80" t="s">
        <v>4503</v>
      </c>
      <c r="P4198" s="80" t="s">
        <v>3056</v>
      </c>
      <c r="Q4198" s="20">
        <v>15936</v>
      </c>
      <c r="R4198" s="80" t="s">
        <v>36</v>
      </c>
      <c r="S4198" s="95">
        <f>200+13736</f>
        <v>13936</v>
      </c>
      <c r="T4198" s="83" t="s">
        <v>14891</v>
      </c>
      <c r="U4198" s="95">
        <v>2000</v>
      </c>
      <c r="V4198" s="148">
        <v>45558</v>
      </c>
      <c r="W4198" s="85" t="s">
        <v>14892</v>
      </c>
      <c r="X4198" s="80"/>
      <c r="Y4198" s="22">
        <v>0</v>
      </c>
      <c r="Z4198" s="80" t="s">
        <v>50</v>
      </c>
      <c r="AA4198" s="35" t="s">
        <v>9905</v>
      </c>
      <c r="AB4198" s="80"/>
      <c r="AC4198" s="80" t="s">
        <v>53</v>
      </c>
      <c r="AD4198" s="80" t="s">
        <v>138</v>
      </c>
      <c r="AE4198" s="80"/>
      <c r="AF4198" s="17">
        <v>45559</v>
      </c>
      <c r="AG4198" s="80"/>
      <c r="AH4198" s="80"/>
      <c r="AI4198" s="147"/>
      <c r="AJ4198" s="80"/>
      <c r="AK4198" s="80"/>
      <c r="AL4198" s="35"/>
      <c r="AM4198" s="35"/>
      <c r="AN4198" s="35"/>
      <c r="AO4198" s="35"/>
      <c r="AP4198" s="35"/>
    </row>
    <row r="4199" spans="1:42" x14ac:dyDescent="0.2">
      <c r="A4199" s="126">
        <v>45526.821686226853</v>
      </c>
      <c r="B4199" s="137" t="s">
        <v>37</v>
      </c>
      <c r="C4199" s="41" t="s">
        <v>118</v>
      </c>
      <c r="D4199" s="80" t="s">
        <v>36</v>
      </c>
      <c r="E4199" s="80" t="s">
        <v>139</v>
      </c>
      <c r="F4199" s="80" t="s">
        <v>36</v>
      </c>
      <c r="G4199" s="80" t="s">
        <v>41</v>
      </c>
      <c r="H4199" s="80" t="s">
        <v>11707</v>
      </c>
      <c r="I4199" s="17">
        <f ca="1">IFERROR(__xludf.DUMMYFUNCTION("""COMPUTED_VALUE"""),45551)</f>
        <v>45551</v>
      </c>
      <c r="J4199" s="143" t="s">
        <v>14162</v>
      </c>
      <c r="K4199" s="80" t="s">
        <v>14893</v>
      </c>
      <c r="L4199" s="30">
        <v>326210386</v>
      </c>
      <c r="M4199" s="80" t="s">
        <v>5518</v>
      </c>
      <c r="N4199" s="80"/>
      <c r="O4199" s="80" t="s">
        <v>14164</v>
      </c>
      <c r="P4199" s="80" t="s">
        <v>2641</v>
      </c>
      <c r="Q4199" s="20">
        <v>15936</v>
      </c>
      <c r="R4199" s="80" t="s">
        <v>36</v>
      </c>
      <c r="S4199" s="95">
        <f>200+1800</f>
        <v>2000</v>
      </c>
      <c r="T4199" s="83" t="s">
        <v>14165</v>
      </c>
      <c r="U4199" s="95">
        <v>13936</v>
      </c>
      <c r="V4199" s="148">
        <v>45596</v>
      </c>
      <c r="W4199" s="85" t="s">
        <v>14166</v>
      </c>
      <c r="X4199" s="80"/>
      <c r="Y4199" s="22">
        <v>0</v>
      </c>
      <c r="Z4199" s="80" t="s">
        <v>50</v>
      </c>
      <c r="AA4199" s="96" t="s">
        <v>9905</v>
      </c>
      <c r="AB4199" s="80"/>
      <c r="AC4199" s="80" t="s">
        <v>53</v>
      </c>
      <c r="AD4199" s="80" t="s">
        <v>54</v>
      </c>
      <c r="AE4199" s="83">
        <v>0</v>
      </c>
      <c r="AF4199" s="17">
        <v>45530</v>
      </c>
      <c r="AG4199" s="80" t="s">
        <v>14894</v>
      </c>
      <c r="AH4199" s="80"/>
      <c r="AI4199" s="147"/>
      <c r="AJ4199" s="80"/>
      <c r="AK4199" s="80"/>
      <c r="AL4199" s="35"/>
      <c r="AM4199" s="35"/>
      <c r="AN4199" s="35"/>
      <c r="AO4199" s="35"/>
      <c r="AP4199" s="35"/>
    </row>
    <row r="4200" spans="1:42" x14ac:dyDescent="0.2">
      <c r="A4200" s="126">
        <v>45526.892120902776</v>
      </c>
      <c r="B4200" s="137" t="s">
        <v>37</v>
      </c>
      <c r="C4200" s="41" t="s">
        <v>118</v>
      </c>
      <c r="D4200" s="80" t="s">
        <v>36</v>
      </c>
      <c r="E4200" s="80" t="s">
        <v>139</v>
      </c>
      <c r="F4200" s="80" t="s">
        <v>36</v>
      </c>
      <c r="G4200" s="80" t="s">
        <v>41</v>
      </c>
      <c r="H4200" s="80" t="s">
        <v>11595</v>
      </c>
      <c r="I4200" s="17">
        <f ca="1">IFERROR(__xludf.DUMMYFUNCTION("""COMPUTED_VALUE"""),45554)</f>
        <v>45554</v>
      </c>
      <c r="J4200" s="143" t="s">
        <v>14535</v>
      </c>
      <c r="K4200" s="80" t="s">
        <v>14895</v>
      </c>
      <c r="L4200" s="30">
        <v>396114264</v>
      </c>
      <c r="M4200" s="80" t="s">
        <v>80</v>
      </c>
      <c r="N4200" s="80" t="s">
        <v>466</v>
      </c>
      <c r="O4200" s="80" t="s">
        <v>14537</v>
      </c>
      <c r="P4200" s="80" t="s">
        <v>14538</v>
      </c>
      <c r="Q4200" s="20">
        <v>15936</v>
      </c>
      <c r="R4200" s="80" t="s">
        <v>36</v>
      </c>
      <c r="S4200" s="95">
        <f>200+2000</f>
        <v>2200</v>
      </c>
      <c r="T4200" s="83" t="s">
        <v>14539</v>
      </c>
      <c r="U4200" s="95">
        <v>13736</v>
      </c>
      <c r="V4200" s="148">
        <v>45576</v>
      </c>
      <c r="W4200" s="85" t="s">
        <v>14540</v>
      </c>
      <c r="X4200" s="26"/>
      <c r="Y4200" s="22">
        <v>0</v>
      </c>
      <c r="Z4200" s="26" t="s">
        <v>50</v>
      </c>
      <c r="AA4200" s="35" t="s">
        <v>9905</v>
      </c>
      <c r="AB4200" s="26"/>
      <c r="AC4200" s="26"/>
      <c r="AD4200" s="26"/>
      <c r="AE4200" s="26"/>
      <c r="AF4200" s="17">
        <v>45554</v>
      </c>
      <c r="AG4200" s="26"/>
      <c r="AH4200" s="26"/>
      <c r="AI4200" s="40"/>
      <c r="AJ4200" s="26"/>
      <c r="AK4200" s="26"/>
      <c r="AL4200" s="35"/>
      <c r="AM4200" s="35"/>
      <c r="AN4200" s="35"/>
      <c r="AO4200" s="35"/>
      <c r="AP4200" s="35"/>
    </row>
    <row r="4201" spans="1:42" x14ac:dyDescent="0.2">
      <c r="A4201" s="126">
        <v>45526.893994513885</v>
      </c>
      <c r="B4201" s="137" t="s">
        <v>37</v>
      </c>
      <c r="C4201" s="41" t="s">
        <v>118</v>
      </c>
      <c r="D4201" s="80" t="s">
        <v>36</v>
      </c>
      <c r="E4201" s="80" t="s">
        <v>139</v>
      </c>
      <c r="F4201" s="80" t="s">
        <v>36</v>
      </c>
      <c r="G4201" s="80" t="s">
        <v>41</v>
      </c>
      <c r="H4201" s="80" t="s">
        <v>11595</v>
      </c>
      <c r="I4201" s="17">
        <f ca="1">IFERROR(__xludf.DUMMYFUNCTION("""COMPUTED_VALUE"""),45554)</f>
        <v>45554</v>
      </c>
      <c r="J4201" s="143" t="s">
        <v>14554</v>
      </c>
      <c r="K4201" s="80" t="s">
        <v>14896</v>
      </c>
      <c r="L4201" s="30">
        <v>343127749</v>
      </c>
      <c r="M4201" s="80" t="s">
        <v>80</v>
      </c>
      <c r="N4201" s="80" t="s">
        <v>1073</v>
      </c>
      <c r="O4201" s="80" t="s">
        <v>14556</v>
      </c>
      <c r="P4201" s="80" t="s">
        <v>2641</v>
      </c>
      <c r="Q4201" s="20">
        <v>15936</v>
      </c>
      <c r="R4201" s="80" t="s">
        <v>36</v>
      </c>
      <c r="S4201" s="95">
        <f>170+8030</f>
        <v>8200</v>
      </c>
      <c r="T4201" s="83" t="s">
        <v>14557</v>
      </c>
      <c r="U4201" s="95">
        <v>7736</v>
      </c>
      <c r="V4201" s="148">
        <v>45588</v>
      </c>
      <c r="W4201" s="85" t="s">
        <v>14558</v>
      </c>
      <c r="X4201" s="26"/>
      <c r="Y4201" s="22">
        <v>0</v>
      </c>
      <c r="Z4201" s="26" t="s">
        <v>50</v>
      </c>
      <c r="AA4201" s="96" t="s">
        <v>9905</v>
      </c>
      <c r="AB4201" s="26"/>
      <c r="AC4201" s="26"/>
      <c r="AD4201" s="26"/>
      <c r="AE4201" s="26"/>
      <c r="AF4201" s="17">
        <v>45554</v>
      </c>
      <c r="AG4201" s="26"/>
      <c r="AH4201" s="26"/>
      <c r="AI4201" s="40"/>
      <c r="AJ4201" s="26"/>
      <c r="AK4201" s="26"/>
      <c r="AL4201" s="35"/>
      <c r="AM4201" s="35"/>
      <c r="AN4201" s="35"/>
      <c r="AO4201" s="35"/>
      <c r="AP4201" s="35"/>
    </row>
    <row r="4202" spans="1:42" x14ac:dyDescent="0.2">
      <c r="A4202" s="126">
        <v>45526.895764236113</v>
      </c>
      <c r="B4202" s="137" t="s">
        <v>37</v>
      </c>
      <c r="C4202" s="41" t="s">
        <v>118</v>
      </c>
      <c r="D4202" s="80" t="s">
        <v>36</v>
      </c>
      <c r="E4202" s="80" t="s">
        <v>106</v>
      </c>
      <c r="F4202" s="26" t="s">
        <v>36</v>
      </c>
      <c r="G4202" s="26" t="s">
        <v>108</v>
      </c>
      <c r="H4202" s="80" t="s">
        <v>9825</v>
      </c>
      <c r="I4202" s="17">
        <f ca="1">IFERROR(__xludf.DUMMYFUNCTION("""COMPUTED_VALUE"""),45548)</f>
        <v>45548</v>
      </c>
      <c r="J4202" s="143" t="s">
        <v>14897</v>
      </c>
      <c r="K4202" s="80" t="s">
        <v>14898</v>
      </c>
      <c r="L4202" s="30">
        <v>985166982</v>
      </c>
      <c r="M4202" s="80" t="s">
        <v>80</v>
      </c>
      <c r="N4202" s="80" t="s">
        <v>1073</v>
      </c>
      <c r="O4202" s="80" t="s">
        <v>14899</v>
      </c>
      <c r="P4202" s="80" t="s">
        <v>14900</v>
      </c>
      <c r="Q4202" s="20">
        <v>3768</v>
      </c>
      <c r="R4202" s="80" t="s">
        <v>36</v>
      </c>
      <c r="S4202" s="95">
        <f t="shared" ref="S4202:S4203" si="70">200+3800</f>
        <v>4000</v>
      </c>
      <c r="T4202" s="83" t="s">
        <v>14884</v>
      </c>
      <c r="U4202" s="77"/>
      <c r="V4202" s="78"/>
      <c r="W4202" s="85" t="s">
        <v>14901</v>
      </c>
      <c r="X4202" s="26"/>
      <c r="Y4202" s="22">
        <v>-232</v>
      </c>
      <c r="Z4202" s="26" t="s">
        <v>50</v>
      </c>
      <c r="AA4202" s="35" t="s">
        <v>9905</v>
      </c>
      <c r="AB4202" s="26"/>
      <c r="AC4202" s="26"/>
      <c r="AD4202" s="26"/>
      <c r="AE4202" s="26"/>
      <c r="AF4202" s="17">
        <v>45548</v>
      </c>
      <c r="AG4202" s="26" t="s">
        <v>7078</v>
      </c>
      <c r="AH4202" s="26"/>
      <c r="AI4202" s="40"/>
      <c r="AJ4202" s="26"/>
      <c r="AK4202" s="26"/>
      <c r="AL4202" s="35"/>
      <c r="AM4202" s="35"/>
      <c r="AN4202" s="35"/>
      <c r="AO4202" s="35"/>
      <c r="AP4202" s="35"/>
    </row>
    <row r="4203" spans="1:42" x14ac:dyDescent="0.2">
      <c r="A4203" s="126">
        <v>45526.897072233798</v>
      </c>
      <c r="B4203" s="137" t="s">
        <v>37</v>
      </c>
      <c r="C4203" s="41" t="s">
        <v>118</v>
      </c>
      <c r="D4203" s="80" t="s">
        <v>36</v>
      </c>
      <c r="E4203" s="80" t="s">
        <v>119</v>
      </c>
      <c r="F4203" s="26" t="s">
        <v>36</v>
      </c>
      <c r="G4203" s="26" t="s">
        <v>108</v>
      </c>
      <c r="H4203" s="80" t="s">
        <v>13798</v>
      </c>
      <c r="I4203" s="17">
        <f ca="1">IFERROR(__xludf.DUMMYFUNCTION("""COMPUTED_VALUE"""),45741)</f>
        <v>45741</v>
      </c>
      <c r="J4203" s="143" t="s">
        <v>14902</v>
      </c>
      <c r="K4203" s="80" t="s">
        <v>14903</v>
      </c>
      <c r="L4203" s="30">
        <v>914425238</v>
      </c>
      <c r="M4203" s="80" t="s">
        <v>80</v>
      </c>
      <c r="N4203" s="80" t="s">
        <v>466</v>
      </c>
      <c r="O4203" s="80" t="s">
        <v>14904</v>
      </c>
      <c r="P4203" s="80" t="s">
        <v>2641</v>
      </c>
      <c r="Q4203" s="20">
        <v>13968</v>
      </c>
      <c r="R4203" s="80" t="s">
        <v>36</v>
      </c>
      <c r="S4203" s="168">
        <f t="shared" si="70"/>
        <v>4000</v>
      </c>
      <c r="T4203" s="83" t="s">
        <v>14905</v>
      </c>
      <c r="U4203" s="95">
        <v>9968</v>
      </c>
      <c r="V4203" s="148">
        <v>45566</v>
      </c>
      <c r="W4203" s="85" t="s">
        <v>14906</v>
      </c>
      <c r="X4203" s="26"/>
      <c r="Y4203" s="22">
        <v>0</v>
      </c>
      <c r="Z4203" s="26" t="s">
        <v>50</v>
      </c>
      <c r="AA4203" s="96" t="s">
        <v>9905</v>
      </c>
      <c r="AB4203" s="26"/>
      <c r="AC4203" s="26"/>
      <c r="AD4203" s="26"/>
      <c r="AE4203" s="26"/>
      <c r="AF4203" s="17">
        <v>45548</v>
      </c>
      <c r="AG4203" s="26" t="s">
        <v>4996</v>
      </c>
      <c r="AH4203" s="26"/>
      <c r="AI4203" s="40"/>
      <c r="AJ4203" s="26"/>
      <c r="AK4203" s="26"/>
      <c r="AL4203" s="35"/>
      <c r="AM4203" s="35"/>
      <c r="AN4203" s="35"/>
      <c r="AO4203" s="35"/>
      <c r="AP4203" s="35"/>
    </row>
    <row r="4204" spans="1:42" x14ac:dyDescent="0.2">
      <c r="A4204" s="126">
        <v>45526.936078472223</v>
      </c>
      <c r="B4204" s="137" t="s">
        <v>37</v>
      </c>
      <c r="C4204" s="41" t="s">
        <v>118</v>
      </c>
      <c r="D4204" s="80" t="s">
        <v>36</v>
      </c>
      <c r="E4204" s="80" t="s">
        <v>39</v>
      </c>
      <c r="F4204" s="26" t="s">
        <v>36</v>
      </c>
      <c r="G4204" s="80" t="s">
        <v>41</v>
      </c>
      <c r="H4204" s="80" t="s">
        <v>9626</v>
      </c>
      <c r="I4204" s="17">
        <f ca="1">IFERROR(__xludf.DUMMYFUNCTION("""COMPUTED_VALUE"""),45559)</f>
        <v>45559</v>
      </c>
      <c r="J4204" s="143" t="s">
        <v>14907</v>
      </c>
      <c r="K4204" s="80" t="s">
        <v>14908</v>
      </c>
      <c r="L4204" s="30">
        <v>983164082</v>
      </c>
      <c r="M4204" s="80" t="s">
        <v>5558</v>
      </c>
      <c r="N4204" s="80" t="s">
        <v>850</v>
      </c>
      <c r="O4204" s="80" t="s">
        <v>4503</v>
      </c>
      <c r="P4204" s="80" t="s">
        <v>14909</v>
      </c>
      <c r="Q4204" s="20">
        <v>5736</v>
      </c>
      <c r="R4204" s="80" t="s">
        <v>36</v>
      </c>
      <c r="S4204" s="95">
        <v>2000</v>
      </c>
      <c r="T4204" s="148">
        <v>45526</v>
      </c>
      <c r="U4204" s="95">
        <v>3736</v>
      </c>
      <c r="V4204" s="148">
        <v>45573</v>
      </c>
      <c r="W4204" s="85" t="s">
        <v>14910</v>
      </c>
      <c r="X4204" s="80"/>
      <c r="Y4204" s="22">
        <v>0</v>
      </c>
      <c r="Z4204" s="80" t="s">
        <v>50</v>
      </c>
      <c r="AA4204" s="35" t="s">
        <v>9905</v>
      </c>
      <c r="AB4204" s="80"/>
      <c r="AC4204" s="80" t="s">
        <v>53</v>
      </c>
      <c r="AD4204" s="80" t="s">
        <v>138</v>
      </c>
      <c r="AE4204" s="80"/>
      <c r="AF4204" s="17">
        <v>45559</v>
      </c>
      <c r="AG4204" s="80"/>
      <c r="AH4204" s="80"/>
      <c r="AI4204" s="147"/>
      <c r="AJ4204" s="80"/>
      <c r="AK4204" s="80"/>
      <c r="AL4204" s="35"/>
      <c r="AM4204" s="35"/>
      <c r="AN4204" s="35"/>
      <c r="AO4204" s="35"/>
      <c r="AP4204" s="35"/>
    </row>
    <row r="4205" spans="1:42" x14ac:dyDescent="0.2">
      <c r="A4205" s="126">
        <v>45527.331642060184</v>
      </c>
      <c r="B4205" s="137" t="s">
        <v>37</v>
      </c>
      <c r="C4205" s="41" t="s">
        <v>118</v>
      </c>
      <c r="D4205" s="80" t="s">
        <v>36</v>
      </c>
      <c r="E4205" s="80" t="s">
        <v>39</v>
      </c>
      <c r="F4205" s="80" t="s">
        <v>36</v>
      </c>
      <c r="G4205" s="80" t="s">
        <v>41</v>
      </c>
      <c r="H4205" s="80" t="s">
        <v>13535</v>
      </c>
      <c r="I4205" s="17">
        <f ca="1">IFERROR(__xludf.DUMMYFUNCTION("""COMPUTED_VALUE"""),45589)</f>
        <v>45589</v>
      </c>
      <c r="J4205" s="143" t="s">
        <v>14911</v>
      </c>
      <c r="K4205" s="80" t="s">
        <v>14912</v>
      </c>
      <c r="L4205" s="30">
        <v>961432929</v>
      </c>
      <c r="M4205" s="80" t="s">
        <v>910</v>
      </c>
      <c r="N4205" s="80" t="s">
        <v>3525</v>
      </c>
      <c r="O4205" s="80" t="s">
        <v>91</v>
      </c>
      <c r="P4205" s="80" t="s">
        <v>14913</v>
      </c>
      <c r="Q4205" s="20">
        <v>5736</v>
      </c>
      <c r="R4205" s="80" t="s">
        <v>36</v>
      </c>
      <c r="S4205" s="95">
        <f>500+5236</f>
        <v>5736</v>
      </c>
      <c r="T4205" s="83" t="s">
        <v>14914</v>
      </c>
      <c r="U4205" s="77"/>
      <c r="V4205" s="78"/>
      <c r="W4205" s="85" t="s">
        <v>14915</v>
      </c>
      <c r="X4205" s="80"/>
      <c r="Y4205" s="22">
        <v>0</v>
      </c>
      <c r="Z4205" s="80" t="s">
        <v>50</v>
      </c>
      <c r="AA4205" s="96" t="s">
        <v>9905</v>
      </c>
      <c r="AB4205" s="80"/>
      <c r="AC4205" s="80" t="s">
        <v>53</v>
      </c>
      <c r="AD4205" s="80" t="s">
        <v>138</v>
      </c>
      <c r="AE4205" s="80"/>
      <c r="AF4205" s="43">
        <v>45589</v>
      </c>
      <c r="AG4205" s="80" t="s">
        <v>13541</v>
      </c>
      <c r="AH4205" s="80"/>
      <c r="AI4205" s="147"/>
      <c r="AJ4205" s="80"/>
      <c r="AK4205" s="80"/>
      <c r="AL4205" s="35"/>
      <c r="AM4205" s="35"/>
      <c r="AN4205" s="35"/>
      <c r="AO4205" s="35"/>
      <c r="AP4205" s="35"/>
    </row>
    <row r="4206" spans="1:42" x14ac:dyDescent="0.2">
      <c r="A4206" s="126">
        <v>45527.339123622689</v>
      </c>
      <c r="B4206" s="137" t="s">
        <v>37</v>
      </c>
      <c r="C4206" s="41" t="s">
        <v>118</v>
      </c>
      <c r="D4206" s="80" t="s">
        <v>36</v>
      </c>
      <c r="E4206" s="80" t="s">
        <v>77</v>
      </c>
      <c r="F4206" s="80" t="s">
        <v>36</v>
      </c>
      <c r="G4206" s="80" t="s">
        <v>41</v>
      </c>
      <c r="H4206" s="80" t="s">
        <v>11527</v>
      </c>
      <c r="I4206" s="17">
        <f ca="1">IFERROR(__xludf.DUMMYFUNCTION("""COMPUTED_VALUE"""),45534)</f>
        <v>45534</v>
      </c>
      <c r="J4206" s="143" t="s">
        <v>14916</v>
      </c>
      <c r="K4206" s="80" t="s">
        <v>14917</v>
      </c>
      <c r="L4206" s="30">
        <v>963203675</v>
      </c>
      <c r="M4206" s="80" t="s">
        <v>123</v>
      </c>
      <c r="N4206" s="80" t="s">
        <v>186</v>
      </c>
      <c r="O4206" s="80" t="s">
        <v>4503</v>
      </c>
      <c r="P4206" s="80" t="s">
        <v>14918</v>
      </c>
      <c r="Q4206" s="20">
        <v>1968</v>
      </c>
      <c r="R4206" s="80" t="s">
        <v>36</v>
      </c>
      <c r="S4206" s="95">
        <f>200+2000</f>
        <v>2200</v>
      </c>
      <c r="T4206" s="83" t="s">
        <v>14919</v>
      </c>
      <c r="U4206" s="77"/>
      <c r="V4206" s="78"/>
      <c r="W4206" s="85" t="s">
        <v>14920</v>
      </c>
      <c r="X4206" s="80"/>
      <c r="Y4206" s="22">
        <v>-232</v>
      </c>
      <c r="Z4206" s="80" t="s">
        <v>50</v>
      </c>
      <c r="AA4206" s="35" t="s">
        <v>9905</v>
      </c>
      <c r="AB4206" s="80"/>
      <c r="AC4206" s="80" t="s">
        <v>53</v>
      </c>
      <c r="AD4206" s="80" t="s">
        <v>54</v>
      </c>
      <c r="AE4206" s="80"/>
      <c r="AF4206" s="17">
        <v>45531</v>
      </c>
      <c r="AG4206" s="80" t="s">
        <v>7078</v>
      </c>
      <c r="AH4206" s="80"/>
      <c r="AI4206" s="147"/>
      <c r="AJ4206" s="80"/>
      <c r="AK4206" s="80"/>
      <c r="AL4206" s="35"/>
      <c r="AM4206" s="35"/>
      <c r="AN4206" s="35"/>
      <c r="AO4206" s="35"/>
      <c r="AP4206" s="35"/>
    </row>
    <row r="4207" spans="1:42" x14ac:dyDescent="0.2">
      <c r="A4207" s="126">
        <v>45527.370973912039</v>
      </c>
      <c r="B4207" s="137" t="s">
        <v>37</v>
      </c>
      <c r="C4207" s="41" t="s">
        <v>118</v>
      </c>
      <c r="D4207" s="80" t="s">
        <v>36</v>
      </c>
      <c r="E4207" s="80" t="s">
        <v>119</v>
      </c>
      <c r="F4207" s="26" t="s">
        <v>36</v>
      </c>
      <c r="G4207" s="26" t="s">
        <v>108</v>
      </c>
      <c r="H4207" s="80" t="s">
        <v>9825</v>
      </c>
      <c r="I4207" s="17">
        <f ca="1">IFERROR(__xludf.DUMMYFUNCTION("""COMPUTED_VALUE"""),45548)</f>
        <v>45548</v>
      </c>
      <c r="J4207" s="143" t="s">
        <v>14921</v>
      </c>
      <c r="K4207" s="80" t="s">
        <v>14922</v>
      </c>
      <c r="L4207" s="30">
        <v>981289531</v>
      </c>
      <c r="M4207" s="80" t="s">
        <v>80</v>
      </c>
      <c r="N4207" s="80" t="s">
        <v>466</v>
      </c>
      <c r="O4207" s="80" t="s">
        <v>14923</v>
      </c>
      <c r="P4207" s="80" t="s">
        <v>14924</v>
      </c>
      <c r="Q4207" s="20">
        <v>13968</v>
      </c>
      <c r="R4207" s="80" t="s">
        <v>36</v>
      </c>
      <c r="S4207" s="95">
        <f>200+3800</f>
        <v>4000</v>
      </c>
      <c r="T4207" s="83" t="s">
        <v>14925</v>
      </c>
      <c r="U4207" s="95">
        <v>9968</v>
      </c>
      <c r="V4207" s="148">
        <v>45587</v>
      </c>
      <c r="W4207" s="85" t="s">
        <v>14926</v>
      </c>
      <c r="X4207" s="80"/>
      <c r="Y4207" s="22">
        <v>0</v>
      </c>
      <c r="Z4207" s="80" t="s">
        <v>50</v>
      </c>
      <c r="AA4207" s="96" t="s">
        <v>9905</v>
      </c>
      <c r="AB4207" s="80"/>
      <c r="AC4207" s="80" t="s">
        <v>53</v>
      </c>
      <c r="AD4207" s="80" t="s">
        <v>54</v>
      </c>
      <c r="AE4207" s="83">
        <v>400</v>
      </c>
      <c r="AF4207" s="17">
        <v>45548</v>
      </c>
      <c r="AG4207" s="26" t="s">
        <v>4996</v>
      </c>
      <c r="AH4207" s="80"/>
      <c r="AI4207" s="147"/>
      <c r="AJ4207" s="80"/>
      <c r="AK4207" s="80"/>
      <c r="AL4207" s="35"/>
      <c r="AM4207" s="35"/>
      <c r="AN4207" s="35"/>
      <c r="AO4207" s="35"/>
      <c r="AP4207" s="35"/>
    </row>
    <row r="4208" spans="1:42" x14ac:dyDescent="0.2">
      <c r="A4208" s="126">
        <v>45527.497260324075</v>
      </c>
      <c r="B4208" s="28" t="s">
        <v>37</v>
      </c>
      <c r="C4208" s="41" t="s">
        <v>118</v>
      </c>
      <c r="D4208" s="80" t="s">
        <v>36</v>
      </c>
      <c r="E4208" s="80" t="s">
        <v>139</v>
      </c>
      <c r="F4208" s="26" t="s">
        <v>36</v>
      </c>
      <c r="G4208" s="26" t="s">
        <v>41</v>
      </c>
      <c r="H4208" s="80" t="s">
        <v>12474</v>
      </c>
      <c r="I4208" s="17">
        <f ca="1">IFERROR(__xludf.DUMMYFUNCTION("""COMPUTED_VALUE"""),45551)</f>
        <v>45551</v>
      </c>
      <c r="J4208" s="143" t="s">
        <v>14236</v>
      </c>
      <c r="K4208" s="80" t="s">
        <v>13732</v>
      </c>
      <c r="L4208" s="30">
        <v>383364180</v>
      </c>
      <c r="M4208" s="80" t="s">
        <v>5558</v>
      </c>
      <c r="N4208" s="80" t="s">
        <v>5559</v>
      </c>
      <c r="O4208" s="80" t="s">
        <v>4503</v>
      </c>
      <c r="P4208" s="80" t="s">
        <v>4503</v>
      </c>
      <c r="Q4208" s="20">
        <v>15936</v>
      </c>
      <c r="R4208" s="80" t="s">
        <v>36</v>
      </c>
      <c r="S4208" s="95">
        <f>200+1800+9000</f>
        <v>11000</v>
      </c>
      <c r="T4208" s="83" t="s">
        <v>14237</v>
      </c>
      <c r="U4208" s="95">
        <v>4936</v>
      </c>
      <c r="V4208" s="148">
        <v>45566</v>
      </c>
      <c r="W4208" s="85" t="s">
        <v>14238</v>
      </c>
      <c r="X4208" s="80"/>
      <c r="Y4208" s="22">
        <v>0</v>
      </c>
      <c r="Z4208" s="80" t="s">
        <v>50</v>
      </c>
      <c r="AA4208" s="35" t="s">
        <v>9905</v>
      </c>
      <c r="AB4208" s="80"/>
      <c r="AC4208" s="80" t="s">
        <v>53</v>
      </c>
      <c r="AD4208" s="80" t="s">
        <v>138</v>
      </c>
      <c r="AE4208" s="80"/>
      <c r="AF4208" s="17">
        <v>45551</v>
      </c>
      <c r="AG4208" s="80"/>
      <c r="AH4208" s="80"/>
      <c r="AI4208" s="147"/>
      <c r="AJ4208" s="80"/>
      <c r="AK4208" s="80"/>
      <c r="AL4208" s="35"/>
      <c r="AM4208" s="35"/>
      <c r="AN4208" s="35"/>
      <c r="AO4208" s="35"/>
      <c r="AP4208" s="35"/>
    </row>
    <row r="4209" spans="1:42" x14ac:dyDescent="0.2">
      <c r="A4209" s="126">
        <v>45527.710905798609</v>
      </c>
      <c r="B4209" s="137" t="s">
        <v>37</v>
      </c>
      <c r="C4209" s="41" t="s">
        <v>118</v>
      </c>
      <c r="D4209" s="80" t="s">
        <v>36</v>
      </c>
      <c r="E4209" s="80" t="s">
        <v>139</v>
      </c>
      <c r="F4209" s="80" t="s">
        <v>36</v>
      </c>
      <c r="G4209" s="80" t="s">
        <v>41</v>
      </c>
      <c r="H4209" s="80" t="s">
        <v>11595</v>
      </c>
      <c r="I4209" s="17">
        <f ca="1">IFERROR(__xludf.DUMMYFUNCTION("""COMPUTED_VALUE"""),45554)</f>
        <v>45554</v>
      </c>
      <c r="J4209" s="143" t="s">
        <v>14559</v>
      </c>
      <c r="K4209" s="80" t="s">
        <v>14927</v>
      </c>
      <c r="L4209" s="30">
        <v>344564202</v>
      </c>
      <c r="M4209" s="80" t="s">
        <v>80</v>
      </c>
      <c r="N4209" s="80" t="s">
        <v>1073</v>
      </c>
      <c r="O4209" s="80" t="s">
        <v>14561</v>
      </c>
      <c r="P4209" s="80" t="s">
        <v>14562</v>
      </c>
      <c r="Q4209" s="20">
        <v>15936</v>
      </c>
      <c r="R4209" s="80" t="s">
        <v>36</v>
      </c>
      <c r="S4209" s="95">
        <f>200+2000+6000</f>
        <v>8200</v>
      </c>
      <c r="T4209" s="83" t="s">
        <v>14563</v>
      </c>
      <c r="U4209" s="95">
        <v>7736</v>
      </c>
      <c r="V4209" s="148">
        <v>45572</v>
      </c>
      <c r="W4209" s="85" t="s">
        <v>14564</v>
      </c>
      <c r="X4209" s="80"/>
      <c r="Y4209" s="22">
        <v>0</v>
      </c>
      <c r="Z4209" s="80" t="s">
        <v>50</v>
      </c>
      <c r="AA4209" s="96" t="s">
        <v>9905</v>
      </c>
      <c r="AB4209" s="80"/>
      <c r="AC4209" s="80" t="s">
        <v>53</v>
      </c>
      <c r="AD4209" s="80" t="s">
        <v>138</v>
      </c>
      <c r="AE4209" s="83">
        <v>0</v>
      </c>
      <c r="AF4209" s="17">
        <v>45554</v>
      </c>
      <c r="AG4209" s="80"/>
      <c r="AH4209" s="80"/>
      <c r="AI4209" s="147"/>
      <c r="AJ4209" s="80"/>
      <c r="AK4209" s="80"/>
      <c r="AL4209" s="35"/>
      <c r="AM4209" s="35"/>
      <c r="AN4209" s="35"/>
      <c r="AO4209" s="35"/>
      <c r="AP4209" s="35"/>
    </row>
    <row r="4210" spans="1:42" x14ac:dyDescent="0.2">
      <c r="A4210" s="126">
        <v>45527.715458078703</v>
      </c>
      <c r="B4210" s="137" t="s">
        <v>90</v>
      </c>
      <c r="C4210" s="41" t="s">
        <v>118</v>
      </c>
      <c r="D4210" s="80" t="s">
        <v>36</v>
      </c>
      <c r="E4210" s="80" t="s">
        <v>139</v>
      </c>
      <c r="F4210" s="80" t="s">
        <v>36</v>
      </c>
      <c r="G4210" s="80" t="s">
        <v>41</v>
      </c>
      <c r="H4210" s="80" t="s">
        <v>11595</v>
      </c>
      <c r="I4210" s="17">
        <f ca="1">IFERROR(__xludf.DUMMYFUNCTION("""COMPUTED_VALUE"""),45554)</f>
        <v>45554</v>
      </c>
      <c r="J4210" s="143" t="s">
        <v>14686</v>
      </c>
      <c r="K4210" s="80" t="s">
        <v>14928</v>
      </c>
      <c r="L4210" s="30">
        <v>983331598</v>
      </c>
      <c r="M4210" s="80" t="s">
        <v>80</v>
      </c>
      <c r="N4210" s="80" t="s">
        <v>1073</v>
      </c>
      <c r="O4210" s="80" t="s">
        <v>14688</v>
      </c>
      <c r="P4210" s="80" t="s">
        <v>2641</v>
      </c>
      <c r="Q4210" s="20">
        <v>15936</v>
      </c>
      <c r="R4210" s="80" t="s">
        <v>36</v>
      </c>
      <c r="S4210" s="95">
        <f>200+1800</f>
        <v>2000</v>
      </c>
      <c r="T4210" s="83" t="s">
        <v>14689</v>
      </c>
      <c r="U4210" s="95">
        <f>10000+3936</f>
        <v>13936</v>
      </c>
      <c r="V4210" s="83" t="s">
        <v>14690</v>
      </c>
      <c r="W4210" s="85" t="s">
        <v>14691</v>
      </c>
      <c r="X4210" s="80"/>
      <c r="Y4210" s="22">
        <v>0</v>
      </c>
      <c r="Z4210" s="80" t="s">
        <v>50</v>
      </c>
      <c r="AA4210" s="35" t="s">
        <v>9905</v>
      </c>
      <c r="AB4210" s="80"/>
      <c r="AC4210" s="80" t="s">
        <v>53</v>
      </c>
      <c r="AD4210" s="80" t="s">
        <v>138</v>
      </c>
      <c r="AE4210" s="83">
        <v>0</v>
      </c>
      <c r="AF4210" s="17">
        <v>45543</v>
      </c>
      <c r="AG4210" s="80" t="s">
        <v>14929</v>
      </c>
      <c r="AH4210" s="80"/>
      <c r="AI4210" s="147"/>
      <c r="AJ4210" s="80"/>
      <c r="AK4210" s="80"/>
      <c r="AL4210" s="35"/>
      <c r="AM4210" s="35"/>
      <c r="AN4210" s="35"/>
      <c r="AO4210" s="35"/>
      <c r="AP4210" s="35"/>
    </row>
    <row r="4211" spans="1:42" x14ac:dyDescent="0.2">
      <c r="A4211" s="126">
        <v>45527.798175358796</v>
      </c>
      <c r="B4211" s="137" t="s">
        <v>37</v>
      </c>
      <c r="C4211" s="41" t="s">
        <v>118</v>
      </c>
      <c r="D4211" s="80" t="s">
        <v>36</v>
      </c>
      <c r="E4211" s="80" t="s">
        <v>139</v>
      </c>
      <c r="F4211" s="26" t="s">
        <v>36</v>
      </c>
      <c r="G4211" s="26" t="s">
        <v>41</v>
      </c>
      <c r="H4211" s="80" t="s">
        <v>11610</v>
      </c>
      <c r="I4211" s="17">
        <f ca="1">IFERROR(__xludf.DUMMYFUNCTION("""COMPUTED_VALUE"""),45552)</f>
        <v>45552</v>
      </c>
      <c r="J4211" s="143" t="s">
        <v>14079</v>
      </c>
      <c r="K4211" s="80" t="s">
        <v>279</v>
      </c>
      <c r="L4211" s="30">
        <v>942997108</v>
      </c>
      <c r="M4211" s="80" t="s">
        <v>910</v>
      </c>
      <c r="N4211" s="80" t="s">
        <v>3525</v>
      </c>
      <c r="O4211" s="80" t="s">
        <v>91</v>
      </c>
      <c r="P4211" s="80" t="s">
        <v>14080</v>
      </c>
      <c r="Q4211" s="20">
        <v>15936</v>
      </c>
      <c r="R4211" s="80" t="s">
        <v>36</v>
      </c>
      <c r="S4211" s="95">
        <v>3000</v>
      </c>
      <c r="T4211" s="148">
        <v>45527</v>
      </c>
      <c r="U4211" s="95">
        <v>12936</v>
      </c>
      <c r="V4211" s="148">
        <v>45568</v>
      </c>
      <c r="W4211" s="85" t="s">
        <v>14081</v>
      </c>
      <c r="X4211" s="80"/>
      <c r="Y4211" s="22">
        <v>0</v>
      </c>
      <c r="Z4211" s="80" t="s">
        <v>50</v>
      </c>
      <c r="AA4211" s="96" t="s">
        <v>9905</v>
      </c>
      <c r="AB4211" s="80"/>
      <c r="AC4211" s="80" t="s">
        <v>53</v>
      </c>
      <c r="AD4211" s="80" t="s">
        <v>138</v>
      </c>
      <c r="AE4211" s="80"/>
      <c r="AF4211" s="17">
        <v>45551</v>
      </c>
      <c r="AG4211" s="80"/>
      <c r="AH4211" s="80"/>
      <c r="AI4211" s="147"/>
      <c r="AJ4211" s="80"/>
      <c r="AK4211" s="80"/>
      <c r="AL4211" s="35"/>
      <c r="AM4211" s="35"/>
      <c r="AN4211" s="35"/>
      <c r="AO4211" s="35"/>
      <c r="AP4211" s="35"/>
    </row>
    <row r="4212" spans="1:42" x14ac:dyDescent="0.2">
      <c r="A4212" s="126">
        <v>45527.863332870373</v>
      </c>
      <c r="B4212" s="137" t="s">
        <v>37</v>
      </c>
      <c r="C4212" s="41" t="s">
        <v>118</v>
      </c>
      <c r="D4212" s="80" t="s">
        <v>36</v>
      </c>
      <c r="E4212" s="80" t="s">
        <v>56</v>
      </c>
      <c r="F4212" s="80" t="s">
        <v>40</v>
      </c>
      <c r="G4212" s="80" t="s">
        <v>41</v>
      </c>
      <c r="H4212" s="80" t="s">
        <v>11183</v>
      </c>
      <c r="I4212" s="17">
        <f ca="1">IFERROR(__xludf.DUMMYFUNCTION("""COMPUTED_VALUE"""),45554)</f>
        <v>45554</v>
      </c>
      <c r="J4212" s="143" t="s">
        <v>14043</v>
      </c>
      <c r="K4212" s="80" t="s">
        <v>14930</v>
      </c>
      <c r="L4212" s="30">
        <v>855960900</v>
      </c>
      <c r="M4212" s="80" t="s">
        <v>80</v>
      </c>
      <c r="N4212" s="80" t="s">
        <v>466</v>
      </c>
      <c r="O4212" s="80" t="s">
        <v>14045</v>
      </c>
      <c r="P4212" s="80" t="s">
        <v>14046</v>
      </c>
      <c r="Q4212" s="20">
        <v>9317</v>
      </c>
      <c r="R4212" s="80" t="s">
        <v>70</v>
      </c>
      <c r="S4212" s="95">
        <v>2000</v>
      </c>
      <c r="T4212" s="148">
        <v>45527</v>
      </c>
      <c r="U4212" s="95">
        <v>7317</v>
      </c>
      <c r="V4212" s="148">
        <v>45580</v>
      </c>
      <c r="W4212" s="85" t="s">
        <v>14047</v>
      </c>
      <c r="X4212" s="80"/>
      <c r="Y4212" s="22">
        <v>0</v>
      </c>
      <c r="Z4212" s="80" t="s">
        <v>50</v>
      </c>
      <c r="AA4212" s="35" t="s">
        <v>9905</v>
      </c>
      <c r="AB4212" s="80"/>
      <c r="AC4212" s="80" t="s">
        <v>53</v>
      </c>
      <c r="AD4212" s="80" t="s">
        <v>138</v>
      </c>
      <c r="AE4212" s="83">
        <v>0</v>
      </c>
      <c r="AF4212" s="17">
        <v>45554</v>
      </c>
      <c r="AG4212" s="80"/>
      <c r="AH4212" s="80"/>
      <c r="AI4212" s="147"/>
      <c r="AJ4212" s="80"/>
      <c r="AK4212" s="80"/>
      <c r="AL4212" s="35"/>
      <c r="AM4212" s="35"/>
      <c r="AN4212" s="35"/>
      <c r="AO4212" s="35"/>
      <c r="AP4212" s="35"/>
    </row>
    <row r="4213" spans="1:42" x14ac:dyDescent="0.2">
      <c r="A4213" s="126">
        <v>45528.733982395832</v>
      </c>
      <c r="B4213" s="137" t="s">
        <v>37</v>
      </c>
      <c r="C4213" s="41" t="s">
        <v>118</v>
      </c>
      <c r="D4213" s="80" t="s">
        <v>36</v>
      </c>
      <c r="E4213" s="80" t="s">
        <v>139</v>
      </c>
      <c r="F4213" s="26" t="s">
        <v>36</v>
      </c>
      <c r="G4213" s="26" t="s">
        <v>41</v>
      </c>
      <c r="H4213" s="80" t="s">
        <v>11610</v>
      </c>
      <c r="I4213" s="17">
        <f ca="1">IFERROR(__xludf.DUMMYFUNCTION("""COMPUTED_VALUE"""),45552)</f>
        <v>45552</v>
      </c>
      <c r="J4213" s="143" t="s">
        <v>14083</v>
      </c>
      <c r="K4213" s="80" t="s">
        <v>14931</v>
      </c>
      <c r="L4213" s="30">
        <v>812141662</v>
      </c>
      <c r="M4213" s="80" t="s">
        <v>3728</v>
      </c>
      <c r="N4213" s="80" t="s">
        <v>5312</v>
      </c>
      <c r="O4213" s="80" t="s">
        <v>134</v>
      </c>
      <c r="P4213" s="80" t="s">
        <v>14085</v>
      </c>
      <c r="Q4213" s="20">
        <v>15936</v>
      </c>
      <c r="R4213" s="80" t="s">
        <v>36</v>
      </c>
      <c r="S4213" s="95">
        <f>200+1800+7000</f>
        <v>9000</v>
      </c>
      <c r="T4213" s="83" t="s">
        <v>14086</v>
      </c>
      <c r="U4213" s="95">
        <v>6936</v>
      </c>
      <c r="V4213" s="148">
        <v>45586</v>
      </c>
      <c r="W4213" s="85" t="s">
        <v>14087</v>
      </c>
      <c r="X4213" s="80"/>
      <c r="Y4213" s="22">
        <v>0</v>
      </c>
      <c r="Z4213" s="80" t="s">
        <v>50</v>
      </c>
      <c r="AA4213" s="96" t="s">
        <v>9905</v>
      </c>
      <c r="AB4213" s="80"/>
      <c r="AC4213" s="80" t="s">
        <v>53</v>
      </c>
      <c r="AD4213" s="80" t="s">
        <v>138</v>
      </c>
      <c r="AE4213" s="80"/>
      <c r="AF4213" s="17">
        <v>45551</v>
      </c>
      <c r="AG4213" s="80"/>
      <c r="AH4213" s="80"/>
      <c r="AI4213" s="147"/>
      <c r="AJ4213" s="80"/>
      <c r="AK4213" s="80"/>
      <c r="AL4213" s="35"/>
      <c r="AM4213" s="35"/>
      <c r="AN4213" s="35"/>
      <c r="AO4213" s="35"/>
      <c r="AP4213" s="35"/>
    </row>
    <row r="4214" spans="1:42" x14ac:dyDescent="0.2">
      <c r="A4214" s="126">
        <v>45528.867982858792</v>
      </c>
      <c r="B4214" s="137" t="s">
        <v>37</v>
      </c>
      <c r="C4214" s="41" t="s">
        <v>118</v>
      </c>
      <c r="D4214" s="80" t="s">
        <v>36</v>
      </c>
      <c r="E4214" s="80" t="s">
        <v>56</v>
      </c>
      <c r="F4214" s="80" t="s">
        <v>36</v>
      </c>
      <c r="G4214" s="80" t="s">
        <v>41</v>
      </c>
      <c r="H4214" s="80" t="s">
        <v>11392</v>
      </c>
      <c r="I4214" s="17">
        <f ca="1">IFERROR(__xludf.DUMMYFUNCTION("""COMPUTED_VALUE"""),45540)</f>
        <v>45540</v>
      </c>
      <c r="J4214" s="143" t="s">
        <v>14624</v>
      </c>
      <c r="K4214" s="80" t="s">
        <v>14932</v>
      </c>
      <c r="L4214" s="30">
        <v>382534604</v>
      </c>
      <c r="M4214" s="80" t="s">
        <v>80</v>
      </c>
      <c r="N4214" s="80" t="s">
        <v>1073</v>
      </c>
      <c r="O4214" s="80" t="s">
        <v>14626</v>
      </c>
      <c r="P4214" s="80" t="s">
        <v>14933</v>
      </c>
      <c r="Q4214" s="20">
        <v>9317</v>
      </c>
      <c r="R4214" s="80" t="s">
        <v>36</v>
      </c>
      <c r="S4214" s="95">
        <f t="shared" ref="S4214:S4216" si="71">200+1800</f>
        <v>2000</v>
      </c>
      <c r="T4214" s="83" t="s">
        <v>14628</v>
      </c>
      <c r="U4214" s="95">
        <v>7317</v>
      </c>
      <c r="V4214" s="148">
        <v>45589</v>
      </c>
      <c r="W4214" s="85" t="s">
        <v>14629</v>
      </c>
      <c r="X4214" s="80"/>
      <c r="Y4214" s="22">
        <v>0</v>
      </c>
      <c r="Z4214" s="80" t="s">
        <v>50</v>
      </c>
      <c r="AA4214" s="35" t="s">
        <v>9905</v>
      </c>
      <c r="AB4214" s="80"/>
      <c r="AC4214" s="80" t="s">
        <v>53</v>
      </c>
      <c r="AD4214" s="80" t="s">
        <v>54</v>
      </c>
      <c r="AE4214" s="83">
        <v>0</v>
      </c>
      <c r="AF4214" s="17">
        <v>45540</v>
      </c>
      <c r="AG4214" s="80" t="s">
        <v>7078</v>
      </c>
      <c r="AH4214" s="80"/>
      <c r="AI4214" s="147"/>
      <c r="AJ4214" s="80"/>
      <c r="AK4214" s="80"/>
      <c r="AL4214" s="35"/>
      <c r="AM4214" s="35"/>
      <c r="AN4214" s="35"/>
      <c r="AO4214" s="35"/>
      <c r="AP4214" s="35"/>
    </row>
    <row r="4215" spans="1:42" x14ac:dyDescent="0.2">
      <c r="A4215" s="126">
        <v>45528.883696354169</v>
      </c>
      <c r="B4215" s="137" t="s">
        <v>37</v>
      </c>
      <c r="C4215" s="41" t="s">
        <v>118</v>
      </c>
      <c r="D4215" s="80" t="s">
        <v>36</v>
      </c>
      <c r="E4215" s="80" t="s">
        <v>139</v>
      </c>
      <c r="F4215" s="80" t="s">
        <v>36</v>
      </c>
      <c r="G4215" s="80" t="s">
        <v>41</v>
      </c>
      <c r="H4215" s="80" t="s">
        <v>14934</v>
      </c>
      <c r="I4215" s="17">
        <f ca="1">IFERROR(__xludf.DUMMYFUNCTION("""COMPUTED_VALUE"""),45578)</f>
        <v>45578</v>
      </c>
      <c r="J4215" s="143" t="s">
        <v>14935</v>
      </c>
      <c r="K4215" s="80" t="s">
        <v>14936</v>
      </c>
      <c r="L4215" s="30">
        <v>366805330</v>
      </c>
      <c r="M4215" s="80" t="s">
        <v>5429</v>
      </c>
      <c r="N4215" s="80" t="s">
        <v>7051</v>
      </c>
      <c r="O4215" s="80" t="s">
        <v>14937</v>
      </c>
      <c r="P4215" s="80" t="s">
        <v>7107</v>
      </c>
      <c r="Q4215" s="20">
        <v>15936</v>
      </c>
      <c r="R4215" s="80" t="s">
        <v>36</v>
      </c>
      <c r="S4215" s="95">
        <f t="shared" si="71"/>
        <v>2000</v>
      </c>
      <c r="T4215" s="83" t="s">
        <v>14938</v>
      </c>
      <c r="U4215" s="95">
        <v>13936</v>
      </c>
      <c r="V4215" s="148">
        <v>45590</v>
      </c>
      <c r="W4215" s="85" t="s">
        <v>14939</v>
      </c>
      <c r="X4215" s="80"/>
      <c r="Y4215" s="22">
        <v>0</v>
      </c>
      <c r="Z4215" s="80" t="s">
        <v>50</v>
      </c>
      <c r="AA4215" s="96" t="s">
        <v>9905</v>
      </c>
      <c r="AB4215" s="80"/>
      <c r="AC4215" s="80" t="s">
        <v>53</v>
      </c>
      <c r="AD4215" s="80" t="s">
        <v>138</v>
      </c>
      <c r="AE4215" s="80" t="s">
        <v>72</v>
      </c>
      <c r="AF4215" s="43">
        <v>45576</v>
      </c>
      <c r="AG4215" s="80" t="s">
        <v>14940</v>
      </c>
      <c r="AH4215" s="80"/>
      <c r="AI4215" s="147"/>
      <c r="AJ4215" s="80"/>
      <c r="AK4215" s="80"/>
      <c r="AL4215" s="35"/>
      <c r="AM4215" s="35"/>
      <c r="AN4215" s="35"/>
      <c r="AO4215" s="35"/>
      <c r="AP4215" s="35"/>
    </row>
    <row r="4216" spans="1:42" x14ac:dyDescent="0.2">
      <c r="A4216" s="126">
        <v>45528.891813414353</v>
      </c>
      <c r="B4216" s="137" t="s">
        <v>37</v>
      </c>
      <c r="C4216" s="41" t="s">
        <v>118</v>
      </c>
      <c r="D4216" s="80" t="s">
        <v>36</v>
      </c>
      <c r="E4216" s="80" t="s">
        <v>139</v>
      </c>
      <c r="F4216" s="80" t="s">
        <v>36</v>
      </c>
      <c r="G4216" s="80" t="s">
        <v>41</v>
      </c>
      <c r="H4216" s="80" t="s">
        <v>11595</v>
      </c>
      <c r="I4216" s="17">
        <f ca="1">IFERROR(__xludf.DUMMYFUNCTION("""COMPUTED_VALUE"""),45554)</f>
        <v>45554</v>
      </c>
      <c r="J4216" s="143" t="s">
        <v>14671</v>
      </c>
      <c r="K4216" s="80" t="s">
        <v>14941</v>
      </c>
      <c r="L4216" s="30">
        <v>357186051</v>
      </c>
      <c r="M4216" s="80" t="s">
        <v>80</v>
      </c>
      <c r="N4216" s="80" t="s">
        <v>186</v>
      </c>
      <c r="O4216" s="80" t="s">
        <v>14673</v>
      </c>
      <c r="P4216" s="80" t="s">
        <v>2641</v>
      </c>
      <c r="Q4216" s="20">
        <v>15936</v>
      </c>
      <c r="R4216" s="80" t="s">
        <v>36</v>
      </c>
      <c r="S4216" s="95">
        <f t="shared" si="71"/>
        <v>2000</v>
      </c>
      <c r="T4216" s="83" t="s">
        <v>14674</v>
      </c>
      <c r="U4216" s="95">
        <v>13936</v>
      </c>
      <c r="V4216" s="148">
        <v>45583</v>
      </c>
      <c r="W4216" s="85" t="s">
        <v>14675</v>
      </c>
      <c r="X4216" s="80"/>
      <c r="Y4216" s="22">
        <v>0</v>
      </c>
      <c r="Z4216" s="80" t="s">
        <v>50</v>
      </c>
      <c r="AA4216" s="35" t="s">
        <v>9905</v>
      </c>
      <c r="AB4216" s="80"/>
      <c r="AC4216" s="80" t="s">
        <v>53</v>
      </c>
      <c r="AD4216" s="80" t="s">
        <v>138</v>
      </c>
      <c r="AE4216" s="83">
        <v>0</v>
      </c>
      <c r="AF4216" s="17">
        <v>45554</v>
      </c>
      <c r="AG4216" s="80"/>
      <c r="AH4216" s="80"/>
      <c r="AI4216" s="147"/>
      <c r="AJ4216" s="80"/>
      <c r="AK4216" s="80"/>
      <c r="AL4216" s="35"/>
      <c r="AM4216" s="35"/>
      <c r="AN4216" s="35"/>
      <c r="AO4216" s="35"/>
      <c r="AP4216" s="35"/>
    </row>
    <row r="4217" spans="1:42" x14ac:dyDescent="0.2">
      <c r="A4217" s="126">
        <v>45528.927646655095</v>
      </c>
      <c r="B4217" s="137" t="s">
        <v>37</v>
      </c>
      <c r="C4217" s="41" t="s">
        <v>118</v>
      </c>
      <c r="D4217" s="80" t="s">
        <v>36</v>
      </c>
      <c r="E4217" s="80" t="s">
        <v>119</v>
      </c>
      <c r="F4217" s="26" t="s">
        <v>36</v>
      </c>
      <c r="G4217" s="26" t="s">
        <v>108</v>
      </c>
      <c r="H4217" s="80" t="s">
        <v>6919</v>
      </c>
      <c r="I4217" s="17">
        <f ca="1">IFERROR(__xludf.DUMMYFUNCTION("""COMPUTED_VALUE"""),45552)</f>
        <v>45552</v>
      </c>
      <c r="J4217" s="172" t="s">
        <v>14942</v>
      </c>
      <c r="K4217" s="80" t="s">
        <v>14943</v>
      </c>
      <c r="L4217" s="30">
        <v>396434141</v>
      </c>
      <c r="M4217" s="80" t="s">
        <v>5429</v>
      </c>
      <c r="N4217" s="80" t="s">
        <v>1594</v>
      </c>
      <c r="O4217" s="80" t="s">
        <v>14944</v>
      </c>
      <c r="P4217" s="80" t="s">
        <v>14945</v>
      </c>
      <c r="Q4217" s="20">
        <v>13968</v>
      </c>
      <c r="R4217" s="80" t="s">
        <v>36</v>
      </c>
      <c r="S4217" s="95">
        <f>200+3800</f>
        <v>4000</v>
      </c>
      <c r="T4217" s="83" t="s">
        <v>14946</v>
      </c>
      <c r="U4217" s="95">
        <v>9968</v>
      </c>
      <c r="V4217" s="148">
        <v>45567</v>
      </c>
      <c r="W4217" s="85" t="s">
        <v>14947</v>
      </c>
      <c r="X4217" s="80"/>
      <c r="Y4217" s="22">
        <v>0</v>
      </c>
      <c r="Z4217" s="80" t="s">
        <v>50</v>
      </c>
      <c r="AA4217" s="96" t="s">
        <v>9905</v>
      </c>
      <c r="AB4217" s="80"/>
      <c r="AC4217" s="80" t="s">
        <v>53</v>
      </c>
      <c r="AD4217" s="80" t="s">
        <v>138</v>
      </c>
      <c r="AE4217" s="83">
        <v>420</v>
      </c>
      <c r="AF4217" s="17">
        <v>45552</v>
      </c>
      <c r="AG4217" s="80"/>
      <c r="AH4217" s="80"/>
      <c r="AI4217" s="147"/>
      <c r="AJ4217" s="80"/>
      <c r="AK4217" s="80"/>
      <c r="AL4217" s="35"/>
      <c r="AM4217" s="35"/>
      <c r="AN4217" s="35"/>
      <c r="AO4217" s="35"/>
      <c r="AP4217" s="35"/>
    </row>
    <row r="4218" spans="1:42" x14ac:dyDescent="0.2">
      <c r="A4218" s="126">
        <v>45529.702218715276</v>
      </c>
      <c r="B4218" s="137" t="s">
        <v>37</v>
      </c>
      <c r="C4218" s="41" t="s">
        <v>118</v>
      </c>
      <c r="D4218" s="80" t="s">
        <v>36</v>
      </c>
      <c r="E4218" s="80" t="s">
        <v>148</v>
      </c>
      <c r="F4218" s="80" t="s">
        <v>36</v>
      </c>
      <c r="G4218" s="80" t="s">
        <v>108</v>
      </c>
      <c r="H4218" s="80" t="s">
        <v>9836</v>
      </c>
      <c r="I4218" s="17">
        <f ca="1">IFERROR(__xludf.DUMMYFUNCTION("""COMPUTED_VALUE"""),45539)</f>
        <v>45539</v>
      </c>
      <c r="J4218" s="143" t="s">
        <v>14948</v>
      </c>
      <c r="K4218" s="80" t="s">
        <v>14949</v>
      </c>
      <c r="L4218" s="30">
        <v>359334811</v>
      </c>
      <c r="M4218" s="80" t="s">
        <v>80</v>
      </c>
      <c r="N4218" s="80" t="s">
        <v>1073</v>
      </c>
      <c r="O4218" s="80" t="s">
        <v>14950</v>
      </c>
      <c r="P4218" s="144" t="s">
        <v>14951</v>
      </c>
      <c r="Q4218" s="20">
        <v>7349</v>
      </c>
      <c r="R4218" s="80" t="s">
        <v>36</v>
      </c>
      <c r="S4218" s="95">
        <f>200+3600</f>
        <v>3800</v>
      </c>
      <c r="T4218" s="83" t="s">
        <v>14952</v>
      </c>
      <c r="U4218" s="95">
        <v>3549</v>
      </c>
      <c r="V4218" s="148">
        <v>45569</v>
      </c>
      <c r="W4218" s="85" t="s">
        <v>14953</v>
      </c>
      <c r="X4218" s="80"/>
      <c r="Y4218" s="22">
        <v>0</v>
      </c>
      <c r="Z4218" s="80" t="s">
        <v>50</v>
      </c>
      <c r="AA4218" s="35" t="s">
        <v>9905</v>
      </c>
      <c r="AB4218" s="80"/>
      <c r="AC4218" s="80" t="s">
        <v>53</v>
      </c>
      <c r="AD4218" s="80" t="s">
        <v>54</v>
      </c>
      <c r="AE4218" s="83">
        <v>500</v>
      </c>
      <c r="AF4218" s="17">
        <v>45530</v>
      </c>
      <c r="AG4218" s="80" t="s">
        <v>12854</v>
      </c>
      <c r="AH4218" s="80"/>
      <c r="AI4218" s="147"/>
      <c r="AJ4218" s="80"/>
      <c r="AK4218" s="80"/>
      <c r="AL4218" s="35"/>
      <c r="AM4218" s="35"/>
      <c r="AN4218" s="35"/>
      <c r="AO4218" s="35"/>
      <c r="AP4218" s="35"/>
    </row>
    <row r="4219" spans="1:42" x14ac:dyDescent="0.2">
      <c r="A4219" s="126">
        <v>45529.777276145833</v>
      </c>
      <c r="B4219" s="137" t="s">
        <v>37</v>
      </c>
      <c r="C4219" s="41" t="s">
        <v>118</v>
      </c>
      <c r="D4219" s="80" t="s">
        <v>36</v>
      </c>
      <c r="E4219" s="80" t="s">
        <v>119</v>
      </c>
      <c r="F4219" s="26" t="s">
        <v>36</v>
      </c>
      <c r="G4219" s="26" t="s">
        <v>108</v>
      </c>
      <c r="H4219" s="80" t="s">
        <v>9825</v>
      </c>
      <c r="I4219" s="17">
        <f ca="1">IFERROR(__xludf.DUMMYFUNCTION("""COMPUTED_VALUE"""),45548)</f>
        <v>45548</v>
      </c>
      <c r="J4219" s="143" t="s">
        <v>14954</v>
      </c>
      <c r="K4219" s="80" t="s">
        <v>14955</v>
      </c>
      <c r="L4219" s="30">
        <v>963351400</v>
      </c>
      <c r="M4219" s="80" t="s">
        <v>5518</v>
      </c>
      <c r="N4219" s="80" t="s">
        <v>12477</v>
      </c>
      <c r="O4219" s="80" t="s">
        <v>14956</v>
      </c>
      <c r="P4219" s="80" t="s">
        <v>7743</v>
      </c>
      <c r="Q4219" s="20">
        <v>13968</v>
      </c>
      <c r="R4219" s="80" t="s">
        <v>36</v>
      </c>
      <c r="S4219" s="95">
        <f>2000+2000</f>
        <v>4000</v>
      </c>
      <c r="T4219" s="83" t="s">
        <v>12426</v>
      </c>
      <c r="U4219" s="95">
        <v>9968</v>
      </c>
      <c r="V4219" s="148">
        <v>45566</v>
      </c>
      <c r="W4219" s="85" t="s">
        <v>14957</v>
      </c>
      <c r="X4219" s="80"/>
      <c r="Y4219" s="22">
        <v>0</v>
      </c>
      <c r="Z4219" s="80" t="s">
        <v>50</v>
      </c>
      <c r="AA4219" s="96" t="s">
        <v>9905</v>
      </c>
      <c r="AB4219" s="80"/>
      <c r="AC4219" s="80" t="s">
        <v>53</v>
      </c>
      <c r="AD4219" s="80" t="s">
        <v>138</v>
      </c>
      <c r="AE4219" s="83">
        <v>470</v>
      </c>
      <c r="AF4219" s="17">
        <v>45548</v>
      </c>
      <c r="AG4219" s="26" t="s">
        <v>4996</v>
      </c>
      <c r="AH4219" s="80"/>
      <c r="AI4219" s="147"/>
      <c r="AJ4219" s="80"/>
      <c r="AK4219" s="80"/>
      <c r="AL4219" s="35"/>
      <c r="AM4219" s="35"/>
      <c r="AN4219" s="35"/>
      <c r="AO4219" s="35"/>
      <c r="AP4219" s="35"/>
    </row>
    <row r="4220" spans="1:42" x14ac:dyDescent="0.2">
      <c r="A4220" s="126">
        <v>45530.580527893515</v>
      </c>
      <c r="B4220" s="137" t="s">
        <v>37</v>
      </c>
      <c r="C4220" s="41" t="s">
        <v>118</v>
      </c>
      <c r="D4220" s="80" t="s">
        <v>36</v>
      </c>
      <c r="E4220" s="80" t="s">
        <v>77</v>
      </c>
      <c r="F4220" s="80" t="s">
        <v>36</v>
      </c>
      <c r="G4220" s="80" t="s">
        <v>41</v>
      </c>
      <c r="H4220" s="80" t="s">
        <v>11595</v>
      </c>
      <c r="I4220" s="17">
        <f ca="1">IFERROR(__xludf.DUMMYFUNCTION("""COMPUTED_VALUE"""),45554)</f>
        <v>45554</v>
      </c>
      <c r="J4220" s="143" t="s">
        <v>14958</v>
      </c>
      <c r="K4220" s="80" t="s">
        <v>14959</v>
      </c>
      <c r="L4220" s="30">
        <v>336687504</v>
      </c>
      <c r="M4220" s="80" t="s">
        <v>80</v>
      </c>
      <c r="N4220" s="80" t="s">
        <v>1073</v>
      </c>
      <c r="O4220" s="80" t="s">
        <v>14960</v>
      </c>
      <c r="P4220" s="80" t="s">
        <v>2641</v>
      </c>
      <c r="Q4220" s="20">
        <v>1968</v>
      </c>
      <c r="R4220" s="80" t="s">
        <v>36</v>
      </c>
      <c r="S4220" s="95">
        <f>200+1800</f>
        <v>2000</v>
      </c>
      <c r="T4220" s="83" t="s">
        <v>12442</v>
      </c>
      <c r="U4220" s="77"/>
      <c r="V4220" s="78"/>
      <c r="W4220" s="85" t="s">
        <v>14961</v>
      </c>
      <c r="X4220" s="80"/>
      <c r="Y4220" s="22">
        <v>-32</v>
      </c>
      <c r="Z4220" s="80" t="s">
        <v>50</v>
      </c>
      <c r="AA4220" s="35" t="s">
        <v>9905</v>
      </c>
      <c r="AB4220" s="80"/>
      <c r="AC4220" s="80" t="s">
        <v>53</v>
      </c>
      <c r="AD4220" s="80" t="s">
        <v>138</v>
      </c>
      <c r="AE4220" s="83">
        <v>0</v>
      </c>
      <c r="AF4220" s="17">
        <v>45543</v>
      </c>
      <c r="AG4220" s="80" t="s">
        <v>14962</v>
      </c>
      <c r="AH4220" s="80"/>
      <c r="AI4220" s="147"/>
      <c r="AJ4220" s="80"/>
      <c r="AK4220" s="80"/>
      <c r="AL4220" s="35"/>
      <c r="AM4220" s="35"/>
      <c r="AN4220" s="35"/>
      <c r="AO4220" s="35"/>
      <c r="AP4220" s="35"/>
    </row>
    <row r="4221" spans="1:42" x14ac:dyDescent="0.2">
      <c r="A4221" s="126">
        <v>45530.582141689811</v>
      </c>
      <c r="B4221" s="137" t="s">
        <v>37</v>
      </c>
      <c r="C4221" s="41" t="s">
        <v>118</v>
      </c>
      <c r="D4221" s="80" t="s">
        <v>36</v>
      </c>
      <c r="E4221" s="80" t="s">
        <v>139</v>
      </c>
      <c r="F4221" s="80" t="s">
        <v>36</v>
      </c>
      <c r="G4221" s="80" t="s">
        <v>41</v>
      </c>
      <c r="H4221" s="80" t="s">
        <v>11707</v>
      </c>
      <c r="I4221" s="17">
        <f ca="1">IFERROR(__xludf.DUMMYFUNCTION("""COMPUTED_VALUE"""),45551)</f>
        <v>45551</v>
      </c>
      <c r="J4221" s="143" t="s">
        <v>14167</v>
      </c>
      <c r="K4221" s="80" t="s">
        <v>14168</v>
      </c>
      <c r="L4221" s="30">
        <v>364470393</v>
      </c>
      <c r="M4221" s="80" t="s">
        <v>80</v>
      </c>
      <c r="N4221" s="80" t="s">
        <v>1073</v>
      </c>
      <c r="O4221" s="80" t="s">
        <v>14169</v>
      </c>
      <c r="P4221" s="80" t="s">
        <v>2641</v>
      </c>
      <c r="Q4221" s="20">
        <v>15936</v>
      </c>
      <c r="R4221" s="80" t="s">
        <v>70</v>
      </c>
      <c r="S4221" s="95">
        <v>2000</v>
      </c>
      <c r="T4221" s="148">
        <v>45530</v>
      </c>
      <c r="U4221" s="95">
        <v>13936</v>
      </c>
      <c r="V4221" s="148">
        <v>45595</v>
      </c>
      <c r="W4221" s="85" t="s">
        <v>14170</v>
      </c>
      <c r="X4221" s="80"/>
      <c r="Y4221" s="22">
        <v>0</v>
      </c>
      <c r="Z4221" s="80" t="s">
        <v>50</v>
      </c>
      <c r="AA4221" s="96" t="s">
        <v>9905</v>
      </c>
      <c r="AB4221" s="80"/>
      <c r="AC4221" s="80" t="s">
        <v>53</v>
      </c>
      <c r="AD4221" s="80" t="s">
        <v>138</v>
      </c>
      <c r="AE4221" s="83">
        <v>0</v>
      </c>
      <c r="AF4221" s="17">
        <v>45530</v>
      </c>
      <c r="AG4221" s="80" t="s">
        <v>14962</v>
      </c>
      <c r="AH4221" s="80"/>
      <c r="AI4221" s="147"/>
      <c r="AJ4221" s="80"/>
      <c r="AK4221" s="80"/>
      <c r="AL4221" s="35"/>
      <c r="AM4221" s="35"/>
      <c r="AN4221" s="35"/>
      <c r="AO4221" s="35"/>
      <c r="AP4221" s="35"/>
    </row>
    <row r="4222" spans="1:42" x14ac:dyDescent="0.2">
      <c r="A4222" s="126">
        <v>45530.912206261579</v>
      </c>
      <c r="B4222" s="137" t="s">
        <v>37</v>
      </c>
      <c r="C4222" s="41" t="s">
        <v>118</v>
      </c>
      <c r="D4222" s="80" t="s">
        <v>36</v>
      </c>
      <c r="E4222" s="80" t="s">
        <v>139</v>
      </c>
      <c r="F4222" s="80" t="s">
        <v>36</v>
      </c>
      <c r="G4222" s="80" t="s">
        <v>41</v>
      </c>
      <c r="H4222" s="80" t="s">
        <v>11595</v>
      </c>
      <c r="I4222" s="17">
        <f ca="1">IFERROR(__xludf.DUMMYFUNCTION("""COMPUTED_VALUE"""),45554)</f>
        <v>45554</v>
      </c>
      <c r="J4222" s="143" t="s">
        <v>14548</v>
      </c>
      <c r="K4222" s="80" t="s">
        <v>14963</v>
      </c>
      <c r="L4222" s="30">
        <v>834840438</v>
      </c>
      <c r="M4222" s="80" t="s">
        <v>80</v>
      </c>
      <c r="N4222" s="80" t="s">
        <v>1073</v>
      </c>
      <c r="O4222" s="80" t="s">
        <v>14550</v>
      </c>
      <c r="P4222" s="80" t="s">
        <v>14551</v>
      </c>
      <c r="Q4222" s="20">
        <v>15936</v>
      </c>
      <c r="R4222" s="80" t="s">
        <v>36</v>
      </c>
      <c r="S4222" s="95">
        <f t="shared" ref="S4222:S4223" si="72">200+1800</f>
        <v>2000</v>
      </c>
      <c r="T4222" s="83" t="s">
        <v>14552</v>
      </c>
      <c r="U4222" s="95">
        <v>13936</v>
      </c>
      <c r="V4222" s="148">
        <v>45578</v>
      </c>
      <c r="W4222" s="85" t="s">
        <v>14553</v>
      </c>
      <c r="X4222" s="80"/>
      <c r="Y4222" s="22">
        <v>0</v>
      </c>
      <c r="Z4222" s="80" t="s">
        <v>50</v>
      </c>
      <c r="AA4222" s="35" t="s">
        <v>9905</v>
      </c>
      <c r="AB4222" s="80"/>
      <c r="AC4222" s="80" t="s">
        <v>53</v>
      </c>
      <c r="AD4222" s="80" t="s">
        <v>138</v>
      </c>
      <c r="AE4222" s="83">
        <v>0</v>
      </c>
      <c r="AF4222" s="17">
        <v>45554</v>
      </c>
      <c r="AG4222" s="80"/>
      <c r="AH4222" s="80"/>
      <c r="AI4222" s="147"/>
      <c r="AJ4222" s="80"/>
      <c r="AK4222" s="80"/>
      <c r="AL4222" s="35"/>
      <c r="AM4222" s="35"/>
      <c r="AN4222" s="35"/>
      <c r="AO4222" s="35"/>
      <c r="AP4222" s="35"/>
    </row>
    <row r="4223" spans="1:42" x14ac:dyDescent="0.2">
      <c r="A4223" s="126">
        <v>45531.013555127312</v>
      </c>
      <c r="B4223" s="137" t="s">
        <v>37</v>
      </c>
      <c r="C4223" s="41" t="s">
        <v>118</v>
      </c>
      <c r="D4223" s="80" t="s">
        <v>36</v>
      </c>
      <c r="E4223" s="80" t="s">
        <v>139</v>
      </c>
      <c r="F4223" s="80" t="s">
        <v>36</v>
      </c>
      <c r="G4223" s="80" t="s">
        <v>41</v>
      </c>
      <c r="H4223" s="80" t="s">
        <v>11595</v>
      </c>
      <c r="I4223" s="17">
        <f ca="1">IFERROR(__xludf.DUMMYFUNCTION("""COMPUTED_VALUE"""),45554)</f>
        <v>45554</v>
      </c>
      <c r="J4223" s="143" t="s">
        <v>14681</v>
      </c>
      <c r="K4223" s="80" t="s">
        <v>14964</v>
      </c>
      <c r="L4223" s="30">
        <v>943475525</v>
      </c>
      <c r="M4223" s="80" t="s">
        <v>80</v>
      </c>
      <c r="N4223" s="80" t="s">
        <v>1073</v>
      </c>
      <c r="O4223" s="80" t="s">
        <v>14683</v>
      </c>
      <c r="P4223" s="80" t="s">
        <v>2641</v>
      </c>
      <c r="Q4223" s="20">
        <v>15936</v>
      </c>
      <c r="R4223" s="80" t="s">
        <v>36</v>
      </c>
      <c r="S4223" s="95">
        <f t="shared" si="72"/>
        <v>2000</v>
      </c>
      <c r="T4223" s="83" t="s">
        <v>14684</v>
      </c>
      <c r="U4223" s="95">
        <v>13936</v>
      </c>
      <c r="V4223" s="148">
        <v>45573</v>
      </c>
      <c r="W4223" s="85" t="s">
        <v>14685</v>
      </c>
      <c r="X4223" s="80"/>
      <c r="Y4223" s="22">
        <v>0</v>
      </c>
      <c r="Z4223" s="80" t="s">
        <v>50</v>
      </c>
      <c r="AA4223" s="96" t="s">
        <v>9905</v>
      </c>
      <c r="AB4223" s="80"/>
      <c r="AC4223" s="80" t="s">
        <v>53</v>
      </c>
      <c r="AD4223" s="80" t="s">
        <v>138</v>
      </c>
      <c r="AE4223" s="83">
        <v>0</v>
      </c>
      <c r="AF4223" s="17">
        <v>45554</v>
      </c>
      <c r="AG4223" s="80"/>
      <c r="AH4223" s="80"/>
      <c r="AI4223" s="147"/>
      <c r="AJ4223" s="80"/>
      <c r="AK4223" s="80"/>
      <c r="AL4223" s="35"/>
      <c r="AM4223" s="35"/>
      <c r="AN4223" s="35"/>
      <c r="AO4223" s="35"/>
      <c r="AP4223" s="35"/>
    </row>
    <row r="4224" spans="1:42" x14ac:dyDescent="0.2">
      <c r="A4224" s="126">
        <v>45531.854656261574</v>
      </c>
      <c r="B4224" s="137" t="s">
        <v>37</v>
      </c>
      <c r="C4224" s="41" t="s">
        <v>118</v>
      </c>
      <c r="D4224" s="80" t="s">
        <v>36</v>
      </c>
      <c r="E4224" s="80" t="s">
        <v>139</v>
      </c>
      <c r="F4224" s="80" t="s">
        <v>36</v>
      </c>
      <c r="G4224" s="80" t="s">
        <v>41</v>
      </c>
      <c r="H4224" s="80" t="s">
        <v>11707</v>
      </c>
      <c r="I4224" s="17">
        <f ca="1">IFERROR(__xludf.DUMMYFUNCTION("""COMPUTED_VALUE"""),45551)</f>
        <v>45551</v>
      </c>
      <c r="J4224" s="143" t="s">
        <v>14061</v>
      </c>
      <c r="K4224" s="80" t="s">
        <v>14062</v>
      </c>
      <c r="L4224" s="30">
        <v>862107206</v>
      </c>
      <c r="M4224" s="80" t="s">
        <v>123</v>
      </c>
      <c r="N4224" s="80" t="s">
        <v>327</v>
      </c>
      <c r="O4224" s="80" t="s">
        <v>4503</v>
      </c>
      <c r="P4224" s="80" t="s">
        <v>3487</v>
      </c>
      <c r="Q4224" s="20">
        <v>15936</v>
      </c>
      <c r="R4224" s="80" t="s">
        <v>36</v>
      </c>
      <c r="S4224" s="95">
        <f>200+2000</f>
        <v>2200</v>
      </c>
      <c r="T4224" s="83" t="s">
        <v>14063</v>
      </c>
      <c r="U4224" s="95">
        <v>13736</v>
      </c>
      <c r="V4224" s="148">
        <v>45566</v>
      </c>
      <c r="W4224" s="85" t="s">
        <v>14064</v>
      </c>
      <c r="X4224" s="80"/>
      <c r="Y4224" s="22">
        <v>0</v>
      </c>
      <c r="Z4224" s="80" t="s">
        <v>50</v>
      </c>
      <c r="AA4224" s="35" t="s">
        <v>9905</v>
      </c>
      <c r="AB4224" s="80"/>
      <c r="AC4224" s="80" t="s">
        <v>53</v>
      </c>
      <c r="AD4224" s="80" t="s">
        <v>138</v>
      </c>
      <c r="AE4224" s="80"/>
      <c r="AF4224" s="17">
        <v>45551</v>
      </c>
      <c r="AG4224" s="80"/>
      <c r="AH4224" s="80"/>
      <c r="AI4224" s="147"/>
      <c r="AJ4224" s="80"/>
      <c r="AK4224" s="80"/>
      <c r="AL4224" s="35"/>
      <c r="AM4224" s="35"/>
      <c r="AN4224" s="35"/>
      <c r="AO4224" s="35"/>
      <c r="AP4224" s="35"/>
    </row>
    <row r="4225" spans="1:42" x14ac:dyDescent="0.2">
      <c r="A4225" s="126">
        <v>45531.911347233792</v>
      </c>
      <c r="B4225" s="137" t="s">
        <v>37</v>
      </c>
      <c r="C4225" s="41" t="s">
        <v>118</v>
      </c>
      <c r="D4225" s="80" t="s">
        <v>36</v>
      </c>
      <c r="E4225" s="80" t="s">
        <v>119</v>
      </c>
      <c r="F4225" s="80" t="s">
        <v>36</v>
      </c>
      <c r="G4225" s="80" t="s">
        <v>108</v>
      </c>
      <c r="H4225" s="80" t="s">
        <v>9768</v>
      </c>
      <c r="I4225" s="17">
        <f ca="1">IFERROR(__xludf.DUMMYFUNCTION("""COMPUTED_VALUE"""),45578)</f>
        <v>45578</v>
      </c>
      <c r="J4225" s="143" t="s">
        <v>14965</v>
      </c>
      <c r="K4225" s="80" t="s">
        <v>14966</v>
      </c>
      <c r="L4225" s="30">
        <v>833955366</v>
      </c>
      <c r="M4225" s="80" t="s">
        <v>80</v>
      </c>
      <c r="N4225" s="80" t="s">
        <v>466</v>
      </c>
      <c r="O4225" s="80" t="s">
        <v>14967</v>
      </c>
      <c r="P4225" s="144" t="s">
        <v>14968</v>
      </c>
      <c r="Q4225" s="20">
        <v>13968</v>
      </c>
      <c r="R4225" s="80" t="s">
        <v>36</v>
      </c>
      <c r="S4225" s="95">
        <v>4000</v>
      </c>
      <c r="T4225" s="148">
        <v>45531</v>
      </c>
      <c r="U4225" s="95">
        <v>9968</v>
      </c>
      <c r="V4225" s="148">
        <v>45593</v>
      </c>
      <c r="W4225" s="85" t="s">
        <v>14969</v>
      </c>
      <c r="X4225" s="80"/>
      <c r="Y4225" s="22">
        <v>0</v>
      </c>
      <c r="Z4225" s="80" t="s">
        <v>50</v>
      </c>
      <c r="AA4225" s="96" t="s">
        <v>9905</v>
      </c>
      <c r="AB4225" s="80"/>
      <c r="AC4225" s="80" t="s">
        <v>53</v>
      </c>
      <c r="AD4225" s="80" t="s">
        <v>138</v>
      </c>
      <c r="AE4225" s="83">
        <v>450</v>
      </c>
      <c r="AF4225" s="43">
        <v>45576</v>
      </c>
      <c r="AG4225" s="80" t="s">
        <v>12541</v>
      </c>
      <c r="AH4225" s="80"/>
      <c r="AI4225" s="147"/>
      <c r="AJ4225" s="80"/>
      <c r="AK4225" s="80"/>
      <c r="AL4225" s="35"/>
      <c r="AM4225" s="35"/>
      <c r="AN4225" s="35"/>
      <c r="AO4225" s="35"/>
      <c r="AP4225" s="35"/>
    </row>
    <row r="4226" spans="1:42" x14ac:dyDescent="0.2">
      <c r="A4226" s="126">
        <v>45531.926471099534</v>
      </c>
      <c r="B4226" s="137" t="s">
        <v>37</v>
      </c>
      <c r="C4226" s="41" t="s">
        <v>118</v>
      </c>
      <c r="D4226" s="80" t="s">
        <v>36</v>
      </c>
      <c r="E4226" s="80" t="s">
        <v>139</v>
      </c>
      <c r="F4226" s="80" t="s">
        <v>36</v>
      </c>
      <c r="G4226" s="80" t="s">
        <v>41</v>
      </c>
      <c r="H4226" s="80" t="s">
        <v>12870</v>
      </c>
      <c r="I4226" s="17">
        <f ca="1">IFERROR(__xludf.DUMMYFUNCTION("""COMPUTED_VALUE"""),45551)</f>
        <v>45551</v>
      </c>
      <c r="J4226" s="143" t="s">
        <v>14654</v>
      </c>
      <c r="K4226" s="80" t="s">
        <v>14970</v>
      </c>
      <c r="L4226" s="30">
        <v>385986006</v>
      </c>
      <c r="M4226" s="80" t="s">
        <v>80</v>
      </c>
      <c r="N4226" s="80" t="s">
        <v>1073</v>
      </c>
      <c r="O4226" s="80" t="s">
        <v>14656</v>
      </c>
      <c r="P4226" s="144" t="s">
        <v>14657</v>
      </c>
      <c r="Q4226" s="20">
        <v>15936</v>
      </c>
      <c r="R4226" s="80" t="s">
        <v>36</v>
      </c>
      <c r="S4226" s="95">
        <f>200+1800</f>
        <v>2000</v>
      </c>
      <c r="T4226" s="83" t="s">
        <v>14658</v>
      </c>
      <c r="U4226" s="95">
        <v>13936</v>
      </c>
      <c r="V4226" s="148">
        <v>45586</v>
      </c>
      <c r="W4226" s="85" t="s">
        <v>14659</v>
      </c>
      <c r="X4226" s="80"/>
      <c r="Y4226" s="22">
        <v>0</v>
      </c>
      <c r="Z4226" s="80" t="s">
        <v>50</v>
      </c>
      <c r="AA4226" s="35" t="s">
        <v>9905</v>
      </c>
      <c r="AB4226" s="80"/>
      <c r="AC4226" s="80" t="s">
        <v>53</v>
      </c>
      <c r="AD4226" s="80" t="s">
        <v>54</v>
      </c>
      <c r="AE4226" s="83"/>
      <c r="AF4226" s="17">
        <v>45547</v>
      </c>
      <c r="AG4226" s="80"/>
      <c r="AH4226" s="80"/>
      <c r="AI4226" s="147"/>
      <c r="AJ4226" s="80"/>
      <c r="AK4226" s="80"/>
      <c r="AL4226" s="35"/>
      <c r="AM4226" s="35"/>
      <c r="AN4226" s="35"/>
      <c r="AO4226" s="35"/>
      <c r="AP4226" s="35"/>
    </row>
    <row r="4227" spans="1:42" x14ac:dyDescent="0.2">
      <c r="A4227" s="126">
        <v>45531.929319201387</v>
      </c>
      <c r="B4227" s="137" t="s">
        <v>37</v>
      </c>
      <c r="C4227" s="41" t="s">
        <v>118</v>
      </c>
      <c r="D4227" s="80" t="s">
        <v>36</v>
      </c>
      <c r="E4227" s="80" t="s">
        <v>119</v>
      </c>
      <c r="F4227" s="26" t="s">
        <v>36</v>
      </c>
      <c r="G4227" s="26" t="s">
        <v>108</v>
      </c>
      <c r="H4227" s="80" t="s">
        <v>9825</v>
      </c>
      <c r="I4227" s="17">
        <f ca="1">IFERROR(__xludf.DUMMYFUNCTION("""COMPUTED_VALUE"""),45548)</f>
        <v>45548</v>
      </c>
      <c r="J4227" s="143" t="s">
        <v>14971</v>
      </c>
      <c r="K4227" s="80" t="s">
        <v>14972</v>
      </c>
      <c r="L4227" s="30">
        <v>389665362</v>
      </c>
      <c r="M4227" s="80" t="s">
        <v>80</v>
      </c>
      <c r="N4227" s="80" t="s">
        <v>1073</v>
      </c>
      <c r="O4227" s="80" t="s">
        <v>14973</v>
      </c>
      <c r="P4227" s="80" t="s">
        <v>14974</v>
      </c>
      <c r="Q4227" s="20">
        <v>13968</v>
      </c>
      <c r="R4227" s="80" t="s">
        <v>36</v>
      </c>
      <c r="S4227" s="95">
        <f>200+3600</f>
        <v>3800</v>
      </c>
      <c r="T4227" s="83" t="s">
        <v>14975</v>
      </c>
      <c r="U4227" s="95">
        <v>10168</v>
      </c>
      <c r="V4227" s="83" t="s">
        <v>14976</v>
      </c>
      <c r="W4227" s="85" t="s">
        <v>14977</v>
      </c>
      <c r="X4227" s="80"/>
      <c r="Y4227" s="22">
        <v>0</v>
      </c>
      <c r="Z4227" s="80" t="s">
        <v>50</v>
      </c>
      <c r="AA4227" s="96" t="s">
        <v>9905</v>
      </c>
      <c r="AB4227" s="80"/>
      <c r="AC4227" s="80" t="s">
        <v>53</v>
      </c>
      <c r="AD4227" s="80" t="s">
        <v>138</v>
      </c>
      <c r="AE4227" s="83">
        <v>400</v>
      </c>
      <c r="AF4227" s="17">
        <v>45548</v>
      </c>
      <c r="AG4227" s="26" t="s">
        <v>4996</v>
      </c>
      <c r="AH4227" s="80"/>
      <c r="AI4227" s="147"/>
      <c r="AJ4227" s="80"/>
      <c r="AK4227" s="80"/>
      <c r="AL4227" s="35"/>
      <c r="AM4227" s="35"/>
      <c r="AN4227" s="35"/>
      <c r="AO4227" s="35"/>
      <c r="AP4227" s="35"/>
    </row>
    <row r="4228" spans="1:42" x14ac:dyDescent="0.2">
      <c r="A4228" s="126">
        <v>45532.001081215276</v>
      </c>
      <c r="B4228" s="137" t="s">
        <v>37</v>
      </c>
      <c r="C4228" s="41" t="s">
        <v>118</v>
      </c>
      <c r="D4228" s="80" t="s">
        <v>36</v>
      </c>
      <c r="E4228" s="80" t="s">
        <v>139</v>
      </c>
      <c r="F4228" s="80" t="s">
        <v>36</v>
      </c>
      <c r="G4228" s="80" t="s">
        <v>41</v>
      </c>
      <c r="H4228" s="80" t="s">
        <v>11723</v>
      </c>
      <c r="I4228" s="17">
        <f ca="1">IFERROR(__xludf.DUMMYFUNCTION("""COMPUTED_VALUE"""),45541)</f>
        <v>45541</v>
      </c>
      <c r="J4228" s="143" t="s">
        <v>13946</v>
      </c>
      <c r="K4228" s="80" t="s">
        <v>14978</v>
      </c>
      <c r="L4228" s="30">
        <v>393066196</v>
      </c>
      <c r="M4228" s="80" t="s">
        <v>80</v>
      </c>
      <c r="N4228" s="80" t="s">
        <v>1073</v>
      </c>
      <c r="O4228" s="80" t="s">
        <v>13948</v>
      </c>
      <c r="P4228" s="80" t="s">
        <v>14979</v>
      </c>
      <c r="Q4228" s="20">
        <v>15936</v>
      </c>
      <c r="R4228" s="80" t="s">
        <v>36</v>
      </c>
      <c r="S4228" s="95">
        <f>200+1800</f>
        <v>2000</v>
      </c>
      <c r="T4228" s="83" t="s">
        <v>13950</v>
      </c>
      <c r="U4228" s="95">
        <f>10000+3936</f>
        <v>13936</v>
      </c>
      <c r="V4228" s="83" t="s">
        <v>13951</v>
      </c>
      <c r="W4228" s="85" t="s">
        <v>13952</v>
      </c>
      <c r="X4228" s="80"/>
      <c r="Y4228" s="22">
        <v>0</v>
      </c>
      <c r="Z4228" s="80" t="s">
        <v>50</v>
      </c>
      <c r="AA4228" s="35" t="s">
        <v>9905</v>
      </c>
      <c r="AB4228" s="80"/>
      <c r="AC4228" s="80" t="s">
        <v>53</v>
      </c>
      <c r="AD4228" s="80" t="s">
        <v>54</v>
      </c>
      <c r="AE4228" s="83">
        <v>0</v>
      </c>
      <c r="AF4228" s="17">
        <v>45539</v>
      </c>
      <c r="AG4228" s="80"/>
      <c r="AH4228" s="80"/>
      <c r="AI4228" s="147"/>
      <c r="AJ4228" s="80"/>
      <c r="AK4228" s="80"/>
      <c r="AL4228" s="35"/>
      <c r="AM4228" s="35"/>
      <c r="AN4228" s="35"/>
      <c r="AO4228" s="35"/>
      <c r="AP4228" s="35"/>
    </row>
    <row r="4229" spans="1:42" x14ac:dyDescent="0.2">
      <c r="A4229" s="126">
        <v>45532.675879166665</v>
      </c>
      <c r="B4229" s="137" t="s">
        <v>37</v>
      </c>
      <c r="C4229" s="41" t="s">
        <v>118</v>
      </c>
      <c r="D4229" s="80" t="s">
        <v>36</v>
      </c>
      <c r="E4229" s="80" t="s">
        <v>77</v>
      </c>
      <c r="F4229" s="80" t="s">
        <v>36</v>
      </c>
      <c r="G4229" s="80" t="s">
        <v>41</v>
      </c>
      <c r="H4229" s="80" t="s">
        <v>11723</v>
      </c>
      <c r="I4229" s="17">
        <f ca="1">IFERROR(__xludf.DUMMYFUNCTION("""COMPUTED_VALUE"""),45541)</f>
        <v>45541</v>
      </c>
      <c r="J4229" s="143" t="s">
        <v>14980</v>
      </c>
      <c r="K4229" s="80" t="s">
        <v>14981</v>
      </c>
      <c r="L4229" s="30">
        <v>337847100</v>
      </c>
      <c r="M4229" s="80" t="s">
        <v>123</v>
      </c>
      <c r="N4229" s="80" t="s">
        <v>2847</v>
      </c>
      <c r="O4229" s="80" t="s">
        <v>4503</v>
      </c>
      <c r="P4229" s="80" t="s">
        <v>14982</v>
      </c>
      <c r="Q4229" s="20">
        <v>1968</v>
      </c>
      <c r="R4229" s="80" t="s">
        <v>36</v>
      </c>
      <c r="S4229" s="95">
        <v>2000</v>
      </c>
      <c r="T4229" s="148">
        <v>45532</v>
      </c>
      <c r="U4229" s="77"/>
      <c r="V4229" s="78"/>
      <c r="W4229" s="85" t="s">
        <v>14983</v>
      </c>
      <c r="X4229" s="80"/>
      <c r="Y4229" s="22">
        <v>-32</v>
      </c>
      <c r="Z4229" s="80" t="s">
        <v>50</v>
      </c>
      <c r="AA4229" s="96" t="s">
        <v>9905</v>
      </c>
      <c r="AB4229" s="80"/>
      <c r="AC4229" s="80" t="s">
        <v>53</v>
      </c>
      <c r="AD4229" s="80" t="s">
        <v>54</v>
      </c>
      <c r="AE4229" s="80"/>
      <c r="AF4229" s="17">
        <v>45533</v>
      </c>
      <c r="AG4229" s="80" t="s">
        <v>7078</v>
      </c>
      <c r="AH4229" s="80"/>
      <c r="AI4229" s="147"/>
      <c r="AJ4229" s="80"/>
      <c r="AK4229" s="80"/>
      <c r="AL4229" s="35"/>
      <c r="AM4229" s="35"/>
      <c r="AN4229" s="35"/>
      <c r="AO4229" s="35"/>
      <c r="AP4229" s="35"/>
    </row>
    <row r="4230" spans="1:42" x14ac:dyDescent="0.2">
      <c r="A4230" s="126">
        <v>45533.369960925927</v>
      </c>
      <c r="B4230" s="137" t="s">
        <v>37</v>
      </c>
      <c r="C4230" s="41" t="s">
        <v>118</v>
      </c>
      <c r="D4230" s="80" t="s">
        <v>36</v>
      </c>
      <c r="E4230" s="80" t="s">
        <v>139</v>
      </c>
      <c r="F4230" s="80" t="s">
        <v>36</v>
      </c>
      <c r="G4230" s="80" t="s">
        <v>41</v>
      </c>
      <c r="H4230" s="80" t="s">
        <v>11347</v>
      </c>
      <c r="I4230" s="17">
        <f ca="1">IFERROR(__xludf.DUMMYFUNCTION("""COMPUTED_VALUE"""),45551)</f>
        <v>45551</v>
      </c>
      <c r="J4230" s="143" t="s">
        <v>14393</v>
      </c>
      <c r="K4230" s="80" t="s">
        <v>14984</v>
      </c>
      <c r="L4230" s="30">
        <v>364550655</v>
      </c>
      <c r="M4230" s="80" t="s">
        <v>3728</v>
      </c>
      <c r="N4230" s="80" t="s">
        <v>5312</v>
      </c>
      <c r="O4230" s="80" t="s">
        <v>14395</v>
      </c>
      <c r="P4230" s="80" t="s">
        <v>12452</v>
      </c>
      <c r="Q4230" s="20">
        <v>15936</v>
      </c>
      <c r="R4230" s="80" t="s">
        <v>1106</v>
      </c>
      <c r="S4230" s="95">
        <f t="shared" ref="S4230:S4231" si="73">150+1850</f>
        <v>2000</v>
      </c>
      <c r="T4230" s="83" t="s">
        <v>14396</v>
      </c>
      <c r="U4230" s="95">
        <v>13786</v>
      </c>
      <c r="V4230" s="148">
        <v>45570</v>
      </c>
      <c r="W4230" s="85" t="s">
        <v>14397</v>
      </c>
      <c r="X4230" s="80"/>
      <c r="Y4230" s="22">
        <v>150</v>
      </c>
      <c r="Z4230" s="80" t="s">
        <v>50</v>
      </c>
      <c r="AA4230" s="35" t="s">
        <v>9905</v>
      </c>
      <c r="AB4230" s="80"/>
      <c r="AC4230" s="80" t="s">
        <v>53</v>
      </c>
      <c r="AD4230" s="80" t="s">
        <v>138</v>
      </c>
      <c r="AE4230" s="80"/>
      <c r="AF4230" s="17">
        <v>45551</v>
      </c>
      <c r="AG4230" s="80"/>
      <c r="AH4230" s="80"/>
      <c r="AI4230" s="147"/>
      <c r="AJ4230" s="80"/>
      <c r="AK4230" s="80"/>
      <c r="AL4230" s="35"/>
      <c r="AM4230" s="35"/>
      <c r="AN4230" s="35"/>
      <c r="AO4230" s="35"/>
      <c r="AP4230" s="35"/>
    </row>
    <row r="4231" spans="1:42" x14ac:dyDescent="0.2">
      <c r="A4231" s="126">
        <v>45533.371075208328</v>
      </c>
      <c r="B4231" s="137" t="s">
        <v>37</v>
      </c>
      <c r="C4231" s="41" t="s">
        <v>118</v>
      </c>
      <c r="D4231" s="80" t="s">
        <v>36</v>
      </c>
      <c r="E4231" s="80" t="s">
        <v>139</v>
      </c>
      <c r="F4231" s="80" t="s">
        <v>36</v>
      </c>
      <c r="G4231" s="80" t="s">
        <v>41</v>
      </c>
      <c r="H4231" s="80" t="s">
        <v>11347</v>
      </c>
      <c r="I4231" s="17">
        <f ca="1">IFERROR(__xludf.DUMMYFUNCTION("""COMPUTED_VALUE"""),45551)</f>
        <v>45551</v>
      </c>
      <c r="J4231" s="143" t="s">
        <v>14367</v>
      </c>
      <c r="K4231" s="80" t="s">
        <v>14985</v>
      </c>
      <c r="L4231" s="30">
        <v>969047156</v>
      </c>
      <c r="M4231" s="80" t="s">
        <v>3728</v>
      </c>
      <c r="N4231" s="80" t="s">
        <v>8725</v>
      </c>
      <c r="O4231" s="80" t="s">
        <v>14368</v>
      </c>
      <c r="P4231" s="80" t="s">
        <v>12452</v>
      </c>
      <c r="Q4231" s="20">
        <v>15936</v>
      </c>
      <c r="R4231" s="80" t="s">
        <v>1106</v>
      </c>
      <c r="S4231" s="178">
        <f t="shared" si="73"/>
        <v>2000</v>
      </c>
      <c r="T4231" s="83" t="s">
        <v>14340</v>
      </c>
      <c r="U4231" s="95">
        <v>13786</v>
      </c>
      <c r="V4231" s="148">
        <v>45570</v>
      </c>
      <c r="W4231" s="85" t="s">
        <v>14369</v>
      </c>
      <c r="X4231" s="80"/>
      <c r="Y4231" s="22">
        <v>150</v>
      </c>
      <c r="Z4231" s="80" t="s">
        <v>50</v>
      </c>
      <c r="AA4231" s="96" t="s">
        <v>9905</v>
      </c>
      <c r="AB4231" s="80"/>
      <c r="AC4231" s="80" t="s">
        <v>53</v>
      </c>
      <c r="AD4231" s="80" t="s">
        <v>138</v>
      </c>
      <c r="AE4231" s="80"/>
      <c r="AF4231" s="17">
        <v>45551</v>
      </c>
      <c r="AG4231" s="80"/>
      <c r="AH4231" s="80"/>
      <c r="AI4231" s="147"/>
      <c r="AJ4231" s="80"/>
      <c r="AK4231" s="80"/>
      <c r="AL4231" s="35"/>
      <c r="AM4231" s="35"/>
      <c r="AN4231" s="35"/>
      <c r="AO4231" s="35"/>
      <c r="AP4231" s="35"/>
    </row>
    <row r="4232" spans="1:42" x14ac:dyDescent="0.2">
      <c r="A4232" s="126">
        <v>45533.372039814814</v>
      </c>
      <c r="B4232" s="137" t="s">
        <v>37</v>
      </c>
      <c r="C4232" s="41" t="s">
        <v>118</v>
      </c>
      <c r="D4232" s="80" t="s">
        <v>36</v>
      </c>
      <c r="E4232" s="80" t="s">
        <v>139</v>
      </c>
      <c r="F4232" s="80" t="s">
        <v>36</v>
      </c>
      <c r="G4232" s="80" t="s">
        <v>41</v>
      </c>
      <c r="H4232" s="80" t="s">
        <v>11347</v>
      </c>
      <c r="I4232" s="17">
        <f ca="1">IFERROR(__xludf.DUMMYFUNCTION("""COMPUTED_VALUE"""),45551)</f>
        <v>45551</v>
      </c>
      <c r="J4232" s="143" t="s">
        <v>14337</v>
      </c>
      <c r="K4232" s="80" t="s">
        <v>14986</v>
      </c>
      <c r="L4232" s="30">
        <v>359783526</v>
      </c>
      <c r="M4232" s="80" t="s">
        <v>3728</v>
      </c>
      <c r="N4232" s="80" t="s">
        <v>8725</v>
      </c>
      <c r="O4232" s="80" t="s">
        <v>14339</v>
      </c>
      <c r="P4232" s="80" t="s">
        <v>12452</v>
      </c>
      <c r="Q4232" s="20">
        <v>15936</v>
      </c>
      <c r="R4232" s="80" t="s">
        <v>1106</v>
      </c>
      <c r="S4232" s="95">
        <v>2000</v>
      </c>
      <c r="T4232" s="83" t="s">
        <v>14340</v>
      </c>
      <c r="U4232" s="95">
        <v>13786</v>
      </c>
      <c r="V4232" s="148">
        <v>45575</v>
      </c>
      <c r="W4232" s="80" t="s">
        <v>14341</v>
      </c>
      <c r="X4232" s="80"/>
      <c r="Y4232" s="22">
        <v>150</v>
      </c>
      <c r="Z4232" s="80" t="s">
        <v>50</v>
      </c>
      <c r="AA4232" s="35" t="s">
        <v>9905</v>
      </c>
      <c r="AB4232" s="80"/>
      <c r="AC4232" s="80" t="s">
        <v>53</v>
      </c>
      <c r="AD4232" s="80" t="s">
        <v>138</v>
      </c>
      <c r="AE4232" s="80"/>
      <c r="AF4232" s="17">
        <v>45551</v>
      </c>
      <c r="AG4232" s="80"/>
      <c r="AH4232" s="80"/>
      <c r="AI4232" s="147"/>
      <c r="AJ4232" s="80"/>
      <c r="AK4232" s="80"/>
      <c r="AL4232" s="35"/>
      <c r="AM4232" s="35"/>
      <c r="AN4232" s="35"/>
      <c r="AO4232" s="35"/>
      <c r="AP4232" s="35"/>
    </row>
    <row r="4233" spans="1:42" x14ac:dyDescent="0.2">
      <c r="A4233" s="126">
        <v>45533.921334247687</v>
      </c>
      <c r="B4233" s="28" t="s">
        <v>37</v>
      </c>
      <c r="C4233" s="41" t="s">
        <v>118</v>
      </c>
      <c r="D4233" s="80" t="s">
        <v>36</v>
      </c>
      <c r="E4233" s="80" t="s">
        <v>139</v>
      </c>
      <c r="F4233" s="26" t="s">
        <v>36</v>
      </c>
      <c r="G4233" s="26" t="s">
        <v>41</v>
      </c>
      <c r="H4233" s="80" t="s">
        <v>12474</v>
      </c>
      <c r="I4233" s="17">
        <f ca="1">IFERROR(__xludf.DUMMYFUNCTION("""COMPUTED_VALUE"""),45551)</f>
        <v>45551</v>
      </c>
      <c r="J4233" s="143" t="s">
        <v>14319</v>
      </c>
      <c r="K4233" s="80" t="s">
        <v>14987</v>
      </c>
      <c r="L4233" s="30">
        <v>388630987</v>
      </c>
      <c r="M4233" s="80" t="s">
        <v>5429</v>
      </c>
      <c r="N4233" s="80" t="s">
        <v>9251</v>
      </c>
      <c r="O4233" s="80" t="s">
        <v>4626</v>
      </c>
      <c r="P4233" s="80" t="s">
        <v>7107</v>
      </c>
      <c r="Q4233" s="20">
        <v>15936</v>
      </c>
      <c r="R4233" s="80" t="s">
        <v>36</v>
      </c>
      <c r="S4233" s="95">
        <f>200+1800</f>
        <v>2000</v>
      </c>
      <c r="T4233" s="83" t="s">
        <v>14321</v>
      </c>
      <c r="U4233" s="95">
        <v>13936</v>
      </c>
      <c r="V4233" s="148">
        <v>45570</v>
      </c>
      <c r="W4233" s="85" t="s">
        <v>14322</v>
      </c>
      <c r="X4233" s="80"/>
      <c r="Y4233" s="22">
        <v>0</v>
      </c>
      <c r="Z4233" s="80" t="s">
        <v>50</v>
      </c>
      <c r="AA4233" s="96" t="s">
        <v>9905</v>
      </c>
      <c r="AB4233" s="80"/>
      <c r="AC4233" s="80" t="s">
        <v>53</v>
      </c>
      <c r="AD4233" s="80" t="s">
        <v>138</v>
      </c>
      <c r="AE4233" s="80" t="s">
        <v>76</v>
      </c>
      <c r="AF4233" s="17">
        <v>45551</v>
      </c>
      <c r="AG4233" s="80"/>
      <c r="AH4233" s="80"/>
      <c r="AI4233" s="147"/>
      <c r="AJ4233" s="80"/>
      <c r="AK4233" s="80"/>
      <c r="AL4233" s="35"/>
      <c r="AM4233" s="35"/>
      <c r="AN4233" s="35"/>
      <c r="AO4233" s="35"/>
      <c r="AP4233" s="35"/>
    </row>
    <row r="4234" spans="1:42" x14ac:dyDescent="0.2">
      <c r="A4234" s="126">
        <v>45534.322974062496</v>
      </c>
      <c r="B4234" s="137" t="s">
        <v>37</v>
      </c>
      <c r="C4234" s="41" t="s">
        <v>118</v>
      </c>
      <c r="D4234" s="80" t="s">
        <v>36</v>
      </c>
      <c r="E4234" s="80" t="s">
        <v>139</v>
      </c>
      <c r="F4234" s="80" t="s">
        <v>36</v>
      </c>
      <c r="G4234" s="80" t="s">
        <v>41</v>
      </c>
      <c r="H4234" s="80" t="s">
        <v>11545</v>
      </c>
      <c r="I4234" s="17">
        <f ca="1">IFERROR(__xludf.DUMMYFUNCTION("""COMPUTED_VALUE"""),45540)</f>
        <v>45540</v>
      </c>
      <c r="J4234" s="143" t="s">
        <v>13994</v>
      </c>
      <c r="K4234" s="80" t="s">
        <v>14988</v>
      </c>
      <c r="L4234" s="30">
        <v>397013023</v>
      </c>
      <c r="M4234" s="80" t="s">
        <v>12529</v>
      </c>
      <c r="N4234" s="80" t="s">
        <v>466</v>
      </c>
      <c r="O4234" s="80" t="s">
        <v>13996</v>
      </c>
      <c r="P4234" s="80" t="s">
        <v>13997</v>
      </c>
      <c r="Q4234" s="20">
        <v>15936</v>
      </c>
      <c r="R4234" s="80" t="s">
        <v>36</v>
      </c>
      <c r="S4234" s="95">
        <v>2000</v>
      </c>
      <c r="T4234" s="148">
        <v>45533</v>
      </c>
      <c r="U4234" s="95">
        <v>13936</v>
      </c>
      <c r="V4234" s="148">
        <v>45570</v>
      </c>
      <c r="W4234" s="85" t="s">
        <v>13998</v>
      </c>
      <c r="X4234" s="80"/>
      <c r="Y4234" s="22">
        <v>0</v>
      </c>
      <c r="Z4234" s="80" t="s">
        <v>50</v>
      </c>
      <c r="AA4234" s="35" t="s">
        <v>9905</v>
      </c>
      <c r="AB4234" s="80"/>
      <c r="AC4234" s="80" t="s">
        <v>53</v>
      </c>
      <c r="AD4234" s="80" t="s">
        <v>54</v>
      </c>
      <c r="AE4234" s="83">
        <v>0</v>
      </c>
      <c r="AF4234" s="17">
        <v>45534</v>
      </c>
      <c r="AG4234" s="80"/>
      <c r="AH4234" s="80"/>
      <c r="AI4234" s="147"/>
      <c r="AJ4234" s="80"/>
      <c r="AK4234" s="80"/>
      <c r="AL4234" s="35"/>
      <c r="AM4234" s="35"/>
      <c r="AN4234" s="35"/>
      <c r="AO4234" s="35"/>
      <c r="AP4234" s="35"/>
    </row>
    <row r="4235" spans="1:42" x14ac:dyDescent="0.2">
      <c r="A4235" s="126">
        <v>45534.506154907409</v>
      </c>
      <c r="B4235" s="137" t="s">
        <v>37</v>
      </c>
      <c r="C4235" s="41" t="s">
        <v>118</v>
      </c>
      <c r="D4235" s="80" t="s">
        <v>36</v>
      </c>
      <c r="E4235" s="80" t="s">
        <v>139</v>
      </c>
      <c r="F4235" s="26" t="s">
        <v>36</v>
      </c>
      <c r="G4235" s="80" t="s">
        <v>41</v>
      </c>
      <c r="H4235" s="80" t="s">
        <v>9626</v>
      </c>
      <c r="I4235" s="17">
        <f ca="1">IFERROR(__xludf.DUMMYFUNCTION("""COMPUTED_VALUE"""),45559)</f>
        <v>45559</v>
      </c>
      <c r="J4235" s="172" t="s">
        <v>14309</v>
      </c>
      <c r="K4235" s="80" t="s">
        <v>14989</v>
      </c>
      <c r="L4235" s="30">
        <v>386019806</v>
      </c>
      <c r="M4235" s="80" t="s">
        <v>5558</v>
      </c>
      <c r="N4235" s="80" t="s">
        <v>5559</v>
      </c>
      <c r="O4235" s="80" t="s">
        <v>4503</v>
      </c>
      <c r="P4235" s="80" t="s">
        <v>14311</v>
      </c>
      <c r="Q4235" s="20">
        <v>15936</v>
      </c>
      <c r="R4235" s="80" t="s">
        <v>36</v>
      </c>
      <c r="S4235" s="95">
        <f>200+1768</f>
        <v>1968</v>
      </c>
      <c r="T4235" s="83" t="s">
        <v>14312</v>
      </c>
      <c r="U4235" s="95">
        <v>13968</v>
      </c>
      <c r="V4235" s="148">
        <v>45576</v>
      </c>
      <c r="W4235" s="85" t="s">
        <v>14313</v>
      </c>
      <c r="X4235" s="80"/>
      <c r="Y4235" s="22">
        <v>0</v>
      </c>
      <c r="Z4235" s="80" t="s">
        <v>50</v>
      </c>
      <c r="AA4235" s="96" t="s">
        <v>9905</v>
      </c>
      <c r="AB4235" s="80"/>
      <c r="AC4235" s="80" t="s">
        <v>53</v>
      </c>
      <c r="AD4235" s="80" t="s">
        <v>138</v>
      </c>
      <c r="AE4235" s="80"/>
      <c r="AF4235" s="17">
        <v>45559</v>
      </c>
      <c r="AG4235" s="80"/>
      <c r="AH4235" s="80"/>
      <c r="AI4235" s="147"/>
      <c r="AJ4235" s="80"/>
      <c r="AK4235" s="80"/>
      <c r="AL4235" s="35"/>
      <c r="AM4235" s="35"/>
      <c r="AN4235" s="35"/>
      <c r="AO4235" s="35"/>
      <c r="AP4235" s="35"/>
    </row>
    <row r="4236" spans="1:42" x14ac:dyDescent="0.2">
      <c r="A4236" s="126">
        <v>45534.827626354163</v>
      </c>
      <c r="B4236" s="137" t="s">
        <v>37</v>
      </c>
      <c r="C4236" s="41" t="s">
        <v>118</v>
      </c>
      <c r="D4236" s="80" t="s">
        <v>36</v>
      </c>
      <c r="E4236" s="80" t="s">
        <v>139</v>
      </c>
      <c r="F4236" s="80" t="s">
        <v>36</v>
      </c>
      <c r="G4236" s="80" t="s">
        <v>41</v>
      </c>
      <c r="H4236" s="80" t="s">
        <v>11595</v>
      </c>
      <c r="I4236" s="17">
        <f ca="1">IFERROR(__xludf.DUMMYFUNCTION("""COMPUTED_VALUE"""),45554)</f>
        <v>45554</v>
      </c>
      <c r="J4236" s="143" t="s">
        <v>14990</v>
      </c>
      <c r="K4236" s="80" t="s">
        <v>14991</v>
      </c>
      <c r="L4236" s="30">
        <v>962510713</v>
      </c>
      <c r="M4236" s="80" t="s">
        <v>5558</v>
      </c>
      <c r="N4236" s="80" t="s">
        <v>5559</v>
      </c>
      <c r="O4236" s="80" t="s">
        <v>4503</v>
      </c>
      <c r="P4236" s="80" t="s">
        <v>14545</v>
      </c>
      <c r="Q4236" s="20">
        <v>15936</v>
      </c>
      <c r="R4236" s="80" t="s">
        <v>36</v>
      </c>
      <c r="S4236" s="95">
        <f>200+1800+9936+4000</f>
        <v>15936</v>
      </c>
      <c r="T4236" s="83" t="s">
        <v>14539</v>
      </c>
      <c r="U4236" s="95"/>
      <c r="V4236" s="148">
        <v>45582</v>
      </c>
      <c r="W4236" s="80" t="s">
        <v>14546</v>
      </c>
      <c r="X4236" s="80"/>
      <c r="Y4236" s="22">
        <v>0</v>
      </c>
      <c r="Z4236" s="80" t="s">
        <v>50</v>
      </c>
      <c r="AA4236" s="35" t="s">
        <v>9905</v>
      </c>
      <c r="AB4236" s="80"/>
      <c r="AC4236" s="80" t="s">
        <v>53</v>
      </c>
      <c r="AD4236" s="80" t="s">
        <v>138</v>
      </c>
      <c r="AE4236" s="80"/>
      <c r="AF4236" s="17">
        <v>45554</v>
      </c>
      <c r="AG4236" s="80"/>
      <c r="AH4236" s="80"/>
      <c r="AI4236" s="147"/>
      <c r="AJ4236" s="80"/>
      <c r="AK4236" s="80"/>
      <c r="AL4236" s="35"/>
      <c r="AM4236" s="35"/>
      <c r="AN4236" s="35"/>
      <c r="AO4236" s="35"/>
      <c r="AP4236" s="35"/>
    </row>
    <row r="4237" spans="1:42" x14ac:dyDescent="0.2">
      <c r="A4237" s="126">
        <v>45534.975758541666</v>
      </c>
      <c r="B4237" s="137" t="s">
        <v>37</v>
      </c>
      <c r="C4237" s="41" t="s">
        <v>118</v>
      </c>
      <c r="D4237" s="80" t="s">
        <v>36</v>
      </c>
      <c r="E4237" s="80" t="s">
        <v>119</v>
      </c>
      <c r="F4237" s="80" t="s">
        <v>36</v>
      </c>
      <c r="G4237" s="26" t="s">
        <v>108</v>
      </c>
      <c r="H4237" s="80" t="s">
        <v>6919</v>
      </c>
      <c r="I4237" s="17">
        <f ca="1">IFERROR(__xludf.DUMMYFUNCTION("""COMPUTED_VALUE"""),45552)</f>
        <v>45552</v>
      </c>
      <c r="J4237" s="143" t="s">
        <v>14992</v>
      </c>
      <c r="K4237" s="80" t="s">
        <v>14993</v>
      </c>
      <c r="L4237" s="30">
        <v>392847370</v>
      </c>
      <c r="M4237" s="80" t="s">
        <v>5429</v>
      </c>
      <c r="N4237" s="80" t="s">
        <v>9251</v>
      </c>
      <c r="O4237" s="80" t="s">
        <v>14994</v>
      </c>
      <c r="P4237" s="80" t="s">
        <v>12597</v>
      </c>
      <c r="Q4237" s="20">
        <v>13968</v>
      </c>
      <c r="R4237" s="80" t="s">
        <v>36</v>
      </c>
      <c r="S4237" s="95">
        <f>200+3800</f>
        <v>4000</v>
      </c>
      <c r="T4237" s="83" t="s">
        <v>14995</v>
      </c>
      <c r="U4237" s="95">
        <v>9968</v>
      </c>
      <c r="V4237" s="148">
        <v>45570</v>
      </c>
      <c r="W4237" s="85" t="s">
        <v>14996</v>
      </c>
      <c r="X4237" s="80"/>
      <c r="Y4237" s="22">
        <v>0</v>
      </c>
      <c r="Z4237" s="80" t="s">
        <v>50</v>
      </c>
      <c r="AA4237" s="96" t="s">
        <v>9905</v>
      </c>
      <c r="AB4237" s="80"/>
      <c r="AC4237" s="80" t="s">
        <v>53</v>
      </c>
      <c r="AD4237" s="80" t="s">
        <v>138</v>
      </c>
      <c r="AE4237" s="83">
        <v>450</v>
      </c>
      <c r="AF4237" s="17">
        <v>45552</v>
      </c>
      <c r="AG4237" s="26" t="s">
        <v>4996</v>
      </c>
      <c r="AH4237" s="80"/>
      <c r="AI4237" s="147"/>
      <c r="AJ4237" s="80"/>
      <c r="AK4237" s="80"/>
      <c r="AL4237" s="35"/>
      <c r="AM4237" s="35"/>
      <c r="AN4237" s="35"/>
      <c r="AO4237" s="35"/>
      <c r="AP4237" s="35"/>
    </row>
    <row r="4238" spans="1:42" x14ac:dyDescent="0.2">
      <c r="A4238" s="126">
        <v>45536.943104826394</v>
      </c>
      <c r="B4238" s="137" t="s">
        <v>37</v>
      </c>
      <c r="C4238" s="41" t="s">
        <v>118</v>
      </c>
      <c r="D4238" s="80" t="s">
        <v>36</v>
      </c>
      <c r="E4238" s="80" t="s">
        <v>139</v>
      </c>
      <c r="F4238" s="26" t="s">
        <v>36</v>
      </c>
      <c r="G4238" s="26" t="s">
        <v>41</v>
      </c>
      <c r="H4238" s="80" t="s">
        <v>12474</v>
      </c>
      <c r="I4238" s="17">
        <f ca="1">IFERROR(__xludf.DUMMYFUNCTION("""COMPUTED_VALUE"""),45551)</f>
        <v>45551</v>
      </c>
      <c r="J4238" s="143" t="s">
        <v>14247</v>
      </c>
      <c r="K4238" s="80" t="s">
        <v>14997</v>
      </c>
      <c r="L4238" s="30">
        <v>398507115</v>
      </c>
      <c r="M4238" s="80" t="s">
        <v>3728</v>
      </c>
      <c r="N4238" s="80" t="s">
        <v>5277</v>
      </c>
      <c r="O4238" s="80" t="s">
        <v>14249</v>
      </c>
      <c r="P4238" s="80" t="s">
        <v>11644</v>
      </c>
      <c r="Q4238" s="20">
        <v>15936</v>
      </c>
      <c r="R4238" s="80" t="s">
        <v>36</v>
      </c>
      <c r="S4238" s="95">
        <f>500+1500</f>
        <v>2000</v>
      </c>
      <c r="T4238" s="83" t="s">
        <v>14250</v>
      </c>
      <c r="U4238" s="95">
        <v>13936</v>
      </c>
      <c r="V4238" s="148">
        <v>45571</v>
      </c>
      <c r="W4238" s="85" t="s">
        <v>14251</v>
      </c>
      <c r="X4238" s="80"/>
      <c r="Y4238" s="22">
        <v>0</v>
      </c>
      <c r="Z4238" s="80" t="s">
        <v>50</v>
      </c>
      <c r="AA4238" s="35" t="s">
        <v>9905</v>
      </c>
      <c r="AB4238" s="80"/>
      <c r="AC4238" s="80" t="s">
        <v>53</v>
      </c>
      <c r="AD4238" s="80" t="s">
        <v>138</v>
      </c>
      <c r="AE4238" s="80"/>
      <c r="AF4238" s="17">
        <v>45551</v>
      </c>
      <c r="AG4238" s="80"/>
      <c r="AH4238" s="80"/>
      <c r="AI4238" s="147"/>
      <c r="AJ4238" s="80"/>
      <c r="AK4238" s="80"/>
      <c r="AL4238" s="35"/>
      <c r="AM4238" s="35"/>
      <c r="AN4238" s="35"/>
      <c r="AO4238" s="35"/>
      <c r="AP4238" s="35"/>
    </row>
    <row r="4239" spans="1:42" x14ac:dyDescent="0.2">
      <c r="A4239" s="126">
        <v>45538.597717511569</v>
      </c>
      <c r="B4239" s="137" t="s">
        <v>37</v>
      </c>
      <c r="C4239" s="41" t="s">
        <v>118</v>
      </c>
      <c r="D4239" s="80" t="s">
        <v>36</v>
      </c>
      <c r="E4239" s="80" t="s">
        <v>77</v>
      </c>
      <c r="F4239" s="80" t="s">
        <v>36</v>
      </c>
      <c r="G4239" s="80" t="s">
        <v>41</v>
      </c>
      <c r="H4239" s="80" t="s">
        <v>11718</v>
      </c>
      <c r="I4239" s="17">
        <f ca="1">IFERROR(__xludf.DUMMYFUNCTION("""COMPUTED_VALUE"""),45540)</f>
        <v>45540</v>
      </c>
      <c r="J4239" s="143" t="s">
        <v>14998</v>
      </c>
      <c r="K4239" s="80" t="s">
        <v>10009</v>
      </c>
      <c r="L4239" s="30">
        <v>868866522</v>
      </c>
      <c r="M4239" s="80" t="s">
        <v>2755</v>
      </c>
      <c r="N4239" s="80" t="s">
        <v>4402</v>
      </c>
      <c r="O4239" s="80" t="s">
        <v>4503</v>
      </c>
      <c r="P4239" s="80" t="s">
        <v>14999</v>
      </c>
      <c r="Q4239" s="20">
        <v>1968</v>
      </c>
      <c r="R4239" s="80" t="s">
        <v>36</v>
      </c>
      <c r="S4239" s="95">
        <v>2000</v>
      </c>
      <c r="T4239" s="148">
        <v>45538</v>
      </c>
      <c r="U4239" s="77"/>
      <c r="V4239" s="78"/>
      <c r="W4239" s="80" t="s">
        <v>15000</v>
      </c>
      <c r="X4239" s="80"/>
      <c r="Y4239" s="22">
        <v>-32</v>
      </c>
      <c r="Z4239" s="80" t="s">
        <v>50</v>
      </c>
      <c r="AA4239" s="96" t="s">
        <v>9905</v>
      </c>
      <c r="AB4239" s="80"/>
      <c r="AC4239" s="80" t="s">
        <v>53</v>
      </c>
      <c r="AD4239" s="80" t="s">
        <v>54</v>
      </c>
      <c r="AE4239" s="80"/>
      <c r="AF4239" s="17">
        <v>45538</v>
      </c>
      <c r="AG4239" s="80" t="s">
        <v>7078</v>
      </c>
      <c r="AH4239" s="80"/>
      <c r="AI4239" s="147"/>
      <c r="AJ4239" s="80"/>
      <c r="AK4239" s="80"/>
      <c r="AL4239" s="35"/>
      <c r="AM4239" s="35"/>
      <c r="AN4239" s="35"/>
      <c r="AO4239" s="35"/>
      <c r="AP4239" s="35"/>
    </row>
    <row r="4240" spans="1:42" x14ac:dyDescent="0.2">
      <c r="A4240" s="126">
        <v>45538.686396192134</v>
      </c>
      <c r="B4240" s="137" t="s">
        <v>37</v>
      </c>
      <c r="C4240" s="41" t="s">
        <v>118</v>
      </c>
      <c r="D4240" s="80" t="s">
        <v>36</v>
      </c>
      <c r="E4240" s="80" t="s">
        <v>139</v>
      </c>
      <c r="F4240" s="26" t="s">
        <v>36</v>
      </c>
      <c r="G4240" s="26" t="s">
        <v>41</v>
      </c>
      <c r="H4240" s="80" t="s">
        <v>11735</v>
      </c>
      <c r="I4240" s="17">
        <f ca="1">IFERROR(__xludf.DUMMYFUNCTION("""COMPUTED_VALUE"""),45555)</f>
        <v>45555</v>
      </c>
      <c r="J4240" s="143" t="s">
        <v>14243</v>
      </c>
      <c r="K4240" s="80" t="s">
        <v>14244</v>
      </c>
      <c r="L4240" s="30">
        <v>931381308</v>
      </c>
      <c r="M4240" s="80" t="s">
        <v>5429</v>
      </c>
      <c r="N4240" s="80" t="s">
        <v>3065</v>
      </c>
      <c r="O4240" s="80" t="s">
        <v>14245</v>
      </c>
      <c r="P4240" s="80" t="s">
        <v>7107</v>
      </c>
      <c r="Q4240" s="20">
        <v>15936</v>
      </c>
      <c r="R4240" s="80" t="s">
        <v>36</v>
      </c>
      <c r="S4240" s="95">
        <v>2000</v>
      </c>
      <c r="T4240" s="148">
        <v>45538</v>
      </c>
      <c r="U4240" s="95">
        <v>13936</v>
      </c>
      <c r="V4240" s="148">
        <v>45570</v>
      </c>
      <c r="W4240" s="85" t="s">
        <v>14246</v>
      </c>
      <c r="X4240" s="80"/>
      <c r="Y4240" s="22">
        <v>0</v>
      </c>
      <c r="Z4240" s="80" t="s">
        <v>50</v>
      </c>
      <c r="AA4240" s="35" t="s">
        <v>9905</v>
      </c>
      <c r="AB4240" s="80"/>
      <c r="AC4240" s="80" t="s">
        <v>53</v>
      </c>
      <c r="AD4240" s="80" t="s">
        <v>138</v>
      </c>
      <c r="AE4240" s="80" t="s">
        <v>72</v>
      </c>
      <c r="AF4240" s="17">
        <v>45555</v>
      </c>
      <c r="AG4240" s="80"/>
      <c r="AH4240" s="80"/>
      <c r="AI4240" s="147"/>
      <c r="AJ4240" s="80"/>
      <c r="AK4240" s="80"/>
      <c r="AL4240" s="35"/>
      <c r="AM4240" s="35"/>
      <c r="AN4240" s="35"/>
      <c r="AO4240" s="35"/>
      <c r="AP4240" s="35"/>
    </row>
    <row r="4241" spans="1:42" x14ac:dyDescent="0.2">
      <c r="A4241" s="126">
        <v>45539.393675115745</v>
      </c>
      <c r="B4241" s="137" t="s">
        <v>37</v>
      </c>
      <c r="C4241" s="41" t="s">
        <v>118</v>
      </c>
      <c r="D4241" s="80" t="s">
        <v>36</v>
      </c>
      <c r="E4241" s="80" t="s">
        <v>77</v>
      </c>
      <c r="F4241" s="80" t="s">
        <v>91</v>
      </c>
      <c r="G4241" s="80" t="s">
        <v>41</v>
      </c>
      <c r="H4241" s="80" t="s">
        <v>13301</v>
      </c>
      <c r="I4241" s="17">
        <f ca="1">IFERROR(__xludf.DUMMYFUNCTION("""COMPUTED_VALUE"""),45566)</f>
        <v>45566</v>
      </c>
      <c r="J4241" s="143" t="s">
        <v>15001</v>
      </c>
      <c r="K4241" s="80" t="s">
        <v>15002</v>
      </c>
      <c r="L4241" s="30">
        <v>921493776</v>
      </c>
      <c r="M4241" s="80" t="s">
        <v>123</v>
      </c>
      <c r="N4241" s="80" t="s">
        <v>327</v>
      </c>
      <c r="O4241" s="80" t="s">
        <v>4503</v>
      </c>
      <c r="P4241" s="80" t="s">
        <v>3487</v>
      </c>
      <c r="Q4241" s="20">
        <v>1968</v>
      </c>
      <c r="R4241" s="80" t="s">
        <v>36</v>
      </c>
      <c r="S4241" s="95">
        <f>200+1768</f>
        <v>1968</v>
      </c>
      <c r="T4241" s="83" t="s">
        <v>15003</v>
      </c>
      <c r="U4241" s="77"/>
      <c r="V4241" s="78"/>
      <c r="W4241" s="85" t="s">
        <v>15004</v>
      </c>
      <c r="X4241" s="80"/>
      <c r="Y4241" s="22">
        <v>0</v>
      </c>
      <c r="Z4241" s="80" t="s">
        <v>50</v>
      </c>
      <c r="AA4241" s="96" t="s">
        <v>9905</v>
      </c>
      <c r="AB4241" s="80"/>
      <c r="AC4241" s="80" t="s">
        <v>53</v>
      </c>
      <c r="AD4241" s="80" t="s">
        <v>138</v>
      </c>
      <c r="AE4241" s="80"/>
      <c r="AF4241" s="17">
        <v>45566</v>
      </c>
      <c r="AG4241" s="80"/>
      <c r="AH4241" s="80"/>
      <c r="AI4241" s="147"/>
      <c r="AJ4241" s="80"/>
      <c r="AK4241" s="80"/>
      <c r="AL4241" s="35"/>
      <c r="AM4241" s="35"/>
      <c r="AN4241" s="35"/>
      <c r="AO4241" s="35"/>
      <c r="AP4241" s="35"/>
    </row>
    <row r="4242" spans="1:42" x14ac:dyDescent="0.2">
      <c r="A4242" s="126">
        <v>45539.39489570602</v>
      </c>
      <c r="B4242" s="137" t="s">
        <v>37</v>
      </c>
      <c r="C4242" s="41" t="s">
        <v>118</v>
      </c>
      <c r="D4242" s="80" t="s">
        <v>36</v>
      </c>
      <c r="E4242" s="80" t="s">
        <v>139</v>
      </c>
      <c r="F4242" s="80" t="s">
        <v>40</v>
      </c>
      <c r="G4242" s="80" t="s">
        <v>41</v>
      </c>
      <c r="H4242" s="80" t="s">
        <v>11183</v>
      </c>
      <c r="I4242" s="17">
        <f ca="1">IFERROR(__xludf.DUMMYFUNCTION("""COMPUTED_VALUE"""),45554)</f>
        <v>45554</v>
      </c>
      <c r="J4242" s="143" t="s">
        <v>14039</v>
      </c>
      <c r="K4242" s="80" t="s">
        <v>15005</v>
      </c>
      <c r="L4242" s="30">
        <v>978694033</v>
      </c>
      <c r="M4242" s="80" t="s">
        <v>123</v>
      </c>
      <c r="N4242" s="80" t="s">
        <v>2847</v>
      </c>
      <c r="O4242" s="80" t="s">
        <v>4503</v>
      </c>
      <c r="P4242" s="80" t="s">
        <v>3487</v>
      </c>
      <c r="Q4242" s="20">
        <v>15936</v>
      </c>
      <c r="R4242" s="80" t="s">
        <v>36</v>
      </c>
      <c r="S4242" s="95">
        <f t="shared" ref="S4242:S4244" si="74">200+1800</f>
        <v>2000</v>
      </c>
      <c r="T4242" s="83" t="s">
        <v>14041</v>
      </c>
      <c r="U4242" s="95">
        <f>7000+6936</f>
        <v>13936</v>
      </c>
      <c r="V4242" s="148">
        <v>45579</v>
      </c>
      <c r="W4242" s="85" t="s">
        <v>14042</v>
      </c>
      <c r="X4242" s="80"/>
      <c r="Y4242" s="22">
        <v>0</v>
      </c>
      <c r="Z4242" s="80" t="s">
        <v>50</v>
      </c>
      <c r="AA4242" s="35" t="s">
        <v>9905</v>
      </c>
      <c r="AB4242" s="80"/>
      <c r="AC4242" s="80" t="s">
        <v>53</v>
      </c>
      <c r="AD4242" s="80" t="s">
        <v>138</v>
      </c>
      <c r="AE4242" s="80"/>
      <c r="AF4242" s="17">
        <v>45554</v>
      </c>
      <c r="AG4242" s="80"/>
      <c r="AH4242" s="80"/>
      <c r="AI4242" s="147"/>
      <c r="AJ4242" s="80"/>
      <c r="AK4242" s="80"/>
      <c r="AL4242" s="35"/>
      <c r="AM4242" s="35"/>
      <c r="AN4242" s="35"/>
      <c r="AO4242" s="35"/>
      <c r="AP4242" s="35"/>
    </row>
    <row r="4243" spans="1:42" x14ac:dyDescent="0.2">
      <c r="A4243" s="126">
        <v>45539.396024351852</v>
      </c>
      <c r="B4243" s="137" t="s">
        <v>37</v>
      </c>
      <c r="C4243" s="41" t="s">
        <v>118</v>
      </c>
      <c r="D4243" s="80" t="s">
        <v>36</v>
      </c>
      <c r="E4243" s="80" t="s">
        <v>139</v>
      </c>
      <c r="F4243" s="80" t="s">
        <v>36</v>
      </c>
      <c r="G4243" s="80" t="s">
        <v>41</v>
      </c>
      <c r="H4243" s="80" t="s">
        <v>11707</v>
      </c>
      <c r="I4243" s="17">
        <f ca="1">IFERROR(__xludf.DUMMYFUNCTION("""COMPUTED_VALUE"""),45551)</f>
        <v>45551</v>
      </c>
      <c r="J4243" s="143" t="s">
        <v>15006</v>
      </c>
      <c r="K4243" s="80" t="s">
        <v>15007</v>
      </c>
      <c r="L4243" s="30">
        <v>379389746</v>
      </c>
      <c r="M4243" s="80" t="s">
        <v>123</v>
      </c>
      <c r="N4243" s="80" t="s">
        <v>327</v>
      </c>
      <c r="O4243" s="80" t="s">
        <v>4503</v>
      </c>
      <c r="P4243" s="80" t="s">
        <v>3487</v>
      </c>
      <c r="Q4243" s="20">
        <v>15936</v>
      </c>
      <c r="R4243" s="80" t="s">
        <v>70</v>
      </c>
      <c r="S4243" s="95">
        <f t="shared" si="74"/>
        <v>2000</v>
      </c>
      <c r="T4243" s="83" t="s">
        <v>15008</v>
      </c>
      <c r="U4243" s="95">
        <f>13800+36</f>
        <v>13836</v>
      </c>
      <c r="V4243" s="83" t="s">
        <v>15009</v>
      </c>
      <c r="W4243" s="85" t="s">
        <v>15010</v>
      </c>
      <c r="X4243" s="80"/>
      <c r="Y4243" s="22">
        <v>100</v>
      </c>
      <c r="Z4243" s="80" t="s">
        <v>50</v>
      </c>
      <c r="AA4243" s="96" t="s">
        <v>9905</v>
      </c>
      <c r="AB4243" s="80"/>
      <c r="AC4243" s="80" t="s">
        <v>53</v>
      </c>
      <c r="AD4243" s="80" t="s">
        <v>138</v>
      </c>
      <c r="AE4243" s="80"/>
      <c r="AF4243" s="17">
        <v>45551</v>
      </c>
      <c r="AG4243" s="80"/>
      <c r="AH4243" s="80"/>
      <c r="AI4243" s="147"/>
      <c r="AJ4243" s="80"/>
      <c r="AK4243" s="80"/>
      <c r="AL4243" s="35"/>
      <c r="AM4243" s="35"/>
      <c r="AN4243" s="35"/>
      <c r="AO4243" s="35"/>
      <c r="AP4243" s="35"/>
    </row>
    <row r="4244" spans="1:42" x14ac:dyDescent="0.2">
      <c r="A4244" s="126">
        <v>45539.397230497685</v>
      </c>
      <c r="B4244" s="137" t="s">
        <v>37</v>
      </c>
      <c r="C4244" s="41" t="s">
        <v>118</v>
      </c>
      <c r="D4244" s="80" t="s">
        <v>36</v>
      </c>
      <c r="E4244" s="80" t="s">
        <v>139</v>
      </c>
      <c r="F4244" s="80" t="s">
        <v>36</v>
      </c>
      <c r="G4244" s="80" t="s">
        <v>41</v>
      </c>
      <c r="H4244" s="80" t="s">
        <v>11707</v>
      </c>
      <c r="I4244" s="17">
        <f ca="1">IFERROR(__xludf.DUMMYFUNCTION("""COMPUTED_VALUE"""),45551)</f>
        <v>45551</v>
      </c>
      <c r="J4244" s="172" t="s">
        <v>15011</v>
      </c>
      <c r="K4244" s="80" t="s">
        <v>15012</v>
      </c>
      <c r="L4244" s="30">
        <v>966092786</v>
      </c>
      <c r="M4244" s="80" t="s">
        <v>123</v>
      </c>
      <c r="N4244" s="80" t="s">
        <v>327</v>
      </c>
      <c r="O4244" s="80" t="s">
        <v>4503</v>
      </c>
      <c r="P4244" s="80" t="s">
        <v>3487</v>
      </c>
      <c r="Q4244" s="20">
        <v>15936</v>
      </c>
      <c r="R4244" s="80" t="s">
        <v>70</v>
      </c>
      <c r="S4244" s="95">
        <f t="shared" si="74"/>
        <v>2000</v>
      </c>
      <c r="T4244" s="83" t="s">
        <v>15008</v>
      </c>
      <c r="U4244" s="95">
        <v>13836</v>
      </c>
      <c r="V4244" s="148">
        <v>45569</v>
      </c>
      <c r="W4244" s="85" t="s">
        <v>15013</v>
      </c>
      <c r="X4244" s="80"/>
      <c r="Y4244" s="22">
        <v>100</v>
      </c>
      <c r="Z4244" s="80" t="s">
        <v>50</v>
      </c>
      <c r="AA4244" s="35" t="s">
        <v>9905</v>
      </c>
      <c r="AB4244" s="80"/>
      <c r="AC4244" s="80" t="s">
        <v>53</v>
      </c>
      <c r="AD4244" s="80" t="s">
        <v>138</v>
      </c>
      <c r="AE4244" s="80"/>
      <c r="AF4244" s="17">
        <v>45551</v>
      </c>
      <c r="AG4244" s="80"/>
      <c r="AH4244" s="80"/>
      <c r="AI4244" s="147"/>
      <c r="AJ4244" s="80"/>
      <c r="AK4244" s="80"/>
      <c r="AL4244" s="35"/>
      <c r="AM4244" s="35"/>
      <c r="AN4244" s="35"/>
      <c r="AO4244" s="35"/>
      <c r="AP4244" s="35"/>
    </row>
    <row r="4245" spans="1:42" x14ac:dyDescent="0.2">
      <c r="A4245" s="126">
        <v>45539.398499699077</v>
      </c>
      <c r="B4245" s="137" t="s">
        <v>37</v>
      </c>
      <c r="C4245" s="41" t="s">
        <v>118</v>
      </c>
      <c r="D4245" s="80" t="s">
        <v>36</v>
      </c>
      <c r="E4245" s="80" t="s">
        <v>77</v>
      </c>
      <c r="F4245" s="80" t="s">
        <v>40</v>
      </c>
      <c r="G4245" s="80" t="s">
        <v>41</v>
      </c>
      <c r="H4245" s="80" t="s">
        <v>11183</v>
      </c>
      <c r="I4245" s="17">
        <f ca="1">IFERROR(__xludf.DUMMYFUNCTION("""COMPUTED_VALUE"""),45554)</f>
        <v>45554</v>
      </c>
      <c r="J4245" s="143" t="s">
        <v>15014</v>
      </c>
      <c r="K4245" s="80" t="s">
        <v>2271</v>
      </c>
      <c r="L4245" s="30">
        <v>969626290</v>
      </c>
      <c r="M4245" s="80" t="s">
        <v>123</v>
      </c>
      <c r="N4245" s="80" t="s">
        <v>2847</v>
      </c>
      <c r="O4245" s="80" t="s">
        <v>4503</v>
      </c>
      <c r="P4245" s="80" t="s">
        <v>3487</v>
      </c>
      <c r="Q4245" s="20">
        <v>1968</v>
      </c>
      <c r="R4245" s="80" t="s">
        <v>70</v>
      </c>
      <c r="S4245" s="95">
        <f t="shared" ref="S4245:S4246" si="75">200+2800</f>
        <v>3000</v>
      </c>
      <c r="T4245" s="83" t="s">
        <v>15015</v>
      </c>
      <c r="U4245" s="77"/>
      <c r="V4245" s="78"/>
      <c r="W4245" s="85" t="s">
        <v>15016</v>
      </c>
      <c r="X4245" s="80"/>
      <c r="Y4245" s="22">
        <v>-1032</v>
      </c>
      <c r="Z4245" s="80" t="s">
        <v>50</v>
      </c>
      <c r="AA4245" s="96" t="s">
        <v>9905</v>
      </c>
      <c r="AB4245" s="80"/>
      <c r="AC4245" s="80" t="s">
        <v>53</v>
      </c>
      <c r="AD4245" s="80" t="s">
        <v>138</v>
      </c>
      <c r="AE4245" s="80"/>
      <c r="AF4245" s="17">
        <v>45554</v>
      </c>
      <c r="AG4245" s="80" t="s">
        <v>7078</v>
      </c>
      <c r="AH4245" s="80"/>
      <c r="AI4245" s="147"/>
      <c r="AJ4245" s="80"/>
      <c r="AK4245" s="80"/>
      <c r="AL4245" s="35"/>
      <c r="AM4245" s="35"/>
      <c r="AN4245" s="35"/>
      <c r="AO4245" s="35"/>
      <c r="AP4245" s="35"/>
    </row>
    <row r="4246" spans="1:42" x14ac:dyDescent="0.2">
      <c r="A4246" s="126">
        <v>45539.399488171301</v>
      </c>
      <c r="B4246" s="137" t="s">
        <v>37</v>
      </c>
      <c r="C4246" s="41" t="s">
        <v>118</v>
      </c>
      <c r="D4246" s="80" t="s">
        <v>36</v>
      </c>
      <c r="E4246" s="80" t="s">
        <v>77</v>
      </c>
      <c r="F4246" s="80" t="s">
        <v>40</v>
      </c>
      <c r="G4246" s="80" t="s">
        <v>41</v>
      </c>
      <c r="H4246" s="80" t="s">
        <v>11183</v>
      </c>
      <c r="I4246" s="17">
        <f ca="1">IFERROR(__xludf.DUMMYFUNCTION("""COMPUTED_VALUE"""),45554)</f>
        <v>45554</v>
      </c>
      <c r="J4246" s="143" t="s">
        <v>15017</v>
      </c>
      <c r="K4246" s="80" t="s">
        <v>15018</v>
      </c>
      <c r="L4246" s="30">
        <v>989136235</v>
      </c>
      <c r="M4246" s="80" t="s">
        <v>123</v>
      </c>
      <c r="N4246" s="80" t="s">
        <v>2847</v>
      </c>
      <c r="O4246" s="80" t="s">
        <v>4503</v>
      </c>
      <c r="P4246" s="80" t="s">
        <v>3487</v>
      </c>
      <c r="Q4246" s="20">
        <v>1968</v>
      </c>
      <c r="R4246" s="80" t="s">
        <v>70</v>
      </c>
      <c r="S4246" s="95">
        <f t="shared" si="75"/>
        <v>3000</v>
      </c>
      <c r="T4246" s="83" t="s">
        <v>15015</v>
      </c>
      <c r="U4246" s="77"/>
      <c r="V4246" s="78"/>
      <c r="W4246" s="85" t="s">
        <v>15019</v>
      </c>
      <c r="X4246" s="80"/>
      <c r="Y4246" s="22">
        <v>-1032</v>
      </c>
      <c r="Z4246" s="80" t="s">
        <v>50</v>
      </c>
      <c r="AA4246" s="35" t="s">
        <v>9905</v>
      </c>
      <c r="AB4246" s="80"/>
      <c r="AC4246" s="80" t="s">
        <v>53</v>
      </c>
      <c r="AD4246" s="80" t="s">
        <v>138</v>
      </c>
      <c r="AE4246" s="80"/>
      <c r="AF4246" s="17">
        <v>45554</v>
      </c>
      <c r="AG4246" s="80" t="s">
        <v>7078</v>
      </c>
      <c r="AH4246" s="80"/>
      <c r="AI4246" s="147"/>
      <c r="AJ4246" s="80"/>
      <c r="AK4246" s="80"/>
      <c r="AL4246" s="35"/>
      <c r="AM4246" s="35"/>
      <c r="AN4246" s="35"/>
      <c r="AO4246" s="35"/>
      <c r="AP4246" s="35"/>
    </row>
    <row r="4247" spans="1:42" x14ac:dyDescent="0.2">
      <c r="A4247" s="126">
        <v>45539.401867650464</v>
      </c>
      <c r="B4247" s="137" t="s">
        <v>37</v>
      </c>
      <c r="C4247" s="41" t="s">
        <v>118</v>
      </c>
      <c r="D4247" s="80" t="s">
        <v>36</v>
      </c>
      <c r="E4247" s="80" t="s">
        <v>139</v>
      </c>
      <c r="F4247" s="80" t="s">
        <v>40</v>
      </c>
      <c r="G4247" s="80" t="s">
        <v>41</v>
      </c>
      <c r="H4247" s="80" t="s">
        <v>11183</v>
      </c>
      <c r="I4247" s="17">
        <f ca="1">IFERROR(__xludf.DUMMYFUNCTION("""COMPUTED_VALUE"""),45554)</f>
        <v>45554</v>
      </c>
      <c r="J4247" s="143" t="s">
        <v>14228</v>
      </c>
      <c r="K4247" s="80" t="s">
        <v>15020</v>
      </c>
      <c r="L4247" s="30">
        <v>904086205</v>
      </c>
      <c r="M4247" s="80" t="s">
        <v>123</v>
      </c>
      <c r="N4247" s="80" t="s">
        <v>2847</v>
      </c>
      <c r="O4247" s="80" t="s">
        <v>4503</v>
      </c>
      <c r="P4247" s="80" t="s">
        <v>3487</v>
      </c>
      <c r="Q4247" s="20">
        <v>15936</v>
      </c>
      <c r="R4247" s="80" t="s">
        <v>70</v>
      </c>
      <c r="S4247" s="168">
        <f>200+2000</f>
        <v>2200</v>
      </c>
      <c r="T4247" s="192" t="s">
        <v>14230</v>
      </c>
      <c r="U4247" s="95">
        <v>13836</v>
      </c>
      <c r="V4247" s="148">
        <v>45574</v>
      </c>
      <c r="W4247" s="85" t="s">
        <v>14231</v>
      </c>
      <c r="X4247" s="80"/>
      <c r="Y4247" s="22">
        <v>-100</v>
      </c>
      <c r="Z4247" s="80" t="s">
        <v>50</v>
      </c>
      <c r="AA4247" s="96" t="s">
        <v>9905</v>
      </c>
      <c r="AB4247" s="80"/>
      <c r="AC4247" s="80" t="s">
        <v>53</v>
      </c>
      <c r="AD4247" s="80" t="s">
        <v>138</v>
      </c>
      <c r="AE4247" s="80"/>
      <c r="AF4247" s="17">
        <v>45554</v>
      </c>
      <c r="AG4247" s="80"/>
      <c r="AH4247" s="80"/>
      <c r="AI4247" s="147"/>
      <c r="AJ4247" s="80"/>
      <c r="AK4247" s="80"/>
      <c r="AL4247" s="35"/>
      <c r="AM4247" s="35"/>
      <c r="AN4247" s="35"/>
      <c r="AO4247" s="35"/>
      <c r="AP4247" s="35"/>
    </row>
    <row r="4248" spans="1:42" x14ac:dyDescent="0.2">
      <c r="A4248" s="126">
        <v>45539.404423749998</v>
      </c>
      <c r="B4248" s="137" t="s">
        <v>37</v>
      </c>
      <c r="C4248" s="41" t="s">
        <v>118</v>
      </c>
      <c r="D4248" s="80" t="s">
        <v>36</v>
      </c>
      <c r="E4248" s="80" t="s">
        <v>139</v>
      </c>
      <c r="F4248" s="80" t="s">
        <v>36</v>
      </c>
      <c r="G4248" s="80" t="s">
        <v>41</v>
      </c>
      <c r="H4248" s="80" t="s">
        <v>11707</v>
      </c>
      <c r="I4248" s="17">
        <f ca="1">IFERROR(__xludf.DUMMYFUNCTION("""COMPUTED_VALUE"""),45551)</f>
        <v>45551</v>
      </c>
      <c r="J4248" s="143" t="s">
        <v>14013</v>
      </c>
      <c r="K4248" s="80" t="s">
        <v>14014</v>
      </c>
      <c r="L4248" s="30">
        <v>366221180</v>
      </c>
      <c r="M4248" s="80" t="s">
        <v>123</v>
      </c>
      <c r="N4248" s="80" t="s">
        <v>327</v>
      </c>
      <c r="O4248" s="80" t="s">
        <v>4503</v>
      </c>
      <c r="P4248" s="80" t="s">
        <v>3487</v>
      </c>
      <c r="Q4248" s="20">
        <v>15936</v>
      </c>
      <c r="R4248" s="80" t="s">
        <v>70</v>
      </c>
      <c r="S4248" s="95">
        <f t="shared" ref="S4248:S4249" si="76">200+2800</f>
        <v>3000</v>
      </c>
      <c r="T4248" s="170">
        <v>45548</v>
      </c>
      <c r="U4248" s="95">
        <v>12836</v>
      </c>
      <c r="V4248" s="148">
        <v>45566</v>
      </c>
      <c r="W4248" s="85" t="s">
        <v>14016</v>
      </c>
      <c r="X4248" s="80"/>
      <c r="Y4248" s="22">
        <v>100</v>
      </c>
      <c r="Z4248" s="80" t="s">
        <v>50</v>
      </c>
      <c r="AA4248" s="35" t="s">
        <v>9905</v>
      </c>
      <c r="AB4248" s="80"/>
      <c r="AC4248" s="80" t="s">
        <v>53</v>
      </c>
      <c r="AD4248" s="80" t="s">
        <v>138</v>
      </c>
      <c r="AE4248" s="80"/>
      <c r="AF4248" s="17">
        <v>45551</v>
      </c>
      <c r="AG4248" s="80"/>
      <c r="AH4248" s="80"/>
      <c r="AI4248" s="147"/>
      <c r="AJ4248" s="80"/>
      <c r="AK4248" s="80"/>
      <c r="AL4248" s="35"/>
      <c r="AM4248" s="35"/>
      <c r="AN4248" s="35"/>
      <c r="AO4248" s="35"/>
      <c r="AP4248" s="35"/>
    </row>
    <row r="4249" spans="1:42" x14ac:dyDescent="0.2">
      <c r="A4249" s="126">
        <v>45539.405350347224</v>
      </c>
      <c r="B4249" s="137" t="s">
        <v>37</v>
      </c>
      <c r="C4249" s="41" t="s">
        <v>118</v>
      </c>
      <c r="D4249" s="80" t="s">
        <v>36</v>
      </c>
      <c r="E4249" s="80" t="s">
        <v>139</v>
      </c>
      <c r="F4249" s="80" t="s">
        <v>36</v>
      </c>
      <c r="G4249" s="80" t="s">
        <v>41</v>
      </c>
      <c r="H4249" s="80" t="s">
        <v>11707</v>
      </c>
      <c r="I4249" s="17">
        <f ca="1">IFERROR(__xludf.DUMMYFUNCTION("""COMPUTED_VALUE"""),45551)</f>
        <v>45551</v>
      </c>
      <c r="J4249" s="143" t="s">
        <v>14008</v>
      </c>
      <c r="K4249" s="80" t="s">
        <v>14009</v>
      </c>
      <c r="L4249" s="30">
        <v>352268163</v>
      </c>
      <c r="M4249" s="80" t="s">
        <v>123</v>
      </c>
      <c r="N4249" s="80" t="s">
        <v>186</v>
      </c>
      <c r="O4249" s="80" t="s">
        <v>4503</v>
      </c>
      <c r="P4249" s="80" t="s">
        <v>3487</v>
      </c>
      <c r="Q4249" s="20">
        <v>15936</v>
      </c>
      <c r="R4249" s="80" t="s">
        <v>70</v>
      </c>
      <c r="S4249" s="95">
        <f t="shared" si="76"/>
        <v>3000</v>
      </c>
      <c r="T4249" s="83" t="s">
        <v>14010</v>
      </c>
      <c r="U4249" s="95">
        <v>12836</v>
      </c>
      <c r="V4249" s="148">
        <v>45574</v>
      </c>
      <c r="W4249" s="85" t="s">
        <v>14011</v>
      </c>
      <c r="X4249" s="80"/>
      <c r="Y4249" s="22">
        <v>100</v>
      </c>
      <c r="Z4249" s="80" t="s">
        <v>50</v>
      </c>
      <c r="AA4249" s="96" t="s">
        <v>9905</v>
      </c>
      <c r="AB4249" s="80"/>
      <c r="AC4249" s="80" t="s">
        <v>53</v>
      </c>
      <c r="AD4249" s="80" t="s">
        <v>138</v>
      </c>
      <c r="AE4249" s="80"/>
      <c r="AF4249" s="17">
        <v>45551</v>
      </c>
      <c r="AG4249" s="80"/>
      <c r="AH4249" s="80"/>
      <c r="AI4249" s="147"/>
      <c r="AJ4249" s="80"/>
      <c r="AK4249" s="80"/>
      <c r="AL4249" s="35"/>
      <c r="AM4249" s="35"/>
      <c r="AN4249" s="35"/>
      <c r="AO4249" s="35"/>
      <c r="AP4249" s="35"/>
    </row>
    <row r="4250" spans="1:42" x14ac:dyDescent="0.2">
      <c r="A4250" s="126">
        <v>45539.412605358797</v>
      </c>
      <c r="B4250" s="137" t="s">
        <v>37</v>
      </c>
      <c r="C4250" s="41" t="s">
        <v>118</v>
      </c>
      <c r="D4250" s="80" t="s">
        <v>36</v>
      </c>
      <c r="E4250" s="80" t="s">
        <v>77</v>
      </c>
      <c r="F4250" s="80" t="s">
        <v>36</v>
      </c>
      <c r="G4250" s="80" t="s">
        <v>41</v>
      </c>
      <c r="H4250" s="80" t="s">
        <v>11707</v>
      </c>
      <c r="I4250" s="17">
        <f ca="1">IFERROR(__xludf.DUMMYFUNCTION("""COMPUTED_VALUE"""),45551)</f>
        <v>45551</v>
      </c>
      <c r="J4250" s="143" t="s">
        <v>15021</v>
      </c>
      <c r="K4250" s="80" t="s">
        <v>15022</v>
      </c>
      <c r="L4250" s="30">
        <v>865343692</v>
      </c>
      <c r="M4250" s="80" t="s">
        <v>123</v>
      </c>
      <c r="N4250" s="80" t="s">
        <v>2847</v>
      </c>
      <c r="O4250" s="80" t="s">
        <v>4503</v>
      </c>
      <c r="P4250" s="80" t="s">
        <v>3487</v>
      </c>
      <c r="Q4250" s="20">
        <v>1968</v>
      </c>
      <c r="R4250" s="80" t="s">
        <v>36</v>
      </c>
      <c r="S4250" s="95">
        <f>200+1800</f>
        <v>2000</v>
      </c>
      <c r="T4250" s="83" t="s">
        <v>14203</v>
      </c>
      <c r="U4250" s="77"/>
      <c r="V4250" s="78"/>
      <c r="W4250" s="85" t="s">
        <v>15023</v>
      </c>
      <c r="X4250" s="80"/>
      <c r="Y4250" s="22">
        <v>-32</v>
      </c>
      <c r="Z4250" s="80" t="s">
        <v>50</v>
      </c>
      <c r="AA4250" s="35" t="s">
        <v>9905</v>
      </c>
      <c r="AB4250" s="80"/>
      <c r="AC4250" s="80" t="s">
        <v>53</v>
      </c>
      <c r="AD4250" s="80" t="s">
        <v>138</v>
      </c>
      <c r="AE4250" s="80"/>
      <c r="AF4250" s="17">
        <v>45551</v>
      </c>
      <c r="AG4250" s="80" t="s">
        <v>7078</v>
      </c>
      <c r="AH4250" s="80"/>
      <c r="AI4250" s="147"/>
      <c r="AJ4250" s="80"/>
      <c r="AK4250" s="80"/>
      <c r="AL4250" s="35"/>
      <c r="AM4250" s="35"/>
      <c r="AN4250" s="35"/>
      <c r="AO4250" s="35"/>
      <c r="AP4250" s="35"/>
    </row>
    <row r="4251" spans="1:42" x14ac:dyDescent="0.2">
      <c r="A4251" s="126">
        <v>45539.656173796291</v>
      </c>
      <c r="B4251" s="137" t="s">
        <v>37</v>
      </c>
      <c r="C4251" s="41" t="s">
        <v>118</v>
      </c>
      <c r="D4251" s="80" t="s">
        <v>36</v>
      </c>
      <c r="E4251" s="80" t="s">
        <v>139</v>
      </c>
      <c r="F4251" s="80" t="s">
        <v>40</v>
      </c>
      <c r="G4251" s="80" t="s">
        <v>41</v>
      </c>
      <c r="H4251" s="80" t="s">
        <v>11183</v>
      </c>
      <c r="I4251" s="17">
        <f ca="1">IFERROR(__xludf.DUMMYFUNCTION("""COMPUTED_VALUE"""),45554)</f>
        <v>45554</v>
      </c>
      <c r="J4251" s="143" t="s">
        <v>14048</v>
      </c>
      <c r="K4251" s="80" t="s">
        <v>15024</v>
      </c>
      <c r="L4251" s="30">
        <v>375844618</v>
      </c>
      <c r="M4251" s="80" t="s">
        <v>123</v>
      </c>
      <c r="N4251" s="80" t="s">
        <v>2847</v>
      </c>
      <c r="O4251" s="80" t="s">
        <v>4503</v>
      </c>
      <c r="P4251" s="80" t="s">
        <v>3487</v>
      </c>
      <c r="Q4251" s="20">
        <v>15936</v>
      </c>
      <c r="R4251" s="80" t="s">
        <v>36</v>
      </c>
      <c r="S4251" s="95">
        <v>2000</v>
      </c>
      <c r="T4251" s="148">
        <v>45524</v>
      </c>
      <c r="U4251" s="95">
        <v>13936</v>
      </c>
      <c r="V4251" s="148">
        <v>45571</v>
      </c>
      <c r="W4251" s="85" t="s">
        <v>14050</v>
      </c>
      <c r="X4251" s="80"/>
      <c r="Y4251" s="22">
        <v>0</v>
      </c>
      <c r="Z4251" s="80" t="s">
        <v>50</v>
      </c>
      <c r="AA4251" s="96" t="s">
        <v>9905</v>
      </c>
      <c r="AB4251" s="80"/>
      <c r="AC4251" s="80" t="s">
        <v>53</v>
      </c>
      <c r="AD4251" s="80" t="s">
        <v>138</v>
      </c>
      <c r="AE4251" s="80"/>
      <c r="AF4251" s="17">
        <v>45554</v>
      </c>
      <c r="AG4251" s="80"/>
      <c r="AH4251" s="80"/>
      <c r="AI4251" s="147"/>
      <c r="AJ4251" s="80"/>
      <c r="AK4251" s="80"/>
      <c r="AL4251" s="35"/>
      <c r="AM4251" s="35"/>
      <c r="AN4251" s="35"/>
      <c r="AO4251" s="35"/>
      <c r="AP4251" s="35"/>
    </row>
    <row r="4252" spans="1:42" x14ac:dyDescent="0.2">
      <c r="A4252" s="126">
        <v>45539.700093680556</v>
      </c>
      <c r="B4252" s="137" t="s">
        <v>37</v>
      </c>
      <c r="C4252" s="41" t="s">
        <v>118</v>
      </c>
      <c r="D4252" s="80" t="s">
        <v>36</v>
      </c>
      <c r="E4252" s="80" t="s">
        <v>139</v>
      </c>
      <c r="F4252" s="26" t="s">
        <v>36</v>
      </c>
      <c r="G4252" s="26" t="s">
        <v>41</v>
      </c>
      <c r="H4252" s="80" t="s">
        <v>11735</v>
      </c>
      <c r="I4252" s="17">
        <f ca="1">IFERROR(__xludf.DUMMYFUNCTION("""COMPUTED_VALUE"""),45555)</f>
        <v>45555</v>
      </c>
      <c r="J4252" s="143" t="s">
        <v>15025</v>
      </c>
      <c r="K4252" s="80" t="s">
        <v>15026</v>
      </c>
      <c r="L4252" s="30">
        <v>357686640</v>
      </c>
      <c r="M4252" s="80" t="s">
        <v>5429</v>
      </c>
      <c r="N4252" s="80" t="s">
        <v>756</v>
      </c>
      <c r="O4252" s="80" t="s">
        <v>15027</v>
      </c>
      <c r="P4252" s="80" t="s">
        <v>6368</v>
      </c>
      <c r="Q4252" s="20">
        <v>15936</v>
      </c>
      <c r="R4252" s="80" t="s">
        <v>36</v>
      </c>
      <c r="S4252" s="95">
        <f t="shared" ref="S4252:S4253" si="77">200+1800</f>
        <v>2000</v>
      </c>
      <c r="T4252" s="83" t="s">
        <v>15028</v>
      </c>
      <c r="U4252" s="95">
        <v>13936</v>
      </c>
      <c r="V4252" s="148">
        <v>45571</v>
      </c>
      <c r="W4252" s="85" t="s">
        <v>15029</v>
      </c>
      <c r="X4252" s="80"/>
      <c r="Y4252" s="22">
        <v>0</v>
      </c>
      <c r="Z4252" s="80" t="s">
        <v>50</v>
      </c>
      <c r="AA4252" s="35" t="s">
        <v>9905</v>
      </c>
      <c r="AB4252" s="80"/>
      <c r="AC4252" s="80" t="s">
        <v>53</v>
      </c>
      <c r="AD4252" s="80" t="s">
        <v>138</v>
      </c>
      <c r="AE4252" s="80" t="s">
        <v>72</v>
      </c>
      <c r="AF4252" s="17">
        <v>45555</v>
      </c>
      <c r="AG4252" s="80"/>
      <c r="AH4252" s="80"/>
      <c r="AI4252" s="147"/>
      <c r="AJ4252" s="80"/>
      <c r="AK4252" s="80"/>
      <c r="AL4252" s="35"/>
      <c r="AM4252" s="35"/>
      <c r="AN4252" s="35"/>
      <c r="AO4252" s="35"/>
      <c r="AP4252" s="35"/>
    </row>
    <row r="4253" spans="1:42" x14ac:dyDescent="0.2">
      <c r="A4253" s="126">
        <v>45539.70328829861</v>
      </c>
      <c r="B4253" s="137" t="s">
        <v>37</v>
      </c>
      <c r="C4253" s="41" t="s">
        <v>118</v>
      </c>
      <c r="D4253" s="80" t="s">
        <v>36</v>
      </c>
      <c r="E4253" s="80" t="s">
        <v>139</v>
      </c>
      <c r="F4253" s="80" t="s">
        <v>36</v>
      </c>
      <c r="G4253" s="26" t="s">
        <v>41</v>
      </c>
      <c r="H4253" s="80" t="s">
        <v>12474</v>
      </c>
      <c r="I4253" s="17">
        <f ca="1">IFERROR(__xludf.DUMMYFUNCTION("""COMPUTED_VALUE"""),45551)</f>
        <v>45551</v>
      </c>
      <c r="J4253" s="143" t="s">
        <v>14201</v>
      </c>
      <c r="K4253" s="80" t="s">
        <v>3733</v>
      </c>
      <c r="L4253" s="30">
        <v>972236387</v>
      </c>
      <c r="M4253" s="80" t="s">
        <v>5518</v>
      </c>
      <c r="N4253" s="80" t="s">
        <v>5524</v>
      </c>
      <c r="O4253" s="80" t="s">
        <v>14202</v>
      </c>
      <c r="P4253" s="80" t="s">
        <v>3694</v>
      </c>
      <c r="Q4253" s="20">
        <v>15936</v>
      </c>
      <c r="R4253" s="80" t="s">
        <v>36</v>
      </c>
      <c r="S4253" s="95">
        <f t="shared" si="77"/>
        <v>2000</v>
      </c>
      <c r="T4253" s="83" t="s">
        <v>14203</v>
      </c>
      <c r="U4253" s="95">
        <v>13936</v>
      </c>
      <c r="V4253" s="148">
        <v>45566</v>
      </c>
      <c r="W4253" s="85" t="s">
        <v>14204</v>
      </c>
      <c r="X4253" s="80"/>
      <c r="Y4253" s="22">
        <v>0</v>
      </c>
      <c r="Z4253" s="80" t="s">
        <v>50</v>
      </c>
      <c r="AA4253" s="96" t="s">
        <v>9905</v>
      </c>
      <c r="AB4253" s="80"/>
      <c r="AC4253" s="80" t="s">
        <v>53</v>
      </c>
      <c r="AD4253" s="80" t="s">
        <v>138</v>
      </c>
      <c r="AE4253" s="80"/>
      <c r="AF4253" s="17">
        <v>45551</v>
      </c>
      <c r="AG4253" s="80"/>
      <c r="AH4253" s="80"/>
      <c r="AI4253" s="147"/>
      <c r="AJ4253" s="80"/>
      <c r="AK4253" s="80"/>
      <c r="AL4253" s="35"/>
      <c r="AM4253" s="35"/>
      <c r="AN4253" s="35"/>
      <c r="AO4253" s="35"/>
      <c r="AP4253" s="35"/>
    </row>
    <row r="4254" spans="1:42" x14ac:dyDescent="0.2">
      <c r="A4254" s="126">
        <v>45539.707892071761</v>
      </c>
      <c r="B4254" s="137" t="s">
        <v>37</v>
      </c>
      <c r="C4254" s="41" t="s">
        <v>118</v>
      </c>
      <c r="D4254" s="80" t="s">
        <v>36</v>
      </c>
      <c r="E4254" s="80" t="s">
        <v>77</v>
      </c>
      <c r="F4254" s="80" t="s">
        <v>36</v>
      </c>
      <c r="G4254" s="26" t="s">
        <v>41</v>
      </c>
      <c r="H4254" s="80" t="s">
        <v>11845</v>
      </c>
      <c r="I4254" s="17">
        <f ca="1">IFERROR(__xludf.DUMMYFUNCTION("""COMPUTED_VALUE"""),45552)</f>
        <v>45552</v>
      </c>
      <c r="J4254" s="143" t="s">
        <v>15030</v>
      </c>
      <c r="K4254" s="80" t="s">
        <v>15031</v>
      </c>
      <c r="L4254" s="30">
        <v>362466296</v>
      </c>
      <c r="M4254" s="80" t="s">
        <v>5518</v>
      </c>
      <c r="N4254" s="80" t="s">
        <v>5252</v>
      </c>
      <c r="O4254" s="80" t="s">
        <v>15032</v>
      </c>
      <c r="P4254" s="144" t="s">
        <v>15033</v>
      </c>
      <c r="Q4254" s="20">
        <v>1968</v>
      </c>
      <c r="R4254" s="80" t="s">
        <v>36</v>
      </c>
      <c r="S4254" s="95">
        <f>200+1768</f>
        <v>1968</v>
      </c>
      <c r="T4254" s="83" t="s">
        <v>15028</v>
      </c>
      <c r="U4254" s="77"/>
      <c r="V4254" s="78"/>
      <c r="W4254" s="85" t="s">
        <v>15034</v>
      </c>
      <c r="X4254" s="80"/>
      <c r="Y4254" s="22">
        <v>0</v>
      </c>
      <c r="Z4254" s="80" t="s">
        <v>50</v>
      </c>
      <c r="AA4254" s="35" t="s">
        <v>9905</v>
      </c>
      <c r="AB4254" s="80"/>
      <c r="AC4254" s="80" t="s">
        <v>53</v>
      </c>
      <c r="AD4254" s="80" t="s">
        <v>138</v>
      </c>
      <c r="AE4254" s="80"/>
      <c r="AF4254" s="17">
        <v>45555</v>
      </c>
      <c r="AG4254" s="80" t="s">
        <v>7078</v>
      </c>
      <c r="AH4254" s="80"/>
      <c r="AI4254" s="147"/>
      <c r="AJ4254" s="80"/>
      <c r="AK4254" s="80"/>
      <c r="AL4254" s="35"/>
      <c r="AM4254" s="35"/>
      <c r="AN4254" s="35"/>
      <c r="AO4254" s="35"/>
      <c r="AP4254" s="35"/>
    </row>
    <row r="4255" spans="1:42" x14ac:dyDescent="0.2">
      <c r="A4255" s="126">
        <v>45539.753213854172</v>
      </c>
      <c r="B4255" s="137" t="s">
        <v>37</v>
      </c>
      <c r="C4255" s="41" t="s">
        <v>118</v>
      </c>
      <c r="D4255" s="80" t="s">
        <v>36</v>
      </c>
      <c r="E4255" s="80" t="s">
        <v>119</v>
      </c>
      <c r="F4255" s="80" t="s">
        <v>36</v>
      </c>
      <c r="G4255" s="80" t="s">
        <v>108</v>
      </c>
      <c r="H4255" s="80" t="s">
        <v>7204</v>
      </c>
      <c r="I4255" s="17">
        <f ca="1">IFERROR(__xludf.DUMMYFUNCTION("""COMPUTED_VALUE"""),45555)</f>
        <v>45555</v>
      </c>
      <c r="J4255" s="143" t="s">
        <v>15035</v>
      </c>
      <c r="K4255" s="80" t="s">
        <v>15036</v>
      </c>
      <c r="L4255" s="30">
        <v>788282369</v>
      </c>
      <c r="M4255" s="80" t="s">
        <v>12720</v>
      </c>
      <c r="N4255" s="80" t="s">
        <v>1073</v>
      </c>
      <c r="O4255" s="80" t="s">
        <v>15037</v>
      </c>
      <c r="P4255" s="115" t="s">
        <v>15038</v>
      </c>
      <c r="Q4255" s="20">
        <v>13968</v>
      </c>
      <c r="R4255" s="80" t="s">
        <v>36</v>
      </c>
      <c r="S4255" s="95">
        <f>200+3800</f>
        <v>4000</v>
      </c>
      <c r="T4255" s="83" t="s">
        <v>15039</v>
      </c>
      <c r="U4255" s="95">
        <v>9968</v>
      </c>
      <c r="V4255" s="148">
        <v>45583</v>
      </c>
      <c r="W4255" s="85" t="s">
        <v>15040</v>
      </c>
      <c r="X4255" s="80"/>
      <c r="Y4255" s="22">
        <v>0</v>
      </c>
      <c r="Z4255" s="80" t="s">
        <v>50</v>
      </c>
      <c r="AA4255" s="96" t="s">
        <v>9905</v>
      </c>
      <c r="AB4255" s="80"/>
      <c r="AC4255" s="80" t="s">
        <v>53</v>
      </c>
      <c r="AD4255" s="80" t="s">
        <v>138</v>
      </c>
      <c r="AE4255" s="83">
        <v>400</v>
      </c>
      <c r="AF4255" s="17">
        <v>45551</v>
      </c>
      <c r="AG4255" s="80"/>
      <c r="AH4255" s="80"/>
      <c r="AI4255" s="147"/>
      <c r="AJ4255" s="80"/>
      <c r="AK4255" s="80"/>
      <c r="AL4255" s="35"/>
      <c r="AM4255" s="35"/>
      <c r="AN4255" s="35"/>
      <c r="AO4255" s="35"/>
      <c r="AP4255" s="35"/>
    </row>
    <row r="4256" spans="1:42" x14ac:dyDescent="0.2">
      <c r="A4256" s="126">
        <v>45539.833109479165</v>
      </c>
      <c r="B4256" s="137" t="s">
        <v>37</v>
      </c>
      <c r="C4256" s="41" t="s">
        <v>118</v>
      </c>
      <c r="D4256" s="80" t="s">
        <v>36</v>
      </c>
      <c r="E4256" s="80" t="s">
        <v>139</v>
      </c>
      <c r="F4256" s="80" t="s">
        <v>36</v>
      </c>
      <c r="G4256" s="26" t="s">
        <v>41</v>
      </c>
      <c r="H4256" s="80" t="s">
        <v>12474</v>
      </c>
      <c r="I4256" s="17">
        <f ca="1">IFERROR(__xludf.DUMMYFUNCTION("""COMPUTED_VALUE"""),45551)</f>
        <v>45551</v>
      </c>
      <c r="J4256" s="143" t="s">
        <v>14277</v>
      </c>
      <c r="K4256" s="80" t="s">
        <v>14278</v>
      </c>
      <c r="L4256" s="30">
        <v>978951035</v>
      </c>
      <c r="M4256" s="80" t="s">
        <v>5518</v>
      </c>
      <c r="N4256" s="80" t="s">
        <v>12380</v>
      </c>
      <c r="O4256" s="80" t="s">
        <v>14279</v>
      </c>
      <c r="P4256" s="80" t="s">
        <v>5462</v>
      </c>
      <c r="Q4256" s="20">
        <v>15936</v>
      </c>
      <c r="R4256" s="80" t="s">
        <v>70</v>
      </c>
      <c r="S4256" s="95">
        <f>200+1800</f>
        <v>2000</v>
      </c>
      <c r="T4256" s="83" t="s">
        <v>14280</v>
      </c>
      <c r="U4256" s="95">
        <v>13836</v>
      </c>
      <c r="V4256" s="148">
        <v>45573</v>
      </c>
      <c r="W4256" s="85" t="s">
        <v>14281</v>
      </c>
      <c r="X4256" s="80"/>
      <c r="Y4256" s="22">
        <v>100</v>
      </c>
      <c r="Z4256" s="80" t="s">
        <v>50</v>
      </c>
      <c r="AA4256" s="35" t="s">
        <v>9905</v>
      </c>
      <c r="AB4256" s="80"/>
      <c r="AC4256" s="80" t="s">
        <v>53</v>
      </c>
      <c r="AD4256" s="80" t="s">
        <v>138</v>
      </c>
      <c r="AE4256" s="80"/>
      <c r="AF4256" s="17">
        <v>45551</v>
      </c>
      <c r="AG4256" s="80"/>
      <c r="AH4256" s="80"/>
      <c r="AI4256" s="147"/>
      <c r="AJ4256" s="80"/>
      <c r="AK4256" s="80"/>
      <c r="AL4256" s="35"/>
      <c r="AM4256" s="35"/>
      <c r="AN4256" s="35"/>
      <c r="AO4256" s="35"/>
      <c r="AP4256" s="35"/>
    </row>
    <row r="4257" spans="1:42" x14ac:dyDescent="0.2">
      <c r="A4257" s="126">
        <v>45539.872505416672</v>
      </c>
      <c r="B4257" s="137" t="s">
        <v>37</v>
      </c>
      <c r="C4257" s="41" t="s">
        <v>118</v>
      </c>
      <c r="D4257" s="80" t="s">
        <v>36</v>
      </c>
      <c r="E4257" s="80" t="s">
        <v>139</v>
      </c>
      <c r="F4257" s="26" t="s">
        <v>36</v>
      </c>
      <c r="G4257" s="26" t="s">
        <v>41</v>
      </c>
      <c r="H4257" s="80" t="s">
        <v>11735</v>
      </c>
      <c r="I4257" s="17">
        <f ca="1">IFERROR(__xludf.DUMMYFUNCTION("""COMPUTED_VALUE"""),45555)</f>
        <v>45555</v>
      </c>
      <c r="J4257" s="143" t="s">
        <v>14256</v>
      </c>
      <c r="K4257" s="80" t="s">
        <v>15041</v>
      </c>
      <c r="L4257" s="30">
        <v>818059558</v>
      </c>
      <c r="M4257" s="80" t="s">
        <v>5558</v>
      </c>
      <c r="N4257" s="80" t="s">
        <v>5559</v>
      </c>
      <c r="O4257" s="80" t="s">
        <v>14258</v>
      </c>
      <c r="P4257" s="80" t="s">
        <v>14259</v>
      </c>
      <c r="Q4257" s="20">
        <v>15936</v>
      </c>
      <c r="R4257" s="80" t="s">
        <v>36</v>
      </c>
      <c r="S4257" s="95">
        <v>2000</v>
      </c>
      <c r="T4257" s="148">
        <v>45539</v>
      </c>
      <c r="U4257" s="95">
        <v>13936</v>
      </c>
      <c r="V4257" s="148">
        <v>45572</v>
      </c>
      <c r="W4257" s="85" t="s">
        <v>14260</v>
      </c>
      <c r="X4257" s="80"/>
      <c r="Y4257" s="22">
        <v>0</v>
      </c>
      <c r="Z4257" s="80" t="s">
        <v>50</v>
      </c>
      <c r="AA4257" s="96" t="s">
        <v>9905</v>
      </c>
      <c r="AB4257" s="80"/>
      <c r="AC4257" s="80" t="s">
        <v>53</v>
      </c>
      <c r="AD4257" s="80" t="s">
        <v>138</v>
      </c>
      <c r="AE4257" s="80"/>
      <c r="AF4257" s="17">
        <v>45555</v>
      </c>
      <c r="AG4257" s="80"/>
      <c r="AH4257" s="80"/>
      <c r="AI4257" s="147"/>
      <c r="AJ4257" s="80"/>
      <c r="AK4257" s="80"/>
      <c r="AL4257" s="35"/>
      <c r="AM4257" s="35"/>
      <c r="AN4257" s="35"/>
      <c r="AO4257" s="35"/>
      <c r="AP4257" s="35"/>
    </row>
    <row r="4258" spans="1:42" x14ac:dyDescent="0.2">
      <c r="A4258" s="126">
        <v>45540.548729259259</v>
      </c>
      <c r="B4258" s="137" t="s">
        <v>37</v>
      </c>
      <c r="C4258" s="41" t="s">
        <v>118</v>
      </c>
      <c r="D4258" s="80" t="s">
        <v>36</v>
      </c>
      <c r="E4258" s="80" t="s">
        <v>139</v>
      </c>
      <c r="F4258" s="26" t="s">
        <v>36</v>
      </c>
      <c r="G4258" s="26" t="s">
        <v>41</v>
      </c>
      <c r="H4258" s="80" t="s">
        <v>11735</v>
      </c>
      <c r="I4258" s="17">
        <f ca="1">IFERROR(__xludf.DUMMYFUNCTION("""COMPUTED_VALUE"""),45555)</f>
        <v>45555</v>
      </c>
      <c r="J4258" s="143" t="s">
        <v>14273</v>
      </c>
      <c r="K4258" s="80" t="s">
        <v>9263</v>
      </c>
      <c r="L4258" s="30">
        <v>388436456</v>
      </c>
      <c r="M4258" s="80" t="s">
        <v>2755</v>
      </c>
      <c r="N4258" s="80" t="s">
        <v>2756</v>
      </c>
      <c r="O4258" s="80" t="s">
        <v>4503</v>
      </c>
      <c r="P4258" s="80" t="s">
        <v>3694</v>
      </c>
      <c r="Q4258" s="20">
        <v>15936</v>
      </c>
      <c r="R4258" s="80" t="s">
        <v>36</v>
      </c>
      <c r="S4258" s="95">
        <v>2000</v>
      </c>
      <c r="T4258" s="148">
        <v>45540</v>
      </c>
      <c r="U4258" s="95">
        <v>13936</v>
      </c>
      <c r="V4258" s="148">
        <v>45596</v>
      </c>
      <c r="W4258" s="85" t="s">
        <v>14274</v>
      </c>
      <c r="X4258" s="80"/>
      <c r="Y4258" s="22">
        <v>0</v>
      </c>
      <c r="Z4258" s="80" t="s">
        <v>50</v>
      </c>
      <c r="AA4258" s="35" t="s">
        <v>9905</v>
      </c>
      <c r="AB4258" s="80"/>
      <c r="AC4258" s="80" t="s">
        <v>53</v>
      </c>
      <c r="AD4258" s="80" t="s">
        <v>138</v>
      </c>
      <c r="AE4258" s="80"/>
      <c r="AF4258" s="17">
        <v>45555</v>
      </c>
      <c r="AG4258" s="80"/>
      <c r="AH4258" s="80"/>
      <c r="AI4258" s="147"/>
      <c r="AJ4258" s="80"/>
      <c r="AK4258" s="80"/>
      <c r="AL4258" s="35"/>
      <c r="AM4258" s="35"/>
      <c r="AN4258" s="35"/>
      <c r="AO4258" s="35"/>
      <c r="AP4258" s="35"/>
    </row>
    <row r="4259" spans="1:42" x14ac:dyDescent="0.2">
      <c r="A4259" s="126">
        <v>45540.693484201387</v>
      </c>
      <c r="B4259" s="137" t="s">
        <v>37</v>
      </c>
      <c r="C4259" s="41" t="s">
        <v>118</v>
      </c>
      <c r="D4259" s="80" t="s">
        <v>36</v>
      </c>
      <c r="E4259" s="80" t="s">
        <v>139</v>
      </c>
      <c r="F4259" s="80" t="s">
        <v>36</v>
      </c>
      <c r="G4259" s="26" t="s">
        <v>41</v>
      </c>
      <c r="H4259" s="80" t="s">
        <v>12474</v>
      </c>
      <c r="I4259" s="17">
        <f ca="1">IFERROR(__xludf.DUMMYFUNCTION("""COMPUTED_VALUE"""),45551)</f>
        <v>45551</v>
      </c>
      <c r="J4259" s="143" t="s">
        <v>14213</v>
      </c>
      <c r="K4259" s="80" t="s">
        <v>14214</v>
      </c>
      <c r="L4259" s="30">
        <v>399922370</v>
      </c>
      <c r="M4259" s="80" t="s">
        <v>5429</v>
      </c>
      <c r="N4259" s="80" t="s">
        <v>3065</v>
      </c>
      <c r="O4259" s="80" t="s">
        <v>61</v>
      </c>
      <c r="P4259" s="80" t="s">
        <v>14215</v>
      </c>
      <c r="Q4259" s="20">
        <v>15936</v>
      </c>
      <c r="R4259" s="80" t="s">
        <v>36</v>
      </c>
      <c r="S4259" s="95">
        <v>2000</v>
      </c>
      <c r="T4259" s="148">
        <v>45540</v>
      </c>
      <c r="U4259" s="95">
        <v>13936</v>
      </c>
      <c r="V4259" s="148">
        <v>45569</v>
      </c>
      <c r="W4259" s="85" t="s">
        <v>14216</v>
      </c>
      <c r="X4259" s="80"/>
      <c r="Y4259" s="22">
        <v>0</v>
      </c>
      <c r="Z4259" s="80" t="s">
        <v>50</v>
      </c>
      <c r="AA4259" s="96" t="s">
        <v>9905</v>
      </c>
      <c r="AB4259" s="80"/>
      <c r="AC4259" s="80" t="s">
        <v>53</v>
      </c>
      <c r="AD4259" s="80" t="s">
        <v>138</v>
      </c>
      <c r="AE4259" s="80" t="s">
        <v>72</v>
      </c>
      <c r="AF4259" s="17">
        <v>45551</v>
      </c>
      <c r="AG4259" s="80"/>
      <c r="AH4259" s="80"/>
      <c r="AI4259" s="147"/>
      <c r="AJ4259" s="80"/>
      <c r="AK4259" s="80"/>
      <c r="AL4259" s="35"/>
      <c r="AM4259" s="35"/>
      <c r="AN4259" s="35"/>
      <c r="AO4259" s="35"/>
      <c r="AP4259" s="35"/>
    </row>
    <row r="4260" spans="1:42" x14ac:dyDescent="0.2">
      <c r="A4260" s="126">
        <v>45540.706806817128</v>
      </c>
      <c r="B4260" s="137" t="s">
        <v>37</v>
      </c>
      <c r="C4260" s="41" t="s">
        <v>118</v>
      </c>
      <c r="D4260" s="80" t="s">
        <v>36</v>
      </c>
      <c r="E4260" s="80" t="s">
        <v>139</v>
      </c>
      <c r="F4260" s="26" t="s">
        <v>36</v>
      </c>
      <c r="G4260" s="80" t="s">
        <v>41</v>
      </c>
      <c r="H4260" s="80" t="s">
        <v>9626</v>
      </c>
      <c r="I4260" s="17">
        <f ca="1">IFERROR(__xludf.DUMMYFUNCTION("""COMPUTED_VALUE"""),45559)</f>
        <v>45559</v>
      </c>
      <c r="J4260" s="143" t="s">
        <v>14304</v>
      </c>
      <c r="K4260" s="80" t="s">
        <v>15042</v>
      </c>
      <c r="L4260" s="30">
        <v>352068933</v>
      </c>
      <c r="M4260" s="80" t="s">
        <v>5558</v>
      </c>
      <c r="N4260" s="80" t="s">
        <v>5559</v>
      </c>
      <c r="O4260" s="80" t="s">
        <v>4503</v>
      </c>
      <c r="P4260" s="144" t="s">
        <v>14306</v>
      </c>
      <c r="Q4260" s="20">
        <v>15936</v>
      </c>
      <c r="R4260" s="80" t="s">
        <v>36</v>
      </c>
      <c r="S4260" s="95">
        <f>200+1800</f>
        <v>2000</v>
      </c>
      <c r="T4260" s="83" t="s">
        <v>14307</v>
      </c>
      <c r="U4260" s="95">
        <v>13936</v>
      </c>
      <c r="V4260" s="148">
        <v>45575</v>
      </c>
      <c r="W4260" s="79" t="s">
        <v>14308</v>
      </c>
      <c r="X4260" s="80"/>
      <c r="Y4260" s="22">
        <v>0</v>
      </c>
      <c r="Z4260" s="80" t="s">
        <v>50</v>
      </c>
      <c r="AA4260" s="35" t="s">
        <v>9905</v>
      </c>
      <c r="AB4260" s="80"/>
      <c r="AC4260" s="80" t="s">
        <v>53</v>
      </c>
      <c r="AD4260" s="80" t="s">
        <v>138</v>
      </c>
      <c r="AE4260" s="80"/>
      <c r="AF4260" s="17">
        <v>45559</v>
      </c>
      <c r="AG4260" s="80"/>
      <c r="AH4260" s="80"/>
      <c r="AI4260" s="147"/>
      <c r="AJ4260" s="80"/>
      <c r="AK4260" s="80"/>
      <c r="AL4260" s="35"/>
      <c r="AM4260" s="35"/>
      <c r="AN4260" s="35"/>
      <c r="AO4260" s="35"/>
      <c r="AP4260" s="35"/>
    </row>
    <row r="4261" spans="1:42" x14ac:dyDescent="0.2">
      <c r="A4261" s="126">
        <v>45540.716373101852</v>
      </c>
      <c r="B4261" s="137" t="s">
        <v>37</v>
      </c>
      <c r="C4261" s="41" t="s">
        <v>118</v>
      </c>
      <c r="D4261" s="80" t="s">
        <v>36</v>
      </c>
      <c r="E4261" s="80" t="s">
        <v>139</v>
      </c>
      <c r="F4261" s="26" t="s">
        <v>36</v>
      </c>
      <c r="G4261" s="26" t="s">
        <v>41</v>
      </c>
      <c r="H4261" s="80" t="s">
        <v>13829</v>
      </c>
      <c r="I4261" s="17">
        <f ca="1">IFERROR(__xludf.DUMMYFUNCTION("""COMPUTED_VALUE"""),45596)</f>
        <v>45596</v>
      </c>
      <c r="J4261" s="143" t="s">
        <v>15043</v>
      </c>
      <c r="K4261" s="80" t="s">
        <v>15044</v>
      </c>
      <c r="L4261" s="30">
        <v>962795435</v>
      </c>
      <c r="M4261" s="80" t="s">
        <v>12644</v>
      </c>
      <c r="N4261" s="80" t="s">
        <v>5377</v>
      </c>
      <c r="O4261" s="80" t="s">
        <v>15045</v>
      </c>
      <c r="P4261" s="80" t="s">
        <v>15046</v>
      </c>
      <c r="Q4261" s="20">
        <v>15936</v>
      </c>
      <c r="R4261" s="80" t="s">
        <v>36</v>
      </c>
      <c r="S4261" s="178">
        <v>2000</v>
      </c>
      <c r="T4261" s="169">
        <v>45539</v>
      </c>
      <c r="U4261" s="95">
        <v>13936</v>
      </c>
      <c r="V4261" s="148">
        <v>45568</v>
      </c>
      <c r="W4261" s="85" t="s">
        <v>15047</v>
      </c>
      <c r="X4261" s="80"/>
      <c r="Y4261" s="22">
        <v>0</v>
      </c>
      <c r="Z4261" s="80" t="s">
        <v>50</v>
      </c>
      <c r="AA4261" s="96" t="s">
        <v>9905</v>
      </c>
      <c r="AB4261" s="80"/>
      <c r="AC4261" s="80" t="s">
        <v>53</v>
      </c>
      <c r="AD4261" s="80" t="s">
        <v>138</v>
      </c>
      <c r="AE4261" s="80"/>
      <c r="AF4261" s="17">
        <v>45555</v>
      </c>
      <c r="AG4261" s="80"/>
      <c r="AH4261" s="80"/>
      <c r="AI4261" s="147"/>
      <c r="AJ4261" s="80"/>
      <c r="AK4261" s="80"/>
      <c r="AL4261" s="35"/>
      <c r="AM4261" s="35"/>
      <c r="AN4261" s="35"/>
      <c r="AO4261" s="35"/>
      <c r="AP4261" s="35"/>
    </row>
    <row r="4262" spans="1:42" x14ac:dyDescent="0.2">
      <c r="A4262" s="126">
        <v>45540.772449768519</v>
      </c>
      <c r="B4262" s="137" t="s">
        <v>37</v>
      </c>
      <c r="C4262" s="41" t="s">
        <v>118</v>
      </c>
      <c r="D4262" s="80" t="s">
        <v>36</v>
      </c>
      <c r="E4262" s="80" t="s">
        <v>77</v>
      </c>
      <c r="F4262" s="80" t="s">
        <v>91</v>
      </c>
      <c r="G4262" s="80" t="s">
        <v>41</v>
      </c>
      <c r="H4262" s="80" t="s">
        <v>11723</v>
      </c>
      <c r="I4262" s="17">
        <f ca="1">IFERROR(__xludf.DUMMYFUNCTION("""COMPUTED_VALUE"""),45541)</f>
        <v>45541</v>
      </c>
      <c r="J4262" s="143" t="s">
        <v>15048</v>
      </c>
      <c r="K4262" s="80" t="s">
        <v>15049</v>
      </c>
      <c r="L4262" s="30">
        <v>918442172</v>
      </c>
      <c r="M4262" s="80" t="s">
        <v>123</v>
      </c>
      <c r="N4262" s="80" t="s">
        <v>327</v>
      </c>
      <c r="O4262" s="80" t="s">
        <v>4503</v>
      </c>
      <c r="P4262" s="80" t="s">
        <v>15050</v>
      </c>
      <c r="Q4262" s="20">
        <v>1968</v>
      </c>
      <c r="R4262" s="80" t="s">
        <v>36</v>
      </c>
      <c r="S4262" s="95">
        <v>1968</v>
      </c>
      <c r="T4262" s="148">
        <v>45540</v>
      </c>
      <c r="U4262" s="77"/>
      <c r="V4262" s="78"/>
      <c r="W4262" s="85" t="s">
        <v>15051</v>
      </c>
      <c r="X4262" s="80"/>
      <c r="Y4262" s="22">
        <v>0</v>
      </c>
      <c r="Z4262" s="80" t="s">
        <v>50</v>
      </c>
      <c r="AA4262" s="35" t="s">
        <v>9905</v>
      </c>
      <c r="AB4262" s="80"/>
      <c r="AC4262" s="80" t="s">
        <v>53</v>
      </c>
      <c r="AD4262" s="80" t="s">
        <v>54</v>
      </c>
      <c r="AE4262" s="80"/>
      <c r="AF4262" s="17">
        <v>45545</v>
      </c>
      <c r="AG4262" s="80" t="s">
        <v>7078</v>
      </c>
      <c r="AH4262" s="80"/>
      <c r="AI4262" s="147"/>
      <c r="AJ4262" s="80"/>
      <c r="AK4262" s="80"/>
      <c r="AL4262" s="35"/>
      <c r="AM4262" s="35"/>
      <c r="AN4262" s="35"/>
      <c r="AO4262" s="35"/>
      <c r="AP4262" s="35"/>
    </row>
    <row r="4263" spans="1:42" x14ac:dyDescent="0.2">
      <c r="A4263" s="126">
        <v>45540.776104444449</v>
      </c>
      <c r="B4263" s="137" t="s">
        <v>37</v>
      </c>
      <c r="C4263" s="41" t="s">
        <v>118</v>
      </c>
      <c r="D4263" s="80" t="s">
        <v>36</v>
      </c>
      <c r="E4263" s="80" t="s">
        <v>56</v>
      </c>
      <c r="F4263" s="26" t="s">
        <v>40</v>
      </c>
      <c r="G4263" s="80" t="s">
        <v>41</v>
      </c>
      <c r="H4263" s="80" t="s">
        <v>11747</v>
      </c>
      <c r="I4263" s="17">
        <f ca="1">IFERROR(__xludf.DUMMYFUNCTION("""COMPUTED_VALUE"""),45559)</f>
        <v>45559</v>
      </c>
      <c r="J4263" s="143" t="s">
        <v>15052</v>
      </c>
      <c r="K4263" s="80" t="s">
        <v>15053</v>
      </c>
      <c r="L4263" s="30">
        <v>388070606</v>
      </c>
      <c r="M4263" s="80" t="s">
        <v>123</v>
      </c>
      <c r="N4263" s="80" t="s">
        <v>186</v>
      </c>
      <c r="O4263" s="80" t="s">
        <v>4503</v>
      </c>
      <c r="P4263" s="80" t="s">
        <v>3487</v>
      </c>
      <c r="Q4263" s="20">
        <v>15936</v>
      </c>
      <c r="R4263" s="80" t="s">
        <v>36</v>
      </c>
      <c r="S4263" s="95">
        <f>200+8000</f>
        <v>8200</v>
      </c>
      <c r="T4263" s="83" t="s">
        <v>15054</v>
      </c>
      <c r="U4263" s="95">
        <v>7736</v>
      </c>
      <c r="V4263" s="148">
        <v>45590</v>
      </c>
      <c r="W4263" s="85" t="s">
        <v>15055</v>
      </c>
      <c r="X4263" s="80"/>
      <c r="Y4263" s="22">
        <v>0</v>
      </c>
      <c r="Z4263" s="80" t="s">
        <v>50</v>
      </c>
      <c r="AA4263" s="96" t="s">
        <v>9905</v>
      </c>
      <c r="AB4263" s="80"/>
      <c r="AC4263" s="80" t="s">
        <v>53</v>
      </c>
      <c r="AD4263" s="80" t="s">
        <v>138</v>
      </c>
      <c r="AE4263" s="80"/>
      <c r="AF4263" s="17">
        <v>45559</v>
      </c>
      <c r="AG4263" s="80"/>
      <c r="AH4263" s="80"/>
      <c r="AI4263" s="147"/>
      <c r="AJ4263" s="80"/>
      <c r="AK4263" s="80"/>
      <c r="AL4263" s="35"/>
      <c r="AM4263" s="35"/>
      <c r="AN4263" s="35"/>
      <c r="AO4263" s="35"/>
      <c r="AP4263" s="35"/>
    </row>
    <row r="4264" spans="1:42" x14ac:dyDescent="0.2">
      <c r="A4264" s="126">
        <v>45540.798832314817</v>
      </c>
      <c r="B4264" s="137" t="s">
        <v>37</v>
      </c>
      <c r="C4264" s="41" t="s">
        <v>118</v>
      </c>
      <c r="D4264" s="80" t="s">
        <v>36</v>
      </c>
      <c r="E4264" s="80" t="s">
        <v>119</v>
      </c>
      <c r="F4264" s="80" t="s">
        <v>36</v>
      </c>
      <c r="G4264" s="80" t="s">
        <v>108</v>
      </c>
      <c r="H4264" s="80" t="s">
        <v>10014</v>
      </c>
      <c r="I4264" s="17">
        <f ca="1">IFERROR(__xludf.DUMMYFUNCTION("""COMPUTED_VALUE"""),45551)</f>
        <v>45551</v>
      </c>
      <c r="J4264" s="143" t="s">
        <v>15056</v>
      </c>
      <c r="K4264" s="80" t="s">
        <v>15057</v>
      </c>
      <c r="L4264" s="30">
        <v>397843654</v>
      </c>
      <c r="M4264" s="80" t="s">
        <v>5518</v>
      </c>
      <c r="N4264" s="80" t="s">
        <v>12310</v>
      </c>
      <c r="O4264" s="80" t="s">
        <v>15058</v>
      </c>
      <c r="P4264" s="80" t="s">
        <v>15059</v>
      </c>
      <c r="Q4264" s="20">
        <v>13968</v>
      </c>
      <c r="R4264" s="80" t="s">
        <v>36</v>
      </c>
      <c r="S4264" s="95">
        <f>200+3800</f>
        <v>4000</v>
      </c>
      <c r="T4264" s="83" t="s">
        <v>15060</v>
      </c>
      <c r="U4264" s="95">
        <v>9968</v>
      </c>
      <c r="V4264" s="148">
        <v>45566</v>
      </c>
      <c r="W4264" s="85" t="s">
        <v>15061</v>
      </c>
      <c r="X4264" s="80"/>
      <c r="Y4264" s="22">
        <v>0</v>
      </c>
      <c r="Z4264" s="80" t="s">
        <v>50</v>
      </c>
      <c r="AA4264" s="35" t="s">
        <v>9905</v>
      </c>
      <c r="AB4264" s="80"/>
      <c r="AC4264" s="80" t="s">
        <v>53</v>
      </c>
      <c r="AD4264" s="80" t="s">
        <v>54</v>
      </c>
      <c r="AE4264" s="83">
        <v>540</v>
      </c>
      <c r="AF4264" s="17">
        <v>45551</v>
      </c>
      <c r="AG4264" s="80"/>
      <c r="AH4264" s="80"/>
      <c r="AI4264" s="147"/>
      <c r="AJ4264" s="80"/>
      <c r="AK4264" s="80"/>
      <c r="AL4264" s="35"/>
      <c r="AM4264" s="35"/>
      <c r="AN4264" s="35"/>
      <c r="AO4264" s="35"/>
      <c r="AP4264" s="35"/>
    </row>
    <row r="4265" spans="1:42" x14ac:dyDescent="0.2">
      <c r="A4265" s="126">
        <v>45540.835584606481</v>
      </c>
      <c r="B4265" s="137" t="s">
        <v>37</v>
      </c>
      <c r="C4265" s="41" t="s">
        <v>118</v>
      </c>
      <c r="D4265" s="80" t="s">
        <v>36</v>
      </c>
      <c r="E4265" s="80" t="s">
        <v>119</v>
      </c>
      <c r="F4265" s="80" t="s">
        <v>36</v>
      </c>
      <c r="G4265" s="26" t="s">
        <v>108</v>
      </c>
      <c r="H4265" s="80" t="s">
        <v>6919</v>
      </c>
      <c r="I4265" s="17">
        <f ca="1">IFERROR(__xludf.DUMMYFUNCTION("""COMPUTED_VALUE"""),45552)</f>
        <v>45552</v>
      </c>
      <c r="J4265" s="143" t="s">
        <v>15062</v>
      </c>
      <c r="K4265" s="80" t="s">
        <v>15063</v>
      </c>
      <c r="L4265" s="30">
        <v>398059568</v>
      </c>
      <c r="M4265" s="80" t="s">
        <v>5518</v>
      </c>
      <c r="N4265" s="80" t="s">
        <v>12380</v>
      </c>
      <c r="O4265" s="80" t="s">
        <v>15064</v>
      </c>
      <c r="P4265" s="80" t="s">
        <v>7743</v>
      </c>
      <c r="Q4265" s="20">
        <v>13968</v>
      </c>
      <c r="R4265" s="80" t="s">
        <v>36</v>
      </c>
      <c r="S4265" s="95">
        <f>500+3500</f>
        <v>4000</v>
      </c>
      <c r="T4265" s="83" t="s">
        <v>15060</v>
      </c>
      <c r="U4265" s="77">
        <v>9968</v>
      </c>
      <c r="V4265" s="148">
        <v>45569</v>
      </c>
      <c r="W4265" s="85" t="s">
        <v>15065</v>
      </c>
      <c r="X4265" s="80"/>
      <c r="Y4265" s="22">
        <v>0</v>
      </c>
      <c r="Z4265" s="80" t="s">
        <v>50</v>
      </c>
      <c r="AA4265" s="96" t="s">
        <v>9905</v>
      </c>
      <c r="AB4265" s="80"/>
      <c r="AC4265" s="80" t="s">
        <v>53</v>
      </c>
      <c r="AD4265" s="80" t="s">
        <v>138</v>
      </c>
      <c r="AE4265" s="83">
        <v>400</v>
      </c>
      <c r="AF4265" s="17">
        <v>45552</v>
      </c>
      <c r="AG4265" s="26" t="s">
        <v>4996</v>
      </c>
      <c r="AH4265" s="80"/>
      <c r="AI4265" s="147"/>
      <c r="AJ4265" s="80"/>
      <c r="AK4265" s="80"/>
      <c r="AL4265" s="35"/>
      <c r="AM4265" s="35"/>
      <c r="AN4265" s="35"/>
      <c r="AO4265" s="35"/>
      <c r="AP4265" s="35"/>
    </row>
    <row r="4266" spans="1:42" x14ac:dyDescent="0.2">
      <c r="A4266" s="126">
        <v>45540.923025763885</v>
      </c>
      <c r="B4266" s="137" t="s">
        <v>37</v>
      </c>
      <c r="C4266" s="41" t="s">
        <v>118</v>
      </c>
      <c r="D4266" s="80" t="s">
        <v>36</v>
      </c>
      <c r="E4266" s="80" t="s">
        <v>139</v>
      </c>
      <c r="F4266" s="80" t="s">
        <v>36</v>
      </c>
      <c r="G4266" s="80" t="s">
        <v>41</v>
      </c>
      <c r="H4266" s="80" t="s">
        <v>12793</v>
      </c>
      <c r="I4266" s="17">
        <f ca="1">IFERROR(__xludf.DUMMYFUNCTION("""COMPUTED_VALUE"""),45552)</f>
        <v>45552</v>
      </c>
      <c r="J4266" s="143" t="s">
        <v>14184</v>
      </c>
      <c r="K4266" s="80" t="s">
        <v>15066</v>
      </c>
      <c r="L4266" s="30">
        <v>386460018</v>
      </c>
      <c r="M4266" s="80" t="s">
        <v>12644</v>
      </c>
      <c r="N4266" s="80" t="s">
        <v>8725</v>
      </c>
      <c r="O4266" s="80" t="s">
        <v>14186</v>
      </c>
      <c r="P4266" s="80" t="s">
        <v>14187</v>
      </c>
      <c r="Q4266" s="20">
        <v>15936</v>
      </c>
      <c r="R4266" s="80" t="s">
        <v>36</v>
      </c>
      <c r="S4266" s="95">
        <v>2000</v>
      </c>
      <c r="T4266" s="148">
        <v>45540</v>
      </c>
      <c r="U4266" s="95">
        <v>14000</v>
      </c>
      <c r="V4266" s="148">
        <v>45576</v>
      </c>
      <c r="W4266" s="85" t="s">
        <v>14188</v>
      </c>
      <c r="X4266" s="80"/>
      <c r="Y4266" s="22">
        <v>-64</v>
      </c>
      <c r="Z4266" s="80" t="s">
        <v>50</v>
      </c>
      <c r="AA4266" s="35" t="s">
        <v>9905</v>
      </c>
      <c r="AB4266" s="80"/>
      <c r="AC4266" s="80" t="s">
        <v>53</v>
      </c>
      <c r="AD4266" s="80" t="s">
        <v>54</v>
      </c>
      <c r="AE4266" s="80"/>
      <c r="AF4266" s="17">
        <v>45547</v>
      </c>
      <c r="AG4266" s="80"/>
      <c r="AH4266" s="80"/>
      <c r="AI4266" s="147"/>
      <c r="AJ4266" s="80"/>
      <c r="AK4266" s="80"/>
      <c r="AL4266" s="35"/>
      <c r="AM4266" s="35"/>
      <c r="AN4266" s="35"/>
      <c r="AO4266" s="35"/>
      <c r="AP4266" s="35"/>
    </row>
    <row r="4267" spans="1:42" x14ac:dyDescent="0.2">
      <c r="A4267" s="126">
        <v>45540.93789262732</v>
      </c>
      <c r="B4267" s="137" t="s">
        <v>37</v>
      </c>
      <c r="C4267" s="41" t="s">
        <v>118</v>
      </c>
      <c r="D4267" s="80" t="s">
        <v>36</v>
      </c>
      <c r="E4267" s="80" t="s">
        <v>119</v>
      </c>
      <c r="F4267" s="80" t="s">
        <v>36</v>
      </c>
      <c r="G4267" s="26" t="s">
        <v>108</v>
      </c>
      <c r="H4267" s="80" t="s">
        <v>6919</v>
      </c>
      <c r="I4267" s="17">
        <f ca="1">IFERROR(__xludf.DUMMYFUNCTION("""COMPUTED_VALUE"""),45552)</f>
        <v>45552</v>
      </c>
      <c r="J4267" s="143" t="s">
        <v>15067</v>
      </c>
      <c r="K4267" s="80" t="s">
        <v>15068</v>
      </c>
      <c r="L4267" s="30">
        <v>978109638</v>
      </c>
      <c r="M4267" s="80" t="s">
        <v>12720</v>
      </c>
      <c r="N4267" s="80" t="s">
        <v>1073</v>
      </c>
      <c r="O4267" s="80" t="s">
        <v>15069</v>
      </c>
      <c r="P4267" s="80" t="s">
        <v>5794</v>
      </c>
      <c r="Q4267" s="20">
        <v>13968</v>
      </c>
      <c r="R4267" s="80" t="s">
        <v>36</v>
      </c>
      <c r="S4267" s="95">
        <f>200+3800</f>
        <v>4000</v>
      </c>
      <c r="T4267" s="83" t="s">
        <v>15070</v>
      </c>
      <c r="U4267" s="95">
        <v>9968</v>
      </c>
      <c r="V4267" s="148">
        <v>45569</v>
      </c>
      <c r="W4267" s="85" t="s">
        <v>15071</v>
      </c>
      <c r="X4267" s="80"/>
      <c r="Y4267" s="22">
        <v>0</v>
      </c>
      <c r="Z4267" s="80" t="s">
        <v>50</v>
      </c>
      <c r="AA4267" s="96" t="s">
        <v>9905</v>
      </c>
      <c r="AB4267" s="80"/>
      <c r="AC4267" s="80" t="s">
        <v>53</v>
      </c>
      <c r="AD4267" s="80" t="s">
        <v>138</v>
      </c>
      <c r="AE4267" s="83">
        <v>500</v>
      </c>
      <c r="AF4267" s="17">
        <v>45552</v>
      </c>
      <c r="AG4267" s="26" t="s">
        <v>4996</v>
      </c>
      <c r="AH4267" s="80"/>
      <c r="AI4267" s="147"/>
      <c r="AJ4267" s="80"/>
      <c r="AK4267" s="80"/>
      <c r="AL4267" s="35"/>
      <c r="AM4267" s="35"/>
      <c r="AN4267" s="35"/>
      <c r="AO4267" s="35"/>
      <c r="AP4267" s="35"/>
    </row>
    <row r="4268" spans="1:42" x14ac:dyDescent="0.2">
      <c r="A4268" s="126">
        <v>45540.941524351852</v>
      </c>
      <c r="B4268" s="137" t="s">
        <v>37</v>
      </c>
      <c r="C4268" s="41" t="s">
        <v>118</v>
      </c>
      <c r="D4268" s="80" t="s">
        <v>36</v>
      </c>
      <c r="E4268" s="80" t="s">
        <v>139</v>
      </c>
      <c r="F4268" s="80" t="s">
        <v>36</v>
      </c>
      <c r="G4268" s="26" t="s">
        <v>41</v>
      </c>
      <c r="H4268" s="80" t="s">
        <v>12474</v>
      </c>
      <c r="I4268" s="17">
        <f ca="1">IFERROR(__xludf.DUMMYFUNCTION("""COMPUTED_VALUE"""),45551)</f>
        <v>45551</v>
      </c>
      <c r="J4268" s="143" t="s">
        <v>14205</v>
      </c>
      <c r="K4268" s="80" t="s">
        <v>14206</v>
      </c>
      <c r="L4268" s="30">
        <v>793210540</v>
      </c>
      <c r="M4268" s="80" t="s">
        <v>5429</v>
      </c>
      <c r="N4268" s="80" t="s">
        <v>9180</v>
      </c>
      <c r="O4268" s="80" t="s">
        <v>61</v>
      </c>
      <c r="P4268" s="80" t="s">
        <v>6368</v>
      </c>
      <c r="Q4268" s="20">
        <v>15936</v>
      </c>
      <c r="R4268" s="80" t="s">
        <v>36</v>
      </c>
      <c r="S4268" s="95">
        <v>2000</v>
      </c>
      <c r="T4268" s="148">
        <v>45540</v>
      </c>
      <c r="U4268" s="95">
        <v>13936</v>
      </c>
      <c r="V4268" s="148">
        <v>45568</v>
      </c>
      <c r="W4268" s="85" t="s">
        <v>14207</v>
      </c>
      <c r="X4268" s="80"/>
      <c r="Y4268" s="22">
        <v>0</v>
      </c>
      <c r="Z4268" s="80" t="s">
        <v>50</v>
      </c>
      <c r="AA4268" s="35" t="s">
        <v>9905</v>
      </c>
      <c r="AB4268" s="80"/>
      <c r="AC4268" s="80" t="s">
        <v>53</v>
      </c>
      <c r="AD4268" s="80" t="s">
        <v>138</v>
      </c>
      <c r="AE4268" s="80" t="s">
        <v>76</v>
      </c>
      <c r="AF4268" s="17">
        <v>45551</v>
      </c>
      <c r="AG4268" s="80"/>
      <c r="AH4268" s="80"/>
      <c r="AI4268" s="147"/>
      <c r="AJ4268" s="80"/>
      <c r="AK4268" s="80"/>
      <c r="AL4268" s="35"/>
      <c r="AM4268" s="35"/>
      <c r="AN4268" s="35"/>
      <c r="AO4268" s="35"/>
      <c r="AP4268" s="35"/>
    </row>
    <row r="4269" spans="1:42" x14ac:dyDescent="0.2">
      <c r="A4269" s="126">
        <v>45540.96961915509</v>
      </c>
      <c r="B4269" s="137" t="s">
        <v>37</v>
      </c>
      <c r="C4269" s="41" t="s">
        <v>118</v>
      </c>
      <c r="D4269" s="80" t="s">
        <v>36</v>
      </c>
      <c r="E4269" s="80" t="s">
        <v>219</v>
      </c>
      <c r="F4269" s="80" t="s">
        <v>36</v>
      </c>
      <c r="G4269" s="80" t="s">
        <v>221</v>
      </c>
      <c r="H4269" s="80" t="s">
        <v>13605</v>
      </c>
      <c r="I4269" s="17">
        <f ca="1">IFERROR(__xludf.DUMMYFUNCTION("""COMPUTED_VALUE"""),45575)</f>
        <v>45575</v>
      </c>
      <c r="J4269" s="143" t="s">
        <v>15072</v>
      </c>
      <c r="K4269" s="80" t="s">
        <v>15073</v>
      </c>
      <c r="L4269" s="30">
        <v>362758669</v>
      </c>
      <c r="M4269" s="80" t="s">
        <v>348</v>
      </c>
      <c r="N4269" s="80" t="s">
        <v>68</v>
      </c>
      <c r="O4269" s="80" t="s">
        <v>15074</v>
      </c>
      <c r="P4269" s="80" t="s">
        <v>15075</v>
      </c>
      <c r="Q4269" s="20">
        <v>3968</v>
      </c>
      <c r="R4269" s="80" t="s">
        <v>36</v>
      </c>
      <c r="S4269" s="95">
        <f>968+3000</f>
        <v>3968</v>
      </c>
      <c r="T4269" s="83" t="s">
        <v>15076</v>
      </c>
      <c r="U4269" s="77"/>
      <c r="V4269" s="78"/>
      <c r="W4269" s="85" t="s">
        <v>15077</v>
      </c>
      <c r="X4269" s="80"/>
      <c r="Y4269" s="22">
        <v>0</v>
      </c>
      <c r="Z4269" s="80" t="s">
        <v>50</v>
      </c>
      <c r="AA4269" s="96" t="s">
        <v>9905</v>
      </c>
      <c r="AB4269" s="80"/>
      <c r="AC4269" s="80" t="s">
        <v>53</v>
      </c>
      <c r="AD4269" s="80" t="s">
        <v>54</v>
      </c>
      <c r="AE4269" s="80" t="s">
        <v>3554</v>
      </c>
      <c r="AF4269" s="17">
        <v>45572</v>
      </c>
      <c r="AG4269" s="80"/>
      <c r="AH4269" s="80"/>
      <c r="AI4269" s="147"/>
      <c r="AJ4269" s="80"/>
      <c r="AK4269" s="80"/>
      <c r="AL4269" s="35"/>
      <c r="AM4269" s="35"/>
      <c r="AN4269" s="35"/>
      <c r="AO4269" s="35"/>
      <c r="AP4269" s="35"/>
    </row>
    <row r="4270" spans="1:42" x14ac:dyDescent="0.2">
      <c r="A4270" s="126">
        <v>45541.469069629631</v>
      </c>
      <c r="B4270" s="137" t="s">
        <v>37</v>
      </c>
      <c r="C4270" s="41" t="s">
        <v>118</v>
      </c>
      <c r="D4270" s="80" t="s">
        <v>36</v>
      </c>
      <c r="E4270" s="80" t="s">
        <v>139</v>
      </c>
      <c r="F4270" s="26" t="s">
        <v>40</v>
      </c>
      <c r="G4270" s="80" t="s">
        <v>41</v>
      </c>
      <c r="H4270" s="80" t="s">
        <v>11747</v>
      </c>
      <c r="I4270" s="17">
        <f ca="1">IFERROR(__xludf.DUMMYFUNCTION("""COMPUTED_VALUE"""),45559)</f>
        <v>45559</v>
      </c>
      <c r="J4270" s="143" t="s">
        <v>14732</v>
      </c>
      <c r="K4270" s="80" t="s">
        <v>14733</v>
      </c>
      <c r="L4270" s="30">
        <v>364792721</v>
      </c>
      <c r="M4270" s="80" t="s">
        <v>910</v>
      </c>
      <c r="N4270" s="80" t="s">
        <v>355</v>
      </c>
      <c r="O4270" s="80" t="s">
        <v>91</v>
      </c>
      <c r="P4270" s="80" t="s">
        <v>14120</v>
      </c>
      <c r="Q4270" s="20">
        <v>15936</v>
      </c>
      <c r="R4270" s="80" t="s">
        <v>36</v>
      </c>
      <c r="S4270" s="95">
        <v>2000</v>
      </c>
      <c r="T4270" s="148">
        <v>45541</v>
      </c>
      <c r="U4270" s="95">
        <v>13936</v>
      </c>
      <c r="V4270" s="148">
        <v>45580</v>
      </c>
      <c r="W4270" s="85" t="s">
        <v>14735</v>
      </c>
      <c r="X4270" s="80"/>
      <c r="Y4270" s="22">
        <v>0</v>
      </c>
      <c r="Z4270" s="80" t="s">
        <v>50</v>
      </c>
      <c r="AA4270" s="35" t="s">
        <v>9905</v>
      </c>
      <c r="AB4270" s="80"/>
      <c r="AC4270" s="80" t="s">
        <v>53</v>
      </c>
      <c r="AD4270" s="80" t="s">
        <v>138</v>
      </c>
      <c r="AE4270" s="80"/>
      <c r="AF4270" s="17">
        <v>45559</v>
      </c>
      <c r="AG4270" s="80"/>
      <c r="AH4270" s="80"/>
      <c r="AI4270" s="147"/>
      <c r="AJ4270" s="80"/>
      <c r="AK4270" s="80"/>
      <c r="AL4270" s="35"/>
      <c r="AM4270" s="35"/>
      <c r="AN4270" s="35"/>
      <c r="AO4270" s="35"/>
      <c r="AP4270" s="35"/>
    </row>
    <row r="4271" spans="1:42" x14ac:dyDescent="0.2">
      <c r="A4271" s="126">
        <v>45541.578151041671</v>
      </c>
      <c r="B4271" s="137" t="s">
        <v>37</v>
      </c>
      <c r="C4271" s="41" t="s">
        <v>118</v>
      </c>
      <c r="D4271" s="80" t="s">
        <v>36</v>
      </c>
      <c r="E4271" s="80" t="s">
        <v>139</v>
      </c>
      <c r="F4271" s="80" t="s">
        <v>36</v>
      </c>
      <c r="G4271" s="26" t="s">
        <v>41</v>
      </c>
      <c r="H4271" s="80" t="s">
        <v>12474</v>
      </c>
      <c r="I4271" s="17">
        <f ca="1">IFERROR(__xludf.DUMMYFUNCTION("""COMPUTED_VALUE"""),45551)</f>
        <v>45551</v>
      </c>
      <c r="J4271" s="143" t="s">
        <v>14282</v>
      </c>
      <c r="K4271" s="80" t="s">
        <v>14283</v>
      </c>
      <c r="L4271" s="30">
        <v>853118306</v>
      </c>
      <c r="M4271" s="80" t="s">
        <v>3728</v>
      </c>
      <c r="N4271" s="80" t="s">
        <v>5312</v>
      </c>
      <c r="O4271" s="80" t="s">
        <v>134</v>
      </c>
      <c r="P4271" s="80" t="s">
        <v>11644</v>
      </c>
      <c r="Q4271" s="20">
        <v>15936</v>
      </c>
      <c r="R4271" s="80" t="s">
        <v>36</v>
      </c>
      <c r="S4271" s="95">
        <v>2000</v>
      </c>
      <c r="T4271" s="148">
        <v>45541</v>
      </c>
      <c r="U4271" s="95">
        <v>13936</v>
      </c>
      <c r="V4271" s="148">
        <v>45572</v>
      </c>
      <c r="W4271" s="85" t="s">
        <v>14284</v>
      </c>
      <c r="X4271" s="80"/>
      <c r="Y4271" s="22">
        <v>0</v>
      </c>
      <c r="Z4271" s="80" t="s">
        <v>50</v>
      </c>
      <c r="AA4271" s="96" t="s">
        <v>9905</v>
      </c>
      <c r="AB4271" s="80"/>
      <c r="AC4271" s="80" t="s">
        <v>53</v>
      </c>
      <c r="AD4271" s="80" t="s">
        <v>138</v>
      </c>
      <c r="AE4271" s="80"/>
      <c r="AF4271" s="17">
        <v>45551</v>
      </c>
      <c r="AG4271" s="80"/>
      <c r="AH4271" s="80"/>
      <c r="AI4271" s="147"/>
      <c r="AJ4271" s="80"/>
      <c r="AK4271" s="80"/>
      <c r="AL4271" s="35"/>
      <c r="AM4271" s="35"/>
      <c r="AN4271" s="35"/>
      <c r="AO4271" s="35"/>
      <c r="AP4271" s="35"/>
    </row>
    <row r="4272" spans="1:42" x14ac:dyDescent="0.2">
      <c r="A4272" s="126">
        <v>45541.903410879633</v>
      </c>
      <c r="B4272" s="137" t="s">
        <v>37</v>
      </c>
      <c r="C4272" s="41" t="s">
        <v>118</v>
      </c>
      <c r="D4272" s="80" t="s">
        <v>36</v>
      </c>
      <c r="E4272" s="80" t="s">
        <v>77</v>
      </c>
      <c r="F4272" s="80" t="s">
        <v>36</v>
      </c>
      <c r="G4272" s="26" t="s">
        <v>41</v>
      </c>
      <c r="H4272" s="80" t="s">
        <v>11845</v>
      </c>
      <c r="I4272" s="17">
        <f ca="1">IFERROR(__xludf.DUMMYFUNCTION("""COMPUTED_VALUE"""),45552)</f>
        <v>45552</v>
      </c>
      <c r="J4272" s="143" t="s">
        <v>15078</v>
      </c>
      <c r="K4272" s="80" t="s">
        <v>2330</v>
      </c>
      <c r="L4272" s="30">
        <v>796092132</v>
      </c>
      <c r="M4272" s="80" t="s">
        <v>5518</v>
      </c>
      <c r="N4272" s="80" t="s">
        <v>253</v>
      </c>
      <c r="O4272" s="80" t="s">
        <v>15079</v>
      </c>
      <c r="P4272" s="80" t="s">
        <v>9528</v>
      </c>
      <c r="Q4272" s="20">
        <v>1968</v>
      </c>
      <c r="R4272" s="80" t="s">
        <v>36</v>
      </c>
      <c r="S4272" s="95">
        <f>200+1800</f>
        <v>2000</v>
      </c>
      <c r="T4272" s="83" t="s">
        <v>15080</v>
      </c>
      <c r="U4272" s="77"/>
      <c r="V4272" s="78"/>
      <c r="W4272" s="85" t="s">
        <v>15081</v>
      </c>
      <c r="X4272" s="80"/>
      <c r="Y4272" s="22">
        <v>-32</v>
      </c>
      <c r="Z4272" s="80" t="s">
        <v>50</v>
      </c>
      <c r="AA4272" s="35" t="s">
        <v>9905</v>
      </c>
      <c r="AB4272" s="80"/>
      <c r="AC4272" s="80" t="s">
        <v>53</v>
      </c>
      <c r="AD4272" s="80" t="s">
        <v>138</v>
      </c>
      <c r="AE4272" s="80"/>
      <c r="AF4272" s="17">
        <v>45555</v>
      </c>
      <c r="AG4272" s="80" t="s">
        <v>7078</v>
      </c>
      <c r="AH4272" s="80"/>
      <c r="AI4272" s="147"/>
      <c r="AJ4272" s="80"/>
      <c r="AK4272" s="80"/>
      <c r="AL4272" s="35"/>
      <c r="AM4272" s="35"/>
      <c r="AN4272" s="35"/>
      <c r="AO4272" s="35"/>
      <c r="AP4272" s="35"/>
    </row>
    <row r="4273" spans="1:42" x14ac:dyDescent="0.2">
      <c r="A4273" s="126">
        <v>45541.922186793978</v>
      </c>
      <c r="B4273" s="137" t="s">
        <v>37</v>
      </c>
      <c r="C4273" s="41" t="s">
        <v>118</v>
      </c>
      <c r="D4273" s="80" t="s">
        <v>36</v>
      </c>
      <c r="E4273" s="80" t="s">
        <v>139</v>
      </c>
      <c r="F4273" s="26" t="s">
        <v>36</v>
      </c>
      <c r="G4273" s="80" t="s">
        <v>41</v>
      </c>
      <c r="H4273" s="80" t="s">
        <v>9626</v>
      </c>
      <c r="I4273" s="17">
        <f ca="1">IFERROR(__xludf.DUMMYFUNCTION("""COMPUTED_VALUE"""),45559)</f>
        <v>45559</v>
      </c>
      <c r="J4273" s="143" t="s">
        <v>14323</v>
      </c>
      <c r="K4273" s="80" t="s">
        <v>14324</v>
      </c>
      <c r="L4273" s="30">
        <v>961906726</v>
      </c>
      <c r="M4273" s="80" t="s">
        <v>5558</v>
      </c>
      <c r="N4273" s="80" t="s">
        <v>5559</v>
      </c>
      <c r="O4273" s="80" t="s">
        <v>4503</v>
      </c>
      <c r="P4273" s="80" t="s">
        <v>14325</v>
      </c>
      <c r="Q4273" s="20">
        <v>15936</v>
      </c>
      <c r="R4273" s="80" t="s">
        <v>36</v>
      </c>
      <c r="S4273" s="95">
        <v>2000</v>
      </c>
      <c r="T4273" s="148">
        <v>45541</v>
      </c>
      <c r="U4273" s="95">
        <v>13936</v>
      </c>
      <c r="V4273" s="148">
        <v>45575</v>
      </c>
      <c r="W4273" s="85" t="s">
        <v>14326</v>
      </c>
      <c r="X4273" s="80"/>
      <c r="Y4273" s="22">
        <v>0</v>
      </c>
      <c r="Z4273" s="80" t="s">
        <v>50</v>
      </c>
      <c r="AA4273" s="96" t="s">
        <v>9905</v>
      </c>
      <c r="AB4273" s="80"/>
      <c r="AC4273" s="80" t="s">
        <v>53</v>
      </c>
      <c r="AD4273" s="80" t="s">
        <v>138</v>
      </c>
      <c r="AE4273" s="80"/>
      <c r="AF4273" s="17">
        <v>45559</v>
      </c>
      <c r="AG4273" s="80"/>
      <c r="AH4273" s="80"/>
      <c r="AI4273" s="147"/>
      <c r="AJ4273" s="80"/>
      <c r="AK4273" s="80"/>
      <c r="AL4273" s="35"/>
      <c r="AM4273" s="35"/>
      <c r="AN4273" s="35"/>
      <c r="AO4273" s="35"/>
      <c r="AP4273" s="35"/>
    </row>
    <row r="4274" spans="1:42" x14ac:dyDescent="0.2">
      <c r="A4274" s="126">
        <v>45541.931328587962</v>
      </c>
      <c r="B4274" s="137" t="s">
        <v>37</v>
      </c>
      <c r="C4274" s="41" t="s">
        <v>118</v>
      </c>
      <c r="D4274" s="80" t="s">
        <v>36</v>
      </c>
      <c r="E4274" s="80" t="s">
        <v>77</v>
      </c>
      <c r="F4274" s="80" t="s">
        <v>36</v>
      </c>
      <c r="G4274" s="26" t="s">
        <v>41</v>
      </c>
      <c r="H4274" s="80" t="s">
        <v>15082</v>
      </c>
      <c r="I4274" s="17" t="str">
        <f ca="1">IFERROR(__xludf.DUMMYFUNCTION("""COMPUTED_VALUE""")," ")</f>
        <v xml:space="preserve"> </v>
      </c>
      <c r="J4274" s="143" t="s">
        <v>15083</v>
      </c>
      <c r="K4274" s="80" t="s">
        <v>15084</v>
      </c>
      <c r="L4274" s="30">
        <v>327202343</v>
      </c>
      <c r="M4274" s="80" t="s">
        <v>12644</v>
      </c>
      <c r="N4274" s="80" t="s">
        <v>8725</v>
      </c>
      <c r="O4274" s="80" t="s">
        <v>15085</v>
      </c>
      <c r="P4274" s="80" t="s">
        <v>15086</v>
      </c>
      <c r="Q4274" s="20">
        <v>1968</v>
      </c>
      <c r="R4274" s="80" t="s">
        <v>36</v>
      </c>
      <c r="S4274" s="95">
        <v>2000</v>
      </c>
      <c r="T4274" s="148">
        <v>45541</v>
      </c>
      <c r="U4274" s="77"/>
      <c r="V4274" s="78"/>
      <c r="W4274" s="85" t="s">
        <v>15087</v>
      </c>
      <c r="X4274" s="80"/>
      <c r="Y4274" s="22">
        <v>-32</v>
      </c>
      <c r="Z4274" s="80" t="s">
        <v>50</v>
      </c>
      <c r="AA4274" s="35" t="s">
        <v>9905</v>
      </c>
      <c r="AB4274" s="80"/>
      <c r="AC4274" s="80" t="s">
        <v>53</v>
      </c>
      <c r="AD4274" s="80" t="s">
        <v>138</v>
      </c>
      <c r="AE4274" s="80"/>
      <c r="AF4274" s="17">
        <v>45554</v>
      </c>
      <c r="AG4274" s="80" t="s">
        <v>7078</v>
      </c>
      <c r="AH4274" s="80"/>
      <c r="AI4274" s="147"/>
      <c r="AJ4274" s="80"/>
      <c r="AK4274" s="80"/>
      <c r="AL4274" s="35"/>
      <c r="AM4274" s="35"/>
      <c r="AN4274" s="35"/>
      <c r="AO4274" s="35"/>
      <c r="AP4274" s="35"/>
    </row>
    <row r="4275" spans="1:42" x14ac:dyDescent="0.2">
      <c r="A4275" s="126">
        <v>45541.99948392361</v>
      </c>
      <c r="B4275" s="137" t="s">
        <v>37</v>
      </c>
      <c r="C4275" s="41" t="s">
        <v>118</v>
      </c>
      <c r="D4275" s="80" t="s">
        <v>36</v>
      </c>
      <c r="E4275" s="80" t="s">
        <v>56</v>
      </c>
      <c r="F4275" s="80" t="s">
        <v>36</v>
      </c>
      <c r="G4275" s="80" t="s">
        <v>41</v>
      </c>
      <c r="H4275" s="80" t="s">
        <v>12870</v>
      </c>
      <c r="I4275" s="17">
        <f ca="1">IFERROR(__xludf.DUMMYFUNCTION("""COMPUTED_VALUE"""),45551)</f>
        <v>45551</v>
      </c>
      <c r="J4275" s="143" t="s">
        <v>14650</v>
      </c>
      <c r="K4275" s="80" t="s">
        <v>14651</v>
      </c>
      <c r="L4275" s="30">
        <v>905956179</v>
      </c>
      <c r="M4275" s="80" t="s">
        <v>348</v>
      </c>
      <c r="N4275" s="80" t="s">
        <v>68</v>
      </c>
      <c r="O4275" s="80" t="s">
        <v>11399</v>
      </c>
      <c r="P4275" s="144" t="s">
        <v>15088</v>
      </c>
      <c r="Q4275" s="20">
        <v>9317</v>
      </c>
      <c r="R4275" s="80" t="s">
        <v>36</v>
      </c>
      <c r="S4275" s="95">
        <v>2000</v>
      </c>
      <c r="T4275" s="148">
        <v>45541</v>
      </c>
      <c r="U4275" s="95">
        <v>7317</v>
      </c>
      <c r="V4275" s="148">
        <v>45566</v>
      </c>
      <c r="W4275" s="85" t="s">
        <v>14653</v>
      </c>
      <c r="X4275" s="80"/>
      <c r="Y4275" s="22">
        <v>0</v>
      </c>
      <c r="Z4275" s="80" t="s">
        <v>50</v>
      </c>
      <c r="AA4275" s="96" t="s">
        <v>9905</v>
      </c>
      <c r="AB4275" s="80"/>
      <c r="AC4275" s="80" t="s">
        <v>53</v>
      </c>
      <c r="AD4275" s="80" t="s">
        <v>54</v>
      </c>
      <c r="AE4275" s="80" t="s">
        <v>2670</v>
      </c>
      <c r="AF4275" s="17">
        <v>45547</v>
      </c>
      <c r="AG4275" s="80"/>
      <c r="AH4275" s="80"/>
      <c r="AI4275" s="147"/>
      <c r="AJ4275" s="80"/>
      <c r="AK4275" s="80"/>
      <c r="AL4275" s="35"/>
      <c r="AM4275" s="35"/>
      <c r="AN4275" s="35"/>
      <c r="AO4275" s="35"/>
      <c r="AP4275" s="35"/>
    </row>
    <row r="4276" spans="1:42" x14ac:dyDescent="0.2">
      <c r="A4276" s="126">
        <v>45542.627076504628</v>
      </c>
      <c r="B4276" s="137" t="s">
        <v>37</v>
      </c>
      <c r="C4276" s="41" t="s">
        <v>118</v>
      </c>
      <c r="D4276" s="80" t="s">
        <v>36</v>
      </c>
      <c r="E4276" s="80" t="s">
        <v>77</v>
      </c>
      <c r="F4276" s="80" t="s">
        <v>36</v>
      </c>
      <c r="G4276" s="80" t="s">
        <v>41</v>
      </c>
      <c r="H4276" s="80" t="s">
        <v>15089</v>
      </c>
      <c r="I4276" s="17" t="str">
        <f ca="1">IFERROR(__xludf.DUMMYFUNCTION("""COMPUTED_VALUE""")," ")</f>
        <v xml:space="preserve"> </v>
      </c>
      <c r="J4276" s="143" t="s">
        <v>15090</v>
      </c>
      <c r="K4276" s="80" t="s">
        <v>15091</v>
      </c>
      <c r="L4276" s="30">
        <v>387510398</v>
      </c>
      <c r="M4276" s="80" t="s">
        <v>5558</v>
      </c>
      <c r="N4276" s="80" t="s">
        <v>5559</v>
      </c>
      <c r="O4276" s="80" t="s">
        <v>4503</v>
      </c>
      <c r="P4276" s="80" t="s">
        <v>15092</v>
      </c>
      <c r="Q4276" s="20">
        <v>1968</v>
      </c>
      <c r="R4276" s="80" t="s">
        <v>70</v>
      </c>
      <c r="S4276" s="95">
        <f>200+1800</f>
        <v>2000</v>
      </c>
      <c r="T4276" s="83" t="s">
        <v>15093</v>
      </c>
      <c r="U4276" s="77"/>
      <c r="V4276" s="78"/>
      <c r="W4276" s="85" t="s">
        <v>15094</v>
      </c>
      <c r="X4276" s="80"/>
      <c r="Y4276" s="22">
        <v>-32</v>
      </c>
      <c r="Z4276" s="80" t="s">
        <v>50</v>
      </c>
      <c r="AA4276" s="35" t="s">
        <v>9905</v>
      </c>
      <c r="AB4276" s="80"/>
      <c r="AC4276" s="80" t="s">
        <v>53</v>
      </c>
      <c r="AD4276" s="80" t="s">
        <v>138</v>
      </c>
      <c r="AE4276" s="80"/>
      <c r="AF4276" s="17">
        <v>45566</v>
      </c>
      <c r="AG4276" s="80" t="s">
        <v>7078</v>
      </c>
      <c r="AH4276" s="80"/>
      <c r="AI4276" s="147"/>
      <c r="AJ4276" s="80"/>
      <c r="AK4276" s="80"/>
      <c r="AL4276" s="35"/>
      <c r="AM4276" s="35"/>
      <c r="AN4276" s="35"/>
      <c r="AO4276" s="35"/>
      <c r="AP4276" s="35"/>
    </row>
    <row r="4277" spans="1:42" x14ac:dyDescent="0.2">
      <c r="A4277" s="126">
        <v>45542.809331446755</v>
      </c>
      <c r="B4277" s="137" t="s">
        <v>37</v>
      </c>
      <c r="C4277" s="41" t="s">
        <v>118</v>
      </c>
      <c r="D4277" s="80" t="s">
        <v>36</v>
      </c>
      <c r="E4277" s="80" t="s">
        <v>139</v>
      </c>
      <c r="F4277" s="80" t="s">
        <v>36</v>
      </c>
      <c r="G4277" s="80" t="s">
        <v>41</v>
      </c>
      <c r="H4277" s="80" t="s">
        <v>11758</v>
      </c>
      <c r="I4277" s="17">
        <f ca="1">IFERROR(__xludf.DUMMYFUNCTION("""COMPUTED_VALUE"""),45544)</f>
        <v>45544</v>
      </c>
      <c r="J4277" s="143" t="s">
        <v>14707</v>
      </c>
      <c r="K4277" s="80" t="s">
        <v>14708</v>
      </c>
      <c r="L4277" s="30">
        <v>981962561</v>
      </c>
      <c r="M4277" s="80" t="s">
        <v>2755</v>
      </c>
      <c r="N4277" s="80" t="s">
        <v>4402</v>
      </c>
      <c r="O4277" s="80" t="s">
        <v>4503</v>
      </c>
      <c r="P4277" s="80" t="s">
        <v>15095</v>
      </c>
      <c r="Q4277" s="20">
        <v>15936</v>
      </c>
      <c r="R4277" s="80" t="s">
        <v>36</v>
      </c>
      <c r="S4277" s="95">
        <v>2000</v>
      </c>
      <c r="T4277" s="148">
        <v>45542</v>
      </c>
      <c r="U4277" s="95">
        <v>13936</v>
      </c>
      <c r="V4277" s="148">
        <v>45574</v>
      </c>
      <c r="W4277" s="79" t="s">
        <v>14710</v>
      </c>
      <c r="X4277" s="26"/>
      <c r="Y4277" s="22">
        <v>0</v>
      </c>
      <c r="Z4277" s="26" t="s">
        <v>50</v>
      </c>
      <c r="AA4277" s="96" t="s">
        <v>9905</v>
      </c>
      <c r="AB4277" s="26"/>
      <c r="AC4277" s="26"/>
      <c r="AD4277" s="26"/>
      <c r="AE4277" s="26"/>
      <c r="AF4277" s="17">
        <v>45545</v>
      </c>
      <c r="AG4277" s="26"/>
      <c r="AH4277" s="26"/>
      <c r="AI4277" s="40"/>
      <c r="AJ4277" s="26"/>
      <c r="AK4277" s="26"/>
      <c r="AL4277" s="35"/>
      <c r="AM4277" s="35"/>
      <c r="AN4277" s="35"/>
      <c r="AO4277" s="35"/>
      <c r="AP4277" s="35"/>
    </row>
    <row r="4278" spans="1:42" x14ac:dyDescent="0.2">
      <c r="A4278" s="126">
        <v>45542.810350717591</v>
      </c>
      <c r="B4278" s="137" t="s">
        <v>37</v>
      </c>
      <c r="C4278" s="41" t="s">
        <v>118</v>
      </c>
      <c r="D4278" s="80" t="s">
        <v>36</v>
      </c>
      <c r="E4278" s="80" t="s">
        <v>56</v>
      </c>
      <c r="F4278" s="80" t="s">
        <v>36</v>
      </c>
      <c r="G4278" s="80" t="s">
        <v>41</v>
      </c>
      <c r="H4278" s="80" t="s">
        <v>12870</v>
      </c>
      <c r="I4278" s="17">
        <f ca="1">IFERROR(__xludf.DUMMYFUNCTION("""COMPUTED_VALUE"""),45551)</f>
        <v>45551</v>
      </c>
      <c r="J4278" s="143" t="s">
        <v>14645</v>
      </c>
      <c r="K4278" s="80" t="s">
        <v>14646</v>
      </c>
      <c r="L4278" s="30">
        <v>987451396</v>
      </c>
      <c r="M4278" s="80" t="s">
        <v>5429</v>
      </c>
      <c r="N4278" s="80" t="s">
        <v>81</v>
      </c>
      <c r="O4278" s="80" t="s">
        <v>14647</v>
      </c>
      <c r="P4278" s="80" t="s">
        <v>15096</v>
      </c>
      <c r="Q4278" s="20">
        <v>9317</v>
      </c>
      <c r="R4278" s="80" t="s">
        <v>36</v>
      </c>
      <c r="S4278" s="95">
        <v>2000</v>
      </c>
      <c r="T4278" s="148">
        <v>45542</v>
      </c>
      <c r="U4278" s="95">
        <v>7317</v>
      </c>
      <c r="V4278" s="148">
        <v>45575</v>
      </c>
      <c r="W4278" s="85" t="s">
        <v>14649</v>
      </c>
      <c r="X4278" s="26"/>
      <c r="Y4278" s="22">
        <v>0</v>
      </c>
      <c r="Z4278" s="26" t="s">
        <v>50</v>
      </c>
      <c r="AA4278" s="35" t="s">
        <v>9905</v>
      </c>
      <c r="AB4278" s="26"/>
      <c r="AC4278" s="26"/>
      <c r="AD4278" s="26"/>
      <c r="AE4278" s="26"/>
      <c r="AF4278" s="17">
        <v>45547</v>
      </c>
      <c r="AG4278" s="26"/>
      <c r="AH4278" s="26"/>
      <c r="AI4278" s="40"/>
      <c r="AJ4278" s="26"/>
      <c r="AK4278" s="26"/>
      <c r="AL4278" s="35"/>
      <c r="AM4278" s="35"/>
      <c r="AN4278" s="35"/>
      <c r="AO4278" s="35"/>
      <c r="AP4278" s="35"/>
    </row>
    <row r="4279" spans="1:42" x14ac:dyDescent="0.2">
      <c r="A4279" s="126">
        <v>45542.972064386573</v>
      </c>
      <c r="B4279" s="137" t="s">
        <v>37</v>
      </c>
      <c r="C4279" s="41" t="s">
        <v>118</v>
      </c>
      <c r="D4279" s="80" t="s">
        <v>36</v>
      </c>
      <c r="E4279" s="80" t="s">
        <v>139</v>
      </c>
      <c r="F4279" s="80" t="s">
        <v>36</v>
      </c>
      <c r="G4279" s="80" t="s">
        <v>41</v>
      </c>
      <c r="H4279" s="80" t="s">
        <v>9994</v>
      </c>
      <c r="I4279" s="17">
        <f ca="1">IFERROR(__xludf.DUMMYFUNCTION("""COMPUTED_VALUE"""),45545)</f>
        <v>45545</v>
      </c>
      <c r="J4279" s="143" t="s">
        <v>13982</v>
      </c>
      <c r="K4279" s="80" t="s">
        <v>15097</v>
      </c>
      <c r="L4279" s="30">
        <v>911045978</v>
      </c>
      <c r="M4279" s="80" t="s">
        <v>5518</v>
      </c>
      <c r="N4279" s="80" t="s">
        <v>253</v>
      </c>
      <c r="O4279" s="80" t="s">
        <v>13984</v>
      </c>
      <c r="P4279" s="80" t="s">
        <v>13985</v>
      </c>
      <c r="Q4279" s="20">
        <v>15936</v>
      </c>
      <c r="R4279" s="80" t="s">
        <v>36</v>
      </c>
      <c r="S4279" s="95">
        <v>2000</v>
      </c>
      <c r="T4279" s="148">
        <v>45542</v>
      </c>
      <c r="U4279" s="95">
        <v>13936</v>
      </c>
      <c r="V4279" s="148">
        <v>45571</v>
      </c>
      <c r="W4279" s="85" t="s">
        <v>13986</v>
      </c>
      <c r="X4279" s="80"/>
      <c r="Y4279" s="22">
        <v>0</v>
      </c>
      <c r="Z4279" s="80" t="s">
        <v>50</v>
      </c>
      <c r="AA4279" s="96" t="s">
        <v>9905</v>
      </c>
      <c r="AB4279" s="80"/>
      <c r="AC4279" s="80" t="s">
        <v>53</v>
      </c>
      <c r="AD4279" s="80" t="s">
        <v>54</v>
      </c>
      <c r="AE4279" s="80"/>
      <c r="AF4279" s="17">
        <v>45545</v>
      </c>
      <c r="AG4279" s="80"/>
      <c r="AH4279" s="80"/>
      <c r="AI4279" s="147"/>
      <c r="AJ4279" s="80"/>
      <c r="AK4279" s="80"/>
      <c r="AL4279" s="35"/>
      <c r="AM4279" s="35"/>
      <c r="AN4279" s="35"/>
      <c r="AO4279" s="35"/>
      <c r="AP4279" s="35"/>
    </row>
    <row r="4280" spans="1:42" x14ac:dyDescent="0.2">
      <c r="A4280" s="126">
        <v>45543.697471203704</v>
      </c>
      <c r="B4280" s="137" t="s">
        <v>37</v>
      </c>
      <c r="C4280" s="41" t="s">
        <v>118</v>
      </c>
      <c r="D4280" s="80" t="s">
        <v>36</v>
      </c>
      <c r="E4280" s="80" t="s">
        <v>77</v>
      </c>
      <c r="F4280" s="80" t="s">
        <v>36</v>
      </c>
      <c r="G4280" s="80" t="s">
        <v>41</v>
      </c>
      <c r="H4280" s="80" t="s">
        <v>12937</v>
      </c>
      <c r="I4280" s="17">
        <f ca="1">IFERROR(__xludf.DUMMYFUNCTION("""COMPUTED_VALUE"""),45552)</f>
        <v>45552</v>
      </c>
      <c r="J4280" s="143" t="s">
        <v>15098</v>
      </c>
      <c r="K4280" s="80" t="s">
        <v>15099</v>
      </c>
      <c r="L4280" s="30">
        <v>397584103</v>
      </c>
      <c r="M4280" s="80" t="s">
        <v>5429</v>
      </c>
      <c r="N4280" s="80" t="s">
        <v>81</v>
      </c>
      <c r="O4280" s="80" t="s">
        <v>15100</v>
      </c>
      <c r="P4280" s="144" t="s">
        <v>15101</v>
      </c>
      <c r="Q4280" s="20">
        <v>1968</v>
      </c>
      <c r="R4280" s="80" t="s">
        <v>36</v>
      </c>
      <c r="S4280" s="95">
        <v>2000</v>
      </c>
      <c r="T4280" s="148">
        <v>45543</v>
      </c>
      <c r="U4280" s="77"/>
      <c r="V4280" s="78"/>
      <c r="W4280" s="85" t="s">
        <v>15102</v>
      </c>
      <c r="X4280" s="80"/>
      <c r="Y4280" s="22">
        <v>-32</v>
      </c>
      <c r="Z4280" s="80" t="s">
        <v>50</v>
      </c>
      <c r="AA4280" s="35" t="s">
        <v>9905</v>
      </c>
      <c r="AB4280" s="80"/>
      <c r="AC4280" s="80" t="s">
        <v>53</v>
      </c>
      <c r="AD4280" s="80" t="s">
        <v>138</v>
      </c>
      <c r="AE4280" s="80" t="s">
        <v>430</v>
      </c>
      <c r="AF4280" s="17">
        <v>45547</v>
      </c>
      <c r="AG4280" s="26" t="s">
        <v>7078</v>
      </c>
      <c r="AH4280" s="80"/>
      <c r="AI4280" s="147"/>
      <c r="AJ4280" s="80"/>
      <c r="AK4280" s="80"/>
      <c r="AL4280" s="35"/>
      <c r="AM4280" s="35"/>
      <c r="AN4280" s="35"/>
      <c r="AO4280" s="35"/>
      <c r="AP4280" s="35"/>
    </row>
    <row r="4281" spans="1:42" x14ac:dyDescent="0.2">
      <c r="A4281" s="126">
        <v>45543.826582824069</v>
      </c>
      <c r="B4281" s="137" t="s">
        <v>37</v>
      </c>
      <c r="C4281" s="41" t="s">
        <v>118</v>
      </c>
      <c r="D4281" s="80" t="s">
        <v>36</v>
      </c>
      <c r="E4281" s="80" t="s">
        <v>56</v>
      </c>
      <c r="F4281" s="80" t="s">
        <v>36</v>
      </c>
      <c r="G4281" s="26" t="s">
        <v>41</v>
      </c>
      <c r="H4281" s="80" t="s">
        <v>11845</v>
      </c>
      <c r="I4281" s="17">
        <f ca="1">IFERROR(__xludf.DUMMYFUNCTION("""COMPUTED_VALUE"""),45552)</f>
        <v>45552</v>
      </c>
      <c r="J4281" s="143" t="s">
        <v>14363</v>
      </c>
      <c r="K4281" s="80" t="s">
        <v>15103</v>
      </c>
      <c r="L4281" s="30">
        <v>832020506</v>
      </c>
      <c r="M4281" s="80" t="s">
        <v>12720</v>
      </c>
      <c r="N4281" s="80" t="s">
        <v>1073</v>
      </c>
      <c r="O4281" s="80" t="s">
        <v>14365</v>
      </c>
      <c r="P4281" s="80" t="s">
        <v>2219</v>
      </c>
      <c r="Q4281" s="20">
        <v>9317</v>
      </c>
      <c r="R4281" s="80" t="s">
        <v>36</v>
      </c>
      <c r="S4281" s="95">
        <v>2000</v>
      </c>
      <c r="T4281" s="148">
        <v>45543</v>
      </c>
      <c r="U4281" s="95">
        <v>7317</v>
      </c>
      <c r="V4281" s="148">
        <v>45568</v>
      </c>
      <c r="W4281" s="85" t="s">
        <v>14366</v>
      </c>
      <c r="X4281" s="80"/>
      <c r="Y4281" s="22">
        <v>0</v>
      </c>
      <c r="Z4281" s="80" t="s">
        <v>50</v>
      </c>
      <c r="AA4281" s="96" t="s">
        <v>9905</v>
      </c>
      <c r="AB4281" s="80"/>
      <c r="AC4281" s="80" t="s">
        <v>53</v>
      </c>
      <c r="AD4281" s="80" t="s">
        <v>138</v>
      </c>
      <c r="AE4281" s="83">
        <v>0</v>
      </c>
      <c r="AF4281" s="17">
        <v>45543</v>
      </c>
      <c r="AG4281" s="80" t="s">
        <v>12854</v>
      </c>
      <c r="AH4281" s="80"/>
      <c r="AI4281" s="147"/>
      <c r="AJ4281" s="80"/>
      <c r="AK4281" s="80"/>
      <c r="AL4281" s="35"/>
      <c r="AM4281" s="35"/>
      <c r="AN4281" s="35"/>
      <c r="AO4281" s="35"/>
      <c r="AP4281" s="35"/>
    </row>
    <row r="4282" spans="1:42" x14ac:dyDescent="0.2">
      <c r="A4282" s="126">
        <v>45543.851732013893</v>
      </c>
      <c r="B4282" s="137" t="s">
        <v>37</v>
      </c>
      <c r="C4282" s="41" t="s">
        <v>118</v>
      </c>
      <c r="D4282" s="80" t="s">
        <v>36</v>
      </c>
      <c r="E4282" s="80" t="s">
        <v>77</v>
      </c>
      <c r="F4282" s="80" t="s">
        <v>36</v>
      </c>
      <c r="G4282" s="80" t="s">
        <v>41</v>
      </c>
      <c r="H4282" s="80" t="s">
        <v>12793</v>
      </c>
      <c r="I4282" s="17">
        <f ca="1">IFERROR(__xludf.DUMMYFUNCTION("""COMPUTED_VALUE"""),45552)</f>
        <v>45552</v>
      </c>
      <c r="J4282" s="172" t="s">
        <v>15104</v>
      </c>
      <c r="K4282" s="80" t="s">
        <v>15105</v>
      </c>
      <c r="L4282" s="30">
        <v>815018680</v>
      </c>
      <c r="M4282" s="80" t="s">
        <v>5518</v>
      </c>
      <c r="N4282" s="80" t="s">
        <v>5252</v>
      </c>
      <c r="O4282" s="80" t="s">
        <v>15106</v>
      </c>
      <c r="P4282" s="80" t="s">
        <v>15107</v>
      </c>
      <c r="Q4282" s="20">
        <v>1968</v>
      </c>
      <c r="R4282" s="80" t="s">
        <v>36</v>
      </c>
      <c r="S4282" s="95">
        <v>2000</v>
      </c>
      <c r="T4282" s="148">
        <v>45543</v>
      </c>
      <c r="U4282" s="77"/>
      <c r="V4282" s="78"/>
      <c r="W4282" s="85" t="s">
        <v>15108</v>
      </c>
      <c r="X4282" s="80"/>
      <c r="Y4282" s="22">
        <v>-32</v>
      </c>
      <c r="Z4282" s="80" t="s">
        <v>50</v>
      </c>
      <c r="AA4282" s="35" t="s">
        <v>9905</v>
      </c>
      <c r="AB4282" s="80"/>
      <c r="AC4282" s="80" t="s">
        <v>53</v>
      </c>
      <c r="AD4282" s="80" t="s">
        <v>54</v>
      </c>
      <c r="AE4282" s="80"/>
      <c r="AF4282" s="17">
        <v>45547</v>
      </c>
      <c r="AG4282" s="80" t="s">
        <v>7078</v>
      </c>
      <c r="AH4282" s="80"/>
      <c r="AI4282" s="147"/>
      <c r="AJ4282" s="80"/>
      <c r="AK4282" s="80"/>
      <c r="AL4282" s="35"/>
      <c r="AM4282" s="35"/>
      <c r="AN4282" s="35"/>
      <c r="AO4282" s="35"/>
      <c r="AP4282" s="35"/>
    </row>
    <row r="4283" spans="1:42" x14ac:dyDescent="0.2">
      <c r="A4283" s="126">
        <v>45544.384740775466</v>
      </c>
      <c r="B4283" s="137" t="s">
        <v>37</v>
      </c>
      <c r="C4283" s="41" t="s">
        <v>118</v>
      </c>
      <c r="D4283" s="80" t="s">
        <v>36</v>
      </c>
      <c r="E4283" s="80" t="s">
        <v>139</v>
      </c>
      <c r="F4283" s="80" t="s">
        <v>36</v>
      </c>
      <c r="G4283" s="80" t="s">
        <v>41</v>
      </c>
      <c r="H4283" s="80" t="s">
        <v>12793</v>
      </c>
      <c r="I4283" s="17">
        <f ca="1">IFERROR(__xludf.DUMMYFUNCTION("""COMPUTED_VALUE"""),45552)</f>
        <v>45552</v>
      </c>
      <c r="J4283" s="143" t="s">
        <v>14153</v>
      </c>
      <c r="K4283" s="80" t="s">
        <v>15109</v>
      </c>
      <c r="L4283" s="30">
        <v>825864735</v>
      </c>
      <c r="M4283" s="80" t="s">
        <v>123</v>
      </c>
      <c r="N4283" s="80" t="s">
        <v>186</v>
      </c>
      <c r="O4283" s="80" t="s">
        <v>4503</v>
      </c>
      <c r="P4283" s="80" t="s">
        <v>15110</v>
      </c>
      <c r="Q4283" s="20">
        <v>15936</v>
      </c>
      <c r="R4283" s="80" t="s">
        <v>36</v>
      </c>
      <c r="S4283" s="95">
        <v>2000</v>
      </c>
      <c r="T4283" s="148">
        <v>45541</v>
      </c>
      <c r="U4283" s="95">
        <v>13936</v>
      </c>
      <c r="V4283" s="148">
        <v>45589</v>
      </c>
      <c r="W4283" s="85" t="s">
        <v>14156</v>
      </c>
      <c r="X4283" s="80"/>
      <c r="Y4283" s="22">
        <v>0</v>
      </c>
      <c r="Z4283" s="80" t="s">
        <v>50</v>
      </c>
      <c r="AA4283" s="96" t="s">
        <v>9905</v>
      </c>
      <c r="AB4283" s="80"/>
      <c r="AC4283" s="80" t="s">
        <v>53</v>
      </c>
      <c r="AD4283" s="80" t="s">
        <v>54</v>
      </c>
      <c r="AE4283" s="80"/>
      <c r="AF4283" s="17">
        <v>45547</v>
      </c>
      <c r="AG4283" s="80"/>
      <c r="AH4283" s="80"/>
      <c r="AI4283" s="147"/>
      <c r="AJ4283" s="80"/>
      <c r="AK4283" s="80"/>
      <c r="AL4283" s="35"/>
      <c r="AM4283" s="35"/>
      <c r="AN4283" s="35"/>
      <c r="AO4283" s="35"/>
      <c r="AP4283" s="35"/>
    </row>
    <row r="4284" spans="1:42" x14ac:dyDescent="0.2">
      <c r="A4284" s="126">
        <v>45544.387298136571</v>
      </c>
      <c r="B4284" s="137" t="s">
        <v>37</v>
      </c>
      <c r="C4284" s="41" t="s">
        <v>118</v>
      </c>
      <c r="D4284" s="80" t="s">
        <v>36</v>
      </c>
      <c r="E4284" s="80" t="s">
        <v>139</v>
      </c>
      <c r="F4284" s="80" t="s">
        <v>36</v>
      </c>
      <c r="G4284" s="80" t="s">
        <v>41</v>
      </c>
      <c r="H4284" s="80" t="s">
        <v>12870</v>
      </c>
      <c r="I4284" s="17">
        <f ca="1">IFERROR(__xludf.DUMMYFUNCTION("""COMPUTED_VALUE"""),45551)</f>
        <v>45551</v>
      </c>
      <c r="J4284" s="143" t="s">
        <v>14640</v>
      </c>
      <c r="K4284" s="80" t="s">
        <v>15111</v>
      </c>
      <c r="L4284" s="30">
        <v>945715066</v>
      </c>
      <c r="M4284" s="80" t="s">
        <v>123</v>
      </c>
      <c r="N4284" s="80" t="s">
        <v>2847</v>
      </c>
      <c r="O4284" s="80" t="s">
        <v>4503</v>
      </c>
      <c r="P4284" s="80" t="s">
        <v>15112</v>
      </c>
      <c r="Q4284" s="20">
        <v>15936</v>
      </c>
      <c r="R4284" s="80" t="s">
        <v>36</v>
      </c>
      <c r="S4284" s="95">
        <f>200+3000</f>
        <v>3200</v>
      </c>
      <c r="T4284" s="83" t="s">
        <v>14643</v>
      </c>
      <c r="U4284" s="95">
        <v>12736</v>
      </c>
      <c r="V4284" s="148">
        <v>45545</v>
      </c>
      <c r="W4284" s="85" t="s">
        <v>14644</v>
      </c>
      <c r="X4284" s="80"/>
      <c r="Y4284" s="22">
        <v>0</v>
      </c>
      <c r="Z4284" s="80" t="s">
        <v>50</v>
      </c>
      <c r="AA4284" s="35" t="s">
        <v>9905</v>
      </c>
      <c r="AB4284" s="80"/>
      <c r="AC4284" s="80" t="s">
        <v>53</v>
      </c>
      <c r="AD4284" s="80" t="s">
        <v>54</v>
      </c>
      <c r="AE4284" s="80"/>
      <c r="AF4284" s="17">
        <v>45551</v>
      </c>
      <c r="AG4284" s="80"/>
      <c r="AH4284" s="80"/>
      <c r="AI4284" s="147"/>
      <c r="AJ4284" s="80"/>
      <c r="AK4284" s="80"/>
      <c r="AL4284" s="35"/>
      <c r="AM4284" s="35"/>
      <c r="AN4284" s="35"/>
      <c r="AO4284" s="35"/>
      <c r="AP4284" s="35"/>
    </row>
    <row r="4285" spans="1:42" x14ac:dyDescent="0.2">
      <c r="A4285" s="126">
        <v>45544.388582650463</v>
      </c>
      <c r="B4285" s="137" t="s">
        <v>37</v>
      </c>
      <c r="C4285" s="41" t="s">
        <v>118</v>
      </c>
      <c r="D4285" s="80" t="s">
        <v>36</v>
      </c>
      <c r="E4285" s="80" t="s">
        <v>77</v>
      </c>
      <c r="F4285" s="26" t="s">
        <v>40</v>
      </c>
      <c r="G4285" s="80" t="s">
        <v>41</v>
      </c>
      <c r="H4285" s="80" t="s">
        <v>11747</v>
      </c>
      <c r="I4285" s="17">
        <f ca="1">IFERROR(__xludf.DUMMYFUNCTION("""COMPUTED_VALUE"""),45559)</f>
        <v>45559</v>
      </c>
      <c r="J4285" s="143" t="s">
        <v>15113</v>
      </c>
      <c r="K4285" s="80" t="s">
        <v>15114</v>
      </c>
      <c r="L4285" s="30">
        <v>989587131</v>
      </c>
      <c r="M4285" s="80" t="s">
        <v>123</v>
      </c>
      <c r="N4285" s="80" t="s">
        <v>2847</v>
      </c>
      <c r="O4285" s="80" t="s">
        <v>4503</v>
      </c>
      <c r="P4285" s="80" t="s">
        <v>12968</v>
      </c>
      <c r="Q4285" s="20">
        <v>1968</v>
      </c>
      <c r="R4285" s="80" t="s">
        <v>36</v>
      </c>
      <c r="S4285" s="95">
        <f>200+2800</f>
        <v>3000</v>
      </c>
      <c r="T4285" s="83" t="s">
        <v>15115</v>
      </c>
      <c r="U4285" s="77"/>
      <c r="V4285" s="78"/>
      <c r="W4285" s="85" t="s">
        <v>15116</v>
      </c>
      <c r="X4285" s="80"/>
      <c r="Y4285" s="22">
        <v>-1032</v>
      </c>
      <c r="Z4285" s="80" t="s">
        <v>50</v>
      </c>
      <c r="AA4285" s="96" t="s">
        <v>9905</v>
      </c>
      <c r="AB4285" s="80"/>
      <c r="AC4285" s="80" t="s">
        <v>53</v>
      </c>
      <c r="AD4285" s="80" t="s">
        <v>138</v>
      </c>
      <c r="AE4285" s="80"/>
      <c r="AF4285" s="17">
        <v>45559</v>
      </c>
      <c r="AG4285" s="80" t="s">
        <v>7078</v>
      </c>
      <c r="AH4285" s="80"/>
      <c r="AI4285" s="147"/>
      <c r="AJ4285" s="80"/>
      <c r="AK4285" s="80"/>
      <c r="AL4285" s="35"/>
      <c r="AM4285" s="35"/>
      <c r="AN4285" s="35"/>
      <c r="AO4285" s="35"/>
      <c r="AP4285" s="35"/>
    </row>
    <row r="4286" spans="1:42" x14ac:dyDescent="0.2">
      <c r="A4286" s="126">
        <v>45544.390837708328</v>
      </c>
      <c r="B4286" s="137" t="s">
        <v>37</v>
      </c>
      <c r="C4286" s="41" t="s">
        <v>118</v>
      </c>
      <c r="D4286" s="80" t="s">
        <v>36</v>
      </c>
      <c r="E4286" s="80" t="s">
        <v>139</v>
      </c>
      <c r="F4286" s="26" t="s">
        <v>40</v>
      </c>
      <c r="G4286" s="80" t="s">
        <v>41</v>
      </c>
      <c r="H4286" s="80" t="s">
        <v>11747</v>
      </c>
      <c r="I4286" s="17">
        <f ca="1">IFERROR(__xludf.DUMMYFUNCTION("""COMPUTED_VALUE"""),45559)</f>
        <v>45559</v>
      </c>
      <c r="J4286" s="143"/>
      <c r="K4286" s="80" t="s">
        <v>14416</v>
      </c>
      <c r="L4286" s="30">
        <v>866855569</v>
      </c>
      <c r="M4286" s="80" t="s">
        <v>123</v>
      </c>
      <c r="N4286" s="80" t="s">
        <v>2847</v>
      </c>
      <c r="O4286" s="80" t="s">
        <v>4503</v>
      </c>
      <c r="P4286" s="80" t="s">
        <v>3487</v>
      </c>
      <c r="Q4286" s="20">
        <v>15936</v>
      </c>
      <c r="R4286" s="80" t="s">
        <v>36</v>
      </c>
      <c r="S4286" s="95">
        <f>200+1800</f>
        <v>2000</v>
      </c>
      <c r="T4286" s="83" t="s">
        <v>14417</v>
      </c>
      <c r="U4286" s="95">
        <v>13936</v>
      </c>
      <c r="V4286" s="148">
        <v>45596</v>
      </c>
      <c r="W4286" s="85" t="s">
        <v>14418</v>
      </c>
      <c r="X4286" s="80"/>
      <c r="Y4286" s="22">
        <v>0</v>
      </c>
      <c r="Z4286" s="80" t="s">
        <v>50</v>
      </c>
      <c r="AA4286" s="35" t="s">
        <v>9905</v>
      </c>
      <c r="AB4286" s="80"/>
      <c r="AC4286" s="80" t="s">
        <v>53</v>
      </c>
      <c r="AD4286" s="80" t="s">
        <v>138</v>
      </c>
      <c r="AE4286" s="80"/>
      <c r="AF4286" s="17">
        <v>45559</v>
      </c>
      <c r="AG4286" s="80"/>
      <c r="AH4286" s="80"/>
      <c r="AI4286" s="147"/>
      <c r="AJ4286" s="80"/>
      <c r="AK4286" s="80"/>
      <c r="AL4286" s="35"/>
      <c r="AM4286" s="35"/>
      <c r="AN4286" s="35"/>
      <c r="AO4286" s="35"/>
      <c r="AP4286" s="35"/>
    </row>
    <row r="4287" spans="1:42" x14ac:dyDescent="0.2">
      <c r="A4287" s="126">
        <v>45544.392073043986</v>
      </c>
      <c r="B4287" s="137" t="s">
        <v>37</v>
      </c>
      <c r="C4287" s="41" t="s">
        <v>118</v>
      </c>
      <c r="D4287" s="80" t="s">
        <v>36</v>
      </c>
      <c r="E4287" s="80" t="s">
        <v>139</v>
      </c>
      <c r="F4287" s="80" t="s">
        <v>36</v>
      </c>
      <c r="G4287" s="80" t="s">
        <v>41</v>
      </c>
      <c r="H4287" s="80" t="s">
        <v>12799</v>
      </c>
      <c r="I4287" s="17">
        <f ca="1">IFERROR(__xludf.DUMMYFUNCTION("""COMPUTED_VALUE"""),45559)</f>
        <v>45559</v>
      </c>
      <c r="J4287" s="143" t="s">
        <v>14577</v>
      </c>
      <c r="K4287" s="80" t="s">
        <v>15117</v>
      </c>
      <c r="L4287" s="30">
        <v>989843009</v>
      </c>
      <c r="M4287" s="80" t="s">
        <v>123</v>
      </c>
      <c r="N4287" s="80" t="s">
        <v>2847</v>
      </c>
      <c r="O4287" s="80" t="s">
        <v>4503</v>
      </c>
      <c r="P4287" s="80" t="s">
        <v>3487</v>
      </c>
      <c r="Q4287" s="20">
        <v>15936</v>
      </c>
      <c r="R4287" s="80" t="s">
        <v>70</v>
      </c>
      <c r="S4287" s="95">
        <f>200+2700</f>
        <v>2900</v>
      </c>
      <c r="T4287" s="83" t="s">
        <v>14579</v>
      </c>
      <c r="U4287" s="95">
        <v>12936</v>
      </c>
      <c r="V4287" s="148">
        <v>45593</v>
      </c>
      <c r="W4287" s="85" t="s">
        <v>14580</v>
      </c>
      <c r="X4287" s="80"/>
      <c r="Y4287" s="22">
        <v>100</v>
      </c>
      <c r="Z4287" s="80" t="s">
        <v>50</v>
      </c>
      <c r="AA4287" s="96" t="s">
        <v>9905</v>
      </c>
      <c r="AB4287" s="80"/>
      <c r="AC4287" s="80" t="s">
        <v>53</v>
      </c>
      <c r="AD4287" s="80" t="s">
        <v>138</v>
      </c>
      <c r="AE4287" s="80"/>
      <c r="AF4287" s="17">
        <v>45559</v>
      </c>
      <c r="AG4287" s="80"/>
      <c r="AH4287" s="80"/>
      <c r="AI4287" s="147"/>
      <c r="AJ4287" s="80"/>
      <c r="AK4287" s="80"/>
      <c r="AL4287" s="35"/>
      <c r="AM4287" s="35"/>
      <c r="AN4287" s="35"/>
      <c r="AO4287" s="35"/>
      <c r="AP4287" s="35"/>
    </row>
    <row r="4288" spans="1:42" x14ac:dyDescent="0.2">
      <c r="A4288" s="126">
        <v>45544.393802777777</v>
      </c>
      <c r="B4288" s="137" t="s">
        <v>37</v>
      </c>
      <c r="C4288" s="41" t="s">
        <v>118</v>
      </c>
      <c r="D4288" s="80" t="s">
        <v>36</v>
      </c>
      <c r="E4288" s="80" t="s">
        <v>77</v>
      </c>
      <c r="F4288" s="26" t="s">
        <v>40</v>
      </c>
      <c r="G4288" s="80" t="s">
        <v>41</v>
      </c>
      <c r="H4288" s="80" t="s">
        <v>11747</v>
      </c>
      <c r="I4288" s="17">
        <f ca="1">IFERROR(__xludf.DUMMYFUNCTION("""COMPUTED_VALUE"""),45559)</f>
        <v>45559</v>
      </c>
      <c r="J4288" s="143" t="s">
        <v>15118</v>
      </c>
      <c r="K4288" s="80" t="s">
        <v>15119</v>
      </c>
      <c r="L4288" s="30">
        <v>347599605</v>
      </c>
      <c r="M4288" s="80" t="s">
        <v>123</v>
      </c>
      <c r="N4288" s="80" t="s">
        <v>186</v>
      </c>
      <c r="O4288" s="80" t="s">
        <v>4503</v>
      </c>
      <c r="P4288" s="80" t="s">
        <v>3487</v>
      </c>
      <c r="Q4288" s="20">
        <v>1968</v>
      </c>
      <c r="R4288" s="80" t="s">
        <v>36</v>
      </c>
      <c r="S4288" s="95">
        <f t="shared" ref="S4288:S4289" si="78">200+2000</f>
        <v>2200</v>
      </c>
      <c r="T4288" s="83" t="s">
        <v>15120</v>
      </c>
      <c r="U4288" s="77"/>
      <c r="V4288" s="78"/>
      <c r="W4288" s="85" t="s">
        <v>15121</v>
      </c>
      <c r="X4288" s="80"/>
      <c r="Y4288" s="22">
        <v>-232</v>
      </c>
      <c r="Z4288" s="80" t="s">
        <v>50</v>
      </c>
      <c r="AA4288" s="35" t="s">
        <v>9905</v>
      </c>
      <c r="AB4288" s="80"/>
      <c r="AC4288" s="80" t="s">
        <v>53</v>
      </c>
      <c r="AD4288" s="80" t="s">
        <v>138</v>
      </c>
      <c r="AE4288" s="80"/>
      <c r="AF4288" s="17">
        <v>45559</v>
      </c>
      <c r="AG4288" s="80" t="s">
        <v>7078</v>
      </c>
      <c r="AH4288" s="80"/>
      <c r="AI4288" s="147"/>
      <c r="AJ4288" s="80"/>
      <c r="AK4288" s="80"/>
      <c r="AL4288" s="35"/>
      <c r="AM4288" s="35"/>
      <c r="AN4288" s="35"/>
      <c r="AO4288" s="35"/>
      <c r="AP4288" s="35"/>
    </row>
    <row r="4289" spans="1:42" x14ac:dyDescent="0.2">
      <c r="A4289" s="126">
        <v>45544.395169953699</v>
      </c>
      <c r="B4289" s="137" t="s">
        <v>37</v>
      </c>
      <c r="C4289" s="41" t="s">
        <v>118</v>
      </c>
      <c r="D4289" s="80" t="s">
        <v>36</v>
      </c>
      <c r="E4289" s="80" t="s">
        <v>139</v>
      </c>
      <c r="F4289" s="26" t="s">
        <v>40</v>
      </c>
      <c r="G4289" s="80" t="s">
        <v>41</v>
      </c>
      <c r="H4289" s="80" t="s">
        <v>11747</v>
      </c>
      <c r="I4289" s="17">
        <f ca="1">IFERROR(__xludf.DUMMYFUNCTION("""COMPUTED_VALUE"""),45559)</f>
        <v>45559</v>
      </c>
      <c r="J4289" s="143" t="s">
        <v>14491</v>
      </c>
      <c r="K4289" s="80" t="s">
        <v>14492</v>
      </c>
      <c r="L4289" s="30">
        <v>911634169</v>
      </c>
      <c r="M4289" s="80" t="s">
        <v>123</v>
      </c>
      <c r="N4289" s="80" t="s">
        <v>2847</v>
      </c>
      <c r="O4289" s="80" t="s">
        <v>4503</v>
      </c>
      <c r="P4289" s="80" t="s">
        <v>12968</v>
      </c>
      <c r="Q4289" s="20">
        <v>15936</v>
      </c>
      <c r="R4289" s="80" t="s">
        <v>36</v>
      </c>
      <c r="S4289" s="95">
        <f t="shared" si="78"/>
        <v>2200</v>
      </c>
      <c r="T4289" s="83" t="s">
        <v>14493</v>
      </c>
      <c r="U4289" s="95">
        <v>13736</v>
      </c>
      <c r="V4289" s="148">
        <v>45577</v>
      </c>
      <c r="W4289" s="80" t="s">
        <v>14494</v>
      </c>
      <c r="X4289" s="80"/>
      <c r="Y4289" s="22">
        <v>0</v>
      </c>
      <c r="Z4289" s="80" t="s">
        <v>50</v>
      </c>
      <c r="AA4289" s="96" t="s">
        <v>9905</v>
      </c>
      <c r="AB4289" s="80"/>
      <c r="AC4289" s="80" t="s">
        <v>53</v>
      </c>
      <c r="AD4289" s="80" t="s">
        <v>138</v>
      </c>
      <c r="AE4289" s="80"/>
      <c r="AF4289" s="17">
        <v>45559</v>
      </c>
      <c r="AG4289" s="80"/>
      <c r="AH4289" s="80"/>
      <c r="AI4289" s="147"/>
      <c r="AJ4289" s="80"/>
      <c r="AK4289" s="80"/>
      <c r="AL4289" s="35"/>
      <c r="AM4289" s="35"/>
      <c r="AN4289" s="35"/>
      <c r="AO4289" s="35"/>
      <c r="AP4289" s="35"/>
    </row>
    <row r="4290" spans="1:42" x14ac:dyDescent="0.2">
      <c r="A4290" s="126">
        <v>45544.640170798608</v>
      </c>
      <c r="B4290" s="137" t="s">
        <v>37</v>
      </c>
      <c r="C4290" s="41" t="s">
        <v>118</v>
      </c>
      <c r="D4290" s="80" t="s">
        <v>36</v>
      </c>
      <c r="E4290" s="80" t="s">
        <v>139</v>
      </c>
      <c r="F4290" s="80" t="s">
        <v>36</v>
      </c>
      <c r="G4290" s="26" t="s">
        <v>41</v>
      </c>
      <c r="H4290" s="80" t="s">
        <v>11845</v>
      </c>
      <c r="I4290" s="17">
        <f ca="1">IFERROR(__xludf.DUMMYFUNCTION("""COMPUTED_VALUE"""),45552)</f>
        <v>45552</v>
      </c>
      <c r="J4290" s="143" t="s">
        <v>14573</v>
      </c>
      <c r="K4290" s="80" t="s">
        <v>14574</v>
      </c>
      <c r="L4290" s="30">
        <v>337339564</v>
      </c>
      <c r="M4290" s="80" t="s">
        <v>5429</v>
      </c>
      <c r="N4290" s="80" t="s">
        <v>81</v>
      </c>
      <c r="O4290" s="80" t="s">
        <v>61</v>
      </c>
      <c r="P4290" s="80" t="s">
        <v>6368</v>
      </c>
      <c r="Q4290" s="20">
        <v>15936</v>
      </c>
      <c r="R4290" s="80" t="s">
        <v>36</v>
      </c>
      <c r="S4290" s="95">
        <v>2000</v>
      </c>
      <c r="T4290" s="148">
        <v>45544</v>
      </c>
      <c r="U4290" s="95">
        <v>13936</v>
      </c>
      <c r="V4290" s="148">
        <v>45568</v>
      </c>
      <c r="W4290" s="85" t="s">
        <v>14576</v>
      </c>
      <c r="X4290" s="80"/>
      <c r="Y4290" s="22">
        <v>0</v>
      </c>
      <c r="Z4290" s="80" t="s">
        <v>50</v>
      </c>
      <c r="AA4290" s="35" t="s">
        <v>9905</v>
      </c>
      <c r="AB4290" s="80"/>
      <c r="AC4290" s="80" t="s">
        <v>53</v>
      </c>
      <c r="AD4290" s="80" t="s">
        <v>138</v>
      </c>
      <c r="AE4290" s="80" t="s">
        <v>72</v>
      </c>
      <c r="AF4290" s="17">
        <v>45555</v>
      </c>
      <c r="AG4290" s="80"/>
      <c r="AH4290" s="80"/>
      <c r="AI4290" s="147"/>
      <c r="AJ4290" s="80"/>
      <c r="AK4290" s="80"/>
      <c r="AL4290" s="35"/>
      <c r="AM4290" s="35"/>
      <c r="AN4290" s="35"/>
      <c r="AO4290" s="35"/>
      <c r="AP4290" s="35"/>
    </row>
    <row r="4291" spans="1:42" x14ac:dyDescent="0.2">
      <c r="A4291" s="126">
        <v>45544.665078923616</v>
      </c>
      <c r="B4291" s="137" t="s">
        <v>37</v>
      </c>
      <c r="C4291" s="41" t="s">
        <v>118</v>
      </c>
      <c r="D4291" s="80" t="s">
        <v>36</v>
      </c>
      <c r="E4291" s="80" t="s">
        <v>139</v>
      </c>
      <c r="F4291" s="26" t="s">
        <v>36</v>
      </c>
      <c r="G4291" s="26" t="s">
        <v>41</v>
      </c>
      <c r="H4291" s="80" t="s">
        <v>12766</v>
      </c>
      <c r="I4291" s="17">
        <f ca="1">IFERROR(__xludf.DUMMYFUNCTION("""COMPUTED_VALUE"""),45555)</f>
        <v>45555</v>
      </c>
      <c r="J4291" s="143" t="s">
        <v>14146</v>
      </c>
      <c r="K4291" s="80" t="s">
        <v>15122</v>
      </c>
      <c r="L4291" s="30">
        <v>945115606</v>
      </c>
      <c r="M4291" s="80" t="s">
        <v>3728</v>
      </c>
      <c r="N4291" s="80" t="s">
        <v>5312</v>
      </c>
      <c r="O4291" s="80" t="s">
        <v>14148</v>
      </c>
      <c r="P4291" s="80" t="s">
        <v>11644</v>
      </c>
      <c r="Q4291" s="20">
        <v>15936</v>
      </c>
      <c r="R4291" s="80" t="s">
        <v>36</v>
      </c>
      <c r="S4291" s="95">
        <f>200+1800</f>
        <v>2000</v>
      </c>
      <c r="T4291" s="83" t="s">
        <v>14149</v>
      </c>
      <c r="U4291" s="95">
        <v>13936</v>
      </c>
      <c r="V4291" s="148">
        <v>45573</v>
      </c>
      <c r="W4291" s="80" t="s">
        <v>14150</v>
      </c>
      <c r="X4291" s="80"/>
      <c r="Y4291" s="22">
        <v>0</v>
      </c>
      <c r="Z4291" s="80" t="s">
        <v>50</v>
      </c>
      <c r="AA4291" s="96" t="s">
        <v>9905</v>
      </c>
      <c r="AB4291" s="80"/>
      <c r="AC4291" s="80" t="s">
        <v>53</v>
      </c>
      <c r="AD4291" s="80" t="s">
        <v>138</v>
      </c>
      <c r="AE4291" s="80"/>
      <c r="AF4291" s="17">
        <v>45555</v>
      </c>
      <c r="AG4291" s="80"/>
      <c r="AH4291" s="80"/>
      <c r="AI4291" s="147"/>
      <c r="AJ4291" s="80"/>
      <c r="AK4291" s="80"/>
      <c r="AL4291" s="35"/>
      <c r="AM4291" s="35"/>
      <c r="AN4291" s="35"/>
      <c r="AO4291" s="35"/>
      <c r="AP4291" s="35"/>
    </row>
    <row r="4292" spans="1:42" x14ac:dyDescent="0.2">
      <c r="A4292" s="126">
        <v>45544.710681840283</v>
      </c>
      <c r="B4292" s="137" t="s">
        <v>37</v>
      </c>
      <c r="C4292" s="41" t="s">
        <v>118</v>
      </c>
      <c r="D4292" s="80" t="s">
        <v>36</v>
      </c>
      <c r="E4292" s="80" t="s">
        <v>139</v>
      </c>
      <c r="F4292" s="80" t="s">
        <v>36</v>
      </c>
      <c r="G4292" s="80" t="s">
        <v>41</v>
      </c>
      <c r="H4292" s="80" t="s">
        <v>12793</v>
      </c>
      <c r="I4292" s="17">
        <f ca="1">IFERROR(__xludf.DUMMYFUNCTION("""COMPUTED_VALUE"""),45552)</f>
        <v>45552</v>
      </c>
      <c r="J4292" s="143" t="s">
        <v>14299</v>
      </c>
      <c r="K4292" s="80" t="s">
        <v>15123</v>
      </c>
      <c r="L4292" s="30">
        <v>329652613</v>
      </c>
      <c r="M4292" s="80" t="s">
        <v>3728</v>
      </c>
      <c r="N4292" s="80" t="s">
        <v>5277</v>
      </c>
      <c r="O4292" s="80" t="s">
        <v>14301</v>
      </c>
      <c r="P4292" s="80" t="s">
        <v>14302</v>
      </c>
      <c r="Q4292" s="20">
        <v>15936</v>
      </c>
      <c r="R4292" s="80" t="s">
        <v>36</v>
      </c>
      <c r="S4292" s="95">
        <v>2000</v>
      </c>
      <c r="T4292" s="148">
        <v>45544</v>
      </c>
      <c r="U4292" s="95">
        <v>13936</v>
      </c>
      <c r="V4292" s="148">
        <v>45594</v>
      </c>
      <c r="W4292" s="85" t="s">
        <v>14303</v>
      </c>
      <c r="X4292" s="80"/>
      <c r="Y4292" s="22">
        <v>0</v>
      </c>
      <c r="Z4292" s="80" t="s">
        <v>50</v>
      </c>
      <c r="AA4292" s="35" t="s">
        <v>9905</v>
      </c>
      <c r="AB4292" s="80"/>
      <c r="AC4292" s="80" t="s">
        <v>53</v>
      </c>
      <c r="AD4292" s="80" t="s">
        <v>54</v>
      </c>
      <c r="AE4292" s="80"/>
      <c r="AF4292" s="17">
        <v>45547</v>
      </c>
      <c r="AG4292" s="80"/>
      <c r="AH4292" s="80"/>
      <c r="AI4292" s="147"/>
      <c r="AJ4292" s="80"/>
      <c r="AK4292" s="80"/>
      <c r="AL4292" s="35"/>
      <c r="AM4292" s="35"/>
      <c r="AN4292" s="35"/>
      <c r="AO4292" s="35"/>
      <c r="AP4292" s="35"/>
    </row>
    <row r="4293" spans="1:42" x14ac:dyDescent="0.2">
      <c r="A4293" s="126">
        <v>45544.836604097218</v>
      </c>
      <c r="B4293" s="137" t="s">
        <v>37</v>
      </c>
      <c r="C4293" s="41" t="s">
        <v>118</v>
      </c>
      <c r="D4293" s="80" t="s">
        <v>36</v>
      </c>
      <c r="E4293" s="80" t="s">
        <v>139</v>
      </c>
      <c r="F4293" s="80" t="s">
        <v>36</v>
      </c>
      <c r="G4293" s="26" t="s">
        <v>41</v>
      </c>
      <c r="H4293" s="80" t="s">
        <v>11845</v>
      </c>
      <c r="I4293" s="17">
        <f ca="1">IFERROR(__xludf.DUMMYFUNCTION("""COMPUTED_VALUE"""),45552)</f>
        <v>45552</v>
      </c>
      <c r="J4293" s="143" t="s">
        <v>14358</v>
      </c>
      <c r="K4293" s="80" t="s">
        <v>14359</v>
      </c>
      <c r="L4293" s="30">
        <v>924057055</v>
      </c>
      <c r="M4293" s="80" t="s">
        <v>5518</v>
      </c>
      <c r="N4293" s="80" t="s">
        <v>253</v>
      </c>
      <c r="O4293" s="80" t="s">
        <v>14360</v>
      </c>
      <c r="P4293" s="80" t="s">
        <v>3694</v>
      </c>
      <c r="Q4293" s="20">
        <v>15936</v>
      </c>
      <c r="R4293" s="80" t="s">
        <v>36</v>
      </c>
      <c r="S4293" s="95">
        <v>2000</v>
      </c>
      <c r="T4293" s="148">
        <v>45544</v>
      </c>
      <c r="U4293" s="95">
        <v>13936</v>
      </c>
      <c r="V4293" s="148">
        <v>45566</v>
      </c>
      <c r="W4293" s="85" t="s">
        <v>14361</v>
      </c>
      <c r="X4293" s="80"/>
      <c r="Y4293" s="22">
        <v>0</v>
      </c>
      <c r="Z4293" s="80" t="s">
        <v>50</v>
      </c>
      <c r="AA4293" s="96" t="s">
        <v>9905</v>
      </c>
      <c r="AB4293" s="80"/>
      <c r="AC4293" s="80" t="s">
        <v>53</v>
      </c>
      <c r="AD4293" s="80" t="s">
        <v>138</v>
      </c>
      <c r="AE4293" s="80"/>
      <c r="AF4293" s="17">
        <v>45555</v>
      </c>
      <c r="AG4293" s="80"/>
      <c r="AH4293" s="80"/>
      <c r="AI4293" s="147"/>
      <c r="AJ4293" s="80"/>
      <c r="AK4293" s="80"/>
      <c r="AL4293" s="35"/>
      <c r="AM4293" s="35"/>
      <c r="AN4293" s="35"/>
      <c r="AO4293" s="35"/>
      <c r="AP4293" s="35"/>
    </row>
    <row r="4294" spans="1:42" x14ac:dyDescent="0.2">
      <c r="A4294" s="126">
        <v>45544.917698194447</v>
      </c>
      <c r="B4294" s="137" t="s">
        <v>37</v>
      </c>
      <c r="C4294" s="41" t="s">
        <v>118</v>
      </c>
      <c r="D4294" s="80" t="s">
        <v>36</v>
      </c>
      <c r="E4294" s="80" t="s">
        <v>119</v>
      </c>
      <c r="F4294" s="80" t="s">
        <v>36</v>
      </c>
      <c r="G4294" s="80" t="s">
        <v>108</v>
      </c>
      <c r="H4294" s="80" t="s">
        <v>9768</v>
      </c>
      <c r="I4294" s="17">
        <f ca="1">IFERROR(__xludf.DUMMYFUNCTION("""COMPUTED_VALUE"""),45578)</f>
        <v>45578</v>
      </c>
      <c r="J4294" s="143" t="s">
        <v>15124</v>
      </c>
      <c r="K4294" s="80" t="s">
        <v>15125</v>
      </c>
      <c r="L4294" s="30">
        <v>343212733</v>
      </c>
      <c r="M4294" s="80" t="s">
        <v>12529</v>
      </c>
      <c r="N4294" s="80" t="s">
        <v>466</v>
      </c>
      <c r="O4294" s="80" t="s">
        <v>15126</v>
      </c>
      <c r="P4294" s="80" t="s">
        <v>3178</v>
      </c>
      <c r="Q4294" s="20">
        <v>13968</v>
      </c>
      <c r="R4294" s="80" t="s">
        <v>36</v>
      </c>
      <c r="S4294" s="95">
        <f>200+1800</f>
        <v>2000</v>
      </c>
      <c r="T4294" s="83" t="s">
        <v>15127</v>
      </c>
      <c r="U4294" s="95">
        <v>13936</v>
      </c>
      <c r="V4294" s="148">
        <v>45589</v>
      </c>
      <c r="W4294" s="85" t="s">
        <v>15128</v>
      </c>
      <c r="X4294" s="80"/>
      <c r="Y4294" s="22">
        <v>-1968</v>
      </c>
      <c r="Z4294" s="80" t="s">
        <v>50</v>
      </c>
      <c r="AA4294" s="35" t="s">
        <v>9905</v>
      </c>
      <c r="AB4294" s="80"/>
      <c r="AC4294" s="80" t="s">
        <v>53</v>
      </c>
      <c r="AD4294" s="80" t="s">
        <v>138</v>
      </c>
      <c r="AE4294" s="83">
        <v>400</v>
      </c>
      <c r="AF4294" s="43">
        <v>45576</v>
      </c>
      <c r="AG4294" s="80" t="s">
        <v>12541</v>
      </c>
      <c r="AH4294" s="80"/>
      <c r="AI4294" s="147"/>
      <c r="AJ4294" s="80"/>
      <c r="AK4294" s="80"/>
      <c r="AL4294" s="35"/>
      <c r="AM4294" s="35"/>
      <c r="AN4294" s="35"/>
      <c r="AO4294" s="35"/>
      <c r="AP4294" s="35"/>
    </row>
    <row r="4295" spans="1:42" x14ac:dyDescent="0.2">
      <c r="A4295" s="126">
        <v>45544.919275740744</v>
      </c>
      <c r="B4295" s="137" t="s">
        <v>37</v>
      </c>
      <c r="C4295" s="41" t="s">
        <v>118</v>
      </c>
      <c r="D4295" s="80" t="s">
        <v>36</v>
      </c>
      <c r="E4295" s="80" t="s">
        <v>139</v>
      </c>
      <c r="F4295" s="80" t="s">
        <v>36</v>
      </c>
      <c r="G4295" s="26" t="s">
        <v>41</v>
      </c>
      <c r="H4295" s="80" t="s">
        <v>12474</v>
      </c>
      <c r="I4295" s="17">
        <f ca="1">IFERROR(__xludf.DUMMYFUNCTION("""COMPUTED_VALUE"""),45551)</f>
        <v>45551</v>
      </c>
      <c r="J4295" s="143" t="s">
        <v>14219</v>
      </c>
      <c r="K4295" s="80" t="s">
        <v>15129</v>
      </c>
      <c r="L4295" s="30">
        <v>912227891</v>
      </c>
      <c r="M4295" s="80" t="s">
        <v>5518</v>
      </c>
      <c r="N4295" s="80" t="s">
        <v>12380</v>
      </c>
      <c r="O4295" s="80" t="s">
        <v>14221</v>
      </c>
      <c r="P4295" s="80" t="s">
        <v>5462</v>
      </c>
      <c r="Q4295" s="20">
        <v>15936</v>
      </c>
      <c r="R4295" s="80" t="s">
        <v>70</v>
      </c>
      <c r="S4295" s="95">
        <f t="shared" ref="S4295:S4296" si="79">500+1500</f>
        <v>2000</v>
      </c>
      <c r="T4295" s="83" t="s">
        <v>12901</v>
      </c>
      <c r="U4295" s="95">
        <v>13836</v>
      </c>
      <c r="V4295" s="148">
        <v>45572</v>
      </c>
      <c r="W4295" s="85" t="s">
        <v>14222</v>
      </c>
      <c r="X4295" s="80"/>
      <c r="Y4295" s="22">
        <v>100</v>
      </c>
      <c r="Z4295" s="80" t="s">
        <v>50</v>
      </c>
      <c r="AA4295" s="96" t="s">
        <v>9905</v>
      </c>
      <c r="AB4295" s="80"/>
      <c r="AC4295" s="80" t="s">
        <v>53</v>
      </c>
      <c r="AD4295" s="80" t="s">
        <v>138</v>
      </c>
      <c r="AE4295" s="80"/>
      <c r="AF4295" s="17">
        <v>45551</v>
      </c>
      <c r="AG4295" s="80"/>
      <c r="AH4295" s="80"/>
      <c r="AI4295" s="147"/>
      <c r="AJ4295" s="80"/>
      <c r="AK4295" s="80"/>
      <c r="AL4295" s="35"/>
      <c r="AM4295" s="35"/>
      <c r="AN4295" s="35"/>
      <c r="AO4295" s="35"/>
      <c r="AP4295" s="35"/>
    </row>
    <row r="4296" spans="1:42" x14ac:dyDescent="0.2">
      <c r="A4296" s="126">
        <v>45544.920783888891</v>
      </c>
      <c r="B4296" s="137" t="s">
        <v>37</v>
      </c>
      <c r="C4296" s="41" t="s">
        <v>118</v>
      </c>
      <c r="D4296" s="80" t="s">
        <v>36</v>
      </c>
      <c r="E4296" s="80" t="s">
        <v>139</v>
      </c>
      <c r="F4296" s="80" t="s">
        <v>36</v>
      </c>
      <c r="G4296" s="26" t="s">
        <v>41</v>
      </c>
      <c r="H4296" s="80" t="s">
        <v>12474</v>
      </c>
      <c r="I4296" s="17">
        <f ca="1">IFERROR(__xludf.DUMMYFUNCTION("""COMPUTED_VALUE"""),45551)</f>
        <v>45551</v>
      </c>
      <c r="J4296" s="143" t="s">
        <v>14223</v>
      </c>
      <c r="K4296" s="80" t="s">
        <v>15130</v>
      </c>
      <c r="L4296" s="30">
        <v>966727559</v>
      </c>
      <c r="M4296" s="80" t="s">
        <v>5518</v>
      </c>
      <c r="N4296" s="80" t="s">
        <v>12380</v>
      </c>
      <c r="O4296" s="80" t="s">
        <v>14225</v>
      </c>
      <c r="P4296" s="80" t="s">
        <v>5462</v>
      </c>
      <c r="Q4296" s="20">
        <v>15936</v>
      </c>
      <c r="R4296" s="80" t="s">
        <v>70</v>
      </c>
      <c r="S4296" s="95">
        <f t="shared" si="79"/>
        <v>2000</v>
      </c>
      <c r="T4296" s="83" t="s">
        <v>12901</v>
      </c>
      <c r="U4296" s="95">
        <v>13836</v>
      </c>
      <c r="V4296" s="148">
        <v>45572</v>
      </c>
      <c r="W4296" s="85" t="s">
        <v>14226</v>
      </c>
      <c r="X4296" s="80"/>
      <c r="Y4296" s="22">
        <v>100</v>
      </c>
      <c r="Z4296" s="80" t="s">
        <v>50</v>
      </c>
      <c r="AA4296" s="35" t="s">
        <v>9905</v>
      </c>
      <c r="AB4296" s="80"/>
      <c r="AC4296" s="80" t="s">
        <v>53</v>
      </c>
      <c r="AD4296" s="80" t="s">
        <v>138</v>
      </c>
      <c r="AE4296" s="80"/>
      <c r="AF4296" s="17">
        <v>45551</v>
      </c>
      <c r="AG4296" s="80"/>
      <c r="AH4296" s="80"/>
      <c r="AI4296" s="147"/>
      <c r="AJ4296" s="80"/>
      <c r="AK4296" s="80"/>
      <c r="AL4296" s="35"/>
      <c r="AM4296" s="35"/>
      <c r="AN4296" s="35"/>
      <c r="AO4296" s="35"/>
      <c r="AP4296" s="35"/>
    </row>
    <row r="4297" spans="1:42" x14ac:dyDescent="0.2">
      <c r="A4297" s="126">
        <v>45545.37249480324</v>
      </c>
      <c r="B4297" s="137" t="s">
        <v>37</v>
      </c>
      <c r="C4297" s="41" t="s">
        <v>118</v>
      </c>
      <c r="D4297" s="80" t="s">
        <v>36</v>
      </c>
      <c r="E4297" s="80" t="s">
        <v>56</v>
      </c>
      <c r="F4297" s="26" t="s">
        <v>36</v>
      </c>
      <c r="G4297" s="26" t="s">
        <v>41</v>
      </c>
      <c r="H4297" s="80" t="s">
        <v>12766</v>
      </c>
      <c r="I4297" s="17">
        <f ca="1">IFERROR(__xludf.DUMMYFUNCTION("""COMPUTED_VALUE"""),45555)</f>
        <v>45555</v>
      </c>
      <c r="J4297" s="143" t="s">
        <v>14128</v>
      </c>
      <c r="K4297" s="80" t="s">
        <v>15131</v>
      </c>
      <c r="L4297" s="30">
        <v>843668567</v>
      </c>
      <c r="M4297" s="80" t="s">
        <v>123</v>
      </c>
      <c r="N4297" s="80" t="s">
        <v>327</v>
      </c>
      <c r="O4297" s="80" t="s">
        <v>4503</v>
      </c>
      <c r="P4297" s="80" t="s">
        <v>3487</v>
      </c>
      <c r="Q4297" s="20">
        <v>9317</v>
      </c>
      <c r="R4297" s="80" t="s">
        <v>36</v>
      </c>
      <c r="S4297" s="95">
        <v>2000</v>
      </c>
      <c r="T4297" s="148">
        <v>45544</v>
      </c>
      <c r="U4297" s="95">
        <v>7317</v>
      </c>
      <c r="V4297" s="148">
        <v>45570</v>
      </c>
      <c r="W4297" s="85" t="s">
        <v>14130</v>
      </c>
      <c r="X4297" s="80"/>
      <c r="Y4297" s="22">
        <v>0</v>
      </c>
      <c r="Z4297" s="80" t="s">
        <v>50</v>
      </c>
      <c r="AA4297" s="96" t="s">
        <v>9905</v>
      </c>
      <c r="AB4297" s="80"/>
      <c r="AC4297" s="80" t="s">
        <v>53</v>
      </c>
      <c r="AD4297" s="80" t="s">
        <v>138</v>
      </c>
      <c r="AE4297" s="80"/>
      <c r="AF4297" s="17">
        <v>45555</v>
      </c>
      <c r="AG4297" s="80"/>
      <c r="AH4297" s="80"/>
      <c r="AI4297" s="147"/>
      <c r="AJ4297" s="80"/>
      <c r="AK4297" s="80"/>
      <c r="AL4297" s="35"/>
      <c r="AM4297" s="35"/>
      <c r="AN4297" s="35"/>
      <c r="AO4297" s="35"/>
      <c r="AP4297" s="35"/>
    </row>
    <row r="4298" spans="1:42" x14ac:dyDescent="0.2">
      <c r="A4298" s="126">
        <v>45545.434730960653</v>
      </c>
      <c r="B4298" s="137" t="s">
        <v>37</v>
      </c>
      <c r="C4298" s="41" t="s">
        <v>118</v>
      </c>
      <c r="D4298" s="80" t="s">
        <v>36</v>
      </c>
      <c r="E4298" s="80" t="s">
        <v>56</v>
      </c>
      <c r="F4298" s="80" t="s">
        <v>36</v>
      </c>
      <c r="G4298" s="80" t="s">
        <v>41</v>
      </c>
      <c r="H4298" s="80" t="s">
        <v>13239</v>
      </c>
      <c r="I4298" s="17">
        <f ca="1">IFERROR(__xludf.DUMMYFUNCTION("""COMPUTED_VALUE"""),45560)</f>
        <v>45560</v>
      </c>
      <c r="J4298" s="143" t="s">
        <v>15132</v>
      </c>
      <c r="K4298" s="80" t="s">
        <v>15133</v>
      </c>
      <c r="L4298" s="30">
        <v>939638829</v>
      </c>
      <c r="M4298" s="80" t="s">
        <v>123</v>
      </c>
      <c r="N4298" s="80" t="s">
        <v>327</v>
      </c>
      <c r="O4298" s="80" t="s">
        <v>4503</v>
      </c>
      <c r="P4298" s="144" t="s">
        <v>15134</v>
      </c>
      <c r="Q4298" s="20">
        <v>9317</v>
      </c>
      <c r="R4298" s="80" t="s">
        <v>36</v>
      </c>
      <c r="S4298" s="95">
        <v>2000</v>
      </c>
      <c r="T4298" s="148">
        <v>45545</v>
      </c>
      <c r="U4298" s="95">
        <v>7317</v>
      </c>
      <c r="V4298" s="148">
        <v>45578</v>
      </c>
      <c r="W4298" s="85" t="s">
        <v>15135</v>
      </c>
      <c r="X4298" s="80"/>
      <c r="Y4298" s="22">
        <v>0</v>
      </c>
      <c r="Z4298" s="80" t="s">
        <v>50</v>
      </c>
      <c r="AA4298" s="35" t="s">
        <v>9905</v>
      </c>
      <c r="AB4298" s="80"/>
      <c r="AC4298" s="80" t="s">
        <v>53</v>
      </c>
      <c r="AD4298" s="80" t="s">
        <v>54</v>
      </c>
      <c r="AE4298" s="80"/>
      <c r="AF4298" s="17">
        <v>45560</v>
      </c>
      <c r="AG4298" s="80"/>
      <c r="AH4298" s="80"/>
      <c r="AI4298" s="147"/>
      <c r="AJ4298" s="80"/>
      <c r="AK4298" s="80"/>
      <c r="AL4298" s="35"/>
      <c r="AM4298" s="35"/>
      <c r="AN4298" s="35"/>
      <c r="AO4298" s="35"/>
      <c r="AP4298" s="35"/>
    </row>
    <row r="4299" spans="1:42" x14ac:dyDescent="0.2">
      <c r="A4299" s="126">
        <v>45545.456000590275</v>
      </c>
      <c r="B4299" s="137" t="s">
        <v>37</v>
      </c>
      <c r="C4299" s="41" t="s">
        <v>118</v>
      </c>
      <c r="D4299" s="80" t="s">
        <v>36</v>
      </c>
      <c r="E4299" s="80" t="s">
        <v>139</v>
      </c>
      <c r="F4299" s="80" t="s">
        <v>36</v>
      </c>
      <c r="G4299" s="26" t="s">
        <v>41</v>
      </c>
      <c r="H4299" s="80" t="s">
        <v>11845</v>
      </c>
      <c r="I4299" s="17">
        <f ca="1">IFERROR(__xludf.DUMMYFUNCTION("""COMPUTED_VALUE"""),45552)</f>
        <v>45552</v>
      </c>
      <c r="J4299" s="143" t="s">
        <v>14343</v>
      </c>
      <c r="K4299" s="80" t="s">
        <v>14344</v>
      </c>
      <c r="L4299" s="30">
        <v>349389402</v>
      </c>
      <c r="M4299" s="80" t="s">
        <v>5429</v>
      </c>
      <c r="N4299" s="80" t="s">
        <v>1384</v>
      </c>
      <c r="O4299" s="80" t="s">
        <v>61</v>
      </c>
      <c r="P4299" s="80" t="s">
        <v>6368</v>
      </c>
      <c r="Q4299" s="20">
        <v>15936</v>
      </c>
      <c r="R4299" s="80" t="s">
        <v>36</v>
      </c>
      <c r="S4299" s="95">
        <v>2000</v>
      </c>
      <c r="T4299" s="148">
        <v>45545</v>
      </c>
      <c r="U4299" s="95">
        <v>13936</v>
      </c>
      <c r="V4299" s="148">
        <v>45567</v>
      </c>
      <c r="W4299" s="85" t="s">
        <v>14345</v>
      </c>
      <c r="X4299" s="80"/>
      <c r="Y4299" s="22">
        <v>0</v>
      </c>
      <c r="Z4299" s="80" t="s">
        <v>50</v>
      </c>
      <c r="AA4299" s="96" t="s">
        <v>9905</v>
      </c>
      <c r="AB4299" s="80"/>
      <c r="AC4299" s="80" t="s">
        <v>53</v>
      </c>
      <c r="AD4299" s="80" t="s">
        <v>138</v>
      </c>
      <c r="AE4299" s="80" t="s">
        <v>72</v>
      </c>
      <c r="AF4299" s="17">
        <v>45555</v>
      </c>
      <c r="AG4299" s="80"/>
      <c r="AH4299" s="80"/>
      <c r="AI4299" s="147"/>
      <c r="AJ4299" s="80"/>
      <c r="AK4299" s="80"/>
      <c r="AL4299" s="35"/>
      <c r="AM4299" s="35"/>
      <c r="AN4299" s="35"/>
      <c r="AO4299" s="35"/>
      <c r="AP4299" s="35"/>
    </row>
    <row r="4300" spans="1:42" x14ac:dyDescent="0.2">
      <c r="A4300" s="126">
        <v>45545.742829224539</v>
      </c>
      <c r="B4300" s="137" t="s">
        <v>37</v>
      </c>
      <c r="C4300" s="41" t="s">
        <v>118</v>
      </c>
      <c r="D4300" s="80" t="s">
        <v>36</v>
      </c>
      <c r="E4300" s="80" t="s">
        <v>139</v>
      </c>
      <c r="F4300" s="26" t="s">
        <v>36</v>
      </c>
      <c r="G4300" s="26" t="s">
        <v>41</v>
      </c>
      <c r="H4300" s="80" t="s">
        <v>11735</v>
      </c>
      <c r="I4300" s="17">
        <f ca="1">IFERROR(__xludf.DUMMYFUNCTION("""COMPUTED_VALUE"""),45555)</f>
        <v>45555</v>
      </c>
      <c r="J4300" s="143" t="s">
        <v>14239</v>
      </c>
      <c r="K4300" s="80" t="s">
        <v>14240</v>
      </c>
      <c r="L4300" s="30">
        <v>835201106</v>
      </c>
      <c r="M4300" s="80" t="s">
        <v>2755</v>
      </c>
      <c r="N4300" s="80" t="s">
        <v>2756</v>
      </c>
      <c r="O4300" s="80" t="s">
        <v>4503</v>
      </c>
      <c r="P4300" s="80" t="s">
        <v>7649</v>
      </c>
      <c r="Q4300" s="20">
        <v>15936</v>
      </c>
      <c r="R4300" s="80" t="s">
        <v>36</v>
      </c>
      <c r="S4300" s="95">
        <v>2200</v>
      </c>
      <c r="T4300" s="148">
        <v>45544</v>
      </c>
      <c r="U4300" s="95">
        <v>13736</v>
      </c>
      <c r="V4300" s="148">
        <v>45572</v>
      </c>
      <c r="W4300" s="80" t="s">
        <v>14241</v>
      </c>
      <c r="X4300" s="80"/>
      <c r="Y4300" s="22">
        <v>0</v>
      </c>
      <c r="Z4300" s="80" t="s">
        <v>50</v>
      </c>
      <c r="AA4300" s="35" t="s">
        <v>9905</v>
      </c>
      <c r="AB4300" s="80"/>
      <c r="AC4300" s="80" t="s">
        <v>53</v>
      </c>
      <c r="AD4300" s="80" t="s">
        <v>54</v>
      </c>
      <c r="AE4300" s="80"/>
      <c r="AF4300" s="17">
        <v>45555</v>
      </c>
      <c r="AG4300" s="80"/>
      <c r="AH4300" s="80"/>
      <c r="AI4300" s="147"/>
      <c r="AJ4300" s="80"/>
      <c r="AK4300" s="80"/>
      <c r="AL4300" s="35"/>
      <c r="AM4300" s="35"/>
      <c r="AN4300" s="35"/>
      <c r="AO4300" s="35"/>
      <c r="AP4300" s="35"/>
    </row>
    <row r="4301" spans="1:42" x14ac:dyDescent="0.2">
      <c r="A4301" s="126">
        <v>45545.747948692129</v>
      </c>
      <c r="B4301" s="137" t="s">
        <v>37</v>
      </c>
      <c r="C4301" s="41" t="s">
        <v>118</v>
      </c>
      <c r="D4301" s="80" t="s">
        <v>36</v>
      </c>
      <c r="E4301" s="80" t="s">
        <v>139</v>
      </c>
      <c r="F4301" s="26" t="s">
        <v>36</v>
      </c>
      <c r="G4301" s="26" t="s">
        <v>41</v>
      </c>
      <c r="H4301" s="80" t="s">
        <v>11610</v>
      </c>
      <c r="I4301" s="17">
        <f ca="1">IFERROR(__xludf.DUMMYFUNCTION("""COMPUTED_VALUE"""),45552)</f>
        <v>45552</v>
      </c>
      <c r="J4301" s="143" t="s">
        <v>14098</v>
      </c>
      <c r="K4301" s="80" t="s">
        <v>15136</v>
      </c>
      <c r="L4301" s="30">
        <v>327480636</v>
      </c>
      <c r="M4301" s="80" t="s">
        <v>2755</v>
      </c>
      <c r="N4301" s="80" t="s">
        <v>2756</v>
      </c>
      <c r="O4301" s="80" t="s">
        <v>4503</v>
      </c>
      <c r="P4301" s="80" t="s">
        <v>7649</v>
      </c>
      <c r="Q4301" s="20">
        <v>15936</v>
      </c>
      <c r="R4301" s="80" t="s">
        <v>36</v>
      </c>
      <c r="S4301" s="95">
        <v>2000</v>
      </c>
      <c r="T4301" s="148">
        <v>45545</v>
      </c>
      <c r="U4301" s="95">
        <v>13936</v>
      </c>
      <c r="V4301" s="148">
        <v>45566</v>
      </c>
      <c r="W4301" s="80" t="s">
        <v>14100</v>
      </c>
      <c r="X4301" s="80"/>
      <c r="Y4301" s="22">
        <v>0</v>
      </c>
      <c r="Z4301" s="80" t="s">
        <v>50</v>
      </c>
      <c r="AA4301" s="96" t="s">
        <v>9905</v>
      </c>
      <c r="AB4301" s="80"/>
      <c r="AC4301" s="80" t="s">
        <v>53</v>
      </c>
      <c r="AD4301" s="80" t="s">
        <v>138</v>
      </c>
      <c r="AE4301" s="80"/>
      <c r="AF4301" s="17">
        <v>45551</v>
      </c>
      <c r="AG4301" s="80"/>
      <c r="AH4301" s="80"/>
      <c r="AI4301" s="147"/>
      <c r="AJ4301" s="80"/>
      <c r="AK4301" s="80"/>
      <c r="AL4301" s="35"/>
      <c r="AM4301" s="35"/>
      <c r="AN4301" s="35"/>
      <c r="AO4301" s="35"/>
      <c r="AP4301" s="35"/>
    </row>
    <row r="4302" spans="1:42" x14ac:dyDescent="0.2">
      <c r="A4302" s="126">
        <v>45545.751822453705</v>
      </c>
      <c r="B4302" s="137" t="s">
        <v>37</v>
      </c>
      <c r="C4302" s="41" t="s">
        <v>118</v>
      </c>
      <c r="D4302" s="80" t="s">
        <v>36</v>
      </c>
      <c r="E4302" s="80" t="s">
        <v>139</v>
      </c>
      <c r="F4302" s="26" t="s">
        <v>36</v>
      </c>
      <c r="G4302" s="80" t="s">
        <v>41</v>
      </c>
      <c r="H4302" s="80" t="s">
        <v>9626</v>
      </c>
      <c r="I4302" s="17">
        <f ca="1">IFERROR(__xludf.DUMMYFUNCTION("""COMPUTED_VALUE"""),45559)</f>
        <v>45559</v>
      </c>
      <c r="J4302" s="143" t="s">
        <v>14295</v>
      </c>
      <c r="K4302" s="80" t="s">
        <v>14296</v>
      </c>
      <c r="L4302" s="30">
        <v>966828344</v>
      </c>
      <c r="M4302" s="80" t="s">
        <v>3498</v>
      </c>
      <c r="N4302" s="80" t="s">
        <v>2756</v>
      </c>
      <c r="O4302" s="80" t="s">
        <v>4503</v>
      </c>
      <c r="P4302" s="80" t="s">
        <v>7649</v>
      </c>
      <c r="Q4302" s="20">
        <v>15936</v>
      </c>
      <c r="R4302" s="80" t="s">
        <v>36</v>
      </c>
      <c r="S4302" s="95">
        <v>2000</v>
      </c>
      <c r="T4302" s="148">
        <v>45541</v>
      </c>
      <c r="U4302" s="95">
        <v>13936</v>
      </c>
      <c r="V4302" s="148">
        <v>45576</v>
      </c>
      <c r="W4302" s="79" t="s">
        <v>14297</v>
      </c>
      <c r="X4302" s="80"/>
      <c r="Y4302" s="22">
        <v>0</v>
      </c>
      <c r="Z4302" s="80" t="s">
        <v>50</v>
      </c>
      <c r="AA4302" s="35" t="s">
        <v>9905</v>
      </c>
      <c r="AB4302" s="80"/>
      <c r="AC4302" s="80" t="s">
        <v>53</v>
      </c>
      <c r="AD4302" s="80" t="s">
        <v>138</v>
      </c>
      <c r="AE4302" s="80"/>
      <c r="AF4302" s="17">
        <v>45559</v>
      </c>
      <c r="AG4302" s="80"/>
      <c r="AH4302" s="80"/>
      <c r="AI4302" s="147"/>
      <c r="AJ4302" s="80"/>
      <c r="AK4302" s="80"/>
      <c r="AL4302" s="35"/>
      <c r="AM4302" s="35"/>
      <c r="AN4302" s="35"/>
      <c r="AO4302" s="35"/>
      <c r="AP4302" s="35"/>
    </row>
    <row r="4303" spans="1:42" x14ac:dyDescent="0.2">
      <c r="A4303" s="126">
        <v>45545.769487951387</v>
      </c>
      <c r="B4303" s="137" t="s">
        <v>37</v>
      </c>
      <c r="C4303" s="41" t="s">
        <v>118</v>
      </c>
      <c r="D4303" s="80" t="s">
        <v>36</v>
      </c>
      <c r="E4303" s="80" t="s">
        <v>139</v>
      </c>
      <c r="F4303" s="80" t="s">
        <v>40</v>
      </c>
      <c r="G4303" s="80" t="s">
        <v>41</v>
      </c>
      <c r="H4303" s="80" t="s">
        <v>11183</v>
      </c>
      <c r="I4303" s="17">
        <f ca="1">IFERROR(__xludf.DUMMYFUNCTION("""COMPUTED_VALUE"""),45554)</f>
        <v>45554</v>
      </c>
      <c r="J4303" s="143" t="s">
        <v>15137</v>
      </c>
      <c r="K4303" s="80" t="s">
        <v>15138</v>
      </c>
      <c r="L4303" s="30">
        <v>867779483</v>
      </c>
      <c r="M4303" s="80" t="s">
        <v>2755</v>
      </c>
      <c r="N4303" s="80" t="s">
        <v>2756</v>
      </c>
      <c r="O4303" s="80" t="s">
        <v>4503</v>
      </c>
      <c r="P4303" s="80" t="s">
        <v>15139</v>
      </c>
      <c r="Q4303" s="20">
        <v>15936</v>
      </c>
      <c r="R4303" s="80" t="s">
        <v>36</v>
      </c>
      <c r="S4303" s="95">
        <v>2000</v>
      </c>
      <c r="T4303" s="148">
        <v>45523</v>
      </c>
      <c r="U4303" s="178">
        <v>13936</v>
      </c>
      <c r="V4303" s="169">
        <v>45572</v>
      </c>
      <c r="W4303" s="85" t="s">
        <v>15140</v>
      </c>
      <c r="X4303" s="80"/>
      <c r="Y4303" s="22">
        <v>0</v>
      </c>
      <c r="Z4303" s="80" t="s">
        <v>50</v>
      </c>
      <c r="AA4303" s="96" t="s">
        <v>9905</v>
      </c>
      <c r="AB4303" s="80"/>
      <c r="AC4303" s="80" t="s">
        <v>53</v>
      </c>
      <c r="AD4303" s="80" t="s">
        <v>138</v>
      </c>
      <c r="AE4303" s="80"/>
      <c r="AF4303" s="17">
        <v>45554</v>
      </c>
      <c r="AG4303" s="80"/>
      <c r="AH4303" s="80"/>
      <c r="AI4303" s="147"/>
      <c r="AJ4303" s="80"/>
      <c r="AK4303" s="80"/>
      <c r="AL4303" s="35"/>
      <c r="AM4303" s="35"/>
      <c r="AN4303" s="35"/>
      <c r="AO4303" s="35"/>
      <c r="AP4303" s="35"/>
    </row>
    <row r="4304" spans="1:42" x14ac:dyDescent="0.2">
      <c r="A4304" s="126">
        <v>45545.820987465282</v>
      </c>
      <c r="B4304" s="137" t="s">
        <v>37</v>
      </c>
      <c r="C4304" s="41" t="s">
        <v>118</v>
      </c>
      <c r="D4304" s="80" t="s">
        <v>36</v>
      </c>
      <c r="E4304" s="80" t="s">
        <v>139</v>
      </c>
      <c r="F4304" s="80" t="s">
        <v>36</v>
      </c>
      <c r="G4304" s="26" t="s">
        <v>41</v>
      </c>
      <c r="H4304" s="80" t="s">
        <v>11845</v>
      </c>
      <c r="I4304" s="17">
        <f ca="1">IFERROR(__xludf.DUMMYFUNCTION("""COMPUTED_VALUE"""),45552)</f>
        <v>45552</v>
      </c>
      <c r="J4304" s="143" t="s">
        <v>14587</v>
      </c>
      <c r="K4304" s="80" t="s">
        <v>14588</v>
      </c>
      <c r="L4304" s="30">
        <v>796442191</v>
      </c>
      <c r="M4304" s="80" t="s">
        <v>5518</v>
      </c>
      <c r="N4304" s="80" t="s">
        <v>253</v>
      </c>
      <c r="O4304" s="80" t="s">
        <v>14589</v>
      </c>
      <c r="P4304" s="80" t="s">
        <v>5462</v>
      </c>
      <c r="Q4304" s="20">
        <v>15936</v>
      </c>
      <c r="R4304" s="80" t="s">
        <v>70</v>
      </c>
      <c r="S4304" s="95">
        <v>2000</v>
      </c>
      <c r="T4304" s="170">
        <v>45545</v>
      </c>
      <c r="U4304" s="95">
        <v>13836</v>
      </c>
      <c r="V4304" s="148">
        <v>45569</v>
      </c>
      <c r="W4304" s="85" t="s">
        <v>14590</v>
      </c>
      <c r="X4304" s="80"/>
      <c r="Y4304" s="22">
        <v>100</v>
      </c>
      <c r="Z4304" s="80" t="s">
        <v>50</v>
      </c>
      <c r="AA4304" s="35" t="s">
        <v>9905</v>
      </c>
      <c r="AB4304" s="80"/>
      <c r="AC4304" s="80" t="s">
        <v>53</v>
      </c>
      <c r="AD4304" s="80" t="s">
        <v>138</v>
      </c>
      <c r="AE4304" s="80"/>
      <c r="AF4304" s="17">
        <v>45555</v>
      </c>
      <c r="AG4304" s="80"/>
      <c r="AH4304" s="80"/>
      <c r="AI4304" s="147"/>
      <c r="AJ4304" s="80"/>
      <c r="AK4304" s="80"/>
      <c r="AL4304" s="35"/>
      <c r="AM4304" s="35"/>
      <c r="AN4304" s="35"/>
      <c r="AO4304" s="35"/>
      <c r="AP4304" s="35"/>
    </row>
    <row r="4305" spans="1:42" x14ac:dyDescent="0.2">
      <c r="A4305" s="126">
        <v>45545.847340555556</v>
      </c>
      <c r="B4305" s="137" t="s">
        <v>37</v>
      </c>
      <c r="C4305" s="41" t="s">
        <v>118</v>
      </c>
      <c r="D4305" s="80" t="s">
        <v>36</v>
      </c>
      <c r="E4305" s="80" t="s">
        <v>139</v>
      </c>
      <c r="F4305" s="26" t="s">
        <v>36</v>
      </c>
      <c r="G4305" s="26" t="s">
        <v>41</v>
      </c>
      <c r="H4305" s="80" t="s">
        <v>11610</v>
      </c>
      <c r="I4305" s="17">
        <f ca="1">IFERROR(__xludf.DUMMYFUNCTION("""COMPUTED_VALUE"""),45552)</f>
        <v>45552</v>
      </c>
      <c r="J4305" s="143" t="s">
        <v>14104</v>
      </c>
      <c r="K4305" s="80" t="s">
        <v>15141</v>
      </c>
      <c r="L4305" s="30">
        <v>985745020</v>
      </c>
      <c r="M4305" s="80" t="s">
        <v>12644</v>
      </c>
      <c r="N4305" s="80" t="s">
        <v>8725</v>
      </c>
      <c r="O4305" s="80" t="s">
        <v>14106</v>
      </c>
      <c r="P4305" s="80" t="s">
        <v>14107</v>
      </c>
      <c r="Q4305" s="20">
        <v>15936</v>
      </c>
      <c r="R4305" s="80" t="s">
        <v>36</v>
      </c>
      <c r="S4305" s="95">
        <v>2000</v>
      </c>
      <c r="T4305" s="148">
        <v>45545</v>
      </c>
      <c r="U4305" s="95">
        <f>7000+6936</f>
        <v>13936</v>
      </c>
      <c r="V4305" s="83" t="s">
        <v>14108</v>
      </c>
      <c r="W4305" s="85" t="s">
        <v>14109</v>
      </c>
      <c r="X4305" s="80"/>
      <c r="Y4305" s="22">
        <v>0</v>
      </c>
      <c r="Z4305" s="80" t="s">
        <v>50</v>
      </c>
      <c r="AA4305" s="96" t="s">
        <v>9905</v>
      </c>
      <c r="AB4305" s="80"/>
      <c r="AC4305" s="80" t="s">
        <v>53</v>
      </c>
      <c r="AD4305" s="80" t="s">
        <v>138</v>
      </c>
      <c r="AE4305" s="80"/>
      <c r="AF4305" s="17">
        <v>45551</v>
      </c>
      <c r="AG4305" s="80"/>
      <c r="AH4305" s="80"/>
      <c r="AI4305" s="147"/>
      <c r="AJ4305" s="80"/>
      <c r="AK4305" s="80"/>
      <c r="AL4305" s="35"/>
      <c r="AM4305" s="35"/>
      <c r="AN4305" s="35"/>
      <c r="AO4305" s="35"/>
      <c r="AP4305" s="35"/>
    </row>
    <row r="4306" spans="1:42" x14ac:dyDescent="0.2">
      <c r="A4306" s="126">
        <v>45545.903952766203</v>
      </c>
      <c r="B4306" s="137" t="s">
        <v>37</v>
      </c>
      <c r="C4306" s="41" t="s">
        <v>118</v>
      </c>
      <c r="D4306" s="80" t="s">
        <v>36</v>
      </c>
      <c r="E4306" s="80" t="s">
        <v>139</v>
      </c>
      <c r="F4306" s="26" t="s">
        <v>36</v>
      </c>
      <c r="G4306" s="80" t="s">
        <v>41</v>
      </c>
      <c r="H4306" s="80" t="s">
        <v>9626</v>
      </c>
      <c r="I4306" s="17">
        <f ca="1">IFERROR(__xludf.DUMMYFUNCTION("""COMPUTED_VALUE"""),45559)</f>
        <v>45559</v>
      </c>
      <c r="J4306" s="143" t="s">
        <v>14314</v>
      </c>
      <c r="K4306" s="80" t="s">
        <v>14315</v>
      </c>
      <c r="L4306" s="30">
        <v>334206729</v>
      </c>
      <c r="M4306" s="80" t="s">
        <v>2755</v>
      </c>
      <c r="N4306" s="80" t="s">
        <v>2756</v>
      </c>
      <c r="O4306" s="80" t="s">
        <v>4503</v>
      </c>
      <c r="P4306" s="80" t="s">
        <v>7649</v>
      </c>
      <c r="Q4306" s="20">
        <v>15936</v>
      </c>
      <c r="R4306" s="80" t="s">
        <v>36</v>
      </c>
      <c r="S4306" s="95">
        <v>2000</v>
      </c>
      <c r="T4306" s="148">
        <v>45545</v>
      </c>
      <c r="U4306" s="178">
        <v>13936</v>
      </c>
      <c r="V4306" s="169">
        <v>45575</v>
      </c>
      <c r="W4306" s="85" t="s">
        <v>14316</v>
      </c>
      <c r="X4306" s="80"/>
      <c r="Y4306" s="22">
        <v>0</v>
      </c>
      <c r="Z4306" s="80" t="s">
        <v>50</v>
      </c>
      <c r="AA4306" s="35" t="s">
        <v>9905</v>
      </c>
      <c r="AB4306" s="80"/>
      <c r="AC4306" s="80" t="s">
        <v>53</v>
      </c>
      <c r="AD4306" s="80" t="s">
        <v>138</v>
      </c>
      <c r="AE4306" s="80"/>
      <c r="AF4306" s="17">
        <v>45559</v>
      </c>
      <c r="AG4306" s="80"/>
      <c r="AH4306" s="80"/>
      <c r="AI4306" s="147"/>
      <c r="AJ4306" s="80"/>
      <c r="AK4306" s="80"/>
      <c r="AL4306" s="35"/>
      <c r="AM4306" s="35"/>
      <c r="AN4306" s="35"/>
      <c r="AO4306" s="35"/>
      <c r="AP4306" s="35"/>
    </row>
    <row r="4307" spans="1:42" x14ac:dyDescent="0.2">
      <c r="A4307" s="126">
        <v>45545.951250636572</v>
      </c>
      <c r="B4307" s="137" t="s">
        <v>37</v>
      </c>
      <c r="C4307" s="41" t="s">
        <v>118</v>
      </c>
      <c r="D4307" s="80" t="s">
        <v>36</v>
      </c>
      <c r="E4307" s="80" t="s">
        <v>139</v>
      </c>
      <c r="F4307" s="80" t="s">
        <v>36</v>
      </c>
      <c r="G4307" s="26" t="s">
        <v>41</v>
      </c>
      <c r="H4307" s="80" t="s">
        <v>11845</v>
      </c>
      <c r="I4307" s="17">
        <f ca="1">IFERROR(__xludf.DUMMYFUNCTION("""COMPUTED_VALUE"""),45552)</f>
        <v>45552</v>
      </c>
      <c r="J4307" s="143" t="s">
        <v>14352</v>
      </c>
      <c r="K4307" s="80" t="s">
        <v>14353</v>
      </c>
      <c r="L4307" s="30">
        <v>867642623</v>
      </c>
      <c r="M4307" s="80" t="s">
        <v>3728</v>
      </c>
      <c r="N4307" s="80" t="s">
        <v>5277</v>
      </c>
      <c r="O4307" s="80" t="s">
        <v>14354</v>
      </c>
      <c r="P4307" s="80" t="s">
        <v>14355</v>
      </c>
      <c r="Q4307" s="20">
        <v>15936</v>
      </c>
      <c r="R4307" s="80" t="s">
        <v>70</v>
      </c>
      <c r="S4307" s="95">
        <f>500+1500</f>
        <v>2000</v>
      </c>
      <c r="T4307" s="83" t="s">
        <v>14356</v>
      </c>
      <c r="U4307" s="95">
        <v>13836</v>
      </c>
      <c r="V4307" s="148">
        <v>45566</v>
      </c>
      <c r="W4307" s="85" t="s">
        <v>14357</v>
      </c>
      <c r="X4307" s="80"/>
      <c r="Y4307" s="22">
        <v>100</v>
      </c>
      <c r="Z4307" s="80" t="s">
        <v>50</v>
      </c>
      <c r="AA4307" s="96" t="s">
        <v>9905</v>
      </c>
      <c r="AB4307" s="80"/>
      <c r="AC4307" s="80" t="s">
        <v>53</v>
      </c>
      <c r="AD4307" s="80" t="s">
        <v>138</v>
      </c>
      <c r="AE4307" s="80"/>
      <c r="AF4307" s="17">
        <v>45555</v>
      </c>
      <c r="AG4307" s="80"/>
      <c r="AH4307" s="80"/>
      <c r="AI4307" s="147"/>
      <c r="AJ4307" s="80"/>
      <c r="AK4307" s="80"/>
      <c r="AL4307" s="35"/>
      <c r="AM4307" s="35"/>
      <c r="AN4307" s="35"/>
      <c r="AO4307" s="35"/>
      <c r="AP4307" s="35"/>
    </row>
    <row r="4308" spans="1:42" x14ac:dyDescent="0.2">
      <c r="A4308" s="126">
        <v>45545.952266921297</v>
      </c>
      <c r="B4308" s="137" t="s">
        <v>37</v>
      </c>
      <c r="C4308" s="41" t="s">
        <v>118</v>
      </c>
      <c r="D4308" s="80" t="s">
        <v>36</v>
      </c>
      <c r="E4308" s="80" t="s">
        <v>56</v>
      </c>
      <c r="F4308" s="80" t="s">
        <v>36</v>
      </c>
      <c r="G4308" s="80" t="s">
        <v>41</v>
      </c>
      <c r="H4308" s="80" t="s">
        <v>15142</v>
      </c>
      <c r="I4308" s="17">
        <f ca="1">IFERROR(__xludf.DUMMYFUNCTION("""COMPUTED_VALUE"""),45594)</f>
        <v>45594</v>
      </c>
      <c r="J4308" s="143" t="s">
        <v>15143</v>
      </c>
      <c r="K4308" s="80" t="s">
        <v>15144</v>
      </c>
      <c r="L4308" s="30">
        <v>359508100</v>
      </c>
      <c r="M4308" s="80" t="s">
        <v>5558</v>
      </c>
      <c r="N4308" s="80" t="s">
        <v>5559</v>
      </c>
      <c r="O4308" s="80" t="s">
        <v>4503</v>
      </c>
      <c r="P4308" s="80" t="s">
        <v>15145</v>
      </c>
      <c r="Q4308" s="20">
        <v>9317</v>
      </c>
      <c r="R4308" s="80" t="s">
        <v>36</v>
      </c>
      <c r="S4308" s="95">
        <v>2000</v>
      </c>
      <c r="T4308" s="148">
        <v>45545</v>
      </c>
      <c r="U4308" s="95">
        <v>7317</v>
      </c>
      <c r="V4308" s="148">
        <v>45568</v>
      </c>
      <c r="W4308" s="85" t="s">
        <v>15146</v>
      </c>
      <c r="X4308" s="80"/>
      <c r="Y4308" s="22">
        <v>0</v>
      </c>
      <c r="Z4308" s="80" t="s">
        <v>50</v>
      </c>
      <c r="AA4308" s="35" t="s">
        <v>9905</v>
      </c>
      <c r="AB4308" s="80"/>
      <c r="AC4308" s="80" t="s">
        <v>53</v>
      </c>
      <c r="AD4308" s="80" t="s">
        <v>54</v>
      </c>
      <c r="AE4308" s="80"/>
      <c r="AF4308" s="17">
        <v>45547</v>
      </c>
      <c r="AG4308" s="80"/>
      <c r="AH4308" s="80"/>
      <c r="AI4308" s="147"/>
      <c r="AJ4308" s="80"/>
      <c r="AK4308" s="80"/>
      <c r="AL4308" s="35"/>
      <c r="AM4308" s="35"/>
      <c r="AN4308" s="35"/>
      <c r="AO4308" s="35"/>
      <c r="AP4308" s="35"/>
    </row>
    <row r="4309" spans="1:42" x14ac:dyDescent="0.2">
      <c r="A4309" s="126">
        <v>45545.955995081022</v>
      </c>
      <c r="B4309" s="137" t="s">
        <v>37</v>
      </c>
      <c r="C4309" s="41" t="s">
        <v>118</v>
      </c>
      <c r="D4309" s="80" t="s">
        <v>36</v>
      </c>
      <c r="E4309" s="80" t="s">
        <v>56</v>
      </c>
      <c r="F4309" s="26" t="s">
        <v>36</v>
      </c>
      <c r="G4309" s="26" t="s">
        <v>41</v>
      </c>
      <c r="H4309" s="80" t="s">
        <v>11610</v>
      </c>
      <c r="I4309" s="17">
        <f ca="1">IFERROR(__xludf.DUMMYFUNCTION("""COMPUTED_VALUE"""),45552)</f>
        <v>45552</v>
      </c>
      <c r="J4309" s="143" t="s">
        <v>14089</v>
      </c>
      <c r="K4309" s="80" t="s">
        <v>15147</v>
      </c>
      <c r="L4309" s="30">
        <v>332988432</v>
      </c>
      <c r="M4309" s="80" t="s">
        <v>5558</v>
      </c>
      <c r="N4309" s="80" t="s">
        <v>5559</v>
      </c>
      <c r="O4309" s="80" t="s">
        <v>4503</v>
      </c>
      <c r="P4309" s="80" t="s">
        <v>14091</v>
      </c>
      <c r="Q4309" s="20">
        <v>9317</v>
      </c>
      <c r="R4309" s="80" t="s">
        <v>36</v>
      </c>
      <c r="S4309" s="95">
        <v>2000</v>
      </c>
      <c r="T4309" s="148">
        <v>45545</v>
      </c>
      <c r="U4309" s="95">
        <v>7317</v>
      </c>
      <c r="V4309" s="78">
        <v>45572</v>
      </c>
      <c r="W4309" s="85" t="s">
        <v>14092</v>
      </c>
      <c r="X4309" s="80"/>
      <c r="Y4309" s="22">
        <v>0</v>
      </c>
      <c r="Z4309" s="80" t="s">
        <v>50</v>
      </c>
      <c r="AA4309" s="96" t="s">
        <v>9905</v>
      </c>
      <c r="AB4309" s="80"/>
      <c r="AC4309" s="80" t="s">
        <v>53</v>
      </c>
      <c r="AD4309" s="80" t="s">
        <v>138</v>
      </c>
      <c r="AE4309" s="80"/>
      <c r="AF4309" s="17">
        <v>45551</v>
      </c>
      <c r="AG4309" s="80"/>
      <c r="AH4309" s="80"/>
      <c r="AI4309" s="147"/>
      <c r="AJ4309" s="80"/>
      <c r="AK4309" s="80"/>
      <c r="AL4309" s="35"/>
      <c r="AM4309" s="35"/>
      <c r="AN4309" s="35"/>
      <c r="AO4309" s="35"/>
      <c r="AP4309" s="35"/>
    </row>
    <row r="4310" spans="1:42" x14ac:dyDescent="0.2">
      <c r="A4310" s="126">
        <v>45545.961009363426</v>
      </c>
      <c r="B4310" s="137" t="s">
        <v>37</v>
      </c>
      <c r="C4310" s="41" t="s">
        <v>118</v>
      </c>
      <c r="D4310" s="80" t="s">
        <v>36</v>
      </c>
      <c r="E4310" s="80" t="s">
        <v>56</v>
      </c>
      <c r="F4310" s="80" t="s">
        <v>36</v>
      </c>
      <c r="G4310" s="26" t="s">
        <v>41</v>
      </c>
      <c r="H4310" s="80" t="s">
        <v>11845</v>
      </c>
      <c r="I4310" s="17">
        <f ca="1">IFERROR(__xludf.DUMMYFUNCTION("""COMPUTED_VALUE"""),45552)</f>
        <v>45552</v>
      </c>
      <c r="J4310" s="143" t="s">
        <v>14660</v>
      </c>
      <c r="K4310" s="80" t="s">
        <v>14661</v>
      </c>
      <c r="L4310" s="30">
        <v>332708454</v>
      </c>
      <c r="M4310" s="80" t="s">
        <v>9422</v>
      </c>
      <c r="N4310" s="80" t="s">
        <v>1232</v>
      </c>
      <c r="O4310" s="80" t="s">
        <v>14662</v>
      </c>
      <c r="P4310" s="80" t="s">
        <v>14663</v>
      </c>
      <c r="Q4310" s="20">
        <v>9317</v>
      </c>
      <c r="R4310" s="80" t="s">
        <v>36</v>
      </c>
      <c r="S4310" s="95">
        <v>2000</v>
      </c>
      <c r="T4310" s="148">
        <v>45545</v>
      </c>
      <c r="U4310" s="95">
        <v>7317</v>
      </c>
      <c r="V4310" s="78">
        <v>45572</v>
      </c>
      <c r="W4310" s="85" t="s">
        <v>14664</v>
      </c>
      <c r="X4310" s="80"/>
      <c r="Y4310" s="22">
        <v>0</v>
      </c>
      <c r="Z4310" s="80" t="s">
        <v>50</v>
      </c>
      <c r="AA4310" s="35" t="s">
        <v>9905</v>
      </c>
      <c r="AB4310" s="80"/>
      <c r="AC4310" s="80" t="s">
        <v>2218</v>
      </c>
      <c r="AD4310" s="80" t="s">
        <v>138</v>
      </c>
      <c r="AE4310" s="80"/>
      <c r="AF4310" s="17">
        <v>45550</v>
      </c>
      <c r="AG4310" s="80" t="s">
        <v>15148</v>
      </c>
      <c r="AH4310" s="80"/>
      <c r="AI4310" s="147"/>
      <c r="AJ4310" s="80"/>
      <c r="AK4310" s="80"/>
      <c r="AL4310" s="35"/>
      <c r="AM4310" s="35"/>
      <c r="AN4310" s="35"/>
      <c r="AO4310" s="35"/>
      <c r="AP4310" s="35"/>
    </row>
    <row r="4311" spans="1:42" x14ac:dyDescent="0.2">
      <c r="A4311" s="126">
        <v>45546.50590866898</v>
      </c>
      <c r="B4311" s="137" t="s">
        <v>37</v>
      </c>
      <c r="C4311" s="41" t="s">
        <v>118</v>
      </c>
      <c r="D4311" s="80" t="s">
        <v>36</v>
      </c>
      <c r="E4311" s="80" t="s">
        <v>56</v>
      </c>
      <c r="F4311" s="80" t="s">
        <v>40</v>
      </c>
      <c r="G4311" s="80" t="s">
        <v>41</v>
      </c>
      <c r="H4311" s="80" t="s">
        <v>9614</v>
      </c>
      <c r="I4311" s="17">
        <f ca="1">IFERROR(__xludf.DUMMYFUNCTION("""COMPUTED_VALUE"""),45552)</f>
        <v>45552</v>
      </c>
      <c r="J4311" s="143" t="s">
        <v>15149</v>
      </c>
      <c r="K4311" s="80" t="s">
        <v>15150</v>
      </c>
      <c r="L4311" s="30">
        <v>379372706</v>
      </c>
      <c r="M4311" s="80" t="s">
        <v>2755</v>
      </c>
      <c r="N4311" s="80" t="s">
        <v>2756</v>
      </c>
      <c r="O4311" s="80" t="s">
        <v>4503</v>
      </c>
      <c r="P4311" s="80" t="s">
        <v>15151</v>
      </c>
      <c r="Q4311" s="20">
        <v>9317</v>
      </c>
      <c r="R4311" s="80" t="s">
        <v>36</v>
      </c>
      <c r="S4311" s="95">
        <v>2200</v>
      </c>
      <c r="T4311" s="148">
        <v>45546</v>
      </c>
      <c r="U4311" s="95">
        <v>7117</v>
      </c>
      <c r="V4311" s="148">
        <v>45568</v>
      </c>
      <c r="W4311" s="80" t="s">
        <v>15152</v>
      </c>
      <c r="X4311" s="80"/>
      <c r="Y4311" s="22">
        <v>0</v>
      </c>
      <c r="Z4311" s="80" t="s">
        <v>50</v>
      </c>
      <c r="AA4311" s="96" t="s">
        <v>9905</v>
      </c>
      <c r="AB4311" s="80"/>
      <c r="AC4311" s="80" t="s">
        <v>53</v>
      </c>
      <c r="AD4311" s="80" t="s">
        <v>54</v>
      </c>
      <c r="AE4311" s="80"/>
      <c r="AF4311" s="17">
        <v>45547</v>
      </c>
      <c r="AG4311" s="80"/>
      <c r="AH4311" s="80"/>
      <c r="AI4311" s="147"/>
      <c r="AJ4311" s="80"/>
      <c r="AK4311" s="80"/>
      <c r="AL4311" s="35"/>
      <c r="AM4311" s="35"/>
      <c r="AN4311" s="35"/>
      <c r="AO4311" s="35"/>
      <c r="AP4311" s="35"/>
    </row>
    <row r="4312" spans="1:42" x14ac:dyDescent="0.2">
      <c r="A4312" s="126">
        <v>45546.510287546298</v>
      </c>
      <c r="B4312" s="137" t="s">
        <v>37</v>
      </c>
      <c r="C4312" s="41" t="s">
        <v>118</v>
      </c>
      <c r="D4312" s="80" t="s">
        <v>36</v>
      </c>
      <c r="E4312" s="80" t="s">
        <v>56</v>
      </c>
      <c r="F4312" s="80" t="s">
        <v>36</v>
      </c>
      <c r="G4312" s="80" t="s">
        <v>41</v>
      </c>
      <c r="H4312" s="80" t="s">
        <v>12937</v>
      </c>
      <c r="I4312" s="17">
        <f ca="1">IFERROR(__xludf.DUMMYFUNCTION("""COMPUTED_VALUE"""),45552)</f>
        <v>45552</v>
      </c>
      <c r="J4312" s="143" t="s">
        <v>15153</v>
      </c>
      <c r="K4312" s="80" t="s">
        <v>15154</v>
      </c>
      <c r="L4312" s="30">
        <v>768763206</v>
      </c>
      <c r="M4312" s="80" t="s">
        <v>5558</v>
      </c>
      <c r="N4312" s="80" t="s">
        <v>5559</v>
      </c>
      <c r="O4312" s="80" t="s">
        <v>4503</v>
      </c>
      <c r="P4312" s="115" t="s">
        <v>15155</v>
      </c>
      <c r="Q4312" s="20">
        <v>9317</v>
      </c>
      <c r="R4312" s="80" t="s">
        <v>36</v>
      </c>
      <c r="S4312" s="95">
        <v>2000</v>
      </c>
      <c r="T4312" s="148">
        <v>45546</v>
      </c>
      <c r="U4312" s="95">
        <v>7317</v>
      </c>
      <c r="V4312" s="148">
        <v>45566</v>
      </c>
      <c r="W4312" s="85" t="s">
        <v>15156</v>
      </c>
      <c r="X4312" s="80"/>
      <c r="Y4312" s="22">
        <v>0</v>
      </c>
      <c r="Z4312" s="80" t="s">
        <v>50</v>
      </c>
      <c r="AA4312" s="35" t="s">
        <v>9905</v>
      </c>
      <c r="AB4312" s="80"/>
      <c r="AC4312" s="80" t="s">
        <v>53</v>
      </c>
      <c r="AD4312" s="80" t="s">
        <v>54</v>
      </c>
      <c r="AE4312" s="80"/>
      <c r="AF4312" s="17">
        <v>45547</v>
      </c>
      <c r="AG4312" s="80"/>
      <c r="AH4312" s="80"/>
      <c r="AI4312" s="147"/>
      <c r="AJ4312" s="80"/>
      <c r="AK4312" s="80"/>
      <c r="AL4312" s="35"/>
      <c r="AM4312" s="35"/>
      <c r="AN4312" s="35"/>
      <c r="AO4312" s="35"/>
      <c r="AP4312" s="35"/>
    </row>
    <row r="4313" spans="1:42" x14ac:dyDescent="0.2">
      <c r="A4313" s="126">
        <v>45546.723644837963</v>
      </c>
      <c r="B4313" s="137" t="s">
        <v>37</v>
      </c>
      <c r="C4313" s="41" t="s">
        <v>118</v>
      </c>
      <c r="D4313" s="80" t="s">
        <v>36</v>
      </c>
      <c r="E4313" s="80" t="s">
        <v>56</v>
      </c>
      <c r="F4313" s="80" t="s">
        <v>36</v>
      </c>
      <c r="G4313" s="80" t="s">
        <v>41</v>
      </c>
      <c r="H4313" s="80" t="s">
        <v>13121</v>
      </c>
      <c r="I4313" s="17">
        <f ca="1">IFERROR(__xludf.DUMMYFUNCTION("""COMPUTED_VALUE"""),45565)</f>
        <v>45565</v>
      </c>
      <c r="J4313" s="143" t="s">
        <v>15157</v>
      </c>
      <c r="K4313" s="80" t="s">
        <v>15158</v>
      </c>
      <c r="L4313" s="30">
        <v>982771096</v>
      </c>
      <c r="M4313" s="80" t="s">
        <v>12644</v>
      </c>
      <c r="N4313" s="80" t="s">
        <v>8725</v>
      </c>
      <c r="O4313" s="80" t="s">
        <v>15159</v>
      </c>
      <c r="P4313" s="80" t="s">
        <v>13226</v>
      </c>
      <c r="Q4313" s="20">
        <v>9317</v>
      </c>
      <c r="R4313" s="80" t="s">
        <v>36</v>
      </c>
      <c r="S4313" s="95">
        <v>2000</v>
      </c>
      <c r="T4313" s="148">
        <v>45545</v>
      </c>
      <c r="U4313" s="95">
        <v>7317</v>
      </c>
      <c r="V4313" s="148">
        <v>45596</v>
      </c>
      <c r="W4313" s="85" t="s">
        <v>15160</v>
      </c>
      <c r="X4313" s="80"/>
      <c r="Y4313" s="22">
        <v>0</v>
      </c>
      <c r="Z4313" s="80" t="s">
        <v>50</v>
      </c>
      <c r="AA4313" s="96" t="s">
        <v>9905</v>
      </c>
      <c r="AB4313" s="80"/>
      <c r="AC4313" s="80" t="s">
        <v>53</v>
      </c>
      <c r="AD4313" s="80" t="s">
        <v>138</v>
      </c>
      <c r="AE4313" s="80"/>
      <c r="AF4313" s="17">
        <v>45565</v>
      </c>
      <c r="AG4313" s="80"/>
      <c r="AH4313" s="80"/>
      <c r="AI4313" s="147"/>
      <c r="AJ4313" s="80"/>
      <c r="AK4313" s="80"/>
      <c r="AL4313" s="35"/>
      <c r="AM4313" s="35"/>
      <c r="AN4313" s="35"/>
      <c r="AO4313" s="35"/>
      <c r="AP4313" s="35"/>
    </row>
    <row r="4314" spans="1:42" x14ac:dyDescent="0.2">
      <c r="A4314" s="126">
        <v>45546.792504560188</v>
      </c>
      <c r="B4314" s="137" t="s">
        <v>37</v>
      </c>
      <c r="C4314" s="41" t="s">
        <v>118</v>
      </c>
      <c r="D4314" s="80" t="s">
        <v>36</v>
      </c>
      <c r="E4314" s="80" t="s">
        <v>119</v>
      </c>
      <c r="F4314" s="80" t="s">
        <v>36</v>
      </c>
      <c r="G4314" s="26" t="s">
        <v>108</v>
      </c>
      <c r="H4314" s="80" t="s">
        <v>6919</v>
      </c>
      <c r="I4314" s="17">
        <f ca="1">IFERROR(__xludf.DUMMYFUNCTION("""COMPUTED_VALUE"""),45552)</f>
        <v>45552</v>
      </c>
      <c r="J4314" s="143" t="s">
        <v>15161</v>
      </c>
      <c r="K4314" s="80" t="s">
        <v>15022</v>
      </c>
      <c r="L4314" s="30">
        <v>968697142</v>
      </c>
      <c r="M4314" s="80" t="s">
        <v>5429</v>
      </c>
      <c r="N4314" s="80" t="s">
        <v>3065</v>
      </c>
      <c r="O4314" s="80" t="s">
        <v>61</v>
      </c>
      <c r="P4314" s="80" t="s">
        <v>6368</v>
      </c>
      <c r="Q4314" s="20">
        <v>13968</v>
      </c>
      <c r="R4314" s="80" t="s">
        <v>36</v>
      </c>
      <c r="S4314" s="95">
        <v>4000</v>
      </c>
      <c r="T4314" s="148">
        <v>45546</v>
      </c>
      <c r="U4314" s="95">
        <v>9968</v>
      </c>
      <c r="V4314" s="148">
        <v>45569</v>
      </c>
      <c r="W4314" s="85" t="s">
        <v>15162</v>
      </c>
      <c r="X4314" s="80"/>
      <c r="Y4314" s="22">
        <v>0</v>
      </c>
      <c r="Z4314" s="80" t="s">
        <v>50</v>
      </c>
      <c r="AA4314" s="35" t="s">
        <v>9905</v>
      </c>
      <c r="AB4314" s="80"/>
      <c r="AC4314" s="80" t="s">
        <v>53</v>
      </c>
      <c r="AD4314" s="80" t="s">
        <v>138</v>
      </c>
      <c r="AE4314" s="83">
        <v>490</v>
      </c>
      <c r="AF4314" s="17">
        <v>45552</v>
      </c>
      <c r="AG4314" s="26" t="s">
        <v>4996</v>
      </c>
      <c r="AH4314" s="80"/>
      <c r="AI4314" s="147"/>
      <c r="AJ4314" s="80"/>
      <c r="AK4314" s="80"/>
      <c r="AL4314" s="35"/>
      <c r="AM4314" s="35"/>
      <c r="AN4314" s="35"/>
      <c r="AO4314" s="35"/>
      <c r="AP4314" s="35"/>
    </row>
    <row r="4315" spans="1:42" x14ac:dyDescent="0.2">
      <c r="A4315" s="126">
        <v>45546.912506655091</v>
      </c>
      <c r="B4315" s="137" t="s">
        <v>37</v>
      </c>
      <c r="C4315" s="41" t="s">
        <v>118</v>
      </c>
      <c r="D4315" s="80" t="s">
        <v>36</v>
      </c>
      <c r="E4315" s="80" t="s">
        <v>77</v>
      </c>
      <c r="F4315" s="26" t="s">
        <v>36</v>
      </c>
      <c r="G4315" s="80" t="s">
        <v>41</v>
      </c>
      <c r="H4315" s="80" t="s">
        <v>13121</v>
      </c>
      <c r="I4315" s="17">
        <f ca="1">IFERROR(__xludf.DUMMYFUNCTION("""COMPUTED_VALUE"""),45565)</f>
        <v>45565</v>
      </c>
      <c r="J4315" s="143" t="s">
        <v>15163</v>
      </c>
      <c r="K4315" s="80" t="s">
        <v>15164</v>
      </c>
      <c r="L4315" s="30">
        <v>387367349</v>
      </c>
      <c r="M4315" s="80" t="s">
        <v>910</v>
      </c>
      <c r="N4315" s="80" t="s">
        <v>3525</v>
      </c>
      <c r="O4315" s="80" t="s">
        <v>91</v>
      </c>
      <c r="P4315" s="80" t="s">
        <v>12578</v>
      </c>
      <c r="Q4315" s="20">
        <v>1968</v>
      </c>
      <c r="R4315" s="80" t="s">
        <v>70</v>
      </c>
      <c r="S4315" s="95">
        <v>2000</v>
      </c>
      <c r="T4315" s="148">
        <v>45546</v>
      </c>
      <c r="U4315" s="77"/>
      <c r="V4315" s="78"/>
      <c r="W4315" s="85" t="s">
        <v>15165</v>
      </c>
      <c r="X4315" s="80"/>
      <c r="Y4315" s="22">
        <v>-32</v>
      </c>
      <c r="Z4315" s="80" t="s">
        <v>50</v>
      </c>
      <c r="AA4315" s="96" t="s">
        <v>9905</v>
      </c>
      <c r="AB4315" s="80"/>
      <c r="AC4315" s="80" t="s">
        <v>53</v>
      </c>
      <c r="AD4315" s="80" t="s">
        <v>138</v>
      </c>
      <c r="AE4315" s="80"/>
      <c r="AF4315" s="17">
        <v>45551</v>
      </c>
      <c r="AG4315" s="80" t="s">
        <v>7078</v>
      </c>
      <c r="AH4315" s="80"/>
      <c r="AI4315" s="147"/>
      <c r="AJ4315" s="80"/>
      <c r="AK4315" s="80"/>
      <c r="AL4315" s="35"/>
      <c r="AM4315" s="35"/>
      <c r="AN4315" s="35"/>
      <c r="AO4315" s="35"/>
      <c r="AP4315" s="35"/>
    </row>
    <row r="4316" spans="1:42" x14ac:dyDescent="0.2">
      <c r="A4316" s="126">
        <v>45546.961984351852</v>
      </c>
      <c r="B4316" s="137" t="s">
        <v>37</v>
      </c>
      <c r="C4316" s="41" t="s">
        <v>118</v>
      </c>
      <c r="D4316" s="80" t="s">
        <v>36</v>
      </c>
      <c r="E4316" s="80" t="s">
        <v>139</v>
      </c>
      <c r="F4316" s="80" t="s">
        <v>36</v>
      </c>
      <c r="G4316" s="80" t="s">
        <v>41</v>
      </c>
      <c r="H4316" s="80" t="s">
        <v>15166</v>
      </c>
      <c r="I4316" s="17">
        <f ca="1">IFERROR(__xludf.DUMMYFUNCTION("""COMPUTED_VALUE"""),45589)</f>
        <v>45589</v>
      </c>
      <c r="J4316" s="143" t="s">
        <v>15167</v>
      </c>
      <c r="K4316" s="80" t="s">
        <v>15168</v>
      </c>
      <c r="L4316" s="30">
        <v>925852165</v>
      </c>
      <c r="M4316" s="80" t="s">
        <v>12644</v>
      </c>
      <c r="N4316" s="80" t="s">
        <v>8725</v>
      </c>
      <c r="O4316" s="80" t="s">
        <v>15169</v>
      </c>
      <c r="P4316" s="80" t="s">
        <v>13226</v>
      </c>
      <c r="Q4316" s="20">
        <v>15936</v>
      </c>
      <c r="R4316" s="80" t="s">
        <v>70</v>
      </c>
      <c r="S4316" s="178">
        <f>200+15636</f>
        <v>15836</v>
      </c>
      <c r="T4316" s="83" t="s">
        <v>15170</v>
      </c>
      <c r="U4316" s="77"/>
      <c r="V4316" s="78"/>
      <c r="W4316" s="85" t="s">
        <v>15171</v>
      </c>
      <c r="X4316" s="80"/>
      <c r="Y4316" s="22">
        <v>100</v>
      </c>
      <c r="Z4316" s="80" t="s">
        <v>50</v>
      </c>
      <c r="AA4316" s="35" t="s">
        <v>9905</v>
      </c>
      <c r="AB4316" s="80"/>
      <c r="AC4316" s="80" t="s">
        <v>53</v>
      </c>
      <c r="AD4316" s="80" t="s">
        <v>138</v>
      </c>
      <c r="AE4316" s="80"/>
      <c r="AF4316" s="43">
        <v>45589</v>
      </c>
      <c r="AG4316" s="80" t="s">
        <v>14199</v>
      </c>
      <c r="AH4316" s="80"/>
      <c r="AI4316" s="147"/>
      <c r="AJ4316" s="80"/>
      <c r="AK4316" s="80"/>
      <c r="AL4316" s="35"/>
      <c r="AM4316" s="35"/>
      <c r="AN4316" s="35"/>
      <c r="AO4316" s="35"/>
      <c r="AP4316" s="35"/>
    </row>
    <row r="4317" spans="1:42" x14ac:dyDescent="0.2">
      <c r="A4317" s="126">
        <v>45547.010929872689</v>
      </c>
      <c r="B4317" s="137" t="s">
        <v>37</v>
      </c>
      <c r="C4317" s="41" t="s">
        <v>118</v>
      </c>
      <c r="D4317" s="80" t="s">
        <v>36</v>
      </c>
      <c r="E4317" s="80" t="s">
        <v>56</v>
      </c>
      <c r="F4317" s="80" t="s">
        <v>36</v>
      </c>
      <c r="G4317" s="26" t="s">
        <v>41</v>
      </c>
      <c r="H4317" s="80" t="s">
        <v>11845</v>
      </c>
      <c r="I4317" s="17">
        <f ca="1">IFERROR(__xludf.DUMMYFUNCTION("""COMPUTED_VALUE"""),45552)</f>
        <v>45552</v>
      </c>
      <c r="J4317" s="143" t="s">
        <v>14346</v>
      </c>
      <c r="K4317" s="80" t="s">
        <v>14347</v>
      </c>
      <c r="L4317" s="30">
        <v>816918886</v>
      </c>
      <c r="M4317" s="80" t="s">
        <v>5518</v>
      </c>
      <c r="N4317" s="80" t="s">
        <v>253</v>
      </c>
      <c r="O4317" s="80" t="s">
        <v>14348</v>
      </c>
      <c r="P4317" s="80" t="s">
        <v>5462</v>
      </c>
      <c r="Q4317" s="20">
        <v>9317</v>
      </c>
      <c r="R4317" s="80" t="s">
        <v>36</v>
      </c>
      <c r="S4317" s="95">
        <f t="shared" ref="S4317:S4318" si="80">200+1800</f>
        <v>2000</v>
      </c>
      <c r="T4317" s="83" t="s">
        <v>14349</v>
      </c>
      <c r="U4317" s="95">
        <v>7317</v>
      </c>
      <c r="V4317" s="148">
        <v>45568</v>
      </c>
      <c r="W4317" s="85" t="s">
        <v>14350</v>
      </c>
      <c r="X4317" s="80"/>
      <c r="Y4317" s="22">
        <v>0</v>
      </c>
      <c r="Z4317" s="80" t="s">
        <v>50</v>
      </c>
      <c r="AA4317" s="96" t="s">
        <v>9905</v>
      </c>
      <c r="AB4317" s="80"/>
      <c r="AC4317" s="80" t="s">
        <v>53</v>
      </c>
      <c r="AD4317" s="80" t="s">
        <v>138</v>
      </c>
      <c r="AE4317" s="80"/>
      <c r="AF4317" s="17">
        <v>45555</v>
      </c>
      <c r="AG4317" s="80"/>
      <c r="AH4317" s="80"/>
      <c r="AI4317" s="147"/>
      <c r="AJ4317" s="80"/>
      <c r="AK4317" s="80"/>
      <c r="AL4317" s="35"/>
      <c r="AM4317" s="35"/>
      <c r="AN4317" s="35"/>
      <c r="AO4317" s="35"/>
      <c r="AP4317" s="35"/>
    </row>
    <row r="4318" spans="1:42" x14ac:dyDescent="0.2">
      <c r="A4318" s="126">
        <v>45547.898181863427</v>
      </c>
      <c r="B4318" s="137" t="s">
        <v>37</v>
      </c>
      <c r="C4318" s="41" t="s">
        <v>118</v>
      </c>
      <c r="D4318" s="80" t="s">
        <v>36</v>
      </c>
      <c r="E4318" s="80" t="s">
        <v>77</v>
      </c>
      <c r="F4318" s="80" t="s">
        <v>36</v>
      </c>
      <c r="G4318" s="80" t="s">
        <v>41</v>
      </c>
      <c r="H4318" s="80" t="s">
        <v>12937</v>
      </c>
      <c r="I4318" s="17">
        <f ca="1">IFERROR(__xludf.DUMMYFUNCTION("""COMPUTED_VALUE"""),45552)</f>
        <v>45552</v>
      </c>
      <c r="J4318" s="143" t="s">
        <v>15172</v>
      </c>
      <c r="K4318" s="80" t="s">
        <v>15173</v>
      </c>
      <c r="L4318" s="30">
        <v>964564802</v>
      </c>
      <c r="M4318" s="80" t="s">
        <v>12720</v>
      </c>
      <c r="N4318" s="80" t="s">
        <v>1073</v>
      </c>
      <c r="O4318" s="80" t="s">
        <v>15174</v>
      </c>
      <c r="P4318" s="80" t="s">
        <v>15175</v>
      </c>
      <c r="Q4318" s="20">
        <v>1968</v>
      </c>
      <c r="R4318" s="80" t="s">
        <v>36</v>
      </c>
      <c r="S4318" s="95">
        <f t="shared" si="80"/>
        <v>2000</v>
      </c>
      <c r="T4318" s="148">
        <v>45546</v>
      </c>
      <c r="U4318" s="95"/>
      <c r="V4318" s="148">
        <v>45547</v>
      </c>
      <c r="W4318" s="85" t="s">
        <v>15176</v>
      </c>
      <c r="X4318" s="80"/>
      <c r="Y4318" s="22">
        <v>-32</v>
      </c>
      <c r="Z4318" s="80" t="s">
        <v>50</v>
      </c>
      <c r="AA4318" s="35" t="s">
        <v>9905</v>
      </c>
      <c r="AB4318" s="80"/>
      <c r="AC4318" s="80" t="s">
        <v>53</v>
      </c>
      <c r="AD4318" s="80" t="s">
        <v>54</v>
      </c>
      <c r="AE4318" s="83">
        <v>0</v>
      </c>
      <c r="AF4318" s="17">
        <v>45548</v>
      </c>
      <c r="AG4318" s="80" t="s">
        <v>7078</v>
      </c>
      <c r="AH4318" s="80"/>
      <c r="AI4318" s="147"/>
      <c r="AJ4318" s="80"/>
      <c r="AK4318" s="80"/>
      <c r="AL4318" s="35"/>
      <c r="AM4318" s="35"/>
      <c r="AN4318" s="35"/>
      <c r="AO4318" s="35"/>
      <c r="AP4318" s="35"/>
    </row>
    <row r="4319" spans="1:42" x14ac:dyDescent="0.2">
      <c r="A4319" s="126">
        <v>45547.899983148149</v>
      </c>
      <c r="B4319" s="137" t="s">
        <v>37</v>
      </c>
      <c r="C4319" s="41" t="s">
        <v>118</v>
      </c>
      <c r="D4319" s="80" t="s">
        <v>36</v>
      </c>
      <c r="E4319" s="80" t="s">
        <v>139</v>
      </c>
      <c r="F4319" s="80" t="s">
        <v>36</v>
      </c>
      <c r="G4319" s="80" t="s">
        <v>41</v>
      </c>
      <c r="H4319" s="80" t="s">
        <v>12937</v>
      </c>
      <c r="I4319" s="17">
        <f ca="1">IFERROR(__xludf.DUMMYFUNCTION("""COMPUTED_VALUE"""),45552)</f>
        <v>45552</v>
      </c>
      <c r="J4319" s="143" t="s">
        <v>15177</v>
      </c>
      <c r="K4319" s="80" t="s">
        <v>15178</v>
      </c>
      <c r="L4319" s="30">
        <v>865994085</v>
      </c>
      <c r="M4319" s="80" t="s">
        <v>12529</v>
      </c>
      <c r="N4319" s="80" t="s">
        <v>466</v>
      </c>
      <c r="O4319" s="80" t="s">
        <v>15179</v>
      </c>
      <c r="P4319" s="144" t="s">
        <v>15180</v>
      </c>
      <c r="Q4319" s="20">
        <v>15936</v>
      </c>
      <c r="R4319" s="80" t="s">
        <v>36</v>
      </c>
      <c r="S4319" s="95">
        <v>2000</v>
      </c>
      <c r="T4319" s="148">
        <v>45546</v>
      </c>
      <c r="U4319" s="95">
        <v>13936</v>
      </c>
      <c r="V4319" s="169">
        <v>45586</v>
      </c>
      <c r="W4319" s="85" t="s">
        <v>15181</v>
      </c>
      <c r="X4319" s="80"/>
      <c r="Y4319" s="22">
        <v>0</v>
      </c>
      <c r="Z4319" s="80" t="s">
        <v>50</v>
      </c>
      <c r="AA4319" s="96" t="s">
        <v>9905</v>
      </c>
      <c r="AB4319" s="80"/>
      <c r="AC4319" s="80" t="s">
        <v>53</v>
      </c>
      <c r="AD4319" s="80" t="s">
        <v>54</v>
      </c>
      <c r="AE4319" s="83">
        <v>0</v>
      </c>
      <c r="AF4319" s="17">
        <v>45548</v>
      </c>
      <c r="AG4319" s="80" t="s">
        <v>15182</v>
      </c>
      <c r="AH4319" s="80"/>
      <c r="AI4319" s="147"/>
      <c r="AJ4319" s="80"/>
      <c r="AK4319" s="80"/>
      <c r="AL4319" s="35"/>
      <c r="AM4319" s="35"/>
      <c r="AN4319" s="35"/>
      <c r="AO4319" s="35"/>
      <c r="AP4319" s="35"/>
    </row>
    <row r="4320" spans="1:42" x14ac:dyDescent="0.2">
      <c r="A4320" s="126">
        <v>45547.902957557875</v>
      </c>
      <c r="B4320" s="137" t="s">
        <v>37</v>
      </c>
      <c r="C4320" s="41" t="s">
        <v>118</v>
      </c>
      <c r="D4320" s="80" t="s">
        <v>36</v>
      </c>
      <c r="E4320" s="80" t="s">
        <v>119</v>
      </c>
      <c r="F4320" s="80" t="s">
        <v>36</v>
      </c>
      <c r="G4320" s="80" t="s">
        <v>108</v>
      </c>
      <c r="H4320" s="80" t="s">
        <v>9825</v>
      </c>
      <c r="I4320" s="17">
        <f ca="1">IFERROR(__xludf.DUMMYFUNCTION("""COMPUTED_VALUE"""),45548)</f>
        <v>45548</v>
      </c>
      <c r="J4320" s="143" t="s">
        <v>15183</v>
      </c>
      <c r="K4320" s="80" t="s">
        <v>15184</v>
      </c>
      <c r="L4320" s="30">
        <v>862405899</v>
      </c>
      <c r="M4320" s="80" t="s">
        <v>12529</v>
      </c>
      <c r="N4320" s="80" t="s">
        <v>466</v>
      </c>
      <c r="O4320" s="80" t="s">
        <v>1492</v>
      </c>
      <c r="P4320" s="80" t="s">
        <v>15185</v>
      </c>
      <c r="Q4320" s="20">
        <v>13968</v>
      </c>
      <c r="R4320" s="80" t="s">
        <v>36</v>
      </c>
      <c r="S4320" s="95">
        <v>4000</v>
      </c>
      <c r="T4320" s="148">
        <v>45547</v>
      </c>
      <c r="U4320" s="95">
        <v>9968</v>
      </c>
      <c r="V4320" s="148">
        <v>45580</v>
      </c>
      <c r="W4320" s="85" t="s">
        <v>15186</v>
      </c>
      <c r="X4320" s="80"/>
      <c r="Y4320" s="22">
        <v>0</v>
      </c>
      <c r="Z4320" s="80" t="s">
        <v>50</v>
      </c>
      <c r="AA4320" s="35" t="s">
        <v>9905</v>
      </c>
      <c r="AB4320" s="80"/>
      <c r="AC4320" s="80" t="s">
        <v>53</v>
      </c>
      <c r="AD4320" s="80" t="s">
        <v>54</v>
      </c>
      <c r="AE4320" s="83">
        <v>450</v>
      </c>
      <c r="AF4320" s="17">
        <v>45548</v>
      </c>
      <c r="AG4320" s="80"/>
      <c r="AH4320" s="80"/>
      <c r="AI4320" s="147"/>
      <c r="AJ4320" s="80"/>
      <c r="AK4320" s="80"/>
      <c r="AL4320" s="35"/>
      <c r="AM4320" s="35"/>
      <c r="AN4320" s="35"/>
      <c r="AO4320" s="35"/>
      <c r="AP4320" s="35"/>
    </row>
    <row r="4321" spans="1:42" x14ac:dyDescent="0.2">
      <c r="A4321" s="126">
        <v>45547.988221724532</v>
      </c>
      <c r="B4321" s="137" t="s">
        <v>37</v>
      </c>
      <c r="C4321" s="41" t="s">
        <v>118</v>
      </c>
      <c r="D4321" s="80" t="s">
        <v>36</v>
      </c>
      <c r="E4321" s="80" t="s">
        <v>139</v>
      </c>
      <c r="F4321" s="80" t="s">
        <v>36</v>
      </c>
      <c r="G4321" s="80" t="s">
        <v>41</v>
      </c>
      <c r="H4321" s="80" t="s">
        <v>12799</v>
      </c>
      <c r="I4321" s="17">
        <f ca="1">IFERROR(__xludf.DUMMYFUNCTION("""COMPUTED_VALUE"""),45559)</f>
        <v>45559</v>
      </c>
      <c r="J4321" s="143" t="s">
        <v>14422</v>
      </c>
      <c r="K4321" s="80" t="s">
        <v>14423</v>
      </c>
      <c r="L4321" s="30">
        <v>966804176</v>
      </c>
      <c r="M4321" s="80" t="s">
        <v>348</v>
      </c>
      <c r="N4321" s="80" t="s">
        <v>4299</v>
      </c>
      <c r="O4321" s="80" t="s">
        <v>14424</v>
      </c>
      <c r="P4321" s="80" t="s">
        <v>14425</v>
      </c>
      <c r="Q4321" s="20">
        <v>15936</v>
      </c>
      <c r="R4321" s="80" t="s">
        <v>1106</v>
      </c>
      <c r="S4321" s="95">
        <f t="shared" ref="S4321:S4322" si="81">200+4000</f>
        <v>4200</v>
      </c>
      <c r="T4321" s="83" t="s">
        <v>14426</v>
      </c>
      <c r="U4321" s="95">
        <f t="shared" ref="U4321:U4322" si="82">11486+100</f>
        <v>11586</v>
      </c>
      <c r="V4321" s="83" t="s">
        <v>14427</v>
      </c>
      <c r="W4321" s="85" t="s">
        <v>14428</v>
      </c>
      <c r="X4321" s="80"/>
      <c r="Y4321" s="22">
        <v>150</v>
      </c>
      <c r="Z4321" s="80" t="s">
        <v>50</v>
      </c>
      <c r="AA4321" s="96" t="s">
        <v>9905</v>
      </c>
      <c r="AB4321" s="80"/>
      <c r="AC4321" s="80" t="s">
        <v>53</v>
      </c>
      <c r="AD4321" s="80" t="s">
        <v>138</v>
      </c>
      <c r="AE4321" s="80" t="s">
        <v>430</v>
      </c>
      <c r="AF4321" s="17">
        <v>45559</v>
      </c>
      <c r="AG4321" s="80"/>
      <c r="AH4321" s="80"/>
      <c r="AI4321" s="147"/>
      <c r="AJ4321" s="80"/>
      <c r="AK4321" s="80"/>
      <c r="AL4321" s="35"/>
      <c r="AM4321" s="35"/>
      <c r="AN4321" s="35"/>
      <c r="AO4321" s="35"/>
      <c r="AP4321" s="35"/>
    </row>
    <row r="4322" spans="1:42" x14ac:dyDescent="0.2">
      <c r="A4322" s="126">
        <v>45547.990800081017</v>
      </c>
      <c r="B4322" s="137" t="s">
        <v>37</v>
      </c>
      <c r="C4322" s="41" t="s">
        <v>118</v>
      </c>
      <c r="D4322" s="80" t="s">
        <v>36</v>
      </c>
      <c r="E4322" s="80" t="s">
        <v>139</v>
      </c>
      <c r="F4322" s="80" t="s">
        <v>36</v>
      </c>
      <c r="G4322" s="80" t="s">
        <v>41</v>
      </c>
      <c r="H4322" s="80" t="s">
        <v>12799</v>
      </c>
      <c r="I4322" s="17">
        <f ca="1">IFERROR(__xludf.DUMMYFUNCTION("""COMPUTED_VALUE"""),45559)</f>
        <v>45559</v>
      </c>
      <c r="J4322" s="143" t="s">
        <v>14430</v>
      </c>
      <c r="K4322" s="80" t="s">
        <v>15187</v>
      </c>
      <c r="L4322" s="30">
        <v>358713864</v>
      </c>
      <c r="M4322" s="80" t="s">
        <v>59</v>
      </c>
      <c r="N4322" s="80" t="s">
        <v>4299</v>
      </c>
      <c r="O4322" s="80" t="s">
        <v>14432</v>
      </c>
      <c r="P4322" s="80" t="s">
        <v>12687</v>
      </c>
      <c r="Q4322" s="20">
        <v>15936</v>
      </c>
      <c r="R4322" s="80" t="s">
        <v>1106</v>
      </c>
      <c r="S4322" s="95">
        <f t="shared" si="81"/>
        <v>4200</v>
      </c>
      <c r="T4322" s="83" t="s">
        <v>14426</v>
      </c>
      <c r="U4322" s="95">
        <f t="shared" si="82"/>
        <v>11586</v>
      </c>
      <c r="V4322" s="83" t="s">
        <v>14427</v>
      </c>
      <c r="W4322" s="85" t="s">
        <v>14433</v>
      </c>
      <c r="X4322" s="80"/>
      <c r="Y4322" s="22">
        <v>150</v>
      </c>
      <c r="Z4322" s="80" t="s">
        <v>50</v>
      </c>
      <c r="AA4322" s="35" t="s">
        <v>9905</v>
      </c>
      <c r="AB4322" s="80"/>
      <c r="AC4322" s="80" t="s">
        <v>53</v>
      </c>
      <c r="AD4322" s="80" t="s">
        <v>138</v>
      </c>
      <c r="AE4322" s="80" t="s">
        <v>72</v>
      </c>
      <c r="AF4322" s="17">
        <v>45559</v>
      </c>
      <c r="AG4322" s="80"/>
      <c r="AH4322" s="80"/>
      <c r="AI4322" s="147"/>
      <c r="AJ4322" s="80"/>
      <c r="AK4322" s="80"/>
      <c r="AL4322" s="35"/>
      <c r="AM4322" s="35"/>
      <c r="AN4322" s="35"/>
      <c r="AO4322" s="35"/>
      <c r="AP4322" s="35"/>
    </row>
    <row r="4323" spans="1:42" x14ac:dyDescent="0.2">
      <c r="A4323" s="126">
        <v>45548.483293796293</v>
      </c>
      <c r="B4323" s="137" t="s">
        <v>37</v>
      </c>
      <c r="C4323" s="41" t="s">
        <v>118</v>
      </c>
      <c r="D4323" s="80" t="s">
        <v>36</v>
      </c>
      <c r="E4323" s="80" t="s">
        <v>139</v>
      </c>
      <c r="F4323" s="80" t="s">
        <v>36</v>
      </c>
      <c r="G4323" s="80" t="s">
        <v>41</v>
      </c>
      <c r="H4323" s="80" t="s">
        <v>15188</v>
      </c>
      <c r="I4323" s="17" t="str">
        <f ca="1">IFERROR(__xludf.DUMMYFUNCTION("""COMPUTED_VALUE""")," ")</f>
        <v xml:space="preserve"> </v>
      </c>
      <c r="J4323" s="143" t="s">
        <v>15189</v>
      </c>
      <c r="K4323" s="80" t="s">
        <v>15190</v>
      </c>
      <c r="L4323" s="30">
        <v>847562969</v>
      </c>
      <c r="M4323" s="80" t="s">
        <v>2755</v>
      </c>
      <c r="N4323" s="80" t="s">
        <v>2756</v>
      </c>
      <c r="O4323" s="80" t="s">
        <v>4503</v>
      </c>
      <c r="P4323" s="80" t="s">
        <v>7649</v>
      </c>
      <c r="Q4323" s="20">
        <v>15936</v>
      </c>
      <c r="R4323" s="80" t="s">
        <v>36</v>
      </c>
      <c r="S4323" s="95">
        <v>2200</v>
      </c>
      <c r="T4323" s="148">
        <v>45548</v>
      </c>
      <c r="U4323" s="178">
        <v>13736</v>
      </c>
      <c r="V4323" s="169">
        <v>45573</v>
      </c>
      <c r="W4323" s="79" t="s">
        <v>15191</v>
      </c>
      <c r="X4323" s="80"/>
      <c r="Y4323" s="22">
        <v>0</v>
      </c>
      <c r="Z4323" s="80" t="s">
        <v>50</v>
      </c>
      <c r="AA4323" s="96" t="s">
        <v>9905</v>
      </c>
      <c r="AB4323" s="80"/>
      <c r="AC4323" s="80" t="s">
        <v>53</v>
      </c>
      <c r="AD4323" s="80" t="s">
        <v>138</v>
      </c>
      <c r="AE4323" s="80"/>
      <c r="AF4323" s="17">
        <v>45551</v>
      </c>
      <c r="AG4323" s="80"/>
      <c r="AH4323" s="80"/>
      <c r="AI4323" s="147"/>
      <c r="AJ4323" s="80"/>
      <c r="AK4323" s="80"/>
      <c r="AL4323" s="35"/>
      <c r="AM4323" s="35"/>
      <c r="AN4323" s="35"/>
      <c r="AO4323" s="35"/>
      <c r="AP4323" s="35"/>
    </row>
    <row r="4324" spans="1:42" x14ac:dyDescent="0.2">
      <c r="A4324" s="126">
        <v>45548.493475150462</v>
      </c>
      <c r="B4324" s="137" t="s">
        <v>37</v>
      </c>
      <c r="C4324" s="41" t="s">
        <v>118</v>
      </c>
      <c r="D4324" s="80" t="s">
        <v>36</v>
      </c>
      <c r="E4324" s="80" t="s">
        <v>139</v>
      </c>
      <c r="F4324" s="80" t="s">
        <v>36</v>
      </c>
      <c r="G4324" s="80" t="s">
        <v>41</v>
      </c>
      <c r="H4324" s="80" t="s">
        <v>11347</v>
      </c>
      <c r="I4324" s="17">
        <f ca="1">IFERROR(__xludf.DUMMYFUNCTION("""COMPUTED_VALUE"""),45551)</f>
        <v>45551</v>
      </c>
      <c r="J4324" s="143" t="s">
        <v>15192</v>
      </c>
      <c r="K4324" s="80" t="s">
        <v>15193</v>
      </c>
      <c r="L4324" s="30">
        <v>334683286</v>
      </c>
      <c r="M4324" s="80" t="s">
        <v>3498</v>
      </c>
      <c r="N4324" s="80" t="s">
        <v>2756</v>
      </c>
      <c r="O4324" s="80" t="s">
        <v>4503</v>
      </c>
      <c r="P4324" s="80" t="s">
        <v>3694</v>
      </c>
      <c r="Q4324" s="20">
        <v>15936</v>
      </c>
      <c r="R4324" s="80" t="s">
        <v>36</v>
      </c>
      <c r="S4324" s="95">
        <v>2200</v>
      </c>
      <c r="T4324" s="148">
        <v>45548</v>
      </c>
      <c r="U4324" s="95">
        <v>13736</v>
      </c>
      <c r="V4324" s="148">
        <v>45570</v>
      </c>
      <c r="W4324" s="80" t="s">
        <v>15194</v>
      </c>
      <c r="X4324" s="80"/>
      <c r="Y4324" s="22">
        <v>0</v>
      </c>
      <c r="Z4324" s="80" t="s">
        <v>50</v>
      </c>
      <c r="AA4324" s="35" t="s">
        <v>9905</v>
      </c>
      <c r="AB4324" s="80"/>
      <c r="AC4324" s="80" t="s">
        <v>53</v>
      </c>
      <c r="AD4324" s="80" t="s">
        <v>138</v>
      </c>
      <c r="AE4324" s="80"/>
      <c r="AF4324" s="17">
        <v>45551</v>
      </c>
      <c r="AG4324" s="80"/>
      <c r="AH4324" s="80"/>
      <c r="AI4324" s="147"/>
      <c r="AJ4324" s="80"/>
      <c r="AK4324" s="80"/>
      <c r="AL4324" s="35"/>
      <c r="AM4324" s="35"/>
      <c r="AN4324" s="35"/>
      <c r="AO4324" s="35"/>
      <c r="AP4324" s="35"/>
    </row>
    <row r="4325" spans="1:42" x14ac:dyDescent="0.2">
      <c r="A4325" s="126">
        <v>45548.502424733801</v>
      </c>
      <c r="B4325" s="137" t="s">
        <v>37</v>
      </c>
      <c r="C4325" s="41" t="s">
        <v>118</v>
      </c>
      <c r="D4325" s="80" t="s">
        <v>36</v>
      </c>
      <c r="E4325" s="80" t="s">
        <v>139</v>
      </c>
      <c r="F4325" s="26" t="s">
        <v>36</v>
      </c>
      <c r="G4325" s="80" t="s">
        <v>41</v>
      </c>
      <c r="H4325" s="80" t="s">
        <v>9626</v>
      </c>
      <c r="I4325" s="17">
        <f ca="1">IFERROR(__xludf.DUMMYFUNCTION("""COMPUTED_VALUE"""),45559)</f>
        <v>45559</v>
      </c>
      <c r="J4325" s="143" t="s">
        <v>14195</v>
      </c>
      <c r="K4325" s="80" t="s">
        <v>14196</v>
      </c>
      <c r="L4325" s="30">
        <v>946892813</v>
      </c>
      <c r="M4325" s="80" t="s">
        <v>2755</v>
      </c>
      <c r="N4325" s="80" t="s">
        <v>2756</v>
      </c>
      <c r="O4325" s="80" t="s">
        <v>4503</v>
      </c>
      <c r="P4325" s="80" t="s">
        <v>14197</v>
      </c>
      <c r="Q4325" s="20">
        <v>15936</v>
      </c>
      <c r="R4325" s="80" t="s">
        <v>36</v>
      </c>
      <c r="S4325" s="95">
        <v>4200</v>
      </c>
      <c r="T4325" s="148">
        <v>45547</v>
      </c>
      <c r="U4325" s="178">
        <v>11736</v>
      </c>
      <c r="V4325" s="169">
        <v>45573</v>
      </c>
      <c r="W4325" s="79" t="s">
        <v>14198</v>
      </c>
      <c r="X4325" s="80"/>
      <c r="Y4325" s="22">
        <v>0</v>
      </c>
      <c r="Z4325" s="80" t="s">
        <v>50</v>
      </c>
      <c r="AA4325" s="96" t="s">
        <v>9905</v>
      </c>
      <c r="AB4325" s="80"/>
      <c r="AC4325" s="80" t="s">
        <v>53</v>
      </c>
      <c r="AD4325" s="80" t="s">
        <v>138</v>
      </c>
      <c r="AE4325" s="80"/>
      <c r="AF4325" s="17">
        <v>45559</v>
      </c>
      <c r="AG4325" s="80"/>
      <c r="AH4325" s="80"/>
      <c r="AI4325" s="147"/>
      <c r="AJ4325" s="80"/>
      <c r="AK4325" s="80"/>
      <c r="AL4325" s="35"/>
      <c r="AM4325" s="35"/>
      <c r="AN4325" s="35"/>
      <c r="AO4325" s="35"/>
      <c r="AP4325" s="35"/>
    </row>
    <row r="4326" spans="1:42" x14ac:dyDescent="0.2">
      <c r="A4326" s="126">
        <v>45548.52882688657</v>
      </c>
      <c r="B4326" s="137" t="s">
        <v>37</v>
      </c>
      <c r="C4326" s="41" t="s">
        <v>118</v>
      </c>
      <c r="D4326" s="80" t="s">
        <v>36</v>
      </c>
      <c r="E4326" s="80" t="s">
        <v>915</v>
      </c>
      <c r="F4326" s="80" t="s">
        <v>36</v>
      </c>
      <c r="G4326" s="80" t="s">
        <v>221</v>
      </c>
      <c r="H4326" s="80" t="s">
        <v>9941</v>
      </c>
      <c r="I4326" s="17">
        <f ca="1">IFERROR(__xludf.DUMMYFUNCTION("""COMPUTED_VALUE"""),45554)</f>
        <v>45554</v>
      </c>
      <c r="J4326" s="143" t="s">
        <v>15195</v>
      </c>
      <c r="K4326" s="80" t="s">
        <v>15196</v>
      </c>
      <c r="L4326" s="30">
        <v>394214897</v>
      </c>
      <c r="M4326" s="80" t="s">
        <v>3498</v>
      </c>
      <c r="N4326" s="80" t="s">
        <v>2756</v>
      </c>
      <c r="O4326" s="80" t="s">
        <v>4503</v>
      </c>
      <c r="P4326" s="144" t="s">
        <v>15197</v>
      </c>
      <c r="Q4326" s="20">
        <v>10894</v>
      </c>
      <c r="R4326" s="80" t="s">
        <v>36</v>
      </c>
      <c r="S4326" s="95">
        <v>4000</v>
      </c>
      <c r="T4326" s="148">
        <v>45548</v>
      </c>
      <c r="U4326" s="178">
        <v>6894</v>
      </c>
      <c r="V4326" s="169">
        <v>45569</v>
      </c>
      <c r="W4326" s="85" t="s">
        <v>15198</v>
      </c>
      <c r="X4326" s="80"/>
      <c r="Y4326" s="22">
        <v>0</v>
      </c>
      <c r="Z4326" s="80" t="s">
        <v>50</v>
      </c>
      <c r="AA4326" s="35" t="s">
        <v>9905</v>
      </c>
      <c r="AB4326" s="80"/>
      <c r="AC4326" s="80" t="s">
        <v>53</v>
      </c>
      <c r="AD4326" s="80" t="s">
        <v>54</v>
      </c>
      <c r="AE4326" s="80"/>
      <c r="AF4326" s="17">
        <v>45553</v>
      </c>
      <c r="AG4326" s="80"/>
      <c r="AH4326" s="80"/>
      <c r="AI4326" s="147"/>
      <c r="AJ4326" s="80"/>
      <c r="AK4326" s="80"/>
      <c r="AL4326" s="35"/>
      <c r="AM4326" s="35"/>
      <c r="AN4326" s="35"/>
      <c r="AO4326" s="35"/>
      <c r="AP4326" s="35"/>
    </row>
    <row r="4327" spans="1:42" x14ac:dyDescent="0.2">
      <c r="A4327" s="126">
        <v>45548.637723981483</v>
      </c>
      <c r="B4327" s="137" t="s">
        <v>37</v>
      </c>
      <c r="C4327" s="41" t="s">
        <v>118</v>
      </c>
      <c r="D4327" s="80" t="s">
        <v>36</v>
      </c>
      <c r="E4327" s="80" t="s">
        <v>139</v>
      </c>
      <c r="F4327" s="26" t="s">
        <v>36</v>
      </c>
      <c r="G4327" s="26" t="s">
        <v>41</v>
      </c>
      <c r="H4327" s="80" t="s">
        <v>12766</v>
      </c>
      <c r="I4327" s="17">
        <f ca="1">IFERROR(__xludf.DUMMYFUNCTION("""COMPUTED_VALUE"""),45555)</f>
        <v>45555</v>
      </c>
      <c r="J4327" s="143" t="s">
        <v>14118</v>
      </c>
      <c r="K4327" s="145" t="s">
        <v>14119</v>
      </c>
      <c r="L4327" s="30">
        <v>337675222</v>
      </c>
      <c r="M4327" s="80" t="s">
        <v>910</v>
      </c>
      <c r="N4327" s="80" t="s">
        <v>3525</v>
      </c>
      <c r="O4327" s="80" t="s">
        <v>91</v>
      </c>
      <c r="P4327" s="80" t="s">
        <v>14120</v>
      </c>
      <c r="Q4327" s="20">
        <v>15936</v>
      </c>
      <c r="R4327" s="80" t="s">
        <v>36</v>
      </c>
      <c r="S4327" s="95">
        <f>200+1800</f>
        <v>2000</v>
      </c>
      <c r="T4327" s="170">
        <v>45550</v>
      </c>
      <c r="U4327" s="95">
        <v>13936</v>
      </c>
      <c r="V4327" s="148">
        <v>45566</v>
      </c>
      <c r="W4327" s="85" t="s">
        <v>14121</v>
      </c>
      <c r="X4327" s="80"/>
      <c r="Y4327" s="22">
        <v>0</v>
      </c>
      <c r="Z4327" s="80" t="s">
        <v>50</v>
      </c>
      <c r="AA4327" s="96" t="s">
        <v>9905</v>
      </c>
      <c r="AB4327" s="80"/>
      <c r="AC4327" s="80" t="s">
        <v>53</v>
      </c>
      <c r="AD4327" s="80" t="s">
        <v>138</v>
      </c>
      <c r="AE4327" s="80"/>
      <c r="AF4327" s="17">
        <v>45555</v>
      </c>
      <c r="AG4327" s="80"/>
      <c r="AH4327" s="80"/>
      <c r="AI4327" s="147"/>
      <c r="AJ4327" s="80"/>
      <c r="AK4327" s="80"/>
      <c r="AL4327" s="35"/>
      <c r="AM4327" s="35"/>
      <c r="AN4327" s="35"/>
      <c r="AO4327" s="35"/>
      <c r="AP4327" s="35"/>
    </row>
    <row r="4328" spans="1:42" x14ac:dyDescent="0.2">
      <c r="A4328" s="126">
        <v>45548.669486296298</v>
      </c>
      <c r="B4328" s="137" t="s">
        <v>37</v>
      </c>
      <c r="C4328" s="41" t="s">
        <v>118</v>
      </c>
      <c r="D4328" s="80" t="s">
        <v>36</v>
      </c>
      <c r="E4328" s="80" t="s">
        <v>139</v>
      </c>
      <c r="F4328" s="80" t="s">
        <v>36</v>
      </c>
      <c r="G4328" s="80" t="s">
        <v>41</v>
      </c>
      <c r="H4328" s="80" t="s">
        <v>15199</v>
      </c>
      <c r="I4328" s="17">
        <f ca="1">IFERROR(__xludf.DUMMYFUNCTION("""COMPUTED_VALUE"""),45579)</f>
        <v>45579</v>
      </c>
      <c r="J4328" s="143" t="s">
        <v>15200</v>
      </c>
      <c r="K4328" s="80" t="s">
        <v>15201</v>
      </c>
      <c r="L4328" s="30">
        <v>382850104</v>
      </c>
      <c r="M4328" s="80" t="s">
        <v>5429</v>
      </c>
      <c r="N4328" s="80" t="s">
        <v>11095</v>
      </c>
      <c r="O4328" s="80" t="s">
        <v>6822</v>
      </c>
      <c r="P4328" s="80" t="s">
        <v>7107</v>
      </c>
      <c r="Q4328" s="20">
        <v>15936</v>
      </c>
      <c r="R4328" s="80" t="s">
        <v>36</v>
      </c>
      <c r="S4328" s="95">
        <v>2000</v>
      </c>
      <c r="T4328" s="148">
        <v>45548</v>
      </c>
      <c r="U4328" s="95">
        <v>13936</v>
      </c>
      <c r="V4328" s="148">
        <v>45596</v>
      </c>
      <c r="W4328" s="85" t="s">
        <v>15202</v>
      </c>
      <c r="X4328" s="80"/>
      <c r="Y4328" s="22">
        <v>0</v>
      </c>
      <c r="Z4328" s="80" t="s">
        <v>50</v>
      </c>
      <c r="AA4328" s="35" t="s">
        <v>9905</v>
      </c>
      <c r="AB4328" s="80"/>
      <c r="AC4328" s="80" t="s">
        <v>53</v>
      </c>
      <c r="AD4328" s="80" t="s">
        <v>138</v>
      </c>
      <c r="AE4328" s="80" t="s">
        <v>76</v>
      </c>
      <c r="AF4328" s="17">
        <v>45559</v>
      </c>
      <c r="AG4328" s="80"/>
      <c r="AH4328" s="80"/>
      <c r="AI4328" s="147"/>
      <c r="AJ4328" s="80"/>
      <c r="AK4328" s="80"/>
      <c r="AL4328" s="35"/>
      <c r="AM4328" s="35"/>
      <c r="AN4328" s="35"/>
      <c r="AO4328" s="35"/>
      <c r="AP4328" s="35"/>
    </row>
    <row r="4329" spans="1:42" x14ac:dyDescent="0.2">
      <c r="A4329" s="126">
        <v>45548.762629884259</v>
      </c>
      <c r="B4329" s="137" t="s">
        <v>37</v>
      </c>
      <c r="C4329" s="41" t="s">
        <v>118</v>
      </c>
      <c r="D4329" s="80" t="s">
        <v>36</v>
      </c>
      <c r="E4329" s="80" t="s">
        <v>139</v>
      </c>
      <c r="F4329" s="80" t="s">
        <v>36</v>
      </c>
      <c r="G4329" s="80" t="s">
        <v>41</v>
      </c>
      <c r="H4329" s="80" t="s">
        <v>12474</v>
      </c>
      <c r="I4329" s="17">
        <f ca="1">IFERROR(__xludf.DUMMYFUNCTION("""COMPUTED_VALUE"""),45551)</f>
        <v>45551</v>
      </c>
      <c r="J4329" s="143" t="s">
        <v>14275</v>
      </c>
      <c r="K4329" s="80" t="s">
        <v>6318</v>
      </c>
      <c r="L4329" s="30">
        <v>343639375</v>
      </c>
      <c r="M4329" s="80" t="s">
        <v>2755</v>
      </c>
      <c r="N4329" s="80" t="s">
        <v>4402</v>
      </c>
      <c r="O4329" s="80" t="s">
        <v>4503</v>
      </c>
      <c r="P4329" s="80" t="s">
        <v>7649</v>
      </c>
      <c r="Q4329" s="20">
        <v>15936</v>
      </c>
      <c r="R4329" s="80" t="s">
        <v>36</v>
      </c>
      <c r="S4329" s="95">
        <v>4200</v>
      </c>
      <c r="T4329" s="148">
        <v>45540</v>
      </c>
      <c r="U4329" s="95">
        <v>11736</v>
      </c>
      <c r="V4329" s="148">
        <v>45573</v>
      </c>
      <c r="W4329" s="80" t="s">
        <v>14276</v>
      </c>
      <c r="X4329" s="80"/>
      <c r="Y4329" s="22">
        <v>0</v>
      </c>
      <c r="Z4329" s="80" t="s">
        <v>50</v>
      </c>
      <c r="AA4329" s="96" t="s">
        <v>9905</v>
      </c>
      <c r="AB4329" s="80"/>
      <c r="AC4329" s="80" t="s">
        <v>53</v>
      </c>
      <c r="AD4329" s="80" t="s">
        <v>138</v>
      </c>
      <c r="AE4329" s="80"/>
      <c r="AF4329" s="17">
        <v>45551</v>
      </c>
      <c r="AG4329" s="80"/>
      <c r="AH4329" s="80"/>
      <c r="AI4329" s="147"/>
      <c r="AJ4329" s="80"/>
      <c r="AK4329" s="80"/>
      <c r="AL4329" s="35"/>
      <c r="AM4329" s="35"/>
      <c r="AN4329" s="35"/>
      <c r="AO4329" s="35"/>
      <c r="AP4329" s="35"/>
    </row>
    <row r="4330" spans="1:42" x14ac:dyDescent="0.2">
      <c r="A4330" s="126">
        <v>45548.765648483793</v>
      </c>
      <c r="B4330" s="137" t="s">
        <v>37</v>
      </c>
      <c r="C4330" s="41" t="s">
        <v>118</v>
      </c>
      <c r="D4330" s="80" t="s">
        <v>36</v>
      </c>
      <c r="E4330" s="80" t="s">
        <v>139</v>
      </c>
      <c r="F4330" s="80" t="s">
        <v>40</v>
      </c>
      <c r="G4330" s="80" t="s">
        <v>41</v>
      </c>
      <c r="H4330" s="80" t="s">
        <v>12737</v>
      </c>
      <c r="I4330" s="17">
        <f ca="1">IFERROR(__xludf.DUMMYFUNCTION("""COMPUTED_VALUE"""),45562)</f>
        <v>45562</v>
      </c>
      <c r="J4330" s="143" t="s">
        <v>14472</v>
      </c>
      <c r="K4330" s="80" t="s">
        <v>15203</v>
      </c>
      <c r="L4330" s="30">
        <v>886442246</v>
      </c>
      <c r="M4330" s="80" t="s">
        <v>12529</v>
      </c>
      <c r="N4330" s="80" t="s">
        <v>466</v>
      </c>
      <c r="O4330" s="80" t="s">
        <v>14474</v>
      </c>
      <c r="P4330" s="115" t="s">
        <v>14475</v>
      </c>
      <c r="Q4330" s="20">
        <v>15936</v>
      </c>
      <c r="R4330" s="80" t="s">
        <v>36</v>
      </c>
      <c r="S4330" s="95">
        <f>200+1800</f>
        <v>2000</v>
      </c>
      <c r="T4330" s="83" t="s">
        <v>14476</v>
      </c>
      <c r="U4330" s="95">
        <v>13936</v>
      </c>
      <c r="V4330" s="148">
        <v>37908</v>
      </c>
      <c r="W4330" s="85" t="s">
        <v>14477</v>
      </c>
      <c r="X4330" s="80"/>
      <c r="Y4330" s="22">
        <v>0</v>
      </c>
      <c r="Z4330" s="80" t="s">
        <v>50</v>
      </c>
      <c r="AA4330" s="35" t="s">
        <v>9905</v>
      </c>
      <c r="AB4330" s="80"/>
      <c r="AC4330" s="80" t="s">
        <v>53</v>
      </c>
      <c r="AD4330" s="80" t="s">
        <v>54</v>
      </c>
      <c r="AE4330" s="83">
        <v>0</v>
      </c>
      <c r="AF4330" s="17">
        <v>45556</v>
      </c>
      <c r="AG4330" s="80"/>
      <c r="AH4330" s="80"/>
      <c r="AI4330" s="147"/>
      <c r="AJ4330" s="80"/>
      <c r="AK4330" s="80"/>
      <c r="AL4330" s="35"/>
      <c r="AM4330" s="35"/>
      <c r="AN4330" s="35"/>
      <c r="AO4330" s="35"/>
      <c r="AP4330" s="35"/>
    </row>
    <row r="4331" spans="1:42" x14ac:dyDescent="0.2">
      <c r="A4331" s="126">
        <v>45548.968951724542</v>
      </c>
      <c r="B4331" s="137" t="s">
        <v>37</v>
      </c>
      <c r="C4331" s="41" t="s">
        <v>118</v>
      </c>
      <c r="D4331" s="80" t="s">
        <v>36</v>
      </c>
      <c r="E4331" s="80" t="s">
        <v>77</v>
      </c>
      <c r="F4331" s="80" t="s">
        <v>36</v>
      </c>
      <c r="G4331" s="80" t="s">
        <v>41</v>
      </c>
      <c r="H4331" s="80" t="s">
        <v>15204</v>
      </c>
      <c r="I4331" s="17" t="str">
        <f ca="1">IFERROR(__xludf.DUMMYFUNCTION("""COMPUTED_VALUE""")," ")</f>
        <v xml:space="preserve"> </v>
      </c>
      <c r="J4331" s="143" t="s">
        <v>15205</v>
      </c>
      <c r="K4331" s="80" t="s">
        <v>15206</v>
      </c>
      <c r="L4331" s="30">
        <v>346099308</v>
      </c>
      <c r="M4331" s="80" t="s">
        <v>2755</v>
      </c>
      <c r="N4331" s="80" t="s">
        <v>2756</v>
      </c>
      <c r="O4331" s="80" t="s">
        <v>4503</v>
      </c>
      <c r="P4331" s="80" t="s">
        <v>7649</v>
      </c>
      <c r="Q4331" s="20">
        <v>1968</v>
      </c>
      <c r="R4331" s="80" t="s">
        <v>36</v>
      </c>
      <c r="S4331" s="95">
        <v>2000</v>
      </c>
      <c r="T4331" s="148">
        <v>45548</v>
      </c>
      <c r="U4331" s="77"/>
      <c r="V4331" s="78"/>
      <c r="W4331" s="80" t="s">
        <v>15207</v>
      </c>
      <c r="X4331" s="80"/>
      <c r="Y4331" s="22">
        <v>-32</v>
      </c>
      <c r="Z4331" s="80" t="s">
        <v>50</v>
      </c>
      <c r="AA4331" s="96" t="s">
        <v>9905</v>
      </c>
      <c r="AB4331" s="80"/>
      <c r="AC4331" s="80" t="s">
        <v>53</v>
      </c>
      <c r="AD4331" s="80" t="s">
        <v>138</v>
      </c>
      <c r="AE4331" s="80"/>
      <c r="AF4331" s="17">
        <v>45551</v>
      </c>
      <c r="AG4331" s="80" t="s">
        <v>7078</v>
      </c>
      <c r="AH4331" s="80"/>
      <c r="AI4331" s="147"/>
      <c r="AJ4331" s="80"/>
      <c r="AK4331" s="80"/>
      <c r="AL4331" s="35"/>
      <c r="AM4331" s="35"/>
      <c r="AN4331" s="35"/>
      <c r="AO4331" s="35"/>
      <c r="AP4331" s="35"/>
    </row>
    <row r="4332" spans="1:42" x14ac:dyDescent="0.2">
      <c r="A4332" s="126">
        <v>45549.770931180552</v>
      </c>
      <c r="B4332" s="137" t="s">
        <v>37</v>
      </c>
      <c r="C4332" s="41" t="s">
        <v>118</v>
      </c>
      <c r="D4332" s="80" t="s">
        <v>36</v>
      </c>
      <c r="E4332" s="80" t="s">
        <v>39</v>
      </c>
      <c r="F4332" s="80" t="s">
        <v>40</v>
      </c>
      <c r="G4332" s="80" t="s">
        <v>41</v>
      </c>
      <c r="H4332" s="80" t="s">
        <v>13106</v>
      </c>
      <c r="I4332" s="17">
        <f ca="1">IFERROR(__xludf.DUMMYFUNCTION("""COMPUTED_VALUE"""),45557)</f>
        <v>45557</v>
      </c>
      <c r="J4332" s="143" t="s">
        <v>14398</v>
      </c>
      <c r="K4332" s="80" t="s">
        <v>15208</v>
      </c>
      <c r="L4332" s="30">
        <v>919026528</v>
      </c>
      <c r="M4332" s="80" t="s">
        <v>5558</v>
      </c>
      <c r="N4332" s="80" t="s">
        <v>5277</v>
      </c>
      <c r="O4332" s="80" t="s">
        <v>4503</v>
      </c>
      <c r="P4332" s="80" t="s">
        <v>14456</v>
      </c>
      <c r="Q4332" s="20">
        <v>5736</v>
      </c>
      <c r="R4332" s="80" t="s">
        <v>70</v>
      </c>
      <c r="S4332" s="95">
        <v>2000</v>
      </c>
      <c r="T4332" s="148">
        <v>45549</v>
      </c>
      <c r="U4332" s="95">
        <f t="shared" ref="U4332:U4333" si="83">3635+1</f>
        <v>3636</v>
      </c>
      <c r="V4332" s="170">
        <v>45574</v>
      </c>
      <c r="W4332" s="85" t="s">
        <v>14401</v>
      </c>
      <c r="X4332" s="80"/>
      <c r="Y4332" s="22">
        <v>100</v>
      </c>
      <c r="Z4332" s="80" t="s">
        <v>50</v>
      </c>
      <c r="AA4332" s="35" t="s">
        <v>9905</v>
      </c>
      <c r="AB4332" s="144" t="s">
        <v>14402</v>
      </c>
      <c r="AC4332" s="80" t="s">
        <v>53</v>
      </c>
      <c r="AD4332" s="80" t="s">
        <v>54</v>
      </c>
      <c r="AE4332" s="80"/>
      <c r="AF4332" s="17">
        <v>45554</v>
      </c>
      <c r="AG4332" s="80" t="s">
        <v>7078</v>
      </c>
      <c r="AH4332" s="80"/>
      <c r="AI4332" s="147"/>
      <c r="AJ4332" s="80"/>
      <c r="AK4332" s="80"/>
      <c r="AL4332" s="35"/>
      <c r="AM4332" s="35"/>
      <c r="AN4332" s="35"/>
      <c r="AO4332" s="35"/>
      <c r="AP4332" s="35"/>
    </row>
    <row r="4333" spans="1:42" x14ac:dyDescent="0.2">
      <c r="A4333" s="126">
        <v>45549.773072962962</v>
      </c>
      <c r="B4333" s="137" t="s">
        <v>37</v>
      </c>
      <c r="C4333" s="41" t="s">
        <v>118</v>
      </c>
      <c r="D4333" s="80" t="s">
        <v>36</v>
      </c>
      <c r="E4333" s="80" t="s">
        <v>39</v>
      </c>
      <c r="F4333" s="80" t="s">
        <v>40</v>
      </c>
      <c r="G4333" s="80" t="s">
        <v>41</v>
      </c>
      <c r="H4333" s="80" t="s">
        <v>13106</v>
      </c>
      <c r="I4333" s="17">
        <f ca="1">IFERROR(__xludf.DUMMYFUNCTION("""COMPUTED_VALUE"""),45557)</f>
        <v>45557</v>
      </c>
      <c r="J4333" s="143" t="s">
        <v>14454</v>
      </c>
      <c r="K4333" s="80" t="s">
        <v>15209</v>
      </c>
      <c r="L4333" s="30">
        <v>824290406</v>
      </c>
      <c r="M4333" s="80" t="s">
        <v>5558</v>
      </c>
      <c r="N4333" s="80" t="s">
        <v>5277</v>
      </c>
      <c r="O4333" s="80" t="s">
        <v>4503</v>
      </c>
      <c r="P4333" s="80" t="s">
        <v>14456</v>
      </c>
      <c r="Q4333" s="20">
        <v>5736</v>
      </c>
      <c r="R4333" s="80" t="s">
        <v>70</v>
      </c>
      <c r="S4333" s="95">
        <v>2000</v>
      </c>
      <c r="T4333" s="148">
        <v>45549</v>
      </c>
      <c r="U4333" s="95">
        <f t="shared" si="83"/>
        <v>3636</v>
      </c>
      <c r="V4333" s="170">
        <v>41921</v>
      </c>
      <c r="W4333" s="85" t="s">
        <v>14457</v>
      </c>
      <c r="X4333" s="80"/>
      <c r="Y4333" s="22">
        <v>100</v>
      </c>
      <c r="Z4333" s="80" t="s">
        <v>50</v>
      </c>
      <c r="AA4333" s="96" t="s">
        <v>9905</v>
      </c>
      <c r="AB4333" s="144" t="s">
        <v>14402</v>
      </c>
      <c r="AC4333" s="80" t="s">
        <v>53</v>
      </c>
      <c r="AD4333" s="80" t="s">
        <v>54</v>
      </c>
      <c r="AE4333" s="80"/>
      <c r="AF4333" s="17">
        <v>45554</v>
      </c>
      <c r="AG4333" s="80" t="s">
        <v>7078</v>
      </c>
      <c r="AH4333" s="80"/>
      <c r="AI4333" s="147"/>
      <c r="AJ4333" s="80"/>
      <c r="AK4333" s="80"/>
      <c r="AL4333" s="35"/>
      <c r="AM4333" s="35"/>
      <c r="AN4333" s="35"/>
      <c r="AO4333" s="35"/>
      <c r="AP4333" s="35"/>
    </row>
    <row r="4334" spans="1:42" x14ac:dyDescent="0.2">
      <c r="A4334" s="126">
        <v>45549.885113923607</v>
      </c>
      <c r="B4334" s="137" t="s">
        <v>37</v>
      </c>
      <c r="C4334" s="41" t="s">
        <v>118</v>
      </c>
      <c r="D4334" s="80" t="s">
        <v>36</v>
      </c>
      <c r="E4334" s="80" t="s">
        <v>139</v>
      </c>
      <c r="F4334" s="80" t="s">
        <v>36</v>
      </c>
      <c r="G4334" s="80" t="s">
        <v>41</v>
      </c>
      <c r="H4334" s="80" t="s">
        <v>13121</v>
      </c>
      <c r="I4334" s="17">
        <f ca="1">IFERROR(__xludf.DUMMYFUNCTION("""COMPUTED_VALUE"""),45565)</f>
        <v>45565</v>
      </c>
      <c r="J4334" s="143" t="s">
        <v>15210</v>
      </c>
      <c r="K4334" s="80" t="s">
        <v>15211</v>
      </c>
      <c r="L4334" s="30">
        <v>368937229</v>
      </c>
      <c r="M4334" s="80" t="s">
        <v>3728</v>
      </c>
      <c r="N4334" s="80" t="s">
        <v>5312</v>
      </c>
      <c r="O4334" s="80" t="s">
        <v>15212</v>
      </c>
      <c r="P4334" s="80" t="s">
        <v>11644</v>
      </c>
      <c r="Q4334" s="20">
        <v>15936</v>
      </c>
      <c r="R4334" s="80" t="s">
        <v>1106</v>
      </c>
      <c r="S4334" s="95">
        <f t="shared" ref="S4334:S4336" si="84">200+1800</f>
        <v>2000</v>
      </c>
      <c r="T4334" s="83" t="s">
        <v>13119</v>
      </c>
      <c r="U4334" s="95">
        <v>13786</v>
      </c>
      <c r="V4334" s="169">
        <v>45594</v>
      </c>
      <c r="W4334" s="85" t="s">
        <v>15213</v>
      </c>
      <c r="X4334" s="80"/>
      <c r="Y4334" s="22">
        <v>150</v>
      </c>
      <c r="Z4334" s="80" t="s">
        <v>50</v>
      </c>
      <c r="AA4334" s="35" t="s">
        <v>9905</v>
      </c>
      <c r="AB4334" s="80"/>
      <c r="AC4334" s="80" t="s">
        <v>53</v>
      </c>
      <c r="AD4334" s="80" t="s">
        <v>138</v>
      </c>
      <c r="AE4334" s="80"/>
      <c r="AF4334" s="17">
        <v>45565</v>
      </c>
      <c r="AG4334" s="80"/>
      <c r="AH4334" s="80"/>
      <c r="AI4334" s="147"/>
      <c r="AJ4334" s="80"/>
      <c r="AK4334" s="80"/>
      <c r="AL4334" s="35"/>
      <c r="AM4334" s="35"/>
      <c r="AN4334" s="35"/>
      <c r="AO4334" s="35"/>
      <c r="AP4334" s="35"/>
    </row>
    <row r="4335" spans="1:42" x14ac:dyDescent="0.2">
      <c r="A4335" s="126">
        <v>45549.896244965275</v>
      </c>
      <c r="B4335" s="137" t="s">
        <v>37</v>
      </c>
      <c r="C4335" s="41" t="s">
        <v>118</v>
      </c>
      <c r="D4335" s="80" t="s">
        <v>36</v>
      </c>
      <c r="E4335" s="80" t="s">
        <v>139</v>
      </c>
      <c r="F4335" s="80" t="s">
        <v>36</v>
      </c>
      <c r="G4335" s="80" t="s">
        <v>41</v>
      </c>
      <c r="H4335" s="80" t="s">
        <v>13121</v>
      </c>
      <c r="I4335" s="17">
        <f ca="1">IFERROR(__xludf.DUMMYFUNCTION("""COMPUTED_VALUE"""),45565)</f>
        <v>45565</v>
      </c>
      <c r="J4335" s="143" t="s">
        <v>15214</v>
      </c>
      <c r="K4335" s="80" t="s">
        <v>15215</v>
      </c>
      <c r="L4335" s="30">
        <v>386253319</v>
      </c>
      <c r="M4335" s="80" t="s">
        <v>12720</v>
      </c>
      <c r="N4335" s="80" t="s">
        <v>1073</v>
      </c>
      <c r="O4335" s="80" t="s">
        <v>15216</v>
      </c>
      <c r="P4335" s="80" t="s">
        <v>15217</v>
      </c>
      <c r="Q4335" s="20">
        <v>15936</v>
      </c>
      <c r="R4335" s="80" t="s">
        <v>36</v>
      </c>
      <c r="S4335" s="95">
        <f t="shared" si="84"/>
        <v>2000</v>
      </c>
      <c r="T4335" s="83" t="s">
        <v>15218</v>
      </c>
      <c r="U4335" s="95">
        <v>13936</v>
      </c>
      <c r="V4335" s="148">
        <v>45585</v>
      </c>
      <c r="W4335" s="85" t="s">
        <v>15219</v>
      </c>
      <c r="X4335" s="80"/>
      <c r="Y4335" s="22">
        <v>0</v>
      </c>
      <c r="Z4335" s="80" t="s">
        <v>50</v>
      </c>
      <c r="AA4335" s="96" t="s">
        <v>9905</v>
      </c>
      <c r="AB4335" s="80"/>
      <c r="AC4335" s="80" t="s">
        <v>53</v>
      </c>
      <c r="AD4335" s="80" t="s">
        <v>138</v>
      </c>
      <c r="AE4335" s="83">
        <v>0</v>
      </c>
      <c r="AF4335" s="17">
        <v>45565</v>
      </c>
      <c r="AG4335" s="80"/>
      <c r="AH4335" s="80"/>
      <c r="AI4335" s="147"/>
      <c r="AJ4335" s="80"/>
      <c r="AK4335" s="80"/>
      <c r="AL4335" s="35"/>
      <c r="AM4335" s="35"/>
      <c r="AN4335" s="35"/>
      <c r="AO4335" s="35"/>
      <c r="AP4335" s="35"/>
    </row>
    <row r="4336" spans="1:42" x14ac:dyDescent="0.2">
      <c r="A4336" s="126">
        <v>45549.937228182869</v>
      </c>
      <c r="B4336" s="137" t="s">
        <v>37</v>
      </c>
      <c r="C4336" s="41" t="s">
        <v>118</v>
      </c>
      <c r="D4336" s="80" t="s">
        <v>36</v>
      </c>
      <c r="E4336" s="80" t="s">
        <v>56</v>
      </c>
      <c r="F4336" s="80" t="s">
        <v>40</v>
      </c>
      <c r="G4336" s="80" t="s">
        <v>41</v>
      </c>
      <c r="H4336" s="80" t="s">
        <v>13106</v>
      </c>
      <c r="I4336" s="17">
        <f ca="1">IFERROR(__xludf.DUMMYFUNCTION("""COMPUTED_VALUE"""),45557)</f>
        <v>45557</v>
      </c>
      <c r="J4336" s="143" t="s">
        <v>14403</v>
      </c>
      <c r="K4336" s="80" t="s">
        <v>14404</v>
      </c>
      <c r="L4336" s="30">
        <v>339771412</v>
      </c>
      <c r="M4336" s="80" t="s">
        <v>5429</v>
      </c>
      <c r="N4336" s="80" t="s">
        <v>9251</v>
      </c>
      <c r="O4336" s="80" t="s">
        <v>14405</v>
      </c>
      <c r="P4336" s="80" t="s">
        <v>15220</v>
      </c>
      <c r="Q4336" s="20">
        <v>9317</v>
      </c>
      <c r="R4336" s="80" t="s">
        <v>36</v>
      </c>
      <c r="S4336" s="95">
        <f t="shared" si="84"/>
        <v>2000</v>
      </c>
      <c r="T4336" s="83" t="s">
        <v>14407</v>
      </c>
      <c r="U4336" s="95">
        <v>7317</v>
      </c>
      <c r="V4336" s="148">
        <v>45573</v>
      </c>
      <c r="W4336" s="85" t="s">
        <v>14408</v>
      </c>
      <c r="X4336" s="80"/>
      <c r="Y4336" s="22">
        <v>0</v>
      </c>
      <c r="Z4336" s="80" t="s">
        <v>50</v>
      </c>
      <c r="AA4336" s="35" t="s">
        <v>9905</v>
      </c>
      <c r="AB4336" s="80"/>
      <c r="AC4336" s="80" t="s">
        <v>53</v>
      </c>
      <c r="AD4336" s="80" t="s">
        <v>54</v>
      </c>
      <c r="AE4336" s="80" t="s">
        <v>76</v>
      </c>
      <c r="AF4336" s="17">
        <v>45556</v>
      </c>
      <c r="AG4336" s="80"/>
      <c r="AH4336" s="80"/>
      <c r="AI4336" s="147"/>
      <c r="AJ4336" s="80"/>
      <c r="AK4336" s="80"/>
      <c r="AL4336" s="35"/>
      <c r="AM4336" s="35"/>
      <c r="AN4336" s="35"/>
      <c r="AO4336" s="35"/>
      <c r="AP4336" s="35"/>
    </row>
    <row r="4337" spans="1:42" x14ac:dyDescent="0.2">
      <c r="A4337" s="126">
        <v>45550.884333113427</v>
      </c>
      <c r="B4337" s="137" t="s">
        <v>37</v>
      </c>
      <c r="C4337" s="41" t="s">
        <v>118</v>
      </c>
      <c r="D4337" s="80" t="s">
        <v>36</v>
      </c>
      <c r="E4337" s="80" t="s">
        <v>139</v>
      </c>
      <c r="F4337" s="80" t="s">
        <v>40</v>
      </c>
      <c r="G4337" s="80" t="s">
        <v>41</v>
      </c>
      <c r="H4337" s="80" t="s">
        <v>11845</v>
      </c>
      <c r="I4337" s="17">
        <f ca="1">IFERROR(__xludf.DUMMYFUNCTION("""COMPUTED_VALUE"""),45552)</f>
        <v>45552</v>
      </c>
      <c r="J4337" s="143" t="s">
        <v>14565</v>
      </c>
      <c r="K4337" s="80" t="s">
        <v>14566</v>
      </c>
      <c r="L4337" s="30">
        <v>858383787</v>
      </c>
      <c r="M4337" s="80" t="s">
        <v>2755</v>
      </c>
      <c r="N4337" s="80" t="s">
        <v>2756</v>
      </c>
      <c r="O4337" s="80" t="s">
        <v>4503</v>
      </c>
      <c r="P4337" s="80" t="s">
        <v>3694</v>
      </c>
      <c r="Q4337" s="20">
        <v>15936</v>
      </c>
      <c r="R4337" s="80" t="s">
        <v>36</v>
      </c>
      <c r="S4337" s="95">
        <v>2168</v>
      </c>
      <c r="T4337" s="148">
        <v>45549</v>
      </c>
      <c r="U4337" s="178">
        <v>13768</v>
      </c>
      <c r="V4337" s="169">
        <v>45573</v>
      </c>
      <c r="W4337" s="80" t="s">
        <v>14567</v>
      </c>
      <c r="X4337" s="80"/>
      <c r="Y4337" s="22">
        <v>0</v>
      </c>
      <c r="Z4337" s="80" t="s">
        <v>50</v>
      </c>
      <c r="AA4337" s="96" t="s">
        <v>9905</v>
      </c>
      <c r="AB4337" s="80"/>
      <c r="AC4337" s="80" t="s">
        <v>53</v>
      </c>
      <c r="AD4337" s="80" t="s">
        <v>138</v>
      </c>
      <c r="AE4337" s="80"/>
      <c r="AF4337" s="17">
        <v>45555</v>
      </c>
      <c r="AG4337" s="80"/>
      <c r="AH4337" s="80"/>
      <c r="AI4337" s="147"/>
      <c r="AJ4337" s="80"/>
      <c r="AK4337" s="80"/>
      <c r="AL4337" s="35"/>
      <c r="AM4337" s="35"/>
      <c r="AN4337" s="35"/>
      <c r="AO4337" s="35"/>
      <c r="AP4337" s="35"/>
    </row>
    <row r="4338" spans="1:42" x14ac:dyDescent="0.2">
      <c r="A4338" s="126">
        <v>45550.964971666668</v>
      </c>
      <c r="B4338" s="137" t="s">
        <v>37</v>
      </c>
      <c r="C4338" s="41" t="s">
        <v>118</v>
      </c>
      <c r="D4338" s="80" t="s">
        <v>36</v>
      </c>
      <c r="E4338" s="80" t="s">
        <v>139</v>
      </c>
      <c r="F4338" s="80" t="s">
        <v>40</v>
      </c>
      <c r="G4338" s="26" t="s">
        <v>41</v>
      </c>
      <c r="H4338" s="80" t="s">
        <v>11610</v>
      </c>
      <c r="I4338" s="17">
        <f ca="1">IFERROR(__xludf.DUMMYFUNCTION("""COMPUTED_VALUE"""),45552)</f>
        <v>45552</v>
      </c>
      <c r="J4338" s="143" t="s">
        <v>14101</v>
      </c>
      <c r="K4338" s="80" t="s">
        <v>274</v>
      </c>
      <c r="L4338" s="30">
        <v>398078027</v>
      </c>
      <c r="M4338" s="80" t="s">
        <v>910</v>
      </c>
      <c r="N4338" s="80" t="s">
        <v>3525</v>
      </c>
      <c r="O4338" s="80" t="s">
        <v>91</v>
      </c>
      <c r="P4338" s="80" t="s">
        <v>12578</v>
      </c>
      <c r="Q4338" s="20">
        <v>15936</v>
      </c>
      <c r="R4338" s="80" t="s">
        <v>36</v>
      </c>
      <c r="S4338" s="95">
        <f>200+2000</f>
        <v>2200</v>
      </c>
      <c r="T4338" s="83" t="s">
        <v>14102</v>
      </c>
      <c r="U4338" s="95">
        <v>13736</v>
      </c>
      <c r="V4338" s="148">
        <v>45568</v>
      </c>
      <c r="W4338" s="85" t="s">
        <v>14103</v>
      </c>
      <c r="X4338" s="80"/>
      <c r="Y4338" s="22">
        <v>0</v>
      </c>
      <c r="Z4338" s="80" t="s">
        <v>50</v>
      </c>
      <c r="AA4338" s="35" t="s">
        <v>9905</v>
      </c>
      <c r="AB4338" s="80"/>
      <c r="AC4338" s="80" t="s">
        <v>53</v>
      </c>
      <c r="AD4338" s="80" t="s">
        <v>138</v>
      </c>
      <c r="AE4338" s="80"/>
      <c r="AF4338" s="17">
        <v>45551</v>
      </c>
      <c r="AG4338" s="80"/>
      <c r="AH4338" s="80"/>
      <c r="AI4338" s="147"/>
      <c r="AJ4338" s="80"/>
      <c r="AK4338" s="80"/>
      <c r="AL4338" s="35"/>
      <c r="AM4338" s="35"/>
      <c r="AN4338" s="35"/>
      <c r="AO4338" s="35"/>
      <c r="AP4338" s="35"/>
    </row>
    <row r="4339" spans="1:42" x14ac:dyDescent="0.2">
      <c r="A4339" s="126">
        <v>45550.966552708334</v>
      </c>
      <c r="B4339" s="137" t="s">
        <v>37</v>
      </c>
      <c r="C4339" s="41" t="s">
        <v>118</v>
      </c>
      <c r="D4339" s="80" t="s">
        <v>36</v>
      </c>
      <c r="E4339" s="80" t="s">
        <v>139</v>
      </c>
      <c r="F4339" s="80" t="s">
        <v>40</v>
      </c>
      <c r="G4339" s="26" t="s">
        <v>41</v>
      </c>
      <c r="H4339" s="80" t="s">
        <v>11610</v>
      </c>
      <c r="I4339" s="17">
        <f ca="1">IFERROR(__xludf.DUMMYFUNCTION("""COMPUTED_VALUE"""),45552)</f>
        <v>45552</v>
      </c>
      <c r="J4339" s="143" t="s">
        <v>14093</v>
      </c>
      <c r="K4339" s="80" t="s">
        <v>15221</v>
      </c>
      <c r="L4339" s="30">
        <v>912865733</v>
      </c>
      <c r="M4339" s="80" t="s">
        <v>910</v>
      </c>
      <c r="N4339" s="80" t="s">
        <v>3525</v>
      </c>
      <c r="O4339" s="80" t="s">
        <v>91</v>
      </c>
      <c r="P4339" s="80" t="s">
        <v>12578</v>
      </c>
      <c r="Q4339" s="20">
        <v>15936</v>
      </c>
      <c r="R4339" s="80" t="s">
        <v>70</v>
      </c>
      <c r="S4339" s="95">
        <v>2000</v>
      </c>
      <c r="T4339" s="148">
        <v>45550</v>
      </c>
      <c r="U4339" s="95">
        <v>13936</v>
      </c>
      <c r="V4339" s="148">
        <v>45566</v>
      </c>
      <c r="W4339" s="85" t="s">
        <v>14095</v>
      </c>
      <c r="X4339" s="80"/>
      <c r="Y4339" s="22">
        <v>0</v>
      </c>
      <c r="Z4339" s="80" t="s">
        <v>50</v>
      </c>
      <c r="AA4339" s="96" t="s">
        <v>9905</v>
      </c>
      <c r="AB4339" s="80"/>
      <c r="AC4339" s="80" t="s">
        <v>53</v>
      </c>
      <c r="AD4339" s="80" t="s">
        <v>138</v>
      </c>
      <c r="AE4339" s="80"/>
      <c r="AF4339" s="17">
        <v>45551</v>
      </c>
      <c r="AG4339" s="143" t="s">
        <v>14096</v>
      </c>
      <c r="AH4339" s="80"/>
      <c r="AI4339" s="147"/>
      <c r="AJ4339" s="80"/>
      <c r="AK4339" s="80"/>
      <c r="AL4339" s="35"/>
      <c r="AM4339" s="35"/>
      <c r="AN4339" s="35"/>
      <c r="AO4339" s="35"/>
      <c r="AP4339" s="35"/>
    </row>
    <row r="4340" spans="1:42" x14ac:dyDescent="0.2">
      <c r="A4340" s="126">
        <v>45550.990862314815</v>
      </c>
      <c r="B4340" s="137" t="s">
        <v>37</v>
      </c>
      <c r="C4340" s="41" t="s">
        <v>118</v>
      </c>
      <c r="D4340" s="80" t="s">
        <v>36</v>
      </c>
      <c r="E4340" s="80" t="s">
        <v>915</v>
      </c>
      <c r="F4340" s="80" t="s">
        <v>40</v>
      </c>
      <c r="G4340" s="26" t="s">
        <v>221</v>
      </c>
      <c r="H4340" s="80" t="s">
        <v>7024</v>
      </c>
      <c r="I4340" s="17">
        <f ca="1">IFERROR(__xludf.DUMMYFUNCTION("""COMPUTED_VALUE"""),45557)</f>
        <v>45557</v>
      </c>
      <c r="J4340" s="143" t="s">
        <v>15222</v>
      </c>
      <c r="K4340" s="80" t="s">
        <v>15223</v>
      </c>
      <c r="L4340" s="30">
        <v>976057421</v>
      </c>
      <c r="M4340" s="80" t="s">
        <v>5429</v>
      </c>
      <c r="N4340" s="80" t="s">
        <v>9180</v>
      </c>
      <c r="O4340" s="80" t="s">
        <v>15224</v>
      </c>
      <c r="P4340" s="80" t="s">
        <v>15225</v>
      </c>
      <c r="Q4340" s="20">
        <v>10894</v>
      </c>
      <c r="R4340" s="80" t="s">
        <v>36</v>
      </c>
      <c r="S4340" s="95">
        <v>4000</v>
      </c>
      <c r="T4340" s="148">
        <v>45550</v>
      </c>
      <c r="U4340" s="95">
        <v>6894</v>
      </c>
      <c r="V4340" s="148">
        <v>45572</v>
      </c>
      <c r="W4340" s="85" t="s">
        <v>15226</v>
      </c>
      <c r="X4340" s="80"/>
      <c r="Y4340" s="22">
        <v>0</v>
      </c>
      <c r="Z4340" s="80" t="s">
        <v>50</v>
      </c>
      <c r="AA4340" s="35" t="s">
        <v>9905</v>
      </c>
      <c r="AB4340" s="80"/>
      <c r="AC4340" s="80" t="s">
        <v>53</v>
      </c>
      <c r="AD4340" s="80" t="s">
        <v>138</v>
      </c>
      <c r="AE4340" s="83">
        <v>840</v>
      </c>
      <c r="AF4340" s="17">
        <v>45557</v>
      </c>
      <c r="AG4340" s="80"/>
      <c r="AH4340" s="80"/>
      <c r="AI4340" s="147"/>
      <c r="AJ4340" s="80"/>
      <c r="AK4340" s="80"/>
      <c r="AL4340" s="35"/>
      <c r="AM4340" s="35"/>
      <c r="AN4340" s="35"/>
      <c r="AO4340" s="35"/>
      <c r="AP4340" s="35"/>
    </row>
    <row r="4341" spans="1:42" x14ac:dyDescent="0.2">
      <c r="A4341" s="126">
        <v>45551.433890949076</v>
      </c>
      <c r="B4341" s="137" t="s">
        <v>37</v>
      </c>
      <c r="C4341" s="41" t="s">
        <v>118</v>
      </c>
      <c r="D4341" s="80" t="s">
        <v>36</v>
      </c>
      <c r="E4341" s="80" t="s">
        <v>119</v>
      </c>
      <c r="F4341" s="80" t="s">
        <v>36</v>
      </c>
      <c r="G4341" s="80" t="s">
        <v>108</v>
      </c>
      <c r="H4341" s="80" t="s">
        <v>10028</v>
      </c>
      <c r="I4341" s="17">
        <f ca="1">IFERROR(__xludf.DUMMYFUNCTION("""COMPUTED_VALUE"""),45562)</f>
        <v>45562</v>
      </c>
      <c r="J4341" s="143" t="s">
        <v>15227</v>
      </c>
      <c r="K4341" s="80" t="s">
        <v>15228</v>
      </c>
      <c r="L4341" s="30">
        <v>837181832</v>
      </c>
      <c r="M4341" s="80" t="s">
        <v>5429</v>
      </c>
      <c r="N4341" s="80" t="s">
        <v>81</v>
      </c>
      <c r="O4341" s="80" t="s">
        <v>2819</v>
      </c>
      <c r="P4341" s="80" t="s">
        <v>12597</v>
      </c>
      <c r="Q4341" s="20">
        <v>13968</v>
      </c>
      <c r="R4341" s="80" t="s">
        <v>70</v>
      </c>
      <c r="S4341" s="95">
        <v>4000</v>
      </c>
      <c r="T4341" s="148">
        <v>45551</v>
      </c>
      <c r="U4341" s="95">
        <v>9868</v>
      </c>
      <c r="V4341" s="148">
        <v>45587</v>
      </c>
      <c r="W4341" s="85" t="s">
        <v>15229</v>
      </c>
      <c r="X4341" s="80"/>
      <c r="Y4341" s="22">
        <v>100</v>
      </c>
      <c r="Z4341" s="80" t="s">
        <v>50</v>
      </c>
      <c r="AA4341" s="96" t="s">
        <v>9905</v>
      </c>
      <c r="AB4341" s="80"/>
      <c r="AC4341" s="80" t="s">
        <v>53</v>
      </c>
      <c r="AD4341" s="80" t="s">
        <v>138</v>
      </c>
      <c r="AE4341" s="83">
        <v>710</v>
      </c>
      <c r="AF4341" s="17">
        <v>45562</v>
      </c>
      <c r="AG4341" s="80"/>
      <c r="AH4341" s="80"/>
      <c r="AI4341" s="147"/>
      <c r="AJ4341" s="80"/>
      <c r="AK4341" s="80"/>
      <c r="AL4341" s="35"/>
      <c r="AM4341" s="35"/>
      <c r="AN4341" s="35"/>
      <c r="AO4341" s="35"/>
      <c r="AP4341" s="35"/>
    </row>
    <row r="4342" spans="1:42" x14ac:dyDescent="0.2">
      <c r="A4342" s="126">
        <v>45551.628663090276</v>
      </c>
      <c r="B4342" s="137" t="s">
        <v>37</v>
      </c>
      <c r="C4342" s="41" t="s">
        <v>118</v>
      </c>
      <c r="D4342" s="80" t="s">
        <v>36</v>
      </c>
      <c r="E4342" s="80" t="s">
        <v>39</v>
      </c>
      <c r="F4342" s="80" t="s">
        <v>40</v>
      </c>
      <c r="G4342" s="80" t="s">
        <v>6516</v>
      </c>
      <c r="H4342" s="80" t="s">
        <v>11707</v>
      </c>
      <c r="I4342" s="17">
        <f ca="1">IFERROR(__xludf.DUMMYFUNCTION("""COMPUTED_VALUE"""),45551)</f>
        <v>45551</v>
      </c>
      <c r="J4342" s="143" t="s">
        <v>15230</v>
      </c>
      <c r="K4342" s="80" t="s">
        <v>15231</v>
      </c>
      <c r="L4342" s="30">
        <v>969592331</v>
      </c>
      <c r="M4342" s="80" t="s">
        <v>123</v>
      </c>
      <c r="N4342" s="80" t="s">
        <v>2847</v>
      </c>
      <c r="O4342" s="80" t="s">
        <v>4503</v>
      </c>
      <c r="P4342" s="80" t="s">
        <v>3056</v>
      </c>
      <c r="Q4342" s="20">
        <v>5736</v>
      </c>
      <c r="R4342" s="80" t="s">
        <v>70</v>
      </c>
      <c r="S4342" s="95">
        <v>3000</v>
      </c>
      <c r="T4342" s="148">
        <v>45551</v>
      </c>
      <c r="U4342" s="95">
        <v>2636</v>
      </c>
      <c r="V4342" s="148">
        <v>45585</v>
      </c>
      <c r="W4342" s="85" t="s">
        <v>15232</v>
      </c>
      <c r="X4342" s="80"/>
      <c r="Y4342" s="22">
        <v>100</v>
      </c>
      <c r="Z4342" s="80" t="s">
        <v>50</v>
      </c>
      <c r="AA4342" s="35" t="s">
        <v>9905</v>
      </c>
      <c r="AB4342" s="80"/>
      <c r="AC4342" s="80" t="s">
        <v>53</v>
      </c>
      <c r="AD4342" s="80" t="s">
        <v>138</v>
      </c>
      <c r="AE4342" s="80"/>
      <c r="AF4342" s="17">
        <v>45551</v>
      </c>
      <c r="AG4342" s="80" t="s">
        <v>15233</v>
      </c>
      <c r="AH4342" s="80"/>
      <c r="AI4342" s="147"/>
      <c r="AJ4342" s="80"/>
      <c r="AK4342" s="80"/>
      <c r="AL4342" s="35"/>
      <c r="AM4342" s="35"/>
      <c r="AN4342" s="35"/>
      <c r="AO4342" s="35"/>
      <c r="AP4342" s="35"/>
    </row>
    <row r="4343" spans="1:42" x14ac:dyDescent="0.2">
      <c r="A4343" s="126">
        <v>45551.661903310189</v>
      </c>
      <c r="B4343" s="137" t="s">
        <v>37</v>
      </c>
      <c r="C4343" s="41" t="s">
        <v>118</v>
      </c>
      <c r="D4343" s="80" t="s">
        <v>36</v>
      </c>
      <c r="E4343" s="80" t="s">
        <v>56</v>
      </c>
      <c r="F4343" s="80" t="s">
        <v>40</v>
      </c>
      <c r="G4343" s="80" t="s">
        <v>41</v>
      </c>
      <c r="H4343" s="80" t="s">
        <v>11183</v>
      </c>
      <c r="I4343" s="17">
        <f ca="1">IFERROR(__xludf.DUMMYFUNCTION("""COMPUTED_VALUE"""),45554)</f>
        <v>45554</v>
      </c>
      <c r="J4343" s="143" t="s">
        <v>15234</v>
      </c>
      <c r="K4343" s="80" t="s">
        <v>15235</v>
      </c>
      <c r="L4343" s="30">
        <v>369407924</v>
      </c>
      <c r="M4343" s="80" t="s">
        <v>123</v>
      </c>
      <c r="N4343" s="80" t="s">
        <v>2847</v>
      </c>
      <c r="O4343" s="80" t="s">
        <v>15236</v>
      </c>
      <c r="P4343" s="80" t="s">
        <v>5794</v>
      </c>
      <c r="Q4343" s="20">
        <v>9317</v>
      </c>
      <c r="R4343" s="80" t="s">
        <v>1106</v>
      </c>
      <c r="S4343" s="95">
        <v>3000</v>
      </c>
      <c r="T4343" s="148">
        <v>45550</v>
      </c>
      <c r="U4343" s="95">
        <v>6167</v>
      </c>
      <c r="V4343" s="148">
        <v>45590</v>
      </c>
      <c r="W4343" s="85" t="s">
        <v>15237</v>
      </c>
      <c r="X4343" s="80"/>
      <c r="Y4343" s="22">
        <v>150</v>
      </c>
      <c r="Z4343" s="80" t="s">
        <v>50</v>
      </c>
      <c r="AA4343" s="96" t="s">
        <v>9905</v>
      </c>
      <c r="AB4343" s="80"/>
      <c r="AC4343" s="80" t="s">
        <v>53</v>
      </c>
      <c r="AD4343" s="80" t="s">
        <v>138</v>
      </c>
      <c r="AE4343" s="80"/>
      <c r="AF4343" s="17">
        <v>45554</v>
      </c>
      <c r="AG4343" s="80"/>
      <c r="AH4343" s="80"/>
      <c r="AI4343" s="147"/>
      <c r="AJ4343" s="80"/>
      <c r="AK4343" s="80"/>
      <c r="AL4343" s="35"/>
      <c r="AM4343" s="35"/>
      <c r="AN4343" s="35"/>
      <c r="AO4343" s="35"/>
      <c r="AP4343" s="35"/>
    </row>
    <row r="4344" spans="1:42" x14ac:dyDescent="0.2">
      <c r="A4344" s="126">
        <v>45551.670370925931</v>
      </c>
      <c r="B4344" s="137" t="s">
        <v>37</v>
      </c>
      <c r="C4344" s="41" t="s">
        <v>118</v>
      </c>
      <c r="D4344" s="80" t="s">
        <v>36</v>
      </c>
      <c r="E4344" s="80" t="s">
        <v>139</v>
      </c>
      <c r="F4344" s="26" t="s">
        <v>36</v>
      </c>
      <c r="G4344" s="80" t="s">
        <v>41</v>
      </c>
      <c r="H4344" s="80" t="s">
        <v>9626</v>
      </c>
      <c r="I4344" s="17">
        <f ca="1">IFERROR(__xludf.DUMMYFUNCTION("""COMPUTED_VALUE"""),45559)</f>
        <v>45559</v>
      </c>
      <c r="J4344" s="143" t="s">
        <v>15238</v>
      </c>
      <c r="K4344" s="80" t="s">
        <v>15239</v>
      </c>
      <c r="L4344" s="30">
        <v>936390504</v>
      </c>
      <c r="M4344" s="80" t="s">
        <v>5558</v>
      </c>
      <c r="N4344" s="80" t="s">
        <v>5559</v>
      </c>
      <c r="O4344" s="80" t="s">
        <v>15240</v>
      </c>
      <c r="P4344" s="80" t="s">
        <v>15241</v>
      </c>
      <c r="Q4344" s="20">
        <v>15936</v>
      </c>
      <c r="R4344" s="80" t="s">
        <v>36</v>
      </c>
      <c r="S4344" s="95">
        <f>200+3000</f>
        <v>3200</v>
      </c>
      <c r="T4344" s="83" t="s">
        <v>15242</v>
      </c>
      <c r="U4344" s="95">
        <v>12736</v>
      </c>
      <c r="V4344" s="169">
        <v>45575</v>
      </c>
      <c r="W4344" s="80" t="s">
        <v>15243</v>
      </c>
      <c r="X4344" s="80"/>
      <c r="Y4344" s="22">
        <v>0</v>
      </c>
      <c r="Z4344" s="80" t="s">
        <v>50</v>
      </c>
      <c r="AA4344" s="35" t="s">
        <v>9905</v>
      </c>
      <c r="AB4344" s="80"/>
      <c r="AC4344" s="80" t="s">
        <v>53</v>
      </c>
      <c r="AD4344" s="80" t="s">
        <v>138</v>
      </c>
      <c r="AE4344" s="80"/>
      <c r="AF4344" s="17">
        <v>45559</v>
      </c>
      <c r="AG4344" s="80"/>
      <c r="AH4344" s="80"/>
      <c r="AI4344" s="147"/>
      <c r="AJ4344" s="80"/>
      <c r="AK4344" s="80"/>
      <c r="AL4344" s="35"/>
      <c r="AM4344" s="35"/>
      <c r="AN4344" s="35"/>
      <c r="AO4344" s="35"/>
      <c r="AP4344" s="35"/>
    </row>
    <row r="4345" spans="1:42" x14ac:dyDescent="0.2">
      <c r="A4345" s="126">
        <v>45551.743733055555</v>
      </c>
      <c r="B4345" s="137" t="s">
        <v>37</v>
      </c>
      <c r="C4345" s="41" t="s">
        <v>118</v>
      </c>
      <c r="D4345" s="80" t="s">
        <v>36</v>
      </c>
      <c r="E4345" s="80" t="s">
        <v>139</v>
      </c>
      <c r="F4345" s="80" t="s">
        <v>36</v>
      </c>
      <c r="G4345" s="80" t="s">
        <v>41</v>
      </c>
      <c r="H4345" s="80" t="s">
        <v>11846</v>
      </c>
      <c r="I4345" s="17">
        <f ca="1">IFERROR(__xludf.DUMMYFUNCTION("""COMPUTED_VALUE"""),45560)</f>
        <v>45560</v>
      </c>
      <c r="J4345" s="143" t="s">
        <v>15244</v>
      </c>
      <c r="K4345" s="80" t="s">
        <v>15245</v>
      </c>
      <c r="L4345" s="30">
        <v>819607696</v>
      </c>
      <c r="M4345" s="80" t="s">
        <v>5558</v>
      </c>
      <c r="N4345" s="80" t="s">
        <v>5559</v>
      </c>
      <c r="O4345" s="80" t="s">
        <v>4503</v>
      </c>
      <c r="P4345" s="80" t="s">
        <v>14740</v>
      </c>
      <c r="Q4345" s="20">
        <v>15936</v>
      </c>
      <c r="R4345" s="80" t="s">
        <v>36</v>
      </c>
      <c r="S4345" s="95">
        <f>200+5000</f>
        <v>5200</v>
      </c>
      <c r="T4345" s="83" t="s">
        <v>14741</v>
      </c>
      <c r="U4345" s="95">
        <v>10936</v>
      </c>
      <c r="V4345" s="148">
        <v>45579</v>
      </c>
      <c r="W4345" s="85" t="s">
        <v>14742</v>
      </c>
      <c r="X4345" s="80"/>
      <c r="Y4345" s="22">
        <v>-200</v>
      </c>
      <c r="Z4345" s="80" t="s">
        <v>50</v>
      </c>
      <c r="AA4345" s="96" t="s">
        <v>9905</v>
      </c>
      <c r="AB4345" s="80"/>
      <c r="AC4345" s="80" t="s">
        <v>53</v>
      </c>
      <c r="AD4345" s="80" t="s">
        <v>54</v>
      </c>
      <c r="AE4345" s="80"/>
      <c r="AF4345" s="17">
        <v>45558</v>
      </c>
      <c r="AG4345" s="80"/>
      <c r="AH4345" s="80"/>
      <c r="AI4345" s="147"/>
      <c r="AJ4345" s="80"/>
      <c r="AK4345" s="80"/>
      <c r="AL4345" s="35"/>
      <c r="AM4345" s="35"/>
      <c r="AN4345" s="35"/>
      <c r="AO4345" s="35"/>
      <c r="AP4345" s="35"/>
    </row>
    <row r="4346" spans="1:42" x14ac:dyDescent="0.2">
      <c r="A4346" s="126">
        <v>45551.752457141207</v>
      </c>
      <c r="B4346" s="137" t="s">
        <v>37</v>
      </c>
      <c r="C4346" s="41" t="s">
        <v>118</v>
      </c>
      <c r="D4346" s="80" t="s">
        <v>36</v>
      </c>
      <c r="E4346" s="80" t="s">
        <v>139</v>
      </c>
      <c r="F4346" s="80" t="s">
        <v>40</v>
      </c>
      <c r="G4346" s="80" t="s">
        <v>41</v>
      </c>
      <c r="H4346" s="80" t="s">
        <v>13206</v>
      </c>
      <c r="I4346" s="17">
        <f ca="1">IFERROR(__xludf.DUMMYFUNCTION("""COMPUTED_VALUE"""),45559)</f>
        <v>45559</v>
      </c>
      <c r="J4346" s="143" t="s">
        <v>15246</v>
      </c>
      <c r="K4346" s="80" t="s">
        <v>15247</v>
      </c>
      <c r="L4346" s="30">
        <v>867468931</v>
      </c>
      <c r="M4346" s="80" t="s">
        <v>5558</v>
      </c>
      <c r="N4346" s="80" t="s">
        <v>5559</v>
      </c>
      <c r="O4346" s="80" t="s">
        <v>4503</v>
      </c>
      <c r="P4346" s="80" t="s">
        <v>15248</v>
      </c>
      <c r="Q4346" s="20">
        <v>15936</v>
      </c>
      <c r="R4346" s="80" t="s">
        <v>36</v>
      </c>
      <c r="S4346" s="95">
        <v>2000</v>
      </c>
      <c r="T4346" s="148">
        <v>45551</v>
      </c>
      <c r="U4346" s="95">
        <v>13936</v>
      </c>
      <c r="V4346" s="148">
        <v>45573</v>
      </c>
      <c r="W4346" s="85" t="s">
        <v>15249</v>
      </c>
      <c r="X4346" s="80"/>
      <c r="Y4346" s="22">
        <v>0</v>
      </c>
      <c r="Z4346" s="80" t="s">
        <v>50</v>
      </c>
      <c r="AA4346" s="35" t="s">
        <v>9905</v>
      </c>
      <c r="AB4346" s="80"/>
      <c r="AC4346" s="80" t="s">
        <v>53</v>
      </c>
      <c r="AD4346" s="80" t="s">
        <v>54</v>
      </c>
      <c r="AE4346" s="80"/>
      <c r="AF4346" s="17">
        <v>45553</v>
      </c>
      <c r="AG4346" s="80"/>
      <c r="AH4346" s="80"/>
      <c r="AI4346" s="147"/>
      <c r="AJ4346" s="80"/>
      <c r="AK4346" s="80"/>
      <c r="AL4346" s="35"/>
      <c r="AM4346" s="35"/>
      <c r="AN4346" s="35"/>
      <c r="AO4346" s="35"/>
      <c r="AP4346" s="35"/>
    </row>
    <row r="4347" spans="1:42" x14ac:dyDescent="0.2">
      <c r="A4347" s="126">
        <v>45551.755438587963</v>
      </c>
      <c r="B4347" s="137" t="s">
        <v>37</v>
      </c>
      <c r="C4347" s="41" t="s">
        <v>118</v>
      </c>
      <c r="D4347" s="80" t="s">
        <v>36</v>
      </c>
      <c r="E4347" s="80" t="s">
        <v>139</v>
      </c>
      <c r="F4347" s="80" t="s">
        <v>40</v>
      </c>
      <c r="G4347" s="80" t="s">
        <v>41</v>
      </c>
      <c r="H4347" s="80" t="s">
        <v>13206</v>
      </c>
      <c r="I4347" s="17">
        <f ca="1">IFERROR(__xludf.DUMMYFUNCTION("""COMPUTED_VALUE"""),45559)</f>
        <v>45559</v>
      </c>
      <c r="J4347" s="143" t="s">
        <v>14748</v>
      </c>
      <c r="K4347" s="80" t="s">
        <v>15250</v>
      </c>
      <c r="L4347" s="30">
        <v>879188496</v>
      </c>
      <c r="M4347" s="80" t="s">
        <v>5558</v>
      </c>
      <c r="N4347" s="80" t="s">
        <v>5559</v>
      </c>
      <c r="O4347" s="80" t="s">
        <v>4503</v>
      </c>
      <c r="P4347" s="80" t="s">
        <v>15251</v>
      </c>
      <c r="Q4347" s="20">
        <v>15936</v>
      </c>
      <c r="R4347" s="80" t="s">
        <v>36</v>
      </c>
      <c r="S4347" s="95">
        <v>2000</v>
      </c>
      <c r="T4347" s="148">
        <v>45551</v>
      </c>
      <c r="U4347" s="95">
        <v>13936</v>
      </c>
      <c r="V4347" s="148">
        <v>45575</v>
      </c>
      <c r="W4347" s="85" t="s">
        <v>14750</v>
      </c>
      <c r="X4347" s="80"/>
      <c r="Y4347" s="22">
        <v>0</v>
      </c>
      <c r="Z4347" s="80" t="s">
        <v>50</v>
      </c>
      <c r="AA4347" s="96" t="s">
        <v>9905</v>
      </c>
      <c r="AB4347" s="80"/>
      <c r="AC4347" s="80" t="s">
        <v>53</v>
      </c>
      <c r="AD4347" s="80" t="s">
        <v>54</v>
      </c>
      <c r="AE4347" s="80"/>
      <c r="AF4347" s="17">
        <v>45553</v>
      </c>
      <c r="AG4347" s="80"/>
      <c r="AH4347" s="80"/>
      <c r="AI4347" s="147"/>
      <c r="AJ4347" s="80"/>
      <c r="AK4347" s="80"/>
      <c r="AL4347" s="35"/>
      <c r="AM4347" s="35"/>
      <c r="AN4347" s="35"/>
      <c r="AO4347" s="35"/>
      <c r="AP4347" s="35"/>
    </row>
    <row r="4348" spans="1:42" x14ac:dyDescent="0.2">
      <c r="A4348" s="126">
        <v>45551.78589082176</v>
      </c>
      <c r="B4348" s="137" t="s">
        <v>37</v>
      </c>
      <c r="C4348" s="41" t="s">
        <v>118</v>
      </c>
      <c r="D4348" s="80" t="s">
        <v>36</v>
      </c>
      <c r="E4348" s="80" t="s">
        <v>119</v>
      </c>
      <c r="F4348" s="80" t="s">
        <v>36</v>
      </c>
      <c r="G4348" s="80" t="s">
        <v>108</v>
      </c>
      <c r="H4348" s="80" t="s">
        <v>10028</v>
      </c>
      <c r="I4348" s="17">
        <f ca="1">IFERROR(__xludf.DUMMYFUNCTION("""COMPUTED_VALUE"""),45562)</f>
        <v>45562</v>
      </c>
      <c r="J4348" s="143" t="s">
        <v>15252</v>
      </c>
      <c r="K4348" s="80" t="s">
        <v>15253</v>
      </c>
      <c r="L4348" s="30">
        <v>976025832</v>
      </c>
      <c r="M4348" s="80" t="s">
        <v>5429</v>
      </c>
      <c r="N4348" s="80" t="s">
        <v>11095</v>
      </c>
      <c r="O4348" s="80" t="s">
        <v>4626</v>
      </c>
      <c r="P4348" s="80" t="s">
        <v>12597</v>
      </c>
      <c r="Q4348" s="20">
        <v>13968</v>
      </c>
      <c r="R4348" s="80" t="s">
        <v>1106</v>
      </c>
      <c r="S4348" s="95">
        <v>4000</v>
      </c>
      <c r="T4348" s="148">
        <v>45551</v>
      </c>
      <c r="U4348" s="95">
        <v>9818</v>
      </c>
      <c r="V4348" s="148">
        <v>45595</v>
      </c>
      <c r="W4348" s="85" t="s">
        <v>15254</v>
      </c>
      <c r="X4348" s="80"/>
      <c r="Y4348" s="22">
        <v>150</v>
      </c>
      <c r="Z4348" s="80" t="s">
        <v>50</v>
      </c>
      <c r="AA4348" s="35" t="s">
        <v>9905</v>
      </c>
      <c r="AB4348" s="80"/>
      <c r="AC4348" s="80" t="s">
        <v>53</v>
      </c>
      <c r="AD4348" s="80" t="s">
        <v>138</v>
      </c>
      <c r="AE4348" s="83">
        <v>420</v>
      </c>
      <c r="AF4348" s="17">
        <v>45562</v>
      </c>
      <c r="AG4348" s="80"/>
      <c r="AH4348" s="80"/>
      <c r="AI4348" s="147"/>
      <c r="AJ4348" s="80"/>
      <c r="AK4348" s="80"/>
      <c r="AL4348" s="35"/>
      <c r="AM4348" s="35"/>
      <c r="AN4348" s="35"/>
      <c r="AO4348" s="35"/>
      <c r="AP4348" s="35"/>
    </row>
    <row r="4349" spans="1:42" x14ac:dyDescent="0.2">
      <c r="A4349" s="126">
        <v>45551.94918703704</v>
      </c>
      <c r="B4349" s="137" t="s">
        <v>37</v>
      </c>
      <c r="C4349" s="41" t="s">
        <v>118</v>
      </c>
      <c r="D4349" s="80" t="s">
        <v>36</v>
      </c>
      <c r="E4349" s="80" t="s">
        <v>119</v>
      </c>
      <c r="F4349" s="80" t="s">
        <v>91</v>
      </c>
      <c r="G4349" s="80" t="s">
        <v>108</v>
      </c>
      <c r="H4349" s="80" t="s">
        <v>10193</v>
      </c>
      <c r="I4349" s="17">
        <f ca="1">IFERROR(__xludf.DUMMYFUNCTION("""COMPUTED_VALUE"""),45555)</f>
        <v>45555</v>
      </c>
      <c r="J4349" s="143" t="s">
        <v>15255</v>
      </c>
      <c r="K4349" s="80" t="s">
        <v>15256</v>
      </c>
      <c r="L4349" s="30">
        <v>352178928</v>
      </c>
      <c r="M4349" s="80" t="s">
        <v>9422</v>
      </c>
      <c r="N4349" s="80" t="s">
        <v>260</v>
      </c>
      <c r="O4349" s="80" t="s">
        <v>11607</v>
      </c>
      <c r="P4349" s="80" t="s">
        <v>15257</v>
      </c>
      <c r="Q4349" s="20">
        <v>13968</v>
      </c>
      <c r="R4349" s="80" t="s">
        <v>11421</v>
      </c>
      <c r="S4349" s="95">
        <v>4000</v>
      </c>
      <c r="T4349" s="148">
        <v>45551</v>
      </c>
      <c r="U4349" s="95">
        <v>9668</v>
      </c>
      <c r="V4349" s="148">
        <v>45575</v>
      </c>
      <c r="W4349" s="85" t="s">
        <v>15258</v>
      </c>
      <c r="X4349" s="80"/>
      <c r="Y4349" s="22">
        <v>300</v>
      </c>
      <c r="Z4349" s="80" t="s">
        <v>50</v>
      </c>
      <c r="AA4349" s="96" t="s">
        <v>9905</v>
      </c>
      <c r="AB4349" s="80"/>
      <c r="AC4349" s="80" t="s">
        <v>53</v>
      </c>
      <c r="AD4349" s="80" t="s">
        <v>54</v>
      </c>
      <c r="AE4349" s="80"/>
      <c r="AF4349" s="17">
        <v>45553</v>
      </c>
      <c r="AG4349" s="80"/>
      <c r="AH4349" s="80"/>
      <c r="AI4349" s="147"/>
      <c r="AJ4349" s="80"/>
      <c r="AK4349" s="80"/>
      <c r="AL4349" s="35"/>
      <c r="AM4349" s="35"/>
      <c r="AN4349" s="35"/>
      <c r="AO4349" s="35"/>
      <c r="AP4349" s="35"/>
    </row>
    <row r="4350" spans="1:42" x14ac:dyDescent="0.2">
      <c r="A4350" s="126">
        <v>45551.950700370369</v>
      </c>
      <c r="B4350" s="137" t="s">
        <v>37</v>
      </c>
      <c r="C4350" s="41" t="s">
        <v>118</v>
      </c>
      <c r="D4350" s="80" t="s">
        <v>36</v>
      </c>
      <c r="E4350" s="80" t="s">
        <v>56</v>
      </c>
      <c r="F4350" s="80" t="s">
        <v>40</v>
      </c>
      <c r="G4350" s="80" t="s">
        <v>41</v>
      </c>
      <c r="H4350" s="80" t="s">
        <v>13206</v>
      </c>
      <c r="I4350" s="17">
        <f ca="1">IFERROR(__xludf.DUMMYFUNCTION("""COMPUTED_VALUE"""),45559)</f>
        <v>45559</v>
      </c>
      <c r="J4350" s="143" t="s">
        <v>15259</v>
      </c>
      <c r="K4350" s="80" t="s">
        <v>15260</v>
      </c>
      <c r="L4350" s="30">
        <v>913722058</v>
      </c>
      <c r="M4350" s="80" t="s">
        <v>9422</v>
      </c>
      <c r="N4350" s="80" t="s">
        <v>68</v>
      </c>
      <c r="O4350" s="80" t="s">
        <v>11607</v>
      </c>
      <c r="P4350" s="80" t="s">
        <v>15261</v>
      </c>
      <c r="Q4350" s="20">
        <v>9317</v>
      </c>
      <c r="R4350" s="80" t="s">
        <v>36</v>
      </c>
      <c r="S4350" s="95">
        <f>500+1500</f>
        <v>2000</v>
      </c>
      <c r="T4350" s="83" t="s">
        <v>15262</v>
      </c>
      <c r="U4350" s="95">
        <v>7317</v>
      </c>
      <c r="V4350" s="148">
        <v>45577</v>
      </c>
      <c r="W4350" s="85" t="s">
        <v>15263</v>
      </c>
      <c r="X4350" s="80"/>
      <c r="Y4350" s="22">
        <v>0</v>
      </c>
      <c r="Z4350" s="80" t="s">
        <v>50</v>
      </c>
      <c r="AA4350" s="35" t="s">
        <v>9905</v>
      </c>
      <c r="AB4350" s="80"/>
      <c r="AC4350" s="80" t="s">
        <v>53</v>
      </c>
      <c r="AD4350" s="80" t="s">
        <v>54</v>
      </c>
      <c r="AE4350" s="80"/>
      <c r="AF4350" s="17">
        <v>45554</v>
      </c>
      <c r="AG4350" s="80"/>
      <c r="AH4350" s="80"/>
      <c r="AI4350" s="147"/>
      <c r="AJ4350" s="80"/>
      <c r="AK4350" s="80"/>
      <c r="AL4350" s="35"/>
      <c r="AM4350" s="35"/>
      <c r="AN4350" s="35"/>
      <c r="AO4350" s="35"/>
      <c r="AP4350" s="35"/>
    </row>
    <row r="4351" spans="1:42" x14ac:dyDescent="0.2">
      <c r="A4351" s="126">
        <v>45551.988223252316</v>
      </c>
      <c r="B4351" s="137" t="s">
        <v>37</v>
      </c>
      <c r="C4351" s="41" t="s">
        <v>118</v>
      </c>
      <c r="D4351" s="80" t="s">
        <v>36</v>
      </c>
      <c r="E4351" s="80" t="s">
        <v>139</v>
      </c>
      <c r="F4351" s="80" t="s">
        <v>36</v>
      </c>
      <c r="G4351" s="80" t="s">
        <v>41</v>
      </c>
      <c r="H4351" s="80" t="s">
        <v>12799</v>
      </c>
      <c r="I4351" s="17">
        <f ca="1">IFERROR(__xludf.DUMMYFUNCTION("""COMPUTED_VALUE"""),45559)</f>
        <v>45559</v>
      </c>
      <c r="J4351" s="143" t="s">
        <v>14434</v>
      </c>
      <c r="K4351" s="80" t="s">
        <v>15264</v>
      </c>
      <c r="L4351" s="30">
        <v>978801325</v>
      </c>
      <c r="M4351" s="80" t="s">
        <v>59</v>
      </c>
      <c r="N4351" s="80" t="s">
        <v>68</v>
      </c>
      <c r="O4351" s="80" t="s">
        <v>14436</v>
      </c>
      <c r="P4351" s="80" t="s">
        <v>12687</v>
      </c>
      <c r="Q4351" s="20">
        <v>15936</v>
      </c>
      <c r="R4351" s="80" t="s">
        <v>1106</v>
      </c>
      <c r="S4351" s="95">
        <f>200+4000</f>
        <v>4200</v>
      </c>
      <c r="T4351" s="83" t="s">
        <v>13252</v>
      </c>
      <c r="U4351" s="95">
        <f>11486+100</f>
        <v>11586</v>
      </c>
      <c r="V4351" s="83" t="s">
        <v>14427</v>
      </c>
      <c r="W4351" s="85" t="s">
        <v>14437</v>
      </c>
      <c r="X4351" s="80"/>
      <c r="Y4351" s="22">
        <v>150</v>
      </c>
      <c r="Z4351" s="80" t="s">
        <v>50</v>
      </c>
      <c r="AA4351" s="96" t="s">
        <v>9905</v>
      </c>
      <c r="AB4351" s="80"/>
      <c r="AC4351" s="80" t="s">
        <v>53</v>
      </c>
      <c r="AD4351" s="80" t="s">
        <v>138</v>
      </c>
      <c r="AE4351" s="80" t="s">
        <v>5672</v>
      </c>
      <c r="AF4351" s="17">
        <v>45559</v>
      </c>
      <c r="AG4351" s="80"/>
      <c r="AH4351" s="80"/>
      <c r="AI4351" s="147"/>
      <c r="AJ4351" s="80"/>
      <c r="AK4351" s="80"/>
      <c r="AL4351" s="35"/>
      <c r="AM4351" s="35"/>
      <c r="AN4351" s="35"/>
      <c r="AO4351" s="35"/>
      <c r="AP4351" s="35"/>
    </row>
    <row r="4352" spans="1:42" x14ac:dyDescent="0.2">
      <c r="A4352" s="126">
        <v>45551.993903599534</v>
      </c>
      <c r="B4352" s="137" t="s">
        <v>37</v>
      </c>
      <c r="C4352" s="41" t="s">
        <v>118</v>
      </c>
      <c r="D4352" s="80" t="s">
        <v>36</v>
      </c>
      <c r="E4352" s="80" t="s">
        <v>139</v>
      </c>
      <c r="F4352" s="80" t="s">
        <v>40</v>
      </c>
      <c r="G4352" s="80" t="s">
        <v>41</v>
      </c>
      <c r="H4352" s="80" t="s">
        <v>12870</v>
      </c>
      <c r="I4352" s="17">
        <f ca="1">IFERROR(__xludf.DUMMYFUNCTION("""COMPUTED_VALUE"""),45551)</f>
        <v>45551</v>
      </c>
      <c r="J4352" s="143" t="s">
        <v>14581</v>
      </c>
      <c r="K4352" s="80" t="s">
        <v>15265</v>
      </c>
      <c r="L4352" s="30">
        <v>338997368</v>
      </c>
      <c r="M4352" s="80" t="s">
        <v>59</v>
      </c>
      <c r="N4352" s="80" t="s">
        <v>9287</v>
      </c>
      <c r="O4352" s="80" t="s">
        <v>14583</v>
      </c>
      <c r="P4352" s="80" t="s">
        <v>14584</v>
      </c>
      <c r="Q4352" s="20">
        <v>15936</v>
      </c>
      <c r="R4352" s="80" t="s">
        <v>36</v>
      </c>
      <c r="S4352" s="95">
        <f>200+2000+5000</f>
        <v>7200</v>
      </c>
      <c r="T4352" s="83" t="s">
        <v>14585</v>
      </c>
      <c r="U4352" s="95">
        <v>8736</v>
      </c>
      <c r="V4352" s="148">
        <v>45582</v>
      </c>
      <c r="W4352" s="85" t="s">
        <v>14586</v>
      </c>
      <c r="X4352" s="80"/>
      <c r="Y4352" s="22">
        <v>0</v>
      </c>
      <c r="Z4352" s="80" t="s">
        <v>50</v>
      </c>
      <c r="AA4352" s="35" t="s">
        <v>9905</v>
      </c>
      <c r="AB4352" s="80"/>
      <c r="AC4352" s="80" t="s">
        <v>53</v>
      </c>
      <c r="AD4352" s="80" t="s">
        <v>54</v>
      </c>
      <c r="AE4352" s="80" t="s">
        <v>72</v>
      </c>
      <c r="AF4352" s="17">
        <v>45554</v>
      </c>
      <c r="AG4352" s="80"/>
      <c r="AH4352" s="80"/>
      <c r="AI4352" s="147"/>
      <c r="AJ4352" s="80"/>
      <c r="AK4352" s="80"/>
      <c r="AL4352" s="35"/>
      <c r="AM4352" s="35"/>
      <c r="AN4352" s="35"/>
      <c r="AO4352" s="35"/>
      <c r="AP4352" s="35"/>
    </row>
    <row r="4353" spans="1:42" x14ac:dyDescent="0.2">
      <c r="A4353" s="126">
        <v>45552.309442245372</v>
      </c>
      <c r="B4353" s="137" t="s">
        <v>37</v>
      </c>
      <c r="C4353" s="41" t="s">
        <v>118</v>
      </c>
      <c r="D4353" s="80" t="s">
        <v>36</v>
      </c>
      <c r="E4353" s="80" t="s">
        <v>139</v>
      </c>
      <c r="F4353" s="26" t="s">
        <v>36</v>
      </c>
      <c r="G4353" s="26" t="s">
        <v>41</v>
      </c>
      <c r="H4353" s="80" t="s">
        <v>12766</v>
      </c>
      <c r="I4353" s="17">
        <f ca="1">IFERROR(__xludf.DUMMYFUNCTION("""COMPUTED_VALUE"""),45555)</f>
        <v>45555</v>
      </c>
      <c r="J4353" s="143" t="s">
        <v>15266</v>
      </c>
      <c r="K4353" s="80" t="s">
        <v>15267</v>
      </c>
      <c r="L4353" s="30">
        <v>339615670</v>
      </c>
      <c r="M4353" s="80" t="s">
        <v>910</v>
      </c>
      <c r="N4353" s="80" t="s">
        <v>3525</v>
      </c>
      <c r="O4353" s="80" t="s">
        <v>91</v>
      </c>
      <c r="P4353" s="80" t="s">
        <v>12578</v>
      </c>
      <c r="Q4353" s="20">
        <v>15936</v>
      </c>
      <c r="R4353" s="80" t="s">
        <v>70</v>
      </c>
      <c r="S4353" s="95">
        <v>2000</v>
      </c>
      <c r="T4353" s="148">
        <v>45551</v>
      </c>
      <c r="U4353" s="95">
        <v>13936</v>
      </c>
      <c r="V4353" s="148">
        <v>45573</v>
      </c>
      <c r="W4353" s="85" t="s">
        <v>15268</v>
      </c>
      <c r="X4353" s="80"/>
      <c r="Y4353" s="22">
        <v>0</v>
      </c>
      <c r="Z4353" s="80" t="s">
        <v>50</v>
      </c>
      <c r="AA4353" s="96" t="s">
        <v>9905</v>
      </c>
      <c r="AB4353" s="80"/>
      <c r="AC4353" s="80" t="s">
        <v>53</v>
      </c>
      <c r="AD4353" s="80" t="s">
        <v>138</v>
      </c>
      <c r="AE4353" s="80"/>
      <c r="AF4353" s="17">
        <v>45555</v>
      </c>
      <c r="AG4353" s="80"/>
      <c r="AH4353" s="80"/>
      <c r="AI4353" s="147"/>
      <c r="AJ4353" s="80"/>
      <c r="AK4353" s="80"/>
      <c r="AL4353" s="35"/>
      <c r="AM4353" s="35"/>
      <c r="AN4353" s="35"/>
      <c r="AO4353" s="35"/>
      <c r="AP4353" s="35"/>
    </row>
    <row r="4354" spans="1:42" x14ac:dyDescent="0.2">
      <c r="A4354" s="126">
        <v>45552.318444189819</v>
      </c>
      <c r="B4354" s="137" t="s">
        <v>37</v>
      </c>
      <c r="C4354" s="41" t="s">
        <v>118</v>
      </c>
      <c r="D4354" s="80" t="s">
        <v>36</v>
      </c>
      <c r="E4354" s="80" t="s">
        <v>139</v>
      </c>
      <c r="F4354" s="80" t="s">
        <v>36</v>
      </c>
      <c r="G4354" s="80" t="s">
        <v>41</v>
      </c>
      <c r="H4354" s="80" t="s">
        <v>12799</v>
      </c>
      <c r="I4354" s="17">
        <f ca="1">IFERROR(__xludf.DUMMYFUNCTION("""COMPUTED_VALUE"""),45559)</f>
        <v>45559</v>
      </c>
      <c r="J4354" s="143" t="s">
        <v>14524</v>
      </c>
      <c r="K4354" s="80" t="s">
        <v>11612</v>
      </c>
      <c r="L4354" s="30">
        <v>943982113</v>
      </c>
      <c r="M4354" s="80" t="s">
        <v>12720</v>
      </c>
      <c r="N4354" s="80" t="s">
        <v>14525</v>
      </c>
      <c r="O4354" s="80" t="s">
        <v>1492</v>
      </c>
      <c r="P4354" s="80" t="s">
        <v>14526</v>
      </c>
      <c r="Q4354" s="20">
        <v>15936</v>
      </c>
      <c r="R4354" s="80" t="s">
        <v>36</v>
      </c>
      <c r="S4354" s="95">
        <f t="shared" ref="S4354:S4355" si="85">200+1800</f>
        <v>2000</v>
      </c>
      <c r="T4354" s="83" t="s">
        <v>14527</v>
      </c>
      <c r="U4354" s="95">
        <v>13936</v>
      </c>
      <c r="V4354" s="148">
        <v>45590</v>
      </c>
      <c r="W4354" s="85" t="s">
        <v>14528</v>
      </c>
      <c r="X4354" s="80"/>
      <c r="Y4354" s="22">
        <v>0</v>
      </c>
      <c r="Z4354" s="80" t="s">
        <v>50</v>
      </c>
      <c r="AA4354" s="35" t="s">
        <v>9905</v>
      </c>
      <c r="AB4354" s="80"/>
      <c r="AC4354" s="80" t="s">
        <v>53</v>
      </c>
      <c r="AD4354" s="80" t="s">
        <v>138</v>
      </c>
      <c r="AE4354" s="83">
        <v>0</v>
      </c>
      <c r="AF4354" s="17">
        <v>45559</v>
      </c>
      <c r="AG4354" s="80"/>
      <c r="AH4354" s="80"/>
      <c r="AI4354" s="147"/>
      <c r="AJ4354" s="80"/>
      <c r="AK4354" s="80"/>
      <c r="AL4354" s="35"/>
      <c r="AM4354" s="35"/>
      <c r="AN4354" s="35"/>
      <c r="AO4354" s="35"/>
      <c r="AP4354" s="35"/>
    </row>
    <row r="4355" spans="1:42" x14ac:dyDescent="0.2">
      <c r="A4355" s="126">
        <v>45552.321372569444</v>
      </c>
      <c r="B4355" s="137" t="s">
        <v>37</v>
      </c>
      <c r="C4355" s="41" t="s">
        <v>118</v>
      </c>
      <c r="D4355" s="80" t="s">
        <v>36</v>
      </c>
      <c r="E4355" s="80" t="s">
        <v>77</v>
      </c>
      <c r="F4355" s="80" t="s">
        <v>36</v>
      </c>
      <c r="G4355" s="80" t="s">
        <v>41</v>
      </c>
      <c r="H4355" s="80" t="s">
        <v>11846</v>
      </c>
      <c r="I4355" s="17">
        <f ca="1">IFERROR(__xludf.DUMMYFUNCTION("""COMPUTED_VALUE"""),45560)</f>
        <v>45560</v>
      </c>
      <c r="J4355" s="143" t="s">
        <v>15269</v>
      </c>
      <c r="K4355" s="80" t="s">
        <v>15270</v>
      </c>
      <c r="L4355" s="30">
        <v>326920189</v>
      </c>
      <c r="M4355" s="80" t="s">
        <v>12720</v>
      </c>
      <c r="N4355" s="80" t="s">
        <v>1073</v>
      </c>
      <c r="O4355" s="80" t="s">
        <v>15271</v>
      </c>
      <c r="P4355" s="80" t="s">
        <v>15272</v>
      </c>
      <c r="Q4355" s="20">
        <v>1968</v>
      </c>
      <c r="R4355" s="80" t="s">
        <v>36</v>
      </c>
      <c r="S4355" s="95">
        <f t="shared" si="85"/>
        <v>2000</v>
      </c>
      <c r="T4355" s="83" t="s">
        <v>15273</v>
      </c>
      <c r="U4355" s="77"/>
      <c r="V4355" s="78"/>
      <c r="W4355" s="85" t="s">
        <v>15274</v>
      </c>
      <c r="X4355" s="80"/>
      <c r="Y4355" s="22">
        <v>-32</v>
      </c>
      <c r="Z4355" s="80" t="s">
        <v>50</v>
      </c>
      <c r="AA4355" s="96" t="s">
        <v>9905</v>
      </c>
      <c r="AB4355" s="80"/>
      <c r="AC4355" s="80" t="s">
        <v>53</v>
      </c>
      <c r="AD4355" s="80" t="s">
        <v>54</v>
      </c>
      <c r="AE4355" s="83">
        <v>0</v>
      </c>
      <c r="AF4355" s="17">
        <v>45559</v>
      </c>
      <c r="AG4355" s="80" t="s">
        <v>7078</v>
      </c>
      <c r="AH4355" s="80"/>
      <c r="AI4355" s="147"/>
      <c r="AJ4355" s="80"/>
      <c r="AK4355" s="80"/>
      <c r="AL4355" s="35"/>
      <c r="AM4355" s="35"/>
      <c r="AN4355" s="35"/>
      <c r="AO4355" s="35"/>
      <c r="AP4355" s="35"/>
    </row>
    <row r="4356" spans="1:42" x14ac:dyDescent="0.2">
      <c r="A4356" s="126">
        <v>45552.364850902777</v>
      </c>
      <c r="B4356" s="137" t="s">
        <v>37</v>
      </c>
      <c r="C4356" s="41" t="s">
        <v>118</v>
      </c>
      <c r="D4356" s="80" t="s">
        <v>36</v>
      </c>
      <c r="E4356" s="80" t="s">
        <v>77</v>
      </c>
      <c r="F4356" s="26" t="s">
        <v>36</v>
      </c>
      <c r="G4356" s="80" t="s">
        <v>41</v>
      </c>
      <c r="H4356" s="80" t="s">
        <v>9626</v>
      </c>
      <c r="I4356" s="17">
        <f ca="1">IFERROR(__xludf.DUMMYFUNCTION("""COMPUTED_VALUE"""),45559)</f>
        <v>45559</v>
      </c>
      <c r="J4356" s="143" t="s">
        <v>15275</v>
      </c>
      <c r="K4356" s="80" t="s">
        <v>15276</v>
      </c>
      <c r="L4356" s="30">
        <v>985531845</v>
      </c>
      <c r="M4356" s="80" t="s">
        <v>123</v>
      </c>
      <c r="N4356" s="80" t="s">
        <v>2847</v>
      </c>
      <c r="O4356" s="80" t="s">
        <v>4503</v>
      </c>
      <c r="P4356" s="80" t="s">
        <v>3056</v>
      </c>
      <c r="Q4356" s="20">
        <v>1968</v>
      </c>
      <c r="R4356" s="80" t="s">
        <v>36</v>
      </c>
      <c r="S4356" s="95">
        <v>2000</v>
      </c>
      <c r="T4356" s="148">
        <v>45551</v>
      </c>
      <c r="U4356" s="77"/>
      <c r="V4356" s="78"/>
      <c r="W4356" s="85" t="s">
        <v>15277</v>
      </c>
      <c r="X4356" s="80"/>
      <c r="Y4356" s="22">
        <v>-32</v>
      </c>
      <c r="Z4356" s="80" t="s">
        <v>50</v>
      </c>
      <c r="AA4356" s="35" t="s">
        <v>9905</v>
      </c>
      <c r="AB4356" s="80"/>
      <c r="AC4356" s="80" t="s">
        <v>53</v>
      </c>
      <c r="AD4356" s="80" t="s">
        <v>138</v>
      </c>
      <c r="AE4356" s="80"/>
      <c r="AF4356" s="17">
        <v>45559</v>
      </c>
      <c r="AG4356" s="80" t="s">
        <v>7078</v>
      </c>
      <c r="AH4356" s="80"/>
      <c r="AI4356" s="147"/>
      <c r="AJ4356" s="80"/>
      <c r="AK4356" s="80"/>
      <c r="AL4356" s="35"/>
      <c r="AM4356" s="35"/>
      <c r="AN4356" s="35"/>
      <c r="AO4356" s="35"/>
      <c r="AP4356" s="35"/>
    </row>
    <row r="4357" spans="1:42" x14ac:dyDescent="0.2">
      <c r="A4357" s="126">
        <v>45552.387044236108</v>
      </c>
      <c r="B4357" s="137" t="s">
        <v>37</v>
      </c>
      <c r="C4357" s="41" t="s">
        <v>118</v>
      </c>
      <c r="D4357" s="80" t="s">
        <v>36</v>
      </c>
      <c r="E4357" s="80" t="s">
        <v>139</v>
      </c>
      <c r="F4357" s="26" t="s">
        <v>40</v>
      </c>
      <c r="G4357" s="80" t="s">
        <v>41</v>
      </c>
      <c r="H4357" s="80" t="s">
        <v>11747</v>
      </c>
      <c r="I4357" s="17">
        <f ca="1">IFERROR(__xludf.DUMMYFUNCTION("""COMPUTED_VALUE"""),45559)</f>
        <v>45559</v>
      </c>
      <c r="J4357" s="143" t="s">
        <v>14633</v>
      </c>
      <c r="K4357" s="80" t="s">
        <v>14634</v>
      </c>
      <c r="L4357" s="30">
        <v>968897551</v>
      </c>
      <c r="M4357" s="80" t="s">
        <v>123</v>
      </c>
      <c r="N4357" s="80" t="s">
        <v>186</v>
      </c>
      <c r="O4357" s="80" t="s">
        <v>4503</v>
      </c>
      <c r="P4357" s="80" t="s">
        <v>14635</v>
      </c>
      <c r="Q4357" s="20">
        <v>15936</v>
      </c>
      <c r="R4357" s="80" t="s">
        <v>70</v>
      </c>
      <c r="S4357" s="95">
        <v>3000</v>
      </c>
      <c r="T4357" s="148">
        <v>45550</v>
      </c>
      <c r="U4357" s="95">
        <v>12836</v>
      </c>
      <c r="V4357" s="169">
        <v>45575</v>
      </c>
      <c r="W4357" s="85" t="s">
        <v>14636</v>
      </c>
      <c r="X4357" s="80"/>
      <c r="Y4357" s="22">
        <v>100</v>
      </c>
      <c r="Z4357" s="80" t="s">
        <v>50</v>
      </c>
      <c r="AA4357" s="96" t="s">
        <v>9905</v>
      </c>
      <c r="AB4357" s="80"/>
      <c r="AC4357" s="80" t="s">
        <v>53</v>
      </c>
      <c r="AD4357" s="80" t="s">
        <v>138</v>
      </c>
      <c r="AE4357" s="80"/>
      <c r="AF4357" s="17">
        <v>45559</v>
      </c>
      <c r="AG4357" s="80"/>
      <c r="AH4357" s="80"/>
      <c r="AI4357" s="147"/>
      <c r="AJ4357" s="80"/>
      <c r="AK4357" s="80"/>
      <c r="AL4357" s="35"/>
      <c r="AM4357" s="35"/>
      <c r="AN4357" s="35"/>
      <c r="AO4357" s="35"/>
      <c r="AP4357" s="35"/>
    </row>
    <row r="4358" spans="1:42" x14ac:dyDescent="0.2">
      <c r="A4358" s="126">
        <v>45552.427199780097</v>
      </c>
      <c r="B4358" s="137" t="s">
        <v>37</v>
      </c>
      <c r="C4358" s="41" t="s">
        <v>118</v>
      </c>
      <c r="D4358" s="80" t="s">
        <v>36</v>
      </c>
      <c r="E4358" s="80" t="s">
        <v>139</v>
      </c>
      <c r="F4358" s="26" t="s">
        <v>40</v>
      </c>
      <c r="G4358" s="80" t="s">
        <v>41</v>
      </c>
      <c r="H4358" s="80" t="s">
        <v>11747</v>
      </c>
      <c r="I4358" s="17">
        <f ca="1">IFERROR(__xludf.DUMMYFUNCTION("""COMPUTED_VALUE"""),45559)</f>
        <v>45559</v>
      </c>
      <c r="J4358" s="143" t="s">
        <v>14384</v>
      </c>
      <c r="K4358" s="80" t="s">
        <v>14385</v>
      </c>
      <c r="L4358" s="30">
        <v>352668765</v>
      </c>
      <c r="M4358" s="80" t="s">
        <v>123</v>
      </c>
      <c r="N4358" s="80" t="s">
        <v>2847</v>
      </c>
      <c r="O4358" s="80" t="s">
        <v>4503</v>
      </c>
      <c r="P4358" s="80" t="s">
        <v>3487</v>
      </c>
      <c r="Q4358" s="20">
        <v>15936</v>
      </c>
      <c r="R4358" s="80" t="s">
        <v>36</v>
      </c>
      <c r="S4358" s="95">
        <v>3000</v>
      </c>
      <c r="T4358" s="148">
        <v>45549</v>
      </c>
      <c r="U4358" s="95">
        <v>12936</v>
      </c>
      <c r="V4358" s="148">
        <v>45586</v>
      </c>
      <c r="W4358" s="85" t="s">
        <v>14386</v>
      </c>
      <c r="X4358" s="80"/>
      <c r="Y4358" s="22">
        <v>0</v>
      </c>
      <c r="Z4358" s="80" t="s">
        <v>50</v>
      </c>
      <c r="AA4358" s="35" t="s">
        <v>9905</v>
      </c>
      <c r="AB4358" s="80"/>
      <c r="AC4358" s="80" t="s">
        <v>53</v>
      </c>
      <c r="AD4358" s="80" t="s">
        <v>138</v>
      </c>
      <c r="AE4358" s="80"/>
      <c r="AF4358" s="17">
        <v>45559</v>
      </c>
      <c r="AG4358" s="80"/>
      <c r="AH4358" s="80"/>
      <c r="AI4358" s="147"/>
      <c r="AJ4358" s="80"/>
      <c r="AK4358" s="80"/>
      <c r="AL4358" s="35"/>
      <c r="AM4358" s="35"/>
      <c r="AN4358" s="35"/>
      <c r="AO4358" s="35"/>
      <c r="AP4358" s="35"/>
    </row>
    <row r="4359" spans="1:42" x14ac:dyDescent="0.2">
      <c r="A4359" s="126">
        <v>45552.428342222222</v>
      </c>
      <c r="B4359" s="137" t="s">
        <v>37</v>
      </c>
      <c r="C4359" s="41" t="s">
        <v>118</v>
      </c>
      <c r="D4359" s="80" t="s">
        <v>36</v>
      </c>
      <c r="E4359" s="80" t="s">
        <v>39</v>
      </c>
      <c r="F4359" s="80" t="s">
        <v>36</v>
      </c>
      <c r="G4359" s="80" t="s">
        <v>41</v>
      </c>
      <c r="H4359" s="80" t="s">
        <v>13301</v>
      </c>
      <c r="I4359" s="17">
        <f ca="1">IFERROR(__xludf.DUMMYFUNCTION("""COMPUTED_VALUE"""),45566)</f>
        <v>45566</v>
      </c>
      <c r="J4359" s="143" t="s">
        <v>14388</v>
      </c>
      <c r="K4359" s="80" t="s">
        <v>14389</v>
      </c>
      <c r="L4359" s="30">
        <v>376173402</v>
      </c>
      <c r="M4359" s="80" t="s">
        <v>123</v>
      </c>
      <c r="N4359" s="80" t="s">
        <v>327</v>
      </c>
      <c r="O4359" s="80" t="s">
        <v>4503</v>
      </c>
      <c r="P4359" s="80" t="s">
        <v>5794</v>
      </c>
      <c r="Q4359" s="20">
        <v>5736</v>
      </c>
      <c r="R4359" s="80" t="s">
        <v>36</v>
      </c>
      <c r="S4359" s="95">
        <f>200+1800</f>
        <v>2000</v>
      </c>
      <c r="T4359" s="83" t="s">
        <v>14390</v>
      </c>
      <c r="U4359" s="95">
        <v>3736</v>
      </c>
      <c r="V4359" s="148">
        <v>45582</v>
      </c>
      <c r="W4359" s="85" t="s">
        <v>14391</v>
      </c>
      <c r="X4359" s="80"/>
      <c r="Y4359" s="22">
        <v>0</v>
      </c>
      <c r="Z4359" s="80" t="s">
        <v>50</v>
      </c>
      <c r="AA4359" s="96" t="s">
        <v>9905</v>
      </c>
      <c r="AB4359" s="80"/>
      <c r="AC4359" s="80" t="s">
        <v>53</v>
      </c>
      <c r="AD4359" s="80" t="s">
        <v>138</v>
      </c>
      <c r="AE4359" s="80"/>
      <c r="AF4359" s="17">
        <v>45566</v>
      </c>
      <c r="AG4359" s="80"/>
      <c r="AH4359" s="80"/>
      <c r="AI4359" s="147"/>
      <c r="AJ4359" s="80"/>
      <c r="AK4359" s="80"/>
      <c r="AL4359" s="35"/>
      <c r="AM4359" s="35"/>
      <c r="AN4359" s="35"/>
      <c r="AO4359" s="35"/>
      <c r="AP4359" s="35"/>
    </row>
    <row r="4360" spans="1:42" x14ac:dyDescent="0.2">
      <c r="A4360" s="126">
        <v>45552.429608101855</v>
      </c>
      <c r="B4360" s="137" t="s">
        <v>37</v>
      </c>
      <c r="C4360" s="41" t="s">
        <v>118</v>
      </c>
      <c r="D4360" s="80" t="s">
        <v>36</v>
      </c>
      <c r="E4360" s="80" t="s">
        <v>39</v>
      </c>
      <c r="F4360" s="80" t="s">
        <v>40</v>
      </c>
      <c r="G4360" s="80" t="s">
        <v>41</v>
      </c>
      <c r="H4360" s="80" t="s">
        <v>13206</v>
      </c>
      <c r="I4360" s="17">
        <f ca="1">IFERROR(__xludf.DUMMYFUNCTION("""COMPUTED_VALUE"""),45559)</f>
        <v>45559</v>
      </c>
      <c r="J4360" s="143" t="s">
        <v>14724</v>
      </c>
      <c r="K4360" s="80" t="s">
        <v>15278</v>
      </c>
      <c r="L4360" s="30">
        <v>812921368</v>
      </c>
      <c r="M4360" s="80" t="s">
        <v>5558</v>
      </c>
      <c r="N4360" s="80" t="s">
        <v>5559</v>
      </c>
      <c r="O4360" s="80" t="s">
        <v>4503</v>
      </c>
      <c r="P4360" s="80" t="s">
        <v>15279</v>
      </c>
      <c r="Q4360" s="20">
        <v>5736</v>
      </c>
      <c r="R4360" s="80" t="s">
        <v>36</v>
      </c>
      <c r="S4360" s="95">
        <f>200+2500</f>
        <v>2700</v>
      </c>
      <c r="T4360" s="83" t="s">
        <v>13271</v>
      </c>
      <c r="U4360" s="95">
        <v>3036</v>
      </c>
      <c r="V4360" s="148">
        <v>45581</v>
      </c>
      <c r="W4360" s="85" t="s">
        <v>14727</v>
      </c>
      <c r="X4360" s="80"/>
      <c r="Y4360" s="22">
        <v>0</v>
      </c>
      <c r="Z4360" s="80" t="s">
        <v>50</v>
      </c>
      <c r="AA4360" s="35" t="s">
        <v>9905</v>
      </c>
      <c r="AB4360" s="80"/>
      <c r="AC4360" s="80" t="s">
        <v>53</v>
      </c>
      <c r="AD4360" s="80" t="s">
        <v>54</v>
      </c>
      <c r="AE4360" s="80"/>
      <c r="AF4360" s="17">
        <v>45556</v>
      </c>
      <c r="AG4360" s="80"/>
      <c r="AH4360" s="80"/>
      <c r="AI4360" s="147"/>
      <c r="AJ4360" s="80"/>
      <c r="AK4360" s="80"/>
      <c r="AL4360" s="35"/>
      <c r="AM4360" s="35"/>
      <c r="AN4360" s="35"/>
      <c r="AO4360" s="35"/>
      <c r="AP4360" s="35"/>
    </row>
    <row r="4361" spans="1:42" x14ac:dyDescent="0.2">
      <c r="A4361" s="126">
        <v>45552.44801158565</v>
      </c>
      <c r="B4361" s="137" t="s">
        <v>37</v>
      </c>
      <c r="C4361" s="41" t="s">
        <v>118</v>
      </c>
      <c r="D4361" s="80" t="s">
        <v>36</v>
      </c>
      <c r="E4361" s="80" t="s">
        <v>77</v>
      </c>
      <c r="F4361" s="26" t="s">
        <v>36</v>
      </c>
      <c r="G4361" s="80" t="s">
        <v>41</v>
      </c>
      <c r="H4361" s="80" t="s">
        <v>9626</v>
      </c>
      <c r="I4361" s="17">
        <f ca="1">IFERROR(__xludf.DUMMYFUNCTION("""COMPUTED_VALUE"""),45559)</f>
        <v>45559</v>
      </c>
      <c r="J4361" s="172" t="s">
        <v>15280</v>
      </c>
      <c r="K4361" s="80" t="s">
        <v>7675</v>
      </c>
      <c r="L4361" s="30">
        <v>384051697</v>
      </c>
      <c r="M4361" s="80" t="s">
        <v>2755</v>
      </c>
      <c r="N4361" s="80" t="s">
        <v>2756</v>
      </c>
      <c r="O4361" s="80" t="s">
        <v>4503</v>
      </c>
      <c r="P4361" s="80" t="s">
        <v>3694</v>
      </c>
      <c r="Q4361" s="20">
        <v>1968</v>
      </c>
      <c r="R4361" s="80" t="s">
        <v>36</v>
      </c>
      <c r="S4361" s="95">
        <v>1968</v>
      </c>
      <c r="T4361" s="148">
        <v>45549</v>
      </c>
      <c r="U4361" s="77"/>
      <c r="V4361" s="78"/>
      <c r="W4361" s="80" t="s">
        <v>15281</v>
      </c>
      <c r="X4361" s="80"/>
      <c r="Y4361" s="22">
        <v>0</v>
      </c>
      <c r="Z4361" s="80" t="s">
        <v>50</v>
      </c>
      <c r="AA4361" s="96" t="s">
        <v>9905</v>
      </c>
      <c r="AB4361" s="80"/>
      <c r="AC4361" s="80" t="s">
        <v>53</v>
      </c>
      <c r="AD4361" s="80" t="s">
        <v>54</v>
      </c>
      <c r="AE4361" s="80"/>
      <c r="AF4361" s="17">
        <v>45559</v>
      </c>
      <c r="AG4361" s="80" t="s">
        <v>7078</v>
      </c>
      <c r="AH4361" s="80"/>
      <c r="AI4361" s="147"/>
      <c r="AJ4361" s="80"/>
      <c r="AK4361" s="80"/>
      <c r="AL4361" s="35"/>
      <c r="AM4361" s="35"/>
      <c r="AN4361" s="35"/>
      <c r="AO4361" s="35"/>
      <c r="AP4361" s="35"/>
    </row>
    <row r="4362" spans="1:42" x14ac:dyDescent="0.2">
      <c r="A4362" s="126">
        <v>45552.456004976848</v>
      </c>
      <c r="B4362" s="137" t="s">
        <v>37</v>
      </c>
      <c r="C4362" s="41" t="s">
        <v>118</v>
      </c>
      <c r="D4362" s="80" t="s">
        <v>36</v>
      </c>
      <c r="E4362" s="80" t="s">
        <v>139</v>
      </c>
      <c r="F4362" s="80" t="s">
        <v>40</v>
      </c>
      <c r="G4362" s="26" t="s">
        <v>41</v>
      </c>
      <c r="H4362" s="80" t="s">
        <v>11735</v>
      </c>
      <c r="I4362" s="17">
        <f ca="1">IFERROR(__xludf.DUMMYFUNCTION("""COMPUTED_VALUE"""),45555)</f>
        <v>45555</v>
      </c>
      <c r="J4362" s="143" t="s">
        <v>14252</v>
      </c>
      <c r="K4362" s="80" t="s">
        <v>14253</v>
      </c>
      <c r="L4362" s="30">
        <v>349623318</v>
      </c>
      <c r="M4362" s="80" t="s">
        <v>2755</v>
      </c>
      <c r="N4362" s="80" t="s">
        <v>2756</v>
      </c>
      <c r="O4362" s="80" t="s">
        <v>4503</v>
      </c>
      <c r="P4362" s="144" t="s">
        <v>14254</v>
      </c>
      <c r="Q4362" s="20">
        <v>15936</v>
      </c>
      <c r="R4362" s="80" t="s">
        <v>36</v>
      </c>
      <c r="S4362" s="95">
        <v>1968</v>
      </c>
      <c r="T4362" s="148">
        <v>45552</v>
      </c>
      <c r="U4362" s="95">
        <v>13968</v>
      </c>
      <c r="V4362" s="148">
        <v>45596</v>
      </c>
      <c r="W4362" s="85" t="s">
        <v>14255</v>
      </c>
      <c r="X4362" s="80"/>
      <c r="Y4362" s="22">
        <v>0</v>
      </c>
      <c r="Z4362" s="80" t="s">
        <v>50</v>
      </c>
      <c r="AA4362" s="35" t="s">
        <v>9905</v>
      </c>
      <c r="AB4362" s="80"/>
      <c r="AC4362" s="80" t="s">
        <v>53</v>
      </c>
      <c r="AD4362" s="80" t="s">
        <v>138</v>
      </c>
      <c r="AE4362" s="80"/>
      <c r="AF4362" s="17">
        <v>45555</v>
      </c>
      <c r="AG4362" s="80"/>
      <c r="AH4362" s="80"/>
      <c r="AI4362" s="147"/>
      <c r="AJ4362" s="80"/>
      <c r="AK4362" s="80"/>
      <c r="AL4362" s="35"/>
      <c r="AM4362" s="35"/>
      <c r="AN4362" s="35"/>
      <c r="AO4362" s="35"/>
      <c r="AP4362" s="35"/>
    </row>
    <row r="4363" spans="1:42" x14ac:dyDescent="0.2">
      <c r="A4363" s="126">
        <v>45552.478525023151</v>
      </c>
      <c r="B4363" s="137" t="s">
        <v>37</v>
      </c>
      <c r="C4363" s="41" t="s">
        <v>118</v>
      </c>
      <c r="D4363" s="80" t="s">
        <v>36</v>
      </c>
      <c r="E4363" s="80" t="s">
        <v>139</v>
      </c>
      <c r="F4363" s="26" t="s">
        <v>36</v>
      </c>
      <c r="G4363" s="26" t="s">
        <v>41</v>
      </c>
      <c r="H4363" s="80" t="s">
        <v>15282</v>
      </c>
      <c r="I4363" s="17">
        <f ca="1">IFERROR(__xludf.DUMMYFUNCTION("""COMPUTED_VALUE"""),45674)</f>
        <v>45674</v>
      </c>
      <c r="J4363" s="143" t="s">
        <v>15283</v>
      </c>
      <c r="K4363" s="80" t="s">
        <v>15284</v>
      </c>
      <c r="L4363" s="30">
        <v>342784403</v>
      </c>
      <c r="M4363" s="80" t="s">
        <v>3498</v>
      </c>
      <c r="N4363" s="80" t="s">
        <v>2756</v>
      </c>
      <c r="O4363" s="80" t="s">
        <v>4503</v>
      </c>
      <c r="P4363" s="80" t="s">
        <v>7649</v>
      </c>
      <c r="Q4363" s="20">
        <v>15936</v>
      </c>
      <c r="R4363" s="80" t="s">
        <v>36</v>
      </c>
      <c r="S4363" s="95">
        <v>2168</v>
      </c>
      <c r="T4363" s="148">
        <v>45549</v>
      </c>
      <c r="U4363" s="178">
        <v>13768</v>
      </c>
      <c r="V4363" s="169">
        <v>45575</v>
      </c>
      <c r="W4363" s="80" t="s">
        <v>15285</v>
      </c>
      <c r="X4363" s="80"/>
      <c r="Y4363" s="22">
        <v>0</v>
      </c>
      <c r="Z4363" s="80" t="s">
        <v>50</v>
      </c>
      <c r="AA4363" s="96" t="s">
        <v>9905</v>
      </c>
      <c r="AB4363" s="80"/>
      <c r="AC4363" s="80" t="s">
        <v>53</v>
      </c>
      <c r="AD4363" s="80" t="s">
        <v>138</v>
      </c>
      <c r="AE4363" s="80"/>
      <c r="AF4363" s="17">
        <v>45555</v>
      </c>
      <c r="AG4363" s="80"/>
      <c r="AH4363" s="80"/>
      <c r="AI4363" s="147"/>
      <c r="AJ4363" s="80"/>
      <c r="AK4363" s="80"/>
      <c r="AL4363" s="35"/>
      <c r="AM4363" s="35"/>
      <c r="AN4363" s="35"/>
      <c r="AO4363" s="35"/>
      <c r="AP4363" s="35"/>
    </row>
    <row r="4364" spans="1:42" x14ac:dyDescent="0.2">
      <c r="A4364" s="126">
        <v>45552.682332476848</v>
      </c>
      <c r="B4364" s="137" t="s">
        <v>37</v>
      </c>
      <c r="C4364" s="41" t="s">
        <v>118</v>
      </c>
      <c r="D4364" s="80" t="s">
        <v>36</v>
      </c>
      <c r="E4364" s="80" t="s">
        <v>119</v>
      </c>
      <c r="F4364" s="80" t="s">
        <v>36</v>
      </c>
      <c r="G4364" s="80" t="s">
        <v>108</v>
      </c>
      <c r="H4364" s="80" t="s">
        <v>9825</v>
      </c>
      <c r="I4364" s="17">
        <f ca="1">IFERROR(__xludf.DUMMYFUNCTION("""COMPUTED_VALUE"""),45548)</f>
        <v>45548</v>
      </c>
      <c r="J4364" s="143" t="s">
        <v>15286</v>
      </c>
      <c r="K4364" s="80" t="s">
        <v>15287</v>
      </c>
      <c r="L4364" s="30">
        <v>397623099</v>
      </c>
      <c r="M4364" s="80" t="s">
        <v>5518</v>
      </c>
      <c r="N4364" s="80" t="s">
        <v>5524</v>
      </c>
      <c r="O4364" s="80" t="s">
        <v>15288</v>
      </c>
      <c r="P4364" s="80" t="s">
        <v>1487</v>
      </c>
      <c r="Q4364" s="20">
        <v>13968</v>
      </c>
      <c r="R4364" s="80" t="s">
        <v>36</v>
      </c>
      <c r="S4364" s="95">
        <v>4000</v>
      </c>
      <c r="T4364" s="148">
        <v>45552</v>
      </c>
      <c r="U4364" s="95">
        <v>9968</v>
      </c>
      <c r="V4364" s="148">
        <v>45567</v>
      </c>
      <c r="W4364" s="85" t="s">
        <v>15289</v>
      </c>
      <c r="X4364" s="80"/>
      <c r="Y4364" s="22">
        <v>0</v>
      </c>
      <c r="Z4364" s="80" t="s">
        <v>50</v>
      </c>
      <c r="AA4364" s="35" t="s">
        <v>9905</v>
      </c>
      <c r="AB4364" s="80"/>
      <c r="AC4364" s="80" t="s">
        <v>53</v>
      </c>
      <c r="AD4364" s="80" t="s">
        <v>54</v>
      </c>
      <c r="AE4364" s="83">
        <v>450</v>
      </c>
      <c r="AF4364" s="17">
        <v>45548</v>
      </c>
      <c r="AG4364" s="80"/>
      <c r="AH4364" s="80"/>
      <c r="AI4364" s="147"/>
      <c r="AJ4364" s="80"/>
      <c r="AK4364" s="80"/>
      <c r="AL4364" s="35"/>
      <c r="AM4364" s="35"/>
      <c r="AN4364" s="35"/>
      <c r="AO4364" s="35"/>
      <c r="AP4364" s="35"/>
    </row>
    <row r="4365" spans="1:42" x14ac:dyDescent="0.2">
      <c r="A4365" s="126">
        <v>45552.876361666669</v>
      </c>
      <c r="B4365" s="137" t="s">
        <v>37</v>
      </c>
      <c r="C4365" s="41" t="s">
        <v>118</v>
      </c>
      <c r="D4365" s="80" t="s">
        <v>36</v>
      </c>
      <c r="E4365" s="80" t="s">
        <v>139</v>
      </c>
      <c r="F4365" s="80" t="s">
        <v>40</v>
      </c>
      <c r="G4365" s="80" t="s">
        <v>41</v>
      </c>
      <c r="H4365" s="80" t="s">
        <v>15290</v>
      </c>
      <c r="I4365" s="17">
        <f ca="1">IFERROR(__xludf.DUMMYFUNCTION("""COMPUTED_VALUE"""),45609)</f>
        <v>45609</v>
      </c>
      <c r="J4365" s="143" t="s">
        <v>15291</v>
      </c>
      <c r="K4365" s="80" t="s">
        <v>15292</v>
      </c>
      <c r="L4365" s="30">
        <v>388271726</v>
      </c>
      <c r="M4365" s="80" t="s">
        <v>5558</v>
      </c>
      <c r="N4365" s="80" t="s">
        <v>5559</v>
      </c>
      <c r="O4365" s="80" t="s">
        <v>4503</v>
      </c>
      <c r="P4365" s="80" t="s">
        <v>15293</v>
      </c>
      <c r="Q4365" s="20">
        <v>15936</v>
      </c>
      <c r="R4365" s="80" t="s">
        <v>36</v>
      </c>
      <c r="S4365" s="95">
        <v>2000</v>
      </c>
      <c r="T4365" s="148">
        <v>45552</v>
      </c>
      <c r="U4365" s="95">
        <v>14236</v>
      </c>
      <c r="V4365" s="148">
        <v>45570</v>
      </c>
      <c r="W4365" s="85" t="s">
        <v>15294</v>
      </c>
      <c r="X4365" s="80"/>
      <c r="Y4365" s="22">
        <v>-300</v>
      </c>
      <c r="Z4365" s="80" t="s">
        <v>50</v>
      </c>
      <c r="AA4365" s="96" t="s">
        <v>9905</v>
      </c>
      <c r="AB4365" s="80"/>
      <c r="AC4365" s="80" t="s">
        <v>53</v>
      </c>
      <c r="AD4365" s="80" t="s">
        <v>54</v>
      </c>
      <c r="AE4365" s="80"/>
      <c r="AF4365" s="17">
        <v>45554</v>
      </c>
      <c r="AG4365" s="80"/>
      <c r="AH4365" s="80"/>
      <c r="AI4365" s="147"/>
      <c r="AJ4365" s="80"/>
      <c r="AK4365" s="80"/>
      <c r="AL4365" s="35"/>
      <c r="AM4365" s="35"/>
      <c r="AN4365" s="35"/>
      <c r="AO4365" s="35"/>
      <c r="AP4365" s="35"/>
    </row>
    <row r="4366" spans="1:42" x14ac:dyDescent="0.2">
      <c r="A4366" s="126">
        <v>45553.321406655094</v>
      </c>
      <c r="B4366" s="137" t="s">
        <v>37</v>
      </c>
      <c r="C4366" s="41" t="s">
        <v>118</v>
      </c>
      <c r="D4366" s="80" t="s">
        <v>36</v>
      </c>
      <c r="E4366" s="80" t="s">
        <v>77</v>
      </c>
      <c r="F4366" s="80" t="s">
        <v>40</v>
      </c>
      <c r="G4366" s="80" t="s">
        <v>41</v>
      </c>
      <c r="H4366" s="80" t="s">
        <v>13239</v>
      </c>
      <c r="I4366" s="17">
        <f ca="1">IFERROR(__xludf.DUMMYFUNCTION("""COMPUTED_VALUE"""),45560)</f>
        <v>45560</v>
      </c>
      <c r="J4366" s="143" t="s">
        <v>15295</v>
      </c>
      <c r="K4366" s="80" t="s">
        <v>15296</v>
      </c>
      <c r="L4366" s="30">
        <v>981415076</v>
      </c>
      <c r="M4366" s="80" t="s">
        <v>9422</v>
      </c>
      <c r="N4366" s="80" t="s">
        <v>327</v>
      </c>
      <c r="O4366" s="80" t="s">
        <v>15297</v>
      </c>
      <c r="P4366" s="80" t="s">
        <v>15298</v>
      </c>
      <c r="Q4366" s="20">
        <v>1968</v>
      </c>
      <c r="R4366" s="80" t="s">
        <v>11421</v>
      </c>
      <c r="S4366" s="95">
        <v>1968</v>
      </c>
      <c r="T4366" s="148">
        <v>45552</v>
      </c>
      <c r="U4366" s="77"/>
      <c r="V4366" s="78"/>
      <c r="W4366" s="79" t="s">
        <v>15299</v>
      </c>
      <c r="X4366" s="80"/>
      <c r="Y4366" s="22">
        <v>0</v>
      </c>
      <c r="Z4366" s="80" t="s">
        <v>50</v>
      </c>
      <c r="AA4366" s="35" t="s">
        <v>9905</v>
      </c>
      <c r="AB4366" s="80"/>
      <c r="AC4366" s="80" t="s">
        <v>53</v>
      </c>
      <c r="AD4366" s="80" t="s">
        <v>54</v>
      </c>
      <c r="AE4366" s="80"/>
      <c r="AF4366" s="17">
        <v>45554</v>
      </c>
      <c r="AG4366" s="80" t="s">
        <v>7078</v>
      </c>
      <c r="AH4366" s="80"/>
      <c r="AI4366" s="147"/>
      <c r="AJ4366" s="80"/>
      <c r="AK4366" s="80"/>
      <c r="AL4366" s="35"/>
      <c r="AM4366" s="35"/>
      <c r="AN4366" s="35"/>
      <c r="AO4366" s="35"/>
      <c r="AP4366" s="35"/>
    </row>
    <row r="4367" spans="1:42" x14ac:dyDescent="0.2">
      <c r="A4367" s="126">
        <v>45553.323179317129</v>
      </c>
      <c r="B4367" s="137" t="s">
        <v>37</v>
      </c>
      <c r="C4367" s="41" t="s">
        <v>118</v>
      </c>
      <c r="D4367" s="80" t="s">
        <v>36</v>
      </c>
      <c r="E4367" s="80" t="s">
        <v>77</v>
      </c>
      <c r="F4367" s="80" t="s">
        <v>36</v>
      </c>
      <c r="G4367" s="80" t="s">
        <v>41</v>
      </c>
      <c r="H4367" s="80" t="s">
        <v>13315</v>
      </c>
      <c r="I4367" s="17">
        <f ca="1">IFERROR(__xludf.DUMMYFUNCTION("""COMPUTED_VALUE"""),45561)</f>
        <v>45561</v>
      </c>
      <c r="J4367" s="143" t="s">
        <v>15300</v>
      </c>
      <c r="K4367" s="80" t="s">
        <v>15301</v>
      </c>
      <c r="L4367" s="30">
        <v>965646983</v>
      </c>
      <c r="M4367" s="80" t="s">
        <v>12720</v>
      </c>
      <c r="N4367" s="80" t="s">
        <v>1073</v>
      </c>
      <c r="O4367" s="80" t="s">
        <v>15302</v>
      </c>
      <c r="P4367" s="80" t="s">
        <v>15303</v>
      </c>
      <c r="Q4367" s="20">
        <v>1968</v>
      </c>
      <c r="R4367" s="80" t="s">
        <v>36</v>
      </c>
      <c r="S4367" s="95">
        <f>200+1768</f>
        <v>1968</v>
      </c>
      <c r="T4367" s="83" t="s">
        <v>15304</v>
      </c>
      <c r="U4367" s="77"/>
      <c r="V4367" s="78"/>
      <c r="W4367" s="85" t="s">
        <v>15305</v>
      </c>
      <c r="X4367" s="80"/>
      <c r="Y4367" s="22">
        <v>0</v>
      </c>
      <c r="Z4367" s="80" t="s">
        <v>50</v>
      </c>
      <c r="AA4367" s="96" t="s">
        <v>9905</v>
      </c>
      <c r="AB4367" s="80"/>
      <c r="AC4367" s="80" t="s">
        <v>53</v>
      </c>
      <c r="AD4367" s="80" t="s">
        <v>54</v>
      </c>
      <c r="AE4367" s="83">
        <v>0</v>
      </c>
      <c r="AF4367" s="17">
        <v>45558</v>
      </c>
      <c r="AG4367" s="80" t="s">
        <v>7078</v>
      </c>
      <c r="AH4367" s="80"/>
      <c r="AI4367" s="147"/>
      <c r="AJ4367" s="80"/>
      <c r="AK4367" s="80"/>
      <c r="AL4367" s="35"/>
      <c r="AM4367" s="35"/>
      <c r="AN4367" s="35"/>
      <c r="AO4367" s="35"/>
      <c r="AP4367" s="35"/>
    </row>
    <row r="4368" spans="1:42" x14ac:dyDescent="0.2">
      <c r="A4368" s="126">
        <v>45553.324659155092</v>
      </c>
      <c r="B4368" s="137" t="s">
        <v>37</v>
      </c>
      <c r="C4368" s="41" t="s">
        <v>118</v>
      </c>
      <c r="D4368" s="80" t="s">
        <v>36</v>
      </c>
      <c r="E4368" s="80" t="s">
        <v>56</v>
      </c>
      <c r="F4368" s="80" t="s">
        <v>36</v>
      </c>
      <c r="G4368" s="80" t="s">
        <v>41</v>
      </c>
      <c r="H4368" s="80" t="s">
        <v>12799</v>
      </c>
      <c r="I4368" s="17">
        <f ca="1">IFERROR(__xludf.DUMMYFUNCTION("""COMPUTED_VALUE"""),45559)</f>
        <v>45559</v>
      </c>
      <c r="J4368" s="143" t="s">
        <v>14696</v>
      </c>
      <c r="K4368" s="80" t="s">
        <v>15306</v>
      </c>
      <c r="L4368" s="30">
        <v>896537311</v>
      </c>
      <c r="M4368" s="80" t="s">
        <v>12720</v>
      </c>
      <c r="N4368" s="80" t="s">
        <v>1073</v>
      </c>
      <c r="O4368" s="80" t="s">
        <v>14698</v>
      </c>
      <c r="P4368" s="80" t="s">
        <v>14699</v>
      </c>
      <c r="Q4368" s="20">
        <v>9317</v>
      </c>
      <c r="R4368" s="80" t="s">
        <v>36</v>
      </c>
      <c r="S4368" s="95">
        <f>200+1800</f>
        <v>2000</v>
      </c>
      <c r="T4368" s="83" t="s">
        <v>14700</v>
      </c>
      <c r="U4368" s="95">
        <v>7317</v>
      </c>
      <c r="V4368" s="148">
        <v>45591</v>
      </c>
      <c r="W4368" s="85" t="s">
        <v>14701</v>
      </c>
      <c r="X4368" s="80"/>
      <c r="Y4368" s="22">
        <v>0</v>
      </c>
      <c r="Z4368" s="80" t="s">
        <v>50</v>
      </c>
      <c r="AA4368" s="35" t="s">
        <v>9905</v>
      </c>
      <c r="AB4368" s="80"/>
      <c r="AC4368" s="80" t="s">
        <v>53</v>
      </c>
      <c r="AD4368" s="80" t="s">
        <v>138</v>
      </c>
      <c r="AE4368" s="83">
        <v>0</v>
      </c>
      <c r="AF4368" s="17">
        <v>45559</v>
      </c>
      <c r="AG4368" s="80" t="s">
        <v>7078</v>
      </c>
      <c r="AH4368" s="80"/>
      <c r="AI4368" s="147"/>
      <c r="AJ4368" s="80"/>
      <c r="AK4368" s="80"/>
      <c r="AL4368" s="35"/>
      <c r="AM4368" s="35"/>
      <c r="AN4368" s="35"/>
      <c r="AO4368" s="35"/>
      <c r="AP4368" s="35"/>
    </row>
    <row r="4369" spans="1:42" x14ac:dyDescent="0.2">
      <c r="A4369" s="126">
        <v>45553.416210034724</v>
      </c>
      <c r="B4369" s="137" t="s">
        <v>37</v>
      </c>
      <c r="C4369" s="41" t="s">
        <v>118</v>
      </c>
      <c r="D4369" s="80" t="s">
        <v>36</v>
      </c>
      <c r="E4369" s="80" t="s">
        <v>119</v>
      </c>
      <c r="F4369" s="80" t="s">
        <v>36</v>
      </c>
      <c r="G4369" s="80" t="s">
        <v>7629</v>
      </c>
      <c r="H4369" s="80" t="s">
        <v>13674</v>
      </c>
      <c r="I4369" s="17">
        <f ca="1">IFERROR(__xludf.DUMMYFUNCTION("""COMPUTED_VALUE"""),45582)</f>
        <v>45582</v>
      </c>
      <c r="J4369" s="143" t="s">
        <v>15307</v>
      </c>
      <c r="K4369" s="80" t="s">
        <v>15308</v>
      </c>
      <c r="L4369" s="30">
        <v>985731915</v>
      </c>
      <c r="M4369" s="80" t="s">
        <v>5429</v>
      </c>
      <c r="N4369" s="80" t="s">
        <v>756</v>
      </c>
      <c r="O4369" s="80" t="s">
        <v>15309</v>
      </c>
      <c r="P4369" s="80" t="s">
        <v>7107</v>
      </c>
      <c r="Q4369" s="20">
        <v>13968</v>
      </c>
      <c r="R4369" s="80" t="s">
        <v>36</v>
      </c>
      <c r="S4369" s="95">
        <f>200+3800</f>
        <v>4000</v>
      </c>
      <c r="T4369" s="83" t="s">
        <v>15310</v>
      </c>
      <c r="U4369" s="95">
        <v>9968</v>
      </c>
      <c r="V4369" s="148">
        <v>45589</v>
      </c>
      <c r="W4369" s="85" t="s">
        <v>15311</v>
      </c>
      <c r="X4369" s="80"/>
      <c r="Y4369" s="22">
        <v>0</v>
      </c>
      <c r="Z4369" s="80" t="s">
        <v>50</v>
      </c>
      <c r="AA4369" s="96" t="s">
        <v>9905</v>
      </c>
      <c r="AB4369" s="80"/>
      <c r="AC4369" s="80" t="s">
        <v>53</v>
      </c>
      <c r="AD4369" s="80" t="s">
        <v>138</v>
      </c>
      <c r="AE4369" s="83">
        <v>390</v>
      </c>
      <c r="AF4369" s="43">
        <v>45579</v>
      </c>
      <c r="AG4369" s="80"/>
      <c r="AH4369" s="80"/>
      <c r="AI4369" s="147"/>
      <c r="AJ4369" s="80"/>
      <c r="AK4369" s="80"/>
      <c r="AL4369" s="35"/>
      <c r="AM4369" s="35"/>
      <c r="AN4369" s="35"/>
      <c r="AO4369" s="35"/>
      <c r="AP4369" s="35"/>
    </row>
    <row r="4370" spans="1:42" x14ac:dyDescent="0.2">
      <c r="A4370" s="126">
        <v>45553.470058576393</v>
      </c>
      <c r="B4370" s="137" t="s">
        <v>37</v>
      </c>
      <c r="C4370" s="41" t="s">
        <v>118</v>
      </c>
      <c r="D4370" s="80" t="s">
        <v>36</v>
      </c>
      <c r="E4370" s="80" t="s">
        <v>139</v>
      </c>
      <c r="F4370" s="80" t="s">
        <v>91</v>
      </c>
      <c r="G4370" s="80" t="s">
        <v>41</v>
      </c>
      <c r="H4370" s="80" t="s">
        <v>13301</v>
      </c>
      <c r="I4370" s="17">
        <f ca="1">IFERROR(__xludf.DUMMYFUNCTION("""COMPUTED_VALUE"""),45566)</f>
        <v>45566</v>
      </c>
      <c r="J4370" s="143" t="s">
        <v>15312</v>
      </c>
      <c r="K4370" s="80" t="s">
        <v>15313</v>
      </c>
      <c r="L4370" s="30">
        <v>985536365</v>
      </c>
      <c r="M4370" s="80" t="s">
        <v>123</v>
      </c>
      <c r="N4370" s="80" t="s">
        <v>2847</v>
      </c>
      <c r="O4370" s="80" t="s">
        <v>4503</v>
      </c>
      <c r="P4370" s="80" t="s">
        <v>15314</v>
      </c>
      <c r="Q4370" s="20">
        <v>15936</v>
      </c>
      <c r="R4370" s="80" t="s">
        <v>70</v>
      </c>
      <c r="S4370" s="95">
        <f>100+5000</f>
        <v>5100</v>
      </c>
      <c r="T4370" s="83" t="s">
        <v>15315</v>
      </c>
      <c r="U4370" s="95">
        <v>10736</v>
      </c>
      <c r="V4370" s="148">
        <v>45593</v>
      </c>
      <c r="W4370" s="85" t="s">
        <v>15316</v>
      </c>
      <c r="X4370" s="80"/>
      <c r="Y4370" s="22">
        <v>100</v>
      </c>
      <c r="Z4370" s="80" t="s">
        <v>50</v>
      </c>
      <c r="AA4370" s="35" t="s">
        <v>9905</v>
      </c>
      <c r="AB4370" s="80"/>
      <c r="AC4370" s="80" t="s">
        <v>53</v>
      </c>
      <c r="AD4370" s="80" t="s">
        <v>138</v>
      </c>
      <c r="AE4370" s="80"/>
      <c r="AF4370" s="17">
        <v>45566</v>
      </c>
      <c r="AG4370" s="80"/>
      <c r="AH4370" s="80"/>
      <c r="AI4370" s="147"/>
      <c r="AJ4370" s="80"/>
      <c r="AK4370" s="80"/>
      <c r="AL4370" s="35"/>
      <c r="AM4370" s="35"/>
      <c r="AN4370" s="35"/>
      <c r="AO4370" s="35"/>
      <c r="AP4370" s="35"/>
    </row>
    <row r="4371" spans="1:42" x14ac:dyDescent="0.2">
      <c r="A4371" s="126">
        <v>45553.470961388884</v>
      </c>
      <c r="B4371" s="137" t="s">
        <v>37</v>
      </c>
      <c r="C4371" s="41" t="s">
        <v>118</v>
      </c>
      <c r="D4371" s="80" t="s">
        <v>36</v>
      </c>
      <c r="E4371" s="80" t="s">
        <v>139</v>
      </c>
      <c r="F4371" s="80" t="s">
        <v>40</v>
      </c>
      <c r="G4371" s="26" t="s">
        <v>41</v>
      </c>
      <c r="H4371" s="80" t="s">
        <v>11735</v>
      </c>
      <c r="I4371" s="17">
        <f ca="1">IFERROR(__xludf.DUMMYFUNCTION("""COMPUTED_VALUE"""),45555)</f>
        <v>45555</v>
      </c>
      <c r="J4371" s="143" t="s">
        <v>14261</v>
      </c>
      <c r="K4371" s="80" t="s">
        <v>14262</v>
      </c>
      <c r="L4371" s="30">
        <v>862943626</v>
      </c>
      <c r="M4371" s="80" t="s">
        <v>2755</v>
      </c>
      <c r="N4371" s="80" t="s">
        <v>2756</v>
      </c>
      <c r="O4371" s="80" t="s">
        <v>4503</v>
      </c>
      <c r="P4371" s="80" t="s">
        <v>7649</v>
      </c>
      <c r="Q4371" s="20">
        <v>15936</v>
      </c>
      <c r="R4371" s="80" t="s">
        <v>36</v>
      </c>
      <c r="S4371" s="95">
        <v>3200</v>
      </c>
      <c r="T4371" s="148">
        <v>45553</v>
      </c>
      <c r="U4371" s="178">
        <v>12736</v>
      </c>
      <c r="V4371" s="169">
        <v>45572</v>
      </c>
      <c r="W4371" s="80" t="s">
        <v>14263</v>
      </c>
      <c r="X4371" s="80"/>
      <c r="Y4371" s="22">
        <v>0</v>
      </c>
      <c r="Z4371" s="80" t="s">
        <v>50</v>
      </c>
      <c r="AA4371" s="96" t="s">
        <v>9905</v>
      </c>
      <c r="AB4371" s="80"/>
      <c r="AC4371" s="80" t="s">
        <v>53</v>
      </c>
      <c r="AD4371" s="80" t="s">
        <v>138</v>
      </c>
      <c r="AE4371" s="80"/>
      <c r="AF4371" s="17">
        <v>45555</v>
      </c>
      <c r="AG4371" s="80"/>
      <c r="AH4371" s="80"/>
      <c r="AI4371" s="147"/>
      <c r="AJ4371" s="80"/>
      <c r="AK4371" s="80"/>
      <c r="AL4371" s="35"/>
      <c r="AM4371" s="35"/>
      <c r="AN4371" s="35"/>
      <c r="AO4371" s="35"/>
      <c r="AP4371" s="35"/>
    </row>
    <row r="4372" spans="1:42" x14ac:dyDescent="0.2">
      <c r="A4372" s="126">
        <v>45553.471030844907</v>
      </c>
      <c r="B4372" s="137" t="s">
        <v>37</v>
      </c>
      <c r="C4372" s="41" t="s">
        <v>118</v>
      </c>
      <c r="D4372" s="80" t="s">
        <v>36</v>
      </c>
      <c r="E4372" s="80" t="s">
        <v>139</v>
      </c>
      <c r="F4372" s="80" t="s">
        <v>91</v>
      </c>
      <c r="G4372" s="80" t="s">
        <v>41</v>
      </c>
      <c r="H4372" s="80" t="s">
        <v>13301</v>
      </c>
      <c r="I4372" s="17">
        <f ca="1">IFERROR(__xludf.DUMMYFUNCTION("""COMPUTED_VALUE"""),45566)</f>
        <v>45566</v>
      </c>
      <c r="J4372" s="143" t="s">
        <v>14479</v>
      </c>
      <c r="K4372" s="80" t="s">
        <v>14480</v>
      </c>
      <c r="L4372" s="30">
        <v>348106516</v>
      </c>
      <c r="M4372" s="80" t="s">
        <v>123</v>
      </c>
      <c r="N4372" s="80" t="s">
        <v>2847</v>
      </c>
      <c r="O4372" s="80" t="s">
        <v>4503</v>
      </c>
      <c r="P4372" s="80" t="s">
        <v>5794</v>
      </c>
      <c r="Q4372" s="20">
        <v>15936</v>
      </c>
      <c r="R4372" s="80" t="s">
        <v>70</v>
      </c>
      <c r="S4372" s="95">
        <f>100+5000</f>
        <v>5100</v>
      </c>
      <c r="T4372" s="83" t="s">
        <v>14481</v>
      </c>
      <c r="U4372" s="95">
        <v>10736</v>
      </c>
      <c r="V4372" s="148">
        <v>45588</v>
      </c>
      <c r="W4372" s="85" t="s">
        <v>14482</v>
      </c>
      <c r="X4372" s="80"/>
      <c r="Y4372" s="22">
        <v>100</v>
      </c>
      <c r="Z4372" s="80" t="s">
        <v>50</v>
      </c>
      <c r="AA4372" s="35" t="s">
        <v>9905</v>
      </c>
      <c r="AB4372" s="80"/>
      <c r="AC4372" s="80" t="s">
        <v>53</v>
      </c>
      <c r="AD4372" s="80" t="s">
        <v>138</v>
      </c>
      <c r="AE4372" s="80"/>
      <c r="AF4372" s="17">
        <v>45566</v>
      </c>
      <c r="AG4372" s="80"/>
      <c r="AH4372" s="80"/>
      <c r="AI4372" s="147"/>
      <c r="AJ4372" s="80"/>
      <c r="AK4372" s="80"/>
      <c r="AL4372" s="35"/>
      <c r="AM4372" s="35"/>
      <c r="AN4372" s="35"/>
      <c r="AO4372" s="35"/>
      <c r="AP4372" s="35"/>
    </row>
    <row r="4373" spans="1:42" x14ac:dyDescent="0.2">
      <c r="A4373" s="126">
        <v>45553.475795810184</v>
      </c>
      <c r="B4373" s="137" t="s">
        <v>37</v>
      </c>
      <c r="C4373" s="41" t="s">
        <v>118</v>
      </c>
      <c r="D4373" s="80" t="s">
        <v>36</v>
      </c>
      <c r="E4373" s="80" t="s">
        <v>139</v>
      </c>
      <c r="F4373" s="26" t="s">
        <v>36</v>
      </c>
      <c r="G4373" s="80" t="s">
        <v>41</v>
      </c>
      <c r="H4373" s="80" t="s">
        <v>9626</v>
      </c>
      <c r="I4373" s="17">
        <f ca="1">IFERROR(__xludf.DUMMYFUNCTION("""COMPUTED_VALUE"""),45559)</f>
        <v>45559</v>
      </c>
      <c r="J4373" s="143" t="s">
        <v>15317</v>
      </c>
      <c r="K4373" s="80" t="s">
        <v>15318</v>
      </c>
      <c r="L4373" s="30">
        <v>385616636</v>
      </c>
      <c r="M4373" s="80" t="s">
        <v>2755</v>
      </c>
      <c r="N4373" s="80" t="s">
        <v>2756</v>
      </c>
      <c r="O4373" s="80" t="s">
        <v>4503</v>
      </c>
      <c r="P4373" s="80" t="s">
        <v>7649</v>
      </c>
      <c r="Q4373" s="20">
        <v>15936</v>
      </c>
      <c r="R4373" s="80" t="s">
        <v>36</v>
      </c>
      <c r="S4373" s="95">
        <v>2000</v>
      </c>
      <c r="T4373" s="148">
        <v>45553</v>
      </c>
      <c r="U4373" s="178">
        <v>13936</v>
      </c>
      <c r="V4373" s="169">
        <v>45576</v>
      </c>
      <c r="W4373" s="85" t="s">
        <v>15319</v>
      </c>
      <c r="X4373" s="80"/>
      <c r="Y4373" s="22">
        <v>0</v>
      </c>
      <c r="Z4373" s="80" t="s">
        <v>50</v>
      </c>
      <c r="AA4373" s="96" t="s">
        <v>9905</v>
      </c>
      <c r="AB4373" s="80"/>
      <c r="AC4373" s="80" t="s">
        <v>53</v>
      </c>
      <c r="AD4373" s="80" t="s">
        <v>138</v>
      </c>
      <c r="AE4373" s="80"/>
      <c r="AF4373" s="17">
        <v>45559</v>
      </c>
      <c r="AG4373" s="80"/>
      <c r="AH4373" s="80"/>
      <c r="AI4373" s="147"/>
      <c r="AJ4373" s="80"/>
      <c r="AK4373" s="80"/>
      <c r="AL4373" s="35"/>
      <c r="AM4373" s="35"/>
      <c r="AN4373" s="35"/>
      <c r="AO4373" s="35"/>
      <c r="AP4373" s="35"/>
    </row>
    <row r="4374" spans="1:42" x14ac:dyDescent="0.2">
      <c r="A4374" s="126">
        <v>45553.481391967594</v>
      </c>
      <c r="B4374" s="137" t="s">
        <v>37</v>
      </c>
      <c r="C4374" s="41" t="s">
        <v>118</v>
      </c>
      <c r="D4374" s="80" t="s">
        <v>36</v>
      </c>
      <c r="E4374" s="80" t="s">
        <v>56</v>
      </c>
      <c r="F4374" s="80" t="s">
        <v>36</v>
      </c>
      <c r="G4374" s="80" t="s">
        <v>41</v>
      </c>
      <c r="H4374" s="80" t="s">
        <v>12799</v>
      </c>
      <c r="I4374" s="17">
        <f ca="1">IFERROR(__xludf.DUMMYFUNCTION("""COMPUTED_VALUE"""),45559)</f>
        <v>45559</v>
      </c>
      <c r="J4374" s="143" t="s">
        <v>14615</v>
      </c>
      <c r="K4374" s="80" t="s">
        <v>14616</v>
      </c>
      <c r="L4374" s="30">
        <v>384191466</v>
      </c>
      <c r="M4374" s="80" t="s">
        <v>59</v>
      </c>
      <c r="N4374" s="80" t="s">
        <v>10947</v>
      </c>
      <c r="O4374" s="80" t="s">
        <v>14617</v>
      </c>
      <c r="P4374" s="80" t="s">
        <v>12687</v>
      </c>
      <c r="Q4374" s="20">
        <v>9317</v>
      </c>
      <c r="R4374" s="80" t="s">
        <v>36</v>
      </c>
      <c r="S4374" s="95">
        <v>2000</v>
      </c>
      <c r="T4374" s="148">
        <v>45553</v>
      </c>
      <c r="U4374" s="95">
        <v>7317</v>
      </c>
      <c r="V4374" s="148">
        <v>45566</v>
      </c>
      <c r="W4374" s="85" t="s">
        <v>14618</v>
      </c>
      <c r="X4374" s="80"/>
      <c r="Y4374" s="22">
        <v>0</v>
      </c>
      <c r="Z4374" s="80" t="s">
        <v>50</v>
      </c>
      <c r="AA4374" s="35" t="s">
        <v>9905</v>
      </c>
      <c r="AB4374" s="80"/>
      <c r="AC4374" s="80" t="s">
        <v>53</v>
      </c>
      <c r="AD4374" s="80" t="s">
        <v>138</v>
      </c>
      <c r="AE4374" s="80" t="s">
        <v>430</v>
      </c>
      <c r="AF4374" s="17">
        <v>45559</v>
      </c>
      <c r="AG4374" s="80"/>
      <c r="AH4374" s="80"/>
      <c r="AI4374" s="147"/>
      <c r="AJ4374" s="80"/>
      <c r="AK4374" s="80"/>
      <c r="AL4374" s="35"/>
      <c r="AM4374" s="35"/>
      <c r="AN4374" s="35"/>
      <c r="AO4374" s="35"/>
      <c r="AP4374" s="35"/>
    </row>
    <row r="4375" spans="1:42" x14ac:dyDescent="0.2">
      <c r="A4375" s="126">
        <v>45553.602479803245</v>
      </c>
      <c r="B4375" s="137" t="s">
        <v>37</v>
      </c>
      <c r="C4375" s="41" t="s">
        <v>118</v>
      </c>
      <c r="D4375" s="80" t="s">
        <v>36</v>
      </c>
      <c r="E4375" s="80" t="s">
        <v>139</v>
      </c>
      <c r="F4375" s="26" t="s">
        <v>36</v>
      </c>
      <c r="G4375" s="26" t="s">
        <v>41</v>
      </c>
      <c r="H4375" s="80" t="s">
        <v>12766</v>
      </c>
      <c r="I4375" s="17">
        <f ca="1">IFERROR(__xludf.DUMMYFUNCTION("""COMPUTED_VALUE"""),45555)</f>
        <v>45555</v>
      </c>
      <c r="J4375" s="143" t="s">
        <v>14074</v>
      </c>
      <c r="K4375" s="80" t="s">
        <v>14075</v>
      </c>
      <c r="L4375" s="30">
        <v>379165908</v>
      </c>
      <c r="M4375" s="80" t="s">
        <v>9422</v>
      </c>
      <c r="N4375" s="80" t="s">
        <v>327</v>
      </c>
      <c r="O4375" s="80" t="s">
        <v>8827</v>
      </c>
      <c r="P4375" s="80" t="s">
        <v>3117</v>
      </c>
      <c r="Q4375" s="20">
        <v>15936</v>
      </c>
      <c r="R4375" s="80" t="s">
        <v>11421</v>
      </c>
      <c r="S4375" s="95">
        <f>1000+1000</f>
        <v>2000</v>
      </c>
      <c r="T4375" s="148">
        <v>45553</v>
      </c>
      <c r="U4375" s="95">
        <v>13636</v>
      </c>
      <c r="V4375" s="148">
        <v>45573</v>
      </c>
      <c r="W4375" s="85" t="s">
        <v>14076</v>
      </c>
      <c r="X4375" s="80"/>
      <c r="Y4375" s="22">
        <v>300</v>
      </c>
      <c r="Z4375" s="80" t="s">
        <v>50</v>
      </c>
      <c r="AA4375" s="96" t="s">
        <v>9905</v>
      </c>
      <c r="AB4375" s="80"/>
      <c r="AC4375" s="80" t="s">
        <v>53</v>
      </c>
      <c r="AD4375" s="80" t="s">
        <v>138</v>
      </c>
      <c r="AE4375" s="80"/>
      <c r="AF4375" s="17">
        <v>45555</v>
      </c>
      <c r="AG4375" s="80"/>
      <c r="AH4375" s="80"/>
      <c r="AI4375" s="147"/>
      <c r="AJ4375" s="80"/>
      <c r="AK4375" s="80"/>
      <c r="AL4375" s="35"/>
      <c r="AM4375" s="35"/>
      <c r="AN4375" s="35"/>
      <c r="AO4375" s="35"/>
      <c r="AP4375" s="35"/>
    </row>
    <row r="4376" spans="1:42" x14ac:dyDescent="0.2">
      <c r="A4376" s="126">
        <v>45553.63377212963</v>
      </c>
      <c r="B4376" s="137" t="s">
        <v>37</v>
      </c>
      <c r="C4376" s="41" t="s">
        <v>118</v>
      </c>
      <c r="D4376" s="80" t="s">
        <v>36</v>
      </c>
      <c r="E4376" s="80" t="s">
        <v>139</v>
      </c>
      <c r="F4376" s="80" t="s">
        <v>36</v>
      </c>
      <c r="G4376" s="80" t="s">
        <v>41</v>
      </c>
      <c r="H4376" s="80" t="s">
        <v>11735</v>
      </c>
      <c r="I4376" s="17">
        <f ca="1">IFERROR(__xludf.DUMMYFUNCTION("""COMPUTED_VALUE"""),45555)</f>
        <v>45555</v>
      </c>
      <c r="J4376" s="143" t="s">
        <v>14264</v>
      </c>
      <c r="K4376" s="80" t="s">
        <v>14265</v>
      </c>
      <c r="L4376" s="30">
        <v>969215206</v>
      </c>
      <c r="M4376" s="80" t="s">
        <v>3498</v>
      </c>
      <c r="N4376" s="80" t="s">
        <v>4402</v>
      </c>
      <c r="O4376" s="80" t="s">
        <v>4503</v>
      </c>
      <c r="P4376" s="80" t="s">
        <v>7649</v>
      </c>
      <c r="Q4376" s="20">
        <v>15936</v>
      </c>
      <c r="R4376" s="80" t="s">
        <v>36</v>
      </c>
      <c r="S4376" s="95">
        <f>200+2800</f>
        <v>3000</v>
      </c>
      <c r="T4376" s="83" t="s">
        <v>14266</v>
      </c>
      <c r="U4376" s="178">
        <v>12936</v>
      </c>
      <c r="V4376" s="169">
        <v>45573</v>
      </c>
      <c r="W4376" s="85" t="s">
        <v>14267</v>
      </c>
      <c r="X4376" s="80"/>
      <c r="Y4376" s="22">
        <v>0</v>
      </c>
      <c r="Z4376" s="80" t="s">
        <v>50</v>
      </c>
      <c r="AA4376" s="35" t="s">
        <v>9905</v>
      </c>
      <c r="AB4376" s="80"/>
      <c r="AC4376" s="80" t="s">
        <v>53</v>
      </c>
      <c r="AD4376" s="80" t="s">
        <v>54</v>
      </c>
      <c r="AE4376" s="80"/>
      <c r="AF4376" s="17">
        <v>45555</v>
      </c>
      <c r="AG4376" s="80"/>
      <c r="AH4376" s="80"/>
      <c r="AI4376" s="147"/>
      <c r="AJ4376" s="80"/>
      <c r="AK4376" s="80"/>
      <c r="AL4376" s="35"/>
      <c r="AM4376" s="35"/>
      <c r="AN4376" s="35"/>
      <c r="AO4376" s="35"/>
      <c r="AP4376" s="35"/>
    </row>
    <row r="4377" spans="1:42" x14ac:dyDescent="0.2">
      <c r="A4377" s="126">
        <v>45553.658870462961</v>
      </c>
      <c r="B4377" s="137" t="s">
        <v>37</v>
      </c>
      <c r="C4377" s="41" t="s">
        <v>118</v>
      </c>
      <c r="D4377" s="80" t="s">
        <v>36</v>
      </c>
      <c r="E4377" s="80" t="s">
        <v>119</v>
      </c>
      <c r="F4377" s="80" t="s">
        <v>36</v>
      </c>
      <c r="G4377" s="80" t="s">
        <v>108</v>
      </c>
      <c r="H4377" s="80" t="s">
        <v>10028</v>
      </c>
      <c r="I4377" s="17">
        <f ca="1">IFERROR(__xludf.DUMMYFUNCTION("""COMPUTED_VALUE"""),45562)</f>
        <v>45562</v>
      </c>
      <c r="J4377" s="143" t="s">
        <v>15320</v>
      </c>
      <c r="K4377" s="80" t="s">
        <v>15321</v>
      </c>
      <c r="L4377" s="30">
        <v>332778823</v>
      </c>
      <c r="M4377" s="80" t="s">
        <v>12720</v>
      </c>
      <c r="N4377" s="80" t="s">
        <v>1073</v>
      </c>
      <c r="O4377" s="80" t="s">
        <v>15322</v>
      </c>
      <c r="P4377" s="80" t="s">
        <v>15323</v>
      </c>
      <c r="Q4377" s="20">
        <v>13968</v>
      </c>
      <c r="R4377" s="80" t="s">
        <v>36</v>
      </c>
      <c r="S4377" s="95">
        <f>200+3800</f>
        <v>4000</v>
      </c>
      <c r="T4377" s="83" t="s">
        <v>14531</v>
      </c>
      <c r="U4377" s="95">
        <v>9968</v>
      </c>
      <c r="V4377" s="148">
        <v>45582</v>
      </c>
      <c r="W4377" s="85" t="s">
        <v>15324</v>
      </c>
      <c r="X4377" s="80"/>
      <c r="Y4377" s="22">
        <v>0</v>
      </c>
      <c r="Z4377" s="80" t="s">
        <v>50</v>
      </c>
      <c r="AA4377" s="96" t="s">
        <v>9905</v>
      </c>
      <c r="AB4377" s="80"/>
      <c r="AC4377" s="80" t="s">
        <v>53</v>
      </c>
      <c r="AD4377" s="80" t="s">
        <v>138</v>
      </c>
      <c r="AE4377" s="83">
        <v>440</v>
      </c>
      <c r="AF4377" s="17">
        <v>45562</v>
      </c>
      <c r="AG4377" s="80"/>
      <c r="AH4377" s="80"/>
      <c r="AI4377" s="147"/>
      <c r="AJ4377" s="80"/>
      <c r="AK4377" s="80"/>
      <c r="AL4377" s="35"/>
      <c r="AM4377" s="35"/>
      <c r="AN4377" s="35"/>
      <c r="AO4377" s="35"/>
      <c r="AP4377" s="35"/>
    </row>
    <row r="4378" spans="1:42" x14ac:dyDescent="0.2">
      <c r="A4378" s="126">
        <v>45553.736592152782</v>
      </c>
      <c r="B4378" s="137" t="s">
        <v>37</v>
      </c>
      <c r="C4378" s="41" t="s">
        <v>118</v>
      </c>
      <c r="D4378" s="80" t="s">
        <v>36</v>
      </c>
      <c r="E4378" s="80" t="s">
        <v>139</v>
      </c>
      <c r="F4378" s="26" t="s">
        <v>36</v>
      </c>
      <c r="G4378" s="26" t="s">
        <v>41</v>
      </c>
      <c r="H4378" s="80" t="s">
        <v>12766</v>
      </c>
      <c r="I4378" s="17">
        <f ca="1">IFERROR(__xludf.DUMMYFUNCTION("""COMPUTED_VALUE"""),45555)</f>
        <v>45555</v>
      </c>
      <c r="J4378" s="143" t="s">
        <v>14115</v>
      </c>
      <c r="K4378" s="80" t="s">
        <v>15325</v>
      </c>
      <c r="L4378" s="30">
        <v>565622833</v>
      </c>
      <c r="M4378" s="80" t="s">
        <v>910</v>
      </c>
      <c r="N4378" s="80" t="s">
        <v>3525</v>
      </c>
      <c r="O4378" s="80" t="s">
        <v>91</v>
      </c>
      <c r="P4378" s="80" t="s">
        <v>12578</v>
      </c>
      <c r="Q4378" s="20">
        <v>15936</v>
      </c>
      <c r="R4378" s="80" t="s">
        <v>36</v>
      </c>
      <c r="S4378" s="95">
        <v>2000</v>
      </c>
      <c r="T4378" s="148">
        <v>45553</v>
      </c>
      <c r="U4378" s="95">
        <v>13936</v>
      </c>
      <c r="V4378" s="148">
        <v>45586</v>
      </c>
      <c r="W4378" s="85" t="s">
        <v>14117</v>
      </c>
      <c r="X4378" s="80"/>
      <c r="Y4378" s="22">
        <v>0</v>
      </c>
      <c r="Z4378" s="80" t="s">
        <v>50</v>
      </c>
      <c r="AA4378" s="35" t="s">
        <v>9905</v>
      </c>
      <c r="AB4378" s="80"/>
      <c r="AC4378" s="80" t="s">
        <v>53</v>
      </c>
      <c r="AD4378" s="80" t="s">
        <v>138</v>
      </c>
      <c r="AE4378" s="80"/>
      <c r="AF4378" s="17">
        <v>45555</v>
      </c>
      <c r="AG4378" s="80"/>
      <c r="AH4378" s="80"/>
      <c r="AI4378" s="147"/>
      <c r="AJ4378" s="80"/>
      <c r="AK4378" s="80"/>
      <c r="AL4378" s="35"/>
      <c r="AM4378" s="35"/>
      <c r="AN4378" s="35"/>
      <c r="AO4378" s="35"/>
      <c r="AP4378" s="35"/>
    </row>
    <row r="4379" spans="1:42" x14ac:dyDescent="0.2">
      <c r="A4379" s="126">
        <v>45553.765246377312</v>
      </c>
      <c r="B4379" s="137" t="s">
        <v>37</v>
      </c>
      <c r="C4379" s="41" t="s">
        <v>118</v>
      </c>
      <c r="D4379" s="80" t="s">
        <v>36</v>
      </c>
      <c r="E4379" s="80" t="s">
        <v>139</v>
      </c>
      <c r="F4379" s="80" t="s">
        <v>40</v>
      </c>
      <c r="G4379" s="80" t="s">
        <v>41</v>
      </c>
      <c r="H4379" s="80" t="s">
        <v>13206</v>
      </c>
      <c r="I4379" s="17">
        <f ca="1">IFERROR(__xludf.DUMMYFUNCTION("""COMPUTED_VALUE"""),45559)</f>
        <v>45559</v>
      </c>
      <c r="J4379" s="143" t="s">
        <v>14728</v>
      </c>
      <c r="K4379" s="80" t="s">
        <v>15326</v>
      </c>
      <c r="L4379" s="30">
        <v>356773802</v>
      </c>
      <c r="M4379" s="80" t="s">
        <v>3498</v>
      </c>
      <c r="N4379" s="80" t="s">
        <v>4402</v>
      </c>
      <c r="O4379" s="80" t="s">
        <v>4503</v>
      </c>
      <c r="P4379" s="80" t="s">
        <v>15327</v>
      </c>
      <c r="Q4379" s="20">
        <v>15936</v>
      </c>
      <c r="R4379" s="80" t="s">
        <v>70</v>
      </c>
      <c r="S4379" s="95">
        <v>3000</v>
      </c>
      <c r="T4379" s="148">
        <v>45552</v>
      </c>
      <c r="U4379" s="95">
        <v>12836</v>
      </c>
      <c r="V4379" s="148">
        <v>45580</v>
      </c>
      <c r="W4379" s="85" t="s">
        <v>14731</v>
      </c>
      <c r="X4379" s="80"/>
      <c r="Y4379" s="22">
        <v>100</v>
      </c>
      <c r="Z4379" s="80" t="s">
        <v>50</v>
      </c>
      <c r="AA4379" s="96" t="s">
        <v>9905</v>
      </c>
      <c r="AB4379" s="80"/>
      <c r="AC4379" s="80" t="s">
        <v>53</v>
      </c>
      <c r="AD4379" s="80" t="s">
        <v>138</v>
      </c>
      <c r="AE4379" s="80"/>
      <c r="AF4379" s="17">
        <v>45554</v>
      </c>
      <c r="AG4379" s="80"/>
      <c r="AH4379" s="80"/>
      <c r="AI4379" s="147"/>
      <c r="AJ4379" s="80"/>
      <c r="AK4379" s="80"/>
      <c r="AL4379" s="35"/>
      <c r="AM4379" s="35"/>
      <c r="AN4379" s="35"/>
      <c r="AO4379" s="35"/>
      <c r="AP4379" s="35"/>
    </row>
    <row r="4380" spans="1:42" x14ac:dyDescent="0.2">
      <c r="A4380" s="126">
        <v>45553.797170092592</v>
      </c>
      <c r="B4380" s="137" t="s">
        <v>37</v>
      </c>
      <c r="C4380" s="41" t="s">
        <v>118</v>
      </c>
      <c r="D4380" s="80" t="s">
        <v>36</v>
      </c>
      <c r="E4380" s="80" t="s">
        <v>39</v>
      </c>
      <c r="F4380" s="80" t="s">
        <v>40</v>
      </c>
      <c r="G4380" s="80" t="s">
        <v>41</v>
      </c>
      <c r="H4380" s="80" t="s">
        <v>13239</v>
      </c>
      <c r="I4380" s="17">
        <f ca="1">IFERROR(__xludf.DUMMYFUNCTION("""COMPUTED_VALUE"""),45560)</f>
        <v>45560</v>
      </c>
      <c r="J4380" s="143" t="s">
        <v>15328</v>
      </c>
      <c r="K4380" s="80" t="s">
        <v>15329</v>
      </c>
      <c r="L4380" s="30">
        <v>865684071</v>
      </c>
      <c r="M4380" s="80" t="s">
        <v>2755</v>
      </c>
      <c r="N4380" s="80" t="s">
        <v>4402</v>
      </c>
      <c r="O4380" s="80" t="s">
        <v>4503</v>
      </c>
      <c r="P4380" s="80" t="s">
        <v>15330</v>
      </c>
      <c r="Q4380" s="20">
        <v>5736</v>
      </c>
      <c r="R4380" s="80" t="s">
        <v>70</v>
      </c>
      <c r="S4380" s="95">
        <v>2500</v>
      </c>
      <c r="T4380" s="148">
        <v>45552</v>
      </c>
      <c r="U4380" s="95">
        <v>3136</v>
      </c>
      <c r="V4380" s="169">
        <v>45591</v>
      </c>
      <c r="W4380" s="85" t="s">
        <v>15331</v>
      </c>
      <c r="X4380" s="80"/>
      <c r="Y4380" s="22">
        <v>100</v>
      </c>
      <c r="Z4380" s="80" t="s">
        <v>50</v>
      </c>
      <c r="AA4380" s="35" t="s">
        <v>9905</v>
      </c>
      <c r="AB4380" s="80"/>
      <c r="AC4380" s="80" t="s">
        <v>53</v>
      </c>
      <c r="AD4380" s="80" t="s">
        <v>54</v>
      </c>
      <c r="AE4380" s="80"/>
      <c r="AF4380" s="17">
        <v>45554</v>
      </c>
      <c r="AG4380" s="80"/>
      <c r="AH4380" s="80"/>
      <c r="AI4380" s="147"/>
      <c r="AJ4380" s="80"/>
      <c r="AK4380" s="80"/>
      <c r="AL4380" s="35"/>
      <c r="AM4380" s="35"/>
      <c r="AN4380" s="35"/>
      <c r="AO4380" s="35"/>
      <c r="AP4380" s="35"/>
    </row>
    <row r="4381" spans="1:42" x14ac:dyDescent="0.2">
      <c r="A4381" s="126">
        <v>45554.527592303246</v>
      </c>
      <c r="B4381" s="137" t="s">
        <v>37</v>
      </c>
      <c r="C4381" s="41" t="s">
        <v>118</v>
      </c>
      <c r="D4381" s="80" t="s">
        <v>36</v>
      </c>
      <c r="E4381" s="80" t="s">
        <v>139</v>
      </c>
      <c r="F4381" s="80" t="s">
        <v>36</v>
      </c>
      <c r="G4381" s="26" t="s">
        <v>41</v>
      </c>
      <c r="H4381" s="80" t="s">
        <v>12766</v>
      </c>
      <c r="I4381" s="17">
        <f ca="1">IFERROR(__xludf.DUMMYFUNCTION("""COMPUTED_VALUE"""),45555)</f>
        <v>45555</v>
      </c>
      <c r="J4381" s="143" t="s">
        <v>14132</v>
      </c>
      <c r="K4381" s="80" t="s">
        <v>15332</v>
      </c>
      <c r="L4381" s="30">
        <v>917958678</v>
      </c>
      <c r="M4381" s="80" t="s">
        <v>5518</v>
      </c>
      <c r="N4381" s="80" t="s">
        <v>5252</v>
      </c>
      <c r="O4381" s="80" t="s">
        <v>1487</v>
      </c>
      <c r="P4381" s="80" t="s">
        <v>7743</v>
      </c>
      <c r="Q4381" s="20">
        <v>15936</v>
      </c>
      <c r="R4381" s="80" t="s">
        <v>36</v>
      </c>
      <c r="S4381" s="95">
        <v>2000</v>
      </c>
      <c r="T4381" s="148">
        <v>45554</v>
      </c>
      <c r="U4381" s="95">
        <v>13936</v>
      </c>
      <c r="V4381" s="148">
        <v>45572</v>
      </c>
      <c r="W4381" s="85" t="s">
        <v>14134</v>
      </c>
      <c r="X4381" s="80"/>
      <c r="Y4381" s="22">
        <v>0</v>
      </c>
      <c r="Z4381" s="80" t="s">
        <v>50</v>
      </c>
      <c r="AA4381" s="96" t="s">
        <v>9905</v>
      </c>
      <c r="AB4381" s="80"/>
      <c r="AC4381" s="80" t="s">
        <v>53</v>
      </c>
      <c r="AD4381" s="80" t="s">
        <v>138</v>
      </c>
      <c r="AE4381" s="80"/>
      <c r="AF4381" s="17">
        <v>45555</v>
      </c>
      <c r="AG4381" s="80"/>
      <c r="AH4381" s="80"/>
      <c r="AI4381" s="147"/>
      <c r="AJ4381" s="80"/>
      <c r="AK4381" s="80"/>
      <c r="AL4381" s="35"/>
      <c r="AM4381" s="35"/>
      <c r="AN4381" s="35"/>
      <c r="AO4381" s="35"/>
      <c r="AP4381" s="35"/>
    </row>
    <row r="4382" spans="1:42" x14ac:dyDescent="0.2">
      <c r="A4382" s="126">
        <v>45554.633985925924</v>
      </c>
      <c r="B4382" s="137" t="s">
        <v>37</v>
      </c>
      <c r="C4382" s="41" t="s">
        <v>118</v>
      </c>
      <c r="D4382" s="80" t="s">
        <v>36</v>
      </c>
      <c r="E4382" s="80" t="s">
        <v>39</v>
      </c>
      <c r="F4382" s="26" t="s">
        <v>40</v>
      </c>
      <c r="G4382" s="80" t="s">
        <v>41</v>
      </c>
      <c r="H4382" s="80" t="s">
        <v>11747</v>
      </c>
      <c r="I4382" s="17">
        <f ca="1">IFERROR(__xludf.DUMMYFUNCTION("""COMPUTED_VALUE"""),45559)</f>
        <v>45559</v>
      </c>
      <c r="J4382" s="143" t="s">
        <v>15333</v>
      </c>
      <c r="K4382" s="80" t="s">
        <v>15334</v>
      </c>
      <c r="L4382" s="30">
        <v>819301908</v>
      </c>
      <c r="M4382" s="80" t="s">
        <v>123</v>
      </c>
      <c r="N4382" s="80" t="s">
        <v>2847</v>
      </c>
      <c r="O4382" s="80" t="s">
        <v>4503</v>
      </c>
      <c r="P4382" s="144" t="s">
        <v>15335</v>
      </c>
      <c r="Q4382" s="20">
        <v>5736</v>
      </c>
      <c r="R4382" s="80" t="s">
        <v>36</v>
      </c>
      <c r="S4382" s="95">
        <f>200+3736</f>
        <v>3936</v>
      </c>
      <c r="T4382" s="83" t="s">
        <v>15336</v>
      </c>
      <c r="U4382" s="95">
        <v>1800</v>
      </c>
      <c r="V4382" s="169">
        <v>45559</v>
      </c>
      <c r="W4382" s="85" t="s">
        <v>15337</v>
      </c>
      <c r="X4382" s="80"/>
      <c r="Y4382" s="22">
        <v>0</v>
      </c>
      <c r="Z4382" s="80" t="s">
        <v>50</v>
      </c>
      <c r="AA4382" s="35" t="s">
        <v>9905</v>
      </c>
      <c r="AB4382" s="80"/>
      <c r="AC4382" s="80" t="s">
        <v>53</v>
      </c>
      <c r="AD4382" s="80" t="s">
        <v>138</v>
      </c>
      <c r="AE4382" s="80"/>
      <c r="AF4382" s="17">
        <v>45559</v>
      </c>
      <c r="AG4382" s="80"/>
      <c r="AH4382" s="80"/>
      <c r="AI4382" s="147"/>
      <c r="AJ4382" s="80"/>
      <c r="AK4382" s="80"/>
      <c r="AL4382" s="35"/>
      <c r="AM4382" s="35"/>
      <c r="AN4382" s="35"/>
      <c r="AO4382" s="35"/>
      <c r="AP4382" s="35"/>
    </row>
    <row r="4383" spans="1:42" x14ac:dyDescent="0.2">
      <c r="A4383" s="126">
        <v>45554.667407754634</v>
      </c>
      <c r="B4383" s="137" t="s">
        <v>37</v>
      </c>
      <c r="C4383" s="41" t="s">
        <v>118</v>
      </c>
      <c r="D4383" s="80" t="s">
        <v>36</v>
      </c>
      <c r="E4383" s="80" t="s">
        <v>139</v>
      </c>
      <c r="F4383" s="80" t="s">
        <v>91</v>
      </c>
      <c r="G4383" s="80" t="s">
        <v>41</v>
      </c>
      <c r="H4383" s="80" t="s">
        <v>12799</v>
      </c>
      <c r="I4383" s="17">
        <f ca="1">IFERROR(__xludf.DUMMYFUNCTION("""COMPUTED_VALUE"""),45559)</f>
        <v>45559</v>
      </c>
      <c r="J4383" s="143" t="s">
        <v>14529</v>
      </c>
      <c r="K4383" s="80" t="s">
        <v>14530</v>
      </c>
      <c r="L4383" s="30">
        <v>886203633</v>
      </c>
      <c r="M4383" s="80" t="s">
        <v>3498</v>
      </c>
      <c r="N4383" s="80" t="s">
        <v>4402</v>
      </c>
      <c r="O4383" s="80" t="s">
        <v>4503</v>
      </c>
      <c r="P4383" s="80" t="s">
        <v>5794</v>
      </c>
      <c r="Q4383" s="20">
        <v>15936</v>
      </c>
      <c r="R4383" s="80" t="s">
        <v>36</v>
      </c>
      <c r="S4383" s="95">
        <f>200+1800</f>
        <v>2000</v>
      </c>
      <c r="T4383" s="83" t="s">
        <v>14531</v>
      </c>
      <c r="U4383" s="178">
        <v>13936</v>
      </c>
      <c r="V4383" s="148">
        <v>45576</v>
      </c>
      <c r="W4383" s="85" t="s">
        <v>14532</v>
      </c>
      <c r="X4383" s="80"/>
      <c r="Y4383" s="22">
        <v>0</v>
      </c>
      <c r="Z4383" s="80" t="s">
        <v>50</v>
      </c>
      <c r="AA4383" s="96" t="s">
        <v>9905</v>
      </c>
      <c r="AB4383" s="80"/>
      <c r="AC4383" s="80" t="s">
        <v>53</v>
      </c>
      <c r="AD4383" s="80" t="s">
        <v>138</v>
      </c>
      <c r="AE4383" s="80"/>
      <c r="AF4383" s="17">
        <v>45559</v>
      </c>
      <c r="AG4383" s="80"/>
      <c r="AH4383" s="80"/>
      <c r="AI4383" s="147"/>
      <c r="AJ4383" s="80"/>
      <c r="AK4383" s="80"/>
      <c r="AL4383" s="35"/>
      <c r="AM4383" s="35"/>
      <c r="AN4383" s="35"/>
      <c r="AO4383" s="35"/>
      <c r="AP4383" s="35"/>
    </row>
    <row r="4384" spans="1:42" x14ac:dyDescent="0.2">
      <c r="A4384" s="126">
        <v>45554.668866678243</v>
      </c>
      <c r="B4384" s="137" t="s">
        <v>37</v>
      </c>
      <c r="C4384" s="41" t="s">
        <v>118</v>
      </c>
      <c r="D4384" s="80" t="s">
        <v>36</v>
      </c>
      <c r="E4384" s="80" t="s">
        <v>56</v>
      </c>
      <c r="F4384" s="80" t="s">
        <v>40</v>
      </c>
      <c r="G4384" s="80" t="s">
        <v>41</v>
      </c>
      <c r="H4384" s="80" t="s">
        <v>13301</v>
      </c>
      <c r="I4384" s="17">
        <f ca="1">IFERROR(__xludf.DUMMYFUNCTION("""COMPUTED_VALUE"""),45566)</f>
        <v>45566</v>
      </c>
      <c r="J4384" s="143" t="s">
        <v>14410</v>
      </c>
      <c r="K4384" s="80" t="s">
        <v>14411</v>
      </c>
      <c r="L4384" s="30">
        <v>868105728</v>
      </c>
      <c r="M4384" s="80" t="s">
        <v>123</v>
      </c>
      <c r="N4384" s="80" t="s">
        <v>2847</v>
      </c>
      <c r="O4384" s="80" t="s">
        <v>4503</v>
      </c>
      <c r="P4384" s="80" t="s">
        <v>5794</v>
      </c>
      <c r="Q4384" s="20">
        <v>9317</v>
      </c>
      <c r="R4384" s="80" t="s">
        <v>36</v>
      </c>
      <c r="S4384" s="95">
        <f>200+2000+3000</f>
        <v>5200</v>
      </c>
      <c r="T4384" s="83" t="s">
        <v>14413</v>
      </c>
      <c r="U4384" s="95">
        <v>4117</v>
      </c>
      <c r="V4384" s="148">
        <v>45578</v>
      </c>
      <c r="W4384" s="85" t="s">
        <v>14414</v>
      </c>
      <c r="X4384" s="80"/>
      <c r="Y4384" s="22">
        <v>0</v>
      </c>
      <c r="Z4384" s="80" t="s">
        <v>50</v>
      </c>
      <c r="AA4384" s="35" t="s">
        <v>9905</v>
      </c>
      <c r="AB4384" s="80"/>
      <c r="AC4384" s="80" t="s">
        <v>53</v>
      </c>
      <c r="AD4384" s="80" t="s">
        <v>138</v>
      </c>
      <c r="AE4384" s="80"/>
      <c r="AF4384" s="17">
        <v>45566</v>
      </c>
      <c r="AG4384" s="80"/>
      <c r="AH4384" s="80"/>
      <c r="AI4384" s="147"/>
      <c r="AJ4384" s="80"/>
      <c r="AK4384" s="80"/>
      <c r="AL4384" s="35"/>
      <c r="AM4384" s="35"/>
      <c r="AN4384" s="35"/>
      <c r="AO4384" s="35"/>
      <c r="AP4384" s="35"/>
    </row>
    <row r="4385" spans="1:42" x14ac:dyDescent="0.2">
      <c r="A4385" s="126">
        <v>45554.676104965278</v>
      </c>
      <c r="B4385" s="137" t="s">
        <v>37</v>
      </c>
      <c r="C4385" s="41" t="s">
        <v>118</v>
      </c>
      <c r="D4385" s="80" t="s">
        <v>36</v>
      </c>
      <c r="E4385" s="80" t="s">
        <v>139</v>
      </c>
      <c r="F4385" s="80" t="s">
        <v>36</v>
      </c>
      <c r="G4385" s="80" t="s">
        <v>41</v>
      </c>
      <c r="H4385" s="80" t="s">
        <v>13301</v>
      </c>
      <c r="I4385" s="17">
        <f ca="1">IFERROR(__xludf.DUMMYFUNCTION("""COMPUTED_VALUE"""),45566)</f>
        <v>45566</v>
      </c>
      <c r="J4385" s="143" t="s">
        <v>14443</v>
      </c>
      <c r="K4385" s="80" t="s">
        <v>14444</v>
      </c>
      <c r="L4385" s="30">
        <v>813781506</v>
      </c>
      <c r="M4385" s="80" t="s">
        <v>123</v>
      </c>
      <c r="N4385" s="80" t="s">
        <v>2847</v>
      </c>
      <c r="O4385" s="80" t="s">
        <v>4503</v>
      </c>
      <c r="P4385" s="80" t="s">
        <v>5794</v>
      </c>
      <c r="Q4385" s="20">
        <v>15936</v>
      </c>
      <c r="R4385" s="80" t="s">
        <v>70</v>
      </c>
      <c r="S4385" s="95">
        <f>200+3000</f>
        <v>3200</v>
      </c>
      <c r="T4385" s="83" t="s">
        <v>14445</v>
      </c>
      <c r="U4385" s="95">
        <v>12736</v>
      </c>
      <c r="V4385" s="148">
        <v>45586</v>
      </c>
      <c r="W4385" s="85" t="s">
        <v>14446</v>
      </c>
      <c r="X4385" s="80"/>
      <c r="Y4385" s="22">
        <v>0</v>
      </c>
      <c r="Z4385" s="80" t="s">
        <v>50</v>
      </c>
      <c r="AA4385" s="96" t="s">
        <v>9905</v>
      </c>
      <c r="AB4385" s="80"/>
      <c r="AC4385" s="80" t="s">
        <v>53</v>
      </c>
      <c r="AD4385" s="80" t="s">
        <v>138</v>
      </c>
      <c r="AE4385" s="80"/>
      <c r="AF4385" s="17">
        <v>45566</v>
      </c>
      <c r="AG4385" s="80"/>
      <c r="AH4385" s="80"/>
      <c r="AI4385" s="147"/>
      <c r="AJ4385" s="80"/>
      <c r="AK4385" s="80"/>
      <c r="AL4385" s="35"/>
      <c r="AM4385" s="35"/>
      <c r="AN4385" s="35"/>
      <c r="AO4385" s="35"/>
      <c r="AP4385" s="35"/>
    </row>
    <row r="4386" spans="1:42" x14ac:dyDescent="0.2">
      <c r="A4386" s="126">
        <v>45554.678999988428</v>
      </c>
      <c r="B4386" s="137" t="s">
        <v>37</v>
      </c>
      <c r="C4386" s="41" t="s">
        <v>118</v>
      </c>
      <c r="D4386" s="80" t="s">
        <v>36</v>
      </c>
      <c r="E4386" s="80" t="s">
        <v>139</v>
      </c>
      <c r="F4386" s="80" t="s">
        <v>40</v>
      </c>
      <c r="G4386" s="80" t="s">
        <v>41</v>
      </c>
      <c r="H4386" s="80" t="s">
        <v>13121</v>
      </c>
      <c r="I4386" s="17">
        <f ca="1">IFERROR(__xludf.DUMMYFUNCTION("""COMPUTED_VALUE"""),45565)</f>
        <v>45565</v>
      </c>
      <c r="J4386" s="143" t="s">
        <v>15338</v>
      </c>
      <c r="K4386" s="80" t="s">
        <v>15339</v>
      </c>
      <c r="L4386" s="30">
        <v>328412800</v>
      </c>
      <c r="M4386" s="80" t="s">
        <v>5558</v>
      </c>
      <c r="N4386" s="80" t="s">
        <v>850</v>
      </c>
      <c r="O4386" s="80" t="s">
        <v>4503</v>
      </c>
      <c r="P4386" s="80" t="s">
        <v>3056</v>
      </c>
      <c r="Q4386" s="20">
        <v>15936</v>
      </c>
      <c r="R4386" s="80" t="s">
        <v>70</v>
      </c>
      <c r="S4386" s="95">
        <f t="shared" ref="S4386:S4387" si="86">100+1900</f>
        <v>2000</v>
      </c>
      <c r="T4386" s="83" t="s">
        <v>15340</v>
      </c>
      <c r="U4386" s="95">
        <v>13836</v>
      </c>
      <c r="V4386" s="148">
        <v>45593</v>
      </c>
      <c r="W4386" s="80" t="s">
        <v>15341</v>
      </c>
      <c r="X4386" s="80"/>
      <c r="Y4386" s="22">
        <v>100</v>
      </c>
      <c r="Z4386" s="80" t="s">
        <v>50</v>
      </c>
      <c r="AA4386" s="35" t="s">
        <v>9905</v>
      </c>
      <c r="AB4386" s="80"/>
      <c r="AC4386" s="80" t="s">
        <v>53</v>
      </c>
      <c r="AD4386" s="80" t="s">
        <v>138</v>
      </c>
      <c r="AE4386" s="80"/>
      <c r="AF4386" s="17">
        <v>45565</v>
      </c>
      <c r="AG4386" s="80"/>
      <c r="AH4386" s="80"/>
      <c r="AI4386" s="147"/>
      <c r="AJ4386" s="80"/>
      <c r="AK4386" s="80"/>
      <c r="AL4386" s="35"/>
      <c r="AM4386" s="35"/>
      <c r="AN4386" s="35"/>
      <c r="AO4386" s="35"/>
      <c r="AP4386" s="35"/>
    </row>
    <row r="4387" spans="1:42" x14ac:dyDescent="0.2">
      <c r="A4387" s="126">
        <v>45554.680330428237</v>
      </c>
      <c r="B4387" s="137" t="s">
        <v>37</v>
      </c>
      <c r="C4387" s="41" t="s">
        <v>118</v>
      </c>
      <c r="D4387" s="80" t="s">
        <v>36</v>
      </c>
      <c r="E4387" s="80" t="s">
        <v>139</v>
      </c>
      <c r="F4387" s="80" t="s">
        <v>40</v>
      </c>
      <c r="G4387" s="80" t="s">
        <v>41</v>
      </c>
      <c r="H4387" s="80" t="s">
        <v>13121</v>
      </c>
      <c r="I4387" s="17">
        <f ca="1">IFERROR(__xludf.DUMMYFUNCTION("""COMPUTED_VALUE"""),45565)</f>
        <v>45565</v>
      </c>
      <c r="J4387" s="143" t="s">
        <v>15342</v>
      </c>
      <c r="K4387" s="80" t="s">
        <v>15343</v>
      </c>
      <c r="L4387" s="30">
        <v>342920313</v>
      </c>
      <c r="M4387" s="80" t="s">
        <v>5558</v>
      </c>
      <c r="N4387" s="80" t="s">
        <v>850</v>
      </c>
      <c r="O4387" s="80" t="s">
        <v>4503</v>
      </c>
      <c r="P4387" s="80" t="s">
        <v>5794</v>
      </c>
      <c r="Q4387" s="20">
        <v>15936</v>
      </c>
      <c r="R4387" s="80" t="s">
        <v>70</v>
      </c>
      <c r="S4387" s="95">
        <f t="shared" si="86"/>
        <v>2000</v>
      </c>
      <c r="T4387" s="83" t="s">
        <v>15340</v>
      </c>
      <c r="U4387" s="95">
        <v>13836</v>
      </c>
      <c r="V4387" s="148">
        <v>45593</v>
      </c>
      <c r="W4387" s="80" t="s">
        <v>15344</v>
      </c>
      <c r="X4387" s="80"/>
      <c r="Y4387" s="22">
        <v>100</v>
      </c>
      <c r="Z4387" s="80" t="s">
        <v>50</v>
      </c>
      <c r="AA4387" s="96" t="s">
        <v>9905</v>
      </c>
      <c r="AB4387" s="80"/>
      <c r="AC4387" s="80" t="s">
        <v>53</v>
      </c>
      <c r="AD4387" s="80" t="s">
        <v>138</v>
      </c>
      <c r="AE4387" s="80"/>
      <c r="AF4387" s="17">
        <v>45565</v>
      </c>
      <c r="AG4387" s="80"/>
      <c r="AH4387" s="80"/>
      <c r="AI4387" s="147"/>
      <c r="AJ4387" s="80"/>
      <c r="AK4387" s="80"/>
      <c r="AL4387" s="35"/>
      <c r="AM4387" s="35"/>
      <c r="AN4387" s="35"/>
      <c r="AO4387" s="35"/>
      <c r="AP4387" s="35"/>
    </row>
    <row r="4388" spans="1:42" x14ac:dyDescent="0.2">
      <c r="A4388" s="126">
        <v>45554.697167361111</v>
      </c>
      <c r="B4388" s="137" t="s">
        <v>37</v>
      </c>
      <c r="C4388" s="41" t="s">
        <v>118</v>
      </c>
      <c r="D4388" s="80" t="s">
        <v>36</v>
      </c>
      <c r="E4388" s="80" t="s">
        <v>139</v>
      </c>
      <c r="F4388" s="80" t="s">
        <v>40</v>
      </c>
      <c r="G4388" s="80" t="s">
        <v>41</v>
      </c>
      <c r="H4388" s="80" t="s">
        <v>13239</v>
      </c>
      <c r="I4388" s="17">
        <f ca="1">IFERROR(__xludf.DUMMYFUNCTION("""COMPUTED_VALUE"""),45560)</f>
        <v>45560</v>
      </c>
      <c r="J4388" s="143" t="s">
        <v>15345</v>
      </c>
      <c r="K4388" s="80" t="s">
        <v>15346</v>
      </c>
      <c r="L4388" s="30">
        <v>972865946</v>
      </c>
      <c r="M4388" s="80" t="s">
        <v>2755</v>
      </c>
      <c r="N4388" s="80" t="s">
        <v>4402</v>
      </c>
      <c r="O4388" s="80" t="s">
        <v>4503</v>
      </c>
      <c r="P4388" s="144" t="s">
        <v>15347</v>
      </c>
      <c r="Q4388" s="20">
        <v>15936</v>
      </c>
      <c r="R4388" s="80" t="s">
        <v>70</v>
      </c>
      <c r="S4388" s="95">
        <f>200+2800</f>
        <v>3000</v>
      </c>
      <c r="T4388" s="83" t="s">
        <v>15340</v>
      </c>
      <c r="U4388" s="95">
        <v>12836</v>
      </c>
      <c r="V4388" s="148">
        <v>45580</v>
      </c>
      <c r="W4388" s="80" t="s">
        <v>15348</v>
      </c>
      <c r="X4388" s="80"/>
      <c r="Y4388" s="22">
        <v>100</v>
      </c>
      <c r="Z4388" s="80" t="s">
        <v>50</v>
      </c>
      <c r="AA4388" s="35" t="s">
        <v>9905</v>
      </c>
      <c r="AB4388" s="80"/>
      <c r="AC4388" s="80" t="s">
        <v>53</v>
      </c>
      <c r="AD4388" s="80" t="s">
        <v>54</v>
      </c>
      <c r="AE4388" s="80"/>
      <c r="AF4388" s="17">
        <v>45554</v>
      </c>
      <c r="AG4388" s="80"/>
      <c r="AH4388" s="80"/>
      <c r="AI4388" s="147"/>
      <c r="AJ4388" s="80"/>
      <c r="AK4388" s="80"/>
      <c r="AL4388" s="35"/>
      <c r="AM4388" s="35"/>
      <c r="AN4388" s="35"/>
      <c r="AO4388" s="35"/>
      <c r="AP4388" s="35"/>
    </row>
    <row r="4389" spans="1:42" x14ac:dyDescent="0.2">
      <c r="A4389" s="126">
        <v>45554.8035146412</v>
      </c>
      <c r="B4389" s="137" t="s">
        <v>37</v>
      </c>
      <c r="C4389" s="41" t="s">
        <v>118</v>
      </c>
      <c r="D4389" s="80" t="s">
        <v>36</v>
      </c>
      <c r="E4389" s="80" t="s">
        <v>119</v>
      </c>
      <c r="F4389" s="80" t="s">
        <v>36</v>
      </c>
      <c r="G4389" s="80" t="s">
        <v>108</v>
      </c>
      <c r="H4389" s="80" t="s">
        <v>10028</v>
      </c>
      <c r="I4389" s="17">
        <f ca="1">IFERROR(__xludf.DUMMYFUNCTION("""COMPUTED_VALUE"""),45562)</f>
        <v>45562</v>
      </c>
      <c r="J4389" s="143" t="s">
        <v>15349</v>
      </c>
      <c r="K4389" s="80" t="s">
        <v>15350</v>
      </c>
      <c r="L4389" s="30">
        <v>982227005</v>
      </c>
      <c r="M4389" s="80" t="s">
        <v>5518</v>
      </c>
      <c r="N4389" s="80" t="s">
        <v>12477</v>
      </c>
      <c r="O4389" s="80" t="s">
        <v>15351</v>
      </c>
      <c r="P4389" s="80" t="s">
        <v>3694</v>
      </c>
      <c r="Q4389" s="20">
        <v>13968</v>
      </c>
      <c r="R4389" s="80" t="s">
        <v>36</v>
      </c>
      <c r="S4389" s="95">
        <f>2000+2000</f>
        <v>4000</v>
      </c>
      <c r="T4389" s="83" t="s">
        <v>15352</v>
      </c>
      <c r="U4389" s="95">
        <v>9968</v>
      </c>
      <c r="V4389" s="148">
        <v>45581</v>
      </c>
      <c r="W4389" s="85" t="s">
        <v>15353</v>
      </c>
      <c r="X4389" s="80"/>
      <c r="Y4389" s="22">
        <v>0</v>
      </c>
      <c r="Z4389" s="80" t="s">
        <v>50</v>
      </c>
      <c r="AA4389" s="96" t="s">
        <v>9905</v>
      </c>
      <c r="AB4389" s="80"/>
      <c r="AC4389" s="80" t="s">
        <v>53</v>
      </c>
      <c r="AD4389" s="80" t="s">
        <v>138</v>
      </c>
      <c r="AE4389" s="83">
        <v>570</v>
      </c>
      <c r="AF4389" s="17">
        <v>45562</v>
      </c>
      <c r="AG4389" s="80"/>
      <c r="AH4389" s="80"/>
      <c r="AI4389" s="147"/>
      <c r="AJ4389" s="80"/>
      <c r="AK4389" s="80"/>
      <c r="AL4389" s="35"/>
      <c r="AM4389" s="35"/>
      <c r="AN4389" s="35"/>
      <c r="AO4389" s="35"/>
      <c r="AP4389" s="35"/>
    </row>
    <row r="4390" spans="1:42" x14ac:dyDescent="0.2">
      <c r="A4390" s="126">
        <v>45554.883015011575</v>
      </c>
      <c r="B4390" s="137" t="s">
        <v>37</v>
      </c>
      <c r="C4390" s="41" t="s">
        <v>118</v>
      </c>
      <c r="D4390" s="80" t="s">
        <v>36</v>
      </c>
      <c r="E4390" s="80" t="s">
        <v>77</v>
      </c>
      <c r="F4390" s="80" t="s">
        <v>40</v>
      </c>
      <c r="G4390" s="80" t="s">
        <v>41</v>
      </c>
      <c r="H4390" s="80" t="s">
        <v>15354</v>
      </c>
      <c r="I4390" s="17" t="str">
        <f ca="1">IFERROR(__xludf.DUMMYFUNCTION("""COMPUTED_VALUE""")," ")</f>
        <v xml:space="preserve"> </v>
      </c>
      <c r="J4390" s="143" t="s">
        <v>15355</v>
      </c>
      <c r="K4390" s="80" t="s">
        <v>15356</v>
      </c>
      <c r="L4390" s="30">
        <v>972987535</v>
      </c>
      <c r="M4390" s="80" t="s">
        <v>5429</v>
      </c>
      <c r="N4390" s="80" t="s">
        <v>756</v>
      </c>
      <c r="O4390" s="80" t="s">
        <v>61</v>
      </c>
      <c r="P4390" s="80" t="s">
        <v>15357</v>
      </c>
      <c r="Q4390" s="20">
        <v>1968</v>
      </c>
      <c r="R4390" s="80" t="s">
        <v>36</v>
      </c>
      <c r="S4390" s="95">
        <v>2000</v>
      </c>
      <c r="T4390" s="148">
        <v>45555</v>
      </c>
      <c r="U4390" s="77"/>
      <c r="V4390" s="78"/>
      <c r="W4390" s="79" t="s">
        <v>15358</v>
      </c>
      <c r="X4390" s="80"/>
      <c r="Y4390" s="22">
        <v>-32</v>
      </c>
      <c r="Z4390" s="80" t="s">
        <v>50</v>
      </c>
      <c r="AA4390" s="35" t="s">
        <v>9905</v>
      </c>
      <c r="AB4390" s="80"/>
      <c r="AC4390" s="80" t="s">
        <v>53</v>
      </c>
      <c r="AD4390" s="80" t="s">
        <v>54</v>
      </c>
      <c r="AE4390" s="80" t="s">
        <v>72</v>
      </c>
      <c r="AF4390" s="17">
        <v>45556</v>
      </c>
      <c r="AG4390" s="80" t="s">
        <v>7078</v>
      </c>
      <c r="AH4390" s="80"/>
      <c r="AI4390" s="147"/>
      <c r="AJ4390" s="80"/>
      <c r="AK4390" s="80"/>
      <c r="AL4390" s="35"/>
      <c r="AM4390" s="35"/>
      <c r="AN4390" s="35"/>
      <c r="AO4390" s="35"/>
      <c r="AP4390" s="35"/>
    </row>
    <row r="4391" spans="1:42" x14ac:dyDescent="0.2">
      <c r="A4391" s="126">
        <v>45554.9655866088</v>
      </c>
      <c r="B4391" s="137" t="s">
        <v>37</v>
      </c>
      <c r="C4391" s="41" t="s">
        <v>118</v>
      </c>
      <c r="D4391" s="80" t="s">
        <v>36</v>
      </c>
      <c r="E4391" s="80" t="s">
        <v>139</v>
      </c>
      <c r="F4391" s="80" t="s">
        <v>36</v>
      </c>
      <c r="G4391" s="80" t="s">
        <v>41</v>
      </c>
      <c r="H4391" s="80" t="s">
        <v>13178</v>
      </c>
      <c r="I4391" s="17">
        <f ca="1">IFERROR(__xludf.DUMMYFUNCTION("""COMPUTED_VALUE"""),45572)</f>
        <v>45572</v>
      </c>
      <c r="J4391" s="143" t="s">
        <v>15359</v>
      </c>
      <c r="K4391" s="80" t="s">
        <v>15360</v>
      </c>
      <c r="L4391" s="30">
        <v>346512396</v>
      </c>
      <c r="M4391" s="80" t="s">
        <v>5558</v>
      </c>
      <c r="N4391" s="80" t="s">
        <v>850</v>
      </c>
      <c r="O4391" s="80" t="s">
        <v>15361</v>
      </c>
      <c r="P4391" s="80" t="s">
        <v>15362</v>
      </c>
      <c r="Q4391" s="20">
        <v>15936</v>
      </c>
      <c r="R4391" s="80" t="s">
        <v>36</v>
      </c>
      <c r="S4391" s="95">
        <v>2000</v>
      </c>
      <c r="T4391" s="148">
        <v>45554</v>
      </c>
      <c r="U4391" s="95">
        <v>13936</v>
      </c>
      <c r="V4391" s="169">
        <v>45588</v>
      </c>
      <c r="W4391" s="85" t="s">
        <v>15363</v>
      </c>
      <c r="X4391" s="80"/>
      <c r="Y4391" s="22">
        <v>0</v>
      </c>
      <c r="Z4391" s="80" t="s">
        <v>50</v>
      </c>
      <c r="AA4391" s="96" t="s">
        <v>9905</v>
      </c>
      <c r="AB4391" s="80"/>
      <c r="AC4391" s="80" t="s">
        <v>53</v>
      </c>
      <c r="AD4391" s="80" t="s">
        <v>138</v>
      </c>
      <c r="AE4391" s="80"/>
      <c r="AF4391" s="17">
        <v>45572</v>
      </c>
      <c r="AG4391" s="80" t="s">
        <v>13185</v>
      </c>
      <c r="AH4391" s="80"/>
      <c r="AI4391" s="147"/>
      <c r="AJ4391" s="80"/>
      <c r="AK4391" s="80"/>
      <c r="AL4391" s="35"/>
      <c r="AM4391" s="35"/>
      <c r="AN4391" s="35"/>
      <c r="AO4391" s="35"/>
      <c r="AP4391" s="35"/>
    </row>
    <row r="4392" spans="1:42" x14ac:dyDescent="0.2">
      <c r="A4392" s="126">
        <v>45554.981454664347</v>
      </c>
      <c r="B4392" s="137" t="s">
        <v>37</v>
      </c>
      <c r="C4392" s="41" t="s">
        <v>118</v>
      </c>
      <c r="D4392" s="80" t="s">
        <v>36</v>
      </c>
      <c r="E4392" s="80" t="s">
        <v>56</v>
      </c>
      <c r="F4392" s="80" t="s">
        <v>36</v>
      </c>
      <c r="G4392" s="26" t="s">
        <v>41</v>
      </c>
      <c r="H4392" s="80" t="s">
        <v>12766</v>
      </c>
      <c r="I4392" s="17">
        <f ca="1">IFERROR(__xludf.DUMMYFUNCTION("""COMPUTED_VALUE"""),45555)</f>
        <v>45555</v>
      </c>
      <c r="J4392" s="143" t="s">
        <v>14141</v>
      </c>
      <c r="K4392" s="80" t="s">
        <v>15364</v>
      </c>
      <c r="L4392" s="30">
        <v>364563802</v>
      </c>
      <c r="M4392" s="80" t="s">
        <v>9422</v>
      </c>
      <c r="N4392" s="80" t="s">
        <v>5574</v>
      </c>
      <c r="O4392" s="80" t="s">
        <v>14143</v>
      </c>
      <c r="P4392" s="80" t="s">
        <v>14144</v>
      </c>
      <c r="Q4392" s="20">
        <v>9317</v>
      </c>
      <c r="R4392" s="80" t="s">
        <v>11421</v>
      </c>
      <c r="S4392" s="95">
        <v>2000</v>
      </c>
      <c r="T4392" s="148">
        <v>45554</v>
      </c>
      <c r="U4392" s="95">
        <v>7017</v>
      </c>
      <c r="V4392" s="148">
        <v>45567</v>
      </c>
      <c r="W4392" s="85" t="s">
        <v>14145</v>
      </c>
      <c r="X4392" s="80"/>
      <c r="Y4392" s="22">
        <v>300</v>
      </c>
      <c r="Z4392" s="80" t="s">
        <v>50</v>
      </c>
      <c r="AA4392" s="35" t="s">
        <v>9905</v>
      </c>
      <c r="AB4392" s="80"/>
      <c r="AC4392" s="80" t="s">
        <v>53</v>
      </c>
      <c r="AD4392" s="80" t="s">
        <v>138</v>
      </c>
      <c r="AE4392" s="80"/>
      <c r="AF4392" s="17">
        <v>45555</v>
      </c>
      <c r="AG4392" s="80"/>
      <c r="AH4392" s="80"/>
      <c r="AI4392" s="147"/>
      <c r="AJ4392" s="80"/>
      <c r="AK4392" s="80"/>
      <c r="AL4392" s="35"/>
      <c r="AM4392" s="35"/>
      <c r="AN4392" s="35"/>
      <c r="AO4392" s="35"/>
      <c r="AP4392" s="35"/>
    </row>
    <row r="4393" spans="1:42" x14ac:dyDescent="0.2">
      <c r="A4393" s="126">
        <v>45555.013737592591</v>
      </c>
      <c r="B4393" s="137" t="s">
        <v>37</v>
      </c>
      <c r="C4393" s="41" t="s">
        <v>118</v>
      </c>
      <c r="D4393" s="80" t="s">
        <v>36</v>
      </c>
      <c r="E4393" s="80" t="s">
        <v>139</v>
      </c>
      <c r="F4393" s="80" t="s">
        <v>40</v>
      </c>
      <c r="G4393" s="80" t="s">
        <v>41</v>
      </c>
      <c r="H4393" s="80" t="s">
        <v>13121</v>
      </c>
      <c r="I4393" s="17">
        <f ca="1">IFERROR(__xludf.DUMMYFUNCTION("""COMPUTED_VALUE"""),45565)</f>
        <v>45565</v>
      </c>
      <c r="J4393" s="143" t="s">
        <v>15365</v>
      </c>
      <c r="K4393" s="80" t="s">
        <v>15366</v>
      </c>
      <c r="L4393" s="30">
        <v>394389706</v>
      </c>
      <c r="M4393" s="80" t="s">
        <v>59</v>
      </c>
      <c r="N4393" s="80" t="s">
        <v>7298</v>
      </c>
      <c r="O4393" s="80" t="s">
        <v>15367</v>
      </c>
      <c r="P4393" s="80" t="s">
        <v>12687</v>
      </c>
      <c r="Q4393" s="20">
        <v>15936</v>
      </c>
      <c r="R4393" s="80" t="s">
        <v>70</v>
      </c>
      <c r="S4393" s="95">
        <v>2000</v>
      </c>
      <c r="T4393" s="148">
        <v>45554</v>
      </c>
      <c r="U4393" s="95">
        <v>13836</v>
      </c>
      <c r="V4393" s="148">
        <v>45579</v>
      </c>
      <c r="W4393" s="85" t="s">
        <v>15368</v>
      </c>
      <c r="X4393" s="80"/>
      <c r="Y4393" s="22">
        <v>100</v>
      </c>
      <c r="Z4393" s="80" t="s">
        <v>50</v>
      </c>
      <c r="AA4393" s="96" t="s">
        <v>9905</v>
      </c>
      <c r="AB4393" s="80"/>
      <c r="AC4393" s="80" t="s">
        <v>53</v>
      </c>
      <c r="AD4393" s="80" t="s">
        <v>138</v>
      </c>
      <c r="AE4393" s="80" t="s">
        <v>430</v>
      </c>
      <c r="AF4393" s="17">
        <v>45565</v>
      </c>
      <c r="AG4393" s="80"/>
      <c r="AH4393" s="80"/>
      <c r="AI4393" s="147"/>
      <c r="AJ4393" s="80"/>
      <c r="AK4393" s="80"/>
      <c r="AL4393" s="35"/>
      <c r="AM4393" s="35"/>
      <c r="AN4393" s="35"/>
      <c r="AO4393" s="35"/>
      <c r="AP4393" s="35"/>
    </row>
    <row r="4394" spans="1:42" x14ac:dyDescent="0.2">
      <c r="A4394" s="126">
        <v>45555.01540527778</v>
      </c>
      <c r="B4394" s="137" t="s">
        <v>37</v>
      </c>
      <c r="C4394" s="41" t="s">
        <v>118</v>
      </c>
      <c r="D4394" s="80" t="s">
        <v>36</v>
      </c>
      <c r="E4394" s="80" t="s">
        <v>139</v>
      </c>
      <c r="F4394" s="80" t="s">
        <v>40</v>
      </c>
      <c r="G4394" s="80" t="s">
        <v>41</v>
      </c>
      <c r="H4394" s="80" t="s">
        <v>13121</v>
      </c>
      <c r="I4394" s="17">
        <f ca="1">IFERROR(__xludf.DUMMYFUNCTION("""COMPUTED_VALUE"""),45565)</f>
        <v>45565</v>
      </c>
      <c r="J4394" s="143" t="s">
        <v>15369</v>
      </c>
      <c r="K4394" s="80" t="s">
        <v>15370</v>
      </c>
      <c r="L4394" s="30">
        <v>911996288</v>
      </c>
      <c r="M4394" s="80" t="s">
        <v>59</v>
      </c>
      <c r="N4394" s="80" t="s">
        <v>7298</v>
      </c>
      <c r="O4394" s="80" t="s">
        <v>15371</v>
      </c>
      <c r="P4394" s="80" t="s">
        <v>12687</v>
      </c>
      <c r="Q4394" s="20">
        <v>15936</v>
      </c>
      <c r="R4394" s="80" t="s">
        <v>70</v>
      </c>
      <c r="S4394" s="95">
        <v>2000</v>
      </c>
      <c r="T4394" s="148">
        <v>45554</v>
      </c>
      <c r="U4394" s="95">
        <v>13836</v>
      </c>
      <c r="V4394" s="148">
        <v>45587</v>
      </c>
      <c r="W4394" s="85" t="s">
        <v>15372</v>
      </c>
      <c r="X4394" s="80"/>
      <c r="Y4394" s="22">
        <v>100</v>
      </c>
      <c r="Z4394" s="80" t="s">
        <v>50</v>
      </c>
      <c r="AA4394" s="35" t="s">
        <v>9905</v>
      </c>
      <c r="AB4394" s="80"/>
      <c r="AC4394" s="80" t="s">
        <v>53</v>
      </c>
      <c r="AD4394" s="80" t="s">
        <v>138</v>
      </c>
      <c r="AE4394" s="80" t="s">
        <v>72</v>
      </c>
      <c r="AF4394" s="17">
        <v>45565</v>
      </c>
      <c r="AG4394" s="80"/>
      <c r="AH4394" s="80"/>
      <c r="AI4394" s="147"/>
      <c r="AJ4394" s="80"/>
      <c r="AK4394" s="80"/>
      <c r="AL4394" s="35"/>
      <c r="AM4394" s="35"/>
      <c r="AN4394" s="35"/>
      <c r="AO4394" s="35"/>
      <c r="AP4394" s="35"/>
    </row>
    <row r="4395" spans="1:42" x14ac:dyDescent="0.2">
      <c r="A4395" s="126">
        <v>45555.01940907407</v>
      </c>
      <c r="B4395" s="137" t="s">
        <v>37</v>
      </c>
      <c r="C4395" s="41" t="s">
        <v>118</v>
      </c>
      <c r="D4395" s="80" t="s">
        <v>36</v>
      </c>
      <c r="E4395" s="80" t="s">
        <v>139</v>
      </c>
      <c r="F4395" s="80" t="s">
        <v>36</v>
      </c>
      <c r="G4395" s="80" t="s">
        <v>41</v>
      </c>
      <c r="H4395" s="80" t="s">
        <v>13178</v>
      </c>
      <c r="I4395" s="17">
        <f ca="1">IFERROR(__xludf.DUMMYFUNCTION("""COMPUTED_VALUE"""),45572)</f>
        <v>45572</v>
      </c>
      <c r="J4395" s="143" t="s">
        <v>15373</v>
      </c>
      <c r="K4395" s="80" t="s">
        <v>15374</v>
      </c>
      <c r="L4395" s="30">
        <v>393642462</v>
      </c>
      <c r="M4395" s="80" t="s">
        <v>59</v>
      </c>
      <c r="N4395" s="80" t="s">
        <v>7298</v>
      </c>
      <c r="O4395" s="80" t="s">
        <v>15375</v>
      </c>
      <c r="P4395" s="80" t="s">
        <v>15376</v>
      </c>
      <c r="Q4395" s="20">
        <v>15936</v>
      </c>
      <c r="R4395" s="80" t="s">
        <v>36</v>
      </c>
      <c r="S4395" s="95">
        <f>200+2000</f>
        <v>2200</v>
      </c>
      <c r="T4395" s="83" t="s">
        <v>15377</v>
      </c>
      <c r="U4395" s="95">
        <v>13736</v>
      </c>
      <c r="V4395" s="148">
        <v>45573</v>
      </c>
      <c r="W4395" s="85" t="s">
        <v>15378</v>
      </c>
      <c r="X4395" s="80"/>
      <c r="Y4395" s="22">
        <v>0</v>
      </c>
      <c r="Z4395" s="80" t="s">
        <v>50</v>
      </c>
      <c r="AA4395" s="96" t="s">
        <v>9905</v>
      </c>
      <c r="AB4395" s="80"/>
      <c r="AC4395" s="80" t="s">
        <v>53</v>
      </c>
      <c r="AD4395" s="80" t="s">
        <v>138</v>
      </c>
      <c r="AE4395" s="80" t="s">
        <v>3170</v>
      </c>
      <c r="AF4395" s="17">
        <v>45572</v>
      </c>
      <c r="AG4395" s="80" t="s">
        <v>13185</v>
      </c>
      <c r="AH4395" s="80"/>
      <c r="AI4395" s="147"/>
      <c r="AJ4395" s="80"/>
      <c r="AK4395" s="80"/>
      <c r="AL4395" s="35"/>
      <c r="AM4395" s="35"/>
      <c r="AN4395" s="35"/>
      <c r="AO4395" s="35"/>
      <c r="AP4395" s="35"/>
    </row>
    <row r="4396" spans="1:42" x14ac:dyDescent="0.2">
      <c r="A4396" s="126">
        <v>45555.439532291668</v>
      </c>
      <c r="B4396" s="137" t="s">
        <v>37</v>
      </c>
      <c r="C4396" s="41" t="s">
        <v>118</v>
      </c>
      <c r="D4396" s="80" t="s">
        <v>36</v>
      </c>
      <c r="E4396" s="80" t="s">
        <v>915</v>
      </c>
      <c r="F4396" s="80" t="s">
        <v>40</v>
      </c>
      <c r="G4396" s="80" t="s">
        <v>221</v>
      </c>
      <c r="H4396" s="80" t="s">
        <v>11774</v>
      </c>
      <c r="I4396" s="17">
        <f ca="1">IFERROR(__xludf.DUMMYFUNCTION("""COMPUTED_VALUE"""),45569)</f>
        <v>45569</v>
      </c>
      <c r="J4396" s="143" t="s">
        <v>15379</v>
      </c>
      <c r="K4396" s="80" t="s">
        <v>15380</v>
      </c>
      <c r="L4396" s="30">
        <v>832521218</v>
      </c>
      <c r="M4396" s="80" t="s">
        <v>5429</v>
      </c>
      <c r="N4396" s="80" t="s">
        <v>3065</v>
      </c>
      <c r="O4396" s="80" t="s">
        <v>61</v>
      </c>
      <c r="P4396" s="80" t="s">
        <v>15381</v>
      </c>
      <c r="Q4396" s="20">
        <v>10894</v>
      </c>
      <c r="R4396" s="80" t="s">
        <v>36</v>
      </c>
      <c r="S4396" s="95">
        <v>4000</v>
      </c>
      <c r="T4396" s="148">
        <v>45555</v>
      </c>
      <c r="U4396" s="95">
        <v>6894</v>
      </c>
      <c r="V4396" s="148">
        <v>45587</v>
      </c>
      <c r="W4396" s="85" t="s">
        <v>15382</v>
      </c>
      <c r="X4396" s="80"/>
      <c r="Y4396" s="22">
        <v>0</v>
      </c>
      <c r="Z4396" s="80" t="s">
        <v>50</v>
      </c>
      <c r="AA4396" s="35" t="s">
        <v>9905</v>
      </c>
      <c r="AB4396" s="80"/>
      <c r="AC4396" s="80" t="s">
        <v>53</v>
      </c>
      <c r="AD4396" s="80" t="s">
        <v>54</v>
      </c>
      <c r="AE4396" s="83">
        <v>650</v>
      </c>
      <c r="AF4396" s="17">
        <v>45562</v>
      </c>
      <c r="AG4396" s="80"/>
      <c r="AH4396" s="80"/>
      <c r="AI4396" s="147"/>
      <c r="AJ4396" s="80"/>
      <c r="AK4396" s="80"/>
      <c r="AL4396" s="193"/>
      <c r="AM4396" s="193"/>
      <c r="AN4396" s="193"/>
      <c r="AO4396" s="193"/>
      <c r="AP4396" s="193"/>
    </row>
    <row r="4397" spans="1:42" x14ac:dyDescent="0.2">
      <c r="A4397" s="126">
        <v>45555.449782291667</v>
      </c>
      <c r="B4397" s="137" t="s">
        <v>37</v>
      </c>
      <c r="C4397" s="41" t="s">
        <v>118</v>
      </c>
      <c r="D4397" s="80" t="s">
        <v>36</v>
      </c>
      <c r="E4397" s="80" t="s">
        <v>119</v>
      </c>
      <c r="F4397" s="80" t="s">
        <v>91</v>
      </c>
      <c r="G4397" s="80" t="s">
        <v>108</v>
      </c>
      <c r="H4397" s="80" t="s">
        <v>10282</v>
      </c>
      <c r="I4397" s="17">
        <f ca="1">IFERROR(__xludf.DUMMYFUNCTION("""COMPUTED_VALUE"""),45560)</f>
        <v>45560</v>
      </c>
      <c r="J4397" s="143" t="s">
        <v>15383</v>
      </c>
      <c r="K4397" s="80" t="s">
        <v>15384</v>
      </c>
      <c r="L4397" s="30">
        <v>396250936</v>
      </c>
      <c r="M4397" s="80" t="s">
        <v>12720</v>
      </c>
      <c r="N4397" s="80" t="s">
        <v>15385</v>
      </c>
      <c r="O4397" s="80" t="s">
        <v>15386</v>
      </c>
      <c r="P4397" s="80" t="s">
        <v>15387</v>
      </c>
      <c r="Q4397" s="20">
        <v>13968</v>
      </c>
      <c r="R4397" s="80" t="s">
        <v>36</v>
      </c>
      <c r="S4397" s="95">
        <f>200+3800</f>
        <v>4000</v>
      </c>
      <c r="T4397" s="83" t="s">
        <v>15388</v>
      </c>
      <c r="U4397" s="95">
        <v>9968</v>
      </c>
      <c r="V4397" s="148">
        <v>45584</v>
      </c>
      <c r="W4397" s="85" t="s">
        <v>15389</v>
      </c>
      <c r="X4397" s="80"/>
      <c r="Y4397" s="22">
        <v>0</v>
      </c>
      <c r="Z4397" s="80" t="s">
        <v>50</v>
      </c>
      <c r="AA4397" s="96" t="s">
        <v>9905</v>
      </c>
      <c r="AB4397" s="80"/>
      <c r="AC4397" s="80" t="s">
        <v>53</v>
      </c>
      <c r="AD4397" s="80" t="s">
        <v>54</v>
      </c>
      <c r="AE4397" s="83">
        <v>400</v>
      </c>
      <c r="AF4397" s="17">
        <v>45556</v>
      </c>
      <c r="AG4397" s="80"/>
      <c r="AH4397" s="80"/>
      <c r="AI4397" s="147"/>
      <c r="AJ4397" s="80"/>
      <c r="AK4397" s="80"/>
      <c r="AL4397" s="35"/>
      <c r="AM4397" s="35"/>
      <c r="AN4397" s="35"/>
      <c r="AO4397" s="35"/>
      <c r="AP4397" s="35"/>
    </row>
    <row r="4398" spans="1:42" x14ac:dyDescent="0.2">
      <c r="A4398" s="126">
        <v>45555.451673541669</v>
      </c>
      <c r="B4398" s="137" t="s">
        <v>37</v>
      </c>
      <c r="C4398" s="41" t="s">
        <v>118</v>
      </c>
      <c r="D4398" s="80" t="s">
        <v>36</v>
      </c>
      <c r="E4398" s="80" t="s">
        <v>139</v>
      </c>
      <c r="F4398" s="80" t="s">
        <v>36</v>
      </c>
      <c r="G4398" s="80" t="s">
        <v>41</v>
      </c>
      <c r="H4398" s="80" t="s">
        <v>13384</v>
      </c>
      <c r="I4398" s="17">
        <f ca="1">IFERROR(__xludf.DUMMYFUNCTION("""COMPUTED_VALUE"""),45569)</f>
        <v>45569</v>
      </c>
      <c r="J4398" s="143" t="s">
        <v>15390</v>
      </c>
      <c r="K4398" s="80" t="s">
        <v>15391</v>
      </c>
      <c r="L4398" s="30">
        <v>973885168</v>
      </c>
      <c r="M4398" s="80" t="s">
        <v>3498</v>
      </c>
      <c r="N4398" s="80" t="s">
        <v>4402</v>
      </c>
      <c r="O4398" s="80" t="s">
        <v>4503</v>
      </c>
      <c r="P4398" s="80" t="s">
        <v>15392</v>
      </c>
      <c r="Q4398" s="20">
        <v>15936</v>
      </c>
      <c r="R4398" s="80" t="s">
        <v>36</v>
      </c>
      <c r="S4398" s="95">
        <v>2000</v>
      </c>
      <c r="T4398" s="148">
        <v>45555</v>
      </c>
      <c r="U4398" s="95">
        <v>13936</v>
      </c>
      <c r="V4398" s="148">
        <v>45586</v>
      </c>
      <c r="W4398" s="85" t="s">
        <v>15393</v>
      </c>
      <c r="X4398" s="80"/>
      <c r="Y4398" s="22">
        <v>0</v>
      </c>
      <c r="Z4398" s="80" t="s">
        <v>50</v>
      </c>
      <c r="AA4398" s="35" t="s">
        <v>9905</v>
      </c>
      <c r="AB4398" s="80"/>
      <c r="AC4398" s="80" t="s">
        <v>53</v>
      </c>
      <c r="AD4398" s="80" t="s">
        <v>138</v>
      </c>
      <c r="AE4398" s="80"/>
      <c r="AF4398" s="17">
        <v>45569</v>
      </c>
      <c r="AG4398" s="80"/>
      <c r="AH4398" s="80"/>
      <c r="AI4398" s="147"/>
      <c r="AJ4398" s="80"/>
      <c r="AK4398" s="80"/>
      <c r="AL4398" s="35"/>
      <c r="AM4398" s="35"/>
      <c r="AN4398" s="35"/>
      <c r="AO4398" s="35"/>
      <c r="AP4398" s="35"/>
    </row>
    <row r="4399" spans="1:42" x14ac:dyDescent="0.2">
      <c r="A4399" s="126">
        <v>45555.496713854169</v>
      </c>
      <c r="B4399" s="137" t="s">
        <v>37</v>
      </c>
      <c r="C4399" s="41" t="s">
        <v>118</v>
      </c>
      <c r="D4399" s="80" t="s">
        <v>36</v>
      </c>
      <c r="E4399" s="80" t="s">
        <v>139</v>
      </c>
      <c r="F4399" s="80" t="s">
        <v>40</v>
      </c>
      <c r="G4399" s="80" t="s">
        <v>41</v>
      </c>
      <c r="H4399" s="80" t="s">
        <v>13106</v>
      </c>
      <c r="I4399" s="17">
        <f ca="1">IFERROR(__xludf.DUMMYFUNCTION("""COMPUTED_VALUE"""),45557)</f>
        <v>45557</v>
      </c>
      <c r="J4399" s="143" t="s">
        <v>14371</v>
      </c>
      <c r="K4399" s="80" t="s">
        <v>14372</v>
      </c>
      <c r="L4399" s="30">
        <v>365102439</v>
      </c>
      <c r="M4399" s="80" t="s">
        <v>3498</v>
      </c>
      <c r="N4399" s="80" t="s">
        <v>4402</v>
      </c>
      <c r="O4399" s="80" t="s">
        <v>4503</v>
      </c>
      <c r="P4399" s="80" t="s">
        <v>15394</v>
      </c>
      <c r="Q4399" s="20">
        <v>15936</v>
      </c>
      <c r="R4399" s="80" t="s">
        <v>36</v>
      </c>
      <c r="S4399" s="95">
        <v>3000</v>
      </c>
      <c r="T4399" s="148">
        <v>45554</v>
      </c>
      <c r="U4399" s="95">
        <v>12936</v>
      </c>
      <c r="V4399" s="148">
        <v>45587</v>
      </c>
      <c r="W4399" s="80" t="s">
        <v>14374</v>
      </c>
      <c r="X4399" s="80"/>
      <c r="Y4399" s="22">
        <v>0</v>
      </c>
      <c r="Z4399" s="80" t="s">
        <v>50</v>
      </c>
      <c r="AA4399" s="96" t="s">
        <v>9905</v>
      </c>
      <c r="AB4399" s="80"/>
      <c r="AC4399" s="80" t="s">
        <v>53</v>
      </c>
      <c r="AD4399" s="80" t="s">
        <v>54</v>
      </c>
      <c r="AE4399" s="80"/>
      <c r="AF4399" s="17">
        <v>45556</v>
      </c>
      <c r="AG4399" s="80"/>
      <c r="AH4399" s="80"/>
      <c r="AI4399" s="147"/>
      <c r="AJ4399" s="80"/>
      <c r="AK4399" s="80"/>
      <c r="AL4399" s="35"/>
      <c r="AM4399" s="35"/>
      <c r="AN4399" s="35"/>
      <c r="AO4399" s="35"/>
      <c r="AP4399" s="35"/>
    </row>
    <row r="4400" spans="1:42" x14ac:dyDescent="0.2">
      <c r="A4400" s="126">
        <v>45555.50075042824</v>
      </c>
      <c r="B4400" s="137" t="s">
        <v>37</v>
      </c>
      <c r="C4400" s="41" t="s">
        <v>118</v>
      </c>
      <c r="D4400" s="80" t="s">
        <v>36</v>
      </c>
      <c r="E4400" s="80" t="s">
        <v>139</v>
      </c>
      <c r="F4400" s="80" t="s">
        <v>40</v>
      </c>
      <c r="G4400" s="80" t="s">
        <v>41</v>
      </c>
      <c r="H4400" s="80" t="s">
        <v>13106</v>
      </c>
      <c r="I4400" s="17">
        <f ca="1">IFERROR(__xludf.DUMMYFUNCTION("""COMPUTED_VALUE"""),45557)</f>
        <v>45557</v>
      </c>
      <c r="J4400" s="172" t="s">
        <v>14375</v>
      </c>
      <c r="K4400" s="80" t="s">
        <v>14376</v>
      </c>
      <c r="L4400" s="30">
        <v>355565062</v>
      </c>
      <c r="M4400" s="80" t="s">
        <v>2755</v>
      </c>
      <c r="N4400" s="80" t="s">
        <v>4402</v>
      </c>
      <c r="O4400" s="80" t="s">
        <v>4503</v>
      </c>
      <c r="P4400" s="80" t="s">
        <v>15395</v>
      </c>
      <c r="Q4400" s="20">
        <v>15936</v>
      </c>
      <c r="R4400" s="80" t="s">
        <v>36</v>
      </c>
      <c r="S4400" s="95">
        <v>3200</v>
      </c>
      <c r="T4400" s="148">
        <v>45554</v>
      </c>
      <c r="U4400" s="95">
        <v>12736</v>
      </c>
      <c r="V4400" s="148">
        <v>45583</v>
      </c>
      <c r="W4400" s="80" t="s">
        <v>14378</v>
      </c>
      <c r="X4400" s="80"/>
      <c r="Y4400" s="22">
        <v>0</v>
      </c>
      <c r="Z4400" s="80" t="s">
        <v>50</v>
      </c>
      <c r="AA4400" s="35" t="s">
        <v>9905</v>
      </c>
      <c r="AB4400" s="80"/>
      <c r="AC4400" s="80" t="s">
        <v>53</v>
      </c>
      <c r="AD4400" s="80" t="s">
        <v>54</v>
      </c>
      <c r="AE4400" s="80"/>
      <c r="AF4400" s="17">
        <v>45556</v>
      </c>
      <c r="AG4400" s="80"/>
      <c r="AH4400" s="80"/>
      <c r="AI4400" s="147"/>
      <c r="AJ4400" s="80"/>
      <c r="AK4400" s="80"/>
      <c r="AL4400" s="35"/>
      <c r="AM4400" s="35"/>
      <c r="AN4400" s="35"/>
      <c r="AO4400" s="35"/>
      <c r="AP4400" s="35"/>
    </row>
    <row r="4401" spans="1:42" x14ac:dyDescent="0.2">
      <c r="A4401" s="126">
        <v>45555.508687881942</v>
      </c>
      <c r="B4401" s="137" t="s">
        <v>37</v>
      </c>
      <c r="C4401" s="41" t="s">
        <v>118</v>
      </c>
      <c r="D4401" s="80" t="s">
        <v>36</v>
      </c>
      <c r="E4401" s="80" t="s">
        <v>139</v>
      </c>
      <c r="F4401" s="80" t="s">
        <v>36</v>
      </c>
      <c r="G4401" s="80" t="s">
        <v>41</v>
      </c>
      <c r="H4401" s="80" t="s">
        <v>15199</v>
      </c>
      <c r="I4401" s="17">
        <f ca="1">IFERROR(__xludf.DUMMYFUNCTION("""COMPUTED_VALUE"""),45579)</f>
        <v>45579</v>
      </c>
      <c r="J4401" s="143" t="s">
        <v>15396</v>
      </c>
      <c r="K4401" s="80" t="s">
        <v>15397</v>
      </c>
      <c r="L4401" s="30">
        <v>342818603</v>
      </c>
      <c r="M4401" s="80" t="s">
        <v>12529</v>
      </c>
      <c r="N4401" s="80" t="s">
        <v>13566</v>
      </c>
      <c r="O4401" s="80" t="s">
        <v>15398</v>
      </c>
      <c r="P4401" s="80" t="s">
        <v>15399</v>
      </c>
      <c r="Q4401" s="20">
        <v>15936</v>
      </c>
      <c r="R4401" s="80" t="s">
        <v>36</v>
      </c>
      <c r="S4401" s="95">
        <v>2000</v>
      </c>
      <c r="T4401" s="148">
        <v>45555</v>
      </c>
      <c r="U4401" s="95">
        <v>13968</v>
      </c>
      <c r="V4401" s="148">
        <v>45596</v>
      </c>
      <c r="W4401" s="85" t="s">
        <v>15400</v>
      </c>
      <c r="X4401" s="80"/>
      <c r="Y4401" s="22">
        <v>-32</v>
      </c>
      <c r="Z4401" s="80" t="s">
        <v>50</v>
      </c>
      <c r="AA4401" s="96" t="s">
        <v>9905</v>
      </c>
      <c r="AB4401" s="80"/>
      <c r="AC4401" s="80" t="s">
        <v>53</v>
      </c>
      <c r="AD4401" s="80" t="s">
        <v>138</v>
      </c>
      <c r="AE4401" s="80"/>
      <c r="AF4401" s="17">
        <v>45559</v>
      </c>
      <c r="AG4401" s="80"/>
      <c r="AH4401" s="80"/>
      <c r="AI4401" s="147"/>
      <c r="AJ4401" s="80"/>
      <c r="AK4401" s="80"/>
      <c r="AL4401" s="35"/>
      <c r="AM4401" s="35"/>
      <c r="AN4401" s="35"/>
      <c r="AO4401" s="35"/>
      <c r="AP4401" s="35"/>
    </row>
    <row r="4402" spans="1:42" x14ac:dyDescent="0.2">
      <c r="A4402" s="126">
        <v>45555.622748240741</v>
      </c>
      <c r="B4402" s="137" t="s">
        <v>90</v>
      </c>
      <c r="C4402" s="41" t="s">
        <v>118</v>
      </c>
      <c r="D4402" s="80" t="s">
        <v>36</v>
      </c>
      <c r="E4402" s="80" t="s">
        <v>139</v>
      </c>
      <c r="F4402" s="80" t="s">
        <v>36</v>
      </c>
      <c r="G4402" s="26" t="s">
        <v>41</v>
      </c>
      <c r="H4402" s="80" t="s">
        <v>12766</v>
      </c>
      <c r="I4402" s="17">
        <f ca="1">IFERROR(__xludf.DUMMYFUNCTION("""COMPUTED_VALUE"""),45555)</f>
        <v>45555</v>
      </c>
      <c r="J4402" s="143" t="s">
        <v>15401</v>
      </c>
      <c r="K4402" s="80" t="s">
        <v>15402</v>
      </c>
      <c r="L4402" s="30">
        <v>969298119</v>
      </c>
      <c r="M4402" s="80" t="s">
        <v>9422</v>
      </c>
      <c r="N4402" s="80" t="s">
        <v>327</v>
      </c>
      <c r="O4402" s="80" t="s">
        <v>15403</v>
      </c>
      <c r="P4402" s="80" t="s">
        <v>15404</v>
      </c>
      <c r="Q4402" s="20">
        <v>15936</v>
      </c>
      <c r="R4402" s="80" t="s">
        <v>11421</v>
      </c>
      <c r="S4402" s="95">
        <v>1968</v>
      </c>
      <c r="T4402" s="148">
        <v>45555</v>
      </c>
      <c r="U4402" s="95">
        <v>13668</v>
      </c>
      <c r="V4402" s="148">
        <v>45571</v>
      </c>
      <c r="W4402" s="85" t="s">
        <v>15405</v>
      </c>
      <c r="X4402" s="80"/>
      <c r="Y4402" s="22">
        <v>300</v>
      </c>
      <c r="Z4402" s="80" t="s">
        <v>50</v>
      </c>
      <c r="AA4402" s="35" t="s">
        <v>9905</v>
      </c>
      <c r="AB4402" s="80"/>
      <c r="AC4402" s="80" t="s">
        <v>53</v>
      </c>
      <c r="AD4402" s="80" t="s">
        <v>138</v>
      </c>
      <c r="AE4402" s="80"/>
      <c r="AF4402" s="17">
        <v>45555</v>
      </c>
      <c r="AG4402" s="80"/>
      <c r="AH4402" s="80"/>
      <c r="AI4402" s="147"/>
      <c r="AJ4402" s="80"/>
      <c r="AK4402" s="80"/>
      <c r="AL4402" s="35"/>
      <c r="AM4402" s="35"/>
      <c r="AN4402" s="35"/>
      <c r="AO4402" s="35"/>
      <c r="AP4402" s="35"/>
    </row>
    <row r="4403" spans="1:42" x14ac:dyDescent="0.2">
      <c r="A4403" s="126">
        <v>45555.657663969905</v>
      </c>
      <c r="B4403" s="137" t="s">
        <v>37</v>
      </c>
      <c r="C4403" s="41" t="s">
        <v>118</v>
      </c>
      <c r="D4403" s="80" t="s">
        <v>36</v>
      </c>
      <c r="E4403" s="80" t="s">
        <v>139</v>
      </c>
      <c r="F4403" s="80" t="s">
        <v>40</v>
      </c>
      <c r="G4403" s="80" t="s">
        <v>41</v>
      </c>
      <c r="H4403" s="80" t="s">
        <v>12849</v>
      </c>
      <c r="I4403" s="17">
        <f ca="1">IFERROR(__xludf.DUMMYFUNCTION("""COMPUTED_VALUE"""),45564)</f>
        <v>45564</v>
      </c>
      <c r="J4403" s="143" t="s">
        <v>15406</v>
      </c>
      <c r="K4403" s="80" t="s">
        <v>15407</v>
      </c>
      <c r="L4403" s="30">
        <v>368123190</v>
      </c>
      <c r="M4403" s="80" t="s">
        <v>12720</v>
      </c>
      <c r="N4403" s="80" t="s">
        <v>15408</v>
      </c>
      <c r="O4403" s="80" t="s">
        <v>15409</v>
      </c>
      <c r="P4403" s="80" t="s">
        <v>15410</v>
      </c>
      <c r="Q4403" s="20">
        <v>15936</v>
      </c>
      <c r="R4403" s="80" t="s">
        <v>36</v>
      </c>
      <c r="S4403" s="95">
        <f>200+1800</f>
        <v>2000</v>
      </c>
      <c r="T4403" s="83" t="s">
        <v>15377</v>
      </c>
      <c r="U4403" s="95">
        <v>13936</v>
      </c>
      <c r="V4403" s="148">
        <v>45582</v>
      </c>
      <c r="W4403" s="85" t="s">
        <v>15411</v>
      </c>
      <c r="X4403" s="80"/>
      <c r="Y4403" s="22">
        <v>0</v>
      </c>
      <c r="Z4403" s="80" t="s">
        <v>50</v>
      </c>
      <c r="AA4403" s="96" t="s">
        <v>9905</v>
      </c>
      <c r="AB4403" s="80"/>
      <c r="AC4403" s="80" t="s">
        <v>53</v>
      </c>
      <c r="AD4403" s="80" t="s">
        <v>54</v>
      </c>
      <c r="AE4403" s="83">
        <v>0</v>
      </c>
      <c r="AF4403" s="17">
        <v>45559</v>
      </c>
      <c r="AG4403" s="80"/>
      <c r="AH4403" s="80"/>
      <c r="AI4403" s="147"/>
      <c r="AJ4403" s="80"/>
      <c r="AK4403" s="80"/>
      <c r="AL4403" s="35"/>
      <c r="AM4403" s="35"/>
      <c r="AN4403" s="35"/>
      <c r="AO4403" s="35"/>
      <c r="AP4403" s="35"/>
    </row>
    <row r="4404" spans="1:42" x14ac:dyDescent="0.2">
      <c r="A4404" s="126">
        <v>45555.66376487269</v>
      </c>
      <c r="B4404" s="137" t="s">
        <v>37</v>
      </c>
      <c r="C4404" s="41" t="s">
        <v>118</v>
      </c>
      <c r="D4404" s="80" t="s">
        <v>36</v>
      </c>
      <c r="E4404" s="80" t="s">
        <v>56</v>
      </c>
      <c r="F4404" s="80" t="s">
        <v>36</v>
      </c>
      <c r="G4404" s="80" t="s">
        <v>41</v>
      </c>
      <c r="H4404" s="80" t="s">
        <v>12737</v>
      </c>
      <c r="I4404" s="17">
        <f ca="1">IFERROR(__xludf.DUMMYFUNCTION("""COMPUTED_VALUE"""),45562)</f>
        <v>45562</v>
      </c>
      <c r="J4404" s="143" t="s">
        <v>14466</v>
      </c>
      <c r="K4404" s="80" t="s">
        <v>14467</v>
      </c>
      <c r="L4404" s="30">
        <v>879193756</v>
      </c>
      <c r="M4404" s="80" t="s">
        <v>9422</v>
      </c>
      <c r="N4404" s="80" t="s">
        <v>2696</v>
      </c>
      <c r="O4404" s="80" t="s">
        <v>8827</v>
      </c>
      <c r="P4404" s="80" t="s">
        <v>14468</v>
      </c>
      <c r="Q4404" s="20">
        <v>9317</v>
      </c>
      <c r="R4404" s="80" t="s">
        <v>11421</v>
      </c>
      <c r="S4404" s="95">
        <f>300+1700</f>
        <v>2000</v>
      </c>
      <c r="T4404" s="83" t="s">
        <v>14469</v>
      </c>
      <c r="U4404" s="95">
        <v>7017</v>
      </c>
      <c r="V4404" s="148">
        <v>45583</v>
      </c>
      <c r="W4404" s="85" t="s">
        <v>14470</v>
      </c>
      <c r="X4404" s="80"/>
      <c r="Y4404" s="22">
        <v>300</v>
      </c>
      <c r="Z4404" s="80" t="s">
        <v>50</v>
      </c>
      <c r="AA4404" s="35" t="s">
        <v>9905</v>
      </c>
      <c r="AB4404" s="80"/>
      <c r="AC4404" s="80" t="s">
        <v>53</v>
      </c>
      <c r="AD4404" s="80" t="s">
        <v>54</v>
      </c>
      <c r="AE4404" s="80"/>
      <c r="AF4404" s="17">
        <v>45559</v>
      </c>
      <c r="AG4404" s="80"/>
      <c r="AH4404" s="80"/>
      <c r="AI4404" s="147"/>
      <c r="AJ4404" s="80"/>
      <c r="AK4404" s="80"/>
      <c r="AL4404" s="35"/>
      <c r="AM4404" s="35"/>
      <c r="AN4404" s="35"/>
      <c r="AO4404" s="35"/>
      <c r="AP4404" s="35"/>
    </row>
    <row r="4405" spans="1:42" x14ac:dyDescent="0.2">
      <c r="A4405" s="126">
        <v>45555.72911954861</v>
      </c>
      <c r="B4405" s="137" t="s">
        <v>37</v>
      </c>
      <c r="C4405" s="41" t="s">
        <v>118</v>
      </c>
      <c r="D4405" s="80" t="s">
        <v>36</v>
      </c>
      <c r="E4405" s="80" t="s">
        <v>139</v>
      </c>
      <c r="F4405" s="80" t="s">
        <v>36</v>
      </c>
      <c r="G4405" s="80" t="s">
        <v>41</v>
      </c>
      <c r="H4405" s="80" t="s">
        <v>12799</v>
      </c>
      <c r="I4405" s="17">
        <f ca="1">IFERROR(__xludf.DUMMYFUNCTION("""COMPUTED_VALUE"""),45559)</f>
        <v>45559</v>
      </c>
      <c r="J4405" s="143" t="s">
        <v>14598</v>
      </c>
      <c r="K4405" s="80" t="s">
        <v>14599</v>
      </c>
      <c r="L4405" s="30">
        <v>398386514</v>
      </c>
      <c r="M4405" s="80" t="s">
        <v>910</v>
      </c>
      <c r="N4405" s="80" t="s">
        <v>3525</v>
      </c>
      <c r="O4405" s="80" t="s">
        <v>91</v>
      </c>
      <c r="P4405" s="80" t="s">
        <v>12578</v>
      </c>
      <c r="Q4405" s="20">
        <v>15936</v>
      </c>
      <c r="R4405" s="80" t="s">
        <v>36</v>
      </c>
      <c r="S4405" s="95">
        <v>2000</v>
      </c>
      <c r="T4405" s="148">
        <v>45555</v>
      </c>
      <c r="U4405" s="95">
        <v>13936</v>
      </c>
      <c r="V4405" s="148">
        <v>45575</v>
      </c>
      <c r="W4405" s="85" t="s">
        <v>14600</v>
      </c>
      <c r="X4405" s="80"/>
      <c r="Y4405" s="22">
        <v>0</v>
      </c>
      <c r="Z4405" s="80" t="s">
        <v>50</v>
      </c>
      <c r="AA4405" s="96" t="s">
        <v>9905</v>
      </c>
      <c r="AB4405" s="80"/>
      <c r="AC4405" s="80" t="s">
        <v>53</v>
      </c>
      <c r="AD4405" s="80" t="s">
        <v>138</v>
      </c>
      <c r="AE4405" s="80"/>
      <c r="AF4405" s="17">
        <v>45559</v>
      </c>
      <c r="AG4405" s="80"/>
      <c r="AH4405" s="80"/>
      <c r="AI4405" s="147"/>
      <c r="AJ4405" s="80"/>
      <c r="AK4405" s="80"/>
      <c r="AL4405" s="35"/>
      <c r="AM4405" s="35"/>
      <c r="AN4405" s="35"/>
      <c r="AO4405" s="35"/>
      <c r="AP4405" s="35"/>
    </row>
    <row r="4406" spans="1:42" x14ac:dyDescent="0.2">
      <c r="A4406" s="126">
        <v>45555.731069027781</v>
      </c>
      <c r="B4406" s="137" t="s">
        <v>37</v>
      </c>
      <c r="C4406" s="41" t="s">
        <v>118</v>
      </c>
      <c r="D4406" s="80" t="s">
        <v>36</v>
      </c>
      <c r="E4406" s="80" t="s">
        <v>77</v>
      </c>
      <c r="F4406" s="80" t="s">
        <v>36</v>
      </c>
      <c r="G4406" s="80" t="s">
        <v>41</v>
      </c>
      <c r="H4406" s="80" t="s">
        <v>13424</v>
      </c>
      <c r="I4406" s="17">
        <f ca="1">IFERROR(__xludf.DUMMYFUNCTION("""COMPUTED_VALUE"""),45572)</f>
        <v>45572</v>
      </c>
      <c r="J4406" s="143" t="s">
        <v>15412</v>
      </c>
      <c r="K4406" s="80" t="s">
        <v>15413</v>
      </c>
      <c r="L4406" s="30">
        <v>387991629</v>
      </c>
      <c r="M4406" s="80" t="s">
        <v>910</v>
      </c>
      <c r="N4406" s="80" t="s">
        <v>3525</v>
      </c>
      <c r="O4406" s="80" t="s">
        <v>15414</v>
      </c>
      <c r="P4406" s="144" t="s">
        <v>15415</v>
      </c>
      <c r="Q4406" s="20">
        <v>1968</v>
      </c>
      <c r="R4406" s="80" t="s">
        <v>36</v>
      </c>
      <c r="S4406" s="95">
        <f>200+1768</f>
        <v>1968</v>
      </c>
      <c r="T4406" s="83" t="s">
        <v>15416</v>
      </c>
      <c r="U4406" s="77"/>
      <c r="V4406" s="78"/>
      <c r="W4406" s="85" t="s">
        <v>15417</v>
      </c>
      <c r="X4406" s="80"/>
      <c r="Y4406" s="22">
        <v>0</v>
      </c>
      <c r="Z4406" s="80" t="s">
        <v>50</v>
      </c>
      <c r="AA4406" s="35" t="s">
        <v>9905</v>
      </c>
      <c r="AB4406" s="80"/>
      <c r="AC4406" s="80" t="s">
        <v>53</v>
      </c>
      <c r="AD4406" s="80" t="s">
        <v>138</v>
      </c>
      <c r="AE4406" s="80"/>
      <c r="AF4406" s="17">
        <v>45572</v>
      </c>
      <c r="AG4406" s="80" t="s">
        <v>13430</v>
      </c>
      <c r="AH4406" s="80"/>
      <c r="AI4406" s="147"/>
      <c r="AJ4406" s="80"/>
      <c r="AK4406" s="80"/>
      <c r="AL4406" s="35"/>
      <c r="AM4406" s="35"/>
      <c r="AN4406" s="35"/>
      <c r="AO4406" s="35"/>
      <c r="AP4406" s="35"/>
    </row>
    <row r="4407" spans="1:42" x14ac:dyDescent="0.2">
      <c r="A4407" s="126">
        <v>45555.915160381948</v>
      </c>
      <c r="B4407" s="137" t="s">
        <v>37</v>
      </c>
      <c r="C4407" s="41" t="s">
        <v>118</v>
      </c>
      <c r="D4407" s="80" t="s">
        <v>36</v>
      </c>
      <c r="E4407" s="80" t="s">
        <v>139</v>
      </c>
      <c r="F4407" s="80" t="s">
        <v>36</v>
      </c>
      <c r="G4407" s="80" t="s">
        <v>41</v>
      </c>
      <c r="H4407" s="80" t="s">
        <v>13384</v>
      </c>
      <c r="I4407" s="17">
        <f ca="1">IFERROR(__xludf.DUMMYFUNCTION("""COMPUTED_VALUE"""),45569)</f>
        <v>45569</v>
      </c>
      <c r="J4407" s="143" t="s">
        <v>15418</v>
      </c>
      <c r="K4407" s="80" t="s">
        <v>15419</v>
      </c>
      <c r="L4407" s="30">
        <v>964878555</v>
      </c>
      <c r="M4407" s="80" t="s">
        <v>5518</v>
      </c>
      <c r="N4407" s="80" t="s">
        <v>12240</v>
      </c>
      <c r="O4407" s="80" t="s">
        <v>15420</v>
      </c>
      <c r="P4407" s="80" t="s">
        <v>9528</v>
      </c>
      <c r="Q4407" s="20">
        <v>15936</v>
      </c>
      <c r="R4407" s="80" t="s">
        <v>36</v>
      </c>
      <c r="S4407" s="95">
        <v>2000</v>
      </c>
      <c r="T4407" s="148">
        <v>45561</v>
      </c>
      <c r="U4407" s="95">
        <v>13936</v>
      </c>
      <c r="V4407" s="148">
        <v>45584</v>
      </c>
      <c r="W4407" s="80" t="s">
        <v>15421</v>
      </c>
      <c r="X4407" s="80"/>
      <c r="Y4407" s="22">
        <v>0</v>
      </c>
      <c r="Z4407" s="80" t="s">
        <v>50</v>
      </c>
      <c r="AA4407" s="96" t="s">
        <v>9905</v>
      </c>
      <c r="AB4407" s="80"/>
      <c r="AC4407" s="80" t="s">
        <v>53</v>
      </c>
      <c r="AD4407" s="80" t="s">
        <v>138</v>
      </c>
      <c r="AE4407" s="80"/>
      <c r="AF4407" s="17">
        <v>45569</v>
      </c>
      <c r="AG4407" s="80"/>
      <c r="AH4407" s="80"/>
      <c r="AI4407" s="147"/>
      <c r="AJ4407" s="80"/>
      <c r="AK4407" s="80"/>
      <c r="AL4407" s="35"/>
      <c r="AM4407" s="35"/>
      <c r="AN4407" s="35"/>
      <c r="AO4407" s="35"/>
      <c r="AP4407" s="35"/>
    </row>
    <row r="4408" spans="1:42" x14ac:dyDescent="0.2">
      <c r="A4408" s="26">
        <v>795755606</v>
      </c>
      <c r="B4408" s="137" t="s">
        <v>37</v>
      </c>
      <c r="C4408" s="41" t="s">
        <v>118</v>
      </c>
      <c r="D4408" s="80" t="s">
        <v>36</v>
      </c>
      <c r="E4408" s="80" t="s">
        <v>139</v>
      </c>
      <c r="F4408" s="80" t="s">
        <v>40</v>
      </c>
      <c r="G4408" s="80" t="s">
        <v>41</v>
      </c>
      <c r="H4408" s="80" t="s">
        <v>12849</v>
      </c>
      <c r="I4408" s="17">
        <f ca="1">IFERROR(__xludf.DUMMYFUNCTION("""COMPUTED_VALUE"""),45564)</f>
        <v>45564</v>
      </c>
      <c r="J4408" s="143" t="s">
        <v>15422</v>
      </c>
      <c r="K4408" s="80" t="s">
        <v>15423</v>
      </c>
      <c r="L4408" s="30">
        <v>795755606</v>
      </c>
      <c r="M4408" s="80" t="s">
        <v>12644</v>
      </c>
      <c r="N4408" s="80" t="s">
        <v>8725</v>
      </c>
      <c r="O4408" s="80" t="s">
        <v>15424</v>
      </c>
      <c r="P4408" s="80" t="s">
        <v>15425</v>
      </c>
      <c r="Q4408" s="20">
        <v>15936</v>
      </c>
      <c r="R4408" s="80" t="s">
        <v>36</v>
      </c>
      <c r="S4408" s="95">
        <f>200+1800+8500</f>
        <v>10500</v>
      </c>
      <c r="T4408" s="83" t="s">
        <v>15426</v>
      </c>
      <c r="U4408" s="95">
        <v>5436</v>
      </c>
      <c r="V4408" s="148">
        <v>45596</v>
      </c>
      <c r="W4408" s="85" t="s">
        <v>15427</v>
      </c>
      <c r="X4408" s="80"/>
      <c r="Y4408" s="22">
        <v>0</v>
      </c>
      <c r="Z4408" s="80" t="s">
        <v>50</v>
      </c>
      <c r="AA4408" s="35" t="s">
        <v>9905</v>
      </c>
      <c r="AB4408" s="80"/>
      <c r="AC4408" s="80" t="s">
        <v>53</v>
      </c>
      <c r="AD4408" s="80" t="s">
        <v>54</v>
      </c>
      <c r="AE4408" s="80"/>
      <c r="AF4408" s="17">
        <v>45558</v>
      </c>
      <c r="AG4408" s="80"/>
      <c r="AH4408" s="80"/>
      <c r="AI4408" s="147"/>
      <c r="AJ4408" s="80"/>
      <c r="AK4408" s="80"/>
      <c r="AL4408" s="35"/>
      <c r="AM4408" s="35"/>
      <c r="AN4408" s="35"/>
      <c r="AO4408" s="35"/>
      <c r="AP4408" s="35"/>
    </row>
    <row r="4409" spans="1:42" x14ac:dyDescent="0.2">
      <c r="A4409" s="126">
        <v>45556.401162152775</v>
      </c>
      <c r="B4409" s="137" t="s">
        <v>37</v>
      </c>
      <c r="C4409" s="41" t="s">
        <v>118</v>
      </c>
      <c r="D4409" s="80" t="s">
        <v>36</v>
      </c>
      <c r="E4409" s="80" t="s">
        <v>56</v>
      </c>
      <c r="F4409" s="80" t="s">
        <v>40</v>
      </c>
      <c r="G4409" s="80" t="s">
        <v>41</v>
      </c>
      <c r="H4409" s="80" t="s">
        <v>12799</v>
      </c>
      <c r="I4409" s="17">
        <f ca="1">IFERROR(__xludf.DUMMYFUNCTION("""COMPUTED_VALUE"""),45559)</f>
        <v>45559</v>
      </c>
      <c r="J4409" s="143" t="s">
        <v>14568</v>
      </c>
      <c r="K4409" s="80" t="s">
        <v>14569</v>
      </c>
      <c r="L4409" s="30">
        <v>359024728</v>
      </c>
      <c r="M4409" s="80" t="s">
        <v>5429</v>
      </c>
      <c r="N4409" s="80" t="s">
        <v>11095</v>
      </c>
      <c r="O4409" s="80" t="s">
        <v>14570</v>
      </c>
      <c r="P4409" s="80" t="s">
        <v>7107</v>
      </c>
      <c r="Q4409" s="20">
        <v>9317</v>
      </c>
      <c r="R4409" s="80" t="s">
        <v>70</v>
      </c>
      <c r="S4409" s="95">
        <f t="shared" ref="S4409:S4410" si="87">200+2000</f>
        <v>2200</v>
      </c>
      <c r="T4409" s="83" t="s">
        <v>14571</v>
      </c>
      <c r="U4409" s="95">
        <v>6917</v>
      </c>
      <c r="V4409" s="148">
        <v>45587</v>
      </c>
      <c r="W4409" s="85" t="s">
        <v>14572</v>
      </c>
      <c r="X4409" s="80"/>
      <c r="Y4409" s="22">
        <v>200</v>
      </c>
      <c r="Z4409" s="80" t="s">
        <v>50</v>
      </c>
      <c r="AA4409" s="96" t="s">
        <v>9905</v>
      </c>
      <c r="AB4409" s="80"/>
      <c r="AC4409" s="80" t="s">
        <v>53</v>
      </c>
      <c r="AD4409" s="80" t="s">
        <v>138</v>
      </c>
      <c r="AE4409" s="80" t="s">
        <v>76</v>
      </c>
      <c r="AF4409" s="17">
        <v>45559</v>
      </c>
      <c r="AG4409" s="80"/>
      <c r="AH4409" s="80"/>
      <c r="AI4409" s="147"/>
      <c r="AJ4409" s="80"/>
      <c r="AK4409" s="80"/>
      <c r="AL4409" s="35"/>
      <c r="AM4409" s="35"/>
      <c r="AN4409" s="35"/>
      <c r="AO4409" s="35"/>
      <c r="AP4409" s="35"/>
    </row>
    <row r="4410" spans="1:42" x14ac:dyDescent="0.2">
      <c r="A4410" s="126">
        <v>45556.402419444443</v>
      </c>
      <c r="B4410" s="137" t="s">
        <v>37</v>
      </c>
      <c r="C4410" s="41" t="s">
        <v>118</v>
      </c>
      <c r="D4410" s="80" t="s">
        <v>36</v>
      </c>
      <c r="E4410" s="80" t="s">
        <v>56</v>
      </c>
      <c r="F4410" s="80" t="s">
        <v>36</v>
      </c>
      <c r="G4410" s="80" t="s">
        <v>41</v>
      </c>
      <c r="H4410" s="80" t="s">
        <v>12799</v>
      </c>
      <c r="I4410" s="17">
        <f ca="1">IFERROR(__xludf.DUMMYFUNCTION("""COMPUTED_VALUE"""),45559)</f>
        <v>45559</v>
      </c>
      <c r="J4410" s="143" t="s">
        <v>14610</v>
      </c>
      <c r="K4410" s="80" t="s">
        <v>15428</v>
      </c>
      <c r="L4410" s="30">
        <v>384843468</v>
      </c>
      <c r="M4410" s="80" t="s">
        <v>5429</v>
      </c>
      <c r="N4410" s="80" t="s">
        <v>1384</v>
      </c>
      <c r="O4410" s="80" t="s">
        <v>14612</v>
      </c>
      <c r="P4410" s="80" t="s">
        <v>7107</v>
      </c>
      <c r="Q4410" s="20">
        <v>9317</v>
      </c>
      <c r="R4410" s="80" t="s">
        <v>70</v>
      </c>
      <c r="S4410" s="95">
        <f t="shared" si="87"/>
        <v>2200</v>
      </c>
      <c r="T4410" s="83" t="s">
        <v>14571</v>
      </c>
      <c r="U4410" s="95">
        <v>7117</v>
      </c>
      <c r="V4410" s="148">
        <v>45587</v>
      </c>
      <c r="W4410" s="85" t="s">
        <v>14613</v>
      </c>
      <c r="X4410" s="80"/>
      <c r="Y4410" s="22">
        <v>0</v>
      </c>
      <c r="Z4410" s="80" t="s">
        <v>50</v>
      </c>
      <c r="AA4410" s="35" t="s">
        <v>9905</v>
      </c>
      <c r="AB4410" s="80"/>
      <c r="AC4410" s="80" t="s">
        <v>53</v>
      </c>
      <c r="AD4410" s="80" t="s">
        <v>138</v>
      </c>
      <c r="AE4410" s="80" t="s">
        <v>72</v>
      </c>
      <c r="AF4410" s="17">
        <v>45559</v>
      </c>
      <c r="AG4410" s="80"/>
      <c r="AH4410" s="80"/>
      <c r="AI4410" s="147"/>
      <c r="AJ4410" s="80"/>
      <c r="AK4410" s="80"/>
      <c r="AL4410" s="35"/>
      <c r="AM4410" s="35"/>
      <c r="AN4410" s="35"/>
      <c r="AO4410" s="35"/>
      <c r="AP4410" s="35"/>
    </row>
    <row r="4411" spans="1:42" x14ac:dyDescent="0.2">
      <c r="A4411" s="126">
        <v>45556.568428136576</v>
      </c>
      <c r="B4411" s="137" t="s">
        <v>37</v>
      </c>
      <c r="C4411" s="41" t="s">
        <v>118</v>
      </c>
      <c r="D4411" s="80" t="s">
        <v>36</v>
      </c>
      <c r="E4411" s="80" t="s">
        <v>139</v>
      </c>
      <c r="F4411" s="80" t="s">
        <v>36</v>
      </c>
      <c r="G4411" s="80" t="s">
        <v>41</v>
      </c>
      <c r="H4411" s="80" t="s">
        <v>13424</v>
      </c>
      <c r="I4411" s="17">
        <f ca="1">IFERROR(__xludf.DUMMYFUNCTION("""COMPUTED_VALUE"""),45572)</f>
        <v>45572</v>
      </c>
      <c r="J4411" s="143" t="s">
        <v>15429</v>
      </c>
      <c r="K4411" s="80" t="s">
        <v>15430</v>
      </c>
      <c r="L4411" s="30">
        <v>399877131</v>
      </c>
      <c r="M4411" s="80" t="s">
        <v>12644</v>
      </c>
      <c r="N4411" s="80" t="s">
        <v>8725</v>
      </c>
      <c r="O4411" s="80" t="s">
        <v>15431</v>
      </c>
      <c r="P4411" s="80" t="s">
        <v>15432</v>
      </c>
      <c r="Q4411" s="20">
        <v>15936</v>
      </c>
      <c r="R4411" s="80" t="s">
        <v>36</v>
      </c>
      <c r="S4411" s="95">
        <v>2000</v>
      </c>
      <c r="T4411" s="148">
        <v>45556</v>
      </c>
      <c r="U4411" s="95">
        <v>13936</v>
      </c>
      <c r="V4411" s="148">
        <v>45591</v>
      </c>
      <c r="W4411" s="85" t="s">
        <v>15433</v>
      </c>
      <c r="X4411" s="80"/>
      <c r="Y4411" s="22">
        <v>0</v>
      </c>
      <c r="Z4411" s="80" t="s">
        <v>50</v>
      </c>
      <c r="AA4411" s="96" t="s">
        <v>9905</v>
      </c>
      <c r="AB4411" s="80"/>
      <c r="AC4411" s="80" t="s">
        <v>53</v>
      </c>
      <c r="AD4411" s="80" t="s">
        <v>138</v>
      </c>
      <c r="AE4411" s="80"/>
      <c r="AF4411" s="17">
        <v>45572</v>
      </c>
      <c r="AG4411" s="80" t="s">
        <v>13430</v>
      </c>
      <c r="AH4411" s="80"/>
      <c r="AI4411" s="147"/>
      <c r="AJ4411" s="80"/>
      <c r="AK4411" s="80"/>
      <c r="AL4411" s="35"/>
      <c r="AM4411" s="35"/>
      <c r="AN4411" s="35"/>
      <c r="AO4411" s="35"/>
      <c r="AP4411" s="35"/>
    </row>
    <row r="4412" spans="1:42" x14ac:dyDescent="0.2">
      <c r="A4412" s="126">
        <v>45556.648468275467</v>
      </c>
      <c r="B4412" s="137" t="s">
        <v>37</v>
      </c>
      <c r="C4412" s="41" t="s">
        <v>118</v>
      </c>
      <c r="D4412" s="80" t="s">
        <v>36</v>
      </c>
      <c r="E4412" s="80" t="s">
        <v>119</v>
      </c>
      <c r="F4412" s="80" t="s">
        <v>36</v>
      </c>
      <c r="G4412" s="80" t="s">
        <v>108</v>
      </c>
      <c r="H4412" s="80" t="s">
        <v>10028</v>
      </c>
      <c r="I4412" s="17">
        <f ca="1">IFERROR(__xludf.DUMMYFUNCTION("""COMPUTED_VALUE"""),45562)</f>
        <v>45562</v>
      </c>
      <c r="J4412" s="143" t="s">
        <v>15434</v>
      </c>
      <c r="K4412" s="80" t="s">
        <v>15435</v>
      </c>
      <c r="L4412" s="30">
        <v>394803785</v>
      </c>
      <c r="M4412" s="80" t="s">
        <v>12720</v>
      </c>
      <c r="N4412" s="80" t="s">
        <v>15436</v>
      </c>
      <c r="O4412" s="80" t="s">
        <v>15437</v>
      </c>
      <c r="P4412" s="80" t="s">
        <v>14120</v>
      </c>
      <c r="Q4412" s="20">
        <v>13968</v>
      </c>
      <c r="R4412" s="80" t="s">
        <v>36</v>
      </c>
      <c r="S4412" s="95">
        <f>200+3800</f>
        <v>4000</v>
      </c>
      <c r="T4412" s="83" t="s">
        <v>15438</v>
      </c>
      <c r="U4412" s="95">
        <v>9968</v>
      </c>
      <c r="V4412" s="148">
        <v>45584</v>
      </c>
      <c r="W4412" s="85" t="s">
        <v>15439</v>
      </c>
      <c r="X4412" s="80"/>
      <c r="Y4412" s="22">
        <v>0</v>
      </c>
      <c r="Z4412" s="80" t="s">
        <v>50</v>
      </c>
      <c r="AA4412" s="35" t="s">
        <v>9905</v>
      </c>
      <c r="AB4412" s="80"/>
      <c r="AC4412" s="80" t="s">
        <v>53</v>
      </c>
      <c r="AD4412" s="80" t="s">
        <v>138</v>
      </c>
      <c r="AE4412" s="83">
        <v>400</v>
      </c>
      <c r="AF4412" s="17">
        <v>45562</v>
      </c>
      <c r="AG4412" s="80"/>
      <c r="AH4412" s="80"/>
      <c r="AI4412" s="147"/>
      <c r="AJ4412" s="80"/>
      <c r="AK4412" s="80"/>
      <c r="AL4412" s="35"/>
      <c r="AM4412" s="35"/>
      <c r="AN4412" s="35"/>
      <c r="AO4412" s="35"/>
      <c r="AP4412" s="35"/>
    </row>
    <row r="4413" spans="1:42" x14ac:dyDescent="0.2">
      <c r="A4413" s="126">
        <v>45556.747658946755</v>
      </c>
      <c r="B4413" s="137" t="s">
        <v>37</v>
      </c>
      <c r="C4413" s="41" t="s">
        <v>118</v>
      </c>
      <c r="D4413" s="80" t="s">
        <v>36</v>
      </c>
      <c r="E4413" s="80" t="s">
        <v>139</v>
      </c>
      <c r="F4413" s="80" t="s">
        <v>36</v>
      </c>
      <c r="G4413" s="80" t="s">
        <v>41</v>
      </c>
      <c r="H4413" s="80" t="s">
        <v>13384</v>
      </c>
      <c r="I4413" s="17">
        <f ca="1">IFERROR(__xludf.DUMMYFUNCTION("""COMPUTED_VALUE"""),45569)</f>
        <v>45569</v>
      </c>
      <c r="J4413" s="143" t="s">
        <v>15440</v>
      </c>
      <c r="K4413" s="80" t="s">
        <v>7458</v>
      </c>
      <c r="L4413" s="30">
        <v>362402006</v>
      </c>
      <c r="M4413" s="80" t="s">
        <v>910</v>
      </c>
      <c r="N4413" s="80" t="s">
        <v>3525</v>
      </c>
      <c r="O4413" s="80" t="s">
        <v>91</v>
      </c>
      <c r="P4413" s="144" t="s">
        <v>15441</v>
      </c>
      <c r="Q4413" s="20">
        <v>15936</v>
      </c>
      <c r="R4413" s="80" t="s">
        <v>36</v>
      </c>
      <c r="S4413" s="95">
        <v>2000</v>
      </c>
      <c r="T4413" s="148">
        <v>45555</v>
      </c>
      <c r="U4413" s="95">
        <v>13936</v>
      </c>
      <c r="V4413" s="148">
        <v>45592</v>
      </c>
      <c r="W4413" s="85" t="s">
        <v>15442</v>
      </c>
      <c r="X4413" s="80"/>
      <c r="Y4413" s="22">
        <v>0</v>
      </c>
      <c r="Z4413" s="80" t="s">
        <v>50</v>
      </c>
      <c r="AA4413" s="96" t="s">
        <v>9905</v>
      </c>
      <c r="AB4413" s="80"/>
      <c r="AC4413" s="80" t="s">
        <v>53</v>
      </c>
      <c r="AD4413" s="80" t="s">
        <v>138</v>
      </c>
      <c r="AE4413" s="80"/>
      <c r="AF4413" s="17">
        <v>45569</v>
      </c>
      <c r="AG4413" s="80"/>
      <c r="AH4413" s="80"/>
      <c r="AI4413" s="147"/>
      <c r="AJ4413" s="80"/>
      <c r="AK4413" s="80"/>
      <c r="AL4413" s="35"/>
      <c r="AM4413" s="35"/>
      <c r="AN4413" s="35"/>
      <c r="AO4413" s="35"/>
      <c r="AP4413" s="35"/>
    </row>
    <row r="4414" spans="1:42" x14ac:dyDescent="0.2">
      <c r="A4414" s="126">
        <v>45556.85456324074</v>
      </c>
      <c r="B4414" s="137" t="s">
        <v>37</v>
      </c>
      <c r="C4414" s="41" t="s">
        <v>118</v>
      </c>
      <c r="D4414" s="80" t="s">
        <v>36</v>
      </c>
      <c r="E4414" s="80" t="s">
        <v>119</v>
      </c>
      <c r="F4414" s="80" t="s">
        <v>36</v>
      </c>
      <c r="G4414" s="80" t="s">
        <v>108</v>
      </c>
      <c r="H4414" s="80" t="s">
        <v>10028</v>
      </c>
      <c r="I4414" s="17">
        <f ca="1">IFERROR(__xludf.DUMMYFUNCTION("""COMPUTED_VALUE"""),45562)</f>
        <v>45562</v>
      </c>
      <c r="J4414" s="143" t="s">
        <v>15443</v>
      </c>
      <c r="K4414" s="80" t="s">
        <v>15444</v>
      </c>
      <c r="L4414" s="30">
        <v>943926136</v>
      </c>
      <c r="M4414" s="80" t="s">
        <v>3728</v>
      </c>
      <c r="N4414" s="80" t="s">
        <v>5312</v>
      </c>
      <c r="O4414" s="80" t="s">
        <v>15445</v>
      </c>
      <c r="P4414" s="80" t="s">
        <v>6368</v>
      </c>
      <c r="Q4414" s="20">
        <v>13968</v>
      </c>
      <c r="R4414" s="80" t="s">
        <v>36</v>
      </c>
      <c r="S4414" s="95">
        <f>200+3800</f>
        <v>4000</v>
      </c>
      <c r="T4414" s="83" t="s">
        <v>14571</v>
      </c>
      <c r="U4414" s="95">
        <v>9968</v>
      </c>
      <c r="V4414" s="148">
        <v>45596</v>
      </c>
      <c r="W4414" s="85" t="s">
        <v>15446</v>
      </c>
      <c r="X4414" s="80"/>
      <c r="Y4414" s="22">
        <v>0</v>
      </c>
      <c r="Z4414" s="80" t="s">
        <v>50</v>
      </c>
      <c r="AA4414" s="35" t="s">
        <v>9905</v>
      </c>
      <c r="AB4414" s="80"/>
      <c r="AC4414" s="80" t="s">
        <v>53</v>
      </c>
      <c r="AD4414" s="80" t="s">
        <v>138</v>
      </c>
      <c r="AE4414" s="83">
        <v>480</v>
      </c>
      <c r="AF4414" s="17">
        <v>45562</v>
      </c>
      <c r="AG4414" s="80"/>
      <c r="AH4414" s="80"/>
      <c r="AI4414" s="147"/>
      <c r="AJ4414" s="80"/>
      <c r="AK4414" s="80"/>
      <c r="AL4414" s="35"/>
      <c r="AM4414" s="35"/>
      <c r="AN4414" s="35"/>
      <c r="AO4414" s="35"/>
      <c r="AP4414" s="35"/>
    </row>
    <row r="4415" spans="1:42" x14ac:dyDescent="0.2">
      <c r="A4415" s="126">
        <v>45556.874782395833</v>
      </c>
      <c r="B4415" s="137" t="s">
        <v>37</v>
      </c>
      <c r="C4415" s="41" t="s">
        <v>118</v>
      </c>
      <c r="D4415" s="80" t="s">
        <v>36</v>
      </c>
      <c r="E4415" s="80" t="s">
        <v>77</v>
      </c>
      <c r="F4415" s="80" t="s">
        <v>36</v>
      </c>
      <c r="G4415" s="80" t="s">
        <v>41</v>
      </c>
      <c r="H4415" s="80" t="s">
        <v>13384</v>
      </c>
      <c r="I4415" s="17">
        <f ca="1">IFERROR(__xludf.DUMMYFUNCTION("""COMPUTED_VALUE"""),45569)</f>
        <v>45569</v>
      </c>
      <c r="J4415" s="143" t="s">
        <v>15447</v>
      </c>
      <c r="K4415" s="80" t="s">
        <v>15448</v>
      </c>
      <c r="L4415" s="30">
        <v>976885160</v>
      </c>
      <c r="M4415" s="80" t="s">
        <v>910</v>
      </c>
      <c r="N4415" s="80" t="s">
        <v>3525</v>
      </c>
      <c r="O4415" s="80" t="s">
        <v>91</v>
      </c>
      <c r="P4415" s="80" t="s">
        <v>15449</v>
      </c>
      <c r="Q4415" s="20">
        <v>1968</v>
      </c>
      <c r="R4415" s="80" t="s">
        <v>1106</v>
      </c>
      <c r="S4415" s="95">
        <v>1968</v>
      </c>
      <c r="T4415" s="148">
        <v>45556</v>
      </c>
      <c r="U4415" s="77"/>
      <c r="V4415" s="78"/>
      <c r="W4415" s="79" t="s">
        <v>15450</v>
      </c>
      <c r="X4415" s="80"/>
      <c r="Y4415" s="22">
        <v>0</v>
      </c>
      <c r="Z4415" s="80" t="s">
        <v>50</v>
      </c>
      <c r="AA4415" s="96" t="s">
        <v>9905</v>
      </c>
      <c r="AB4415" s="80"/>
      <c r="AC4415" s="80" t="s">
        <v>53</v>
      </c>
      <c r="AD4415" s="80" t="s">
        <v>138</v>
      </c>
      <c r="AE4415" s="80"/>
      <c r="AF4415" s="17">
        <v>45569</v>
      </c>
      <c r="AG4415" s="80" t="s">
        <v>7078</v>
      </c>
      <c r="AH4415" s="80"/>
      <c r="AI4415" s="147"/>
      <c r="AJ4415" s="80"/>
      <c r="AK4415" s="80"/>
      <c r="AL4415" s="35"/>
      <c r="AM4415" s="35"/>
      <c r="AN4415" s="35"/>
      <c r="AO4415" s="35"/>
      <c r="AP4415" s="35"/>
    </row>
    <row r="4416" spans="1:42" x14ac:dyDescent="0.2">
      <c r="A4416" s="126">
        <v>45556.913710682871</v>
      </c>
      <c r="B4416" s="137" t="s">
        <v>37</v>
      </c>
      <c r="C4416" s="41" t="s">
        <v>118</v>
      </c>
      <c r="D4416" s="80" t="s">
        <v>36</v>
      </c>
      <c r="E4416" s="80" t="s">
        <v>139</v>
      </c>
      <c r="F4416" s="80" t="s">
        <v>36</v>
      </c>
      <c r="G4416" s="80" t="s">
        <v>41</v>
      </c>
      <c r="H4416" s="80" t="s">
        <v>15451</v>
      </c>
      <c r="I4416" s="17">
        <f ca="1">IFERROR(__xludf.DUMMYFUNCTION("""COMPUTED_VALUE"""),45603)</f>
        <v>45603</v>
      </c>
      <c r="J4416" s="143" t="s">
        <v>15452</v>
      </c>
      <c r="K4416" s="80" t="s">
        <v>15453</v>
      </c>
      <c r="L4416" s="30">
        <v>819987081</v>
      </c>
      <c r="M4416" s="80" t="s">
        <v>12644</v>
      </c>
      <c r="N4416" s="80" t="s">
        <v>8725</v>
      </c>
      <c r="O4416" s="80" t="s">
        <v>15454</v>
      </c>
      <c r="P4416" s="80" t="s">
        <v>14107</v>
      </c>
      <c r="Q4416" s="20">
        <v>15936</v>
      </c>
      <c r="R4416" s="80" t="s">
        <v>36</v>
      </c>
      <c r="S4416" s="95">
        <f>200+1800</f>
        <v>2000</v>
      </c>
      <c r="T4416" s="83" t="s">
        <v>15455</v>
      </c>
      <c r="U4416" s="95">
        <v>13936</v>
      </c>
      <c r="V4416" s="148">
        <v>45596</v>
      </c>
      <c r="W4416" s="85" t="s">
        <v>15456</v>
      </c>
      <c r="X4416" s="80"/>
      <c r="Y4416" s="22">
        <v>0</v>
      </c>
      <c r="Z4416" s="80" t="s">
        <v>50</v>
      </c>
      <c r="AA4416" s="35" t="s">
        <v>9905</v>
      </c>
      <c r="AB4416" s="80"/>
      <c r="AC4416" s="80" t="s">
        <v>53</v>
      </c>
      <c r="AD4416" s="80" t="s">
        <v>138</v>
      </c>
      <c r="AE4416" s="80"/>
      <c r="AF4416" s="17">
        <v>45572</v>
      </c>
      <c r="AG4416" s="80" t="s">
        <v>13185</v>
      </c>
      <c r="AH4416" s="80"/>
      <c r="AI4416" s="147"/>
      <c r="AJ4416" s="80"/>
      <c r="AK4416" s="80"/>
      <c r="AL4416" s="35"/>
      <c r="AM4416" s="35"/>
      <c r="AN4416" s="35"/>
      <c r="AO4416" s="35"/>
      <c r="AP4416" s="35"/>
    </row>
    <row r="4417" spans="1:42" x14ac:dyDescent="0.2">
      <c r="A4417" s="126">
        <v>45556.928374513889</v>
      </c>
      <c r="B4417" s="137" t="s">
        <v>37</v>
      </c>
      <c r="C4417" s="41" t="s">
        <v>118</v>
      </c>
      <c r="D4417" s="80" t="s">
        <v>36</v>
      </c>
      <c r="E4417" s="80" t="s">
        <v>139</v>
      </c>
      <c r="F4417" s="80" t="s">
        <v>36</v>
      </c>
      <c r="G4417" s="80" t="s">
        <v>41</v>
      </c>
      <c r="H4417" s="80" t="s">
        <v>13424</v>
      </c>
      <c r="I4417" s="17">
        <f ca="1">IFERROR(__xludf.DUMMYFUNCTION("""COMPUTED_VALUE"""),45572)</f>
        <v>45572</v>
      </c>
      <c r="J4417" s="143" t="s">
        <v>15457</v>
      </c>
      <c r="K4417" s="80" t="s">
        <v>15458</v>
      </c>
      <c r="L4417" s="30">
        <v>979702596</v>
      </c>
      <c r="M4417" s="80" t="s">
        <v>12644</v>
      </c>
      <c r="N4417" s="80" t="s">
        <v>8725</v>
      </c>
      <c r="O4417" s="80" t="s">
        <v>15459</v>
      </c>
      <c r="P4417" s="80" t="s">
        <v>15460</v>
      </c>
      <c r="Q4417" s="20">
        <v>15936</v>
      </c>
      <c r="R4417" s="80" t="s">
        <v>70</v>
      </c>
      <c r="S4417" s="95">
        <v>2000</v>
      </c>
      <c r="T4417" s="148">
        <v>45556</v>
      </c>
      <c r="U4417" s="95">
        <v>13836</v>
      </c>
      <c r="V4417" s="148">
        <v>45587</v>
      </c>
      <c r="W4417" s="85" t="s">
        <v>15461</v>
      </c>
      <c r="X4417" s="80"/>
      <c r="Y4417" s="22">
        <v>100</v>
      </c>
      <c r="Z4417" s="80" t="s">
        <v>50</v>
      </c>
      <c r="AA4417" s="96" t="s">
        <v>9905</v>
      </c>
      <c r="AB4417" s="80"/>
      <c r="AC4417" s="80" t="s">
        <v>53</v>
      </c>
      <c r="AD4417" s="80" t="s">
        <v>138</v>
      </c>
      <c r="AE4417" s="80"/>
      <c r="AF4417" s="17">
        <v>45572</v>
      </c>
      <c r="AG4417" s="80" t="s">
        <v>13430</v>
      </c>
      <c r="AH4417" s="80"/>
      <c r="AI4417" s="147"/>
      <c r="AJ4417" s="80"/>
      <c r="AK4417" s="80"/>
      <c r="AL4417" s="35"/>
      <c r="AM4417" s="35"/>
      <c r="AN4417" s="35"/>
      <c r="AO4417" s="35"/>
      <c r="AP4417" s="35"/>
    </row>
    <row r="4418" spans="1:42" x14ac:dyDescent="0.2">
      <c r="A4418" s="126">
        <v>45556.956700428243</v>
      </c>
      <c r="B4418" s="137" t="s">
        <v>37</v>
      </c>
      <c r="C4418" s="41" t="s">
        <v>118</v>
      </c>
      <c r="D4418" s="80" t="s">
        <v>36</v>
      </c>
      <c r="E4418" s="80" t="s">
        <v>56</v>
      </c>
      <c r="F4418" s="80" t="s">
        <v>36</v>
      </c>
      <c r="G4418" s="80" t="s">
        <v>41</v>
      </c>
      <c r="H4418" s="80" t="s">
        <v>13315</v>
      </c>
      <c r="I4418" s="17">
        <f ca="1">IFERROR(__xludf.DUMMYFUNCTION("""COMPUTED_VALUE"""),45561)</f>
        <v>45561</v>
      </c>
      <c r="J4418" s="143" t="s">
        <v>15462</v>
      </c>
      <c r="K4418" s="80" t="s">
        <v>15463</v>
      </c>
      <c r="L4418" s="30">
        <v>868117925</v>
      </c>
      <c r="M4418" s="80" t="s">
        <v>5558</v>
      </c>
      <c r="N4418" s="80" t="s">
        <v>5559</v>
      </c>
      <c r="O4418" s="80" t="s">
        <v>4503</v>
      </c>
      <c r="P4418" s="80" t="s">
        <v>15464</v>
      </c>
      <c r="Q4418" s="20">
        <v>9317</v>
      </c>
      <c r="R4418" s="80" t="s">
        <v>36</v>
      </c>
      <c r="S4418" s="95">
        <v>2000</v>
      </c>
      <c r="T4418" s="148">
        <v>45556</v>
      </c>
      <c r="U4418" s="95">
        <v>7317</v>
      </c>
      <c r="V4418" s="148">
        <v>45583</v>
      </c>
      <c r="W4418" s="85" t="s">
        <v>15465</v>
      </c>
      <c r="X4418" s="80"/>
      <c r="Y4418" s="22">
        <v>0</v>
      </c>
      <c r="Z4418" s="80" t="s">
        <v>50</v>
      </c>
      <c r="AA4418" s="35" t="s">
        <v>9905</v>
      </c>
      <c r="AB4418" s="80"/>
      <c r="AC4418" s="80" t="s">
        <v>53</v>
      </c>
      <c r="AD4418" s="80" t="s">
        <v>54</v>
      </c>
      <c r="AE4418" s="80"/>
      <c r="AF4418" s="17">
        <v>45558</v>
      </c>
      <c r="AG4418" s="80"/>
      <c r="AH4418" s="80"/>
      <c r="AI4418" s="147"/>
      <c r="AJ4418" s="80"/>
      <c r="AK4418" s="80"/>
      <c r="AL4418" s="35"/>
      <c r="AM4418" s="35"/>
      <c r="AN4418" s="35"/>
      <c r="AO4418" s="35"/>
      <c r="AP4418" s="35"/>
    </row>
    <row r="4419" spans="1:42" x14ac:dyDescent="0.2">
      <c r="A4419" s="126">
        <v>45556.965365428245</v>
      </c>
      <c r="B4419" s="137" t="s">
        <v>37</v>
      </c>
      <c r="C4419" s="41" t="s">
        <v>118</v>
      </c>
      <c r="D4419" s="80" t="s">
        <v>36</v>
      </c>
      <c r="E4419" s="80" t="s">
        <v>139</v>
      </c>
      <c r="F4419" s="80" t="s">
        <v>36</v>
      </c>
      <c r="G4419" s="80" t="s">
        <v>41</v>
      </c>
      <c r="H4419" s="80" t="s">
        <v>13384</v>
      </c>
      <c r="I4419" s="17">
        <f ca="1">IFERROR(__xludf.DUMMYFUNCTION("""COMPUTED_VALUE"""),45569)</f>
        <v>45569</v>
      </c>
      <c r="J4419" s="143" t="s">
        <v>15466</v>
      </c>
      <c r="K4419" s="80" t="s">
        <v>15467</v>
      </c>
      <c r="L4419" s="30">
        <v>378088859</v>
      </c>
      <c r="M4419" s="80" t="s">
        <v>12720</v>
      </c>
      <c r="N4419" s="80" t="s">
        <v>1073</v>
      </c>
      <c r="O4419" s="80" t="s">
        <v>15468</v>
      </c>
      <c r="P4419" s="80" t="s">
        <v>3178</v>
      </c>
      <c r="Q4419" s="20">
        <v>15936</v>
      </c>
      <c r="R4419" s="80" t="s">
        <v>36</v>
      </c>
      <c r="S4419" s="95">
        <f t="shared" ref="S4419:S4420" si="88">200+1800</f>
        <v>2000</v>
      </c>
      <c r="T4419" s="83" t="s">
        <v>14571</v>
      </c>
      <c r="U4419" s="95">
        <v>13936</v>
      </c>
      <c r="V4419" s="148">
        <v>45593</v>
      </c>
      <c r="W4419" s="85" t="s">
        <v>15469</v>
      </c>
      <c r="X4419" s="80"/>
      <c r="Y4419" s="22">
        <v>0</v>
      </c>
      <c r="Z4419" s="80" t="s">
        <v>50</v>
      </c>
      <c r="AA4419" s="96" t="s">
        <v>9905</v>
      </c>
      <c r="AB4419" s="80"/>
      <c r="AC4419" s="80" t="s">
        <v>53</v>
      </c>
      <c r="AD4419" s="80" t="s">
        <v>138</v>
      </c>
      <c r="AE4419" s="83">
        <v>0</v>
      </c>
      <c r="AF4419" s="17">
        <v>45559</v>
      </c>
      <c r="AG4419" s="80" t="s">
        <v>15470</v>
      </c>
      <c r="AH4419" s="80"/>
      <c r="AI4419" s="147"/>
      <c r="AJ4419" s="80"/>
      <c r="AK4419" s="80"/>
      <c r="AL4419" s="35"/>
      <c r="AM4419" s="35"/>
      <c r="AN4419" s="35"/>
      <c r="AO4419" s="35"/>
      <c r="AP4419" s="35"/>
    </row>
    <row r="4420" spans="1:42" x14ac:dyDescent="0.2">
      <c r="A4420" s="126">
        <v>45556.967489120369</v>
      </c>
      <c r="B4420" s="137" t="s">
        <v>37</v>
      </c>
      <c r="C4420" s="41" t="s">
        <v>118</v>
      </c>
      <c r="D4420" s="80" t="s">
        <v>36</v>
      </c>
      <c r="E4420" s="80" t="s">
        <v>139</v>
      </c>
      <c r="F4420" s="80" t="s">
        <v>36</v>
      </c>
      <c r="G4420" s="80" t="s">
        <v>41</v>
      </c>
      <c r="H4420" s="80" t="s">
        <v>13384</v>
      </c>
      <c r="I4420" s="17">
        <f ca="1">IFERROR(__xludf.DUMMYFUNCTION("""COMPUTED_VALUE"""),45569)</f>
        <v>45569</v>
      </c>
      <c r="J4420" s="172" t="s">
        <v>15471</v>
      </c>
      <c r="K4420" s="80" t="s">
        <v>15472</v>
      </c>
      <c r="L4420" s="30">
        <v>961560618</v>
      </c>
      <c r="M4420" s="80" t="s">
        <v>12720</v>
      </c>
      <c r="N4420" s="80" t="s">
        <v>10121</v>
      </c>
      <c r="O4420" s="80" t="s">
        <v>15473</v>
      </c>
      <c r="P4420" s="80" t="s">
        <v>15474</v>
      </c>
      <c r="Q4420" s="20">
        <v>15936</v>
      </c>
      <c r="R4420" s="80" t="s">
        <v>36</v>
      </c>
      <c r="S4420" s="95">
        <f t="shared" si="88"/>
        <v>2000</v>
      </c>
      <c r="T4420" s="83" t="s">
        <v>15438</v>
      </c>
      <c r="U4420" s="95">
        <v>13936</v>
      </c>
      <c r="V4420" s="148">
        <v>45593</v>
      </c>
      <c r="W4420" s="85" t="s">
        <v>15475</v>
      </c>
      <c r="X4420" s="80"/>
      <c r="Y4420" s="22">
        <v>0</v>
      </c>
      <c r="Z4420" s="80" t="s">
        <v>50</v>
      </c>
      <c r="AA4420" s="35" t="s">
        <v>9905</v>
      </c>
      <c r="AB4420" s="80"/>
      <c r="AC4420" s="80" t="s">
        <v>53</v>
      </c>
      <c r="AD4420" s="80" t="s">
        <v>138</v>
      </c>
      <c r="AE4420" s="83">
        <v>0</v>
      </c>
      <c r="AF4420" s="17">
        <v>45569</v>
      </c>
      <c r="AG4420" s="80"/>
      <c r="AH4420" s="80"/>
      <c r="AI4420" s="147"/>
      <c r="AJ4420" s="80"/>
      <c r="AK4420" s="80"/>
      <c r="AL4420" s="35"/>
      <c r="AM4420" s="35"/>
      <c r="AN4420" s="35"/>
      <c r="AO4420" s="35"/>
      <c r="AP4420" s="35"/>
    </row>
    <row r="4421" spans="1:42" x14ac:dyDescent="0.2">
      <c r="A4421" s="126">
        <v>45556.968685949076</v>
      </c>
      <c r="B4421" s="137" t="s">
        <v>37</v>
      </c>
      <c r="C4421" s="41" t="s">
        <v>118</v>
      </c>
      <c r="D4421" s="80" t="s">
        <v>36</v>
      </c>
      <c r="E4421" s="80" t="s">
        <v>119</v>
      </c>
      <c r="F4421" s="80" t="s">
        <v>36</v>
      </c>
      <c r="G4421" s="80" t="s">
        <v>108</v>
      </c>
      <c r="H4421" s="80" t="s">
        <v>10028</v>
      </c>
      <c r="I4421" s="17">
        <f ca="1">IFERROR(__xludf.DUMMYFUNCTION("""COMPUTED_VALUE"""),45562)</f>
        <v>45562</v>
      </c>
      <c r="J4421" s="143" t="s">
        <v>15476</v>
      </c>
      <c r="K4421" s="80" t="s">
        <v>15477</v>
      </c>
      <c r="L4421" s="30">
        <v>834332006</v>
      </c>
      <c r="M4421" s="80" t="s">
        <v>12720</v>
      </c>
      <c r="N4421" s="80" t="s">
        <v>1073</v>
      </c>
      <c r="O4421" s="80" t="s">
        <v>15478</v>
      </c>
      <c r="P4421" s="80" t="s">
        <v>15479</v>
      </c>
      <c r="Q4421" s="20">
        <v>13968</v>
      </c>
      <c r="R4421" s="80" t="s">
        <v>36</v>
      </c>
      <c r="S4421" s="95">
        <f>200+3800</f>
        <v>4000</v>
      </c>
      <c r="T4421" s="83" t="s">
        <v>14506</v>
      </c>
      <c r="U4421" s="95">
        <v>9968</v>
      </c>
      <c r="V4421" s="148">
        <v>45585</v>
      </c>
      <c r="W4421" s="85" t="s">
        <v>15480</v>
      </c>
      <c r="X4421" s="80"/>
      <c r="Y4421" s="22">
        <v>0</v>
      </c>
      <c r="Z4421" s="80" t="s">
        <v>50</v>
      </c>
      <c r="AA4421" s="96" t="s">
        <v>9905</v>
      </c>
      <c r="AB4421" s="80"/>
      <c r="AC4421" s="80" t="s">
        <v>53</v>
      </c>
      <c r="AD4421" s="80" t="s">
        <v>138</v>
      </c>
      <c r="AE4421" s="83">
        <v>500</v>
      </c>
      <c r="AF4421" s="17">
        <v>45562</v>
      </c>
      <c r="AG4421" s="80"/>
      <c r="AH4421" s="80"/>
      <c r="AI4421" s="147"/>
      <c r="AJ4421" s="80"/>
      <c r="AK4421" s="80"/>
      <c r="AL4421" s="35"/>
      <c r="AM4421" s="35"/>
      <c r="AN4421" s="35"/>
      <c r="AO4421" s="35"/>
      <c r="AP4421" s="35"/>
    </row>
    <row r="4422" spans="1:42" x14ac:dyDescent="0.2">
      <c r="A4422" s="126">
        <v>45556.994291469906</v>
      </c>
      <c r="B4422" s="137" t="s">
        <v>37</v>
      </c>
      <c r="C4422" s="41" t="s">
        <v>118</v>
      </c>
      <c r="D4422" s="80" t="s">
        <v>36</v>
      </c>
      <c r="E4422" s="80" t="s">
        <v>77</v>
      </c>
      <c r="F4422" s="80" t="s">
        <v>36</v>
      </c>
      <c r="G4422" s="80" t="s">
        <v>41</v>
      </c>
      <c r="H4422" s="80" t="s">
        <v>12849</v>
      </c>
      <c r="I4422" s="17">
        <f ca="1">IFERROR(__xludf.DUMMYFUNCTION("""COMPUTED_VALUE"""),45564)</f>
        <v>45564</v>
      </c>
      <c r="J4422" s="143" t="s">
        <v>15481</v>
      </c>
      <c r="K4422" s="80" t="s">
        <v>15482</v>
      </c>
      <c r="L4422" s="30">
        <v>856409867</v>
      </c>
      <c r="M4422" s="80" t="s">
        <v>9422</v>
      </c>
      <c r="N4422" s="80" t="s">
        <v>2157</v>
      </c>
      <c r="O4422" s="80" t="s">
        <v>11607</v>
      </c>
      <c r="P4422" s="80" t="s">
        <v>15483</v>
      </c>
      <c r="Q4422" s="20">
        <v>1968</v>
      </c>
      <c r="R4422" s="80" t="s">
        <v>36</v>
      </c>
      <c r="S4422" s="95">
        <v>1968</v>
      </c>
      <c r="T4422" s="148">
        <v>45555</v>
      </c>
      <c r="U4422" s="77"/>
      <c r="V4422" s="78"/>
      <c r="W4422" s="85" t="s">
        <v>15484</v>
      </c>
      <c r="X4422" s="80"/>
      <c r="Y4422" s="22">
        <v>0</v>
      </c>
      <c r="Z4422" s="80" t="s">
        <v>50</v>
      </c>
      <c r="AA4422" s="35" t="s">
        <v>9905</v>
      </c>
      <c r="AB4422" s="80"/>
      <c r="AC4422" s="80" t="s">
        <v>53</v>
      </c>
      <c r="AD4422" s="80" t="s">
        <v>54</v>
      </c>
      <c r="AE4422" s="80"/>
      <c r="AF4422" s="17">
        <v>45559</v>
      </c>
      <c r="AG4422" s="80" t="s">
        <v>7078</v>
      </c>
      <c r="AH4422" s="80"/>
      <c r="AI4422" s="147"/>
      <c r="AJ4422" s="80"/>
      <c r="AK4422" s="80"/>
      <c r="AL4422" s="35"/>
      <c r="AM4422" s="35"/>
      <c r="AN4422" s="35"/>
      <c r="AO4422" s="35"/>
      <c r="AP4422" s="35"/>
    </row>
    <row r="4423" spans="1:42" x14ac:dyDescent="0.2">
      <c r="A4423" s="126">
        <v>45556.996595208329</v>
      </c>
      <c r="B4423" s="137" t="s">
        <v>37</v>
      </c>
      <c r="C4423" s="41" t="s">
        <v>118</v>
      </c>
      <c r="D4423" s="80" t="s">
        <v>36</v>
      </c>
      <c r="E4423" s="80" t="s">
        <v>139</v>
      </c>
      <c r="F4423" s="80" t="s">
        <v>36</v>
      </c>
      <c r="G4423" s="80" t="s">
        <v>41</v>
      </c>
      <c r="H4423" s="80" t="s">
        <v>12737</v>
      </c>
      <c r="I4423" s="17">
        <f ca="1">IFERROR(__xludf.DUMMYFUNCTION("""COMPUTED_VALUE"""),45562)</f>
        <v>45562</v>
      </c>
      <c r="J4423" s="143" t="s">
        <v>14503</v>
      </c>
      <c r="K4423" s="80" t="s">
        <v>14504</v>
      </c>
      <c r="L4423" s="30">
        <v>878759626</v>
      </c>
      <c r="M4423" s="80" t="s">
        <v>9422</v>
      </c>
      <c r="N4423" s="80" t="s">
        <v>4136</v>
      </c>
      <c r="O4423" s="80" t="s">
        <v>11607</v>
      </c>
      <c r="P4423" s="80" t="s">
        <v>14505</v>
      </c>
      <c r="Q4423" s="20">
        <v>15936</v>
      </c>
      <c r="R4423" s="80" t="s">
        <v>11421</v>
      </c>
      <c r="S4423" s="95">
        <f>500+5000</f>
        <v>5500</v>
      </c>
      <c r="T4423" s="83" t="s">
        <v>14506</v>
      </c>
      <c r="U4423" s="95">
        <v>10436</v>
      </c>
      <c r="V4423" s="148">
        <v>45580</v>
      </c>
      <c r="W4423" s="85" t="s">
        <v>14507</v>
      </c>
      <c r="X4423" s="80"/>
      <c r="Y4423" s="22">
        <v>0</v>
      </c>
      <c r="Z4423" s="80" t="s">
        <v>50</v>
      </c>
      <c r="AA4423" s="96" t="s">
        <v>9905</v>
      </c>
      <c r="AB4423" s="80"/>
      <c r="AC4423" s="80" t="s">
        <v>53</v>
      </c>
      <c r="AD4423" s="80" t="s">
        <v>54</v>
      </c>
      <c r="AE4423" s="80"/>
      <c r="AF4423" s="17">
        <v>45560</v>
      </c>
      <c r="AG4423" s="80" t="s">
        <v>11240</v>
      </c>
      <c r="AH4423" s="80"/>
      <c r="AI4423" s="147"/>
      <c r="AJ4423" s="80"/>
      <c r="AK4423" s="80"/>
      <c r="AL4423" s="35"/>
      <c r="AM4423" s="35"/>
      <c r="AN4423" s="35"/>
      <c r="AO4423" s="35"/>
      <c r="AP4423" s="35"/>
    </row>
    <row r="4424" spans="1:42" x14ac:dyDescent="0.2">
      <c r="A4424" s="126">
        <v>45557.407335393524</v>
      </c>
      <c r="B4424" s="137" t="s">
        <v>37</v>
      </c>
      <c r="C4424" s="41" t="s">
        <v>118</v>
      </c>
      <c r="D4424" s="80" t="s">
        <v>36</v>
      </c>
      <c r="E4424" s="80" t="s">
        <v>56</v>
      </c>
      <c r="F4424" s="80" t="s">
        <v>36</v>
      </c>
      <c r="G4424" s="80" t="s">
        <v>41</v>
      </c>
      <c r="H4424" s="80" t="s">
        <v>11747</v>
      </c>
      <c r="I4424" s="17">
        <f ca="1">IFERROR(__xludf.DUMMYFUNCTION("""COMPUTED_VALUE"""),45559)</f>
        <v>45559</v>
      </c>
      <c r="J4424" s="143" t="s">
        <v>15485</v>
      </c>
      <c r="K4424" s="80" t="s">
        <v>15486</v>
      </c>
      <c r="L4424" s="30">
        <v>912889325</v>
      </c>
      <c r="M4424" s="80" t="s">
        <v>123</v>
      </c>
      <c r="N4424" s="80" t="s">
        <v>2847</v>
      </c>
      <c r="O4424" s="80" t="s">
        <v>4503</v>
      </c>
      <c r="P4424" s="80" t="s">
        <v>15487</v>
      </c>
      <c r="Q4424" s="20">
        <v>9317</v>
      </c>
      <c r="R4424" s="80" t="s">
        <v>36</v>
      </c>
      <c r="S4424" s="95">
        <v>2000</v>
      </c>
      <c r="T4424" s="148">
        <v>45556</v>
      </c>
      <c r="U4424" s="95">
        <v>7317</v>
      </c>
      <c r="V4424" s="148">
        <v>45573</v>
      </c>
      <c r="W4424" s="85" t="s">
        <v>15488</v>
      </c>
      <c r="X4424" s="80"/>
      <c r="Y4424" s="22">
        <v>0</v>
      </c>
      <c r="Z4424" s="80" t="s">
        <v>50</v>
      </c>
      <c r="AA4424" s="35" t="s">
        <v>9905</v>
      </c>
      <c r="AB4424" s="80"/>
      <c r="AC4424" s="80" t="s">
        <v>53</v>
      </c>
      <c r="AD4424" s="80" t="s">
        <v>138</v>
      </c>
      <c r="AE4424" s="80"/>
      <c r="AF4424" s="17">
        <v>45559</v>
      </c>
      <c r="AG4424" s="80"/>
      <c r="AH4424" s="80"/>
      <c r="AI4424" s="147"/>
      <c r="AJ4424" s="80"/>
      <c r="AK4424" s="80"/>
      <c r="AL4424" s="35"/>
      <c r="AM4424" s="35"/>
      <c r="AN4424" s="35"/>
      <c r="AO4424" s="35"/>
      <c r="AP4424" s="35"/>
    </row>
    <row r="4425" spans="1:42" x14ac:dyDescent="0.2">
      <c r="A4425" s="126">
        <v>45557.471244942135</v>
      </c>
      <c r="B4425" s="137" t="s">
        <v>37</v>
      </c>
      <c r="C4425" s="41" t="s">
        <v>118</v>
      </c>
      <c r="D4425" s="80" t="s">
        <v>36</v>
      </c>
      <c r="E4425" s="80" t="s">
        <v>139</v>
      </c>
      <c r="F4425" s="80" t="s">
        <v>36</v>
      </c>
      <c r="G4425" s="80" t="s">
        <v>41</v>
      </c>
      <c r="H4425" s="80" t="s">
        <v>11846</v>
      </c>
      <c r="I4425" s="17">
        <f ca="1">IFERROR(__xludf.DUMMYFUNCTION("""COMPUTED_VALUE"""),45560)</f>
        <v>45560</v>
      </c>
      <c r="J4425" s="143" t="s">
        <v>15489</v>
      </c>
      <c r="K4425" s="80" t="s">
        <v>15490</v>
      </c>
      <c r="L4425" s="30">
        <v>398942150</v>
      </c>
      <c r="M4425" s="80" t="s">
        <v>5429</v>
      </c>
      <c r="N4425" s="80" t="s">
        <v>1384</v>
      </c>
      <c r="O4425" s="80" t="s">
        <v>61</v>
      </c>
      <c r="P4425" s="80" t="s">
        <v>15491</v>
      </c>
      <c r="Q4425" s="20">
        <v>15936</v>
      </c>
      <c r="R4425" s="80" t="s">
        <v>36</v>
      </c>
      <c r="S4425" s="95">
        <v>2000</v>
      </c>
      <c r="T4425" s="148">
        <v>45557</v>
      </c>
      <c r="U4425" s="95">
        <v>13936</v>
      </c>
      <c r="V4425" s="148">
        <v>45578</v>
      </c>
      <c r="W4425" s="85" t="s">
        <v>15492</v>
      </c>
      <c r="X4425" s="80"/>
      <c r="Y4425" s="22">
        <v>0</v>
      </c>
      <c r="Z4425" s="80" t="s">
        <v>50</v>
      </c>
      <c r="AA4425" s="96" t="s">
        <v>9905</v>
      </c>
      <c r="AB4425" s="80"/>
      <c r="AC4425" s="80" t="s">
        <v>53</v>
      </c>
      <c r="AD4425" s="80" t="s">
        <v>54</v>
      </c>
      <c r="AE4425" s="80" t="s">
        <v>72</v>
      </c>
      <c r="AF4425" s="17">
        <v>45558</v>
      </c>
      <c r="AG4425" s="80"/>
      <c r="AH4425" s="80"/>
      <c r="AI4425" s="147"/>
      <c r="AJ4425" s="80"/>
      <c r="AK4425" s="80"/>
      <c r="AL4425" s="35"/>
      <c r="AM4425" s="35"/>
      <c r="AN4425" s="35"/>
      <c r="AO4425" s="35"/>
      <c r="AP4425" s="35"/>
    </row>
    <row r="4426" spans="1:42" x14ac:dyDescent="0.2">
      <c r="A4426" s="126">
        <v>45557.484759710649</v>
      </c>
      <c r="B4426" s="137" t="s">
        <v>37</v>
      </c>
      <c r="C4426" s="41" t="s">
        <v>118</v>
      </c>
      <c r="D4426" s="80" t="s">
        <v>36</v>
      </c>
      <c r="E4426" s="80" t="s">
        <v>139</v>
      </c>
      <c r="F4426" s="80" t="s">
        <v>36</v>
      </c>
      <c r="G4426" s="80" t="s">
        <v>41</v>
      </c>
      <c r="H4426" s="80" t="s">
        <v>13206</v>
      </c>
      <c r="I4426" s="17">
        <f ca="1">IFERROR(__xludf.DUMMYFUNCTION("""COMPUTED_VALUE"""),45559)</f>
        <v>45559</v>
      </c>
      <c r="J4426" s="143" t="s">
        <v>14713</v>
      </c>
      <c r="K4426" s="80" t="s">
        <v>14714</v>
      </c>
      <c r="L4426" s="30">
        <v>375131459</v>
      </c>
      <c r="M4426" s="80" t="s">
        <v>5429</v>
      </c>
      <c r="N4426" s="80" t="s">
        <v>1384</v>
      </c>
      <c r="O4426" s="80" t="s">
        <v>14715</v>
      </c>
      <c r="P4426" s="80" t="s">
        <v>14716</v>
      </c>
      <c r="Q4426" s="20">
        <v>15936</v>
      </c>
      <c r="R4426" s="80" t="s">
        <v>36</v>
      </c>
      <c r="S4426" s="95">
        <f>200+1800</f>
        <v>2000</v>
      </c>
      <c r="T4426" s="148">
        <v>45557</v>
      </c>
      <c r="U4426" s="95">
        <v>13936</v>
      </c>
      <c r="V4426" s="148">
        <v>45578</v>
      </c>
      <c r="W4426" s="85" t="s">
        <v>14717</v>
      </c>
      <c r="X4426" s="80"/>
      <c r="Y4426" s="22">
        <v>0</v>
      </c>
      <c r="Z4426" s="80" t="s">
        <v>50</v>
      </c>
      <c r="AA4426" s="35" t="s">
        <v>9905</v>
      </c>
      <c r="AB4426" s="80"/>
      <c r="AC4426" s="80" t="s">
        <v>53</v>
      </c>
      <c r="AD4426" s="80" t="s">
        <v>54</v>
      </c>
      <c r="AE4426" s="80" t="s">
        <v>72</v>
      </c>
      <c r="AF4426" s="17">
        <v>45558</v>
      </c>
      <c r="AG4426" s="80"/>
      <c r="AH4426" s="80"/>
      <c r="AI4426" s="147"/>
      <c r="AJ4426" s="80"/>
      <c r="AK4426" s="80"/>
      <c r="AL4426" s="35"/>
      <c r="AM4426" s="35"/>
      <c r="AN4426" s="35"/>
      <c r="AO4426" s="35"/>
      <c r="AP4426" s="35"/>
    </row>
    <row r="4427" spans="1:42" x14ac:dyDescent="0.2">
      <c r="A4427" s="126">
        <v>45557.503490763891</v>
      </c>
      <c r="B4427" s="137" t="s">
        <v>37</v>
      </c>
      <c r="C4427" s="41" t="s">
        <v>118</v>
      </c>
      <c r="D4427" s="80" t="s">
        <v>36</v>
      </c>
      <c r="E4427" s="80" t="s">
        <v>56</v>
      </c>
      <c r="F4427" s="80" t="s">
        <v>36</v>
      </c>
      <c r="G4427" s="80" t="s">
        <v>6516</v>
      </c>
      <c r="H4427" s="80" t="s">
        <v>12799</v>
      </c>
      <c r="I4427" s="17">
        <f ca="1">IFERROR(__xludf.DUMMYFUNCTION("""COMPUTED_VALUE"""),45559)</f>
        <v>45559</v>
      </c>
      <c r="J4427" s="143" t="s">
        <v>14619</v>
      </c>
      <c r="K4427" s="80" t="s">
        <v>14620</v>
      </c>
      <c r="L4427" s="30">
        <v>866974902</v>
      </c>
      <c r="M4427" s="80" t="s">
        <v>45</v>
      </c>
      <c r="N4427" s="80" t="s">
        <v>299</v>
      </c>
      <c r="O4427" s="80" t="s">
        <v>14621</v>
      </c>
      <c r="P4427" s="80" t="s">
        <v>7743</v>
      </c>
      <c r="Q4427" s="20">
        <v>9317</v>
      </c>
      <c r="R4427" s="80" t="s">
        <v>36</v>
      </c>
      <c r="S4427" s="95">
        <v>2000</v>
      </c>
      <c r="T4427" s="148">
        <v>45557</v>
      </c>
      <c r="U4427" s="95">
        <v>7317</v>
      </c>
      <c r="V4427" s="148">
        <v>45575</v>
      </c>
      <c r="W4427" s="85" t="s">
        <v>14622</v>
      </c>
      <c r="X4427" s="80"/>
      <c r="Y4427" s="22">
        <v>0</v>
      </c>
      <c r="Z4427" s="80" t="s">
        <v>50</v>
      </c>
      <c r="AA4427" s="96" t="s">
        <v>9905</v>
      </c>
      <c r="AB4427" s="80"/>
      <c r="AC4427" s="80" t="s">
        <v>53</v>
      </c>
      <c r="AD4427" s="80" t="s">
        <v>138</v>
      </c>
      <c r="AE4427" s="83">
        <v>0</v>
      </c>
      <c r="AF4427" s="17">
        <v>45559</v>
      </c>
      <c r="AG4427" s="80"/>
      <c r="AH4427" s="80"/>
      <c r="AI4427" s="147"/>
      <c r="AJ4427" s="80"/>
      <c r="AK4427" s="80"/>
      <c r="AL4427" s="35"/>
      <c r="AM4427" s="35"/>
      <c r="AN4427" s="35"/>
      <c r="AO4427" s="35"/>
      <c r="AP4427" s="35"/>
    </row>
    <row r="4428" spans="1:42" x14ac:dyDescent="0.2">
      <c r="A4428" s="126">
        <v>45557.528052962967</v>
      </c>
      <c r="B4428" s="137" t="s">
        <v>37</v>
      </c>
      <c r="C4428" s="41" t="s">
        <v>118</v>
      </c>
      <c r="D4428" s="80" t="s">
        <v>36</v>
      </c>
      <c r="E4428" s="80" t="s">
        <v>139</v>
      </c>
      <c r="F4428" s="80" t="s">
        <v>36</v>
      </c>
      <c r="G4428" s="80" t="s">
        <v>41</v>
      </c>
      <c r="H4428" s="80" t="s">
        <v>13384</v>
      </c>
      <c r="I4428" s="17">
        <f ca="1">IFERROR(__xludf.DUMMYFUNCTION("""COMPUTED_VALUE"""),45569)</f>
        <v>45569</v>
      </c>
      <c r="J4428" s="143" t="s">
        <v>15493</v>
      </c>
      <c r="K4428" s="80" t="s">
        <v>15494</v>
      </c>
      <c r="L4428" s="30">
        <v>763310836</v>
      </c>
      <c r="M4428" s="80" t="s">
        <v>5518</v>
      </c>
      <c r="N4428" s="80" t="s">
        <v>5252</v>
      </c>
      <c r="O4428" s="80" t="s">
        <v>15495</v>
      </c>
      <c r="P4428" s="80" t="s">
        <v>7743</v>
      </c>
      <c r="Q4428" s="20">
        <v>15936</v>
      </c>
      <c r="R4428" s="80" t="s">
        <v>70</v>
      </c>
      <c r="S4428" s="95">
        <v>2000</v>
      </c>
      <c r="T4428" s="148">
        <v>45557</v>
      </c>
      <c r="U4428" s="95">
        <v>13936</v>
      </c>
      <c r="V4428" s="148">
        <v>45589</v>
      </c>
      <c r="W4428" s="85" t="s">
        <v>15496</v>
      </c>
      <c r="X4428" s="80"/>
      <c r="Y4428" s="22">
        <v>0</v>
      </c>
      <c r="Z4428" s="80" t="s">
        <v>50</v>
      </c>
      <c r="AA4428" s="35" t="s">
        <v>9905</v>
      </c>
      <c r="AB4428" s="80"/>
      <c r="AC4428" s="80" t="s">
        <v>53</v>
      </c>
      <c r="AD4428" s="80" t="s">
        <v>138</v>
      </c>
      <c r="AE4428" s="80"/>
      <c r="AF4428" s="17">
        <v>45569</v>
      </c>
      <c r="AG4428" s="80"/>
      <c r="AH4428" s="80"/>
      <c r="AI4428" s="147"/>
      <c r="AJ4428" s="80"/>
      <c r="AK4428" s="80"/>
      <c r="AL4428" s="35"/>
      <c r="AM4428" s="35"/>
      <c r="AN4428" s="35"/>
      <c r="AO4428" s="35"/>
      <c r="AP4428" s="35"/>
    </row>
    <row r="4429" spans="1:42" x14ac:dyDescent="0.2">
      <c r="A4429" s="126">
        <v>45557.607868784718</v>
      </c>
      <c r="B4429" s="137" t="s">
        <v>37</v>
      </c>
      <c r="C4429" s="41" t="s">
        <v>118</v>
      </c>
      <c r="D4429" s="80" t="s">
        <v>36</v>
      </c>
      <c r="E4429" s="80" t="s">
        <v>106</v>
      </c>
      <c r="F4429" s="80" t="s">
        <v>36</v>
      </c>
      <c r="G4429" s="80" t="s">
        <v>108</v>
      </c>
      <c r="H4429" s="80" t="s">
        <v>10282</v>
      </c>
      <c r="I4429" s="17">
        <f ca="1">IFERROR(__xludf.DUMMYFUNCTION("""COMPUTED_VALUE"""),45560)</f>
        <v>45560</v>
      </c>
      <c r="J4429" s="143" t="s">
        <v>15497</v>
      </c>
      <c r="K4429" s="80" t="s">
        <v>15498</v>
      </c>
      <c r="L4429" s="30">
        <v>373834334</v>
      </c>
      <c r="M4429" s="80" t="s">
        <v>12720</v>
      </c>
      <c r="N4429" s="80" t="s">
        <v>15408</v>
      </c>
      <c r="O4429" s="80" t="s">
        <v>15499</v>
      </c>
      <c r="P4429" s="80" t="s">
        <v>15500</v>
      </c>
      <c r="Q4429" s="20">
        <v>3768</v>
      </c>
      <c r="R4429" s="80" t="s">
        <v>36</v>
      </c>
      <c r="S4429" s="95">
        <v>4000</v>
      </c>
      <c r="T4429" s="148">
        <v>45557</v>
      </c>
      <c r="U4429" s="77"/>
      <c r="V4429" s="78"/>
      <c r="W4429" s="85" t="s">
        <v>15501</v>
      </c>
      <c r="X4429" s="80"/>
      <c r="Y4429" s="22">
        <v>-232</v>
      </c>
      <c r="Z4429" s="80" t="s">
        <v>50</v>
      </c>
      <c r="AA4429" s="96" t="s">
        <v>9905</v>
      </c>
      <c r="AB4429" s="80"/>
      <c r="AC4429" s="80" t="s">
        <v>53</v>
      </c>
      <c r="AD4429" s="80" t="s">
        <v>54</v>
      </c>
      <c r="AE4429" s="83">
        <v>400</v>
      </c>
      <c r="AF4429" s="17">
        <v>45558</v>
      </c>
      <c r="AG4429" s="80" t="s">
        <v>10490</v>
      </c>
      <c r="AH4429" s="80"/>
      <c r="AI4429" s="147"/>
      <c r="AJ4429" s="80"/>
      <c r="AK4429" s="80"/>
      <c r="AL4429" s="35"/>
      <c r="AM4429" s="35"/>
      <c r="AN4429" s="35"/>
      <c r="AO4429" s="35"/>
      <c r="AP4429" s="35"/>
    </row>
    <row r="4430" spans="1:42" x14ac:dyDescent="0.2">
      <c r="A4430" s="126">
        <v>45557.901919074073</v>
      </c>
      <c r="B4430" s="137" t="s">
        <v>37</v>
      </c>
      <c r="C4430" s="41" t="s">
        <v>118</v>
      </c>
      <c r="D4430" s="80" t="s">
        <v>36</v>
      </c>
      <c r="E4430" s="80" t="s">
        <v>119</v>
      </c>
      <c r="F4430" s="80" t="s">
        <v>36</v>
      </c>
      <c r="G4430" s="80" t="s">
        <v>108</v>
      </c>
      <c r="H4430" s="80" t="s">
        <v>10028</v>
      </c>
      <c r="I4430" s="17">
        <f ca="1">IFERROR(__xludf.DUMMYFUNCTION("""COMPUTED_VALUE"""),45562)</f>
        <v>45562</v>
      </c>
      <c r="J4430" s="143" t="s">
        <v>15502</v>
      </c>
      <c r="K4430" s="80" t="s">
        <v>15503</v>
      </c>
      <c r="L4430" s="30">
        <v>918181529</v>
      </c>
      <c r="M4430" s="80" t="s">
        <v>3728</v>
      </c>
      <c r="N4430" s="80" t="s">
        <v>5277</v>
      </c>
      <c r="O4430" s="80" t="s">
        <v>15504</v>
      </c>
      <c r="P4430" s="80" t="s">
        <v>11644</v>
      </c>
      <c r="Q4430" s="20">
        <v>13968</v>
      </c>
      <c r="R4430" s="80" t="s">
        <v>36</v>
      </c>
      <c r="S4430" s="95">
        <v>4000</v>
      </c>
      <c r="T4430" s="148">
        <v>45557</v>
      </c>
      <c r="U4430" s="95">
        <v>9968</v>
      </c>
      <c r="V4430" s="148">
        <v>45581</v>
      </c>
      <c r="W4430" s="85" t="s">
        <v>15505</v>
      </c>
      <c r="X4430" s="80"/>
      <c r="Y4430" s="22">
        <v>0</v>
      </c>
      <c r="Z4430" s="80" t="s">
        <v>50</v>
      </c>
      <c r="AA4430" s="35" t="s">
        <v>9905</v>
      </c>
      <c r="AB4430" s="80"/>
      <c r="AC4430" s="80" t="s">
        <v>53</v>
      </c>
      <c r="AD4430" s="80" t="s">
        <v>138</v>
      </c>
      <c r="AE4430" s="80"/>
      <c r="AF4430" s="17">
        <v>45562</v>
      </c>
      <c r="AG4430" s="80"/>
      <c r="AH4430" s="80"/>
      <c r="AI4430" s="147"/>
      <c r="AJ4430" s="80"/>
      <c r="AK4430" s="80"/>
      <c r="AL4430" s="35"/>
      <c r="AM4430" s="35"/>
      <c r="AN4430" s="35"/>
      <c r="AO4430" s="35"/>
      <c r="AP4430" s="35"/>
    </row>
    <row r="4431" spans="1:42" x14ac:dyDescent="0.2">
      <c r="A4431" s="126">
        <v>45558.466831770835</v>
      </c>
      <c r="B4431" s="137" t="s">
        <v>37</v>
      </c>
      <c r="C4431" s="41" t="s">
        <v>118</v>
      </c>
      <c r="D4431" s="80" t="s">
        <v>36</v>
      </c>
      <c r="E4431" s="80" t="s">
        <v>139</v>
      </c>
      <c r="F4431" s="80" t="s">
        <v>36</v>
      </c>
      <c r="G4431" s="80" t="s">
        <v>41</v>
      </c>
      <c r="H4431" s="80" t="s">
        <v>9626</v>
      </c>
      <c r="I4431" s="17">
        <f ca="1">IFERROR(__xludf.DUMMYFUNCTION("""COMPUTED_VALUE"""),45559)</f>
        <v>45559</v>
      </c>
      <c r="J4431" s="172" t="s">
        <v>14285</v>
      </c>
      <c r="K4431" s="80" t="s">
        <v>14286</v>
      </c>
      <c r="L4431" s="30">
        <v>913164728</v>
      </c>
      <c r="M4431" s="80" t="s">
        <v>12529</v>
      </c>
      <c r="N4431" s="80" t="s">
        <v>9750</v>
      </c>
      <c r="O4431" s="80"/>
      <c r="P4431" s="80" t="s">
        <v>14287</v>
      </c>
      <c r="Q4431" s="20">
        <v>15936</v>
      </c>
      <c r="R4431" s="80" t="s">
        <v>36</v>
      </c>
      <c r="S4431" s="95">
        <f t="shared" ref="S4431:S4433" si="89">200+1800</f>
        <v>2000</v>
      </c>
      <c r="T4431" s="83" t="s">
        <v>14288</v>
      </c>
      <c r="U4431" s="95">
        <v>13936</v>
      </c>
      <c r="V4431" s="148">
        <v>45595</v>
      </c>
      <c r="W4431" s="80" t="s">
        <v>14289</v>
      </c>
      <c r="X4431" s="80"/>
      <c r="Y4431" s="22">
        <v>0</v>
      </c>
      <c r="Z4431" s="80" t="s">
        <v>50</v>
      </c>
      <c r="AA4431" s="96" t="s">
        <v>9905</v>
      </c>
      <c r="AB4431" s="80"/>
      <c r="AC4431" s="80" t="s">
        <v>53</v>
      </c>
      <c r="AD4431" s="80" t="s">
        <v>54</v>
      </c>
      <c r="AE4431" s="83">
        <v>400</v>
      </c>
      <c r="AF4431" s="17">
        <v>45559</v>
      </c>
      <c r="AG4431" s="80"/>
      <c r="AH4431" s="80"/>
      <c r="AI4431" s="147"/>
      <c r="AJ4431" s="80"/>
      <c r="AK4431" s="80"/>
      <c r="AL4431" s="35"/>
      <c r="AM4431" s="35"/>
      <c r="AN4431" s="35"/>
      <c r="AO4431" s="35"/>
      <c r="AP4431" s="35"/>
    </row>
    <row r="4432" spans="1:42" x14ac:dyDescent="0.2">
      <c r="A4432" s="126">
        <v>45558.46884184028</v>
      </c>
      <c r="B4432" s="137" t="s">
        <v>37</v>
      </c>
      <c r="C4432" s="41" t="s">
        <v>118</v>
      </c>
      <c r="D4432" s="80" t="s">
        <v>36</v>
      </c>
      <c r="E4432" s="80" t="s">
        <v>77</v>
      </c>
      <c r="F4432" s="80" t="s">
        <v>40</v>
      </c>
      <c r="G4432" s="80" t="s">
        <v>41</v>
      </c>
      <c r="H4432" s="80" t="s">
        <v>15506</v>
      </c>
      <c r="I4432" s="17">
        <f ca="1">IFERROR(__xludf.DUMMYFUNCTION("""COMPUTED_VALUE"""),45573)</f>
        <v>45573</v>
      </c>
      <c r="J4432" s="143" t="s">
        <v>15507</v>
      </c>
      <c r="K4432" s="80" t="s">
        <v>15508</v>
      </c>
      <c r="L4432" s="30">
        <v>763127313</v>
      </c>
      <c r="M4432" s="80" t="s">
        <v>12529</v>
      </c>
      <c r="N4432" s="80" t="s">
        <v>13566</v>
      </c>
      <c r="O4432" s="80" t="s">
        <v>15509</v>
      </c>
      <c r="P4432" s="80" t="s">
        <v>15510</v>
      </c>
      <c r="Q4432" s="20">
        <v>1968</v>
      </c>
      <c r="R4432" s="80" t="s">
        <v>36</v>
      </c>
      <c r="S4432" s="95">
        <f t="shared" si="89"/>
        <v>2000</v>
      </c>
      <c r="T4432" s="83" t="s">
        <v>15511</v>
      </c>
      <c r="U4432" s="77"/>
      <c r="V4432" s="78"/>
      <c r="W4432" s="85" t="s">
        <v>15512</v>
      </c>
      <c r="X4432" s="80"/>
      <c r="Y4432" s="22">
        <v>-32</v>
      </c>
      <c r="Z4432" s="80" t="s">
        <v>50</v>
      </c>
      <c r="AA4432" s="35" t="s">
        <v>9905</v>
      </c>
      <c r="AB4432" s="80"/>
      <c r="AC4432" s="80" t="s">
        <v>53</v>
      </c>
      <c r="AD4432" s="80" t="s">
        <v>138</v>
      </c>
      <c r="AE4432" s="80"/>
      <c r="AF4432" s="17">
        <v>45568</v>
      </c>
      <c r="AG4432" s="80"/>
      <c r="AH4432" s="80"/>
      <c r="AI4432" s="147"/>
      <c r="AJ4432" s="80"/>
      <c r="AK4432" s="80"/>
      <c r="AL4432" s="35"/>
      <c r="AM4432" s="35"/>
      <c r="AN4432" s="35"/>
      <c r="AO4432" s="35"/>
      <c r="AP4432" s="35"/>
    </row>
    <row r="4433" spans="1:42" x14ac:dyDescent="0.2">
      <c r="A4433" s="126">
        <v>45558.513936319447</v>
      </c>
      <c r="B4433" s="137" t="s">
        <v>37</v>
      </c>
      <c r="C4433" s="41" t="s">
        <v>118</v>
      </c>
      <c r="D4433" s="80" t="s">
        <v>36</v>
      </c>
      <c r="E4433" s="80" t="s">
        <v>139</v>
      </c>
      <c r="F4433" s="80" t="s">
        <v>36</v>
      </c>
      <c r="G4433" s="80" t="s">
        <v>41</v>
      </c>
      <c r="H4433" s="80" t="s">
        <v>12849</v>
      </c>
      <c r="I4433" s="17">
        <f ca="1">IFERROR(__xludf.DUMMYFUNCTION("""COMPUTED_VALUE"""),45564)</f>
        <v>45564</v>
      </c>
      <c r="J4433" s="143" t="s">
        <v>15513</v>
      </c>
      <c r="K4433" s="80" t="s">
        <v>15514</v>
      </c>
      <c r="L4433" s="30">
        <v>397339309</v>
      </c>
      <c r="M4433" s="80" t="s">
        <v>12529</v>
      </c>
      <c r="N4433" s="80" t="s">
        <v>13566</v>
      </c>
      <c r="O4433" s="80" t="s">
        <v>15515</v>
      </c>
      <c r="P4433" s="80" t="s">
        <v>15516</v>
      </c>
      <c r="Q4433" s="20">
        <v>15936</v>
      </c>
      <c r="R4433" s="80" t="s">
        <v>36</v>
      </c>
      <c r="S4433" s="95">
        <f t="shared" si="89"/>
        <v>2000</v>
      </c>
      <c r="T4433" s="83" t="s">
        <v>15517</v>
      </c>
      <c r="U4433" s="95">
        <v>13936</v>
      </c>
      <c r="V4433" s="148">
        <v>45596</v>
      </c>
      <c r="W4433" s="85" t="s">
        <v>15518</v>
      </c>
      <c r="X4433" s="80"/>
      <c r="Y4433" s="22">
        <v>0</v>
      </c>
      <c r="Z4433" s="80" t="s">
        <v>50</v>
      </c>
      <c r="AA4433" s="96" t="s">
        <v>9905</v>
      </c>
      <c r="AB4433" s="80"/>
      <c r="AC4433" s="80" t="s">
        <v>53</v>
      </c>
      <c r="AD4433" s="80" t="s">
        <v>54</v>
      </c>
      <c r="AE4433" s="80"/>
      <c r="AF4433" s="17">
        <v>45561</v>
      </c>
      <c r="AG4433" s="80"/>
      <c r="AH4433" s="80"/>
      <c r="AI4433" s="147"/>
      <c r="AJ4433" s="80"/>
      <c r="AK4433" s="80"/>
      <c r="AL4433" s="35"/>
      <c r="AM4433" s="35"/>
      <c r="AN4433" s="35"/>
      <c r="AO4433" s="35"/>
      <c r="AP4433" s="35"/>
    </row>
    <row r="4434" spans="1:42" x14ac:dyDescent="0.2">
      <c r="A4434" s="126">
        <v>45558.62428783565</v>
      </c>
      <c r="B4434" s="137" t="s">
        <v>37</v>
      </c>
      <c r="C4434" s="41" t="s">
        <v>118</v>
      </c>
      <c r="D4434" s="80" t="s">
        <v>36</v>
      </c>
      <c r="E4434" s="80" t="s">
        <v>139</v>
      </c>
      <c r="F4434" s="80" t="s">
        <v>36</v>
      </c>
      <c r="G4434" s="80" t="s">
        <v>41</v>
      </c>
      <c r="H4434" s="80" t="s">
        <v>13178</v>
      </c>
      <c r="I4434" s="17">
        <f ca="1">IFERROR(__xludf.DUMMYFUNCTION("""COMPUTED_VALUE"""),45572)</f>
        <v>45572</v>
      </c>
      <c r="J4434" s="143" t="s">
        <v>15519</v>
      </c>
      <c r="K4434" s="80" t="s">
        <v>15520</v>
      </c>
      <c r="L4434" s="30">
        <v>334235705</v>
      </c>
      <c r="M4434" s="80" t="s">
        <v>348</v>
      </c>
      <c r="N4434" s="80" t="s">
        <v>200</v>
      </c>
      <c r="O4434" s="80" t="s">
        <v>91</v>
      </c>
      <c r="P4434" s="80" t="s">
        <v>3117</v>
      </c>
      <c r="Q4434" s="20">
        <v>15936</v>
      </c>
      <c r="R4434" s="80" t="s">
        <v>36</v>
      </c>
      <c r="S4434" s="95">
        <v>2000</v>
      </c>
      <c r="T4434" s="148">
        <v>45558</v>
      </c>
      <c r="U4434" s="95">
        <v>13936</v>
      </c>
      <c r="V4434" s="148">
        <v>45592</v>
      </c>
      <c r="W4434" s="85" t="s">
        <v>15521</v>
      </c>
      <c r="X4434" s="80"/>
      <c r="Y4434" s="22">
        <v>0</v>
      </c>
      <c r="Z4434" s="80" t="s">
        <v>50</v>
      </c>
      <c r="AA4434" s="35" t="s">
        <v>9905</v>
      </c>
      <c r="AB4434" s="80"/>
      <c r="AC4434" s="80" t="s">
        <v>53</v>
      </c>
      <c r="AD4434" s="80" t="s">
        <v>138</v>
      </c>
      <c r="AE4434" s="80" t="s">
        <v>91</v>
      </c>
      <c r="AF4434" s="17">
        <v>45572</v>
      </c>
      <c r="AG4434" s="80" t="s">
        <v>13185</v>
      </c>
      <c r="AH4434" s="80"/>
      <c r="AI4434" s="147"/>
      <c r="AJ4434" s="80"/>
      <c r="AK4434" s="80"/>
      <c r="AL4434" s="35"/>
      <c r="AM4434" s="35"/>
      <c r="AN4434" s="35"/>
      <c r="AO4434" s="35"/>
      <c r="AP4434" s="35"/>
    </row>
    <row r="4435" spans="1:42" x14ac:dyDescent="0.2">
      <c r="A4435" s="126">
        <v>45558.665277974535</v>
      </c>
      <c r="B4435" s="137" t="s">
        <v>37</v>
      </c>
      <c r="C4435" s="41" t="s">
        <v>118</v>
      </c>
      <c r="D4435" s="80" t="s">
        <v>36</v>
      </c>
      <c r="E4435" s="80" t="s">
        <v>139</v>
      </c>
      <c r="F4435" s="80" t="s">
        <v>36</v>
      </c>
      <c r="G4435" s="80" t="s">
        <v>41</v>
      </c>
      <c r="H4435" s="80" t="s">
        <v>12799</v>
      </c>
      <c r="I4435" s="17">
        <f ca="1">IFERROR(__xludf.DUMMYFUNCTION("""COMPUTED_VALUE"""),45559)</f>
        <v>45559</v>
      </c>
      <c r="J4435" s="143" t="s">
        <v>14753</v>
      </c>
      <c r="K4435" s="80" t="s">
        <v>14754</v>
      </c>
      <c r="L4435" s="30">
        <v>364407146</v>
      </c>
      <c r="M4435" s="80" t="s">
        <v>5429</v>
      </c>
      <c r="N4435" s="80" t="s">
        <v>756</v>
      </c>
      <c r="O4435" s="80" t="s">
        <v>4626</v>
      </c>
      <c r="P4435" s="80" t="s">
        <v>7107</v>
      </c>
      <c r="Q4435" s="20">
        <v>15936</v>
      </c>
      <c r="R4435" s="80" t="s">
        <v>70</v>
      </c>
      <c r="S4435" s="95">
        <v>2000</v>
      </c>
      <c r="T4435" s="83" t="s">
        <v>14755</v>
      </c>
      <c r="U4435" s="95">
        <v>13836</v>
      </c>
      <c r="V4435" s="148">
        <v>45575</v>
      </c>
      <c r="W4435" s="80" t="s">
        <v>14756</v>
      </c>
      <c r="X4435" s="80"/>
      <c r="Y4435" s="22">
        <v>100</v>
      </c>
      <c r="Z4435" s="80" t="s">
        <v>50</v>
      </c>
      <c r="AA4435" s="96" t="s">
        <v>9905</v>
      </c>
      <c r="AB4435" s="80"/>
      <c r="AC4435" s="80" t="s">
        <v>53</v>
      </c>
      <c r="AD4435" s="80" t="s">
        <v>138</v>
      </c>
      <c r="AE4435" s="80" t="s">
        <v>420</v>
      </c>
      <c r="AF4435" s="17">
        <v>45559</v>
      </c>
      <c r="AG4435" s="80"/>
      <c r="AH4435" s="80"/>
      <c r="AI4435" s="147"/>
      <c r="AJ4435" s="80"/>
      <c r="AK4435" s="80"/>
      <c r="AL4435" s="35"/>
      <c r="AM4435" s="35"/>
      <c r="AN4435" s="35"/>
      <c r="AO4435" s="35"/>
      <c r="AP4435" s="35"/>
    </row>
    <row r="4436" spans="1:42" x14ac:dyDescent="0.2">
      <c r="A4436" s="126">
        <v>45558.67053880787</v>
      </c>
      <c r="B4436" s="137" t="s">
        <v>37</v>
      </c>
      <c r="C4436" s="41" t="s">
        <v>118</v>
      </c>
      <c r="D4436" s="80" t="s">
        <v>36</v>
      </c>
      <c r="E4436" s="80" t="s">
        <v>119</v>
      </c>
      <c r="F4436" s="80" t="s">
        <v>36</v>
      </c>
      <c r="G4436" s="80" t="s">
        <v>7629</v>
      </c>
      <c r="H4436" s="80" t="s">
        <v>11808</v>
      </c>
      <c r="I4436" s="17">
        <f ca="1">IFERROR(__xludf.DUMMYFUNCTION("""COMPUTED_VALUE"""),45579)</f>
        <v>45579</v>
      </c>
      <c r="J4436" s="143" t="s">
        <v>15522</v>
      </c>
      <c r="K4436" s="80" t="s">
        <v>15523</v>
      </c>
      <c r="L4436" s="30">
        <v>395931655</v>
      </c>
      <c r="M4436" s="80" t="s">
        <v>5429</v>
      </c>
      <c r="N4436" s="80" t="s">
        <v>756</v>
      </c>
      <c r="O4436" s="80" t="s">
        <v>2819</v>
      </c>
      <c r="P4436" s="80" t="s">
        <v>7107</v>
      </c>
      <c r="Q4436" s="20">
        <v>13968</v>
      </c>
      <c r="R4436" s="80" t="s">
        <v>70</v>
      </c>
      <c r="S4436" s="95">
        <f>2000+2000</f>
        <v>4000</v>
      </c>
      <c r="T4436" s="83" t="s">
        <v>15524</v>
      </c>
      <c r="U4436" s="95">
        <v>9868</v>
      </c>
      <c r="V4436" s="148">
        <v>45595</v>
      </c>
      <c r="W4436" s="85" t="s">
        <v>15525</v>
      </c>
      <c r="X4436" s="80"/>
      <c r="Y4436" s="22">
        <v>100</v>
      </c>
      <c r="Z4436" s="80" t="s">
        <v>50</v>
      </c>
      <c r="AA4436" s="35" t="s">
        <v>9905</v>
      </c>
      <c r="AB4436" s="80"/>
      <c r="AC4436" s="80" t="s">
        <v>53</v>
      </c>
      <c r="AD4436" s="80" t="s">
        <v>138</v>
      </c>
      <c r="AE4436" s="80" t="s">
        <v>420</v>
      </c>
      <c r="AF4436" s="43">
        <v>45579</v>
      </c>
      <c r="AG4436" s="39" t="s">
        <v>15526</v>
      </c>
      <c r="AH4436" s="80"/>
      <c r="AI4436" s="147"/>
      <c r="AJ4436" s="80"/>
      <c r="AK4436" s="80"/>
      <c r="AL4436" s="35"/>
      <c r="AM4436" s="35"/>
      <c r="AN4436" s="35"/>
      <c r="AO4436" s="35"/>
      <c r="AP4436" s="35"/>
    </row>
    <row r="4437" spans="1:42" x14ac:dyDescent="0.2">
      <c r="A4437" s="126">
        <v>45558.672846782407</v>
      </c>
      <c r="B4437" s="137" t="s">
        <v>37</v>
      </c>
      <c r="C4437" s="41" t="s">
        <v>118</v>
      </c>
      <c r="D4437" s="80" t="s">
        <v>36</v>
      </c>
      <c r="E4437" s="80" t="s">
        <v>139</v>
      </c>
      <c r="F4437" s="80" t="s">
        <v>36</v>
      </c>
      <c r="G4437" s="80" t="s">
        <v>41</v>
      </c>
      <c r="H4437" s="80" t="s">
        <v>13384</v>
      </c>
      <c r="I4437" s="17">
        <f ca="1">IFERROR(__xludf.DUMMYFUNCTION("""COMPUTED_VALUE"""),45569)</f>
        <v>45569</v>
      </c>
      <c r="J4437" s="143" t="s">
        <v>15527</v>
      </c>
      <c r="K4437" s="80" t="s">
        <v>15528</v>
      </c>
      <c r="L4437" s="30">
        <v>984933163</v>
      </c>
      <c r="M4437" s="80" t="s">
        <v>5429</v>
      </c>
      <c r="N4437" s="80" t="s">
        <v>9180</v>
      </c>
      <c r="O4437" s="80" t="s">
        <v>4626</v>
      </c>
      <c r="P4437" s="80" t="s">
        <v>7107</v>
      </c>
      <c r="Q4437" s="20">
        <v>15936</v>
      </c>
      <c r="R4437" s="80" t="s">
        <v>36</v>
      </c>
      <c r="S4437" s="95">
        <v>2000</v>
      </c>
      <c r="T4437" s="148">
        <v>45558</v>
      </c>
      <c r="U4437" s="95">
        <v>13936</v>
      </c>
      <c r="V4437" s="148">
        <v>45574</v>
      </c>
      <c r="W4437" s="85" t="s">
        <v>15529</v>
      </c>
      <c r="X4437" s="80"/>
      <c r="Y4437" s="22">
        <v>0</v>
      </c>
      <c r="Z4437" s="80" t="s">
        <v>50</v>
      </c>
      <c r="AA4437" s="96" t="s">
        <v>9905</v>
      </c>
      <c r="AB4437" s="80"/>
      <c r="AC4437" s="80" t="s">
        <v>53</v>
      </c>
      <c r="AD4437" s="80" t="s">
        <v>138</v>
      </c>
      <c r="AE4437" s="80" t="s">
        <v>72</v>
      </c>
      <c r="AF4437" s="17">
        <v>45569</v>
      </c>
      <c r="AG4437" s="80"/>
      <c r="AH4437" s="80"/>
      <c r="AI4437" s="147"/>
      <c r="AJ4437" s="80"/>
      <c r="AK4437" s="80"/>
      <c r="AL4437" s="35"/>
      <c r="AM4437" s="35"/>
      <c r="AN4437" s="35"/>
      <c r="AO4437" s="35"/>
      <c r="AP4437" s="35"/>
    </row>
    <row r="4438" spans="1:42" x14ac:dyDescent="0.2">
      <c r="A4438" s="126">
        <v>45558.713754016208</v>
      </c>
      <c r="B4438" s="137" t="s">
        <v>37</v>
      </c>
      <c r="C4438" s="41" t="s">
        <v>118</v>
      </c>
      <c r="D4438" s="80" t="s">
        <v>36</v>
      </c>
      <c r="E4438" s="80" t="s">
        <v>119</v>
      </c>
      <c r="F4438" s="80" t="s">
        <v>36</v>
      </c>
      <c r="G4438" s="80" t="s">
        <v>108</v>
      </c>
      <c r="H4438" s="80" t="s">
        <v>9827</v>
      </c>
      <c r="I4438" s="17">
        <f ca="1">IFERROR(__xludf.DUMMYFUNCTION("""COMPUTED_VALUE"""),45567)</f>
        <v>45567</v>
      </c>
      <c r="J4438" s="143" t="s">
        <v>15530</v>
      </c>
      <c r="K4438" s="80" t="s">
        <v>15531</v>
      </c>
      <c r="L4438" s="30">
        <v>868381106</v>
      </c>
      <c r="M4438" s="80" t="s">
        <v>12529</v>
      </c>
      <c r="N4438" s="80" t="s">
        <v>15532</v>
      </c>
      <c r="O4438" s="80" t="s">
        <v>15533</v>
      </c>
      <c r="P4438" s="80" t="s">
        <v>15534</v>
      </c>
      <c r="Q4438" s="20">
        <v>13968</v>
      </c>
      <c r="R4438" s="80" t="s">
        <v>36</v>
      </c>
      <c r="S4438" s="95">
        <f>200+3800</f>
        <v>4000</v>
      </c>
      <c r="T4438" s="83" t="s">
        <v>15535</v>
      </c>
      <c r="U4438" s="95">
        <v>9968</v>
      </c>
      <c r="V4438" s="148">
        <v>45594</v>
      </c>
      <c r="W4438" s="85" t="s">
        <v>15536</v>
      </c>
      <c r="X4438" s="80"/>
      <c r="Y4438" s="22">
        <v>0</v>
      </c>
      <c r="Z4438" s="80" t="s">
        <v>50</v>
      </c>
      <c r="AA4438" s="35" t="s">
        <v>9905</v>
      </c>
      <c r="AB4438" s="80"/>
      <c r="AC4438" s="80" t="s">
        <v>53</v>
      </c>
      <c r="AD4438" s="80" t="s">
        <v>54</v>
      </c>
      <c r="AE4438" s="80">
        <v>400</v>
      </c>
      <c r="AF4438" s="17">
        <v>45565</v>
      </c>
      <c r="AG4438" s="80"/>
      <c r="AH4438" s="80"/>
      <c r="AI4438" s="147"/>
      <c r="AJ4438" s="80"/>
      <c r="AK4438" s="80"/>
      <c r="AL4438" s="35"/>
      <c r="AM4438" s="35"/>
      <c r="AN4438" s="35"/>
      <c r="AO4438" s="35"/>
      <c r="AP4438" s="35"/>
    </row>
    <row r="4439" spans="1:42" x14ac:dyDescent="0.2">
      <c r="A4439" s="126">
        <v>45558.746057800927</v>
      </c>
      <c r="B4439" s="137" t="s">
        <v>37</v>
      </c>
      <c r="C4439" s="41" t="s">
        <v>118</v>
      </c>
      <c r="D4439" s="80" t="s">
        <v>36</v>
      </c>
      <c r="E4439" s="80" t="s">
        <v>139</v>
      </c>
      <c r="F4439" s="80" t="s">
        <v>36</v>
      </c>
      <c r="G4439" s="80" t="s">
        <v>41</v>
      </c>
      <c r="H4439" s="80" t="s">
        <v>12737</v>
      </c>
      <c r="I4439" s="17">
        <f ca="1">IFERROR(__xludf.DUMMYFUNCTION("""COMPUTED_VALUE"""),45562)</f>
        <v>45562</v>
      </c>
      <c r="J4439" s="143" t="s">
        <v>14512</v>
      </c>
      <c r="K4439" s="80" t="s">
        <v>15537</v>
      </c>
      <c r="L4439" s="30">
        <v>973820285</v>
      </c>
      <c r="M4439" s="80" t="s">
        <v>5558</v>
      </c>
      <c r="N4439" s="80" t="s">
        <v>5277</v>
      </c>
      <c r="O4439" s="80" t="s">
        <v>4503</v>
      </c>
      <c r="P4439" s="80" t="s">
        <v>14514</v>
      </c>
      <c r="Q4439" s="20">
        <v>15936</v>
      </c>
      <c r="R4439" s="80" t="s">
        <v>36</v>
      </c>
      <c r="S4439" s="95">
        <v>2000</v>
      </c>
      <c r="T4439" s="148">
        <v>45558</v>
      </c>
      <c r="U4439" s="95">
        <v>13936</v>
      </c>
      <c r="V4439" s="169">
        <v>45575</v>
      </c>
      <c r="W4439" s="85" t="s">
        <v>14515</v>
      </c>
      <c r="X4439" s="80"/>
      <c r="Y4439" s="22">
        <v>0</v>
      </c>
      <c r="Z4439" s="80" t="s">
        <v>50</v>
      </c>
      <c r="AA4439" s="96" t="s">
        <v>9905</v>
      </c>
      <c r="AB4439" s="80"/>
      <c r="AC4439" s="80" t="s">
        <v>53</v>
      </c>
      <c r="AD4439" s="80" t="s">
        <v>54</v>
      </c>
      <c r="AE4439" s="80"/>
      <c r="AF4439" s="17">
        <v>45559</v>
      </c>
      <c r="AG4439" s="80"/>
      <c r="AH4439" s="80"/>
      <c r="AI4439" s="147"/>
      <c r="AJ4439" s="80"/>
      <c r="AK4439" s="80"/>
      <c r="AL4439" s="35"/>
      <c r="AM4439" s="35"/>
      <c r="AN4439" s="35"/>
      <c r="AO4439" s="35"/>
      <c r="AP4439" s="35"/>
    </row>
    <row r="4440" spans="1:42" x14ac:dyDescent="0.2">
      <c r="A4440" s="126">
        <v>45558.761617349533</v>
      </c>
      <c r="B4440" s="137" t="s">
        <v>37</v>
      </c>
      <c r="C4440" s="41" t="s">
        <v>118</v>
      </c>
      <c r="D4440" s="80" t="s">
        <v>36</v>
      </c>
      <c r="E4440" s="80" t="s">
        <v>139</v>
      </c>
      <c r="F4440" s="80" t="s">
        <v>36</v>
      </c>
      <c r="G4440" s="80" t="s">
        <v>41</v>
      </c>
      <c r="H4440" s="80" t="s">
        <v>13384</v>
      </c>
      <c r="I4440" s="17">
        <f ca="1">IFERROR(__xludf.DUMMYFUNCTION("""COMPUTED_VALUE"""),45569)</f>
        <v>45569</v>
      </c>
      <c r="J4440" s="143" t="s">
        <v>15538</v>
      </c>
      <c r="K4440" s="80" t="s">
        <v>15539</v>
      </c>
      <c r="L4440" s="30">
        <v>333439014</v>
      </c>
      <c r="M4440" s="80" t="s">
        <v>5518</v>
      </c>
      <c r="N4440" s="80" t="s">
        <v>5252</v>
      </c>
      <c r="O4440" s="80" t="s">
        <v>15540</v>
      </c>
      <c r="P4440" s="80" t="s">
        <v>13408</v>
      </c>
      <c r="Q4440" s="20">
        <v>15936</v>
      </c>
      <c r="R4440" s="80" t="s">
        <v>36</v>
      </c>
      <c r="S4440" s="95">
        <f>200+800+1000</f>
        <v>2000</v>
      </c>
      <c r="T4440" s="83" t="s">
        <v>15524</v>
      </c>
      <c r="U4440" s="95">
        <v>13936</v>
      </c>
      <c r="V4440" s="148">
        <v>45588</v>
      </c>
      <c r="W4440" s="85" t="s">
        <v>15541</v>
      </c>
      <c r="X4440" s="80"/>
      <c r="Y4440" s="22">
        <v>0</v>
      </c>
      <c r="Z4440" s="80" t="s">
        <v>50</v>
      </c>
      <c r="AA4440" s="35" t="s">
        <v>9905</v>
      </c>
      <c r="AB4440" s="144" t="s">
        <v>15542</v>
      </c>
      <c r="AC4440" s="80" t="s">
        <v>53</v>
      </c>
      <c r="AD4440" s="80" t="s">
        <v>138</v>
      </c>
      <c r="AE4440" s="80"/>
      <c r="AF4440" s="17">
        <v>45569</v>
      </c>
      <c r="AG4440" s="80"/>
      <c r="AH4440" s="80"/>
      <c r="AI4440" s="147"/>
      <c r="AJ4440" s="80"/>
      <c r="AK4440" s="80"/>
      <c r="AL4440" s="35"/>
      <c r="AM4440" s="35"/>
      <c r="AN4440" s="35"/>
      <c r="AO4440" s="35"/>
      <c r="AP4440" s="35"/>
    </row>
    <row r="4441" spans="1:42" x14ac:dyDescent="0.2">
      <c r="A4441" s="126">
        <v>45558.777094062505</v>
      </c>
      <c r="B4441" s="137" t="s">
        <v>37</v>
      </c>
      <c r="C4441" s="41" t="s">
        <v>118</v>
      </c>
      <c r="D4441" s="80" t="s">
        <v>36</v>
      </c>
      <c r="E4441" s="80" t="s">
        <v>139</v>
      </c>
      <c r="F4441" s="80" t="s">
        <v>36</v>
      </c>
      <c r="G4441" s="80" t="s">
        <v>41</v>
      </c>
      <c r="H4441" s="80" t="s">
        <v>13384</v>
      </c>
      <c r="I4441" s="17">
        <f ca="1">IFERROR(__xludf.DUMMYFUNCTION("""COMPUTED_VALUE"""),45569)</f>
        <v>45569</v>
      </c>
      <c r="J4441" s="143" t="s">
        <v>15543</v>
      </c>
      <c r="K4441" s="80" t="s">
        <v>15544</v>
      </c>
      <c r="L4441" s="30">
        <v>969726603</v>
      </c>
      <c r="M4441" s="80" t="s">
        <v>3728</v>
      </c>
      <c r="N4441" s="80" t="s">
        <v>5277</v>
      </c>
      <c r="O4441" s="80" t="s">
        <v>15545</v>
      </c>
      <c r="P4441" s="80" t="s">
        <v>12452</v>
      </c>
      <c r="Q4441" s="20">
        <v>15936</v>
      </c>
      <c r="R4441" s="80" t="s">
        <v>36</v>
      </c>
      <c r="S4441" s="95">
        <v>2000</v>
      </c>
      <c r="T4441" s="148">
        <v>45558</v>
      </c>
      <c r="U4441" s="95">
        <v>13936</v>
      </c>
      <c r="V4441" s="148">
        <v>45586</v>
      </c>
      <c r="W4441" s="85" t="s">
        <v>15546</v>
      </c>
      <c r="X4441" s="80"/>
      <c r="Y4441" s="22">
        <v>0</v>
      </c>
      <c r="Z4441" s="80" t="s">
        <v>50</v>
      </c>
      <c r="AA4441" s="96" t="s">
        <v>9905</v>
      </c>
      <c r="AB4441" s="80"/>
      <c r="AC4441" s="80" t="s">
        <v>53</v>
      </c>
      <c r="AD4441" s="80" t="s">
        <v>138</v>
      </c>
      <c r="AE4441" s="80"/>
      <c r="AF4441" s="17">
        <v>45569</v>
      </c>
      <c r="AG4441" s="80"/>
      <c r="AH4441" s="80"/>
      <c r="AI4441" s="147"/>
      <c r="AJ4441" s="80"/>
      <c r="AK4441" s="80"/>
      <c r="AL4441" s="35"/>
      <c r="AM4441" s="35"/>
      <c r="AN4441" s="35"/>
      <c r="AO4441" s="35"/>
      <c r="AP4441" s="35"/>
    </row>
    <row r="4442" spans="1:42" x14ac:dyDescent="0.2">
      <c r="A4442" s="126">
        <v>45558.94210630787</v>
      </c>
      <c r="B4442" s="137" t="s">
        <v>37</v>
      </c>
      <c r="C4442" s="41" t="s">
        <v>118</v>
      </c>
      <c r="D4442" s="80" t="s">
        <v>36</v>
      </c>
      <c r="E4442" s="80" t="s">
        <v>106</v>
      </c>
      <c r="F4442" s="80" t="s">
        <v>36</v>
      </c>
      <c r="G4442" s="80" t="s">
        <v>108</v>
      </c>
      <c r="H4442" s="80" t="s">
        <v>9897</v>
      </c>
      <c r="I4442" s="17">
        <f ca="1">IFERROR(__xludf.DUMMYFUNCTION("""COMPUTED_VALUE"""),45562)</f>
        <v>45562</v>
      </c>
      <c r="J4442" s="143" t="s">
        <v>15547</v>
      </c>
      <c r="K4442" s="80" t="s">
        <v>15548</v>
      </c>
      <c r="L4442" s="30">
        <v>967474098</v>
      </c>
      <c r="M4442" s="80" t="s">
        <v>12720</v>
      </c>
      <c r="N4442" s="80" t="s">
        <v>11095</v>
      </c>
      <c r="O4442" s="80" t="s">
        <v>15549</v>
      </c>
      <c r="P4442" s="80" t="s">
        <v>15550</v>
      </c>
      <c r="Q4442" s="20">
        <v>3768</v>
      </c>
      <c r="R4442" s="80" t="s">
        <v>70</v>
      </c>
      <c r="S4442" s="95">
        <f>100+100+3800</f>
        <v>4000</v>
      </c>
      <c r="T4442" s="83" t="s">
        <v>15551</v>
      </c>
      <c r="U4442" s="77"/>
      <c r="V4442" s="78"/>
      <c r="W4442" s="85" t="s">
        <v>15552</v>
      </c>
      <c r="X4442" s="80"/>
      <c r="Y4442" s="22">
        <v>-232</v>
      </c>
      <c r="Z4442" s="80" t="s">
        <v>50</v>
      </c>
      <c r="AA4442" s="35" t="s">
        <v>9905</v>
      </c>
      <c r="AB4442" s="80"/>
      <c r="AC4442" s="80" t="s">
        <v>53</v>
      </c>
      <c r="AD4442" s="80" t="s">
        <v>54</v>
      </c>
      <c r="AE4442" s="83">
        <v>400</v>
      </c>
      <c r="AF4442" s="17">
        <v>45560</v>
      </c>
      <c r="AG4442" s="80" t="s">
        <v>7078</v>
      </c>
      <c r="AH4442" s="80"/>
      <c r="AI4442" s="147"/>
      <c r="AJ4442" s="80"/>
      <c r="AK4442" s="80"/>
      <c r="AL4442" s="35"/>
      <c r="AM4442" s="35"/>
      <c r="AN4442" s="35"/>
      <c r="AO4442" s="35"/>
      <c r="AP4442" s="35"/>
    </row>
    <row r="4443" spans="1:42" x14ac:dyDescent="0.2">
      <c r="A4443" s="126">
        <v>45559.405861562496</v>
      </c>
      <c r="B4443" s="137" t="s">
        <v>37</v>
      </c>
      <c r="C4443" s="41" t="s">
        <v>118</v>
      </c>
      <c r="D4443" s="80" t="s">
        <v>36</v>
      </c>
      <c r="E4443" s="80" t="s">
        <v>39</v>
      </c>
      <c r="F4443" s="80" t="s">
        <v>91</v>
      </c>
      <c r="G4443" s="80" t="s">
        <v>41</v>
      </c>
      <c r="H4443" s="80" t="s">
        <v>13480</v>
      </c>
      <c r="I4443" s="17">
        <f ca="1">IFERROR(__xludf.DUMMYFUNCTION("""COMPUTED_VALUE"""),45564)</f>
        <v>45564</v>
      </c>
      <c r="J4443" s="143" t="s">
        <v>15553</v>
      </c>
      <c r="K4443" s="80" t="s">
        <v>15554</v>
      </c>
      <c r="L4443" s="30">
        <v>364148101</v>
      </c>
      <c r="M4443" s="80" t="s">
        <v>3288</v>
      </c>
      <c r="N4443" s="80" t="s">
        <v>200</v>
      </c>
      <c r="O4443" s="80" t="s">
        <v>91</v>
      </c>
      <c r="P4443" s="80" t="s">
        <v>15555</v>
      </c>
      <c r="Q4443" s="20">
        <v>5736</v>
      </c>
      <c r="R4443" s="80" t="s">
        <v>70</v>
      </c>
      <c r="S4443" s="95">
        <v>2000</v>
      </c>
      <c r="T4443" s="148">
        <v>45558</v>
      </c>
      <c r="U4443" s="95">
        <v>3636</v>
      </c>
      <c r="V4443" s="148">
        <v>45574</v>
      </c>
      <c r="W4443" s="85" t="s">
        <v>15556</v>
      </c>
      <c r="X4443" s="80"/>
      <c r="Y4443" s="22">
        <v>100</v>
      </c>
      <c r="Z4443" s="80" t="s">
        <v>50</v>
      </c>
      <c r="AA4443" s="96" t="s">
        <v>9905</v>
      </c>
      <c r="AB4443" s="80"/>
      <c r="AC4443" s="80" t="s">
        <v>53</v>
      </c>
      <c r="AD4443" s="80" t="s">
        <v>54</v>
      </c>
      <c r="AE4443" s="80" t="s">
        <v>15557</v>
      </c>
      <c r="AF4443" s="17">
        <v>45559</v>
      </c>
      <c r="AG4443" s="80"/>
      <c r="AH4443" s="80"/>
      <c r="AI4443" s="147"/>
      <c r="AJ4443" s="80"/>
      <c r="AK4443" s="80"/>
      <c r="AL4443" s="35"/>
      <c r="AM4443" s="35"/>
      <c r="AN4443" s="35"/>
      <c r="AO4443" s="35"/>
      <c r="AP4443" s="35"/>
    </row>
    <row r="4444" spans="1:42" x14ac:dyDescent="0.2">
      <c r="A4444" s="126">
        <v>45559.409262974536</v>
      </c>
      <c r="B4444" s="137" t="s">
        <v>37</v>
      </c>
      <c r="C4444" s="41" t="s">
        <v>118</v>
      </c>
      <c r="D4444" s="80" t="s">
        <v>36</v>
      </c>
      <c r="E4444" s="80" t="s">
        <v>139</v>
      </c>
      <c r="F4444" s="80" t="s">
        <v>36</v>
      </c>
      <c r="G4444" s="80" t="s">
        <v>41</v>
      </c>
      <c r="H4444" s="80" t="s">
        <v>12416</v>
      </c>
      <c r="I4444" s="17">
        <f ca="1">IFERROR(__xludf.DUMMYFUNCTION("""COMPUTED_VALUE"""),45574)</f>
        <v>45574</v>
      </c>
      <c r="J4444" s="143" t="s">
        <v>15558</v>
      </c>
      <c r="K4444" s="80" t="s">
        <v>15559</v>
      </c>
      <c r="L4444" s="30">
        <v>973812080</v>
      </c>
      <c r="M4444" s="80" t="s">
        <v>5429</v>
      </c>
      <c r="N4444" s="80" t="s">
        <v>1384</v>
      </c>
      <c r="O4444" s="80" t="s">
        <v>4626</v>
      </c>
      <c r="P4444" s="80" t="s">
        <v>7107</v>
      </c>
      <c r="Q4444" s="20">
        <v>15936</v>
      </c>
      <c r="R4444" s="80" t="s">
        <v>70</v>
      </c>
      <c r="S4444" s="95">
        <v>2000</v>
      </c>
      <c r="T4444" s="148">
        <v>45558</v>
      </c>
      <c r="U4444" s="95">
        <v>13836</v>
      </c>
      <c r="V4444" s="148">
        <v>45596</v>
      </c>
      <c r="W4444" s="80" t="s">
        <v>15560</v>
      </c>
      <c r="X4444" s="80"/>
      <c r="Y4444" s="22">
        <v>100</v>
      </c>
      <c r="Z4444" s="80" t="s">
        <v>50</v>
      </c>
      <c r="AA4444" s="35" t="s">
        <v>9905</v>
      </c>
      <c r="AB4444" s="80"/>
      <c r="AC4444" s="80" t="s">
        <v>53</v>
      </c>
      <c r="AD4444" s="80" t="s">
        <v>138</v>
      </c>
      <c r="AE4444" s="80" t="s">
        <v>420</v>
      </c>
      <c r="AF4444" s="17">
        <v>45573</v>
      </c>
      <c r="AG4444" s="80" t="s">
        <v>13500</v>
      </c>
      <c r="AH4444" s="80"/>
      <c r="AI4444" s="147"/>
      <c r="AJ4444" s="80"/>
      <c r="AK4444" s="80"/>
      <c r="AL4444" s="35"/>
      <c r="AM4444" s="35"/>
      <c r="AN4444" s="35"/>
      <c r="AO4444" s="35"/>
      <c r="AP4444" s="35"/>
    </row>
    <row r="4445" spans="1:42" x14ac:dyDescent="0.2">
      <c r="A4445" s="126">
        <v>45559.410910868057</v>
      </c>
      <c r="B4445" s="137" t="s">
        <v>37</v>
      </c>
      <c r="C4445" s="41" t="s">
        <v>118</v>
      </c>
      <c r="D4445" s="80" t="s">
        <v>36</v>
      </c>
      <c r="E4445" s="80" t="s">
        <v>139</v>
      </c>
      <c r="F4445" s="80" t="s">
        <v>36</v>
      </c>
      <c r="G4445" s="80" t="s">
        <v>41</v>
      </c>
      <c r="H4445" s="80" t="s">
        <v>12416</v>
      </c>
      <c r="I4445" s="17">
        <f ca="1">IFERROR(__xludf.DUMMYFUNCTION("""COMPUTED_VALUE"""),45574)</f>
        <v>45574</v>
      </c>
      <c r="J4445" s="143" t="s">
        <v>15561</v>
      </c>
      <c r="K4445" s="80" t="s">
        <v>1334</v>
      </c>
      <c r="L4445" s="30">
        <v>348881426</v>
      </c>
      <c r="M4445" s="80" t="s">
        <v>5429</v>
      </c>
      <c r="N4445" s="80" t="s">
        <v>1384</v>
      </c>
      <c r="O4445" s="80" t="s">
        <v>61</v>
      </c>
      <c r="P4445" s="80" t="s">
        <v>6368</v>
      </c>
      <c r="Q4445" s="20">
        <v>15936</v>
      </c>
      <c r="R4445" s="80" t="s">
        <v>70</v>
      </c>
      <c r="S4445" s="95">
        <v>2000</v>
      </c>
      <c r="T4445" s="148">
        <v>45558</v>
      </c>
      <c r="U4445" s="95">
        <v>13836</v>
      </c>
      <c r="V4445" s="148">
        <v>45596</v>
      </c>
      <c r="W4445" s="85" t="s">
        <v>15562</v>
      </c>
      <c r="X4445" s="80"/>
      <c r="Y4445" s="22">
        <v>100</v>
      </c>
      <c r="Z4445" s="80" t="s">
        <v>50</v>
      </c>
      <c r="AA4445" s="96" t="s">
        <v>9905</v>
      </c>
      <c r="AB4445" s="80"/>
      <c r="AC4445" s="80" t="s">
        <v>53</v>
      </c>
      <c r="AD4445" s="80" t="s">
        <v>138</v>
      </c>
      <c r="AE4445" s="80" t="s">
        <v>72</v>
      </c>
      <c r="AF4445" s="17">
        <v>45573</v>
      </c>
      <c r="AG4445" s="80" t="s">
        <v>13500</v>
      </c>
      <c r="AH4445" s="80"/>
      <c r="AI4445" s="147"/>
      <c r="AJ4445" s="80"/>
      <c r="AK4445" s="80"/>
      <c r="AL4445" s="35"/>
      <c r="AM4445" s="35"/>
      <c r="AN4445" s="35"/>
      <c r="AO4445" s="35"/>
      <c r="AP4445" s="35"/>
    </row>
    <row r="4446" spans="1:42" x14ac:dyDescent="0.2">
      <c r="A4446" s="126">
        <v>45559.41330112268</v>
      </c>
      <c r="B4446" s="137" t="s">
        <v>37</v>
      </c>
      <c r="C4446" s="41" t="s">
        <v>118</v>
      </c>
      <c r="D4446" s="80" t="s">
        <v>36</v>
      </c>
      <c r="E4446" s="80" t="s">
        <v>139</v>
      </c>
      <c r="F4446" s="80" t="s">
        <v>36</v>
      </c>
      <c r="G4446" s="80" t="s">
        <v>41</v>
      </c>
      <c r="H4446" s="80" t="s">
        <v>13186</v>
      </c>
      <c r="I4446" s="17">
        <f ca="1">IFERROR(__xludf.DUMMYFUNCTION("""COMPUTED_VALUE"""),45561)</f>
        <v>45561</v>
      </c>
      <c r="J4446" s="172" t="s">
        <v>15563</v>
      </c>
      <c r="K4446" s="80" t="s">
        <v>15564</v>
      </c>
      <c r="L4446" s="30">
        <v>866429655</v>
      </c>
      <c r="M4446" s="80" t="s">
        <v>2755</v>
      </c>
      <c r="N4446" s="80" t="s">
        <v>4402</v>
      </c>
      <c r="O4446" s="80" t="s">
        <v>4503</v>
      </c>
      <c r="P4446" s="80" t="s">
        <v>15565</v>
      </c>
      <c r="Q4446" s="20">
        <v>15936</v>
      </c>
      <c r="R4446" s="80" t="s">
        <v>36</v>
      </c>
      <c r="S4446" s="95">
        <v>2000</v>
      </c>
      <c r="T4446" s="83" t="s">
        <v>15566</v>
      </c>
      <c r="U4446" s="95">
        <v>13936</v>
      </c>
      <c r="V4446" s="83" t="s">
        <v>15567</v>
      </c>
      <c r="W4446" s="80" t="s">
        <v>15568</v>
      </c>
      <c r="X4446" s="80"/>
      <c r="Y4446" s="22">
        <v>0</v>
      </c>
      <c r="Z4446" s="80" t="s">
        <v>50</v>
      </c>
      <c r="AA4446" s="35" t="s">
        <v>9905</v>
      </c>
      <c r="AB4446" s="80"/>
      <c r="AC4446" s="80" t="s">
        <v>53</v>
      </c>
      <c r="AD4446" s="80" t="s">
        <v>54</v>
      </c>
      <c r="AE4446" s="80"/>
      <c r="AF4446" s="17">
        <v>45559</v>
      </c>
      <c r="AG4446" s="80"/>
      <c r="AH4446" s="80"/>
      <c r="AI4446" s="147"/>
      <c r="AJ4446" s="80"/>
      <c r="AK4446" s="80"/>
      <c r="AL4446" s="35"/>
      <c r="AM4446" s="35"/>
      <c r="AN4446" s="35"/>
      <c r="AO4446" s="35"/>
      <c r="AP4446" s="35"/>
    </row>
    <row r="4447" spans="1:42" x14ac:dyDescent="0.2">
      <c r="A4447" s="126">
        <v>45559.457651932869</v>
      </c>
      <c r="B4447" s="137" t="s">
        <v>37</v>
      </c>
      <c r="C4447" s="41" t="s">
        <v>118</v>
      </c>
      <c r="D4447" s="80" t="s">
        <v>36</v>
      </c>
      <c r="E4447" s="80" t="s">
        <v>139</v>
      </c>
      <c r="F4447" s="80" t="s">
        <v>36</v>
      </c>
      <c r="G4447" s="80" t="s">
        <v>41</v>
      </c>
      <c r="H4447" s="80" t="s">
        <v>13186</v>
      </c>
      <c r="I4447" s="17">
        <f ca="1">IFERROR(__xludf.DUMMYFUNCTION("""COMPUTED_VALUE"""),45561)</f>
        <v>45561</v>
      </c>
      <c r="J4447" s="143" t="s">
        <v>15569</v>
      </c>
      <c r="K4447" s="80" t="s">
        <v>2991</v>
      </c>
      <c r="L4447" s="30">
        <v>789387607</v>
      </c>
      <c r="M4447" s="80" t="s">
        <v>5558</v>
      </c>
      <c r="N4447" s="80" t="s">
        <v>5559</v>
      </c>
      <c r="O4447" s="80" t="s">
        <v>4503</v>
      </c>
      <c r="P4447" s="80" t="s">
        <v>15570</v>
      </c>
      <c r="Q4447" s="20">
        <v>15936</v>
      </c>
      <c r="R4447" s="80" t="s">
        <v>70</v>
      </c>
      <c r="S4447" s="95">
        <f t="shared" ref="S4447:S4448" si="90">200+2800</f>
        <v>3000</v>
      </c>
      <c r="T4447" s="83" t="s">
        <v>14501</v>
      </c>
      <c r="U4447" s="95">
        <v>12836</v>
      </c>
      <c r="V4447" s="148">
        <v>45576</v>
      </c>
      <c r="W4447" s="85" t="s">
        <v>15571</v>
      </c>
      <c r="X4447" s="80"/>
      <c r="Y4447" s="22">
        <v>100</v>
      </c>
      <c r="Z4447" s="80" t="s">
        <v>50</v>
      </c>
      <c r="AA4447" s="96" t="s">
        <v>9905</v>
      </c>
      <c r="AB4447" s="80"/>
      <c r="AC4447" s="80" t="s">
        <v>53</v>
      </c>
      <c r="AD4447" s="80" t="s">
        <v>54</v>
      </c>
      <c r="AE4447" s="80"/>
      <c r="AF4447" s="17">
        <v>45561</v>
      </c>
      <c r="AG4447" s="80" t="s">
        <v>863</v>
      </c>
      <c r="AH4447" s="80"/>
      <c r="AI4447" s="147"/>
      <c r="AJ4447" s="80"/>
      <c r="AK4447" s="80"/>
      <c r="AL4447" s="35"/>
      <c r="AM4447" s="35"/>
      <c r="AN4447" s="35"/>
      <c r="AO4447" s="35"/>
      <c r="AP4447" s="35"/>
    </row>
    <row r="4448" spans="1:42" x14ac:dyDescent="0.2">
      <c r="A4448" s="126">
        <v>45559.459156400466</v>
      </c>
      <c r="B4448" s="137" t="s">
        <v>37</v>
      </c>
      <c r="C4448" s="41" t="s">
        <v>118</v>
      </c>
      <c r="D4448" s="80" t="s">
        <v>36</v>
      </c>
      <c r="E4448" s="80" t="s">
        <v>139</v>
      </c>
      <c r="F4448" s="80" t="s">
        <v>36</v>
      </c>
      <c r="G4448" s="80" t="s">
        <v>41</v>
      </c>
      <c r="H4448" s="80" t="s">
        <v>13186</v>
      </c>
      <c r="I4448" s="17">
        <f ca="1">IFERROR(__xludf.DUMMYFUNCTION("""COMPUTED_VALUE"""),45561)</f>
        <v>45561</v>
      </c>
      <c r="J4448" s="143" t="s">
        <v>15572</v>
      </c>
      <c r="K4448" s="80" t="s">
        <v>5242</v>
      </c>
      <c r="L4448" s="30">
        <v>847035283</v>
      </c>
      <c r="M4448" s="80" t="s">
        <v>5558</v>
      </c>
      <c r="N4448" s="80" t="s">
        <v>5559</v>
      </c>
      <c r="O4448" s="80" t="s">
        <v>4503</v>
      </c>
      <c r="P4448" s="80" t="s">
        <v>15573</v>
      </c>
      <c r="Q4448" s="20">
        <v>15936</v>
      </c>
      <c r="R4448" s="80" t="s">
        <v>70</v>
      </c>
      <c r="S4448" s="95">
        <f t="shared" si="90"/>
        <v>3000</v>
      </c>
      <c r="T4448" s="83" t="s">
        <v>14501</v>
      </c>
      <c r="U4448" s="95">
        <v>12836</v>
      </c>
      <c r="V4448" s="148">
        <v>45584</v>
      </c>
      <c r="W4448" s="85" t="s">
        <v>15574</v>
      </c>
      <c r="X4448" s="80"/>
      <c r="Y4448" s="22">
        <v>100</v>
      </c>
      <c r="Z4448" s="80" t="s">
        <v>50</v>
      </c>
      <c r="AA4448" s="35" t="s">
        <v>9905</v>
      </c>
      <c r="AB4448" s="80"/>
      <c r="AC4448" s="80" t="s">
        <v>53</v>
      </c>
      <c r="AD4448" s="80" t="s">
        <v>54</v>
      </c>
      <c r="AE4448" s="80"/>
      <c r="AF4448" s="17">
        <v>45561</v>
      </c>
      <c r="AG4448" s="80" t="s">
        <v>863</v>
      </c>
      <c r="AH4448" s="80"/>
      <c r="AI4448" s="147"/>
      <c r="AJ4448" s="80"/>
      <c r="AK4448" s="80"/>
      <c r="AL4448" s="35"/>
      <c r="AM4448" s="35"/>
      <c r="AN4448" s="35"/>
      <c r="AO4448" s="35"/>
      <c r="AP4448" s="35"/>
    </row>
    <row r="4449" spans="1:42" x14ac:dyDescent="0.2">
      <c r="A4449" s="126">
        <v>45559.486302164354</v>
      </c>
      <c r="B4449" s="137" t="s">
        <v>37</v>
      </c>
      <c r="C4449" s="41" t="s">
        <v>118</v>
      </c>
      <c r="D4449" s="80" t="s">
        <v>36</v>
      </c>
      <c r="E4449" s="80" t="s">
        <v>139</v>
      </c>
      <c r="F4449" s="80" t="s">
        <v>36</v>
      </c>
      <c r="G4449" s="80" t="s">
        <v>41</v>
      </c>
      <c r="H4449" s="80" t="s">
        <v>10992</v>
      </c>
      <c r="I4449" s="17">
        <f ca="1">IFERROR(__xludf.DUMMYFUNCTION("""COMPUTED_VALUE"""),45565)</f>
        <v>45565</v>
      </c>
      <c r="J4449" s="143" t="s">
        <v>15575</v>
      </c>
      <c r="K4449" s="80" t="s">
        <v>15576</v>
      </c>
      <c r="L4449" s="30">
        <v>941571938</v>
      </c>
      <c r="M4449" s="80" t="s">
        <v>12644</v>
      </c>
      <c r="N4449" s="80" t="s">
        <v>8725</v>
      </c>
      <c r="O4449" s="80" t="s">
        <v>15577</v>
      </c>
      <c r="P4449" s="80" t="s">
        <v>15578</v>
      </c>
      <c r="Q4449" s="20">
        <v>15936</v>
      </c>
      <c r="R4449" s="80" t="s">
        <v>36</v>
      </c>
      <c r="S4449" s="95">
        <v>2000</v>
      </c>
      <c r="T4449" s="148">
        <v>45559</v>
      </c>
      <c r="U4449" s="95">
        <v>13936</v>
      </c>
      <c r="V4449" s="148">
        <v>45582</v>
      </c>
      <c r="W4449" s="85" t="s">
        <v>15579</v>
      </c>
      <c r="X4449" s="80"/>
      <c r="Y4449" s="22">
        <v>0</v>
      </c>
      <c r="Z4449" s="80" t="s">
        <v>50</v>
      </c>
      <c r="AA4449" s="96" t="s">
        <v>9905</v>
      </c>
      <c r="AB4449" s="80"/>
      <c r="AC4449" s="80" t="s">
        <v>53</v>
      </c>
      <c r="AD4449" s="80" t="s">
        <v>54</v>
      </c>
      <c r="AE4449" s="80"/>
      <c r="AF4449" s="17">
        <v>45561</v>
      </c>
      <c r="AG4449" s="80" t="s">
        <v>863</v>
      </c>
      <c r="AH4449" s="80"/>
      <c r="AI4449" s="147"/>
      <c r="AJ4449" s="80"/>
      <c r="AK4449" s="80"/>
      <c r="AL4449" s="35"/>
      <c r="AM4449" s="35"/>
      <c r="AN4449" s="35"/>
      <c r="AO4449" s="35"/>
      <c r="AP4449" s="35"/>
    </row>
    <row r="4450" spans="1:42" x14ac:dyDescent="0.2">
      <c r="A4450" s="126">
        <v>45559.691150787039</v>
      </c>
      <c r="B4450" s="137" t="s">
        <v>37</v>
      </c>
      <c r="C4450" s="41" t="s">
        <v>118</v>
      </c>
      <c r="D4450" s="80" t="s">
        <v>36</v>
      </c>
      <c r="E4450" s="80" t="s">
        <v>139</v>
      </c>
      <c r="F4450" s="80" t="s">
        <v>36</v>
      </c>
      <c r="G4450" s="80" t="s">
        <v>41</v>
      </c>
      <c r="H4450" s="80" t="s">
        <v>13301</v>
      </c>
      <c r="I4450" s="17">
        <f ca="1">IFERROR(__xludf.DUMMYFUNCTION("""COMPUTED_VALUE"""),45566)</f>
        <v>45566</v>
      </c>
      <c r="J4450" s="143" t="s">
        <v>15580</v>
      </c>
      <c r="K4450" s="80" t="s">
        <v>15581</v>
      </c>
      <c r="L4450" s="30">
        <v>376360106</v>
      </c>
      <c r="M4450" s="80" t="s">
        <v>3498</v>
      </c>
      <c r="N4450" s="80" t="s">
        <v>4402</v>
      </c>
      <c r="O4450" s="80" t="s">
        <v>4503</v>
      </c>
      <c r="P4450" s="80" t="s">
        <v>5794</v>
      </c>
      <c r="Q4450" s="20">
        <v>15936</v>
      </c>
      <c r="R4450" s="80" t="s">
        <v>1106</v>
      </c>
      <c r="S4450" s="95">
        <f t="shared" ref="S4450:S4451" si="91">200+5000</f>
        <v>5200</v>
      </c>
      <c r="T4450" s="83" t="s">
        <v>15582</v>
      </c>
      <c r="U4450" s="95">
        <v>10586</v>
      </c>
      <c r="V4450" s="169">
        <v>45593</v>
      </c>
      <c r="W4450" s="85" t="s">
        <v>15583</v>
      </c>
      <c r="X4450" s="80"/>
      <c r="Y4450" s="22">
        <v>150</v>
      </c>
      <c r="Z4450" s="80" t="s">
        <v>50</v>
      </c>
      <c r="AA4450" s="35" t="s">
        <v>9905</v>
      </c>
      <c r="AB4450" s="80"/>
      <c r="AC4450" s="80" t="s">
        <v>53</v>
      </c>
      <c r="AD4450" s="80" t="s">
        <v>138</v>
      </c>
      <c r="AE4450" s="80"/>
      <c r="AF4450" s="17">
        <v>45566</v>
      </c>
      <c r="AG4450" s="80"/>
      <c r="AH4450" s="80"/>
      <c r="AI4450" s="147"/>
      <c r="AJ4450" s="80"/>
      <c r="AK4450" s="80"/>
      <c r="AL4450" s="35"/>
      <c r="AM4450" s="35"/>
      <c r="AN4450" s="35"/>
      <c r="AO4450" s="35"/>
      <c r="AP4450" s="35"/>
    </row>
    <row r="4451" spans="1:42" x14ac:dyDescent="0.2">
      <c r="A4451" s="126">
        <v>45559.692069317127</v>
      </c>
      <c r="B4451" s="137" t="s">
        <v>37</v>
      </c>
      <c r="C4451" s="41" t="s">
        <v>118</v>
      </c>
      <c r="D4451" s="80" t="s">
        <v>36</v>
      </c>
      <c r="E4451" s="80" t="s">
        <v>139</v>
      </c>
      <c r="F4451" s="80" t="s">
        <v>36</v>
      </c>
      <c r="G4451" s="80" t="s">
        <v>41</v>
      </c>
      <c r="H4451" s="80" t="s">
        <v>13301</v>
      </c>
      <c r="I4451" s="17">
        <f ca="1">IFERROR(__xludf.DUMMYFUNCTION("""COMPUTED_VALUE"""),45566)</f>
        <v>45566</v>
      </c>
      <c r="J4451" s="143" t="s">
        <v>15584</v>
      </c>
      <c r="K4451" s="80" t="s">
        <v>15585</v>
      </c>
      <c r="L4451" s="30">
        <v>359244502</v>
      </c>
      <c r="M4451" s="80" t="s">
        <v>3498</v>
      </c>
      <c r="N4451" s="80" t="s">
        <v>4402</v>
      </c>
      <c r="O4451" s="80" t="s">
        <v>4503</v>
      </c>
      <c r="P4451" s="80" t="s">
        <v>3056</v>
      </c>
      <c r="Q4451" s="20">
        <v>15936</v>
      </c>
      <c r="R4451" s="80" t="s">
        <v>1106</v>
      </c>
      <c r="S4451" s="95">
        <f t="shared" si="91"/>
        <v>5200</v>
      </c>
      <c r="T4451" s="83" t="s">
        <v>15582</v>
      </c>
      <c r="U4451" s="95">
        <v>10586</v>
      </c>
      <c r="V4451" s="148">
        <v>45583</v>
      </c>
      <c r="W4451" s="85" t="s">
        <v>15586</v>
      </c>
      <c r="X4451" s="80"/>
      <c r="Y4451" s="22">
        <v>150</v>
      </c>
      <c r="Z4451" s="80" t="s">
        <v>50</v>
      </c>
      <c r="AA4451" s="96" t="s">
        <v>9905</v>
      </c>
      <c r="AB4451" s="80"/>
      <c r="AC4451" s="80" t="s">
        <v>53</v>
      </c>
      <c r="AD4451" s="80" t="s">
        <v>138</v>
      </c>
      <c r="AE4451" s="80"/>
      <c r="AF4451" s="17">
        <v>45566</v>
      </c>
      <c r="AG4451" s="80"/>
      <c r="AH4451" s="80"/>
      <c r="AI4451" s="147"/>
      <c r="AJ4451" s="80"/>
      <c r="AK4451" s="80"/>
      <c r="AL4451" s="35"/>
      <c r="AM4451" s="35"/>
      <c r="AN4451" s="35"/>
      <c r="AO4451" s="35"/>
      <c r="AP4451" s="35"/>
    </row>
    <row r="4452" spans="1:42" x14ac:dyDescent="0.2">
      <c r="A4452" s="126">
        <v>45559.723571203707</v>
      </c>
      <c r="B4452" s="137" t="s">
        <v>37</v>
      </c>
      <c r="C4452" s="41" t="s">
        <v>118</v>
      </c>
      <c r="D4452" s="80" t="s">
        <v>36</v>
      </c>
      <c r="E4452" s="80" t="s">
        <v>119</v>
      </c>
      <c r="F4452" s="80" t="s">
        <v>36</v>
      </c>
      <c r="G4452" s="80" t="s">
        <v>108</v>
      </c>
      <c r="H4452" s="80" t="s">
        <v>10223</v>
      </c>
      <c r="I4452" s="17">
        <f ca="1">IFERROR(__xludf.DUMMYFUNCTION("""COMPUTED_VALUE"""),45578)</f>
        <v>45578</v>
      </c>
      <c r="J4452" s="143" t="s">
        <v>15587</v>
      </c>
      <c r="K4452" s="80" t="s">
        <v>6216</v>
      </c>
      <c r="L4452" s="30">
        <v>353554089</v>
      </c>
      <c r="M4452" s="80" t="s">
        <v>12720</v>
      </c>
      <c r="N4452" s="80" t="s">
        <v>1073</v>
      </c>
      <c r="O4452" s="80" t="s">
        <v>15588</v>
      </c>
      <c r="P4452" s="80" t="s">
        <v>15589</v>
      </c>
      <c r="Q4452" s="20">
        <v>13968</v>
      </c>
      <c r="R4452" s="80" t="s">
        <v>70</v>
      </c>
      <c r="S4452" s="95">
        <f>200+3800</f>
        <v>4000</v>
      </c>
      <c r="T4452" s="83" t="s">
        <v>15590</v>
      </c>
      <c r="U4452" s="95">
        <v>9868</v>
      </c>
      <c r="V4452" s="148">
        <v>45592</v>
      </c>
      <c r="W4452" s="85" t="s">
        <v>15591</v>
      </c>
      <c r="X4452" s="80"/>
      <c r="Y4452" s="22">
        <v>100</v>
      </c>
      <c r="Z4452" s="80" t="s">
        <v>50</v>
      </c>
      <c r="AA4452" s="35" t="s">
        <v>9905</v>
      </c>
      <c r="AB4452" s="80"/>
      <c r="AC4452" s="80" t="s">
        <v>53</v>
      </c>
      <c r="AD4452" s="80" t="s">
        <v>138</v>
      </c>
      <c r="AE4452" s="83">
        <v>375</v>
      </c>
      <c r="AF4452" s="43">
        <v>45576</v>
      </c>
      <c r="AG4452" s="80" t="s">
        <v>15592</v>
      </c>
      <c r="AH4452" s="80"/>
      <c r="AI4452" s="147"/>
      <c r="AJ4452" s="80"/>
      <c r="AK4452" s="80"/>
      <c r="AL4452" s="35"/>
      <c r="AM4452" s="35"/>
      <c r="AN4452" s="35"/>
      <c r="AO4452" s="35"/>
      <c r="AP4452" s="35"/>
    </row>
    <row r="4453" spans="1:42" x14ac:dyDescent="0.2">
      <c r="A4453" s="126">
        <v>45559.758517361115</v>
      </c>
      <c r="B4453" s="137" t="s">
        <v>37</v>
      </c>
      <c r="C4453" s="41" t="s">
        <v>118</v>
      </c>
      <c r="D4453" s="80" t="s">
        <v>36</v>
      </c>
      <c r="E4453" s="80" t="s">
        <v>119</v>
      </c>
      <c r="F4453" s="80" t="s">
        <v>36</v>
      </c>
      <c r="G4453" s="80" t="s">
        <v>108</v>
      </c>
      <c r="H4453" s="80" t="s">
        <v>10028</v>
      </c>
      <c r="I4453" s="17">
        <f ca="1">IFERROR(__xludf.DUMMYFUNCTION("""COMPUTED_VALUE"""),45562)</f>
        <v>45562</v>
      </c>
      <c r="J4453" s="143" t="s">
        <v>15593</v>
      </c>
      <c r="K4453" s="80" t="s">
        <v>1323</v>
      </c>
      <c r="L4453" s="30">
        <v>988159056</v>
      </c>
      <c r="M4453" s="80" t="s">
        <v>3728</v>
      </c>
      <c r="N4453" s="80" t="s">
        <v>5277</v>
      </c>
      <c r="O4453" s="80" t="s">
        <v>15594</v>
      </c>
      <c r="P4453" s="80" t="s">
        <v>11644</v>
      </c>
      <c r="Q4453" s="20">
        <v>13968</v>
      </c>
      <c r="R4453" s="80" t="s">
        <v>36</v>
      </c>
      <c r="S4453" s="95">
        <v>4000</v>
      </c>
      <c r="T4453" s="148">
        <v>45559</v>
      </c>
      <c r="U4453" s="95">
        <v>9968</v>
      </c>
      <c r="V4453" s="148">
        <v>45581</v>
      </c>
      <c r="W4453" s="85" t="s">
        <v>15595</v>
      </c>
      <c r="X4453" s="80"/>
      <c r="Y4453" s="22">
        <v>0</v>
      </c>
      <c r="Z4453" s="80" t="s">
        <v>50</v>
      </c>
      <c r="AA4453" s="96" t="s">
        <v>9905</v>
      </c>
      <c r="AB4453" s="80"/>
      <c r="AC4453" s="80" t="s">
        <v>53</v>
      </c>
      <c r="AD4453" s="80" t="s">
        <v>138</v>
      </c>
      <c r="AE4453" s="80"/>
      <c r="AF4453" s="17">
        <v>45562</v>
      </c>
      <c r="AG4453" s="80"/>
      <c r="AH4453" s="80"/>
      <c r="AI4453" s="147"/>
      <c r="AJ4453" s="80"/>
      <c r="AK4453" s="80"/>
      <c r="AL4453" s="35"/>
      <c r="AM4453" s="35"/>
      <c r="AN4453" s="35"/>
      <c r="AO4453" s="35"/>
      <c r="AP4453" s="35"/>
    </row>
    <row r="4454" spans="1:42" x14ac:dyDescent="0.2">
      <c r="A4454" s="126">
        <v>45559.759459212961</v>
      </c>
      <c r="B4454" s="137" t="s">
        <v>37</v>
      </c>
      <c r="C4454" s="41" t="s">
        <v>118</v>
      </c>
      <c r="D4454" s="80" t="s">
        <v>36</v>
      </c>
      <c r="E4454" s="80" t="s">
        <v>139</v>
      </c>
      <c r="F4454" s="80" t="s">
        <v>36</v>
      </c>
      <c r="G4454" s="80" t="s">
        <v>41</v>
      </c>
      <c r="H4454" s="80" t="s">
        <v>12416</v>
      </c>
      <c r="I4454" s="17">
        <f ca="1">IFERROR(__xludf.DUMMYFUNCTION("""COMPUTED_VALUE"""),45574)</f>
        <v>45574</v>
      </c>
      <c r="J4454" s="143" t="s">
        <v>15596</v>
      </c>
      <c r="K4454" s="80" t="s">
        <v>15597</v>
      </c>
      <c r="L4454" s="30">
        <v>363676298</v>
      </c>
      <c r="M4454" s="80" t="s">
        <v>3728</v>
      </c>
      <c r="N4454" s="80" t="s">
        <v>5277</v>
      </c>
      <c r="O4454" s="80" t="s">
        <v>15598</v>
      </c>
      <c r="P4454" s="80" t="s">
        <v>11644</v>
      </c>
      <c r="Q4454" s="20">
        <v>15936</v>
      </c>
      <c r="R4454" s="80" t="s">
        <v>36</v>
      </c>
      <c r="S4454" s="95">
        <v>2000</v>
      </c>
      <c r="T4454" s="148">
        <v>45559</v>
      </c>
      <c r="U4454" s="95">
        <v>13936</v>
      </c>
      <c r="V4454" s="148">
        <v>45593</v>
      </c>
      <c r="W4454" s="85" t="s">
        <v>15599</v>
      </c>
      <c r="X4454" s="80"/>
      <c r="Y4454" s="22">
        <v>0</v>
      </c>
      <c r="Z4454" s="80" t="s">
        <v>50</v>
      </c>
      <c r="AA4454" s="35" t="s">
        <v>9905</v>
      </c>
      <c r="AB4454" s="80"/>
      <c r="AC4454" s="80" t="s">
        <v>53</v>
      </c>
      <c r="AD4454" s="80" t="s">
        <v>138</v>
      </c>
      <c r="AE4454" s="80"/>
      <c r="AF4454" s="17">
        <v>45573</v>
      </c>
      <c r="AG4454" s="80" t="s">
        <v>13500</v>
      </c>
      <c r="AH4454" s="80"/>
      <c r="AI4454" s="147"/>
      <c r="AJ4454" s="80"/>
      <c r="AK4454" s="80"/>
      <c r="AL4454" s="35"/>
      <c r="AM4454" s="35"/>
      <c r="AN4454" s="35"/>
      <c r="AO4454" s="35"/>
      <c r="AP4454" s="35"/>
    </row>
    <row r="4455" spans="1:42" x14ac:dyDescent="0.2">
      <c r="A4455" s="126">
        <v>45559.84633915509</v>
      </c>
      <c r="B4455" s="137" t="s">
        <v>37</v>
      </c>
      <c r="C4455" s="41" t="s">
        <v>118</v>
      </c>
      <c r="D4455" s="80" t="s">
        <v>36</v>
      </c>
      <c r="E4455" s="80" t="s">
        <v>139</v>
      </c>
      <c r="F4455" s="80" t="s">
        <v>36</v>
      </c>
      <c r="G4455" s="80" t="s">
        <v>41</v>
      </c>
      <c r="H4455" s="80" t="s">
        <v>13424</v>
      </c>
      <c r="I4455" s="17">
        <f ca="1">IFERROR(__xludf.DUMMYFUNCTION("""COMPUTED_VALUE"""),45572)</f>
        <v>45572</v>
      </c>
      <c r="J4455" s="143" t="s">
        <v>15600</v>
      </c>
      <c r="K4455" s="80" t="s">
        <v>15601</v>
      </c>
      <c r="L4455" s="30">
        <v>388282615</v>
      </c>
      <c r="M4455" s="80" t="s">
        <v>12644</v>
      </c>
      <c r="N4455" s="80" t="s">
        <v>8725</v>
      </c>
      <c r="O4455" s="80" t="s">
        <v>15602</v>
      </c>
      <c r="P4455" s="80" t="s">
        <v>15603</v>
      </c>
      <c r="Q4455" s="20">
        <v>15936</v>
      </c>
      <c r="R4455" s="80" t="s">
        <v>36</v>
      </c>
      <c r="S4455" s="95">
        <f>200+1800</f>
        <v>2000</v>
      </c>
      <c r="T4455" s="83" t="s">
        <v>15604</v>
      </c>
      <c r="U4455" s="95">
        <v>13936</v>
      </c>
      <c r="V4455" s="148">
        <v>45587</v>
      </c>
      <c r="W4455" s="85" t="s">
        <v>15605</v>
      </c>
      <c r="X4455" s="80"/>
      <c r="Y4455" s="22">
        <v>0</v>
      </c>
      <c r="Z4455" s="80" t="s">
        <v>50</v>
      </c>
      <c r="AA4455" s="96" t="s">
        <v>9905</v>
      </c>
      <c r="AB4455" s="80"/>
      <c r="AC4455" s="80" t="s">
        <v>53</v>
      </c>
      <c r="AD4455" s="80" t="s">
        <v>138</v>
      </c>
      <c r="AE4455" s="80"/>
      <c r="AF4455" s="17">
        <v>45572</v>
      </c>
      <c r="AG4455" s="80" t="s">
        <v>13430</v>
      </c>
      <c r="AH4455" s="80"/>
      <c r="AI4455" s="147"/>
      <c r="AJ4455" s="80"/>
      <c r="AK4455" s="80"/>
      <c r="AL4455" s="35"/>
      <c r="AM4455" s="35"/>
      <c r="AN4455" s="35"/>
      <c r="AO4455" s="35"/>
      <c r="AP4455" s="35"/>
    </row>
    <row r="4456" spans="1:42" x14ac:dyDescent="0.2">
      <c r="A4456" s="126">
        <v>45559.893030532403</v>
      </c>
      <c r="B4456" s="137" t="s">
        <v>37</v>
      </c>
      <c r="C4456" s="41" t="s">
        <v>118</v>
      </c>
      <c r="D4456" s="80" t="s">
        <v>36</v>
      </c>
      <c r="E4456" s="80" t="s">
        <v>119</v>
      </c>
      <c r="F4456" s="80" t="s">
        <v>36</v>
      </c>
      <c r="G4456" s="80" t="s">
        <v>108</v>
      </c>
      <c r="H4456" s="80" t="s">
        <v>11802</v>
      </c>
      <c r="I4456" s="17">
        <f ca="1">IFERROR(__xludf.DUMMYFUNCTION("""COMPUTED_VALUE"""),45572)</f>
        <v>45572</v>
      </c>
      <c r="J4456" s="143" t="s">
        <v>15606</v>
      </c>
      <c r="K4456" s="80" t="s">
        <v>15607</v>
      </c>
      <c r="L4456" s="30">
        <v>346800209</v>
      </c>
      <c r="M4456" s="80" t="s">
        <v>5518</v>
      </c>
      <c r="N4456" s="80" t="s">
        <v>253</v>
      </c>
      <c r="O4456" s="80" t="s">
        <v>15608</v>
      </c>
      <c r="P4456" s="144" t="s">
        <v>15609</v>
      </c>
      <c r="Q4456" s="20">
        <v>13968</v>
      </c>
      <c r="R4456" s="80" t="s">
        <v>36</v>
      </c>
      <c r="S4456" s="95">
        <f>200+3800</f>
        <v>4000</v>
      </c>
      <c r="T4456" s="83" t="s">
        <v>15610</v>
      </c>
      <c r="U4456" s="95">
        <v>9968</v>
      </c>
      <c r="V4456" s="148">
        <v>45588</v>
      </c>
      <c r="W4456" s="85" t="s">
        <v>15611</v>
      </c>
      <c r="X4456" s="80"/>
      <c r="Y4456" s="22">
        <v>0</v>
      </c>
      <c r="Z4456" s="80" t="s">
        <v>50</v>
      </c>
      <c r="AA4456" s="35" t="s">
        <v>9905</v>
      </c>
      <c r="AB4456" s="80"/>
      <c r="AC4456" s="80" t="s">
        <v>53</v>
      </c>
      <c r="AD4456" s="80" t="s">
        <v>54</v>
      </c>
      <c r="AE4456" s="83">
        <v>400</v>
      </c>
      <c r="AF4456" s="17">
        <v>45566</v>
      </c>
      <c r="AG4456" s="80"/>
      <c r="AH4456" s="80"/>
      <c r="AI4456" s="147"/>
      <c r="AJ4456" s="80"/>
      <c r="AK4456" s="80"/>
      <c r="AL4456" s="35"/>
      <c r="AM4456" s="35"/>
      <c r="AN4456" s="35"/>
      <c r="AO4456" s="35"/>
      <c r="AP4456" s="35"/>
    </row>
    <row r="4457" spans="1:42" x14ac:dyDescent="0.2">
      <c r="A4457" s="126">
        <v>45559.905375543982</v>
      </c>
      <c r="B4457" s="137" t="s">
        <v>37</v>
      </c>
      <c r="C4457" s="41" t="s">
        <v>118</v>
      </c>
      <c r="D4457" s="80" t="s">
        <v>36</v>
      </c>
      <c r="E4457" s="80" t="s">
        <v>139</v>
      </c>
      <c r="F4457" s="80" t="s">
        <v>36</v>
      </c>
      <c r="G4457" s="80" t="s">
        <v>6516</v>
      </c>
      <c r="H4457" s="80" t="s">
        <v>9626</v>
      </c>
      <c r="I4457" s="17">
        <f ca="1">IFERROR(__xludf.DUMMYFUNCTION("""COMPUTED_VALUE"""),45559)</f>
        <v>45559</v>
      </c>
      <c r="J4457" s="143" t="s">
        <v>14497</v>
      </c>
      <c r="K4457" s="80" t="s">
        <v>14498</v>
      </c>
      <c r="L4457" s="30">
        <v>398237882</v>
      </c>
      <c r="M4457" s="80" t="s">
        <v>3728</v>
      </c>
      <c r="N4457" s="80" t="s">
        <v>5312</v>
      </c>
      <c r="O4457" s="80" t="s">
        <v>14499</v>
      </c>
      <c r="P4457" s="80" t="s">
        <v>14500</v>
      </c>
      <c r="Q4457" s="20">
        <v>15936</v>
      </c>
      <c r="R4457" s="80" t="s">
        <v>36</v>
      </c>
      <c r="S4457" s="95">
        <f t="shared" ref="S4457:S4458" si="92">200+1800</f>
        <v>2000</v>
      </c>
      <c r="T4457" s="83" t="s">
        <v>14501</v>
      </c>
      <c r="U4457" s="95">
        <v>13836</v>
      </c>
      <c r="V4457" s="148">
        <v>45592</v>
      </c>
      <c r="W4457" s="85" t="s">
        <v>14502</v>
      </c>
      <c r="X4457" s="80"/>
      <c r="Y4457" s="22">
        <v>100</v>
      </c>
      <c r="Z4457" s="80" t="s">
        <v>50</v>
      </c>
      <c r="AA4457" s="96" t="s">
        <v>9905</v>
      </c>
      <c r="AB4457" s="80"/>
      <c r="AC4457" s="80" t="s">
        <v>53</v>
      </c>
      <c r="AD4457" s="80" t="s">
        <v>138</v>
      </c>
      <c r="AE4457" s="80"/>
      <c r="AF4457" s="17">
        <v>45559</v>
      </c>
      <c r="AG4457" s="80"/>
      <c r="AH4457" s="80"/>
      <c r="AI4457" s="147"/>
      <c r="AJ4457" s="80"/>
      <c r="AK4457" s="80"/>
      <c r="AL4457" s="35"/>
      <c r="AM4457" s="35"/>
      <c r="AN4457" s="35"/>
      <c r="AO4457" s="35"/>
      <c r="AP4457" s="35"/>
    </row>
    <row r="4458" spans="1:42" x14ac:dyDescent="0.2">
      <c r="A4458" s="126">
        <v>45559.906817337964</v>
      </c>
      <c r="B4458" s="137" t="s">
        <v>37</v>
      </c>
      <c r="C4458" s="41" t="s">
        <v>118</v>
      </c>
      <c r="D4458" s="80" t="s">
        <v>36</v>
      </c>
      <c r="E4458" s="80" t="s">
        <v>139</v>
      </c>
      <c r="F4458" s="80" t="s">
        <v>36</v>
      </c>
      <c r="G4458" s="80" t="s">
        <v>41</v>
      </c>
      <c r="H4458" s="80" t="s">
        <v>13178</v>
      </c>
      <c r="I4458" s="17">
        <f ca="1">IFERROR(__xludf.DUMMYFUNCTION("""COMPUTED_VALUE"""),45572)</f>
        <v>45572</v>
      </c>
      <c r="J4458" s="143" t="s">
        <v>15612</v>
      </c>
      <c r="K4458" s="80" t="s">
        <v>7421</v>
      </c>
      <c r="L4458" s="30">
        <v>964525921</v>
      </c>
      <c r="M4458" s="80" t="s">
        <v>3728</v>
      </c>
      <c r="N4458" s="80" t="s">
        <v>5312</v>
      </c>
      <c r="O4458" s="80" t="s">
        <v>15613</v>
      </c>
      <c r="P4458" s="80" t="s">
        <v>15614</v>
      </c>
      <c r="Q4458" s="20">
        <v>15936</v>
      </c>
      <c r="R4458" s="80" t="s">
        <v>36</v>
      </c>
      <c r="S4458" s="95">
        <f t="shared" si="92"/>
        <v>2000</v>
      </c>
      <c r="T4458" s="83" t="s">
        <v>15615</v>
      </c>
      <c r="U4458" s="95">
        <v>13836</v>
      </c>
      <c r="V4458" s="148">
        <v>45593</v>
      </c>
      <c r="W4458" s="85" t="s">
        <v>15616</v>
      </c>
      <c r="X4458" s="80"/>
      <c r="Y4458" s="22">
        <v>100</v>
      </c>
      <c r="Z4458" s="80" t="s">
        <v>50</v>
      </c>
      <c r="AA4458" s="35" t="s">
        <v>9905</v>
      </c>
      <c r="AB4458" s="80"/>
      <c r="AC4458" s="80" t="s">
        <v>53</v>
      </c>
      <c r="AD4458" s="80" t="s">
        <v>138</v>
      </c>
      <c r="AE4458" s="80"/>
      <c r="AF4458" s="17">
        <v>45572</v>
      </c>
      <c r="AG4458" s="80" t="s">
        <v>13185</v>
      </c>
      <c r="AH4458" s="80"/>
      <c r="AI4458" s="147"/>
      <c r="AJ4458" s="80"/>
      <c r="AK4458" s="80"/>
      <c r="AL4458" s="35"/>
      <c r="AM4458" s="35"/>
      <c r="AN4458" s="35"/>
      <c r="AO4458" s="35"/>
      <c r="AP4458" s="35"/>
    </row>
    <row r="4459" spans="1:42" x14ac:dyDescent="0.2">
      <c r="A4459" s="126">
        <v>45559.979321493054</v>
      </c>
      <c r="B4459" s="137" t="s">
        <v>37</v>
      </c>
      <c r="C4459" s="41" t="s">
        <v>118</v>
      </c>
      <c r="D4459" s="80" t="s">
        <v>36</v>
      </c>
      <c r="E4459" s="80" t="s">
        <v>56</v>
      </c>
      <c r="F4459" s="80" t="s">
        <v>91</v>
      </c>
      <c r="G4459" s="80" t="s">
        <v>41</v>
      </c>
      <c r="H4459" s="80" t="s">
        <v>13186</v>
      </c>
      <c r="I4459" s="17">
        <f ca="1">IFERROR(__xludf.DUMMYFUNCTION("""COMPUTED_VALUE"""),45561)</f>
        <v>45561</v>
      </c>
      <c r="J4459" s="143" t="s">
        <v>15617</v>
      </c>
      <c r="K4459" s="80" t="s">
        <v>15618</v>
      </c>
      <c r="L4459" s="30">
        <v>962933897</v>
      </c>
      <c r="M4459" s="80" t="s">
        <v>3288</v>
      </c>
      <c r="N4459" s="80" t="s">
        <v>200</v>
      </c>
      <c r="O4459" s="80" t="s">
        <v>91</v>
      </c>
      <c r="P4459" s="80" t="s">
        <v>15619</v>
      </c>
      <c r="Q4459" s="20">
        <v>9317</v>
      </c>
      <c r="R4459" s="80" t="s">
        <v>1106</v>
      </c>
      <c r="S4459" s="95">
        <v>2000</v>
      </c>
      <c r="T4459" s="148">
        <v>45559</v>
      </c>
      <c r="U4459" s="95">
        <v>7167</v>
      </c>
      <c r="V4459" s="148">
        <v>45567</v>
      </c>
      <c r="W4459" s="85" t="s">
        <v>15620</v>
      </c>
      <c r="X4459" s="80"/>
      <c r="Y4459" s="22">
        <v>150</v>
      </c>
      <c r="Z4459" s="80" t="s">
        <v>50</v>
      </c>
      <c r="AA4459" s="96" t="s">
        <v>9905</v>
      </c>
      <c r="AB4459" s="80"/>
      <c r="AC4459" s="80" t="s">
        <v>53</v>
      </c>
      <c r="AD4459" s="80" t="s">
        <v>54</v>
      </c>
      <c r="AE4459" s="80" t="s">
        <v>91</v>
      </c>
      <c r="AF4459" s="17">
        <v>45561</v>
      </c>
      <c r="AG4459" s="80" t="s">
        <v>863</v>
      </c>
      <c r="AH4459" s="80"/>
      <c r="AI4459" s="147"/>
      <c r="AJ4459" s="80"/>
      <c r="AK4459" s="80"/>
      <c r="AL4459" s="35"/>
      <c r="AM4459" s="35"/>
      <c r="AN4459" s="35"/>
      <c r="AO4459" s="35"/>
      <c r="AP4459" s="35"/>
    </row>
    <row r="4460" spans="1:42" x14ac:dyDescent="0.2">
      <c r="A4460" s="126">
        <v>45560.395885844904</v>
      </c>
      <c r="B4460" s="137" t="s">
        <v>37</v>
      </c>
      <c r="C4460" s="41" t="s">
        <v>118</v>
      </c>
      <c r="D4460" s="80" t="s">
        <v>36</v>
      </c>
      <c r="E4460" s="80" t="s">
        <v>119</v>
      </c>
      <c r="F4460" s="80" t="s">
        <v>36</v>
      </c>
      <c r="G4460" s="80" t="s">
        <v>108</v>
      </c>
      <c r="H4460" s="80" t="s">
        <v>10028</v>
      </c>
      <c r="I4460" s="17">
        <f ca="1">IFERROR(__xludf.DUMMYFUNCTION("""COMPUTED_VALUE"""),45562)</f>
        <v>45562</v>
      </c>
      <c r="J4460" s="143" t="s">
        <v>15621</v>
      </c>
      <c r="K4460" s="80" t="s">
        <v>15622</v>
      </c>
      <c r="L4460" s="30">
        <v>986192904</v>
      </c>
      <c r="M4460" s="80" t="s">
        <v>2755</v>
      </c>
      <c r="N4460" s="80" t="s">
        <v>4402</v>
      </c>
      <c r="O4460" s="80" t="s">
        <v>4503</v>
      </c>
      <c r="P4460" s="80" t="s">
        <v>3056</v>
      </c>
      <c r="Q4460" s="20">
        <v>13968</v>
      </c>
      <c r="R4460" s="80" t="s">
        <v>36</v>
      </c>
      <c r="S4460" s="95">
        <f>200+5000</f>
        <v>5200</v>
      </c>
      <c r="T4460" s="83" t="s">
        <v>15623</v>
      </c>
      <c r="U4460" s="95">
        <v>8768</v>
      </c>
      <c r="V4460" s="148">
        <v>45588</v>
      </c>
      <c r="W4460" s="85" t="s">
        <v>15624</v>
      </c>
      <c r="X4460" s="80"/>
      <c r="Y4460" s="22">
        <v>0</v>
      </c>
      <c r="Z4460" s="80" t="s">
        <v>50</v>
      </c>
      <c r="AA4460" s="35" t="s">
        <v>9905</v>
      </c>
      <c r="AB4460" s="80"/>
      <c r="AC4460" s="80" t="s">
        <v>53</v>
      </c>
      <c r="AD4460" s="80" t="s">
        <v>138</v>
      </c>
      <c r="AE4460" s="80"/>
      <c r="AF4460" s="17">
        <v>45562</v>
      </c>
      <c r="AG4460" s="80"/>
      <c r="AH4460" s="80"/>
      <c r="AI4460" s="147"/>
      <c r="AJ4460" s="80"/>
      <c r="AK4460" s="80"/>
      <c r="AL4460" s="35"/>
      <c r="AM4460" s="35"/>
      <c r="AN4460" s="35"/>
      <c r="AO4460" s="35"/>
      <c r="AP4460" s="35"/>
    </row>
    <row r="4461" spans="1:42" x14ac:dyDescent="0.2">
      <c r="A4461" s="126">
        <v>45560.413970740745</v>
      </c>
      <c r="B4461" s="137" t="s">
        <v>37</v>
      </c>
      <c r="C4461" s="41" t="s">
        <v>118</v>
      </c>
      <c r="D4461" s="80" t="s">
        <v>36</v>
      </c>
      <c r="E4461" s="80" t="s">
        <v>119</v>
      </c>
      <c r="F4461" s="80" t="s">
        <v>36</v>
      </c>
      <c r="G4461" s="80" t="s">
        <v>108</v>
      </c>
      <c r="H4461" s="80" t="s">
        <v>9897</v>
      </c>
      <c r="I4461" s="17">
        <f ca="1">IFERROR(__xludf.DUMMYFUNCTION("""COMPUTED_VALUE"""),45562)</f>
        <v>45562</v>
      </c>
      <c r="J4461" s="143" t="s">
        <v>15625</v>
      </c>
      <c r="K4461" s="80" t="s">
        <v>15626</v>
      </c>
      <c r="L4461" s="30">
        <v>869961376</v>
      </c>
      <c r="M4461" s="80" t="s">
        <v>12529</v>
      </c>
      <c r="N4461" s="80" t="s">
        <v>13566</v>
      </c>
      <c r="O4461" s="162" t="s">
        <v>15627</v>
      </c>
      <c r="P4461" s="80" t="s">
        <v>15628</v>
      </c>
      <c r="Q4461" s="20">
        <v>13968</v>
      </c>
      <c r="R4461" s="80" t="s">
        <v>70</v>
      </c>
      <c r="S4461" s="95">
        <f>200+3800</f>
        <v>4000</v>
      </c>
      <c r="T4461" s="83" t="s">
        <v>15517</v>
      </c>
      <c r="U4461" s="95">
        <v>9968</v>
      </c>
      <c r="V4461" s="148">
        <v>45593</v>
      </c>
      <c r="W4461" s="85" t="s">
        <v>15629</v>
      </c>
      <c r="X4461" s="80"/>
      <c r="Y4461" s="22">
        <v>0</v>
      </c>
      <c r="Z4461" s="80" t="s">
        <v>50</v>
      </c>
      <c r="AA4461" s="96" t="s">
        <v>9905</v>
      </c>
      <c r="AB4461" s="80"/>
      <c r="AC4461" s="80" t="s">
        <v>2218</v>
      </c>
      <c r="AD4461" s="80" t="s">
        <v>54</v>
      </c>
      <c r="AE4461" s="83">
        <v>400</v>
      </c>
      <c r="AF4461" s="17">
        <v>45560</v>
      </c>
      <c r="AG4461" s="80" t="s">
        <v>15630</v>
      </c>
      <c r="AH4461" s="80"/>
      <c r="AI4461" s="147"/>
      <c r="AJ4461" s="80"/>
      <c r="AK4461" s="80"/>
      <c r="AL4461" s="35"/>
      <c r="AM4461" s="35"/>
      <c r="AN4461" s="35"/>
      <c r="AO4461" s="35"/>
      <c r="AP4461" s="35"/>
    </row>
    <row r="4462" spans="1:42" x14ac:dyDescent="0.2">
      <c r="A4462" s="126">
        <v>45560.663717152776</v>
      </c>
      <c r="B4462" s="137" t="s">
        <v>37</v>
      </c>
      <c r="C4462" s="41" t="s">
        <v>118</v>
      </c>
      <c r="D4462" s="80" t="s">
        <v>36</v>
      </c>
      <c r="E4462" s="80" t="s">
        <v>139</v>
      </c>
      <c r="F4462" s="80" t="s">
        <v>36</v>
      </c>
      <c r="G4462" s="80" t="s">
        <v>41</v>
      </c>
      <c r="H4462" s="80" t="s">
        <v>13424</v>
      </c>
      <c r="I4462" s="17">
        <f ca="1">IFERROR(__xludf.DUMMYFUNCTION("""COMPUTED_VALUE"""),45572)</f>
        <v>45572</v>
      </c>
      <c r="J4462" s="143" t="s">
        <v>15631</v>
      </c>
      <c r="K4462" s="80" t="s">
        <v>15632</v>
      </c>
      <c r="L4462" s="30">
        <v>332610600</v>
      </c>
      <c r="M4462" s="80" t="s">
        <v>910</v>
      </c>
      <c r="N4462" s="80" t="s">
        <v>3525</v>
      </c>
      <c r="O4462" s="80" t="s">
        <v>91</v>
      </c>
      <c r="P4462" s="80" t="s">
        <v>12578</v>
      </c>
      <c r="Q4462" s="20">
        <v>15936</v>
      </c>
      <c r="R4462" s="80" t="s">
        <v>70</v>
      </c>
      <c r="S4462" s="95">
        <v>2000</v>
      </c>
      <c r="T4462" s="148">
        <v>45560</v>
      </c>
      <c r="U4462" s="95">
        <v>13836</v>
      </c>
      <c r="V4462" s="148">
        <v>45588</v>
      </c>
      <c r="W4462" s="85" t="s">
        <v>15633</v>
      </c>
      <c r="X4462" s="80"/>
      <c r="Y4462" s="22">
        <v>100</v>
      </c>
      <c r="Z4462" s="80" t="s">
        <v>50</v>
      </c>
      <c r="AA4462" s="35" t="s">
        <v>9905</v>
      </c>
      <c r="AB4462" s="80"/>
      <c r="AC4462" s="80" t="s">
        <v>53</v>
      </c>
      <c r="AD4462" s="80" t="s">
        <v>138</v>
      </c>
      <c r="AE4462" s="80"/>
      <c r="AF4462" s="17">
        <v>45572</v>
      </c>
      <c r="AG4462" s="80" t="s">
        <v>13430</v>
      </c>
      <c r="AH4462" s="80"/>
      <c r="AI4462" s="147"/>
      <c r="AJ4462" s="80"/>
      <c r="AK4462" s="80"/>
      <c r="AL4462" s="35"/>
      <c r="AM4462" s="35"/>
      <c r="AN4462" s="35"/>
      <c r="AO4462" s="35"/>
      <c r="AP4462" s="35"/>
    </row>
    <row r="4463" spans="1:42" x14ac:dyDescent="0.2">
      <c r="A4463" s="126">
        <v>45560.666006284722</v>
      </c>
      <c r="B4463" s="137" t="s">
        <v>37</v>
      </c>
      <c r="C4463" s="41" t="s">
        <v>118</v>
      </c>
      <c r="D4463" s="80" t="s">
        <v>36</v>
      </c>
      <c r="E4463" s="80" t="s">
        <v>139</v>
      </c>
      <c r="F4463" s="80" t="s">
        <v>36</v>
      </c>
      <c r="G4463" s="80" t="s">
        <v>41</v>
      </c>
      <c r="H4463" s="80" t="s">
        <v>13424</v>
      </c>
      <c r="I4463" s="17">
        <f ca="1">IFERROR(__xludf.DUMMYFUNCTION("""COMPUTED_VALUE"""),45572)</f>
        <v>45572</v>
      </c>
      <c r="J4463" s="143" t="s">
        <v>15634</v>
      </c>
      <c r="K4463" s="80" t="s">
        <v>15635</v>
      </c>
      <c r="L4463" s="30">
        <v>347662995</v>
      </c>
      <c r="M4463" s="80" t="s">
        <v>910</v>
      </c>
      <c r="N4463" s="80" t="s">
        <v>3525</v>
      </c>
      <c r="O4463" s="80" t="s">
        <v>91</v>
      </c>
      <c r="P4463" s="80" t="s">
        <v>12578</v>
      </c>
      <c r="Q4463" s="20">
        <v>15936</v>
      </c>
      <c r="R4463" s="80" t="s">
        <v>70</v>
      </c>
      <c r="S4463" s="95">
        <v>2000</v>
      </c>
      <c r="T4463" s="148">
        <v>45560</v>
      </c>
      <c r="U4463" s="95">
        <v>13836</v>
      </c>
      <c r="V4463" s="148">
        <v>45587</v>
      </c>
      <c r="W4463" s="85" t="s">
        <v>15636</v>
      </c>
      <c r="X4463" s="80"/>
      <c r="Y4463" s="22">
        <v>100</v>
      </c>
      <c r="Z4463" s="80" t="s">
        <v>50</v>
      </c>
      <c r="AA4463" s="96" t="s">
        <v>9905</v>
      </c>
      <c r="AB4463" s="80"/>
      <c r="AC4463" s="80" t="s">
        <v>53</v>
      </c>
      <c r="AD4463" s="80" t="s">
        <v>138</v>
      </c>
      <c r="AE4463" s="80"/>
      <c r="AF4463" s="17">
        <v>45572</v>
      </c>
      <c r="AG4463" s="80" t="s">
        <v>13430</v>
      </c>
      <c r="AH4463" s="80"/>
      <c r="AI4463" s="147"/>
      <c r="AJ4463" s="80"/>
      <c r="AK4463" s="80"/>
      <c r="AL4463" s="35"/>
      <c r="AM4463" s="35"/>
      <c r="AN4463" s="35"/>
      <c r="AO4463" s="35"/>
      <c r="AP4463" s="35"/>
    </row>
    <row r="4464" spans="1:42" x14ac:dyDescent="0.2">
      <c r="A4464" s="126">
        <v>45560.893126585652</v>
      </c>
      <c r="B4464" s="137" t="s">
        <v>37</v>
      </c>
      <c r="C4464" s="41" t="s">
        <v>118</v>
      </c>
      <c r="D4464" s="80" t="s">
        <v>36</v>
      </c>
      <c r="E4464" s="80" t="s">
        <v>139</v>
      </c>
      <c r="F4464" s="80" t="s">
        <v>36</v>
      </c>
      <c r="G4464" s="80" t="s">
        <v>41</v>
      </c>
      <c r="H4464" s="80" t="s">
        <v>13424</v>
      </c>
      <c r="I4464" s="17">
        <f ca="1">IFERROR(__xludf.DUMMYFUNCTION("""COMPUTED_VALUE"""),45572)</f>
        <v>45572</v>
      </c>
      <c r="J4464" s="143" t="s">
        <v>15637</v>
      </c>
      <c r="K4464" s="80" t="s">
        <v>15638</v>
      </c>
      <c r="L4464" s="30">
        <v>388423919</v>
      </c>
      <c r="M4464" s="80" t="s">
        <v>12644</v>
      </c>
      <c r="N4464" s="80" t="s">
        <v>8725</v>
      </c>
      <c r="O4464" s="80" t="s">
        <v>15639</v>
      </c>
      <c r="P4464" s="80" t="s">
        <v>13226</v>
      </c>
      <c r="Q4464" s="20">
        <v>15936</v>
      </c>
      <c r="R4464" s="80" t="s">
        <v>70</v>
      </c>
      <c r="S4464" s="95">
        <f>200+1800</f>
        <v>2000</v>
      </c>
      <c r="T4464" s="83" t="s">
        <v>15640</v>
      </c>
      <c r="U4464" s="95">
        <v>13836</v>
      </c>
      <c r="V4464" s="148">
        <v>45588</v>
      </c>
      <c r="W4464" s="85" t="s">
        <v>15641</v>
      </c>
      <c r="X4464" s="80"/>
      <c r="Y4464" s="22">
        <v>100</v>
      </c>
      <c r="Z4464" s="80" t="s">
        <v>50</v>
      </c>
      <c r="AA4464" s="35" t="s">
        <v>9905</v>
      </c>
      <c r="AB4464" s="80"/>
      <c r="AC4464" s="80" t="s">
        <v>53</v>
      </c>
      <c r="AD4464" s="80" t="s">
        <v>138</v>
      </c>
      <c r="AE4464" s="80"/>
      <c r="AF4464" s="17">
        <v>45572</v>
      </c>
      <c r="AG4464" s="80" t="s">
        <v>13430</v>
      </c>
      <c r="AH4464" s="80"/>
      <c r="AI4464" s="147"/>
      <c r="AJ4464" s="80"/>
      <c r="AK4464" s="80"/>
      <c r="AL4464" s="35"/>
      <c r="AM4464" s="35"/>
      <c r="AN4464" s="35"/>
      <c r="AO4464" s="35"/>
      <c r="AP4464" s="35"/>
    </row>
    <row r="4465" spans="1:42" x14ac:dyDescent="0.2">
      <c r="A4465" s="126">
        <v>45560.93700795139</v>
      </c>
      <c r="B4465" s="137" t="s">
        <v>37</v>
      </c>
      <c r="C4465" s="41" t="s">
        <v>118</v>
      </c>
      <c r="D4465" s="80" t="s">
        <v>36</v>
      </c>
      <c r="E4465" s="80" t="s">
        <v>139</v>
      </c>
      <c r="F4465" s="80" t="s">
        <v>40</v>
      </c>
      <c r="G4465" s="80" t="s">
        <v>41</v>
      </c>
      <c r="H4465" s="80" t="s">
        <v>13480</v>
      </c>
      <c r="I4465" s="17">
        <f ca="1">IFERROR(__xludf.DUMMYFUNCTION("""COMPUTED_VALUE"""),45564)</f>
        <v>45564</v>
      </c>
      <c r="J4465" s="143" t="s">
        <v>15642</v>
      </c>
      <c r="K4465" s="80" t="s">
        <v>15643</v>
      </c>
      <c r="L4465" s="30">
        <v>963390822</v>
      </c>
      <c r="M4465" s="80" t="s">
        <v>59</v>
      </c>
      <c r="N4465" s="80" t="s">
        <v>10947</v>
      </c>
      <c r="O4465" s="80" t="s">
        <v>15644</v>
      </c>
      <c r="P4465" s="80" t="s">
        <v>15645</v>
      </c>
      <c r="Q4465" s="20">
        <v>15936</v>
      </c>
      <c r="R4465" s="80" t="s">
        <v>36</v>
      </c>
      <c r="S4465" s="95">
        <v>2000</v>
      </c>
      <c r="T4465" s="148">
        <v>45560</v>
      </c>
      <c r="U4465" s="95">
        <v>13963</v>
      </c>
      <c r="V4465" s="148">
        <v>45589</v>
      </c>
      <c r="W4465" s="85" t="s">
        <v>15646</v>
      </c>
      <c r="X4465" s="80"/>
      <c r="Y4465" s="22">
        <v>-27</v>
      </c>
      <c r="Z4465" s="80" t="s">
        <v>50</v>
      </c>
      <c r="AA4465" s="96" t="s">
        <v>9905</v>
      </c>
      <c r="AB4465" s="80"/>
      <c r="AC4465" s="80" t="s">
        <v>53</v>
      </c>
      <c r="AD4465" s="80" t="s">
        <v>54</v>
      </c>
      <c r="AE4465" s="80" t="s">
        <v>72</v>
      </c>
      <c r="AF4465" s="17">
        <v>45561</v>
      </c>
      <c r="AG4465" s="80"/>
      <c r="AH4465" s="80"/>
      <c r="AI4465" s="147"/>
      <c r="AJ4465" s="80"/>
      <c r="AK4465" s="80"/>
      <c r="AL4465" s="35"/>
      <c r="AM4465" s="35"/>
      <c r="AN4465" s="35"/>
      <c r="AO4465" s="35"/>
      <c r="AP4465" s="35"/>
    </row>
    <row r="4466" spans="1:42" x14ac:dyDescent="0.2">
      <c r="A4466" s="126">
        <v>45560.944485034721</v>
      </c>
      <c r="B4466" s="137" t="s">
        <v>37</v>
      </c>
      <c r="C4466" s="41" t="s">
        <v>118</v>
      </c>
      <c r="D4466" s="80" t="s">
        <v>36</v>
      </c>
      <c r="E4466" s="80" t="s">
        <v>56</v>
      </c>
      <c r="F4466" s="80" t="s">
        <v>36</v>
      </c>
      <c r="G4466" s="80" t="s">
        <v>41</v>
      </c>
      <c r="H4466" s="80" t="s">
        <v>14934</v>
      </c>
      <c r="I4466" s="17">
        <f ca="1">IFERROR(__xludf.DUMMYFUNCTION("""COMPUTED_VALUE"""),45578)</f>
        <v>45578</v>
      </c>
      <c r="J4466" s="143" t="s">
        <v>15647</v>
      </c>
      <c r="K4466" s="80" t="s">
        <v>15648</v>
      </c>
      <c r="L4466" s="30">
        <v>866443705</v>
      </c>
      <c r="M4466" s="80" t="s">
        <v>59</v>
      </c>
      <c r="N4466" s="80" t="s">
        <v>9294</v>
      </c>
      <c r="O4466" s="80" t="s">
        <v>15649</v>
      </c>
      <c r="P4466" s="80" t="s">
        <v>12687</v>
      </c>
      <c r="Q4466" s="20">
        <v>9317</v>
      </c>
      <c r="R4466" s="80" t="s">
        <v>36</v>
      </c>
      <c r="S4466" s="95">
        <f>200+9117</f>
        <v>9317</v>
      </c>
      <c r="T4466" s="83" t="s">
        <v>15650</v>
      </c>
      <c r="U4466" s="77"/>
      <c r="V4466" s="78"/>
      <c r="W4466" s="85" t="s">
        <v>15651</v>
      </c>
      <c r="X4466" s="80"/>
      <c r="Y4466" s="22">
        <v>0</v>
      </c>
      <c r="Z4466" s="80" t="s">
        <v>50</v>
      </c>
      <c r="AA4466" s="35" t="s">
        <v>9905</v>
      </c>
      <c r="AB4466" s="80"/>
      <c r="AC4466" s="80" t="s">
        <v>53</v>
      </c>
      <c r="AD4466" s="80" t="s">
        <v>138</v>
      </c>
      <c r="AE4466" s="80"/>
      <c r="AF4466" s="43">
        <v>45576</v>
      </c>
      <c r="AG4466" s="80" t="s">
        <v>14940</v>
      </c>
      <c r="AH4466" s="80"/>
      <c r="AI4466" s="147"/>
      <c r="AJ4466" s="80"/>
      <c r="AK4466" s="80"/>
      <c r="AL4466" s="35"/>
      <c r="AM4466" s="35"/>
      <c r="AN4466" s="35"/>
      <c r="AO4466" s="35"/>
      <c r="AP4466" s="35"/>
    </row>
    <row r="4467" spans="1:42" x14ac:dyDescent="0.2">
      <c r="A4467" s="126">
        <v>45561.342935972221</v>
      </c>
      <c r="B4467" s="137" t="s">
        <v>37</v>
      </c>
      <c r="C4467" s="41" t="s">
        <v>118</v>
      </c>
      <c r="D4467" s="80" t="s">
        <v>36</v>
      </c>
      <c r="E4467" s="80" t="s">
        <v>77</v>
      </c>
      <c r="F4467" s="80" t="s">
        <v>36</v>
      </c>
      <c r="G4467" s="80" t="s">
        <v>41</v>
      </c>
      <c r="H4467" s="80" t="s">
        <v>13480</v>
      </c>
      <c r="I4467" s="17">
        <f ca="1">IFERROR(__xludf.DUMMYFUNCTION("""COMPUTED_VALUE"""),45564)</f>
        <v>45564</v>
      </c>
      <c r="J4467" s="143" t="s">
        <v>15652</v>
      </c>
      <c r="K4467" s="80" t="s">
        <v>15653</v>
      </c>
      <c r="L4467" s="30">
        <v>398374349</v>
      </c>
      <c r="M4467" s="80" t="s">
        <v>11413</v>
      </c>
      <c r="N4467" s="80" t="s">
        <v>1246</v>
      </c>
      <c r="O4467" s="80" t="s">
        <v>36</v>
      </c>
      <c r="P4467" s="80" t="s">
        <v>15654</v>
      </c>
      <c r="Q4467" s="20">
        <v>1968</v>
      </c>
      <c r="R4467" s="80" t="s">
        <v>36</v>
      </c>
      <c r="S4467" s="95">
        <f>1000+968</f>
        <v>1968</v>
      </c>
      <c r="T4467" s="83" t="s">
        <v>15655</v>
      </c>
      <c r="U4467" s="77"/>
      <c r="V4467" s="78"/>
      <c r="W4467" s="80" t="s">
        <v>15656</v>
      </c>
      <c r="X4467" s="80"/>
      <c r="Y4467" s="22">
        <v>0</v>
      </c>
      <c r="Z4467" s="80" t="s">
        <v>50</v>
      </c>
      <c r="AA4467" s="96" t="s">
        <v>9905</v>
      </c>
      <c r="AB4467" s="80"/>
      <c r="AC4467" s="80" t="s">
        <v>53</v>
      </c>
      <c r="AD4467" s="80" t="s">
        <v>54</v>
      </c>
      <c r="AE4467" s="80" t="s">
        <v>72</v>
      </c>
      <c r="AF4467" s="17">
        <v>45561</v>
      </c>
      <c r="AG4467" s="80"/>
      <c r="AH4467" s="80"/>
      <c r="AI4467" s="147"/>
      <c r="AJ4467" s="80"/>
      <c r="AK4467" s="80"/>
      <c r="AL4467" s="35"/>
      <c r="AM4467" s="35"/>
      <c r="AN4467" s="35"/>
      <c r="AO4467" s="35"/>
      <c r="AP4467" s="35"/>
    </row>
    <row r="4468" spans="1:42" x14ac:dyDescent="0.2">
      <c r="A4468" s="126">
        <v>45561.356406250001</v>
      </c>
      <c r="B4468" s="137" t="s">
        <v>37</v>
      </c>
      <c r="C4468" s="41" t="s">
        <v>118</v>
      </c>
      <c r="D4468" s="80" t="s">
        <v>36</v>
      </c>
      <c r="E4468" s="80" t="s">
        <v>139</v>
      </c>
      <c r="F4468" s="80" t="s">
        <v>40</v>
      </c>
      <c r="G4468" s="80" t="s">
        <v>41</v>
      </c>
      <c r="H4468" s="80" t="s">
        <v>13121</v>
      </c>
      <c r="I4468" s="17">
        <f ca="1">IFERROR(__xludf.DUMMYFUNCTION("""COMPUTED_VALUE"""),45565)</f>
        <v>45565</v>
      </c>
      <c r="J4468" s="143" t="s">
        <v>15657</v>
      </c>
      <c r="K4468" s="80" t="s">
        <v>15658</v>
      </c>
      <c r="L4468" s="30">
        <v>984037461</v>
      </c>
      <c r="M4468" s="80" t="s">
        <v>2755</v>
      </c>
      <c r="N4468" s="80" t="s">
        <v>2756</v>
      </c>
      <c r="O4468" s="80" t="s">
        <v>4503</v>
      </c>
      <c r="P4468" s="80" t="s">
        <v>8055</v>
      </c>
      <c r="Q4468" s="20">
        <v>15936</v>
      </c>
      <c r="R4468" s="80" t="s">
        <v>36</v>
      </c>
      <c r="S4468" s="95">
        <f t="shared" ref="S4468:S4469" si="93">200+3000</f>
        <v>3200</v>
      </c>
      <c r="T4468" s="83" t="s">
        <v>15659</v>
      </c>
      <c r="U4468" s="95">
        <v>12736</v>
      </c>
      <c r="V4468" s="148">
        <v>45583</v>
      </c>
      <c r="W4468" s="85" t="s">
        <v>15660</v>
      </c>
      <c r="X4468" s="80"/>
      <c r="Y4468" s="22">
        <v>0</v>
      </c>
      <c r="Z4468" s="80" t="s">
        <v>50</v>
      </c>
      <c r="AA4468" s="35" t="s">
        <v>9905</v>
      </c>
      <c r="AB4468" s="80"/>
      <c r="AC4468" s="80" t="s">
        <v>53</v>
      </c>
      <c r="AD4468" s="80" t="s">
        <v>138</v>
      </c>
      <c r="AE4468" s="80"/>
      <c r="AF4468" s="17">
        <v>45565</v>
      </c>
      <c r="AG4468" s="80"/>
      <c r="AH4468" s="80"/>
      <c r="AI4468" s="147"/>
      <c r="AJ4468" s="80"/>
      <c r="AK4468" s="80"/>
      <c r="AL4468" s="35"/>
      <c r="AM4468" s="35"/>
      <c r="AN4468" s="35"/>
      <c r="AO4468" s="35"/>
      <c r="AP4468" s="35"/>
    </row>
    <row r="4469" spans="1:42" x14ac:dyDescent="0.2">
      <c r="A4469" s="126">
        <v>45561.359086192126</v>
      </c>
      <c r="B4469" s="137" t="s">
        <v>37</v>
      </c>
      <c r="C4469" s="41" t="s">
        <v>118</v>
      </c>
      <c r="D4469" s="80" t="s">
        <v>36</v>
      </c>
      <c r="E4469" s="80" t="s">
        <v>139</v>
      </c>
      <c r="F4469" s="80" t="s">
        <v>36</v>
      </c>
      <c r="G4469" s="80" t="s">
        <v>41</v>
      </c>
      <c r="H4469" s="80" t="s">
        <v>13121</v>
      </c>
      <c r="I4469" s="17">
        <f ca="1">IFERROR(__xludf.DUMMYFUNCTION("""COMPUTED_VALUE"""),45565)</f>
        <v>45565</v>
      </c>
      <c r="J4469" s="143" t="s">
        <v>15661</v>
      </c>
      <c r="K4469" s="80" t="s">
        <v>15662</v>
      </c>
      <c r="L4469" s="30">
        <v>852359898</v>
      </c>
      <c r="M4469" s="80" t="s">
        <v>2755</v>
      </c>
      <c r="N4469" s="80" t="s">
        <v>4402</v>
      </c>
      <c r="O4469" s="80" t="s">
        <v>4503</v>
      </c>
      <c r="P4469" s="80" t="s">
        <v>15663</v>
      </c>
      <c r="Q4469" s="20">
        <v>15936</v>
      </c>
      <c r="R4469" s="80" t="s">
        <v>36</v>
      </c>
      <c r="S4469" s="95">
        <f t="shared" si="93"/>
        <v>3200</v>
      </c>
      <c r="T4469" s="83" t="s">
        <v>15664</v>
      </c>
      <c r="U4469" s="95">
        <v>12736</v>
      </c>
      <c r="V4469" s="148">
        <v>45589</v>
      </c>
      <c r="W4469" s="85" t="s">
        <v>15665</v>
      </c>
      <c r="X4469" s="80"/>
      <c r="Y4469" s="22">
        <v>0</v>
      </c>
      <c r="Z4469" s="80" t="s">
        <v>50</v>
      </c>
      <c r="AA4469" s="96" t="s">
        <v>9905</v>
      </c>
      <c r="AB4469" s="80"/>
      <c r="AC4469" s="80" t="s">
        <v>53</v>
      </c>
      <c r="AD4469" s="80" t="s">
        <v>138</v>
      </c>
      <c r="AE4469" s="80"/>
      <c r="AF4469" s="17">
        <v>45565</v>
      </c>
      <c r="AG4469" s="80"/>
      <c r="AH4469" s="80"/>
      <c r="AI4469" s="147"/>
      <c r="AJ4469" s="80"/>
      <c r="AK4469" s="80"/>
      <c r="AL4469" s="35"/>
      <c r="AM4469" s="35"/>
      <c r="AN4469" s="35"/>
      <c r="AO4469" s="35"/>
      <c r="AP4469" s="35"/>
    </row>
    <row r="4470" spans="1:42" x14ac:dyDescent="0.2">
      <c r="A4470" s="126">
        <v>45561.37485206018</v>
      </c>
      <c r="B4470" s="137" t="s">
        <v>37</v>
      </c>
      <c r="C4470" s="41" t="s">
        <v>118</v>
      </c>
      <c r="D4470" s="80" t="s">
        <v>36</v>
      </c>
      <c r="E4470" s="80" t="s">
        <v>139</v>
      </c>
      <c r="F4470" s="80" t="s">
        <v>36</v>
      </c>
      <c r="G4470" s="80" t="s">
        <v>41</v>
      </c>
      <c r="H4470" s="80" t="s">
        <v>13424</v>
      </c>
      <c r="I4470" s="17">
        <f ca="1">IFERROR(__xludf.DUMMYFUNCTION("""COMPUTED_VALUE"""),45572)</f>
        <v>45572</v>
      </c>
      <c r="J4470" s="143" t="s">
        <v>15666</v>
      </c>
      <c r="K4470" s="80" t="s">
        <v>15667</v>
      </c>
      <c r="L4470" s="30">
        <v>329523506</v>
      </c>
      <c r="M4470" s="80" t="s">
        <v>3728</v>
      </c>
      <c r="N4470" s="80" t="s">
        <v>5277</v>
      </c>
      <c r="O4470" s="80" t="s">
        <v>15668</v>
      </c>
      <c r="P4470" s="80" t="s">
        <v>15669</v>
      </c>
      <c r="Q4470" s="20">
        <v>15936</v>
      </c>
      <c r="R4470" s="80" t="s">
        <v>36</v>
      </c>
      <c r="S4470" s="95">
        <f>500+1500</f>
        <v>2000</v>
      </c>
      <c r="T4470" s="83" t="s">
        <v>15670</v>
      </c>
      <c r="U4470" s="95">
        <v>13936</v>
      </c>
      <c r="V4470" s="148">
        <v>45589</v>
      </c>
      <c r="W4470" s="85" t="s">
        <v>15671</v>
      </c>
      <c r="X4470" s="80"/>
      <c r="Y4470" s="22">
        <v>0</v>
      </c>
      <c r="Z4470" s="80" t="s">
        <v>50</v>
      </c>
      <c r="AA4470" s="35" t="s">
        <v>9905</v>
      </c>
      <c r="AB4470" s="80"/>
      <c r="AC4470" s="80" t="s">
        <v>53</v>
      </c>
      <c r="AD4470" s="80" t="s">
        <v>138</v>
      </c>
      <c r="AE4470" s="80"/>
      <c r="AF4470" s="17">
        <v>45572</v>
      </c>
      <c r="AG4470" s="80" t="s">
        <v>13430</v>
      </c>
      <c r="AH4470" s="80"/>
      <c r="AI4470" s="147"/>
      <c r="AJ4470" s="80"/>
      <c r="AK4470" s="80"/>
      <c r="AL4470" s="35"/>
      <c r="AM4470" s="35"/>
      <c r="AN4470" s="35"/>
      <c r="AO4470" s="35"/>
      <c r="AP4470" s="35"/>
    </row>
    <row r="4471" spans="1:42" x14ac:dyDescent="0.2">
      <c r="A4471" s="126">
        <v>45561.38732829861</v>
      </c>
      <c r="B4471" s="137" t="s">
        <v>37</v>
      </c>
      <c r="C4471" s="41" t="s">
        <v>118</v>
      </c>
      <c r="D4471" s="80" t="s">
        <v>36</v>
      </c>
      <c r="E4471" s="80" t="s">
        <v>148</v>
      </c>
      <c r="F4471" s="80" t="s">
        <v>36</v>
      </c>
      <c r="G4471" s="80" t="s">
        <v>108</v>
      </c>
      <c r="H4471" s="80" t="s">
        <v>10028</v>
      </c>
      <c r="I4471" s="17">
        <f ca="1">IFERROR(__xludf.DUMMYFUNCTION("""COMPUTED_VALUE"""),45562)</f>
        <v>45562</v>
      </c>
      <c r="J4471" s="143" t="s">
        <v>15672</v>
      </c>
      <c r="K4471" s="80" t="s">
        <v>15673</v>
      </c>
      <c r="L4471" s="30">
        <v>945994077</v>
      </c>
      <c r="M4471" s="80" t="s">
        <v>5429</v>
      </c>
      <c r="N4471" s="80" t="s">
        <v>756</v>
      </c>
      <c r="O4471" s="80" t="s">
        <v>61</v>
      </c>
      <c r="P4471" s="80" t="s">
        <v>6368</v>
      </c>
      <c r="Q4471" s="20">
        <v>7349</v>
      </c>
      <c r="R4471" s="80" t="s">
        <v>70</v>
      </c>
      <c r="S4471" s="95">
        <f>200+3800</f>
        <v>4000</v>
      </c>
      <c r="T4471" s="148">
        <v>45561</v>
      </c>
      <c r="U4471" s="95">
        <v>3349</v>
      </c>
      <c r="V4471" s="148">
        <v>45588</v>
      </c>
      <c r="W4471" s="85" t="s">
        <v>15674</v>
      </c>
      <c r="X4471" s="80"/>
      <c r="Y4471" s="22">
        <v>0</v>
      </c>
      <c r="Z4471" s="80" t="s">
        <v>50</v>
      </c>
      <c r="AA4471" s="96" t="s">
        <v>9905</v>
      </c>
      <c r="AB4471" s="80"/>
      <c r="AC4471" s="80" t="s">
        <v>53</v>
      </c>
      <c r="AD4471" s="80" t="s">
        <v>138</v>
      </c>
      <c r="AE4471" s="83">
        <v>390</v>
      </c>
      <c r="AF4471" s="17">
        <v>45562</v>
      </c>
      <c r="AG4471" s="80" t="s">
        <v>7078</v>
      </c>
      <c r="AH4471" s="80"/>
      <c r="AI4471" s="147"/>
      <c r="AJ4471" s="80"/>
      <c r="AK4471" s="80"/>
      <c r="AL4471" s="35"/>
      <c r="AM4471" s="35"/>
      <c r="AN4471" s="35"/>
      <c r="AO4471" s="35"/>
      <c r="AP4471" s="35"/>
    </row>
    <row r="4472" spans="1:42" x14ac:dyDescent="0.2">
      <c r="A4472" s="126">
        <v>45561.459607824072</v>
      </c>
      <c r="B4472" s="137" t="s">
        <v>37</v>
      </c>
      <c r="C4472" s="41" t="s">
        <v>118</v>
      </c>
      <c r="D4472" s="80" t="s">
        <v>36</v>
      </c>
      <c r="E4472" s="80" t="s">
        <v>139</v>
      </c>
      <c r="F4472" s="80" t="s">
        <v>36</v>
      </c>
      <c r="G4472" s="80" t="s">
        <v>41</v>
      </c>
      <c r="H4472" s="80" t="s">
        <v>13480</v>
      </c>
      <c r="I4472" s="17">
        <f ca="1">IFERROR(__xludf.DUMMYFUNCTION("""COMPUTED_VALUE"""),45564)</f>
        <v>45564</v>
      </c>
      <c r="J4472" s="143" t="s">
        <v>15675</v>
      </c>
      <c r="K4472" s="80" t="s">
        <v>15676</v>
      </c>
      <c r="L4472" s="30">
        <v>372783682</v>
      </c>
      <c r="M4472" s="80" t="s">
        <v>45</v>
      </c>
      <c r="N4472" s="80" t="s">
        <v>8420</v>
      </c>
      <c r="O4472" s="80" t="s">
        <v>15677</v>
      </c>
      <c r="P4472" s="80" t="s">
        <v>15678</v>
      </c>
      <c r="Q4472" s="20">
        <v>15936</v>
      </c>
      <c r="R4472" s="80" t="s">
        <v>70</v>
      </c>
      <c r="S4472" s="95">
        <v>1000</v>
      </c>
      <c r="T4472" s="148">
        <v>45561</v>
      </c>
      <c r="U4472" s="95">
        <v>14836</v>
      </c>
      <c r="V4472" s="148">
        <v>45566</v>
      </c>
      <c r="W4472" s="85" t="s">
        <v>15679</v>
      </c>
      <c r="X4472" s="80"/>
      <c r="Y4472" s="22">
        <v>100</v>
      </c>
      <c r="Z4472" s="80" t="s">
        <v>50</v>
      </c>
      <c r="AA4472" s="35" t="s">
        <v>9905</v>
      </c>
      <c r="AB4472" s="80"/>
      <c r="AC4472" s="80" t="s">
        <v>53</v>
      </c>
      <c r="AD4472" s="80" t="s">
        <v>54</v>
      </c>
      <c r="AE4472" s="83">
        <v>0</v>
      </c>
      <c r="AF4472" s="17">
        <v>45561</v>
      </c>
      <c r="AG4472" s="80"/>
      <c r="AH4472" s="80"/>
      <c r="AI4472" s="147"/>
      <c r="AJ4472" s="80"/>
      <c r="AK4472" s="80"/>
      <c r="AL4472" s="35"/>
      <c r="AM4472" s="35"/>
      <c r="AN4472" s="35"/>
      <c r="AO4472" s="35"/>
      <c r="AP4472" s="35"/>
    </row>
    <row r="4473" spans="1:42" x14ac:dyDescent="0.2">
      <c r="A4473" s="126">
        <v>45561.461218032404</v>
      </c>
      <c r="B4473" s="137" t="s">
        <v>37</v>
      </c>
      <c r="C4473" s="41" t="s">
        <v>118</v>
      </c>
      <c r="D4473" s="80" t="s">
        <v>36</v>
      </c>
      <c r="E4473" s="80" t="s">
        <v>139</v>
      </c>
      <c r="F4473" s="80" t="s">
        <v>36</v>
      </c>
      <c r="G4473" s="80" t="s">
        <v>41</v>
      </c>
      <c r="H4473" s="80" t="s">
        <v>13480</v>
      </c>
      <c r="I4473" s="17">
        <f ca="1">IFERROR(__xludf.DUMMYFUNCTION("""COMPUTED_VALUE"""),45564)</f>
        <v>45564</v>
      </c>
      <c r="J4473" s="143" t="s">
        <v>15680</v>
      </c>
      <c r="K4473" s="80" t="s">
        <v>15681</v>
      </c>
      <c r="L4473" s="30">
        <v>334055801</v>
      </c>
      <c r="M4473" s="80" t="s">
        <v>45</v>
      </c>
      <c r="N4473" s="80" t="s">
        <v>8420</v>
      </c>
      <c r="O4473" s="80" t="s">
        <v>15682</v>
      </c>
      <c r="P4473" s="80" t="s">
        <v>15683</v>
      </c>
      <c r="Q4473" s="20">
        <v>15936</v>
      </c>
      <c r="R4473" s="80" t="s">
        <v>70</v>
      </c>
      <c r="S4473" s="95">
        <v>1000</v>
      </c>
      <c r="T4473" s="148">
        <v>45561</v>
      </c>
      <c r="U4473" s="95">
        <v>14836</v>
      </c>
      <c r="V4473" s="148">
        <v>45576</v>
      </c>
      <c r="W4473" s="80" t="s">
        <v>15684</v>
      </c>
      <c r="X4473" s="80"/>
      <c r="Y4473" s="22">
        <v>100</v>
      </c>
      <c r="Z4473" s="80" t="s">
        <v>50</v>
      </c>
      <c r="AA4473" s="96" t="s">
        <v>9905</v>
      </c>
      <c r="AB4473" s="80"/>
      <c r="AC4473" s="80" t="s">
        <v>53</v>
      </c>
      <c r="AD4473" s="80" t="s">
        <v>54</v>
      </c>
      <c r="AE4473" s="83">
        <v>0</v>
      </c>
      <c r="AF4473" s="17">
        <v>45561</v>
      </c>
      <c r="AG4473" s="80"/>
      <c r="AH4473" s="80"/>
      <c r="AI4473" s="147"/>
      <c r="AJ4473" s="80"/>
      <c r="AK4473" s="80"/>
      <c r="AL4473" s="35"/>
      <c r="AM4473" s="35"/>
      <c r="AN4473" s="35"/>
      <c r="AO4473" s="35"/>
      <c r="AP4473" s="35"/>
    </row>
    <row r="4474" spans="1:42" x14ac:dyDescent="0.2">
      <c r="A4474" s="126">
        <v>45561.474222129633</v>
      </c>
      <c r="B4474" s="137" t="s">
        <v>37</v>
      </c>
      <c r="C4474" s="41" t="s">
        <v>118</v>
      </c>
      <c r="D4474" s="80" t="s">
        <v>36</v>
      </c>
      <c r="E4474" s="80" t="s">
        <v>139</v>
      </c>
      <c r="F4474" s="80" t="s">
        <v>40</v>
      </c>
      <c r="G4474" s="80" t="s">
        <v>41</v>
      </c>
      <c r="H4474" s="80" t="s">
        <v>13254</v>
      </c>
      <c r="I4474" s="17">
        <f ca="1">IFERROR(__xludf.DUMMYFUNCTION("""COMPUTED_VALUE"""),45568)</f>
        <v>45568</v>
      </c>
      <c r="J4474" s="143" t="s">
        <v>15685</v>
      </c>
      <c r="K4474" s="80" t="s">
        <v>15686</v>
      </c>
      <c r="L4474" s="30">
        <v>987001377</v>
      </c>
      <c r="M4474" s="80" t="s">
        <v>5518</v>
      </c>
      <c r="N4474" s="80" t="s">
        <v>12380</v>
      </c>
      <c r="O4474" s="80" t="s">
        <v>15687</v>
      </c>
      <c r="P4474" s="80" t="s">
        <v>15688</v>
      </c>
      <c r="Q4474" s="20">
        <v>15936</v>
      </c>
      <c r="R4474" s="80" t="s">
        <v>36</v>
      </c>
      <c r="S4474" s="95">
        <v>2000</v>
      </c>
      <c r="T4474" s="148">
        <v>45561</v>
      </c>
      <c r="U4474" s="95">
        <v>13936</v>
      </c>
      <c r="V4474" s="148">
        <v>45584</v>
      </c>
      <c r="W4474" s="85" t="s">
        <v>15689</v>
      </c>
      <c r="X4474" s="80"/>
      <c r="Y4474" s="22">
        <v>0</v>
      </c>
      <c r="Z4474" s="80" t="s">
        <v>50</v>
      </c>
      <c r="AA4474" s="35" t="s">
        <v>9905</v>
      </c>
      <c r="AB4474" s="80"/>
      <c r="AC4474" s="80" t="s">
        <v>53</v>
      </c>
      <c r="AD4474" s="80" t="s">
        <v>54</v>
      </c>
      <c r="AE4474" s="80"/>
      <c r="AF4474" s="17">
        <v>45561</v>
      </c>
      <c r="AG4474" s="80"/>
      <c r="AH4474" s="80"/>
      <c r="AI4474" s="147"/>
      <c r="AJ4474" s="80"/>
      <c r="AK4474" s="80"/>
      <c r="AL4474" s="35"/>
      <c r="AM4474" s="35"/>
      <c r="AN4474" s="35"/>
      <c r="AO4474" s="35"/>
      <c r="AP4474" s="35"/>
    </row>
    <row r="4475" spans="1:42" x14ac:dyDescent="0.2">
      <c r="A4475" s="126">
        <v>45561.477745543976</v>
      </c>
      <c r="B4475" s="137" t="s">
        <v>37</v>
      </c>
      <c r="C4475" s="41" t="s">
        <v>118</v>
      </c>
      <c r="D4475" s="80" t="s">
        <v>36</v>
      </c>
      <c r="E4475" s="80" t="s">
        <v>119</v>
      </c>
      <c r="F4475" s="80" t="s">
        <v>36</v>
      </c>
      <c r="G4475" s="80" t="s">
        <v>108</v>
      </c>
      <c r="H4475" s="80" t="s">
        <v>10223</v>
      </c>
      <c r="I4475" s="17">
        <f ca="1">IFERROR(__xludf.DUMMYFUNCTION("""COMPUTED_VALUE"""),45578)</f>
        <v>45578</v>
      </c>
      <c r="J4475" s="172" t="s">
        <v>15690</v>
      </c>
      <c r="K4475" s="80" t="s">
        <v>15691</v>
      </c>
      <c r="L4475" s="30">
        <v>987003791</v>
      </c>
      <c r="M4475" s="80" t="s">
        <v>12720</v>
      </c>
      <c r="N4475" s="80" t="s">
        <v>1073</v>
      </c>
      <c r="O4475" s="80" t="s">
        <v>15692</v>
      </c>
      <c r="P4475" s="80" t="s">
        <v>15693</v>
      </c>
      <c r="Q4475" s="20">
        <v>13968</v>
      </c>
      <c r="R4475" s="80" t="s">
        <v>36</v>
      </c>
      <c r="S4475" s="95">
        <f>200+3800</f>
        <v>4000</v>
      </c>
      <c r="T4475" s="83" t="s">
        <v>15694</v>
      </c>
      <c r="U4475" s="95">
        <v>9968</v>
      </c>
      <c r="V4475" s="148">
        <v>45595</v>
      </c>
      <c r="W4475" s="85" t="s">
        <v>15695</v>
      </c>
      <c r="X4475" s="80"/>
      <c r="Y4475" s="22">
        <v>0</v>
      </c>
      <c r="Z4475" s="80" t="s">
        <v>50</v>
      </c>
      <c r="AA4475" s="96" t="s">
        <v>9905</v>
      </c>
      <c r="AB4475" s="80"/>
      <c r="AC4475" s="80" t="s">
        <v>53</v>
      </c>
      <c r="AD4475" s="80" t="s">
        <v>138</v>
      </c>
      <c r="AE4475" s="83">
        <v>350</v>
      </c>
      <c r="AF4475" s="43">
        <v>45576</v>
      </c>
      <c r="AG4475" s="80" t="s">
        <v>15592</v>
      </c>
      <c r="AH4475" s="80"/>
      <c r="AI4475" s="147"/>
      <c r="AJ4475" s="80"/>
      <c r="AK4475" s="80"/>
      <c r="AL4475" s="35"/>
      <c r="AM4475" s="35"/>
      <c r="AN4475" s="35"/>
      <c r="AO4475" s="35"/>
      <c r="AP4475" s="35"/>
    </row>
    <row r="4476" spans="1:42" x14ac:dyDescent="0.2">
      <c r="A4476" s="126">
        <v>45561.482154722224</v>
      </c>
      <c r="B4476" s="137" t="s">
        <v>37</v>
      </c>
      <c r="C4476" s="41" t="s">
        <v>118</v>
      </c>
      <c r="D4476" s="80" t="s">
        <v>36</v>
      </c>
      <c r="E4476" s="80" t="s">
        <v>119</v>
      </c>
      <c r="F4476" s="80" t="s">
        <v>36</v>
      </c>
      <c r="G4476" s="80" t="s">
        <v>7629</v>
      </c>
      <c r="H4476" s="80" t="s">
        <v>11808</v>
      </c>
      <c r="I4476" s="17">
        <f ca="1">IFERROR(__xludf.DUMMYFUNCTION("""COMPUTED_VALUE"""),45579)</f>
        <v>45579</v>
      </c>
      <c r="J4476" s="143" t="s">
        <v>15696</v>
      </c>
      <c r="K4476" s="80" t="s">
        <v>14353</v>
      </c>
      <c r="L4476" s="30">
        <v>917844045</v>
      </c>
      <c r="M4476" s="80" t="s">
        <v>5518</v>
      </c>
      <c r="N4476" s="80" t="s">
        <v>12380</v>
      </c>
      <c r="O4476" s="80" t="s">
        <v>15697</v>
      </c>
      <c r="P4476" s="80" t="s">
        <v>3694</v>
      </c>
      <c r="Q4476" s="20">
        <v>13968</v>
      </c>
      <c r="R4476" s="80" t="s">
        <v>36</v>
      </c>
      <c r="S4476" s="95">
        <f>200+13768</f>
        <v>13968</v>
      </c>
      <c r="T4476" s="83" t="s">
        <v>15698</v>
      </c>
      <c r="U4476" s="77"/>
      <c r="V4476" s="78"/>
      <c r="W4476" s="85" t="s">
        <v>15699</v>
      </c>
      <c r="X4476" s="80"/>
      <c r="Y4476" s="22">
        <v>0</v>
      </c>
      <c r="Z4476" s="80" t="s">
        <v>50</v>
      </c>
      <c r="AA4476" s="35" t="s">
        <v>9905</v>
      </c>
      <c r="AB4476" s="80"/>
      <c r="AC4476" s="80" t="s">
        <v>53</v>
      </c>
      <c r="AD4476" s="80" t="s">
        <v>138</v>
      </c>
      <c r="AE4476" s="83">
        <v>400</v>
      </c>
      <c r="AF4476" s="43">
        <v>45579</v>
      </c>
      <c r="AG4476" s="80"/>
      <c r="AH4476" s="80"/>
      <c r="AI4476" s="147"/>
      <c r="AJ4476" s="80"/>
      <c r="AK4476" s="80"/>
      <c r="AL4476" s="35"/>
      <c r="AM4476" s="35"/>
      <c r="AN4476" s="35"/>
      <c r="AO4476" s="35"/>
      <c r="AP4476" s="35"/>
    </row>
    <row r="4477" spans="1:42" x14ac:dyDescent="0.2">
      <c r="A4477" s="126">
        <v>45561.485070266208</v>
      </c>
      <c r="B4477" s="137" t="s">
        <v>37</v>
      </c>
      <c r="C4477" s="41" t="s">
        <v>118</v>
      </c>
      <c r="D4477" s="80" t="s">
        <v>36</v>
      </c>
      <c r="E4477" s="80" t="s">
        <v>119</v>
      </c>
      <c r="F4477" s="80" t="s">
        <v>36</v>
      </c>
      <c r="G4477" s="80" t="s">
        <v>7629</v>
      </c>
      <c r="H4477" s="80" t="s">
        <v>11808</v>
      </c>
      <c r="I4477" s="17">
        <f ca="1">IFERROR(__xludf.DUMMYFUNCTION("""COMPUTED_VALUE"""),45579)</f>
        <v>45579</v>
      </c>
      <c r="J4477" s="143" t="s">
        <v>15700</v>
      </c>
      <c r="K4477" s="80" t="s">
        <v>15701</v>
      </c>
      <c r="L4477" s="30">
        <v>359423568</v>
      </c>
      <c r="M4477" s="80" t="s">
        <v>5518</v>
      </c>
      <c r="N4477" s="80" t="s">
        <v>12380</v>
      </c>
      <c r="O4477" s="80" t="s">
        <v>15702</v>
      </c>
      <c r="P4477" s="80" t="s">
        <v>3694</v>
      </c>
      <c r="Q4477" s="20">
        <v>13968</v>
      </c>
      <c r="R4477" s="80" t="s">
        <v>70</v>
      </c>
      <c r="S4477" s="95">
        <f t="shared" ref="S4477:S4478" si="94">500+3500</f>
        <v>4000</v>
      </c>
      <c r="T4477" s="83" t="s">
        <v>15698</v>
      </c>
      <c r="U4477" s="95">
        <v>9868</v>
      </c>
      <c r="V4477" s="148">
        <v>45595</v>
      </c>
      <c r="W4477" s="85" t="s">
        <v>15703</v>
      </c>
      <c r="X4477" s="80"/>
      <c r="Y4477" s="22">
        <v>100</v>
      </c>
      <c r="Z4477" s="80" t="s">
        <v>50</v>
      </c>
      <c r="AA4477" s="96" t="s">
        <v>9905</v>
      </c>
      <c r="AB4477" s="80"/>
      <c r="AC4477" s="80" t="s">
        <v>53</v>
      </c>
      <c r="AD4477" s="80" t="s">
        <v>138</v>
      </c>
      <c r="AE4477" s="83">
        <v>550</v>
      </c>
      <c r="AF4477" s="43">
        <v>45579</v>
      </c>
      <c r="AG4477" s="80"/>
      <c r="AH4477" s="80"/>
      <c r="AI4477" s="147"/>
      <c r="AJ4477" s="80"/>
      <c r="AK4477" s="80"/>
      <c r="AL4477" s="35"/>
      <c r="AM4477" s="35"/>
      <c r="AN4477" s="35"/>
      <c r="AO4477" s="35"/>
      <c r="AP4477" s="35"/>
    </row>
    <row r="4478" spans="1:42" x14ac:dyDescent="0.2">
      <c r="A4478" s="126">
        <v>45561.50160369213</v>
      </c>
      <c r="B4478" s="137" t="s">
        <v>37</v>
      </c>
      <c r="C4478" s="41" t="s">
        <v>118</v>
      </c>
      <c r="D4478" s="80" t="s">
        <v>36</v>
      </c>
      <c r="E4478" s="80" t="s">
        <v>119</v>
      </c>
      <c r="F4478" s="80" t="s">
        <v>36</v>
      </c>
      <c r="G4478" s="80" t="s">
        <v>7629</v>
      </c>
      <c r="H4478" s="80" t="s">
        <v>11808</v>
      </c>
      <c r="I4478" s="17">
        <f ca="1">IFERROR(__xludf.DUMMYFUNCTION("""COMPUTED_VALUE"""),45579)</f>
        <v>45579</v>
      </c>
      <c r="J4478" s="143" t="s">
        <v>15704</v>
      </c>
      <c r="K4478" s="80" t="s">
        <v>15705</v>
      </c>
      <c r="L4478" s="30">
        <v>325478778</v>
      </c>
      <c r="M4478" s="80" t="s">
        <v>5518</v>
      </c>
      <c r="N4478" s="80" t="s">
        <v>12380</v>
      </c>
      <c r="O4478" s="80" t="s">
        <v>15706</v>
      </c>
      <c r="P4478" s="80" t="s">
        <v>3694</v>
      </c>
      <c r="Q4478" s="20">
        <v>13968</v>
      </c>
      <c r="R4478" s="80" t="s">
        <v>70</v>
      </c>
      <c r="S4478" s="95">
        <f t="shared" si="94"/>
        <v>4000</v>
      </c>
      <c r="T4478" s="83" t="s">
        <v>15698</v>
      </c>
      <c r="U4478" s="95">
        <v>9868</v>
      </c>
      <c r="V4478" s="148">
        <v>45595</v>
      </c>
      <c r="W4478" s="85" t="s">
        <v>15707</v>
      </c>
      <c r="X4478" s="80"/>
      <c r="Y4478" s="22">
        <v>100</v>
      </c>
      <c r="Z4478" s="80" t="s">
        <v>50</v>
      </c>
      <c r="AA4478" s="35" t="s">
        <v>9905</v>
      </c>
      <c r="AB4478" s="80"/>
      <c r="AC4478" s="80" t="s">
        <v>53</v>
      </c>
      <c r="AD4478" s="80" t="s">
        <v>138</v>
      </c>
      <c r="AE4478" s="83">
        <v>500</v>
      </c>
      <c r="AF4478" s="43">
        <v>45579</v>
      </c>
      <c r="AG4478" s="80"/>
      <c r="AH4478" s="80"/>
      <c r="AI4478" s="147"/>
      <c r="AJ4478" s="80"/>
      <c r="AK4478" s="80"/>
      <c r="AL4478" s="35"/>
      <c r="AM4478" s="35"/>
      <c r="AN4478" s="35"/>
      <c r="AO4478" s="35"/>
      <c r="AP4478" s="35"/>
    </row>
    <row r="4479" spans="1:42" x14ac:dyDescent="0.2">
      <c r="A4479" s="126">
        <v>45561.619768958335</v>
      </c>
      <c r="B4479" s="137" t="s">
        <v>37</v>
      </c>
      <c r="C4479" s="41" t="s">
        <v>118</v>
      </c>
      <c r="D4479" s="80" t="s">
        <v>36</v>
      </c>
      <c r="E4479" s="80" t="s">
        <v>119</v>
      </c>
      <c r="F4479" s="80" t="s">
        <v>40</v>
      </c>
      <c r="G4479" s="80" t="s">
        <v>108</v>
      </c>
      <c r="H4479" s="80" t="s">
        <v>10028</v>
      </c>
      <c r="I4479" s="17">
        <f ca="1">IFERROR(__xludf.DUMMYFUNCTION("""COMPUTED_VALUE"""),45562)</f>
        <v>45562</v>
      </c>
      <c r="J4479" s="143" t="s">
        <v>15708</v>
      </c>
      <c r="K4479" s="80" t="s">
        <v>15709</v>
      </c>
      <c r="L4479" s="30">
        <v>337438958</v>
      </c>
      <c r="M4479" s="80" t="s">
        <v>5429</v>
      </c>
      <c r="N4479" s="80" t="s">
        <v>756</v>
      </c>
      <c r="O4479" s="80" t="s">
        <v>61</v>
      </c>
      <c r="P4479" s="80" t="s">
        <v>12597</v>
      </c>
      <c r="Q4479" s="20">
        <v>13968</v>
      </c>
      <c r="R4479" s="80" t="s">
        <v>36</v>
      </c>
      <c r="S4479" s="95">
        <v>4000</v>
      </c>
      <c r="T4479" s="148">
        <v>45561</v>
      </c>
      <c r="U4479" s="95">
        <v>9968</v>
      </c>
      <c r="V4479" s="148">
        <v>45573</v>
      </c>
      <c r="W4479" s="85" t="s">
        <v>15710</v>
      </c>
      <c r="X4479" s="80"/>
      <c r="Y4479" s="22">
        <v>0</v>
      </c>
      <c r="Z4479" s="80" t="s">
        <v>50</v>
      </c>
      <c r="AA4479" s="96" t="s">
        <v>9905</v>
      </c>
      <c r="AB4479" s="80"/>
      <c r="AC4479" s="80" t="s">
        <v>53</v>
      </c>
      <c r="AD4479" s="80" t="s">
        <v>138</v>
      </c>
      <c r="AE4479" s="83">
        <v>450</v>
      </c>
      <c r="AF4479" s="17">
        <v>45562</v>
      </c>
      <c r="AG4479" s="80"/>
      <c r="AH4479" s="80"/>
      <c r="AI4479" s="147"/>
      <c r="AJ4479" s="80"/>
      <c r="AK4479" s="80"/>
      <c r="AL4479" s="35"/>
      <c r="AM4479" s="35"/>
      <c r="AN4479" s="35"/>
      <c r="AO4479" s="35"/>
      <c r="AP4479" s="35"/>
    </row>
    <row r="4480" spans="1:42" x14ac:dyDescent="0.2">
      <c r="A4480" s="126">
        <v>45561.676698715281</v>
      </c>
      <c r="B4480" s="137" t="s">
        <v>37</v>
      </c>
      <c r="C4480" s="41" t="s">
        <v>118</v>
      </c>
      <c r="D4480" s="80" t="s">
        <v>36</v>
      </c>
      <c r="E4480" s="80" t="s">
        <v>139</v>
      </c>
      <c r="F4480" s="80" t="s">
        <v>36</v>
      </c>
      <c r="G4480" s="80" t="s">
        <v>41</v>
      </c>
      <c r="H4480" s="80" t="s">
        <v>15199</v>
      </c>
      <c r="I4480" s="17">
        <f ca="1">IFERROR(__xludf.DUMMYFUNCTION("""COMPUTED_VALUE"""),45579)</f>
        <v>45579</v>
      </c>
      <c r="J4480" s="143" t="s">
        <v>15711</v>
      </c>
      <c r="K4480" s="80" t="s">
        <v>15712</v>
      </c>
      <c r="L4480" s="30">
        <v>346578459</v>
      </c>
      <c r="M4480" s="80" t="s">
        <v>12720</v>
      </c>
      <c r="N4480" s="80" t="s">
        <v>1073</v>
      </c>
      <c r="O4480" s="80" t="s">
        <v>15713</v>
      </c>
      <c r="P4480" s="80" t="s">
        <v>14120</v>
      </c>
      <c r="Q4480" s="20">
        <v>15936</v>
      </c>
      <c r="R4480" s="80" t="s">
        <v>36</v>
      </c>
      <c r="S4480" s="95">
        <f>200+1800</f>
        <v>2000</v>
      </c>
      <c r="T4480" s="83" t="s">
        <v>15714</v>
      </c>
      <c r="U4480" s="95">
        <v>13936</v>
      </c>
      <c r="V4480" s="148">
        <v>45595</v>
      </c>
      <c r="W4480" s="85" t="s">
        <v>15715</v>
      </c>
      <c r="X4480" s="80"/>
      <c r="Y4480" s="22">
        <v>0</v>
      </c>
      <c r="Z4480" s="80" t="s">
        <v>50</v>
      </c>
      <c r="AA4480" s="35" t="s">
        <v>9905</v>
      </c>
      <c r="AB4480" s="80"/>
      <c r="AC4480" s="80" t="s">
        <v>53</v>
      </c>
      <c r="AD4480" s="80" t="s">
        <v>138</v>
      </c>
      <c r="AE4480" s="83">
        <v>0</v>
      </c>
      <c r="AF4480" s="43">
        <v>45579</v>
      </c>
      <c r="AG4480" s="80"/>
      <c r="AH4480" s="80"/>
      <c r="AI4480" s="147"/>
      <c r="AJ4480" s="80"/>
      <c r="AK4480" s="80"/>
      <c r="AL4480" s="35"/>
      <c r="AM4480" s="35"/>
      <c r="AN4480" s="35"/>
      <c r="AO4480" s="35"/>
      <c r="AP4480" s="35"/>
    </row>
    <row r="4481" spans="1:42" x14ac:dyDescent="0.2">
      <c r="A4481" s="126">
        <v>45561.834772187503</v>
      </c>
      <c r="B4481" s="137" t="s">
        <v>37</v>
      </c>
      <c r="C4481" s="41" t="s">
        <v>118</v>
      </c>
      <c r="D4481" s="80" t="s">
        <v>36</v>
      </c>
      <c r="E4481" s="80" t="s">
        <v>148</v>
      </c>
      <c r="F4481" s="80" t="s">
        <v>36</v>
      </c>
      <c r="G4481" s="80" t="s">
        <v>7629</v>
      </c>
      <c r="H4481" s="80" t="s">
        <v>11808</v>
      </c>
      <c r="I4481" s="17">
        <f ca="1">IFERROR(__xludf.DUMMYFUNCTION("""COMPUTED_VALUE"""),45579)</f>
        <v>45579</v>
      </c>
      <c r="J4481" s="143" t="s">
        <v>15716</v>
      </c>
      <c r="K4481" s="80" t="s">
        <v>15717</v>
      </c>
      <c r="L4481" s="30">
        <v>387973209</v>
      </c>
      <c r="M4481" s="80" t="s">
        <v>5518</v>
      </c>
      <c r="N4481" s="80" t="s">
        <v>5524</v>
      </c>
      <c r="O4481" s="80" t="s">
        <v>7637</v>
      </c>
      <c r="P4481" s="80" t="s">
        <v>3694</v>
      </c>
      <c r="Q4481" s="20">
        <v>7349</v>
      </c>
      <c r="R4481" s="80" t="s">
        <v>36</v>
      </c>
      <c r="S4481" s="95">
        <v>4000</v>
      </c>
      <c r="T4481" s="148">
        <v>45561</v>
      </c>
      <c r="U4481" s="95">
        <v>3349</v>
      </c>
      <c r="V4481" s="148">
        <v>45596</v>
      </c>
      <c r="W4481" s="85" t="s">
        <v>15718</v>
      </c>
      <c r="X4481" s="80"/>
      <c r="Y4481" s="22">
        <v>0</v>
      </c>
      <c r="Z4481" s="80" t="s">
        <v>50</v>
      </c>
      <c r="AA4481" s="96" t="s">
        <v>9905</v>
      </c>
      <c r="AB4481" s="80"/>
      <c r="AC4481" s="80" t="s">
        <v>53</v>
      </c>
      <c r="AD4481" s="80" t="s">
        <v>138</v>
      </c>
      <c r="AE4481" s="83">
        <v>470</v>
      </c>
      <c r="AF4481" s="43">
        <v>45579</v>
      </c>
      <c r="AG4481" s="80"/>
      <c r="AH4481" s="80"/>
      <c r="AI4481" s="147"/>
      <c r="AJ4481" s="80"/>
      <c r="AK4481" s="80"/>
      <c r="AL4481" s="35"/>
      <c r="AM4481" s="35"/>
      <c r="AN4481" s="35"/>
      <c r="AO4481" s="35"/>
      <c r="AP4481" s="35"/>
    </row>
    <row r="4482" spans="1:42" x14ac:dyDescent="0.2">
      <c r="A4482" s="126">
        <v>45561.836608437501</v>
      </c>
      <c r="B4482" s="137" t="s">
        <v>37</v>
      </c>
      <c r="C4482" s="41" t="s">
        <v>118</v>
      </c>
      <c r="D4482" s="80" t="s">
        <v>36</v>
      </c>
      <c r="E4482" s="80" t="s">
        <v>139</v>
      </c>
      <c r="F4482" s="80" t="s">
        <v>36</v>
      </c>
      <c r="G4482" s="80" t="s">
        <v>41</v>
      </c>
      <c r="H4482" s="80" t="s">
        <v>15199</v>
      </c>
      <c r="I4482" s="17">
        <f ca="1">IFERROR(__xludf.DUMMYFUNCTION("""COMPUTED_VALUE"""),45579)</f>
        <v>45579</v>
      </c>
      <c r="J4482" s="143" t="s">
        <v>15719</v>
      </c>
      <c r="K4482" s="80" t="s">
        <v>15720</v>
      </c>
      <c r="L4482" s="30">
        <v>865004206</v>
      </c>
      <c r="M4482" s="80" t="s">
        <v>5518</v>
      </c>
      <c r="N4482" s="80" t="s">
        <v>12380</v>
      </c>
      <c r="O4482" s="80" t="s">
        <v>15721</v>
      </c>
      <c r="P4482" s="80" t="s">
        <v>3694</v>
      </c>
      <c r="Q4482" s="20">
        <v>15936</v>
      </c>
      <c r="R4482" s="80" t="s">
        <v>36</v>
      </c>
      <c r="S4482" s="95">
        <f>500+1500</f>
        <v>2000</v>
      </c>
      <c r="T4482" s="83" t="s">
        <v>15722</v>
      </c>
      <c r="U4482" s="95">
        <v>13936</v>
      </c>
      <c r="V4482" s="148">
        <v>45595</v>
      </c>
      <c r="W4482" s="85" t="s">
        <v>15723</v>
      </c>
      <c r="X4482" s="80"/>
      <c r="Y4482" s="22">
        <v>0</v>
      </c>
      <c r="Z4482" s="80" t="s">
        <v>50</v>
      </c>
      <c r="AA4482" s="35" t="s">
        <v>9905</v>
      </c>
      <c r="AB4482" s="80"/>
      <c r="AC4482" s="80" t="s">
        <v>53</v>
      </c>
      <c r="AD4482" s="80" t="s">
        <v>138</v>
      </c>
      <c r="AE4482" s="80"/>
      <c r="AF4482" s="43">
        <v>45579</v>
      </c>
      <c r="AG4482" s="80"/>
      <c r="AH4482" s="80"/>
      <c r="AI4482" s="147"/>
      <c r="AJ4482" s="80"/>
      <c r="AK4482" s="80"/>
      <c r="AL4482" s="35"/>
      <c r="AM4482" s="35"/>
      <c r="AN4482" s="35"/>
      <c r="AO4482" s="35"/>
      <c r="AP4482" s="35"/>
    </row>
    <row r="4483" spans="1:42" x14ac:dyDescent="0.2">
      <c r="A4483" s="126">
        <v>45561.859700231478</v>
      </c>
      <c r="B4483" s="137" t="s">
        <v>37</v>
      </c>
      <c r="C4483" s="41" t="s">
        <v>118</v>
      </c>
      <c r="D4483" s="80" t="s">
        <v>36</v>
      </c>
      <c r="E4483" s="80" t="s">
        <v>56</v>
      </c>
      <c r="F4483" s="80" t="s">
        <v>36</v>
      </c>
      <c r="G4483" s="80" t="s">
        <v>41</v>
      </c>
      <c r="H4483" s="80" t="s">
        <v>12416</v>
      </c>
      <c r="I4483" s="17">
        <f ca="1">IFERROR(__xludf.DUMMYFUNCTION("""COMPUTED_VALUE"""),45574)</f>
        <v>45574</v>
      </c>
      <c r="J4483" s="143" t="s">
        <v>15724</v>
      </c>
      <c r="K4483" s="80" t="s">
        <v>15725</v>
      </c>
      <c r="L4483" s="30">
        <v>368643620</v>
      </c>
      <c r="M4483" s="80" t="s">
        <v>5429</v>
      </c>
      <c r="N4483" s="80" t="s">
        <v>81</v>
      </c>
      <c r="O4483" s="80" t="s">
        <v>15726</v>
      </c>
      <c r="P4483" s="144" t="s">
        <v>15727</v>
      </c>
      <c r="Q4483" s="20">
        <v>9317</v>
      </c>
      <c r="R4483" s="80" t="s">
        <v>36</v>
      </c>
      <c r="S4483" s="95">
        <f>200+1800</f>
        <v>2000</v>
      </c>
      <c r="T4483" s="83" t="s">
        <v>15728</v>
      </c>
      <c r="U4483" s="95">
        <v>7317</v>
      </c>
      <c r="V4483" s="169">
        <v>45594</v>
      </c>
      <c r="W4483" s="85" t="s">
        <v>15729</v>
      </c>
      <c r="X4483" s="80"/>
      <c r="Y4483" s="22">
        <v>0</v>
      </c>
      <c r="Z4483" s="80" t="s">
        <v>50</v>
      </c>
      <c r="AA4483" s="96" t="s">
        <v>9905</v>
      </c>
      <c r="AB4483" s="80"/>
      <c r="AC4483" s="80" t="s">
        <v>53</v>
      </c>
      <c r="AD4483" s="80" t="s">
        <v>138</v>
      </c>
      <c r="AE4483" s="80" t="s">
        <v>72</v>
      </c>
      <c r="AF4483" s="17">
        <v>45573</v>
      </c>
      <c r="AG4483" s="80" t="s">
        <v>13500</v>
      </c>
      <c r="AH4483" s="80"/>
      <c r="AI4483" s="147"/>
      <c r="AJ4483" s="80"/>
      <c r="AK4483" s="80"/>
      <c r="AL4483" s="35"/>
      <c r="AM4483" s="35"/>
      <c r="AN4483" s="35"/>
      <c r="AO4483" s="35"/>
      <c r="AP4483" s="35"/>
    </row>
    <row r="4484" spans="1:42" x14ac:dyDescent="0.2">
      <c r="A4484" s="126">
        <v>45561.906865081022</v>
      </c>
      <c r="B4484" s="137" t="s">
        <v>37</v>
      </c>
      <c r="C4484" s="41" t="s">
        <v>118</v>
      </c>
      <c r="D4484" s="80" t="s">
        <v>36</v>
      </c>
      <c r="E4484" s="80" t="s">
        <v>39</v>
      </c>
      <c r="F4484" s="80" t="s">
        <v>36</v>
      </c>
      <c r="G4484" s="80" t="s">
        <v>41</v>
      </c>
      <c r="H4484" s="80" t="s">
        <v>13384</v>
      </c>
      <c r="I4484" s="17">
        <f ca="1">IFERROR(__xludf.DUMMYFUNCTION("""COMPUTED_VALUE"""),45569)</f>
        <v>45569</v>
      </c>
      <c r="J4484" s="143" t="s">
        <v>15730</v>
      </c>
      <c r="K4484" s="80" t="s">
        <v>15731</v>
      </c>
      <c r="L4484" s="30">
        <v>344535069</v>
      </c>
      <c r="M4484" s="80" t="s">
        <v>59</v>
      </c>
      <c r="N4484" s="80" t="s">
        <v>7298</v>
      </c>
      <c r="O4484" s="80" t="s">
        <v>15732</v>
      </c>
      <c r="P4484" s="80" t="s">
        <v>15733</v>
      </c>
      <c r="Q4484" s="20">
        <v>5736</v>
      </c>
      <c r="R4484" s="80" t="s">
        <v>70</v>
      </c>
      <c r="S4484" s="95">
        <f>200+5436</f>
        <v>5636</v>
      </c>
      <c r="T4484" s="83" t="s">
        <v>15698</v>
      </c>
      <c r="U4484" s="77"/>
      <c r="V4484" s="78"/>
      <c r="W4484" s="85" t="s">
        <v>15734</v>
      </c>
      <c r="X4484" s="80"/>
      <c r="Y4484" s="22">
        <v>100</v>
      </c>
      <c r="Z4484" s="80" t="s">
        <v>50</v>
      </c>
      <c r="AA4484" s="35" t="s">
        <v>9905</v>
      </c>
      <c r="AB4484" s="80"/>
      <c r="AC4484" s="80" t="s">
        <v>53</v>
      </c>
      <c r="AD4484" s="80" t="s">
        <v>138</v>
      </c>
      <c r="AE4484" s="80" t="s">
        <v>430</v>
      </c>
      <c r="AF4484" s="17">
        <v>45569</v>
      </c>
      <c r="AG4484" s="80"/>
      <c r="AH4484" s="80"/>
      <c r="AI4484" s="147"/>
      <c r="AJ4484" s="80"/>
      <c r="AK4484" s="80"/>
      <c r="AL4484" s="35"/>
      <c r="AM4484" s="35"/>
      <c r="AN4484" s="35"/>
      <c r="AO4484" s="35"/>
      <c r="AP4484" s="35"/>
    </row>
    <row r="4485" spans="1:42" x14ac:dyDescent="0.2">
      <c r="A4485" s="126">
        <v>45561.93957732639</v>
      </c>
      <c r="B4485" s="137" t="s">
        <v>37</v>
      </c>
      <c r="C4485" s="41" t="s">
        <v>118</v>
      </c>
      <c r="D4485" s="80" t="s">
        <v>36</v>
      </c>
      <c r="E4485" s="80" t="s">
        <v>56</v>
      </c>
      <c r="F4485" s="80" t="s">
        <v>36</v>
      </c>
      <c r="G4485" s="80" t="s">
        <v>41</v>
      </c>
      <c r="H4485" s="80" t="s">
        <v>13424</v>
      </c>
      <c r="I4485" s="17">
        <f ca="1">IFERROR(__xludf.DUMMYFUNCTION("""COMPUTED_VALUE"""),45572)</f>
        <v>45572</v>
      </c>
      <c r="J4485" s="143" t="s">
        <v>15735</v>
      </c>
      <c r="K4485" s="80" t="s">
        <v>15020</v>
      </c>
      <c r="L4485" s="30">
        <v>962601390</v>
      </c>
      <c r="M4485" s="80" t="s">
        <v>9422</v>
      </c>
      <c r="N4485" s="80" t="s">
        <v>186</v>
      </c>
      <c r="O4485" s="80" t="s">
        <v>11607</v>
      </c>
      <c r="P4485" s="80" t="s">
        <v>15736</v>
      </c>
      <c r="Q4485" s="20">
        <v>9317</v>
      </c>
      <c r="R4485" s="80" t="s">
        <v>11421</v>
      </c>
      <c r="S4485" s="95">
        <v>2000</v>
      </c>
      <c r="T4485" s="148">
        <v>45561</v>
      </c>
      <c r="U4485" s="95">
        <v>7017</v>
      </c>
      <c r="V4485" s="148">
        <v>45586</v>
      </c>
      <c r="W4485" s="85" t="s">
        <v>15737</v>
      </c>
      <c r="X4485" s="80"/>
      <c r="Y4485" s="22">
        <v>300</v>
      </c>
      <c r="Z4485" s="80" t="s">
        <v>50</v>
      </c>
      <c r="AA4485" s="96" t="s">
        <v>9905</v>
      </c>
      <c r="AB4485" s="80"/>
      <c r="AC4485" s="80" t="s">
        <v>53</v>
      </c>
      <c r="AD4485" s="80" t="s">
        <v>138</v>
      </c>
      <c r="AE4485" s="80"/>
      <c r="AF4485" s="17">
        <v>45572</v>
      </c>
      <c r="AG4485" s="80" t="s">
        <v>13430</v>
      </c>
      <c r="AH4485" s="80"/>
      <c r="AI4485" s="147"/>
      <c r="AJ4485" s="80"/>
      <c r="AK4485" s="80"/>
      <c r="AL4485" s="35"/>
      <c r="AM4485" s="35"/>
      <c r="AN4485" s="35"/>
      <c r="AO4485" s="35"/>
      <c r="AP4485" s="35"/>
    </row>
    <row r="4486" spans="1:42" x14ac:dyDescent="0.2">
      <c r="A4486" s="126">
        <v>45561.942899791669</v>
      </c>
      <c r="B4486" s="137" t="s">
        <v>37</v>
      </c>
      <c r="C4486" s="41" t="s">
        <v>118</v>
      </c>
      <c r="D4486" s="80" t="s">
        <v>36</v>
      </c>
      <c r="E4486" s="80" t="s">
        <v>56</v>
      </c>
      <c r="F4486" s="80" t="s">
        <v>36</v>
      </c>
      <c r="G4486" s="80" t="s">
        <v>41</v>
      </c>
      <c r="H4486" s="80" t="s">
        <v>13424</v>
      </c>
      <c r="I4486" s="17">
        <f ca="1">IFERROR(__xludf.DUMMYFUNCTION("""COMPUTED_VALUE"""),45572)</f>
        <v>45572</v>
      </c>
      <c r="J4486" s="143" t="s">
        <v>15738</v>
      </c>
      <c r="K4486" s="80" t="s">
        <v>15739</v>
      </c>
      <c r="L4486" s="30">
        <v>333172445</v>
      </c>
      <c r="M4486" s="80" t="s">
        <v>9422</v>
      </c>
      <c r="N4486" s="80" t="s">
        <v>186</v>
      </c>
      <c r="O4486" s="80" t="s">
        <v>11607</v>
      </c>
      <c r="P4486" s="80" t="s">
        <v>15740</v>
      </c>
      <c r="Q4486" s="20">
        <v>9317</v>
      </c>
      <c r="R4486" s="80" t="s">
        <v>11421</v>
      </c>
      <c r="S4486" s="95">
        <v>2000</v>
      </c>
      <c r="T4486" s="170">
        <v>45561</v>
      </c>
      <c r="U4486" s="95">
        <v>7017</v>
      </c>
      <c r="V4486" s="148">
        <v>45586</v>
      </c>
      <c r="W4486" s="85" t="s">
        <v>15741</v>
      </c>
      <c r="X4486" s="80"/>
      <c r="Y4486" s="22">
        <v>300</v>
      </c>
      <c r="Z4486" s="80" t="s">
        <v>50</v>
      </c>
      <c r="AA4486" s="35" t="s">
        <v>9905</v>
      </c>
      <c r="AB4486" s="80"/>
      <c r="AC4486" s="80" t="s">
        <v>53</v>
      </c>
      <c r="AD4486" s="80" t="s">
        <v>138</v>
      </c>
      <c r="AE4486" s="80"/>
      <c r="AF4486" s="17">
        <v>45572</v>
      </c>
      <c r="AG4486" s="80" t="s">
        <v>13430</v>
      </c>
      <c r="AH4486" s="80"/>
      <c r="AI4486" s="147"/>
      <c r="AJ4486" s="80"/>
      <c r="AK4486" s="80"/>
      <c r="AL4486" s="35"/>
      <c r="AM4486" s="35"/>
      <c r="AN4486" s="35"/>
      <c r="AO4486" s="35"/>
      <c r="AP4486" s="35"/>
    </row>
    <row r="4487" spans="1:42" x14ac:dyDescent="0.2">
      <c r="A4487" s="126">
        <v>45562.328207800922</v>
      </c>
      <c r="B4487" s="137" t="s">
        <v>37</v>
      </c>
      <c r="C4487" s="41" t="s">
        <v>118</v>
      </c>
      <c r="D4487" s="80" t="s">
        <v>36</v>
      </c>
      <c r="E4487" s="80" t="s">
        <v>139</v>
      </c>
      <c r="F4487" s="80" t="s">
        <v>36</v>
      </c>
      <c r="G4487" s="80" t="s">
        <v>41</v>
      </c>
      <c r="H4487" s="80" t="s">
        <v>14934</v>
      </c>
      <c r="I4487" s="17">
        <f ca="1">IFERROR(__xludf.DUMMYFUNCTION("""COMPUTED_VALUE"""),45578)</f>
        <v>45578</v>
      </c>
      <c r="J4487" s="143" t="s">
        <v>15742</v>
      </c>
      <c r="K4487" s="80" t="s">
        <v>15743</v>
      </c>
      <c r="L4487" s="30">
        <v>974712006</v>
      </c>
      <c r="M4487" s="80" t="s">
        <v>12644</v>
      </c>
      <c r="N4487" s="80" t="s">
        <v>60</v>
      </c>
      <c r="O4487" s="80" t="s">
        <v>15744</v>
      </c>
      <c r="P4487" s="80" t="s">
        <v>13226</v>
      </c>
      <c r="Q4487" s="20">
        <v>15936</v>
      </c>
      <c r="R4487" s="80" t="s">
        <v>36</v>
      </c>
      <c r="S4487" s="95">
        <f t="shared" ref="S4487:S4488" si="95">200+1800</f>
        <v>2000</v>
      </c>
      <c r="T4487" s="83" t="s">
        <v>15745</v>
      </c>
      <c r="U4487" s="95">
        <v>13968</v>
      </c>
      <c r="V4487" s="148">
        <v>45591</v>
      </c>
      <c r="W4487" s="85" t="s">
        <v>15746</v>
      </c>
      <c r="X4487" s="80"/>
      <c r="Y4487" s="22">
        <v>-32</v>
      </c>
      <c r="Z4487" s="80" t="s">
        <v>50</v>
      </c>
      <c r="AA4487" s="96" t="s">
        <v>9905</v>
      </c>
      <c r="AB4487" s="80"/>
      <c r="AC4487" s="80" t="s">
        <v>53</v>
      </c>
      <c r="AD4487" s="80" t="s">
        <v>138</v>
      </c>
      <c r="AE4487" s="80"/>
      <c r="AF4487" s="43">
        <v>45576</v>
      </c>
      <c r="AG4487" s="80" t="s">
        <v>14940</v>
      </c>
      <c r="AH4487" s="80"/>
      <c r="AI4487" s="147"/>
      <c r="AJ4487" s="80"/>
      <c r="AK4487" s="80"/>
      <c r="AL4487" s="35"/>
      <c r="AM4487" s="35"/>
      <c r="AN4487" s="35"/>
      <c r="AO4487" s="35"/>
      <c r="AP4487" s="35"/>
    </row>
    <row r="4488" spans="1:42" x14ac:dyDescent="0.2">
      <c r="A4488" s="126">
        <v>45562.394423506943</v>
      </c>
      <c r="B4488" s="137" t="s">
        <v>37</v>
      </c>
      <c r="C4488" s="41" t="s">
        <v>118</v>
      </c>
      <c r="D4488" s="80" t="s">
        <v>36</v>
      </c>
      <c r="E4488" s="80" t="s">
        <v>139</v>
      </c>
      <c r="F4488" s="80" t="s">
        <v>36</v>
      </c>
      <c r="G4488" s="80" t="s">
        <v>41</v>
      </c>
      <c r="H4488" s="80" t="s">
        <v>13254</v>
      </c>
      <c r="I4488" s="17">
        <f ca="1">IFERROR(__xludf.DUMMYFUNCTION("""COMPUTED_VALUE"""),45568)</f>
        <v>45568</v>
      </c>
      <c r="J4488" s="143" t="s">
        <v>15747</v>
      </c>
      <c r="K4488" s="80" t="s">
        <v>15748</v>
      </c>
      <c r="L4488" s="30">
        <v>834646077</v>
      </c>
      <c r="M4488" s="80" t="s">
        <v>12529</v>
      </c>
      <c r="N4488" s="80" t="s">
        <v>466</v>
      </c>
      <c r="O4488" s="80" t="s">
        <v>15749</v>
      </c>
      <c r="P4488" s="80" t="s">
        <v>15750</v>
      </c>
      <c r="Q4488" s="20">
        <v>15936</v>
      </c>
      <c r="R4488" s="80" t="s">
        <v>36</v>
      </c>
      <c r="S4488" s="95">
        <f t="shared" si="95"/>
        <v>2000</v>
      </c>
      <c r="T4488" s="83" t="s">
        <v>15751</v>
      </c>
      <c r="U4488" s="95">
        <v>13936</v>
      </c>
      <c r="V4488" s="169">
        <v>45594</v>
      </c>
      <c r="W4488" s="85" t="s">
        <v>15752</v>
      </c>
      <c r="X4488" s="80"/>
      <c r="Y4488" s="22">
        <v>0</v>
      </c>
      <c r="Z4488" s="80" t="s">
        <v>50</v>
      </c>
      <c r="AA4488" s="35" t="s">
        <v>9905</v>
      </c>
      <c r="AB4488" s="80"/>
      <c r="AC4488" s="80" t="s">
        <v>53</v>
      </c>
      <c r="AD4488" s="80" t="s">
        <v>54</v>
      </c>
      <c r="AE4488" s="80"/>
      <c r="AF4488" s="17">
        <v>45565</v>
      </c>
      <c r="AG4488" s="80"/>
      <c r="AH4488" s="80"/>
      <c r="AI4488" s="147"/>
      <c r="AJ4488" s="80"/>
      <c r="AK4488" s="80"/>
      <c r="AL4488" s="35"/>
      <c r="AM4488" s="35"/>
      <c r="AN4488" s="35"/>
      <c r="AO4488" s="35"/>
      <c r="AP4488" s="35"/>
    </row>
    <row r="4489" spans="1:42" x14ac:dyDescent="0.2">
      <c r="A4489" s="126">
        <v>45562.519433090274</v>
      </c>
      <c r="B4489" s="137" t="s">
        <v>37</v>
      </c>
      <c r="C4489" s="41" t="s">
        <v>118</v>
      </c>
      <c r="D4489" s="80" t="s">
        <v>36</v>
      </c>
      <c r="E4489" s="80" t="s">
        <v>139</v>
      </c>
      <c r="F4489" s="80" t="s">
        <v>40</v>
      </c>
      <c r="G4489" s="80" t="s">
        <v>41</v>
      </c>
      <c r="H4489" s="80" t="s">
        <v>13254</v>
      </c>
      <c r="I4489" s="17">
        <f ca="1">IFERROR(__xludf.DUMMYFUNCTION("""COMPUTED_VALUE"""),45568)</f>
        <v>45568</v>
      </c>
      <c r="J4489" s="143" t="s">
        <v>15753</v>
      </c>
      <c r="K4489" s="80" t="s">
        <v>15754</v>
      </c>
      <c r="L4489" s="30">
        <v>988469785</v>
      </c>
      <c r="M4489" s="80" t="s">
        <v>3498</v>
      </c>
      <c r="N4489" s="80" t="s">
        <v>4402</v>
      </c>
      <c r="O4489" s="80" t="s">
        <v>4503</v>
      </c>
      <c r="P4489" s="80" t="s">
        <v>15755</v>
      </c>
      <c r="Q4489" s="20">
        <v>15936</v>
      </c>
      <c r="R4489" s="80" t="s">
        <v>36</v>
      </c>
      <c r="S4489" s="95">
        <v>3000</v>
      </c>
      <c r="T4489" s="148">
        <v>45562</v>
      </c>
      <c r="U4489" s="95">
        <v>12936</v>
      </c>
      <c r="V4489" s="148">
        <v>45585</v>
      </c>
      <c r="W4489" s="80" t="s">
        <v>15756</v>
      </c>
      <c r="X4489" s="80"/>
      <c r="Y4489" s="22">
        <v>0</v>
      </c>
      <c r="Z4489" s="80" t="s">
        <v>50</v>
      </c>
      <c r="AA4489" s="96" t="s">
        <v>9905</v>
      </c>
      <c r="AB4489" s="80"/>
      <c r="AC4489" s="80" t="s">
        <v>53</v>
      </c>
      <c r="AD4489" s="80" t="s">
        <v>54</v>
      </c>
      <c r="AE4489" s="80"/>
      <c r="AF4489" s="17">
        <v>45562</v>
      </c>
      <c r="AG4489" s="80"/>
      <c r="AH4489" s="80"/>
      <c r="AI4489" s="147"/>
      <c r="AJ4489" s="80"/>
      <c r="AK4489" s="80"/>
      <c r="AL4489" s="35"/>
      <c r="AM4489" s="35"/>
      <c r="AN4489" s="35"/>
      <c r="AO4489" s="35"/>
      <c r="AP4489" s="35"/>
    </row>
    <row r="4490" spans="1:42" x14ac:dyDescent="0.2">
      <c r="A4490" s="126">
        <v>45562.523947685186</v>
      </c>
      <c r="B4490" s="137" t="s">
        <v>90</v>
      </c>
      <c r="C4490" s="41" t="s">
        <v>118</v>
      </c>
      <c r="D4490" s="80" t="s">
        <v>36</v>
      </c>
      <c r="E4490" s="80" t="s">
        <v>56</v>
      </c>
      <c r="F4490" s="80" t="s">
        <v>36</v>
      </c>
      <c r="G4490" s="80" t="s">
        <v>41</v>
      </c>
      <c r="H4490" s="80" t="s">
        <v>12849</v>
      </c>
      <c r="I4490" s="17">
        <f ca="1">IFERROR(__xludf.DUMMYFUNCTION("""COMPUTED_VALUE"""),45564)</f>
        <v>45564</v>
      </c>
      <c r="J4490" s="143" t="s">
        <v>15757</v>
      </c>
      <c r="K4490" s="80" t="s">
        <v>15758</v>
      </c>
      <c r="L4490" s="30">
        <v>849606698</v>
      </c>
      <c r="M4490" s="80" t="s">
        <v>2755</v>
      </c>
      <c r="N4490" s="80" t="s">
        <v>4402</v>
      </c>
      <c r="O4490" s="80" t="s">
        <v>4503</v>
      </c>
      <c r="P4490" s="80" t="s">
        <v>15759</v>
      </c>
      <c r="Q4490" s="20">
        <v>9317</v>
      </c>
      <c r="R4490" s="80" t="s">
        <v>36</v>
      </c>
      <c r="S4490" s="95">
        <f>300+1700</f>
        <v>2000</v>
      </c>
      <c r="T4490" s="83" t="s">
        <v>15760</v>
      </c>
      <c r="U4490" s="95">
        <v>7317</v>
      </c>
      <c r="V4490" s="169">
        <v>45594</v>
      </c>
      <c r="W4490" s="85" t="s">
        <v>15761</v>
      </c>
      <c r="X4490" s="80"/>
      <c r="Y4490" s="22">
        <v>0</v>
      </c>
      <c r="Z4490" s="80" t="s">
        <v>50</v>
      </c>
      <c r="AA4490" s="35" t="s">
        <v>9905</v>
      </c>
      <c r="AB4490" s="80"/>
      <c r="AC4490" s="80" t="s">
        <v>2218</v>
      </c>
      <c r="AD4490" s="80" t="s">
        <v>54</v>
      </c>
      <c r="AE4490" s="80"/>
      <c r="AF4490" s="17">
        <v>45562</v>
      </c>
      <c r="AG4490" s="80" t="s">
        <v>7078</v>
      </c>
      <c r="AH4490" s="80"/>
      <c r="AI4490" s="147"/>
      <c r="AJ4490" s="80"/>
      <c r="AK4490" s="80"/>
      <c r="AL4490" s="35"/>
      <c r="AM4490" s="35"/>
      <c r="AN4490" s="35"/>
      <c r="AO4490" s="35"/>
      <c r="AP4490" s="35"/>
    </row>
    <row r="4491" spans="1:42" x14ac:dyDescent="0.2">
      <c r="A4491" s="126">
        <v>45562.633565983793</v>
      </c>
      <c r="B4491" s="137" t="s">
        <v>37</v>
      </c>
      <c r="C4491" s="41" t="s">
        <v>118</v>
      </c>
      <c r="D4491" s="80" t="s">
        <v>36</v>
      </c>
      <c r="E4491" s="80" t="s">
        <v>148</v>
      </c>
      <c r="F4491" s="80" t="s">
        <v>36</v>
      </c>
      <c r="G4491" s="80" t="s">
        <v>108</v>
      </c>
      <c r="H4491" s="80" t="s">
        <v>11802</v>
      </c>
      <c r="I4491" s="17">
        <f ca="1">IFERROR(__xludf.DUMMYFUNCTION("""COMPUTED_VALUE"""),45572)</f>
        <v>45572</v>
      </c>
      <c r="J4491" s="143" t="s">
        <v>15762</v>
      </c>
      <c r="K4491" s="80" t="s">
        <v>15763</v>
      </c>
      <c r="L4491" s="30">
        <v>789195055</v>
      </c>
      <c r="M4491" s="80" t="s">
        <v>12720</v>
      </c>
      <c r="N4491" s="80" t="s">
        <v>1073</v>
      </c>
      <c r="O4491" s="80" t="s">
        <v>15764</v>
      </c>
      <c r="P4491" s="80" t="s">
        <v>15765</v>
      </c>
      <c r="Q4491" s="20">
        <v>7349</v>
      </c>
      <c r="R4491" s="80" t="s">
        <v>36</v>
      </c>
      <c r="S4491" s="178">
        <f t="shared" ref="S4491:S4492" si="96">200+3800</f>
        <v>4000</v>
      </c>
      <c r="T4491" s="83" t="s">
        <v>15745</v>
      </c>
      <c r="U4491" s="95">
        <v>3349</v>
      </c>
      <c r="V4491" s="148">
        <v>45591</v>
      </c>
      <c r="W4491" s="85" t="s">
        <v>15766</v>
      </c>
      <c r="X4491" s="80"/>
      <c r="Y4491" s="22">
        <v>0</v>
      </c>
      <c r="Z4491" s="80" t="s">
        <v>50</v>
      </c>
      <c r="AA4491" s="96" t="s">
        <v>9905</v>
      </c>
      <c r="AB4491" s="80"/>
      <c r="AC4491" s="80" t="s">
        <v>53</v>
      </c>
      <c r="AD4491" s="80" t="s">
        <v>54</v>
      </c>
      <c r="AE4491" s="83">
        <v>380</v>
      </c>
      <c r="AF4491" s="17">
        <v>45564</v>
      </c>
      <c r="AG4491" s="80" t="s">
        <v>15767</v>
      </c>
      <c r="AH4491" s="80"/>
      <c r="AI4491" s="147"/>
      <c r="AJ4491" s="80"/>
      <c r="AK4491" s="80"/>
      <c r="AL4491" s="35"/>
      <c r="AM4491" s="35"/>
      <c r="AN4491" s="35"/>
      <c r="AO4491" s="35"/>
      <c r="AP4491" s="35"/>
    </row>
    <row r="4492" spans="1:42" x14ac:dyDescent="0.2">
      <c r="A4492" s="126">
        <v>45562.816717152775</v>
      </c>
      <c r="B4492" s="137" t="s">
        <v>37</v>
      </c>
      <c r="C4492" s="41" t="s">
        <v>118</v>
      </c>
      <c r="D4492" s="80" t="s">
        <v>36</v>
      </c>
      <c r="E4492" s="80" t="s">
        <v>119</v>
      </c>
      <c r="F4492" s="80" t="s">
        <v>36</v>
      </c>
      <c r="G4492" s="80" t="s">
        <v>108</v>
      </c>
      <c r="H4492" s="80" t="s">
        <v>10223</v>
      </c>
      <c r="I4492" s="17">
        <f ca="1">IFERROR(__xludf.DUMMYFUNCTION("""COMPUTED_VALUE"""),45578)</f>
        <v>45578</v>
      </c>
      <c r="J4492" s="143" t="s">
        <v>15768</v>
      </c>
      <c r="K4492" s="80" t="s">
        <v>15769</v>
      </c>
      <c r="L4492" s="30">
        <v>367572422</v>
      </c>
      <c r="M4492" s="80" t="s">
        <v>5429</v>
      </c>
      <c r="N4492" s="80" t="s">
        <v>756</v>
      </c>
      <c r="O4492" s="80" t="s">
        <v>15770</v>
      </c>
      <c r="P4492" s="80" t="s">
        <v>6368</v>
      </c>
      <c r="Q4492" s="20">
        <v>13968</v>
      </c>
      <c r="R4492" s="80" t="s">
        <v>36</v>
      </c>
      <c r="S4492" s="95">
        <f t="shared" si="96"/>
        <v>4000</v>
      </c>
      <c r="T4492" s="83" t="s">
        <v>15771</v>
      </c>
      <c r="U4492" s="95">
        <v>9968</v>
      </c>
      <c r="V4492" s="169">
        <v>45594</v>
      </c>
      <c r="W4492" s="85" t="s">
        <v>15772</v>
      </c>
      <c r="X4492" s="80"/>
      <c r="Y4492" s="22">
        <v>0</v>
      </c>
      <c r="Z4492" s="80" t="s">
        <v>50</v>
      </c>
      <c r="AA4492" s="35" t="s">
        <v>9905</v>
      </c>
      <c r="AB4492" s="80"/>
      <c r="AC4492" s="80" t="s">
        <v>53</v>
      </c>
      <c r="AD4492" s="80" t="s">
        <v>138</v>
      </c>
      <c r="AE4492" s="83">
        <v>420</v>
      </c>
      <c r="AF4492" s="43">
        <v>45576</v>
      </c>
      <c r="AG4492" s="80" t="s">
        <v>15592</v>
      </c>
      <c r="AH4492" s="80"/>
      <c r="AI4492" s="147"/>
      <c r="AJ4492" s="80"/>
      <c r="AK4492" s="80"/>
      <c r="AL4492" s="35"/>
      <c r="AM4492" s="35"/>
      <c r="AN4492" s="35"/>
      <c r="AO4492" s="35"/>
      <c r="AP4492" s="35"/>
    </row>
    <row r="4493" spans="1:42" x14ac:dyDescent="0.2">
      <c r="A4493" s="99">
        <v>45578</v>
      </c>
      <c r="B4493" s="137" t="s">
        <v>37</v>
      </c>
      <c r="C4493" s="41" t="s">
        <v>118</v>
      </c>
      <c r="D4493" s="80" t="s">
        <v>36</v>
      </c>
      <c r="E4493" s="80" t="s">
        <v>139</v>
      </c>
      <c r="F4493" s="80" t="s">
        <v>36</v>
      </c>
      <c r="G4493" s="80" t="s">
        <v>41</v>
      </c>
      <c r="H4493" s="80" t="s">
        <v>14934</v>
      </c>
      <c r="I4493" s="17">
        <f ca="1">IFERROR(__xludf.DUMMYFUNCTION("""COMPUTED_VALUE"""),45578)</f>
        <v>45578</v>
      </c>
      <c r="J4493" s="143" t="s">
        <v>15773</v>
      </c>
      <c r="K4493" s="80" t="s">
        <v>15774</v>
      </c>
      <c r="L4493" s="30">
        <v>972584609</v>
      </c>
      <c r="M4493" s="80" t="s">
        <v>3498</v>
      </c>
      <c r="N4493" s="80" t="s">
        <v>4402</v>
      </c>
      <c r="O4493" s="80" t="s">
        <v>4503</v>
      </c>
      <c r="P4493" s="80" t="s">
        <v>15775</v>
      </c>
      <c r="Q4493" s="20">
        <v>15936</v>
      </c>
      <c r="R4493" s="80" t="s">
        <v>36</v>
      </c>
      <c r="S4493" s="95">
        <f>200+1800</f>
        <v>2000</v>
      </c>
      <c r="T4493" s="83" t="s">
        <v>15776</v>
      </c>
      <c r="U4493" s="95">
        <v>13936</v>
      </c>
      <c r="V4493" s="169">
        <v>45594</v>
      </c>
      <c r="W4493" s="85" t="s">
        <v>15777</v>
      </c>
      <c r="X4493" s="80"/>
      <c r="Y4493" s="22">
        <v>0</v>
      </c>
      <c r="Z4493" s="80" t="s">
        <v>50</v>
      </c>
      <c r="AA4493" s="96" t="s">
        <v>9905</v>
      </c>
      <c r="AB4493" s="80"/>
      <c r="AC4493" s="80" t="s">
        <v>53</v>
      </c>
      <c r="AD4493" s="80" t="s">
        <v>54</v>
      </c>
      <c r="AE4493" s="80"/>
      <c r="AF4493" s="43">
        <v>45576</v>
      </c>
      <c r="AG4493" s="80" t="s">
        <v>14940</v>
      </c>
      <c r="AH4493" s="80"/>
      <c r="AI4493" s="147"/>
      <c r="AJ4493" s="80"/>
      <c r="AK4493" s="80"/>
      <c r="AL4493" s="35"/>
      <c r="AM4493" s="35"/>
      <c r="AN4493" s="35"/>
      <c r="AO4493" s="35"/>
      <c r="AP4493" s="35"/>
    </row>
    <row r="4494" spans="1:42" x14ac:dyDescent="0.2">
      <c r="A4494" s="126">
        <v>45562.936222071759</v>
      </c>
      <c r="B4494" s="137" t="s">
        <v>37</v>
      </c>
      <c r="C4494" s="41" t="s">
        <v>118</v>
      </c>
      <c r="D4494" s="80" t="s">
        <v>36</v>
      </c>
      <c r="E4494" s="80" t="s">
        <v>139</v>
      </c>
      <c r="F4494" s="80" t="s">
        <v>36</v>
      </c>
      <c r="G4494" s="80" t="s">
        <v>41</v>
      </c>
      <c r="H4494" s="80" t="s">
        <v>13254</v>
      </c>
      <c r="I4494" s="17">
        <f ca="1">IFERROR(__xludf.DUMMYFUNCTION("""COMPUTED_VALUE"""),45568)</f>
        <v>45568</v>
      </c>
      <c r="J4494" s="143" t="s">
        <v>15778</v>
      </c>
      <c r="K4494" s="80" t="s">
        <v>15779</v>
      </c>
      <c r="L4494" s="30">
        <v>962058223</v>
      </c>
      <c r="M4494" s="80" t="s">
        <v>3498</v>
      </c>
      <c r="N4494" s="80" t="s">
        <v>2756</v>
      </c>
      <c r="O4494" s="80" t="s">
        <v>4503</v>
      </c>
      <c r="P4494" s="80" t="s">
        <v>15780</v>
      </c>
      <c r="Q4494" s="20">
        <v>15936</v>
      </c>
      <c r="R4494" s="80" t="s">
        <v>70</v>
      </c>
      <c r="S4494" s="95">
        <v>3000</v>
      </c>
      <c r="T4494" s="148">
        <v>45562</v>
      </c>
      <c r="U4494" s="95">
        <v>12836</v>
      </c>
      <c r="V4494" s="169">
        <v>45591</v>
      </c>
      <c r="W4494" s="85" t="s">
        <v>15781</v>
      </c>
      <c r="X4494" s="80"/>
      <c r="Y4494" s="22">
        <v>100</v>
      </c>
      <c r="Z4494" s="80" t="s">
        <v>50</v>
      </c>
      <c r="AA4494" s="35" t="s">
        <v>9905</v>
      </c>
      <c r="AB4494" s="80"/>
      <c r="AC4494" s="80" t="s">
        <v>53</v>
      </c>
      <c r="AD4494" s="80" t="s">
        <v>54</v>
      </c>
      <c r="AE4494" s="80"/>
      <c r="AF4494" s="17">
        <v>45565</v>
      </c>
      <c r="AG4494" s="80"/>
      <c r="AH4494" s="80"/>
      <c r="AI4494" s="147"/>
      <c r="AJ4494" s="80"/>
      <c r="AK4494" s="80"/>
      <c r="AL4494" s="35"/>
      <c r="AM4494" s="35"/>
      <c r="AN4494" s="35"/>
      <c r="AO4494" s="35"/>
      <c r="AP4494" s="35"/>
    </row>
    <row r="4495" spans="1:42" x14ac:dyDescent="0.2">
      <c r="A4495" s="126">
        <v>45562.939098900461</v>
      </c>
      <c r="B4495" s="137" t="s">
        <v>37</v>
      </c>
      <c r="C4495" s="41" t="s">
        <v>118</v>
      </c>
      <c r="D4495" s="80" t="s">
        <v>36</v>
      </c>
      <c r="E4495" s="80" t="s">
        <v>139</v>
      </c>
      <c r="F4495" s="80" t="s">
        <v>36</v>
      </c>
      <c r="G4495" s="80" t="s">
        <v>41</v>
      </c>
      <c r="H4495" s="80" t="s">
        <v>10992</v>
      </c>
      <c r="I4495" s="17">
        <f ca="1">IFERROR(__xludf.DUMMYFUNCTION("""COMPUTED_VALUE"""),45565)</f>
        <v>45565</v>
      </c>
      <c r="J4495" s="143" t="s">
        <v>15782</v>
      </c>
      <c r="K4495" s="80" t="s">
        <v>15783</v>
      </c>
      <c r="L4495" s="30">
        <v>799088836</v>
      </c>
      <c r="M4495" s="80" t="s">
        <v>5558</v>
      </c>
      <c r="N4495" s="80" t="s">
        <v>850</v>
      </c>
      <c r="O4495" s="80" t="s">
        <v>4503</v>
      </c>
      <c r="P4495" s="144" t="s">
        <v>15784</v>
      </c>
      <c r="Q4495" s="20">
        <v>15936</v>
      </c>
      <c r="R4495" s="80" t="s">
        <v>36</v>
      </c>
      <c r="S4495" s="95">
        <v>2000</v>
      </c>
      <c r="T4495" s="148">
        <v>45562</v>
      </c>
      <c r="U4495" s="95">
        <v>13936</v>
      </c>
      <c r="V4495" s="148">
        <v>45586</v>
      </c>
      <c r="W4495" s="85" t="s">
        <v>15785</v>
      </c>
      <c r="X4495" s="80"/>
      <c r="Y4495" s="22">
        <v>0</v>
      </c>
      <c r="Z4495" s="80" t="s">
        <v>50</v>
      </c>
      <c r="AA4495" s="96" t="s">
        <v>9905</v>
      </c>
      <c r="AB4495" s="80"/>
      <c r="AC4495" s="80" t="s">
        <v>53</v>
      </c>
      <c r="AD4495" s="80" t="s">
        <v>54</v>
      </c>
      <c r="AE4495" s="80"/>
      <c r="AF4495" s="17">
        <v>45565</v>
      </c>
      <c r="AG4495" s="80"/>
      <c r="AH4495" s="80"/>
      <c r="AI4495" s="147"/>
      <c r="AJ4495" s="80"/>
      <c r="AK4495" s="80"/>
      <c r="AL4495" s="35"/>
      <c r="AM4495" s="35"/>
      <c r="AN4495" s="35"/>
      <c r="AO4495" s="35"/>
      <c r="AP4495" s="35"/>
    </row>
    <row r="4496" spans="1:42" x14ac:dyDescent="0.2">
      <c r="A4496" s="126">
        <v>45563.530289641203</v>
      </c>
      <c r="B4496" s="137" t="s">
        <v>37</v>
      </c>
      <c r="C4496" s="41" t="s">
        <v>118</v>
      </c>
      <c r="D4496" s="80" t="s">
        <v>36</v>
      </c>
      <c r="E4496" s="80" t="s">
        <v>119</v>
      </c>
      <c r="F4496" s="80" t="s">
        <v>36</v>
      </c>
      <c r="G4496" s="80" t="s">
        <v>108</v>
      </c>
      <c r="H4496" s="80" t="s">
        <v>10223</v>
      </c>
      <c r="I4496" s="17">
        <f ca="1">IFERROR(__xludf.DUMMYFUNCTION("""COMPUTED_VALUE"""),45578)</f>
        <v>45578</v>
      </c>
      <c r="J4496" s="143" t="s">
        <v>15786</v>
      </c>
      <c r="K4496" s="80" t="s">
        <v>15787</v>
      </c>
      <c r="L4496" s="30">
        <v>396484206</v>
      </c>
      <c r="M4496" s="80" t="s">
        <v>5429</v>
      </c>
      <c r="N4496" s="80" t="s">
        <v>756</v>
      </c>
      <c r="O4496" s="80" t="s">
        <v>15788</v>
      </c>
      <c r="P4496" s="80" t="s">
        <v>6368</v>
      </c>
      <c r="Q4496" s="20">
        <v>13968</v>
      </c>
      <c r="R4496" s="80" t="s">
        <v>36</v>
      </c>
      <c r="S4496" s="95">
        <f>200+3800</f>
        <v>4000</v>
      </c>
      <c r="T4496" s="83" t="s">
        <v>15789</v>
      </c>
      <c r="U4496" s="95">
        <v>9968</v>
      </c>
      <c r="V4496" s="169">
        <v>45594</v>
      </c>
      <c r="W4496" s="85" t="s">
        <v>15790</v>
      </c>
      <c r="X4496" s="80"/>
      <c r="Y4496" s="22">
        <v>0</v>
      </c>
      <c r="Z4496" s="80" t="s">
        <v>50</v>
      </c>
      <c r="AA4496" s="35" t="s">
        <v>9905</v>
      </c>
      <c r="AB4496" s="80"/>
      <c r="AC4496" s="80" t="s">
        <v>53</v>
      </c>
      <c r="AD4496" s="80" t="s">
        <v>138</v>
      </c>
      <c r="AE4496" s="83">
        <v>510</v>
      </c>
      <c r="AF4496" s="43">
        <v>45576</v>
      </c>
      <c r="AG4496" s="80" t="s">
        <v>15592</v>
      </c>
      <c r="AH4496" s="80"/>
      <c r="AI4496" s="147"/>
      <c r="AJ4496" s="80"/>
      <c r="AK4496" s="80"/>
      <c r="AL4496" s="35"/>
      <c r="AM4496" s="35"/>
      <c r="AN4496" s="35"/>
      <c r="AO4496" s="35"/>
      <c r="AP4496" s="35"/>
    </row>
    <row r="4497" spans="1:42" x14ac:dyDescent="0.2">
      <c r="A4497" s="126">
        <v>45563.561719502315</v>
      </c>
      <c r="B4497" s="137" t="s">
        <v>37</v>
      </c>
      <c r="C4497" s="41" t="s">
        <v>118</v>
      </c>
      <c r="D4497" s="80" t="s">
        <v>36</v>
      </c>
      <c r="E4497" s="80" t="s">
        <v>139</v>
      </c>
      <c r="F4497" s="80" t="s">
        <v>40</v>
      </c>
      <c r="G4497" s="80" t="s">
        <v>41</v>
      </c>
      <c r="H4497" s="80" t="s">
        <v>10992</v>
      </c>
      <c r="I4497" s="17">
        <f ca="1">IFERROR(__xludf.DUMMYFUNCTION("""COMPUTED_VALUE"""),45565)</f>
        <v>45565</v>
      </c>
      <c r="J4497" s="143" t="s">
        <v>15791</v>
      </c>
      <c r="K4497" s="80" t="s">
        <v>15792</v>
      </c>
      <c r="L4497" s="30">
        <v>336670816</v>
      </c>
      <c r="M4497" s="80" t="s">
        <v>59</v>
      </c>
      <c r="N4497" s="80" t="s">
        <v>4299</v>
      </c>
      <c r="O4497" s="80" t="s">
        <v>15793</v>
      </c>
      <c r="P4497" s="144" t="s">
        <v>15794</v>
      </c>
      <c r="Q4497" s="20">
        <v>15936</v>
      </c>
      <c r="R4497" s="80" t="s">
        <v>36</v>
      </c>
      <c r="S4497" s="95">
        <v>2000</v>
      </c>
      <c r="T4497" s="148">
        <v>45562</v>
      </c>
      <c r="U4497" s="95">
        <v>13963</v>
      </c>
      <c r="V4497" s="148">
        <v>45594</v>
      </c>
      <c r="W4497" s="85" t="s">
        <v>15795</v>
      </c>
      <c r="X4497" s="80"/>
      <c r="Y4497" s="22">
        <v>-27</v>
      </c>
      <c r="Z4497" s="80" t="s">
        <v>50</v>
      </c>
      <c r="AA4497" s="96" t="s">
        <v>9905</v>
      </c>
      <c r="AB4497" s="80"/>
      <c r="AC4497" s="80" t="s">
        <v>53</v>
      </c>
      <c r="AD4497" s="80" t="s">
        <v>54</v>
      </c>
      <c r="AE4497" s="80" t="s">
        <v>72</v>
      </c>
      <c r="AF4497" s="17">
        <v>45565</v>
      </c>
      <c r="AG4497" s="80"/>
      <c r="AH4497" s="80"/>
      <c r="AI4497" s="147"/>
      <c r="AJ4497" s="80"/>
      <c r="AK4497" s="80"/>
      <c r="AL4497" s="35"/>
      <c r="AM4497" s="35"/>
      <c r="AN4497" s="35"/>
      <c r="AO4497" s="35"/>
      <c r="AP4497" s="35"/>
    </row>
    <row r="4498" spans="1:42" x14ac:dyDescent="0.2">
      <c r="A4498" s="126">
        <v>45563.564203807866</v>
      </c>
      <c r="B4498" s="137" t="s">
        <v>37</v>
      </c>
      <c r="C4498" s="41" t="s">
        <v>118</v>
      </c>
      <c r="D4498" s="80" t="s">
        <v>36</v>
      </c>
      <c r="E4498" s="80" t="s">
        <v>39</v>
      </c>
      <c r="F4498" s="80" t="s">
        <v>36</v>
      </c>
      <c r="G4498" s="80" t="s">
        <v>41</v>
      </c>
      <c r="H4498" s="80" t="s">
        <v>15796</v>
      </c>
      <c r="I4498" s="17">
        <f ca="1">IFERROR(__xludf.DUMMYFUNCTION("""COMPUTED_VALUE"""),45594)</f>
        <v>45594</v>
      </c>
      <c r="J4498" s="143" t="s">
        <v>15797</v>
      </c>
      <c r="K4498" s="80" t="s">
        <v>15798</v>
      </c>
      <c r="L4498" s="30">
        <v>356121509</v>
      </c>
      <c r="M4498" s="80" t="s">
        <v>59</v>
      </c>
      <c r="N4498" s="80" t="s">
        <v>8342</v>
      </c>
      <c r="O4498" s="80" t="s">
        <v>15799</v>
      </c>
      <c r="P4498" s="80" t="s">
        <v>15800</v>
      </c>
      <c r="Q4498" s="20">
        <v>5736</v>
      </c>
      <c r="R4498" s="80" t="s">
        <v>36</v>
      </c>
      <c r="S4498" s="95">
        <f>200+5536</f>
        <v>5736</v>
      </c>
      <c r="T4498" s="83" t="s">
        <v>15771</v>
      </c>
      <c r="U4498" s="77"/>
      <c r="V4498" s="78"/>
      <c r="W4498" s="85" t="s">
        <v>15801</v>
      </c>
      <c r="X4498" s="80"/>
      <c r="Y4498" s="22">
        <v>0</v>
      </c>
      <c r="Z4498" s="80" t="s">
        <v>50</v>
      </c>
      <c r="AA4498" s="35" t="s">
        <v>9905</v>
      </c>
      <c r="AB4498" s="80"/>
      <c r="AC4498" s="80" t="s">
        <v>53</v>
      </c>
      <c r="AD4498" s="80" t="s">
        <v>54</v>
      </c>
      <c r="AE4498" s="80" t="s">
        <v>2670</v>
      </c>
      <c r="AF4498" s="43">
        <v>45594</v>
      </c>
      <c r="AG4498" s="80"/>
      <c r="AH4498" s="80"/>
      <c r="AI4498" s="147"/>
      <c r="AJ4498" s="80"/>
      <c r="AK4498" s="80"/>
      <c r="AL4498" s="35"/>
      <c r="AM4498" s="35"/>
      <c r="AN4498" s="35"/>
      <c r="AO4498" s="35"/>
      <c r="AP4498" s="35"/>
    </row>
    <row r="4499" spans="1:42" x14ac:dyDescent="0.2">
      <c r="A4499" s="126">
        <v>45563.566815682869</v>
      </c>
      <c r="B4499" s="137" t="s">
        <v>37</v>
      </c>
      <c r="C4499" s="41" t="s">
        <v>118</v>
      </c>
      <c r="D4499" s="80" t="s">
        <v>36</v>
      </c>
      <c r="E4499" s="80" t="s">
        <v>77</v>
      </c>
      <c r="F4499" s="80" t="s">
        <v>36</v>
      </c>
      <c r="G4499" s="80" t="s">
        <v>41</v>
      </c>
      <c r="H4499" s="80" t="s">
        <v>12700</v>
      </c>
      <c r="I4499" s="17">
        <f ca="1">IFERROR(__xludf.DUMMYFUNCTION("""COMPUTED_VALUE"""),45601)</f>
        <v>45601</v>
      </c>
      <c r="J4499" s="143" t="s">
        <v>15802</v>
      </c>
      <c r="K4499" s="80" t="s">
        <v>15803</v>
      </c>
      <c r="L4499" s="30">
        <v>966304082</v>
      </c>
      <c r="M4499" s="80" t="s">
        <v>59</v>
      </c>
      <c r="N4499" s="80" t="s">
        <v>9660</v>
      </c>
      <c r="O4499" s="80" t="s">
        <v>15804</v>
      </c>
      <c r="P4499" s="80" t="s">
        <v>15805</v>
      </c>
      <c r="Q4499" s="20">
        <v>1968</v>
      </c>
      <c r="R4499" s="80" t="s">
        <v>36</v>
      </c>
      <c r="S4499" s="95">
        <f t="shared" ref="S4499:S4500" si="97">200+1768</f>
        <v>1968</v>
      </c>
      <c r="T4499" s="83" t="s">
        <v>15806</v>
      </c>
      <c r="U4499" s="77"/>
      <c r="V4499" s="78"/>
      <c r="W4499" s="85" t="s">
        <v>15807</v>
      </c>
      <c r="X4499" s="80"/>
      <c r="Y4499" s="22">
        <v>0</v>
      </c>
      <c r="Z4499" s="80" t="s">
        <v>50</v>
      </c>
      <c r="AA4499" s="96" t="s">
        <v>9905</v>
      </c>
      <c r="AB4499" s="80"/>
      <c r="AC4499" s="80" t="s">
        <v>53</v>
      </c>
      <c r="AD4499" s="80" t="s">
        <v>54</v>
      </c>
      <c r="AE4499" s="80" t="s">
        <v>2670</v>
      </c>
      <c r="AF4499" s="43">
        <v>45596</v>
      </c>
      <c r="AG4499" s="80" t="s">
        <v>7078</v>
      </c>
      <c r="AH4499" s="80"/>
      <c r="AI4499" s="147"/>
      <c r="AJ4499" s="80"/>
      <c r="AK4499" s="80"/>
      <c r="AL4499" s="35"/>
      <c r="AM4499" s="35"/>
      <c r="AN4499" s="35"/>
      <c r="AO4499" s="35"/>
      <c r="AP4499" s="35"/>
    </row>
    <row r="4500" spans="1:42" x14ac:dyDescent="0.2">
      <c r="A4500" s="126">
        <v>45563.652725856482</v>
      </c>
      <c r="B4500" s="137" t="s">
        <v>37</v>
      </c>
      <c r="C4500" s="41" t="s">
        <v>118</v>
      </c>
      <c r="D4500" s="80" t="s">
        <v>36</v>
      </c>
      <c r="E4500" s="80" t="s">
        <v>77</v>
      </c>
      <c r="F4500" s="80" t="s">
        <v>36</v>
      </c>
      <c r="G4500" s="80" t="s">
        <v>41</v>
      </c>
      <c r="H4500" s="80" t="s">
        <v>13178</v>
      </c>
      <c r="I4500" s="17">
        <f ca="1">IFERROR(__xludf.DUMMYFUNCTION("""COMPUTED_VALUE"""),45572)</f>
        <v>45572</v>
      </c>
      <c r="J4500" s="143" t="s">
        <v>15808</v>
      </c>
      <c r="K4500" s="80" t="s">
        <v>15809</v>
      </c>
      <c r="L4500" s="30">
        <v>983022493</v>
      </c>
      <c r="M4500" s="80" t="s">
        <v>123</v>
      </c>
      <c r="N4500" s="80" t="s">
        <v>2847</v>
      </c>
      <c r="O4500" s="80" t="s">
        <v>4503</v>
      </c>
      <c r="P4500" s="80" t="s">
        <v>3487</v>
      </c>
      <c r="Q4500" s="20">
        <v>1968</v>
      </c>
      <c r="R4500" s="80" t="s">
        <v>36</v>
      </c>
      <c r="S4500" s="95">
        <f t="shared" si="97"/>
        <v>1968</v>
      </c>
      <c r="T4500" s="83" t="s">
        <v>12500</v>
      </c>
      <c r="U4500" s="77"/>
      <c r="V4500" s="78"/>
      <c r="W4500" s="85" t="s">
        <v>15810</v>
      </c>
      <c r="X4500" s="80"/>
      <c r="Y4500" s="22">
        <v>0</v>
      </c>
      <c r="Z4500" s="80" t="s">
        <v>50</v>
      </c>
      <c r="AA4500" s="35" t="s">
        <v>9905</v>
      </c>
      <c r="AB4500" s="80"/>
      <c r="AC4500" s="80" t="s">
        <v>53</v>
      </c>
      <c r="AD4500" s="80" t="s">
        <v>138</v>
      </c>
      <c r="AE4500" s="80"/>
      <c r="AF4500" s="17">
        <v>45572</v>
      </c>
      <c r="AG4500" s="80" t="s">
        <v>13185</v>
      </c>
      <c r="AH4500" s="80"/>
      <c r="AI4500" s="147"/>
      <c r="AJ4500" s="80"/>
      <c r="AK4500" s="80"/>
      <c r="AL4500" s="35"/>
      <c r="AM4500" s="35"/>
      <c r="AN4500" s="35"/>
      <c r="AO4500" s="35"/>
      <c r="AP4500" s="35"/>
    </row>
    <row r="4501" spans="1:42" x14ac:dyDescent="0.2">
      <c r="A4501" s="126">
        <v>45563.712156585651</v>
      </c>
      <c r="B4501" s="137" t="s">
        <v>37</v>
      </c>
      <c r="C4501" s="41" t="s">
        <v>118</v>
      </c>
      <c r="D4501" s="80" t="s">
        <v>36</v>
      </c>
      <c r="E4501" s="80" t="s">
        <v>139</v>
      </c>
      <c r="F4501" s="80" t="s">
        <v>36</v>
      </c>
      <c r="G4501" s="80" t="s">
        <v>41</v>
      </c>
      <c r="H4501" s="80" t="s">
        <v>12416</v>
      </c>
      <c r="I4501" s="17">
        <f ca="1">IFERROR(__xludf.DUMMYFUNCTION("""COMPUTED_VALUE"""),45574)</f>
        <v>45574</v>
      </c>
      <c r="J4501" s="143" t="s">
        <v>15811</v>
      </c>
      <c r="K4501" s="80" t="s">
        <v>15812</v>
      </c>
      <c r="L4501" s="30">
        <v>562907113</v>
      </c>
      <c r="M4501" s="80" t="s">
        <v>12720</v>
      </c>
      <c r="N4501" s="80" t="s">
        <v>1073</v>
      </c>
      <c r="O4501" s="80" t="s">
        <v>15813</v>
      </c>
      <c r="P4501" s="80" t="s">
        <v>15814</v>
      </c>
      <c r="Q4501" s="20">
        <v>15936</v>
      </c>
      <c r="R4501" s="80" t="s">
        <v>36</v>
      </c>
      <c r="S4501" s="95">
        <f>200+5936</f>
        <v>6136</v>
      </c>
      <c r="T4501" s="83" t="s">
        <v>15815</v>
      </c>
      <c r="U4501" s="95">
        <v>9800</v>
      </c>
      <c r="V4501" s="169">
        <v>45594</v>
      </c>
      <c r="W4501" s="85" t="s">
        <v>15816</v>
      </c>
      <c r="X4501" s="80"/>
      <c r="Y4501" s="22">
        <v>0</v>
      </c>
      <c r="Z4501" s="80" t="s">
        <v>50</v>
      </c>
      <c r="AA4501" s="96" t="s">
        <v>9905</v>
      </c>
      <c r="AB4501" s="80"/>
      <c r="AC4501" s="80" t="s">
        <v>53</v>
      </c>
      <c r="AD4501" s="80" t="s">
        <v>138</v>
      </c>
      <c r="AE4501" s="83">
        <v>0</v>
      </c>
      <c r="AF4501" s="17">
        <v>45573</v>
      </c>
      <c r="AG4501" s="80" t="s">
        <v>13500</v>
      </c>
      <c r="AH4501" s="80"/>
      <c r="AI4501" s="147"/>
      <c r="AJ4501" s="80"/>
      <c r="AK4501" s="80"/>
      <c r="AL4501" s="35"/>
      <c r="AM4501" s="35"/>
      <c r="AN4501" s="35"/>
      <c r="AO4501" s="35"/>
      <c r="AP4501" s="35"/>
    </row>
    <row r="4502" spans="1:42" x14ac:dyDescent="0.2">
      <c r="A4502" s="126">
        <v>45563.714307719907</v>
      </c>
      <c r="B4502" s="137" t="s">
        <v>37</v>
      </c>
      <c r="C4502" s="41" t="s">
        <v>118</v>
      </c>
      <c r="D4502" s="80" t="s">
        <v>36</v>
      </c>
      <c r="E4502" s="80" t="s">
        <v>77</v>
      </c>
      <c r="F4502" s="80" t="s">
        <v>36</v>
      </c>
      <c r="G4502" s="80" t="s">
        <v>41</v>
      </c>
      <c r="H4502" s="80" t="s">
        <v>12416</v>
      </c>
      <c r="I4502" s="17">
        <f ca="1">IFERROR(__xludf.DUMMYFUNCTION("""COMPUTED_VALUE"""),45574)</f>
        <v>45574</v>
      </c>
      <c r="J4502" s="143" t="s">
        <v>15817</v>
      </c>
      <c r="K4502" s="80" t="s">
        <v>15818</v>
      </c>
      <c r="L4502" s="30">
        <v>967262938</v>
      </c>
      <c r="M4502" s="80" t="s">
        <v>12720</v>
      </c>
      <c r="N4502" s="80" t="s">
        <v>1073</v>
      </c>
      <c r="O4502" s="80" t="s">
        <v>15819</v>
      </c>
      <c r="P4502" s="80" t="s">
        <v>15820</v>
      </c>
      <c r="Q4502" s="20">
        <v>1968</v>
      </c>
      <c r="R4502" s="80" t="s">
        <v>36</v>
      </c>
      <c r="S4502" s="95">
        <f>200+1800</f>
        <v>2000</v>
      </c>
      <c r="T4502" s="83" t="s">
        <v>15821</v>
      </c>
      <c r="U4502" s="77"/>
      <c r="V4502" s="78"/>
      <c r="W4502" s="85" t="s">
        <v>15822</v>
      </c>
      <c r="X4502" s="80"/>
      <c r="Y4502" s="22">
        <v>-32</v>
      </c>
      <c r="Z4502" s="80" t="s">
        <v>50</v>
      </c>
      <c r="AA4502" s="35" t="s">
        <v>9905</v>
      </c>
      <c r="AB4502" s="80"/>
      <c r="AC4502" s="80" t="s">
        <v>53</v>
      </c>
      <c r="AD4502" s="80" t="s">
        <v>138</v>
      </c>
      <c r="AE4502" s="83"/>
      <c r="AF4502" s="17">
        <v>45573</v>
      </c>
      <c r="AG4502" s="26" t="s">
        <v>7078</v>
      </c>
      <c r="AH4502" s="80"/>
      <c r="AI4502" s="147"/>
      <c r="AJ4502" s="80"/>
      <c r="AK4502" s="80"/>
      <c r="AL4502" s="35"/>
      <c r="AM4502" s="35"/>
      <c r="AN4502" s="35"/>
      <c r="AO4502" s="35"/>
      <c r="AP4502" s="35"/>
    </row>
    <row r="4503" spans="1:42" x14ac:dyDescent="0.2">
      <c r="A4503" s="126">
        <v>45563.757907893523</v>
      </c>
      <c r="B4503" s="137" t="s">
        <v>37</v>
      </c>
      <c r="C4503" s="41" t="s">
        <v>118</v>
      </c>
      <c r="D4503" s="80" t="s">
        <v>36</v>
      </c>
      <c r="E4503" s="80" t="s">
        <v>139</v>
      </c>
      <c r="F4503" s="80" t="s">
        <v>36</v>
      </c>
      <c r="G4503" s="80" t="s">
        <v>41</v>
      </c>
      <c r="H4503" s="80" t="s">
        <v>13178</v>
      </c>
      <c r="I4503" s="17">
        <f ca="1">IFERROR(__xludf.DUMMYFUNCTION("""COMPUTED_VALUE"""),45572)</f>
        <v>45572</v>
      </c>
      <c r="J4503" s="143" t="s">
        <v>15823</v>
      </c>
      <c r="K4503" s="80" t="s">
        <v>15824</v>
      </c>
      <c r="L4503" s="30">
        <v>971810364</v>
      </c>
      <c r="M4503" s="80" t="s">
        <v>5558</v>
      </c>
      <c r="N4503" s="80" t="s">
        <v>5277</v>
      </c>
      <c r="O4503" s="80" t="s">
        <v>4503</v>
      </c>
      <c r="P4503" s="80" t="s">
        <v>15825</v>
      </c>
      <c r="Q4503" s="20">
        <v>15936</v>
      </c>
      <c r="R4503" s="80" t="s">
        <v>36</v>
      </c>
      <c r="S4503" s="95">
        <v>2000</v>
      </c>
      <c r="T4503" s="148">
        <v>45562</v>
      </c>
      <c r="U4503" s="95">
        <v>13936</v>
      </c>
      <c r="V4503" s="169">
        <v>45586</v>
      </c>
      <c r="W4503" s="85" t="s">
        <v>15826</v>
      </c>
      <c r="X4503" s="80"/>
      <c r="Y4503" s="22">
        <v>0</v>
      </c>
      <c r="Z4503" s="80" t="s">
        <v>50</v>
      </c>
      <c r="AA4503" s="96" t="s">
        <v>9905</v>
      </c>
      <c r="AB4503" s="80"/>
      <c r="AC4503" s="80" t="s">
        <v>53</v>
      </c>
      <c r="AD4503" s="80" t="s">
        <v>138</v>
      </c>
      <c r="AE4503" s="80"/>
      <c r="AF4503" s="17">
        <v>45572</v>
      </c>
      <c r="AG4503" s="80" t="s">
        <v>13185</v>
      </c>
      <c r="AH4503" s="80"/>
      <c r="AI4503" s="147"/>
      <c r="AJ4503" s="80"/>
      <c r="AK4503" s="80"/>
      <c r="AL4503" s="35"/>
      <c r="AM4503" s="35"/>
      <c r="AN4503" s="35"/>
      <c r="AO4503" s="35"/>
      <c r="AP4503" s="35"/>
    </row>
    <row r="4504" spans="1:42" x14ac:dyDescent="0.2">
      <c r="A4504" s="126">
        <v>45563.788231030092</v>
      </c>
      <c r="B4504" s="137" t="s">
        <v>37</v>
      </c>
      <c r="C4504" s="41" t="s">
        <v>118</v>
      </c>
      <c r="D4504" s="80" t="s">
        <v>36</v>
      </c>
      <c r="E4504" s="80" t="s">
        <v>139</v>
      </c>
      <c r="F4504" s="80" t="s">
        <v>36</v>
      </c>
      <c r="G4504" s="80" t="s">
        <v>41</v>
      </c>
      <c r="H4504" s="80" t="s">
        <v>12416</v>
      </c>
      <c r="I4504" s="17">
        <f ca="1">IFERROR(__xludf.DUMMYFUNCTION("""COMPUTED_VALUE"""),45574)</f>
        <v>45574</v>
      </c>
      <c r="J4504" s="143" t="s">
        <v>15827</v>
      </c>
      <c r="K4504" s="80" t="s">
        <v>15828</v>
      </c>
      <c r="L4504" s="30">
        <v>349667860</v>
      </c>
      <c r="M4504" s="80" t="s">
        <v>12720</v>
      </c>
      <c r="N4504" s="80" t="s">
        <v>1073</v>
      </c>
      <c r="O4504" s="80" t="s">
        <v>15829</v>
      </c>
      <c r="P4504" s="80" t="s">
        <v>15830</v>
      </c>
      <c r="Q4504" s="20">
        <v>15936</v>
      </c>
      <c r="R4504" s="80" t="s">
        <v>36</v>
      </c>
      <c r="S4504" s="95">
        <f>200+1800</f>
        <v>2000</v>
      </c>
      <c r="T4504" s="83" t="s">
        <v>15831</v>
      </c>
      <c r="U4504" s="95">
        <v>13936</v>
      </c>
      <c r="V4504" s="148">
        <v>45595</v>
      </c>
      <c r="W4504" s="85" t="s">
        <v>15832</v>
      </c>
      <c r="X4504" s="80"/>
      <c r="Y4504" s="22">
        <v>0</v>
      </c>
      <c r="Z4504" s="80" t="s">
        <v>50</v>
      </c>
      <c r="AA4504" s="35" t="s">
        <v>9905</v>
      </c>
      <c r="AB4504" s="80"/>
      <c r="AC4504" s="80" t="s">
        <v>53</v>
      </c>
      <c r="AD4504" s="80" t="s">
        <v>138</v>
      </c>
      <c r="AE4504" s="83">
        <v>0</v>
      </c>
      <c r="AF4504" s="17">
        <v>45573</v>
      </c>
      <c r="AG4504" s="80" t="s">
        <v>13500</v>
      </c>
      <c r="AH4504" s="80"/>
      <c r="AI4504" s="147"/>
      <c r="AJ4504" s="80"/>
      <c r="AK4504" s="80"/>
      <c r="AL4504" s="35"/>
      <c r="AM4504" s="35"/>
      <c r="AN4504" s="35"/>
      <c r="AO4504" s="35"/>
      <c r="AP4504" s="35"/>
    </row>
    <row r="4505" spans="1:42" x14ac:dyDescent="0.2">
      <c r="A4505" s="126">
        <v>45563.925407650459</v>
      </c>
      <c r="B4505" s="137" t="s">
        <v>37</v>
      </c>
      <c r="C4505" s="41" t="s">
        <v>118</v>
      </c>
      <c r="D4505" s="80" t="s">
        <v>36</v>
      </c>
      <c r="E4505" s="80" t="s">
        <v>139</v>
      </c>
      <c r="F4505" s="80" t="s">
        <v>36</v>
      </c>
      <c r="G4505" s="80" t="s">
        <v>41</v>
      </c>
      <c r="H4505" s="80" t="s">
        <v>10992</v>
      </c>
      <c r="I4505" s="17">
        <f ca="1">IFERROR(__xludf.DUMMYFUNCTION("""COMPUTED_VALUE"""),45565)</f>
        <v>45565</v>
      </c>
      <c r="J4505" s="143" t="s">
        <v>15833</v>
      </c>
      <c r="K4505" s="80" t="s">
        <v>15834</v>
      </c>
      <c r="L4505" s="30">
        <v>862016198</v>
      </c>
      <c r="M4505" s="80" t="s">
        <v>12720</v>
      </c>
      <c r="N4505" s="80" t="s">
        <v>1073</v>
      </c>
      <c r="O4505" s="80" t="s">
        <v>15835</v>
      </c>
      <c r="P4505" s="144" t="s">
        <v>15836</v>
      </c>
      <c r="Q4505" s="20">
        <v>15936</v>
      </c>
      <c r="R4505" s="80" t="s">
        <v>36</v>
      </c>
      <c r="S4505" s="95">
        <v>2000</v>
      </c>
      <c r="T4505" s="148">
        <v>45563</v>
      </c>
      <c r="U4505" s="95">
        <f>6000+7936</f>
        <v>13936</v>
      </c>
      <c r="V4505" s="179" t="s">
        <v>15837</v>
      </c>
      <c r="W4505" s="85" t="s">
        <v>15838</v>
      </c>
      <c r="X4505" s="80"/>
      <c r="Y4505" s="22">
        <v>0</v>
      </c>
      <c r="Z4505" s="80" t="s">
        <v>50</v>
      </c>
      <c r="AA4505" s="96" t="s">
        <v>9905</v>
      </c>
      <c r="AB4505" s="80"/>
      <c r="AC4505" s="80" t="s">
        <v>53</v>
      </c>
      <c r="AD4505" s="80" t="s">
        <v>54</v>
      </c>
      <c r="AE4505" s="83">
        <v>0</v>
      </c>
      <c r="AF4505" s="17">
        <v>45565</v>
      </c>
      <c r="AG4505" s="80"/>
      <c r="AH4505" s="80"/>
      <c r="AI4505" s="147"/>
      <c r="AJ4505" s="80"/>
      <c r="AK4505" s="80"/>
      <c r="AL4505" s="35"/>
      <c r="AM4505" s="35"/>
      <c r="AN4505" s="35"/>
      <c r="AO4505" s="35"/>
      <c r="AP4505" s="35"/>
    </row>
    <row r="4506" spans="1:42" x14ac:dyDescent="0.2">
      <c r="A4506" s="126">
        <v>45563.931865543986</v>
      </c>
      <c r="B4506" s="137" t="s">
        <v>37</v>
      </c>
      <c r="C4506" s="41" t="s">
        <v>118</v>
      </c>
      <c r="D4506" s="80" t="s">
        <v>36</v>
      </c>
      <c r="E4506" s="80" t="s">
        <v>119</v>
      </c>
      <c r="F4506" s="80" t="s">
        <v>36</v>
      </c>
      <c r="G4506" s="80" t="s">
        <v>108</v>
      </c>
      <c r="H4506" s="80" t="s">
        <v>10223</v>
      </c>
      <c r="I4506" s="17">
        <f ca="1">IFERROR(__xludf.DUMMYFUNCTION("""COMPUTED_VALUE"""),45578)</f>
        <v>45578</v>
      </c>
      <c r="J4506" s="143" t="s">
        <v>15839</v>
      </c>
      <c r="K4506" s="80" t="s">
        <v>15840</v>
      </c>
      <c r="L4506" s="30">
        <v>814306328</v>
      </c>
      <c r="M4506" s="80" t="s">
        <v>5429</v>
      </c>
      <c r="N4506" s="80" t="s">
        <v>9251</v>
      </c>
      <c r="O4506" s="80" t="s">
        <v>4626</v>
      </c>
      <c r="P4506" s="80" t="s">
        <v>12597</v>
      </c>
      <c r="Q4506" s="20">
        <v>13968</v>
      </c>
      <c r="R4506" s="80" t="s">
        <v>36</v>
      </c>
      <c r="S4506" s="95">
        <f>200+3800</f>
        <v>4000</v>
      </c>
      <c r="T4506" s="83" t="s">
        <v>15841</v>
      </c>
      <c r="U4506" s="95">
        <v>9968</v>
      </c>
      <c r="V4506" s="169">
        <v>45594</v>
      </c>
      <c r="W4506" s="85" t="s">
        <v>15842</v>
      </c>
      <c r="X4506" s="80"/>
      <c r="Y4506" s="22">
        <v>0</v>
      </c>
      <c r="Z4506" s="80" t="s">
        <v>50</v>
      </c>
      <c r="AA4506" s="35" t="s">
        <v>9905</v>
      </c>
      <c r="AB4506" s="80"/>
      <c r="AC4506" s="80" t="s">
        <v>53</v>
      </c>
      <c r="AD4506" s="80" t="s">
        <v>138</v>
      </c>
      <c r="AE4506" s="83">
        <v>410</v>
      </c>
      <c r="AF4506" s="43">
        <v>45576</v>
      </c>
      <c r="AG4506" s="80" t="s">
        <v>15592</v>
      </c>
      <c r="AH4506" s="80"/>
      <c r="AI4506" s="147"/>
      <c r="AJ4506" s="80"/>
      <c r="AK4506" s="80"/>
      <c r="AL4506" s="35"/>
      <c r="AM4506" s="35"/>
      <c r="AN4506" s="35"/>
      <c r="AO4506" s="35"/>
      <c r="AP4506" s="35"/>
    </row>
    <row r="4507" spans="1:42" x14ac:dyDescent="0.2">
      <c r="A4507" s="126">
        <v>45563.965454375</v>
      </c>
      <c r="B4507" s="137" t="s">
        <v>37</v>
      </c>
      <c r="C4507" s="41" t="s">
        <v>118</v>
      </c>
      <c r="D4507" s="80" t="s">
        <v>36</v>
      </c>
      <c r="E4507" s="80" t="s">
        <v>119</v>
      </c>
      <c r="F4507" s="80" t="s">
        <v>36</v>
      </c>
      <c r="G4507" s="80" t="s">
        <v>7629</v>
      </c>
      <c r="H4507" s="80" t="s">
        <v>11808</v>
      </c>
      <c r="I4507" s="17">
        <f ca="1">IFERROR(__xludf.DUMMYFUNCTION("""COMPUTED_VALUE"""),45579)</f>
        <v>45579</v>
      </c>
      <c r="J4507" s="143" t="s">
        <v>15843</v>
      </c>
      <c r="K4507" s="80" t="s">
        <v>15844</v>
      </c>
      <c r="L4507" s="30">
        <v>367774041</v>
      </c>
      <c r="M4507" s="80" t="s">
        <v>5518</v>
      </c>
      <c r="N4507" s="80" t="s">
        <v>12380</v>
      </c>
      <c r="O4507" s="80" t="s">
        <v>15845</v>
      </c>
      <c r="P4507" s="80" t="s">
        <v>3694</v>
      </c>
      <c r="Q4507" s="20">
        <v>13968</v>
      </c>
      <c r="R4507" s="80" t="s">
        <v>36</v>
      </c>
      <c r="S4507" s="95">
        <v>4000</v>
      </c>
      <c r="T4507" s="148">
        <v>45563</v>
      </c>
      <c r="U4507" s="95">
        <v>9968</v>
      </c>
      <c r="V4507" s="148">
        <v>45596</v>
      </c>
      <c r="W4507" s="85" t="s">
        <v>15846</v>
      </c>
      <c r="X4507" s="80"/>
      <c r="Y4507" s="22">
        <v>0</v>
      </c>
      <c r="Z4507" s="80" t="s">
        <v>50</v>
      </c>
      <c r="AA4507" s="96" t="s">
        <v>9905</v>
      </c>
      <c r="AB4507" s="80"/>
      <c r="AC4507" s="80" t="s">
        <v>53</v>
      </c>
      <c r="AD4507" s="80" t="s">
        <v>138</v>
      </c>
      <c r="AE4507" s="83">
        <v>480</v>
      </c>
      <c r="AF4507" s="43">
        <v>45579</v>
      </c>
      <c r="AG4507" s="80"/>
      <c r="AH4507" s="80"/>
      <c r="AI4507" s="147"/>
      <c r="AJ4507" s="80"/>
      <c r="AK4507" s="80"/>
      <c r="AL4507" s="35"/>
      <c r="AM4507" s="35"/>
      <c r="AN4507" s="35"/>
      <c r="AO4507" s="35"/>
      <c r="AP4507" s="35"/>
    </row>
    <row r="4508" spans="1:42" x14ac:dyDescent="0.2">
      <c r="A4508" s="126">
        <v>45564.685530219911</v>
      </c>
      <c r="B4508" s="137" t="s">
        <v>37</v>
      </c>
      <c r="C4508" s="41" t="s">
        <v>118</v>
      </c>
      <c r="D4508" s="80" t="s">
        <v>36</v>
      </c>
      <c r="E4508" s="80" t="s">
        <v>39</v>
      </c>
      <c r="F4508" s="80" t="s">
        <v>36</v>
      </c>
      <c r="G4508" s="80" t="s">
        <v>41</v>
      </c>
      <c r="H4508" s="80" t="s">
        <v>13178</v>
      </c>
      <c r="I4508" s="17">
        <f ca="1">IFERROR(__xludf.DUMMYFUNCTION("""COMPUTED_VALUE"""),45572)</f>
        <v>45572</v>
      </c>
      <c r="J4508" s="143" t="s">
        <v>15847</v>
      </c>
      <c r="K4508" s="80" t="s">
        <v>15848</v>
      </c>
      <c r="L4508" s="30">
        <v>961302425</v>
      </c>
      <c r="M4508" s="80" t="s">
        <v>3498</v>
      </c>
      <c r="N4508" s="80" t="s">
        <v>4402</v>
      </c>
      <c r="O4508" s="80" t="s">
        <v>4503</v>
      </c>
      <c r="P4508" s="80" t="s">
        <v>7743</v>
      </c>
      <c r="Q4508" s="20">
        <v>5736</v>
      </c>
      <c r="R4508" s="80" t="s">
        <v>36</v>
      </c>
      <c r="S4508" s="95">
        <f>200+2000</f>
        <v>2200</v>
      </c>
      <c r="T4508" s="83" t="s">
        <v>15849</v>
      </c>
      <c r="U4508" s="95">
        <v>3536</v>
      </c>
      <c r="V4508" s="148">
        <v>45591</v>
      </c>
      <c r="W4508" s="85" t="s">
        <v>15850</v>
      </c>
      <c r="X4508" s="80"/>
      <c r="Y4508" s="22">
        <v>0</v>
      </c>
      <c r="Z4508" s="80" t="s">
        <v>50</v>
      </c>
      <c r="AA4508" s="35" t="s">
        <v>9905</v>
      </c>
      <c r="AB4508" s="80"/>
      <c r="AC4508" s="80" t="s">
        <v>53</v>
      </c>
      <c r="AD4508" s="80" t="s">
        <v>138</v>
      </c>
      <c r="AE4508" s="80"/>
      <c r="AF4508" s="17">
        <v>45572</v>
      </c>
      <c r="AG4508" s="80" t="s">
        <v>13185</v>
      </c>
      <c r="AH4508" s="80"/>
      <c r="AI4508" s="147"/>
      <c r="AJ4508" s="80"/>
      <c r="AK4508" s="80"/>
      <c r="AL4508" s="35"/>
      <c r="AM4508" s="35"/>
      <c r="AN4508" s="35"/>
      <c r="AO4508" s="35"/>
      <c r="AP4508" s="35"/>
    </row>
    <row r="4509" spans="1:42" x14ac:dyDescent="0.2">
      <c r="A4509" s="126">
        <v>45564.796460127312</v>
      </c>
      <c r="B4509" s="137" t="s">
        <v>37</v>
      </c>
      <c r="C4509" s="41" t="s">
        <v>118</v>
      </c>
      <c r="D4509" s="80" t="s">
        <v>36</v>
      </c>
      <c r="E4509" s="80" t="s">
        <v>119</v>
      </c>
      <c r="F4509" s="80" t="s">
        <v>36</v>
      </c>
      <c r="G4509" s="80" t="s">
        <v>7629</v>
      </c>
      <c r="H4509" s="80" t="s">
        <v>10028</v>
      </c>
      <c r="I4509" s="17">
        <f ca="1">IFERROR(__xludf.DUMMYFUNCTION("""COMPUTED_VALUE"""),45562)</f>
        <v>45562</v>
      </c>
      <c r="J4509" s="143" t="s">
        <v>15851</v>
      </c>
      <c r="K4509" s="80" t="s">
        <v>15852</v>
      </c>
      <c r="L4509" s="30">
        <v>354720906</v>
      </c>
      <c r="M4509" s="80" t="s">
        <v>5429</v>
      </c>
      <c r="N4509" s="80" t="s">
        <v>1384</v>
      </c>
      <c r="O4509" s="80" t="s">
        <v>61</v>
      </c>
      <c r="P4509" s="80" t="s">
        <v>6368</v>
      </c>
      <c r="Q4509" s="20">
        <v>13968</v>
      </c>
      <c r="R4509" s="80" t="s">
        <v>1106</v>
      </c>
      <c r="S4509" s="95">
        <v>4000</v>
      </c>
      <c r="T4509" s="148">
        <v>45564</v>
      </c>
      <c r="U4509" s="95">
        <v>9968</v>
      </c>
      <c r="V4509" s="148">
        <v>45588</v>
      </c>
      <c r="W4509" s="80" t="s">
        <v>15853</v>
      </c>
      <c r="X4509" s="80"/>
      <c r="Y4509" s="22">
        <v>0</v>
      </c>
      <c r="Z4509" s="80" t="s">
        <v>50</v>
      </c>
      <c r="AA4509" s="96" t="s">
        <v>9905</v>
      </c>
      <c r="AB4509" s="80"/>
      <c r="AC4509" s="80" t="s">
        <v>53</v>
      </c>
      <c r="AD4509" s="80" t="s">
        <v>138</v>
      </c>
      <c r="AE4509" s="83">
        <v>450</v>
      </c>
      <c r="AF4509" s="17">
        <v>45566</v>
      </c>
      <c r="AG4509" s="80" t="s">
        <v>15854</v>
      </c>
      <c r="AH4509" s="80"/>
      <c r="AI4509" s="147"/>
      <c r="AJ4509" s="80"/>
      <c r="AK4509" s="80"/>
      <c r="AL4509" s="35"/>
      <c r="AM4509" s="35"/>
      <c r="AN4509" s="35"/>
      <c r="AO4509" s="35"/>
      <c r="AP4509" s="35"/>
    </row>
    <row r="4510" spans="1:42" x14ac:dyDescent="0.2">
      <c r="A4510" s="126">
        <v>45564.859317187496</v>
      </c>
      <c r="B4510" s="137" t="s">
        <v>37</v>
      </c>
      <c r="C4510" s="41" t="s">
        <v>118</v>
      </c>
      <c r="D4510" s="80" t="s">
        <v>36</v>
      </c>
      <c r="E4510" s="80" t="s">
        <v>139</v>
      </c>
      <c r="F4510" s="80" t="s">
        <v>36</v>
      </c>
      <c r="G4510" s="80" t="s">
        <v>41</v>
      </c>
      <c r="H4510" s="80" t="s">
        <v>15855</v>
      </c>
      <c r="I4510" s="17">
        <f ca="1">IFERROR(__xludf.DUMMYFUNCTION("""COMPUTED_VALUE"""),45572)</f>
        <v>45572</v>
      </c>
      <c r="J4510" s="143" t="s">
        <v>15856</v>
      </c>
      <c r="K4510" s="80" t="s">
        <v>15857</v>
      </c>
      <c r="L4510" s="30">
        <v>981526645</v>
      </c>
      <c r="M4510" s="80" t="s">
        <v>5518</v>
      </c>
      <c r="N4510" s="80" t="s">
        <v>5524</v>
      </c>
      <c r="O4510" s="80" t="s">
        <v>15858</v>
      </c>
      <c r="P4510" s="80" t="s">
        <v>15859</v>
      </c>
      <c r="Q4510" s="20">
        <v>15936</v>
      </c>
      <c r="R4510" s="80" t="s">
        <v>36</v>
      </c>
      <c r="S4510" s="95">
        <v>2000</v>
      </c>
      <c r="T4510" s="148">
        <v>45564</v>
      </c>
      <c r="U4510" s="95">
        <v>13936</v>
      </c>
      <c r="V4510" s="148">
        <v>45595</v>
      </c>
      <c r="W4510" s="85" t="s">
        <v>15860</v>
      </c>
      <c r="X4510" s="80"/>
      <c r="Y4510" s="22">
        <v>0</v>
      </c>
      <c r="Z4510" s="80" t="s">
        <v>50</v>
      </c>
      <c r="AA4510" s="35" t="s">
        <v>9905</v>
      </c>
      <c r="AB4510" s="80"/>
      <c r="AC4510" s="80" t="s">
        <v>53</v>
      </c>
      <c r="AD4510" s="80" t="s">
        <v>54</v>
      </c>
      <c r="AE4510" s="80"/>
      <c r="AF4510" s="17">
        <v>45566</v>
      </c>
      <c r="AG4510" s="80"/>
      <c r="AH4510" s="80"/>
      <c r="AI4510" s="147"/>
      <c r="AJ4510" s="80"/>
      <c r="AK4510" s="80"/>
      <c r="AL4510" s="35"/>
      <c r="AM4510" s="35"/>
      <c r="AN4510" s="35"/>
      <c r="AO4510" s="35"/>
      <c r="AP4510" s="35"/>
    </row>
    <row r="4511" spans="1:42" x14ac:dyDescent="0.2">
      <c r="A4511" s="126">
        <v>45564.922254942125</v>
      </c>
      <c r="B4511" s="137" t="s">
        <v>37</v>
      </c>
      <c r="C4511" s="41" t="s">
        <v>118</v>
      </c>
      <c r="D4511" s="80" t="s">
        <v>36</v>
      </c>
      <c r="E4511" s="80" t="s">
        <v>139</v>
      </c>
      <c r="F4511" s="80" t="s">
        <v>36</v>
      </c>
      <c r="G4511" s="80" t="s">
        <v>41</v>
      </c>
      <c r="H4511" s="80" t="s">
        <v>10992</v>
      </c>
      <c r="I4511" s="17">
        <f ca="1">IFERROR(__xludf.DUMMYFUNCTION("""COMPUTED_VALUE"""),45565)</f>
        <v>45565</v>
      </c>
      <c r="J4511" s="143" t="s">
        <v>15861</v>
      </c>
      <c r="K4511" s="80" t="s">
        <v>15862</v>
      </c>
      <c r="L4511" s="30">
        <v>339504350</v>
      </c>
      <c r="M4511" s="80" t="s">
        <v>12720</v>
      </c>
      <c r="N4511" s="80" t="s">
        <v>1073</v>
      </c>
      <c r="O4511" s="80" t="s">
        <v>15863</v>
      </c>
      <c r="P4511" s="144" t="s">
        <v>15864</v>
      </c>
      <c r="Q4511" s="20">
        <v>15936</v>
      </c>
      <c r="R4511" s="80" t="s">
        <v>36</v>
      </c>
      <c r="S4511" s="95">
        <f>200+1800</f>
        <v>2000</v>
      </c>
      <c r="T4511" s="83" t="s">
        <v>13556</v>
      </c>
      <c r="U4511" s="95">
        <v>13936</v>
      </c>
      <c r="V4511" s="148">
        <v>45589</v>
      </c>
      <c r="W4511" s="80" t="s">
        <v>15865</v>
      </c>
      <c r="X4511" s="80"/>
      <c r="Y4511" s="22">
        <v>0</v>
      </c>
      <c r="Z4511" s="80" t="s">
        <v>50</v>
      </c>
      <c r="AA4511" s="96" t="s">
        <v>9905</v>
      </c>
      <c r="AB4511" s="80"/>
      <c r="AC4511" s="80" t="s">
        <v>53</v>
      </c>
      <c r="AD4511" s="80" t="s">
        <v>54</v>
      </c>
      <c r="AE4511" s="83">
        <v>0</v>
      </c>
      <c r="AF4511" s="17">
        <v>45566</v>
      </c>
      <c r="AG4511" s="80" t="s">
        <v>15866</v>
      </c>
      <c r="AH4511" s="80"/>
      <c r="AI4511" s="147"/>
      <c r="AJ4511" s="80"/>
      <c r="AK4511" s="80"/>
      <c r="AL4511" s="35"/>
      <c r="AM4511" s="35"/>
      <c r="AN4511" s="35"/>
      <c r="AO4511" s="35"/>
      <c r="AP4511" s="35"/>
    </row>
    <row r="4512" spans="1:42" x14ac:dyDescent="0.2">
      <c r="A4512" s="126">
        <v>45565.010093055556</v>
      </c>
      <c r="B4512" s="137" t="s">
        <v>37</v>
      </c>
      <c r="C4512" s="41" t="s">
        <v>118</v>
      </c>
      <c r="D4512" s="80" t="s">
        <v>36</v>
      </c>
      <c r="E4512" s="80" t="s">
        <v>139</v>
      </c>
      <c r="F4512" s="80" t="s">
        <v>40</v>
      </c>
      <c r="G4512" s="80" t="s">
        <v>41</v>
      </c>
      <c r="H4512" s="80" t="s">
        <v>13424</v>
      </c>
      <c r="I4512" s="17">
        <f ca="1">IFERROR(__xludf.DUMMYFUNCTION("""COMPUTED_VALUE"""),45572)</f>
        <v>45572</v>
      </c>
      <c r="J4512" s="143" t="s">
        <v>15867</v>
      </c>
      <c r="K4512" s="80" t="s">
        <v>15868</v>
      </c>
      <c r="L4512" s="30">
        <v>976979180</v>
      </c>
      <c r="M4512" s="80" t="s">
        <v>59</v>
      </c>
      <c r="N4512" s="80" t="s">
        <v>7298</v>
      </c>
      <c r="O4512" s="80" t="s">
        <v>15869</v>
      </c>
      <c r="P4512" s="80" t="s">
        <v>12692</v>
      </c>
      <c r="Q4512" s="20">
        <v>15936</v>
      </c>
      <c r="R4512" s="80" t="s">
        <v>36</v>
      </c>
      <c r="S4512" s="95">
        <f>2000+7000</f>
        <v>9000</v>
      </c>
      <c r="T4512" s="83" t="s">
        <v>15870</v>
      </c>
      <c r="U4512" s="95">
        <v>6936</v>
      </c>
      <c r="V4512" s="148">
        <v>45594</v>
      </c>
      <c r="W4512" s="85" t="s">
        <v>15871</v>
      </c>
      <c r="X4512" s="80"/>
      <c r="Y4512" s="22">
        <v>0</v>
      </c>
      <c r="Z4512" s="80" t="s">
        <v>50</v>
      </c>
      <c r="AA4512" s="35" t="s">
        <v>9905</v>
      </c>
      <c r="AB4512" s="80"/>
      <c r="AC4512" s="80" t="s">
        <v>53</v>
      </c>
      <c r="AD4512" s="80" t="s">
        <v>138</v>
      </c>
      <c r="AE4512" s="80" t="s">
        <v>72</v>
      </c>
      <c r="AF4512" s="17">
        <v>45572</v>
      </c>
      <c r="AG4512" s="80" t="s">
        <v>13430</v>
      </c>
      <c r="AH4512" s="80"/>
      <c r="AI4512" s="147"/>
      <c r="AJ4512" s="80"/>
      <c r="AK4512" s="80"/>
      <c r="AL4512" s="35"/>
      <c r="AM4512" s="35"/>
      <c r="AN4512" s="35"/>
      <c r="AO4512" s="35"/>
      <c r="AP4512" s="35"/>
    </row>
    <row r="4513" spans="1:42" x14ac:dyDescent="0.2">
      <c r="A4513" s="126">
        <v>45565.014862037038</v>
      </c>
      <c r="B4513" s="137" t="s">
        <v>37</v>
      </c>
      <c r="C4513" s="41" t="s">
        <v>118</v>
      </c>
      <c r="D4513" s="80" t="s">
        <v>36</v>
      </c>
      <c r="E4513" s="80" t="s">
        <v>139</v>
      </c>
      <c r="F4513" s="80" t="s">
        <v>40</v>
      </c>
      <c r="G4513" s="80" t="s">
        <v>41</v>
      </c>
      <c r="H4513" s="80" t="s">
        <v>13535</v>
      </c>
      <c r="I4513" s="17">
        <f ca="1">IFERROR(__xludf.DUMMYFUNCTION("""COMPUTED_VALUE"""),45589)</f>
        <v>45589</v>
      </c>
      <c r="J4513" s="143" t="s">
        <v>15872</v>
      </c>
      <c r="K4513" s="80" t="s">
        <v>15873</v>
      </c>
      <c r="L4513" s="30">
        <v>366033206</v>
      </c>
      <c r="M4513" s="80" t="s">
        <v>59</v>
      </c>
      <c r="N4513" s="80" t="s">
        <v>68</v>
      </c>
      <c r="O4513" s="80" t="s">
        <v>15874</v>
      </c>
      <c r="P4513" s="80" t="s">
        <v>12687</v>
      </c>
      <c r="Q4513" s="20">
        <v>15936</v>
      </c>
      <c r="R4513" s="80" t="s">
        <v>1106</v>
      </c>
      <c r="S4513" s="95">
        <f t="shared" ref="S4513:S4514" si="98">200+1800</f>
        <v>2000</v>
      </c>
      <c r="T4513" s="83" t="s">
        <v>13556</v>
      </c>
      <c r="U4513" s="95">
        <v>14000</v>
      </c>
      <c r="V4513" s="148">
        <v>45596</v>
      </c>
      <c r="W4513" s="80" t="s">
        <v>15875</v>
      </c>
      <c r="X4513" s="80"/>
      <c r="Y4513" s="22">
        <v>-64</v>
      </c>
      <c r="Z4513" s="80" t="s">
        <v>50</v>
      </c>
      <c r="AA4513" s="96" t="s">
        <v>9905</v>
      </c>
      <c r="AB4513" s="80"/>
      <c r="AC4513" s="80" t="s">
        <v>53</v>
      </c>
      <c r="AD4513" s="80" t="s">
        <v>138</v>
      </c>
      <c r="AE4513" s="80" t="s">
        <v>72</v>
      </c>
      <c r="AF4513" s="43">
        <v>45589</v>
      </c>
      <c r="AG4513" s="80" t="s">
        <v>13541</v>
      </c>
      <c r="AH4513" s="80"/>
      <c r="AI4513" s="147"/>
      <c r="AJ4513" s="80"/>
      <c r="AK4513" s="80"/>
      <c r="AL4513" s="35"/>
      <c r="AM4513" s="35"/>
      <c r="AN4513" s="35"/>
      <c r="AO4513" s="35"/>
      <c r="AP4513" s="35"/>
    </row>
    <row r="4514" spans="1:42" x14ac:dyDescent="0.2">
      <c r="A4514" s="126">
        <v>45565.016910092592</v>
      </c>
      <c r="B4514" s="137" t="s">
        <v>37</v>
      </c>
      <c r="C4514" s="41" t="s">
        <v>118</v>
      </c>
      <c r="D4514" s="80" t="s">
        <v>36</v>
      </c>
      <c r="E4514" s="80" t="s">
        <v>139</v>
      </c>
      <c r="F4514" s="80" t="s">
        <v>36</v>
      </c>
      <c r="G4514" s="80" t="s">
        <v>41</v>
      </c>
      <c r="H4514" s="80" t="s">
        <v>13535</v>
      </c>
      <c r="I4514" s="17">
        <f ca="1">IFERROR(__xludf.DUMMYFUNCTION("""COMPUTED_VALUE"""),45589)</f>
        <v>45589</v>
      </c>
      <c r="J4514" s="143" t="s">
        <v>15876</v>
      </c>
      <c r="K4514" s="80" t="s">
        <v>15877</v>
      </c>
      <c r="L4514" s="30">
        <v>966091928</v>
      </c>
      <c r="M4514" s="80" t="s">
        <v>59</v>
      </c>
      <c r="N4514" s="80" t="s">
        <v>68</v>
      </c>
      <c r="O4514" s="80" t="s">
        <v>15878</v>
      </c>
      <c r="P4514" s="80" t="s">
        <v>12692</v>
      </c>
      <c r="Q4514" s="20">
        <v>15936</v>
      </c>
      <c r="R4514" s="80" t="s">
        <v>36</v>
      </c>
      <c r="S4514" s="95">
        <f t="shared" si="98"/>
        <v>2000</v>
      </c>
      <c r="T4514" s="83" t="s">
        <v>12500</v>
      </c>
      <c r="U4514" s="95">
        <v>14136</v>
      </c>
      <c r="V4514" s="148">
        <v>45596</v>
      </c>
      <c r="W4514" s="85" t="s">
        <v>15879</v>
      </c>
      <c r="X4514" s="80"/>
      <c r="Y4514" s="22">
        <v>-200</v>
      </c>
      <c r="Z4514" s="80" t="s">
        <v>50</v>
      </c>
      <c r="AA4514" s="35" t="s">
        <v>9905</v>
      </c>
      <c r="AB4514" s="80"/>
      <c r="AC4514" s="80" t="s">
        <v>53</v>
      </c>
      <c r="AD4514" s="80" t="s">
        <v>138</v>
      </c>
      <c r="AE4514" s="80" t="s">
        <v>2670</v>
      </c>
      <c r="AF4514" s="43">
        <v>45589</v>
      </c>
      <c r="AG4514" s="80" t="s">
        <v>13541</v>
      </c>
      <c r="AH4514" s="80"/>
      <c r="AI4514" s="147"/>
      <c r="AJ4514" s="80"/>
      <c r="AK4514" s="80"/>
      <c r="AL4514" s="35"/>
      <c r="AM4514" s="35"/>
      <c r="AN4514" s="35"/>
      <c r="AO4514" s="35"/>
      <c r="AP4514" s="35"/>
    </row>
    <row r="4515" spans="1:42" x14ac:dyDescent="0.2">
      <c r="A4515" s="126">
        <v>45565.062783703703</v>
      </c>
      <c r="B4515" s="137" t="s">
        <v>37</v>
      </c>
      <c r="C4515" s="41" t="s">
        <v>118</v>
      </c>
      <c r="D4515" s="80" t="s">
        <v>36</v>
      </c>
      <c r="E4515" s="80" t="s">
        <v>139</v>
      </c>
      <c r="F4515" s="80" t="s">
        <v>36</v>
      </c>
      <c r="G4515" s="80" t="s">
        <v>41</v>
      </c>
      <c r="H4515" s="80" t="s">
        <v>12416</v>
      </c>
      <c r="I4515" s="17">
        <f ca="1">IFERROR(__xludf.DUMMYFUNCTION("""COMPUTED_VALUE"""),45574)</f>
        <v>45574</v>
      </c>
      <c r="J4515" s="143" t="s">
        <v>15880</v>
      </c>
      <c r="K4515" s="145" t="s">
        <v>15881</v>
      </c>
      <c r="L4515" s="30">
        <v>383942006</v>
      </c>
      <c r="M4515" s="80" t="s">
        <v>123</v>
      </c>
      <c r="N4515" s="80" t="s">
        <v>2847</v>
      </c>
      <c r="O4515" s="80" t="s">
        <v>4503</v>
      </c>
      <c r="P4515" s="144" t="s">
        <v>15882</v>
      </c>
      <c r="Q4515" s="20">
        <v>15936</v>
      </c>
      <c r="R4515" s="80" t="s">
        <v>70</v>
      </c>
      <c r="S4515" s="95">
        <f>200+2800</f>
        <v>3000</v>
      </c>
      <c r="T4515" s="148">
        <v>45565</v>
      </c>
      <c r="U4515" s="95">
        <v>12836</v>
      </c>
      <c r="V4515" s="148">
        <v>45593</v>
      </c>
      <c r="W4515" s="85" t="s">
        <v>15883</v>
      </c>
      <c r="X4515" s="80"/>
      <c r="Y4515" s="22">
        <v>100</v>
      </c>
      <c r="Z4515" s="80" t="s">
        <v>50</v>
      </c>
      <c r="AA4515" s="96" t="s">
        <v>9905</v>
      </c>
      <c r="AB4515" s="80"/>
      <c r="AC4515" s="80" t="s">
        <v>53</v>
      </c>
      <c r="AD4515" s="80" t="s">
        <v>54</v>
      </c>
      <c r="AE4515" s="80"/>
      <c r="AF4515" s="17">
        <v>45565</v>
      </c>
      <c r="AG4515" s="80" t="s">
        <v>15884</v>
      </c>
      <c r="AH4515" s="80"/>
      <c r="AI4515" s="147"/>
      <c r="AJ4515" s="80"/>
      <c r="AK4515" s="80"/>
      <c r="AL4515" s="35"/>
      <c r="AM4515" s="35"/>
      <c r="AN4515" s="35"/>
      <c r="AO4515" s="35"/>
      <c r="AP4515" s="35"/>
    </row>
    <row r="4516" spans="1:42" x14ac:dyDescent="0.2">
      <c r="A4516" s="126">
        <v>45565.410718553241</v>
      </c>
      <c r="B4516" s="137" t="s">
        <v>37</v>
      </c>
      <c r="C4516" s="41" t="s">
        <v>118</v>
      </c>
      <c r="D4516" s="80" t="s">
        <v>36</v>
      </c>
      <c r="E4516" s="80" t="s">
        <v>39</v>
      </c>
      <c r="F4516" s="80" t="s">
        <v>36</v>
      </c>
      <c r="G4516" s="80" t="s">
        <v>41</v>
      </c>
      <c r="H4516" s="80" t="s">
        <v>13384</v>
      </c>
      <c r="I4516" s="17">
        <f ca="1">IFERROR(__xludf.DUMMYFUNCTION("""COMPUTED_VALUE"""),45569)</f>
        <v>45569</v>
      </c>
      <c r="J4516" s="143" t="s">
        <v>15885</v>
      </c>
      <c r="K4516" s="145" t="s">
        <v>15886</v>
      </c>
      <c r="L4516" s="30">
        <v>769189344</v>
      </c>
      <c r="M4516" s="80" t="s">
        <v>59</v>
      </c>
      <c r="N4516" s="80" t="s">
        <v>7304</v>
      </c>
      <c r="O4516" s="80" t="s">
        <v>15887</v>
      </c>
      <c r="P4516" s="144" t="s">
        <v>15888</v>
      </c>
      <c r="Q4516" s="20">
        <v>5736</v>
      </c>
      <c r="R4516" s="80" t="s">
        <v>70</v>
      </c>
      <c r="S4516" s="95">
        <f>200+5436</f>
        <v>5636</v>
      </c>
      <c r="T4516" s="83" t="s">
        <v>15889</v>
      </c>
      <c r="U4516" s="77"/>
      <c r="V4516" s="78"/>
      <c r="W4516" s="85" t="s">
        <v>15890</v>
      </c>
      <c r="X4516" s="80"/>
      <c r="Y4516" s="22">
        <v>100</v>
      </c>
      <c r="Z4516" s="80" t="s">
        <v>50</v>
      </c>
      <c r="AA4516" s="35" t="s">
        <v>9905</v>
      </c>
      <c r="AB4516" s="80"/>
      <c r="AC4516" s="80" t="s">
        <v>53</v>
      </c>
      <c r="AD4516" s="80" t="s">
        <v>138</v>
      </c>
      <c r="AE4516" s="80" t="s">
        <v>2670</v>
      </c>
      <c r="AF4516" s="17">
        <v>45569</v>
      </c>
      <c r="AG4516" s="80"/>
      <c r="AH4516" s="80"/>
      <c r="AI4516" s="147"/>
      <c r="AJ4516" s="80"/>
      <c r="AK4516" s="80"/>
      <c r="AL4516" s="35"/>
      <c r="AM4516" s="35"/>
      <c r="AN4516" s="35"/>
      <c r="AO4516" s="35"/>
      <c r="AP4516" s="35"/>
    </row>
    <row r="4517" spans="1:42" x14ac:dyDescent="0.2">
      <c r="A4517" s="126">
        <v>45565.526842025458</v>
      </c>
      <c r="B4517" s="137" t="s">
        <v>37</v>
      </c>
      <c r="C4517" s="41" t="s">
        <v>118</v>
      </c>
      <c r="D4517" s="80" t="s">
        <v>36</v>
      </c>
      <c r="E4517" s="80" t="s">
        <v>119</v>
      </c>
      <c r="F4517" s="80" t="s">
        <v>36</v>
      </c>
      <c r="G4517" s="80" t="s">
        <v>108</v>
      </c>
      <c r="H4517" s="80" t="s">
        <v>10223</v>
      </c>
      <c r="I4517" s="17">
        <f ca="1">IFERROR(__xludf.DUMMYFUNCTION("""COMPUTED_VALUE"""),45578)</f>
        <v>45578</v>
      </c>
      <c r="J4517" s="143" t="s">
        <v>15891</v>
      </c>
      <c r="K4517" s="80" t="s">
        <v>15892</v>
      </c>
      <c r="L4517" s="30">
        <v>984657538</v>
      </c>
      <c r="M4517" s="80" t="s">
        <v>5429</v>
      </c>
      <c r="N4517" s="80" t="s">
        <v>756</v>
      </c>
      <c r="O4517" s="80" t="s">
        <v>15893</v>
      </c>
      <c r="P4517" s="80" t="s">
        <v>6368</v>
      </c>
      <c r="Q4517" s="20">
        <v>13968</v>
      </c>
      <c r="R4517" s="80" t="s">
        <v>36</v>
      </c>
      <c r="S4517" s="95">
        <f>200+3800</f>
        <v>4000</v>
      </c>
      <c r="T4517" s="83" t="s">
        <v>15894</v>
      </c>
      <c r="U4517" s="95">
        <v>10000</v>
      </c>
      <c r="V4517" s="169">
        <v>45594</v>
      </c>
      <c r="W4517" s="85" t="s">
        <v>15895</v>
      </c>
      <c r="X4517" s="80"/>
      <c r="Y4517" s="22">
        <v>-32</v>
      </c>
      <c r="Z4517" s="80" t="s">
        <v>50</v>
      </c>
      <c r="AA4517" s="96" t="s">
        <v>9905</v>
      </c>
      <c r="AB4517" s="80"/>
      <c r="AC4517" s="80" t="s">
        <v>53</v>
      </c>
      <c r="AD4517" s="80" t="s">
        <v>138</v>
      </c>
      <c r="AE4517" s="83">
        <v>390</v>
      </c>
      <c r="AF4517" s="43">
        <v>45576</v>
      </c>
      <c r="AG4517" s="80" t="s">
        <v>15592</v>
      </c>
      <c r="AH4517" s="80"/>
      <c r="AI4517" s="147"/>
      <c r="AJ4517" s="80"/>
      <c r="AK4517" s="80"/>
      <c r="AL4517" s="35"/>
      <c r="AM4517" s="35"/>
      <c r="AN4517" s="35"/>
      <c r="AO4517" s="35"/>
      <c r="AP4517" s="35"/>
    </row>
    <row r="4518" spans="1:42" x14ac:dyDescent="0.2">
      <c r="A4518" s="126">
        <v>45565.625627025467</v>
      </c>
      <c r="B4518" s="137" t="s">
        <v>37</v>
      </c>
      <c r="C4518" s="41" t="s">
        <v>118</v>
      </c>
      <c r="D4518" s="80" t="s">
        <v>36</v>
      </c>
      <c r="E4518" s="80" t="s">
        <v>119</v>
      </c>
      <c r="F4518" s="80" t="s">
        <v>91</v>
      </c>
      <c r="G4518" s="80" t="s">
        <v>108</v>
      </c>
      <c r="H4518" s="80" t="s">
        <v>9768</v>
      </c>
      <c r="I4518" s="17">
        <f ca="1">IFERROR(__xludf.DUMMYFUNCTION("""COMPUTED_VALUE"""),45578)</f>
        <v>45578</v>
      </c>
      <c r="J4518" s="143" t="s">
        <v>15896</v>
      </c>
      <c r="K4518" s="80" t="s">
        <v>15897</v>
      </c>
      <c r="L4518" s="30">
        <v>868219947</v>
      </c>
      <c r="M4518" s="80" t="s">
        <v>9422</v>
      </c>
      <c r="N4518" s="80" t="s">
        <v>13156</v>
      </c>
      <c r="O4518" s="80" t="s">
        <v>8827</v>
      </c>
      <c r="P4518" s="144" t="s">
        <v>15898</v>
      </c>
      <c r="Q4518" s="20">
        <v>13968</v>
      </c>
      <c r="R4518" s="80" t="s">
        <v>11421</v>
      </c>
      <c r="S4518" s="95">
        <v>3768</v>
      </c>
      <c r="T4518" s="148">
        <v>45565</v>
      </c>
      <c r="U4518" s="95">
        <v>9900</v>
      </c>
      <c r="V4518" s="148">
        <v>45595</v>
      </c>
      <c r="W4518" s="85" t="s">
        <v>15899</v>
      </c>
      <c r="X4518" s="80"/>
      <c r="Y4518" s="22">
        <v>300</v>
      </c>
      <c r="Z4518" s="80" t="s">
        <v>50</v>
      </c>
      <c r="AA4518" s="35" t="s">
        <v>9905</v>
      </c>
      <c r="AB4518" s="80"/>
      <c r="AC4518" s="80" t="s">
        <v>53</v>
      </c>
      <c r="AD4518" s="80" t="s">
        <v>138</v>
      </c>
      <c r="AE4518" s="80"/>
      <c r="AF4518" s="43">
        <v>45576</v>
      </c>
      <c r="AG4518" s="80" t="s">
        <v>12541</v>
      </c>
      <c r="AH4518" s="80"/>
      <c r="AI4518" s="147"/>
      <c r="AJ4518" s="80"/>
      <c r="AK4518" s="80"/>
      <c r="AL4518" s="35"/>
      <c r="AM4518" s="35"/>
      <c r="AN4518" s="35"/>
      <c r="AO4518" s="35"/>
      <c r="AP4518" s="35"/>
    </row>
    <row r="4519" spans="1:42" x14ac:dyDescent="0.2">
      <c r="A4519" s="126">
        <v>45565.70012282407</v>
      </c>
      <c r="B4519" s="137" t="s">
        <v>37</v>
      </c>
      <c r="C4519" s="41" t="s">
        <v>118</v>
      </c>
      <c r="D4519" s="80" t="s">
        <v>36</v>
      </c>
      <c r="E4519" s="80" t="s">
        <v>139</v>
      </c>
      <c r="F4519" s="80" t="s">
        <v>36</v>
      </c>
      <c r="G4519" s="80" t="s">
        <v>41</v>
      </c>
      <c r="H4519" s="80" t="s">
        <v>15199</v>
      </c>
      <c r="I4519" s="17">
        <f ca="1">IFERROR(__xludf.DUMMYFUNCTION("""COMPUTED_VALUE"""),45579)</f>
        <v>45579</v>
      </c>
      <c r="J4519" s="143" t="s">
        <v>15900</v>
      </c>
      <c r="K4519" s="80" t="s">
        <v>15901</v>
      </c>
      <c r="L4519" s="30">
        <v>348596931</v>
      </c>
      <c r="M4519" s="80" t="s">
        <v>12529</v>
      </c>
      <c r="N4519" s="80" t="s">
        <v>15532</v>
      </c>
      <c r="O4519" s="80" t="s">
        <v>15902</v>
      </c>
      <c r="P4519" s="80" t="s">
        <v>15903</v>
      </c>
      <c r="Q4519" s="20">
        <v>15936</v>
      </c>
      <c r="R4519" s="80" t="s">
        <v>36</v>
      </c>
      <c r="S4519" s="95">
        <f>200+1800</f>
        <v>2000</v>
      </c>
      <c r="T4519" s="83" t="s">
        <v>15904</v>
      </c>
      <c r="U4519" s="95">
        <v>13936</v>
      </c>
      <c r="V4519" s="148">
        <v>45596</v>
      </c>
      <c r="W4519" s="85" t="s">
        <v>15905</v>
      </c>
      <c r="X4519" s="80"/>
      <c r="Y4519" s="22">
        <v>0</v>
      </c>
      <c r="Z4519" s="80" t="s">
        <v>50</v>
      </c>
      <c r="AA4519" s="96" t="s">
        <v>9905</v>
      </c>
      <c r="AB4519" s="80"/>
      <c r="AC4519" s="80" t="s">
        <v>53</v>
      </c>
      <c r="AD4519" s="80" t="s">
        <v>138</v>
      </c>
      <c r="AE4519" s="80"/>
      <c r="AF4519" s="43">
        <v>45579</v>
      </c>
      <c r="AG4519" s="80"/>
      <c r="AH4519" s="80"/>
      <c r="AI4519" s="147"/>
      <c r="AJ4519" s="80"/>
      <c r="AK4519" s="80"/>
      <c r="AL4519" s="35"/>
      <c r="AM4519" s="35"/>
      <c r="AN4519" s="35"/>
      <c r="AO4519" s="35"/>
      <c r="AP4519" s="35"/>
    </row>
    <row r="4520" spans="1:42" x14ac:dyDescent="0.2">
      <c r="A4520" s="126">
        <v>45565.766839421296</v>
      </c>
      <c r="B4520" s="137" t="s">
        <v>37</v>
      </c>
      <c r="C4520" s="41" t="s">
        <v>118</v>
      </c>
      <c r="D4520" s="80" t="s">
        <v>36</v>
      </c>
      <c r="E4520" s="80" t="s">
        <v>139</v>
      </c>
      <c r="F4520" s="80" t="s">
        <v>36</v>
      </c>
      <c r="G4520" s="80" t="s">
        <v>41</v>
      </c>
      <c r="H4520" s="80" t="s">
        <v>15855</v>
      </c>
      <c r="I4520" s="17">
        <f ca="1">IFERROR(__xludf.DUMMYFUNCTION("""COMPUTED_VALUE"""),45572)</f>
        <v>45572</v>
      </c>
      <c r="J4520" s="143" t="s">
        <v>15906</v>
      </c>
      <c r="K4520" s="80" t="s">
        <v>15907</v>
      </c>
      <c r="L4520" s="30">
        <v>868505471</v>
      </c>
      <c r="M4520" s="80" t="s">
        <v>5558</v>
      </c>
      <c r="N4520" s="80" t="s">
        <v>5559</v>
      </c>
      <c r="O4520" s="80" t="s">
        <v>4503</v>
      </c>
      <c r="P4520" s="80" t="s">
        <v>15908</v>
      </c>
      <c r="Q4520" s="20">
        <v>15936</v>
      </c>
      <c r="R4520" s="80" t="s">
        <v>36</v>
      </c>
      <c r="S4520" s="95">
        <v>2000</v>
      </c>
      <c r="T4520" s="148">
        <v>45565</v>
      </c>
      <c r="U4520" s="95">
        <v>13936</v>
      </c>
      <c r="V4520" s="148">
        <v>45588</v>
      </c>
      <c r="W4520" s="85" t="s">
        <v>15909</v>
      </c>
      <c r="X4520" s="80"/>
      <c r="Y4520" s="22">
        <v>0</v>
      </c>
      <c r="Z4520" s="80" t="s">
        <v>50</v>
      </c>
      <c r="AA4520" s="35" t="s">
        <v>9905</v>
      </c>
      <c r="AB4520" s="80"/>
      <c r="AC4520" s="80" t="s">
        <v>53</v>
      </c>
      <c r="AD4520" s="80" t="s">
        <v>54</v>
      </c>
      <c r="AE4520" s="80"/>
      <c r="AF4520" s="17">
        <v>45566</v>
      </c>
      <c r="AG4520" s="80"/>
      <c r="AH4520" s="80"/>
      <c r="AI4520" s="147"/>
      <c r="AJ4520" s="80"/>
      <c r="AK4520" s="80"/>
      <c r="AL4520" s="35"/>
      <c r="AM4520" s="35"/>
      <c r="AN4520" s="35"/>
      <c r="AO4520" s="35"/>
      <c r="AP4520" s="35"/>
    </row>
    <row r="4521" spans="1:42" x14ac:dyDescent="0.2">
      <c r="A4521" s="126">
        <v>45565.907926458334</v>
      </c>
      <c r="B4521" s="137" t="s">
        <v>37</v>
      </c>
      <c r="C4521" s="41" t="s">
        <v>118</v>
      </c>
      <c r="D4521" s="80" t="s">
        <v>36</v>
      </c>
      <c r="E4521" s="80" t="s">
        <v>77</v>
      </c>
      <c r="F4521" s="80" t="s">
        <v>36</v>
      </c>
      <c r="G4521" s="80" t="s">
        <v>41</v>
      </c>
      <c r="H4521" s="80" t="s">
        <v>13254</v>
      </c>
      <c r="I4521" s="17">
        <f ca="1">IFERROR(__xludf.DUMMYFUNCTION("""COMPUTED_VALUE"""),45568)</f>
        <v>45568</v>
      </c>
      <c r="J4521" s="143" t="s">
        <v>15910</v>
      </c>
      <c r="K4521" s="80" t="s">
        <v>15911</v>
      </c>
      <c r="L4521" s="30">
        <v>398771800</v>
      </c>
      <c r="M4521" s="80" t="s">
        <v>910</v>
      </c>
      <c r="N4521" s="80" t="s">
        <v>15912</v>
      </c>
      <c r="O4521" s="80" t="s">
        <v>91</v>
      </c>
      <c r="P4521" s="80" t="s">
        <v>15913</v>
      </c>
      <c r="Q4521" s="20">
        <v>1968</v>
      </c>
      <c r="R4521" s="80" t="s">
        <v>36</v>
      </c>
      <c r="S4521" s="95">
        <f>200+1768</f>
        <v>1968</v>
      </c>
      <c r="T4521" s="83" t="s">
        <v>15009</v>
      </c>
      <c r="U4521" s="77"/>
      <c r="V4521" s="78"/>
      <c r="W4521" s="85" t="s">
        <v>15914</v>
      </c>
      <c r="X4521" s="80"/>
      <c r="Y4521" s="22">
        <v>0</v>
      </c>
      <c r="Z4521" s="80" t="s">
        <v>50</v>
      </c>
      <c r="AA4521" s="96" t="s">
        <v>9905</v>
      </c>
      <c r="AB4521" s="80"/>
      <c r="AC4521" s="80" t="s">
        <v>53</v>
      </c>
      <c r="AD4521" s="80" t="s">
        <v>54</v>
      </c>
      <c r="AE4521" s="80"/>
      <c r="AF4521" s="17">
        <v>45566</v>
      </c>
      <c r="AG4521" s="80"/>
      <c r="AH4521" s="80"/>
      <c r="AI4521" s="147"/>
      <c r="AJ4521" s="80"/>
      <c r="AK4521" s="80"/>
      <c r="AL4521" s="35"/>
      <c r="AM4521" s="35"/>
      <c r="AN4521" s="35"/>
      <c r="AO4521" s="35"/>
      <c r="AP4521" s="35"/>
    </row>
    <row r="4522" spans="1:42" x14ac:dyDescent="0.2">
      <c r="A4522" s="126">
        <v>45565.934074745368</v>
      </c>
      <c r="B4522" s="137" t="s">
        <v>37</v>
      </c>
      <c r="C4522" s="41" t="s">
        <v>118</v>
      </c>
      <c r="D4522" s="80" t="s">
        <v>36</v>
      </c>
      <c r="E4522" s="80" t="s">
        <v>56</v>
      </c>
      <c r="F4522" s="80" t="s">
        <v>36</v>
      </c>
      <c r="G4522" s="80" t="s">
        <v>41</v>
      </c>
      <c r="H4522" s="80" t="s">
        <v>13384</v>
      </c>
      <c r="I4522" s="17">
        <f ca="1">IFERROR(__xludf.DUMMYFUNCTION("""COMPUTED_VALUE"""),45569)</f>
        <v>45569</v>
      </c>
      <c r="J4522" s="143" t="s">
        <v>15915</v>
      </c>
      <c r="K4522" s="145" t="s">
        <v>6625</v>
      </c>
      <c r="L4522" s="30">
        <v>345971442</v>
      </c>
      <c r="M4522" s="80" t="s">
        <v>9422</v>
      </c>
      <c r="N4522" s="80" t="s">
        <v>13156</v>
      </c>
      <c r="O4522" s="80" t="s">
        <v>91</v>
      </c>
      <c r="P4522" s="80" t="s">
        <v>3117</v>
      </c>
      <c r="Q4522" s="20">
        <v>9317</v>
      </c>
      <c r="R4522" s="80" t="s">
        <v>11421</v>
      </c>
      <c r="S4522" s="95">
        <v>2000</v>
      </c>
      <c r="T4522" s="148">
        <v>45565</v>
      </c>
      <c r="U4522" s="95">
        <v>7017</v>
      </c>
      <c r="V4522" s="148">
        <v>45587</v>
      </c>
      <c r="W4522" s="85" t="s">
        <v>15916</v>
      </c>
      <c r="X4522" s="80"/>
      <c r="Y4522" s="22">
        <v>300</v>
      </c>
      <c r="Z4522" s="80" t="s">
        <v>50</v>
      </c>
      <c r="AA4522" s="35" t="s">
        <v>9905</v>
      </c>
      <c r="AB4522" s="80"/>
      <c r="AC4522" s="80" t="s">
        <v>53</v>
      </c>
      <c r="AD4522" s="80" t="s">
        <v>138</v>
      </c>
      <c r="AE4522" s="80"/>
      <c r="AF4522" s="17">
        <v>45569</v>
      </c>
      <c r="AG4522" s="80"/>
      <c r="AH4522" s="80"/>
      <c r="AI4522" s="147"/>
      <c r="AJ4522" s="80"/>
      <c r="AK4522" s="80"/>
      <c r="AL4522" s="35"/>
      <c r="AM4522" s="35"/>
      <c r="AN4522" s="35"/>
      <c r="AO4522" s="35"/>
      <c r="AP4522" s="35"/>
    </row>
    <row r="4523" spans="1:42" x14ac:dyDescent="0.2">
      <c r="A4523" s="126">
        <v>45565.965381377318</v>
      </c>
      <c r="B4523" s="137" t="s">
        <v>37</v>
      </c>
      <c r="C4523" s="41" t="s">
        <v>118</v>
      </c>
      <c r="D4523" s="80" t="s">
        <v>36</v>
      </c>
      <c r="E4523" s="80" t="s">
        <v>139</v>
      </c>
      <c r="F4523" s="80" t="s">
        <v>36</v>
      </c>
      <c r="G4523" s="80" t="s">
        <v>41</v>
      </c>
      <c r="H4523" s="80" t="s">
        <v>12416</v>
      </c>
      <c r="I4523" s="17">
        <f ca="1">IFERROR(__xludf.DUMMYFUNCTION("""COMPUTED_VALUE"""),45574)</f>
        <v>45574</v>
      </c>
      <c r="J4523" s="143" t="s">
        <v>15917</v>
      </c>
      <c r="K4523" s="145" t="s">
        <v>15918</v>
      </c>
      <c r="L4523" s="30">
        <v>968035981</v>
      </c>
      <c r="M4523" s="80" t="s">
        <v>123</v>
      </c>
      <c r="N4523" s="80" t="s">
        <v>2847</v>
      </c>
      <c r="O4523" s="80" t="s">
        <v>4503</v>
      </c>
      <c r="P4523" s="80" t="s">
        <v>15919</v>
      </c>
      <c r="Q4523" s="20">
        <v>15936</v>
      </c>
      <c r="R4523" s="80" t="s">
        <v>70</v>
      </c>
      <c r="S4523" s="95">
        <f>200+3000</f>
        <v>3200</v>
      </c>
      <c r="T4523" s="83" t="s">
        <v>15920</v>
      </c>
      <c r="U4523" s="95">
        <v>12636</v>
      </c>
      <c r="V4523" s="148">
        <v>45588</v>
      </c>
      <c r="W4523" s="85" t="s">
        <v>15921</v>
      </c>
      <c r="X4523" s="80"/>
      <c r="Y4523" s="22">
        <v>100</v>
      </c>
      <c r="Z4523" s="80" t="s">
        <v>50</v>
      </c>
      <c r="AA4523" s="96" t="s">
        <v>9905</v>
      </c>
      <c r="AB4523" s="80" t="s">
        <v>4503</v>
      </c>
      <c r="AC4523" s="80" t="s">
        <v>53</v>
      </c>
      <c r="AD4523" s="80" t="s">
        <v>138</v>
      </c>
      <c r="AE4523" s="80"/>
      <c r="AF4523" s="17">
        <v>45573</v>
      </c>
      <c r="AG4523" s="80" t="s">
        <v>13500</v>
      </c>
      <c r="AH4523" s="80"/>
      <c r="AI4523" s="147"/>
      <c r="AJ4523" s="80"/>
      <c r="AK4523" s="80"/>
      <c r="AL4523" s="35"/>
      <c r="AM4523" s="35"/>
      <c r="AN4523" s="35"/>
      <c r="AO4523" s="35"/>
      <c r="AP4523" s="35"/>
    </row>
    <row r="4524" spans="1:42" x14ac:dyDescent="0.2">
      <c r="A4524" s="126">
        <v>45565.981995428243</v>
      </c>
      <c r="B4524" s="137" t="s">
        <v>37</v>
      </c>
      <c r="C4524" s="41" t="s">
        <v>118</v>
      </c>
      <c r="D4524" s="80" t="s">
        <v>36</v>
      </c>
      <c r="E4524" s="80" t="s">
        <v>56</v>
      </c>
      <c r="F4524" s="80" t="s">
        <v>36</v>
      </c>
      <c r="G4524" s="80" t="s">
        <v>41</v>
      </c>
      <c r="H4524" s="80" t="s">
        <v>12398</v>
      </c>
      <c r="I4524" s="17">
        <f ca="1">IFERROR(__xludf.DUMMYFUNCTION("""COMPUTED_VALUE"""),45575)</f>
        <v>45575</v>
      </c>
      <c r="J4524" s="143" t="s">
        <v>15922</v>
      </c>
      <c r="K4524" s="80" t="s">
        <v>15923</v>
      </c>
      <c r="L4524" s="30">
        <v>973719706</v>
      </c>
      <c r="M4524" s="80" t="s">
        <v>59</v>
      </c>
      <c r="N4524" s="80" t="s">
        <v>9301</v>
      </c>
      <c r="O4524" s="80" t="s">
        <v>15924</v>
      </c>
      <c r="P4524" s="80" t="s">
        <v>15925</v>
      </c>
      <c r="Q4524" s="20">
        <v>9317</v>
      </c>
      <c r="R4524" s="80" t="s">
        <v>36</v>
      </c>
      <c r="S4524" s="95">
        <f>200+4117</f>
        <v>4317</v>
      </c>
      <c r="T4524" s="83" t="s">
        <v>15926</v>
      </c>
      <c r="U4524" s="95">
        <v>5000</v>
      </c>
      <c r="V4524" s="148">
        <v>45586</v>
      </c>
      <c r="W4524" s="85" t="s">
        <v>15927</v>
      </c>
      <c r="X4524" s="80"/>
      <c r="Y4524" s="22">
        <v>0</v>
      </c>
      <c r="Z4524" s="80" t="s">
        <v>50</v>
      </c>
      <c r="AA4524" s="35" t="s">
        <v>9905</v>
      </c>
      <c r="AB4524" s="80"/>
      <c r="AC4524" s="80" t="s">
        <v>53</v>
      </c>
      <c r="AD4524" s="80" t="s">
        <v>54</v>
      </c>
      <c r="AE4524" s="80" t="s">
        <v>7880</v>
      </c>
      <c r="AF4524" s="17">
        <v>45569</v>
      </c>
      <c r="AG4524" s="80"/>
      <c r="AH4524" s="80"/>
      <c r="AI4524" s="147"/>
      <c r="AJ4524" s="80"/>
      <c r="AK4524" s="80"/>
      <c r="AL4524" s="35"/>
      <c r="AM4524" s="35"/>
      <c r="AN4524" s="35"/>
      <c r="AO4524" s="35"/>
      <c r="AP4524" s="35"/>
    </row>
    <row r="4525" spans="1:42" x14ac:dyDescent="0.2">
      <c r="A4525" s="126">
        <v>45566.414821342594</v>
      </c>
      <c r="B4525" s="137" t="s">
        <v>37</v>
      </c>
      <c r="C4525" s="41" t="s">
        <v>118</v>
      </c>
      <c r="D4525" s="80" t="s">
        <v>36</v>
      </c>
      <c r="E4525" s="80" t="s">
        <v>56</v>
      </c>
      <c r="F4525" s="80" t="s">
        <v>36</v>
      </c>
      <c r="G4525" s="80" t="s">
        <v>41</v>
      </c>
      <c r="H4525" s="80" t="s">
        <v>15855</v>
      </c>
      <c r="I4525" s="17">
        <f ca="1">IFERROR(__xludf.DUMMYFUNCTION("""COMPUTED_VALUE"""),45572)</f>
        <v>45572</v>
      </c>
      <c r="J4525" s="143" t="s">
        <v>15928</v>
      </c>
      <c r="K4525" s="80" t="s">
        <v>15929</v>
      </c>
      <c r="L4525" s="30">
        <v>353706996</v>
      </c>
      <c r="M4525" s="80" t="s">
        <v>9422</v>
      </c>
      <c r="N4525" s="80" t="s">
        <v>15930</v>
      </c>
      <c r="O4525" s="80" t="s">
        <v>2144</v>
      </c>
      <c r="P4525" s="80" t="s">
        <v>15931</v>
      </c>
      <c r="Q4525" s="20">
        <v>9317</v>
      </c>
      <c r="R4525" s="80" t="s">
        <v>36</v>
      </c>
      <c r="S4525" s="95">
        <v>2000</v>
      </c>
      <c r="T4525" s="148">
        <v>45566</v>
      </c>
      <c r="U4525" s="95">
        <f>3768+3549</f>
        <v>7317</v>
      </c>
      <c r="V4525" s="83" t="s">
        <v>15932</v>
      </c>
      <c r="W4525" s="85" t="s">
        <v>15933</v>
      </c>
      <c r="X4525" s="80"/>
      <c r="Y4525" s="22">
        <v>0</v>
      </c>
      <c r="Z4525" s="80" t="s">
        <v>50</v>
      </c>
      <c r="AA4525" s="96" t="s">
        <v>9905</v>
      </c>
      <c r="AB4525" s="80"/>
      <c r="AC4525" s="80" t="s">
        <v>53</v>
      </c>
      <c r="AD4525" s="80" t="s">
        <v>54</v>
      </c>
      <c r="AE4525" s="80"/>
      <c r="AF4525" s="17">
        <v>45566</v>
      </c>
      <c r="AG4525" s="80"/>
      <c r="AH4525" s="80"/>
      <c r="AI4525" s="147"/>
      <c r="AJ4525" s="80"/>
      <c r="AK4525" s="80"/>
      <c r="AL4525" s="35"/>
      <c r="AM4525" s="35"/>
      <c r="AN4525" s="35"/>
      <c r="AO4525" s="35"/>
      <c r="AP4525" s="35"/>
    </row>
    <row r="4526" spans="1:42" x14ac:dyDescent="0.2">
      <c r="A4526" s="126">
        <v>45566.43364826389</v>
      </c>
      <c r="B4526" s="137" t="s">
        <v>37</v>
      </c>
      <c r="C4526" s="41" t="s">
        <v>118</v>
      </c>
      <c r="D4526" s="80" t="s">
        <v>36</v>
      </c>
      <c r="E4526" s="80" t="s">
        <v>77</v>
      </c>
      <c r="F4526" s="80" t="s">
        <v>40</v>
      </c>
      <c r="G4526" s="80" t="s">
        <v>41</v>
      </c>
      <c r="H4526" s="80" t="s">
        <v>15506</v>
      </c>
      <c r="I4526" s="17">
        <f ca="1">IFERROR(__xludf.DUMMYFUNCTION("""COMPUTED_VALUE"""),45573)</f>
        <v>45573</v>
      </c>
      <c r="J4526" s="143" t="s">
        <v>15934</v>
      </c>
      <c r="K4526" s="80" t="s">
        <v>15935</v>
      </c>
      <c r="L4526" s="30">
        <v>988483618</v>
      </c>
      <c r="M4526" s="80" t="s">
        <v>11413</v>
      </c>
      <c r="N4526" s="80" t="s">
        <v>5092</v>
      </c>
      <c r="O4526" s="80" t="s">
        <v>36</v>
      </c>
      <c r="P4526" s="144" t="s">
        <v>15936</v>
      </c>
      <c r="Q4526" s="20">
        <v>1968</v>
      </c>
      <c r="R4526" s="80" t="s">
        <v>36</v>
      </c>
      <c r="S4526" s="95">
        <v>1968</v>
      </c>
      <c r="T4526" s="148">
        <v>45566</v>
      </c>
      <c r="U4526" s="77"/>
      <c r="V4526" s="78"/>
      <c r="W4526" s="85" t="s">
        <v>15937</v>
      </c>
      <c r="X4526" s="80"/>
      <c r="Y4526" s="22">
        <v>0</v>
      </c>
      <c r="Z4526" s="80" t="s">
        <v>50</v>
      </c>
      <c r="AA4526" s="35" t="s">
        <v>9905</v>
      </c>
      <c r="AB4526" s="80"/>
      <c r="AC4526" s="80" t="s">
        <v>53</v>
      </c>
      <c r="AD4526" s="80" t="s">
        <v>54</v>
      </c>
      <c r="AE4526" s="80"/>
      <c r="AF4526" s="17">
        <v>45567</v>
      </c>
      <c r="AG4526" s="80"/>
      <c r="AH4526" s="80"/>
      <c r="AI4526" s="147"/>
      <c r="AJ4526" s="80"/>
      <c r="AK4526" s="80"/>
      <c r="AL4526" s="35"/>
      <c r="AM4526" s="35"/>
      <c r="AN4526" s="35"/>
      <c r="AO4526" s="35"/>
      <c r="AP4526" s="35"/>
    </row>
    <row r="4527" spans="1:42" x14ac:dyDescent="0.2">
      <c r="A4527" s="126">
        <v>45566.578326736111</v>
      </c>
      <c r="B4527" s="137" t="s">
        <v>37</v>
      </c>
      <c r="C4527" s="41" t="s">
        <v>118</v>
      </c>
      <c r="D4527" s="80" t="s">
        <v>36</v>
      </c>
      <c r="E4527" s="80" t="s">
        <v>77</v>
      </c>
      <c r="F4527" s="80" t="s">
        <v>36</v>
      </c>
      <c r="G4527" s="80" t="s">
        <v>41</v>
      </c>
      <c r="H4527" s="80" t="s">
        <v>15938</v>
      </c>
      <c r="I4527" s="17" t="str">
        <f ca="1">IFERROR(__xludf.DUMMYFUNCTION("""COMPUTED_VALUE""")," ")</f>
        <v xml:space="preserve"> </v>
      </c>
      <c r="J4527" s="143" t="s">
        <v>15939</v>
      </c>
      <c r="K4527" s="80" t="s">
        <v>15940</v>
      </c>
      <c r="L4527" s="30">
        <v>869684162</v>
      </c>
      <c r="M4527" s="80" t="s">
        <v>9422</v>
      </c>
      <c r="N4527" s="80" t="s">
        <v>13156</v>
      </c>
      <c r="O4527" s="80" t="s">
        <v>15941</v>
      </c>
      <c r="P4527" s="80" t="s">
        <v>3694</v>
      </c>
      <c r="Q4527" s="20">
        <v>1968</v>
      </c>
      <c r="R4527" s="80" t="s">
        <v>11421</v>
      </c>
      <c r="S4527" s="95">
        <f>500+1500</f>
        <v>2000</v>
      </c>
      <c r="T4527" s="83" t="s">
        <v>15942</v>
      </c>
      <c r="U4527" s="77"/>
      <c r="V4527" s="78"/>
      <c r="W4527" s="85" t="s">
        <v>15943</v>
      </c>
      <c r="X4527" s="80"/>
      <c r="Y4527" s="22">
        <v>-32</v>
      </c>
      <c r="Z4527" s="80" t="s">
        <v>50</v>
      </c>
      <c r="AA4527" s="96" t="s">
        <v>9905</v>
      </c>
      <c r="AB4527" s="80"/>
      <c r="AC4527" s="80" t="s">
        <v>53</v>
      </c>
      <c r="AD4527" s="80" t="s">
        <v>138</v>
      </c>
      <c r="AE4527" s="80"/>
      <c r="AF4527" s="17">
        <v>45569</v>
      </c>
      <c r="AG4527" s="80" t="s">
        <v>7078</v>
      </c>
      <c r="AH4527" s="80"/>
      <c r="AI4527" s="147"/>
      <c r="AJ4527" s="80"/>
      <c r="AK4527" s="80"/>
      <c r="AL4527" s="35"/>
      <c r="AM4527" s="35"/>
      <c r="AN4527" s="35"/>
      <c r="AO4527" s="35"/>
      <c r="AP4527" s="35"/>
    </row>
    <row r="4528" spans="1:42" x14ac:dyDescent="0.2">
      <c r="A4528" s="126">
        <v>45566.652649756943</v>
      </c>
      <c r="B4528" s="137" t="s">
        <v>37</v>
      </c>
      <c r="C4528" s="41" t="s">
        <v>118</v>
      </c>
      <c r="D4528" s="80" t="s">
        <v>36</v>
      </c>
      <c r="E4528" s="80" t="s">
        <v>119</v>
      </c>
      <c r="F4528" s="80" t="s">
        <v>91</v>
      </c>
      <c r="G4528" s="80" t="s">
        <v>108</v>
      </c>
      <c r="H4528" s="80" t="s">
        <v>9900</v>
      </c>
      <c r="I4528" s="17">
        <f ca="1">IFERROR(__xludf.DUMMYFUNCTION("""COMPUTED_VALUE"""),45578)</f>
        <v>45578</v>
      </c>
      <c r="J4528" s="143" t="s">
        <v>15944</v>
      </c>
      <c r="K4528" s="80" t="s">
        <v>15945</v>
      </c>
      <c r="L4528" s="30">
        <v>983235575</v>
      </c>
      <c r="M4528" s="80" t="s">
        <v>12720</v>
      </c>
      <c r="N4528" s="80" t="s">
        <v>1073</v>
      </c>
      <c r="O4528" s="80" t="s">
        <v>15946</v>
      </c>
      <c r="P4528" s="80" t="s">
        <v>15947</v>
      </c>
      <c r="Q4528" s="20">
        <v>13968</v>
      </c>
      <c r="R4528" s="80" t="s">
        <v>70</v>
      </c>
      <c r="S4528" s="95">
        <f>200+3800</f>
        <v>4000</v>
      </c>
      <c r="T4528" s="83" t="s">
        <v>15948</v>
      </c>
      <c r="U4528" s="95">
        <v>9868</v>
      </c>
      <c r="V4528" s="169">
        <v>45594</v>
      </c>
      <c r="W4528" s="85" t="s">
        <v>15949</v>
      </c>
      <c r="X4528" s="80"/>
      <c r="Y4528" s="22">
        <v>100</v>
      </c>
      <c r="Z4528" s="80" t="s">
        <v>50</v>
      </c>
      <c r="AA4528" s="35" t="s">
        <v>9905</v>
      </c>
      <c r="AB4528" s="80"/>
      <c r="AC4528" s="80" t="s">
        <v>53</v>
      </c>
      <c r="AD4528" s="80" t="s">
        <v>54</v>
      </c>
      <c r="AE4528" s="83">
        <v>400</v>
      </c>
      <c r="AF4528" s="17">
        <v>45573</v>
      </c>
      <c r="AG4528" s="80"/>
      <c r="AH4528" s="80"/>
      <c r="AI4528" s="147"/>
      <c r="AJ4528" s="80"/>
      <c r="AK4528" s="80"/>
      <c r="AL4528" s="35"/>
      <c r="AM4528" s="35"/>
      <c r="AN4528" s="35"/>
      <c r="AO4528" s="35"/>
      <c r="AP4528" s="35"/>
    </row>
    <row r="4529" spans="1:42" x14ac:dyDescent="0.2">
      <c r="A4529" s="126">
        <v>45566.654986249996</v>
      </c>
      <c r="B4529" s="137" t="s">
        <v>37</v>
      </c>
      <c r="C4529" s="41" t="s">
        <v>118</v>
      </c>
      <c r="D4529" s="80" t="s">
        <v>36</v>
      </c>
      <c r="E4529" s="80" t="s">
        <v>77</v>
      </c>
      <c r="F4529" s="80" t="s">
        <v>36</v>
      </c>
      <c r="G4529" s="80" t="s">
        <v>41</v>
      </c>
      <c r="H4529" s="80" t="s">
        <v>13424</v>
      </c>
      <c r="I4529" s="17">
        <f ca="1">IFERROR(__xludf.DUMMYFUNCTION("""COMPUTED_VALUE"""),45572)</f>
        <v>45572</v>
      </c>
      <c r="J4529" s="143" t="s">
        <v>15950</v>
      </c>
      <c r="K4529" s="80" t="s">
        <v>15951</v>
      </c>
      <c r="L4529" s="30">
        <v>986325712</v>
      </c>
      <c r="M4529" s="80" t="s">
        <v>9422</v>
      </c>
      <c r="N4529" s="80" t="s">
        <v>327</v>
      </c>
      <c r="O4529" s="80" t="s">
        <v>307</v>
      </c>
      <c r="P4529" s="80" t="s">
        <v>11608</v>
      </c>
      <c r="Q4529" s="20">
        <v>1968</v>
      </c>
      <c r="R4529" s="80" t="s">
        <v>11421</v>
      </c>
      <c r="S4529" s="95">
        <f>500+1500</f>
        <v>2000</v>
      </c>
      <c r="T4529" s="83" t="s">
        <v>15942</v>
      </c>
      <c r="U4529" s="77"/>
      <c r="V4529" s="78"/>
      <c r="W4529" s="85" t="s">
        <v>15952</v>
      </c>
      <c r="X4529" s="80"/>
      <c r="Y4529" s="22">
        <v>-32</v>
      </c>
      <c r="Z4529" s="80" t="s">
        <v>50</v>
      </c>
      <c r="AA4529" s="96" t="s">
        <v>9905</v>
      </c>
      <c r="AB4529" s="80"/>
      <c r="AC4529" s="80" t="s">
        <v>53</v>
      </c>
      <c r="AD4529" s="80" t="s">
        <v>138</v>
      </c>
      <c r="AE4529" s="80"/>
      <c r="AF4529" s="17">
        <v>45572</v>
      </c>
      <c r="AG4529" s="80" t="s">
        <v>13430</v>
      </c>
      <c r="AH4529" s="80" t="s">
        <v>7078</v>
      </c>
      <c r="AI4529" s="147"/>
      <c r="AJ4529" s="80"/>
      <c r="AK4529" s="80"/>
      <c r="AL4529" s="35"/>
      <c r="AM4529" s="35"/>
      <c r="AN4529" s="35"/>
      <c r="AO4529" s="35"/>
      <c r="AP4529" s="35"/>
    </row>
    <row r="4530" spans="1:42" x14ac:dyDescent="0.2">
      <c r="A4530" s="126">
        <v>45566.670400277777</v>
      </c>
      <c r="B4530" s="137" t="s">
        <v>37</v>
      </c>
      <c r="C4530" s="41" t="s">
        <v>118</v>
      </c>
      <c r="D4530" s="80" t="s">
        <v>36</v>
      </c>
      <c r="E4530" s="80" t="s">
        <v>139</v>
      </c>
      <c r="F4530" s="80" t="s">
        <v>36</v>
      </c>
      <c r="G4530" s="80" t="s">
        <v>41</v>
      </c>
      <c r="H4530" s="80" t="s">
        <v>13178</v>
      </c>
      <c r="I4530" s="17">
        <f ca="1">IFERROR(__xludf.DUMMYFUNCTION("""COMPUTED_VALUE"""),45572)</f>
        <v>45572</v>
      </c>
      <c r="J4530" s="143" t="s">
        <v>15953</v>
      </c>
      <c r="K4530" s="80" t="s">
        <v>15954</v>
      </c>
      <c r="L4530" s="30">
        <v>374980423</v>
      </c>
      <c r="M4530" s="80" t="s">
        <v>2755</v>
      </c>
      <c r="N4530" s="80" t="s">
        <v>2756</v>
      </c>
      <c r="O4530" s="80" t="s">
        <v>4503</v>
      </c>
      <c r="P4530" s="80" t="s">
        <v>8120</v>
      </c>
      <c r="Q4530" s="20">
        <v>15936</v>
      </c>
      <c r="R4530" s="80" t="s">
        <v>36</v>
      </c>
      <c r="S4530" s="95">
        <v>3200</v>
      </c>
      <c r="T4530" s="148">
        <v>45561</v>
      </c>
      <c r="U4530" s="95">
        <v>12736</v>
      </c>
      <c r="V4530" s="169">
        <v>45592</v>
      </c>
      <c r="W4530" s="80" t="s">
        <v>15955</v>
      </c>
      <c r="X4530" s="80"/>
      <c r="Y4530" s="22">
        <v>0</v>
      </c>
      <c r="Z4530" s="80" t="s">
        <v>50</v>
      </c>
      <c r="AA4530" s="35" t="s">
        <v>9905</v>
      </c>
      <c r="AB4530" s="80"/>
      <c r="AC4530" s="80" t="s">
        <v>53</v>
      </c>
      <c r="AD4530" s="80" t="s">
        <v>138</v>
      </c>
      <c r="AE4530" s="80"/>
      <c r="AF4530" s="17">
        <v>45572</v>
      </c>
      <c r="AG4530" s="80" t="s">
        <v>13185</v>
      </c>
      <c r="AH4530" s="80"/>
      <c r="AI4530" s="147"/>
      <c r="AJ4530" s="80"/>
      <c r="AK4530" s="80"/>
      <c r="AL4530" s="35"/>
      <c r="AM4530" s="35"/>
      <c r="AN4530" s="35"/>
      <c r="AO4530" s="35"/>
      <c r="AP4530" s="35"/>
    </row>
    <row r="4531" spans="1:42" x14ac:dyDescent="0.2">
      <c r="A4531" s="126">
        <v>45566.677662268514</v>
      </c>
      <c r="B4531" s="137" t="s">
        <v>37</v>
      </c>
      <c r="C4531" s="41" t="s">
        <v>118</v>
      </c>
      <c r="D4531" s="80" t="s">
        <v>36</v>
      </c>
      <c r="E4531" s="80" t="s">
        <v>139</v>
      </c>
      <c r="F4531" s="80" t="s">
        <v>36</v>
      </c>
      <c r="G4531" s="80" t="s">
        <v>41</v>
      </c>
      <c r="H4531" s="80" t="s">
        <v>13178</v>
      </c>
      <c r="I4531" s="17">
        <f ca="1">IFERROR(__xludf.DUMMYFUNCTION("""COMPUTED_VALUE"""),45572)</f>
        <v>45572</v>
      </c>
      <c r="J4531" s="143" t="s">
        <v>15956</v>
      </c>
      <c r="K4531" s="80" t="s">
        <v>15957</v>
      </c>
      <c r="L4531" s="30">
        <v>936161006</v>
      </c>
      <c r="M4531" s="80" t="s">
        <v>2755</v>
      </c>
      <c r="N4531" s="80" t="s">
        <v>4402</v>
      </c>
      <c r="O4531" s="80" t="s">
        <v>4503</v>
      </c>
      <c r="P4531" s="80" t="s">
        <v>7743</v>
      </c>
      <c r="Q4531" s="20">
        <v>15936</v>
      </c>
      <c r="R4531" s="80" t="s">
        <v>36</v>
      </c>
      <c r="S4531" s="95">
        <v>2000</v>
      </c>
      <c r="T4531" s="148">
        <v>45553</v>
      </c>
      <c r="U4531" s="95">
        <v>13960</v>
      </c>
      <c r="V4531" s="169">
        <v>45590</v>
      </c>
      <c r="W4531" s="80" t="s">
        <v>15958</v>
      </c>
      <c r="X4531" s="80"/>
      <c r="Y4531" s="22">
        <v>-24</v>
      </c>
      <c r="Z4531" s="80" t="s">
        <v>50</v>
      </c>
      <c r="AA4531" s="96" t="s">
        <v>9905</v>
      </c>
      <c r="AB4531" s="80"/>
      <c r="AC4531" s="80" t="s">
        <v>53</v>
      </c>
      <c r="AD4531" s="80" t="s">
        <v>138</v>
      </c>
      <c r="AE4531" s="80"/>
      <c r="AF4531" s="17">
        <v>45572</v>
      </c>
      <c r="AG4531" s="80" t="s">
        <v>13185</v>
      </c>
      <c r="AH4531" s="80"/>
      <c r="AI4531" s="147"/>
      <c r="AJ4531" s="80"/>
      <c r="AK4531" s="80"/>
      <c r="AL4531" s="35"/>
      <c r="AM4531" s="35"/>
      <c r="AN4531" s="35"/>
      <c r="AO4531" s="35"/>
      <c r="AP4531" s="35"/>
    </row>
    <row r="4532" spans="1:42" x14ac:dyDescent="0.2">
      <c r="A4532" s="126">
        <v>45566.78907648148</v>
      </c>
      <c r="B4532" s="137" t="s">
        <v>37</v>
      </c>
      <c r="C4532" s="41" t="s">
        <v>118</v>
      </c>
      <c r="D4532" s="80" t="s">
        <v>36</v>
      </c>
      <c r="E4532" s="80" t="s">
        <v>39</v>
      </c>
      <c r="F4532" s="80" t="s">
        <v>36</v>
      </c>
      <c r="G4532" s="80" t="s">
        <v>41</v>
      </c>
      <c r="H4532" s="80" t="s">
        <v>13301</v>
      </c>
      <c r="I4532" s="17">
        <f ca="1">IFERROR(__xludf.DUMMYFUNCTION("""COMPUTED_VALUE"""),45566)</f>
        <v>45566</v>
      </c>
      <c r="J4532" s="143" t="s">
        <v>15959</v>
      </c>
      <c r="K4532" s="80" t="s">
        <v>15960</v>
      </c>
      <c r="L4532" s="30">
        <v>968019227</v>
      </c>
      <c r="M4532" s="80" t="s">
        <v>3728</v>
      </c>
      <c r="N4532" s="80" t="s">
        <v>5312</v>
      </c>
      <c r="O4532" s="80" t="s">
        <v>15961</v>
      </c>
      <c r="P4532" s="80" t="s">
        <v>12452</v>
      </c>
      <c r="Q4532" s="20">
        <v>5736</v>
      </c>
      <c r="R4532" s="80" t="s">
        <v>36</v>
      </c>
      <c r="S4532" s="95">
        <v>2000</v>
      </c>
      <c r="T4532" s="148">
        <v>45551</v>
      </c>
      <c r="U4532" s="95">
        <v>3736</v>
      </c>
      <c r="V4532" s="148">
        <v>45586</v>
      </c>
      <c r="W4532" s="80" t="s">
        <v>15962</v>
      </c>
      <c r="X4532" s="80"/>
      <c r="Y4532" s="22">
        <v>0</v>
      </c>
      <c r="Z4532" s="80" t="s">
        <v>50</v>
      </c>
      <c r="AA4532" s="35" t="s">
        <v>9905</v>
      </c>
      <c r="AB4532" s="80"/>
      <c r="AC4532" s="80" t="s">
        <v>53</v>
      </c>
      <c r="AD4532" s="80" t="s">
        <v>138</v>
      </c>
      <c r="AE4532" s="80"/>
      <c r="AF4532" s="17">
        <v>45566</v>
      </c>
      <c r="AG4532" s="80"/>
      <c r="AH4532" s="80"/>
      <c r="AI4532" s="147"/>
      <c r="AJ4532" s="80"/>
      <c r="AK4532" s="80"/>
      <c r="AL4532" s="35"/>
      <c r="AM4532" s="35"/>
      <c r="AN4532" s="35"/>
      <c r="AO4532" s="35"/>
      <c r="AP4532" s="35"/>
    </row>
    <row r="4533" spans="1:42" x14ac:dyDescent="0.2">
      <c r="A4533" s="126">
        <v>45567.326320474538</v>
      </c>
      <c r="B4533" s="137" t="s">
        <v>37</v>
      </c>
      <c r="C4533" s="41" t="s">
        <v>118</v>
      </c>
      <c r="D4533" s="80" t="s">
        <v>36</v>
      </c>
      <c r="E4533" s="80" t="s">
        <v>119</v>
      </c>
      <c r="F4533" s="80" t="s">
        <v>36</v>
      </c>
      <c r="G4533" s="26" t="s">
        <v>108</v>
      </c>
      <c r="H4533" s="80" t="s">
        <v>9768</v>
      </c>
      <c r="I4533" s="17">
        <f ca="1">IFERROR(__xludf.DUMMYFUNCTION("""COMPUTED_VALUE"""),45578)</f>
        <v>45578</v>
      </c>
      <c r="J4533" s="143" t="s">
        <v>15963</v>
      </c>
      <c r="K4533" s="80" t="s">
        <v>15964</v>
      </c>
      <c r="L4533" s="30">
        <v>933060886</v>
      </c>
      <c r="M4533" s="80" t="s">
        <v>3498</v>
      </c>
      <c r="N4533" s="80" t="s">
        <v>4402</v>
      </c>
      <c r="O4533" s="80" t="s">
        <v>4503</v>
      </c>
      <c r="P4533" s="80" t="s">
        <v>3056</v>
      </c>
      <c r="Q4533" s="20">
        <v>13968</v>
      </c>
      <c r="R4533" s="80" t="s">
        <v>36</v>
      </c>
      <c r="S4533" s="95">
        <f>200+4800</f>
        <v>5000</v>
      </c>
      <c r="T4533" s="83" t="s">
        <v>15965</v>
      </c>
      <c r="U4533" s="95">
        <v>8968</v>
      </c>
      <c r="V4533" s="148">
        <v>45596</v>
      </c>
      <c r="W4533" s="85" t="s">
        <v>15966</v>
      </c>
      <c r="X4533" s="80"/>
      <c r="Y4533" s="22">
        <v>0</v>
      </c>
      <c r="Z4533" s="80" t="s">
        <v>50</v>
      </c>
      <c r="AA4533" s="96" t="s">
        <v>9905</v>
      </c>
      <c r="AB4533" s="80"/>
      <c r="AC4533" s="80" t="s">
        <v>53</v>
      </c>
      <c r="AD4533" s="80" t="s">
        <v>138</v>
      </c>
      <c r="AE4533" s="80"/>
      <c r="AF4533" s="43">
        <v>45578</v>
      </c>
      <c r="AG4533" s="80" t="s">
        <v>15967</v>
      </c>
      <c r="AH4533" s="80"/>
      <c r="AI4533" s="147"/>
      <c r="AJ4533" s="80"/>
      <c r="AK4533" s="80"/>
      <c r="AL4533" s="35"/>
      <c r="AM4533" s="35"/>
      <c r="AN4533" s="35"/>
      <c r="AO4533" s="35"/>
      <c r="AP4533" s="35"/>
    </row>
    <row r="4534" spans="1:42" x14ac:dyDescent="0.2">
      <c r="A4534" s="126">
        <v>45567.352068043983</v>
      </c>
      <c r="B4534" s="137" t="s">
        <v>37</v>
      </c>
      <c r="C4534" s="41" t="s">
        <v>118</v>
      </c>
      <c r="D4534" s="80" t="s">
        <v>36</v>
      </c>
      <c r="E4534" s="80" t="s">
        <v>139</v>
      </c>
      <c r="F4534" s="80" t="s">
        <v>40</v>
      </c>
      <c r="G4534" s="80" t="s">
        <v>41</v>
      </c>
      <c r="H4534" s="80" t="s">
        <v>15506</v>
      </c>
      <c r="I4534" s="17">
        <f ca="1">IFERROR(__xludf.DUMMYFUNCTION("""COMPUTED_VALUE"""),45573)</f>
        <v>45573</v>
      </c>
      <c r="J4534" s="143" t="s">
        <v>15968</v>
      </c>
      <c r="K4534" s="80" t="s">
        <v>15969</v>
      </c>
      <c r="L4534" s="30">
        <v>339633214</v>
      </c>
      <c r="M4534" s="80" t="s">
        <v>15970</v>
      </c>
      <c r="N4534" s="80" t="s">
        <v>327</v>
      </c>
      <c r="O4534" s="80" t="s">
        <v>4503</v>
      </c>
      <c r="P4534" s="80" t="s">
        <v>15971</v>
      </c>
      <c r="Q4534" s="20">
        <v>15936</v>
      </c>
      <c r="R4534" s="80" t="s">
        <v>36</v>
      </c>
      <c r="S4534" s="95">
        <v>3000</v>
      </c>
      <c r="T4534" s="148">
        <v>45560</v>
      </c>
      <c r="U4534" s="95">
        <v>12936</v>
      </c>
      <c r="V4534" s="148">
        <v>45592</v>
      </c>
      <c r="W4534" s="85" t="s">
        <v>15972</v>
      </c>
      <c r="X4534" s="80"/>
      <c r="Y4534" s="22">
        <v>0</v>
      </c>
      <c r="Z4534" s="80" t="s">
        <v>50</v>
      </c>
      <c r="AA4534" s="35" t="s">
        <v>9905</v>
      </c>
      <c r="AB4534" s="80"/>
      <c r="AC4534" s="80" t="s">
        <v>2218</v>
      </c>
      <c r="AD4534" s="80" t="s">
        <v>54</v>
      </c>
      <c r="AE4534" s="80"/>
      <c r="AF4534" s="17">
        <v>45566</v>
      </c>
      <c r="AG4534" s="80" t="s">
        <v>15973</v>
      </c>
      <c r="AH4534" s="80"/>
      <c r="AI4534" s="147"/>
      <c r="AJ4534" s="80"/>
      <c r="AK4534" s="80"/>
      <c r="AL4534" s="35"/>
      <c r="AM4534" s="35"/>
      <c r="AN4534" s="35"/>
      <c r="AO4534" s="35"/>
      <c r="AP4534" s="35"/>
    </row>
    <row r="4535" spans="1:42" x14ac:dyDescent="0.2">
      <c r="A4535" s="126">
        <v>45567.354720173607</v>
      </c>
      <c r="B4535" s="137" t="s">
        <v>37</v>
      </c>
      <c r="C4535" s="41" t="s">
        <v>118</v>
      </c>
      <c r="D4535" s="80" t="s">
        <v>36</v>
      </c>
      <c r="E4535" s="80" t="s">
        <v>148</v>
      </c>
      <c r="F4535" s="80" t="s">
        <v>91</v>
      </c>
      <c r="G4535" s="80" t="s">
        <v>108</v>
      </c>
      <c r="H4535" s="80" t="s">
        <v>15974</v>
      </c>
      <c r="I4535" s="17">
        <f ca="1">IFERROR(__xludf.DUMMYFUNCTION("""COMPUTED_VALUE"""),45639)</f>
        <v>45639</v>
      </c>
      <c r="J4535" s="143" t="s">
        <v>15975</v>
      </c>
      <c r="K4535" s="80" t="s">
        <v>15976</v>
      </c>
      <c r="L4535" s="30">
        <v>936995176</v>
      </c>
      <c r="M4535" s="80" t="s">
        <v>15970</v>
      </c>
      <c r="N4535" s="80" t="s">
        <v>327</v>
      </c>
      <c r="O4535" s="80" t="s">
        <v>4503</v>
      </c>
      <c r="P4535" s="144" t="s">
        <v>15977</v>
      </c>
      <c r="Q4535" s="20">
        <v>7349</v>
      </c>
      <c r="R4535" s="80" t="s">
        <v>36</v>
      </c>
      <c r="S4535" s="95">
        <f>200+3800</f>
        <v>4000</v>
      </c>
      <c r="T4535" s="83" t="s">
        <v>15978</v>
      </c>
      <c r="U4535" s="95">
        <v>3349</v>
      </c>
      <c r="V4535" s="148">
        <v>45592</v>
      </c>
      <c r="W4535" s="85" t="s">
        <v>15979</v>
      </c>
      <c r="X4535" s="80"/>
      <c r="Y4535" s="22">
        <v>0</v>
      </c>
      <c r="Z4535" s="80" t="s">
        <v>50</v>
      </c>
      <c r="AA4535" s="96" t="s">
        <v>9905</v>
      </c>
      <c r="AB4535" s="80"/>
      <c r="AC4535" s="80" t="s">
        <v>53</v>
      </c>
      <c r="AD4535" s="80" t="s">
        <v>54</v>
      </c>
      <c r="AE4535" s="80"/>
      <c r="AF4535" s="17">
        <v>45572</v>
      </c>
      <c r="AG4535" s="80"/>
      <c r="AH4535" s="80"/>
      <c r="AI4535" s="147"/>
      <c r="AJ4535" s="80"/>
      <c r="AK4535" s="80"/>
      <c r="AL4535" s="35"/>
      <c r="AM4535" s="35"/>
      <c r="AN4535" s="35"/>
      <c r="AO4535" s="35"/>
      <c r="AP4535" s="35"/>
    </row>
    <row r="4536" spans="1:42" x14ac:dyDescent="0.2">
      <c r="A4536" s="126">
        <v>45567.360273275466</v>
      </c>
      <c r="B4536" s="137" t="s">
        <v>37</v>
      </c>
      <c r="C4536" s="41" t="s">
        <v>118</v>
      </c>
      <c r="D4536" s="80" t="s">
        <v>36</v>
      </c>
      <c r="E4536" s="80" t="s">
        <v>139</v>
      </c>
      <c r="F4536" s="80" t="s">
        <v>40</v>
      </c>
      <c r="G4536" s="80" t="s">
        <v>41</v>
      </c>
      <c r="H4536" s="80" t="s">
        <v>15506</v>
      </c>
      <c r="I4536" s="17">
        <f ca="1">IFERROR(__xludf.DUMMYFUNCTION("""COMPUTED_VALUE"""),45573)</f>
        <v>45573</v>
      </c>
      <c r="J4536" s="143" t="s">
        <v>15980</v>
      </c>
      <c r="K4536" s="80" t="s">
        <v>15981</v>
      </c>
      <c r="L4536" s="30">
        <v>972264118</v>
      </c>
      <c r="M4536" s="80" t="s">
        <v>348</v>
      </c>
      <c r="N4536" s="80" t="s">
        <v>200</v>
      </c>
      <c r="O4536" s="80" t="s">
        <v>91</v>
      </c>
      <c r="P4536" s="80" t="s">
        <v>15982</v>
      </c>
      <c r="Q4536" s="20">
        <v>15936</v>
      </c>
      <c r="R4536" s="80" t="s">
        <v>36</v>
      </c>
      <c r="S4536" s="95">
        <v>15936</v>
      </c>
      <c r="T4536" s="148" t="s">
        <v>15983</v>
      </c>
      <c r="U4536" s="77"/>
      <c r="V4536" s="78"/>
      <c r="W4536" s="85" t="s">
        <v>15984</v>
      </c>
      <c r="X4536" s="80"/>
      <c r="Y4536" s="22">
        <v>0</v>
      </c>
      <c r="Z4536" s="80" t="s">
        <v>50</v>
      </c>
      <c r="AA4536" s="35" t="s">
        <v>9905</v>
      </c>
      <c r="AB4536" s="80"/>
      <c r="AC4536" s="80" t="s">
        <v>53</v>
      </c>
      <c r="AD4536" s="80" t="s">
        <v>54</v>
      </c>
      <c r="AE4536" s="80" t="s">
        <v>91</v>
      </c>
      <c r="AF4536" s="17">
        <v>45567</v>
      </c>
      <c r="AG4536" s="80"/>
      <c r="AH4536" s="80"/>
      <c r="AI4536" s="147"/>
      <c r="AJ4536" s="80"/>
      <c r="AK4536" s="80"/>
      <c r="AL4536" s="35"/>
      <c r="AM4536" s="35"/>
      <c r="AN4536" s="35"/>
      <c r="AO4536" s="35"/>
      <c r="AP4536" s="35"/>
    </row>
    <row r="4537" spans="1:42" x14ac:dyDescent="0.2">
      <c r="A4537" s="126">
        <v>45567.447392523143</v>
      </c>
      <c r="B4537" s="137" t="s">
        <v>37</v>
      </c>
      <c r="C4537" s="41" t="s">
        <v>118</v>
      </c>
      <c r="D4537" s="80" t="s">
        <v>36</v>
      </c>
      <c r="E4537" s="80" t="s">
        <v>139</v>
      </c>
      <c r="F4537" s="80" t="s">
        <v>36</v>
      </c>
      <c r="G4537" s="80" t="s">
        <v>41</v>
      </c>
      <c r="H4537" s="80" t="s">
        <v>14934</v>
      </c>
      <c r="I4537" s="17">
        <f ca="1">IFERROR(__xludf.DUMMYFUNCTION("""COMPUTED_VALUE"""),45578)</f>
        <v>45578</v>
      </c>
      <c r="J4537" s="143" t="s">
        <v>15985</v>
      </c>
      <c r="K4537" s="80" t="s">
        <v>15986</v>
      </c>
      <c r="L4537" s="30">
        <v>328705276</v>
      </c>
      <c r="M4537" s="80" t="s">
        <v>59</v>
      </c>
      <c r="N4537" s="80" t="s">
        <v>68</v>
      </c>
      <c r="O4537" s="80" t="s">
        <v>15987</v>
      </c>
      <c r="P4537" s="80" t="s">
        <v>15988</v>
      </c>
      <c r="Q4537" s="20">
        <v>15936</v>
      </c>
      <c r="R4537" s="80" t="s">
        <v>36</v>
      </c>
      <c r="S4537" s="95">
        <f>200+3000</f>
        <v>3200</v>
      </c>
      <c r="T4537" s="83" t="s">
        <v>15942</v>
      </c>
      <c r="U4537" s="95">
        <v>12736</v>
      </c>
      <c r="V4537" s="148">
        <v>45586</v>
      </c>
      <c r="W4537" s="85" t="s">
        <v>15989</v>
      </c>
      <c r="X4537" s="80"/>
      <c r="Y4537" s="22">
        <v>0</v>
      </c>
      <c r="Z4537" s="80" t="s">
        <v>50</v>
      </c>
      <c r="AA4537" s="96" t="s">
        <v>9905</v>
      </c>
      <c r="AB4537" s="80"/>
      <c r="AC4537" s="80" t="s">
        <v>53</v>
      </c>
      <c r="AD4537" s="80"/>
      <c r="AE4537" s="80"/>
      <c r="AF4537" s="43">
        <v>45576</v>
      </c>
      <c r="AG4537" s="80" t="s">
        <v>14940</v>
      </c>
      <c r="AH4537" s="80"/>
      <c r="AI4537" s="147"/>
      <c r="AJ4537" s="80"/>
      <c r="AK4537" s="80"/>
      <c r="AL4537" s="35"/>
      <c r="AM4537" s="35"/>
      <c r="AN4537" s="35"/>
      <c r="AO4537" s="35"/>
      <c r="AP4537" s="35"/>
    </row>
    <row r="4538" spans="1:42" x14ac:dyDescent="0.2">
      <c r="A4538" s="126">
        <v>45567.762584756943</v>
      </c>
      <c r="B4538" s="137" t="s">
        <v>37</v>
      </c>
      <c r="C4538" s="41" t="s">
        <v>118</v>
      </c>
      <c r="D4538" s="80" t="s">
        <v>36</v>
      </c>
      <c r="E4538" s="80" t="s">
        <v>77</v>
      </c>
      <c r="F4538" s="80" t="s">
        <v>36</v>
      </c>
      <c r="G4538" s="80" t="s">
        <v>41</v>
      </c>
      <c r="H4538" s="80" t="s">
        <v>14934</v>
      </c>
      <c r="I4538" s="17">
        <f ca="1">IFERROR(__xludf.DUMMYFUNCTION("""COMPUTED_VALUE"""),45578)</f>
        <v>45578</v>
      </c>
      <c r="J4538" s="143" t="s">
        <v>15990</v>
      </c>
      <c r="K4538" s="80" t="s">
        <v>9798</v>
      </c>
      <c r="L4538" s="30">
        <v>943798819</v>
      </c>
      <c r="M4538" s="80" t="s">
        <v>15970</v>
      </c>
      <c r="N4538" s="80" t="s">
        <v>15991</v>
      </c>
      <c r="O4538" s="80" t="s">
        <v>4503</v>
      </c>
      <c r="P4538" s="80" t="s">
        <v>3056</v>
      </c>
      <c r="Q4538" s="20">
        <v>1968</v>
      </c>
      <c r="R4538" s="80" t="s">
        <v>36</v>
      </c>
      <c r="S4538" s="95">
        <f>200+1768</f>
        <v>1968</v>
      </c>
      <c r="T4538" s="83" t="s">
        <v>15992</v>
      </c>
      <c r="U4538" s="77"/>
      <c r="V4538" s="78"/>
      <c r="W4538" s="85" t="s">
        <v>15993</v>
      </c>
      <c r="X4538" s="80"/>
      <c r="Y4538" s="22">
        <v>0</v>
      </c>
      <c r="Z4538" s="80" t="s">
        <v>50</v>
      </c>
      <c r="AA4538" s="35" t="s">
        <v>9905</v>
      </c>
      <c r="AB4538" s="80"/>
      <c r="AC4538" s="80" t="s">
        <v>53</v>
      </c>
      <c r="AD4538" s="80" t="s">
        <v>138</v>
      </c>
      <c r="AE4538" s="80"/>
      <c r="AF4538" s="43">
        <v>45576</v>
      </c>
      <c r="AG4538" s="80" t="s">
        <v>14940</v>
      </c>
      <c r="AH4538" s="80"/>
      <c r="AI4538" s="147"/>
      <c r="AJ4538" s="80"/>
      <c r="AK4538" s="80"/>
      <c r="AL4538" s="35"/>
      <c r="AM4538" s="35"/>
      <c r="AN4538" s="35"/>
      <c r="AO4538" s="35"/>
      <c r="AP4538" s="35"/>
    </row>
    <row r="4539" spans="1:42" x14ac:dyDescent="0.2">
      <c r="A4539" s="126">
        <v>45567.932768090279</v>
      </c>
      <c r="B4539" s="137" t="s">
        <v>37</v>
      </c>
      <c r="C4539" s="41" t="s">
        <v>118</v>
      </c>
      <c r="D4539" s="80" t="s">
        <v>36</v>
      </c>
      <c r="E4539" s="80" t="s">
        <v>139</v>
      </c>
      <c r="F4539" s="80" t="s">
        <v>36</v>
      </c>
      <c r="G4539" s="80" t="s">
        <v>41</v>
      </c>
      <c r="H4539" s="80" t="s">
        <v>12398</v>
      </c>
      <c r="I4539" s="17">
        <f ca="1">IFERROR(__xludf.DUMMYFUNCTION("""COMPUTED_VALUE"""),45575)</f>
        <v>45575</v>
      </c>
      <c r="J4539" s="143" t="s">
        <v>15994</v>
      </c>
      <c r="K4539" s="80" t="s">
        <v>15995</v>
      </c>
      <c r="L4539" s="30">
        <v>971700006</v>
      </c>
      <c r="M4539" s="80" t="s">
        <v>15996</v>
      </c>
      <c r="N4539" s="80" t="s">
        <v>207</v>
      </c>
      <c r="O4539" s="80" t="s">
        <v>4503</v>
      </c>
      <c r="P4539" s="80" t="s">
        <v>15997</v>
      </c>
      <c r="Q4539" s="20">
        <v>15936</v>
      </c>
      <c r="R4539" s="80" t="s">
        <v>36</v>
      </c>
      <c r="S4539" s="95">
        <f>200+1800+7000</f>
        <v>9000</v>
      </c>
      <c r="T4539" s="83" t="s">
        <v>15998</v>
      </c>
      <c r="U4539" s="95">
        <v>6936</v>
      </c>
      <c r="V4539" s="148">
        <v>45596</v>
      </c>
      <c r="W4539" s="85" t="s">
        <v>15999</v>
      </c>
      <c r="X4539" s="80"/>
      <c r="Y4539" s="22">
        <v>0</v>
      </c>
      <c r="Z4539" s="80" t="s">
        <v>50</v>
      </c>
      <c r="AA4539" s="96" t="s">
        <v>9905</v>
      </c>
      <c r="AB4539" s="80"/>
      <c r="AC4539" s="80" t="s">
        <v>53</v>
      </c>
      <c r="AD4539" s="80" t="s">
        <v>54</v>
      </c>
      <c r="AE4539" s="80"/>
      <c r="AF4539" s="17">
        <v>45573</v>
      </c>
      <c r="AG4539" s="80"/>
      <c r="AH4539" s="80"/>
      <c r="AI4539" s="147"/>
      <c r="AJ4539" s="80"/>
      <c r="AK4539" s="80"/>
      <c r="AL4539" s="35"/>
      <c r="AM4539" s="35"/>
      <c r="AN4539" s="35"/>
      <c r="AO4539" s="35"/>
      <c r="AP4539" s="35"/>
    </row>
    <row r="4540" spans="1:42" x14ac:dyDescent="0.2">
      <c r="A4540" s="126">
        <v>45567.963918692127</v>
      </c>
      <c r="B4540" s="137" t="s">
        <v>37</v>
      </c>
      <c r="C4540" s="41" t="s">
        <v>118</v>
      </c>
      <c r="D4540" s="80" t="s">
        <v>36</v>
      </c>
      <c r="E4540" s="80" t="s">
        <v>56</v>
      </c>
      <c r="F4540" s="80" t="s">
        <v>36</v>
      </c>
      <c r="G4540" s="80" t="s">
        <v>41</v>
      </c>
      <c r="H4540" s="80" t="s">
        <v>12398</v>
      </c>
      <c r="I4540" s="17">
        <f ca="1">IFERROR(__xludf.DUMMYFUNCTION("""COMPUTED_VALUE"""),45575)</f>
        <v>45575</v>
      </c>
      <c r="J4540" s="143" t="s">
        <v>16000</v>
      </c>
      <c r="K4540" s="80" t="s">
        <v>16001</v>
      </c>
      <c r="L4540" s="30">
        <v>836372286</v>
      </c>
      <c r="M4540" s="80" t="s">
        <v>59</v>
      </c>
      <c r="N4540" s="80" t="s">
        <v>8342</v>
      </c>
      <c r="O4540" s="80" t="s">
        <v>16002</v>
      </c>
      <c r="P4540" s="80" t="s">
        <v>16003</v>
      </c>
      <c r="Q4540" s="20">
        <v>9317</v>
      </c>
      <c r="R4540" s="80" t="s">
        <v>36</v>
      </c>
      <c r="S4540" s="95">
        <f>200+9117</f>
        <v>9317</v>
      </c>
      <c r="T4540" s="83" t="s">
        <v>16004</v>
      </c>
      <c r="U4540" s="77"/>
      <c r="V4540" s="78"/>
      <c r="W4540" s="85" t="s">
        <v>16005</v>
      </c>
      <c r="X4540" s="80"/>
      <c r="Y4540" s="22">
        <v>0</v>
      </c>
      <c r="Z4540" s="80" t="s">
        <v>50</v>
      </c>
      <c r="AA4540" s="35" t="s">
        <v>9905</v>
      </c>
      <c r="AB4540" s="80"/>
      <c r="AC4540" s="80" t="s">
        <v>53</v>
      </c>
      <c r="AD4540" s="80" t="s">
        <v>54</v>
      </c>
      <c r="AE4540" s="80" t="s">
        <v>72</v>
      </c>
      <c r="AF4540" s="17">
        <v>45569</v>
      </c>
      <c r="AG4540" s="80"/>
      <c r="AH4540" s="80"/>
      <c r="AI4540" s="147"/>
      <c r="AJ4540" s="80"/>
      <c r="AK4540" s="80"/>
      <c r="AL4540" s="35"/>
      <c r="AM4540" s="35"/>
      <c r="AN4540" s="35"/>
      <c r="AO4540" s="35"/>
      <c r="AP4540" s="35"/>
    </row>
    <row r="4541" spans="1:42" x14ac:dyDescent="0.2">
      <c r="A4541" s="126">
        <v>45568.314744664356</v>
      </c>
      <c r="B4541" s="137" t="s">
        <v>37</v>
      </c>
      <c r="C4541" s="41" t="s">
        <v>118</v>
      </c>
      <c r="D4541" s="80" t="s">
        <v>36</v>
      </c>
      <c r="E4541" s="80" t="s">
        <v>56</v>
      </c>
      <c r="F4541" s="80" t="s">
        <v>36</v>
      </c>
      <c r="G4541" s="80" t="s">
        <v>41</v>
      </c>
      <c r="H4541" s="80" t="s">
        <v>12398</v>
      </c>
      <c r="I4541" s="17">
        <f ca="1">IFERROR(__xludf.DUMMYFUNCTION("""COMPUTED_VALUE"""),45575)</f>
        <v>45575</v>
      </c>
      <c r="J4541" s="143" t="s">
        <v>16006</v>
      </c>
      <c r="K4541" s="80" t="s">
        <v>16007</v>
      </c>
      <c r="L4541" s="30">
        <v>971418187</v>
      </c>
      <c r="M4541" s="80" t="s">
        <v>9422</v>
      </c>
      <c r="N4541" s="80" t="s">
        <v>5574</v>
      </c>
      <c r="O4541" s="80" t="s">
        <v>16008</v>
      </c>
      <c r="P4541" s="80" t="s">
        <v>16009</v>
      </c>
      <c r="Q4541" s="20">
        <v>9317</v>
      </c>
      <c r="R4541" s="80" t="s">
        <v>36</v>
      </c>
      <c r="S4541" s="95">
        <v>9317</v>
      </c>
      <c r="T4541" s="148">
        <v>45567</v>
      </c>
      <c r="U4541" s="77"/>
      <c r="V4541" s="78"/>
      <c r="W4541" s="85" t="s">
        <v>16010</v>
      </c>
      <c r="X4541" s="80"/>
      <c r="Y4541" s="22">
        <v>0</v>
      </c>
      <c r="Z4541" s="80" t="s">
        <v>50</v>
      </c>
      <c r="AA4541" s="96" t="s">
        <v>9905</v>
      </c>
      <c r="AB4541" s="80"/>
      <c r="AC4541" s="80" t="s">
        <v>53</v>
      </c>
      <c r="AD4541" s="80" t="s">
        <v>54</v>
      </c>
      <c r="AE4541" s="80"/>
      <c r="AF4541" s="17">
        <v>45568</v>
      </c>
      <c r="AG4541" s="80"/>
      <c r="AH4541" s="80"/>
      <c r="AI4541" s="147"/>
      <c r="AJ4541" s="80"/>
      <c r="AK4541" s="80"/>
      <c r="AL4541" s="35"/>
      <c r="AM4541" s="35"/>
      <c r="AN4541" s="35"/>
      <c r="AO4541" s="35"/>
      <c r="AP4541" s="35"/>
    </row>
    <row r="4542" spans="1:42" x14ac:dyDescent="0.2">
      <c r="A4542" s="126">
        <v>45568.327180057866</v>
      </c>
      <c r="B4542" s="137" t="s">
        <v>37</v>
      </c>
      <c r="C4542" s="41" t="s">
        <v>118</v>
      </c>
      <c r="D4542" s="80" t="s">
        <v>36</v>
      </c>
      <c r="E4542" s="80" t="s">
        <v>139</v>
      </c>
      <c r="F4542" s="80" t="s">
        <v>36</v>
      </c>
      <c r="G4542" s="80" t="s">
        <v>41</v>
      </c>
      <c r="H4542" s="80" t="s">
        <v>14934</v>
      </c>
      <c r="I4542" s="17">
        <f ca="1">IFERROR(__xludf.DUMMYFUNCTION("""COMPUTED_VALUE"""),45578)</f>
        <v>45578</v>
      </c>
      <c r="J4542" s="143" t="s">
        <v>16011</v>
      </c>
      <c r="K4542" s="80" t="s">
        <v>16012</v>
      </c>
      <c r="L4542" s="30">
        <v>345788045</v>
      </c>
      <c r="M4542" s="80" t="s">
        <v>15996</v>
      </c>
      <c r="N4542" s="80" t="s">
        <v>186</v>
      </c>
      <c r="O4542" s="80" t="s">
        <v>4503</v>
      </c>
      <c r="P4542" s="80" t="s">
        <v>3056</v>
      </c>
      <c r="Q4542" s="20">
        <v>15936</v>
      </c>
      <c r="R4542" s="80" t="s">
        <v>70</v>
      </c>
      <c r="S4542" s="95">
        <f t="shared" ref="S4542:S4544" si="99">200+3000</f>
        <v>3200</v>
      </c>
      <c r="T4542" s="83" t="s">
        <v>16013</v>
      </c>
      <c r="U4542" s="95">
        <v>12636</v>
      </c>
      <c r="V4542" s="148">
        <v>45590</v>
      </c>
      <c r="W4542" s="85" t="s">
        <v>16014</v>
      </c>
      <c r="X4542" s="80"/>
      <c r="Y4542" s="22">
        <v>100</v>
      </c>
      <c r="Z4542" s="80" t="s">
        <v>50</v>
      </c>
      <c r="AA4542" s="35" t="s">
        <v>9905</v>
      </c>
      <c r="AB4542" s="80"/>
      <c r="AC4542" s="80" t="s">
        <v>53</v>
      </c>
      <c r="AD4542" s="80" t="s">
        <v>138</v>
      </c>
      <c r="AE4542" s="80"/>
      <c r="AF4542" s="43">
        <v>45576</v>
      </c>
      <c r="AG4542" s="80" t="s">
        <v>14940</v>
      </c>
      <c r="AH4542" s="80"/>
      <c r="AI4542" s="147"/>
      <c r="AJ4542" s="80"/>
      <c r="AK4542" s="80"/>
      <c r="AL4542" s="35"/>
      <c r="AM4542" s="35"/>
      <c r="AN4542" s="35"/>
      <c r="AO4542" s="35"/>
      <c r="AP4542" s="35"/>
    </row>
    <row r="4543" spans="1:42" x14ac:dyDescent="0.2">
      <c r="A4543" s="126">
        <v>45568.328638634259</v>
      </c>
      <c r="B4543" s="137" t="s">
        <v>37</v>
      </c>
      <c r="C4543" s="41" t="s">
        <v>118</v>
      </c>
      <c r="D4543" s="80" t="s">
        <v>36</v>
      </c>
      <c r="E4543" s="80" t="s">
        <v>139</v>
      </c>
      <c r="F4543" s="80" t="s">
        <v>36</v>
      </c>
      <c r="G4543" s="80" t="s">
        <v>41</v>
      </c>
      <c r="H4543" s="80" t="s">
        <v>14934</v>
      </c>
      <c r="I4543" s="17">
        <f ca="1">IFERROR(__xludf.DUMMYFUNCTION("""COMPUTED_VALUE"""),45578)</f>
        <v>45578</v>
      </c>
      <c r="J4543" s="143" t="s">
        <v>16015</v>
      </c>
      <c r="K4543" s="80" t="s">
        <v>16016</v>
      </c>
      <c r="L4543" s="30">
        <v>352749154</v>
      </c>
      <c r="M4543" s="80" t="s">
        <v>15996</v>
      </c>
      <c r="N4543" s="80" t="s">
        <v>186</v>
      </c>
      <c r="O4543" s="80" t="s">
        <v>4503</v>
      </c>
      <c r="P4543" s="80" t="s">
        <v>3056</v>
      </c>
      <c r="Q4543" s="20">
        <v>15936</v>
      </c>
      <c r="R4543" s="80" t="s">
        <v>70</v>
      </c>
      <c r="S4543" s="95">
        <f t="shared" si="99"/>
        <v>3200</v>
      </c>
      <c r="T4543" s="83" t="s">
        <v>16013</v>
      </c>
      <c r="U4543" s="95">
        <v>12636</v>
      </c>
      <c r="V4543" s="148">
        <v>45593</v>
      </c>
      <c r="W4543" s="85" t="s">
        <v>16017</v>
      </c>
      <c r="X4543" s="80"/>
      <c r="Y4543" s="22">
        <v>100</v>
      </c>
      <c r="Z4543" s="80" t="s">
        <v>50</v>
      </c>
      <c r="AA4543" s="96" t="s">
        <v>9905</v>
      </c>
      <c r="AB4543" s="80"/>
      <c r="AC4543" s="80" t="s">
        <v>53</v>
      </c>
      <c r="AD4543" s="80" t="s">
        <v>138</v>
      </c>
      <c r="AE4543" s="80"/>
      <c r="AF4543" s="43">
        <v>45576</v>
      </c>
      <c r="AG4543" s="80" t="s">
        <v>14940</v>
      </c>
      <c r="AH4543" s="80"/>
      <c r="AI4543" s="147"/>
      <c r="AJ4543" s="80"/>
      <c r="AK4543" s="80"/>
      <c r="AL4543" s="35"/>
      <c r="AM4543" s="35"/>
      <c r="AN4543" s="35"/>
      <c r="AO4543" s="35"/>
      <c r="AP4543" s="35"/>
    </row>
    <row r="4544" spans="1:42" x14ac:dyDescent="0.2">
      <c r="A4544" s="126">
        <v>45568.336382337962</v>
      </c>
      <c r="B4544" s="137" t="s">
        <v>37</v>
      </c>
      <c r="C4544" s="41" t="s">
        <v>118</v>
      </c>
      <c r="D4544" s="80" t="s">
        <v>36</v>
      </c>
      <c r="E4544" s="80" t="s">
        <v>139</v>
      </c>
      <c r="F4544" s="80" t="s">
        <v>36</v>
      </c>
      <c r="G4544" s="80" t="s">
        <v>41</v>
      </c>
      <c r="H4544" s="80" t="s">
        <v>14934</v>
      </c>
      <c r="I4544" s="17">
        <f ca="1">IFERROR(__xludf.DUMMYFUNCTION("""COMPUTED_VALUE"""),45578)</f>
        <v>45578</v>
      </c>
      <c r="J4544" s="143" t="s">
        <v>16018</v>
      </c>
      <c r="K4544" s="80" t="s">
        <v>16019</v>
      </c>
      <c r="L4544" s="30">
        <v>372219846</v>
      </c>
      <c r="M4544" s="80" t="s">
        <v>15996</v>
      </c>
      <c r="N4544" s="80" t="s">
        <v>186</v>
      </c>
      <c r="O4544" s="80" t="s">
        <v>4503</v>
      </c>
      <c r="P4544" s="80" t="s">
        <v>3056</v>
      </c>
      <c r="Q4544" s="20">
        <v>15936</v>
      </c>
      <c r="R4544" s="80" t="s">
        <v>36</v>
      </c>
      <c r="S4544" s="95">
        <f t="shared" si="99"/>
        <v>3200</v>
      </c>
      <c r="T4544" s="83" t="s">
        <v>16020</v>
      </c>
      <c r="U4544" s="95">
        <v>12736</v>
      </c>
      <c r="V4544" s="148">
        <v>45595</v>
      </c>
      <c r="W4544" s="85" t="s">
        <v>16021</v>
      </c>
      <c r="X4544" s="80"/>
      <c r="Y4544" s="22">
        <v>0</v>
      </c>
      <c r="Z4544" s="80" t="s">
        <v>50</v>
      </c>
      <c r="AA4544" s="35" t="s">
        <v>9905</v>
      </c>
      <c r="AB4544" s="80"/>
      <c r="AC4544" s="80" t="s">
        <v>53</v>
      </c>
      <c r="AD4544" s="80" t="s">
        <v>138</v>
      </c>
      <c r="AE4544" s="80"/>
      <c r="AF4544" s="43">
        <v>45576</v>
      </c>
      <c r="AG4544" s="80" t="s">
        <v>14940</v>
      </c>
      <c r="AH4544" s="80"/>
      <c r="AI4544" s="147"/>
      <c r="AJ4544" s="80"/>
      <c r="AK4544" s="80"/>
      <c r="AL4544" s="35"/>
      <c r="AM4544" s="35"/>
      <c r="AN4544" s="35"/>
      <c r="AO4544" s="35"/>
      <c r="AP4544" s="35"/>
    </row>
    <row r="4545" spans="1:42" x14ac:dyDescent="0.2">
      <c r="A4545" s="126">
        <v>45568.344771724536</v>
      </c>
      <c r="B4545" s="137" t="s">
        <v>37</v>
      </c>
      <c r="C4545" s="41" t="s">
        <v>118</v>
      </c>
      <c r="D4545" s="80" t="s">
        <v>36</v>
      </c>
      <c r="E4545" s="80" t="s">
        <v>139</v>
      </c>
      <c r="F4545" s="80" t="s">
        <v>36</v>
      </c>
      <c r="G4545" s="80" t="s">
        <v>41</v>
      </c>
      <c r="H4545" s="80" t="s">
        <v>13178</v>
      </c>
      <c r="I4545" s="17">
        <f ca="1">IFERROR(__xludf.DUMMYFUNCTION("""COMPUTED_VALUE"""),45572)</f>
        <v>45572</v>
      </c>
      <c r="J4545" s="143" t="s">
        <v>16022</v>
      </c>
      <c r="K4545" s="80" t="s">
        <v>16023</v>
      </c>
      <c r="L4545" s="30">
        <v>843053899</v>
      </c>
      <c r="M4545" s="80" t="s">
        <v>3728</v>
      </c>
      <c r="N4545" s="80" t="s">
        <v>5277</v>
      </c>
      <c r="O4545" s="80" t="s">
        <v>16024</v>
      </c>
      <c r="P4545" s="80" t="s">
        <v>11644</v>
      </c>
      <c r="Q4545" s="20">
        <v>15936</v>
      </c>
      <c r="R4545" s="80" t="s">
        <v>36</v>
      </c>
      <c r="S4545" s="95">
        <v>2000</v>
      </c>
      <c r="T4545" s="148">
        <v>45568</v>
      </c>
      <c r="U4545" s="95">
        <v>13936</v>
      </c>
      <c r="V4545" s="148">
        <v>45594</v>
      </c>
      <c r="W4545" s="85" t="s">
        <v>16025</v>
      </c>
      <c r="X4545" s="80"/>
      <c r="Y4545" s="22">
        <v>0</v>
      </c>
      <c r="Z4545" s="80" t="s">
        <v>50</v>
      </c>
      <c r="AA4545" s="96" t="s">
        <v>9905</v>
      </c>
      <c r="AB4545" s="80"/>
      <c r="AC4545" s="80" t="s">
        <v>53</v>
      </c>
      <c r="AD4545" s="80" t="s">
        <v>138</v>
      </c>
      <c r="AE4545" s="80"/>
      <c r="AF4545" s="17">
        <v>45572</v>
      </c>
      <c r="AG4545" s="80" t="s">
        <v>13185</v>
      </c>
      <c r="AH4545" s="80"/>
      <c r="AI4545" s="147"/>
      <c r="AJ4545" s="80"/>
      <c r="AK4545" s="80"/>
      <c r="AL4545" s="35"/>
      <c r="AM4545" s="35"/>
      <c r="AN4545" s="35"/>
      <c r="AO4545" s="35"/>
      <c r="AP4545" s="35"/>
    </row>
    <row r="4546" spans="1:42" x14ac:dyDescent="0.2">
      <c r="A4546" s="126">
        <v>45568.631388287038</v>
      </c>
      <c r="B4546" s="137" t="s">
        <v>37</v>
      </c>
      <c r="C4546" s="41" t="s">
        <v>118</v>
      </c>
      <c r="D4546" s="80" t="s">
        <v>36</v>
      </c>
      <c r="E4546" s="80" t="s">
        <v>139</v>
      </c>
      <c r="F4546" s="80" t="s">
        <v>36</v>
      </c>
      <c r="G4546" s="80" t="s">
        <v>41</v>
      </c>
      <c r="H4546" s="80" t="s">
        <v>13424</v>
      </c>
      <c r="I4546" s="17">
        <f ca="1">IFERROR(__xludf.DUMMYFUNCTION("""COMPUTED_VALUE"""),45572)</f>
        <v>45572</v>
      </c>
      <c r="J4546" s="143" t="s">
        <v>16026</v>
      </c>
      <c r="K4546" s="80" t="s">
        <v>16027</v>
      </c>
      <c r="L4546" s="30">
        <v>355413999</v>
      </c>
      <c r="M4546" s="80" t="s">
        <v>5558</v>
      </c>
      <c r="N4546" s="80" t="s">
        <v>850</v>
      </c>
      <c r="O4546" s="80" t="s">
        <v>16028</v>
      </c>
      <c r="P4546" s="80" t="s">
        <v>16029</v>
      </c>
      <c r="Q4546" s="20">
        <v>15936</v>
      </c>
      <c r="R4546" s="80" t="s">
        <v>36</v>
      </c>
      <c r="S4546" s="95">
        <v>15936</v>
      </c>
      <c r="T4546" s="148">
        <v>45568</v>
      </c>
      <c r="U4546" s="77"/>
      <c r="V4546" s="78"/>
      <c r="W4546" s="79" t="s">
        <v>16030</v>
      </c>
      <c r="X4546" s="80"/>
      <c r="Y4546" s="22">
        <v>0</v>
      </c>
      <c r="Z4546" s="80" t="s">
        <v>50</v>
      </c>
      <c r="AA4546" s="35" t="s">
        <v>9905</v>
      </c>
      <c r="AB4546" s="80"/>
      <c r="AC4546" s="80" t="s">
        <v>53</v>
      </c>
      <c r="AD4546" s="80" t="s">
        <v>138</v>
      </c>
      <c r="AE4546" s="80"/>
      <c r="AF4546" s="17">
        <v>45572</v>
      </c>
      <c r="AG4546" s="80" t="s">
        <v>13430</v>
      </c>
      <c r="AH4546" s="80"/>
      <c r="AI4546" s="147"/>
      <c r="AJ4546" s="80"/>
      <c r="AK4546" s="80"/>
      <c r="AL4546" s="35"/>
      <c r="AM4546" s="35"/>
      <c r="AN4546" s="35"/>
      <c r="AO4546" s="35"/>
      <c r="AP4546" s="35"/>
    </row>
    <row r="4547" spans="1:42" x14ac:dyDescent="0.2">
      <c r="A4547" s="126">
        <v>45568.860018506944</v>
      </c>
      <c r="B4547" s="137" t="s">
        <v>90</v>
      </c>
      <c r="C4547" s="41" t="s">
        <v>118</v>
      </c>
      <c r="D4547" s="80" t="s">
        <v>36</v>
      </c>
      <c r="E4547" s="80" t="s">
        <v>77</v>
      </c>
      <c r="F4547" s="80" t="s">
        <v>36</v>
      </c>
      <c r="G4547" s="80" t="s">
        <v>41</v>
      </c>
      <c r="H4547" s="80" t="s">
        <v>13178</v>
      </c>
      <c r="I4547" s="17">
        <f ca="1">IFERROR(__xludf.DUMMYFUNCTION("""COMPUTED_VALUE"""),45572)</f>
        <v>45572</v>
      </c>
      <c r="J4547" s="143" t="s">
        <v>16031</v>
      </c>
      <c r="K4547" s="80" t="s">
        <v>16032</v>
      </c>
      <c r="L4547" s="30">
        <v>889805933</v>
      </c>
      <c r="M4547" s="80" t="s">
        <v>2755</v>
      </c>
      <c r="N4547" s="80" t="s">
        <v>4402</v>
      </c>
      <c r="O4547" s="80" t="s">
        <v>4503</v>
      </c>
      <c r="P4547" s="80" t="s">
        <v>6390</v>
      </c>
      <c r="Q4547" s="20">
        <v>1968</v>
      </c>
      <c r="R4547" s="80" t="s">
        <v>36</v>
      </c>
      <c r="S4547" s="95">
        <v>2000</v>
      </c>
      <c r="T4547" s="148">
        <v>45554</v>
      </c>
      <c r="U4547" s="77"/>
      <c r="V4547" s="78"/>
      <c r="W4547" s="85" t="s">
        <v>16033</v>
      </c>
      <c r="X4547" s="80"/>
      <c r="Y4547" s="22">
        <v>-32</v>
      </c>
      <c r="Z4547" s="80" t="s">
        <v>50</v>
      </c>
      <c r="AA4547" s="96" t="s">
        <v>9905</v>
      </c>
      <c r="AB4547" s="80"/>
      <c r="AC4547" s="80" t="s">
        <v>53</v>
      </c>
      <c r="AD4547" s="80" t="s">
        <v>138</v>
      </c>
      <c r="AE4547" s="80"/>
      <c r="AF4547" s="17">
        <v>45572</v>
      </c>
      <c r="AG4547" s="80" t="s">
        <v>7078</v>
      </c>
      <c r="AH4547" s="80"/>
      <c r="AI4547" s="147"/>
      <c r="AJ4547" s="80"/>
      <c r="AK4547" s="80"/>
      <c r="AL4547" s="35"/>
      <c r="AM4547" s="35"/>
      <c r="AN4547" s="35"/>
      <c r="AO4547" s="35"/>
      <c r="AP4547" s="35"/>
    </row>
    <row r="4548" spans="1:42" x14ac:dyDescent="0.2">
      <c r="A4548" s="126">
        <v>45568.942266678241</v>
      </c>
      <c r="B4548" s="137" t="s">
        <v>37</v>
      </c>
      <c r="C4548" s="41" t="s">
        <v>118</v>
      </c>
      <c r="D4548" s="80" t="s">
        <v>36</v>
      </c>
      <c r="E4548" s="80" t="s">
        <v>139</v>
      </c>
      <c r="F4548" s="80" t="s">
        <v>36</v>
      </c>
      <c r="G4548" s="80" t="s">
        <v>41</v>
      </c>
      <c r="H4548" s="80" t="s">
        <v>13301</v>
      </c>
      <c r="I4548" s="17">
        <f ca="1">IFERROR(__xludf.DUMMYFUNCTION("""COMPUTED_VALUE"""),45566)</f>
        <v>45566</v>
      </c>
      <c r="J4548" s="143" t="s">
        <v>16034</v>
      </c>
      <c r="K4548" s="80" t="s">
        <v>16035</v>
      </c>
      <c r="L4548" s="30">
        <v>974501976</v>
      </c>
      <c r="M4548" s="80" t="s">
        <v>15970</v>
      </c>
      <c r="N4548" s="80" t="s">
        <v>327</v>
      </c>
      <c r="O4548" s="80" t="s">
        <v>4503</v>
      </c>
      <c r="P4548" s="80" t="s">
        <v>3056</v>
      </c>
      <c r="Q4548" s="20">
        <v>15936</v>
      </c>
      <c r="R4548" s="80" t="s">
        <v>36</v>
      </c>
      <c r="S4548" s="95">
        <v>15936</v>
      </c>
      <c r="T4548" s="148">
        <v>45568</v>
      </c>
      <c r="U4548" s="77"/>
      <c r="V4548" s="78"/>
      <c r="W4548" s="85" t="s">
        <v>16036</v>
      </c>
      <c r="X4548" s="80"/>
      <c r="Y4548" s="22">
        <v>0</v>
      </c>
      <c r="Z4548" s="80" t="s">
        <v>50</v>
      </c>
      <c r="AA4548" s="35" t="s">
        <v>9905</v>
      </c>
      <c r="AB4548" s="80"/>
      <c r="AC4548" s="80" t="s">
        <v>53</v>
      </c>
      <c r="AD4548" s="80" t="s">
        <v>138</v>
      </c>
      <c r="AE4548" s="80"/>
      <c r="AF4548" s="17">
        <v>45568</v>
      </c>
      <c r="AG4548" s="80"/>
      <c r="AH4548" s="80"/>
      <c r="AI4548" s="147"/>
      <c r="AJ4548" s="80"/>
      <c r="AK4548" s="80"/>
      <c r="AL4548" s="35"/>
      <c r="AM4548" s="35"/>
      <c r="AN4548" s="35"/>
      <c r="AO4548" s="35"/>
      <c r="AP4548" s="35"/>
    </row>
    <row r="4549" spans="1:42" x14ac:dyDescent="0.2">
      <c r="A4549" s="126">
        <v>45568.972902303241</v>
      </c>
      <c r="B4549" s="137" t="s">
        <v>37</v>
      </c>
      <c r="C4549" s="41" t="s">
        <v>118</v>
      </c>
      <c r="D4549" s="80" t="s">
        <v>36</v>
      </c>
      <c r="E4549" s="80" t="s">
        <v>139</v>
      </c>
      <c r="F4549" s="80" t="s">
        <v>36</v>
      </c>
      <c r="G4549" s="80" t="s">
        <v>41</v>
      </c>
      <c r="H4549" s="80" t="s">
        <v>15506</v>
      </c>
      <c r="I4549" s="17">
        <f ca="1">IFERROR(__xludf.DUMMYFUNCTION("""COMPUTED_VALUE"""),45573)</f>
        <v>45573</v>
      </c>
      <c r="J4549" s="143" t="s">
        <v>16037</v>
      </c>
      <c r="K4549" s="80" t="s">
        <v>16038</v>
      </c>
      <c r="L4549" s="30">
        <v>376935431</v>
      </c>
      <c r="M4549" s="80" t="s">
        <v>3288</v>
      </c>
      <c r="N4549" s="80" t="s">
        <v>200</v>
      </c>
      <c r="O4549" s="80" t="s">
        <v>91</v>
      </c>
      <c r="P4549" s="80" t="s">
        <v>16039</v>
      </c>
      <c r="Q4549" s="20">
        <v>15936</v>
      </c>
      <c r="R4549" s="80" t="s">
        <v>1106</v>
      </c>
      <c r="S4549" s="95">
        <f>1000+1000</f>
        <v>2000</v>
      </c>
      <c r="T4549" s="83" t="s">
        <v>16040</v>
      </c>
      <c r="U4549" s="95">
        <v>13786</v>
      </c>
      <c r="V4549" s="148">
        <v>45591</v>
      </c>
      <c r="W4549" s="85" t="s">
        <v>16041</v>
      </c>
      <c r="X4549" s="80"/>
      <c r="Y4549" s="22">
        <v>150</v>
      </c>
      <c r="Z4549" s="80" t="s">
        <v>50</v>
      </c>
      <c r="AA4549" s="96" t="s">
        <v>9905</v>
      </c>
      <c r="AB4549" s="80"/>
      <c r="AC4549" s="80" t="s">
        <v>53</v>
      </c>
      <c r="AD4549" s="80" t="s">
        <v>54</v>
      </c>
      <c r="AE4549" s="80" t="s">
        <v>91</v>
      </c>
      <c r="AF4549" s="17">
        <v>45569</v>
      </c>
      <c r="AG4549" s="80"/>
      <c r="AH4549" s="80"/>
      <c r="AI4549" s="147"/>
      <c r="AJ4549" s="80"/>
      <c r="AK4549" s="80"/>
      <c r="AL4549" s="35"/>
      <c r="AM4549" s="35"/>
      <c r="AN4549" s="35"/>
      <c r="AO4549" s="35"/>
      <c r="AP4549" s="35"/>
    </row>
    <row r="4550" spans="1:42" x14ac:dyDescent="0.2">
      <c r="A4550" s="126">
        <v>45568.973074155088</v>
      </c>
      <c r="B4550" s="137" t="s">
        <v>37</v>
      </c>
      <c r="C4550" s="41" t="s">
        <v>118</v>
      </c>
      <c r="D4550" s="80" t="s">
        <v>36</v>
      </c>
      <c r="E4550" s="80" t="s">
        <v>77</v>
      </c>
      <c r="F4550" s="80" t="s">
        <v>36</v>
      </c>
      <c r="G4550" s="80" t="s">
        <v>41</v>
      </c>
      <c r="H4550" s="80" t="s">
        <v>12416</v>
      </c>
      <c r="I4550" s="17">
        <f ca="1">IFERROR(__xludf.DUMMYFUNCTION("""COMPUTED_VALUE"""),45574)</f>
        <v>45574</v>
      </c>
      <c r="J4550" s="143" t="s">
        <v>16042</v>
      </c>
      <c r="K4550" s="80" t="s">
        <v>16043</v>
      </c>
      <c r="L4550" s="30">
        <v>973585044</v>
      </c>
      <c r="M4550" s="80" t="s">
        <v>348</v>
      </c>
      <c r="N4550" s="80" t="s">
        <v>68</v>
      </c>
      <c r="O4550" s="80" t="s">
        <v>16044</v>
      </c>
      <c r="P4550" s="80" t="s">
        <v>16045</v>
      </c>
      <c r="Q4550" s="20">
        <v>1968</v>
      </c>
      <c r="R4550" s="80" t="s">
        <v>36</v>
      </c>
      <c r="S4550" s="95">
        <v>1968</v>
      </c>
      <c r="T4550" s="148">
        <v>45568</v>
      </c>
      <c r="U4550" s="77"/>
      <c r="V4550" s="78"/>
      <c r="W4550" s="85" t="s">
        <v>16046</v>
      </c>
      <c r="X4550" s="80"/>
      <c r="Y4550" s="22">
        <v>0</v>
      </c>
      <c r="Z4550" s="80" t="s">
        <v>50</v>
      </c>
      <c r="AA4550" s="35" t="s">
        <v>9905</v>
      </c>
      <c r="AB4550" s="80"/>
      <c r="AC4550" s="80" t="s">
        <v>53</v>
      </c>
      <c r="AD4550" s="80" t="s">
        <v>138</v>
      </c>
      <c r="AE4550" s="80" t="s">
        <v>5672</v>
      </c>
      <c r="AF4550" s="17">
        <v>45573</v>
      </c>
      <c r="AG4550" s="80" t="s">
        <v>13500</v>
      </c>
      <c r="AH4550" s="80"/>
      <c r="AI4550" s="147"/>
      <c r="AJ4550" s="80"/>
      <c r="AK4550" s="80"/>
      <c r="AL4550" s="35"/>
      <c r="AM4550" s="35"/>
      <c r="AN4550" s="35"/>
      <c r="AO4550" s="35"/>
      <c r="AP4550" s="35"/>
    </row>
    <row r="4551" spans="1:42" x14ac:dyDescent="0.2">
      <c r="A4551" s="126">
        <v>45569.457705497683</v>
      </c>
      <c r="B4551" s="137" t="s">
        <v>37</v>
      </c>
      <c r="C4551" s="41" t="s">
        <v>118</v>
      </c>
      <c r="D4551" s="80" t="s">
        <v>36</v>
      </c>
      <c r="E4551" s="80" t="s">
        <v>56</v>
      </c>
      <c r="F4551" s="80" t="s">
        <v>36</v>
      </c>
      <c r="G4551" s="80" t="s">
        <v>41</v>
      </c>
      <c r="H4551" s="80" t="s">
        <v>12398</v>
      </c>
      <c r="I4551" s="17">
        <f ca="1">IFERROR(__xludf.DUMMYFUNCTION("""COMPUTED_VALUE"""),45575)</f>
        <v>45575</v>
      </c>
      <c r="J4551" s="143" t="s">
        <v>16047</v>
      </c>
      <c r="K4551" s="80" t="s">
        <v>16048</v>
      </c>
      <c r="L4551" s="30">
        <v>989380621</v>
      </c>
      <c r="M4551" s="80" t="s">
        <v>2755</v>
      </c>
      <c r="N4551" s="80" t="s">
        <v>2756</v>
      </c>
      <c r="O4551" s="80" t="s">
        <v>4503</v>
      </c>
      <c r="P4551" s="80" t="s">
        <v>16049</v>
      </c>
      <c r="Q4551" s="20">
        <v>9317</v>
      </c>
      <c r="R4551" s="80" t="s">
        <v>36</v>
      </c>
      <c r="S4551" s="95">
        <v>1968</v>
      </c>
      <c r="T4551" s="148">
        <v>45569</v>
      </c>
      <c r="U4551" s="95">
        <v>7349</v>
      </c>
      <c r="V4551" s="148">
        <v>45596</v>
      </c>
      <c r="W4551" s="85" t="s">
        <v>16050</v>
      </c>
      <c r="X4551" s="80"/>
      <c r="Y4551" s="22">
        <v>0</v>
      </c>
      <c r="Z4551" s="80" t="s">
        <v>50</v>
      </c>
      <c r="AA4551" s="96" t="s">
        <v>9905</v>
      </c>
      <c r="AB4551" s="80"/>
      <c r="AC4551" s="80" t="s">
        <v>53</v>
      </c>
      <c r="AD4551" s="80" t="s">
        <v>54</v>
      </c>
      <c r="AE4551" s="80"/>
      <c r="AF4551" s="17">
        <v>45569</v>
      </c>
      <c r="AG4551" s="80"/>
      <c r="AH4551" s="80"/>
      <c r="AI4551" s="147"/>
      <c r="AJ4551" s="80"/>
      <c r="AK4551" s="80"/>
      <c r="AL4551" s="35"/>
      <c r="AM4551" s="35"/>
      <c r="AN4551" s="35"/>
      <c r="AO4551" s="35"/>
      <c r="AP4551" s="35"/>
    </row>
    <row r="4552" spans="1:42" x14ac:dyDescent="0.2">
      <c r="A4552" s="126">
        <v>45569.480872245374</v>
      </c>
      <c r="B4552" s="137" t="s">
        <v>37</v>
      </c>
      <c r="C4552" s="41" t="s">
        <v>118</v>
      </c>
      <c r="D4552" s="80" t="s">
        <v>36</v>
      </c>
      <c r="E4552" s="80" t="s">
        <v>56</v>
      </c>
      <c r="F4552" s="80" t="s">
        <v>36</v>
      </c>
      <c r="G4552" s="80" t="s">
        <v>41</v>
      </c>
      <c r="H4552" s="80" t="s">
        <v>14159</v>
      </c>
      <c r="I4552" s="17">
        <f ca="1">IFERROR(__xludf.DUMMYFUNCTION("""COMPUTED_VALUE"""),45576)</f>
        <v>45576</v>
      </c>
      <c r="J4552" s="143" t="s">
        <v>16051</v>
      </c>
      <c r="K4552" s="80" t="s">
        <v>16052</v>
      </c>
      <c r="L4552" s="30">
        <v>352312394</v>
      </c>
      <c r="M4552" s="80" t="s">
        <v>9422</v>
      </c>
      <c r="N4552" s="80" t="s">
        <v>13156</v>
      </c>
      <c r="O4552" s="80" t="s">
        <v>16053</v>
      </c>
      <c r="P4552" s="80" t="s">
        <v>16054</v>
      </c>
      <c r="Q4552" s="20">
        <v>9317</v>
      </c>
      <c r="R4552" s="80" t="s">
        <v>11421</v>
      </c>
      <c r="S4552" s="95">
        <v>2000</v>
      </c>
      <c r="T4552" s="148">
        <v>45569</v>
      </c>
      <c r="U4552" s="95">
        <v>7017</v>
      </c>
      <c r="V4552" s="148">
        <v>45593</v>
      </c>
      <c r="W4552" s="85" t="s">
        <v>16055</v>
      </c>
      <c r="X4552" s="80"/>
      <c r="Y4552" s="22">
        <v>300</v>
      </c>
      <c r="Z4552" s="80" t="s">
        <v>50</v>
      </c>
      <c r="AA4552" s="35" t="s">
        <v>9905</v>
      </c>
      <c r="AB4552" s="80"/>
      <c r="AC4552" s="80" t="s">
        <v>53</v>
      </c>
      <c r="AD4552" s="80" t="s">
        <v>54</v>
      </c>
      <c r="AE4552" s="80"/>
      <c r="AF4552" s="17">
        <v>45569</v>
      </c>
      <c r="AG4552" s="80"/>
      <c r="AH4552" s="80"/>
      <c r="AI4552" s="147"/>
      <c r="AJ4552" s="80"/>
      <c r="AK4552" s="80"/>
      <c r="AL4552" s="35"/>
      <c r="AM4552" s="35"/>
      <c r="AN4552" s="35"/>
      <c r="AO4552" s="35"/>
      <c r="AP4552" s="35"/>
    </row>
    <row r="4553" spans="1:42" x14ac:dyDescent="0.2">
      <c r="A4553" s="126">
        <v>45569.577225497684</v>
      </c>
      <c r="B4553" s="137" t="s">
        <v>37</v>
      </c>
      <c r="C4553" s="41" t="s">
        <v>118</v>
      </c>
      <c r="D4553" s="80" t="s">
        <v>36</v>
      </c>
      <c r="E4553" s="80" t="s">
        <v>39</v>
      </c>
      <c r="F4553" s="80" t="s">
        <v>36</v>
      </c>
      <c r="G4553" s="80" t="s">
        <v>41</v>
      </c>
      <c r="H4553" s="80" t="s">
        <v>15855</v>
      </c>
      <c r="I4553" s="17">
        <f ca="1">IFERROR(__xludf.DUMMYFUNCTION("""COMPUTED_VALUE"""),45572)</f>
        <v>45572</v>
      </c>
      <c r="J4553" s="143" t="s">
        <v>16056</v>
      </c>
      <c r="K4553" s="80" t="s">
        <v>16057</v>
      </c>
      <c r="L4553" s="30">
        <v>968792259</v>
      </c>
      <c r="M4553" s="80" t="s">
        <v>45</v>
      </c>
      <c r="N4553" s="80" t="s">
        <v>299</v>
      </c>
      <c r="O4553" s="80" t="s">
        <v>16058</v>
      </c>
      <c r="P4553" s="80" t="s">
        <v>16059</v>
      </c>
      <c r="Q4553" s="20">
        <v>5736</v>
      </c>
      <c r="R4553" s="80" t="s">
        <v>36</v>
      </c>
      <c r="S4553" s="95">
        <v>5736</v>
      </c>
      <c r="T4553" s="148">
        <v>45569</v>
      </c>
      <c r="U4553" s="77"/>
      <c r="V4553" s="78"/>
      <c r="W4553" s="85" t="s">
        <v>16060</v>
      </c>
      <c r="X4553" s="80"/>
      <c r="Y4553" s="22">
        <v>0</v>
      </c>
      <c r="Z4553" s="80" t="s">
        <v>50</v>
      </c>
      <c r="AA4553" s="96" t="s">
        <v>9905</v>
      </c>
      <c r="AB4553" s="80"/>
      <c r="AC4553" s="80" t="s">
        <v>53</v>
      </c>
      <c r="AD4553" s="80" t="s">
        <v>54</v>
      </c>
      <c r="AE4553" s="83">
        <v>310</v>
      </c>
      <c r="AF4553" s="17">
        <v>45569</v>
      </c>
      <c r="AG4553" s="80"/>
      <c r="AH4553" s="80"/>
      <c r="AI4553" s="147"/>
      <c r="AJ4553" s="80"/>
      <c r="AK4553" s="80"/>
      <c r="AL4553" s="35"/>
      <c r="AM4553" s="35"/>
      <c r="AN4553" s="35"/>
      <c r="AO4553" s="35"/>
      <c r="AP4553" s="35"/>
    </row>
    <row r="4554" spans="1:42" x14ac:dyDescent="0.2">
      <c r="A4554" s="126">
        <v>45569.578949826391</v>
      </c>
      <c r="B4554" s="137" t="s">
        <v>37</v>
      </c>
      <c r="C4554" s="41" t="s">
        <v>118</v>
      </c>
      <c r="D4554" s="80" t="s">
        <v>36</v>
      </c>
      <c r="E4554" s="80" t="s">
        <v>39</v>
      </c>
      <c r="F4554" s="80" t="s">
        <v>36</v>
      </c>
      <c r="G4554" s="80" t="s">
        <v>41</v>
      </c>
      <c r="H4554" s="80" t="s">
        <v>15166</v>
      </c>
      <c r="I4554" s="17">
        <f ca="1">IFERROR(__xludf.DUMMYFUNCTION("""COMPUTED_VALUE"""),45589)</f>
        <v>45589</v>
      </c>
      <c r="J4554" s="143" t="s">
        <v>16061</v>
      </c>
      <c r="K4554" s="80" t="s">
        <v>16062</v>
      </c>
      <c r="L4554" s="30">
        <v>375164921</v>
      </c>
      <c r="M4554" s="80" t="s">
        <v>45</v>
      </c>
      <c r="N4554" s="80" t="s">
        <v>87</v>
      </c>
      <c r="O4554" s="80" t="s">
        <v>16063</v>
      </c>
      <c r="P4554" s="80" t="s">
        <v>7743</v>
      </c>
      <c r="Q4554" s="20">
        <v>5736</v>
      </c>
      <c r="R4554" s="80" t="s">
        <v>36</v>
      </c>
      <c r="S4554" s="95">
        <v>5736</v>
      </c>
      <c r="T4554" s="148">
        <v>45566</v>
      </c>
      <c r="U4554" s="77"/>
      <c r="V4554" s="78"/>
      <c r="W4554" s="85" t="s">
        <v>16064</v>
      </c>
      <c r="X4554" s="80"/>
      <c r="Y4554" s="22">
        <v>0</v>
      </c>
      <c r="Z4554" s="80" t="s">
        <v>50</v>
      </c>
      <c r="AA4554" s="35" t="s">
        <v>9905</v>
      </c>
      <c r="AB4554" s="80"/>
      <c r="AC4554" s="80" t="s">
        <v>53</v>
      </c>
      <c r="AD4554" s="80" t="s">
        <v>138</v>
      </c>
      <c r="AE4554" s="83">
        <v>0</v>
      </c>
      <c r="AF4554" s="43">
        <v>45589</v>
      </c>
      <c r="AG4554" s="80" t="s">
        <v>14199</v>
      </c>
      <c r="AH4554" s="80"/>
      <c r="AI4554" s="147"/>
      <c r="AJ4554" s="80"/>
      <c r="AK4554" s="80"/>
      <c r="AL4554" s="35"/>
      <c r="AM4554" s="35"/>
      <c r="AN4554" s="35"/>
      <c r="AO4554" s="35"/>
      <c r="AP4554" s="35"/>
    </row>
    <row r="4555" spans="1:42" x14ac:dyDescent="0.2">
      <c r="A4555" s="126">
        <v>45569.579310243054</v>
      </c>
      <c r="B4555" s="137" t="s">
        <v>37</v>
      </c>
      <c r="C4555" s="41" t="s">
        <v>118</v>
      </c>
      <c r="D4555" s="80" t="s">
        <v>36</v>
      </c>
      <c r="E4555" s="80" t="s">
        <v>56</v>
      </c>
      <c r="F4555" s="80" t="s">
        <v>91</v>
      </c>
      <c r="G4555" s="80" t="s">
        <v>41</v>
      </c>
      <c r="H4555" s="80" t="s">
        <v>13178</v>
      </c>
      <c r="I4555" s="17">
        <f ca="1">IFERROR(__xludf.DUMMYFUNCTION("""COMPUTED_VALUE"""),45572)</f>
        <v>45572</v>
      </c>
      <c r="J4555" s="143" t="s">
        <v>16065</v>
      </c>
      <c r="K4555" s="80" t="s">
        <v>16066</v>
      </c>
      <c r="L4555" s="30">
        <v>329180467</v>
      </c>
      <c r="M4555" s="80" t="s">
        <v>9422</v>
      </c>
      <c r="N4555" s="80" t="s">
        <v>12670</v>
      </c>
      <c r="O4555" s="80" t="s">
        <v>16067</v>
      </c>
      <c r="P4555" s="80" t="s">
        <v>16068</v>
      </c>
      <c r="Q4555" s="20">
        <v>9317</v>
      </c>
      <c r="R4555" s="80" t="s">
        <v>11421</v>
      </c>
      <c r="S4555" s="95">
        <f>500+1500</f>
        <v>2000</v>
      </c>
      <c r="T4555" s="83" t="s">
        <v>16069</v>
      </c>
      <c r="U4555" s="95">
        <v>7017</v>
      </c>
      <c r="V4555" s="148">
        <v>45593</v>
      </c>
      <c r="W4555" s="85" t="s">
        <v>16070</v>
      </c>
      <c r="X4555" s="80"/>
      <c r="Y4555" s="22">
        <v>300</v>
      </c>
      <c r="Z4555" s="80" t="s">
        <v>50</v>
      </c>
      <c r="AA4555" s="96" t="s">
        <v>9905</v>
      </c>
      <c r="AB4555" s="80"/>
      <c r="AC4555" s="80" t="s">
        <v>53</v>
      </c>
      <c r="AD4555" s="80" t="s">
        <v>138</v>
      </c>
      <c r="AE4555" s="80"/>
      <c r="AF4555" s="17">
        <v>45572</v>
      </c>
      <c r="AG4555" s="80" t="s">
        <v>13185</v>
      </c>
      <c r="AH4555" s="80"/>
      <c r="AI4555" s="147"/>
      <c r="AJ4555" s="80"/>
      <c r="AK4555" s="80"/>
      <c r="AL4555" s="35"/>
      <c r="AM4555" s="35"/>
      <c r="AN4555" s="35"/>
      <c r="AO4555" s="35"/>
      <c r="AP4555" s="35"/>
    </row>
    <row r="4556" spans="1:42" x14ac:dyDescent="0.2">
      <c r="A4556" s="126">
        <v>45569.69746625</v>
      </c>
      <c r="B4556" s="137" t="s">
        <v>37</v>
      </c>
      <c r="C4556" s="41" t="s">
        <v>118</v>
      </c>
      <c r="D4556" s="80" t="s">
        <v>36</v>
      </c>
      <c r="E4556" s="80" t="s">
        <v>106</v>
      </c>
      <c r="F4556" s="80" t="s">
        <v>36</v>
      </c>
      <c r="G4556" s="80" t="s">
        <v>108</v>
      </c>
      <c r="H4556" s="80" t="s">
        <v>815</v>
      </c>
      <c r="I4556" s="17">
        <f ca="1">IFERROR(__xludf.DUMMYFUNCTION("""COMPUTED_VALUE"""),45579)</f>
        <v>45579</v>
      </c>
      <c r="J4556" s="143" t="s">
        <v>16071</v>
      </c>
      <c r="K4556" s="80" t="s">
        <v>16072</v>
      </c>
      <c r="L4556" s="30">
        <v>362732271</v>
      </c>
      <c r="M4556" s="80" t="s">
        <v>11413</v>
      </c>
      <c r="N4556" s="80" t="s">
        <v>1246</v>
      </c>
      <c r="O4556" s="80" t="s">
        <v>16073</v>
      </c>
      <c r="P4556" s="80" t="s">
        <v>16074</v>
      </c>
      <c r="Q4556" s="20">
        <v>3768</v>
      </c>
      <c r="R4556" s="80" t="s">
        <v>36</v>
      </c>
      <c r="S4556" s="95">
        <f>1000+2768</f>
        <v>3768</v>
      </c>
      <c r="T4556" s="83" t="s">
        <v>16075</v>
      </c>
      <c r="U4556" s="77"/>
      <c r="V4556" s="78"/>
      <c r="W4556" s="85" t="s">
        <v>16076</v>
      </c>
      <c r="X4556" s="80"/>
      <c r="Y4556" s="22">
        <v>0</v>
      </c>
      <c r="Z4556" s="80" t="s">
        <v>50</v>
      </c>
      <c r="AA4556" s="35" t="s">
        <v>9905</v>
      </c>
      <c r="AB4556" s="80"/>
      <c r="AC4556" s="80" t="s">
        <v>53</v>
      </c>
      <c r="AD4556" s="80" t="s">
        <v>54</v>
      </c>
      <c r="AE4556" s="83">
        <v>380</v>
      </c>
      <c r="AF4556" s="17">
        <v>45573</v>
      </c>
      <c r="AG4556" s="80"/>
      <c r="AH4556" s="80"/>
      <c r="AI4556" s="147"/>
      <c r="AJ4556" s="80"/>
      <c r="AK4556" s="80"/>
      <c r="AL4556" s="35"/>
      <c r="AM4556" s="35"/>
      <c r="AN4556" s="35"/>
      <c r="AO4556" s="35"/>
      <c r="AP4556" s="35"/>
    </row>
    <row r="4557" spans="1:42" x14ac:dyDescent="0.2">
      <c r="A4557" s="126">
        <v>45569.818427152779</v>
      </c>
      <c r="B4557" s="137" t="s">
        <v>37</v>
      </c>
      <c r="C4557" s="41" t="s">
        <v>118</v>
      </c>
      <c r="D4557" s="80" t="s">
        <v>36</v>
      </c>
      <c r="E4557" s="80" t="s">
        <v>139</v>
      </c>
      <c r="F4557" s="80" t="s">
        <v>36</v>
      </c>
      <c r="G4557" s="80" t="s">
        <v>41</v>
      </c>
      <c r="H4557" s="80" t="s">
        <v>14159</v>
      </c>
      <c r="I4557" s="17">
        <f ca="1">IFERROR(__xludf.DUMMYFUNCTION("""COMPUTED_VALUE"""),45576)</f>
        <v>45576</v>
      </c>
      <c r="J4557" s="143" t="s">
        <v>16077</v>
      </c>
      <c r="K4557" s="80" t="s">
        <v>16078</v>
      </c>
      <c r="L4557" s="30">
        <v>973963450</v>
      </c>
      <c r="M4557" s="80" t="s">
        <v>15970</v>
      </c>
      <c r="N4557" s="80" t="s">
        <v>16079</v>
      </c>
      <c r="O4557" s="80" t="s">
        <v>16080</v>
      </c>
      <c r="P4557" s="80" t="s">
        <v>16081</v>
      </c>
      <c r="Q4557" s="20">
        <v>15936</v>
      </c>
      <c r="R4557" s="80" t="s">
        <v>36</v>
      </c>
      <c r="S4557" s="95">
        <f>300+1968</f>
        <v>2268</v>
      </c>
      <c r="T4557" s="83" t="s">
        <v>16082</v>
      </c>
      <c r="U4557" s="95">
        <v>13668</v>
      </c>
      <c r="V4557" s="148">
        <v>45578</v>
      </c>
      <c r="W4557" s="85" t="s">
        <v>16083</v>
      </c>
      <c r="X4557" s="80"/>
      <c r="Y4557" s="22">
        <v>0</v>
      </c>
      <c r="Z4557" s="80" t="s">
        <v>50</v>
      </c>
      <c r="AA4557" s="96" t="s">
        <v>9905</v>
      </c>
      <c r="AB4557" s="80"/>
      <c r="AC4557" s="80" t="s">
        <v>53</v>
      </c>
      <c r="AD4557" s="80" t="s">
        <v>54</v>
      </c>
      <c r="AE4557" s="80"/>
      <c r="AF4557" s="43">
        <v>45575</v>
      </c>
      <c r="AG4557" s="80"/>
      <c r="AH4557" s="80"/>
      <c r="AI4557" s="147"/>
      <c r="AJ4557" s="80"/>
      <c r="AK4557" s="80"/>
      <c r="AL4557" s="35"/>
      <c r="AM4557" s="35"/>
      <c r="AN4557" s="35"/>
      <c r="AO4557" s="35"/>
      <c r="AP4557" s="35"/>
    </row>
    <row r="4558" spans="1:42" x14ac:dyDescent="0.2">
      <c r="A4558" s="126">
        <v>45569.861353958331</v>
      </c>
      <c r="B4558" s="137" t="s">
        <v>37</v>
      </c>
      <c r="C4558" s="41" t="s">
        <v>118</v>
      </c>
      <c r="D4558" s="80" t="s">
        <v>36</v>
      </c>
      <c r="E4558" s="80" t="s">
        <v>139</v>
      </c>
      <c r="F4558" s="80" t="s">
        <v>36</v>
      </c>
      <c r="G4558" s="80" t="s">
        <v>41</v>
      </c>
      <c r="H4558" s="80" t="s">
        <v>12416</v>
      </c>
      <c r="I4558" s="17">
        <f ca="1">IFERROR(__xludf.DUMMYFUNCTION("""COMPUTED_VALUE"""),45574)</f>
        <v>45574</v>
      </c>
      <c r="J4558" s="143" t="s">
        <v>16084</v>
      </c>
      <c r="K4558" s="80" t="s">
        <v>4106</v>
      </c>
      <c r="L4558" s="30">
        <v>869683062</v>
      </c>
      <c r="M4558" s="80" t="s">
        <v>3728</v>
      </c>
      <c r="N4558" s="80" t="s">
        <v>5277</v>
      </c>
      <c r="O4558" s="80" t="s">
        <v>16085</v>
      </c>
      <c r="P4558" s="80" t="s">
        <v>11644</v>
      </c>
      <c r="Q4558" s="20">
        <v>15936</v>
      </c>
      <c r="R4558" s="80" t="s">
        <v>70</v>
      </c>
      <c r="S4558" s="95">
        <v>2000</v>
      </c>
      <c r="T4558" s="148">
        <v>45569</v>
      </c>
      <c r="U4558" s="95">
        <v>13936</v>
      </c>
      <c r="V4558" s="148">
        <v>45593</v>
      </c>
      <c r="W4558" s="85" t="s">
        <v>16086</v>
      </c>
      <c r="X4558" s="80"/>
      <c r="Y4558" s="22">
        <v>0</v>
      </c>
      <c r="Z4558" s="80" t="s">
        <v>50</v>
      </c>
      <c r="AA4558" s="35" t="s">
        <v>9905</v>
      </c>
      <c r="AB4558" s="80"/>
      <c r="AC4558" s="80" t="s">
        <v>53</v>
      </c>
      <c r="AD4558" s="80" t="s">
        <v>138</v>
      </c>
      <c r="AE4558" s="80"/>
      <c r="AF4558" s="17">
        <v>45573</v>
      </c>
      <c r="AG4558" s="80" t="s">
        <v>13500</v>
      </c>
      <c r="AH4558" s="80"/>
      <c r="AI4558" s="147"/>
      <c r="AJ4558" s="80"/>
      <c r="AK4558" s="80"/>
      <c r="AL4558" s="35"/>
      <c r="AM4558" s="35"/>
      <c r="AN4558" s="35"/>
      <c r="AO4558" s="35"/>
      <c r="AP4558" s="35"/>
    </row>
    <row r="4559" spans="1:42" x14ac:dyDescent="0.2">
      <c r="A4559" s="126">
        <v>45569.862372962962</v>
      </c>
      <c r="B4559" s="137" t="s">
        <v>37</v>
      </c>
      <c r="C4559" s="41" t="s">
        <v>118</v>
      </c>
      <c r="D4559" s="80" t="s">
        <v>36</v>
      </c>
      <c r="E4559" s="80" t="s">
        <v>139</v>
      </c>
      <c r="F4559" s="80" t="s">
        <v>36</v>
      </c>
      <c r="G4559" s="80" t="s">
        <v>41</v>
      </c>
      <c r="H4559" s="80" t="s">
        <v>12416</v>
      </c>
      <c r="I4559" s="17">
        <f ca="1">IFERROR(__xludf.DUMMYFUNCTION("""COMPUTED_VALUE"""),45574)</f>
        <v>45574</v>
      </c>
      <c r="J4559" s="143" t="s">
        <v>16087</v>
      </c>
      <c r="K4559" s="80" t="s">
        <v>16088</v>
      </c>
      <c r="L4559" s="30">
        <v>966115106</v>
      </c>
      <c r="M4559" s="80" t="s">
        <v>3728</v>
      </c>
      <c r="N4559" s="80" t="s">
        <v>5277</v>
      </c>
      <c r="O4559" s="80" t="s">
        <v>16089</v>
      </c>
      <c r="P4559" s="80" t="s">
        <v>11644</v>
      </c>
      <c r="Q4559" s="20">
        <v>15936</v>
      </c>
      <c r="R4559" s="80" t="s">
        <v>70</v>
      </c>
      <c r="S4559" s="95">
        <v>2000</v>
      </c>
      <c r="T4559" s="148">
        <v>45569</v>
      </c>
      <c r="U4559" s="95">
        <v>13936</v>
      </c>
      <c r="V4559" s="169">
        <v>45594</v>
      </c>
      <c r="W4559" s="85" t="s">
        <v>16090</v>
      </c>
      <c r="X4559" s="80"/>
      <c r="Y4559" s="22">
        <v>0</v>
      </c>
      <c r="Z4559" s="80" t="s">
        <v>50</v>
      </c>
      <c r="AA4559" s="96" t="s">
        <v>9905</v>
      </c>
      <c r="AB4559" s="80"/>
      <c r="AC4559" s="80" t="s">
        <v>53</v>
      </c>
      <c r="AD4559" s="80" t="s">
        <v>138</v>
      </c>
      <c r="AE4559" s="80"/>
      <c r="AF4559" s="17">
        <v>45573</v>
      </c>
      <c r="AG4559" s="80" t="s">
        <v>13500</v>
      </c>
      <c r="AH4559" s="80"/>
      <c r="AI4559" s="147"/>
      <c r="AJ4559" s="80"/>
      <c r="AK4559" s="80"/>
      <c r="AL4559" s="35"/>
      <c r="AM4559" s="35"/>
      <c r="AN4559" s="35"/>
      <c r="AO4559" s="35"/>
      <c r="AP4559" s="35"/>
    </row>
    <row r="4560" spans="1:42" x14ac:dyDescent="0.2">
      <c r="A4560" s="126">
        <v>45569.935556388889</v>
      </c>
      <c r="B4560" s="137" t="s">
        <v>37</v>
      </c>
      <c r="C4560" s="41" t="s">
        <v>118</v>
      </c>
      <c r="D4560" s="80" t="s">
        <v>36</v>
      </c>
      <c r="E4560" s="80" t="s">
        <v>77</v>
      </c>
      <c r="F4560" s="80" t="s">
        <v>40</v>
      </c>
      <c r="G4560" s="80" t="s">
        <v>41</v>
      </c>
      <c r="H4560" s="80" t="s">
        <v>14159</v>
      </c>
      <c r="I4560" s="17">
        <f ca="1">IFERROR(__xludf.DUMMYFUNCTION("""COMPUTED_VALUE"""),45576)</f>
        <v>45576</v>
      </c>
      <c r="J4560" s="143" t="s">
        <v>16091</v>
      </c>
      <c r="K4560" s="80" t="s">
        <v>16092</v>
      </c>
      <c r="L4560" s="30">
        <v>964892502</v>
      </c>
      <c r="M4560" s="80" t="s">
        <v>348</v>
      </c>
      <c r="N4560" s="80" t="s">
        <v>68</v>
      </c>
      <c r="O4560" s="80" t="s">
        <v>11399</v>
      </c>
      <c r="P4560" s="80" t="s">
        <v>16093</v>
      </c>
      <c r="Q4560" s="20">
        <v>9317</v>
      </c>
      <c r="R4560" s="80" t="s">
        <v>36</v>
      </c>
      <c r="S4560" s="95">
        <v>1968</v>
      </c>
      <c r="T4560" s="148">
        <v>45569</v>
      </c>
      <c r="U4560" s="77"/>
      <c r="V4560" s="78"/>
      <c r="W4560" s="80" t="s">
        <v>16094</v>
      </c>
      <c r="X4560" s="80"/>
      <c r="Y4560" s="22">
        <v>0</v>
      </c>
      <c r="Z4560" s="80" t="s">
        <v>50</v>
      </c>
      <c r="AA4560" s="35" t="s">
        <v>9905</v>
      </c>
      <c r="AB4560" s="80"/>
      <c r="AC4560" s="80" t="s">
        <v>53</v>
      </c>
      <c r="AD4560" s="80" t="s">
        <v>54</v>
      </c>
      <c r="AE4560" s="80" t="s">
        <v>72</v>
      </c>
      <c r="AF4560" s="43">
        <v>45575</v>
      </c>
      <c r="AG4560" s="80"/>
      <c r="AH4560" s="80"/>
      <c r="AI4560" s="147"/>
      <c r="AJ4560" s="80"/>
      <c r="AK4560" s="80"/>
      <c r="AL4560" s="35"/>
      <c r="AM4560" s="35"/>
      <c r="AN4560" s="35"/>
      <c r="AO4560" s="35"/>
      <c r="AP4560" s="35"/>
    </row>
    <row r="4561" spans="1:42" x14ac:dyDescent="0.2">
      <c r="A4561" s="126">
        <v>45569.939357303243</v>
      </c>
      <c r="B4561" s="137" t="s">
        <v>37</v>
      </c>
      <c r="C4561" s="41" t="s">
        <v>118</v>
      </c>
      <c r="D4561" s="80" t="s">
        <v>36</v>
      </c>
      <c r="E4561" s="80" t="s">
        <v>56</v>
      </c>
      <c r="F4561" s="80" t="s">
        <v>36</v>
      </c>
      <c r="G4561" s="80" t="s">
        <v>41</v>
      </c>
      <c r="H4561" s="80" t="s">
        <v>16095</v>
      </c>
      <c r="I4561" s="17">
        <f ca="1">IFERROR(__xludf.DUMMYFUNCTION("""COMPUTED_VALUE"""),45579)</f>
        <v>45579</v>
      </c>
      <c r="J4561" s="143" t="s">
        <v>16096</v>
      </c>
      <c r="K4561" s="80" t="s">
        <v>16097</v>
      </c>
      <c r="L4561" s="30">
        <v>375919673</v>
      </c>
      <c r="M4561" s="80" t="s">
        <v>59</v>
      </c>
      <c r="N4561" s="80" t="s">
        <v>9294</v>
      </c>
      <c r="O4561" s="80" t="s">
        <v>16098</v>
      </c>
      <c r="P4561" s="80" t="s">
        <v>16099</v>
      </c>
      <c r="Q4561" s="20">
        <v>9317</v>
      </c>
      <c r="R4561" s="80" t="s">
        <v>36</v>
      </c>
      <c r="S4561" s="95">
        <v>9017</v>
      </c>
      <c r="T4561" s="148">
        <v>45569</v>
      </c>
      <c r="U4561" s="77"/>
      <c r="V4561" s="78"/>
      <c r="W4561" s="85" t="s">
        <v>16100</v>
      </c>
      <c r="X4561" s="80"/>
      <c r="Y4561" s="22">
        <v>300</v>
      </c>
      <c r="Z4561" s="80" t="s">
        <v>50</v>
      </c>
      <c r="AA4561" s="96" t="s">
        <v>9905</v>
      </c>
      <c r="AB4561" s="80"/>
      <c r="AC4561" s="80" t="s">
        <v>1828</v>
      </c>
      <c r="AD4561" s="80" t="s">
        <v>54</v>
      </c>
      <c r="AE4561" s="80" t="s">
        <v>72</v>
      </c>
      <c r="AF4561" s="60" t="s">
        <v>1829</v>
      </c>
      <c r="AG4561" s="80" t="s">
        <v>1828</v>
      </c>
      <c r="AH4561" s="80"/>
      <c r="AI4561" s="147"/>
      <c r="AJ4561" s="80"/>
      <c r="AK4561" s="80"/>
      <c r="AL4561" s="35"/>
      <c r="AM4561" s="35"/>
      <c r="AN4561" s="35"/>
      <c r="AO4561" s="35"/>
      <c r="AP4561" s="35"/>
    </row>
    <row r="4562" spans="1:42" x14ac:dyDescent="0.2">
      <c r="A4562" s="126">
        <v>45570.031845624995</v>
      </c>
      <c r="B4562" s="137" t="s">
        <v>37</v>
      </c>
      <c r="C4562" s="41" t="s">
        <v>118</v>
      </c>
      <c r="D4562" s="80" t="s">
        <v>36</v>
      </c>
      <c r="E4562" s="80" t="s">
        <v>139</v>
      </c>
      <c r="F4562" s="80" t="s">
        <v>91</v>
      </c>
      <c r="G4562" s="80" t="s">
        <v>41</v>
      </c>
      <c r="H4562" s="80" t="s">
        <v>13424</v>
      </c>
      <c r="I4562" s="17">
        <f ca="1">IFERROR(__xludf.DUMMYFUNCTION("""COMPUTED_VALUE"""),45572)</f>
        <v>45572</v>
      </c>
      <c r="J4562" s="143" t="s">
        <v>16101</v>
      </c>
      <c r="K4562" s="80" t="s">
        <v>16102</v>
      </c>
      <c r="L4562" s="30">
        <v>389462402</v>
      </c>
      <c r="M4562" s="80" t="s">
        <v>5558</v>
      </c>
      <c r="N4562" s="80" t="s">
        <v>5277</v>
      </c>
      <c r="O4562" s="80" t="s">
        <v>4503</v>
      </c>
      <c r="P4562" s="80" t="s">
        <v>16103</v>
      </c>
      <c r="Q4562" s="20">
        <v>15936</v>
      </c>
      <c r="R4562" s="80" t="s">
        <v>36</v>
      </c>
      <c r="S4562" s="95">
        <f>50+6000</f>
        <v>6050</v>
      </c>
      <c r="T4562" s="83" t="s">
        <v>16104</v>
      </c>
      <c r="U4562" s="95">
        <v>9886</v>
      </c>
      <c r="V4562" s="148">
        <v>45585</v>
      </c>
      <c r="W4562" s="85" t="s">
        <v>16105</v>
      </c>
      <c r="X4562" s="80"/>
      <c r="Y4562" s="22">
        <v>0</v>
      </c>
      <c r="Z4562" s="80" t="s">
        <v>50</v>
      </c>
      <c r="AA4562" s="35" t="s">
        <v>9905</v>
      </c>
      <c r="AB4562" s="80"/>
      <c r="AC4562" s="80" t="s">
        <v>53</v>
      </c>
      <c r="AD4562" s="80" t="s">
        <v>138</v>
      </c>
      <c r="AE4562" s="80"/>
      <c r="AF4562" s="17">
        <v>45572</v>
      </c>
      <c r="AG4562" s="80" t="s">
        <v>13430</v>
      </c>
      <c r="AH4562" s="80"/>
      <c r="AI4562" s="147"/>
      <c r="AJ4562" s="80"/>
      <c r="AK4562" s="80"/>
      <c r="AL4562" s="35"/>
      <c r="AM4562" s="35"/>
      <c r="AN4562" s="35"/>
      <c r="AO4562" s="35"/>
      <c r="AP4562" s="35"/>
    </row>
    <row r="4563" spans="1:42" x14ac:dyDescent="0.2">
      <c r="A4563" s="126">
        <v>45570.355575000001</v>
      </c>
      <c r="B4563" s="137" t="s">
        <v>37</v>
      </c>
      <c r="C4563" s="41" t="s">
        <v>118</v>
      </c>
      <c r="D4563" s="80" t="s">
        <v>36</v>
      </c>
      <c r="E4563" s="80" t="s">
        <v>119</v>
      </c>
      <c r="F4563" s="80" t="s">
        <v>36</v>
      </c>
      <c r="G4563" s="80" t="s">
        <v>108</v>
      </c>
      <c r="H4563" s="80" t="s">
        <v>10223</v>
      </c>
      <c r="I4563" s="17">
        <f ca="1">IFERROR(__xludf.DUMMYFUNCTION("""COMPUTED_VALUE"""),45578)</f>
        <v>45578</v>
      </c>
      <c r="J4563" s="143" t="s">
        <v>16106</v>
      </c>
      <c r="K4563" s="80" t="s">
        <v>16107</v>
      </c>
      <c r="L4563" s="30">
        <v>399591265</v>
      </c>
      <c r="M4563" s="80" t="s">
        <v>12529</v>
      </c>
      <c r="N4563" s="80" t="s">
        <v>15532</v>
      </c>
      <c r="O4563" s="80" t="s">
        <v>16108</v>
      </c>
      <c r="P4563" s="80" t="s">
        <v>16109</v>
      </c>
      <c r="Q4563" s="20">
        <v>13968</v>
      </c>
      <c r="R4563" s="80" t="s">
        <v>36</v>
      </c>
      <c r="S4563" s="95">
        <f>200+3800</f>
        <v>4000</v>
      </c>
      <c r="T4563" s="83" t="s">
        <v>16110</v>
      </c>
      <c r="U4563" s="95">
        <v>9968</v>
      </c>
      <c r="V4563" s="148">
        <v>45596</v>
      </c>
      <c r="W4563" s="85" t="s">
        <v>16111</v>
      </c>
      <c r="X4563" s="80"/>
      <c r="Y4563" s="22">
        <v>0</v>
      </c>
      <c r="Z4563" s="80" t="s">
        <v>50</v>
      </c>
      <c r="AA4563" s="96" t="s">
        <v>9905</v>
      </c>
      <c r="AB4563" s="80"/>
      <c r="AC4563" s="80" t="s">
        <v>53</v>
      </c>
      <c r="AD4563" s="80" t="s">
        <v>138</v>
      </c>
      <c r="AE4563" s="83">
        <v>400</v>
      </c>
      <c r="AF4563" s="43">
        <v>45576</v>
      </c>
      <c r="AG4563" s="80" t="s">
        <v>15592</v>
      </c>
      <c r="AH4563" s="80"/>
      <c r="AI4563" s="147"/>
      <c r="AJ4563" s="80"/>
      <c r="AK4563" s="80"/>
      <c r="AL4563" s="35"/>
      <c r="AM4563" s="35"/>
      <c r="AN4563" s="35"/>
      <c r="AO4563" s="35"/>
      <c r="AP4563" s="35"/>
    </row>
    <row r="4564" spans="1:42" x14ac:dyDescent="0.2">
      <c r="A4564" s="126">
        <v>45570.442599722221</v>
      </c>
      <c r="B4564" s="137" t="s">
        <v>37</v>
      </c>
      <c r="C4564" s="41" t="s">
        <v>118</v>
      </c>
      <c r="D4564" s="80" t="s">
        <v>36</v>
      </c>
      <c r="E4564" s="80" t="s">
        <v>106</v>
      </c>
      <c r="F4564" s="80" t="s">
        <v>36</v>
      </c>
      <c r="G4564" s="80" t="s">
        <v>108</v>
      </c>
      <c r="H4564" s="80" t="s">
        <v>10223</v>
      </c>
      <c r="I4564" s="17">
        <f ca="1">IFERROR(__xludf.DUMMYFUNCTION("""COMPUTED_VALUE"""),45578)</f>
        <v>45578</v>
      </c>
      <c r="J4564" s="143" t="s">
        <v>16112</v>
      </c>
      <c r="K4564" s="80" t="s">
        <v>16113</v>
      </c>
      <c r="L4564" s="30">
        <v>866721300</v>
      </c>
      <c r="M4564" s="80" t="s">
        <v>3288</v>
      </c>
      <c r="N4564" s="80" t="s">
        <v>200</v>
      </c>
      <c r="O4564" s="80" t="s">
        <v>91</v>
      </c>
      <c r="P4564" s="80" t="s">
        <v>3117</v>
      </c>
      <c r="Q4564" s="20">
        <v>3768</v>
      </c>
      <c r="R4564" s="80" t="s">
        <v>36</v>
      </c>
      <c r="S4564" s="95">
        <v>3768</v>
      </c>
      <c r="T4564" s="148">
        <v>45570</v>
      </c>
      <c r="U4564" s="77"/>
      <c r="V4564" s="78"/>
      <c r="W4564" s="80" t="s">
        <v>16114</v>
      </c>
      <c r="X4564" s="80"/>
      <c r="Y4564" s="22">
        <v>0</v>
      </c>
      <c r="Z4564" s="80" t="s">
        <v>50</v>
      </c>
      <c r="AA4564" s="35" t="s">
        <v>9905</v>
      </c>
      <c r="AB4564" s="80"/>
      <c r="AC4564" s="80" t="s">
        <v>53</v>
      </c>
      <c r="AD4564" s="80" t="s">
        <v>138</v>
      </c>
      <c r="AE4564" s="83">
        <v>370</v>
      </c>
      <c r="AF4564" s="43">
        <v>45576</v>
      </c>
      <c r="AG4564" s="80" t="s">
        <v>15592</v>
      </c>
      <c r="AH4564" s="80"/>
      <c r="AI4564" s="147"/>
      <c r="AJ4564" s="80"/>
      <c r="AK4564" s="80"/>
      <c r="AL4564" s="35"/>
      <c r="AM4564" s="35"/>
      <c r="AN4564" s="35"/>
      <c r="AO4564" s="35"/>
      <c r="AP4564" s="35"/>
    </row>
    <row r="4565" spans="1:42" x14ac:dyDescent="0.2">
      <c r="A4565" s="126">
        <v>45570.899938807866</v>
      </c>
      <c r="B4565" s="137" t="s">
        <v>37</v>
      </c>
      <c r="C4565" s="41" t="s">
        <v>118</v>
      </c>
      <c r="D4565" s="80" t="s">
        <v>36</v>
      </c>
      <c r="E4565" s="80" t="s">
        <v>106</v>
      </c>
      <c r="F4565" s="80" t="s">
        <v>40</v>
      </c>
      <c r="G4565" s="80" t="s">
        <v>108</v>
      </c>
      <c r="H4565" s="80" t="s">
        <v>13126</v>
      </c>
      <c r="I4565" s="17">
        <f ca="1">IFERROR(__xludf.DUMMYFUNCTION("""COMPUTED_VALUE"""),45576)</f>
        <v>45576</v>
      </c>
      <c r="J4565" s="143" t="s">
        <v>16115</v>
      </c>
      <c r="K4565" s="80" t="s">
        <v>16116</v>
      </c>
      <c r="L4565" s="30">
        <v>357474306</v>
      </c>
      <c r="M4565" s="80" t="s">
        <v>348</v>
      </c>
      <c r="N4565" s="80" t="s">
        <v>68</v>
      </c>
      <c r="O4565" s="80" t="s">
        <v>16117</v>
      </c>
      <c r="P4565" s="80" t="s">
        <v>16118</v>
      </c>
      <c r="Q4565" s="20">
        <v>3768</v>
      </c>
      <c r="R4565" s="80" t="s">
        <v>36</v>
      </c>
      <c r="S4565" s="95">
        <v>3768</v>
      </c>
      <c r="T4565" s="148">
        <v>45570</v>
      </c>
      <c r="U4565" s="77"/>
      <c r="V4565" s="78"/>
      <c r="W4565" s="85" t="s">
        <v>16119</v>
      </c>
      <c r="X4565" s="80"/>
      <c r="Y4565" s="22">
        <v>0</v>
      </c>
      <c r="Z4565" s="80" t="s">
        <v>50</v>
      </c>
      <c r="AA4565" s="96" t="s">
        <v>9905</v>
      </c>
      <c r="AB4565" s="80"/>
      <c r="AC4565" s="80" t="s">
        <v>53</v>
      </c>
      <c r="AD4565" s="80" t="s">
        <v>54</v>
      </c>
      <c r="AE4565" s="80" t="s">
        <v>2705</v>
      </c>
      <c r="AF4565" s="17">
        <v>45572</v>
      </c>
      <c r="AG4565" s="80"/>
      <c r="AH4565" s="80"/>
      <c r="AI4565" s="147"/>
      <c r="AJ4565" s="80"/>
      <c r="AK4565" s="80"/>
      <c r="AL4565" s="35"/>
      <c r="AM4565" s="35"/>
      <c r="AN4565" s="35"/>
      <c r="AO4565" s="35"/>
      <c r="AP4565" s="35"/>
    </row>
    <row r="4566" spans="1:42" x14ac:dyDescent="0.2">
      <c r="A4566" s="126">
        <v>45570.913785868055</v>
      </c>
      <c r="B4566" s="137" t="s">
        <v>37</v>
      </c>
      <c r="C4566" s="41" t="s">
        <v>118</v>
      </c>
      <c r="D4566" s="80" t="s">
        <v>36</v>
      </c>
      <c r="E4566" s="80" t="s">
        <v>77</v>
      </c>
      <c r="F4566" s="80" t="s">
        <v>40</v>
      </c>
      <c r="G4566" s="80" t="s">
        <v>41</v>
      </c>
      <c r="H4566" s="80" t="s">
        <v>12416</v>
      </c>
      <c r="I4566" s="17">
        <f ca="1">IFERROR(__xludf.DUMMYFUNCTION("""COMPUTED_VALUE"""),45574)</f>
        <v>45574</v>
      </c>
      <c r="J4566" s="143" t="s">
        <v>16120</v>
      </c>
      <c r="K4566" s="80" t="s">
        <v>5832</v>
      </c>
      <c r="L4566" s="30">
        <v>973274314</v>
      </c>
      <c r="M4566" s="80" t="s">
        <v>5429</v>
      </c>
      <c r="N4566" s="80" t="s">
        <v>81</v>
      </c>
      <c r="O4566" s="80" t="s">
        <v>16121</v>
      </c>
      <c r="P4566" s="80" t="s">
        <v>7107</v>
      </c>
      <c r="Q4566" s="20">
        <v>1968</v>
      </c>
      <c r="R4566" s="80" t="s">
        <v>36</v>
      </c>
      <c r="S4566" s="95">
        <f>200+1800</f>
        <v>2000</v>
      </c>
      <c r="T4566" s="83" t="s">
        <v>16122</v>
      </c>
      <c r="U4566" s="77"/>
      <c r="V4566" s="78"/>
      <c r="W4566" s="85" t="s">
        <v>16123</v>
      </c>
      <c r="X4566" s="80"/>
      <c r="Y4566" s="22">
        <v>-32</v>
      </c>
      <c r="Z4566" s="80" t="s">
        <v>50</v>
      </c>
      <c r="AA4566" s="35" t="s">
        <v>9905</v>
      </c>
      <c r="AB4566" s="80"/>
      <c r="AC4566" s="80" t="s">
        <v>53</v>
      </c>
      <c r="AD4566" s="80" t="s">
        <v>138</v>
      </c>
      <c r="AE4566" s="80" t="s">
        <v>72</v>
      </c>
      <c r="AF4566" s="17">
        <v>45573</v>
      </c>
      <c r="AG4566" s="80" t="s">
        <v>13500</v>
      </c>
      <c r="AH4566" s="80"/>
      <c r="AI4566" s="147"/>
      <c r="AJ4566" s="80"/>
      <c r="AK4566" s="80"/>
      <c r="AL4566" s="35"/>
      <c r="AM4566" s="35"/>
      <c r="AN4566" s="35"/>
      <c r="AO4566" s="35"/>
      <c r="AP4566" s="35"/>
    </row>
    <row r="4567" spans="1:42" x14ac:dyDescent="0.2">
      <c r="A4567" s="126">
        <v>45570.960152789354</v>
      </c>
      <c r="B4567" s="137" t="s">
        <v>37</v>
      </c>
      <c r="C4567" s="41" t="s">
        <v>118</v>
      </c>
      <c r="D4567" s="80" t="s">
        <v>36</v>
      </c>
      <c r="E4567" s="80" t="s">
        <v>139</v>
      </c>
      <c r="F4567" s="80" t="s">
        <v>36</v>
      </c>
      <c r="G4567" s="80" t="s">
        <v>41</v>
      </c>
      <c r="H4567" s="80" t="s">
        <v>15855</v>
      </c>
      <c r="I4567" s="17">
        <f ca="1">IFERROR(__xludf.DUMMYFUNCTION("""COMPUTED_VALUE"""),45572)</f>
        <v>45572</v>
      </c>
      <c r="J4567" s="143" t="s">
        <v>16124</v>
      </c>
      <c r="K4567" s="80" t="s">
        <v>16125</v>
      </c>
      <c r="L4567" s="30">
        <v>961375834</v>
      </c>
      <c r="M4567" s="80" t="s">
        <v>59</v>
      </c>
      <c r="N4567" s="80" t="s">
        <v>68</v>
      </c>
      <c r="O4567" s="80" t="s">
        <v>16126</v>
      </c>
      <c r="P4567" s="80" t="s">
        <v>16127</v>
      </c>
      <c r="Q4567" s="20">
        <v>15936</v>
      </c>
      <c r="R4567" s="80" t="s">
        <v>70</v>
      </c>
      <c r="S4567" s="95">
        <v>2000</v>
      </c>
      <c r="T4567" s="148">
        <v>45570</v>
      </c>
      <c r="U4567" s="95">
        <v>13863</v>
      </c>
      <c r="V4567" s="148">
        <v>45582</v>
      </c>
      <c r="W4567" s="85" t="s">
        <v>16128</v>
      </c>
      <c r="X4567" s="80"/>
      <c r="Y4567" s="22">
        <v>73</v>
      </c>
      <c r="Z4567" s="80" t="s">
        <v>50</v>
      </c>
      <c r="AA4567" s="96" t="s">
        <v>9905</v>
      </c>
      <c r="AB4567" s="80"/>
      <c r="AC4567" s="80" t="s">
        <v>53</v>
      </c>
      <c r="AD4567" s="80" t="s">
        <v>54</v>
      </c>
      <c r="AE4567" s="80" t="s">
        <v>72</v>
      </c>
      <c r="AF4567" s="17">
        <v>45572</v>
      </c>
      <c r="AG4567" s="80"/>
      <c r="AH4567" s="80"/>
      <c r="AI4567" s="147"/>
      <c r="AJ4567" s="80"/>
      <c r="AK4567" s="80"/>
      <c r="AL4567" s="35"/>
      <c r="AM4567" s="35"/>
      <c r="AN4567" s="35"/>
      <c r="AO4567" s="35"/>
      <c r="AP4567" s="35"/>
    </row>
    <row r="4568" spans="1:42" x14ac:dyDescent="0.2">
      <c r="A4568" s="126">
        <v>45570.960152789354</v>
      </c>
      <c r="B4568" s="137" t="s">
        <v>37</v>
      </c>
      <c r="C4568" s="41" t="s">
        <v>118</v>
      </c>
      <c r="D4568" s="80" t="s">
        <v>36</v>
      </c>
      <c r="E4568" s="80" t="s">
        <v>139</v>
      </c>
      <c r="F4568" s="80" t="s">
        <v>36</v>
      </c>
      <c r="G4568" s="80" t="s">
        <v>41</v>
      </c>
      <c r="H4568" s="80" t="s">
        <v>15855</v>
      </c>
      <c r="I4568" s="17">
        <f ca="1">IFERROR(__xludf.DUMMYFUNCTION("""COMPUTED_VALUE"""),45572)</f>
        <v>45572</v>
      </c>
      <c r="J4568" s="172" t="s">
        <v>16129</v>
      </c>
      <c r="K4568" s="80" t="s">
        <v>16130</v>
      </c>
      <c r="L4568" s="30">
        <v>355780206</v>
      </c>
      <c r="M4568" s="80" t="s">
        <v>59</v>
      </c>
      <c r="N4568" s="80" t="s">
        <v>68</v>
      </c>
      <c r="O4568" s="80" t="s">
        <v>16131</v>
      </c>
      <c r="P4568" s="80" t="s">
        <v>16132</v>
      </c>
      <c r="Q4568" s="20">
        <v>15936</v>
      </c>
      <c r="R4568" s="80" t="s">
        <v>70</v>
      </c>
      <c r="S4568" s="95">
        <v>2000</v>
      </c>
      <c r="T4568" s="148">
        <v>45570</v>
      </c>
      <c r="U4568" s="95">
        <v>13836</v>
      </c>
      <c r="V4568" s="148">
        <v>45588</v>
      </c>
      <c r="W4568" s="85" t="s">
        <v>16133</v>
      </c>
      <c r="X4568" s="80"/>
      <c r="Y4568" s="22">
        <v>100</v>
      </c>
      <c r="Z4568" s="80" t="s">
        <v>50</v>
      </c>
      <c r="AA4568" s="35" t="s">
        <v>9905</v>
      </c>
      <c r="AB4568" s="80"/>
      <c r="AC4568" s="80" t="s">
        <v>53</v>
      </c>
      <c r="AD4568" s="80" t="s">
        <v>54</v>
      </c>
      <c r="AE4568" s="80" t="s">
        <v>2670</v>
      </c>
      <c r="AF4568" s="17">
        <v>45572</v>
      </c>
      <c r="AG4568" s="80"/>
      <c r="AH4568" s="80"/>
      <c r="AI4568" s="147"/>
      <c r="AJ4568" s="80"/>
      <c r="AK4568" s="80"/>
      <c r="AL4568" s="35"/>
      <c r="AM4568" s="35"/>
      <c r="AN4568" s="35"/>
      <c r="AO4568" s="35"/>
      <c r="AP4568" s="35"/>
    </row>
    <row r="4569" spans="1:42" x14ac:dyDescent="0.2">
      <c r="A4569" s="126">
        <v>45571.40290887731</v>
      </c>
      <c r="B4569" s="137" t="s">
        <v>37</v>
      </c>
      <c r="C4569" s="41" t="s">
        <v>118</v>
      </c>
      <c r="D4569" s="80" t="s">
        <v>36</v>
      </c>
      <c r="E4569" s="80" t="s">
        <v>139</v>
      </c>
      <c r="F4569" s="80" t="s">
        <v>36</v>
      </c>
      <c r="G4569" s="80" t="s">
        <v>41</v>
      </c>
      <c r="H4569" s="80" t="s">
        <v>12416</v>
      </c>
      <c r="I4569" s="17">
        <f ca="1">IFERROR(__xludf.DUMMYFUNCTION("""COMPUTED_VALUE"""),45574)</f>
        <v>45574</v>
      </c>
      <c r="J4569" s="143" t="s">
        <v>16134</v>
      </c>
      <c r="K4569" s="80" t="s">
        <v>16135</v>
      </c>
      <c r="L4569" s="30">
        <v>359802189</v>
      </c>
      <c r="M4569" s="80" t="s">
        <v>5518</v>
      </c>
      <c r="N4569" s="80" t="s">
        <v>253</v>
      </c>
      <c r="O4569" s="80" t="s">
        <v>16136</v>
      </c>
      <c r="P4569" s="80" t="s">
        <v>5462</v>
      </c>
      <c r="Q4569" s="20">
        <v>15936</v>
      </c>
      <c r="R4569" s="80" t="s">
        <v>36</v>
      </c>
      <c r="S4569" s="95">
        <v>2000</v>
      </c>
      <c r="T4569" s="148">
        <v>45571</v>
      </c>
      <c r="U4569" s="95">
        <v>13936</v>
      </c>
      <c r="V4569" s="148">
        <v>45592</v>
      </c>
      <c r="W4569" s="85" t="s">
        <v>16137</v>
      </c>
      <c r="X4569" s="80"/>
      <c r="Y4569" s="22">
        <v>0</v>
      </c>
      <c r="Z4569" s="80" t="s">
        <v>50</v>
      </c>
      <c r="AA4569" s="96" t="s">
        <v>9905</v>
      </c>
      <c r="AB4569" s="80"/>
      <c r="AC4569" s="80" t="s">
        <v>53</v>
      </c>
      <c r="AD4569" s="80" t="s">
        <v>138</v>
      </c>
      <c r="AE4569" s="80"/>
      <c r="AF4569" s="17">
        <v>45573</v>
      </c>
      <c r="AG4569" s="80" t="s">
        <v>13500</v>
      </c>
      <c r="AH4569" s="80"/>
      <c r="AI4569" s="147"/>
      <c r="AJ4569" s="80"/>
      <c r="AK4569" s="80"/>
      <c r="AL4569" s="35"/>
      <c r="AM4569" s="35"/>
      <c r="AN4569" s="35"/>
      <c r="AO4569" s="35"/>
      <c r="AP4569" s="35"/>
    </row>
    <row r="4570" spans="1:42" x14ac:dyDescent="0.2">
      <c r="A4570" s="126">
        <v>45571.721429270838</v>
      </c>
      <c r="B4570" s="137" t="s">
        <v>37</v>
      </c>
      <c r="C4570" s="41" t="s">
        <v>118</v>
      </c>
      <c r="D4570" s="80" t="s">
        <v>36</v>
      </c>
      <c r="E4570" s="80" t="s">
        <v>39</v>
      </c>
      <c r="F4570" s="80" t="s">
        <v>36</v>
      </c>
      <c r="G4570" s="80" t="s">
        <v>41</v>
      </c>
      <c r="H4570" s="80" t="s">
        <v>12398</v>
      </c>
      <c r="I4570" s="17">
        <f ca="1">IFERROR(__xludf.DUMMYFUNCTION("""COMPUTED_VALUE"""),45575)</f>
        <v>45575</v>
      </c>
      <c r="J4570" s="143" t="s">
        <v>16138</v>
      </c>
      <c r="K4570" s="80" t="s">
        <v>16139</v>
      </c>
      <c r="L4570" s="30">
        <v>349839781</v>
      </c>
      <c r="M4570" s="80" t="s">
        <v>45</v>
      </c>
      <c r="N4570" s="80" t="s">
        <v>12895</v>
      </c>
      <c r="O4570" s="80" t="s">
        <v>16140</v>
      </c>
      <c r="P4570" s="80" t="s">
        <v>16141</v>
      </c>
      <c r="Q4570" s="20">
        <v>5736</v>
      </c>
      <c r="R4570" s="80" t="s">
        <v>36</v>
      </c>
      <c r="S4570" s="95">
        <v>5736</v>
      </c>
      <c r="T4570" s="148">
        <v>45571</v>
      </c>
      <c r="U4570" s="77"/>
      <c r="V4570" s="78"/>
      <c r="W4570" s="79" t="s">
        <v>16142</v>
      </c>
      <c r="X4570" s="80"/>
      <c r="Y4570" s="22">
        <v>0</v>
      </c>
      <c r="Z4570" s="80" t="s">
        <v>50</v>
      </c>
      <c r="AA4570" s="35" t="s">
        <v>9905</v>
      </c>
      <c r="AB4570" s="80"/>
      <c r="AC4570" s="80" t="s">
        <v>53</v>
      </c>
      <c r="AD4570" s="80" t="s">
        <v>54</v>
      </c>
      <c r="AE4570" s="83">
        <v>0</v>
      </c>
      <c r="AF4570" s="17">
        <v>45572</v>
      </c>
      <c r="AG4570" s="80"/>
      <c r="AH4570" s="80"/>
      <c r="AI4570" s="147"/>
      <c r="AJ4570" s="80"/>
      <c r="AK4570" s="80"/>
      <c r="AL4570" s="35"/>
      <c r="AM4570" s="35"/>
      <c r="AN4570" s="35"/>
      <c r="AO4570" s="35"/>
      <c r="AP4570" s="35"/>
    </row>
    <row r="4571" spans="1:42" x14ac:dyDescent="0.2">
      <c r="A4571" s="126">
        <v>45571.796912337959</v>
      </c>
      <c r="B4571" s="137" t="s">
        <v>37</v>
      </c>
      <c r="C4571" s="41" t="s">
        <v>118</v>
      </c>
      <c r="D4571" s="80" t="s">
        <v>36</v>
      </c>
      <c r="E4571" s="80" t="s">
        <v>119</v>
      </c>
      <c r="F4571" s="80" t="s">
        <v>36</v>
      </c>
      <c r="G4571" s="80" t="s">
        <v>108</v>
      </c>
      <c r="H4571" s="80" t="s">
        <v>10223</v>
      </c>
      <c r="I4571" s="17">
        <f ca="1">IFERROR(__xludf.DUMMYFUNCTION("""COMPUTED_VALUE"""),45578)</f>
        <v>45578</v>
      </c>
      <c r="J4571" s="143" t="s">
        <v>16143</v>
      </c>
      <c r="K4571" s="80" t="s">
        <v>5899</v>
      </c>
      <c r="L4571" s="30">
        <v>396718416</v>
      </c>
      <c r="M4571" s="80" t="s">
        <v>2755</v>
      </c>
      <c r="N4571" s="80" t="s">
        <v>2756</v>
      </c>
      <c r="O4571" s="80" t="s">
        <v>4503</v>
      </c>
      <c r="P4571" s="80" t="s">
        <v>16144</v>
      </c>
      <c r="Q4571" s="20">
        <v>13968</v>
      </c>
      <c r="R4571" s="80" t="s">
        <v>36</v>
      </c>
      <c r="S4571" s="95">
        <v>5000</v>
      </c>
      <c r="T4571" s="148">
        <v>45571</v>
      </c>
      <c r="U4571" s="95">
        <v>8968</v>
      </c>
      <c r="V4571" s="148">
        <v>45582</v>
      </c>
      <c r="W4571" s="85" t="s">
        <v>16145</v>
      </c>
      <c r="X4571" s="80"/>
      <c r="Y4571" s="22">
        <v>0</v>
      </c>
      <c r="Z4571" s="80" t="s">
        <v>50</v>
      </c>
      <c r="AA4571" s="96" t="s">
        <v>9905</v>
      </c>
      <c r="AB4571" s="80"/>
      <c r="AC4571" s="80" t="s">
        <v>53</v>
      </c>
      <c r="AD4571" s="80" t="s">
        <v>138</v>
      </c>
      <c r="AE4571" s="80"/>
      <c r="AF4571" s="43">
        <v>45576</v>
      </c>
      <c r="AG4571" s="80" t="s">
        <v>15592</v>
      </c>
      <c r="AH4571" s="80"/>
      <c r="AI4571" s="147"/>
      <c r="AJ4571" s="80"/>
      <c r="AK4571" s="80"/>
      <c r="AL4571" s="35"/>
      <c r="AM4571" s="35"/>
      <c r="AN4571" s="35"/>
      <c r="AO4571" s="35"/>
      <c r="AP4571" s="35"/>
    </row>
    <row r="4572" spans="1:42" x14ac:dyDescent="0.2">
      <c r="A4572" s="126">
        <v>45571.903400324074</v>
      </c>
      <c r="B4572" s="137" t="s">
        <v>37</v>
      </c>
      <c r="C4572" s="41" t="s">
        <v>118</v>
      </c>
      <c r="D4572" s="80" t="s">
        <v>36</v>
      </c>
      <c r="E4572" s="80" t="s">
        <v>139</v>
      </c>
      <c r="F4572" s="80" t="s">
        <v>36</v>
      </c>
      <c r="G4572" s="80" t="s">
        <v>41</v>
      </c>
      <c r="H4572" s="80" t="s">
        <v>13424</v>
      </c>
      <c r="I4572" s="17">
        <f ca="1">IFERROR(__xludf.DUMMYFUNCTION("""COMPUTED_VALUE"""),45572)</f>
        <v>45572</v>
      </c>
      <c r="J4572" s="143" t="s">
        <v>16146</v>
      </c>
      <c r="K4572" s="80" t="s">
        <v>7979</v>
      </c>
      <c r="L4572" s="30">
        <v>967038205</v>
      </c>
      <c r="M4572" s="80" t="s">
        <v>11413</v>
      </c>
      <c r="N4572" s="80" t="s">
        <v>1246</v>
      </c>
      <c r="O4572" s="80" t="s">
        <v>16147</v>
      </c>
      <c r="P4572" s="80" t="s">
        <v>16148</v>
      </c>
      <c r="Q4572" s="20">
        <v>15936</v>
      </c>
      <c r="R4572" s="80" t="s">
        <v>36</v>
      </c>
      <c r="S4572" s="95">
        <v>2000</v>
      </c>
      <c r="T4572" s="148">
        <v>45571</v>
      </c>
      <c r="U4572" s="77">
        <v>13936</v>
      </c>
      <c r="V4572" s="78">
        <v>45586</v>
      </c>
      <c r="W4572" s="79" t="s">
        <v>16149</v>
      </c>
      <c r="X4572" s="80"/>
      <c r="Y4572" s="22">
        <v>0</v>
      </c>
      <c r="Z4572" s="80" t="s">
        <v>50</v>
      </c>
      <c r="AA4572" s="35" t="s">
        <v>9905</v>
      </c>
      <c r="AB4572" s="80"/>
      <c r="AC4572" s="80" t="s">
        <v>53</v>
      </c>
      <c r="AD4572" s="80" t="s">
        <v>54</v>
      </c>
      <c r="AE4572" s="83">
        <v>340</v>
      </c>
      <c r="AF4572" s="17">
        <v>45572</v>
      </c>
      <c r="AG4572" s="80" t="s">
        <v>13430</v>
      </c>
      <c r="AH4572" s="80"/>
      <c r="AI4572" s="147"/>
      <c r="AJ4572" s="80"/>
      <c r="AK4572" s="80"/>
      <c r="AL4572" s="35"/>
      <c r="AM4572" s="35"/>
      <c r="AN4572" s="35"/>
      <c r="AO4572" s="35"/>
      <c r="AP4572" s="35"/>
    </row>
    <row r="4573" spans="1:42" x14ac:dyDescent="0.2">
      <c r="A4573" s="126">
        <v>45572.396767245373</v>
      </c>
      <c r="B4573" s="137" t="s">
        <v>37</v>
      </c>
      <c r="C4573" s="41" t="s">
        <v>118</v>
      </c>
      <c r="D4573" s="80" t="s">
        <v>36</v>
      </c>
      <c r="E4573" s="80" t="s">
        <v>77</v>
      </c>
      <c r="F4573" s="80" t="s">
        <v>36</v>
      </c>
      <c r="G4573" s="80" t="s">
        <v>41</v>
      </c>
      <c r="H4573" s="80" t="s">
        <v>16095</v>
      </c>
      <c r="I4573" s="17">
        <f ca="1">IFERROR(__xludf.DUMMYFUNCTION("""COMPUTED_VALUE"""),45579)</f>
        <v>45579</v>
      </c>
      <c r="J4573" s="172" t="s">
        <v>16150</v>
      </c>
      <c r="K4573" s="80" t="s">
        <v>16151</v>
      </c>
      <c r="L4573" s="30">
        <v>812507296</v>
      </c>
      <c r="M4573" s="80" t="s">
        <v>3288</v>
      </c>
      <c r="N4573" s="80" t="s">
        <v>7509</v>
      </c>
      <c r="O4573" s="80" t="s">
        <v>8827</v>
      </c>
      <c r="P4573" s="80" t="s">
        <v>16152</v>
      </c>
      <c r="Q4573" s="20">
        <v>1968</v>
      </c>
      <c r="R4573" s="80" t="s">
        <v>11421</v>
      </c>
      <c r="S4573" s="95">
        <v>1968</v>
      </c>
      <c r="T4573" s="148">
        <v>45572</v>
      </c>
      <c r="U4573" s="77"/>
      <c r="V4573" s="78"/>
      <c r="W4573" s="85" t="s">
        <v>16153</v>
      </c>
      <c r="X4573" s="80"/>
      <c r="Y4573" s="22">
        <v>0</v>
      </c>
      <c r="Z4573" s="80" t="s">
        <v>50</v>
      </c>
      <c r="AA4573" s="96" t="s">
        <v>9905</v>
      </c>
      <c r="AB4573" s="80"/>
      <c r="AC4573" s="80" t="s">
        <v>53</v>
      </c>
      <c r="AD4573" s="80" t="s">
        <v>54</v>
      </c>
      <c r="AE4573" s="80"/>
      <c r="AF4573" s="17">
        <v>45573</v>
      </c>
      <c r="AG4573" s="80"/>
      <c r="AH4573" s="80"/>
      <c r="AI4573" s="147"/>
      <c r="AJ4573" s="80"/>
      <c r="AK4573" s="80"/>
      <c r="AL4573" s="35"/>
      <c r="AM4573" s="35"/>
      <c r="AN4573" s="35"/>
      <c r="AO4573" s="35"/>
      <c r="AP4573" s="35"/>
    </row>
    <row r="4574" spans="1:42" x14ac:dyDescent="0.2">
      <c r="A4574" s="126">
        <v>45572.514715462967</v>
      </c>
      <c r="B4574" s="137" t="s">
        <v>37</v>
      </c>
      <c r="C4574" s="41" t="s">
        <v>118</v>
      </c>
      <c r="D4574" s="80" t="s">
        <v>36</v>
      </c>
      <c r="E4574" s="80" t="s">
        <v>77</v>
      </c>
      <c r="F4574" s="80" t="s">
        <v>36</v>
      </c>
      <c r="G4574" s="80" t="s">
        <v>41</v>
      </c>
      <c r="H4574" s="80" t="s">
        <v>15166</v>
      </c>
      <c r="I4574" s="17">
        <f ca="1">IFERROR(__xludf.DUMMYFUNCTION("""COMPUTED_VALUE"""),45589)</f>
        <v>45589</v>
      </c>
      <c r="J4574" s="143" t="s">
        <v>16154</v>
      </c>
      <c r="K4574" s="80" t="s">
        <v>16155</v>
      </c>
      <c r="L4574" s="30">
        <v>963599148</v>
      </c>
      <c r="M4574" s="80" t="s">
        <v>348</v>
      </c>
      <c r="N4574" s="80" t="s">
        <v>4299</v>
      </c>
      <c r="O4574" s="80" t="s">
        <v>16156</v>
      </c>
      <c r="P4574" s="80" t="s">
        <v>12687</v>
      </c>
      <c r="Q4574" s="20">
        <v>1968</v>
      </c>
      <c r="R4574" s="80" t="s">
        <v>36</v>
      </c>
      <c r="S4574" s="95">
        <v>1968</v>
      </c>
      <c r="T4574" s="148">
        <v>45572</v>
      </c>
      <c r="U4574" s="77"/>
      <c r="V4574" s="78"/>
      <c r="W4574" s="85" t="s">
        <v>16157</v>
      </c>
      <c r="X4574" s="80"/>
      <c r="Y4574" s="22">
        <v>0</v>
      </c>
      <c r="Z4574" s="80" t="s">
        <v>50</v>
      </c>
      <c r="AA4574" s="35" t="s">
        <v>9905</v>
      </c>
      <c r="AB4574" s="80"/>
      <c r="AC4574" s="80" t="s">
        <v>53</v>
      </c>
      <c r="AD4574" s="80" t="s">
        <v>138</v>
      </c>
      <c r="AE4574" s="80" t="s">
        <v>72</v>
      </c>
      <c r="AF4574" s="43">
        <v>45589</v>
      </c>
      <c r="AG4574" s="80" t="s">
        <v>14199</v>
      </c>
      <c r="AH4574" s="80"/>
      <c r="AI4574" s="147"/>
      <c r="AJ4574" s="80"/>
      <c r="AK4574" s="80"/>
      <c r="AL4574" s="35"/>
      <c r="AM4574" s="35"/>
      <c r="AN4574" s="35"/>
      <c r="AO4574" s="35"/>
      <c r="AP4574" s="35"/>
    </row>
    <row r="4575" spans="1:42" x14ac:dyDescent="0.2">
      <c r="A4575" s="126">
        <v>45572.517146122686</v>
      </c>
      <c r="B4575" s="137" t="s">
        <v>37</v>
      </c>
      <c r="C4575" s="41" t="s">
        <v>118</v>
      </c>
      <c r="D4575" s="80" t="s">
        <v>36</v>
      </c>
      <c r="E4575" s="80" t="s">
        <v>139</v>
      </c>
      <c r="F4575" s="80" t="s">
        <v>36</v>
      </c>
      <c r="G4575" s="80" t="s">
        <v>41</v>
      </c>
      <c r="H4575" s="80" t="s">
        <v>12416</v>
      </c>
      <c r="I4575" s="17">
        <f ca="1">IFERROR(__xludf.DUMMYFUNCTION("""COMPUTED_VALUE"""),45574)</f>
        <v>45574</v>
      </c>
      <c r="J4575" s="143" t="s">
        <v>16158</v>
      </c>
      <c r="K4575" s="80" t="s">
        <v>16159</v>
      </c>
      <c r="L4575" s="30">
        <v>867301861</v>
      </c>
      <c r="M4575" s="80" t="s">
        <v>5429</v>
      </c>
      <c r="N4575" s="80" t="s">
        <v>756</v>
      </c>
      <c r="O4575" s="80" t="s">
        <v>16160</v>
      </c>
      <c r="P4575" s="80" t="s">
        <v>6368</v>
      </c>
      <c r="Q4575" s="20">
        <v>15936</v>
      </c>
      <c r="R4575" s="80" t="s">
        <v>36</v>
      </c>
      <c r="S4575" s="95">
        <f>200+13936</f>
        <v>14136</v>
      </c>
      <c r="T4575" s="83" t="s">
        <v>16161</v>
      </c>
      <c r="U4575" s="95">
        <v>1800</v>
      </c>
      <c r="V4575" s="148">
        <v>45574</v>
      </c>
      <c r="W4575" s="85" t="s">
        <v>16162</v>
      </c>
      <c r="X4575" s="80"/>
      <c r="Y4575" s="22">
        <v>0</v>
      </c>
      <c r="Z4575" s="80" t="s">
        <v>50</v>
      </c>
      <c r="AA4575" s="96" t="s">
        <v>9905</v>
      </c>
      <c r="AB4575" s="80"/>
      <c r="AC4575" s="80" t="s">
        <v>53</v>
      </c>
      <c r="AD4575" s="80" t="s">
        <v>138</v>
      </c>
      <c r="AE4575" s="80" t="s">
        <v>72</v>
      </c>
      <c r="AF4575" s="17">
        <v>45573</v>
      </c>
      <c r="AG4575" s="80" t="s">
        <v>13500</v>
      </c>
      <c r="AH4575" s="80"/>
      <c r="AI4575" s="147"/>
      <c r="AJ4575" s="80"/>
      <c r="AK4575" s="80"/>
      <c r="AL4575" s="35"/>
      <c r="AM4575" s="35"/>
      <c r="AN4575" s="35"/>
      <c r="AO4575" s="35"/>
      <c r="AP4575" s="35"/>
    </row>
    <row r="4576" spans="1:42" x14ac:dyDescent="0.2">
      <c r="A4576" s="126">
        <v>45572.526950983796</v>
      </c>
      <c r="B4576" s="137" t="s">
        <v>37</v>
      </c>
      <c r="C4576" s="41" t="s">
        <v>118</v>
      </c>
      <c r="D4576" s="80" t="s">
        <v>36</v>
      </c>
      <c r="E4576" s="80" t="s">
        <v>77</v>
      </c>
      <c r="F4576" s="80" t="s">
        <v>36</v>
      </c>
      <c r="G4576" s="80" t="s">
        <v>41</v>
      </c>
      <c r="H4576" s="80" t="s">
        <v>15166</v>
      </c>
      <c r="I4576" s="17">
        <f ca="1">IFERROR(__xludf.DUMMYFUNCTION("""COMPUTED_VALUE"""),45589)</f>
        <v>45589</v>
      </c>
      <c r="J4576" s="143" t="s">
        <v>16163</v>
      </c>
      <c r="K4576" s="80" t="s">
        <v>16164</v>
      </c>
      <c r="L4576" s="30">
        <v>363401271</v>
      </c>
      <c r="M4576" s="80" t="s">
        <v>348</v>
      </c>
      <c r="N4576" s="80" t="s">
        <v>4299</v>
      </c>
      <c r="O4576" s="80" t="s">
        <v>16165</v>
      </c>
      <c r="P4576" s="80" t="s">
        <v>12687</v>
      </c>
      <c r="Q4576" s="20">
        <v>1968</v>
      </c>
      <c r="R4576" s="80" t="s">
        <v>36</v>
      </c>
      <c r="S4576" s="95">
        <v>1968</v>
      </c>
      <c r="T4576" s="148">
        <v>45572</v>
      </c>
      <c r="U4576" s="77"/>
      <c r="V4576" s="78"/>
      <c r="W4576" s="85" t="s">
        <v>16166</v>
      </c>
      <c r="X4576" s="80"/>
      <c r="Y4576" s="22">
        <v>0</v>
      </c>
      <c r="Z4576" s="80" t="s">
        <v>50</v>
      </c>
      <c r="AA4576" s="35" t="s">
        <v>9905</v>
      </c>
      <c r="AB4576" s="80"/>
      <c r="AC4576" s="80" t="s">
        <v>53</v>
      </c>
      <c r="AD4576" s="80" t="s">
        <v>138</v>
      </c>
      <c r="AE4576" s="80" t="s">
        <v>72</v>
      </c>
      <c r="AF4576" s="43">
        <v>45589</v>
      </c>
      <c r="AG4576" s="80" t="s">
        <v>14199</v>
      </c>
      <c r="AH4576" s="80"/>
      <c r="AI4576" s="147"/>
      <c r="AJ4576" s="80"/>
      <c r="AK4576" s="80"/>
      <c r="AL4576" s="35"/>
      <c r="AM4576" s="35"/>
      <c r="AN4576" s="35"/>
      <c r="AO4576" s="35"/>
      <c r="AP4576" s="35"/>
    </row>
    <row r="4577" spans="1:42" x14ac:dyDescent="0.2">
      <c r="A4577" s="126">
        <v>45573.369580208338</v>
      </c>
      <c r="B4577" s="137" t="s">
        <v>37</v>
      </c>
      <c r="C4577" s="41" t="s">
        <v>118</v>
      </c>
      <c r="D4577" s="80" t="s">
        <v>36</v>
      </c>
      <c r="E4577" s="80" t="s">
        <v>119</v>
      </c>
      <c r="F4577" s="80" t="s">
        <v>36</v>
      </c>
      <c r="G4577" s="80" t="s">
        <v>108</v>
      </c>
      <c r="H4577" s="80" t="s">
        <v>815</v>
      </c>
      <c r="I4577" s="17">
        <f ca="1">IFERROR(__xludf.DUMMYFUNCTION("""COMPUTED_VALUE"""),45579)</f>
        <v>45579</v>
      </c>
      <c r="J4577" s="143" t="s">
        <v>16167</v>
      </c>
      <c r="K4577" s="80" t="s">
        <v>16168</v>
      </c>
      <c r="L4577" s="30">
        <v>989245206</v>
      </c>
      <c r="M4577" s="80" t="s">
        <v>3728</v>
      </c>
      <c r="N4577" s="80" t="s">
        <v>5277</v>
      </c>
      <c r="O4577" s="80" t="s">
        <v>16169</v>
      </c>
      <c r="P4577" s="80" t="s">
        <v>16170</v>
      </c>
      <c r="Q4577" s="20">
        <v>13968</v>
      </c>
      <c r="R4577" s="80" t="s">
        <v>70</v>
      </c>
      <c r="S4577" s="95">
        <f>500+3500</f>
        <v>4000</v>
      </c>
      <c r="T4577" s="83" t="s">
        <v>16171</v>
      </c>
      <c r="U4577" s="95">
        <v>9968</v>
      </c>
      <c r="V4577" s="148">
        <v>45596</v>
      </c>
      <c r="W4577" s="85" t="s">
        <v>16172</v>
      </c>
      <c r="X4577" s="80"/>
      <c r="Y4577" s="22">
        <v>0</v>
      </c>
      <c r="Z4577" s="80" t="s">
        <v>50</v>
      </c>
      <c r="AA4577" s="96" t="s">
        <v>9905</v>
      </c>
      <c r="AB4577" s="80"/>
      <c r="AC4577" s="80" t="s">
        <v>53</v>
      </c>
      <c r="AD4577" s="80" t="s">
        <v>54</v>
      </c>
      <c r="AE4577" s="80"/>
      <c r="AF4577" s="43">
        <v>45579</v>
      </c>
      <c r="AG4577" s="80"/>
      <c r="AH4577" s="80"/>
      <c r="AI4577" s="147"/>
      <c r="AJ4577" s="80"/>
      <c r="AK4577" s="80"/>
      <c r="AL4577" s="35"/>
      <c r="AM4577" s="35"/>
      <c r="AN4577" s="35"/>
      <c r="AO4577" s="35"/>
      <c r="AP4577" s="35"/>
    </row>
    <row r="4578" spans="1:42" x14ac:dyDescent="0.2">
      <c r="A4578" s="126">
        <v>45573.492025185187</v>
      </c>
      <c r="B4578" s="137" t="s">
        <v>37</v>
      </c>
      <c r="C4578" s="41" t="s">
        <v>118</v>
      </c>
      <c r="D4578" s="80" t="s">
        <v>36</v>
      </c>
      <c r="E4578" s="80" t="s">
        <v>56</v>
      </c>
      <c r="F4578" s="80" t="s">
        <v>36</v>
      </c>
      <c r="G4578" s="80" t="s">
        <v>41</v>
      </c>
      <c r="H4578" s="80" t="s">
        <v>16095</v>
      </c>
      <c r="I4578" s="17">
        <f ca="1">IFERROR(__xludf.DUMMYFUNCTION("""COMPUTED_VALUE"""),45579)</f>
        <v>45579</v>
      </c>
      <c r="J4578" s="143" t="s">
        <v>16173</v>
      </c>
      <c r="K4578" s="80" t="s">
        <v>16174</v>
      </c>
      <c r="L4578" s="30">
        <v>348673496</v>
      </c>
      <c r="M4578" s="80" t="s">
        <v>59</v>
      </c>
      <c r="N4578" s="80" t="s">
        <v>9301</v>
      </c>
      <c r="O4578" s="80" t="s">
        <v>16175</v>
      </c>
      <c r="P4578" s="80" t="s">
        <v>16176</v>
      </c>
      <c r="Q4578" s="20">
        <v>9317</v>
      </c>
      <c r="R4578" s="80" t="s">
        <v>36</v>
      </c>
      <c r="S4578" s="95">
        <v>2000</v>
      </c>
      <c r="T4578" s="148">
        <v>45572</v>
      </c>
      <c r="U4578" s="95">
        <v>7317</v>
      </c>
      <c r="V4578" s="148">
        <v>45592</v>
      </c>
      <c r="W4578" s="85" t="s">
        <v>16177</v>
      </c>
      <c r="X4578" s="80"/>
      <c r="Y4578" s="22">
        <v>0</v>
      </c>
      <c r="Z4578" s="80" t="s">
        <v>50</v>
      </c>
      <c r="AA4578" s="35" t="s">
        <v>9905</v>
      </c>
      <c r="AB4578" s="80"/>
      <c r="AC4578" s="80" t="s">
        <v>53</v>
      </c>
      <c r="AD4578" s="80" t="s">
        <v>54</v>
      </c>
      <c r="AE4578" s="80" t="s">
        <v>7880</v>
      </c>
      <c r="AF4578" s="17">
        <v>45573</v>
      </c>
      <c r="AG4578" s="80"/>
      <c r="AH4578" s="80"/>
      <c r="AI4578" s="147"/>
      <c r="AJ4578" s="80"/>
      <c r="AK4578" s="80"/>
      <c r="AL4578" s="35"/>
      <c r="AM4578" s="35"/>
      <c r="AN4578" s="35"/>
      <c r="AO4578" s="35"/>
      <c r="AP4578" s="35"/>
    </row>
    <row r="4579" spans="1:42" x14ac:dyDescent="0.2">
      <c r="A4579" s="126">
        <v>45573.496869780094</v>
      </c>
      <c r="B4579" s="137" t="s">
        <v>37</v>
      </c>
      <c r="C4579" s="41" t="s">
        <v>118</v>
      </c>
      <c r="D4579" s="80" t="s">
        <v>36</v>
      </c>
      <c r="E4579" s="80" t="s">
        <v>139</v>
      </c>
      <c r="F4579" s="80" t="s">
        <v>36</v>
      </c>
      <c r="G4579" s="80" t="s">
        <v>41</v>
      </c>
      <c r="H4579" s="80" t="s">
        <v>12398</v>
      </c>
      <c r="I4579" s="17">
        <f ca="1">IFERROR(__xludf.DUMMYFUNCTION("""COMPUTED_VALUE"""),45575)</f>
        <v>45575</v>
      </c>
      <c r="J4579" s="143" t="s">
        <v>16178</v>
      </c>
      <c r="K4579" s="80" t="s">
        <v>16179</v>
      </c>
      <c r="L4579" s="30">
        <v>837767667</v>
      </c>
      <c r="M4579" s="80" t="s">
        <v>45</v>
      </c>
      <c r="N4579" s="80" t="s">
        <v>87</v>
      </c>
      <c r="O4579" s="80" t="s">
        <v>16180</v>
      </c>
      <c r="P4579" s="80" t="s">
        <v>16181</v>
      </c>
      <c r="Q4579" s="20">
        <v>15936</v>
      </c>
      <c r="R4579" s="80" t="s">
        <v>36</v>
      </c>
      <c r="S4579" s="95">
        <v>1000</v>
      </c>
      <c r="T4579" s="148">
        <v>45573</v>
      </c>
      <c r="U4579" s="95">
        <v>14936</v>
      </c>
      <c r="V4579" s="148">
        <v>45573</v>
      </c>
      <c r="W4579" s="85" t="s">
        <v>16182</v>
      </c>
      <c r="X4579" s="80"/>
      <c r="Y4579" s="22">
        <v>0</v>
      </c>
      <c r="Z4579" s="80" t="s">
        <v>50</v>
      </c>
      <c r="AA4579" s="96" t="s">
        <v>9905</v>
      </c>
      <c r="AB4579" s="80"/>
      <c r="AC4579" s="80" t="s">
        <v>53</v>
      </c>
      <c r="AD4579" s="80" t="s">
        <v>54</v>
      </c>
      <c r="AE4579" s="83">
        <v>0</v>
      </c>
      <c r="AF4579" s="17">
        <v>45573</v>
      </c>
      <c r="AG4579" s="80"/>
      <c r="AH4579" s="80"/>
      <c r="AI4579" s="147"/>
      <c r="AJ4579" s="80"/>
      <c r="AK4579" s="80"/>
      <c r="AL4579" s="35"/>
      <c r="AM4579" s="35"/>
      <c r="AN4579" s="35"/>
      <c r="AO4579" s="35"/>
      <c r="AP4579" s="35"/>
    </row>
    <row r="4580" spans="1:42" x14ac:dyDescent="0.2">
      <c r="A4580" s="126">
        <v>45573.561593923616</v>
      </c>
      <c r="B4580" s="137" t="s">
        <v>37</v>
      </c>
      <c r="C4580" s="41" t="s">
        <v>118</v>
      </c>
      <c r="D4580" s="80" t="s">
        <v>36</v>
      </c>
      <c r="E4580" s="80" t="s">
        <v>139</v>
      </c>
      <c r="F4580" s="80" t="s">
        <v>36</v>
      </c>
      <c r="G4580" s="80" t="s">
        <v>41</v>
      </c>
      <c r="H4580" s="80" t="s">
        <v>16183</v>
      </c>
      <c r="I4580" s="17">
        <f ca="1">IFERROR(__xludf.DUMMYFUNCTION("""COMPUTED_VALUE"""),45657)</f>
        <v>45657</v>
      </c>
      <c r="J4580" s="143" t="s">
        <v>16184</v>
      </c>
      <c r="K4580" s="80" t="s">
        <v>16185</v>
      </c>
      <c r="L4580" s="30">
        <v>375718198</v>
      </c>
      <c r="M4580" s="80" t="s">
        <v>2755</v>
      </c>
      <c r="N4580" s="80" t="s">
        <v>2756</v>
      </c>
      <c r="O4580" s="80" t="s">
        <v>4503</v>
      </c>
      <c r="P4580" s="144" t="s">
        <v>16186</v>
      </c>
      <c r="Q4580" s="20">
        <v>15936</v>
      </c>
      <c r="R4580" s="80" t="s">
        <v>36</v>
      </c>
      <c r="S4580" s="95">
        <f>200+2800</f>
        <v>3000</v>
      </c>
      <c r="T4580" s="83" t="s">
        <v>16187</v>
      </c>
      <c r="U4580" s="95">
        <v>13236</v>
      </c>
      <c r="V4580" s="148">
        <v>45589</v>
      </c>
      <c r="W4580" s="85" t="s">
        <v>16188</v>
      </c>
      <c r="X4580" s="80"/>
      <c r="Y4580" s="22">
        <v>-300</v>
      </c>
      <c r="Z4580" s="80" t="s">
        <v>50</v>
      </c>
      <c r="AA4580" s="35" t="s">
        <v>9905</v>
      </c>
      <c r="AB4580" s="80"/>
      <c r="AC4580" s="80" t="s">
        <v>53</v>
      </c>
      <c r="AD4580" s="80" t="s">
        <v>138</v>
      </c>
      <c r="AE4580" s="80"/>
      <c r="AF4580" s="43">
        <v>45645</v>
      </c>
      <c r="AG4580" s="80" t="s">
        <v>16189</v>
      </c>
      <c r="AH4580" s="80"/>
      <c r="AI4580" s="147"/>
      <c r="AJ4580" s="80"/>
      <c r="AK4580" s="80"/>
      <c r="AL4580" s="35"/>
      <c r="AM4580" s="35"/>
      <c r="AN4580" s="35"/>
      <c r="AO4580" s="35"/>
      <c r="AP4580" s="35"/>
    </row>
    <row r="4581" spans="1:42" x14ac:dyDescent="0.2">
      <c r="A4581" s="126">
        <v>45573.620498564815</v>
      </c>
      <c r="B4581" s="137" t="s">
        <v>37</v>
      </c>
      <c r="C4581" s="41" t="s">
        <v>118</v>
      </c>
      <c r="D4581" s="80" t="s">
        <v>77</v>
      </c>
      <c r="E4581" s="80" t="s">
        <v>106</v>
      </c>
      <c r="F4581" s="80" t="s">
        <v>11144</v>
      </c>
      <c r="G4581" s="80" t="s">
        <v>108</v>
      </c>
      <c r="H4581" s="80" t="s">
        <v>13674</v>
      </c>
      <c r="I4581" s="17">
        <f ca="1">IFERROR(__xludf.DUMMYFUNCTION("""COMPUTED_VALUE"""),45582)</f>
        <v>45582</v>
      </c>
      <c r="J4581" s="143" t="s">
        <v>11145</v>
      </c>
      <c r="K4581" s="80" t="s">
        <v>16190</v>
      </c>
      <c r="L4581" s="30">
        <v>325453298</v>
      </c>
      <c r="M4581" s="80" t="s">
        <v>11413</v>
      </c>
      <c r="N4581" s="80" t="s">
        <v>1246</v>
      </c>
      <c r="O4581" s="80" t="s">
        <v>11147</v>
      </c>
      <c r="P4581" s="80" t="s">
        <v>11148</v>
      </c>
      <c r="Q4581" s="20">
        <v>3768</v>
      </c>
      <c r="R4581" s="80" t="s">
        <v>36</v>
      </c>
      <c r="S4581" s="95">
        <f>1000+2768</f>
        <v>3768</v>
      </c>
      <c r="T4581" s="83" t="s">
        <v>16191</v>
      </c>
      <c r="U4581" s="77"/>
      <c r="V4581" s="78"/>
      <c r="W4581" s="85" t="s">
        <v>16192</v>
      </c>
      <c r="X4581" s="80"/>
      <c r="Y4581" s="22">
        <v>0</v>
      </c>
      <c r="Z4581" s="80" t="s">
        <v>50</v>
      </c>
      <c r="AA4581" s="96" t="s">
        <v>9905</v>
      </c>
      <c r="AB4581" s="80"/>
      <c r="AC4581" s="80" t="s">
        <v>53</v>
      </c>
      <c r="AD4581" s="80" t="s">
        <v>54</v>
      </c>
      <c r="AE4581" s="80" t="s">
        <v>11144</v>
      </c>
      <c r="AF4581" s="43">
        <v>45575</v>
      </c>
      <c r="AG4581" s="80"/>
      <c r="AH4581" s="80"/>
      <c r="AI4581" s="147"/>
      <c r="AJ4581" s="80"/>
      <c r="AK4581" s="80"/>
      <c r="AL4581" s="35"/>
      <c r="AM4581" s="35"/>
      <c r="AN4581" s="35"/>
      <c r="AO4581" s="35"/>
      <c r="AP4581" s="35"/>
    </row>
    <row r="4582" spans="1:42" x14ac:dyDescent="0.2">
      <c r="A4582" s="38">
        <v>45574</v>
      </c>
      <c r="B4582" s="137" t="s">
        <v>37</v>
      </c>
      <c r="C4582" s="41" t="s">
        <v>118</v>
      </c>
      <c r="D4582" s="26" t="s">
        <v>106</v>
      </c>
      <c r="E4582" s="26" t="s">
        <v>219</v>
      </c>
      <c r="F4582" s="26" t="s">
        <v>8238</v>
      </c>
      <c r="G4582" s="26" t="s">
        <v>221</v>
      </c>
      <c r="H4582" s="26" t="s">
        <v>13513</v>
      </c>
      <c r="I4582" s="17">
        <f ca="1">IFERROR(__xludf.DUMMYFUNCTION("""COMPUTED_VALUE"""),45594)</f>
        <v>45594</v>
      </c>
      <c r="J4582" s="29" t="s">
        <v>8284</v>
      </c>
      <c r="K4582" s="26" t="s">
        <v>8285</v>
      </c>
      <c r="L4582" s="30">
        <v>816177292</v>
      </c>
      <c r="M4582" s="26" t="s">
        <v>112</v>
      </c>
      <c r="N4582" s="26" t="s">
        <v>113</v>
      </c>
      <c r="O4582" s="26" t="s">
        <v>36</v>
      </c>
      <c r="P4582" s="42" t="s">
        <v>16193</v>
      </c>
      <c r="Q4582" s="20">
        <v>3968</v>
      </c>
      <c r="R4582" s="26" t="s">
        <v>36</v>
      </c>
      <c r="S4582" s="31">
        <v>3968</v>
      </c>
      <c r="T4582" s="32">
        <v>45589</v>
      </c>
      <c r="U4582" s="31"/>
      <c r="V4582" s="32"/>
      <c r="W4582" s="79" t="s">
        <v>16194</v>
      </c>
      <c r="X4582" s="26"/>
      <c r="Y4582" s="22">
        <v>0</v>
      </c>
      <c r="Z4582" s="26" t="s">
        <v>50</v>
      </c>
      <c r="AA4582" s="35" t="s">
        <v>9905</v>
      </c>
      <c r="AB4582" s="26" t="s">
        <v>36</v>
      </c>
      <c r="AC4582" s="26" t="s">
        <v>53</v>
      </c>
      <c r="AD4582" s="19" t="s">
        <v>54</v>
      </c>
      <c r="AE4582" s="26" t="s">
        <v>8238</v>
      </c>
      <c r="AF4582" s="17">
        <v>45589</v>
      </c>
      <c r="AG4582" s="26"/>
      <c r="AH4582" s="26"/>
      <c r="AI4582" s="40"/>
      <c r="AJ4582" s="26"/>
      <c r="AK4582" s="26"/>
      <c r="AL4582" s="35"/>
      <c r="AM4582" s="35"/>
      <c r="AN4582" s="35"/>
      <c r="AO4582" s="35"/>
      <c r="AP4582" s="35"/>
    </row>
    <row r="4583" spans="1:42" x14ac:dyDescent="0.2">
      <c r="A4583" s="38">
        <v>45574</v>
      </c>
      <c r="B4583" s="137" t="s">
        <v>37</v>
      </c>
      <c r="C4583" s="41" t="s">
        <v>118</v>
      </c>
      <c r="D4583" s="80" t="s">
        <v>36</v>
      </c>
      <c r="E4583" s="26" t="s">
        <v>219</v>
      </c>
      <c r="F4583" s="26" t="s">
        <v>8238</v>
      </c>
      <c r="G4583" s="26" t="s">
        <v>221</v>
      </c>
      <c r="H4583" s="26" t="s">
        <v>13513</v>
      </c>
      <c r="I4583" s="17">
        <f ca="1">IFERROR(__xludf.DUMMYFUNCTION("""COMPUTED_VALUE"""),45594)</f>
        <v>45594</v>
      </c>
      <c r="J4583" s="29" t="s">
        <v>8255</v>
      </c>
      <c r="K4583" s="26" t="s">
        <v>8256</v>
      </c>
      <c r="L4583" s="30">
        <v>355074879</v>
      </c>
      <c r="M4583" s="26" t="s">
        <v>3288</v>
      </c>
      <c r="N4583" s="26" t="s">
        <v>16195</v>
      </c>
      <c r="O4583" s="26" t="s">
        <v>91</v>
      </c>
      <c r="P4583" s="42" t="s">
        <v>16196</v>
      </c>
      <c r="Q4583" s="20">
        <v>3968</v>
      </c>
      <c r="R4583" s="26" t="s">
        <v>36</v>
      </c>
      <c r="S4583" s="31">
        <v>3968</v>
      </c>
      <c r="T4583" s="32">
        <v>45580</v>
      </c>
      <c r="U4583" s="31"/>
      <c r="V4583" s="32"/>
      <c r="W4583" s="79" t="s">
        <v>16197</v>
      </c>
      <c r="X4583" s="26"/>
      <c r="Y4583" s="22">
        <v>0</v>
      </c>
      <c r="Z4583" s="26" t="s">
        <v>50</v>
      </c>
      <c r="AA4583" s="96" t="s">
        <v>9905</v>
      </c>
      <c r="AB4583" s="26" t="s">
        <v>36</v>
      </c>
      <c r="AC4583" s="26" t="s">
        <v>53</v>
      </c>
      <c r="AD4583" s="19" t="s">
        <v>54</v>
      </c>
      <c r="AE4583" s="26" t="s">
        <v>8238</v>
      </c>
      <c r="AF4583" s="17">
        <v>45589</v>
      </c>
      <c r="AG4583" s="26"/>
      <c r="AH4583" s="26"/>
      <c r="AI4583" s="40"/>
      <c r="AJ4583" s="26"/>
      <c r="AK4583" s="26"/>
      <c r="AL4583" s="35"/>
      <c r="AM4583" s="35"/>
      <c r="AN4583" s="35"/>
      <c r="AO4583" s="35"/>
      <c r="AP4583" s="35"/>
    </row>
    <row r="4584" spans="1:42" x14ac:dyDescent="0.2">
      <c r="A4584" s="126">
        <v>45574.483564814815</v>
      </c>
      <c r="B4584" s="137" t="s">
        <v>37</v>
      </c>
      <c r="C4584" s="41" t="s">
        <v>118</v>
      </c>
      <c r="D4584" s="80" t="s">
        <v>36</v>
      </c>
      <c r="E4584" s="80" t="s">
        <v>148</v>
      </c>
      <c r="F4584" s="80" t="s">
        <v>40</v>
      </c>
      <c r="G4584" s="26" t="s">
        <v>108</v>
      </c>
      <c r="H4584" s="80" t="s">
        <v>8541</v>
      </c>
      <c r="I4584" s="17">
        <f ca="1">IFERROR(__xludf.DUMMYFUNCTION("""COMPUTED_VALUE"""),45595)</f>
        <v>45595</v>
      </c>
      <c r="J4584" s="143" t="s">
        <v>16198</v>
      </c>
      <c r="K4584" s="80" t="s">
        <v>16199</v>
      </c>
      <c r="L4584" s="30">
        <v>901581979</v>
      </c>
      <c r="M4584" s="80" t="s">
        <v>59</v>
      </c>
      <c r="N4584" s="80" t="s">
        <v>11476</v>
      </c>
      <c r="O4584" s="80" t="s">
        <v>16200</v>
      </c>
      <c r="P4584" s="80" t="s">
        <v>3694</v>
      </c>
      <c r="Q4584" s="20">
        <v>7349</v>
      </c>
      <c r="R4584" s="80" t="s">
        <v>36</v>
      </c>
      <c r="S4584" s="95">
        <f>200+7149</f>
        <v>7349</v>
      </c>
      <c r="T4584" s="83" t="s">
        <v>16187</v>
      </c>
      <c r="U4584" s="95"/>
      <c r="V4584" s="148"/>
      <c r="W4584" s="80" t="s">
        <v>16201</v>
      </c>
      <c r="X4584" s="80"/>
      <c r="Y4584" s="22">
        <v>0</v>
      </c>
      <c r="Z4584" s="80" t="s">
        <v>50</v>
      </c>
      <c r="AA4584" s="35" t="s">
        <v>9905</v>
      </c>
      <c r="AB4584" s="80"/>
      <c r="AC4584" s="80" t="s">
        <v>53</v>
      </c>
      <c r="AD4584" s="80" t="s">
        <v>138</v>
      </c>
      <c r="AE4584" s="80" t="s">
        <v>2705</v>
      </c>
      <c r="AF4584" s="17">
        <v>45595</v>
      </c>
      <c r="AG4584" s="80"/>
      <c r="AH4584" s="80"/>
      <c r="AI4584" s="147"/>
      <c r="AJ4584" s="80"/>
      <c r="AK4584" s="80"/>
      <c r="AL4584" s="35"/>
      <c r="AM4584" s="35"/>
      <c r="AN4584" s="35"/>
      <c r="AO4584" s="35"/>
      <c r="AP4584" s="35"/>
    </row>
    <row r="4585" spans="1:42" x14ac:dyDescent="0.2">
      <c r="A4585" s="126">
        <v>45574.675969166667</v>
      </c>
      <c r="B4585" s="137" t="s">
        <v>37</v>
      </c>
      <c r="C4585" s="41" t="s">
        <v>118</v>
      </c>
      <c r="D4585" s="80" t="s">
        <v>36</v>
      </c>
      <c r="E4585" s="80" t="s">
        <v>139</v>
      </c>
      <c r="F4585" s="80" t="s">
        <v>40</v>
      </c>
      <c r="G4585" s="80" t="s">
        <v>41</v>
      </c>
      <c r="H4585" s="80" t="s">
        <v>14934</v>
      </c>
      <c r="I4585" s="17">
        <f ca="1">IFERROR(__xludf.DUMMYFUNCTION("""COMPUTED_VALUE"""),45578)</f>
        <v>45578</v>
      </c>
      <c r="J4585" s="143" t="s">
        <v>16202</v>
      </c>
      <c r="K4585" s="80" t="s">
        <v>16203</v>
      </c>
      <c r="L4585" s="30">
        <v>868369706</v>
      </c>
      <c r="M4585" s="80" t="s">
        <v>3498</v>
      </c>
      <c r="N4585" s="80" t="s">
        <v>4402</v>
      </c>
      <c r="O4585" s="80" t="s">
        <v>4503</v>
      </c>
      <c r="P4585" s="80" t="s">
        <v>3056</v>
      </c>
      <c r="Q4585" s="20">
        <v>15936</v>
      </c>
      <c r="R4585" s="80" t="s">
        <v>36</v>
      </c>
      <c r="S4585" s="95">
        <f>200+5000</f>
        <v>5200</v>
      </c>
      <c r="T4585" s="83" t="s">
        <v>16204</v>
      </c>
      <c r="U4585" s="95">
        <v>10736</v>
      </c>
      <c r="V4585" s="148">
        <v>45596</v>
      </c>
      <c r="W4585" s="85" t="s">
        <v>16205</v>
      </c>
      <c r="X4585" s="80"/>
      <c r="Y4585" s="22">
        <v>0</v>
      </c>
      <c r="Z4585" s="80" t="s">
        <v>50</v>
      </c>
      <c r="AA4585" s="96" t="s">
        <v>9905</v>
      </c>
      <c r="AB4585" s="80"/>
      <c r="AC4585" s="80" t="s">
        <v>53</v>
      </c>
      <c r="AD4585" s="80" t="s">
        <v>138</v>
      </c>
      <c r="AE4585" s="80"/>
      <c r="AF4585" s="43">
        <v>45576</v>
      </c>
      <c r="AG4585" s="80" t="s">
        <v>14940</v>
      </c>
      <c r="AH4585" s="80"/>
      <c r="AI4585" s="147"/>
      <c r="AJ4585" s="80"/>
      <c r="AK4585" s="80"/>
      <c r="AL4585" s="35"/>
      <c r="AM4585" s="35"/>
      <c r="AN4585" s="35"/>
      <c r="AO4585" s="35"/>
      <c r="AP4585" s="35"/>
    </row>
    <row r="4586" spans="1:42" x14ac:dyDescent="0.2">
      <c r="A4586" s="126">
        <v>45574.742123159725</v>
      </c>
      <c r="B4586" s="137" t="s">
        <v>37</v>
      </c>
      <c r="C4586" s="41" t="s">
        <v>118</v>
      </c>
      <c r="D4586" s="80" t="s">
        <v>36</v>
      </c>
      <c r="E4586" s="80" t="s">
        <v>77</v>
      </c>
      <c r="F4586" s="80" t="s">
        <v>36</v>
      </c>
      <c r="G4586" s="80" t="s">
        <v>41</v>
      </c>
      <c r="H4586" s="80" t="s">
        <v>13535</v>
      </c>
      <c r="I4586" s="17">
        <f ca="1">IFERROR(__xludf.DUMMYFUNCTION("""COMPUTED_VALUE"""),45589)</f>
        <v>45589</v>
      </c>
      <c r="J4586" s="143" t="s">
        <v>16206</v>
      </c>
      <c r="K4586" s="80" t="s">
        <v>16207</v>
      </c>
      <c r="L4586" s="30">
        <v>325833520</v>
      </c>
      <c r="M4586" s="80" t="s">
        <v>11413</v>
      </c>
      <c r="N4586" s="80" t="s">
        <v>1246</v>
      </c>
      <c r="O4586" s="80" t="s">
        <v>36</v>
      </c>
      <c r="P4586" s="80" t="s">
        <v>36</v>
      </c>
      <c r="Q4586" s="20">
        <v>1968</v>
      </c>
      <c r="R4586" s="80" t="s">
        <v>36</v>
      </c>
      <c r="S4586" s="178">
        <f t="shared" ref="S4586:S4587" si="100">1000+968</f>
        <v>1968</v>
      </c>
      <c r="T4586" s="83" t="s">
        <v>16208</v>
      </c>
      <c r="U4586" s="77"/>
      <c r="V4586" s="78"/>
      <c r="W4586" s="85" t="s">
        <v>16209</v>
      </c>
      <c r="X4586" s="80"/>
      <c r="Y4586" s="22">
        <v>0</v>
      </c>
      <c r="Z4586" s="80" t="s">
        <v>50</v>
      </c>
      <c r="AA4586" s="35" t="s">
        <v>9905</v>
      </c>
      <c r="AB4586" s="144" t="s">
        <v>14402</v>
      </c>
      <c r="AC4586" s="80" t="s">
        <v>53</v>
      </c>
      <c r="AD4586" s="80" t="s">
        <v>138</v>
      </c>
      <c r="AE4586" s="80" t="s">
        <v>72</v>
      </c>
      <c r="AF4586" s="43">
        <v>45589</v>
      </c>
      <c r="AG4586" s="80" t="s">
        <v>13541</v>
      </c>
      <c r="AH4586" s="80"/>
      <c r="AI4586" s="147"/>
      <c r="AJ4586" s="80"/>
      <c r="AK4586" s="80"/>
      <c r="AL4586" s="35"/>
      <c r="AM4586" s="35"/>
      <c r="AN4586" s="35"/>
      <c r="AO4586" s="35"/>
      <c r="AP4586" s="35"/>
    </row>
    <row r="4587" spans="1:42" x14ac:dyDescent="0.2">
      <c r="A4587" s="126">
        <v>45574.743455798613</v>
      </c>
      <c r="B4587" s="137" t="s">
        <v>37</v>
      </c>
      <c r="C4587" s="41" t="s">
        <v>118</v>
      </c>
      <c r="D4587" s="80" t="s">
        <v>36</v>
      </c>
      <c r="E4587" s="80" t="s">
        <v>77</v>
      </c>
      <c r="F4587" s="80" t="s">
        <v>36</v>
      </c>
      <c r="G4587" s="80" t="s">
        <v>41</v>
      </c>
      <c r="H4587" s="80" t="s">
        <v>13535</v>
      </c>
      <c r="I4587" s="17">
        <f ca="1">IFERROR(__xludf.DUMMYFUNCTION("""COMPUTED_VALUE"""),45589)</f>
        <v>45589</v>
      </c>
      <c r="J4587" s="143" t="s">
        <v>16210</v>
      </c>
      <c r="K4587" s="80" t="s">
        <v>16211</v>
      </c>
      <c r="L4587" s="30">
        <v>984748406</v>
      </c>
      <c r="M4587" s="80" t="s">
        <v>11413</v>
      </c>
      <c r="N4587" s="80" t="s">
        <v>1246</v>
      </c>
      <c r="O4587" s="80" t="s">
        <v>36</v>
      </c>
      <c r="P4587" s="80" t="s">
        <v>36</v>
      </c>
      <c r="Q4587" s="20">
        <v>1968</v>
      </c>
      <c r="R4587" s="80" t="s">
        <v>36</v>
      </c>
      <c r="S4587" s="178">
        <f t="shared" si="100"/>
        <v>1968</v>
      </c>
      <c r="T4587" s="83" t="s">
        <v>16208</v>
      </c>
      <c r="U4587" s="77"/>
      <c r="V4587" s="78"/>
      <c r="W4587" s="85" t="s">
        <v>16212</v>
      </c>
      <c r="X4587" s="80"/>
      <c r="Y4587" s="22">
        <v>0</v>
      </c>
      <c r="Z4587" s="80" t="s">
        <v>50</v>
      </c>
      <c r="AA4587" s="96" t="s">
        <v>9905</v>
      </c>
      <c r="AB4587" s="144" t="s">
        <v>14402</v>
      </c>
      <c r="AC4587" s="80" t="s">
        <v>53</v>
      </c>
      <c r="AD4587" s="80" t="s">
        <v>138</v>
      </c>
      <c r="AE4587" s="80" t="s">
        <v>72</v>
      </c>
      <c r="AF4587" s="43">
        <v>45589</v>
      </c>
      <c r="AG4587" s="80" t="s">
        <v>13541</v>
      </c>
      <c r="AH4587" s="80"/>
      <c r="AI4587" s="147"/>
      <c r="AJ4587" s="80"/>
      <c r="AK4587" s="80"/>
      <c r="AL4587" s="35"/>
      <c r="AM4587" s="35"/>
      <c r="AN4587" s="35"/>
      <c r="AO4587" s="35"/>
      <c r="AP4587" s="35"/>
    </row>
    <row r="4588" spans="1:42" x14ac:dyDescent="0.2">
      <c r="A4588" s="126">
        <v>45574.773579375003</v>
      </c>
      <c r="B4588" s="137" t="s">
        <v>37</v>
      </c>
      <c r="C4588" s="41" t="s">
        <v>118</v>
      </c>
      <c r="D4588" s="80" t="s">
        <v>36</v>
      </c>
      <c r="E4588" s="80" t="s">
        <v>56</v>
      </c>
      <c r="F4588" s="80" t="s">
        <v>36</v>
      </c>
      <c r="G4588" s="80" t="s">
        <v>41</v>
      </c>
      <c r="H4588" s="80" t="s">
        <v>15451</v>
      </c>
      <c r="I4588" s="17">
        <f ca="1">IFERROR(__xludf.DUMMYFUNCTION("""COMPUTED_VALUE"""),45603)</f>
        <v>45603</v>
      </c>
      <c r="J4588" s="143" t="s">
        <v>16213</v>
      </c>
      <c r="K4588" s="80" t="s">
        <v>5210</v>
      </c>
      <c r="L4588" s="30">
        <v>329966093</v>
      </c>
      <c r="M4588" s="80" t="s">
        <v>59</v>
      </c>
      <c r="N4588" s="80" t="s">
        <v>7304</v>
      </c>
      <c r="O4588" s="80" t="s">
        <v>16214</v>
      </c>
      <c r="P4588" s="80" t="s">
        <v>16215</v>
      </c>
      <c r="Q4588" s="20">
        <v>9317</v>
      </c>
      <c r="R4588" s="80" t="s">
        <v>36</v>
      </c>
      <c r="S4588" s="95">
        <f>200+9117</f>
        <v>9317</v>
      </c>
      <c r="T4588" s="83" t="s">
        <v>16216</v>
      </c>
      <c r="U4588" s="77"/>
      <c r="V4588" s="78"/>
      <c r="W4588" s="85" t="s">
        <v>16217</v>
      </c>
      <c r="X4588" s="80"/>
      <c r="Y4588" s="22">
        <v>0</v>
      </c>
      <c r="Z4588" s="80" t="s">
        <v>50</v>
      </c>
      <c r="AA4588" s="35" t="s">
        <v>9905</v>
      </c>
      <c r="AB4588" s="80"/>
      <c r="AC4588" s="80" t="s">
        <v>53</v>
      </c>
      <c r="AD4588" s="80" t="s">
        <v>138</v>
      </c>
      <c r="AE4588" s="80" t="s">
        <v>72</v>
      </c>
      <c r="AF4588" s="17">
        <v>45603</v>
      </c>
      <c r="AG4588" s="80"/>
      <c r="AH4588" s="80"/>
      <c r="AI4588" s="147"/>
      <c r="AJ4588" s="80"/>
      <c r="AK4588" s="80"/>
      <c r="AL4588" s="35"/>
      <c r="AM4588" s="35"/>
      <c r="AN4588" s="35"/>
      <c r="AO4588" s="35"/>
      <c r="AP4588" s="35"/>
    </row>
    <row r="4589" spans="1:42" x14ac:dyDescent="0.2">
      <c r="A4589" s="126">
        <v>45575.326168333333</v>
      </c>
      <c r="B4589" s="137" t="s">
        <v>90</v>
      </c>
      <c r="C4589" s="41" t="s">
        <v>118</v>
      </c>
      <c r="D4589" s="80" t="s">
        <v>36</v>
      </c>
      <c r="E4589" s="80" t="s">
        <v>139</v>
      </c>
      <c r="F4589" s="80" t="s">
        <v>36</v>
      </c>
      <c r="G4589" s="80" t="s">
        <v>41</v>
      </c>
      <c r="H4589" s="80" t="s">
        <v>13301</v>
      </c>
      <c r="I4589" s="17">
        <f ca="1">IFERROR(__xludf.DUMMYFUNCTION("""COMPUTED_VALUE"""),45566)</f>
        <v>45566</v>
      </c>
      <c r="J4589" s="143" t="s">
        <v>14447</v>
      </c>
      <c r="K4589" s="80" t="s">
        <v>16218</v>
      </c>
      <c r="L4589" s="30">
        <v>859998815</v>
      </c>
      <c r="M4589" s="80" t="s">
        <v>2755</v>
      </c>
      <c r="N4589" s="80" t="s">
        <v>2756</v>
      </c>
      <c r="O4589" s="80" t="s">
        <v>4503</v>
      </c>
      <c r="P4589" s="80" t="s">
        <v>3056</v>
      </c>
      <c r="Q4589" s="20">
        <v>15936</v>
      </c>
      <c r="R4589" s="80" t="s">
        <v>70</v>
      </c>
      <c r="S4589" s="95">
        <v>3000</v>
      </c>
      <c r="T4589" s="148">
        <v>45574</v>
      </c>
      <c r="U4589" s="95">
        <v>12936</v>
      </c>
      <c r="V4589" s="148">
        <v>45590</v>
      </c>
      <c r="W4589" s="85" t="s">
        <v>14450</v>
      </c>
      <c r="X4589" s="80"/>
      <c r="Y4589" s="22">
        <v>0</v>
      </c>
      <c r="Z4589" s="80" t="s">
        <v>50</v>
      </c>
      <c r="AA4589" s="96" t="s">
        <v>9905</v>
      </c>
      <c r="AB4589" s="80"/>
      <c r="AC4589" s="80" t="s">
        <v>53</v>
      </c>
      <c r="AD4589" s="80" t="s">
        <v>138</v>
      </c>
      <c r="AE4589" s="80"/>
      <c r="AF4589" s="17">
        <v>45575</v>
      </c>
      <c r="AG4589" s="80" t="s">
        <v>16219</v>
      </c>
      <c r="AH4589" s="80"/>
      <c r="AI4589" s="147"/>
      <c r="AJ4589" s="80"/>
      <c r="AK4589" s="80"/>
      <c r="AL4589" s="35"/>
      <c r="AM4589" s="35"/>
      <c r="AN4589" s="35"/>
      <c r="AO4589" s="35"/>
      <c r="AP4589" s="35"/>
    </row>
    <row r="4590" spans="1:42" x14ac:dyDescent="0.2">
      <c r="A4590" s="126">
        <v>45575.391027361111</v>
      </c>
      <c r="B4590" s="137" t="s">
        <v>37</v>
      </c>
      <c r="C4590" s="41" t="s">
        <v>118</v>
      </c>
      <c r="D4590" s="80" t="s">
        <v>36</v>
      </c>
      <c r="E4590" s="80" t="s">
        <v>39</v>
      </c>
      <c r="F4590" s="80" t="s">
        <v>40</v>
      </c>
      <c r="G4590" s="80" t="s">
        <v>41</v>
      </c>
      <c r="H4590" s="80" t="s">
        <v>13535</v>
      </c>
      <c r="I4590" s="17">
        <f ca="1">IFERROR(__xludf.DUMMYFUNCTION("""COMPUTED_VALUE"""),45589)</f>
        <v>45589</v>
      </c>
      <c r="J4590" s="143" t="s">
        <v>16220</v>
      </c>
      <c r="K4590" s="80" t="s">
        <v>16221</v>
      </c>
      <c r="L4590" s="30">
        <v>981122306</v>
      </c>
      <c r="M4590" s="80" t="s">
        <v>59</v>
      </c>
      <c r="N4590" s="80" t="s">
        <v>10947</v>
      </c>
      <c r="O4590" s="80" t="s">
        <v>16222</v>
      </c>
      <c r="P4590" s="80" t="s">
        <v>12687</v>
      </c>
      <c r="Q4590" s="20">
        <v>5736</v>
      </c>
      <c r="R4590" s="80" t="s">
        <v>36</v>
      </c>
      <c r="S4590" s="95">
        <f>200+5536</f>
        <v>5736</v>
      </c>
      <c r="T4590" s="83" t="s">
        <v>16216</v>
      </c>
      <c r="U4590" s="77"/>
      <c r="V4590" s="78"/>
      <c r="W4590" s="85" t="s">
        <v>16223</v>
      </c>
      <c r="X4590" s="80"/>
      <c r="Y4590" s="22">
        <v>0</v>
      </c>
      <c r="Z4590" s="80" t="s">
        <v>50</v>
      </c>
      <c r="AA4590" s="35" t="s">
        <v>9905</v>
      </c>
      <c r="AB4590" s="80"/>
      <c r="AC4590" s="80" t="s">
        <v>53</v>
      </c>
      <c r="AD4590" s="80" t="s">
        <v>138</v>
      </c>
      <c r="AE4590" s="80" t="s">
        <v>2670</v>
      </c>
      <c r="AF4590" s="43">
        <v>45589</v>
      </c>
      <c r="AG4590" s="80" t="s">
        <v>13541</v>
      </c>
      <c r="AH4590" s="80"/>
      <c r="AI4590" s="147"/>
      <c r="AJ4590" s="80"/>
      <c r="AK4590" s="80"/>
      <c r="AL4590" s="35"/>
      <c r="AM4590" s="35"/>
      <c r="AN4590" s="35"/>
      <c r="AO4590" s="35"/>
      <c r="AP4590" s="35"/>
    </row>
    <row r="4591" spans="1:42" x14ac:dyDescent="0.2">
      <c r="A4591" s="126">
        <v>45575.439090277781</v>
      </c>
      <c r="B4591" s="137" t="s">
        <v>37</v>
      </c>
      <c r="C4591" s="41" t="s">
        <v>118</v>
      </c>
      <c r="D4591" s="80" t="s">
        <v>36</v>
      </c>
      <c r="E4591" s="80" t="s">
        <v>77</v>
      </c>
      <c r="F4591" s="80" t="s">
        <v>36</v>
      </c>
      <c r="G4591" s="80" t="s">
        <v>41</v>
      </c>
      <c r="H4591" s="80" t="s">
        <v>16224</v>
      </c>
      <c r="I4591" s="17">
        <f ca="1">IFERROR(__xludf.DUMMYFUNCTION("""COMPUTED_VALUE"""),45580)</f>
        <v>45580</v>
      </c>
      <c r="J4591" s="143" t="s">
        <v>16225</v>
      </c>
      <c r="K4591" s="80" t="s">
        <v>16226</v>
      </c>
      <c r="L4591" s="30">
        <v>378732556</v>
      </c>
      <c r="M4591" s="80" t="s">
        <v>348</v>
      </c>
      <c r="N4591" s="80" t="s">
        <v>4299</v>
      </c>
      <c r="O4591" s="80" t="s">
        <v>16227</v>
      </c>
      <c r="P4591" s="80" t="s">
        <v>16228</v>
      </c>
      <c r="Q4591" s="20">
        <v>1968</v>
      </c>
      <c r="R4591" s="80" t="s">
        <v>36</v>
      </c>
      <c r="S4591" s="95">
        <v>1868</v>
      </c>
      <c r="T4591" s="148">
        <v>45575</v>
      </c>
      <c r="U4591" s="77"/>
      <c r="V4591" s="78"/>
      <c r="W4591" s="85" t="s">
        <v>16229</v>
      </c>
      <c r="X4591" s="80"/>
      <c r="Y4591" s="22">
        <v>100</v>
      </c>
      <c r="Z4591" s="80" t="s">
        <v>50</v>
      </c>
      <c r="AA4591" s="96" t="s">
        <v>9905</v>
      </c>
      <c r="AB4591" s="80"/>
      <c r="AC4591" s="80" t="s">
        <v>1828</v>
      </c>
      <c r="AD4591" s="80" t="s">
        <v>54</v>
      </c>
      <c r="AE4591" s="80" t="s">
        <v>16230</v>
      </c>
      <c r="AF4591" s="60" t="s">
        <v>1829</v>
      </c>
      <c r="AG4591" s="80" t="s">
        <v>1828</v>
      </c>
      <c r="AH4591" s="80"/>
      <c r="AI4591" s="147"/>
      <c r="AJ4591" s="80"/>
      <c r="AK4591" s="80"/>
      <c r="AL4591" s="35"/>
      <c r="AM4591" s="35"/>
      <c r="AN4591" s="35"/>
      <c r="AO4591" s="35"/>
      <c r="AP4591" s="35"/>
    </row>
    <row r="4592" spans="1:42" x14ac:dyDescent="0.2">
      <c r="A4592" s="126">
        <v>45575.454331886576</v>
      </c>
      <c r="B4592" s="137" t="s">
        <v>37</v>
      </c>
      <c r="C4592" s="41" t="s">
        <v>118</v>
      </c>
      <c r="D4592" s="80" t="s">
        <v>77</v>
      </c>
      <c r="E4592" s="80" t="s">
        <v>106</v>
      </c>
      <c r="F4592" s="80" t="s">
        <v>11446</v>
      </c>
      <c r="G4592" s="80" t="s">
        <v>108</v>
      </c>
      <c r="H4592" s="182" t="s">
        <v>11777</v>
      </c>
      <c r="I4592" s="17">
        <f ca="1">IFERROR(__xludf.DUMMYFUNCTION("""COMPUTED_VALUE"""),45590)</f>
        <v>45590</v>
      </c>
      <c r="J4592" s="143" t="s">
        <v>11447</v>
      </c>
      <c r="K4592" s="80" t="s">
        <v>11448</v>
      </c>
      <c r="L4592" s="30">
        <v>335029767</v>
      </c>
      <c r="M4592" s="80" t="s">
        <v>59</v>
      </c>
      <c r="N4592" s="80" t="s">
        <v>68</v>
      </c>
      <c r="O4592" s="80" t="s">
        <v>16231</v>
      </c>
      <c r="P4592" s="80" t="s">
        <v>11450</v>
      </c>
      <c r="Q4592" s="20">
        <v>3768</v>
      </c>
      <c r="R4592" s="80" t="s">
        <v>36</v>
      </c>
      <c r="S4592" s="95">
        <v>3668</v>
      </c>
      <c r="T4592" s="148">
        <v>45575</v>
      </c>
      <c r="U4592" s="77"/>
      <c r="V4592" s="78"/>
      <c r="W4592" s="79" t="s">
        <v>16232</v>
      </c>
      <c r="X4592" s="80"/>
      <c r="Y4592" s="22">
        <v>100</v>
      </c>
      <c r="Z4592" s="80" t="s">
        <v>50</v>
      </c>
      <c r="AA4592" s="35" t="s">
        <v>9905</v>
      </c>
      <c r="AB4592" s="80"/>
      <c r="AC4592" s="80" t="s">
        <v>53</v>
      </c>
      <c r="AD4592" s="80" t="s">
        <v>54</v>
      </c>
      <c r="AE4592" s="80" t="s">
        <v>2752</v>
      </c>
      <c r="AF4592" s="43">
        <v>45583</v>
      </c>
      <c r="AG4592" s="80"/>
      <c r="AH4592" s="80"/>
      <c r="AI4592" s="147"/>
      <c r="AJ4592" s="80"/>
      <c r="AK4592" s="80"/>
      <c r="AL4592" s="35"/>
      <c r="AM4592" s="35"/>
      <c r="AN4592" s="35"/>
      <c r="AO4592" s="35"/>
      <c r="AP4592" s="35"/>
    </row>
    <row r="4593" spans="1:42" x14ac:dyDescent="0.2">
      <c r="A4593" s="126">
        <v>45575.708127592588</v>
      </c>
      <c r="B4593" s="137" t="s">
        <v>37</v>
      </c>
      <c r="C4593" s="41" t="s">
        <v>118</v>
      </c>
      <c r="D4593" s="80" t="s">
        <v>77</v>
      </c>
      <c r="E4593" s="80" t="s">
        <v>148</v>
      </c>
      <c r="F4593" s="80" t="s">
        <v>11183</v>
      </c>
      <c r="G4593" s="80" t="s">
        <v>108</v>
      </c>
      <c r="H4593" s="80" t="s">
        <v>14495</v>
      </c>
      <c r="I4593" s="17">
        <f ca="1">IFERROR(__xludf.DUMMYFUNCTION("""COMPUTED_VALUE"""),45627)</f>
        <v>45627</v>
      </c>
      <c r="J4593" s="143" t="s">
        <v>11515</v>
      </c>
      <c r="K4593" s="80" t="s">
        <v>16233</v>
      </c>
      <c r="L4593" s="30">
        <v>979445283</v>
      </c>
      <c r="M4593" s="80" t="s">
        <v>59</v>
      </c>
      <c r="N4593" s="80" t="s">
        <v>9294</v>
      </c>
      <c r="O4593" s="80" t="s">
        <v>16234</v>
      </c>
      <c r="P4593" s="80" t="s">
        <v>12687</v>
      </c>
      <c r="Q4593" s="20">
        <v>7349</v>
      </c>
      <c r="R4593" s="80" t="s">
        <v>36</v>
      </c>
      <c r="S4593" s="95">
        <v>7349</v>
      </c>
      <c r="T4593" s="148">
        <v>45575</v>
      </c>
      <c r="U4593" s="95"/>
      <c r="V4593" s="78"/>
      <c r="W4593" s="85" t="s">
        <v>16235</v>
      </c>
      <c r="X4593" s="80"/>
      <c r="Y4593" s="22">
        <v>0</v>
      </c>
      <c r="Z4593" s="80" t="s">
        <v>50</v>
      </c>
      <c r="AA4593" s="96" t="s">
        <v>9905</v>
      </c>
      <c r="AB4593" s="80"/>
      <c r="AC4593" s="80" t="s">
        <v>53</v>
      </c>
      <c r="AD4593" s="80" t="s">
        <v>138</v>
      </c>
      <c r="AE4593" s="80" t="s">
        <v>2752</v>
      </c>
      <c r="AF4593" s="43">
        <v>45607</v>
      </c>
      <c r="AG4593" s="80"/>
      <c r="AH4593" s="80"/>
      <c r="AI4593" s="147"/>
      <c r="AJ4593" s="80"/>
      <c r="AK4593" s="80"/>
      <c r="AL4593" s="35"/>
      <c r="AM4593" s="35"/>
      <c r="AN4593" s="35"/>
      <c r="AO4593" s="35"/>
      <c r="AP4593" s="35"/>
    </row>
    <row r="4594" spans="1:42" x14ac:dyDescent="0.2">
      <c r="A4594" s="126">
        <v>45575.829344467595</v>
      </c>
      <c r="B4594" s="137" t="s">
        <v>37</v>
      </c>
      <c r="C4594" s="41" t="s">
        <v>118</v>
      </c>
      <c r="D4594" s="80" t="s">
        <v>36</v>
      </c>
      <c r="E4594" s="80" t="s">
        <v>77</v>
      </c>
      <c r="F4594" s="80" t="s">
        <v>40</v>
      </c>
      <c r="G4594" s="80" t="s">
        <v>41</v>
      </c>
      <c r="H4594" s="80" t="s">
        <v>14934</v>
      </c>
      <c r="I4594" s="17">
        <f ca="1">IFERROR(__xludf.DUMMYFUNCTION("""COMPUTED_VALUE"""),45578)</f>
        <v>45578</v>
      </c>
      <c r="J4594" s="143" t="s">
        <v>16236</v>
      </c>
      <c r="K4594" s="80" t="s">
        <v>16237</v>
      </c>
      <c r="L4594" s="30">
        <v>796058216</v>
      </c>
      <c r="M4594" s="80" t="s">
        <v>15970</v>
      </c>
      <c r="N4594" s="80" t="s">
        <v>466</v>
      </c>
      <c r="O4594" s="80" t="s">
        <v>16238</v>
      </c>
      <c r="P4594" s="80" t="s">
        <v>5683</v>
      </c>
      <c r="Q4594" s="20">
        <v>1968</v>
      </c>
      <c r="R4594" s="80" t="s">
        <v>36</v>
      </c>
      <c r="S4594" s="95">
        <v>1968</v>
      </c>
      <c r="T4594" s="148">
        <v>45575</v>
      </c>
      <c r="U4594" s="77"/>
      <c r="V4594" s="78"/>
      <c r="W4594" s="85" t="s">
        <v>16239</v>
      </c>
      <c r="X4594" s="80"/>
      <c r="Y4594" s="22">
        <v>0</v>
      </c>
      <c r="Z4594" s="80" t="s">
        <v>50</v>
      </c>
      <c r="AA4594" s="35" t="s">
        <v>9905</v>
      </c>
      <c r="AB4594" s="80"/>
      <c r="AC4594" s="80" t="s">
        <v>53</v>
      </c>
      <c r="AD4594" s="80" t="s">
        <v>138</v>
      </c>
      <c r="AE4594" s="80"/>
      <c r="AF4594" s="43">
        <v>45576</v>
      </c>
      <c r="AG4594" s="80" t="s">
        <v>14940</v>
      </c>
      <c r="AH4594" s="80"/>
      <c r="AI4594" s="147"/>
      <c r="AJ4594" s="80"/>
      <c r="AK4594" s="80"/>
      <c r="AL4594" s="35"/>
      <c r="AM4594" s="35"/>
      <c r="AN4594" s="35"/>
      <c r="AO4594" s="35"/>
      <c r="AP4594" s="35"/>
    </row>
    <row r="4595" spans="1:42" x14ac:dyDescent="0.2">
      <c r="A4595" s="126">
        <v>45575.847081944448</v>
      </c>
      <c r="B4595" s="137" t="s">
        <v>37</v>
      </c>
      <c r="C4595" s="41" t="s">
        <v>118</v>
      </c>
      <c r="D4595" s="80" t="s">
        <v>36</v>
      </c>
      <c r="E4595" s="80" t="s">
        <v>139</v>
      </c>
      <c r="F4595" s="80" t="s">
        <v>40</v>
      </c>
      <c r="G4595" s="80" t="s">
        <v>41</v>
      </c>
      <c r="H4595" s="80" t="s">
        <v>14934</v>
      </c>
      <c r="I4595" s="17">
        <f ca="1">IFERROR(__xludf.DUMMYFUNCTION("""COMPUTED_VALUE"""),45578)</f>
        <v>45578</v>
      </c>
      <c r="J4595" s="143" t="s">
        <v>16240</v>
      </c>
      <c r="K4595" s="80" t="s">
        <v>16241</v>
      </c>
      <c r="L4595" s="30">
        <v>397254032</v>
      </c>
      <c r="M4595" s="80" t="s">
        <v>3498</v>
      </c>
      <c r="N4595" s="80" t="s">
        <v>2756</v>
      </c>
      <c r="O4595" s="80" t="s">
        <v>4503</v>
      </c>
      <c r="P4595" s="80" t="s">
        <v>6390</v>
      </c>
      <c r="Q4595" s="20">
        <v>15936</v>
      </c>
      <c r="R4595" s="80" t="s">
        <v>36</v>
      </c>
      <c r="S4595" s="95">
        <v>3000</v>
      </c>
      <c r="T4595" s="148">
        <v>45575</v>
      </c>
      <c r="U4595" s="95">
        <v>12936</v>
      </c>
      <c r="V4595" s="169">
        <v>45593</v>
      </c>
      <c r="W4595" s="85" t="s">
        <v>16242</v>
      </c>
      <c r="X4595" s="80"/>
      <c r="Y4595" s="22">
        <v>0</v>
      </c>
      <c r="Z4595" s="80" t="s">
        <v>50</v>
      </c>
      <c r="AA4595" s="96" t="s">
        <v>9905</v>
      </c>
      <c r="AB4595" s="80"/>
      <c r="AC4595" s="80" t="s">
        <v>53</v>
      </c>
      <c r="AD4595" s="80" t="s">
        <v>138</v>
      </c>
      <c r="AE4595" s="80"/>
      <c r="AF4595" s="43">
        <v>45576</v>
      </c>
      <c r="AG4595" s="80" t="s">
        <v>14940</v>
      </c>
      <c r="AH4595" s="80"/>
      <c r="AI4595" s="147"/>
      <c r="AJ4595" s="80"/>
      <c r="AK4595" s="80"/>
      <c r="AL4595" s="35"/>
      <c r="AM4595" s="35"/>
      <c r="AN4595" s="35"/>
      <c r="AO4595" s="35"/>
      <c r="AP4595" s="35"/>
    </row>
    <row r="4596" spans="1:42" x14ac:dyDescent="0.2">
      <c r="A4596" s="126">
        <v>45575.86715799768</v>
      </c>
      <c r="B4596" s="137" t="s">
        <v>37</v>
      </c>
      <c r="C4596" s="41" t="s">
        <v>118</v>
      </c>
      <c r="D4596" s="80" t="s">
        <v>36</v>
      </c>
      <c r="E4596" s="80" t="s">
        <v>139</v>
      </c>
      <c r="F4596" s="80" t="s">
        <v>40</v>
      </c>
      <c r="G4596" s="80" t="s">
        <v>41</v>
      </c>
      <c r="H4596" s="80" t="s">
        <v>14934</v>
      </c>
      <c r="I4596" s="17">
        <f ca="1">IFERROR(__xludf.DUMMYFUNCTION("""COMPUTED_VALUE"""),45578)</f>
        <v>45578</v>
      </c>
      <c r="J4596" s="143" t="s">
        <v>16243</v>
      </c>
      <c r="K4596" s="80" t="s">
        <v>16244</v>
      </c>
      <c r="L4596" s="30">
        <v>869653032</v>
      </c>
      <c r="M4596" s="80" t="s">
        <v>59</v>
      </c>
      <c r="N4596" s="80" t="s">
        <v>68</v>
      </c>
      <c r="O4596" s="80" t="s">
        <v>16245</v>
      </c>
      <c r="P4596" s="80" t="s">
        <v>16246</v>
      </c>
      <c r="Q4596" s="20">
        <v>15936</v>
      </c>
      <c r="R4596" s="80" t="s">
        <v>36</v>
      </c>
      <c r="S4596" s="95">
        <f>200+15763</f>
        <v>15963</v>
      </c>
      <c r="T4596" s="83" t="s">
        <v>16247</v>
      </c>
      <c r="U4596" s="77"/>
      <c r="V4596" s="78"/>
      <c r="W4596" s="85" t="s">
        <v>16248</v>
      </c>
      <c r="X4596" s="80"/>
      <c r="Y4596" s="22">
        <v>-27</v>
      </c>
      <c r="Z4596" s="80" t="s">
        <v>50</v>
      </c>
      <c r="AA4596" s="35" t="s">
        <v>9905</v>
      </c>
      <c r="AB4596" s="80"/>
      <c r="AC4596" s="80" t="s">
        <v>53</v>
      </c>
      <c r="AD4596" s="80" t="s">
        <v>138</v>
      </c>
      <c r="AE4596" s="80"/>
      <c r="AF4596" s="43">
        <v>45576</v>
      </c>
      <c r="AG4596" s="80" t="s">
        <v>14940</v>
      </c>
      <c r="AH4596" s="80"/>
      <c r="AI4596" s="147"/>
      <c r="AJ4596" s="80"/>
      <c r="AK4596" s="80"/>
      <c r="AL4596" s="35"/>
      <c r="AM4596" s="35"/>
      <c r="AN4596" s="35"/>
      <c r="AO4596" s="35"/>
      <c r="AP4596" s="35"/>
    </row>
    <row r="4597" spans="1:42" x14ac:dyDescent="0.2">
      <c r="A4597" s="126">
        <v>45575.870661319444</v>
      </c>
      <c r="B4597" s="137" t="s">
        <v>37</v>
      </c>
      <c r="C4597" s="41" t="s">
        <v>118</v>
      </c>
      <c r="D4597" s="80" t="s">
        <v>36</v>
      </c>
      <c r="E4597" s="80" t="s">
        <v>39</v>
      </c>
      <c r="F4597" s="80" t="s">
        <v>36</v>
      </c>
      <c r="G4597" s="80" t="s">
        <v>41</v>
      </c>
      <c r="H4597" s="80" t="s">
        <v>16095</v>
      </c>
      <c r="I4597" s="17">
        <f ca="1">IFERROR(__xludf.DUMMYFUNCTION("""COMPUTED_VALUE"""),45579)</f>
        <v>45579</v>
      </c>
      <c r="J4597" s="143" t="s">
        <v>16249</v>
      </c>
      <c r="K4597" s="80" t="s">
        <v>16250</v>
      </c>
      <c r="L4597" s="30">
        <v>857360674</v>
      </c>
      <c r="M4597" s="80" t="s">
        <v>45</v>
      </c>
      <c r="N4597" s="80" t="s">
        <v>16251</v>
      </c>
      <c r="O4597" s="80" t="s">
        <v>16252</v>
      </c>
      <c r="P4597" s="80" t="s">
        <v>16253</v>
      </c>
      <c r="Q4597" s="20">
        <v>5736</v>
      </c>
      <c r="R4597" s="80" t="s">
        <v>36</v>
      </c>
      <c r="S4597" s="95">
        <v>5736</v>
      </c>
      <c r="T4597" s="148">
        <v>45575</v>
      </c>
      <c r="U4597" s="77"/>
      <c r="V4597" s="78"/>
      <c r="W4597" s="79" t="s">
        <v>16254</v>
      </c>
      <c r="X4597" s="80"/>
      <c r="Y4597" s="22">
        <v>0</v>
      </c>
      <c r="Z4597" s="80" t="s">
        <v>50</v>
      </c>
      <c r="AA4597" s="96" t="s">
        <v>9905</v>
      </c>
      <c r="AB4597" s="80"/>
      <c r="AC4597" s="80" t="s">
        <v>53</v>
      </c>
      <c r="AD4597" s="80" t="s">
        <v>54</v>
      </c>
      <c r="AE4597" s="83">
        <v>0</v>
      </c>
      <c r="AF4597" s="43">
        <v>45576</v>
      </c>
      <c r="AG4597" s="80"/>
      <c r="AH4597" s="80"/>
      <c r="AI4597" s="147"/>
      <c r="AJ4597" s="80"/>
      <c r="AK4597" s="80"/>
      <c r="AL4597" s="35"/>
      <c r="AM4597" s="35"/>
      <c r="AN4597" s="35"/>
      <c r="AO4597" s="35"/>
      <c r="AP4597" s="35"/>
    </row>
    <row r="4598" spans="1:42" x14ac:dyDescent="0.2">
      <c r="A4598" s="126">
        <v>45575.877668981484</v>
      </c>
      <c r="B4598" s="137" t="s">
        <v>37</v>
      </c>
      <c r="C4598" s="41" t="s">
        <v>118</v>
      </c>
      <c r="D4598" s="80" t="s">
        <v>36</v>
      </c>
      <c r="E4598" s="80" t="s">
        <v>106</v>
      </c>
      <c r="F4598" s="80" t="s">
        <v>36</v>
      </c>
      <c r="G4598" s="80" t="s">
        <v>7629</v>
      </c>
      <c r="H4598" s="80" t="s">
        <v>11808</v>
      </c>
      <c r="I4598" s="17">
        <f ca="1">IFERROR(__xludf.DUMMYFUNCTION("""COMPUTED_VALUE"""),45579)</f>
        <v>45579</v>
      </c>
      <c r="J4598" s="143" t="s">
        <v>16255</v>
      </c>
      <c r="K4598" s="80" t="s">
        <v>16256</v>
      </c>
      <c r="L4598" s="30">
        <v>373928001</v>
      </c>
      <c r="M4598" s="80" t="s">
        <v>9422</v>
      </c>
      <c r="N4598" s="80" t="s">
        <v>327</v>
      </c>
      <c r="O4598" s="80" t="s">
        <v>91</v>
      </c>
      <c r="P4598" s="80" t="s">
        <v>3117</v>
      </c>
      <c r="Q4598" s="20">
        <v>3768</v>
      </c>
      <c r="R4598" s="80" t="s">
        <v>36</v>
      </c>
      <c r="S4598" s="95">
        <f>200+2000+1568</f>
        <v>3768</v>
      </c>
      <c r="T4598" s="83" t="s">
        <v>16257</v>
      </c>
      <c r="U4598" s="77"/>
      <c r="V4598" s="78"/>
      <c r="W4598" s="85" t="s">
        <v>16258</v>
      </c>
      <c r="X4598" s="80"/>
      <c r="Y4598" s="22">
        <v>0</v>
      </c>
      <c r="Z4598" s="80" t="s">
        <v>50</v>
      </c>
      <c r="AA4598" s="35" t="s">
        <v>9905</v>
      </c>
      <c r="AB4598" s="80"/>
      <c r="AC4598" s="80" t="s">
        <v>53</v>
      </c>
      <c r="AD4598" s="80" t="s">
        <v>138</v>
      </c>
      <c r="AE4598" s="83">
        <v>390</v>
      </c>
      <c r="AF4598" s="43">
        <v>45579</v>
      </c>
      <c r="AG4598" s="80"/>
      <c r="AH4598" s="80"/>
      <c r="AI4598" s="147"/>
      <c r="AJ4598" s="80"/>
      <c r="AK4598" s="80"/>
      <c r="AL4598" s="35"/>
      <c r="AM4598" s="35"/>
      <c r="AN4598" s="35"/>
      <c r="AO4598" s="35"/>
      <c r="AP4598" s="35"/>
    </row>
    <row r="4599" spans="1:42" x14ac:dyDescent="0.2">
      <c r="A4599" s="126">
        <v>45575.996032002316</v>
      </c>
      <c r="B4599" s="137" t="s">
        <v>37</v>
      </c>
      <c r="C4599" s="41" t="s">
        <v>118</v>
      </c>
      <c r="D4599" s="80" t="s">
        <v>36</v>
      </c>
      <c r="E4599" s="80" t="s">
        <v>56</v>
      </c>
      <c r="F4599" s="80" t="s">
        <v>40</v>
      </c>
      <c r="G4599" s="80" t="s">
        <v>41</v>
      </c>
      <c r="H4599" s="80" t="s">
        <v>13535</v>
      </c>
      <c r="I4599" s="17">
        <f ca="1">IFERROR(__xludf.DUMMYFUNCTION("""COMPUTED_VALUE"""),45589)</f>
        <v>45589</v>
      </c>
      <c r="J4599" s="143" t="s">
        <v>16259</v>
      </c>
      <c r="K4599" s="80" t="s">
        <v>16260</v>
      </c>
      <c r="L4599" s="30">
        <v>961460056</v>
      </c>
      <c r="M4599" s="80" t="s">
        <v>59</v>
      </c>
      <c r="N4599" s="80" t="s">
        <v>68</v>
      </c>
      <c r="O4599" s="80" t="s">
        <v>16261</v>
      </c>
      <c r="P4599" s="80" t="s">
        <v>12692</v>
      </c>
      <c r="Q4599" s="20">
        <v>9317</v>
      </c>
      <c r="R4599" s="80" t="s">
        <v>70</v>
      </c>
      <c r="S4599" s="95">
        <v>9217</v>
      </c>
      <c r="T4599" s="148">
        <v>45575</v>
      </c>
      <c r="U4599" s="77"/>
      <c r="V4599" s="78"/>
      <c r="W4599" s="85" t="s">
        <v>16262</v>
      </c>
      <c r="X4599" s="80"/>
      <c r="Y4599" s="22">
        <v>100</v>
      </c>
      <c r="Z4599" s="80" t="s">
        <v>50</v>
      </c>
      <c r="AA4599" s="96" t="s">
        <v>9905</v>
      </c>
      <c r="AB4599" s="80"/>
      <c r="AC4599" s="80" t="s">
        <v>53</v>
      </c>
      <c r="AD4599" s="80" t="s">
        <v>138</v>
      </c>
      <c r="AE4599" s="80" t="s">
        <v>72</v>
      </c>
      <c r="AF4599" s="43">
        <v>45589</v>
      </c>
      <c r="AG4599" s="80" t="s">
        <v>13541</v>
      </c>
      <c r="AH4599" s="80"/>
      <c r="AI4599" s="147"/>
      <c r="AJ4599" s="80"/>
      <c r="AK4599" s="80"/>
      <c r="AL4599" s="35"/>
      <c r="AM4599" s="35"/>
      <c r="AN4599" s="35"/>
      <c r="AO4599" s="35"/>
      <c r="AP4599" s="35"/>
    </row>
    <row r="4600" spans="1:42" x14ac:dyDescent="0.2">
      <c r="A4600" s="126">
        <v>45576.337290416668</v>
      </c>
      <c r="B4600" s="137" t="s">
        <v>37</v>
      </c>
      <c r="C4600" s="41" t="s">
        <v>118</v>
      </c>
      <c r="D4600" s="80" t="s">
        <v>36</v>
      </c>
      <c r="E4600" s="80" t="s">
        <v>77</v>
      </c>
      <c r="F4600" s="80" t="s">
        <v>36</v>
      </c>
      <c r="G4600" s="80" t="s">
        <v>41</v>
      </c>
      <c r="H4600" s="80" t="s">
        <v>16263</v>
      </c>
      <c r="I4600" s="17" t="str">
        <f ca="1">IFERROR(__xludf.DUMMYFUNCTION("""COMPUTED_VALUE""")," ")</f>
        <v xml:space="preserve"> </v>
      </c>
      <c r="J4600" s="143" t="s">
        <v>16264</v>
      </c>
      <c r="K4600" s="80" t="s">
        <v>16265</v>
      </c>
      <c r="L4600" s="30">
        <v>353579346</v>
      </c>
      <c r="M4600" s="80" t="s">
        <v>9422</v>
      </c>
      <c r="N4600" s="80" t="s">
        <v>438</v>
      </c>
      <c r="O4600" s="80" t="s">
        <v>16266</v>
      </c>
      <c r="P4600" s="80" t="s">
        <v>16267</v>
      </c>
      <c r="Q4600" s="20">
        <v>1968</v>
      </c>
      <c r="R4600" s="80" t="s">
        <v>11421</v>
      </c>
      <c r="S4600" s="95">
        <v>1968</v>
      </c>
      <c r="T4600" s="148">
        <v>45565</v>
      </c>
      <c r="U4600" s="77"/>
      <c r="V4600" s="78"/>
      <c r="W4600" s="85" t="s">
        <v>16268</v>
      </c>
      <c r="X4600" s="80"/>
      <c r="Y4600" s="22">
        <v>0</v>
      </c>
      <c r="Z4600" s="80" t="s">
        <v>50</v>
      </c>
      <c r="AA4600" s="35" t="s">
        <v>9905</v>
      </c>
      <c r="AB4600" s="80"/>
      <c r="AC4600" s="80" t="s">
        <v>53</v>
      </c>
      <c r="AD4600" s="80" t="s">
        <v>54</v>
      </c>
      <c r="AE4600" s="80"/>
      <c r="AF4600" s="43">
        <v>45576</v>
      </c>
      <c r="AG4600" s="80"/>
      <c r="AH4600" s="80"/>
      <c r="AI4600" s="147"/>
      <c r="AJ4600" s="80"/>
      <c r="AK4600" s="80"/>
      <c r="AL4600" s="35"/>
      <c r="AM4600" s="35"/>
      <c r="AN4600" s="35"/>
      <c r="AO4600" s="35"/>
      <c r="AP4600" s="35"/>
    </row>
    <row r="4601" spans="1:42" x14ac:dyDescent="0.2">
      <c r="A4601" s="126">
        <v>45576.399150590281</v>
      </c>
      <c r="B4601" s="137" t="s">
        <v>37</v>
      </c>
      <c r="C4601" s="41" t="s">
        <v>118</v>
      </c>
      <c r="D4601" s="80" t="s">
        <v>36</v>
      </c>
      <c r="E4601" s="80" t="s">
        <v>106</v>
      </c>
      <c r="F4601" s="80" t="s">
        <v>36</v>
      </c>
      <c r="G4601" s="80" t="s">
        <v>108</v>
      </c>
      <c r="H4601" s="80" t="s">
        <v>14082</v>
      </c>
      <c r="I4601" s="17">
        <f ca="1">IFERROR(__xludf.DUMMYFUNCTION("""COMPUTED_VALUE"""),45621)</f>
        <v>45621</v>
      </c>
      <c r="J4601" s="143" t="s">
        <v>13527</v>
      </c>
      <c r="K4601" s="80" t="s">
        <v>13528</v>
      </c>
      <c r="L4601" s="30">
        <v>367075128</v>
      </c>
      <c r="M4601" s="80" t="s">
        <v>45</v>
      </c>
      <c r="N4601" s="80" t="s">
        <v>5312</v>
      </c>
      <c r="O4601" s="80" t="s">
        <v>13529</v>
      </c>
      <c r="P4601" s="80" t="s">
        <v>16269</v>
      </c>
      <c r="Q4601" s="20">
        <v>3768</v>
      </c>
      <c r="R4601" s="80" t="s">
        <v>36</v>
      </c>
      <c r="S4601" s="95">
        <v>3768</v>
      </c>
      <c r="T4601" s="148">
        <v>45576</v>
      </c>
      <c r="U4601" s="77"/>
      <c r="V4601" s="78"/>
      <c r="W4601" s="85" t="s">
        <v>16270</v>
      </c>
      <c r="X4601" s="80"/>
      <c r="Y4601" s="22">
        <v>0</v>
      </c>
      <c r="Z4601" s="80" t="s">
        <v>50</v>
      </c>
      <c r="AA4601" s="96" t="s">
        <v>9905</v>
      </c>
      <c r="AB4601" s="80"/>
      <c r="AC4601" s="80" t="s">
        <v>53</v>
      </c>
      <c r="AD4601" s="80" t="s">
        <v>138</v>
      </c>
      <c r="AE4601" s="83">
        <v>350</v>
      </c>
      <c r="AF4601" s="43">
        <v>45621</v>
      </c>
      <c r="AG4601" s="80"/>
      <c r="AH4601" s="80"/>
      <c r="AI4601" s="147"/>
      <c r="AJ4601" s="80"/>
      <c r="AK4601" s="80"/>
      <c r="AL4601" s="35"/>
      <c r="AM4601" s="35"/>
      <c r="AN4601" s="35"/>
      <c r="AO4601" s="35"/>
      <c r="AP4601" s="35"/>
    </row>
    <row r="4602" spans="1:42" x14ac:dyDescent="0.2">
      <c r="A4602" s="126">
        <v>45576.449538587964</v>
      </c>
      <c r="B4602" s="137" t="s">
        <v>37</v>
      </c>
      <c r="C4602" s="41" t="s">
        <v>118</v>
      </c>
      <c r="D4602" s="80" t="s">
        <v>36</v>
      </c>
      <c r="E4602" s="80" t="s">
        <v>139</v>
      </c>
      <c r="F4602" s="80" t="s">
        <v>36</v>
      </c>
      <c r="G4602" s="80" t="s">
        <v>41</v>
      </c>
      <c r="H4602" s="80" t="s">
        <v>16224</v>
      </c>
      <c r="I4602" s="17">
        <f ca="1">IFERROR(__xludf.DUMMYFUNCTION("""COMPUTED_VALUE"""),45580)</f>
        <v>45580</v>
      </c>
      <c r="J4602" s="143" t="s">
        <v>16271</v>
      </c>
      <c r="K4602" s="80" t="s">
        <v>16272</v>
      </c>
      <c r="L4602" s="30">
        <v>967150679</v>
      </c>
      <c r="M4602" s="80" t="s">
        <v>9422</v>
      </c>
      <c r="N4602" s="80" t="s">
        <v>12670</v>
      </c>
      <c r="O4602" s="80" t="s">
        <v>91</v>
      </c>
      <c r="P4602" s="144" t="s">
        <v>16273</v>
      </c>
      <c r="Q4602" s="20">
        <v>15936</v>
      </c>
      <c r="R4602" s="80" t="s">
        <v>11421</v>
      </c>
      <c r="S4602" s="95">
        <v>2000</v>
      </c>
      <c r="T4602" s="148">
        <v>45576</v>
      </c>
      <c r="U4602" s="95">
        <v>13636</v>
      </c>
      <c r="V4602" s="148">
        <v>45596</v>
      </c>
      <c r="W4602" s="85" t="s">
        <v>16274</v>
      </c>
      <c r="X4602" s="80"/>
      <c r="Y4602" s="22">
        <v>300</v>
      </c>
      <c r="Z4602" s="80" t="s">
        <v>50</v>
      </c>
      <c r="AA4602" s="35" t="s">
        <v>9905</v>
      </c>
      <c r="AB4602" s="80"/>
      <c r="AC4602" s="80" t="s">
        <v>53</v>
      </c>
      <c r="AD4602" s="80" t="s">
        <v>54</v>
      </c>
      <c r="AE4602" s="80"/>
      <c r="AF4602" s="43">
        <v>45576</v>
      </c>
      <c r="AG4602" s="80"/>
      <c r="AH4602" s="80"/>
      <c r="AI4602" s="147"/>
      <c r="AJ4602" s="80"/>
      <c r="AK4602" s="80"/>
      <c r="AL4602" s="35"/>
      <c r="AM4602" s="35"/>
      <c r="AN4602" s="35"/>
      <c r="AO4602" s="35"/>
      <c r="AP4602" s="35"/>
    </row>
    <row r="4603" spans="1:42" x14ac:dyDescent="0.2">
      <c r="A4603" s="126">
        <v>45576.532030196759</v>
      </c>
      <c r="B4603" s="137" t="s">
        <v>37</v>
      </c>
      <c r="C4603" s="41" t="s">
        <v>118</v>
      </c>
      <c r="D4603" s="80" t="s">
        <v>36</v>
      </c>
      <c r="E4603" s="80" t="s">
        <v>139</v>
      </c>
      <c r="F4603" s="80" t="s">
        <v>36</v>
      </c>
      <c r="G4603" s="80" t="s">
        <v>41</v>
      </c>
      <c r="H4603" s="80" t="s">
        <v>14051</v>
      </c>
      <c r="I4603" s="17">
        <f ca="1">IFERROR(__xludf.DUMMYFUNCTION("""COMPUTED_VALUE"""),45615)</f>
        <v>45615</v>
      </c>
      <c r="J4603" s="143" t="s">
        <v>16275</v>
      </c>
      <c r="K4603" s="145" t="s">
        <v>16276</v>
      </c>
      <c r="L4603" s="145">
        <v>352783765</v>
      </c>
      <c r="M4603" s="80" t="s">
        <v>3728</v>
      </c>
      <c r="N4603" s="80" t="s">
        <v>5277</v>
      </c>
      <c r="O4603" s="80" t="s">
        <v>16277</v>
      </c>
      <c r="P4603" s="80" t="s">
        <v>11644</v>
      </c>
      <c r="Q4603" s="20">
        <v>15936</v>
      </c>
      <c r="R4603" s="80" t="s">
        <v>36</v>
      </c>
      <c r="S4603" s="95">
        <v>15936</v>
      </c>
      <c r="T4603" s="148">
        <v>45576</v>
      </c>
      <c r="U4603" s="77"/>
      <c r="V4603" s="78"/>
      <c r="W4603" s="80" t="s">
        <v>16278</v>
      </c>
      <c r="X4603" s="80"/>
      <c r="Y4603" s="22">
        <v>0</v>
      </c>
      <c r="Z4603" s="80" t="s">
        <v>50</v>
      </c>
      <c r="AA4603" s="96" t="s">
        <v>9905</v>
      </c>
      <c r="AB4603" s="80"/>
      <c r="AC4603" s="80" t="s">
        <v>53</v>
      </c>
      <c r="AD4603" s="80" t="s">
        <v>138</v>
      </c>
      <c r="AE4603" s="80"/>
      <c r="AF4603" s="17">
        <v>45615</v>
      </c>
      <c r="AG4603" s="80"/>
      <c r="AH4603" s="80"/>
      <c r="AI4603" s="147"/>
      <c r="AJ4603" s="80"/>
      <c r="AK4603" s="80"/>
      <c r="AL4603" s="35"/>
      <c r="AM4603" s="35"/>
      <c r="AN4603" s="35"/>
      <c r="AO4603" s="35"/>
      <c r="AP4603" s="35"/>
    </row>
    <row r="4604" spans="1:42" x14ac:dyDescent="0.2">
      <c r="A4604" s="126">
        <v>45576.59739166667</v>
      </c>
      <c r="B4604" s="137" t="s">
        <v>37</v>
      </c>
      <c r="C4604" s="41" t="s">
        <v>118</v>
      </c>
      <c r="D4604" s="80" t="s">
        <v>36</v>
      </c>
      <c r="E4604" s="80" t="s">
        <v>77</v>
      </c>
      <c r="F4604" s="80" t="s">
        <v>36</v>
      </c>
      <c r="G4604" s="80" t="s">
        <v>41</v>
      </c>
      <c r="H4604" s="80" t="s">
        <v>16279</v>
      </c>
      <c r="I4604" s="17" t="str">
        <f ca="1">IFERROR(__xludf.DUMMYFUNCTION("""COMPUTED_VALUE""")," ")</f>
        <v xml:space="preserve"> </v>
      </c>
      <c r="J4604" s="143" t="s">
        <v>16280</v>
      </c>
      <c r="K4604" s="80" t="s">
        <v>16281</v>
      </c>
      <c r="L4604" s="30">
        <v>964108920</v>
      </c>
      <c r="M4604" s="80" t="s">
        <v>9422</v>
      </c>
      <c r="N4604" s="80" t="s">
        <v>12670</v>
      </c>
      <c r="O4604" s="80" t="s">
        <v>8827</v>
      </c>
      <c r="P4604" s="144" t="s">
        <v>16282</v>
      </c>
      <c r="Q4604" s="20">
        <v>1968</v>
      </c>
      <c r="R4604" s="80" t="s">
        <v>1106</v>
      </c>
      <c r="S4604" s="95">
        <v>1968</v>
      </c>
      <c r="T4604" s="148">
        <v>45576</v>
      </c>
      <c r="U4604" s="77"/>
      <c r="V4604" s="78"/>
      <c r="W4604" s="85" t="s">
        <v>16283</v>
      </c>
      <c r="X4604" s="80"/>
      <c r="Y4604" s="22">
        <v>0</v>
      </c>
      <c r="Z4604" s="80" t="s">
        <v>50</v>
      </c>
      <c r="AA4604" s="35" t="s">
        <v>9905</v>
      </c>
      <c r="AB4604" s="80"/>
      <c r="AC4604" s="80" t="s">
        <v>53</v>
      </c>
      <c r="AD4604" s="80" t="s">
        <v>54</v>
      </c>
      <c r="AE4604" s="80"/>
      <c r="AF4604" s="43">
        <v>45579</v>
      </c>
      <c r="AG4604" s="80"/>
      <c r="AH4604" s="80"/>
      <c r="AI4604" s="147"/>
      <c r="AJ4604" s="80"/>
      <c r="AK4604" s="80"/>
      <c r="AL4604" s="35"/>
      <c r="AM4604" s="35"/>
      <c r="AN4604" s="35"/>
      <c r="AO4604" s="35"/>
      <c r="AP4604" s="35"/>
    </row>
    <row r="4605" spans="1:42" x14ac:dyDescent="0.2">
      <c r="A4605" s="126">
        <v>45576.889765</v>
      </c>
      <c r="B4605" s="137" t="s">
        <v>37</v>
      </c>
      <c r="C4605" s="41" t="s">
        <v>118</v>
      </c>
      <c r="D4605" s="80" t="s">
        <v>36</v>
      </c>
      <c r="E4605" s="80" t="s">
        <v>139</v>
      </c>
      <c r="F4605" s="80" t="s">
        <v>36</v>
      </c>
      <c r="G4605" s="80" t="s">
        <v>41</v>
      </c>
      <c r="H4605" s="80" t="s">
        <v>16224</v>
      </c>
      <c r="I4605" s="17">
        <f ca="1">IFERROR(__xludf.DUMMYFUNCTION("""COMPUTED_VALUE"""),45580)</f>
        <v>45580</v>
      </c>
      <c r="J4605" s="143" t="s">
        <v>16284</v>
      </c>
      <c r="K4605" s="80" t="s">
        <v>16285</v>
      </c>
      <c r="L4605" s="30">
        <v>868965351</v>
      </c>
      <c r="M4605" s="80" t="s">
        <v>3498</v>
      </c>
      <c r="N4605" s="80" t="s">
        <v>2756</v>
      </c>
      <c r="O4605" s="80" t="s">
        <v>4503</v>
      </c>
      <c r="P4605" s="80" t="s">
        <v>16286</v>
      </c>
      <c r="Q4605" s="20">
        <v>15936</v>
      </c>
      <c r="R4605" s="80" t="s">
        <v>70</v>
      </c>
      <c r="S4605" s="95">
        <v>5000</v>
      </c>
      <c r="T4605" s="148">
        <v>45576</v>
      </c>
      <c r="U4605" s="95">
        <v>10836</v>
      </c>
      <c r="V4605" s="148">
        <v>45594</v>
      </c>
      <c r="W4605" s="80" t="s">
        <v>16287</v>
      </c>
      <c r="X4605" s="80"/>
      <c r="Y4605" s="22">
        <v>100</v>
      </c>
      <c r="Z4605" s="80" t="s">
        <v>50</v>
      </c>
      <c r="AA4605" s="96" t="s">
        <v>9905</v>
      </c>
      <c r="AB4605" s="80"/>
      <c r="AC4605" s="80" t="s">
        <v>53</v>
      </c>
      <c r="AD4605" s="80" t="s">
        <v>54</v>
      </c>
      <c r="AE4605" s="80"/>
      <c r="AF4605" s="43">
        <v>45579</v>
      </c>
      <c r="AG4605" s="80"/>
      <c r="AH4605" s="80"/>
      <c r="AI4605" s="147"/>
      <c r="AJ4605" s="80"/>
      <c r="AK4605" s="80"/>
      <c r="AL4605" s="35"/>
      <c r="AM4605" s="35"/>
      <c r="AN4605" s="35"/>
      <c r="AO4605" s="35"/>
      <c r="AP4605" s="35"/>
    </row>
    <row r="4606" spans="1:42" x14ac:dyDescent="0.2">
      <c r="A4606" s="126">
        <v>45576.897515312499</v>
      </c>
      <c r="B4606" s="137" t="s">
        <v>37</v>
      </c>
      <c r="C4606" s="41" t="s">
        <v>118</v>
      </c>
      <c r="D4606" s="80" t="s">
        <v>36</v>
      </c>
      <c r="E4606" s="80" t="s">
        <v>56</v>
      </c>
      <c r="F4606" s="80" t="s">
        <v>36</v>
      </c>
      <c r="G4606" s="80" t="s">
        <v>41</v>
      </c>
      <c r="H4606" s="80" t="s">
        <v>16288</v>
      </c>
      <c r="I4606" s="17">
        <f ca="1">IFERROR(__xludf.DUMMYFUNCTION("""COMPUTED_VALUE"""),45589)</f>
        <v>45589</v>
      </c>
      <c r="J4606" s="143" t="s">
        <v>16289</v>
      </c>
      <c r="K4606" s="80" t="s">
        <v>16290</v>
      </c>
      <c r="L4606" s="30">
        <v>374751175</v>
      </c>
      <c r="M4606" s="80" t="s">
        <v>15970</v>
      </c>
      <c r="N4606" s="80" t="s">
        <v>16291</v>
      </c>
      <c r="O4606" s="80" t="s">
        <v>16292</v>
      </c>
      <c r="P4606" s="80" t="s">
        <v>16293</v>
      </c>
      <c r="Q4606" s="20">
        <v>9317</v>
      </c>
      <c r="R4606" s="80" t="s">
        <v>36</v>
      </c>
      <c r="S4606" s="95">
        <f>300+7049</f>
        <v>7349</v>
      </c>
      <c r="T4606" s="83" t="s">
        <v>16294</v>
      </c>
      <c r="U4606" s="95">
        <v>1968</v>
      </c>
      <c r="V4606" s="148">
        <v>45617</v>
      </c>
      <c r="W4606" s="85" t="s">
        <v>16295</v>
      </c>
      <c r="X4606" s="80"/>
      <c r="Y4606" s="22">
        <v>0</v>
      </c>
      <c r="Z4606" s="80" t="s">
        <v>50</v>
      </c>
      <c r="AA4606" s="35" t="s">
        <v>9905</v>
      </c>
      <c r="AB4606" s="80"/>
      <c r="AC4606" s="80" t="s">
        <v>53</v>
      </c>
      <c r="AD4606" s="80" t="s">
        <v>54</v>
      </c>
      <c r="AE4606" s="80"/>
      <c r="AF4606" s="43">
        <v>45579</v>
      </c>
      <c r="AG4606" s="80"/>
      <c r="AH4606" s="80"/>
      <c r="AI4606" s="147"/>
      <c r="AJ4606" s="80"/>
      <c r="AK4606" s="80"/>
      <c r="AL4606" s="35"/>
      <c r="AM4606" s="35"/>
      <c r="AN4606" s="35"/>
      <c r="AO4606" s="35"/>
      <c r="AP4606" s="35"/>
    </row>
    <row r="4607" spans="1:42" x14ac:dyDescent="0.2">
      <c r="A4607" s="126">
        <v>45577.531472581017</v>
      </c>
      <c r="B4607" s="137" t="s">
        <v>37</v>
      </c>
      <c r="C4607" s="41" t="s">
        <v>118</v>
      </c>
      <c r="D4607" s="80" t="s">
        <v>36</v>
      </c>
      <c r="E4607" s="80" t="s">
        <v>39</v>
      </c>
      <c r="F4607" s="80" t="s">
        <v>36</v>
      </c>
      <c r="G4607" s="80" t="s">
        <v>41</v>
      </c>
      <c r="H4607" s="80" t="s">
        <v>16224</v>
      </c>
      <c r="I4607" s="17">
        <f ca="1">IFERROR(__xludf.DUMMYFUNCTION("""COMPUTED_VALUE"""),45580)</f>
        <v>45580</v>
      </c>
      <c r="J4607" s="143" t="s">
        <v>16296</v>
      </c>
      <c r="K4607" s="80" t="s">
        <v>16297</v>
      </c>
      <c r="L4607" s="30">
        <v>815203746</v>
      </c>
      <c r="M4607" s="80" t="s">
        <v>9422</v>
      </c>
      <c r="N4607" s="80" t="s">
        <v>12670</v>
      </c>
      <c r="O4607" s="80" t="s">
        <v>11607</v>
      </c>
      <c r="P4607" s="80" t="s">
        <v>16298</v>
      </c>
      <c r="Q4607" s="20">
        <v>5736</v>
      </c>
      <c r="R4607" s="80" t="s">
        <v>11421</v>
      </c>
      <c r="S4607" s="95">
        <v>2000</v>
      </c>
      <c r="T4607" s="148">
        <v>45577</v>
      </c>
      <c r="U4607" s="95">
        <v>3436</v>
      </c>
      <c r="V4607" s="148">
        <v>45595</v>
      </c>
      <c r="W4607" s="85" t="s">
        <v>16299</v>
      </c>
      <c r="X4607" s="80"/>
      <c r="Y4607" s="22">
        <v>300</v>
      </c>
      <c r="Z4607" s="80" t="s">
        <v>50</v>
      </c>
      <c r="AA4607" s="96" t="s">
        <v>9905</v>
      </c>
      <c r="AB4607" s="80"/>
      <c r="AC4607" s="80" t="s">
        <v>53</v>
      </c>
      <c r="AD4607" s="80" t="s">
        <v>54</v>
      </c>
      <c r="AE4607" s="80"/>
      <c r="AF4607" s="43">
        <v>45579</v>
      </c>
      <c r="AG4607" s="80"/>
      <c r="AH4607" s="80"/>
      <c r="AI4607" s="147"/>
      <c r="AJ4607" s="80"/>
      <c r="AK4607" s="80"/>
      <c r="AL4607" s="35"/>
      <c r="AM4607" s="35"/>
      <c r="AN4607" s="35"/>
      <c r="AO4607" s="35"/>
      <c r="AP4607" s="35"/>
    </row>
    <row r="4608" spans="1:42" x14ac:dyDescent="0.2">
      <c r="A4608" s="126">
        <v>45577.605993564815</v>
      </c>
      <c r="B4608" s="137" t="s">
        <v>37</v>
      </c>
      <c r="C4608" s="41" t="s">
        <v>118</v>
      </c>
      <c r="D4608" s="80" t="s">
        <v>36</v>
      </c>
      <c r="E4608" s="80" t="s">
        <v>56</v>
      </c>
      <c r="F4608" s="80" t="s">
        <v>40</v>
      </c>
      <c r="G4608" s="80" t="s">
        <v>41</v>
      </c>
      <c r="H4608" s="80" t="s">
        <v>12324</v>
      </c>
      <c r="I4608" s="17">
        <f ca="1">IFERROR(__xludf.DUMMYFUNCTION("""COMPUTED_VALUE"""),45635)</f>
        <v>45635</v>
      </c>
      <c r="J4608" s="143" t="s">
        <v>16300</v>
      </c>
      <c r="K4608" s="80" t="s">
        <v>16301</v>
      </c>
      <c r="L4608" s="30">
        <v>328084639</v>
      </c>
      <c r="M4608" s="80" t="s">
        <v>59</v>
      </c>
      <c r="N4608" s="80" t="s">
        <v>8342</v>
      </c>
      <c r="O4608" s="80" t="s">
        <v>16302</v>
      </c>
      <c r="P4608" s="80" t="s">
        <v>16303</v>
      </c>
      <c r="Q4608" s="20">
        <v>9317</v>
      </c>
      <c r="R4608" s="80" t="s">
        <v>36</v>
      </c>
      <c r="S4608" s="95">
        <v>9317</v>
      </c>
      <c r="T4608" s="148">
        <v>45576</v>
      </c>
      <c r="U4608" s="77"/>
      <c r="V4608" s="78"/>
      <c r="W4608" s="85" t="s">
        <v>16304</v>
      </c>
      <c r="X4608" s="80"/>
      <c r="Y4608" s="22">
        <v>0</v>
      </c>
      <c r="Z4608" s="80" t="s">
        <v>50</v>
      </c>
      <c r="AA4608" s="35" t="s">
        <v>9905</v>
      </c>
      <c r="AB4608" s="80"/>
      <c r="AC4608" s="80" t="s">
        <v>53</v>
      </c>
      <c r="AD4608" s="80" t="s">
        <v>54</v>
      </c>
      <c r="AE4608" s="80" t="s">
        <v>16305</v>
      </c>
      <c r="AF4608" s="17">
        <v>45629</v>
      </c>
      <c r="AG4608" s="80"/>
      <c r="AH4608" s="80"/>
      <c r="AI4608" s="147"/>
      <c r="AJ4608" s="80"/>
      <c r="AK4608" s="80"/>
      <c r="AL4608" s="35"/>
      <c r="AM4608" s="35"/>
      <c r="AN4608" s="35"/>
      <c r="AO4608" s="35"/>
      <c r="AP4608" s="35"/>
    </row>
    <row r="4609" spans="1:42" x14ac:dyDescent="0.2">
      <c r="A4609" s="126">
        <v>45577.906584050928</v>
      </c>
      <c r="B4609" s="137" t="s">
        <v>37</v>
      </c>
      <c r="C4609" s="41" t="s">
        <v>118</v>
      </c>
      <c r="D4609" s="80" t="s">
        <v>36</v>
      </c>
      <c r="E4609" s="80" t="s">
        <v>39</v>
      </c>
      <c r="F4609" s="80" t="s">
        <v>36</v>
      </c>
      <c r="G4609" s="80" t="s">
        <v>41</v>
      </c>
      <c r="H4609" s="80" t="s">
        <v>15451</v>
      </c>
      <c r="I4609" s="17">
        <f ca="1">IFERROR(__xludf.DUMMYFUNCTION("""COMPUTED_VALUE"""),45603)</f>
        <v>45603</v>
      </c>
      <c r="J4609" s="143" t="s">
        <v>16306</v>
      </c>
      <c r="K4609" s="80" t="s">
        <v>16307</v>
      </c>
      <c r="L4609" s="30">
        <v>865669001</v>
      </c>
      <c r="M4609" s="80" t="s">
        <v>59</v>
      </c>
      <c r="N4609" s="80" t="s">
        <v>7298</v>
      </c>
      <c r="O4609" s="80" t="s">
        <v>16308</v>
      </c>
      <c r="P4609" s="80" t="s">
        <v>16309</v>
      </c>
      <c r="Q4609" s="20">
        <v>5736</v>
      </c>
      <c r="R4609" s="80" t="s">
        <v>70</v>
      </c>
      <c r="S4609" s="95">
        <f t="shared" ref="S4609:S4610" si="101">200+5436</f>
        <v>5636</v>
      </c>
      <c r="T4609" s="83" t="s">
        <v>16310</v>
      </c>
      <c r="U4609" s="77"/>
      <c r="V4609" s="78"/>
      <c r="W4609" s="85" t="s">
        <v>16311</v>
      </c>
      <c r="X4609" s="80"/>
      <c r="Y4609" s="22">
        <v>100</v>
      </c>
      <c r="Z4609" s="80" t="s">
        <v>50</v>
      </c>
      <c r="AA4609" s="96" t="s">
        <v>9905</v>
      </c>
      <c r="AB4609" s="80"/>
      <c r="AC4609" s="80" t="s">
        <v>53</v>
      </c>
      <c r="AD4609" s="80" t="s">
        <v>138</v>
      </c>
      <c r="AE4609" s="80" t="s">
        <v>16312</v>
      </c>
      <c r="AF4609" s="17">
        <v>45603</v>
      </c>
      <c r="AG4609" s="80"/>
      <c r="AH4609" s="80"/>
      <c r="AI4609" s="147"/>
      <c r="AJ4609" s="80"/>
      <c r="AK4609" s="80"/>
      <c r="AL4609" s="35"/>
      <c r="AM4609" s="35"/>
      <c r="AN4609" s="35"/>
      <c r="AO4609" s="35"/>
      <c r="AP4609" s="35"/>
    </row>
    <row r="4610" spans="1:42" x14ac:dyDescent="0.2">
      <c r="A4610" s="126">
        <v>45577.90800693287</v>
      </c>
      <c r="B4610" s="137" t="s">
        <v>37</v>
      </c>
      <c r="C4610" s="41" t="s">
        <v>118</v>
      </c>
      <c r="D4610" s="80" t="s">
        <v>36</v>
      </c>
      <c r="E4610" s="80" t="s">
        <v>39</v>
      </c>
      <c r="F4610" s="80" t="s">
        <v>36</v>
      </c>
      <c r="G4610" s="80" t="s">
        <v>41</v>
      </c>
      <c r="H4610" s="80" t="s">
        <v>15451</v>
      </c>
      <c r="I4610" s="17">
        <f ca="1">IFERROR(__xludf.DUMMYFUNCTION("""COMPUTED_VALUE"""),45603)</f>
        <v>45603</v>
      </c>
      <c r="J4610" s="143" t="s">
        <v>16313</v>
      </c>
      <c r="K4610" s="80" t="s">
        <v>16314</v>
      </c>
      <c r="L4610" s="30">
        <v>962758066</v>
      </c>
      <c r="M4610" s="80" t="s">
        <v>59</v>
      </c>
      <c r="N4610" s="80" t="s">
        <v>7304</v>
      </c>
      <c r="O4610" s="80" t="s">
        <v>16315</v>
      </c>
      <c r="P4610" s="80" t="s">
        <v>16316</v>
      </c>
      <c r="Q4610" s="20">
        <v>5736</v>
      </c>
      <c r="R4610" s="80" t="s">
        <v>70</v>
      </c>
      <c r="S4610" s="95">
        <f t="shared" si="101"/>
        <v>5636</v>
      </c>
      <c r="T4610" s="83" t="s">
        <v>16310</v>
      </c>
      <c r="U4610" s="77"/>
      <c r="V4610" s="78"/>
      <c r="W4610" s="85" t="s">
        <v>16317</v>
      </c>
      <c r="X4610" s="80"/>
      <c r="Y4610" s="22">
        <v>100</v>
      </c>
      <c r="Z4610" s="80" t="s">
        <v>50</v>
      </c>
      <c r="AA4610" s="35" t="s">
        <v>9905</v>
      </c>
      <c r="AB4610" s="80"/>
      <c r="AC4610" s="80" t="s">
        <v>53</v>
      </c>
      <c r="AD4610" s="80" t="s">
        <v>138</v>
      </c>
      <c r="AE4610" s="80" t="s">
        <v>2831</v>
      </c>
      <c r="AF4610" s="17">
        <v>45603</v>
      </c>
      <c r="AG4610" s="80"/>
      <c r="AH4610" s="80"/>
      <c r="AI4610" s="147"/>
      <c r="AJ4610" s="80"/>
      <c r="AK4610" s="80"/>
      <c r="AL4610" s="35"/>
      <c r="AM4610" s="35"/>
      <c r="AN4610" s="35"/>
      <c r="AO4610" s="35"/>
      <c r="AP4610" s="35"/>
    </row>
    <row r="4611" spans="1:42" x14ac:dyDescent="0.2">
      <c r="A4611" s="126">
        <v>45577.913959398153</v>
      </c>
      <c r="B4611" s="137" t="s">
        <v>37</v>
      </c>
      <c r="C4611" s="41" t="s">
        <v>118</v>
      </c>
      <c r="D4611" s="80" t="s">
        <v>36</v>
      </c>
      <c r="E4611" s="80" t="s">
        <v>56</v>
      </c>
      <c r="F4611" s="80" t="s">
        <v>36</v>
      </c>
      <c r="G4611" s="80" t="s">
        <v>41</v>
      </c>
      <c r="H4611" s="80" t="s">
        <v>15166</v>
      </c>
      <c r="I4611" s="17">
        <f ca="1">IFERROR(__xludf.DUMMYFUNCTION("""COMPUTED_VALUE"""),45589)</f>
        <v>45589</v>
      </c>
      <c r="J4611" s="143" t="s">
        <v>16318</v>
      </c>
      <c r="K4611" s="80" t="s">
        <v>16319</v>
      </c>
      <c r="L4611" s="30">
        <v>398172071</v>
      </c>
      <c r="M4611" s="80" t="s">
        <v>59</v>
      </c>
      <c r="N4611" s="80" t="s">
        <v>4299</v>
      </c>
      <c r="O4611" s="80" t="s">
        <v>16320</v>
      </c>
      <c r="P4611" s="80" t="s">
        <v>12692</v>
      </c>
      <c r="Q4611" s="20">
        <v>9317</v>
      </c>
      <c r="R4611" s="80" t="s">
        <v>36</v>
      </c>
      <c r="S4611" s="95">
        <f>200+4000</f>
        <v>4200</v>
      </c>
      <c r="T4611" s="83" t="s">
        <v>16321</v>
      </c>
      <c r="U4611" s="95">
        <v>5117</v>
      </c>
      <c r="V4611" s="148">
        <v>45588</v>
      </c>
      <c r="W4611" s="85" t="s">
        <v>16322</v>
      </c>
      <c r="X4611" s="80"/>
      <c r="Y4611" s="22">
        <v>0</v>
      </c>
      <c r="Z4611" s="80" t="s">
        <v>50</v>
      </c>
      <c r="AA4611" s="96" t="s">
        <v>9905</v>
      </c>
      <c r="AB4611" s="80"/>
      <c r="AC4611" s="80" t="s">
        <v>53</v>
      </c>
      <c r="AD4611" s="80" t="s">
        <v>138</v>
      </c>
      <c r="AE4611" s="80" t="s">
        <v>16312</v>
      </c>
      <c r="AF4611" s="43">
        <v>45589</v>
      </c>
      <c r="AG4611" s="80" t="s">
        <v>14199</v>
      </c>
      <c r="AH4611" s="80"/>
      <c r="AI4611" s="147"/>
      <c r="AJ4611" s="80"/>
      <c r="AK4611" s="80"/>
      <c r="AL4611" s="35"/>
      <c r="AM4611" s="35"/>
      <c r="AN4611" s="35"/>
      <c r="AO4611" s="35"/>
      <c r="AP4611" s="35"/>
    </row>
    <row r="4612" spans="1:42" x14ac:dyDescent="0.2">
      <c r="A4612" s="126">
        <v>45578.534783784722</v>
      </c>
      <c r="B4612" s="137" t="s">
        <v>37</v>
      </c>
      <c r="C4612" s="41" t="s">
        <v>118</v>
      </c>
      <c r="D4612" s="80" t="s">
        <v>36</v>
      </c>
      <c r="E4612" s="80" t="s">
        <v>139</v>
      </c>
      <c r="F4612" s="80" t="s">
        <v>36</v>
      </c>
      <c r="G4612" s="80" t="s">
        <v>41</v>
      </c>
      <c r="H4612" s="80" t="s">
        <v>16224</v>
      </c>
      <c r="I4612" s="17">
        <f ca="1">IFERROR(__xludf.DUMMYFUNCTION("""COMPUTED_VALUE"""),45580)</f>
        <v>45580</v>
      </c>
      <c r="J4612" s="143" t="s">
        <v>16323</v>
      </c>
      <c r="K4612" s="80" t="s">
        <v>16324</v>
      </c>
      <c r="L4612" s="30">
        <v>979353898</v>
      </c>
      <c r="M4612" s="80" t="s">
        <v>348</v>
      </c>
      <c r="N4612" s="80" t="s">
        <v>200</v>
      </c>
      <c r="O4612" s="80" t="s">
        <v>91</v>
      </c>
      <c r="P4612" s="80" t="s">
        <v>16325</v>
      </c>
      <c r="Q4612" s="20">
        <v>15936</v>
      </c>
      <c r="R4612" s="80" t="s">
        <v>36</v>
      </c>
      <c r="S4612" s="95">
        <v>1968</v>
      </c>
      <c r="T4612" s="148">
        <v>45578</v>
      </c>
      <c r="U4612" s="95">
        <v>13968</v>
      </c>
      <c r="V4612" s="148">
        <v>45583</v>
      </c>
      <c r="W4612" s="85" t="s">
        <v>16326</v>
      </c>
      <c r="X4612" s="80"/>
      <c r="Y4612" s="22">
        <v>0</v>
      </c>
      <c r="Z4612" s="80" t="s">
        <v>50</v>
      </c>
      <c r="AA4612" s="35" t="s">
        <v>9905</v>
      </c>
      <c r="AB4612" s="80"/>
      <c r="AC4612" s="80" t="s">
        <v>53</v>
      </c>
      <c r="AD4612" s="80" t="s">
        <v>54</v>
      </c>
      <c r="AE4612" s="80" t="s">
        <v>91</v>
      </c>
      <c r="AF4612" s="43">
        <v>45579</v>
      </c>
      <c r="AG4612" s="80"/>
      <c r="AH4612" s="80"/>
      <c r="AI4612" s="147"/>
      <c r="AJ4612" s="80"/>
      <c r="AK4612" s="80"/>
      <c r="AL4612" s="35"/>
      <c r="AM4612" s="35"/>
      <c r="AN4612" s="35"/>
      <c r="AO4612" s="35"/>
      <c r="AP4612" s="35"/>
    </row>
    <row r="4613" spans="1:42" x14ac:dyDescent="0.2">
      <c r="A4613" s="126">
        <v>45579.439564351851</v>
      </c>
      <c r="B4613" s="137" t="s">
        <v>37</v>
      </c>
      <c r="C4613" s="41" t="s">
        <v>118</v>
      </c>
      <c r="D4613" s="80" t="s">
        <v>36</v>
      </c>
      <c r="E4613" s="80" t="s">
        <v>39</v>
      </c>
      <c r="F4613" s="80" t="s">
        <v>36</v>
      </c>
      <c r="G4613" s="80" t="s">
        <v>41</v>
      </c>
      <c r="H4613" s="80" t="s">
        <v>15290</v>
      </c>
      <c r="I4613" s="17">
        <f ca="1">IFERROR(__xludf.DUMMYFUNCTION("""COMPUTED_VALUE"""),45609)</f>
        <v>45609</v>
      </c>
      <c r="J4613" s="143" t="s">
        <v>16327</v>
      </c>
      <c r="K4613" s="80" t="s">
        <v>16328</v>
      </c>
      <c r="L4613" s="30">
        <v>975783525</v>
      </c>
      <c r="M4613" s="80" t="s">
        <v>9422</v>
      </c>
      <c r="N4613" s="80" t="s">
        <v>5574</v>
      </c>
      <c r="O4613" s="80" t="s">
        <v>16329</v>
      </c>
      <c r="P4613" s="80" t="s">
        <v>16330</v>
      </c>
      <c r="Q4613" s="20">
        <v>5736</v>
      </c>
      <c r="R4613" s="80" t="s">
        <v>11421</v>
      </c>
      <c r="S4613" s="95">
        <v>5736</v>
      </c>
      <c r="T4613" s="148">
        <v>45579</v>
      </c>
      <c r="U4613" s="77"/>
      <c r="V4613" s="78"/>
      <c r="W4613" s="85" t="s">
        <v>16331</v>
      </c>
      <c r="X4613" s="80"/>
      <c r="Y4613" s="22">
        <v>0</v>
      </c>
      <c r="Z4613" s="80" t="s">
        <v>50</v>
      </c>
      <c r="AA4613" s="96" t="s">
        <v>9905</v>
      </c>
      <c r="AB4613" s="80"/>
      <c r="AC4613" s="80" t="s">
        <v>53</v>
      </c>
      <c r="AD4613" s="80" t="s">
        <v>54</v>
      </c>
      <c r="AE4613" s="80"/>
      <c r="AF4613" s="17">
        <v>45602</v>
      </c>
      <c r="AG4613" s="80"/>
      <c r="AH4613" s="80"/>
      <c r="AI4613" s="147"/>
      <c r="AJ4613" s="80"/>
      <c r="AK4613" s="80"/>
      <c r="AL4613" s="35"/>
      <c r="AM4613" s="35"/>
      <c r="AN4613" s="35"/>
      <c r="AO4613" s="35"/>
      <c r="AP4613" s="35"/>
    </row>
    <row r="4614" spans="1:42" x14ac:dyDescent="0.2">
      <c r="A4614" s="126">
        <v>45579.581569548609</v>
      </c>
      <c r="B4614" s="137" t="s">
        <v>37</v>
      </c>
      <c r="C4614" s="41" t="s">
        <v>118</v>
      </c>
      <c r="D4614" s="80" t="s">
        <v>36</v>
      </c>
      <c r="E4614" s="80" t="s">
        <v>77</v>
      </c>
      <c r="F4614" s="80" t="s">
        <v>36</v>
      </c>
      <c r="G4614" s="80" t="s">
        <v>41</v>
      </c>
      <c r="H4614" s="80" t="s">
        <v>16288</v>
      </c>
      <c r="I4614" s="17">
        <f ca="1">IFERROR(__xludf.DUMMYFUNCTION("""COMPUTED_VALUE"""),45589)</f>
        <v>45589</v>
      </c>
      <c r="J4614" s="143" t="s">
        <v>16332</v>
      </c>
      <c r="K4614" s="80" t="s">
        <v>16333</v>
      </c>
      <c r="L4614" s="30">
        <v>368606727</v>
      </c>
      <c r="M4614" s="80" t="s">
        <v>348</v>
      </c>
      <c r="N4614" s="80" t="s">
        <v>4299</v>
      </c>
      <c r="O4614" s="80" t="s">
        <v>16334</v>
      </c>
      <c r="P4614" s="80" t="s">
        <v>16335</v>
      </c>
      <c r="Q4614" s="20">
        <v>1968</v>
      </c>
      <c r="R4614" s="80" t="s">
        <v>36</v>
      </c>
      <c r="S4614" s="95">
        <v>1968</v>
      </c>
      <c r="T4614" s="148">
        <v>45579</v>
      </c>
      <c r="U4614" s="77"/>
      <c r="V4614" s="78"/>
      <c r="W4614" s="85" t="s">
        <v>16336</v>
      </c>
      <c r="X4614" s="80"/>
      <c r="Y4614" s="22">
        <v>0</v>
      </c>
      <c r="Z4614" s="80" t="s">
        <v>50</v>
      </c>
      <c r="AA4614" s="35" t="s">
        <v>9905</v>
      </c>
      <c r="AB4614" s="80"/>
      <c r="AC4614" s="80" t="s">
        <v>53</v>
      </c>
      <c r="AD4614" s="80" t="s">
        <v>54</v>
      </c>
      <c r="AE4614" s="80" t="s">
        <v>16337</v>
      </c>
      <c r="AF4614" s="43">
        <v>45579</v>
      </c>
      <c r="AG4614" s="80"/>
      <c r="AH4614" s="80"/>
      <c r="AI4614" s="147"/>
      <c r="AJ4614" s="80"/>
      <c r="AK4614" s="80"/>
      <c r="AL4614" s="35"/>
      <c r="AM4614" s="35"/>
      <c r="AN4614" s="35"/>
      <c r="AO4614" s="35"/>
      <c r="AP4614" s="35"/>
    </row>
    <row r="4615" spans="1:42" x14ac:dyDescent="0.2">
      <c r="A4615" s="126">
        <v>45579.627511770828</v>
      </c>
      <c r="B4615" s="137" t="s">
        <v>37</v>
      </c>
      <c r="C4615" s="41" t="s">
        <v>118</v>
      </c>
      <c r="D4615" s="80" t="s">
        <v>36</v>
      </c>
      <c r="E4615" s="80" t="s">
        <v>56</v>
      </c>
      <c r="F4615" s="80" t="s">
        <v>36</v>
      </c>
      <c r="G4615" s="80" t="s">
        <v>41</v>
      </c>
      <c r="H4615" s="80" t="s">
        <v>13441</v>
      </c>
      <c r="I4615" s="17">
        <f ca="1">IFERROR(__xludf.DUMMYFUNCTION("""COMPUTED_VALUE"""),45625)</f>
        <v>45625</v>
      </c>
      <c r="J4615" s="143" t="s">
        <v>16338</v>
      </c>
      <c r="K4615" s="145" t="s">
        <v>16339</v>
      </c>
      <c r="L4615" s="30">
        <v>987072757</v>
      </c>
      <c r="M4615" s="80" t="s">
        <v>2755</v>
      </c>
      <c r="N4615" s="80" t="s">
        <v>2756</v>
      </c>
      <c r="O4615" s="80" t="s">
        <v>4503</v>
      </c>
      <c r="P4615" s="80" t="s">
        <v>16340</v>
      </c>
      <c r="Q4615" s="20">
        <v>9317</v>
      </c>
      <c r="R4615" s="80" t="s">
        <v>36</v>
      </c>
      <c r="S4615" s="95">
        <v>9317</v>
      </c>
      <c r="T4615" s="148">
        <v>45579</v>
      </c>
      <c r="U4615" s="77"/>
      <c r="V4615" s="78"/>
      <c r="W4615" s="85" t="s">
        <v>16341</v>
      </c>
      <c r="X4615" s="80"/>
      <c r="Y4615" s="22">
        <v>0</v>
      </c>
      <c r="Z4615" s="80" t="s">
        <v>50</v>
      </c>
      <c r="AA4615" s="96" t="s">
        <v>9905</v>
      </c>
      <c r="AB4615" s="80"/>
      <c r="AC4615" s="80" t="s">
        <v>53</v>
      </c>
      <c r="AD4615" s="80" t="s">
        <v>54</v>
      </c>
      <c r="AE4615" s="80"/>
      <c r="AF4615" s="43">
        <v>45579</v>
      </c>
      <c r="AG4615" s="80"/>
      <c r="AH4615" s="80"/>
      <c r="AI4615" s="147"/>
      <c r="AJ4615" s="80"/>
      <c r="AK4615" s="80"/>
      <c r="AL4615" s="35"/>
      <c r="AM4615" s="35"/>
      <c r="AN4615" s="35"/>
      <c r="AO4615" s="35"/>
      <c r="AP4615" s="35"/>
    </row>
    <row r="4616" spans="1:42" x14ac:dyDescent="0.2">
      <c r="A4616" s="126">
        <v>45579.81134630787</v>
      </c>
      <c r="B4616" s="137" t="s">
        <v>37</v>
      </c>
      <c r="C4616" s="41" t="s">
        <v>118</v>
      </c>
      <c r="D4616" s="80" t="s">
        <v>36</v>
      </c>
      <c r="E4616" s="80" t="s">
        <v>77</v>
      </c>
      <c r="F4616" s="80" t="s">
        <v>36</v>
      </c>
      <c r="G4616" s="80" t="s">
        <v>41</v>
      </c>
      <c r="H4616" s="80" t="s">
        <v>13535</v>
      </c>
      <c r="I4616" s="17">
        <f ca="1">IFERROR(__xludf.DUMMYFUNCTION("""COMPUTED_VALUE"""),45589)</f>
        <v>45589</v>
      </c>
      <c r="J4616" s="143" t="s">
        <v>16342</v>
      </c>
      <c r="K4616" s="80" t="s">
        <v>16343</v>
      </c>
      <c r="L4616" s="30">
        <v>398937325</v>
      </c>
      <c r="M4616" s="80" t="s">
        <v>45</v>
      </c>
      <c r="N4616" s="80" t="s">
        <v>16251</v>
      </c>
      <c r="O4616" s="80" t="s">
        <v>16344</v>
      </c>
      <c r="P4616" s="80" t="s">
        <v>3694</v>
      </c>
      <c r="Q4616" s="20">
        <v>1968</v>
      </c>
      <c r="R4616" s="80" t="s">
        <v>36</v>
      </c>
      <c r="S4616" s="95">
        <f>500+1468</f>
        <v>1968</v>
      </c>
      <c r="T4616" s="83" t="s">
        <v>16345</v>
      </c>
      <c r="U4616" s="77"/>
      <c r="V4616" s="78"/>
      <c r="W4616" s="85" t="s">
        <v>16346</v>
      </c>
      <c r="X4616" s="80"/>
      <c r="Y4616" s="22">
        <v>0</v>
      </c>
      <c r="Z4616" s="80" t="s">
        <v>50</v>
      </c>
      <c r="AA4616" s="35" t="s">
        <v>9905</v>
      </c>
      <c r="AB4616" s="80"/>
      <c r="AC4616" s="80" t="s">
        <v>53</v>
      </c>
      <c r="AD4616" s="80" t="s">
        <v>138</v>
      </c>
      <c r="AE4616" s="83">
        <v>0</v>
      </c>
      <c r="AF4616" s="43">
        <v>45589</v>
      </c>
      <c r="AG4616" s="80" t="s">
        <v>13541</v>
      </c>
      <c r="AH4616" s="80"/>
      <c r="AI4616" s="147"/>
      <c r="AJ4616" s="80"/>
      <c r="AK4616" s="80"/>
      <c r="AL4616" s="35"/>
      <c r="AM4616" s="35"/>
      <c r="AN4616" s="35"/>
      <c r="AO4616" s="35"/>
      <c r="AP4616" s="35"/>
    </row>
    <row r="4617" spans="1:42" x14ac:dyDescent="0.2">
      <c r="A4617" s="126">
        <v>45579.815424432869</v>
      </c>
      <c r="B4617" s="137" t="s">
        <v>37</v>
      </c>
      <c r="C4617" s="41" t="s">
        <v>118</v>
      </c>
      <c r="D4617" s="80" t="s">
        <v>36</v>
      </c>
      <c r="E4617" s="80" t="s">
        <v>39</v>
      </c>
      <c r="F4617" s="80" t="s">
        <v>36</v>
      </c>
      <c r="G4617" s="80" t="s">
        <v>41</v>
      </c>
      <c r="H4617" s="80" t="s">
        <v>15282</v>
      </c>
      <c r="I4617" s="17">
        <f ca="1">IFERROR(__xludf.DUMMYFUNCTION("""COMPUTED_VALUE"""),45674)</f>
        <v>45674</v>
      </c>
      <c r="J4617" s="143" t="s">
        <v>16347</v>
      </c>
      <c r="K4617" s="80" t="s">
        <v>16348</v>
      </c>
      <c r="L4617" s="30">
        <v>987619506</v>
      </c>
      <c r="M4617" s="80" t="s">
        <v>45</v>
      </c>
      <c r="N4617" s="80" t="s">
        <v>16349</v>
      </c>
      <c r="O4617" s="80" t="s">
        <v>16350</v>
      </c>
      <c r="P4617" s="80" t="s">
        <v>16351</v>
      </c>
      <c r="Q4617" s="20">
        <v>5736</v>
      </c>
      <c r="R4617" s="80" t="s">
        <v>36</v>
      </c>
      <c r="S4617" s="95">
        <v>5736</v>
      </c>
      <c r="T4617" s="148">
        <v>45578</v>
      </c>
      <c r="U4617" s="77"/>
      <c r="V4617" s="78"/>
      <c r="W4617" s="85" t="s">
        <v>16352</v>
      </c>
      <c r="X4617" s="80"/>
      <c r="Y4617" s="22">
        <v>0</v>
      </c>
      <c r="Z4617" s="80" t="s">
        <v>50</v>
      </c>
      <c r="AA4617" s="96" t="s">
        <v>9905</v>
      </c>
      <c r="AB4617" s="80"/>
      <c r="AC4617" s="80" t="s">
        <v>53</v>
      </c>
      <c r="AD4617" s="80" t="s">
        <v>54</v>
      </c>
      <c r="AE4617" s="83">
        <v>0</v>
      </c>
      <c r="AF4617" s="43">
        <v>45580</v>
      </c>
      <c r="AG4617" s="80"/>
      <c r="AH4617" s="80"/>
      <c r="AI4617" s="147"/>
      <c r="AJ4617" s="80"/>
      <c r="AK4617" s="80"/>
      <c r="AL4617" s="35"/>
      <c r="AM4617" s="35"/>
      <c r="AN4617" s="35"/>
      <c r="AO4617" s="35"/>
      <c r="AP4617" s="35"/>
    </row>
    <row r="4618" spans="1:42" x14ac:dyDescent="0.2">
      <c r="A4618" s="126">
        <v>45580.335622106482</v>
      </c>
      <c r="B4618" s="137" t="s">
        <v>37</v>
      </c>
      <c r="C4618" s="41" t="s">
        <v>118</v>
      </c>
      <c r="D4618" s="80" t="s">
        <v>36</v>
      </c>
      <c r="E4618" s="80" t="s">
        <v>56</v>
      </c>
      <c r="F4618" s="80" t="s">
        <v>36</v>
      </c>
      <c r="G4618" s="80" t="s">
        <v>41</v>
      </c>
      <c r="H4618" s="80" t="s">
        <v>16353</v>
      </c>
      <c r="I4618" s="17" t="str">
        <f ca="1">IFERROR(__xludf.DUMMYFUNCTION("""COMPUTED_VALUE""")," ")</f>
        <v xml:space="preserve"> </v>
      </c>
      <c r="J4618" s="143" t="s">
        <v>16354</v>
      </c>
      <c r="K4618" s="80" t="s">
        <v>16355</v>
      </c>
      <c r="L4618" s="30">
        <v>399192089</v>
      </c>
      <c r="M4618" s="80" t="s">
        <v>59</v>
      </c>
      <c r="N4618" s="80" t="s">
        <v>4299</v>
      </c>
      <c r="O4618" s="80" t="s">
        <v>16356</v>
      </c>
      <c r="P4618" s="80" t="s">
        <v>16357</v>
      </c>
      <c r="Q4618" s="20">
        <v>9317</v>
      </c>
      <c r="R4618" s="80" t="s">
        <v>36</v>
      </c>
      <c r="S4618" s="95">
        <v>9317</v>
      </c>
      <c r="T4618" s="148">
        <v>45579</v>
      </c>
      <c r="U4618" s="77"/>
      <c r="V4618" s="78"/>
      <c r="W4618" s="85" t="s">
        <v>16358</v>
      </c>
      <c r="X4618" s="80"/>
      <c r="Y4618" s="22">
        <v>0</v>
      </c>
      <c r="Z4618" s="80" t="s">
        <v>50</v>
      </c>
      <c r="AA4618" s="35" t="s">
        <v>9905</v>
      </c>
      <c r="AB4618" s="80"/>
      <c r="AC4618" s="80" t="s">
        <v>53</v>
      </c>
      <c r="AD4618" s="80" t="s">
        <v>138</v>
      </c>
      <c r="AE4618" s="80" t="s">
        <v>2670</v>
      </c>
      <c r="AF4618" s="43">
        <v>45589</v>
      </c>
      <c r="AG4618" s="80" t="s">
        <v>14199</v>
      </c>
      <c r="AH4618" s="80"/>
      <c r="AI4618" s="147"/>
      <c r="AJ4618" s="80"/>
      <c r="AK4618" s="80"/>
      <c r="AL4618" s="35"/>
      <c r="AM4618" s="35"/>
      <c r="AN4618" s="35"/>
      <c r="AO4618" s="35"/>
      <c r="AP4618" s="35"/>
    </row>
    <row r="4619" spans="1:42" x14ac:dyDescent="0.2">
      <c r="A4619" s="126">
        <v>45581.981252418977</v>
      </c>
      <c r="B4619" s="137" t="s">
        <v>37</v>
      </c>
      <c r="C4619" s="41" t="s">
        <v>118</v>
      </c>
      <c r="D4619" s="80" t="s">
        <v>36</v>
      </c>
      <c r="E4619" s="80" t="s">
        <v>77</v>
      </c>
      <c r="F4619" s="80" t="s">
        <v>36</v>
      </c>
      <c r="G4619" s="80" t="s">
        <v>41</v>
      </c>
      <c r="H4619" s="80" t="s">
        <v>14051</v>
      </c>
      <c r="I4619" s="17">
        <f ca="1">IFERROR(__xludf.DUMMYFUNCTION("""COMPUTED_VALUE"""),45615)</f>
        <v>45615</v>
      </c>
      <c r="J4619" s="143" t="s">
        <v>16359</v>
      </c>
      <c r="K4619" s="80" t="s">
        <v>16360</v>
      </c>
      <c r="L4619" s="30">
        <v>356754812</v>
      </c>
      <c r="M4619" s="80" t="s">
        <v>348</v>
      </c>
      <c r="N4619" s="80" t="s">
        <v>68</v>
      </c>
      <c r="O4619" s="80" t="s">
        <v>16361</v>
      </c>
      <c r="P4619" s="80" t="s">
        <v>12687</v>
      </c>
      <c r="Q4619" s="20">
        <v>1968</v>
      </c>
      <c r="R4619" s="80" t="s">
        <v>3825</v>
      </c>
      <c r="S4619" s="95">
        <v>1968</v>
      </c>
      <c r="T4619" s="148">
        <v>45581</v>
      </c>
      <c r="U4619" s="77"/>
      <c r="V4619" s="78"/>
      <c r="W4619" s="85" t="s">
        <v>16362</v>
      </c>
      <c r="X4619" s="80"/>
      <c r="Y4619" s="22">
        <v>0</v>
      </c>
      <c r="Z4619" s="80" t="s">
        <v>50</v>
      </c>
      <c r="AA4619" s="96" t="s">
        <v>9905</v>
      </c>
      <c r="AB4619" s="80"/>
      <c r="AC4619" s="80" t="s">
        <v>53</v>
      </c>
      <c r="AD4619" s="80" t="s">
        <v>138</v>
      </c>
      <c r="AE4619" s="80" t="s">
        <v>16312</v>
      </c>
      <c r="AF4619" s="17">
        <v>45615</v>
      </c>
      <c r="AG4619" s="80"/>
      <c r="AH4619" s="80"/>
      <c r="AI4619" s="147"/>
      <c r="AJ4619" s="80"/>
      <c r="AK4619" s="80"/>
      <c r="AL4619" s="35"/>
      <c r="AM4619" s="35"/>
      <c r="AN4619" s="35"/>
      <c r="AO4619" s="35"/>
      <c r="AP4619" s="35"/>
    </row>
    <row r="4620" spans="1:42" x14ac:dyDescent="0.2">
      <c r="A4620" s="126">
        <v>45582.395100023146</v>
      </c>
      <c r="B4620" s="137" t="s">
        <v>37</v>
      </c>
      <c r="C4620" s="41" t="s">
        <v>118</v>
      </c>
      <c r="D4620" s="80" t="s">
        <v>36</v>
      </c>
      <c r="E4620" s="80" t="s">
        <v>56</v>
      </c>
      <c r="F4620" s="80" t="s">
        <v>36</v>
      </c>
      <c r="G4620" s="80" t="s">
        <v>41</v>
      </c>
      <c r="H4620" s="80" t="s">
        <v>15166</v>
      </c>
      <c r="I4620" s="17">
        <f ca="1">IFERROR(__xludf.DUMMYFUNCTION("""COMPUTED_VALUE"""),45589)</f>
        <v>45589</v>
      </c>
      <c r="J4620" s="143" t="s">
        <v>16363</v>
      </c>
      <c r="K4620" s="80" t="s">
        <v>16364</v>
      </c>
      <c r="L4620" s="30">
        <v>364047463</v>
      </c>
      <c r="M4620" s="80" t="s">
        <v>59</v>
      </c>
      <c r="N4620" s="80" t="s">
        <v>11476</v>
      </c>
      <c r="O4620" s="80" t="s">
        <v>16365</v>
      </c>
      <c r="P4620" s="80" t="s">
        <v>12687</v>
      </c>
      <c r="Q4620" s="20">
        <v>9317</v>
      </c>
      <c r="R4620" s="80" t="s">
        <v>36</v>
      </c>
      <c r="S4620" s="95">
        <f>200+9117</f>
        <v>9317</v>
      </c>
      <c r="T4620" s="83" t="s">
        <v>16366</v>
      </c>
      <c r="U4620" s="77"/>
      <c r="V4620" s="78"/>
      <c r="W4620" s="85" t="s">
        <v>16367</v>
      </c>
      <c r="X4620" s="80"/>
      <c r="Y4620" s="22">
        <v>0</v>
      </c>
      <c r="Z4620" s="80" t="s">
        <v>50</v>
      </c>
      <c r="AA4620" s="35" t="s">
        <v>9905</v>
      </c>
      <c r="AB4620" s="80"/>
      <c r="AC4620" s="80" t="s">
        <v>53</v>
      </c>
      <c r="AD4620" s="80" t="s">
        <v>138</v>
      </c>
      <c r="AE4620" s="80" t="s">
        <v>16305</v>
      </c>
      <c r="AF4620" s="43">
        <v>45589</v>
      </c>
      <c r="AG4620" s="80" t="s">
        <v>14199</v>
      </c>
      <c r="AH4620" s="80"/>
      <c r="AI4620" s="147"/>
      <c r="AJ4620" s="80"/>
      <c r="AK4620" s="80"/>
      <c r="AL4620" s="35"/>
      <c r="AM4620" s="35"/>
      <c r="AN4620" s="35"/>
      <c r="AO4620" s="35"/>
      <c r="AP4620" s="35"/>
    </row>
    <row r="4621" spans="1:42" x14ac:dyDescent="0.2">
      <c r="A4621" s="126">
        <v>45582.621178229165</v>
      </c>
      <c r="B4621" s="137" t="s">
        <v>37</v>
      </c>
      <c r="C4621" s="41" t="s">
        <v>118</v>
      </c>
      <c r="D4621" s="80" t="s">
        <v>36</v>
      </c>
      <c r="E4621" s="80" t="s">
        <v>106</v>
      </c>
      <c r="F4621" s="80" t="s">
        <v>36</v>
      </c>
      <c r="G4621" s="80" t="s">
        <v>108</v>
      </c>
      <c r="H4621" s="80" t="s">
        <v>10144</v>
      </c>
      <c r="I4621" s="17">
        <f ca="1">IFERROR(__xludf.DUMMYFUNCTION("""COMPUTED_VALUE"""),45593)</f>
        <v>45593</v>
      </c>
      <c r="J4621" s="143" t="s">
        <v>16368</v>
      </c>
      <c r="K4621" s="80" t="s">
        <v>16369</v>
      </c>
      <c r="L4621" s="30">
        <v>835882764</v>
      </c>
      <c r="M4621" s="80" t="s">
        <v>9422</v>
      </c>
      <c r="N4621" s="80" t="s">
        <v>327</v>
      </c>
      <c r="O4621" s="80" t="s">
        <v>8827</v>
      </c>
      <c r="P4621" s="80" t="s">
        <v>3694</v>
      </c>
      <c r="Q4621" s="20">
        <v>3768</v>
      </c>
      <c r="R4621" s="80" t="s">
        <v>36</v>
      </c>
      <c r="S4621" s="95">
        <v>3768</v>
      </c>
      <c r="T4621" s="148">
        <v>45582</v>
      </c>
      <c r="U4621" s="77"/>
      <c r="V4621" s="78"/>
      <c r="W4621" s="85" t="s">
        <v>16370</v>
      </c>
      <c r="X4621" s="80"/>
      <c r="Y4621" s="22">
        <v>0</v>
      </c>
      <c r="Z4621" s="80" t="s">
        <v>50</v>
      </c>
      <c r="AA4621" s="96" t="s">
        <v>9905</v>
      </c>
      <c r="AB4621" s="80"/>
      <c r="AC4621" s="80" t="s">
        <v>53</v>
      </c>
      <c r="AD4621" s="80" t="s">
        <v>138</v>
      </c>
      <c r="AE4621" s="80"/>
      <c r="AF4621" s="43">
        <v>45593</v>
      </c>
      <c r="AG4621" s="80" t="s">
        <v>14763</v>
      </c>
      <c r="AH4621" s="80"/>
      <c r="AI4621" s="147"/>
      <c r="AJ4621" s="80"/>
      <c r="AK4621" s="80"/>
      <c r="AL4621" s="35"/>
      <c r="AM4621" s="35"/>
      <c r="AN4621" s="35"/>
      <c r="AO4621" s="35"/>
      <c r="AP4621" s="35"/>
    </row>
    <row r="4622" spans="1:42" x14ac:dyDescent="0.2">
      <c r="A4622" s="126">
        <v>45582.623303298613</v>
      </c>
      <c r="B4622" s="137" t="s">
        <v>37</v>
      </c>
      <c r="C4622" s="41" t="s">
        <v>118</v>
      </c>
      <c r="D4622" s="80" t="s">
        <v>36</v>
      </c>
      <c r="E4622" s="80" t="s">
        <v>119</v>
      </c>
      <c r="F4622" s="80" t="s">
        <v>36</v>
      </c>
      <c r="G4622" s="80" t="s">
        <v>108</v>
      </c>
      <c r="H4622" s="80" t="s">
        <v>10144</v>
      </c>
      <c r="I4622" s="17">
        <f ca="1">IFERROR(__xludf.DUMMYFUNCTION("""COMPUTED_VALUE"""),45593)</f>
        <v>45593</v>
      </c>
      <c r="J4622" s="143" t="s">
        <v>16371</v>
      </c>
      <c r="K4622" s="80" t="s">
        <v>16372</v>
      </c>
      <c r="L4622" s="30">
        <v>985458396</v>
      </c>
      <c r="M4622" s="80" t="s">
        <v>45</v>
      </c>
      <c r="N4622" s="80" t="s">
        <v>11476</v>
      </c>
      <c r="O4622" s="80" t="s">
        <v>16373</v>
      </c>
      <c r="P4622" s="80" t="s">
        <v>7743</v>
      </c>
      <c r="Q4622" s="20">
        <v>13968</v>
      </c>
      <c r="R4622" s="80" t="s">
        <v>36</v>
      </c>
      <c r="S4622" s="95">
        <f>1000+12968</f>
        <v>13968</v>
      </c>
      <c r="T4622" s="83" t="s">
        <v>16374</v>
      </c>
      <c r="U4622" s="77"/>
      <c r="V4622" s="78"/>
      <c r="W4622" s="85" t="s">
        <v>16375</v>
      </c>
      <c r="X4622" s="80"/>
      <c r="Y4622" s="22">
        <v>0</v>
      </c>
      <c r="Z4622" s="80" t="s">
        <v>50</v>
      </c>
      <c r="AA4622" s="35" t="s">
        <v>9905</v>
      </c>
      <c r="AB4622" s="80"/>
      <c r="AC4622" s="80" t="s">
        <v>53</v>
      </c>
      <c r="AD4622" s="80" t="s">
        <v>138</v>
      </c>
      <c r="AE4622" s="83">
        <v>410</v>
      </c>
      <c r="AF4622" s="43">
        <v>45593</v>
      </c>
      <c r="AG4622" s="80" t="s">
        <v>14763</v>
      </c>
      <c r="AH4622" s="80"/>
      <c r="AI4622" s="147"/>
      <c r="AJ4622" s="80"/>
      <c r="AK4622" s="80"/>
      <c r="AL4622" s="35"/>
      <c r="AM4622" s="35"/>
      <c r="AN4622" s="35"/>
      <c r="AO4622" s="35"/>
      <c r="AP4622" s="35"/>
    </row>
    <row r="4623" spans="1:42" x14ac:dyDescent="0.2">
      <c r="A4623" s="126">
        <v>45582.802605925928</v>
      </c>
      <c r="B4623" s="137" t="s">
        <v>37</v>
      </c>
      <c r="C4623" s="41" t="s">
        <v>118</v>
      </c>
      <c r="D4623" s="80" t="s">
        <v>77</v>
      </c>
      <c r="E4623" s="80" t="s">
        <v>106</v>
      </c>
      <c r="F4623" s="80" t="s">
        <v>11015</v>
      </c>
      <c r="G4623" s="80" t="s">
        <v>108</v>
      </c>
      <c r="H4623" s="80" t="s">
        <v>11777</v>
      </c>
      <c r="I4623" s="17">
        <f ca="1">IFERROR(__xludf.DUMMYFUNCTION("""COMPUTED_VALUE"""),45590)</f>
        <v>45590</v>
      </c>
      <c r="J4623" s="143" t="s">
        <v>11379</v>
      </c>
      <c r="K4623" s="80" t="s">
        <v>11380</v>
      </c>
      <c r="L4623" s="30">
        <v>943055208</v>
      </c>
      <c r="M4623" s="80" t="s">
        <v>59</v>
      </c>
      <c r="N4623" s="80" t="s">
        <v>4299</v>
      </c>
      <c r="O4623" s="80" t="s">
        <v>16376</v>
      </c>
      <c r="P4623" s="80" t="s">
        <v>16377</v>
      </c>
      <c r="Q4623" s="20">
        <v>3768</v>
      </c>
      <c r="R4623" s="80" t="s">
        <v>36</v>
      </c>
      <c r="S4623" s="95">
        <v>3668</v>
      </c>
      <c r="T4623" s="148">
        <v>45582</v>
      </c>
      <c r="U4623" s="77"/>
      <c r="V4623" s="78"/>
      <c r="W4623" s="85" t="s">
        <v>16378</v>
      </c>
      <c r="X4623" s="80"/>
      <c r="Y4623" s="22">
        <v>100</v>
      </c>
      <c r="Z4623" s="80" t="s">
        <v>50</v>
      </c>
      <c r="AA4623" s="96" t="s">
        <v>9905</v>
      </c>
      <c r="AB4623" s="80"/>
      <c r="AC4623" s="80" t="s">
        <v>53</v>
      </c>
      <c r="AD4623" s="80" t="s">
        <v>54</v>
      </c>
      <c r="AE4623" s="80" t="s">
        <v>11015</v>
      </c>
      <c r="AF4623" s="43">
        <v>45583</v>
      </c>
      <c r="AG4623" s="80"/>
      <c r="AH4623" s="80"/>
      <c r="AI4623" s="147"/>
      <c r="AJ4623" s="80"/>
      <c r="AK4623" s="80"/>
      <c r="AL4623" s="35"/>
      <c r="AM4623" s="35"/>
      <c r="AN4623" s="35"/>
      <c r="AO4623" s="35"/>
      <c r="AP4623" s="35"/>
    </row>
    <row r="4624" spans="1:42" x14ac:dyDescent="0.2">
      <c r="A4624" s="126">
        <v>45582.822317743055</v>
      </c>
      <c r="B4624" s="137" t="s">
        <v>37</v>
      </c>
      <c r="C4624" s="41" t="s">
        <v>118</v>
      </c>
      <c r="D4624" s="80" t="s">
        <v>36</v>
      </c>
      <c r="E4624" s="80" t="s">
        <v>39</v>
      </c>
      <c r="F4624" s="80" t="s">
        <v>36</v>
      </c>
      <c r="G4624" s="80" t="s">
        <v>41</v>
      </c>
      <c r="H4624" s="80" t="s">
        <v>16379</v>
      </c>
      <c r="I4624" s="17" t="str">
        <f ca="1">IFERROR(__xludf.DUMMYFUNCTION("""COMPUTED_VALUE""")," ")</f>
        <v xml:space="preserve"> </v>
      </c>
      <c r="J4624" s="143" t="s">
        <v>16380</v>
      </c>
      <c r="K4624" s="80" t="s">
        <v>16381</v>
      </c>
      <c r="L4624" s="30">
        <v>974605703</v>
      </c>
      <c r="M4624" s="80" t="s">
        <v>348</v>
      </c>
      <c r="N4624" s="80" t="s">
        <v>4299</v>
      </c>
      <c r="O4624" s="80" t="s">
        <v>16382</v>
      </c>
      <c r="P4624" s="80" t="s">
        <v>16383</v>
      </c>
      <c r="Q4624" s="20">
        <v>5736</v>
      </c>
      <c r="R4624" s="80" t="s">
        <v>36</v>
      </c>
      <c r="S4624" s="95">
        <v>5736</v>
      </c>
      <c r="T4624" s="148">
        <v>45582</v>
      </c>
      <c r="U4624" s="77"/>
      <c r="V4624" s="78"/>
      <c r="W4624" s="85" t="s">
        <v>16384</v>
      </c>
      <c r="X4624" s="80"/>
      <c r="Y4624" s="22">
        <v>0</v>
      </c>
      <c r="Z4624" s="80" t="s">
        <v>50</v>
      </c>
      <c r="AA4624" s="35" t="s">
        <v>9905</v>
      </c>
      <c r="AB4624" s="80"/>
      <c r="AC4624" s="80" t="s">
        <v>53</v>
      </c>
      <c r="AD4624" s="80" t="s">
        <v>138</v>
      </c>
      <c r="AE4624" s="80" t="s">
        <v>16305</v>
      </c>
      <c r="AF4624" s="43">
        <v>45589</v>
      </c>
      <c r="AG4624" s="80" t="s">
        <v>14199</v>
      </c>
      <c r="AH4624" s="80"/>
      <c r="AI4624" s="147"/>
      <c r="AJ4624" s="80"/>
      <c r="AK4624" s="80"/>
      <c r="AL4624" s="35"/>
      <c r="AM4624" s="35"/>
      <c r="AN4624" s="35"/>
      <c r="AO4624" s="35"/>
      <c r="AP4624" s="35"/>
    </row>
    <row r="4625" spans="1:42" x14ac:dyDescent="0.2">
      <c r="A4625" s="126">
        <v>45583.377103587962</v>
      </c>
      <c r="B4625" s="137" t="s">
        <v>37</v>
      </c>
      <c r="C4625" s="41" t="s">
        <v>118</v>
      </c>
      <c r="D4625" s="80" t="s">
        <v>36</v>
      </c>
      <c r="E4625" s="80" t="s">
        <v>77</v>
      </c>
      <c r="F4625" s="80" t="s">
        <v>40</v>
      </c>
      <c r="G4625" s="80" t="s">
        <v>41</v>
      </c>
      <c r="H4625" s="80" t="s">
        <v>15796</v>
      </c>
      <c r="I4625" s="17">
        <f ca="1">IFERROR(__xludf.DUMMYFUNCTION("""COMPUTED_VALUE"""),45594)</f>
        <v>45594</v>
      </c>
      <c r="J4625" s="143" t="s">
        <v>16385</v>
      </c>
      <c r="K4625" s="80" t="s">
        <v>16386</v>
      </c>
      <c r="L4625" s="30">
        <v>382260206</v>
      </c>
      <c r="M4625" s="80" t="s">
        <v>11413</v>
      </c>
      <c r="N4625" s="80" t="s">
        <v>1246</v>
      </c>
      <c r="O4625" s="80" t="s">
        <v>16387</v>
      </c>
      <c r="P4625" s="80" t="s">
        <v>16388</v>
      </c>
      <c r="Q4625" s="20">
        <v>1968</v>
      </c>
      <c r="R4625" s="80" t="s">
        <v>36</v>
      </c>
      <c r="S4625" s="95">
        <v>1968</v>
      </c>
      <c r="T4625" s="148">
        <v>45583</v>
      </c>
      <c r="U4625" s="77"/>
      <c r="V4625" s="144" t="s">
        <v>14402</v>
      </c>
      <c r="W4625" s="79" t="s">
        <v>16389</v>
      </c>
      <c r="X4625" s="80"/>
      <c r="Y4625" s="22">
        <v>0</v>
      </c>
      <c r="Z4625" s="80" t="s">
        <v>50</v>
      </c>
      <c r="AA4625" s="96" t="s">
        <v>9905</v>
      </c>
      <c r="AB4625" s="144" t="s">
        <v>14402</v>
      </c>
      <c r="AC4625" s="80" t="s">
        <v>53</v>
      </c>
      <c r="AD4625" s="80" t="s">
        <v>138</v>
      </c>
      <c r="AE4625" s="80"/>
      <c r="AF4625" s="43">
        <v>45594</v>
      </c>
      <c r="AG4625" s="80"/>
      <c r="AH4625" s="80"/>
      <c r="AI4625" s="147"/>
      <c r="AJ4625" s="80"/>
      <c r="AK4625" s="80"/>
      <c r="AL4625" s="35"/>
      <c r="AM4625" s="35"/>
      <c r="AN4625" s="35"/>
      <c r="AO4625" s="35"/>
      <c r="AP4625" s="35"/>
    </row>
    <row r="4626" spans="1:42" x14ac:dyDescent="0.2">
      <c r="A4626" s="126">
        <v>45583.379358449078</v>
      </c>
      <c r="B4626" s="137" t="s">
        <v>37</v>
      </c>
      <c r="C4626" s="41" t="s">
        <v>118</v>
      </c>
      <c r="D4626" s="80" t="s">
        <v>36</v>
      </c>
      <c r="E4626" s="80" t="s">
        <v>77</v>
      </c>
      <c r="F4626" s="80" t="s">
        <v>40</v>
      </c>
      <c r="G4626" s="80" t="s">
        <v>41</v>
      </c>
      <c r="H4626" s="80" t="s">
        <v>15796</v>
      </c>
      <c r="I4626" s="17">
        <f ca="1">IFERROR(__xludf.DUMMYFUNCTION("""COMPUTED_VALUE"""),45594)</f>
        <v>45594</v>
      </c>
      <c r="J4626" s="143" t="s">
        <v>16390</v>
      </c>
      <c r="K4626" s="145" t="s">
        <v>16391</v>
      </c>
      <c r="L4626" s="30">
        <v>369514003</v>
      </c>
      <c r="M4626" s="80" t="s">
        <v>123</v>
      </c>
      <c r="N4626" s="80" t="s">
        <v>16392</v>
      </c>
      <c r="O4626" s="80" t="s">
        <v>16393</v>
      </c>
      <c r="P4626" s="80" t="s">
        <v>16394</v>
      </c>
      <c r="Q4626" s="20">
        <v>1968</v>
      </c>
      <c r="R4626" s="80" t="s">
        <v>36</v>
      </c>
      <c r="S4626" s="95">
        <v>1968</v>
      </c>
      <c r="T4626" s="148">
        <v>45583</v>
      </c>
      <c r="U4626" s="77"/>
      <c r="V4626" s="144" t="s">
        <v>14402</v>
      </c>
      <c r="W4626" s="79" t="s">
        <v>16389</v>
      </c>
      <c r="X4626" s="80"/>
      <c r="Y4626" s="22">
        <v>0</v>
      </c>
      <c r="Z4626" s="80" t="s">
        <v>50</v>
      </c>
      <c r="AA4626" s="35" t="s">
        <v>9905</v>
      </c>
      <c r="AB4626" s="80"/>
      <c r="AC4626" s="80" t="s">
        <v>53</v>
      </c>
      <c r="AD4626" s="80" t="s">
        <v>138</v>
      </c>
      <c r="AE4626" s="80"/>
      <c r="AF4626" s="43">
        <v>45594</v>
      </c>
      <c r="AG4626" s="80"/>
      <c r="AH4626" s="80"/>
      <c r="AI4626" s="147"/>
      <c r="AJ4626" s="80"/>
      <c r="AK4626" s="80"/>
      <c r="AL4626" s="35"/>
      <c r="AM4626" s="35"/>
      <c r="AN4626" s="35"/>
      <c r="AO4626" s="35"/>
      <c r="AP4626" s="35"/>
    </row>
    <row r="4627" spans="1:42" x14ac:dyDescent="0.2">
      <c r="A4627" s="126">
        <v>45583.422664293983</v>
      </c>
      <c r="B4627" s="137" t="s">
        <v>37</v>
      </c>
      <c r="C4627" s="41" t="s">
        <v>118</v>
      </c>
      <c r="D4627" s="80" t="s">
        <v>36</v>
      </c>
      <c r="E4627" s="80" t="s">
        <v>139</v>
      </c>
      <c r="F4627" s="80" t="s">
        <v>40</v>
      </c>
      <c r="G4627" s="80" t="s">
        <v>41</v>
      </c>
      <c r="H4627" s="80" t="s">
        <v>13535</v>
      </c>
      <c r="I4627" s="17">
        <f ca="1">IFERROR(__xludf.DUMMYFUNCTION("""COMPUTED_VALUE"""),45589)</f>
        <v>45589</v>
      </c>
      <c r="J4627" s="143" t="s">
        <v>16395</v>
      </c>
      <c r="K4627" s="80" t="s">
        <v>16396</v>
      </c>
      <c r="L4627" s="30">
        <v>349948085</v>
      </c>
      <c r="M4627" s="80" t="s">
        <v>9422</v>
      </c>
      <c r="N4627" s="80" t="s">
        <v>327</v>
      </c>
      <c r="O4627" s="80" t="s">
        <v>16397</v>
      </c>
      <c r="P4627" s="80" t="s">
        <v>3694</v>
      </c>
      <c r="Q4627" s="20">
        <v>15936</v>
      </c>
      <c r="R4627" s="80" t="s">
        <v>36</v>
      </c>
      <c r="S4627" s="95">
        <v>15936</v>
      </c>
      <c r="T4627" s="148">
        <v>45583</v>
      </c>
      <c r="U4627" s="77"/>
      <c r="V4627" s="78"/>
      <c r="W4627" s="85" t="s">
        <v>16398</v>
      </c>
      <c r="X4627" s="80"/>
      <c r="Y4627" s="22">
        <v>0</v>
      </c>
      <c r="Z4627" s="80" t="s">
        <v>50</v>
      </c>
      <c r="AA4627" s="96" t="s">
        <v>9905</v>
      </c>
      <c r="AB4627" s="80"/>
      <c r="AC4627" s="80" t="s">
        <v>53</v>
      </c>
      <c r="AD4627" s="80" t="s">
        <v>138</v>
      </c>
      <c r="AE4627" s="80"/>
      <c r="AF4627" s="43">
        <v>45589</v>
      </c>
      <c r="AG4627" s="80" t="s">
        <v>13541</v>
      </c>
      <c r="AH4627" s="80"/>
      <c r="AI4627" s="147"/>
      <c r="AJ4627" s="80"/>
      <c r="AK4627" s="80"/>
      <c r="AL4627" s="35"/>
      <c r="AM4627" s="35"/>
      <c r="AN4627" s="35"/>
      <c r="AO4627" s="35"/>
      <c r="AP4627" s="35"/>
    </row>
    <row r="4628" spans="1:42" x14ac:dyDescent="0.2">
      <c r="A4628" s="126">
        <v>45583.481251145829</v>
      </c>
      <c r="B4628" s="137" t="s">
        <v>37</v>
      </c>
      <c r="C4628" s="41" t="s">
        <v>118</v>
      </c>
      <c r="D4628" s="80" t="s">
        <v>36</v>
      </c>
      <c r="E4628" s="80" t="s">
        <v>77</v>
      </c>
      <c r="F4628" s="80" t="s">
        <v>40</v>
      </c>
      <c r="G4628" s="80" t="s">
        <v>41</v>
      </c>
      <c r="H4628" s="80" t="s">
        <v>13829</v>
      </c>
      <c r="I4628" s="17">
        <f ca="1">IFERROR(__xludf.DUMMYFUNCTION("""COMPUTED_VALUE"""),45596)</f>
        <v>45596</v>
      </c>
      <c r="J4628" s="143" t="s">
        <v>16399</v>
      </c>
      <c r="K4628" s="80" t="s">
        <v>2818</v>
      </c>
      <c r="L4628" s="30">
        <v>335844973</v>
      </c>
      <c r="M4628" s="80" t="s">
        <v>348</v>
      </c>
      <c r="N4628" s="80" t="s">
        <v>200</v>
      </c>
      <c r="O4628" s="80" t="s">
        <v>91</v>
      </c>
      <c r="P4628" s="80" t="s">
        <v>16400</v>
      </c>
      <c r="Q4628" s="20">
        <v>1968</v>
      </c>
      <c r="R4628" s="80" t="s">
        <v>36</v>
      </c>
      <c r="S4628" s="95">
        <f>1000+968</f>
        <v>1968</v>
      </c>
      <c r="T4628" s="83" t="s">
        <v>16401</v>
      </c>
      <c r="U4628" s="77"/>
      <c r="V4628" s="78"/>
      <c r="W4628" s="85" t="s">
        <v>16402</v>
      </c>
      <c r="X4628" s="80"/>
      <c r="Y4628" s="22">
        <v>0</v>
      </c>
      <c r="Z4628" s="80" t="s">
        <v>50</v>
      </c>
      <c r="AA4628" s="35" t="s">
        <v>9905</v>
      </c>
      <c r="AB4628" s="80"/>
      <c r="AC4628" s="80" t="s">
        <v>53</v>
      </c>
      <c r="AD4628" s="80" t="s">
        <v>54</v>
      </c>
      <c r="AE4628" s="80" t="s">
        <v>91</v>
      </c>
      <c r="AF4628" s="43">
        <v>45588</v>
      </c>
      <c r="AG4628" s="80"/>
      <c r="AH4628" s="80"/>
      <c r="AI4628" s="147"/>
      <c r="AJ4628" s="80"/>
      <c r="AK4628" s="80"/>
      <c r="AL4628" s="35"/>
      <c r="AM4628" s="35"/>
      <c r="AN4628" s="35"/>
      <c r="AO4628" s="35"/>
      <c r="AP4628" s="35"/>
    </row>
    <row r="4629" spans="1:42" x14ac:dyDescent="0.2">
      <c r="A4629" s="126">
        <v>45583.939221898152</v>
      </c>
      <c r="B4629" s="137" t="s">
        <v>37</v>
      </c>
      <c r="C4629" s="41" t="s">
        <v>118</v>
      </c>
      <c r="D4629" s="80" t="s">
        <v>36</v>
      </c>
      <c r="E4629" s="80" t="s">
        <v>77</v>
      </c>
      <c r="F4629" s="80" t="s">
        <v>40</v>
      </c>
      <c r="G4629" s="80" t="s">
        <v>41</v>
      </c>
      <c r="H4629" s="80" t="s">
        <v>13829</v>
      </c>
      <c r="I4629" s="17">
        <f ca="1">IFERROR(__xludf.DUMMYFUNCTION("""COMPUTED_VALUE"""),45596)</f>
        <v>45596</v>
      </c>
      <c r="J4629" s="143" t="s">
        <v>16403</v>
      </c>
      <c r="K4629" s="80" t="s">
        <v>16404</v>
      </c>
      <c r="L4629" s="30">
        <v>366196568</v>
      </c>
      <c r="M4629" s="80" t="s">
        <v>15970</v>
      </c>
      <c r="N4629" s="80" t="s">
        <v>1246</v>
      </c>
      <c r="O4629" s="80" t="s">
        <v>16405</v>
      </c>
      <c r="P4629" s="80" t="s">
        <v>16406</v>
      </c>
      <c r="Q4629" s="20">
        <v>1968</v>
      </c>
      <c r="R4629" s="80" t="s">
        <v>36</v>
      </c>
      <c r="S4629" s="95">
        <v>1968</v>
      </c>
      <c r="T4629" s="148">
        <v>45583</v>
      </c>
      <c r="U4629" s="77"/>
      <c r="V4629" s="78"/>
      <c r="W4629" s="85" t="s">
        <v>16407</v>
      </c>
      <c r="X4629" s="80"/>
      <c r="Y4629" s="22">
        <v>0</v>
      </c>
      <c r="Z4629" s="80" t="s">
        <v>50</v>
      </c>
      <c r="AA4629" s="96" t="s">
        <v>9905</v>
      </c>
      <c r="AB4629" s="80"/>
      <c r="AC4629" s="80" t="s">
        <v>53</v>
      </c>
      <c r="AD4629" s="80" t="s">
        <v>54</v>
      </c>
      <c r="AE4629" s="80"/>
      <c r="AF4629" s="43">
        <v>45588</v>
      </c>
      <c r="AG4629" s="80"/>
      <c r="AH4629" s="80"/>
      <c r="AI4629" s="147"/>
      <c r="AJ4629" s="80"/>
      <c r="AK4629" s="80"/>
      <c r="AL4629" s="35"/>
      <c r="AM4629" s="35"/>
      <c r="AN4629" s="35"/>
      <c r="AO4629" s="35"/>
      <c r="AP4629" s="35"/>
    </row>
    <row r="4630" spans="1:42" x14ac:dyDescent="0.2">
      <c r="A4630" s="126">
        <v>45584.403224548616</v>
      </c>
      <c r="B4630" s="137" t="s">
        <v>37</v>
      </c>
      <c r="C4630" s="41" t="s">
        <v>118</v>
      </c>
      <c r="D4630" s="80" t="s">
        <v>36</v>
      </c>
      <c r="E4630" s="80" t="s">
        <v>139</v>
      </c>
      <c r="F4630" s="80" t="s">
        <v>36</v>
      </c>
      <c r="G4630" s="80" t="s">
        <v>41</v>
      </c>
      <c r="H4630" s="80" t="s">
        <v>15166</v>
      </c>
      <c r="I4630" s="17">
        <f ca="1">IFERROR(__xludf.DUMMYFUNCTION("""COMPUTED_VALUE"""),45589)</f>
        <v>45589</v>
      </c>
      <c r="J4630" s="143" t="s">
        <v>16408</v>
      </c>
      <c r="K4630" s="80" t="s">
        <v>16409</v>
      </c>
      <c r="L4630" s="30">
        <v>385617455</v>
      </c>
      <c r="M4630" s="80" t="s">
        <v>3498</v>
      </c>
      <c r="N4630" s="80" t="s">
        <v>4402</v>
      </c>
      <c r="O4630" s="80" t="s">
        <v>4503</v>
      </c>
      <c r="P4630" s="80" t="s">
        <v>16410</v>
      </c>
      <c r="Q4630" s="20">
        <v>15936</v>
      </c>
      <c r="R4630" s="80" t="s">
        <v>36</v>
      </c>
      <c r="S4630" s="95">
        <v>15936</v>
      </c>
      <c r="T4630" s="148">
        <v>45583</v>
      </c>
      <c r="U4630" s="77"/>
      <c r="V4630" s="78"/>
      <c r="W4630" s="85" t="s">
        <v>16411</v>
      </c>
      <c r="X4630" s="80"/>
      <c r="Y4630" s="22">
        <v>0</v>
      </c>
      <c r="Z4630" s="80" t="s">
        <v>50</v>
      </c>
      <c r="AA4630" s="35" t="s">
        <v>9905</v>
      </c>
      <c r="AB4630" s="80"/>
      <c r="AC4630" s="80" t="s">
        <v>53</v>
      </c>
      <c r="AD4630" s="80" t="s">
        <v>138</v>
      </c>
      <c r="AE4630" s="80"/>
      <c r="AF4630" s="43">
        <v>45589</v>
      </c>
      <c r="AG4630" s="80" t="s">
        <v>14199</v>
      </c>
      <c r="AH4630" s="80"/>
      <c r="AI4630" s="147"/>
      <c r="AJ4630" s="80"/>
      <c r="AK4630" s="80"/>
      <c r="AL4630" s="35"/>
      <c r="AM4630" s="35"/>
      <c r="AN4630" s="35"/>
      <c r="AO4630" s="35"/>
      <c r="AP4630" s="35"/>
    </row>
    <row r="4631" spans="1:42" x14ac:dyDescent="0.2">
      <c r="A4631" s="126">
        <v>45585.795237916667</v>
      </c>
      <c r="B4631" s="137" t="s">
        <v>37</v>
      </c>
      <c r="C4631" s="41" t="s">
        <v>118</v>
      </c>
      <c r="D4631" s="80" t="s">
        <v>36</v>
      </c>
      <c r="E4631" s="80" t="s">
        <v>39</v>
      </c>
      <c r="F4631" s="80" t="s">
        <v>40</v>
      </c>
      <c r="G4631" s="80" t="s">
        <v>41</v>
      </c>
      <c r="H4631" s="80" t="s">
        <v>13829</v>
      </c>
      <c r="I4631" s="17">
        <f ca="1">IFERROR(__xludf.DUMMYFUNCTION("""COMPUTED_VALUE"""),45596)</f>
        <v>45596</v>
      </c>
      <c r="J4631" s="143" t="s">
        <v>16412</v>
      </c>
      <c r="K4631" s="80" t="s">
        <v>16413</v>
      </c>
      <c r="L4631" s="30">
        <v>984871282</v>
      </c>
      <c r="M4631" s="80" t="s">
        <v>9422</v>
      </c>
      <c r="N4631" s="80" t="s">
        <v>327</v>
      </c>
      <c r="O4631" s="80" t="s">
        <v>16414</v>
      </c>
      <c r="P4631" s="80" t="s">
        <v>16415</v>
      </c>
      <c r="Q4631" s="20">
        <v>5736</v>
      </c>
      <c r="R4631" s="80" t="s">
        <v>36</v>
      </c>
      <c r="S4631" s="95">
        <v>5736</v>
      </c>
      <c r="T4631" s="148">
        <v>45584</v>
      </c>
      <c r="U4631" s="77"/>
      <c r="V4631" s="78"/>
      <c r="W4631" s="79" t="s">
        <v>16416</v>
      </c>
      <c r="X4631" s="80"/>
      <c r="Y4631" s="22">
        <v>0</v>
      </c>
      <c r="Z4631" s="80" t="s">
        <v>50</v>
      </c>
      <c r="AA4631" s="96" t="s">
        <v>9905</v>
      </c>
      <c r="AB4631" s="80"/>
      <c r="AC4631" s="80" t="s">
        <v>53</v>
      </c>
      <c r="AD4631" s="80" t="s">
        <v>54</v>
      </c>
      <c r="AE4631" s="80"/>
      <c r="AF4631" s="43">
        <v>45588</v>
      </c>
      <c r="AG4631" s="80"/>
      <c r="AH4631" s="80"/>
      <c r="AI4631" s="147"/>
      <c r="AJ4631" s="80"/>
      <c r="AK4631" s="80"/>
      <c r="AL4631" s="35"/>
      <c r="AM4631" s="35"/>
      <c r="AN4631" s="35"/>
      <c r="AO4631" s="35"/>
      <c r="AP4631" s="35"/>
    </row>
    <row r="4632" spans="1:42" x14ac:dyDescent="0.2">
      <c r="A4632" s="126">
        <v>45586.323355057873</v>
      </c>
      <c r="B4632" s="137" t="s">
        <v>37</v>
      </c>
      <c r="C4632" s="41" t="s">
        <v>118</v>
      </c>
      <c r="D4632" s="80" t="s">
        <v>36</v>
      </c>
      <c r="E4632" s="80" t="s">
        <v>139</v>
      </c>
      <c r="F4632" s="80" t="s">
        <v>40</v>
      </c>
      <c r="G4632" s="80" t="s">
        <v>41</v>
      </c>
      <c r="H4632" s="80" t="s">
        <v>15142</v>
      </c>
      <c r="I4632" s="17">
        <f ca="1">IFERROR(__xludf.DUMMYFUNCTION("""COMPUTED_VALUE"""),45594)</f>
        <v>45594</v>
      </c>
      <c r="J4632" s="143" t="s">
        <v>16417</v>
      </c>
      <c r="K4632" s="145" t="s">
        <v>16418</v>
      </c>
      <c r="L4632" s="30">
        <v>967099343</v>
      </c>
      <c r="M4632" s="80" t="s">
        <v>9422</v>
      </c>
      <c r="N4632" s="80" t="s">
        <v>260</v>
      </c>
      <c r="O4632" s="80" t="s">
        <v>16419</v>
      </c>
      <c r="P4632" s="137" t="s">
        <v>16420</v>
      </c>
      <c r="Q4632" s="20">
        <v>15936</v>
      </c>
      <c r="R4632" s="80" t="s">
        <v>36</v>
      </c>
      <c r="S4632" s="95">
        <v>15936</v>
      </c>
      <c r="T4632" s="148">
        <v>45585</v>
      </c>
      <c r="U4632" s="77"/>
      <c r="V4632" s="78"/>
      <c r="W4632" s="85" t="s">
        <v>16421</v>
      </c>
      <c r="X4632" s="80"/>
      <c r="Y4632" s="22">
        <v>0</v>
      </c>
      <c r="Z4632" s="80" t="s">
        <v>50</v>
      </c>
      <c r="AA4632" s="35" t="s">
        <v>9905</v>
      </c>
      <c r="AB4632" s="80"/>
      <c r="AC4632" s="80" t="s">
        <v>53</v>
      </c>
      <c r="AD4632" s="80" t="s">
        <v>138</v>
      </c>
      <c r="AE4632" s="80"/>
      <c r="AF4632" s="43">
        <v>45593</v>
      </c>
      <c r="AG4632" s="80"/>
      <c r="AH4632" s="80"/>
      <c r="AI4632" s="147"/>
      <c r="AJ4632" s="80"/>
      <c r="AK4632" s="80"/>
      <c r="AL4632" s="35"/>
      <c r="AM4632" s="35"/>
      <c r="AN4632" s="35"/>
      <c r="AO4632" s="35"/>
      <c r="AP4632" s="35"/>
    </row>
    <row r="4633" spans="1:42" x14ac:dyDescent="0.2">
      <c r="A4633" s="126">
        <v>45586.329729340279</v>
      </c>
      <c r="B4633" s="137" t="s">
        <v>37</v>
      </c>
      <c r="C4633" s="41" t="s">
        <v>118</v>
      </c>
      <c r="D4633" s="80" t="s">
        <v>36</v>
      </c>
      <c r="E4633" s="80" t="s">
        <v>56</v>
      </c>
      <c r="F4633" s="80" t="s">
        <v>36</v>
      </c>
      <c r="G4633" s="80" t="s">
        <v>41</v>
      </c>
      <c r="H4633" s="80" t="s">
        <v>15451</v>
      </c>
      <c r="I4633" s="17">
        <f ca="1">IFERROR(__xludf.DUMMYFUNCTION("""COMPUTED_VALUE"""),45603)</f>
        <v>45603</v>
      </c>
      <c r="J4633" s="143" t="s">
        <v>16422</v>
      </c>
      <c r="K4633" s="80" t="s">
        <v>16423</v>
      </c>
      <c r="L4633" s="30">
        <v>354447639</v>
      </c>
      <c r="M4633" s="80" t="s">
        <v>9422</v>
      </c>
      <c r="N4633" s="80" t="s">
        <v>12670</v>
      </c>
      <c r="O4633" s="80" t="s">
        <v>16424</v>
      </c>
      <c r="P4633" s="80" t="s">
        <v>16425</v>
      </c>
      <c r="Q4633" s="20">
        <v>9317</v>
      </c>
      <c r="R4633" s="80" t="s">
        <v>70</v>
      </c>
      <c r="S4633" s="95">
        <v>2000</v>
      </c>
      <c r="T4633" s="148">
        <v>45584</v>
      </c>
      <c r="U4633" s="95">
        <v>7217</v>
      </c>
      <c r="V4633" s="148">
        <v>45587</v>
      </c>
      <c r="W4633" s="85" t="s">
        <v>16426</v>
      </c>
      <c r="X4633" s="80"/>
      <c r="Y4633" s="22">
        <v>100</v>
      </c>
      <c r="Z4633" s="80" t="s">
        <v>50</v>
      </c>
      <c r="AA4633" s="96" t="s">
        <v>9905</v>
      </c>
      <c r="AB4633" s="80"/>
      <c r="AC4633" s="80" t="s">
        <v>53</v>
      </c>
      <c r="AD4633" s="80" t="s">
        <v>138</v>
      </c>
      <c r="AE4633" s="80"/>
      <c r="AF4633" s="17">
        <v>45603</v>
      </c>
      <c r="AG4633" s="80"/>
      <c r="AH4633" s="80"/>
      <c r="AI4633" s="147"/>
      <c r="AJ4633" s="80"/>
      <c r="AK4633" s="80"/>
      <c r="AL4633" s="35"/>
      <c r="AM4633" s="35"/>
      <c r="AN4633" s="35"/>
      <c r="AO4633" s="35"/>
      <c r="AP4633" s="35"/>
    </row>
    <row r="4634" spans="1:42" x14ac:dyDescent="0.2">
      <c r="A4634" s="126">
        <v>45586.331244039349</v>
      </c>
      <c r="B4634" s="137" t="s">
        <v>37</v>
      </c>
      <c r="C4634" s="41" t="s">
        <v>118</v>
      </c>
      <c r="D4634" s="80" t="s">
        <v>36</v>
      </c>
      <c r="E4634" s="80" t="s">
        <v>56</v>
      </c>
      <c r="F4634" s="80" t="s">
        <v>36</v>
      </c>
      <c r="G4634" s="80" t="s">
        <v>41</v>
      </c>
      <c r="H4634" s="80" t="s">
        <v>15451</v>
      </c>
      <c r="I4634" s="17">
        <f ca="1">IFERROR(__xludf.DUMMYFUNCTION("""COMPUTED_VALUE"""),45603)</f>
        <v>45603</v>
      </c>
      <c r="J4634" s="143" t="s">
        <v>16427</v>
      </c>
      <c r="K4634" s="80" t="s">
        <v>16428</v>
      </c>
      <c r="L4634" s="30">
        <v>387333906</v>
      </c>
      <c r="M4634" s="80" t="s">
        <v>9422</v>
      </c>
      <c r="N4634" s="80" t="s">
        <v>12670</v>
      </c>
      <c r="O4634" s="80" t="s">
        <v>16429</v>
      </c>
      <c r="P4634" s="80" t="s">
        <v>3117</v>
      </c>
      <c r="Q4634" s="20">
        <v>9317</v>
      </c>
      <c r="R4634" s="80" t="s">
        <v>70</v>
      </c>
      <c r="S4634" s="95">
        <v>2000</v>
      </c>
      <c r="T4634" s="148">
        <v>45584</v>
      </c>
      <c r="U4634" s="95">
        <v>7217</v>
      </c>
      <c r="V4634" s="148">
        <v>45593</v>
      </c>
      <c r="W4634" s="85" t="s">
        <v>16430</v>
      </c>
      <c r="X4634" s="80"/>
      <c r="Y4634" s="22">
        <v>100</v>
      </c>
      <c r="Z4634" s="80" t="s">
        <v>50</v>
      </c>
      <c r="AA4634" s="35" t="s">
        <v>9905</v>
      </c>
      <c r="AB4634" s="80"/>
      <c r="AC4634" s="80" t="s">
        <v>53</v>
      </c>
      <c r="AD4634" s="80" t="s">
        <v>138</v>
      </c>
      <c r="AE4634" s="80"/>
      <c r="AF4634" s="17">
        <v>45603</v>
      </c>
      <c r="AG4634" s="80"/>
      <c r="AH4634" s="80"/>
      <c r="AI4634" s="147"/>
      <c r="AJ4634" s="80"/>
      <c r="AK4634" s="80"/>
      <c r="AL4634" s="35"/>
      <c r="AM4634" s="35"/>
      <c r="AN4634" s="35"/>
      <c r="AO4634" s="35"/>
      <c r="AP4634" s="35"/>
    </row>
    <row r="4635" spans="1:42" x14ac:dyDescent="0.2">
      <c r="A4635" s="126">
        <v>45586.423968472227</v>
      </c>
      <c r="B4635" s="137" t="s">
        <v>37</v>
      </c>
      <c r="C4635" s="41" t="s">
        <v>118</v>
      </c>
      <c r="D4635" s="80" t="s">
        <v>36</v>
      </c>
      <c r="E4635" s="80" t="s">
        <v>139</v>
      </c>
      <c r="F4635" s="80" t="s">
        <v>36</v>
      </c>
      <c r="G4635" s="80" t="s">
        <v>41</v>
      </c>
      <c r="H4635" s="80" t="s">
        <v>16288</v>
      </c>
      <c r="I4635" s="17">
        <f ca="1">IFERROR(__xludf.DUMMYFUNCTION("""COMPUTED_VALUE"""),45589)</f>
        <v>45589</v>
      </c>
      <c r="J4635" s="143" t="s">
        <v>16431</v>
      </c>
      <c r="K4635" s="80" t="s">
        <v>16432</v>
      </c>
      <c r="L4635" s="30">
        <v>386170236</v>
      </c>
      <c r="M4635" s="80" t="s">
        <v>9422</v>
      </c>
      <c r="N4635" s="80" t="s">
        <v>12670</v>
      </c>
      <c r="O4635" s="80" t="s">
        <v>307</v>
      </c>
      <c r="P4635" s="80" t="s">
        <v>11608</v>
      </c>
      <c r="Q4635" s="20">
        <v>15936</v>
      </c>
      <c r="R4635" s="80" t="s">
        <v>11421</v>
      </c>
      <c r="S4635" s="95">
        <v>15636</v>
      </c>
      <c r="T4635" s="148">
        <v>45586</v>
      </c>
      <c r="U4635" s="77"/>
      <c r="V4635" s="78"/>
      <c r="W4635" s="85" t="s">
        <v>16433</v>
      </c>
      <c r="X4635" s="80"/>
      <c r="Y4635" s="22">
        <v>300</v>
      </c>
      <c r="Z4635" s="80" t="s">
        <v>50</v>
      </c>
      <c r="AA4635" s="96" t="s">
        <v>9905</v>
      </c>
      <c r="AB4635" s="80"/>
      <c r="AC4635" s="80" t="s">
        <v>53</v>
      </c>
      <c r="AD4635" s="80" t="s">
        <v>138</v>
      </c>
      <c r="AE4635" s="80"/>
      <c r="AF4635" s="43">
        <v>45589</v>
      </c>
      <c r="AG4635" s="80" t="s">
        <v>14199</v>
      </c>
      <c r="AH4635" s="80"/>
      <c r="AI4635" s="147"/>
      <c r="AJ4635" s="80"/>
      <c r="AK4635" s="80"/>
      <c r="AL4635" s="35"/>
      <c r="AM4635" s="35"/>
      <c r="AN4635" s="35"/>
      <c r="AO4635" s="35"/>
      <c r="AP4635" s="35"/>
    </row>
    <row r="4636" spans="1:42" x14ac:dyDescent="0.2">
      <c r="A4636" s="126">
        <v>45586.650241655094</v>
      </c>
      <c r="B4636" s="137" t="s">
        <v>37</v>
      </c>
      <c r="C4636" s="41" t="s">
        <v>118</v>
      </c>
      <c r="D4636" s="80" t="s">
        <v>36</v>
      </c>
      <c r="E4636" s="80" t="s">
        <v>56</v>
      </c>
      <c r="F4636" s="80" t="s">
        <v>36</v>
      </c>
      <c r="G4636" s="80" t="s">
        <v>41</v>
      </c>
      <c r="H4636" s="80" t="s">
        <v>15451</v>
      </c>
      <c r="I4636" s="17">
        <f ca="1">IFERROR(__xludf.DUMMYFUNCTION("""COMPUTED_VALUE"""),45603)</f>
        <v>45603</v>
      </c>
      <c r="J4636" s="143" t="s">
        <v>16434</v>
      </c>
      <c r="K4636" s="80" t="s">
        <v>16435</v>
      </c>
      <c r="L4636" s="30">
        <v>358311672</v>
      </c>
      <c r="M4636" s="80" t="s">
        <v>9422</v>
      </c>
      <c r="N4636" s="80" t="s">
        <v>5574</v>
      </c>
      <c r="O4636" s="80" t="s">
        <v>91</v>
      </c>
      <c r="P4636" s="80" t="s">
        <v>3694</v>
      </c>
      <c r="Q4636" s="20">
        <v>9317</v>
      </c>
      <c r="R4636" s="80" t="s">
        <v>11421</v>
      </c>
      <c r="S4636" s="95">
        <v>9017</v>
      </c>
      <c r="T4636" s="148">
        <v>45586</v>
      </c>
      <c r="U4636" s="77"/>
      <c r="V4636" s="78"/>
      <c r="W4636" s="85" t="s">
        <v>16436</v>
      </c>
      <c r="X4636" s="80"/>
      <c r="Y4636" s="22">
        <v>300</v>
      </c>
      <c r="Z4636" s="80" t="s">
        <v>50</v>
      </c>
      <c r="AA4636" s="35" t="s">
        <v>9905</v>
      </c>
      <c r="AB4636" s="80"/>
      <c r="AC4636" s="80" t="s">
        <v>53</v>
      </c>
      <c r="AD4636" s="80" t="s">
        <v>138</v>
      </c>
      <c r="AE4636" s="80"/>
      <c r="AF4636" s="17">
        <v>45603</v>
      </c>
      <c r="AG4636" s="80"/>
      <c r="AH4636" s="80"/>
      <c r="AI4636" s="147"/>
      <c r="AJ4636" s="80"/>
      <c r="AK4636" s="80"/>
      <c r="AL4636" s="35"/>
      <c r="AM4636" s="35"/>
      <c r="AN4636" s="35"/>
      <c r="AO4636" s="35"/>
      <c r="AP4636" s="35"/>
    </row>
    <row r="4637" spans="1:42" x14ac:dyDescent="0.2">
      <c r="A4637" s="126">
        <v>45587.548389305557</v>
      </c>
      <c r="B4637" s="137" t="s">
        <v>37</v>
      </c>
      <c r="C4637" s="41" t="s">
        <v>118</v>
      </c>
      <c r="D4637" s="80" t="s">
        <v>36</v>
      </c>
      <c r="E4637" s="80" t="s">
        <v>77</v>
      </c>
      <c r="F4637" s="80" t="s">
        <v>36</v>
      </c>
      <c r="G4637" s="80" t="s">
        <v>41</v>
      </c>
      <c r="H4637" s="80" t="s">
        <v>15166</v>
      </c>
      <c r="I4637" s="17">
        <f ca="1">IFERROR(__xludf.DUMMYFUNCTION("""COMPUTED_VALUE"""),45589)</f>
        <v>45589</v>
      </c>
      <c r="J4637" s="143" t="s">
        <v>16437</v>
      </c>
      <c r="K4637" s="80" t="s">
        <v>10310</v>
      </c>
      <c r="L4637" s="30">
        <v>327311456</v>
      </c>
      <c r="M4637" s="80" t="s">
        <v>348</v>
      </c>
      <c r="N4637" s="80" t="s">
        <v>4299</v>
      </c>
      <c r="O4637" s="80" t="s">
        <v>16438</v>
      </c>
      <c r="P4637" s="80" t="s">
        <v>16439</v>
      </c>
      <c r="Q4637" s="20">
        <v>1968</v>
      </c>
      <c r="R4637" s="80" t="s">
        <v>36</v>
      </c>
      <c r="S4637" s="95">
        <v>1968</v>
      </c>
      <c r="T4637" s="148">
        <v>45586</v>
      </c>
      <c r="U4637" s="77"/>
      <c r="V4637" s="78"/>
      <c r="W4637" s="85" t="s">
        <v>16440</v>
      </c>
      <c r="X4637" s="80"/>
      <c r="Y4637" s="22">
        <v>0</v>
      </c>
      <c r="Z4637" s="80" t="s">
        <v>50</v>
      </c>
      <c r="AA4637" s="96" t="s">
        <v>9905</v>
      </c>
      <c r="AB4637" s="80"/>
      <c r="AC4637" s="80" t="s">
        <v>53</v>
      </c>
      <c r="AD4637" s="80" t="s">
        <v>138</v>
      </c>
      <c r="AE4637" s="80" t="s">
        <v>16312</v>
      </c>
      <c r="AF4637" s="43">
        <v>45589</v>
      </c>
      <c r="AG4637" s="80" t="s">
        <v>14199</v>
      </c>
      <c r="AH4637" s="80"/>
      <c r="AI4637" s="147"/>
      <c r="AJ4637" s="80"/>
      <c r="AK4637" s="80"/>
      <c r="AL4637" s="35"/>
      <c r="AM4637" s="35"/>
      <c r="AN4637" s="35"/>
      <c r="AO4637" s="35"/>
      <c r="AP4637" s="35"/>
    </row>
    <row r="4638" spans="1:42" x14ac:dyDescent="0.2">
      <c r="A4638" s="126">
        <v>45587.587983101854</v>
      </c>
      <c r="B4638" s="137" t="s">
        <v>37</v>
      </c>
      <c r="C4638" s="41" t="s">
        <v>118</v>
      </c>
      <c r="D4638" s="80" t="s">
        <v>36</v>
      </c>
      <c r="E4638" s="80" t="s">
        <v>119</v>
      </c>
      <c r="F4638" s="80" t="s">
        <v>40</v>
      </c>
      <c r="G4638" s="80" t="s">
        <v>108</v>
      </c>
      <c r="H4638" s="80" t="s">
        <v>13877</v>
      </c>
      <c r="I4638" s="17">
        <f ca="1">IFERROR(__xludf.DUMMYFUNCTION("""COMPUTED_VALUE"""),45597)</f>
        <v>45597</v>
      </c>
      <c r="J4638" s="143" t="s">
        <v>16441</v>
      </c>
      <c r="K4638" s="145" t="s">
        <v>16442</v>
      </c>
      <c r="L4638" s="30">
        <v>944477604</v>
      </c>
      <c r="M4638" s="80" t="s">
        <v>3498</v>
      </c>
      <c r="N4638" s="80" t="s">
        <v>4402</v>
      </c>
      <c r="O4638" s="80" t="s">
        <v>4503</v>
      </c>
      <c r="P4638" s="80" t="s">
        <v>16443</v>
      </c>
      <c r="Q4638" s="20">
        <v>13968</v>
      </c>
      <c r="R4638" s="80" t="s">
        <v>36</v>
      </c>
      <c r="S4638" s="95">
        <v>13968</v>
      </c>
      <c r="T4638" s="148">
        <v>45587</v>
      </c>
      <c r="U4638" s="77"/>
      <c r="V4638" s="78"/>
      <c r="W4638" s="85" t="s">
        <v>16444</v>
      </c>
      <c r="X4638" s="80"/>
      <c r="Y4638" s="22">
        <v>0</v>
      </c>
      <c r="Z4638" s="80" t="s">
        <v>50</v>
      </c>
      <c r="AA4638" s="35" t="s">
        <v>9905</v>
      </c>
      <c r="AB4638" s="80"/>
      <c r="AC4638" s="80" t="s">
        <v>53</v>
      </c>
      <c r="AD4638" s="80" t="s">
        <v>54</v>
      </c>
      <c r="AE4638" s="80"/>
      <c r="AF4638" s="43">
        <v>45590</v>
      </c>
      <c r="AG4638" s="80"/>
      <c r="AH4638" s="80"/>
      <c r="AI4638" s="147"/>
      <c r="AJ4638" s="80"/>
      <c r="AK4638" s="80"/>
      <c r="AL4638" s="35"/>
      <c r="AM4638" s="35"/>
      <c r="AN4638" s="35"/>
      <c r="AO4638" s="35"/>
      <c r="AP4638" s="35"/>
    </row>
    <row r="4639" spans="1:42" x14ac:dyDescent="0.2">
      <c r="A4639" s="126">
        <v>45587.784723263889</v>
      </c>
      <c r="B4639" s="137" t="s">
        <v>37</v>
      </c>
      <c r="C4639" s="41" t="s">
        <v>118</v>
      </c>
      <c r="D4639" s="80" t="s">
        <v>36</v>
      </c>
      <c r="E4639" s="80" t="s">
        <v>148</v>
      </c>
      <c r="F4639" s="80" t="s">
        <v>40</v>
      </c>
      <c r="G4639" s="80" t="s">
        <v>108</v>
      </c>
      <c r="H4639" s="80" t="s">
        <v>14007</v>
      </c>
      <c r="I4639" s="17">
        <f ca="1">IFERROR(__xludf.DUMMYFUNCTION("""COMPUTED_VALUE"""),45603)</f>
        <v>45603</v>
      </c>
      <c r="J4639" s="143" t="s">
        <v>16445</v>
      </c>
      <c r="K4639" s="80" t="s">
        <v>16446</v>
      </c>
      <c r="L4639" s="30">
        <v>333148995</v>
      </c>
      <c r="M4639" s="80" t="s">
        <v>348</v>
      </c>
      <c r="N4639" s="80" t="s">
        <v>4299</v>
      </c>
      <c r="O4639" s="80" t="s">
        <v>16447</v>
      </c>
      <c r="P4639" s="80" t="s">
        <v>7743</v>
      </c>
      <c r="Q4639" s="20">
        <v>7349</v>
      </c>
      <c r="R4639" s="80" t="s">
        <v>36</v>
      </c>
      <c r="S4639" s="95">
        <v>7349</v>
      </c>
      <c r="T4639" s="148">
        <v>45583</v>
      </c>
      <c r="U4639" s="77"/>
      <c r="V4639" s="78"/>
      <c r="W4639" s="85" t="s">
        <v>16448</v>
      </c>
      <c r="X4639" s="80"/>
      <c r="Y4639" s="22">
        <v>0</v>
      </c>
      <c r="Z4639" s="80" t="s">
        <v>50</v>
      </c>
      <c r="AA4639" s="96" t="s">
        <v>9905</v>
      </c>
      <c r="AB4639" s="80"/>
      <c r="AC4639" s="80" t="s">
        <v>53</v>
      </c>
      <c r="AD4639" s="80" t="s">
        <v>138</v>
      </c>
      <c r="AE4639" s="80" t="s">
        <v>2752</v>
      </c>
      <c r="AF4639" s="17">
        <v>45603</v>
      </c>
      <c r="AG4639" s="80"/>
      <c r="AH4639" s="80"/>
      <c r="AI4639" s="147"/>
      <c r="AJ4639" s="80"/>
      <c r="AK4639" s="80"/>
      <c r="AL4639" s="35"/>
      <c r="AM4639" s="35"/>
      <c r="AN4639" s="35"/>
      <c r="AO4639" s="35"/>
      <c r="AP4639" s="35"/>
    </row>
    <row r="4640" spans="1:42" x14ac:dyDescent="0.2">
      <c r="A4640" s="126">
        <v>45587.981577766201</v>
      </c>
      <c r="B4640" s="137" t="s">
        <v>37</v>
      </c>
      <c r="C4640" s="41" t="s">
        <v>118</v>
      </c>
      <c r="D4640" s="80" t="s">
        <v>36</v>
      </c>
      <c r="E4640" s="80" t="s">
        <v>77</v>
      </c>
      <c r="F4640" s="80" t="s">
        <v>36</v>
      </c>
      <c r="G4640" s="80" t="s">
        <v>41</v>
      </c>
      <c r="H4640" s="80" t="s">
        <v>16449</v>
      </c>
      <c r="I4640" s="17" t="str">
        <f ca="1">IFERROR(__xludf.DUMMYFUNCTION("""COMPUTED_VALUE""")," ")</f>
        <v xml:space="preserve"> </v>
      </c>
      <c r="J4640" s="143" t="s">
        <v>16450</v>
      </c>
      <c r="K4640" s="80" t="s">
        <v>16451</v>
      </c>
      <c r="L4640" s="30">
        <v>795226996</v>
      </c>
      <c r="M4640" s="80" t="s">
        <v>348</v>
      </c>
      <c r="N4640" s="80" t="s">
        <v>68</v>
      </c>
      <c r="O4640" s="80" t="s">
        <v>16452</v>
      </c>
      <c r="P4640" s="80" t="s">
        <v>16453</v>
      </c>
      <c r="Q4640" s="20">
        <v>1968</v>
      </c>
      <c r="R4640" s="80" t="s">
        <v>36</v>
      </c>
      <c r="S4640" s="95">
        <v>1968</v>
      </c>
      <c r="T4640" s="148">
        <v>45587</v>
      </c>
      <c r="U4640" s="77"/>
      <c r="V4640" s="78"/>
      <c r="W4640" s="85" t="s">
        <v>16454</v>
      </c>
      <c r="X4640" s="80"/>
      <c r="Y4640" s="22">
        <v>0</v>
      </c>
      <c r="Z4640" s="80" t="s">
        <v>50</v>
      </c>
      <c r="AA4640" s="35" t="s">
        <v>9905</v>
      </c>
      <c r="AB4640" s="80"/>
      <c r="AC4640" s="80" t="s">
        <v>53</v>
      </c>
      <c r="AD4640" s="80" t="s">
        <v>54</v>
      </c>
      <c r="AE4640" s="80" t="s">
        <v>2670</v>
      </c>
      <c r="AF4640" s="43">
        <v>45588</v>
      </c>
      <c r="AG4640" s="80"/>
      <c r="AH4640" s="80"/>
      <c r="AI4640" s="147"/>
      <c r="AJ4640" s="80"/>
      <c r="AK4640" s="80"/>
      <c r="AL4640" s="35"/>
      <c r="AM4640" s="35"/>
      <c r="AN4640" s="35"/>
      <c r="AO4640" s="35"/>
      <c r="AP4640" s="35"/>
    </row>
    <row r="4641" spans="1:42" x14ac:dyDescent="0.2">
      <c r="A4641" s="126">
        <v>45587.983838171298</v>
      </c>
      <c r="B4641" s="137" t="s">
        <v>37</v>
      </c>
      <c r="C4641" s="41" t="s">
        <v>118</v>
      </c>
      <c r="D4641" s="80" t="s">
        <v>36</v>
      </c>
      <c r="E4641" s="80" t="s">
        <v>148</v>
      </c>
      <c r="F4641" s="80" t="s">
        <v>40</v>
      </c>
      <c r="G4641" s="80" t="s">
        <v>108</v>
      </c>
      <c r="H4641" s="80" t="s">
        <v>8844</v>
      </c>
      <c r="I4641" s="17">
        <f ca="1">IFERROR(__xludf.DUMMYFUNCTION("""COMPUTED_VALUE"""),45593)</f>
        <v>45593</v>
      </c>
      <c r="J4641" s="143" t="s">
        <v>16455</v>
      </c>
      <c r="K4641" s="80" t="s">
        <v>16456</v>
      </c>
      <c r="L4641" s="30">
        <v>398646345</v>
      </c>
      <c r="M4641" s="80" t="s">
        <v>348</v>
      </c>
      <c r="N4641" s="80" t="s">
        <v>4299</v>
      </c>
      <c r="O4641" s="80" t="s">
        <v>16457</v>
      </c>
      <c r="P4641" s="80" t="s">
        <v>16458</v>
      </c>
      <c r="Q4641" s="20">
        <v>7349</v>
      </c>
      <c r="R4641" s="80" t="s">
        <v>36</v>
      </c>
      <c r="S4641" s="95">
        <f>200+3568</f>
        <v>3768</v>
      </c>
      <c r="T4641" s="83" t="s">
        <v>16459</v>
      </c>
      <c r="U4641" s="95">
        <v>3581</v>
      </c>
      <c r="V4641" s="148">
        <v>45595</v>
      </c>
      <c r="W4641" s="85" t="s">
        <v>16460</v>
      </c>
      <c r="X4641" s="80"/>
      <c r="Y4641" s="22">
        <v>0</v>
      </c>
      <c r="Z4641" s="80" t="s">
        <v>50</v>
      </c>
      <c r="AA4641" s="96" t="s">
        <v>9905</v>
      </c>
      <c r="AB4641" s="80"/>
      <c r="AC4641" s="80" t="s">
        <v>53</v>
      </c>
      <c r="AD4641" s="80" t="s">
        <v>54</v>
      </c>
      <c r="AE4641" s="80" t="s">
        <v>2752</v>
      </c>
      <c r="AF4641" s="17">
        <v>45589</v>
      </c>
      <c r="AG4641" s="80"/>
      <c r="AH4641" s="80"/>
      <c r="AI4641" s="147"/>
      <c r="AJ4641" s="80"/>
      <c r="AK4641" s="80"/>
      <c r="AL4641" s="35"/>
      <c r="AM4641" s="35"/>
      <c r="AN4641" s="35"/>
      <c r="AO4641" s="35"/>
      <c r="AP4641" s="35"/>
    </row>
    <row r="4642" spans="1:42" x14ac:dyDescent="0.2">
      <c r="A4642" s="126">
        <v>45587.998087581014</v>
      </c>
      <c r="B4642" s="137" t="s">
        <v>37</v>
      </c>
      <c r="C4642" s="41" t="s">
        <v>118</v>
      </c>
      <c r="D4642" s="80" t="s">
        <v>106</v>
      </c>
      <c r="E4642" s="80" t="s">
        <v>915</v>
      </c>
      <c r="F4642" s="80" t="s">
        <v>7519</v>
      </c>
      <c r="G4642" s="80" t="s">
        <v>221</v>
      </c>
      <c r="H4642" s="80" t="s">
        <v>16461</v>
      </c>
      <c r="I4642" s="17">
        <f ca="1">IFERROR(__xludf.DUMMYFUNCTION("""COMPUTED_VALUE"""),45972)</f>
        <v>45972</v>
      </c>
      <c r="J4642" s="143" t="s">
        <v>12548</v>
      </c>
      <c r="K4642" s="145" t="s">
        <v>16462</v>
      </c>
      <c r="L4642" s="30">
        <v>978219169</v>
      </c>
      <c r="M4642" s="80" t="s">
        <v>12529</v>
      </c>
      <c r="N4642" s="80" t="s">
        <v>13566</v>
      </c>
      <c r="O4642" s="80" t="s">
        <v>12550</v>
      </c>
      <c r="P4642" s="80" t="s">
        <v>16463</v>
      </c>
      <c r="Q4642" s="20">
        <v>10894</v>
      </c>
      <c r="R4642" s="80" t="s">
        <v>36</v>
      </c>
      <c r="S4642" s="95">
        <v>9968</v>
      </c>
      <c r="T4642" s="148">
        <v>45576</v>
      </c>
      <c r="U4642" s="77"/>
      <c r="V4642" s="78"/>
      <c r="W4642" s="85" t="s">
        <v>16464</v>
      </c>
      <c r="X4642" s="80"/>
      <c r="Y4642" s="22">
        <v>926</v>
      </c>
      <c r="Z4642" s="80" t="s">
        <v>50</v>
      </c>
      <c r="AA4642" s="35" t="s">
        <v>9905</v>
      </c>
      <c r="AB4642" s="80" t="s">
        <v>16465</v>
      </c>
      <c r="AC4642" s="80" t="s">
        <v>53</v>
      </c>
      <c r="AD4642" s="80" t="s">
        <v>54</v>
      </c>
      <c r="AE4642" s="80" t="s">
        <v>3554</v>
      </c>
      <c r="AF4642" s="17">
        <v>45966</v>
      </c>
      <c r="AG4642" s="80"/>
      <c r="AH4642" s="80"/>
      <c r="AI4642" s="147"/>
      <c r="AJ4642" s="80"/>
      <c r="AK4642" s="80"/>
      <c r="AL4642" s="35"/>
      <c r="AM4642" s="35"/>
      <c r="AN4642" s="35"/>
      <c r="AO4642" s="35"/>
      <c r="AP4642" s="35"/>
    </row>
    <row r="4643" spans="1:42" x14ac:dyDescent="0.2">
      <c r="A4643" s="126">
        <v>45588.322851319448</v>
      </c>
      <c r="B4643" s="137" t="s">
        <v>37</v>
      </c>
      <c r="C4643" s="41" t="s">
        <v>118</v>
      </c>
      <c r="D4643" s="80" t="s">
        <v>36</v>
      </c>
      <c r="E4643" s="80" t="s">
        <v>39</v>
      </c>
      <c r="F4643" s="80" t="s">
        <v>40</v>
      </c>
      <c r="G4643" s="80" t="s">
        <v>41</v>
      </c>
      <c r="H4643" s="80" t="s">
        <v>15142</v>
      </c>
      <c r="I4643" s="17">
        <f ca="1">IFERROR(__xludf.DUMMYFUNCTION("""COMPUTED_VALUE"""),45594)</f>
        <v>45594</v>
      </c>
      <c r="J4643" s="143" t="s">
        <v>16466</v>
      </c>
      <c r="K4643" s="80" t="s">
        <v>16467</v>
      </c>
      <c r="L4643" s="30">
        <v>333234515</v>
      </c>
      <c r="M4643" s="80" t="s">
        <v>9422</v>
      </c>
      <c r="N4643" s="80" t="s">
        <v>327</v>
      </c>
      <c r="O4643" s="80" t="s">
        <v>16468</v>
      </c>
      <c r="P4643" s="80" t="s">
        <v>16469</v>
      </c>
      <c r="Q4643" s="20">
        <v>5736</v>
      </c>
      <c r="R4643" s="80" t="s">
        <v>36</v>
      </c>
      <c r="S4643" s="95">
        <v>3000</v>
      </c>
      <c r="T4643" s="148">
        <v>45587</v>
      </c>
      <c r="U4643" s="95">
        <v>2736</v>
      </c>
      <c r="V4643" s="148">
        <v>45595</v>
      </c>
      <c r="W4643" s="85" t="s">
        <v>16470</v>
      </c>
      <c r="X4643" s="80"/>
      <c r="Y4643" s="22">
        <v>0</v>
      </c>
      <c r="Z4643" s="80" t="s">
        <v>50</v>
      </c>
      <c r="AA4643" s="96" t="s">
        <v>9905</v>
      </c>
      <c r="AB4643" s="80"/>
      <c r="AC4643" s="80" t="s">
        <v>53</v>
      </c>
      <c r="AD4643" s="80"/>
      <c r="AE4643" s="80"/>
      <c r="AF4643" s="43">
        <v>45588</v>
      </c>
      <c r="AG4643" s="80"/>
      <c r="AH4643" s="80"/>
      <c r="AI4643" s="147"/>
      <c r="AJ4643" s="80"/>
      <c r="AK4643" s="80"/>
      <c r="AL4643" s="35"/>
      <c r="AM4643" s="35"/>
      <c r="AN4643" s="35"/>
      <c r="AO4643" s="35"/>
      <c r="AP4643" s="35"/>
    </row>
    <row r="4644" spans="1:42" x14ac:dyDescent="0.2">
      <c r="A4644" s="126">
        <v>45588.323764606481</v>
      </c>
      <c r="B4644" s="137" t="s">
        <v>37</v>
      </c>
      <c r="C4644" s="41" t="s">
        <v>118</v>
      </c>
      <c r="D4644" s="80" t="s">
        <v>36</v>
      </c>
      <c r="E4644" s="80" t="s">
        <v>1704</v>
      </c>
      <c r="F4644" s="80" t="s">
        <v>40</v>
      </c>
      <c r="G4644" s="80" t="s">
        <v>1705</v>
      </c>
      <c r="H4644" s="80" t="s">
        <v>6989</v>
      </c>
      <c r="I4644" s="17">
        <f ca="1">IFERROR(__xludf.DUMMYFUNCTION("""COMPUTED_VALUE"""),45622)</f>
        <v>45622</v>
      </c>
      <c r="J4644" s="143" t="s">
        <v>1272</v>
      </c>
      <c r="K4644" s="80" t="s">
        <v>16471</v>
      </c>
      <c r="L4644" s="30">
        <v>978660653</v>
      </c>
      <c r="M4644" s="80" t="s">
        <v>45</v>
      </c>
      <c r="N4644" s="80" t="s">
        <v>16472</v>
      </c>
      <c r="O4644" s="80" t="s">
        <v>4503</v>
      </c>
      <c r="P4644" s="80" t="s">
        <v>16473</v>
      </c>
      <c r="Q4644" s="20">
        <v>7729</v>
      </c>
      <c r="R4644" s="80" t="s">
        <v>36</v>
      </c>
      <c r="S4644" s="95">
        <v>7729</v>
      </c>
      <c r="T4644" s="148">
        <v>45586</v>
      </c>
      <c r="U4644" s="77"/>
      <c r="V4644" s="78"/>
      <c r="W4644" s="85" t="s">
        <v>16474</v>
      </c>
      <c r="X4644" s="80"/>
      <c r="Y4644" s="22">
        <v>0</v>
      </c>
      <c r="Z4644" s="80" t="s">
        <v>50</v>
      </c>
      <c r="AA4644" s="35" t="s">
        <v>9905</v>
      </c>
      <c r="AB4644" s="80"/>
      <c r="AC4644" s="80" t="s">
        <v>53</v>
      </c>
      <c r="AD4644" s="80" t="s">
        <v>54</v>
      </c>
      <c r="AE4644" s="80" t="s">
        <v>16475</v>
      </c>
      <c r="AF4644" s="17">
        <v>45599</v>
      </c>
      <c r="AG4644" s="80" t="s">
        <v>9238</v>
      </c>
      <c r="AH4644" s="80"/>
      <c r="AI4644" s="147"/>
      <c r="AJ4644" s="80"/>
      <c r="AK4644" s="80"/>
      <c r="AL4644" s="35"/>
      <c r="AM4644" s="35"/>
      <c r="AN4644" s="35"/>
      <c r="AO4644" s="35"/>
      <c r="AP4644" s="35"/>
    </row>
    <row r="4645" spans="1:42" x14ac:dyDescent="0.2">
      <c r="A4645" s="126">
        <v>45588.616996817131</v>
      </c>
      <c r="B4645" s="137" t="s">
        <v>37</v>
      </c>
      <c r="C4645" s="41" t="s">
        <v>118</v>
      </c>
      <c r="D4645" s="80" t="s">
        <v>36</v>
      </c>
      <c r="E4645" s="80" t="s">
        <v>106</v>
      </c>
      <c r="F4645" s="80" t="s">
        <v>40</v>
      </c>
      <c r="G4645" s="80" t="s">
        <v>108</v>
      </c>
      <c r="H4645" s="80" t="s">
        <v>10205</v>
      </c>
      <c r="I4645" s="17">
        <f ca="1">IFERROR(__xludf.DUMMYFUNCTION("""COMPUTED_VALUE"""),45590)</f>
        <v>45590</v>
      </c>
      <c r="J4645" s="143" t="s">
        <v>16476</v>
      </c>
      <c r="K4645" s="80" t="s">
        <v>16477</v>
      </c>
      <c r="L4645" s="30">
        <v>348265088</v>
      </c>
      <c r="M4645" s="80" t="s">
        <v>9422</v>
      </c>
      <c r="N4645" s="80" t="s">
        <v>5574</v>
      </c>
      <c r="O4645" s="80" t="s">
        <v>16478</v>
      </c>
      <c r="P4645" s="80" t="s">
        <v>16479</v>
      </c>
      <c r="Q4645" s="20">
        <v>3768</v>
      </c>
      <c r="R4645" s="80" t="s">
        <v>11421</v>
      </c>
      <c r="S4645" s="95">
        <v>3768</v>
      </c>
      <c r="T4645" s="148">
        <v>45588</v>
      </c>
      <c r="U4645" s="77"/>
      <c r="V4645" s="78"/>
      <c r="W4645" s="85" t="s">
        <v>16480</v>
      </c>
      <c r="X4645" s="80"/>
      <c r="Y4645" s="22">
        <v>0</v>
      </c>
      <c r="Z4645" s="80" t="s">
        <v>50</v>
      </c>
      <c r="AA4645" s="96" t="s">
        <v>9905</v>
      </c>
      <c r="AB4645" s="80"/>
      <c r="AC4645" s="80" t="s">
        <v>53</v>
      </c>
      <c r="AD4645" s="80" t="s">
        <v>54</v>
      </c>
      <c r="AE4645" s="83">
        <v>385</v>
      </c>
      <c r="AF4645" s="43">
        <v>45589</v>
      </c>
      <c r="AG4645" s="80" t="s">
        <v>11240</v>
      </c>
      <c r="AH4645" s="80"/>
      <c r="AI4645" s="147"/>
      <c r="AJ4645" s="80"/>
      <c r="AK4645" s="80"/>
      <c r="AL4645" s="35"/>
      <c r="AM4645" s="35"/>
      <c r="AN4645" s="35"/>
      <c r="AO4645" s="35"/>
      <c r="AP4645" s="35"/>
    </row>
    <row r="4646" spans="1:42" x14ac:dyDescent="0.2">
      <c r="A4646" s="126">
        <v>45588.617811701391</v>
      </c>
      <c r="B4646" s="137" t="s">
        <v>37</v>
      </c>
      <c r="C4646" s="41" t="s">
        <v>118</v>
      </c>
      <c r="D4646" s="80" t="s">
        <v>36</v>
      </c>
      <c r="E4646" s="80" t="s">
        <v>106</v>
      </c>
      <c r="F4646" s="80" t="s">
        <v>5666</v>
      </c>
      <c r="G4646" s="80" t="s">
        <v>108</v>
      </c>
      <c r="H4646" s="80" t="s">
        <v>10144</v>
      </c>
      <c r="I4646" s="17">
        <f ca="1">IFERROR(__xludf.DUMMYFUNCTION("""COMPUTED_VALUE"""),45593)</f>
        <v>45593</v>
      </c>
      <c r="J4646" s="143" t="s">
        <v>16481</v>
      </c>
      <c r="K4646" s="80" t="s">
        <v>12625</v>
      </c>
      <c r="L4646" s="30">
        <v>793225861</v>
      </c>
      <c r="M4646" s="80" t="s">
        <v>3288</v>
      </c>
      <c r="N4646" s="80" t="s">
        <v>10927</v>
      </c>
      <c r="O4646" s="80" t="s">
        <v>91</v>
      </c>
      <c r="P4646" s="80" t="s">
        <v>3117</v>
      </c>
      <c r="Q4646" s="20">
        <v>3768</v>
      </c>
      <c r="R4646" s="80" t="s">
        <v>36</v>
      </c>
      <c r="S4646" s="95">
        <v>3668</v>
      </c>
      <c r="T4646" s="148">
        <v>45588</v>
      </c>
      <c r="U4646" s="77"/>
      <c r="V4646" s="78"/>
      <c r="W4646" s="85" t="s">
        <v>16482</v>
      </c>
      <c r="X4646" s="80"/>
      <c r="Y4646" s="22">
        <v>100</v>
      </c>
      <c r="Z4646" s="80" t="s">
        <v>50</v>
      </c>
      <c r="AA4646" s="35" t="s">
        <v>9905</v>
      </c>
      <c r="AB4646" s="80"/>
      <c r="AC4646" s="80" t="s">
        <v>53</v>
      </c>
      <c r="AD4646" s="80" t="s">
        <v>138</v>
      </c>
      <c r="AE4646" s="80" t="s">
        <v>16483</v>
      </c>
      <c r="AF4646" s="43">
        <v>45593</v>
      </c>
      <c r="AG4646" s="80" t="s">
        <v>7078</v>
      </c>
      <c r="AH4646" s="80"/>
      <c r="AI4646" s="147"/>
      <c r="AJ4646" s="80"/>
      <c r="AK4646" s="80"/>
      <c r="AL4646" s="35"/>
      <c r="AM4646" s="35"/>
      <c r="AN4646" s="35"/>
      <c r="AO4646" s="35"/>
      <c r="AP4646" s="35"/>
    </row>
    <row r="4647" spans="1:42" x14ac:dyDescent="0.2">
      <c r="A4647" s="126">
        <v>45588.937001180559</v>
      </c>
      <c r="B4647" s="137" t="s">
        <v>37</v>
      </c>
      <c r="C4647" s="41" t="s">
        <v>118</v>
      </c>
      <c r="D4647" s="80" t="s">
        <v>36</v>
      </c>
      <c r="E4647" s="80" t="s">
        <v>77</v>
      </c>
      <c r="F4647" s="80" t="s">
        <v>36</v>
      </c>
      <c r="G4647" s="80" t="s">
        <v>41</v>
      </c>
      <c r="H4647" s="80" t="s">
        <v>16288</v>
      </c>
      <c r="I4647" s="17">
        <f ca="1">IFERROR(__xludf.DUMMYFUNCTION("""COMPUTED_VALUE"""),45589)</f>
        <v>45589</v>
      </c>
      <c r="J4647" s="143" t="s">
        <v>16484</v>
      </c>
      <c r="K4647" s="80" t="s">
        <v>16485</v>
      </c>
      <c r="L4647" s="30">
        <v>982506590</v>
      </c>
      <c r="M4647" s="80" t="s">
        <v>348</v>
      </c>
      <c r="N4647" s="80" t="s">
        <v>4299</v>
      </c>
      <c r="O4647" s="80" t="s">
        <v>16486</v>
      </c>
      <c r="P4647" s="80" t="s">
        <v>16487</v>
      </c>
      <c r="Q4647" s="20">
        <v>1968</v>
      </c>
      <c r="R4647" s="80" t="s">
        <v>36</v>
      </c>
      <c r="S4647" s="95">
        <f>200+1768</f>
        <v>1968</v>
      </c>
      <c r="T4647" s="83" t="s">
        <v>16488</v>
      </c>
      <c r="U4647" s="77"/>
      <c r="V4647" s="78"/>
      <c r="W4647" s="85" t="s">
        <v>16489</v>
      </c>
      <c r="X4647" s="80"/>
      <c r="Y4647" s="22">
        <v>0</v>
      </c>
      <c r="Z4647" s="80" t="s">
        <v>50</v>
      </c>
      <c r="AA4647" s="96" t="s">
        <v>9905</v>
      </c>
      <c r="AB4647" s="80"/>
      <c r="AC4647" s="80" t="s">
        <v>53</v>
      </c>
      <c r="AD4647" s="80" t="s">
        <v>54</v>
      </c>
      <c r="AE4647" s="80" t="s">
        <v>16312</v>
      </c>
      <c r="AF4647" s="17">
        <v>45589</v>
      </c>
      <c r="AG4647" s="80"/>
      <c r="AH4647" s="80"/>
      <c r="AI4647" s="147"/>
      <c r="AJ4647" s="80"/>
      <c r="AK4647" s="80"/>
      <c r="AL4647" s="35"/>
      <c r="AM4647" s="35"/>
      <c r="AN4647" s="35"/>
      <c r="AO4647" s="35"/>
      <c r="AP4647" s="35"/>
    </row>
    <row r="4648" spans="1:42" x14ac:dyDescent="0.2">
      <c r="A4648" s="126">
        <v>45589.315315752319</v>
      </c>
      <c r="B4648" s="137" t="s">
        <v>37</v>
      </c>
      <c r="C4648" s="41" t="s">
        <v>118</v>
      </c>
      <c r="D4648" s="80" t="s">
        <v>36</v>
      </c>
      <c r="E4648" s="80" t="s">
        <v>56</v>
      </c>
      <c r="F4648" s="80" t="s">
        <v>36</v>
      </c>
      <c r="G4648" s="80" t="s">
        <v>41</v>
      </c>
      <c r="H4648" s="80" t="s">
        <v>13829</v>
      </c>
      <c r="I4648" s="17">
        <f ca="1">IFERROR(__xludf.DUMMYFUNCTION("""COMPUTED_VALUE"""),45596)</f>
        <v>45596</v>
      </c>
      <c r="J4648" s="143" t="s">
        <v>16490</v>
      </c>
      <c r="K4648" s="80" t="s">
        <v>16491</v>
      </c>
      <c r="L4648" s="30">
        <v>343851069</v>
      </c>
      <c r="M4648" s="80" t="s">
        <v>9422</v>
      </c>
      <c r="N4648" s="80" t="s">
        <v>5574</v>
      </c>
      <c r="O4648" s="80" t="s">
        <v>16492</v>
      </c>
      <c r="P4648" s="80" t="s">
        <v>16493</v>
      </c>
      <c r="Q4648" s="20">
        <v>9317</v>
      </c>
      <c r="R4648" s="80" t="s">
        <v>11421</v>
      </c>
      <c r="S4648" s="95">
        <v>9017</v>
      </c>
      <c r="T4648" s="148">
        <v>45588</v>
      </c>
      <c r="U4648" s="77"/>
      <c r="V4648" s="78"/>
      <c r="W4648" s="85" t="s">
        <v>16494</v>
      </c>
      <c r="X4648" s="80"/>
      <c r="Y4648" s="22">
        <v>300</v>
      </c>
      <c r="Z4648" s="80" t="s">
        <v>50</v>
      </c>
      <c r="AA4648" s="35" t="s">
        <v>9905</v>
      </c>
      <c r="AB4648" s="80"/>
      <c r="AC4648" s="80" t="s">
        <v>53</v>
      </c>
      <c r="AD4648" s="80" t="s">
        <v>54</v>
      </c>
      <c r="AE4648" s="80"/>
      <c r="AF4648" s="17">
        <v>45589</v>
      </c>
      <c r="AG4648" s="80"/>
      <c r="AH4648" s="80"/>
      <c r="AI4648" s="147"/>
      <c r="AJ4648" s="80"/>
      <c r="AK4648" s="80"/>
      <c r="AL4648" s="35"/>
      <c r="AM4648" s="35"/>
      <c r="AN4648" s="35"/>
      <c r="AO4648" s="35"/>
      <c r="AP4648" s="35"/>
    </row>
    <row r="4649" spans="1:42" x14ac:dyDescent="0.2">
      <c r="A4649" s="126">
        <v>45589.321297789356</v>
      </c>
      <c r="B4649" s="137" t="s">
        <v>37</v>
      </c>
      <c r="C4649" s="41" t="s">
        <v>118</v>
      </c>
      <c r="D4649" s="80" t="s">
        <v>36</v>
      </c>
      <c r="E4649" s="80" t="s">
        <v>56</v>
      </c>
      <c r="F4649" s="80" t="s">
        <v>36</v>
      </c>
      <c r="G4649" s="80" t="s">
        <v>41</v>
      </c>
      <c r="H4649" s="80" t="s">
        <v>15142</v>
      </c>
      <c r="I4649" s="17">
        <f ca="1">IFERROR(__xludf.DUMMYFUNCTION("""COMPUTED_VALUE"""),45594)</f>
        <v>45594</v>
      </c>
      <c r="J4649" s="143" t="s">
        <v>16495</v>
      </c>
      <c r="K4649" s="80" t="s">
        <v>16496</v>
      </c>
      <c r="L4649" s="30">
        <v>986270260</v>
      </c>
      <c r="M4649" s="80" t="s">
        <v>9422</v>
      </c>
      <c r="N4649" s="80" t="s">
        <v>327</v>
      </c>
      <c r="O4649" s="80" t="s">
        <v>8827</v>
      </c>
      <c r="P4649" s="80" t="s">
        <v>11654</v>
      </c>
      <c r="Q4649" s="20">
        <v>9317</v>
      </c>
      <c r="R4649" s="80" t="s">
        <v>36</v>
      </c>
      <c r="S4649" s="95">
        <v>2000</v>
      </c>
      <c r="T4649" s="148">
        <v>45589</v>
      </c>
      <c r="U4649" s="95">
        <v>7317</v>
      </c>
      <c r="V4649" s="148">
        <v>45596</v>
      </c>
      <c r="W4649" s="85" t="s">
        <v>16497</v>
      </c>
      <c r="X4649" s="80"/>
      <c r="Y4649" s="22">
        <v>0</v>
      </c>
      <c r="Z4649" s="80" t="s">
        <v>50</v>
      </c>
      <c r="AA4649" s="96" t="s">
        <v>9905</v>
      </c>
      <c r="AB4649" s="80"/>
      <c r="AC4649" s="80" t="s">
        <v>1828</v>
      </c>
      <c r="AD4649" s="80" t="s">
        <v>54</v>
      </c>
      <c r="AE4649" s="80"/>
      <c r="AF4649" s="60" t="s">
        <v>1829</v>
      </c>
      <c r="AG4649" s="80" t="s">
        <v>1828</v>
      </c>
      <c r="AH4649" s="80"/>
      <c r="AI4649" s="147"/>
      <c r="AJ4649" s="80"/>
      <c r="AK4649" s="80"/>
      <c r="AL4649" s="35"/>
      <c r="AM4649" s="35"/>
      <c r="AN4649" s="35"/>
      <c r="AO4649" s="35"/>
      <c r="AP4649" s="35"/>
    </row>
    <row r="4650" spans="1:42" x14ac:dyDescent="0.2">
      <c r="A4650" s="126">
        <v>45589.387098067135</v>
      </c>
      <c r="B4650" s="137" t="s">
        <v>37</v>
      </c>
      <c r="C4650" s="41" t="s">
        <v>118</v>
      </c>
      <c r="D4650" s="80" t="s">
        <v>36</v>
      </c>
      <c r="E4650" s="80" t="s">
        <v>77</v>
      </c>
      <c r="F4650" s="80" t="s">
        <v>36</v>
      </c>
      <c r="G4650" s="80" t="s">
        <v>41</v>
      </c>
      <c r="H4650" s="80" t="s">
        <v>16498</v>
      </c>
      <c r="I4650" s="17" t="str">
        <f ca="1">IFERROR(__xludf.DUMMYFUNCTION("""COMPUTED_VALUE""")," ")</f>
        <v xml:space="preserve"> </v>
      </c>
      <c r="J4650" s="143" t="s">
        <v>16499</v>
      </c>
      <c r="K4650" s="80" t="s">
        <v>16500</v>
      </c>
      <c r="L4650" s="30">
        <v>376867476</v>
      </c>
      <c r="M4650" s="80" t="s">
        <v>348</v>
      </c>
      <c r="N4650" s="80" t="s">
        <v>68</v>
      </c>
      <c r="O4650" s="80" t="s">
        <v>15557</v>
      </c>
      <c r="P4650" s="80" t="s">
        <v>6015</v>
      </c>
      <c r="Q4650" s="20">
        <v>1968</v>
      </c>
      <c r="R4650" s="80" t="s">
        <v>36</v>
      </c>
      <c r="S4650" s="95">
        <f>200+1768</f>
        <v>1968</v>
      </c>
      <c r="T4650" s="83" t="s">
        <v>16501</v>
      </c>
      <c r="U4650" s="77"/>
      <c r="V4650" s="78"/>
      <c r="W4650" s="80" t="s">
        <v>16502</v>
      </c>
      <c r="X4650" s="80"/>
      <c r="Y4650" s="22">
        <v>0</v>
      </c>
      <c r="Z4650" s="80" t="s">
        <v>50</v>
      </c>
      <c r="AA4650" s="35" t="s">
        <v>9905</v>
      </c>
      <c r="AB4650" s="80"/>
      <c r="AC4650" s="80" t="s">
        <v>53</v>
      </c>
      <c r="AD4650" s="80" t="s">
        <v>138</v>
      </c>
      <c r="AE4650" s="80"/>
      <c r="AF4650" s="43">
        <v>45594</v>
      </c>
      <c r="AG4650" s="80"/>
      <c r="AH4650" s="80"/>
      <c r="AI4650" s="147"/>
      <c r="AJ4650" s="80"/>
      <c r="AK4650" s="80"/>
      <c r="AL4650" s="35"/>
      <c r="AM4650" s="35"/>
      <c r="AN4650" s="35"/>
      <c r="AO4650" s="35"/>
      <c r="AP4650" s="35"/>
    </row>
    <row r="4651" spans="1:42" x14ac:dyDescent="0.2">
      <c r="A4651" s="126">
        <v>45589.388026250002</v>
      </c>
      <c r="B4651" s="137" t="s">
        <v>37</v>
      </c>
      <c r="C4651" s="41" t="s">
        <v>118</v>
      </c>
      <c r="D4651" s="80" t="s">
        <v>106</v>
      </c>
      <c r="E4651" s="80" t="s">
        <v>915</v>
      </c>
      <c r="F4651" s="80" t="s">
        <v>450</v>
      </c>
      <c r="G4651" s="80" t="s">
        <v>221</v>
      </c>
      <c r="H4651" s="80" t="s">
        <v>16503</v>
      </c>
      <c r="I4651" s="17">
        <f ca="1">IFERROR(__xludf.DUMMYFUNCTION("""COMPUTED_VALUE"""),45709)</f>
        <v>45709</v>
      </c>
      <c r="J4651" s="143" t="s">
        <v>12210</v>
      </c>
      <c r="K4651" s="80" t="s">
        <v>16504</v>
      </c>
      <c r="L4651" s="30">
        <v>968010606</v>
      </c>
      <c r="M4651" s="80" t="s">
        <v>12720</v>
      </c>
      <c r="N4651" s="80" t="s">
        <v>1073</v>
      </c>
      <c r="O4651" s="80" t="s">
        <v>12212</v>
      </c>
      <c r="P4651" s="80" t="s">
        <v>12213</v>
      </c>
      <c r="Q4651" s="20">
        <v>10894</v>
      </c>
      <c r="R4651" s="80" t="s">
        <v>36</v>
      </c>
      <c r="S4651" s="95">
        <v>9968</v>
      </c>
      <c r="T4651" s="148">
        <v>45588</v>
      </c>
      <c r="U4651" s="95">
        <v>926</v>
      </c>
      <c r="V4651" s="169">
        <v>45594</v>
      </c>
      <c r="W4651" s="85" t="s">
        <v>16505</v>
      </c>
      <c r="X4651" s="80"/>
      <c r="Y4651" s="22">
        <v>0</v>
      </c>
      <c r="Z4651" s="80" t="s">
        <v>50</v>
      </c>
      <c r="AA4651" s="96" t="s">
        <v>9905</v>
      </c>
      <c r="AB4651" s="80" t="s">
        <v>16506</v>
      </c>
      <c r="AC4651" s="80" t="s">
        <v>53</v>
      </c>
      <c r="AD4651" s="80" t="s">
        <v>54</v>
      </c>
      <c r="AE4651" s="80" t="s">
        <v>450</v>
      </c>
      <c r="AF4651" s="17">
        <v>45659</v>
      </c>
      <c r="AG4651" s="80"/>
      <c r="AH4651" s="80"/>
      <c r="AI4651" s="147"/>
      <c r="AJ4651" s="80"/>
      <c r="AK4651" s="80"/>
      <c r="AL4651" s="35"/>
      <c r="AM4651" s="35"/>
      <c r="AN4651" s="35"/>
      <c r="AO4651" s="35"/>
      <c r="AP4651" s="35"/>
    </row>
    <row r="4652" spans="1:42" x14ac:dyDescent="0.2">
      <c r="A4652" s="126">
        <v>45589.397652060186</v>
      </c>
      <c r="B4652" s="137" t="s">
        <v>37</v>
      </c>
      <c r="C4652" s="41" t="s">
        <v>118</v>
      </c>
      <c r="D4652" s="80" t="s">
        <v>36</v>
      </c>
      <c r="E4652" s="80" t="s">
        <v>106</v>
      </c>
      <c r="F4652" s="80" t="s">
        <v>36</v>
      </c>
      <c r="G4652" s="80" t="s">
        <v>108</v>
      </c>
      <c r="H4652" s="80" t="s">
        <v>13877</v>
      </c>
      <c r="I4652" s="17">
        <f ca="1">IFERROR(__xludf.DUMMYFUNCTION("""COMPUTED_VALUE"""),45597)</f>
        <v>45597</v>
      </c>
      <c r="J4652" s="143" t="s">
        <v>16507</v>
      </c>
      <c r="K4652" s="80" t="s">
        <v>16508</v>
      </c>
      <c r="L4652" s="30">
        <v>787965502</v>
      </c>
      <c r="M4652" s="80" t="s">
        <v>348</v>
      </c>
      <c r="N4652" s="80" t="s">
        <v>68</v>
      </c>
      <c r="O4652" s="80" t="s">
        <v>15557</v>
      </c>
      <c r="P4652" s="80" t="s">
        <v>16509</v>
      </c>
      <c r="Q4652" s="20">
        <v>3768</v>
      </c>
      <c r="R4652" s="80" t="s">
        <v>36</v>
      </c>
      <c r="S4652" s="95">
        <v>3768</v>
      </c>
      <c r="T4652" s="148">
        <v>45589</v>
      </c>
      <c r="U4652" s="77"/>
      <c r="V4652" s="78"/>
      <c r="W4652" s="85" t="s">
        <v>16510</v>
      </c>
      <c r="X4652" s="80"/>
      <c r="Y4652" s="22">
        <v>0</v>
      </c>
      <c r="Z4652" s="80" t="s">
        <v>50</v>
      </c>
      <c r="AA4652" s="35" t="s">
        <v>9905</v>
      </c>
      <c r="AB4652" s="80"/>
      <c r="AC4652" s="80" t="s">
        <v>53</v>
      </c>
      <c r="AD4652" s="80" t="s">
        <v>54</v>
      </c>
      <c r="AE4652" s="80"/>
      <c r="AF4652" s="43">
        <v>45590</v>
      </c>
      <c r="AG4652" s="80"/>
      <c r="AH4652" s="80"/>
      <c r="AI4652" s="147"/>
      <c r="AJ4652" s="80"/>
      <c r="AK4652" s="80"/>
      <c r="AL4652" s="35"/>
      <c r="AM4652" s="35"/>
      <c r="AN4652" s="35"/>
      <c r="AO4652" s="35"/>
      <c r="AP4652" s="35"/>
    </row>
    <row r="4653" spans="1:42" x14ac:dyDescent="0.2">
      <c r="A4653" s="126">
        <v>45589.431562835649</v>
      </c>
      <c r="B4653" s="137" t="s">
        <v>37</v>
      </c>
      <c r="C4653" s="41" t="s">
        <v>118</v>
      </c>
      <c r="D4653" s="80" t="s">
        <v>36</v>
      </c>
      <c r="E4653" s="80" t="s">
        <v>219</v>
      </c>
      <c r="F4653" s="80" t="s">
        <v>36</v>
      </c>
      <c r="G4653" s="80" t="s">
        <v>221</v>
      </c>
      <c r="H4653" s="80" t="s">
        <v>8063</v>
      </c>
      <c r="I4653" s="17">
        <f ca="1">IFERROR(__xludf.DUMMYFUNCTION("""COMPUTED_VALUE"""),45596)</f>
        <v>45596</v>
      </c>
      <c r="J4653" s="143" t="s">
        <v>16511</v>
      </c>
      <c r="K4653" s="80" t="s">
        <v>16512</v>
      </c>
      <c r="L4653" s="30">
        <v>916060295</v>
      </c>
      <c r="M4653" s="80" t="s">
        <v>112</v>
      </c>
      <c r="N4653" s="80" t="s">
        <v>113</v>
      </c>
      <c r="O4653" s="80" t="s">
        <v>36</v>
      </c>
      <c r="P4653" s="80" t="s">
        <v>138</v>
      </c>
      <c r="Q4653" s="20">
        <v>3968</v>
      </c>
      <c r="R4653" s="80" t="s">
        <v>36</v>
      </c>
      <c r="S4653" s="95">
        <v>3968</v>
      </c>
      <c r="T4653" s="148">
        <v>45589</v>
      </c>
      <c r="U4653" s="77"/>
      <c r="V4653" s="78"/>
      <c r="W4653" s="85" t="s">
        <v>16513</v>
      </c>
      <c r="X4653" s="80"/>
      <c r="Y4653" s="22">
        <v>0</v>
      </c>
      <c r="Z4653" s="80" t="s">
        <v>50</v>
      </c>
      <c r="AA4653" s="96" t="s">
        <v>9905</v>
      </c>
      <c r="AB4653" s="80"/>
      <c r="AC4653" s="80" t="s">
        <v>53</v>
      </c>
      <c r="AD4653" s="80" t="s">
        <v>138</v>
      </c>
      <c r="AE4653" s="80" t="s">
        <v>3473</v>
      </c>
      <c r="AF4653" s="43">
        <v>45596</v>
      </c>
      <c r="AG4653" s="80"/>
      <c r="AH4653" s="80"/>
      <c r="AI4653" s="147"/>
      <c r="AJ4653" s="80"/>
      <c r="AK4653" s="80"/>
      <c r="AL4653" s="35"/>
      <c r="AM4653" s="35"/>
      <c r="AN4653" s="35"/>
      <c r="AO4653" s="35"/>
      <c r="AP4653" s="35"/>
    </row>
    <row r="4654" spans="1:42" x14ac:dyDescent="0.2">
      <c r="A4654" s="126">
        <v>45589.560034988426</v>
      </c>
      <c r="B4654" s="137" t="s">
        <v>37</v>
      </c>
      <c r="C4654" s="41" t="s">
        <v>118</v>
      </c>
      <c r="D4654" s="80" t="s">
        <v>36</v>
      </c>
      <c r="E4654" s="80" t="s">
        <v>106</v>
      </c>
      <c r="F4654" s="80" t="s">
        <v>11015</v>
      </c>
      <c r="G4654" s="80" t="s">
        <v>108</v>
      </c>
      <c r="H4654" s="80" t="s">
        <v>13877</v>
      </c>
      <c r="I4654" s="17">
        <f ca="1">IFERROR(__xludf.DUMMYFUNCTION("""COMPUTED_VALUE"""),45597)</f>
        <v>45597</v>
      </c>
      <c r="J4654" s="172" t="s">
        <v>16514</v>
      </c>
      <c r="K4654" s="80" t="s">
        <v>16515</v>
      </c>
      <c r="L4654" s="30">
        <v>962815369</v>
      </c>
      <c r="M4654" s="80" t="s">
        <v>9422</v>
      </c>
      <c r="N4654" s="80" t="s">
        <v>327</v>
      </c>
      <c r="O4654" s="80" t="s">
        <v>8827</v>
      </c>
      <c r="P4654" s="80" t="s">
        <v>16516</v>
      </c>
      <c r="Q4654" s="20">
        <v>3768</v>
      </c>
      <c r="R4654" s="80" t="s">
        <v>36</v>
      </c>
      <c r="S4654" s="95">
        <v>3668</v>
      </c>
      <c r="T4654" s="148">
        <v>45588</v>
      </c>
      <c r="U4654" s="77"/>
      <c r="V4654" s="78"/>
      <c r="W4654" s="85" t="s">
        <v>16517</v>
      </c>
      <c r="X4654" s="80"/>
      <c r="Y4654" s="22">
        <v>100</v>
      </c>
      <c r="Z4654" s="80" t="s">
        <v>50</v>
      </c>
      <c r="AA4654" s="35" t="s">
        <v>9905</v>
      </c>
      <c r="AB4654" s="80"/>
      <c r="AC4654" s="80" t="s">
        <v>53</v>
      </c>
      <c r="AD4654" s="80" t="s">
        <v>54</v>
      </c>
      <c r="AE4654" s="80"/>
      <c r="AF4654" s="43">
        <v>45590</v>
      </c>
      <c r="AG4654" s="80"/>
      <c r="AH4654" s="80"/>
      <c r="AI4654" s="147"/>
      <c r="AJ4654" s="80"/>
      <c r="AK4654" s="80"/>
      <c r="AL4654" s="35"/>
      <c r="AM4654" s="35"/>
      <c r="AN4654" s="35"/>
      <c r="AO4654" s="35"/>
      <c r="AP4654" s="35"/>
    </row>
    <row r="4655" spans="1:42" x14ac:dyDescent="0.2">
      <c r="A4655" s="126">
        <v>45589.561362754626</v>
      </c>
      <c r="B4655" s="137" t="s">
        <v>37</v>
      </c>
      <c r="C4655" s="41" t="s">
        <v>118</v>
      </c>
      <c r="D4655" s="80" t="s">
        <v>36</v>
      </c>
      <c r="E4655" s="80" t="s">
        <v>106</v>
      </c>
      <c r="F4655" s="80" t="s">
        <v>11015</v>
      </c>
      <c r="G4655" s="80" t="s">
        <v>108</v>
      </c>
      <c r="H4655" s="80" t="s">
        <v>13877</v>
      </c>
      <c r="I4655" s="17">
        <f ca="1">IFERROR(__xludf.DUMMYFUNCTION("""COMPUTED_VALUE"""),45597)</f>
        <v>45597</v>
      </c>
      <c r="J4655" s="143" t="s">
        <v>11296</v>
      </c>
      <c r="K4655" s="80" t="s">
        <v>7838</v>
      </c>
      <c r="L4655" s="30">
        <v>325548265</v>
      </c>
      <c r="M4655" s="80" t="s">
        <v>9422</v>
      </c>
      <c r="N4655" s="80" t="s">
        <v>327</v>
      </c>
      <c r="O4655" s="80" t="s">
        <v>11607</v>
      </c>
      <c r="P4655" s="80" t="s">
        <v>11299</v>
      </c>
      <c r="Q4655" s="20">
        <v>3768</v>
      </c>
      <c r="R4655" s="80" t="s">
        <v>36</v>
      </c>
      <c r="S4655" s="95">
        <v>3668</v>
      </c>
      <c r="T4655" s="148">
        <v>45588</v>
      </c>
      <c r="U4655" s="77"/>
      <c r="V4655" s="78"/>
      <c r="W4655" s="85" t="s">
        <v>16518</v>
      </c>
      <c r="X4655" s="80"/>
      <c r="Y4655" s="22">
        <v>100</v>
      </c>
      <c r="Z4655" s="80" t="s">
        <v>50</v>
      </c>
      <c r="AA4655" s="96" t="s">
        <v>9905</v>
      </c>
      <c r="AB4655" s="80"/>
      <c r="AC4655" s="80" t="s">
        <v>53</v>
      </c>
      <c r="AD4655" s="80" t="s">
        <v>54</v>
      </c>
      <c r="AE4655" s="80"/>
      <c r="AF4655" s="43">
        <v>45590</v>
      </c>
      <c r="AG4655" s="80"/>
      <c r="AH4655" s="80"/>
      <c r="AI4655" s="147"/>
      <c r="AJ4655" s="80"/>
      <c r="AK4655" s="80"/>
      <c r="AL4655" s="35"/>
      <c r="AM4655" s="35"/>
      <c r="AN4655" s="35"/>
      <c r="AO4655" s="35"/>
      <c r="AP4655" s="35"/>
    </row>
    <row r="4656" spans="1:42" x14ac:dyDescent="0.2">
      <c r="A4656" s="126">
        <v>45589.654806585648</v>
      </c>
      <c r="B4656" s="137" t="s">
        <v>37</v>
      </c>
      <c r="C4656" s="41" t="s">
        <v>118</v>
      </c>
      <c r="D4656" s="80" t="s">
        <v>36</v>
      </c>
      <c r="E4656" s="80" t="s">
        <v>139</v>
      </c>
      <c r="F4656" s="80" t="s">
        <v>36</v>
      </c>
      <c r="G4656" s="80" t="s">
        <v>41</v>
      </c>
      <c r="H4656" s="80" t="s">
        <v>16519</v>
      </c>
      <c r="I4656" s="17">
        <f ca="1">IFERROR(__xludf.DUMMYFUNCTION("""COMPUTED_VALUE"""),45707)</f>
        <v>45707</v>
      </c>
      <c r="J4656" s="143" t="s">
        <v>16520</v>
      </c>
      <c r="K4656" s="80" t="s">
        <v>16521</v>
      </c>
      <c r="L4656" s="30">
        <v>363222614</v>
      </c>
      <c r="M4656" s="80" t="s">
        <v>9422</v>
      </c>
      <c r="N4656" s="80" t="s">
        <v>327</v>
      </c>
      <c r="O4656" s="80" t="s">
        <v>16522</v>
      </c>
      <c r="P4656" s="144" t="s">
        <v>16523</v>
      </c>
      <c r="Q4656" s="20">
        <v>15936</v>
      </c>
      <c r="R4656" s="80" t="s">
        <v>36</v>
      </c>
      <c r="S4656" s="95">
        <v>1000</v>
      </c>
      <c r="T4656" s="148">
        <v>45579</v>
      </c>
      <c r="U4656" s="95">
        <v>14936</v>
      </c>
      <c r="V4656" s="148">
        <v>45589</v>
      </c>
      <c r="W4656" s="80" t="s">
        <v>16524</v>
      </c>
      <c r="X4656" s="80"/>
      <c r="Y4656" s="22">
        <v>0</v>
      </c>
      <c r="Z4656" s="80" t="s">
        <v>50</v>
      </c>
      <c r="AA4656" s="35" t="s">
        <v>9905</v>
      </c>
      <c r="AB4656" s="80"/>
      <c r="AC4656" s="80" t="s">
        <v>53</v>
      </c>
      <c r="AD4656" s="80" t="s">
        <v>54</v>
      </c>
      <c r="AE4656" s="80"/>
      <c r="AF4656" s="17">
        <v>45707</v>
      </c>
      <c r="AG4656" s="80"/>
      <c r="AH4656" s="80"/>
      <c r="AI4656" s="147"/>
      <c r="AJ4656" s="80"/>
      <c r="AK4656" s="80"/>
      <c r="AL4656" s="35"/>
      <c r="AM4656" s="35"/>
      <c r="AN4656" s="35"/>
      <c r="AO4656" s="35"/>
      <c r="AP4656" s="35"/>
    </row>
    <row r="4657" spans="1:42" x14ac:dyDescent="0.2">
      <c r="A4657" s="126">
        <v>45590.452378032409</v>
      </c>
      <c r="B4657" s="137" t="s">
        <v>37</v>
      </c>
      <c r="C4657" s="41" t="s">
        <v>118</v>
      </c>
      <c r="D4657" s="80" t="s">
        <v>36</v>
      </c>
      <c r="E4657" s="80" t="s">
        <v>139</v>
      </c>
      <c r="F4657" s="80" t="s">
        <v>36</v>
      </c>
      <c r="G4657" s="80" t="s">
        <v>41</v>
      </c>
      <c r="H4657" s="80" t="s">
        <v>16525</v>
      </c>
      <c r="I4657" s="17">
        <f ca="1">IFERROR(__xludf.DUMMYFUNCTION("""COMPUTED_VALUE"""),45708)</f>
        <v>45708</v>
      </c>
      <c r="J4657" s="143" t="s">
        <v>16526</v>
      </c>
      <c r="K4657" s="80" t="s">
        <v>16527</v>
      </c>
      <c r="L4657" s="30">
        <v>792313263</v>
      </c>
      <c r="M4657" s="80" t="s">
        <v>2755</v>
      </c>
      <c r="N4657" s="80" t="s">
        <v>4402</v>
      </c>
      <c r="O4657" s="80" t="s">
        <v>4503</v>
      </c>
      <c r="P4657" s="80" t="s">
        <v>6390</v>
      </c>
      <c r="Q4657" s="20">
        <v>15936</v>
      </c>
      <c r="R4657" s="80" t="s">
        <v>36</v>
      </c>
      <c r="S4657" s="95">
        <v>15936</v>
      </c>
      <c r="T4657" s="148">
        <v>45588</v>
      </c>
      <c r="U4657" s="77"/>
      <c r="V4657" s="78"/>
      <c r="W4657" s="80" t="s">
        <v>16528</v>
      </c>
      <c r="X4657" s="80"/>
      <c r="Y4657" s="22">
        <v>0</v>
      </c>
      <c r="Z4657" s="80" t="s">
        <v>50</v>
      </c>
      <c r="AA4657" s="96" t="s">
        <v>9905</v>
      </c>
      <c r="AB4657" s="80"/>
      <c r="AC4657" s="80" t="s">
        <v>53</v>
      </c>
      <c r="AD4657" s="80" t="s">
        <v>138</v>
      </c>
      <c r="AE4657" s="80"/>
      <c r="AF4657" s="17">
        <v>45708</v>
      </c>
      <c r="AG4657" s="80" t="s">
        <v>13801</v>
      </c>
      <c r="AH4657" s="80"/>
      <c r="AI4657" s="147"/>
      <c r="AJ4657" s="80"/>
      <c r="AK4657" s="80"/>
      <c r="AL4657" s="35"/>
      <c r="AM4657" s="35"/>
      <c r="AN4657" s="35"/>
      <c r="AO4657" s="35"/>
      <c r="AP4657" s="35"/>
    </row>
    <row r="4658" spans="1:42" x14ac:dyDescent="0.2">
      <c r="A4658" s="126">
        <v>45590.964174768524</v>
      </c>
      <c r="B4658" s="137" t="s">
        <v>37</v>
      </c>
      <c r="C4658" s="41" t="s">
        <v>118</v>
      </c>
      <c r="D4658" s="80" t="s">
        <v>36</v>
      </c>
      <c r="E4658" s="80" t="s">
        <v>139</v>
      </c>
      <c r="F4658" s="80" t="s">
        <v>36</v>
      </c>
      <c r="G4658" s="80" t="s">
        <v>41</v>
      </c>
      <c r="H4658" s="80" t="s">
        <v>13829</v>
      </c>
      <c r="I4658" s="17">
        <f ca="1">IFERROR(__xludf.DUMMYFUNCTION("""COMPUTED_VALUE"""),45596)</f>
        <v>45596</v>
      </c>
      <c r="J4658" s="143" t="s">
        <v>16529</v>
      </c>
      <c r="K4658" s="80" t="s">
        <v>4238</v>
      </c>
      <c r="L4658" s="30">
        <v>867913004</v>
      </c>
      <c r="M4658" s="80" t="s">
        <v>59</v>
      </c>
      <c r="N4658" s="80" t="s">
        <v>4299</v>
      </c>
      <c r="O4658" s="80" t="s">
        <v>16530</v>
      </c>
      <c r="P4658" s="80" t="s">
        <v>16531</v>
      </c>
      <c r="Q4658" s="20">
        <v>15936</v>
      </c>
      <c r="R4658" s="80" t="s">
        <v>36</v>
      </c>
      <c r="S4658" s="95">
        <f>200+15736</f>
        <v>15936</v>
      </c>
      <c r="T4658" s="148">
        <v>45590</v>
      </c>
      <c r="U4658" s="95"/>
      <c r="V4658" s="148">
        <v>45590</v>
      </c>
      <c r="W4658" s="80" t="s">
        <v>16532</v>
      </c>
      <c r="X4658" s="80"/>
      <c r="Y4658" s="22">
        <v>0</v>
      </c>
      <c r="Z4658" s="80" t="s">
        <v>50</v>
      </c>
      <c r="AA4658" s="35" t="s">
        <v>9905</v>
      </c>
      <c r="AB4658" s="80"/>
      <c r="AC4658" s="80" t="s">
        <v>53</v>
      </c>
      <c r="AD4658" s="80" t="s">
        <v>54</v>
      </c>
      <c r="AE4658" s="80" t="s">
        <v>72</v>
      </c>
      <c r="AF4658" s="43">
        <v>45593</v>
      </c>
      <c r="AG4658" s="80" t="s">
        <v>2075</v>
      </c>
      <c r="AH4658" s="80"/>
      <c r="AI4658" s="147"/>
      <c r="AJ4658" s="80"/>
      <c r="AK4658" s="80"/>
      <c r="AL4658" s="35"/>
      <c r="AM4658" s="35"/>
      <c r="AN4658" s="35"/>
      <c r="AO4658" s="35"/>
      <c r="AP4658" s="35"/>
    </row>
    <row r="4659" spans="1:42" x14ac:dyDescent="0.2">
      <c r="A4659" s="74">
        <v>45590</v>
      </c>
      <c r="B4659" s="28" t="s">
        <v>37</v>
      </c>
      <c r="C4659" s="41" t="s">
        <v>118</v>
      </c>
      <c r="D4659" s="26" t="s">
        <v>36</v>
      </c>
      <c r="E4659" s="26" t="s">
        <v>219</v>
      </c>
      <c r="F4659" s="26" t="s">
        <v>7403</v>
      </c>
      <c r="G4659" s="26" t="s">
        <v>221</v>
      </c>
      <c r="H4659" s="26" t="s">
        <v>8063</v>
      </c>
      <c r="I4659" s="17">
        <f ca="1">IFERROR(__xludf.DUMMYFUNCTION("""COMPUTED_VALUE"""),45596)</f>
        <v>45596</v>
      </c>
      <c r="J4659" s="29" t="s">
        <v>7080</v>
      </c>
      <c r="K4659" s="26" t="s">
        <v>16533</v>
      </c>
      <c r="L4659" s="30">
        <v>339609688</v>
      </c>
      <c r="M4659" s="26" t="s">
        <v>1245</v>
      </c>
      <c r="N4659" s="26" t="s">
        <v>1246</v>
      </c>
      <c r="O4659" s="26" t="s">
        <v>7081</v>
      </c>
      <c r="P4659" s="26" t="s">
        <v>7082</v>
      </c>
      <c r="Q4659" s="20">
        <v>3968</v>
      </c>
      <c r="R4659" s="26" t="s">
        <v>36</v>
      </c>
      <c r="S4659" s="95">
        <v>3968</v>
      </c>
      <c r="T4659" s="32">
        <v>45594</v>
      </c>
      <c r="U4659" s="31"/>
      <c r="V4659" s="26"/>
      <c r="W4659" s="79" t="s">
        <v>16534</v>
      </c>
      <c r="X4659" s="26"/>
      <c r="Y4659" s="22">
        <v>0</v>
      </c>
      <c r="Z4659" s="26" t="s">
        <v>50</v>
      </c>
      <c r="AA4659" s="96" t="s">
        <v>9905</v>
      </c>
      <c r="AB4659" s="26"/>
      <c r="AC4659" s="26" t="s">
        <v>53</v>
      </c>
      <c r="AD4659" s="19" t="s">
        <v>138</v>
      </c>
      <c r="AE4659" s="26" t="s">
        <v>7403</v>
      </c>
      <c r="AF4659" s="43">
        <v>45596</v>
      </c>
      <c r="AG4659" s="26"/>
      <c r="AH4659" s="26" t="s">
        <v>7855</v>
      </c>
      <c r="AI4659" s="40" t="s">
        <v>84</v>
      </c>
      <c r="AJ4659" s="26"/>
      <c r="AK4659" s="26"/>
      <c r="AL4659" s="35"/>
      <c r="AM4659" s="35"/>
      <c r="AN4659" s="35"/>
      <c r="AO4659" s="35"/>
      <c r="AP4659" s="35"/>
    </row>
    <row r="4660" spans="1:42" x14ac:dyDescent="0.2">
      <c r="A4660" s="126">
        <v>45591.949777164351</v>
      </c>
      <c r="B4660" s="137" t="s">
        <v>37</v>
      </c>
      <c r="C4660" s="41" t="s">
        <v>118</v>
      </c>
      <c r="D4660" s="80" t="s">
        <v>36</v>
      </c>
      <c r="E4660" s="80" t="s">
        <v>119</v>
      </c>
      <c r="F4660" s="80" t="s">
        <v>36</v>
      </c>
      <c r="G4660" s="80" t="s">
        <v>108</v>
      </c>
      <c r="H4660" s="80" t="s">
        <v>10199</v>
      </c>
      <c r="I4660" s="17">
        <f ca="1">IFERROR(__xludf.DUMMYFUNCTION("""COMPUTED_VALUE"""),45600)</f>
        <v>45600</v>
      </c>
      <c r="J4660" s="143" t="s">
        <v>16535</v>
      </c>
      <c r="K4660" s="80" t="s">
        <v>16536</v>
      </c>
      <c r="L4660" s="30">
        <v>384650115</v>
      </c>
      <c r="M4660" s="80" t="s">
        <v>9422</v>
      </c>
      <c r="N4660" s="80" t="s">
        <v>12670</v>
      </c>
      <c r="O4660" s="80" t="s">
        <v>16537</v>
      </c>
      <c r="P4660" s="80" t="s">
        <v>16538</v>
      </c>
      <c r="Q4660" s="20">
        <v>13968</v>
      </c>
      <c r="R4660" s="80" t="s">
        <v>36</v>
      </c>
      <c r="S4660" s="95">
        <v>13968</v>
      </c>
      <c r="T4660" s="148">
        <v>45591</v>
      </c>
      <c r="U4660" s="77"/>
      <c r="V4660" s="78"/>
      <c r="W4660" s="85" t="s">
        <v>16539</v>
      </c>
      <c r="X4660" s="80"/>
      <c r="Y4660" s="22">
        <v>0</v>
      </c>
      <c r="Z4660" s="80" t="s">
        <v>50</v>
      </c>
      <c r="AA4660" s="35" t="s">
        <v>9905</v>
      </c>
      <c r="AB4660" s="80"/>
      <c r="AC4660" s="80" t="s">
        <v>53</v>
      </c>
      <c r="AD4660" s="80" t="s">
        <v>54</v>
      </c>
      <c r="AE4660" s="80"/>
      <c r="AF4660" s="43">
        <v>45594</v>
      </c>
      <c r="AG4660" s="80"/>
      <c r="AH4660" s="80"/>
      <c r="AI4660" s="147"/>
      <c r="AJ4660" s="80"/>
      <c r="AK4660" s="80"/>
      <c r="AL4660" s="35"/>
      <c r="AM4660" s="35"/>
      <c r="AN4660" s="35"/>
      <c r="AO4660" s="35"/>
      <c r="AP4660" s="35"/>
    </row>
    <row r="4661" spans="1:42" x14ac:dyDescent="0.2">
      <c r="A4661" s="126">
        <v>45592.496847303242</v>
      </c>
      <c r="B4661" s="137" t="s">
        <v>37</v>
      </c>
      <c r="C4661" s="41" t="s">
        <v>118</v>
      </c>
      <c r="D4661" s="80" t="s">
        <v>36</v>
      </c>
      <c r="E4661" s="80" t="s">
        <v>106</v>
      </c>
      <c r="F4661" s="80" t="s">
        <v>36</v>
      </c>
      <c r="G4661" s="80" t="s">
        <v>108</v>
      </c>
      <c r="H4661" s="80" t="s">
        <v>8844</v>
      </c>
      <c r="I4661" s="17">
        <f ca="1">IFERROR(__xludf.DUMMYFUNCTION("""COMPUTED_VALUE"""),45593)</f>
        <v>45593</v>
      </c>
      <c r="J4661" s="143" t="s">
        <v>11719</v>
      </c>
      <c r="K4661" s="80" t="s">
        <v>16540</v>
      </c>
      <c r="L4661" s="30">
        <v>399618106</v>
      </c>
      <c r="M4661" s="80" t="s">
        <v>3288</v>
      </c>
      <c r="N4661" s="80" t="s">
        <v>200</v>
      </c>
      <c r="O4661" s="80" t="s">
        <v>91</v>
      </c>
      <c r="P4661" s="80" t="s">
        <v>16541</v>
      </c>
      <c r="Q4661" s="20">
        <v>3768</v>
      </c>
      <c r="R4661" s="80" t="s">
        <v>36</v>
      </c>
      <c r="S4661" s="95">
        <v>3668</v>
      </c>
      <c r="T4661" s="148">
        <v>45591</v>
      </c>
      <c r="U4661" s="77"/>
      <c r="V4661" s="78"/>
      <c r="W4661" s="85" t="s">
        <v>16542</v>
      </c>
      <c r="X4661" s="80"/>
      <c r="Y4661" s="22">
        <v>100</v>
      </c>
      <c r="Z4661" s="80" t="s">
        <v>50</v>
      </c>
      <c r="AA4661" s="96" t="s">
        <v>9905</v>
      </c>
      <c r="AB4661" s="80"/>
      <c r="AC4661" s="80" t="s">
        <v>53</v>
      </c>
      <c r="AD4661" s="80" t="s">
        <v>54</v>
      </c>
      <c r="AE4661" s="80" t="s">
        <v>16543</v>
      </c>
      <c r="AF4661" s="43">
        <v>45593</v>
      </c>
      <c r="AG4661" s="80"/>
      <c r="AH4661" s="80"/>
      <c r="AI4661" s="147"/>
      <c r="AJ4661" s="80"/>
      <c r="AK4661" s="80"/>
      <c r="AL4661" s="35"/>
      <c r="AM4661" s="35"/>
      <c r="AN4661" s="35"/>
      <c r="AO4661" s="35"/>
      <c r="AP4661" s="35"/>
    </row>
    <row r="4662" spans="1:42" x14ac:dyDescent="0.2">
      <c r="A4662" s="126">
        <v>45593.445018599537</v>
      </c>
      <c r="B4662" s="137" t="s">
        <v>37</v>
      </c>
      <c r="C4662" s="41" t="s">
        <v>118</v>
      </c>
      <c r="D4662" s="80" t="s">
        <v>36</v>
      </c>
      <c r="E4662" s="80" t="s">
        <v>77</v>
      </c>
      <c r="F4662" s="80" t="s">
        <v>40</v>
      </c>
      <c r="G4662" s="80" t="s">
        <v>41</v>
      </c>
      <c r="H4662" s="80" t="s">
        <v>15166</v>
      </c>
      <c r="I4662" s="17">
        <f ca="1">IFERROR(__xludf.DUMMYFUNCTION("""COMPUTED_VALUE"""),45589)</f>
        <v>45589</v>
      </c>
      <c r="J4662" s="143" t="s">
        <v>16544</v>
      </c>
      <c r="K4662" s="80" t="s">
        <v>16545</v>
      </c>
      <c r="L4662" s="30">
        <v>333449904</v>
      </c>
      <c r="M4662" s="80" t="s">
        <v>348</v>
      </c>
      <c r="N4662" s="80" t="s">
        <v>4299</v>
      </c>
      <c r="O4662" s="80" t="s">
        <v>16447</v>
      </c>
      <c r="P4662" s="80" t="s">
        <v>12687</v>
      </c>
      <c r="Q4662" s="20">
        <v>1968</v>
      </c>
      <c r="R4662" s="80" t="s">
        <v>36</v>
      </c>
      <c r="S4662" s="95">
        <v>1968</v>
      </c>
      <c r="T4662" s="148">
        <v>45593</v>
      </c>
      <c r="U4662" s="77"/>
      <c r="V4662" s="78"/>
      <c r="W4662" s="85" t="s">
        <v>16546</v>
      </c>
      <c r="X4662" s="80"/>
      <c r="Y4662" s="22">
        <v>0</v>
      </c>
      <c r="Z4662" s="80" t="s">
        <v>50</v>
      </c>
      <c r="AA4662" s="35" t="s">
        <v>9905</v>
      </c>
      <c r="AB4662" s="80"/>
      <c r="AC4662" s="80" t="s">
        <v>53</v>
      </c>
      <c r="AD4662" s="80" t="s">
        <v>138</v>
      </c>
      <c r="AE4662" s="80" t="s">
        <v>16312</v>
      </c>
      <c r="AF4662" s="43">
        <v>45593</v>
      </c>
      <c r="AG4662" s="80" t="s">
        <v>14199</v>
      </c>
      <c r="AH4662" s="80"/>
      <c r="AI4662" s="147"/>
      <c r="AJ4662" s="80"/>
      <c r="AK4662" s="80"/>
      <c r="AL4662" s="35"/>
      <c r="AM4662" s="35"/>
      <c r="AN4662" s="35"/>
      <c r="AO4662" s="35"/>
      <c r="AP4662" s="35"/>
    </row>
    <row r="4663" spans="1:42" x14ac:dyDescent="0.2">
      <c r="A4663" s="126">
        <v>45593.581375833332</v>
      </c>
      <c r="B4663" s="137" t="s">
        <v>37</v>
      </c>
      <c r="C4663" s="41" t="s">
        <v>118</v>
      </c>
      <c r="D4663" s="80" t="s">
        <v>36</v>
      </c>
      <c r="E4663" s="80" t="s">
        <v>39</v>
      </c>
      <c r="F4663" s="80" t="s">
        <v>36</v>
      </c>
      <c r="G4663" s="80" t="s">
        <v>41</v>
      </c>
      <c r="H4663" s="80" t="s">
        <v>15451</v>
      </c>
      <c r="I4663" s="17">
        <f ca="1">IFERROR(__xludf.DUMMYFUNCTION("""COMPUTED_VALUE"""),45603)</f>
        <v>45603</v>
      </c>
      <c r="J4663" s="143" t="s">
        <v>16547</v>
      </c>
      <c r="K4663" s="80" t="s">
        <v>16548</v>
      </c>
      <c r="L4663" s="30">
        <v>868214427</v>
      </c>
      <c r="M4663" s="80" t="s">
        <v>9422</v>
      </c>
      <c r="N4663" s="80" t="s">
        <v>12670</v>
      </c>
      <c r="O4663" s="80" t="s">
        <v>16549</v>
      </c>
      <c r="P4663" s="80" t="s">
        <v>16550</v>
      </c>
      <c r="Q4663" s="20">
        <v>5736</v>
      </c>
      <c r="R4663" s="80" t="s">
        <v>36</v>
      </c>
      <c r="S4663" s="95">
        <f>1000+4736</f>
        <v>5736</v>
      </c>
      <c r="T4663" s="148">
        <v>45591</v>
      </c>
      <c r="U4663" s="95"/>
      <c r="V4663" s="148">
        <v>45594</v>
      </c>
      <c r="W4663" s="85" t="s">
        <v>16551</v>
      </c>
      <c r="X4663" s="80"/>
      <c r="Y4663" s="22">
        <v>0</v>
      </c>
      <c r="Z4663" s="80" t="s">
        <v>50</v>
      </c>
      <c r="AA4663" s="96" t="s">
        <v>9905</v>
      </c>
      <c r="AB4663" s="80"/>
      <c r="AC4663" s="80" t="s">
        <v>53</v>
      </c>
      <c r="AD4663" s="80" t="s">
        <v>138</v>
      </c>
      <c r="AE4663" s="80"/>
      <c r="AF4663" s="17">
        <v>45603</v>
      </c>
      <c r="AG4663" s="80" t="s">
        <v>7078</v>
      </c>
      <c r="AH4663" s="80"/>
      <c r="AI4663" s="147"/>
      <c r="AJ4663" s="80"/>
      <c r="AK4663" s="80"/>
      <c r="AL4663" s="35"/>
      <c r="AM4663" s="35"/>
      <c r="AN4663" s="35"/>
      <c r="AO4663" s="35"/>
      <c r="AP4663" s="35"/>
    </row>
    <row r="4664" spans="1:42" x14ac:dyDescent="0.2">
      <c r="A4664" s="126">
        <v>45593.594258969912</v>
      </c>
      <c r="B4664" s="137" t="s">
        <v>37</v>
      </c>
      <c r="C4664" s="41" t="s">
        <v>118</v>
      </c>
      <c r="D4664" s="80" t="s">
        <v>36</v>
      </c>
      <c r="E4664" s="80" t="s">
        <v>106</v>
      </c>
      <c r="F4664" s="80" t="s">
        <v>36</v>
      </c>
      <c r="G4664" s="80" t="s">
        <v>108</v>
      </c>
      <c r="H4664" s="80" t="s">
        <v>13913</v>
      </c>
      <c r="I4664" s="17">
        <f ca="1">IFERROR(__xludf.DUMMYFUNCTION("""COMPUTED_VALUE"""),45602)</f>
        <v>45602</v>
      </c>
      <c r="J4664" s="143" t="s">
        <v>16552</v>
      </c>
      <c r="K4664" s="80" t="s">
        <v>16553</v>
      </c>
      <c r="L4664" s="30">
        <v>869725860</v>
      </c>
      <c r="M4664" s="80" t="s">
        <v>9422</v>
      </c>
      <c r="N4664" s="80" t="s">
        <v>2157</v>
      </c>
      <c r="O4664" s="80" t="s">
        <v>8827</v>
      </c>
      <c r="P4664" s="80" t="s">
        <v>3694</v>
      </c>
      <c r="Q4664" s="20">
        <v>3768</v>
      </c>
      <c r="R4664" s="80" t="s">
        <v>36</v>
      </c>
      <c r="S4664" s="95">
        <v>3768</v>
      </c>
      <c r="T4664" s="148">
        <v>45592</v>
      </c>
      <c r="U4664" s="77"/>
      <c r="V4664" s="78"/>
      <c r="W4664" s="85" t="s">
        <v>16554</v>
      </c>
      <c r="X4664" s="80"/>
      <c r="Y4664" s="22">
        <v>0</v>
      </c>
      <c r="Z4664" s="80" t="s">
        <v>50</v>
      </c>
      <c r="AA4664" s="35" t="s">
        <v>9905</v>
      </c>
      <c r="AB4664" s="80"/>
      <c r="AC4664" s="80" t="s">
        <v>53</v>
      </c>
      <c r="AD4664" s="80" t="s">
        <v>138</v>
      </c>
      <c r="AE4664" s="80"/>
      <c r="AF4664" s="17">
        <v>45602</v>
      </c>
      <c r="AG4664" s="80" t="s">
        <v>13915</v>
      </c>
      <c r="AH4664" s="80"/>
      <c r="AI4664" s="147"/>
      <c r="AJ4664" s="80"/>
      <c r="AK4664" s="80"/>
      <c r="AL4664" s="35"/>
      <c r="AM4664" s="35"/>
      <c r="AN4664" s="35"/>
      <c r="AO4664" s="35"/>
      <c r="AP4664" s="35"/>
    </row>
    <row r="4665" spans="1:42" x14ac:dyDescent="0.2">
      <c r="A4665" s="126">
        <v>45593.70784393519</v>
      </c>
      <c r="B4665" s="137" t="s">
        <v>37</v>
      </c>
      <c r="C4665" s="41" t="s">
        <v>118</v>
      </c>
      <c r="D4665" s="80" t="s">
        <v>36</v>
      </c>
      <c r="E4665" s="80" t="s">
        <v>77</v>
      </c>
      <c r="F4665" s="80" t="s">
        <v>36</v>
      </c>
      <c r="G4665" s="80" t="s">
        <v>41</v>
      </c>
      <c r="H4665" s="80" t="s">
        <v>15290</v>
      </c>
      <c r="I4665" s="17">
        <f ca="1">IFERROR(__xludf.DUMMYFUNCTION("""COMPUTED_VALUE"""),45609)</f>
        <v>45609</v>
      </c>
      <c r="J4665" s="143" t="s">
        <v>16555</v>
      </c>
      <c r="K4665" s="80" t="s">
        <v>16556</v>
      </c>
      <c r="L4665" s="30">
        <v>962144941</v>
      </c>
      <c r="M4665" s="80" t="s">
        <v>12644</v>
      </c>
      <c r="N4665" s="80" t="s">
        <v>8725</v>
      </c>
      <c r="O4665" s="80" t="s">
        <v>16557</v>
      </c>
      <c r="P4665" s="80" t="s">
        <v>16558</v>
      </c>
      <c r="Q4665" s="20">
        <v>1968</v>
      </c>
      <c r="R4665" s="80" t="s">
        <v>36</v>
      </c>
      <c r="S4665" s="95">
        <v>1968</v>
      </c>
      <c r="T4665" s="148">
        <v>45593</v>
      </c>
      <c r="U4665" s="77"/>
      <c r="V4665" s="78"/>
      <c r="W4665" s="85" t="s">
        <v>16559</v>
      </c>
      <c r="X4665" s="80"/>
      <c r="Y4665" s="22">
        <v>0</v>
      </c>
      <c r="Z4665" s="80" t="s">
        <v>50</v>
      </c>
      <c r="AA4665" s="96" t="s">
        <v>9905</v>
      </c>
      <c r="AB4665" s="80"/>
      <c r="AC4665" s="80" t="s">
        <v>53</v>
      </c>
      <c r="AD4665" s="80" t="s">
        <v>54</v>
      </c>
      <c r="AE4665" s="80"/>
      <c r="AF4665" s="43">
        <v>45594</v>
      </c>
      <c r="AG4665" s="80"/>
      <c r="AH4665" s="80"/>
      <c r="AI4665" s="147"/>
      <c r="AJ4665" s="80"/>
      <c r="AK4665" s="80"/>
      <c r="AL4665" s="35"/>
      <c r="AM4665" s="35"/>
      <c r="AN4665" s="35"/>
      <c r="AO4665" s="35"/>
      <c r="AP4665" s="35"/>
    </row>
    <row r="4666" spans="1:42" x14ac:dyDescent="0.2">
      <c r="A4666" s="126">
        <v>45593.789538900463</v>
      </c>
      <c r="B4666" s="137" t="s">
        <v>37</v>
      </c>
      <c r="C4666" s="41" t="s">
        <v>118</v>
      </c>
      <c r="D4666" s="80" t="s">
        <v>36</v>
      </c>
      <c r="E4666" s="80" t="s">
        <v>77</v>
      </c>
      <c r="F4666" s="80" t="s">
        <v>36</v>
      </c>
      <c r="G4666" s="80" t="s">
        <v>41</v>
      </c>
      <c r="H4666" s="80" t="s">
        <v>15142</v>
      </c>
      <c r="I4666" s="17">
        <f ca="1">IFERROR(__xludf.DUMMYFUNCTION("""COMPUTED_VALUE"""),45594)</f>
        <v>45594</v>
      </c>
      <c r="J4666" s="143" t="s">
        <v>16560</v>
      </c>
      <c r="K4666" s="80" t="s">
        <v>16561</v>
      </c>
      <c r="L4666" s="30">
        <v>379383123</v>
      </c>
      <c r="M4666" s="80" t="s">
        <v>2755</v>
      </c>
      <c r="N4666" s="80" t="s">
        <v>4402</v>
      </c>
      <c r="O4666" s="80" t="s">
        <v>4503</v>
      </c>
      <c r="P4666" s="80" t="s">
        <v>16562</v>
      </c>
      <c r="Q4666" s="20">
        <v>1968</v>
      </c>
      <c r="R4666" s="80" t="s">
        <v>36</v>
      </c>
      <c r="S4666" s="95">
        <v>1968</v>
      </c>
      <c r="T4666" s="148">
        <v>45593</v>
      </c>
      <c r="U4666" s="77"/>
      <c r="V4666" s="78"/>
      <c r="W4666" s="85" t="s">
        <v>16563</v>
      </c>
      <c r="X4666" s="80"/>
      <c r="Y4666" s="22">
        <v>0</v>
      </c>
      <c r="Z4666" s="80" t="s">
        <v>50</v>
      </c>
      <c r="AA4666" s="35" t="s">
        <v>9905</v>
      </c>
      <c r="AB4666" s="80"/>
      <c r="AC4666" s="80" t="s">
        <v>53</v>
      </c>
      <c r="AD4666" s="80" t="s">
        <v>54</v>
      </c>
      <c r="AE4666" s="80"/>
      <c r="AF4666" s="43">
        <v>45594</v>
      </c>
      <c r="AG4666" s="80"/>
      <c r="AH4666" s="80"/>
      <c r="AI4666" s="147"/>
      <c r="AJ4666" s="80"/>
      <c r="AK4666" s="80"/>
      <c r="AL4666" s="35"/>
      <c r="AM4666" s="35"/>
      <c r="AN4666" s="35"/>
      <c r="AO4666" s="35"/>
      <c r="AP4666" s="35"/>
    </row>
    <row r="4667" spans="1:42" x14ac:dyDescent="0.2">
      <c r="A4667" s="126">
        <v>45593.894618425926</v>
      </c>
      <c r="B4667" s="137" t="s">
        <v>37</v>
      </c>
      <c r="C4667" s="41" t="s">
        <v>118</v>
      </c>
      <c r="D4667" s="80" t="s">
        <v>36</v>
      </c>
      <c r="E4667" s="80" t="s">
        <v>39</v>
      </c>
      <c r="F4667" s="80" t="s">
        <v>36</v>
      </c>
      <c r="G4667" s="80" t="s">
        <v>41</v>
      </c>
      <c r="H4667" s="80" t="s">
        <v>15451</v>
      </c>
      <c r="I4667" s="17">
        <f ca="1">IFERROR(__xludf.DUMMYFUNCTION("""COMPUTED_VALUE"""),45603)</f>
        <v>45603</v>
      </c>
      <c r="J4667" s="143" t="s">
        <v>16564</v>
      </c>
      <c r="K4667" s="80" t="s">
        <v>16565</v>
      </c>
      <c r="L4667" s="30">
        <v>384766982</v>
      </c>
      <c r="M4667" s="80" t="s">
        <v>59</v>
      </c>
      <c r="N4667" s="80" t="s">
        <v>68</v>
      </c>
      <c r="O4667" s="80" t="s">
        <v>16566</v>
      </c>
      <c r="P4667" s="80" t="s">
        <v>7743</v>
      </c>
      <c r="Q4667" s="20">
        <v>5736</v>
      </c>
      <c r="R4667" s="80" t="s">
        <v>36</v>
      </c>
      <c r="S4667" s="95">
        <f>200+5536</f>
        <v>5736</v>
      </c>
      <c r="T4667" s="148">
        <v>45593</v>
      </c>
      <c r="U4667" s="95"/>
      <c r="V4667" s="148">
        <v>45593</v>
      </c>
      <c r="W4667" s="80" t="s">
        <v>16567</v>
      </c>
      <c r="X4667" s="80"/>
      <c r="Y4667" s="22">
        <v>0</v>
      </c>
      <c r="Z4667" s="80" t="s">
        <v>50</v>
      </c>
      <c r="AA4667" s="96" t="s">
        <v>9905</v>
      </c>
      <c r="AB4667" s="80"/>
      <c r="AC4667" s="80" t="s">
        <v>53</v>
      </c>
      <c r="AD4667" s="80" t="s">
        <v>138</v>
      </c>
      <c r="AE4667" s="80" t="s">
        <v>16312</v>
      </c>
      <c r="AF4667" s="17">
        <v>45603</v>
      </c>
      <c r="AG4667" s="80"/>
      <c r="AH4667" s="80"/>
      <c r="AI4667" s="147"/>
      <c r="AJ4667" s="80"/>
      <c r="AK4667" s="80"/>
      <c r="AL4667" s="35"/>
      <c r="AM4667" s="35"/>
      <c r="AN4667" s="35"/>
      <c r="AO4667" s="35"/>
      <c r="AP4667" s="35"/>
    </row>
    <row r="4668" spans="1:42" x14ac:dyDescent="0.2">
      <c r="A4668" s="74">
        <v>45594</v>
      </c>
      <c r="B4668" s="137" t="s">
        <v>37</v>
      </c>
      <c r="C4668" s="41" t="s">
        <v>118</v>
      </c>
      <c r="D4668" s="80" t="s">
        <v>36</v>
      </c>
      <c r="E4668" s="80" t="s">
        <v>106</v>
      </c>
      <c r="F4668" s="80" t="s">
        <v>11392</v>
      </c>
      <c r="G4668" s="80" t="s">
        <v>108</v>
      </c>
      <c r="H4668" s="80" t="s">
        <v>10199</v>
      </c>
      <c r="I4668" s="17">
        <f ca="1">IFERROR(__xludf.DUMMYFUNCTION("""COMPUTED_VALUE"""),45600)</f>
        <v>45600</v>
      </c>
      <c r="J4668" s="143" t="s">
        <v>11635</v>
      </c>
      <c r="K4668" s="80" t="s">
        <v>13360</v>
      </c>
      <c r="L4668" s="30">
        <v>396383263</v>
      </c>
      <c r="M4668" s="80" t="s">
        <v>1245</v>
      </c>
      <c r="N4668" s="80" t="s">
        <v>1246</v>
      </c>
      <c r="O4668" s="80" t="s">
        <v>11637</v>
      </c>
      <c r="P4668" s="144" t="s">
        <v>16568</v>
      </c>
      <c r="Q4668" s="20">
        <v>3768</v>
      </c>
      <c r="R4668" s="80" t="s">
        <v>36</v>
      </c>
      <c r="S4668" s="95">
        <v>3668</v>
      </c>
      <c r="T4668" s="148">
        <v>45594</v>
      </c>
      <c r="U4668" s="77"/>
      <c r="V4668" s="78"/>
      <c r="W4668" s="85" t="s">
        <v>16569</v>
      </c>
      <c r="X4668" s="26"/>
      <c r="Y4668" s="22">
        <v>100</v>
      </c>
      <c r="Z4668" s="26" t="s">
        <v>50</v>
      </c>
      <c r="AA4668" s="35" t="s">
        <v>9905</v>
      </c>
      <c r="AB4668" s="26"/>
      <c r="AC4668" s="26"/>
      <c r="AD4668" s="26"/>
      <c r="AE4668" s="80" t="s">
        <v>11392</v>
      </c>
      <c r="AF4668" s="43">
        <v>45595</v>
      </c>
      <c r="AG4668" s="26"/>
      <c r="AH4668" s="26"/>
      <c r="AI4668" s="40"/>
      <c r="AJ4668" s="26"/>
      <c r="AK4668" s="26"/>
      <c r="AL4668" s="35"/>
      <c r="AM4668" s="35"/>
      <c r="AN4668" s="35"/>
      <c r="AO4668" s="35"/>
      <c r="AP4668" s="35"/>
    </row>
    <row r="4669" spans="1:42" x14ac:dyDescent="0.2">
      <c r="A4669" s="126">
        <v>45594.689415115739</v>
      </c>
      <c r="B4669" s="137" t="s">
        <v>37</v>
      </c>
      <c r="C4669" s="41" t="s">
        <v>118</v>
      </c>
      <c r="D4669" s="80" t="s">
        <v>36</v>
      </c>
      <c r="E4669" s="80" t="s">
        <v>77</v>
      </c>
      <c r="F4669" s="80" t="s">
        <v>36</v>
      </c>
      <c r="G4669" s="80" t="s">
        <v>41</v>
      </c>
      <c r="H4669" s="80" t="s">
        <v>15451</v>
      </c>
      <c r="I4669" s="17">
        <f ca="1">IFERROR(__xludf.DUMMYFUNCTION("""COMPUTED_VALUE"""),45603)</f>
        <v>45603</v>
      </c>
      <c r="J4669" s="143" t="s">
        <v>16570</v>
      </c>
      <c r="K4669" s="80" t="s">
        <v>16571</v>
      </c>
      <c r="L4669" s="30">
        <v>325750774</v>
      </c>
      <c r="M4669" s="80" t="s">
        <v>348</v>
      </c>
      <c r="N4669" s="80" t="s">
        <v>68</v>
      </c>
      <c r="O4669" s="80" t="s">
        <v>16572</v>
      </c>
      <c r="P4669" s="80" t="s">
        <v>16573</v>
      </c>
      <c r="Q4669" s="20">
        <v>1968</v>
      </c>
      <c r="R4669" s="80" t="s">
        <v>36</v>
      </c>
      <c r="S4669" s="95">
        <v>1968</v>
      </c>
      <c r="T4669" s="148">
        <v>45593</v>
      </c>
      <c r="U4669" s="77"/>
      <c r="V4669" s="78"/>
      <c r="W4669" s="85" t="s">
        <v>16574</v>
      </c>
      <c r="X4669" s="80"/>
      <c r="Y4669" s="22">
        <v>0</v>
      </c>
      <c r="Z4669" s="80" t="s">
        <v>50</v>
      </c>
      <c r="AA4669" s="96" t="s">
        <v>9905</v>
      </c>
      <c r="AB4669" s="80"/>
      <c r="AC4669" s="80" t="s">
        <v>53</v>
      </c>
      <c r="AD4669" s="80" t="s">
        <v>138</v>
      </c>
      <c r="AE4669" s="80" t="s">
        <v>12782</v>
      </c>
      <c r="AF4669" s="17">
        <v>45603</v>
      </c>
      <c r="AG4669" s="80"/>
      <c r="AH4669" s="80"/>
      <c r="AI4669" s="147"/>
      <c r="AJ4669" s="80"/>
      <c r="AK4669" s="80"/>
      <c r="AL4669" s="35"/>
      <c r="AM4669" s="35"/>
      <c r="AN4669" s="35"/>
      <c r="AO4669" s="35"/>
      <c r="AP4669" s="35"/>
    </row>
    <row r="4670" spans="1:42" x14ac:dyDescent="0.2">
      <c r="A4670" s="126">
        <v>45595.338870451393</v>
      </c>
      <c r="B4670" s="137" t="s">
        <v>37</v>
      </c>
      <c r="C4670" s="41" t="s">
        <v>118</v>
      </c>
      <c r="D4670" s="80" t="s">
        <v>36</v>
      </c>
      <c r="E4670" s="80" t="s">
        <v>219</v>
      </c>
      <c r="F4670" s="80" t="s">
        <v>9553</v>
      </c>
      <c r="G4670" s="80" t="s">
        <v>221</v>
      </c>
      <c r="H4670" s="80" t="s">
        <v>13755</v>
      </c>
      <c r="I4670" s="17">
        <f ca="1">IFERROR(__xludf.DUMMYFUNCTION("""COMPUTED_VALUE"""),45595)</f>
        <v>45595</v>
      </c>
      <c r="J4670" s="143" t="s">
        <v>16575</v>
      </c>
      <c r="K4670" s="80" t="s">
        <v>9639</v>
      </c>
      <c r="L4670" s="30">
        <v>395350026</v>
      </c>
      <c r="M4670" s="80" t="s">
        <v>3288</v>
      </c>
      <c r="N4670" s="80" t="s">
        <v>200</v>
      </c>
      <c r="O4670" s="80" t="s">
        <v>91</v>
      </c>
      <c r="P4670" s="80" t="s">
        <v>16576</v>
      </c>
      <c r="Q4670" s="20">
        <v>3968</v>
      </c>
      <c r="R4670" s="80" t="s">
        <v>36</v>
      </c>
      <c r="S4670" s="95">
        <v>3868</v>
      </c>
      <c r="T4670" s="148">
        <v>45594</v>
      </c>
      <c r="U4670" s="77"/>
      <c r="V4670" s="78"/>
      <c r="W4670" s="85" t="s">
        <v>16577</v>
      </c>
      <c r="X4670" s="80"/>
      <c r="Y4670" s="22">
        <v>100</v>
      </c>
      <c r="Z4670" s="80" t="s">
        <v>50</v>
      </c>
      <c r="AA4670" s="35" t="s">
        <v>9905</v>
      </c>
      <c r="AB4670" s="80"/>
      <c r="AC4670" s="80" t="s">
        <v>53</v>
      </c>
      <c r="AD4670" s="80" t="s">
        <v>54</v>
      </c>
      <c r="AE4670" s="26" t="s">
        <v>9553</v>
      </c>
      <c r="AF4670" s="43">
        <v>45595</v>
      </c>
      <c r="AG4670" s="80"/>
      <c r="AH4670" s="80"/>
      <c r="AI4670" s="147"/>
      <c r="AJ4670" s="80"/>
      <c r="AK4670" s="80"/>
      <c r="AL4670" s="35"/>
      <c r="AM4670" s="35"/>
      <c r="AN4670" s="35"/>
      <c r="AO4670" s="35"/>
      <c r="AP4670" s="35"/>
    </row>
    <row r="4671" spans="1:42" x14ac:dyDescent="0.2">
      <c r="A4671" s="126">
        <v>45595.870222071761</v>
      </c>
      <c r="B4671" s="137" t="s">
        <v>37</v>
      </c>
      <c r="C4671" s="41" t="s">
        <v>118</v>
      </c>
      <c r="D4671" s="80" t="s">
        <v>77</v>
      </c>
      <c r="E4671" s="80" t="s">
        <v>119</v>
      </c>
      <c r="F4671" s="80" t="s">
        <v>8392</v>
      </c>
      <c r="G4671" s="80" t="s">
        <v>108</v>
      </c>
      <c r="H4671" s="80" t="s">
        <v>13957</v>
      </c>
      <c r="I4671" s="17">
        <f ca="1">IFERROR(__xludf.DUMMYFUNCTION("""COMPUTED_VALUE"""),45600)</f>
        <v>45600</v>
      </c>
      <c r="J4671" s="143" t="s">
        <v>16578</v>
      </c>
      <c r="K4671" s="80" t="s">
        <v>16579</v>
      </c>
      <c r="L4671" s="30">
        <v>986233971</v>
      </c>
      <c r="M4671" s="80" t="s">
        <v>12720</v>
      </c>
      <c r="N4671" s="80" t="s">
        <v>1073</v>
      </c>
      <c r="O4671" s="80" t="s">
        <v>11571</v>
      </c>
      <c r="P4671" s="144" t="s">
        <v>16580</v>
      </c>
      <c r="Q4671" s="20">
        <v>13968</v>
      </c>
      <c r="R4671" s="80" t="s">
        <v>36</v>
      </c>
      <c r="S4671" s="95">
        <v>13968</v>
      </c>
      <c r="T4671" s="148">
        <v>45592</v>
      </c>
      <c r="U4671" s="77"/>
      <c r="V4671" s="78"/>
      <c r="W4671" s="85" t="s">
        <v>16581</v>
      </c>
      <c r="X4671" s="80"/>
      <c r="Y4671" s="22">
        <v>0</v>
      </c>
      <c r="Z4671" s="80" t="s">
        <v>50</v>
      </c>
      <c r="AA4671" s="96" t="s">
        <v>9905</v>
      </c>
      <c r="AB4671" s="80"/>
      <c r="AC4671" s="80" t="s">
        <v>53</v>
      </c>
      <c r="AD4671" s="80" t="s">
        <v>54</v>
      </c>
      <c r="AE4671" s="80" t="s">
        <v>8392</v>
      </c>
      <c r="AF4671" s="43">
        <v>45595</v>
      </c>
      <c r="AG4671" s="80"/>
      <c r="AH4671" s="80"/>
      <c r="AI4671" s="147"/>
      <c r="AJ4671" s="80"/>
      <c r="AK4671" s="80"/>
      <c r="AL4671" s="35"/>
      <c r="AM4671" s="35"/>
      <c r="AN4671" s="35"/>
      <c r="AO4671" s="35"/>
      <c r="AP4671" s="35"/>
    </row>
    <row r="4672" spans="1:42" x14ac:dyDescent="0.2">
      <c r="A4672" s="126">
        <v>45596.284135439812</v>
      </c>
      <c r="B4672" s="137" t="s">
        <v>37</v>
      </c>
      <c r="C4672" s="41" t="s">
        <v>118</v>
      </c>
      <c r="D4672" s="80" t="s">
        <v>36</v>
      </c>
      <c r="E4672" s="80" t="s">
        <v>915</v>
      </c>
      <c r="F4672" s="80" t="s">
        <v>36</v>
      </c>
      <c r="G4672" s="80" t="s">
        <v>221</v>
      </c>
      <c r="H4672" s="80" t="s">
        <v>13889</v>
      </c>
      <c r="I4672" s="17">
        <f ca="1">IFERROR(__xludf.DUMMYFUNCTION("""COMPUTED_VALUE"""),45601)</f>
        <v>45601</v>
      </c>
      <c r="J4672" s="143" t="s">
        <v>16582</v>
      </c>
      <c r="K4672" s="80" t="s">
        <v>16583</v>
      </c>
      <c r="L4672" s="30">
        <v>339401557</v>
      </c>
      <c r="M4672" s="80" t="s">
        <v>9422</v>
      </c>
      <c r="N4672" s="80" t="s">
        <v>16584</v>
      </c>
      <c r="O4672" s="80" t="s">
        <v>16585</v>
      </c>
      <c r="P4672" s="80" t="s">
        <v>16586</v>
      </c>
      <c r="Q4672" s="20">
        <v>10894</v>
      </c>
      <c r="R4672" s="80" t="s">
        <v>36</v>
      </c>
      <c r="S4672" s="95">
        <v>10893</v>
      </c>
      <c r="T4672" s="148">
        <v>45595</v>
      </c>
      <c r="U4672" s="77"/>
      <c r="V4672" s="78"/>
      <c r="W4672" s="85" t="s">
        <v>16587</v>
      </c>
      <c r="X4672" s="80"/>
      <c r="Y4672" s="22">
        <v>1</v>
      </c>
      <c r="Z4672" s="80" t="s">
        <v>50</v>
      </c>
      <c r="AA4672" s="35" t="s">
        <v>9905</v>
      </c>
      <c r="AB4672" s="80"/>
      <c r="AC4672" s="80" t="s">
        <v>53</v>
      </c>
      <c r="AD4672" s="80" t="s">
        <v>54</v>
      </c>
      <c r="AE4672" s="80"/>
      <c r="AF4672" s="43">
        <v>45596</v>
      </c>
      <c r="AG4672" s="80"/>
      <c r="AH4672" s="80"/>
      <c r="AI4672" s="147"/>
      <c r="AJ4672" s="80"/>
      <c r="AK4672" s="80"/>
      <c r="AL4672" s="35"/>
      <c r="AM4672" s="35"/>
      <c r="AN4672" s="35"/>
      <c r="AO4672" s="35"/>
      <c r="AP4672" s="35"/>
    </row>
    <row r="4673" spans="1:42" x14ac:dyDescent="0.2">
      <c r="A4673" s="126">
        <v>45597.309323576388</v>
      </c>
      <c r="B4673" s="137" t="s">
        <v>37</v>
      </c>
      <c r="C4673" s="41" t="s">
        <v>118</v>
      </c>
      <c r="D4673" s="80" t="s">
        <v>36</v>
      </c>
      <c r="E4673" s="80" t="s">
        <v>106</v>
      </c>
      <c r="F4673" s="80" t="s">
        <v>36</v>
      </c>
      <c r="G4673" s="80" t="s">
        <v>108</v>
      </c>
      <c r="H4673" s="80" t="s">
        <v>13913</v>
      </c>
      <c r="I4673" s="17">
        <f ca="1">IFERROR(__xludf.DUMMYFUNCTION("""COMPUTED_VALUE"""),45602)</f>
        <v>45602</v>
      </c>
      <c r="J4673" s="172" t="s">
        <v>16588</v>
      </c>
      <c r="K4673" s="80" t="s">
        <v>16589</v>
      </c>
      <c r="L4673" s="30">
        <v>974876554</v>
      </c>
      <c r="M4673" s="80" t="s">
        <v>9422</v>
      </c>
      <c r="N4673" s="80" t="s">
        <v>16590</v>
      </c>
      <c r="O4673" s="80" t="s">
        <v>16591</v>
      </c>
      <c r="P4673" s="144" t="s">
        <v>16592</v>
      </c>
      <c r="Q4673" s="20">
        <v>3768</v>
      </c>
      <c r="R4673" s="80" t="s">
        <v>11421</v>
      </c>
      <c r="S4673" s="95">
        <v>3468</v>
      </c>
      <c r="T4673" s="148">
        <v>45596</v>
      </c>
      <c r="U4673" s="77"/>
      <c r="V4673" s="78"/>
      <c r="W4673" s="85" t="s">
        <v>16593</v>
      </c>
      <c r="X4673" s="80"/>
      <c r="Y4673" s="22">
        <v>300</v>
      </c>
      <c r="Z4673" s="80" t="s">
        <v>50</v>
      </c>
      <c r="AA4673" s="96" t="s">
        <v>9905</v>
      </c>
      <c r="AB4673" s="80"/>
      <c r="AC4673" s="80" t="s">
        <v>53</v>
      </c>
      <c r="AD4673" s="80" t="s">
        <v>138</v>
      </c>
      <c r="AE4673" s="80"/>
      <c r="AF4673" s="17">
        <v>45602</v>
      </c>
      <c r="AG4673" s="80" t="s">
        <v>13915</v>
      </c>
      <c r="AH4673" s="80"/>
      <c r="AI4673" s="147"/>
      <c r="AJ4673" s="80"/>
      <c r="AK4673" s="80"/>
      <c r="AL4673" s="35"/>
      <c r="AM4673" s="35"/>
      <c r="AN4673" s="35"/>
      <c r="AO4673" s="35"/>
      <c r="AP4673" s="35"/>
    </row>
    <row r="4674" spans="1:42" x14ac:dyDescent="0.2">
      <c r="A4674" s="126">
        <v>45597.310711111109</v>
      </c>
      <c r="B4674" s="137" t="s">
        <v>37</v>
      </c>
      <c r="C4674" s="41" t="s">
        <v>118</v>
      </c>
      <c r="D4674" s="80" t="s">
        <v>36</v>
      </c>
      <c r="E4674" s="80" t="s">
        <v>106</v>
      </c>
      <c r="F4674" s="80" t="s">
        <v>36</v>
      </c>
      <c r="G4674" s="80" t="s">
        <v>108</v>
      </c>
      <c r="H4674" s="80" t="s">
        <v>13913</v>
      </c>
      <c r="I4674" s="17">
        <f ca="1">IFERROR(__xludf.DUMMYFUNCTION("""COMPUTED_VALUE"""),45602)</f>
        <v>45602</v>
      </c>
      <c r="J4674" s="143" t="s">
        <v>16594</v>
      </c>
      <c r="K4674" s="80" t="s">
        <v>16595</v>
      </c>
      <c r="L4674" s="30">
        <v>886738521</v>
      </c>
      <c r="M4674" s="80" t="s">
        <v>9422</v>
      </c>
      <c r="N4674" s="80" t="s">
        <v>16590</v>
      </c>
      <c r="O4674" s="80" t="s">
        <v>16596</v>
      </c>
      <c r="P4674" s="80" t="s">
        <v>11608</v>
      </c>
      <c r="Q4674" s="20">
        <v>3768</v>
      </c>
      <c r="R4674" s="80" t="s">
        <v>11421</v>
      </c>
      <c r="S4674" s="95">
        <v>3468</v>
      </c>
      <c r="T4674" s="148">
        <v>45596</v>
      </c>
      <c r="U4674" s="77"/>
      <c r="V4674" s="78"/>
      <c r="W4674" s="85" t="s">
        <v>16597</v>
      </c>
      <c r="X4674" s="80"/>
      <c r="Y4674" s="22">
        <v>300</v>
      </c>
      <c r="Z4674" s="80" t="s">
        <v>50</v>
      </c>
      <c r="AA4674" s="35" t="s">
        <v>9905</v>
      </c>
      <c r="AB4674" s="80"/>
      <c r="AC4674" s="80" t="s">
        <v>53</v>
      </c>
      <c r="AD4674" s="80" t="s">
        <v>138</v>
      </c>
      <c r="AE4674" s="80"/>
      <c r="AF4674" s="17">
        <v>45602</v>
      </c>
      <c r="AG4674" s="80" t="s">
        <v>13915</v>
      </c>
      <c r="AH4674" s="80"/>
      <c r="AI4674" s="147"/>
      <c r="AJ4674" s="80"/>
      <c r="AK4674" s="80"/>
      <c r="AL4674" s="35"/>
      <c r="AM4674" s="35"/>
      <c r="AN4674" s="35"/>
      <c r="AO4674" s="35"/>
      <c r="AP4674" s="35"/>
    </row>
    <row r="4675" spans="1:42" x14ac:dyDescent="0.2">
      <c r="A4675" s="126">
        <v>45597.414091261569</v>
      </c>
      <c r="B4675" s="137" t="s">
        <v>37</v>
      </c>
      <c r="C4675" s="41" t="s">
        <v>118</v>
      </c>
      <c r="D4675" s="80" t="s">
        <v>77</v>
      </c>
      <c r="E4675" s="80" t="s">
        <v>106</v>
      </c>
      <c r="F4675" s="80" t="s">
        <v>11183</v>
      </c>
      <c r="G4675" s="80" t="s">
        <v>108</v>
      </c>
      <c r="H4675" s="80" t="s">
        <v>13600</v>
      </c>
      <c r="I4675" s="17">
        <f ca="1">IFERROR(__xludf.DUMMYFUNCTION("""COMPUTED_VALUE"""),45607)</f>
        <v>45607</v>
      </c>
      <c r="J4675" s="143" t="s">
        <v>11184</v>
      </c>
      <c r="K4675" s="80" t="s">
        <v>16598</v>
      </c>
      <c r="L4675" s="30">
        <v>987062606</v>
      </c>
      <c r="M4675" s="80" t="s">
        <v>12529</v>
      </c>
      <c r="N4675" s="80" t="s">
        <v>9386</v>
      </c>
      <c r="O4675" s="80" t="s">
        <v>11186</v>
      </c>
      <c r="P4675" s="80" t="s">
        <v>11187</v>
      </c>
      <c r="Q4675" s="20">
        <v>3768</v>
      </c>
      <c r="R4675" s="80" t="s">
        <v>36</v>
      </c>
      <c r="S4675" s="95">
        <v>3768</v>
      </c>
      <c r="T4675" s="148">
        <v>45596</v>
      </c>
      <c r="U4675" s="77"/>
      <c r="V4675" s="78"/>
      <c r="W4675" s="85" t="s">
        <v>16599</v>
      </c>
      <c r="X4675" s="80"/>
      <c r="Y4675" s="22">
        <v>0</v>
      </c>
      <c r="Z4675" s="80" t="s">
        <v>50</v>
      </c>
      <c r="AA4675" s="96" t="s">
        <v>9905</v>
      </c>
      <c r="AB4675" s="80"/>
      <c r="AC4675" s="80" t="s">
        <v>53</v>
      </c>
      <c r="AD4675" s="80" t="s">
        <v>138</v>
      </c>
      <c r="AE4675" s="80" t="s">
        <v>11183</v>
      </c>
      <c r="AF4675" s="43">
        <v>45607</v>
      </c>
      <c r="AG4675" s="80"/>
      <c r="AH4675" s="80"/>
      <c r="AI4675" s="147"/>
      <c r="AJ4675" s="80"/>
      <c r="AK4675" s="80"/>
      <c r="AL4675" s="35"/>
      <c r="AM4675" s="35"/>
      <c r="AN4675" s="35"/>
      <c r="AO4675" s="35"/>
      <c r="AP4675" s="35"/>
    </row>
    <row r="4676" spans="1:42" x14ac:dyDescent="0.2">
      <c r="A4676" s="126">
        <v>45598.95682663194</v>
      </c>
      <c r="B4676" s="137" t="s">
        <v>37</v>
      </c>
      <c r="C4676" s="41" t="s">
        <v>118</v>
      </c>
      <c r="D4676" s="80" t="s">
        <v>36</v>
      </c>
      <c r="E4676" s="80" t="s">
        <v>106</v>
      </c>
      <c r="F4676" s="80" t="s">
        <v>36</v>
      </c>
      <c r="G4676" s="80" t="s">
        <v>108</v>
      </c>
      <c r="H4676" s="80" t="s">
        <v>14066</v>
      </c>
      <c r="I4676" s="17">
        <f ca="1">IFERROR(__xludf.DUMMYFUNCTION("""COMPUTED_VALUE"""),45604)</f>
        <v>45604</v>
      </c>
      <c r="J4676" s="143" t="s">
        <v>16600</v>
      </c>
      <c r="K4676" s="80" t="s">
        <v>16601</v>
      </c>
      <c r="L4676" s="30">
        <v>387190937</v>
      </c>
      <c r="M4676" s="80" t="s">
        <v>1245</v>
      </c>
      <c r="N4676" s="80"/>
      <c r="O4676" s="80" t="s">
        <v>16602</v>
      </c>
      <c r="P4676" s="80" t="s">
        <v>16383</v>
      </c>
      <c r="Q4676" s="20">
        <v>3768</v>
      </c>
      <c r="R4676" s="80" t="s">
        <v>36</v>
      </c>
      <c r="S4676" s="95">
        <v>3768</v>
      </c>
      <c r="T4676" s="148">
        <v>45575</v>
      </c>
      <c r="U4676" s="77"/>
      <c r="V4676" s="78"/>
      <c r="W4676" s="85" t="s">
        <v>16603</v>
      </c>
      <c r="X4676" s="80"/>
      <c r="Y4676" s="22">
        <v>0</v>
      </c>
      <c r="Z4676" s="80" t="s">
        <v>50</v>
      </c>
      <c r="AA4676" s="35" t="s">
        <v>9905</v>
      </c>
      <c r="AB4676" s="80"/>
      <c r="AC4676" s="80" t="s">
        <v>53</v>
      </c>
      <c r="AD4676" s="80" t="s">
        <v>138</v>
      </c>
      <c r="AE4676" s="80" t="s">
        <v>2752</v>
      </c>
      <c r="AF4676" s="60" t="s">
        <v>14072</v>
      </c>
      <c r="AG4676" s="80"/>
      <c r="AH4676" s="80"/>
      <c r="AI4676" s="147"/>
      <c r="AJ4676" s="80"/>
      <c r="AK4676" s="80"/>
      <c r="AL4676" s="35"/>
      <c r="AM4676" s="35"/>
      <c r="AN4676" s="35"/>
      <c r="AO4676" s="35"/>
      <c r="AP4676" s="35"/>
    </row>
    <row r="4677" spans="1:42" x14ac:dyDescent="0.2">
      <c r="A4677" s="126">
        <v>45534.904766296298</v>
      </c>
      <c r="B4677" s="137" t="s">
        <v>37</v>
      </c>
      <c r="C4677" s="41" t="s">
        <v>118</v>
      </c>
      <c r="D4677" s="80" t="s">
        <v>36</v>
      </c>
      <c r="E4677" s="80" t="s">
        <v>56</v>
      </c>
      <c r="F4677" s="80" t="s">
        <v>40</v>
      </c>
      <c r="G4677" s="80" t="s">
        <v>41</v>
      </c>
      <c r="H4677" s="80" t="s">
        <v>11723</v>
      </c>
      <c r="I4677" s="17">
        <f ca="1">IFERROR(__xludf.DUMMYFUNCTION("""COMPUTED_VALUE"""),45541)</f>
        <v>45541</v>
      </c>
      <c r="J4677" s="143" t="s">
        <v>13905</v>
      </c>
      <c r="K4677" s="80" t="s">
        <v>16604</v>
      </c>
      <c r="L4677" s="30">
        <v>368860583</v>
      </c>
      <c r="M4677" s="80" t="s">
        <v>348</v>
      </c>
      <c r="N4677" s="80" t="s">
        <v>68</v>
      </c>
      <c r="O4677" s="80" t="s">
        <v>13907</v>
      </c>
      <c r="P4677" s="80" t="s">
        <v>13908</v>
      </c>
      <c r="Q4677" s="20">
        <v>9317</v>
      </c>
      <c r="R4677" s="80" t="s">
        <v>36</v>
      </c>
      <c r="S4677" s="95">
        <f>200+1800+3000</f>
        <v>5000</v>
      </c>
      <c r="T4677" s="83" t="s">
        <v>13909</v>
      </c>
      <c r="U4677" s="95">
        <v>4317</v>
      </c>
      <c r="V4677" s="148">
        <v>45576</v>
      </c>
      <c r="W4677" s="85" t="s">
        <v>13910</v>
      </c>
      <c r="X4677" s="80">
        <v>0</v>
      </c>
      <c r="Y4677" s="22">
        <v>0</v>
      </c>
      <c r="Z4677" s="80" t="s">
        <v>50</v>
      </c>
      <c r="AA4677" s="96" t="s">
        <v>9905</v>
      </c>
      <c r="AB4677" s="80"/>
      <c r="AC4677" s="80" t="s">
        <v>53</v>
      </c>
      <c r="AD4677" s="80" t="s">
        <v>54</v>
      </c>
      <c r="AE4677" s="80" t="s">
        <v>72</v>
      </c>
      <c r="AF4677" s="17">
        <v>45545</v>
      </c>
      <c r="AG4677" s="80"/>
      <c r="AH4677" s="80"/>
      <c r="AI4677" s="147" t="s">
        <v>84</v>
      </c>
      <c r="AJ4677" s="80"/>
      <c r="AK4677" s="80"/>
      <c r="AL4677" s="35"/>
      <c r="AM4677" s="35"/>
      <c r="AN4677" s="35"/>
      <c r="AO4677" s="35"/>
      <c r="AP4677" s="35"/>
    </row>
    <row r="4678" spans="1:42" x14ac:dyDescent="0.2">
      <c r="A4678" s="126">
        <v>45544.324930196759</v>
      </c>
      <c r="B4678" s="137" t="s">
        <v>37</v>
      </c>
      <c r="C4678" s="41" t="s">
        <v>118</v>
      </c>
      <c r="D4678" s="80" t="s">
        <v>36</v>
      </c>
      <c r="E4678" s="80" t="s">
        <v>139</v>
      </c>
      <c r="F4678" s="80" t="s">
        <v>11610</v>
      </c>
      <c r="G4678" s="80" t="s">
        <v>108</v>
      </c>
      <c r="H4678" s="80" t="s">
        <v>12857</v>
      </c>
      <c r="I4678" s="17">
        <f ca="1">IFERROR(__xludf.DUMMYFUNCTION("""COMPUTED_VALUE"""),45611)</f>
        <v>45611</v>
      </c>
      <c r="J4678" s="143" t="s">
        <v>16605</v>
      </c>
      <c r="K4678" s="80" t="s">
        <v>16606</v>
      </c>
      <c r="L4678" s="30">
        <v>395908257</v>
      </c>
      <c r="M4678" s="80" t="s">
        <v>910</v>
      </c>
      <c r="N4678" s="80" t="s">
        <v>3525</v>
      </c>
      <c r="O4678" s="80" t="s">
        <v>91</v>
      </c>
      <c r="P4678" s="80" t="s">
        <v>12578</v>
      </c>
      <c r="Q4678" s="20">
        <v>15936</v>
      </c>
      <c r="R4678" s="80" t="s">
        <v>70</v>
      </c>
      <c r="S4678" s="95">
        <v>1968</v>
      </c>
      <c r="T4678" s="148">
        <v>45543</v>
      </c>
      <c r="U4678" s="95">
        <f>8000+5869</f>
        <v>13869</v>
      </c>
      <c r="V4678" s="83" t="s">
        <v>16607</v>
      </c>
      <c r="W4678" s="85" t="s">
        <v>16608</v>
      </c>
      <c r="X4678" s="80"/>
      <c r="Y4678" s="22">
        <v>0</v>
      </c>
      <c r="Z4678" s="80"/>
      <c r="AA4678" s="86"/>
      <c r="AB4678" s="80"/>
      <c r="AC4678" s="80" t="s">
        <v>53</v>
      </c>
      <c r="AD4678" s="80" t="s">
        <v>138</v>
      </c>
      <c r="AE4678" s="80"/>
      <c r="AF4678" s="60" t="s">
        <v>16609</v>
      </c>
      <c r="AG4678" s="80" t="s">
        <v>16610</v>
      </c>
      <c r="AH4678" s="80"/>
      <c r="AI4678" s="147"/>
      <c r="AJ4678" s="80"/>
      <c r="AK4678" s="80"/>
      <c r="AL4678" s="35"/>
      <c r="AM4678" s="35"/>
      <c r="AN4678" s="35"/>
      <c r="AO4678" s="35"/>
      <c r="AP4678" s="35"/>
    </row>
    <row r="4679" spans="1:42" x14ac:dyDescent="0.2">
      <c r="A4679" s="74">
        <v>45608</v>
      </c>
      <c r="B4679" s="137" t="s">
        <v>37</v>
      </c>
      <c r="C4679" s="41" t="s">
        <v>118</v>
      </c>
      <c r="D4679" s="80" t="s">
        <v>36</v>
      </c>
      <c r="E4679" s="80" t="s">
        <v>56</v>
      </c>
      <c r="F4679" s="80" t="s">
        <v>13315</v>
      </c>
      <c r="G4679" s="80" t="s">
        <v>108</v>
      </c>
      <c r="H4679" s="80" t="s">
        <v>14409</v>
      </c>
      <c r="I4679" s="17">
        <f ca="1">IFERROR(__xludf.DUMMYFUNCTION("""COMPUTED_VALUE"""),45624)</f>
        <v>45624</v>
      </c>
      <c r="J4679" s="143" t="s">
        <v>15462</v>
      </c>
      <c r="K4679" s="80" t="s">
        <v>16611</v>
      </c>
      <c r="L4679" s="30">
        <v>868117925</v>
      </c>
      <c r="M4679" s="80" t="s">
        <v>5558</v>
      </c>
      <c r="N4679" s="80" t="s">
        <v>5559</v>
      </c>
      <c r="O4679" s="80" t="s">
        <v>4503</v>
      </c>
      <c r="P4679" s="144" t="s">
        <v>15464</v>
      </c>
      <c r="Q4679" s="20">
        <v>9317</v>
      </c>
      <c r="R4679" s="80" t="s">
        <v>36</v>
      </c>
      <c r="S4679" s="95">
        <v>2000</v>
      </c>
      <c r="T4679" s="148">
        <v>45556</v>
      </c>
      <c r="U4679" s="95">
        <v>7317</v>
      </c>
      <c r="V4679" s="148">
        <v>45583</v>
      </c>
      <c r="W4679" s="85" t="s">
        <v>15465</v>
      </c>
      <c r="X4679" s="80"/>
      <c r="Y4679" s="22">
        <v>0</v>
      </c>
      <c r="Z4679" s="80" t="s">
        <v>50</v>
      </c>
      <c r="AA4679" s="96" t="s">
        <v>9905</v>
      </c>
      <c r="AB4679" s="80"/>
      <c r="AC4679" s="80" t="s">
        <v>53</v>
      </c>
      <c r="AD4679" s="80" t="s">
        <v>54</v>
      </c>
      <c r="AE4679" s="80" t="s">
        <v>13315</v>
      </c>
      <c r="AF4679" s="17">
        <v>45608</v>
      </c>
      <c r="AG4679" s="80"/>
      <c r="AH4679" s="80"/>
      <c r="AI4679" s="147"/>
      <c r="AJ4679" s="80"/>
      <c r="AK4679" s="80"/>
      <c r="AL4679" s="35"/>
      <c r="AM4679" s="35"/>
      <c r="AN4679" s="35"/>
      <c r="AO4679" s="35"/>
      <c r="AP4679" s="35"/>
    </row>
    <row r="4680" spans="1:42" x14ac:dyDescent="0.2">
      <c r="A4680" s="74">
        <v>45608</v>
      </c>
      <c r="B4680" s="137" t="s">
        <v>37</v>
      </c>
      <c r="C4680" s="41" t="s">
        <v>118</v>
      </c>
      <c r="D4680" s="80" t="s">
        <v>36</v>
      </c>
      <c r="E4680" s="80" t="s">
        <v>56</v>
      </c>
      <c r="F4680" s="80" t="s">
        <v>9614</v>
      </c>
      <c r="G4680" s="80" t="s">
        <v>108</v>
      </c>
      <c r="H4680" s="80" t="s">
        <v>14114</v>
      </c>
      <c r="I4680" s="17">
        <f ca="1">IFERROR(__xludf.DUMMYFUNCTION("""COMPUTED_VALUE"""),45750)</f>
        <v>45750</v>
      </c>
      <c r="J4680" s="143" t="s">
        <v>15149</v>
      </c>
      <c r="K4680" s="80" t="s">
        <v>16612</v>
      </c>
      <c r="L4680" s="30">
        <v>379372706</v>
      </c>
      <c r="M4680" s="80" t="s">
        <v>2755</v>
      </c>
      <c r="N4680" s="80" t="s">
        <v>2756</v>
      </c>
      <c r="O4680" s="80" t="s">
        <v>4503</v>
      </c>
      <c r="P4680" s="144" t="s">
        <v>16613</v>
      </c>
      <c r="Q4680" s="20">
        <v>9317</v>
      </c>
      <c r="R4680" s="80" t="s">
        <v>36</v>
      </c>
      <c r="S4680" s="95">
        <v>2200</v>
      </c>
      <c r="T4680" s="148">
        <v>45546</v>
      </c>
      <c r="U4680" s="95">
        <v>7117</v>
      </c>
      <c r="V4680" s="148">
        <v>45568</v>
      </c>
      <c r="W4680" s="80" t="s">
        <v>15152</v>
      </c>
      <c r="X4680" s="80"/>
      <c r="Y4680" s="22">
        <v>0</v>
      </c>
      <c r="Z4680" s="80" t="s">
        <v>50</v>
      </c>
      <c r="AA4680" s="35" t="s">
        <v>9905</v>
      </c>
      <c r="AB4680" s="80"/>
      <c r="AC4680" s="80" t="s">
        <v>53</v>
      </c>
      <c r="AD4680" s="80" t="s">
        <v>54</v>
      </c>
      <c r="AE4680" s="80" t="s">
        <v>9614</v>
      </c>
      <c r="AF4680" s="43">
        <v>45616</v>
      </c>
      <c r="AG4680" s="80"/>
      <c r="AH4680" s="80"/>
      <c r="AI4680" s="147"/>
      <c r="AJ4680" s="80"/>
      <c r="AK4680" s="80"/>
      <c r="AL4680" s="35"/>
      <c r="AM4680" s="35"/>
      <c r="AN4680" s="35"/>
      <c r="AO4680" s="35"/>
      <c r="AP4680" s="35"/>
    </row>
    <row r="4681" spans="1:42" x14ac:dyDescent="0.2">
      <c r="A4681" s="74">
        <v>45608</v>
      </c>
      <c r="B4681" s="137" t="s">
        <v>37</v>
      </c>
      <c r="C4681" s="41" t="s">
        <v>118</v>
      </c>
      <c r="D4681" s="80" t="s">
        <v>36</v>
      </c>
      <c r="E4681" s="80" t="s">
        <v>56</v>
      </c>
      <c r="F4681" s="80" t="s">
        <v>11347</v>
      </c>
      <c r="G4681" s="80" t="s">
        <v>108</v>
      </c>
      <c r="H4681" s="80" t="s">
        <v>14177</v>
      </c>
      <c r="I4681" s="17">
        <f ca="1">IFERROR(__xludf.DUMMYFUNCTION("""COMPUTED_VALUE"""),45614)</f>
        <v>45614</v>
      </c>
      <c r="J4681" s="143" t="s">
        <v>12449</v>
      </c>
      <c r="K4681" s="80" t="s">
        <v>1842</v>
      </c>
      <c r="L4681" s="83">
        <v>388354043</v>
      </c>
      <c r="M4681" s="80" t="s">
        <v>3728</v>
      </c>
      <c r="N4681" s="80" t="s">
        <v>5277</v>
      </c>
      <c r="O4681" s="80" t="s">
        <v>12451</v>
      </c>
      <c r="P4681" s="80" t="s">
        <v>12452</v>
      </c>
      <c r="Q4681" s="20">
        <v>9317</v>
      </c>
      <c r="R4681" s="80" t="s">
        <v>1989</v>
      </c>
      <c r="S4681" s="95">
        <f>200+1800</f>
        <v>2000</v>
      </c>
      <c r="T4681" s="83" t="s">
        <v>12453</v>
      </c>
      <c r="U4681" s="95">
        <v>7067</v>
      </c>
      <c r="V4681" s="148">
        <v>45564</v>
      </c>
      <c r="W4681" s="85" t="s">
        <v>12454</v>
      </c>
      <c r="X4681" s="80">
        <v>250</v>
      </c>
      <c r="Y4681" s="22">
        <v>0</v>
      </c>
      <c r="Z4681" s="80" t="s">
        <v>50</v>
      </c>
      <c r="AA4681" s="96" t="s">
        <v>3291</v>
      </c>
      <c r="AB4681" s="80"/>
      <c r="AC4681" s="80" t="s">
        <v>53</v>
      </c>
      <c r="AD4681" s="80" t="s">
        <v>138</v>
      </c>
      <c r="AE4681" s="80" t="s">
        <v>11347</v>
      </c>
      <c r="AF4681" s="17">
        <v>45614</v>
      </c>
      <c r="AG4681" s="80"/>
      <c r="AH4681" s="80"/>
      <c r="AI4681" s="147" t="s">
        <v>64</v>
      </c>
      <c r="AJ4681" s="80"/>
      <c r="AK4681" s="80"/>
      <c r="AL4681" s="35"/>
      <c r="AM4681" s="35"/>
      <c r="AN4681" s="35"/>
      <c r="AO4681" s="35"/>
      <c r="AP4681" s="35"/>
    </row>
    <row r="4682" spans="1:42" x14ac:dyDescent="0.2">
      <c r="A4682" s="74">
        <v>45608</v>
      </c>
      <c r="B4682" s="137" t="s">
        <v>37</v>
      </c>
      <c r="C4682" s="41" t="s">
        <v>118</v>
      </c>
      <c r="D4682" s="80" t="s">
        <v>36</v>
      </c>
      <c r="E4682" s="80" t="s">
        <v>56</v>
      </c>
      <c r="F4682" s="80" t="s">
        <v>9614</v>
      </c>
      <c r="G4682" s="80" t="s">
        <v>108</v>
      </c>
      <c r="H4682" s="80" t="s">
        <v>14210</v>
      </c>
      <c r="I4682" s="17">
        <f ca="1">IFERROR(__xludf.DUMMYFUNCTION("""COMPUTED_VALUE"""),45622)</f>
        <v>45622</v>
      </c>
      <c r="J4682" s="143" t="s">
        <v>12952</v>
      </c>
      <c r="K4682" s="80" t="s">
        <v>12953</v>
      </c>
      <c r="L4682" s="30">
        <v>983925476</v>
      </c>
      <c r="M4682" s="80" t="s">
        <v>59</v>
      </c>
      <c r="N4682" s="80" t="s">
        <v>11476</v>
      </c>
      <c r="O4682" s="80" t="s">
        <v>12954</v>
      </c>
      <c r="P4682" s="115" t="s">
        <v>12955</v>
      </c>
      <c r="Q4682" s="20">
        <v>9317</v>
      </c>
      <c r="R4682" s="80" t="s">
        <v>36</v>
      </c>
      <c r="S4682" s="95">
        <f>200+9117</f>
        <v>9317</v>
      </c>
      <c r="T4682" s="83" t="s">
        <v>12956</v>
      </c>
      <c r="U4682" s="77"/>
      <c r="V4682" s="78"/>
      <c r="W4682" s="85" t="s">
        <v>12957</v>
      </c>
      <c r="X4682" s="80">
        <v>0</v>
      </c>
      <c r="Y4682" s="22">
        <v>0</v>
      </c>
      <c r="Z4682" s="80" t="s">
        <v>50</v>
      </c>
      <c r="AA4682" s="35" t="s">
        <v>3291</v>
      </c>
      <c r="AB4682" s="80"/>
      <c r="AC4682" s="80" t="s">
        <v>53</v>
      </c>
      <c r="AD4682" s="80" t="s">
        <v>54</v>
      </c>
      <c r="AE4682" s="80" t="s">
        <v>9614</v>
      </c>
      <c r="AF4682" s="43">
        <v>45616</v>
      </c>
      <c r="AG4682" s="80"/>
      <c r="AH4682" s="80"/>
      <c r="AI4682" s="147" t="s">
        <v>64</v>
      </c>
      <c r="AJ4682" s="80"/>
      <c r="AK4682" s="80"/>
      <c r="AL4682" s="35"/>
      <c r="AM4682" s="35"/>
      <c r="AN4682" s="35"/>
      <c r="AO4682" s="35"/>
      <c r="AP4682" s="35"/>
    </row>
    <row r="4683" spans="1:42" x14ac:dyDescent="0.2">
      <c r="A4683" s="74">
        <v>45608</v>
      </c>
      <c r="B4683" s="137" t="s">
        <v>37</v>
      </c>
      <c r="C4683" s="41" t="s">
        <v>118</v>
      </c>
      <c r="D4683" s="80" t="s">
        <v>36</v>
      </c>
      <c r="E4683" s="80" t="s">
        <v>39</v>
      </c>
      <c r="F4683" s="80" t="s">
        <v>13315</v>
      </c>
      <c r="G4683" s="80" t="s">
        <v>108</v>
      </c>
      <c r="H4683" s="80" t="s">
        <v>14409</v>
      </c>
      <c r="I4683" s="17">
        <f ca="1">IFERROR(__xludf.DUMMYFUNCTION("""COMPUTED_VALUE"""),45624)</f>
        <v>45624</v>
      </c>
      <c r="J4683" s="143" t="s">
        <v>13321</v>
      </c>
      <c r="K4683" s="80" t="s">
        <v>13322</v>
      </c>
      <c r="L4683" s="30">
        <v>354688577</v>
      </c>
      <c r="M4683" s="80" t="s">
        <v>59</v>
      </c>
      <c r="N4683" s="80" t="s">
        <v>10947</v>
      </c>
      <c r="O4683" s="80" t="s">
        <v>13323</v>
      </c>
      <c r="P4683" s="144" t="s">
        <v>16614</v>
      </c>
      <c r="Q4683" s="20">
        <v>5736</v>
      </c>
      <c r="R4683" s="80" t="s">
        <v>70</v>
      </c>
      <c r="S4683" s="95">
        <v>5636</v>
      </c>
      <c r="T4683" s="148">
        <v>45553</v>
      </c>
      <c r="U4683" s="77"/>
      <c r="V4683" s="78"/>
      <c r="W4683" s="85" t="s">
        <v>13325</v>
      </c>
      <c r="X4683" s="80">
        <v>100</v>
      </c>
      <c r="Y4683" s="22">
        <v>0</v>
      </c>
      <c r="Z4683" s="80" t="s">
        <v>50</v>
      </c>
      <c r="AA4683" s="96" t="s">
        <v>3291</v>
      </c>
      <c r="AB4683" s="80"/>
      <c r="AC4683" s="80" t="s">
        <v>53</v>
      </c>
      <c r="AD4683" s="80" t="s">
        <v>54</v>
      </c>
      <c r="AE4683" s="80" t="s">
        <v>13315</v>
      </c>
      <c r="AF4683" s="17">
        <v>45609</v>
      </c>
      <c r="AG4683" s="85" t="s">
        <v>13321</v>
      </c>
      <c r="AH4683" s="80"/>
      <c r="AI4683" s="147" t="s">
        <v>55</v>
      </c>
      <c r="AJ4683" s="80"/>
      <c r="AK4683" s="80"/>
      <c r="AL4683" s="35"/>
      <c r="AM4683" s="35"/>
      <c r="AN4683" s="35"/>
      <c r="AO4683" s="35"/>
      <c r="AP4683" s="35"/>
    </row>
    <row r="4684" spans="1:42" x14ac:dyDescent="0.2">
      <c r="A4684" s="74">
        <v>45608</v>
      </c>
      <c r="B4684" s="137" t="s">
        <v>37</v>
      </c>
      <c r="C4684" s="41" t="s">
        <v>118</v>
      </c>
      <c r="D4684" s="80" t="s">
        <v>36</v>
      </c>
      <c r="E4684" s="80" t="s">
        <v>139</v>
      </c>
      <c r="F4684" s="80" t="s">
        <v>9626</v>
      </c>
      <c r="G4684" s="80" t="s">
        <v>108</v>
      </c>
      <c r="H4684" s="80" t="s">
        <v>8088</v>
      </c>
      <c r="I4684" s="17">
        <f ca="1">IFERROR(__xludf.DUMMYFUNCTION("""COMPUTED_VALUE"""),45611)</f>
        <v>45611</v>
      </c>
      <c r="J4684" s="143" t="s">
        <v>15317</v>
      </c>
      <c r="K4684" s="80" t="s">
        <v>15318</v>
      </c>
      <c r="L4684" s="30">
        <v>385616636</v>
      </c>
      <c r="M4684" s="80" t="s">
        <v>2755</v>
      </c>
      <c r="N4684" s="80" t="s">
        <v>2756</v>
      </c>
      <c r="O4684" s="80" t="s">
        <v>4503</v>
      </c>
      <c r="P4684" s="80" t="s">
        <v>7649</v>
      </c>
      <c r="Q4684" s="20">
        <v>15936</v>
      </c>
      <c r="R4684" s="80" t="s">
        <v>36</v>
      </c>
      <c r="S4684" s="95">
        <v>2000</v>
      </c>
      <c r="T4684" s="148">
        <v>45553</v>
      </c>
      <c r="U4684" s="178">
        <v>13936</v>
      </c>
      <c r="V4684" s="169">
        <v>45576</v>
      </c>
      <c r="W4684" s="85" t="s">
        <v>15319</v>
      </c>
      <c r="X4684" s="80"/>
      <c r="Y4684" s="22">
        <v>0</v>
      </c>
      <c r="Z4684" s="80" t="s">
        <v>50</v>
      </c>
      <c r="AA4684" s="35" t="s">
        <v>9905</v>
      </c>
      <c r="AB4684" s="80"/>
      <c r="AC4684" s="80" t="s">
        <v>53</v>
      </c>
      <c r="AD4684" s="80" t="s">
        <v>138</v>
      </c>
      <c r="AE4684" s="80" t="s">
        <v>9626</v>
      </c>
      <c r="AF4684" s="17">
        <v>45611</v>
      </c>
      <c r="AG4684" s="80" t="s">
        <v>14199</v>
      </c>
      <c r="AH4684" s="80"/>
      <c r="AI4684" s="147"/>
      <c r="AJ4684" s="80"/>
      <c r="AK4684" s="80"/>
      <c r="AL4684" s="35"/>
      <c r="AM4684" s="35"/>
      <c r="AN4684" s="35"/>
      <c r="AO4684" s="35"/>
      <c r="AP4684" s="35"/>
    </row>
    <row r="4685" spans="1:42" x14ac:dyDescent="0.2">
      <c r="A4685" s="74">
        <v>45608</v>
      </c>
      <c r="B4685" s="137" t="s">
        <v>37</v>
      </c>
      <c r="C4685" s="41" t="s">
        <v>118</v>
      </c>
      <c r="D4685" s="80" t="s">
        <v>36</v>
      </c>
      <c r="E4685" s="80" t="s">
        <v>139</v>
      </c>
      <c r="F4685" s="80" t="s">
        <v>13206</v>
      </c>
      <c r="G4685" s="80" t="s">
        <v>108</v>
      </c>
      <c r="H4685" s="80" t="s">
        <v>13727</v>
      </c>
      <c r="I4685" s="17">
        <f ca="1">IFERROR(__xludf.DUMMYFUNCTION("""COMPUTED_VALUE"""),45705)</f>
        <v>45705</v>
      </c>
      <c r="J4685" s="143" t="s">
        <v>15246</v>
      </c>
      <c r="K4685" s="80" t="s">
        <v>16615</v>
      </c>
      <c r="L4685" s="30">
        <v>867468931</v>
      </c>
      <c r="M4685" s="80" t="s">
        <v>5558</v>
      </c>
      <c r="N4685" s="80" t="s">
        <v>5559</v>
      </c>
      <c r="O4685" s="80" t="s">
        <v>4503</v>
      </c>
      <c r="P4685" s="144" t="s">
        <v>16616</v>
      </c>
      <c r="Q4685" s="20">
        <v>15936</v>
      </c>
      <c r="R4685" s="80" t="s">
        <v>36</v>
      </c>
      <c r="S4685" s="95">
        <v>2000</v>
      </c>
      <c r="T4685" s="148">
        <v>45551</v>
      </c>
      <c r="U4685" s="95">
        <v>13936</v>
      </c>
      <c r="V4685" s="148">
        <v>45573</v>
      </c>
      <c r="W4685" s="85" t="s">
        <v>15249</v>
      </c>
      <c r="X4685" s="80"/>
      <c r="Y4685" s="22">
        <v>0</v>
      </c>
      <c r="Z4685" s="80" t="s">
        <v>50</v>
      </c>
      <c r="AA4685" s="96" t="s">
        <v>9905</v>
      </c>
      <c r="AB4685" s="80"/>
      <c r="AC4685" s="80" t="s">
        <v>53</v>
      </c>
      <c r="AD4685" s="80" t="s">
        <v>54</v>
      </c>
      <c r="AE4685" s="80" t="s">
        <v>13206</v>
      </c>
      <c r="AF4685" s="17">
        <v>45723</v>
      </c>
      <c r="AG4685" s="60" t="s">
        <v>16617</v>
      </c>
      <c r="AH4685" s="80"/>
      <c r="AI4685" s="147"/>
      <c r="AJ4685" s="80"/>
      <c r="AK4685" s="80"/>
      <c r="AL4685" s="35"/>
      <c r="AM4685" s="35"/>
      <c r="AN4685" s="35"/>
      <c r="AO4685" s="35"/>
      <c r="AP4685" s="35"/>
    </row>
    <row r="4686" spans="1:42" x14ac:dyDescent="0.2">
      <c r="A4686" s="74">
        <v>45610</v>
      </c>
      <c r="B4686" s="137" t="s">
        <v>37</v>
      </c>
      <c r="C4686" s="41" t="s">
        <v>118</v>
      </c>
      <c r="D4686" s="80" t="s">
        <v>36</v>
      </c>
      <c r="E4686" s="80" t="s">
        <v>139</v>
      </c>
      <c r="F4686" s="80" t="s">
        <v>11846</v>
      </c>
      <c r="G4686" s="80" t="s">
        <v>108</v>
      </c>
      <c r="H4686" s="80" t="s">
        <v>14342</v>
      </c>
      <c r="I4686" s="17">
        <f ca="1">IFERROR(__xludf.DUMMYFUNCTION("""COMPUTED_VALUE"""),45611)</f>
        <v>45611</v>
      </c>
      <c r="J4686" s="143" t="s">
        <v>15489</v>
      </c>
      <c r="K4686" s="80" t="s">
        <v>16618</v>
      </c>
      <c r="L4686" s="30">
        <v>398942150</v>
      </c>
      <c r="M4686" s="80" t="s">
        <v>5429</v>
      </c>
      <c r="N4686" s="80" t="s">
        <v>1384</v>
      </c>
      <c r="O4686" s="80" t="s">
        <v>61</v>
      </c>
      <c r="P4686" s="80" t="s">
        <v>15491</v>
      </c>
      <c r="Q4686" s="20">
        <v>15936</v>
      </c>
      <c r="R4686" s="80" t="s">
        <v>36</v>
      </c>
      <c r="S4686" s="95">
        <v>2000</v>
      </c>
      <c r="T4686" s="148">
        <v>45557</v>
      </c>
      <c r="U4686" s="95">
        <v>13936</v>
      </c>
      <c r="V4686" s="148">
        <v>45578</v>
      </c>
      <c r="W4686" s="85" t="s">
        <v>15492</v>
      </c>
      <c r="X4686" s="80"/>
      <c r="Y4686" s="22">
        <v>0</v>
      </c>
      <c r="Z4686" s="80" t="s">
        <v>50</v>
      </c>
      <c r="AA4686" s="35" t="s">
        <v>9905</v>
      </c>
      <c r="AB4686" s="80"/>
      <c r="AC4686" s="80" t="s">
        <v>53</v>
      </c>
      <c r="AD4686" s="80" t="s">
        <v>54</v>
      </c>
      <c r="AE4686" s="80" t="s">
        <v>11846</v>
      </c>
      <c r="AF4686" s="17">
        <v>45611</v>
      </c>
      <c r="AG4686" s="80"/>
      <c r="AH4686" s="80"/>
      <c r="AI4686" s="147"/>
      <c r="AJ4686" s="80"/>
      <c r="AK4686" s="80"/>
      <c r="AL4686" s="35"/>
      <c r="AM4686" s="35"/>
      <c r="AN4686" s="35"/>
      <c r="AO4686" s="35"/>
      <c r="AP4686" s="35"/>
    </row>
    <row r="4687" spans="1:42" x14ac:dyDescent="0.2">
      <c r="A4687" s="74">
        <v>45610</v>
      </c>
      <c r="B4687" s="137" t="s">
        <v>37</v>
      </c>
      <c r="C4687" s="41" t="s">
        <v>118</v>
      </c>
      <c r="D4687" s="80" t="s">
        <v>36</v>
      </c>
      <c r="E4687" s="80" t="s">
        <v>39</v>
      </c>
      <c r="F4687" s="80" t="s">
        <v>13315</v>
      </c>
      <c r="G4687" s="80" t="s">
        <v>108</v>
      </c>
      <c r="H4687" s="80" t="s">
        <v>14637</v>
      </c>
      <c r="I4687" s="17">
        <f ca="1">IFERROR(__xludf.DUMMYFUNCTION("""COMPUTED_VALUE"""),45611)</f>
        <v>45611</v>
      </c>
      <c r="J4687" s="143" t="s">
        <v>13316</v>
      </c>
      <c r="K4687" s="80" t="s">
        <v>16619</v>
      </c>
      <c r="L4687" s="30">
        <v>972270762</v>
      </c>
      <c r="M4687" s="80" t="s">
        <v>59</v>
      </c>
      <c r="N4687" s="80" t="s">
        <v>10947</v>
      </c>
      <c r="O4687" s="80" t="s">
        <v>13318</v>
      </c>
      <c r="P4687" s="80" t="s">
        <v>13319</v>
      </c>
      <c r="Q4687" s="20">
        <v>5736</v>
      </c>
      <c r="R4687" s="80" t="s">
        <v>70</v>
      </c>
      <c r="S4687" s="95">
        <v>5636</v>
      </c>
      <c r="T4687" s="148">
        <v>45553</v>
      </c>
      <c r="U4687" s="77"/>
      <c r="V4687" s="78"/>
      <c r="W4687" s="85" t="s">
        <v>13320</v>
      </c>
      <c r="X4687" s="80">
        <v>100</v>
      </c>
      <c r="Y4687" s="22">
        <v>0</v>
      </c>
      <c r="Z4687" s="80" t="s">
        <v>50</v>
      </c>
      <c r="AA4687" s="96" t="s">
        <v>3291</v>
      </c>
      <c r="AB4687" s="80"/>
      <c r="AC4687" s="80" t="s">
        <v>53</v>
      </c>
      <c r="AD4687" s="80" t="s">
        <v>54</v>
      </c>
      <c r="AE4687" s="80" t="s">
        <v>13315</v>
      </c>
      <c r="AF4687" s="17">
        <v>45610</v>
      </c>
      <c r="AG4687" s="80"/>
      <c r="AH4687" s="80"/>
      <c r="AI4687" s="147" t="s">
        <v>55</v>
      </c>
      <c r="AJ4687" s="80"/>
      <c r="AK4687" s="80"/>
      <c r="AL4687" s="35"/>
      <c r="AM4687" s="35"/>
      <c r="AN4687" s="35"/>
      <c r="AO4687" s="35"/>
      <c r="AP4687" s="35"/>
    </row>
    <row r="4688" spans="1:42" x14ac:dyDescent="0.2">
      <c r="A4688" s="74">
        <v>45610</v>
      </c>
      <c r="B4688" s="137" t="s">
        <v>37</v>
      </c>
      <c r="C4688" s="41" t="s">
        <v>118</v>
      </c>
      <c r="D4688" s="80" t="s">
        <v>36</v>
      </c>
      <c r="E4688" s="80" t="s">
        <v>56</v>
      </c>
      <c r="F4688" s="80" t="s">
        <v>11723</v>
      </c>
      <c r="G4688" s="80" t="s">
        <v>108</v>
      </c>
      <c r="H4688" s="80" t="s">
        <v>14298</v>
      </c>
      <c r="I4688" s="17">
        <f ca="1">IFERROR(__xludf.DUMMYFUNCTION("""COMPUTED_VALUE"""),45621)</f>
        <v>45621</v>
      </c>
      <c r="J4688" s="143" t="s">
        <v>12743</v>
      </c>
      <c r="K4688" s="80" t="s">
        <v>16620</v>
      </c>
      <c r="L4688" s="30">
        <v>967938367</v>
      </c>
      <c r="M4688" s="80" t="s">
        <v>123</v>
      </c>
      <c r="N4688" s="80" t="s">
        <v>327</v>
      </c>
      <c r="O4688" s="80" t="s">
        <v>4503</v>
      </c>
      <c r="P4688" s="144" t="s">
        <v>16621</v>
      </c>
      <c r="Q4688" s="20">
        <v>9317</v>
      </c>
      <c r="R4688" s="80" t="s">
        <v>36</v>
      </c>
      <c r="S4688" s="95">
        <v>2000</v>
      </c>
      <c r="T4688" s="148">
        <v>45539</v>
      </c>
      <c r="U4688" s="95">
        <v>7317</v>
      </c>
      <c r="V4688" s="148">
        <v>45553</v>
      </c>
      <c r="W4688" s="85" t="s">
        <v>12746</v>
      </c>
      <c r="X4688" s="80">
        <v>0</v>
      </c>
      <c r="Y4688" s="22">
        <v>0</v>
      </c>
      <c r="Z4688" s="80" t="s">
        <v>50</v>
      </c>
      <c r="AA4688" s="35" t="s">
        <v>3291</v>
      </c>
      <c r="AB4688" s="80"/>
      <c r="AC4688" s="80" t="s">
        <v>53</v>
      </c>
      <c r="AD4688" s="80" t="s">
        <v>54</v>
      </c>
      <c r="AE4688" s="80" t="s">
        <v>11723</v>
      </c>
      <c r="AF4688" s="17">
        <v>45615</v>
      </c>
      <c r="AG4688" s="80"/>
      <c r="AH4688" s="80"/>
      <c r="AI4688" s="147" t="s">
        <v>64</v>
      </c>
      <c r="AJ4688" s="80"/>
      <c r="AK4688" s="80"/>
      <c r="AL4688" s="35"/>
      <c r="AM4688" s="35"/>
      <c r="AN4688" s="35"/>
      <c r="AO4688" s="35"/>
      <c r="AP4688" s="35"/>
    </row>
    <row r="4689" spans="1:42" x14ac:dyDescent="0.2">
      <c r="A4689" s="74">
        <v>45610</v>
      </c>
      <c r="B4689" s="137"/>
      <c r="C4689" s="41" t="s">
        <v>118</v>
      </c>
      <c r="D4689" s="26" t="s">
        <v>36</v>
      </c>
      <c r="E4689" s="26" t="s">
        <v>148</v>
      </c>
      <c r="F4689" s="26" t="s">
        <v>7871</v>
      </c>
      <c r="G4689" s="26" t="s">
        <v>221</v>
      </c>
      <c r="H4689" s="26" t="s">
        <v>16622</v>
      </c>
      <c r="I4689" s="17" t="str">
        <f ca="1">IFERROR(__xludf.DUMMYFUNCTION("""COMPUTED_VALUE""")," ")</f>
        <v xml:space="preserve"> </v>
      </c>
      <c r="J4689" s="29" t="s">
        <v>8309</v>
      </c>
      <c r="K4689" s="26" t="s">
        <v>16623</v>
      </c>
      <c r="L4689" s="30">
        <v>393423069</v>
      </c>
      <c r="M4689" s="26" t="s">
        <v>80</v>
      </c>
      <c r="N4689" s="26" t="s">
        <v>1073</v>
      </c>
      <c r="O4689" s="26" t="s">
        <v>8311</v>
      </c>
      <c r="P4689" s="42" t="s">
        <v>16624</v>
      </c>
      <c r="Q4689" s="20">
        <v>7349</v>
      </c>
      <c r="R4689" s="26" t="s">
        <v>36</v>
      </c>
      <c r="S4689" s="31">
        <v>7349</v>
      </c>
      <c r="T4689" s="32">
        <v>45412</v>
      </c>
      <c r="U4689" s="31"/>
      <c r="V4689" s="32"/>
      <c r="W4689" s="26" t="s">
        <v>8312</v>
      </c>
      <c r="X4689" s="26"/>
      <c r="Y4689" s="22">
        <v>0</v>
      </c>
      <c r="Z4689" s="26" t="s">
        <v>50</v>
      </c>
      <c r="AA4689" s="19" t="s">
        <v>8102</v>
      </c>
      <c r="AB4689" s="26" t="s">
        <v>36</v>
      </c>
      <c r="AC4689" s="26" t="s">
        <v>53</v>
      </c>
      <c r="AD4689" s="19" t="s">
        <v>138</v>
      </c>
      <c r="AE4689" s="26" t="s">
        <v>7871</v>
      </c>
      <c r="AF4689" s="17">
        <v>45610</v>
      </c>
      <c r="AG4689" s="26"/>
      <c r="AH4689" s="26"/>
      <c r="AI4689" s="40"/>
      <c r="AJ4689" s="26"/>
      <c r="AK4689" s="26"/>
      <c r="AL4689" s="35"/>
      <c r="AM4689" s="35"/>
      <c r="AN4689" s="35"/>
      <c r="AO4689" s="35"/>
      <c r="AP4689" s="35"/>
    </row>
    <row r="4690" spans="1:42" x14ac:dyDescent="0.2">
      <c r="A4690" s="74">
        <v>45610</v>
      </c>
      <c r="B4690" s="137" t="s">
        <v>37</v>
      </c>
      <c r="C4690" s="41" t="s">
        <v>118</v>
      </c>
      <c r="D4690" s="26" t="s">
        <v>36</v>
      </c>
      <c r="E4690" s="26" t="s">
        <v>139</v>
      </c>
      <c r="F4690" s="19" t="s">
        <v>6978</v>
      </c>
      <c r="G4690" s="26" t="s">
        <v>1705</v>
      </c>
      <c r="H4690" s="19" t="s">
        <v>16625</v>
      </c>
      <c r="I4690" s="17">
        <f ca="1">IFERROR(__xludf.DUMMYFUNCTION("""COMPUTED_VALUE"""),45611)</f>
        <v>45611</v>
      </c>
      <c r="J4690" s="29" t="s">
        <v>5403</v>
      </c>
      <c r="K4690" s="26" t="s">
        <v>16626</v>
      </c>
      <c r="L4690" s="30">
        <v>966763105</v>
      </c>
      <c r="M4690" s="26" t="s">
        <v>123</v>
      </c>
      <c r="N4690" s="26" t="s">
        <v>850</v>
      </c>
      <c r="O4690" s="26" t="s">
        <v>1226</v>
      </c>
      <c r="P4690" s="115" t="s">
        <v>5405</v>
      </c>
      <c r="Q4690" s="20">
        <v>15936</v>
      </c>
      <c r="R4690" s="26" t="s">
        <v>36</v>
      </c>
      <c r="S4690" s="31">
        <v>2000</v>
      </c>
      <c r="T4690" s="32">
        <v>45220</v>
      </c>
      <c r="U4690" s="58">
        <v>13936</v>
      </c>
      <c r="V4690" s="59">
        <v>45249</v>
      </c>
      <c r="W4690" s="26" t="s">
        <v>5406</v>
      </c>
      <c r="X4690" s="26"/>
      <c r="Y4690" s="22">
        <v>0</v>
      </c>
      <c r="Z4690" s="26" t="s">
        <v>118</v>
      </c>
      <c r="AA4690" s="19" t="s">
        <v>5785</v>
      </c>
      <c r="AB4690" s="26" t="s">
        <v>36</v>
      </c>
      <c r="AC4690" s="26" t="s">
        <v>53</v>
      </c>
      <c r="AD4690" s="19" t="s">
        <v>54</v>
      </c>
      <c r="AE4690" s="19" t="s">
        <v>6978</v>
      </c>
      <c r="AF4690" s="43">
        <v>45616</v>
      </c>
      <c r="AG4690" s="26" t="s">
        <v>8366</v>
      </c>
      <c r="AH4690" s="26"/>
      <c r="AI4690" s="40" t="s">
        <v>147</v>
      </c>
      <c r="AJ4690" s="26"/>
      <c r="AK4690" s="26"/>
      <c r="AL4690" s="35"/>
      <c r="AM4690" s="35"/>
      <c r="AN4690" s="35"/>
      <c r="AO4690" s="35"/>
      <c r="AP4690" s="35"/>
    </row>
    <row r="4691" spans="1:42" x14ac:dyDescent="0.2">
      <c r="A4691" s="74">
        <v>45610</v>
      </c>
      <c r="B4691" s="28" t="s">
        <v>37</v>
      </c>
      <c r="C4691" s="41" t="s">
        <v>118</v>
      </c>
      <c r="D4691" s="80" t="s">
        <v>36</v>
      </c>
      <c r="E4691" s="80" t="s">
        <v>39</v>
      </c>
      <c r="F4691" s="80" t="s">
        <v>11347</v>
      </c>
      <c r="G4691" s="80" t="s">
        <v>108</v>
      </c>
      <c r="H4691" s="80" t="s">
        <v>14177</v>
      </c>
      <c r="I4691" s="17">
        <f ca="1">IFERROR(__xludf.DUMMYFUNCTION("""COMPUTED_VALUE"""),45614)</f>
        <v>45614</v>
      </c>
      <c r="J4691" s="143" t="s">
        <v>11348</v>
      </c>
      <c r="K4691" s="80" t="s">
        <v>16627</v>
      </c>
      <c r="L4691" s="30">
        <v>929396989</v>
      </c>
      <c r="M4691" s="80" t="s">
        <v>348</v>
      </c>
      <c r="N4691" s="80" t="s">
        <v>200</v>
      </c>
      <c r="O4691" s="80" t="s">
        <v>91</v>
      </c>
      <c r="P4691" s="80" t="s">
        <v>3117</v>
      </c>
      <c r="Q4691" s="20">
        <v>5736</v>
      </c>
      <c r="R4691" s="80" t="s">
        <v>36</v>
      </c>
      <c r="S4691" s="95">
        <v>1000</v>
      </c>
      <c r="T4691" s="148">
        <v>45514</v>
      </c>
      <c r="U4691" s="95">
        <v>4736</v>
      </c>
      <c r="V4691" s="148">
        <v>45519</v>
      </c>
      <c r="W4691" s="85" t="s">
        <v>11350</v>
      </c>
      <c r="X4691" s="80">
        <v>0</v>
      </c>
      <c r="Y4691" s="22">
        <v>0</v>
      </c>
      <c r="Z4691" s="80" t="s">
        <v>50</v>
      </c>
      <c r="AA4691" s="96" t="s">
        <v>10314</v>
      </c>
      <c r="AB4691" s="80"/>
      <c r="AC4691" s="80" t="s">
        <v>53</v>
      </c>
      <c r="AD4691" s="80" t="s">
        <v>138</v>
      </c>
      <c r="AE4691" s="80" t="s">
        <v>11347</v>
      </c>
      <c r="AF4691" s="17">
        <v>45614</v>
      </c>
      <c r="AG4691" s="80"/>
      <c r="AH4691" s="80"/>
      <c r="AI4691" s="147"/>
      <c r="AJ4691" s="80"/>
      <c r="AK4691" s="80"/>
      <c r="AL4691" s="35"/>
      <c r="AM4691" s="35"/>
      <c r="AN4691" s="35"/>
      <c r="AO4691" s="35"/>
      <c r="AP4691" s="35"/>
    </row>
    <row r="4692" spans="1:42" x14ac:dyDescent="0.2">
      <c r="A4692" s="74">
        <v>45611</v>
      </c>
      <c r="B4692" s="28" t="s">
        <v>37</v>
      </c>
      <c r="C4692" s="41" t="s">
        <v>118</v>
      </c>
      <c r="D4692" s="80" t="s">
        <v>36</v>
      </c>
      <c r="E4692" s="80" t="s">
        <v>139</v>
      </c>
      <c r="F4692" s="80" t="s">
        <v>13121</v>
      </c>
      <c r="G4692" s="80" t="s">
        <v>108</v>
      </c>
      <c r="H4692" s="80" t="s">
        <v>16628</v>
      </c>
      <c r="I4692" s="17">
        <f ca="1">IFERROR(__xludf.DUMMYFUNCTION("""COMPUTED_VALUE"""),45758)</f>
        <v>45758</v>
      </c>
      <c r="J4692" s="143" t="s">
        <v>13296</v>
      </c>
      <c r="K4692" s="80" t="s">
        <v>16629</v>
      </c>
      <c r="L4692" s="30">
        <v>972908395</v>
      </c>
      <c r="M4692" s="80" t="s">
        <v>59</v>
      </c>
      <c r="N4692" s="80" t="s">
        <v>10947</v>
      </c>
      <c r="O4692" s="80" t="s">
        <v>13298</v>
      </c>
      <c r="P4692" s="80" t="s">
        <v>12687</v>
      </c>
      <c r="Q4692" s="20">
        <v>15936</v>
      </c>
      <c r="R4692" s="80" t="s">
        <v>70</v>
      </c>
      <c r="S4692" s="95">
        <f>200+15636</f>
        <v>15836</v>
      </c>
      <c r="T4692" s="83" t="s">
        <v>13299</v>
      </c>
      <c r="U4692" s="77"/>
      <c r="V4692" s="78"/>
      <c r="W4692" s="85" t="s">
        <v>13300</v>
      </c>
      <c r="X4692" s="80">
        <v>100</v>
      </c>
      <c r="Y4692" s="22">
        <v>0</v>
      </c>
      <c r="Z4692" s="80" t="s">
        <v>50</v>
      </c>
      <c r="AA4692" s="35" t="s">
        <v>3291</v>
      </c>
      <c r="AB4692" s="80"/>
      <c r="AC4692" s="80" t="s">
        <v>53</v>
      </c>
      <c r="AD4692" s="80" t="s">
        <v>138</v>
      </c>
      <c r="AE4692" s="80" t="s">
        <v>13121</v>
      </c>
      <c r="AF4692" s="60" t="s">
        <v>14077</v>
      </c>
      <c r="AG4692" s="39" t="s">
        <v>14078</v>
      </c>
      <c r="AH4692" s="80"/>
      <c r="AI4692" s="147" t="s">
        <v>147</v>
      </c>
      <c r="AJ4692" s="80"/>
      <c r="AK4692" s="80"/>
      <c r="AL4692" s="35"/>
      <c r="AM4692" s="35"/>
      <c r="AN4692" s="35"/>
      <c r="AO4692" s="35"/>
      <c r="AP4692" s="35"/>
    </row>
    <row r="4693" spans="1:42" x14ac:dyDescent="0.2">
      <c r="A4693" s="74">
        <v>45611</v>
      </c>
      <c r="B4693" s="28" t="s">
        <v>37</v>
      </c>
      <c r="C4693" s="41" t="s">
        <v>118</v>
      </c>
      <c r="D4693" s="80" t="s">
        <v>36</v>
      </c>
      <c r="E4693" s="80" t="s">
        <v>39</v>
      </c>
      <c r="F4693" s="80" t="s">
        <v>9626</v>
      </c>
      <c r="G4693" s="80" t="s">
        <v>108</v>
      </c>
      <c r="H4693" s="80" t="s">
        <v>8088</v>
      </c>
      <c r="I4693" s="17">
        <f ca="1">IFERROR(__xludf.DUMMYFUNCTION("""COMPUTED_VALUE"""),45611)</f>
        <v>45611</v>
      </c>
      <c r="J4693" s="143" t="s">
        <v>14907</v>
      </c>
      <c r="K4693" s="80" t="s">
        <v>14908</v>
      </c>
      <c r="L4693" s="30">
        <v>983164082</v>
      </c>
      <c r="M4693" s="80" t="s">
        <v>5558</v>
      </c>
      <c r="N4693" s="80" t="s">
        <v>850</v>
      </c>
      <c r="O4693" s="80" t="s">
        <v>4503</v>
      </c>
      <c r="P4693" s="80" t="s">
        <v>14909</v>
      </c>
      <c r="Q4693" s="20">
        <v>5736</v>
      </c>
      <c r="R4693" s="80" t="s">
        <v>36</v>
      </c>
      <c r="S4693" s="95">
        <v>2000</v>
      </c>
      <c r="T4693" s="148">
        <v>45526</v>
      </c>
      <c r="U4693" s="95">
        <v>3736</v>
      </c>
      <c r="V4693" s="148">
        <v>45573</v>
      </c>
      <c r="W4693" s="85" t="s">
        <v>14910</v>
      </c>
      <c r="X4693" s="80"/>
      <c r="Y4693" s="22">
        <v>0</v>
      </c>
      <c r="Z4693" s="80" t="s">
        <v>50</v>
      </c>
      <c r="AA4693" s="96" t="s">
        <v>9905</v>
      </c>
      <c r="AB4693" s="80"/>
      <c r="AC4693" s="80" t="s">
        <v>53</v>
      </c>
      <c r="AD4693" s="80" t="s">
        <v>138</v>
      </c>
      <c r="AE4693" s="80" t="s">
        <v>9626</v>
      </c>
      <c r="AF4693" s="17">
        <v>45616</v>
      </c>
      <c r="AG4693" s="80" t="s">
        <v>14199</v>
      </c>
      <c r="AH4693" s="80"/>
      <c r="AI4693" s="147"/>
      <c r="AJ4693" s="80"/>
      <c r="AK4693" s="80"/>
      <c r="AL4693" s="35"/>
      <c r="AM4693" s="35"/>
      <c r="AN4693" s="35"/>
      <c r="AO4693" s="35"/>
      <c r="AP4693" s="35"/>
    </row>
    <row r="4694" spans="1:42" x14ac:dyDescent="0.2">
      <c r="A4694" s="74">
        <v>45611</v>
      </c>
      <c r="B4694" s="28" t="s">
        <v>37</v>
      </c>
      <c r="C4694" s="41" t="s">
        <v>118</v>
      </c>
      <c r="D4694" s="26" t="s">
        <v>36</v>
      </c>
      <c r="E4694" s="26" t="s">
        <v>56</v>
      </c>
      <c r="F4694" s="26" t="s">
        <v>5106</v>
      </c>
      <c r="G4694" s="26" t="s">
        <v>108</v>
      </c>
      <c r="H4694" s="26" t="s">
        <v>14298</v>
      </c>
      <c r="I4694" s="17">
        <f ca="1">IFERROR(__xludf.DUMMYFUNCTION("""COMPUTED_VALUE"""),45621)</f>
        <v>45621</v>
      </c>
      <c r="J4694" s="29" t="s">
        <v>4134</v>
      </c>
      <c r="K4694" s="26" t="s">
        <v>16630</v>
      </c>
      <c r="L4694" s="30">
        <v>584505732</v>
      </c>
      <c r="M4694" s="26" t="s">
        <v>1245</v>
      </c>
      <c r="N4694" s="26" t="s">
        <v>4957</v>
      </c>
      <c r="O4694" s="26" t="s">
        <v>4137</v>
      </c>
      <c r="P4694" s="26" t="s">
        <v>4138</v>
      </c>
      <c r="Q4694" s="20">
        <v>9317</v>
      </c>
      <c r="R4694" s="26" t="s">
        <v>36</v>
      </c>
      <c r="S4694" s="31">
        <v>9317</v>
      </c>
      <c r="T4694" s="32">
        <v>45208</v>
      </c>
      <c r="U4694" s="31"/>
      <c r="V4694" s="26"/>
      <c r="W4694" s="33" t="s">
        <v>4139</v>
      </c>
      <c r="X4694" s="26"/>
      <c r="Y4694" s="22">
        <v>0</v>
      </c>
      <c r="Z4694" s="26" t="s">
        <v>118</v>
      </c>
      <c r="AA4694" s="19" t="s">
        <v>3454</v>
      </c>
      <c r="AB4694" s="26" t="s">
        <v>104</v>
      </c>
      <c r="AC4694" s="26" t="s">
        <v>53</v>
      </c>
      <c r="AD4694" s="19" t="s">
        <v>138</v>
      </c>
      <c r="AE4694" s="26" t="s">
        <v>5106</v>
      </c>
      <c r="AF4694" s="17">
        <v>44929</v>
      </c>
      <c r="AG4694" s="26" t="s">
        <v>5101</v>
      </c>
      <c r="AH4694" s="26"/>
      <c r="AI4694" s="40"/>
      <c r="AJ4694" s="26"/>
      <c r="AK4694" s="26"/>
      <c r="AL4694" s="35"/>
      <c r="AM4694" s="35"/>
      <c r="AN4694" s="35"/>
      <c r="AO4694" s="35"/>
      <c r="AP4694" s="35"/>
    </row>
    <row r="4695" spans="1:42" x14ac:dyDescent="0.2">
      <c r="A4695" s="74">
        <v>45611</v>
      </c>
      <c r="B4695" s="28" t="s">
        <v>37</v>
      </c>
      <c r="C4695" s="41" t="s">
        <v>118</v>
      </c>
      <c r="D4695" s="80" t="s">
        <v>36</v>
      </c>
      <c r="E4695" s="80" t="s">
        <v>139</v>
      </c>
      <c r="F4695" s="80" t="s">
        <v>9626</v>
      </c>
      <c r="G4695" s="80" t="s">
        <v>108</v>
      </c>
      <c r="H4695" s="80" t="s">
        <v>8702</v>
      </c>
      <c r="I4695" s="17">
        <f ca="1">IFERROR(__xludf.DUMMYFUNCTION("""COMPUTED_VALUE"""),45608)</f>
        <v>45608</v>
      </c>
      <c r="J4695" s="143" t="s">
        <v>15238</v>
      </c>
      <c r="K4695" s="80" t="s">
        <v>16631</v>
      </c>
      <c r="L4695" s="30">
        <v>936390504</v>
      </c>
      <c r="M4695" s="80" t="s">
        <v>5558</v>
      </c>
      <c r="N4695" s="80" t="s">
        <v>5559</v>
      </c>
      <c r="O4695" s="80" t="s">
        <v>15240</v>
      </c>
      <c r="P4695" s="80" t="s">
        <v>15241</v>
      </c>
      <c r="Q4695" s="20">
        <v>15936</v>
      </c>
      <c r="R4695" s="80" t="s">
        <v>36</v>
      </c>
      <c r="S4695" s="95">
        <f>200+3000</f>
        <v>3200</v>
      </c>
      <c r="T4695" s="83" t="s">
        <v>15242</v>
      </c>
      <c r="U4695" s="95">
        <v>12736</v>
      </c>
      <c r="V4695" s="169">
        <v>45575</v>
      </c>
      <c r="W4695" s="80" t="s">
        <v>15243</v>
      </c>
      <c r="X4695" s="80"/>
      <c r="Y4695" s="22">
        <v>0</v>
      </c>
      <c r="Z4695" s="80" t="s">
        <v>50</v>
      </c>
      <c r="AA4695" s="96" t="s">
        <v>9905</v>
      </c>
      <c r="AB4695" s="80"/>
      <c r="AC4695" s="80" t="s">
        <v>53</v>
      </c>
      <c r="AD4695" s="80" t="s">
        <v>138</v>
      </c>
      <c r="AE4695" s="80" t="s">
        <v>9626</v>
      </c>
      <c r="AF4695" s="17">
        <v>45616</v>
      </c>
      <c r="AG4695" s="80" t="s">
        <v>14199</v>
      </c>
      <c r="AH4695" s="80"/>
      <c r="AI4695" s="147"/>
      <c r="AJ4695" s="80"/>
      <c r="AK4695" s="80"/>
      <c r="AL4695" s="35"/>
      <c r="AM4695" s="35"/>
      <c r="AN4695" s="35"/>
      <c r="AO4695" s="35"/>
      <c r="AP4695" s="35"/>
    </row>
    <row r="4696" spans="1:42" x14ac:dyDescent="0.2">
      <c r="A4696" s="74">
        <v>45611</v>
      </c>
      <c r="B4696" s="28" t="s">
        <v>37</v>
      </c>
      <c r="C4696" s="41" t="s">
        <v>118</v>
      </c>
      <c r="D4696" s="80" t="s">
        <v>36</v>
      </c>
      <c r="E4696" s="80" t="s">
        <v>139</v>
      </c>
      <c r="F4696" s="80" t="s">
        <v>11347</v>
      </c>
      <c r="G4696" s="80" t="s">
        <v>108</v>
      </c>
      <c r="H4696" s="80" t="s">
        <v>14177</v>
      </c>
      <c r="I4696" s="17">
        <f ca="1">IFERROR(__xludf.DUMMYFUNCTION("""COMPUTED_VALUE"""),45614)</f>
        <v>45614</v>
      </c>
      <c r="J4696" s="143" t="s">
        <v>15192</v>
      </c>
      <c r="K4696" s="80" t="s">
        <v>15193</v>
      </c>
      <c r="L4696" s="30">
        <v>334683286</v>
      </c>
      <c r="M4696" s="80" t="s">
        <v>3498</v>
      </c>
      <c r="N4696" s="80" t="s">
        <v>2756</v>
      </c>
      <c r="O4696" s="80" t="s">
        <v>4503</v>
      </c>
      <c r="P4696" s="80" t="s">
        <v>3694</v>
      </c>
      <c r="Q4696" s="20">
        <v>15936</v>
      </c>
      <c r="R4696" s="80" t="s">
        <v>36</v>
      </c>
      <c r="S4696" s="95">
        <v>2200</v>
      </c>
      <c r="T4696" s="148">
        <v>45548</v>
      </c>
      <c r="U4696" s="95">
        <v>13736</v>
      </c>
      <c r="V4696" s="148">
        <v>45570</v>
      </c>
      <c r="W4696" s="80" t="s">
        <v>15194</v>
      </c>
      <c r="X4696" s="80"/>
      <c r="Y4696" s="22">
        <v>0</v>
      </c>
      <c r="Z4696" s="80" t="s">
        <v>50</v>
      </c>
      <c r="AA4696" s="35" t="s">
        <v>9905</v>
      </c>
      <c r="AB4696" s="80"/>
      <c r="AC4696" s="80" t="s">
        <v>53</v>
      </c>
      <c r="AD4696" s="80" t="s">
        <v>138</v>
      </c>
      <c r="AE4696" s="80" t="s">
        <v>11347</v>
      </c>
      <c r="AF4696" s="17">
        <v>45614</v>
      </c>
      <c r="AG4696" s="80"/>
      <c r="AH4696" s="80"/>
      <c r="AI4696" s="147"/>
      <c r="AJ4696" s="80"/>
      <c r="AK4696" s="80"/>
      <c r="AL4696" s="35"/>
      <c r="AM4696" s="35"/>
      <c r="AN4696" s="35"/>
      <c r="AO4696" s="35"/>
      <c r="AP4696" s="35"/>
    </row>
    <row r="4697" spans="1:42" x14ac:dyDescent="0.2">
      <c r="A4697" s="74">
        <v>45611</v>
      </c>
      <c r="B4697" s="28" t="s">
        <v>37</v>
      </c>
      <c r="C4697" s="41" t="s">
        <v>118</v>
      </c>
      <c r="D4697" s="80" t="s">
        <v>36</v>
      </c>
      <c r="E4697" s="80" t="s">
        <v>139</v>
      </c>
      <c r="F4697" s="80" t="s">
        <v>14177</v>
      </c>
      <c r="G4697" s="80" t="s">
        <v>108</v>
      </c>
      <c r="H4697" s="80" t="s">
        <v>16632</v>
      </c>
      <c r="I4697" s="17">
        <f ca="1">IFERROR(__xludf.DUMMYFUNCTION("""COMPUTED_VALUE"""),45741)</f>
        <v>45741</v>
      </c>
      <c r="J4697" s="143" t="s">
        <v>12514</v>
      </c>
      <c r="K4697" s="80" t="s">
        <v>16633</v>
      </c>
      <c r="L4697" s="30">
        <v>904230206</v>
      </c>
      <c r="M4697" s="80" t="s">
        <v>910</v>
      </c>
      <c r="N4697" s="80" t="s">
        <v>3525</v>
      </c>
      <c r="O4697" s="80" t="s">
        <v>91</v>
      </c>
      <c r="P4697" s="80" t="s">
        <v>5794</v>
      </c>
      <c r="Q4697" s="20">
        <v>15936</v>
      </c>
      <c r="R4697" s="80" t="s">
        <v>36</v>
      </c>
      <c r="S4697" s="95">
        <v>8000</v>
      </c>
      <c r="T4697" s="148">
        <v>45531</v>
      </c>
      <c r="U4697" s="95">
        <v>7936</v>
      </c>
      <c r="V4697" s="148">
        <v>45564</v>
      </c>
      <c r="W4697" s="85" t="s">
        <v>12516</v>
      </c>
      <c r="X4697" s="80">
        <v>0</v>
      </c>
      <c r="Y4697" s="22">
        <v>0</v>
      </c>
      <c r="Z4697" s="80" t="s">
        <v>50</v>
      </c>
      <c r="AA4697" s="96" t="s">
        <v>3291</v>
      </c>
      <c r="AB4697" s="80"/>
      <c r="AC4697" s="80" t="s">
        <v>53</v>
      </c>
      <c r="AD4697" s="80" t="s">
        <v>138</v>
      </c>
      <c r="AE4697" s="80" t="s">
        <v>11347</v>
      </c>
      <c r="AF4697" s="17">
        <v>45755</v>
      </c>
      <c r="AG4697" s="17">
        <v>45614</v>
      </c>
      <c r="AH4697" s="80" t="s">
        <v>16634</v>
      </c>
      <c r="AI4697" s="147" t="s">
        <v>147</v>
      </c>
      <c r="AJ4697" s="80"/>
      <c r="AK4697" s="80"/>
      <c r="AL4697" s="35"/>
      <c r="AM4697" s="35"/>
      <c r="AN4697" s="35"/>
      <c r="AO4697" s="35"/>
      <c r="AP4697" s="35"/>
    </row>
    <row r="4698" spans="1:42" x14ac:dyDescent="0.2">
      <c r="A4698" s="74">
        <v>45611</v>
      </c>
      <c r="B4698" s="137" t="s">
        <v>37</v>
      </c>
      <c r="C4698" s="41" t="s">
        <v>118</v>
      </c>
      <c r="D4698" s="80" t="s">
        <v>36</v>
      </c>
      <c r="E4698" s="80" t="s">
        <v>139</v>
      </c>
      <c r="F4698" s="80" t="s">
        <v>13301</v>
      </c>
      <c r="G4698" s="80" t="s">
        <v>108</v>
      </c>
      <c r="H4698" s="80" t="s">
        <v>14387</v>
      </c>
      <c r="I4698" s="17">
        <f ca="1">IFERROR(__xludf.DUMMYFUNCTION("""COMPUTED_VALUE"""),45615)</f>
        <v>45615</v>
      </c>
      <c r="J4698" s="143" t="s">
        <v>16635</v>
      </c>
      <c r="K4698" s="80" t="s">
        <v>16636</v>
      </c>
      <c r="L4698" s="30">
        <v>823685789</v>
      </c>
      <c r="M4698" s="80" t="s">
        <v>2755</v>
      </c>
      <c r="N4698" s="80" t="s">
        <v>4402</v>
      </c>
      <c r="O4698" s="80" t="s">
        <v>4503</v>
      </c>
      <c r="P4698" s="80" t="s">
        <v>3056</v>
      </c>
      <c r="Q4698" s="20">
        <v>15936</v>
      </c>
      <c r="R4698" s="80" t="s">
        <v>1106</v>
      </c>
      <c r="S4698" s="95">
        <f t="shared" ref="S4698:S4700" si="102">200+5000</f>
        <v>5200</v>
      </c>
      <c r="T4698" s="83" t="s">
        <v>15582</v>
      </c>
      <c r="U4698" s="95">
        <v>10586</v>
      </c>
      <c r="V4698" s="148">
        <v>45601</v>
      </c>
      <c r="W4698" s="85" t="s">
        <v>16637</v>
      </c>
      <c r="X4698" s="80"/>
      <c r="Y4698" s="22">
        <v>150</v>
      </c>
      <c r="Z4698" s="80" t="s">
        <v>50</v>
      </c>
      <c r="AA4698" s="86" t="s">
        <v>14723</v>
      </c>
      <c r="AB4698" s="80"/>
      <c r="AC4698" s="80" t="s">
        <v>53</v>
      </c>
      <c r="AD4698" s="80" t="s">
        <v>138</v>
      </c>
      <c r="AE4698" s="80" t="s">
        <v>13301</v>
      </c>
      <c r="AF4698" s="17">
        <v>45615</v>
      </c>
      <c r="AG4698" s="80"/>
      <c r="AH4698" s="80"/>
      <c r="AI4698" s="147"/>
      <c r="AJ4698" s="80"/>
      <c r="AK4698" s="80"/>
      <c r="AL4698" s="35"/>
      <c r="AM4698" s="35"/>
      <c r="AN4698" s="35"/>
      <c r="AO4698" s="35"/>
      <c r="AP4698" s="35"/>
    </row>
    <row r="4699" spans="1:42" x14ac:dyDescent="0.2">
      <c r="A4699" s="74">
        <v>45611</v>
      </c>
      <c r="B4699" s="137" t="s">
        <v>37</v>
      </c>
      <c r="C4699" s="41" t="s">
        <v>118</v>
      </c>
      <c r="D4699" s="80" t="s">
        <v>36</v>
      </c>
      <c r="E4699" s="80" t="s">
        <v>139</v>
      </c>
      <c r="F4699" s="80" t="s">
        <v>13301</v>
      </c>
      <c r="G4699" s="80" t="s">
        <v>108</v>
      </c>
      <c r="H4699" s="80" t="s">
        <v>14387</v>
      </c>
      <c r="I4699" s="17">
        <f ca="1">IFERROR(__xludf.DUMMYFUNCTION("""COMPUTED_VALUE"""),45615)</f>
        <v>45615</v>
      </c>
      <c r="J4699" s="143" t="s">
        <v>15580</v>
      </c>
      <c r="K4699" s="80" t="s">
        <v>15581</v>
      </c>
      <c r="L4699" s="30">
        <v>376360106</v>
      </c>
      <c r="M4699" s="80" t="s">
        <v>3498</v>
      </c>
      <c r="N4699" s="80" t="s">
        <v>4402</v>
      </c>
      <c r="O4699" s="80" t="s">
        <v>4503</v>
      </c>
      <c r="P4699" s="80" t="s">
        <v>5794</v>
      </c>
      <c r="Q4699" s="20">
        <v>15936</v>
      </c>
      <c r="R4699" s="80" t="s">
        <v>1106</v>
      </c>
      <c r="S4699" s="95">
        <f t="shared" si="102"/>
        <v>5200</v>
      </c>
      <c r="T4699" s="83" t="s">
        <v>15582</v>
      </c>
      <c r="U4699" s="95">
        <v>10586</v>
      </c>
      <c r="V4699" s="169">
        <v>45593</v>
      </c>
      <c r="W4699" s="85" t="s">
        <v>15583</v>
      </c>
      <c r="X4699" s="80"/>
      <c r="Y4699" s="22">
        <v>150</v>
      </c>
      <c r="Z4699" s="80" t="s">
        <v>50</v>
      </c>
      <c r="AA4699" s="96" t="s">
        <v>9905</v>
      </c>
      <c r="AB4699" s="80"/>
      <c r="AC4699" s="80" t="s">
        <v>53</v>
      </c>
      <c r="AD4699" s="80" t="s">
        <v>138</v>
      </c>
      <c r="AE4699" s="80" t="s">
        <v>13301</v>
      </c>
      <c r="AF4699" s="17">
        <v>45615</v>
      </c>
      <c r="AG4699" s="80"/>
      <c r="AH4699" s="80"/>
      <c r="AI4699" s="147"/>
      <c r="AJ4699" s="80"/>
      <c r="AK4699" s="80"/>
      <c r="AL4699" s="35"/>
      <c r="AM4699" s="35"/>
      <c r="AN4699" s="35"/>
      <c r="AO4699" s="35"/>
      <c r="AP4699" s="35"/>
    </row>
    <row r="4700" spans="1:42" x14ac:dyDescent="0.2">
      <c r="A4700" s="74">
        <v>45611</v>
      </c>
      <c r="B4700" s="137" t="s">
        <v>37</v>
      </c>
      <c r="C4700" s="41" t="s">
        <v>118</v>
      </c>
      <c r="D4700" s="80" t="s">
        <v>36</v>
      </c>
      <c r="E4700" s="80" t="s">
        <v>139</v>
      </c>
      <c r="F4700" s="80" t="s">
        <v>13301</v>
      </c>
      <c r="G4700" s="80" t="s">
        <v>108</v>
      </c>
      <c r="H4700" s="80" t="s">
        <v>14387</v>
      </c>
      <c r="I4700" s="17">
        <f ca="1">IFERROR(__xludf.DUMMYFUNCTION("""COMPUTED_VALUE"""),45615)</f>
        <v>45615</v>
      </c>
      <c r="J4700" s="143" t="s">
        <v>15584</v>
      </c>
      <c r="K4700" s="80" t="s">
        <v>15585</v>
      </c>
      <c r="L4700" s="30">
        <v>359244502</v>
      </c>
      <c r="M4700" s="80" t="s">
        <v>3498</v>
      </c>
      <c r="N4700" s="80" t="s">
        <v>4402</v>
      </c>
      <c r="O4700" s="80" t="s">
        <v>4503</v>
      </c>
      <c r="P4700" s="80" t="s">
        <v>3056</v>
      </c>
      <c r="Q4700" s="20">
        <v>15936</v>
      </c>
      <c r="R4700" s="80" t="s">
        <v>1106</v>
      </c>
      <c r="S4700" s="95">
        <f t="shared" si="102"/>
        <v>5200</v>
      </c>
      <c r="T4700" s="83" t="s">
        <v>15582</v>
      </c>
      <c r="U4700" s="95">
        <v>10586</v>
      </c>
      <c r="V4700" s="148">
        <v>45583</v>
      </c>
      <c r="W4700" s="85" t="s">
        <v>15586</v>
      </c>
      <c r="X4700" s="80"/>
      <c r="Y4700" s="22">
        <v>150</v>
      </c>
      <c r="Z4700" s="80" t="s">
        <v>50</v>
      </c>
      <c r="AA4700" s="35" t="s">
        <v>9905</v>
      </c>
      <c r="AB4700" s="80"/>
      <c r="AC4700" s="80" t="s">
        <v>53</v>
      </c>
      <c r="AD4700" s="80" t="s">
        <v>138</v>
      </c>
      <c r="AE4700" s="80" t="s">
        <v>13301</v>
      </c>
      <c r="AF4700" s="17">
        <v>45615</v>
      </c>
      <c r="AG4700" s="80"/>
      <c r="AH4700" s="80"/>
      <c r="AI4700" s="147"/>
      <c r="AJ4700" s="80"/>
      <c r="AK4700" s="80"/>
      <c r="AL4700" s="35"/>
      <c r="AM4700" s="35"/>
      <c r="AN4700" s="35"/>
      <c r="AO4700" s="35"/>
      <c r="AP4700" s="35"/>
    </row>
    <row r="4701" spans="1:42" x14ac:dyDescent="0.2">
      <c r="A4701" s="74">
        <v>45611</v>
      </c>
      <c r="B4701" s="137" t="s">
        <v>37</v>
      </c>
      <c r="C4701" s="41" t="s">
        <v>118</v>
      </c>
      <c r="D4701" s="80" t="s">
        <v>36</v>
      </c>
      <c r="E4701" s="80" t="s">
        <v>219</v>
      </c>
      <c r="F4701" s="80" t="s">
        <v>8406</v>
      </c>
      <c r="G4701" s="80" t="s">
        <v>221</v>
      </c>
      <c r="H4701" s="80" t="s">
        <v>8972</v>
      </c>
      <c r="I4701" s="17">
        <f ca="1">IFERROR(__xludf.DUMMYFUNCTION("""COMPUTED_VALUE"""),45625)</f>
        <v>45625</v>
      </c>
      <c r="J4701" s="143" t="s">
        <v>9754</v>
      </c>
      <c r="K4701" s="80" t="s">
        <v>16638</v>
      </c>
      <c r="L4701" s="30">
        <v>398321759</v>
      </c>
      <c r="M4701" s="80" t="s">
        <v>112</v>
      </c>
      <c r="N4701" s="80" t="s">
        <v>113</v>
      </c>
      <c r="O4701" s="80" t="s">
        <v>36</v>
      </c>
      <c r="P4701" s="80" t="s">
        <v>9756</v>
      </c>
      <c r="Q4701" s="20"/>
      <c r="R4701" s="80" t="s">
        <v>36</v>
      </c>
      <c r="S4701" s="95">
        <v>3968</v>
      </c>
      <c r="T4701" s="148">
        <v>45504</v>
      </c>
      <c r="U4701" s="77"/>
      <c r="V4701" s="78"/>
      <c r="W4701" s="85" t="s">
        <v>9757</v>
      </c>
      <c r="X4701" s="80"/>
      <c r="Y4701" s="22"/>
      <c r="Z4701" s="80" t="s">
        <v>50</v>
      </c>
      <c r="AA4701" s="70" t="s">
        <v>9070</v>
      </c>
      <c r="AB4701" s="26" t="s">
        <v>36</v>
      </c>
      <c r="AC4701" s="80" t="s">
        <v>53</v>
      </c>
      <c r="AD4701" s="80" t="s">
        <v>54</v>
      </c>
      <c r="AE4701" s="80" t="s">
        <v>8406</v>
      </c>
      <c r="AF4701" s="17">
        <v>45504</v>
      </c>
      <c r="AG4701" s="80"/>
      <c r="AH4701" s="80"/>
      <c r="AI4701" s="147"/>
      <c r="AJ4701" s="80"/>
      <c r="AK4701" s="80"/>
      <c r="AL4701" s="35"/>
      <c r="AM4701" s="35"/>
      <c r="AN4701" s="35"/>
      <c r="AO4701" s="35"/>
      <c r="AP4701" s="35"/>
    </row>
    <row r="4702" spans="1:42" x14ac:dyDescent="0.2">
      <c r="A4702" s="74">
        <v>45612</v>
      </c>
      <c r="B4702" s="137" t="s">
        <v>37</v>
      </c>
      <c r="C4702" s="41" t="s">
        <v>118</v>
      </c>
      <c r="D4702" s="80" t="s">
        <v>36</v>
      </c>
      <c r="E4702" s="80" t="s">
        <v>139</v>
      </c>
      <c r="F4702" s="80" t="s">
        <v>13121</v>
      </c>
      <c r="G4702" s="80" t="s">
        <v>108</v>
      </c>
      <c r="H4702" s="80" t="s">
        <v>14177</v>
      </c>
      <c r="I4702" s="17">
        <f ca="1">IFERROR(__xludf.DUMMYFUNCTION("""COMPUTED_VALUE"""),45614)</f>
        <v>45614</v>
      </c>
      <c r="J4702" s="143" t="s">
        <v>13249</v>
      </c>
      <c r="K4702" s="80" t="s">
        <v>13250</v>
      </c>
      <c r="L4702" s="30">
        <v>327740228</v>
      </c>
      <c r="M4702" s="80" t="s">
        <v>59</v>
      </c>
      <c r="N4702" s="80" t="s">
        <v>11476</v>
      </c>
      <c r="O4702" s="80" t="s">
        <v>13251</v>
      </c>
      <c r="P4702" s="80" t="s">
        <v>12687</v>
      </c>
      <c r="Q4702" s="20">
        <v>15936</v>
      </c>
      <c r="R4702" s="80" t="s">
        <v>70</v>
      </c>
      <c r="S4702" s="95">
        <f>200+5000+4000</f>
        <v>9200</v>
      </c>
      <c r="T4702" s="83" t="s">
        <v>13252</v>
      </c>
      <c r="U4702" s="95">
        <f>6536+100</f>
        <v>6636</v>
      </c>
      <c r="V4702" s="148">
        <v>45553</v>
      </c>
      <c r="W4702" s="85" t="s">
        <v>13253</v>
      </c>
      <c r="X4702" s="80">
        <v>100</v>
      </c>
      <c r="Y4702" s="22">
        <v>0</v>
      </c>
      <c r="Z4702" s="80" t="s">
        <v>50</v>
      </c>
      <c r="AA4702" s="35" t="s">
        <v>3291</v>
      </c>
      <c r="AB4702" s="80"/>
      <c r="AC4702" s="80" t="s">
        <v>53</v>
      </c>
      <c r="AD4702" s="80" t="s">
        <v>138</v>
      </c>
      <c r="AE4702" s="80" t="s">
        <v>13121</v>
      </c>
      <c r="AF4702" s="17">
        <v>45614</v>
      </c>
      <c r="AG4702" s="80"/>
      <c r="AH4702" s="80"/>
      <c r="AI4702" s="147" t="s">
        <v>147</v>
      </c>
      <c r="AJ4702" s="80"/>
      <c r="AK4702" s="80"/>
      <c r="AL4702" s="35"/>
      <c r="AM4702" s="35"/>
      <c r="AN4702" s="35"/>
      <c r="AO4702" s="35"/>
      <c r="AP4702" s="35"/>
    </row>
    <row r="4703" spans="1:42" x14ac:dyDescent="0.2">
      <c r="A4703" s="74">
        <v>45612</v>
      </c>
      <c r="B4703" s="137" t="s">
        <v>37</v>
      </c>
      <c r="C4703" s="41" t="s">
        <v>118</v>
      </c>
      <c r="D4703" s="80" t="s">
        <v>36</v>
      </c>
      <c r="E4703" s="80" t="s">
        <v>56</v>
      </c>
      <c r="F4703" s="80" t="s">
        <v>13121</v>
      </c>
      <c r="G4703" s="80" t="s">
        <v>108</v>
      </c>
      <c r="H4703" s="80" t="s">
        <v>14082</v>
      </c>
      <c r="I4703" s="17">
        <f ca="1">IFERROR(__xludf.DUMMYFUNCTION("""COMPUTED_VALUE"""),45621)</f>
        <v>45621</v>
      </c>
      <c r="J4703" s="143" t="s">
        <v>15157</v>
      </c>
      <c r="K4703" s="80" t="s">
        <v>16639</v>
      </c>
      <c r="L4703" s="30">
        <v>982771096</v>
      </c>
      <c r="M4703" s="80" t="s">
        <v>12644</v>
      </c>
      <c r="N4703" s="80" t="s">
        <v>8725</v>
      </c>
      <c r="O4703" s="80" t="s">
        <v>15159</v>
      </c>
      <c r="P4703" s="80" t="s">
        <v>13226</v>
      </c>
      <c r="Q4703" s="20">
        <v>9317</v>
      </c>
      <c r="R4703" s="80" t="s">
        <v>36</v>
      </c>
      <c r="S4703" s="95">
        <v>2000</v>
      </c>
      <c r="T4703" s="148">
        <v>45545</v>
      </c>
      <c r="U4703" s="95">
        <v>7317</v>
      </c>
      <c r="V4703" s="148">
        <v>45596</v>
      </c>
      <c r="W4703" s="85" t="s">
        <v>15160</v>
      </c>
      <c r="X4703" s="80"/>
      <c r="Y4703" s="22">
        <v>0</v>
      </c>
      <c r="Z4703" s="80" t="s">
        <v>50</v>
      </c>
      <c r="AA4703" s="96" t="s">
        <v>9905</v>
      </c>
      <c r="AB4703" s="80"/>
      <c r="AC4703" s="80" t="s">
        <v>53</v>
      </c>
      <c r="AD4703" s="80" t="s">
        <v>138</v>
      </c>
      <c r="AE4703" s="80" t="s">
        <v>13121</v>
      </c>
      <c r="AF4703" s="43">
        <v>45621</v>
      </c>
      <c r="AG4703" s="80"/>
      <c r="AH4703" s="80"/>
      <c r="AI4703" s="147"/>
      <c r="AJ4703" s="80"/>
      <c r="AK4703" s="80"/>
      <c r="AL4703" s="35"/>
      <c r="AM4703" s="35"/>
      <c r="AN4703" s="35"/>
      <c r="AO4703" s="35"/>
      <c r="AP4703" s="35"/>
    </row>
    <row r="4704" spans="1:42" x14ac:dyDescent="0.2">
      <c r="A4704" s="74">
        <v>45612</v>
      </c>
      <c r="B4704" s="137" t="s">
        <v>37</v>
      </c>
      <c r="C4704" s="41" t="s">
        <v>118</v>
      </c>
      <c r="D4704" s="80" t="s">
        <v>36</v>
      </c>
      <c r="E4704" s="80" t="s">
        <v>139</v>
      </c>
      <c r="F4704" s="80" t="s">
        <v>10992</v>
      </c>
      <c r="G4704" s="80" t="s">
        <v>108</v>
      </c>
      <c r="H4704" s="80" t="s">
        <v>14737</v>
      </c>
      <c r="I4704" s="17">
        <f ca="1">IFERROR(__xludf.DUMMYFUNCTION("""COMPUTED_VALUE"""),45616)</f>
        <v>45616</v>
      </c>
      <c r="J4704" s="143" t="s">
        <v>16640</v>
      </c>
      <c r="K4704" s="80" t="s">
        <v>16641</v>
      </c>
      <c r="L4704" s="30">
        <v>961880678</v>
      </c>
      <c r="M4704" s="80" t="s">
        <v>5558</v>
      </c>
      <c r="N4704" s="80" t="s">
        <v>5277</v>
      </c>
      <c r="O4704" s="80" t="s">
        <v>4503</v>
      </c>
      <c r="P4704" s="144" t="s">
        <v>16642</v>
      </c>
      <c r="Q4704" s="20">
        <v>15936</v>
      </c>
      <c r="R4704" s="80" t="s">
        <v>36</v>
      </c>
      <c r="S4704" s="95">
        <v>2000</v>
      </c>
      <c r="T4704" s="148">
        <v>45564</v>
      </c>
      <c r="U4704" s="95">
        <v>13936</v>
      </c>
      <c r="V4704" s="148">
        <v>45603</v>
      </c>
      <c r="W4704" s="85" t="s">
        <v>16643</v>
      </c>
      <c r="X4704" s="80"/>
      <c r="Y4704" s="22">
        <v>0</v>
      </c>
      <c r="Z4704" s="80"/>
      <c r="AA4704" s="86"/>
      <c r="AB4704" s="80"/>
      <c r="AC4704" s="80" t="s">
        <v>53</v>
      </c>
      <c r="AD4704" s="80" t="s">
        <v>54</v>
      </c>
      <c r="AE4704" s="80" t="s">
        <v>10992</v>
      </c>
      <c r="AF4704" s="17">
        <v>45614</v>
      </c>
      <c r="AG4704" s="80"/>
      <c r="AH4704" s="80"/>
      <c r="AI4704" s="147"/>
      <c r="AJ4704" s="80"/>
      <c r="AK4704" s="80"/>
      <c r="AL4704" s="35"/>
      <c r="AM4704" s="35"/>
      <c r="AN4704" s="35"/>
      <c r="AO4704" s="35"/>
      <c r="AP4704" s="35"/>
    </row>
    <row r="4705" spans="1:42" x14ac:dyDescent="0.2">
      <c r="A4705" s="74">
        <v>45613</v>
      </c>
      <c r="B4705" s="137" t="s">
        <v>37</v>
      </c>
      <c r="C4705" s="41" t="s">
        <v>118</v>
      </c>
      <c r="D4705" s="80" t="s">
        <v>36</v>
      </c>
      <c r="E4705" s="80" t="s">
        <v>139</v>
      </c>
      <c r="F4705" s="80" t="s">
        <v>10992</v>
      </c>
      <c r="G4705" s="80" t="s">
        <v>108</v>
      </c>
      <c r="H4705" s="80" t="s">
        <v>14409</v>
      </c>
      <c r="I4705" s="17">
        <f ca="1">IFERROR(__xludf.DUMMYFUNCTION("""COMPUTED_VALUE"""),45624)</f>
        <v>45624</v>
      </c>
      <c r="J4705" s="143" t="s">
        <v>10993</v>
      </c>
      <c r="K4705" s="80" t="s">
        <v>16644</v>
      </c>
      <c r="L4705" s="30">
        <v>345632917</v>
      </c>
      <c r="M4705" s="80" t="s">
        <v>910</v>
      </c>
      <c r="N4705" s="80" t="s">
        <v>3525</v>
      </c>
      <c r="O4705" s="80" t="s">
        <v>10995</v>
      </c>
      <c r="P4705" s="144" t="s">
        <v>16645</v>
      </c>
      <c r="Q4705" s="20">
        <v>15936</v>
      </c>
      <c r="R4705" s="80" t="s">
        <v>36</v>
      </c>
      <c r="S4705" s="95">
        <f>200+2000</f>
        <v>2200</v>
      </c>
      <c r="T4705" s="83" t="s">
        <v>10997</v>
      </c>
      <c r="U4705" s="95">
        <v>13736</v>
      </c>
      <c r="V4705" s="148">
        <v>45523</v>
      </c>
      <c r="W4705" s="85" t="s">
        <v>10998</v>
      </c>
      <c r="X4705" s="80">
        <v>0</v>
      </c>
      <c r="Y4705" s="22">
        <v>0</v>
      </c>
      <c r="Z4705" s="80" t="s">
        <v>50</v>
      </c>
      <c r="AA4705" s="96" t="s">
        <v>10314</v>
      </c>
      <c r="AB4705" s="80"/>
      <c r="AC4705" s="80" t="s">
        <v>53</v>
      </c>
      <c r="AD4705" s="80" t="s">
        <v>54</v>
      </c>
      <c r="AE4705" s="80" t="s">
        <v>10992</v>
      </c>
      <c r="AF4705" s="43">
        <v>45617</v>
      </c>
      <c r="AG4705" s="80"/>
      <c r="AH4705" s="80"/>
      <c r="AI4705" s="147"/>
      <c r="AJ4705" s="80"/>
      <c r="AK4705" s="80"/>
      <c r="AL4705" s="35"/>
      <c r="AM4705" s="35"/>
      <c r="AN4705" s="35"/>
      <c r="AO4705" s="35"/>
      <c r="AP4705" s="35"/>
    </row>
    <row r="4706" spans="1:42" x14ac:dyDescent="0.2">
      <c r="A4706" s="74">
        <v>45613</v>
      </c>
      <c r="B4706" s="137" t="s">
        <v>37</v>
      </c>
      <c r="C4706" s="41" t="s">
        <v>118</v>
      </c>
      <c r="D4706" s="80" t="s">
        <v>36</v>
      </c>
      <c r="E4706" s="80" t="s">
        <v>139</v>
      </c>
      <c r="F4706" s="80" t="s">
        <v>9693</v>
      </c>
      <c r="G4706" s="80" t="s">
        <v>108</v>
      </c>
      <c r="H4706" s="80" t="s">
        <v>14082</v>
      </c>
      <c r="I4706" s="17">
        <f ca="1">IFERROR(__xludf.DUMMYFUNCTION("""COMPUTED_VALUE"""),45621)</f>
        <v>45621</v>
      </c>
      <c r="J4706" s="143" t="s">
        <v>12088</v>
      </c>
      <c r="K4706" s="80" t="s">
        <v>16151</v>
      </c>
      <c r="L4706" s="30">
        <v>362184703</v>
      </c>
      <c r="M4706" s="80" t="s">
        <v>2755</v>
      </c>
      <c r="N4706" s="80" t="s">
        <v>2756</v>
      </c>
      <c r="O4706" s="80" t="s">
        <v>12090</v>
      </c>
      <c r="P4706" s="80" t="s">
        <v>12091</v>
      </c>
      <c r="Q4706" s="20">
        <v>15936</v>
      </c>
      <c r="R4706" s="80" t="s">
        <v>36</v>
      </c>
      <c r="S4706" s="95">
        <v>2000</v>
      </c>
      <c r="T4706" s="148">
        <v>45505</v>
      </c>
      <c r="U4706" s="95">
        <v>13936</v>
      </c>
      <c r="V4706" s="148">
        <v>45541</v>
      </c>
      <c r="W4706" s="80" t="s">
        <v>12092</v>
      </c>
      <c r="X4706" s="80">
        <v>0</v>
      </c>
      <c r="Y4706" s="22">
        <v>0</v>
      </c>
      <c r="Z4706" s="80" t="s">
        <v>50</v>
      </c>
      <c r="AA4706" s="35" t="s">
        <v>3291</v>
      </c>
      <c r="AB4706" s="80"/>
      <c r="AC4706" s="80" t="s">
        <v>53</v>
      </c>
      <c r="AD4706" s="80" t="s">
        <v>54</v>
      </c>
      <c r="AE4706" s="80" t="s">
        <v>9693</v>
      </c>
      <c r="AF4706" s="43">
        <v>45621</v>
      </c>
      <c r="AG4706" s="80"/>
      <c r="AH4706" s="80"/>
      <c r="AI4706" s="147" t="s">
        <v>147</v>
      </c>
      <c r="AJ4706" s="80"/>
      <c r="AK4706" s="80"/>
      <c r="AL4706" s="35"/>
      <c r="AM4706" s="35"/>
      <c r="AN4706" s="35"/>
      <c r="AO4706" s="35"/>
      <c r="AP4706" s="35"/>
    </row>
    <row r="4707" spans="1:42" x14ac:dyDescent="0.2">
      <c r="A4707" s="74">
        <v>45613</v>
      </c>
      <c r="B4707" s="137" t="s">
        <v>37</v>
      </c>
      <c r="C4707" s="41" t="s">
        <v>118</v>
      </c>
      <c r="D4707" s="26" t="s">
        <v>36</v>
      </c>
      <c r="E4707" s="26" t="s">
        <v>139</v>
      </c>
      <c r="F4707" s="26" t="s">
        <v>6596</v>
      </c>
      <c r="G4707" s="80" t="s">
        <v>221</v>
      </c>
      <c r="H4707" s="80" t="s">
        <v>16646</v>
      </c>
      <c r="I4707" s="17">
        <f ca="1">IFERROR(__xludf.DUMMYFUNCTION("""COMPUTED_VALUE"""),45700)</f>
        <v>45700</v>
      </c>
      <c r="J4707" s="29" t="s">
        <v>7603</v>
      </c>
      <c r="K4707" s="26" t="s">
        <v>16647</v>
      </c>
      <c r="L4707" s="30">
        <v>986252650</v>
      </c>
      <c r="M4707" s="26" t="s">
        <v>910</v>
      </c>
      <c r="N4707" s="26" t="s">
        <v>260</v>
      </c>
      <c r="O4707" s="26" t="s">
        <v>7605</v>
      </c>
      <c r="P4707" s="42" t="s">
        <v>8073</v>
      </c>
      <c r="Q4707" s="20">
        <v>15936</v>
      </c>
      <c r="R4707" s="26" t="s">
        <v>36</v>
      </c>
      <c r="S4707" s="31">
        <v>100</v>
      </c>
      <c r="T4707" s="32">
        <v>45325</v>
      </c>
      <c r="U4707" s="31">
        <f>2000+13836</f>
        <v>15836</v>
      </c>
      <c r="V4707" s="26" t="s">
        <v>7607</v>
      </c>
      <c r="W4707" s="26" t="s">
        <v>7608</v>
      </c>
      <c r="X4707" s="26"/>
      <c r="Y4707" s="22">
        <v>0</v>
      </c>
      <c r="Z4707" s="98" t="s">
        <v>118</v>
      </c>
      <c r="AA4707" s="19" t="s">
        <v>7361</v>
      </c>
      <c r="AB4707" s="26" t="s">
        <v>36</v>
      </c>
      <c r="AC4707" s="26" t="s">
        <v>53</v>
      </c>
      <c r="AD4707" s="19" t="s">
        <v>54</v>
      </c>
      <c r="AE4707" s="26" t="s">
        <v>6596</v>
      </c>
      <c r="AF4707" s="43">
        <v>45617</v>
      </c>
      <c r="AG4707" s="26"/>
      <c r="AH4707" s="26"/>
      <c r="AI4707" s="40"/>
      <c r="AJ4707" s="26"/>
      <c r="AK4707" s="26"/>
      <c r="AL4707" s="35"/>
      <c r="AM4707" s="35"/>
      <c r="AN4707" s="35"/>
      <c r="AO4707" s="35"/>
      <c r="AP4707" s="35"/>
    </row>
    <row r="4708" spans="1:42" x14ac:dyDescent="0.2">
      <c r="A4708" s="74">
        <v>45613</v>
      </c>
      <c r="B4708" s="137" t="s">
        <v>37</v>
      </c>
      <c r="C4708" s="41" t="s">
        <v>118</v>
      </c>
      <c r="D4708" s="80" t="s">
        <v>36</v>
      </c>
      <c r="E4708" s="80" t="s">
        <v>139</v>
      </c>
      <c r="F4708" s="80" t="s">
        <v>9565</v>
      </c>
      <c r="G4708" s="80" t="s">
        <v>108</v>
      </c>
      <c r="H4708" s="80" t="s">
        <v>14737</v>
      </c>
      <c r="I4708" s="17">
        <f ca="1">IFERROR(__xludf.DUMMYFUNCTION("""COMPUTED_VALUE"""),45616)</f>
        <v>45616</v>
      </c>
      <c r="J4708" s="143" t="s">
        <v>11060</v>
      </c>
      <c r="K4708" s="80" t="s">
        <v>16648</v>
      </c>
      <c r="L4708" s="30">
        <v>392973512</v>
      </c>
      <c r="M4708" s="80" t="s">
        <v>123</v>
      </c>
      <c r="N4708" s="80" t="s">
        <v>327</v>
      </c>
      <c r="O4708" s="80" t="s">
        <v>4503</v>
      </c>
      <c r="P4708" s="80" t="s">
        <v>11062</v>
      </c>
      <c r="Q4708" s="20">
        <v>15936</v>
      </c>
      <c r="R4708" s="80" t="s">
        <v>36</v>
      </c>
      <c r="S4708" s="95">
        <v>2000</v>
      </c>
      <c r="T4708" s="148">
        <v>45498</v>
      </c>
      <c r="U4708" s="77">
        <f>10000+3936</f>
        <v>13936</v>
      </c>
      <c r="V4708" s="78">
        <v>45525</v>
      </c>
      <c r="W4708" s="85" t="s">
        <v>11063</v>
      </c>
      <c r="X4708" s="80">
        <v>0</v>
      </c>
      <c r="Y4708" s="22">
        <v>0</v>
      </c>
      <c r="Z4708" s="80" t="s">
        <v>50</v>
      </c>
      <c r="AA4708" s="35" t="s">
        <v>10314</v>
      </c>
      <c r="AB4708" s="80"/>
      <c r="AC4708" s="80" t="s">
        <v>53</v>
      </c>
      <c r="AD4708" s="80" t="s">
        <v>54</v>
      </c>
      <c r="AE4708" s="80" t="s">
        <v>9565</v>
      </c>
      <c r="AF4708" s="17">
        <v>45614</v>
      </c>
      <c r="AG4708" s="80"/>
      <c r="AH4708" s="80"/>
      <c r="AI4708" s="147"/>
      <c r="AJ4708" s="80"/>
      <c r="AK4708" s="80"/>
      <c r="AL4708" s="35"/>
      <c r="AM4708" s="35"/>
      <c r="AN4708" s="35"/>
      <c r="AO4708" s="35"/>
      <c r="AP4708" s="35"/>
    </row>
    <row r="4709" spans="1:42" x14ac:dyDescent="0.2">
      <c r="A4709" s="74">
        <v>45614</v>
      </c>
      <c r="B4709" s="137" t="s">
        <v>37</v>
      </c>
      <c r="C4709" s="41" t="s">
        <v>118</v>
      </c>
      <c r="D4709" s="80" t="s">
        <v>36</v>
      </c>
      <c r="E4709" s="80" t="s">
        <v>139</v>
      </c>
      <c r="F4709" s="80" t="s">
        <v>13121</v>
      </c>
      <c r="G4709" s="80" t="s">
        <v>108</v>
      </c>
      <c r="H4709" s="80" t="s">
        <v>14177</v>
      </c>
      <c r="I4709" s="17">
        <f ca="1">IFERROR(__xludf.DUMMYFUNCTION("""COMPUTED_VALUE"""),45614)</f>
        <v>45614</v>
      </c>
      <c r="J4709" s="143" t="s">
        <v>13122</v>
      </c>
      <c r="K4709" s="80" t="s">
        <v>13123</v>
      </c>
      <c r="L4709" s="30">
        <v>816520105</v>
      </c>
      <c r="M4709" s="80" t="s">
        <v>348</v>
      </c>
      <c r="N4709" s="80" t="s">
        <v>68</v>
      </c>
      <c r="O4709" s="80" t="s">
        <v>11399</v>
      </c>
      <c r="P4709" s="80" t="s">
        <v>12687</v>
      </c>
      <c r="Q4709" s="20">
        <v>15936</v>
      </c>
      <c r="R4709" s="80" t="s">
        <v>36</v>
      </c>
      <c r="S4709" s="95">
        <f>200+15736</f>
        <v>15936</v>
      </c>
      <c r="T4709" s="83" t="s">
        <v>13124</v>
      </c>
      <c r="U4709" s="77"/>
      <c r="V4709" s="78"/>
      <c r="W4709" s="85" t="s">
        <v>13125</v>
      </c>
      <c r="X4709" s="80">
        <v>0</v>
      </c>
      <c r="Y4709" s="22">
        <v>0</v>
      </c>
      <c r="Z4709" s="80" t="s">
        <v>50</v>
      </c>
      <c r="AA4709" s="96" t="s">
        <v>3291</v>
      </c>
      <c r="AB4709" s="80"/>
      <c r="AC4709" s="80" t="s">
        <v>53</v>
      </c>
      <c r="AD4709" s="80" t="s">
        <v>138</v>
      </c>
      <c r="AE4709" s="80" t="s">
        <v>13121</v>
      </c>
      <c r="AF4709" s="17">
        <v>45614</v>
      </c>
      <c r="AG4709" s="80"/>
      <c r="AH4709" s="80"/>
      <c r="AI4709" s="147" t="s">
        <v>147</v>
      </c>
      <c r="AJ4709" s="80"/>
      <c r="AK4709" s="80"/>
      <c r="AL4709" s="35"/>
      <c r="AM4709" s="35"/>
      <c r="AN4709" s="35"/>
      <c r="AO4709" s="35"/>
      <c r="AP4709" s="35"/>
    </row>
    <row r="4710" spans="1:42" x14ac:dyDescent="0.2">
      <c r="A4710" s="74">
        <v>45614</v>
      </c>
      <c r="B4710" s="137" t="s">
        <v>37</v>
      </c>
      <c r="C4710" s="41" t="s">
        <v>118</v>
      </c>
      <c r="D4710" s="26" t="s">
        <v>36</v>
      </c>
      <c r="E4710" s="26" t="s">
        <v>119</v>
      </c>
      <c r="F4710" s="35" t="s">
        <v>8026</v>
      </c>
      <c r="G4710" s="26" t="s">
        <v>1705</v>
      </c>
      <c r="H4710" s="35" t="s">
        <v>6989</v>
      </c>
      <c r="I4710" s="17">
        <f ca="1">IFERROR(__xludf.DUMMYFUNCTION("""COMPUTED_VALUE"""),45622)</f>
        <v>45622</v>
      </c>
      <c r="J4710" s="29" t="s">
        <v>6764</v>
      </c>
      <c r="K4710" s="26" t="s">
        <v>16649</v>
      </c>
      <c r="L4710" s="30">
        <v>378200105</v>
      </c>
      <c r="M4710" s="26" t="s">
        <v>3728</v>
      </c>
      <c r="N4710" s="26" t="s">
        <v>8085</v>
      </c>
      <c r="O4710" s="26" t="s">
        <v>6766</v>
      </c>
      <c r="P4710" s="42" t="s">
        <v>16650</v>
      </c>
      <c r="Q4710" s="20">
        <v>13968</v>
      </c>
      <c r="R4710" s="26" t="s">
        <v>36</v>
      </c>
      <c r="S4710" s="31">
        <v>4000</v>
      </c>
      <c r="T4710" s="32">
        <v>45301</v>
      </c>
      <c r="U4710" s="31">
        <v>9968</v>
      </c>
      <c r="V4710" s="32">
        <v>45314</v>
      </c>
      <c r="W4710" s="33" t="s">
        <v>6767</v>
      </c>
      <c r="X4710" s="26">
        <v>0</v>
      </c>
      <c r="Y4710" s="22">
        <v>0</v>
      </c>
      <c r="Z4710" s="98" t="s">
        <v>118</v>
      </c>
      <c r="AA4710" s="19" t="s">
        <v>6079</v>
      </c>
      <c r="AB4710" s="26" t="s">
        <v>36</v>
      </c>
      <c r="AC4710" s="26" t="s">
        <v>53</v>
      </c>
      <c r="AD4710" s="19" t="s">
        <v>138</v>
      </c>
      <c r="AE4710" s="35" t="s">
        <v>8026</v>
      </c>
      <c r="AF4710" s="43">
        <v>45616</v>
      </c>
      <c r="AG4710" s="26" t="s">
        <v>8086</v>
      </c>
      <c r="AH4710" s="26"/>
      <c r="AI4710" s="40">
        <v>4</v>
      </c>
      <c r="AJ4710" s="26"/>
      <c r="AK4710" s="26"/>
      <c r="AL4710" s="35"/>
      <c r="AM4710" s="35"/>
      <c r="AN4710" s="35"/>
      <c r="AO4710" s="35"/>
      <c r="AP4710" s="35"/>
    </row>
    <row r="4711" spans="1:42" x14ac:dyDescent="0.2">
      <c r="A4711" s="74">
        <v>45614</v>
      </c>
      <c r="B4711" s="137" t="s">
        <v>37</v>
      </c>
      <c r="C4711" s="41" t="s">
        <v>118</v>
      </c>
      <c r="D4711" s="80" t="s">
        <v>36</v>
      </c>
      <c r="E4711" s="80" t="s">
        <v>139</v>
      </c>
      <c r="F4711" s="80" t="s">
        <v>13186</v>
      </c>
      <c r="G4711" s="80" t="s">
        <v>108</v>
      </c>
      <c r="H4711" s="80" t="s">
        <v>16651</v>
      </c>
      <c r="I4711" s="17">
        <f ca="1">IFERROR(__xludf.DUMMYFUNCTION("""COMPUTED_VALUE"""),45628)</f>
        <v>45628</v>
      </c>
      <c r="J4711" s="143" t="s">
        <v>13187</v>
      </c>
      <c r="K4711" s="80" t="s">
        <v>16652</v>
      </c>
      <c r="L4711" s="30">
        <v>837987735</v>
      </c>
      <c r="M4711" s="80" t="s">
        <v>45</v>
      </c>
      <c r="N4711" s="80" t="s">
        <v>11703</v>
      </c>
      <c r="O4711" s="80" t="s">
        <v>13189</v>
      </c>
      <c r="P4711" s="115" t="s">
        <v>13190</v>
      </c>
      <c r="Q4711" s="20">
        <v>15936</v>
      </c>
      <c r="R4711" s="80" t="s">
        <v>36</v>
      </c>
      <c r="S4711" s="178">
        <f>500+15436</f>
        <v>15936</v>
      </c>
      <c r="T4711" s="83" t="s">
        <v>13191</v>
      </c>
      <c r="U4711" s="77"/>
      <c r="V4711" s="174"/>
      <c r="W4711" s="80" t="s">
        <v>13192</v>
      </c>
      <c r="X4711" s="83">
        <v>0</v>
      </c>
      <c r="Y4711" s="22">
        <v>0</v>
      </c>
      <c r="Z4711" s="81" t="s">
        <v>50</v>
      </c>
      <c r="AA4711" s="82" t="s">
        <v>3291</v>
      </c>
      <c r="AB4711" s="80"/>
      <c r="AC4711" s="80" t="s">
        <v>53</v>
      </c>
      <c r="AD4711" s="80" t="s">
        <v>138</v>
      </c>
      <c r="AE4711" s="80" t="s">
        <v>13186</v>
      </c>
      <c r="AF4711" s="17">
        <v>45622</v>
      </c>
      <c r="AG4711" s="80"/>
      <c r="AH4711" s="80"/>
      <c r="AI4711" s="147" t="s">
        <v>147</v>
      </c>
      <c r="AJ4711" s="80"/>
      <c r="AK4711" s="80"/>
      <c r="AL4711" s="86"/>
      <c r="AM4711" s="86"/>
      <c r="AN4711" s="86"/>
      <c r="AO4711" s="86"/>
      <c r="AP4711" s="35"/>
    </row>
    <row r="4712" spans="1:42" x14ac:dyDescent="0.2">
      <c r="A4712" s="74">
        <v>45614</v>
      </c>
      <c r="B4712" s="137" t="s">
        <v>37</v>
      </c>
      <c r="C4712" s="41" t="s">
        <v>118</v>
      </c>
      <c r="D4712" s="80" t="s">
        <v>36</v>
      </c>
      <c r="E4712" s="80" t="s">
        <v>39</v>
      </c>
      <c r="F4712" s="80" t="s">
        <v>13186</v>
      </c>
      <c r="G4712" s="80" t="s">
        <v>108</v>
      </c>
      <c r="H4712" s="80" t="s">
        <v>16651</v>
      </c>
      <c r="I4712" s="17">
        <f ca="1">IFERROR(__xludf.DUMMYFUNCTION("""COMPUTED_VALUE"""),45628)</f>
        <v>45628</v>
      </c>
      <c r="J4712" s="143" t="s">
        <v>13485</v>
      </c>
      <c r="K4712" s="80" t="s">
        <v>16653</v>
      </c>
      <c r="L4712" s="30">
        <v>847468885</v>
      </c>
      <c r="M4712" s="80" t="s">
        <v>45</v>
      </c>
      <c r="N4712" s="80" t="s">
        <v>12712</v>
      </c>
      <c r="O4712" s="80" t="s">
        <v>13487</v>
      </c>
      <c r="P4712" s="80" t="s">
        <v>13488</v>
      </c>
      <c r="Q4712" s="20">
        <v>5736</v>
      </c>
      <c r="R4712" s="80" t="s">
        <v>36</v>
      </c>
      <c r="S4712" s="95">
        <v>5736</v>
      </c>
      <c r="T4712" s="148">
        <v>45558</v>
      </c>
      <c r="U4712" s="77"/>
      <c r="V4712" s="78"/>
      <c r="W4712" s="85" t="s">
        <v>13489</v>
      </c>
      <c r="X4712" s="83">
        <v>0</v>
      </c>
      <c r="Y4712" s="22">
        <v>0</v>
      </c>
      <c r="Z4712" s="81" t="s">
        <v>50</v>
      </c>
      <c r="AA4712" s="86" t="s">
        <v>3291</v>
      </c>
      <c r="AB4712" s="80"/>
      <c r="AC4712" s="80" t="s">
        <v>53</v>
      </c>
      <c r="AD4712" s="80" t="s">
        <v>54</v>
      </c>
      <c r="AE4712" s="80" t="s">
        <v>13186</v>
      </c>
      <c r="AF4712" s="17">
        <v>45622</v>
      </c>
      <c r="AG4712" s="80"/>
      <c r="AH4712" s="80"/>
      <c r="AI4712" s="147" t="s">
        <v>55</v>
      </c>
      <c r="AJ4712" s="80"/>
      <c r="AK4712" s="80"/>
      <c r="AL4712" s="86"/>
      <c r="AM4712" s="86"/>
      <c r="AN4712" s="86"/>
      <c r="AO4712" s="86"/>
      <c r="AP4712" s="35"/>
    </row>
    <row r="4713" spans="1:42" x14ac:dyDescent="0.2">
      <c r="A4713" s="74">
        <v>45614</v>
      </c>
      <c r="B4713" s="137" t="s">
        <v>37</v>
      </c>
      <c r="C4713" s="41" t="s">
        <v>118</v>
      </c>
      <c r="D4713" s="80" t="s">
        <v>36</v>
      </c>
      <c r="E4713" s="80" t="s">
        <v>139</v>
      </c>
      <c r="F4713" s="80" t="s">
        <v>13186</v>
      </c>
      <c r="G4713" s="80" t="s">
        <v>108</v>
      </c>
      <c r="H4713" s="80" t="s">
        <v>16651</v>
      </c>
      <c r="I4713" s="17">
        <f ca="1">IFERROR(__xludf.DUMMYFUNCTION("""COMPUTED_VALUE"""),45628)</f>
        <v>45628</v>
      </c>
      <c r="J4713" s="143" t="s">
        <v>15563</v>
      </c>
      <c r="K4713" s="80" t="s">
        <v>16654</v>
      </c>
      <c r="L4713" s="30">
        <v>866429655</v>
      </c>
      <c r="M4713" s="80" t="s">
        <v>2755</v>
      </c>
      <c r="N4713" s="80" t="s">
        <v>4402</v>
      </c>
      <c r="O4713" s="80" t="s">
        <v>4503</v>
      </c>
      <c r="P4713" s="80" t="s">
        <v>16655</v>
      </c>
      <c r="Q4713" s="20">
        <v>15936</v>
      </c>
      <c r="R4713" s="80" t="s">
        <v>36</v>
      </c>
      <c r="S4713" s="95">
        <v>2000</v>
      </c>
      <c r="T4713" s="83" t="s">
        <v>15566</v>
      </c>
      <c r="U4713" s="95">
        <v>13936</v>
      </c>
      <c r="V4713" s="148" t="s">
        <v>15567</v>
      </c>
      <c r="W4713" s="80" t="s">
        <v>15568</v>
      </c>
      <c r="X4713" s="80"/>
      <c r="Y4713" s="22">
        <v>0</v>
      </c>
      <c r="Z4713" s="81" t="s">
        <v>50</v>
      </c>
      <c r="AA4713" s="82" t="s">
        <v>9905</v>
      </c>
      <c r="AB4713" s="80"/>
      <c r="AC4713" s="80" t="s">
        <v>53</v>
      </c>
      <c r="AD4713" s="80" t="s">
        <v>54</v>
      </c>
      <c r="AE4713" s="80" t="s">
        <v>13186</v>
      </c>
      <c r="AF4713" s="17">
        <v>45622</v>
      </c>
      <c r="AG4713" s="80"/>
      <c r="AH4713" s="80"/>
      <c r="AI4713" s="147"/>
      <c r="AJ4713" s="80"/>
      <c r="AK4713" s="80"/>
      <c r="AL4713" s="86"/>
      <c r="AM4713" s="86"/>
      <c r="AN4713" s="86"/>
      <c r="AO4713" s="86"/>
      <c r="AP4713" s="35"/>
    </row>
    <row r="4714" spans="1:42" x14ac:dyDescent="0.2">
      <c r="A4714" s="74">
        <v>45614</v>
      </c>
      <c r="B4714" s="137" t="s">
        <v>37</v>
      </c>
      <c r="C4714" s="41" t="s">
        <v>118</v>
      </c>
      <c r="D4714" s="80" t="s">
        <v>36</v>
      </c>
      <c r="E4714" s="80" t="s">
        <v>139</v>
      </c>
      <c r="F4714" s="80" t="s">
        <v>13186</v>
      </c>
      <c r="G4714" s="80" t="s">
        <v>108</v>
      </c>
      <c r="H4714" s="80" t="s">
        <v>16656</v>
      </c>
      <c r="I4714" s="17">
        <f ca="1">IFERROR(__xludf.DUMMYFUNCTION("""COMPUTED_VALUE"""),45624)</f>
        <v>45624</v>
      </c>
      <c r="J4714" s="143" t="s">
        <v>15569</v>
      </c>
      <c r="K4714" s="80" t="s">
        <v>16657</v>
      </c>
      <c r="L4714" s="30">
        <v>789387607</v>
      </c>
      <c r="M4714" s="80" t="s">
        <v>5558</v>
      </c>
      <c r="N4714" s="80" t="s">
        <v>5559</v>
      </c>
      <c r="O4714" s="80" t="s">
        <v>4503</v>
      </c>
      <c r="P4714" s="144" t="s">
        <v>16658</v>
      </c>
      <c r="Q4714" s="20">
        <v>15936</v>
      </c>
      <c r="R4714" s="80" t="s">
        <v>70</v>
      </c>
      <c r="S4714" s="95">
        <f t="shared" ref="S4714:S4715" si="103">200+2800</f>
        <v>3000</v>
      </c>
      <c r="T4714" s="83" t="s">
        <v>14501</v>
      </c>
      <c r="U4714" s="95">
        <v>12836</v>
      </c>
      <c r="V4714" s="148">
        <v>45576</v>
      </c>
      <c r="W4714" s="85" t="s">
        <v>15571</v>
      </c>
      <c r="X4714" s="80"/>
      <c r="Y4714" s="22">
        <v>100</v>
      </c>
      <c r="Z4714" s="81" t="s">
        <v>50</v>
      </c>
      <c r="AA4714" s="86" t="s">
        <v>9905</v>
      </c>
      <c r="AB4714" s="80"/>
      <c r="AC4714" s="80" t="s">
        <v>53</v>
      </c>
      <c r="AD4714" s="80" t="s">
        <v>54</v>
      </c>
      <c r="AE4714" s="80" t="s">
        <v>13186</v>
      </c>
      <c r="AF4714" s="17">
        <v>45624</v>
      </c>
      <c r="AG4714" s="80"/>
      <c r="AH4714" s="80"/>
      <c r="AI4714" s="147"/>
      <c r="AJ4714" s="80"/>
      <c r="AK4714" s="80"/>
      <c r="AL4714" s="86"/>
      <c r="AM4714" s="86"/>
      <c r="AN4714" s="86"/>
      <c r="AO4714" s="86"/>
      <c r="AP4714" s="86"/>
    </row>
    <row r="4715" spans="1:42" x14ac:dyDescent="0.2">
      <c r="A4715" s="74">
        <v>45614</v>
      </c>
      <c r="B4715" s="137" t="s">
        <v>37</v>
      </c>
      <c r="C4715" s="41" t="s">
        <v>118</v>
      </c>
      <c r="D4715" s="80" t="s">
        <v>36</v>
      </c>
      <c r="E4715" s="80" t="s">
        <v>139</v>
      </c>
      <c r="F4715" s="80" t="s">
        <v>13186</v>
      </c>
      <c r="G4715" s="80" t="s">
        <v>108</v>
      </c>
      <c r="H4715" s="80" t="s">
        <v>16656</v>
      </c>
      <c r="I4715" s="17">
        <f ca="1">IFERROR(__xludf.DUMMYFUNCTION("""COMPUTED_VALUE"""),45624)</f>
        <v>45624</v>
      </c>
      <c r="J4715" s="143" t="s">
        <v>15572</v>
      </c>
      <c r="K4715" s="80" t="s">
        <v>16659</v>
      </c>
      <c r="L4715" s="30">
        <v>847035283</v>
      </c>
      <c r="M4715" s="80" t="s">
        <v>5558</v>
      </c>
      <c r="N4715" s="80" t="s">
        <v>5559</v>
      </c>
      <c r="O4715" s="80" t="s">
        <v>4503</v>
      </c>
      <c r="P4715" s="144" t="s">
        <v>15573</v>
      </c>
      <c r="Q4715" s="20">
        <v>15936</v>
      </c>
      <c r="R4715" s="80" t="s">
        <v>70</v>
      </c>
      <c r="S4715" s="95">
        <f t="shared" si="103"/>
        <v>3000</v>
      </c>
      <c r="T4715" s="83" t="s">
        <v>14501</v>
      </c>
      <c r="U4715" s="95">
        <v>12836</v>
      </c>
      <c r="V4715" s="148">
        <v>45584</v>
      </c>
      <c r="W4715" s="85" t="s">
        <v>15574</v>
      </c>
      <c r="X4715" s="80"/>
      <c r="Y4715" s="22">
        <v>100</v>
      </c>
      <c r="Z4715" s="81" t="s">
        <v>50</v>
      </c>
      <c r="AA4715" s="82" t="s">
        <v>9905</v>
      </c>
      <c r="AB4715" s="80"/>
      <c r="AC4715" s="80" t="s">
        <v>53</v>
      </c>
      <c r="AD4715" s="80" t="s">
        <v>54</v>
      </c>
      <c r="AE4715" s="80" t="s">
        <v>13186</v>
      </c>
      <c r="AF4715" s="17">
        <v>45624</v>
      </c>
      <c r="AG4715" s="80"/>
      <c r="AH4715" s="80"/>
      <c r="AI4715" s="147"/>
      <c r="AJ4715" s="80"/>
      <c r="AK4715" s="80"/>
      <c r="AL4715" s="86"/>
      <c r="AM4715" s="86"/>
      <c r="AN4715" s="86"/>
      <c r="AO4715" s="86"/>
      <c r="AP4715" s="86"/>
    </row>
    <row r="4716" spans="1:42" x14ac:dyDescent="0.2">
      <c r="A4716" s="74">
        <v>45614</v>
      </c>
      <c r="B4716" s="137" t="s">
        <v>37</v>
      </c>
      <c r="C4716" s="41" t="s">
        <v>118</v>
      </c>
      <c r="D4716" s="80" t="s">
        <v>36</v>
      </c>
      <c r="E4716" s="80" t="s">
        <v>56</v>
      </c>
      <c r="F4716" s="80" t="s">
        <v>13186</v>
      </c>
      <c r="G4716" s="80" t="s">
        <v>108</v>
      </c>
      <c r="H4716" s="80" t="s">
        <v>16651</v>
      </c>
      <c r="I4716" s="17">
        <f ca="1">IFERROR(__xludf.DUMMYFUNCTION("""COMPUTED_VALUE"""),45628)</f>
        <v>45628</v>
      </c>
      <c r="J4716" s="143" t="s">
        <v>15617</v>
      </c>
      <c r="K4716" s="80" t="s">
        <v>15618</v>
      </c>
      <c r="L4716" s="30">
        <v>962933897</v>
      </c>
      <c r="M4716" s="80" t="s">
        <v>3288</v>
      </c>
      <c r="N4716" s="80" t="s">
        <v>200</v>
      </c>
      <c r="O4716" s="80" t="s">
        <v>91</v>
      </c>
      <c r="P4716" s="80" t="s">
        <v>15619</v>
      </c>
      <c r="Q4716" s="20">
        <v>9317</v>
      </c>
      <c r="R4716" s="80" t="s">
        <v>1106</v>
      </c>
      <c r="S4716" s="95">
        <v>2000</v>
      </c>
      <c r="T4716" s="148">
        <v>45559</v>
      </c>
      <c r="U4716" s="95">
        <v>7167</v>
      </c>
      <c r="V4716" s="148">
        <v>45567</v>
      </c>
      <c r="W4716" s="85" t="s">
        <v>15620</v>
      </c>
      <c r="X4716" s="80"/>
      <c r="Y4716" s="22">
        <v>150</v>
      </c>
      <c r="Z4716" s="81" t="s">
        <v>50</v>
      </c>
      <c r="AA4716" s="86" t="s">
        <v>9905</v>
      </c>
      <c r="AB4716" s="80"/>
      <c r="AC4716" s="80" t="s">
        <v>53</v>
      </c>
      <c r="AD4716" s="80" t="s">
        <v>54</v>
      </c>
      <c r="AE4716" s="80" t="s">
        <v>13186</v>
      </c>
      <c r="AF4716" s="17">
        <v>45622</v>
      </c>
      <c r="AG4716" s="80"/>
      <c r="AH4716" s="80"/>
      <c r="AI4716" s="147"/>
      <c r="AJ4716" s="80"/>
      <c r="AK4716" s="80"/>
      <c r="AL4716" s="86"/>
      <c r="AM4716" s="86"/>
      <c r="AN4716" s="86"/>
      <c r="AO4716" s="86"/>
      <c r="AP4716" s="35"/>
    </row>
    <row r="4717" spans="1:42" x14ac:dyDescent="0.2">
      <c r="A4717" s="74">
        <v>45614</v>
      </c>
      <c r="B4717" s="137" t="s">
        <v>37</v>
      </c>
      <c r="C4717" s="41" t="s">
        <v>118</v>
      </c>
      <c r="D4717" s="80" t="s">
        <v>36</v>
      </c>
      <c r="E4717" s="80" t="s">
        <v>139</v>
      </c>
      <c r="F4717" s="80" t="s">
        <v>13186</v>
      </c>
      <c r="G4717" s="80" t="s">
        <v>108</v>
      </c>
      <c r="H4717" s="80" t="s">
        <v>16651</v>
      </c>
      <c r="I4717" s="17">
        <f ca="1">IFERROR(__xludf.DUMMYFUNCTION("""COMPUTED_VALUE"""),45628)</f>
        <v>45628</v>
      </c>
      <c r="J4717" s="143" t="s">
        <v>16660</v>
      </c>
      <c r="K4717" s="80" t="s">
        <v>16661</v>
      </c>
      <c r="L4717" s="30">
        <v>327352767</v>
      </c>
      <c r="M4717" s="80" t="s">
        <v>12529</v>
      </c>
      <c r="N4717" s="80" t="s">
        <v>13566</v>
      </c>
      <c r="O4717" s="80" t="s">
        <v>16662</v>
      </c>
      <c r="P4717" s="144" t="s">
        <v>16663</v>
      </c>
      <c r="Q4717" s="20">
        <v>9317</v>
      </c>
      <c r="R4717" s="80" t="s">
        <v>36</v>
      </c>
      <c r="S4717" s="95">
        <f>200+1800</f>
        <v>2000</v>
      </c>
      <c r="T4717" s="83" t="s">
        <v>16664</v>
      </c>
      <c r="U4717" s="95">
        <v>7936</v>
      </c>
      <c r="V4717" s="148">
        <v>45611</v>
      </c>
      <c r="W4717" s="85" t="s">
        <v>16665</v>
      </c>
      <c r="X4717" s="80"/>
      <c r="Y4717" s="22">
        <v>0</v>
      </c>
      <c r="Z4717" s="80" t="s">
        <v>50</v>
      </c>
      <c r="AA4717" s="86" t="s">
        <v>14723</v>
      </c>
      <c r="AB4717" s="80"/>
      <c r="AC4717" s="80" t="s">
        <v>53</v>
      </c>
      <c r="AD4717" s="80" t="s">
        <v>138</v>
      </c>
      <c r="AE4717" s="80" t="s">
        <v>13186</v>
      </c>
      <c r="AF4717" s="17">
        <v>45622</v>
      </c>
      <c r="AG4717" s="80"/>
      <c r="AH4717" s="80"/>
      <c r="AI4717" s="147"/>
      <c r="AJ4717" s="80"/>
      <c r="AK4717" s="80"/>
      <c r="AL4717" s="35"/>
      <c r="AM4717" s="35"/>
      <c r="AN4717" s="35"/>
      <c r="AO4717" s="35"/>
      <c r="AP4717" s="35"/>
    </row>
    <row r="4718" spans="1:42" x14ac:dyDescent="0.2">
      <c r="A4718" s="74">
        <v>45614</v>
      </c>
      <c r="B4718" s="137" t="s">
        <v>37</v>
      </c>
      <c r="C4718" s="41" t="s">
        <v>118</v>
      </c>
      <c r="D4718" s="80" t="s">
        <v>36</v>
      </c>
      <c r="E4718" s="80" t="s">
        <v>56</v>
      </c>
      <c r="F4718" s="80" t="s">
        <v>13239</v>
      </c>
      <c r="G4718" s="80" t="s">
        <v>108</v>
      </c>
      <c r="H4718" s="80" t="s">
        <v>13782</v>
      </c>
      <c r="I4718" s="17">
        <f ca="1">IFERROR(__xludf.DUMMYFUNCTION("""COMPUTED_VALUE"""),45623)</f>
        <v>45623</v>
      </c>
      <c r="J4718" s="143" t="s">
        <v>13400</v>
      </c>
      <c r="K4718" s="80" t="s">
        <v>13401</v>
      </c>
      <c r="L4718" s="30">
        <v>355038715</v>
      </c>
      <c r="M4718" s="80" t="s">
        <v>59</v>
      </c>
      <c r="N4718" s="80" t="s">
        <v>13402</v>
      </c>
      <c r="O4718" s="80" t="s">
        <v>13403</v>
      </c>
      <c r="P4718" s="144" t="s">
        <v>13404</v>
      </c>
      <c r="Q4718" s="20">
        <v>9317</v>
      </c>
      <c r="R4718" s="80" t="s">
        <v>36</v>
      </c>
      <c r="S4718" s="95">
        <v>9317</v>
      </c>
      <c r="T4718" s="148">
        <v>45556</v>
      </c>
      <c r="U4718" s="77"/>
      <c r="V4718" s="78"/>
      <c r="W4718" s="85" t="s">
        <v>13405</v>
      </c>
      <c r="X4718" s="80">
        <v>0</v>
      </c>
      <c r="Y4718" s="22">
        <v>0</v>
      </c>
      <c r="Z4718" s="80" t="s">
        <v>50</v>
      </c>
      <c r="AA4718" s="35" t="s">
        <v>3291</v>
      </c>
      <c r="AB4718" s="80"/>
      <c r="AC4718" s="80" t="s">
        <v>53</v>
      </c>
      <c r="AD4718" s="80" t="s">
        <v>54</v>
      </c>
      <c r="AE4718" s="80" t="s">
        <v>13239</v>
      </c>
      <c r="AF4718" s="43">
        <v>45616</v>
      </c>
      <c r="AG4718" s="85" t="s">
        <v>13400</v>
      </c>
      <c r="AH4718" s="80"/>
      <c r="AI4718" s="147" t="s">
        <v>64</v>
      </c>
      <c r="AJ4718" s="80"/>
      <c r="AK4718" s="80"/>
      <c r="AL4718" s="35"/>
      <c r="AM4718" s="35"/>
      <c r="AN4718" s="35"/>
      <c r="AO4718" s="35"/>
      <c r="AP4718" s="35"/>
    </row>
    <row r="4719" spans="1:42" x14ac:dyDescent="0.2">
      <c r="A4719" s="74">
        <v>45614</v>
      </c>
      <c r="B4719" s="137" t="s">
        <v>37</v>
      </c>
      <c r="C4719" s="41" t="s">
        <v>118</v>
      </c>
      <c r="D4719" s="80" t="s">
        <v>36</v>
      </c>
      <c r="E4719" s="80" t="s">
        <v>139</v>
      </c>
      <c r="F4719" s="80" t="s">
        <v>13239</v>
      </c>
      <c r="G4719" s="80" t="s">
        <v>108</v>
      </c>
      <c r="H4719" s="80" t="s">
        <v>13999</v>
      </c>
      <c r="I4719" s="17">
        <f ca="1">IFERROR(__xludf.DUMMYFUNCTION("""COMPUTED_VALUE"""),45698)</f>
        <v>45698</v>
      </c>
      <c r="J4719" s="143" t="s">
        <v>15345</v>
      </c>
      <c r="K4719" s="80" t="s">
        <v>16666</v>
      </c>
      <c r="L4719" s="30">
        <v>972865946</v>
      </c>
      <c r="M4719" s="80" t="s">
        <v>3498</v>
      </c>
      <c r="N4719" s="80" t="s">
        <v>4402</v>
      </c>
      <c r="O4719" s="80" t="s">
        <v>4503</v>
      </c>
      <c r="P4719" s="144" t="s">
        <v>16667</v>
      </c>
      <c r="Q4719" s="20">
        <v>15936</v>
      </c>
      <c r="R4719" s="80" t="s">
        <v>70</v>
      </c>
      <c r="S4719" s="95">
        <f>200+2800</f>
        <v>3000</v>
      </c>
      <c r="T4719" s="83" t="s">
        <v>15340</v>
      </c>
      <c r="U4719" s="95">
        <v>12836</v>
      </c>
      <c r="V4719" s="148">
        <v>45580</v>
      </c>
      <c r="W4719" s="80" t="s">
        <v>15348</v>
      </c>
      <c r="X4719" s="80"/>
      <c r="Y4719" s="22">
        <v>100</v>
      </c>
      <c r="Z4719" s="80" t="s">
        <v>50</v>
      </c>
      <c r="AA4719" s="96" t="s">
        <v>9905</v>
      </c>
      <c r="AB4719" s="80"/>
      <c r="AC4719" s="80" t="s">
        <v>53</v>
      </c>
      <c r="AD4719" s="80" t="s">
        <v>54</v>
      </c>
      <c r="AE4719" s="80" t="s">
        <v>13239</v>
      </c>
      <c r="AF4719" s="43">
        <v>45616</v>
      </c>
      <c r="AG4719" s="80"/>
      <c r="AH4719" s="80"/>
      <c r="AI4719" s="147"/>
      <c r="AJ4719" s="80"/>
      <c r="AK4719" s="80"/>
      <c r="AL4719" s="35"/>
      <c r="AM4719" s="35"/>
      <c r="AN4719" s="35"/>
      <c r="AO4719" s="35"/>
      <c r="AP4719" s="35"/>
    </row>
    <row r="4720" spans="1:42" x14ac:dyDescent="0.2">
      <c r="A4720" s="74">
        <v>45614</v>
      </c>
      <c r="B4720" s="137"/>
      <c r="C4720" s="41" t="s">
        <v>118</v>
      </c>
      <c r="D4720" s="80" t="s">
        <v>36</v>
      </c>
      <c r="E4720" s="80" t="s">
        <v>56</v>
      </c>
      <c r="F4720" s="80" t="s">
        <v>13239</v>
      </c>
      <c r="G4720" s="80" t="s">
        <v>108</v>
      </c>
      <c r="H4720" s="80" t="s">
        <v>16668</v>
      </c>
      <c r="I4720" s="17" t="str">
        <f ca="1">IFERROR(__xludf.DUMMYFUNCTION("""COMPUTED_VALUE""")," ")</f>
        <v xml:space="preserve"> </v>
      </c>
      <c r="J4720" s="143" t="s">
        <v>15132</v>
      </c>
      <c r="K4720" s="80" t="s">
        <v>16669</v>
      </c>
      <c r="L4720" s="30">
        <v>939638829</v>
      </c>
      <c r="M4720" s="80" t="s">
        <v>123</v>
      </c>
      <c r="N4720" s="80" t="s">
        <v>327</v>
      </c>
      <c r="O4720" s="80" t="s">
        <v>4503</v>
      </c>
      <c r="P4720" s="144" t="s">
        <v>16670</v>
      </c>
      <c r="Q4720" s="20">
        <v>9317</v>
      </c>
      <c r="R4720" s="80" t="s">
        <v>36</v>
      </c>
      <c r="S4720" s="95">
        <v>2000</v>
      </c>
      <c r="T4720" s="148">
        <v>45545</v>
      </c>
      <c r="U4720" s="95">
        <v>7317</v>
      </c>
      <c r="V4720" s="148">
        <v>45578</v>
      </c>
      <c r="W4720" s="85" t="s">
        <v>15135</v>
      </c>
      <c r="X4720" s="80"/>
      <c r="Y4720" s="22">
        <v>0</v>
      </c>
      <c r="Z4720" s="80" t="s">
        <v>50</v>
      </c>
      <c r="AA4720" s="35" t="s">
        <v>9905</v>
      </c>
      <c r="AB4720" s="80"/>
      <c r="AC4720" s="80" t="s">
        <v>53</v>
      </c>
      <c r="AD4720" s="80" t="s">
        <v>54</v>
      </c>
      <c r="AE4720" s="80" t="s">
        <v>13239</v>
      </c>
      <c r="AF4720" s="43">
        <v>45616</v>
      </c>
      <c r="AG4720" s="80"/>
      <c r="AH4720" s="80"/>
      <c r="AI4720" s="147"/>
      <c r="AJ4720" s="80"/>
      <c r="AK4720" s="80"/>
      <c r="AL4720" s="35"/>
      <c r="AM4720" s="35"/>
      <c r="AN4720" s="35"/>
      <c r="AO4720" s="35"/>
      <c r="AP4720" s="35"/>
    </row>
    <row r="4721" spans="1:42" x14ac:dyDescent="0.2">
      <c r="A4721" s="74">
        <v>45614</v>
      </c>
      <c r="B4721" s="137" t="s">
        <v>37</v>
      </c>
      <c r="C4721" s="41" t="s">
        <v>118</v>
      </c>
      <c r="D4721" s="80" t="s">
        <v>36</v>
      </c>
      <c r="E4721" s="80" t="s">
        <v>139</v>
      </c>
      <c r="F4721" s="80" t="s">
        <v>13480</v>
      </c>
      <c r="G4721" s="80" t="s">
        <v>108</v>
      </c>
      <c r="H4721" s="80" t="s">
        <v>13782</v>
      </c>
      <c r="I4721" s="17">
        <f ca="1">IFERROR(__xludf.DUMMYFUNCTION("""COMPUTED_VALUE"""),45623)</f>
        <v>45623</v>
      </c>
      <c r="J4721" s="143" t="s">
        <v>15680</v>
      </c>
      <c r="K4721" s="80" t="s">
        <v>15681</v>
      </c>
      <c r="L4721" s="30">
        <v>334055801</v>
      </c>
      <c r="M4721" s="80" t="s">
        <v>45</v>
      </c>
      <c r="N4721" s="80" t="s">
        <v>8420</v>
      </c>
      <c r="O4721" s="80" t="s">
        <v>15682</v>
      </c>
      <c r="P4721" s="144" t="s">
        <v>16671</v>
      </c>
      <c r="Q4721" s="20">
        <v>15936</v>
      </c>
      <c r="R4721" s="80" t="s">
        <v>70</v>
      </c>
      <c r="S4721" s="95">
        <v>1000</v>
      </c>
      <c r="T4721" s="148">
        <v>45561</v>
      </c>
      <c r="U4721" s="95">
        <v>14836</v>
      </c>
      <c r="V4721" s="148">
        <v>45576</v>
      </c>
      <c r="W4721" s="80" t="s">
        <v>15684</v>
      </c>
      <c r="X4721" s="80"/>
      <c r="Y4721" s="22">
        <v>100</v>
      </c>
      <c r="Z4721" s="80" t="s">
        <v>50</v>
      </c>
      <c r="AA4721" s="96" t="s">
        <v>9905</v>
      </c>
      <c r="AB4721" s="80"/>
      <c r="AC4721" s="80" t="s">
        <v>53</v>
      </c>
      <c r="AD4721" s="80" t="s">
        <v>54</v>
      </c>
      <c r="AE4721" s="80" t="s">
        <v>13480</v>
      </c>
      <c r="AF4721" s="43">
        <v>45616</v>
      </c>
      <c r="AG4721" s="80"/>
      <c r="AH4721" s="80"/>
      <c r="AI4721" s="147"/>
      <c r="AJ4721" s="80"/>
      <c r="AK4721" s="80"/>
      <c r="AL4721" s="35"/>
      <c r="AM4721" s="35"/>
      <c r="AN4721" s="35"/>
      <c r="AO4721" s="35"/>
      <c r="AP4721" s="35"/>
    </row>
    <row r="4722" spans="1:42" x14ac:dyDescent="0.2">
      <c r="A4722" s="74">
        <v>45615</v>
      </c>
      <c r="B4722" s="137" t="s">
        <v>37</v>
      </c>
      <c r="C4722" s="41" t="s">
        <v>118</v>
      </c>
      <c r="D4722" s="80" t="s">
        <v>36</v>
      </c>
      <c r="E4722" s="80" t="s">
        <v>139</v>
      </c>
      <c r="F4722" s="26" t="s">
        <v>8917</v>
      </c>
      <c r="G4722" s="26" t="s">
        <v>1705</v>
      </c>
      <c r="H4722" s="26" t="s">
        <v>6989</v>
      </c>
      <c r="I4722" s="17">
        <f ca="1">IFERROR(__xludf.DUMMYFUNCTION("""COMPUTED_VALUE"""),45622)</f>
        <v>45622</v>
      </c>
      <c r="J4722" s="143" t="s">
        <v>3636</v>
      </c>
      <c r="K4722" s="80" t="s">
        <v>3637</v>
      </c>
      <c r="L4722" s="30">
        <v>825802607</v>
      </c>
      <c r="M4722" s="80" t="s">
        <v>123</v>
      </c>
      <c r="N4722" s="80" t="s">
        <v>186</v>
      </c>
      <c r="O4722" s="80" t="s">
        <v>1226</v>
      </c>
      <c r="P4722" s="144" t="s">
        <v>16672</v>
      </c>
      <c r="Q4722" s="20">
        <v>15936</v>
      </c>
      <c r="R4722" s="80" t="s">
        <v>36</v>
      </c>
      <c r="S4722" s="77">
        <v>500</v>
      </c>
      <c r="T4722" s="78">
        <v>45166</v>
      </c>
      <c r="U4722" s="77">
        <f>1500+13936</f>
        <v>15436</v>
      </c>
      <c r="V4722" s="158" t="s">
        <v>3639</v>
      </c>
      <c r="W4722" s="85" t="s">
        <v>3640</v>
      </c>
      <c r="X4722" s="80"/>
      <c r="Y4722" s="22">
        <v>0</v>
      </c>
      <c r="Z4722" s="41" t="s">
        <v>118</v>
      </c>
      <c r="AA4722" s="145" t="s">
        <v>4541</v>
      </c>
      <c r="AB4722" s="26" t="s">
        <v>36</v>
      </c>
      <c r="AC4722" s="80" t="s">
        <v>53</v>
      </c>
      <c r="AD4722" s="157" t="s">
        <v>138</v>
      </c>
      <c r="AE4722" s="26" t="s">
        <v>8917</v>
      </c>
      <c r="AF4722" s="43">
        <v>45616</v>
      </c>
      <c r="AG4722" s="147"/>
      <c r="AH4722" s="80"/>
      <c r="AI4722" s="147"/>
      <c r="AJ4722" s="80"/>
      <c r="AK4722" s="80"/>
      <c r="AL4722" s="86"/>
      <c r="AM4722" s="86"/>
      <c r="AN4722" s="86"/>
      <c r="AO4722" s="86"/>
      <c r="AP4722" s="86"/>
    </row>
    <row r="4723" spans="1:42" x14ac:dyDescent="0.2">
      <c r="A4723" s="74">
        <v>45615</v>
      </c>
      <c r="B4723" s="137" t="s">
        <v>37</v>
      </c>
      <c r="C4723" s="41" t="s">
        <v>118</v>
      </c>
      <c r="D4723" s="80" t="s">
        <v>36</v>
      </c>
      <c r="E4723" s="80" t="s">
        <v>139</v>
      </c>
      <c r="F4723" s="26" t="s">
        <v>8917</v>
      </c>
      <c r="G4723" s="26" t="s">
        <v>1705</v>
      </c>
      <c r="H4723" s="26" t="s">
        <v>6989</v>
      </c>
      <c r="I4723" s="17">
        <f ca="1">IFERROR(__xludf.DUMMYFUNCTION("""COMPUTED_VALUE"""),45622)</f>
        <v>45622</v>
      </c>
      <c r="J4723" s="143" t="s">
        <v>3737</v>
      </c>
      <c r="K4723" s="80" t="s">
        <v>3738</v>
      </c>
      <c r="L4723" s="30">
        <v>823523934</v>
      </c>
      <c r="M4723" s="80" t="s">
        <v>123</v>
      </c>
      <c r="N4723" s="80" t="s">
        <v>850</v>
      </c>
      <c r="O4723" s="80" t="s">
        <v>2737</v>
      </c>
      <c r="P4723" s="144" t="s">
        <v>8922</v>
      </c>
      <c r="Q4723" s="20">
        <v>15936</v>
      </c>
      <c r="R4723" s="80" t="s">
        <v>36</v>
      </c>
      <c r="S4723" s="77">
        <v>2000</v>
      </c>
      <c r="T4723" s="78">
        <v>45188</v>
      </c>
      <c r="U4723" s="77">
        <v>13968</v>
      </c>
      <c r="V4723" s="78">
        <v>45207</v>
      </c>
      <c r="W4723" s="80" t="s">
        <v>3739</v>
      </c>
      <c r="X4723" s="80"/>
      <c r="Y4723" s="22">
        <v>-32</v>
      </c>
      <c r="Z4723" s="41" t="s">
        <v>118</v>
      </c>
      <c r="AA4723" s="145" t="s">
        <v>4541</v>
      </c>
      <c r="AB4723" s="26" t="s">
        <v>36</v>
      </c>
      <c r="AC4723" s="80" t="s">
        <v>53</v>
      </c>
      <c r="AD4723" s="157" t="s">
        <v>138</v>
      </c>
      <c r="AE4723" s="26" t="s">
        <v>8917</v>
      </c>
      <c r="AF4723" s="43">
        <v>45616</v>
      </c>
      <c r="AG4723" s="147"/>
      <c r="AH4723" s="80"/>
      <c r="AI4723" s="147"/>
      <c r="AJ4723" s="80"/>
      <c r="AK4723" s="80"/>
      <c r="AL4723" s="86"/>
      <c r="AM4723" s="86"/>
      <c r="AN4723" s="86"/>
      <c r="AO4723" s="86"/>
      <c r="AP4723" s="86"/>
    </row>
    <row r="4724" spans="1:42" x14ac:dyDescent="0.2">
      <c r="A4724" s="74">
        <v>45615</v>
      </c>
      <c r="B4724" s="137" t="s">
        <v>37</v>
      </c>
      <c r="C4724" s="41" t="s">
        <v>118</v>
      </c>
      <c r="D4724" s="26" t="s">
        <v>36</v>
      </c>
      <c r="E4724" s="26" t="s">
        <v>139</v>
      </c>
      <c r="F4724" s="26" t="s">
        <v>7330</v>
      </c>
      <c r="G4724" s="26" t="s">
        <v>108</v>
      </c>
      <c r="H4724" s="26" t="s">
        <v>14429</v>
      </c>
      <c r="I4724" s="17">
        <f ca="1">IFERROR(__xludf.DUMMYFUNCTION("""COMPUTED_VALUE"""),45615)</f>
        <v>45615</v>
      </c>
      <c r="J4724" s="29" t="s">
        <v>10349</v>
      </c>
      <c r="K4724" s="26" t="s">
        <v>10350</v>
      </c>
      <c r="L4724" s="30">
        <v>368884893</v>
      </c>
      <c r="M4724" s="26" t="s">
        <v>5429</v>
      </c>
      <c r="N4724" s="26" t="s">
        <v>9166</v>
      </c>
      <c r="O4724" s="26" t="s">
        <v>10351</v>
      </c>
      <c r="P4724" s="26" t="s">
        <v>7107</v>
      </c>
      <c r="Q4724" s="20">
        <v>15936</v>
      </c>
      <c r="R4724" s="26" t="s">
        <v>3825</v>
      </c>
      <c r="S4724" s="95">
        <f>200+2000</f>
        <v>2200</v>
      </c>
      <c r="T4724" s="83" t="s">
        <v>10347</v>
      </c>
      <c r="U4724" s="95">
        <v>13536</v>
      </c>
      <c r="V4724" s="148">
        <v>45526</v>
      </c>
      <c r="W4724" s="33" t="s">
        <v>10352</v>
      </c>
      <c r="X4724" s="26">
        <v>200</v>
      </c>
      <c r="Y4724" s="22">
        <v>0</v>
      </c>
      <c r="Z4724" s="26" t="s">
        <v>50</v>
      </c>
      <c r="AA4724" s="35" t="s">
        <v>10314</v>
      </c>
      <c r="AB4724" s="26"/>
      <c r="AC4724" s="26" t="s">
        <v>53</v>
      </c>
      <c r="AD4724" s="26" t="s">
        <v>138</v>
      </c>
      <c r="AE4724" s="26" t="s">
        <v>7330</v>
      </c>
      <c r="AF4724" s="17">
        <v>45615</v>
      </c>
      <c r="AG4724" s="26"/>
      <c r="AH4724" s="26"/>
      <c r="AI4724" s="40"/>
      <c r="AJ4724" s="26"/>
      <c r="AK4724" s="26"/>
      <c r="AL4724" s="35"/>
      <c r="AM4724" s="35"/>
      <c r="AN4724" s="35"/>
      <c r="AO4724" s="35"/>
      <c r="AP4724" s="35"/>
    </row>
    <row r="4725" spans="1:42" x14ac:dyDescent="0.2">
      <c r="A4725" s="74">
        <v>45615</v>
      </c>
      <c r="B4725" s="137" t="s">
        <v>37</v>
      </c>
      <c r="C4725" s="41" t="s">
        <v>118</v>
      </c>
      <c r="D4725" s="26" t="s">
        <v>36</v>
      </c>
      <c r="E4725" s="80" t="s">
        <v>139</v>
      </c>
      <c r="F4725" s="80" t="s">
        <v>16673</v>
      </c>
      <c r="G4725" s="80" t="s">
        <v>41</v>
      </c>
      <c r="H4725" s="80" t="s">
        <v>14051</v>
      </c>
      <c r="I4725" s="17">
        <f ca="1">IFERROR(__xludf.DUMMYFUNCTION("""COMPUTED_VALUE"""),45615)</f>
        <v>45615</v>
      </c>
      <c r="J4725" s="143" t="s">
        <v>15189</v>
      </c>
      <c r="K4725" s="80" t="s">
        <v>16674</v>
      </c>
      <c r="L4725" s="30">
        <v>847562969</v>
      </c>
      <c r="M4725" s="80" t="s">
        <v>2755</v>
      </c>
      <c r="N4725" s="80" t="s">
        <v>2756</v>
      </c>
      <c r="O4725" s="80" t="s">
        <v>4503</v>
      </c>
      <c r="P4725" s="80" t="s">
        <v>7649</v>
      </c>
      <c r="Q4725" s="20">
        <v>15936</v>
      </c>
      <c r="R4725" s="80" t="s">
        <v>36</v>
      </c>
      <c r="S4725" s="95">
        <v>2200</v>
      </c>
      <c r="T4725" s="148">
        <v>45548</v>
      </c>
      <c r="U4725" s="178">
        <v>13736</v>
      </c>
      <c r="V4725" s="169">
        <v>45573</v>
      </c>
      <c r="W4725" s="79" t="s">
        <v>15191</v>
      </c>
      <c r="X4725" s="80"/>
      <c r="Y4725" s="22">
        <v>0</v>
      </c>
      <c r="Z4725" s="80" t="s">
        <v>50</v>
      </c>
      <c r="AA4725" s="96" t="s">
        <v>9905</v>
      </c>
      <c r="AB4725" s="80"/>
      <c r="AC4725" s="80" t="s">
        <v>53</v>
      </c>
      <c r="AD4725" s="80" t="s">
        <v>138</v>
      </c>
      <c r="AE4725" s="80" t="s">
        <v>16673</v>
      </c>
      <c r="AF4725" s="17">
        <v>45551</v>
      </c>
      <c r="AG4725" s="80"/>
      <c r="AH4725" s="80"/>
      <c r="AI4725" s="147"/>
      <c r="AJ4725" s="80"/>
      <c r="AK4725" s="80"/>
      <c r="AL4725" s="35"/>
      <c r="AM4725" s="35"/>
      <c r="AN4725" s="35"/>
      <c r="AO4725" s="35"/>
      <c r="AP4725" s="35"/>
    </row>
    <row r="4726" spans="1:42" x14ac:dyDescent="0.2">
      <c r="A4726" s="74">
        <v>45615</v>
      </c>
      <c r="B4726" s="137" t="s">
        <v>37</v>
      </c>
      <c r="C4726" s="41" t="s">
        <v>118</v>
      </c>
      <c r="D4726" s="26" t="s">
        <v>36</v>
      </c>
      <c r="E4726" s="26" t="s">
        <v>119</v>
      </c>
      <c r="F4726" s="26" t="s">
        <v>6976</v>
      </c>
      <c r="G4726" s="26" t="s">
        <v>1705</v>
      </c>
      <c r="H4726" s="26" t="s">
        <v>6989</v>
      </c>
      <c r="I4726" s="17">
        <f ca="1">IFERROR(__xludf.DUMMYFUNCTION("""COMPUTED_VALUE"""),45622)</f>
        <v>45622</v>
      </c>
      <c r="J4726" s="29" t="s">
        <v>7619</v>
      </c>
      <c r="K4726" s="26" t="s">
        <v>7620</v>
      </c>
      <c r="L4726" s="30">
        <v>349604185</v>
      </c>
      <c r="M4726" s="26" t="s">
        <v>80</v>
      </c>
      <c r="N4726" s="26" t="s">
        <v>466</v>
      </c>
      <c r="O4726" s="26" t="s">
        <v>7621</v>
      </c>
      <c r="P4726" s="42" t="s">
        <v>16675</v>
      </c>
      <c r="Q4726" s="20">
        <v>13968</v>
      </c>
      <c r="R4726" s="26" t="s">
        <v>36</v>
      </c>
      <c r="S4726" s="31">
        <v>500</v>
      </c>
      <c r="T4726" s="32">
        <v>45300</v>
      </c>
      <c r="U4726" s="31">
        <f>3500+9968</f>
        <v>13468</v>
      </c>
      <c r="V4726" s="26" t="s">
        <v>7623</v>
      </c>
      <c r="W4726" s="33" t="s">
        <v>7624</v>
      </c>
      <c r="X4726" s="26"/>
      <c r="Y4726" s="22">
        <v>0</v>
      </c>
      <c r="Z4726" s="26" t="s">
        <v>118</v>
      </c>
      <c r="AA4726" s="19" t="s">
        <v>7361</v>
      </c>
      <c r="AB4726" s="26" t="s">
        <v>36</v>
      </c>
      <c r="AC4726" s="26" t="s">
        <v>53</v>
      </c>
      <c r="AD4726" s="19" t="s">
        <v>54</v>
      </c>
      <c r="AE4726" s="26" t="s">
        <v>6976</v>
      </c>
      <c r="AF4726" s="43">
        <v>45616</v>
      </c>
      <c r="AG4726" s="26"/>
      <c r="AH4726" s="26"/>
      <c r="AI4726" s="40"/>
      <c r="AJ4726" s="26"/>
      <c r="AK4726" s="26"/>
      <c r="AL4726" s="35"/>
      <c r="AM4726" s="35"/>
      <c r="AN4726" s="35"/>
      <c r="AO4726" s="35"/>
      <c r="AP4726" s="35"/>
    </row>
    <row r="4727" spans="1:42" x14ac:dyDescent="0.2">
      <c r="A4727" s="74">
        <v>45615</v>
      </c>
      <c r="B4727" s="137" t="s">
        <v>37</v>
      </c>
      <c r="C4727" s="41" t="s">
        <v>118</v>
      </c>
      <c r="D4727" s="26" t="s">
        <v>36</v>
      </c>
      <c r="E4727" s="26" t="s">
        <v>139</v>
      </c>
      <c r="F4727" s="26" t="s">
        <v>7330</v>
      </c>
      <c r="G4727" s="26" t="s">
        <v>108</v>
      </c>
      <c r="H4727" s="26" t="s">
        <v>16676</v>
      </c>
      <c r="I4727" s="17">
        <f ca="1">IFERROR(__xludf.DUMMYFUNCTION("""COMPUTED_VALUE"""),45630)</f>
        <v>45630</v>
      </c>
      <c r="J4727" s="29" t="s">
        <v>10335</v>
      </c>
      <c r="K4727" s="26" t="s">
        <v>10336</v>
      </c>
      <c r="L4727" s="30">
        <v>342484956</v>
      </c>
      <c r="M4727" s="26" t="s">
        <v>5429</v>
      </c>
      <c r="N4727" s="26" t="s">
        <v>9166</v>
      </c>
      <c r="O4727" s="26" t="s">
        <v>10337</v>
      </c>
      <c r="P4727" s="26" t="s">
        <v>7107</v>
      </c>
      <c r="Q4727" s="20">
        <v>15936</v>
      </c>
      <c r="R4727" s="26" t="s">
        <v>3825</v>
      </c>
      <c r="S4727" s="95">
        <f t="shared" ref="S4727:S4728" si="104">200+1800</f>
        <v>2000</v>
      </c>
      <c r="T4727" s="83" t="s">
        <v>10338</v>
      </c>
      <c r="U4727" s="95">
        <v>13736</v>
      </c>
      <c r="V4727" s="148">
        <v>45526</v>
      </c>
      <c r="W4727" s="33" t="s">
        <v>10339</v>
      </c>
      <c r="X4727" s="26">
        <v>200</v>
      </c>
      <c r="Y4727" s="22">
        <v>0</v>
      </c>
      <c r="Z4727" s="26" t="s">
        <v>50</v>
      </c>
      <c r="AA4727" s="96" t="s">
        <v>10314</v>
      </c>
      <c r="AB4727" s="26"/>
      <c r="AC4727" s="26" t="s">
        <v>53</v>
      </c>
      <c r="AD4727" s="26" t="s">
        <v>138</v>
      </c>
      <c r="AE4727" s="26" t="s">
        <v>7330</v>
      </c>
      <c r="AF4727" s="17">
        <v>45630</v>
      </c>
      <c r="AG4727" s="26" t="s">
        <v>16677</v>
      </c>
      <c r="AH4727" s="26"/>
      <c r="AI4727" s="40"/>
      <c r="AJ4727" s="26"/>
      <c r="AK4727" s="26"/>
      <c r="AL4727" s="35"/>
      <c r="AM4727" s="35"/>
      <c r="AN4727" s="35"/>
      <c r="AO4727" s="35"/>
      <c r="AP4727" s="35"/>
    </row>
    <row r="4728" spans="1:42" x14ac:dyDescent="0.2">
      <c r="A4728" s="74">
        <v>45615</v>
      </c>
      <c r="B4728" s="137" t="s">
        <v>37</v>
      </c>
      <c r="C4728" s="41" t="s">
        <v>118</v>
      </c>
      <c r="D4728" s="26" t="s">
        <v>36</v>
      </c>
      <c r="E4728" s="26" t="s">
        <v>139</v>
      </c>
      <c r="F4728" s="26" t="s">
        <v>7330</v>
      </c>
      <c r="G4728" s="26" t="s">
        <v>108</v>
      </c>
      <c r="H4728" s="26" t="s">
        <v>16676</v>
      </c>
      <c r="I4728" s="17">
        <f ca="1">IFERROR(__xludf.DUMMYFUNCTION("""COMPUTED_VALUE"""),45630)</f>
        <v>45630</v>
      </c>
      <c r="J4728" s="29" t="s">
        <v>10340</v>
      </c>
      <c r="K4728" s="26" t="s">
        <v>10341</v>
      </c>
      <c r="L4728" s="30">
        <v>981595683</v>
      </c>
      <c r="M4728" s="26" t="s">
        <v>5429</v>
      </c>
      <c r="N4728" s="26" t="s">
        <v>9166</v>
      </c>
      <c r="O4728" s="26" t="s">
        <v>10342</v>
      </c>
      <c r="P4728" s="26" t="s">
        <v>7107</v>
      </c>
      <c r="Q4728" s="20">
        <v>15936</v>
      </c>
      <c r="R4728" s="26" t="s">
        <v>3825</v>
      </c>
      <c r="S4728" s="95">
        <f t="shared" si="104"/>
        <v>2000</v>
      </c>
      <c r="T4728" s="83" t="s">
        <v>10338</v>
      </c>
      <c r="U4728" s="95">
        <v>13736</v>
      </c>
      <c r="V4728" s="148">
        <v>45526</v>
      </c>
      <c r="W4728" s="33" t="s">
        <v>10343</v>
      </c>
      <c r="X4728" s="26">
        <v>200</v>
      </c>
      <c r="Y4728" s="22">
        <v>0</v>
      </c>
      <c r="Z4728" s="26" t="s">
        <v>50</v>
      </c>
      <c r="AA4728" s="35" t="s">
        <v>10314</v>
      </c>
      <c r="AB4728" s="26"/>
      <c r="AC4728" s="26" t="s">
        <v>53</v>
      </c>
      <c r="AD4728" s="26" t="s">
        <v>138</v>
      </c>
      <c r="AE4728" s="26" t="s">
        <v>7330</v>
      </c>
      <c r="AF4728" s="17">
        <v>45630</v>
      </c>
      <c r="AG4728" s="26" t="s">
        <v>16677</v>
      </c>
      <c r="AH4728" s="26"/>
      <c r="AI4728" s="40"/>
      <c r="AJ4728" s="26"/>
      <c r="AK4728" s="26"/>
      <c r="AL4728" s="35"/>
      <c r="AM4728" s="35"/>
      <c r="AN4728" s="35"/>
      <c r="AO4728" s="35"/>
      <c r="AP4728" s="35"/>
    </row>
    <row r="4729" spans="1:42" x14ac:dyDescent="0.2">
      <c r="A4729" s="74">
        <v>45615</v>
      </c>
      <c r="B4729" s="137" t="s">
        <v>37</v>
      </c>
      <c r="C4729" s="41" t="s">
        <v>118</v>
      </c>
      <c r="D4729" s="80" t="s">
        <v>36</v>
      </c>
      <c r="E4729" s="80" t="s">
        <v>56</v>
      </c>
      <c r="F4729" s="80" t="s">
        <v>9682</v>
      </c>
      <c r="G4729" s="26" t="s">
        <v>108</v>
      </c>
      <c r="H4729" s="26" t="s">
        <v>16651</v>
      </c>
      <c r="I4729" s="17">
        <f ca="1">IFERROR(__xludf.DUMMYFUNCTION("""COMPUTED_VALUE"""),45628)</f>
        <v>45628</v>
      </c>
      <c r="J4729" s="143" t="s">
        <v>9732</v>
      </c>
      <c r="K4729" s="80" t="s">
        <v>9733</v>
      </c>
      <c r="L4729" s="30">
        <v>984193657</v>
      </c>
      <c r="M4729" s="80" t="s">
        <v>348</v>
      </c>
      <c r="N4729" s="80" t="s">
        <v>4299</v>
      </c>
      <c r="O4729" s="80" t="s">
        <v>9734</v>
      </c>
      <c r="P4729" s="144" t="s">
        <v>16678</v>
      </c>
      <c r="Q4729" s="20"/>
      <c r="R4729" s="80" t="s">
        <v>1106</v>
      </c>
      <c r="S4729" s="95">
        <v>9317</v>
      </c>
      <c r="T4729" s="148">
        <v>45502</v>
      </c>
      <c r="U4729" s="77"/>
      <c r="V4729" s="78"/>
      <c r="W4729" s="85" t="s">
        <v>9736</v>
      </c>
      <c r="X4729" s="80"/>
      <c r="Y4729" s="22"/>
      <c r="Z4729" s="80" t="s">
        <v>50</v>
      </c>
      <c r="AA4729" s="70" t="s">
        <v>9070</v>
      </c>
      <c r="AB4729" s="80"/>
      <c r="AC4729" s="80" t="s">
        <v>53</v>
      </c>
      <c r="AD4729" s="80" t="s">
        <v>54</v>
      </c>
      <c r="AE4729" s="80" t="s">
        <v>9682</v>
      </c>
      <c r="AF4729" s="17">
        <v>45622</v>
      </c>
      <c r="AG4729" s="80"/>
      <c r="AH4729" s="80"/>
      <c r="AI4729" s="147"/>
      <c r="AJ4729" s="80"/>
      <c r="AK4729" s="80"/>
      <c r="AL4729" s="35"/>
      <c r="AM4729" s="35"/>
      <c r="AN4729" s="35"/>
      <c r="AO4729" s="35"/>
      <c r="AP4729" s="35"/>
    </row>
    <row r="4730" spans="1:42" x14ac:dyDescent="0.2">
      <c r="A4730" s="74">
        <v>45615</v>
      </c>
      <c r="B4730" s="137" t="s">
        <v>37</v>
      </c>
      <c r="C4730" s="41" t="s">
        <v>118</v>
      </c>
      <c r="D4730" s="80" t="s">
        <v>36</v>
      </c>
      <c r="E4730" s="80" t="s">
        <v>139</v>
      </c>
      <c r="F4730" s="26" t="s">
        <v>8917</v>
      </c>
      <c r="G4730" s="26" t="s">
        <v>1705</v>
      </c>
      <c r="H4730" s="26" t="s">
        <v>6989</v>
      </c>
      <c r="I4730" s="17">
        <f ca="1">IFERROR(__xludf.DUMMYFUNCTION("""COMPUTED_VALUE"""),45622)</f>
        <v>45622</v>
      </c>
      <c r="J4730" s="143" t="s">
        <v>3649</v>
      </c>
      <c r="K4730" s="80" t="s">
        <v>3650</v>
      </c>
      <c r="L4730" s="30">
        <v>368025125</v>
      </c>
      <c r="M4730" s="80" t="s">
        <v>123</v>
      </c>
      <c r="N4730" s="80" t="s">
        <v>186</v>
      </c>
      <c r="O4730" s="80" t="s">
        <v>134</v>
      </c>
      <c r="P4730" s="144" t="s">
        <v>16679</v>
      </c>
      <c r="Q4730" s="20">
        <v>15936</v>
      </c>
      <c r="R4730" s="26" t="s">
        <v>36</v>
      </c>
      <c r="S4730" s="31">
        <v>200</v>
      </c>
      <c r="T4730" s="32">
        <v>45187</v>
      </c>
      <c r="U4730" s="31">
        <f>4000+11736</f>
        <v>15736</v>
      </c>
      <c r="V4730" s="16" t="s">
        <v>3651</v>
      </c>
      <c r="W4730" s="33" t="s">
        <v>3652</v>
      </c>
      <c r="X4730" s="26"/>
      <c r="Y4730" s="22">
        <v>0</v>
      </c>
      <c r="Z4730" s="41" t="s">
        <v>118</v>
      </c>
      <c r="AA4730" s="145" t="s">
        <v>5785</v>
      </c>
      <c r="AB4730" s="26" t="s">
        <v>36</v>
      </c>
      <c r="AC4730" s="80" t="s">
        <v>53</v>
      </c>
      <c r="AD4730" s="157" t="s">
        <v>138</v>
      </c>
      <c r="AE4730" s="26" t="s">
        <v>8917</v>
      </c>
      <c r="AF4730" s="43">
        <v>45616</v>
      </c>
      <c r="AG4730" s="147"/>
      <c r="AH4730" s="80"/>
      <c r="AI4730" s="147" t="s">
        <v>147</v>
      </c>
      <c r="AJ4730" s="80"/>
      <c r="AK4730" s="80"/>
      <c r="AL4730" s="86"/>
      <c r="AM4730" s="86"/>
      <c r="AN4730" s="86"/>
      <c r="AO4730" s="86"/>
      <c r="AP4730" s="86"/>
    </row>
    <row r="4731" spans="1:42" x14ac:dyDescent="0.2">
      <c r="A4731" s="74">
        <v>45616</v>
      </c>
      <c r="B4731" s="137" t="s">
        <v>37</v>
      </c>
      <c r="C4731" s="41" t="s">
        <v>118</v>
      </c>
      <c r="D4731" s="80" t="s">
        <v>36</v>
      </c>
      <c r="E4731" s="80" t="s">
        <v>139</v>
      </c>
      <c r="F4731" s="80" t="s">
        <v>13384</v>
      </c>
      <c r="G4731" s="80" t="s">
        <v>108</v>
      </c>
      <c r="H4731" s="80" t="s">
        <v>14210</v>
      </c>
      <c r="I4731" s="17">
        <f ca="1">IFERROR(__xludf.DUMMYFUNCTION("""COMPUTED_VALUE"""),45622)</f>
        <v>45622</v>
      </c>
      <c r="J4731" s="143" t="s">
        <v>15466</v>
      </c>
      <c r="K4731" s="80" t="s">
        <v>16680</v>
      </c>
      <c r="L4731" s="30">
        <v>378088859</v>
      </c>
      <c r="M4731" s="80" t="s">
        <v>12720</v>
      </c>
      <c r="N4731" s="80" t="s">
        <v>1073</v>
      </c>
      <c r="O4731" s="80" t="s">
        <v>15468</v>
      </c>
      <c r="P4731" s="144" t="s">
        <v>16681</v>
      </c>
      <c r="Q4731" s="20">
        <v>15936</v>
      </c>
      <c r="R4731" s="80" t="s">
        <v>36</v>
      </c>
      <c r="S4731" s="95">
        <f t="shared" ref="S4731:S4732" si="105">200+1800</f>
        <v>2000</v>
      </c>
      <c r="T4731" s="83" t="s">
        <v>14571</v>
      </c>
      <c r="U4731" s="95">
        <v>13936</v>
      </c>
      <c r="V4731" s="148">
        <v>45593</v>
      </c>
      <c r="W4731" s="85" t="s">
        <v>15469</v>
      </c>
      <c r="X4731" s="80"/>
      <c r="Y4731" s="22">
        <v>0</v>
      </c>
      <c r="Z4731" s="80" t="s">
        <v>50</v>
      </c>
      <c r="AA4731" s="96" t="s">
        <v>9905</v>
      </c>
      <c r="AB4731" s="80"/>
      <c r="AC4731" s="80" t="s">
        <v>53</v>
      </c>
      <c r="AD4731" s="80" t="s">
        <v>138</v>
      </c>
      <c r="AE4731" s="80" t="s">
        <v>13384</v>
      </c>
      <c r="AF4731" s="43">
        <v>45616</v>
      </c>
      <c r="AG4731" s="80"/>
      <c r="AH4731" s="80"/>
      <c r="AI4731" s="147"/>
      <c r="AJ4731" s="80"/>
      <c r="AK4731" s="80"/>
      <c r="AL4731" s="35"/>
      <c r="AM4731" s="35"/>
      <c r="AN4731" s="35"/>
      <c r="AO4731" s="35"/>
      <c r="AP4731" s="35"/>
    </row>
    <row r="4732" spans="1:42" x14ac:dyDescent="0.2">
      <c r="A4732" s="74">
        <v>45616</v>
      </c>
      <c r="B4732" s="137" t="s">
        <v>37</v>
      </c>
      <c r="C4732" s="41" t="s">
        <v>118</v>
      </c>
      <c r="D4732" s="80" t="s">
        <v>36</v>
      </c>
      <c r="E4732" s="80" t="s">
        <v>139</v>
      </c>
      <c r="F4732" s="80" t="s">
        <v>9763</v>
      </c>
      <c r="G4732" s="80" t="s">
        <v>108</v>
      </c>
      <c r="H4732" s="80" t="s">
        <v>14409</v>
      </c>
      <c r="I4732" s="17">
        <f ca="1">IFERROR(__xludf.DUMMYFUNCTION("""COMPUTED_VALUE"""),45624)</f>
        <v>45624</v>
      </c>
      <c r="J4732" s="143" t="s">
        <v>11177</v>
      </c>
      <c r="K4732" s="80" t="s">
        <v>16682</v>
      </c>
      <c r="L4732" s="47">
        <v>988703929</v>
      </c>
      <c r="M4732" s="80" t="s">
        <v>80</v>
      </c>
      <c r="N4732" s="80" t="s">
        <v>1073</v>
      </c>
      <c r="O4732" s="86" t="s">
        <v>11179</v>
      </c>
      <c r="P4732" s="175" t="s">
        <v>16683</v>
      </c>
      <c r="Q4732" s="20">
        <v>15936</v>
      </c>
      <c r="R4732" s="80" t="s">
        <v>36</v>
      </c>
      <c r="S4732" s="95">
        <f t="shared" si="105"/>
        <v>2000</v>
      </c>
      <c r="T4732" s="83" t="s">
        <v>11181</v>
      </c>
      <c r="U4732" s="95">
        <v>13936</v>
      </c>
      <c r="V4732" s="148">
        <v>45535</v>
      </c>
      <c r="W4732" s="85" t="s">
        <v>11182</v>
      </c>
      <c r="X4732" s="80">
        <v>0</v>
      </c>
      <c r="Y4732" s="22">
        <v>0</v>
      </c>
      <c r="Z4732" s="80" t="s">
        <v>50</v>
      </c>
      <c r="AA4732" s="35" t="s">
        <v>10314</v>
      </c>
      <c r="AB4732" s="80"/>
      <c r="AC4732" s="80" t="s">
        <v>53</v>
      </c>
      <c r="AD4732" s="80" t="s">
        <v>54</v>
      </c>
      <c r="AE4732" s="80" t="s">
        <v>9763</v>
      </c>
      <c r="AF4732" s="43">
        <v>45617</v>
      </c>
      <c r="AG4732" s="80"/>
      <c r="AH4732" s="80"/>
      <c r="AI4732" s="147"/>
      <c r="AJ4732" s="80"/>
      <c r="AK4732" s="80"/>
      <c r="AL4732" s="35"/>
      <c r="AM4732" s="35"/>
      <c r="AN4732" s="35"/>
      <c r="AO4732" s="35"/>
      <c r="AP4732" s="35"/>
    </row>
    <row r="4733" spans="1:42" x14ac:dyDescent="0.2">
      <c r="A4733" s="74">
        <v>45616</v>
      </c>
      <c r="B4733" s="137" t="s">
        <v>37</v>
      </c>
      <c r="C4733" s="41" t="s">
        <v>118</v>
      </c>
      <c r="D4733" s="80" t="s">
        <v>36</v>
      </c>
      <c r="E4733" s="80" t="s">
        <v>139</v>
      </c>
      <c r="F4733" s="80" t="s">
        <v>13254</v>
      </c>
      <c r="G4733" s="80" t="s">
        <v>108</v>
      </c>
      <c r="H4733" s="80" t="s">
        <v>14409</v>
      </c>
      <c r="I4733" s="17">
        <f ca="1">IFERROR(__xludf.DUMMYFUNCTION("""COMPUTED_VALUE"""),45624)</f>
        <v>45624</v>
      </c>
      <c r="J4733" s="143" t="s">
        <v>15753</v>
      </c>
      <c r="K4733" s="80" t="s">
        <v>16684</v>
      </c>
      <c r="L4733" s="30">
        <v>988469785</v>
      </c>
      <c r="M4733" s="80" t="s">
        <v>3498</v>
      </c>
      <c r="N4733" s="80" t="s">
        <v>4402</v>
      </c>
      <c r="O4733" s="80" t="s">
        <v>4503</v>
      </c>
      <c r="P4733" s="144" t="s">
        <v>16685</v>
      </c>
      <c r="Q4733" s="20">
        <v>15936</v>
      </c>
      <c r="R4733" s="80" t="s">
        <v>36</v>
      </c>
      <c r="S4733" s="95">
        <v>3000</v>
      </c>
      <c r="T4733" s="148">
        <v>45562</v>
      </c>
      <c r="U4733" s="95">
        <v>12936</v>
      </c>
      <c r="V4733" s="148">
        <v>45585</v>
      </c>
      <c r="W4733" s="80" t="s">
        <v>15756</v>
      </c>
      <c r="X4733" s="80"/>
      <c r="Y4733" s="22">
        <v>0</v>
      </c>
      <c r="Z4733" s="80" t="s">
        <v>50</v>
      </c>
      <c r="AA4733" s="96" t="s">
        <v>9905</v>
      </c>
      <c r="AB4733" s="80"/>
      <c r="AC4733" s="80" t="s">
        <v>53</v>
      </c>
      <c r="AD4733" s="80" t="s">
        <v>54</v>
      </c>
      <c r="AE4733" s="80" t="s">
        <v>13254</v>
      </c>
      <c r="AF4733" s="43">
        <v>45617</v>
      </c>
      <c r="AG4733" s="80"/>
      <c r="AH4733" s="80"/>
      <c r="AI4733" s="147"/>
      <c r="AJ4733" s="80"/>
      <c r="AK4733" s="80"/>
      <c r="AL4733" s="35"/>
      <c r="AM4733" s="35"/>
      <c r="AN4733" s="35"/>
      <c r="AO4733" s="35"/>
      <c r="AP4733" s="35"/>
    </row>
    <row r="4734" spans="1:42" x14ac:dyDescent="0.2">
      <c r="A4734" s="74">
        <v>45616</v>
      </c>
      <c r="B4734" s="137" t="s">
        <v>37</v>
      </c>
      <c r="C4734" s="41" t="s">
        <v>118</v>
      </c>
      <c r="D4734" s="26" t="s">
        <v>36</v>
      </c>
      <c r="E4734" s="26" t="s">
        <v>119</v>
      </c>
      <c r="F4734" s="26" t="s">
        <v>1242</v>
      </c>
      <c r="G4734" s="26" t="s">
        <v>221</v>
      </c>
      <c r="H4734" s="26" t="s">
        <v>11436</v>
      </c>
      <c r="I4734" s="17">
        <f ca="1">IFERROR(__xludf.DUMMYFUNCTION("""COMPUTED_VALUE"""),45624)</f>
        <v>45624</v>
      </c>
      <c r="J4734" s="29" t="s">
        <v>10556</v>
      </c>
      <c r="K4734" s="26" t="s">
        <v>16686</v>
      </c>
      <c r="L4734" s="30">
        <v>971214206</v>
      </c>
      <c r="M4734" s="26" t="s">
        <v>5429</v>
      </c>
      <c r="N4734" s="26" t="s">
        <v>9997</v>
      </c>
      <c r="O4734" s="26" t="s">
        <v>10558</v>
      </c>
      <c r="P4734" s="26" t="s">
        <v>10559</v>
      </c>
      <c r="Q4734" s="20">
        <v>13968</v>
      </c>
      <c r="R4734" s="26" t="s">
        <v>36</v>
      </c>
      <c r="S4734" s="95">
        <f>200+3800</f>
        <v>4000</v>
      </c>
      <c r="T4734" s="83" t="s">
        <v>10560</v>
      </c>
      <c r="U4734" s="95">
        <v>9968</v>
      </c>
      <c r="V4734" s="148">
        <v>45524</v>
      </c>
      <c r="W4734" s="33" t="s">
        <v>10561</v>
      </c>
      <c r="X4734" s="26">
        <v>0</v>
      </c>
      <c r="Y4734" s="22">
        <v>0</v>
      </c>
      <c r="Z4734" s="26" t="s">
        <v>50</v>
      </c>
      <c r="AA4734" s="35" t="s">
        <v>10314</v>
      </c>
      <c r="AB4734" s="26"/>
      <c r="AC4734" s="26" t="s">
        <v>53</v>
      </c>
      <c r="AD4734" s="26" t="s">
        <v>54</v>
      </c>
      <c r="AE4734" s="26" t="s">
        <v>1242</v>
      </c>
      <c r="AF4734" s="43">
        <v>45617</v>
      </c>
      <c r="AG4734" s="26"/>
      <c r="AH4734" s="26"/>
      <c r="AI4734" s="40"/>
      <c r="AJ4734" s="26"/>
      <c r="AK4734" s="26"/>
      <c r="AL4734" s="35"/>
      <c r="AM4734" s="35"/>
      <c r="AN4734" s="35"/>
      <c r="AO4734" s="35"/>
      <c r="AP4734" s="35"/>
    </row>
    <row r="4735" spans="1:42" x14ac:dyDescent="0.2">
      <c r="A4735" s="74">
        <v>45616</v>
      </c>
      <c r="B4735" s="137" t="s">
        <v>37</v>
      </c>
      <c r="C4735" s="41" t="s">
        <v>118</v>
      </c>
      <c r="D4735" s="26" t="s">
        <v>36</v>
      </c>
      <c r="E4735" s="26" t="s">
        <v>139</v>
      </c>
      <c r="F4735" s="26" t="s">
        <v>9856</v>
      </c>
      <c r="G4735" s="26" t="s">
        <v>221</v>
      </c>
      <c r="H4735" s="26" t="s">
        <v>16687</v>
      </c>
      <c r="I4735" s="17">
        <f ca="1">IFERROR(__xludf.DUMMYFUNCTION("""COMPUTED_VALUE"""),45637)</f>
        <v>45637</v>
      </c>
      <c r="J4735" s="29" t="s">
        <v>9857</v>
      </c>
      <c r="K4735" s="19" t="s">
        <v>16688</v>
      </c>
      <c r="L4735" s="30">
        <v>329835829</v>
      </c>
      <c r="M4735" s="26" t="s">
        <v>80</v>
      </c>
      <c r="N4735" s="26" t="s">
        <v>1073</v>
      </c>
      <c r="O4735" s="26" t="s">
        <v>9859</v>
      </c>
      <c r="P4735" s="42" t="s">
        <v>9860</v>
      </c>
      <c r="Q4735" s="20">
        <v>15936</v>
      </c>
      <c r="R4735" s="26" t="s">
        <v>36</v>
      </c>
      <c r="S4735" s="95">
        <f>200+1800</f>
        <v>2000</v>
      </c>
      <c r="T4735" s="83" t="s">
        <v>9861</v>
      </c>
      <c r="U4735" s="95">
        <v>13936</v>
      </c>
      <c r="V4735" s="148">
        <v>45515</v>
      </c>
      <c r="W4735" s="33" t="s">
        <v>9862</v>
      </c>
      <c r="X4735" s="26">
        <v>0</v>
      </c>
      <c r="Y4735" s="22">
        <v>0</v>
      </c>
      <c r="Z4735" s="26" t="s">
        <v>118</v>
      </c>
      <c r="AA4735" s="96"/>
      <c r="AB4735" s="80" t="s">
        <v>36</v>
      </c>
      <c r="AC4735" s="26" t="s">
        <v>53</v>
      </c>
      <c r="AD4735" s="26" t="s">
        <v>54</v>
      </c>
      <c r="AE4735" s="26" t="s">
        <v>9856</v>
      </c>
      <c r="AF4735" s="43">
        <v>45617</v>
      </c>
      <c r="AG4735" s="26"/>
      <c r="AH4735" s="26"/>
      <c r="AI4735" s="40"/>
      <c r="AJ4735" s="26"/>
      <c r="AK4735" s="26"/>
      <c r="AL4735" s="35"/>
      <c r="AM4735" s="35"/>
      <c r="AN4735" s="35"/>
      <c r="AO4735" s="35"/>
      <c r="AP4735" s="35"/>
    </row>
    <row r="4736" spans="1:42" x14ac:dyDescent="0.2">
      <c r="A4736" s="74">
        <v>45616</v>
      </c>
      <c r="B4736" s="137" t="s">
        <v>37</v>
      </c>
      <c r="C4736" s="41" t="s">
        <v>118</v>
      </c>
      <c r="D4736" s="26" t="s">
        <v>36</v>
      </c>
      <c r="E4736" s="26" t="s">
        <v>56</v>
      </c>
      <c r="F4736" s="26" t="s">
        <v>9502</v>
      </c>
      <c r="G4736" s="26" t="s">
        <v>108</v>
      </c>
      <c r="H4736" s="26" t="s">
        <v>16651</v>
      </c>
      <c r="I4736" s="17">
        <f ca="1">IFERROR(__xludf.DUMMYFUNCTION("""COMPUTED_VALUE"""),45628)</f>
        <v>45628</v>
      </c>
      <c r="J4736" s="29" t="s">
        <v>10759</v>
      </c>
      <c r="K4736" s="26" t="s">
        <v>10760</v>
      </c>
      <c r="L4736" s="30">
        <v>392221051</v>
      </c>
      <c r="M4736" s="26" t="s">
        <v>59</v>
      </c>
      <c r="N4736" s="26" t="s">
        <v>68</v>
      </c>
      <c r="O4736" s="26" t="s">
        <v>10761</v>
      </c>
      <c r="P4736" s="42" t="s">
        <v>16689</v>
      </c>
      <c r="Q4736" s="20">
        <v>9317</v>
      </c>
      <c r="R4736" s="26" t="s">
        <v>36</v>
      </c>
      <c r="S4736" s="95">
        <f>8000+1317</f>
        <v>9317</v>
      </c>
      <c r="T4736" s="83" t="s">
        <v>10763</v>
      </c>
      <c r="U4736" s="95"/>
      <c r="V4736" s="148"/>
      <c r="W4736" s="33" t="s">
        <v>10764</v>
      </c>
      <c r="X4736" s="26">
        <v>0</v>
      </c>
      <c r="Y4736" s="22">
        <v>0</v>
      </c>
      <c r="Z4736" s="26" t="s">
        <v>50</v>
      </c>
      <c r="AA4736" s="35" t="s">
        <v>10314</v>
      </c>
      <c r="AB4736" s="26"/>
      <c r="AC4736" s="26" t="s">
        <v>53</v>
      </c>
      <c r="AD4736" s="26" t="s">
        <v>54</v>
      </c>
      <c r="AE4736" s="26" t="s">
        <v>9502</v>
      </c>
      <c r="AF4736" s="17">
        <v>45622</v>
      </c>
      <c r="AG4736" s="26"/>
      <c r="AH4736" s="26"/>
      <c r="AI4736" s="40"/>
      <c r="AJ4736" s="26"/>
      <c r="AK4736" s="26"/>
      <c r="AL4736" s="35"/>
      <c r="AM4736" s="35"/>
      <c r="AN4736" s="35"/>
      <c r="AO4736" s="35"/>
      <c r="AP4736" s="35"/>
    </row>
    <row r="4737" spans="1:42" x14ac:dyDescent="0.2">
      <c r="A4737" s="74">
        <v>45616</v>
      </c>
      <c r="B4737" s="137" t="s">
        <v>37</v>
      </c>
      <c r="C4737" s="41" t="s">
        <v>118</v>
      </c>
      <c r="D4737" s="80" t="s">
        <v>36</v>
      </c>
      <c r="E4737" s="80" t="s">
        <v>39</v>
      </c>
      <c r="F4737" s="80" t="s">
        <v>13239</v>
      </c>
      <c r="G4737" s="26" t="s">
        <v>108</v>
      </c>
      <c r="H4737" s="26" t="s">
        <v>13782</v>
      </c>
      <c r="I4737" s="17">
        <f ca="1">IFERROR(__xludf.DUMMYFUNCTION("""COMPUTED_VALUE"""),45623)</f>
        <v>45623</v>
      </c>
      <c r="J4737" s="143" t="s">
        <v>15328</v>
      </c>
      <c r="K4737" s="80" t="s">
        <v>15329</v>
      </c>
      <c r="L4737" s="30">
        <v>865684071</v>
      </c>
      <c r="M4737" s="80" t="s">
        <v>2755</v>
      </c>
      <c r="N4737" s="80" t="s">
        <v>4402</v>
      </c>
      <c r="O4737" s="80" t="s">
        <v>4503</v>
      </c>
      <c r="P4737" s="80" t="s">
        <v>15330</v>
      </c>
      <c r="Q4737" s="20">
        <v>5736</v>
      </c>
      <c r="R4737" s="80" t="s">
        <v>70</v>
      </c>
      <c r="S4737" s="95">
        <v>2500</v>
      </c>
      <c r="T4737" s="148">
        <v>45552</v>
      </c>
      <c r="U4737" s="95">
        <v>3136</v>
      </c>
      <c r="V4737" s="169">
        <v>45591</v>
      </c>
      <c r="W4737" s="85" t="s">
        <v>15331</v>
      </c>
      <c r="X4737" s="80"/>
      <c r="Y4737" s="22">
        <v>100</v>
      </c>
      <c r="Z4737" s="80" t="s">
        <v>50</v>
      </c>
      <c r="AA4737" s="96" t="s">
        <v>9905</v>
      </c>
      <c r="AB4737" s="80"/>
      <c r="AC4737" s="80" t="s">
        <v>53</v>
      </c>
      <c r="AD4737" s="80" t="s">
        <v>54</v>
      </c>
      <c r="AE4737" s="80" t="s">
        <v>13239</v>
      </c>
      <c r="AF4737" s="43">
        <v>45616</v>
      </c>
      <c r="AG4737" s="80"/>
      <c r="AH4737" s="80"/>
      <c r="AI4737" s="147"/>
      <c r="AJ4737" s="80"/>
      <c r="AK4737" s="80"/>
      <c r="AL4737" s="35"/>
      <c r="AM4737" s="35"/>
      <c r="AN4737" s="35"/>
      <c r="AO4737" s="35"/>
      <c r="AP4737" s="35"/>
    </row>
    <row r="4738" spans="1:42" x14ac:dyDescent="0.2">
      <c r="A4738" s="74">
        <v>45616</v>
      </c>
      <c r="B4738" s="137" t="s">
        <v>37</v>
      </c>
      <c r="C4738" s="41" t="s">
        <v>118</v>
      </c>
      <c r="D4738" s="26" t="s">
        <v>36</v>
      </c>
      <c r="E4738" s="26" t="s">
        <v>119</v>
      </c>
      <c r="F4738" s="26" t="s">
        <v>8691</v>
      </c>
      <c r="G4738" s="26" t="s">
        <v>221</v>
      </c>
      <c r="H4738" s="26" t="s">
        <v>8972</v>
      </c>
      <c r="I4738" s="17">
        <f ca="1">IFERROR(__xludf.DUMMYFUNCTION("""COMPUTED_VALUE"""),45625)</f>
        <v>45625</v>
      </c>
      <c r="J4738" s="29" t="s">
        <v>10629</v>
      </c>
      <c r="K4738" s="26" t="s">
        <v>16690</v>
      </c>
      <c r="L4738" s="30">
        <v>961014819</v>
      </c>
      <c r="M4738" s="26" t="s">
        <v>80</v>
      </c>
      <c r="N4738" s="26" t="s">
        <v>466</v>
      </c>
      <c r="O4738" s="26" t="s">
        <v>10631</v>
      </c>
      <c r="P4738" s="42" t="s">
        <v>16691</v>
      </c>
      <c r="Q4738" s="20">
        <v>13968</v>
      </c>
      <c r="R4738" s="26" t="s">
        <v>36</v>
      </c>
      <c r="S4738" s="95">
        <v>3800</v>
      </c>
      <c r="T4738" s="148">
        <v>45482</v>
      </c>
      <c r="U4738" s="95">
        <v>10168</v>
      </c>
      <c r="V4738" s="148">
        <v>45523</v>
      </c>
      <c r="W4738" s="33" t="s">
        <v>10633</v>
      </c>
      <c r="X4738" s="26">
        <v>0</v>
      </c>
      <c r="Y4738" s="22">
        <v>0</v>
      </c>
      <c r="Z4738" s="26" t="s">
        <v>50</v>
      </c>
      <c r="AA4738" s="35" t="s">
        <v>10314</v>
      </c>
      <c r="AB4738" s="26"/>
      <c r="AC4738" s="26" t="s">
        <v>53</v>
      </c>
      <c r="AD4738" s="26" t="s">
        <v>54</v>
      </c>
      <c r="AE4738" s="26" t="s">
        <v>8691</v>
      </c>
      <c r="AF4738" s="43">
        <v>45617</v>
      </c>
      <c r="AG4738" s="26"/>
      <c r="AH4738" s="26"/>
      <c r="AI4738" s="40"/>
      <c r="AJ4738" s="26"/>
      <c r="AK4738" s="26"/>
      <c r="AL4738" s="35"/>
      <c r="AM4738" s="35"/>
      <c r="AN4738" s="35"/>
      <c r="AO4738" s="35"/>
      <c r="AP4738" s="35"/>
    </row>
    <row r="4739" spans="1:42" x14ac:dyDescent="0.2">
      <c r="A4739" s="74">
        <v>45616</v>
      </c>
      <c r="B4739" s="137" t="s">
        <v>37</v>
      </c>
      <c r="C4739" s="41" t="s">
        <v>118</v>
      </c>
      <c r="D4739" s="80" t="s">
        <v>36</v>
      </c>
      <c r="E4739" s="80" t="s">
        <v>56</v>
      </c>
      <c r="F4739" s="80" t="s">
        <v>11497</v>
      </c>
      <c r="G4739" s="26" t="s">
        <v>108</v>
      </c>
      <c r="H4739" s="26" t="s">
        <v>16651</v>
      </c>
      <c r="I4739" s="17">
        <f ca="1">IFERROR(__xludf.DUMMYFUNCTION("""COMPUTED_VALUE"""),45628)</f>
        <v>45628</v>
      </c>
      <c r="J4739" s="143" t="s">
        <v>11625</v>
      </c>
      <c r="K4739" s="80" t="s">
        <v>15498</v>
      </c>
      <c r="L4739" s="30">
        <v>917615842</v>
      </c>
      <c r="M4739" s="80" t="s">
        <v>59</v>
      </c>
      <c r="N4739" s="80" t="s">
        <v>4299</v>
      </c>
      <c r="O4739" s="80" t="s">
        <v>11627</v>
      </c>
      <c r="P4739" s="80" t="s">
        <v>11628</v>
      </c>
      <c r="Q4739" s="20">
        <v>9317</v>
      </c>
      <c r="R4739" s="80" t="s">
        <v>36</v>
      </c>
      <c r="S4739" s="95">
        <v>9317</v>
      </c>
      <c r="T4739" s="148">
        <v>45528</v>
      </c>
      <c r="U4739" s="95"/>
      <c r="V4739" s="148"/>
      <c r="W4739" s="80" t="s">
        <v>11629</v>
      </c>
      <c r="X4739" s="26">
        <v>0</v>
      </c>
      <c r="Y4739" s="22">
        <v>0</v>
      </c>
      <c r="Z4739" s="26" t="s">
        <v>50</v>
      </c>
      <c r="AA4739" s="96" t="s">
        <v>10314</v>
      </c>
      <c r="AB4739" s="26"/>
      <c r="AC4739" s="80" t="s">
        <v>53</v>
      </c>
      <c r="AD4739" s="80" t="s">
        <v>54</v>
      </c>
      <c r="AE4739" s="80" t="s">
        <v>11497</v>
      </c>
      <c r="AF4739" s="17">
        <v>45622</v>
      </c>
      <c r="AG4739" s="26"/>
      <c r="AH4739" s="26"/>
      <c r="AI4739" s="40"/>
      <c r="AJ4739" s="26"/>
      <c r="AK4739" s="26"/>
      <c r="AL4739" s="35"/>
      <c r="AM4739" s="35"/>
      <c r="AN4739" s="35"/>
      <c r="AO4739" s="35"/>
      <c r="AP4739" s="35"/>
    </row>
    <row r="4740" spans="1:42" x14ac:dyDescent="0.2">
      <c r="A4740" s="74">
        <v>45616</v>
      </c>
      <c r="B4740" s="137" t="s">
        <v>37</v>
      </c>
      <c r="C4740" s="41" t="s">
        <v>118</v>
      </c>
      <c r="D4740" s="26" t="s">
        <v>36</v>
      </c>
      <c r="E4740" s="26" t="s">
        <v>139</v>
      </c>
      <c r="F4740" s="26" t="s">
        <v>9419</v>
      </c>
      <c r="G4740" s="26" t="s">
        <v>108</v>
      </c>
      <c r="H4740" s="26" t="s">
        <v>16692</v>
      </c>
      <c r="I4740" s="17">
        <f ca="1">IFERROR(__xludf.DUMMYFUNCTION("""COMPUTED_VALUE"""),45757)</f>
        <v>45757</v>
      </c>
      <c r="J4740" s="29" t="s">
        <v>10667</v>
      </c>
      <c r="K4740" s="26" t="s">
        <v>16693</v>
      </c>
      <c r="L4740" s="30">
        <v>396381097</v>
      </c>
      <c r="M4740" s="26" t="s">
        <v>80</v>
      </c>
      <c r="N4740" s="26" t="s">
        <v>466</v>
      </c>
      <c r="O4740" s="26" t="s">
        <v>10669</v>
      </c>
      <c r="P4740" s="42" t="s">
        <v>16694</v>
      </c>
      <c r="Q4740" s="20">
        <v>15936</v>
      </c>
      <c r="R4740" s="26" t="s">
        <v>36</v>
      </c>
      <c r="S4740" s="95">
        <f>200+1800</f>
        <v>2000</v>
      </c>
      <c r="T4740" s="148">
        <v>45484</v>
      </c>
      <c r="U4740" s="95">
        <v>13968</v>
      </c>
      <c r="V4740" s="148">
        <v>45532</v>
      </c>
      <c r="W4740" s="33" t="s">
        <v>10671</v>
      </c>
      <c r="X4740" s="26">
        <v>0</v>
      </c>
      <c r="Y4740" s="22">
        <v>-32</v>
      </c>
      <c r="Z4740" s="26" t="s">
        <v>50</v>
      </c>
      <c r="AA4740" s="35" t="s">
        <v>10314</v>
      </c>
      <c r="AB4740" s="26"/>
      <c r="AC4740" s="26" t="s">
        <v>53</v>
      </c>
      <c r="AD4740" s="26" t="s">
        <v>54</v>
      </c>
      <c r="AE4740" s="26" t="s">
        <v>9419</v>
      </c>
      <c r="AF4740" s="43">
        <v>45616</v>
      </c>
      <c r="AG4740" s="26"/>
      <c r="AH4740" s="26"/>
      <c r="AI4740" s="40"/>
      <c r="AJ4740" s="26"/>
      <c r="AK4740" s="26"/>
      <c r="AL4740" s="35"/>
      <c r="AM4740" s="35"/>
      <c r="AN4740" s="35"/>
      <c r="AO4740" s="35"/>
      <c r="AP4740" s="35"/>
    </row>
    <row r="4741" spans="1:42" x14ac:dyDescent="0.2">
      <c r="A4741" s="74">
        <v>45616</v>
      </c>
      <c r="B4741" s="137" t="s">
        <v>37</v>
      </c>
      <c r="C4741" s="41" t="s">
        <v>118</v>
      </c>
      <c r="D4741" s="80" t="s">
        <v>36</v>
      </c>
      <c r="E4741" s="80" t="s">
        <v>139</v>
      </c>
      <c r="F4741" s="80" t="s">
        <v>13254</v>
      </c>
      <c r="G4741" s="26" t="s">
        <v>108</v>
      </c>
      <c r="H4741" s="26" t="s">
        <v>16695</v>
      </c>
      <c r="I4741" s="17">
        <f ca="1">IFERROR(__xludf.DUMMYFUNCTION("""COMPUTED_VALUE"""),45782)</f>
        <v>45782</v>
      </c>
      <c r="J4741" s="143" t="s">
        <v>15778</v>
      </c>
      <c r="K4741" s="80" t="s">
        <v>16696</v>
      </c>
      <c r="L4741" s="30">
        <v>962058223</v>
      </c>
      <c r="M4741" s="80" t="s">
        <v>3498</v>
      </c>
      <c r="N4741" s="80" t="s">
        <v>2756</v>
      </c>
      <c r="O4741" s="80" t="s">
        <v>4503</v>
      </c>
      <c r="P4741" s="144" t="s">
        <v>16697</v>
      </c>
      <c r="Q4741" s="20">
        <v>15936</v>
      </c>
      <c r="R4741" s="80" t="s">
        <v>70</v>
      </c>
      <c r="S4741" s="95">
        <v>3000</v>
      </c>
      <c r="T4741" s="148">
        <v>45562</v>
      </c>
      <c r="U4741" s="95">
        <v>12836</v>
      </c>
      <c r="V4741" s="169">
        <v>45591</v>
      </c>
      <c r="W4741" s="85" t="s">
        <v>15781</v>
      </c>
      <c r="X4741" s="80"/>
      <c r="Y4741" s="22">
        <v>100</v>
      </c>
      <c r="Z4741" s="80" t="s">
        <v>50</v>
      </c>
      <c r="AA4741" s="96" t="s">
        <v>9905</v>
      </c>
      <c r="AB4741" s="80"/>
      <c r="AC4741" s="80" t="s">
        <v>53</v>
      </c>
      <c r="AD4741" s="80" t="s">
        <v>54</v>
      </c>
      <c r="AE4741" s="80" t="s">
        <v>13254</v>
      </c>
      <c r="AF4741" s="43">
        <v>45616</v>
      </c>
      <c r="AG4741" s="80" t="s">
        <v>8366</v>
      </c>
      <c r="AH4741" s="80"/>
      <c r="AI4741" s="147"/>
      <c r="AJ4741" s="80"/>
      <c r="AK4741" s="80"/>
      <c r="AL4741" s="35"/>
      <c r="AM4741" s="35"/>
      <c r="AN4741" s="35"/>
      <c r="AO4741" s="35"/>
      <c r="AP4741" s="35"/>
    </row>
    <row r="4742" spans="1:42" x14ac:dyDescent="0.2">
      <c r="A4742" s="74">
        <v>45616</v>
      </c>
      <c r="B4742" s="137" t="s">
        <v>37</v>
      </c>
      <c r="C4742" s="41" t="s">
        <v>118</v>
      </c>
      <c r="D4742" s="80" t="s">
        <v>36</v>
      </c>
      <c r="E4742" s="80" t="s">
        <v>139</v>
      </c>
      <c r="F4742" s="80" t="s">
        <v>13254</v>
      </c>
      <c r="G4742" s="26" t="s">
        <v>108</v>
      </c>
      <c r="H4742" s="26" t="s">
        <v>16695</v>
      </c>
      <c r="I4742" s="17">
        <f ca="1">IFERROR(__xludf.DUMMYFUNCTION("""COMPUTED_VALUE"""),45782)</f>
        <v>45782</v>
      </c>
      <c r="J4742" s="143" t="s">
        <v>15747</v>
      </c>
      <c r="K4742" s="80" t="s">
        <v>16698</v>
      </c>
      <c r="L4742" s="30">
        <v>834646077</v>
      </c>
      <c r="M4742" s="80" t="s">
        <v>12529</v>
      </c>
      <c r="N4742" s="80" t="s">
        <v>466</v>
      </c>
      <c r="O4742" s="80" t="s">
        <v>15749</v>
      </c>
      <c r="P4742" s="144" t="s">
        <v>16699</v>
      </c>
      <c r="Q4742" s="20">
        <v>15936</v>
      </c>
      <c r="R4742" s="80" t="s">
        <v>36</v>
      </c>
      <c r="S4742" s="95">
        <f>200+1800</f>
        <v>2000</v>
      </c>
      <c r="T4742" s="83" t="s">
        <v>15751</v>
      </c>
      <c r="U4742" s="95">
        <v>13936</v>
      </c>
      <c r="V4742" s="169">
        <v>45594</v>
      </c>
      <c r="W4742" s="85" t="s">
        <v>15752</v>
      </c>
      <c r="X4742" s="80"/>
      <c r="Y4742" s="22">
        <v>0</v>
      </c>
      <c r="Z4742" s="80" t="s">
        <v>50</v>
      </c>
      <c r="AA4742" s="35" t="s">
        <v>9905</v>
      </c>
      <c r="AB4742" s="80"/>
      <c r="AC4742" s="80" t="s">
        <v>53</v>
      </c>
      <c r="AD4742" s="80" t="s">
        <v>54</v>
      </c>
      <c r="AE4742" s="80" t="s">
        <v>13254</v>
      </c>
      <c r="AF4742" s="43">
        <v>45616</v>
      </c>
      <c r="AG4742" s="80" t="s">
        <v>8366</v>
      </c>
      <c r="AH4742" s="80"/>
      <c r="AI4742" s="147"/>
      <c r="AJ4742" s="80"/>
      <c r="AK4742" s="80"/>
      <c r="AL4742" s="35"/>
      <c r="AM4742" s="35"/>
      <c r="AN4742" s="35"/>
      <c r="AO4742" s="35"/>
      <c r="AP4742" s="35"/>
    </row>
    <row r="4743" spans="1:42" x14ac:dyDescent="0.2">
      <c r="A4743" s="74">
        <v>45616</v>
      </c>
      <c r="B4743" s="28" t="s">
        <v>37</v>
      </c>
      <c r="C4743" s="41" t="s">
        <v>118</v>
      </c>
      <c r="D4743" s="26" t="s">
        <v>36</v>
      </c>
      <c r="E4743" s="26" t="s">
        <v>119</v>
      </c>
      <c r="F4743" s="26" t="s">
        <v>8662</v>
      </c>
      <c r="G4743" s="26" t="s">
        <v>221</v>
      </c>
      <c r="H4743" s="26" t="s">
        <v>13748</v>
      </c>
      <c r="I4743" s="17">
        <f ca="1">IFERROR(__xludf.DUMMYFUNCTION("""COMPUTED_VALUE"""),45636)</f>
        <v>45636</v>
      </c>
      <c r="J4743" s="29" t="s">
        <v>9400</v>
      </c>
      <c r="K4743" s="26" t="s">
        <v>16700</v>
      </c>
      <c r="L4743" s="30">
        <v>972670258</v>
      </c>
      <c r="M4743" s="26" t="s">
        <v>80</v>
      </c>
      <c r="N4743" s="26" t="s">
        <v>466</v>
      </c>
      <c r="O4743" s="26" t="s">
        <v>9402</v>
      </c>
      <c r="P4743" s="42" t="s">
        <v>16701</v>
      </c>
      <c r="Q4743" s="20"/>
      <c r="R4743" s="26" t="s">
        <v>36</v>
      </c>
      <c r="S4743" s="95">
        <v>3800</v>
      </c>
      <c r="T4743" s="148">
        <v>45481</v>
      </c>
      <c r="U4743" s="95">
        <v>10168</v>
      </c>
      <c r="V4743" s="148">
        <v>45500</v>
      </c>
      <c r="W4743" s="33" t="s">
        <v>9404</v>
      </c>
      <c r="X4743" s="26"/>
      <c r="Y4743" s="22">
        <v>0</v>
      </c>
      <c r="Z4743" s="26" t="s">
        <v>50</v>
      </c>
      <c r="AA4743" s="70" t="s">
        <v>9070</v>
      </c>
      <c r="AB4743" s="26"/>
      <c r="AC4743" s="26" t="s">
        <v>53</v>
      </c>
      <c r="AD4743" s="26" t="s">
        <v>54</v>
      </c>
      <c r="AE4743" s="26" t="s">
        <v>8662</v>
      </c>
      <c r="AF4743" s="43">
        <v>45617</v>
      </c>
      <c r="AG4743" s="26"/>
      <c r="AH4743" s="26"/>
      <c r="AI4743" s="40"/>
      <c r="AJ4743" s="26"/>
      <c r="AK4743" s="26"/>
      <c r="AL4743" s="35"/>
      <c r="AM4743" s="35"/>
      <c r="AN4743" s="35"/>
      <c r="AO4743" s="35"/>
      <c r="AP4743" s="35"/>
    </row>
    <row r="4744" spans="1:42" x14ac:dyDescent="0.2">
      <c r="A4744" s="74">
        <v>45616</v>
      </c>
      <c r="B4744" s="137" t="s">
        <v>37</v>
      </c>
      <c r="C4744" s="41" t="s">
        <v>118</v>
      </c>
      <c r="D4744" s="26" t="s">
        <v>36</v>
      </c>
      <c r="E4744" s="26" t="s">
        <v>119</v>
      </c>
      <c r="F4744" s="26" t="s">
        <v>8867</v>
      </c>
      <c r="G4744" s="26" t="s">
        <v>221</v>
      </c>
      <c r="H4744" s="26" t="s">
        <v>11436</v>
      </c>
      <c r="I4744" s="17">
        <f ca="1">IFERROR(__xludf.DUMMYFUNCTION("""COMPUTED_VALUE"""),45624)</f>
        <v>45624</v>
      </c>
      <c r="J4744" s="44" t="s">
        <v>10872</v>
      </c>
      <c r="K4744" s="26" t="s">
        <v>16702</v>
      </c>
      <c r="L4744" s="30">
        <v>911948513</v>
      </c>
      <c r="M4744" s="26" t="s">
        <v>5518</v>
      </c>
      <c r="N4744" s="26" t="s">
        <v>253</v>
      </c>
      <c r="O4744" s="26" t="s">
        <v>10874</v>
      </c>
      <c r="P4744" s="42" t="s">
        <v>16703</v>
      </c>
      <c r="Q4744" s="20">
        <v>13968</v>
      </c>
      <c r="R4744" s="26" t="s">
        <v>36</v>
      </c>
      <c r="S4744" s="95">
        <v>4000</v>
      </c>
      <c r="T4744" s="148">
        <v>45492</v>
      </c>
      <c r="U4744" s="95">
        <v>9968</v>
      </c>
      <c r="V4744" s="148">
        <v>45511</v>
      </c>
      <c r="W4744" s="33" t="s">
        <v>10876</v>
      </c>
      <c r="X4744" s="26">
        <v>0</v>
      </c>
      <c r="Y4744" s="22">
        <v>0</v>
      </c>
      <c r="Z4744" s="26" t="s">
        <v>50</v>
      </c>
      <c r="AA4744" s="35" t="s">
        <v>10314</v>
      </c>
      <c r="AB4744" s="26"/>
      <c r="AC4744" s="26" t="s">
        <v>53</v>
      </c>
      <c r="AD4744" s="26" t="s">
        <v>54</v>
      </c>
      <c r="AE4744" s="26" t="s">
        <v>8867</v>
      </c>
      <c r="AF4744" s="43">
        <v>45617</v>
      </c>
      <c r="AG4744" s="26"/>
      <c r="AH4744" s="26"/>
      <c r="AI4744" s="40"/>
      <c r="AJ4744" s="26"/>
      <c r="AK4744" s="26"/>
      <c r="AL4744" s="35"/>
      <c r="AM4744" s="35"/>
      <c r="AN4744" s="35"/>
      <c r="AO4744" s="35"/>
      <c r="AP4744" s="35"/>
    </row>
    <row r="4745" spans="1:42" x14ac:dyDescent="0.2">
      <c r="A4745" s="74">
        <v>45617</v>
      </c>
      <c r="B4745" s="137" t="s">
        <v>37</v>
      </c>
      <c r="C4745" s="41" t="s">
        <v>118</v>
      </c>
      <c r="D4745" s="26" t="s">
        <v>36</v>
      </c>
      <c r="E4745" s="80" t="s">
        <v>56</v>
      </c>
      <c r="F4745" s="80" t="s">
        <v>16704</v>
      </c>
      <c r="G4745" s="80" t="s">
        <v>41</v>
      </c>
      <c r="H4745" s="80" t="s">
        <v>16705</v>
      </c>
      <c r="I4745" s="17">
        <f ca="1">IFERROR(__xludf.DUMMYFUNCTION("""COMPUTED_VALUE"""),45621)</f>
        <v>45621</v>
      </c>
      <c r="J4745" s="143" t="s">
        <v>16706</v>
      </c>
      <c r="K4745" s="80" t="s">
        <v>16707</v>
      </c>
      <c r="L4745" s="30">
        <v>335248153</v>
      </c>
      <c r="M4745" s="80" t="s">
        <v>80</v>
      </c>
      <c r="N4745" s="80" t="s">
        <v>186</v>
      </c>
      <c r="O4745" s="80"/>
      <c r="P4745" s="144" t="s">
        <v>16708</v>
      </c>
      <c r="Q4745" s="20"/>
      <c r="R4745" s="26" t="s">
        <v>36</v>
      </c>
      <c r="S4745" s="77">
        <v>16779</v>
      </c>
      <c r="T4745" s="78">
        <v>44872</v>
      </c>
      <c r="U4745" s="95"/>
      <c r="V4745" s="148"/>
      <c r="W4745" s="55" t="s">
        <v>16709</v>
      </c>
      <c r="X4745" s="80"/>
      <c r="Y4745" s="22">
        <v>0</v>
      </c>
      <c r="Z4745" s="80" t="s">
        <v>118</v>
      </c>
      <c r="AA4745" s="96"/>
      <c r="AB4745" s="80"/>
      <c r="AC4745" s="26" t="s">
        <v>53</v>
      </c>
      <c r="AD4745" s="26" t="s">
        <v>54</v>
      </c>
      <c r="AE4745" s="80"/>
      <c r="AF4745" s="43">
        <v>45617</v>
      </c>
      <c r="AG4745" s="80"/>
      <c r="AH4745" s="80"/>
      <c r="AI4745" s="147"/>
      <c r="AJ4745" s="80"/>
      <c r="AK4745" s="80"/>
      <c r="AL4745" s="35"/>
      <c r="AM4745" s="35"/>
      <c r="AN4745" s="35"/>
      <c r="AO4745" s="35"/>
      <c r="AP4745" s="35"/>
    </row>
    <row r="4746" spans="1:42" x14ac:dyDescent="0.2">
      <c r="A4746" s="74">
        <v>45617</v>
      </c>
      <c r="B4746" s="137" t="s">
        <v>37</v>
      </c>
      <c r="C4746" s="41" t="s">
        <v>118</v>
      </c>
      <c r="D4746" s="80" t="s">
        <v>36</v>
      </c>
      <c r="E4746" s="80" t="s">
        <v>139</v>
      </c>
      <c r="F4746" s="80" t="s">
        <v>11845</v>
      </c>
      <c r="G4746" s="80" t="s">
        <v>108</v>
      </c>
      <c r="H4746" s="80" t="s">
        <v>14210</v>
      </c>
      <c r="I4746" s="17">
        <f ca="1">IFERROR(__xludf.DUMMYFUNCTION("""COMPUTED_VALUE"""),45622)</f>
        <v>45622</v>
      </c>
      <c r="J4746" s="143" t="s">
        <v>13196</v>
      </c>
      <c r="K4746" s="80" t="s">
        <v>13197</v>
      </c>
      <c r="L4746" s="30">
        <v>968208165</v>
      </c>
      <c r="M4746" s="80" t="s">
        <v>5429</v>
      </c>
      <c r="N4746" s="80" t="s">
        <v>1594</v>
      </c>
      <c r="O4746" s="80" t="s">
        <v>4626</v>
      </c>
      <c r="P4746" s="144" t="s">
        <v>16710</v>
      </c>
      <c r="Q4746" s="20">
        <v>15936</v>
      </c>
      <c r="R4746" s="80" t="s">
        <v>70</v>
      </c>
      <c r="S4746" s="95">
        <v>12000</v>
      </c>
      <c r="T4746" s="148">
        <v>45551</v>
      </c>
      <c r="U4746" s="95">
        <v>3836</v>
      </c>
      <c r="V4746" s="148">
        <v>45551</v>
      </c>
      <c r="W4746" s="85" t="s">
        <v>13198</v>
      </c>
      <c r="X4746" s="80">
        <v>100</v>
      </c>
      <c r="Y4746" s="22">
        <v>0</v>
      </c>
      <c r="Z4746" s="80" t="s">
        <v>50</v>
      </c>
      <c r="AA4746" s="35" t="s">
        <v>3291</v>
      </c>
      <c r="AB4746" s="80"/>
      <c r="AC4746" s="80" t="s">
        <v>53</v>
      </c>
      <c r="AD4746" s="80" t="s">
        <v>138</v>
      </c>
      <c r="AE4746" s="80" t="s">
        <v>11845</v>
      </c>
      <c r="AF4746" s="43">
        <v>45617</v>
      </c>
      <c r="AG4746" s="80"/>
      <c r="AH4746" s="80"/>
      <c r="AI4746" s="147" t="s">
        <v>147</v>
      </c>
      <c r="AJ4746" s="80"/>
      <c r="AK4746" s="80"/>
      <c r="AL4746" s="35"/>
      <c r="AM4746" s="35"/>
      <c r="AN4746" s="35"/>
      <c r="AO4746" s="35"/>
      <c r="AP4746" s="35"/>
    </row>
    <row r="4747" spans="1:42" x14ac:dyDescent="0.2">
      <c r="A4747" s="74">
        <v>45617</v>
      </c>
      <c r="B4747" s="137" t="s">
        <v>37</v>
      </c>
      <c r="C4747" s="41" t="s">
        <v>118</v>
      </c>
      <c r="D4747" s="80" t="s">
        <v>36</v>
      </c>
      <c r="E4747" s="80" t="s">
        <v>139</v>
      </c>
      <c r="F4747" s="80" t="s">
        <v>13121</v>
      </c>
      <c r="G4747" s="80" t="s">
        <v>108</v>
      </c>
      <c r="H4747" s="80" t="s">
        <v>14082</v>
      </c>
      <c r="I4747" s="17">
        <f ca="1">IFERROR(__xludf.DUMMYFUNCTION("""COMPUTED_VALUE"""),45621)</f>
        <v>45621</v>
      </c>
      <c r="J4747" s="143" t="s">
        <v>15342</v>
      </c>
      <c r="K4747" s="80" t="s">
        <v>15343</v>
      </c>
      <c r="L4747" s="30">
        <v>342920313</v>
      </c>
      <c r="M4747" s="80" t="s">
        <v>5558</v>
      </c>
      <c r="N4747" s="80" t="s">
        <v>850</v>
      </c>
      <c r="O4747" s="80" t="s">
        <v>4503</v>
      </c>
      <c r="P4747" s="80" t="s">
        <v>5794</v>
      </c>
      <c r="Q4747" s="20">
        <v>15936</v>
      </c>
      <c r="R4747" s="80" t="s">
        <v>70</v>
      </c>
      <c r="S4747" s="95">
        <f>100+1900</f>
        <v>2000</v>
      </c>
      <c r="T4747" s="83" t="s">
        <v>15340</v>
      </c>
      <c r="U4747" s="95">
        <v>13836</v>
      </c>
      <c r="V4747" s="148">
        <v>45593</v>
      </c>
      <c r="W4747" s="80" t="s">
        <v>15344</v>
      </c>
      <c r="X4747" s="80"/>
      <c r="Y4747" s="22">
        <v>100</v>
      </c>
      <c r="Z4747" s="80" t="s">
        <v>50</v>
      </c>
      <c r="AA4747" s="96" t="s">
        <v>9905</v>
      </c>
      <c r="AB4747" s="80"/>
      <c r="AC4747" s="80" t="s">
        <v>53</v>
      </c>
      <c r="AD4747" s="80" t="s">
        <v>138</v>
      </c>
      <c r="AE4747" s="80" t="s">
        <v>13121</v>
      </c>
      <c r="AF4747" s="43">
        <v>45621</v>
      </c>
      <c r="AG4747" s="80"/>
      <c r="AH4747" s="80"/>
      <c r="AI4747" s="147"/>
      <c r="AJ4747" s="80"/>
      <c r="AK4747" s="80"/>
      <c r="AL4747" s="35"/>
      <c r="AM4747" s="35"/>
      <c r="AN4747" s="35"/>
      <c r="AO4747" s="35"/>
      <c r="AP4747" s="35"/>
    </row>
    <row r="4748" spans="1:42" x14ac:dyDescent="0.2">
      <c r="A4748" s="74">
        <v>45617</v>
      </c>
      <c r="B4748" s="137" t="s">
        <v>37</v>
      </c>
      <c r="C4748" s="41" t="s">
        <v>118</v>
      </c>
      <c r="D4748" s="80" t="s">
        <v>36</v>
      </c>
      <c r="E4748" s="80" t="s">
        <v>139</v>
      </c>
      <c r="F4748" s="80" t="s">
        <v>13121</v>
      </c>
      <c r="G4748" s="80" t="s">
        <v>108</v>
      </c>
      <c r="H4748" s="80" t="s">
        <v>14082</v>
      </c>
      <c r="I4748" s="17">
        <f ca="1">IFERROR(__xludf.DUMMYFUNCTION("""COMPUTED_VALUE"""),45621)</f>
        <v>45621</v>
      </c>
      <c r="J4748" s="143" t="s">
        <v>15369</v>
      </c>
      <c r="K4748" s="80" t="s">
        <v>15370</v>
      </c>
      <c r="L4748" s="30">
        <v>911996288</v>
      </c>
      <c r="M4748" s="80" t="s">
        <v>59</v>
      </c>
      <c r="N4748" s="80" t="s">
        <v>7298</v>
      </c>
      <c r="O4748" s="80" t="s">
        <v>15371</v>
      </c>
      <c r="P4748" s="80" t="s">
        <v>12687</v>
      </c>
      <c r="Q4748" s="20">
        <v>15936</v>
      </c>
      <c r="R4748" s="80" t="s">
        <v>70</v>
      </c>
      <c r="S4748" s="95">
        <v>2000</v>
      </c>
      <c r="T4748" s="148">
        <v>45554</v>
      </c>
      <c r="U4748" s="95">
        <v>13836</v>
      </c>
      <c r="V4748" s="148">
        <v>45587</v>
      </c>
      <c r="W4748" s="85" t="s">
        <v>15372</v>
      </c>
      <c r="X4748" s="80"/>
      <c r="Y4748" s="22">
        <v>100</v>
      </c>
      <c r="Z4748" s="80" t="s">
        <v>50</v>
      </c>
      <c r="AA4748" s="35" t="s">
        <v>9905</v>
      </c>
      <c r="AB4748" s="80"/>
      <c r="AC4748" s="80" t="s">
        <v>53</v>
      </c>
      <c r="AD4748" s="80" t="s">
        <v>138</v>
      </c>
      <c r="AE4748" s="80" t="s">
        <v>13121</v>
      </c>
      <c r="AF4748" s="43">
        <v>45621</v>
      </c>
      <c r="AG4748" s="80"/>
      <c r="AH4748" s="80"/>
      <c r="AI4748" s="147"/>
      <c r="AJ4748" s="80"/>
      <c r="AK4748" s="80"/>
      <c r="AL4748" s="35"/>
      <c r="AM4748" s="35"/>
      <c r="AN4748" s="35"/>
      <c r="AO4748" s="35"/>
      <c r="AP4748" s="35"/>
    </row>
    <row r="4749" spans="1:42" x14ac:dyDescent="0.2">
      <c r="A4749" s="74">
        <v>45617</v>
      </c>
      <c r="B4749" s="137" t="s">
        <v>37</v>
      </c>
      <c r="C4749" s="41" t="s">
        <v>118</v>
      </c>
      <c r="D4749" s="80" t="s">
        <v>36</v>
      </c>
      <c r="E4749" s="80" t="s">
        <v>139</v>
      </c>
      <c r="F4749" s="80" t="s">
        <v>13121</v>
      </c>
      <c r="G4749" s="80" t="s">
        <v>108</v>
      </c>
      <c r="H4749" s="80" t="s">
        <v>14082</v>
      </c>
      <c r="I4749" s="17">
        <f ca="1">IFERROR(__xludf.DUMMYFUNCTION("""COMPUTED_VALUE"""),45621)</f>
        <v>45621</v>
      </c>
      <c r="J4749" s="143" t="s">
        <v>14840</v>
      </c>
      <c r="K4749" s="80" t="s">
        <v>16711</v>
      </c>
      <c r="L4749" s="30">
        <v>339387599</v>
      </c>
      <c r="M4749" s="80" t="s">
        <v>3728</v>
      </c>
      <c r="N4749" s="80" t="s">
        <v>5277</v>
      </c>
      <c r="O4749" s="80" t="s">
        <v>14842</v>
      </c>
      <c r="P4749" s="80" t="s">
        <v>14843</v>
      </c>
      <c r="Q4749" s="20">
        <v>15936</v>
      </c>
      <c r="R4749" s="80" t="s">
        <v>36</v>
      </c>
      <c r="S4749" s="95">
        <f t="shared" ref="S4749:S4750" si="106">200+1800</f>
        <v>2000</v>
      </c>
      <c r="T4749" s="83" t="s">
        <v>14844</v>
      </c>
      <c r="U4749" s="95">
        <v>13936</v>
      </c>
      <c r="V4749" s="148">
        <v>45582</v>
      </c>
      <c r="W4749" s="85" t="s">
        <v>14845</v>
      </c>
      <c r="X4749" s="80"/>
      <c r="Y4749" s="22">
        <v>0</v>
      </c>
      <c r="Z4749" s="80" t="s">
        <v>50</v>
      </c>
      <c r="AA4749" s="96" t="s">
        <v>9905</v>
      </c>
      <c r="AB4749" s="80"/>
      <c r="AC4749" s="80" t="s">
        <v>53</v>
      </c>
      <c r="AD4749" s="80" t="s">
        <v>54</v>
      </c>
      <c r="AE4749" s="80" t="s">
        <v>13121</v>
      </c>
      <c r="AF4749" s="43">
        <v>45621</v>
      </c>
      <c r="AG4749" s="80"/>
      <c r="AH4749" s="80"/>
      <c r="AI4749" s="147"/>
      <c r="AJ4749" s="80"/>
      <c r="AK4749" s="80"/>
      <c r="AL4749" s="35"/>
      <c r="AM4749" s="35"/>
      <c r="AN4749" s="35"/>
      <c r="AO4749" s="35"/>
      <c r="AP4749" s="35"/>
    </row>
    <row r="4750" spans="1:42" x14ac:dyDescent="0.2">
      <c r="A4750" s="74">
        <v>45617</v>
      </c>
      <c r="B4750" s="137" t="s">
        <v>37</v>
      </c>
      <c r="C4750" s="41" t="s">
        <v>118</v>
      </c>
      <c r="D4750" s="80" t="s">
        <v>36</v>
      </c>
      <c r="E4750" s="80" t="s">
        <v>56</v>
      </c>
      <c r="F4750" s="80" t="s">
        <v>13121</v>
      </c>
      <c r="G4750" s="80" t="s">
        <v>108</v>
      </c>
      <c r="H4750" s="80" t="s">
        <v>14082</v>
      </c>
      <c r="I4750" s="17">
        <f ca="1">IFERROR(__xludf.DUMMYFUNCTION("""COMPUTED_VALUE"""),45621)</f>
        <v>45621</v>
      </c>
      <c r="J4750" s="143" t="s">
        <v>16712</v>
      </c>
      <c r="K4750" s="80" t="s">
        <v>16713</v>
      </c>
      <c r="L4750" s="30">
        <v>966295687</v>
      </c>
      <c r="M4750" s="80" t="s">
        <v>80</v>
      </c>
      <c r="N4750" s="80" t="s">
        <v>466</v>
      </c>
      <c r="O4750" s="80" t="s">
        <v>16714</v>
      </c>
      <c r="P4750" s="80" t="s">
        <v>2641</v>
      </c>
      <c r="Q4750" s="20">
        <v>9317</v>
      </c>
      <c r="R4750" s="80" t="s">
        <v>36</v>
      </c>
      <c r="S4750" s="95">
        <f t="shared" si="106"/>
        <v>2000</v>
      </c>
      <c r="T4750" s="83" t="s">
        <v>16715</v>
      </c>
      <c r="U4750" s="95">
        <v>7317</v>
      </c>
      <c r="V4750" s="148">
        <v>45607</v>
      </c>
      <c r="W4750" s="85" t="s">
        <v>16716</v>
      </c>
      <c r="X4750" s="80"/>
      <c r="Y4750" s="22">
        <v>0</v>
      </c>
      <c r="Z4750" s="80"/>
      <c r="AA4750" s="86"/>
      <c r="AB4750" s="80"/>
      <c r="AC4750" s="80" t="s">
        <v>53</v>
      </c>
      <c r="AD4750" s="80" t="s">
        <v>54</v>
      </c>
      <c r="AE4750" s="80" t="s">
        <v>13121</v>
      </c>
      <c r="AF4750" s="43">
        <v>45621</v>
      </c>
      <c r="AG4750" s="80"/>
      <c r="AH4750" s="80"/>
      <c r="AI4750" s="147"/>
      <c r="AJ4750" s="80"/>
      <c r="AK4750" s="80"/>
      <c r="AL4750" s="35"/>
      <c r="AM4750" s="35"/>
      <c r="AN4750" s="35"/>
      <c r="AO4750" s="35"/>
      <c r="AP4750" s="35"/>
    </row>
    <row r="4751" spans="1:42" x14ac:dyDescent="0.2">
      <c r="A4751" s="74">
        <v>45617</v>
      </c>
      <c r="B4751" s="137" t="s">
        <v>37</v>
      </c>
      <c r="C4751" s="41" t="s">
        <v>118</v>
      </c>
      <c r="D4751" s="80" t="s">
        <v>36</v>
      </c>
      <c r="E4751" s="80" t="s">
        <v>56</v>
      </c>
      <c r="F4751" s="80" t="s">
        <v>13121</v>
      </c>
      <c r="G4751" s="80" t="s">
        <v>108</v>
      </c>
      <c r="H4751" s="80" t="s">
        <v>14082</v>
      </c>
      <c r="I4751" s="17">
        <f ca="1">IFERROR(__xludf.DUMMYFUNCTION("""COMPUTED_VALUE"""),45621)</f>
        <v>45621</v>
      </c>
      <c r="J4751" s="143" t="s">
        <v>13519</v>
      </c>
      <c r="K4751" s="80" t="s">
        <v>13520</v>
      </c>
      <c r="L4751" s="30">
        <v>325480233</v>
      </c>
      <c r="M4751" s="80" t="s">
        <v>45</v>
      </c>
      <c r="N4751" s="80" t="s">
        <v>1472</v>
      </c>
      <c r="O4751" s="80" t="s">
        <v>13521</v>
      </c>
      <c r="P4751" s="80" t="s">
        <v>7743</v>
      </c>
      <c r="Q4751" s="20">
        <v>9317</v>
      </c>
      <c r="R4751" s="80" t="s">
        <v>36</v>
      </c>
      <c r="S4751" s="95">
        <f>500+8817</f>
        <v>9317</v>
      </c>
      <c r="T4751" s="83" t="s">
        <v>13522</v>
      </c>
      <c r="U4751" s="77"/>
      <c r="V4751" s="78"/>
      <c r="W4751" s="85" t="s">
        <v>13523</v>
      </c>
      <c r="X4751" s="80">
        <v>0</v>
      </c>
      <c r="Y4751" s="22">
        <v>0</v>
      </c>
      <c r="Z4751" s="80" t="s">
        <v>50</v>
      </c>
      <c r="AA4751" s="96" t="s">
        <v>3291</v>
      </c>
      <c r="AB4751" s="80"/>
      <c r="AC4751" s="80" t="s">
        <v>53</v>
      </c>
      <c r="AD4751" s="80" t="s">
        <v>138</v>
      </c>
      <c r="AE4751" s="80" t="s">
        <v>13121</v>
      </c>
      <c r="AF4751" s="43">
        <v>45621</v>
      </c>
      <c r="AG4751" s="80"/>
      <c r="AH4751" s="80"/>
      <c r="AI4751" s="147" t="s">
        <v>64</v>
      </c>
      <c r="AJ4751" s="80"/>
      <c r="AK4751" s="80"/>
      <c r="AL4751" s="35"/>
      <c r="AM4751" s="35"/>
      <c r="AN4751" s="35"/>
      <c r="AO4751" s="35"/>
      <c r="AP4751" s="35"/>
    </row>
    <row r="4752" spans="1:42" x14ac:dyDescent="0.2">
      <c r="A4752" s="74">
        <v>45617</v>
      </c>
      <c r="B4752" s="137" t="s">
        <v>37</v>
      </c>
      <c r="C4752" s="41" t="s">
        <v>118</v>
      </c>
      <c r="D4752" s="80" t="s">
        <v>36</v>
      </c>
      <c r="E4752" s="80" t="s">
        <v>56</v>
      </c>
      <c r="F4752" s="80" t="s">
        <v>13121</v>
      </c>
      <c r="G4752" s="80" t="s">
        <v>108</v>
      </c>
      <c r="H4752" s="80" t="s">
        <v>14082</v>
      </c>
      <c r="I4752" s="17">
        <f ca="1">IFERROR(__xludf.DUMMYFUNCTION("""COMPUTED_VALUE"""),45621)</f>
        <v>45621</v>
      </c>
      <c r="J4752" s="143" t="s">
        <v>13552</v>
      </c>
      <c r="K4752" s="80" t="s">
        <v>13553</v>
      </c>
      <c r="L4752" s="30">
        <v>333462071</v>
      </c>
      <c r="M4752" s="80" t="s">
        <v>59</v>
      </c>
      <c r="N4752" s="80" t="s">
        <v>4299</v>
      </c>
      <c r="O4752" s="80" t="s">
        <v>13554</v>
      </c>
      <c r="P4752" s="80" t="s">
        <v>13555</v>
      </c>
      <c r="Q4752" s="20">
        <v>9317</v>
      </c>
      <c r="R4752" s="80" t="s">
        <v>70</v>
      </c>
      <c r="S4752" s="95">
        <f>200+9017</f>
        <v>9217</v>
      </c>
      <c r="T4752" s="83" t="s">
        <v>13556</v>
      </c>
      <c r="U4752" s="77"/>
      <c r="V4752" s="78"/>
      <c r="W4752" s="85" t="s">
        <v>13557</v>
      </c>
      <c r="X4752" s="80">
        <v>100</v>
      </c>
      <c r="Y4752" s="22">
        <v>0</v>
      </c>
      <c r="Z4752" s="80" t="s">
        <v>50</v>
      </c>
      <c r="AA4752" s="35" t="s">
        <v>3291</v>
      </c>
      <c r="AB4752" s="80"/>
      <c r="AC4752" s="80" t="s">
        <v>53</v>
      </c>
      <c r="AD4752" s="80" t="s">
        <v>138</v>
      </c>
      <c r="AE4752" s="80" t="s">
        <v>13121</v>
      </c>
      <c r="AF4752" s="43">
        <v>45621</v>
      </c>
      <c r="AG4752" s="80"/>
      <c r="AH4752" s="80"/>
      <c r="AI4752" s="147" t="s">
        <v>64</v>
      </c>
      <c r="AJ4752" s="80"/>
      <c r="AK4752" s="80"/>
      <c r="AL4752" s="35"/>
      <c r="AM4752" s="35"/>
      <c r="AN4752" s="35"/>
      <c r="AO4752" s="35"/>
      <c r="AP4752" s="35"/>
    </row>
    <row r="4753" spans="1:42" x14ac:dyDescent="0.2">
      <c r="A4753" s="74">
        <v>45617</v>
      </c>
      <c r="B4753" s="137" t="s">
        <v>37</v>
      </c>
      <c r="C4753" s="41" t="s">
        <v>118</v>
      </c>
      <c r="D4753" s="80" t="s">
        <v>36</v>
      </c>
      <c r="E4753" s="80" t="s">
        <v>139</v>
      </c>
      <c r="F4753" s="80" t="s">
        <v>13121</v>
      </c>
      <c r="G4753" s="80" t="s">
        <v>108</v>
      </c>
      <c r="H4753" s="80" t="s">
        <v>14082</v>
      </c>
      <c r="I4753" s="17">
        <f ca="1">IFERROR(__xludf.DUMMYFUNCTION("""COMPUTED_VALUE"""),45621)</f>
        <v>45621</v>
      </c>
      <c r="J4753" s="143" t="s">
        <v>15661</v>
      </c>
      <c r="K4753" s="80" t="s">
        <v>15662</v>
      </c>
      <c r="L4753" s="30">
        <v>852359898</v>
      </c>
      <c r="M4753" s="80" t="s">
        <v>2755</v>
      </c>
      <c r="N4753" s="80" t="s">
        <v>4402</v>
      </c>
      <c r="O4753" s="80" t="s">
        <v>4503</v>
      </c>
      <c r="P4753" s="80" t="s">
        <v>15663</v>
      </c>
      <c r="Q4753" s="20">
        <v>15936</v>
      </c>
      <c r="R4753" s="80" t="s">
        <v>36</v>
      </c>
      <c r="S4753" s="95">
        <f>200+3000</f>
        <v>3200</v>
      </c>
      <c r="T4753" s="83" t="s">
        <v>15664</v>
      </c>
      <c r="U4753" s="95">
        <v>12736</v>
      </c>
      <c r="V4753" s="148">
        <v>45589</v>
      </c>
      <c r="W4753" s="85" t="s">
        <v>15665</v>
      </c>
      <c r="X4753" s="80"/>
      <c r="Y4753" s="22">
        <v>0</v>
      </c>
      <c r="Z4753" s="80" t="s">
        <v>50</v>
      </c>
      <c r="AA4753" s="96" t="s">
        <v>9905</v>
      </c>
      <c r="AB4753" s="80"/>
      <c r="AC4753" s="80" t="s">
        <v>53</v>
      </c>
      <c r="AD4753" s="80" t="s">
        <v>138</v>
      </c>
      <c r="AE4753" s="80" t="s">
        <v>13121</v>
      </c>
      <c r="AF4753" s="43">
        <v>45621</v>
      </c>
      <c r="AG4753" s="80"/>
      <c r="AH4753" s="80"/>
      <c r="AI4753" s="147"/>
      <c r="AJ4753" s="80"/>
      <c r="AK4753" s="80"/>
      <c r="AL4753" s="35"/>
      <c r="AM4753" s="35"/>
      <c r="AN4753" s="35"/>
      <c r="AO4753" s="35"/>
      <c r="AP4753" s="35"/>
    </row>
    <row r="4754" spans="1:42" x14ac:dyDescent="0.2">
      <c r="A4754" s="74">
        <v>45617</v>
      </c>
      <c r="B4754" s="137" t="s">
        <v>37</v>
      </c>
      <c r="C4754" s="41" t="s">
        <v>118</v>
      </c>
      <c r="D4754" s="80" t="s">
        <v>36</v>
      </c>
      <c r="E4754" s="80" t="s">
        <v>139</v>
      </c>
      <c r="F4754" s="80" t="s">
        <v>13121</v>
      </c>
      <c r="G4754" s="80" t="s">
        <v>108</v>
      </c>
      <c r="H4754" s="80" t="s">
        <v>14082</v>
      </c>
      <c r="I4754" s="17">
        <f ca="1">IFERROR(__xludf.DUMMYFUNCTION("""COMPUTED_VALUE"""),45621)</f>
        <v>45621</v>
      </c>
      <c r="J4754" s="172" t="s">
        <v>16717</v>
      </c>
      <c r="K4754" s="80" t="s">
        <v>15339</v>
      </c>
      <c r="L4754" s="30">
        <v>328412800</v>
      </c>
      <c r="M4754" s="80" t="s">
        <v>5558</v>
      </c>
      <c r="N4754" s="80" t="s">
        <v>850</v>
      </c>
      <c r="O4754" s="80" t="s">
        <v>4503</v>
      </c>
      <c r="P4754" s="80" t="s">
        <v>3056</v>
      </c>
      <c r="Q4754" s="20">
        <v>15936</v>
      </c>
      <c r="R4754" s="80" t="s">
        <v>70</v>
      </c>
      <c r="S4754" s="95">
        <f>100+1900</f>
        <v>2000</v>
      </c>
      <c r="T4754" s="83" t="s">
        <v>15340</v>
      </c>
      <c r="U4754" s="95">
        <v>13836</v>
      </c>
      <c r="V4754" s="148">
        <v>45593</v>
      </c>
      <c r="W4754" s="80" t="s">
        <v>15341</v>
      </c>
      <c r="X4754" s="80"/>
      <c r="Y4754" s="22">
        <v>100</v>
      </c>
      <c r="Z4754" s="80" t="s">
        <v>50</v>
      </c>
      <c r="AA4754" s="35" t="s">
        <v>9905</v>
      </c>
      <c r="AB4754" s="80"/>
      <c r="AC4754" s="80" t="s">
        <v>53</v>
      </c>
      <c r="AD4754" s="80" t="s">
        <v>138</v>
      </c>
      <c r="AE4754" s="80" t="s">
        <v>13121</v>
      </c>
      <c r="AF4754" s="43">
        <v>45621</v>
      </c>
      <c r="AG4754" s="80"/>
      <c r="AH4754" s="80"/>
      <c r="AI4754" s="147"/>
      <c r="AJ4754" s="80"/>
      <c r="AK4754" s="80"/>
      <c r="AL4754" s="35"/>
      <c r="AM4754" s="35"/>
      <c r="AN4754" s="35"/>
      <c r="AO4754" s="35"/>
      <c r="AP4754" s="35"/>
    </row>
    <row r="4755" spans="1:42" x14ac:dyDescent="0.2">
      <c r="A4755" s="74">
        <v>45617</v>
      </c>
      <c r="B4755" s="137" t="s">
        <v>37</v>
      </c>
      <c r="C4755" s="41" t="s">
        <v>118</v>
      </c>
      <c r="D4755" s="80" t="s">
        <v>36</v>
      </c>
      <c r="E4755" s="80" t="s">
        <v>139</v>
      </c>
      <c r="F4755" s="80" t="s">
        <v>13121</v>
      </c>
      <c r="G4755" s="80" t="s">
        <v>108</v>
      </c>
      <c r="H4755" s="80" t="s">
        <v>14082</v>
      </c>
      <c r="I4755" s="17">
        <f ca="1">IFERROR(__xludf.DUMMYFUNCTION("""COMPUTED_VALUE"""),45621)</f>
        <v>45621</v>
      </c>
      <c r="J4755" s="143" t="s">
        <v>15214</v>
      </c>
      <c r="K4755" s="80" t="s">
        <v>16718</v>
      </c>
      <c r="L4755" s="30">
        <v>386253319</v>
      </c>
      <c r="M4755" s="80" t="s">
        <v>12720</v>
      </c>
      <c r="N4755" s="80" t="s">
        <v>1073</v>
      </c>
      <c r="O4755" s="80" t="s">
        <v>15216</v>
      </c>
      <c r="P4755" s="80" t="s">
        <v>15217</v>
      </c>
      <c r="Q4755" s="20">
        <v>15936</v>
      </c>
      <c r="R4755" s="80" t="s">
        <v>36</v>
      </c>
      <c r="S4755" s="95">
        <f>200+1800</f>
        <v>2000</v>
      </c>
      <c r="T4755" s="83" t="s">
        <v>15218</v>
      </c>
      <c r="U4755" s="95">
        <v>13936</v>
      </c>
      <c r="V4755" s="148">
        <v>45585</v>
      </c>
      <c r="W4755" s="85" t="s">
        <v>15219</v>
      </c>
      <c r="X4755" s="80"/>
      <c r="Y4755" s="22">
        <v>0</v>
      </c>
      <c r="Z4755" s="80" t="s">
        <v>50</v>
      </c>
      <c r="AA4755" s="96" t="s">
        <v>9905</v>
      </c>
      <c r="AB4755" s="80"/>
      <c r="AC4755" s="80" t="s">
        <v>53</v>
      </c>
      <c r="AD4755" s="80" t="s">
        <v>138</v>
      </c>
      <c r="AE4755" s="80" t="s">
        <v>13121</v>
      </c>
      <c r="AF4755" s="43">
        <v>45621</v>
      </c>
      <c r="AG4755" s="80"/>
      <c r="AH4755" s="80"/>
      <c r="AI4755" s="147"/>
      <c r="AJ4755" s="80"/>
      <c r="AK4755" s="80"/>
      <c r="AL4755" s="35"/>
      <c r="AM4755" s="35"/>
      <c r="AN4755" s="35"/>
      <c r="AO4755" s="35"/>
      <c r="AP4755" s="35"/>
    </row>
    <row r="4756" spans="1:42" x14ac:dyDescent="0.2">
      <c r="A4756" s="74">
        <v>45617</v>
      </c>
      <c r="B4756" s="137" t="s">
        <v>37</v>
      </c>
      <c r="C4756" s="41" t="s">
        <v>118</v>
      </c>
      <c r="D4756" s="80" t="s">
        <v>36</v>
      </c>
      <c r="E4756" s="80" t="s">
        <v>139</v>
      </c>
      <c r="F4756" s="80" t="s">
        <v>13121</v>
      </c>
      <c r="G4756" s="80" t="s">
        <v>108</v>
      </c>
      <c r="H4756" s="80" t="s">
        <v>14082</v>
      </c>
      <c r="I4756" s="17">
        <f ca="1">IFERROR(__xludf.DUMMYFUNCTION("""COMPUTED_VALUE"""),45621)</f>
        <v>45621</v>
      </c>
      <c r="J4756" s="143" t="s">
        <v>15657</v>
      </c>
      <c r="K4756" s="80" t="s">
        <v>15658</v>
      </c>
      <c r="L4756" s="30">
        <v>984037461</v>
      </c>
      <c r="M4756" s="80" t="s">
        <v>2755</v>
      </c>
      <c r="N4756" s="80" t="s">
        <v>2756</v>
      </c>
      <c r="O4756" s="80" t="s">
        <v>4503</v>
      </c>
      <c r="P4756" s="80" t="s">
        <v>8055</v>
      </c>
      <c r="Q4756" s="20">
        <v>15936</v>
      </c>
      <c r="R4756" s="80" t="s">
        <v>36</v>
      </c>
      <c r="S4756" s="95">
        <f>200+3000</f>
        <v>3200</v>
      </c>
      <c r="T4756" s="83" t="s">
        <v>15659</v>
      </c>
      <c r="U4756" s="95">
        <v>12736</v>
      </c>
      <c r="V4756" s="148">
        <v>45583</v>
      </c>
      <c r="W4756" s="85" t="s">
        <v>15660</v>
      </c>
      <c r="X4756" s="80"/>
      <c r="Y4756" s="22">
        <v>0</v>
      </c>
      <c r="Z4756" s="80" t="s">
        <v>50</v>
      </c>
      <c r="AA4756" s="35" t="s">
        <v>9905</v>
      </c>
      <c r="AB4756" s="80"/>
      <c r="AC4756" s="80" t="s">
        <v>53</v>
      </c>
      <c r="AD4756" s="80" t="s">
        <v>138</v>
      </c>
      <c r="AE4756" s="80" t="s">
        <v>13121</v>
      </c>
      <c r="AF4756" s="43">
        <v>45621</v>
      </c>
      <c r="AG4756" s="80"/>
      <c r="AH4756" s="80"/>
      <c r="AI4756" s="147"/>
      <c r="AJ4756" s="80"/>
      <c r="AK4756" s="80"/>
      <c r="AL4756" s="35"/>
      <c r="AM4756" s="35"/>
      <c r="AN4756" s="35"/>
      <c r="AO4756" s="35"/>
      <c r="AP4756" s="35"/>
    </row>
    <row r="4757" spans="1:42" x14ac:dyDescent="0.2">
      <c r="A4757" s="74">
        <v>45617</v>
      </c>
      <c r="B4757" s="137" t="s">
        <v>37</v>
      </c>
      <c r="C4757" s="41" t="s">
        <v>118</v>
      </c>
      <c r="D4757" s="80" t="s">
        <v>36</v>
      </c>
      <c r="E4757" s="80" t="s">
        <v>139</v>
      </c>
      <c r="F4757" s="80" t="s">
        <v>13121</v>
      </c>
      <c r="G4757" s="80" t="s">
        <v>108</v>
      </c>
      <c r="H4757" s="80" t="s">
        <v>10098</v>
      </c>
      <c r="I4757" s="17">
        <f ca="1">IFERROR(__xludf.DUMMYFUNCTION("""COMPUTED_VALUE"""),45624)</f>
        <v>45624</v>
      </c>
      <c r="J4757" s="172" t="s">
        <v>16719</v>
      </c>
      <c r="K4757" s="80" t="s">
        <v>16720</v>
      </c>
      <c r="L4757" s="30">
        <v>333753026</v>
      </c>
      <c r="M4757" s="80" t="s">
        <v>59</v>
      </c>
      <c r="N4757" s="80" t="s">
        <v>10947</v>
      </c>
      <c r="O4757" s="80" t="s">
        <v>13313</v>
      </c>
      <c r="P4757" s="80" t="s">
        <v>12687</v>
      </c>
      <c r="Q4757" s="20">
        <v>15936</v>
      </c>
      <c r="R4757" s="80" t="s">
        <v>70</v>
      </c>
      <c r="S4757" s="95">
        <v>15936</v>
      </c>
      <c r="T4757" s="148">
        <v>45551</v>
      </c>
      <c r="U4757" s="77"/>
      <c r="V4757" s="78"/>
      <c r="W4757" s="85" t="s">
        <v>13314</v>
      </c>
      <c r="X4757" s="80">
        <v>100</v>
      </c>
      <c r="Y4757" s="22">
        <v>-100</v>
      </c>
      <c r="Z4757" s="80" t="s">
        <v>50</v>
      </c>
      <c r="AA4757" s="96" t="s">
        <v>3291</v>
      </c>
      <c r="AB4757" s="80"/>
      <c r="AC4757" s="80" t="s">
        <v>53</v>
      </c>
      <c r="AD4757" s="80" t="s">
        <v>138</v>
      </c>
      <c r="AE4757" s="80" t="s">
        <v>13121</v>
      </c>
      <c r="AF4757" s="17">
        <v>45624</v>
      </c>
      <c r="AG4757" s="80"/>
      <c r="AH4757" s="80"/>
      <c r="AI4757" s="147" t="s">
        <v>147</v>
      </c>
      <c r="AJ4757" s="80"/>
      <c r="AK4757" s="80"/>
      <c r="AL4757" s="35"/>
      <c r="AM4757" s="35"/>
      <c r="AN4757" s="35"/>
      <c r="AO4757" s="35"/>
      <c r="AP4757" s="35"/>
    </row>
    <row r="4758" spans="1:42" x14ac:dyDescent="0.2">
      <c r="A4758" s="74">
        <v>45617</v>
      </c>
      <c r="B4758" s="137" t="s">
        <v>37</v>
      </c>
      <c r="C4758" s="41" t="s">
        <v>118</v>
      </c>
      <c r="D4758" s="80" t="s">
        <v>36</v>
      </c>
      <c r="E4758" s="80" t="s">
        <v>139</v>
      </c>
      <c r="F4758" s="80" t="s">
        <v>13121</v>
      </c>
      <c r="G4758" s="80" t="s">
        <v>108</v>
      </c>
      <c r="H4758" s="80" t="s">
        <v>14082</v>
      </c>
      <c r="I4758" s="17">
        <f ca="1">IFERROR(__xludf.DUMMYFUNCTION("""COMPUTED_VALUE"""),45621)</f>
        <v>45621</v>
      </c>
      <c r="J4758" s="143" t="s">
        <v>16721</v>
      </c>
      <c r="K4758" s="80" t="s">
        <v>16722</v>
      </c>
      <c r="L4758" s="30">
        <v>868875930</v>
      </c>
      <c r="M4758" s="80" t="s">
        <v>3728</v>
      </c>
      <c r="N4758" s="80" t="s">
        <v>5312</v>
      </c>
      <c r="O4758" s="80" t="s">
        <v>16723</v>
      </c>
      <c r="P4758" s="80" t="s">
        <v>11644</v>
      </c>
      <c r="Q4758" s="20">
        <v>15936</v>
      </c>
      <c r="R4758" s="80" t="s">
        <v>1106</v>
      </c>
      <c r="S4758" s="95">
        <f>200+1800</f>
        <v>2000</v>
      </c>
      <c r="T4758" s="83" t="s">
        <v>16724</v>
      </c>
      <c r="U4758" s="95">
        <v>13786</v>
      </c>
      <c r="V4758" s="148">
        <v>45601</v>
      </c>
      <c r="W4758" s="85" t="s">
        <v>16725</v>
      </c>
      <c r="X4758" s="80"/>
      <c r="Y4758" s="22">
        <v>150</v>
      </c>
      <c r="Z4758" s="80"/>
      <c r="AA4758" s="86"/>
      <c r="AB4758" s="80"/>
      <c r="AC4758" s="80" t="s">
        <v>53</v>
      </c>
      <c r="AD4758" s="80" t="s">
        <v>138</v>
      </c>
      <c r="AE4758" s="80" t="s">
        <v>13121</v>
      </c>
      <c r="AF4758" s="43">
        <v>45621</v>
      </c>
      <c r="AG4758" s="80"/>
      <c r="AH4758" s="80"/>
      <c r="AI4758" s="147"/>
      <c r="AJ4758" s="80"/>
      <c r="AK4758" s="80"/>
      <c r="AL4758" s="35"/>
      <c r="AM4758" s="35"/>
      <c r="AN4758" s="35"/>
      <c r="AO4758" s="35"/>
      <c r="AP4758" s="35"/>
    </row>
    <row r="4759" spans="1:42" x14ac:dyDescent="0.2">
      <c r="A4759" s="74">
        <v>45617</v>
      </c>
      <c r="B4759" s="137" t="s">
        <v>37</v>
      </c>
      <c r="C4759" s="41" t="s">
        <v>118</v>
      </c>
      <c r="D4759" s="80" t="s">
        <v>36</v>
      </c>
      <c r="E4759" s="80" t="s">
        <v>139</v>
      </c>
      <c r="F4759" s="80" t="s">
        <v>13121</v>
      </c>
      <c r="G4759" s="80" t="s">
        <v>108</v>
      </c>
      <c r="H4759" s="80" t="s">
        <v>14082</v>
      </c>
      <c r="I4759" s="17">
        <f ca="1">IFERROR(__xludf.DUMMYFUNCTION("""COMPUTED_VALUE"""),45621)</f>
        <v>45621</v>
      </c>
      <c r="J4759" s="143" t="s">
        <v>15365</v>
      </c>
      <c r="K4759" s="80" t="s">
        <v>15366</v>
      </c>
      <c r="L4759" s="30">
        <v>394389706</v>
      </c>
      <c r="M4759" s="80" t="s">
        <v>59</v>
      </c>
      <c r="N4759" s="80" t="s">
        <v>7298</v>
      </c>
      <c r="O4759" s="80" t="s">
        <v>15367</v>
      </c>
      <c r="P4759" s="80" t="s">
        <v>12687</v>
      </c>
      <c r="Q4759" s="20">
        <v>15936</v>
      </c>
      <c r="R4759" s="80" t="s">
        <v>70</v>
      </c>
      <c r="S4759" s="95">
        <v>2000</v>
      </c>
      <c r="T4759" s="148">
        <v>45554</v>
      </c>
      <c r="U4759" s="95">
        <v>13836</v>
      </c>
      <c r="V4759" s="148">
        <v>45579</v>
      </c>
      <c r="W4759" s="85" t="s">
        <v>15368</v>
      </c>
      <c r="X4759" s="80"/>
      <c r="Y4759" s="22">
        <v>100</v>
      </c>
      <c r="Z4759" s="80" t="s">
        <v>50</v>
      </c>
      <c r="AA4759" s="96" t="s">
        <v>9905</v>
      </c>
      <c r="AB4759" s="80"/>
      <c r="AC4759" s="80" t="s">
        <v>53</v>
      </c>
      <c r="AD4759" s="80" t="s">
        <v>138</v>
      </c>
      <c r="AE4759" s="80" t="s">
        <v>13121</v>
      </c>
      <c r="AF4759" s="43">
        <v>45621</v>
      </c>
      <c r="AG4759" s="80"/>
      <c r="AH4759" s="80"/>
      <c r="AI4759" s="147"/>
      <c r="AJ4759" s="80"/>
      <c r="AK4759" s="80"/>
      <c r="AL4759" s="35"/>
      <c r="AM4759" s="35"/>
      <c r="AN4759" s="35"/>
      <c r="AO4759" s="35"/>
      <c r="AP4759" s="35"/>
    </row>
    <row r="4760" spans="1:42" x14ac:dyDescent="0.2">
      <c r="A4760" s="74">
        <v>45617</v>
      </c>
      <c r="B4760" s="137" t="s">
        <v>37</v>
      </c>
      <c r="C4760" s="41" t="s">
        <v>118</v>
      </c>
      <c r="D4760" s="80" t="s">
        <v>36</v>
      </c>
      <c r="E4760" s="80" t="s">
        <v>139</v>
      </c>
      <c r="F4760" s="80" t="s">
        <v>13121</v>
      </c>
      <c r="G4760" s="80" t="s">
        <v>108</v>
      </c>
      <c r="H4760" s="80" t="s">
        <v>14082</v>
      </c>
      <c r="I4760" s="17">
        <f ca="1">IFERROR(__xludf.DUMMYFUNCTION("""COMPUTED_VALUE"""),45621)</f>
        <v>45621</v>
      </c>
      <c r="J4760" s="143" t="s">
        <v>15210</v>
      </c>
      <c r="K4760" s="80" t="s">
        <v>15211</v>
      </c>
      <c r="L4760" s="30">
        <v>368937229</v>
      </c>
      <c r="M4760" s="80" t="s">
        <v>3728</v>
      </c>
      <c r="N4760" s="80" t="s">
        <v>5312</v>
      </c>
      <c r="O4760" s="80" t="s">
        <v>15212</v>
      </c>
      <c r="P4760" s="80" t="s">
        <v>11644</v>
      </c>
      <c r="Q4760" s="20">
        <v>15936</v>
      </c>
      <c r="R4760" s="80" t="s">
        <v>1106</v>
      </c>
      <c r="S4760" s="95">
        <f>200+1800</f>
        <v>2000</v>
      </c>
      <c r="T4760" s="83" t="s">
        <v>13119</v>
      </c>
      <c r="U4760" s="95">
        <v>13786</v>
      </c>
      <c r="V4760" s="169">
        <v>45594</v>
      </c>
      <c r="W4760" s="85" t="s">
        <v>15213</v>
      </c>
      <c r="X4760" s="80"/>
      <c r="Y4760" s="22">
        <v>150</v>
      </c>
      <c r="Z4760" s="80" t="s">
        <v>50</v>
      </c>
      <c r="AA4760" s="35" t="s">
        <v>9905</v>
      </c>
      <c r="AB4760" s="80"/>
      <c r="AC4760" s="80" t="s">
        <v>53</v>
      </c>
      <c r="AD4760" s="80" t="s">
        <v>138</v>
      </c>
      <c r="AE4760" s="80" t="s">
        <v>13121</v>
      </c>
      <c r="AF4760" s="43">
        <v>45621</v>
      </c>
      <c r="AG4760" s="80"/>
      <c r="AH4760" s="80"/>
      <c r="AI4760" s="147"/>
      <c r="AJ4760" s="80"/>
      <c r="AK4760" s="80"/>
      <c r="AL4760" s="35"/>
      <c r="AM4760" s="35"/>
      <c r="AN4760" s="35"/>
      <c r="AO4760" s="35"/>
      <c r="AP4760" s="35"/>
    </row>
    <row r="4761" spans="1:42" x14ac:dyDescent="0.2">
      <c r="A4761" s="74">
        <v>45618</v>
      </c>
      <c r="B4761" s="137" t="s">
        <v>37</v>
      </c>
      <c r="C4761" s="41" t="s">
        <v>118</v>
      </c>
      <c r="D4761" s="80" t="s">
        <v>36</v>
      </c>
      <c r="E4761" s="80" t="s">
        <v>139</v>
      </c>
      <c r="F4761" s="80" t="s">
        <v>13424</v>
      </c>
      <c r="G4761" s="80" t="s">
        <v>108</v>
      </c>
      <c r="H4761" s="80" t="s">
        <v>10098</v>
      </c>
      <c r="I4761" s="17">
        <f ca="1">IFERROR(__xludf.DUMMYFUNCTION("""COMPUTED_VALUE"""),45624)</f>
        <v>45624</v>
      </c>
      <c r="J4761" s="143" t="s">
        <v>15457</v>
      </c>
      <c r="K4761" s="80" t="s">
        <v>15458</v>
      </c>
      <c r="L4761" s="30">
        <v>979702596</v>
      </c>
      <c r="M4761" s="80" t="s">
        <v>12644</v>
      </c>
      <c r="N4761" s="80" t="s">
        <v>8725</v>
      </c>
      <c r="O4761" s="80" t="s">
        <v>15459</v>
      </c>
      <c r="P4761" s="80" t="s">
        <v>15460</v>
      </c>
      <c r="Q4761" s="20">
        <v>15936</v>
      </c>
      <c r="R4761" s="80" t="s">
        <v>70</v>
      </c>
      <c r="S4761" s="95">
        <v>2000</v>
      </c>
      <c r="T4761" s="148">
        <v>45556</v>
      </c>
      <c r="U4761" s="95">
        <v>13836</v>
      </c>
      <c r="V4761" s="148">
        <v>45587</v>
      </c>
      <c r="W4761" s="85" t="s">
        <v>15461</v>
      </c>
      <c r="X4761" s="80"/>
      <c r="Y4761" s="22">
        <v>100</v>
      </c>
      <c r="Z4761" s="80" t="s">
        <v>50</v>
      </c>
      <c r="AA4761" s="96" t="s">
        <v>9905</v>
      </c>
      <c r="AB4761" s="80"/>
      <c r="AC4761" s="80" t="s">
        <v>53</v>
      </c>
      <c r="AD4761" s="80" t="s">
        <v>138</v>
      </c>
      <c r="AE4761" s="80" t="s">
        <v>13424</v>
      </c>
      <c r="AF4761" s="17">
        <v>45624</v>
      </c>
      <c r="AG4761" s="80"/>
      <c r="AH4761" s="80"/>
      <c r="AI4761" s="147"/>
      <c r="AJ4761" s="80"/>
      <c r="AK4761" s="80"/>
      <c r="AL4761" s="35"/>
      <c r="AM4761" s="35"/>
      <c r="AN4761" s="35"/>
      <c r="AO4761" s="35"/>
      <c r="AP4761" s="35"/>
    </row>
    <row r="4762" spans="1:42" x14ac:dyDescent="0.2">
      <c r="A4762" s="74">
        <v>45618</v>
      </c>
      <c r="B4762" s="137" t="s">
        <v>37</v>
      </c>
      <c r="C4762" s="41" t="s">
        <v>118</v>
      </c>
      <c r="D4762" s="80" t="s">
        <v>36</v>
      </c>
      <c r="E4762" s="80" t="s">
        <v>56</v>
      </c>
      <c r="F4762" s="80" t="s">
        <v>13424</v>
      </c>
      <c r="G4762" s="80" t="s">
        <v>108</v>
      </c>
      <c r="H4762" s="80" t="s">
        <v>5946</v>
      </c>
      <c r="I4762" s="17">
        <f ca="1">IFERROR(__xludf.DUMMYFUNCTION("""COMPUTED_VALUE"""),45742)</f>
        <v>45742</v>
      </c>
      <c r="J4762" s="143" t="s">
        <v>16726</v>
      </c>
      <c r="K4762" s="80" t="s">
        <v>16727</v>
      </c>
      <c r="L4762" s="30">
        <v>986921306</v>
      </c>
      <c r="M4762" s="80" t="s">
        <v>910</v>
      </c>
      <c r="N4762" s="80" t="s">
        <v>3525</v>
      </c>
      <c r="O4762" s="80" t="s">
        <v>91</v>
      </c>
      <c r="P4762" s="80" t="s">
        <v>12578</v>
      </c>
      <c r="Q4762" s="20">
        <v>9317</v>
      </c>
      <c r="R4762" s="80" t="s">
        <v>36</v>
      </c>
      <c r="S4762" s="95">
        <v>2000</v>
      </c>
      <c r="T4762" s="148">
        <v>45557</v>
      </c>
      <c r="U4762" s="95">
        <v>7317</v>
      </c>
      <c r="V4762" s="148">
        <v>45598</v>
      </c>
      <c r="W4762" s="85" t="s">
        <v>16728</v>
      </c>
      <c r="X4762" s="80"/>
      <c r="Y4762" s="22">
        <v>0</v>
      </c>
      <c r="Z4762" s="80" t="s">
        <v>50</v>
      </c>
      <c r="AA4762" s="86" t="s">
        <v>14723</v>
      </c>
      <c r="AB4762" s="80"/>
      <c r="AC4762" s="80" t="s">
        <v>53</v>
      </c>
      <c r="AD4762" s="80" t="s">
        <v>138</v>
      </c>
      <c r="AE4762" s="80" t="s">
        <v>13424</v>
      </c>
      <c r="AF4762" s="17">
        <v>45393</v>
      </c>
      <c r="AG4762" s="194" t="s">
        <v>16729</v>
      </c>
      <c r="AH4762" s="80"/>
      <c r="AI4762" s="147"/>
      <c r="AJ4762" s="80"/>
      <c r="AK4762" s="80"/>
      <c r="AL4762" s="35"/>
      <c r="AM4762" s="35"/>
      <c r="AN4762" s="35"/>
      <c r="AO4762" s="35"/>
      <c r="AP4762" s="35"/>
    </row>
    <row r="4763" spans="1:42" x14ac:dyDescent="0.2">
      <c r="A4763" s="74">
        <v>45618</v>
      </c>
      <c r="B4763" s="137" t="s">
        <v>37</v>
      </c>
      <c r="C4763" s="41" t="s">
        <v>118</v>
      </c>
      <c r="D4763" s="80" t="s">
        <v>36</v>
      </c>
      <c r="E4763" s="80" t="s">
        <v>139</v>
      </c>
      <c r="F4763" s="80" t="s">
        <v>13424</v>
      </c>
      <c r="G4763" s="80" t="s">
        <v>108</v>
      </c>
      <c r="H4763" s="80" t="s">
        <v>14131</v>
      </c>
      <c r="I4763" s="17">
        <f ca="1">IFERROR(__xludf.DUMMYFUNCTION("""COMPUTED_VALUE"""),45705)</f>
        <v>45705</v>
      </c>
      <c r="J4763" s="143" t="s">
        <v>13501</v>
      </c>
      <c r="K4763" s="80" t="s">
        <v>16730</v>
      </c>
      <c r="L4763" s="30">
        <v>867393606</v>
      </c>
      <c r="M4763" s="80" t="s">
        <v>910</v>
      </c>
      <c r="N4763" s="80" t="s">
        <v>3525</v>
      </c>
      <c r="O4763" s="80" t="s">
        <v>91</v>
      </c>
      <c r="P4763" s="80" t="s">
        <v>12578</v>
      </c>
      <c r="Q4763" s="20">
        <v>15936</v>
      </c>
      <c r="R4763" s="80" t="s">
        <v>1106</v>
      </c>
      <c r="S4763" s="95">
        <v>15936</v>
      </c>
      <c r="T4763" s="148">
        <v>45559</v>
      </c>
      <c r="U4763" s="77"/>
      <c r="V4763" s="78"/>
      <c r="W4763" s="85" t="s">
        <v>13502</v>
      </c>
      <c r="X4763" s="80">
        <v>150</v>
      </c>
      <c r="Y4763" s="22">
        <v>-150</v>
      </c>
      <c r="Z4763" s="80" t="s">
        <v>50</v>
      </c>
      <c r="AA4763" s="96" t="s">
        <v>3291</v>
      </c>
      <c r="AB4763" s="80"/>
      <c r="AC4763" s="80" t="s">
        <v>53</v>
      </c>
      <c r="AD4763" s="80" t="s">
        <v>138</v>
      </c>
      <c r="AE4763" s="80" t="s">
        <v>13424</v>
      </c>
      <c r="AF4763" s="17">
        <v>45624</v>
      </c>
      <c r="AG4763" s="80"/>
      <c r="AH4763" s="80"/>
      <c r="AI4763" s="147" t="s">
        <v>147</v>
      </c>
      <c r="AJ4763" s="80"/>
      <c r="AK4763" s="80"/>
      <c r="AL4763" s="35"/>
      <c r="AM4763" s="35"/>
      <c r="AN4763" s="35"/>
      <c r="AO4763" s="35"/>
      <c r="AP4763" s="35"/>
    </row>
    <row r="4764" spans="1:42" x14ac:dyDescent="0.2">
      <c r="A4764" s="74">
        <v>45618</v>
      </c>
      <c r="B4764" s="137" t="s">
        <v>37</v>
      </c>
      <c r="C4764" s="41" t="s">
        <v>118</v>
      </c>
      <c r="D4764" s="80" t="s">
        <v>36</v>
      </c>
      <c r="E4764" s="80" t="s">
        <v>139</v>
      </c>
      <c r="F4764" s="80" t="s">
        <v>13424</v>
      </c>
      <c r="G4764" s="80" t="s">
        <v>108</v>
      </c>
      <c r="H4764" s="80" t="s">
        <v>10098</v>
      </c>
      <c r="I4764" s="17">
        <f ca="1">IFERROR(__xludf.DUMMYFUNCTION("""COMPUTED_VALUE"""),45624)</f>
        <v>45624</v>
      </c>
      <c r="J4764" s="143" t="s">
        <v>15600</v>
      </c>
      <c r="K4764" s="80" t="s">
        <v>15601</v>
      </c>
      <c r="L4764" s="30">
        <v>388282615</v>
      </c>
      <c r="M4764" s="80" t="s">
        <v>12644</v>
      </c>
      <c r="N4764" s="80" t="s">
        <v>8725</v>
      </c>
      <c r="O4764" s="80" t="s">
        <v>15602</v>
      </c>
      <c r="P4764" s="80" t="s">
        <v>15603</v>
      </c>
      <c r="Q4764" s="20">
        <v>15936</v>
      </c>
      <c r="R4764" s="80" t="s">
        <v>36</v>
      </c>
      <c r="S4764" s="95">
        <f>200+1800</f>
        <v>2000</v>
      </c>
      <c r="T4764" s="83" t="s">
        <v>15604</v>
      </c>
      <c r="U4764" s="95">
        <v>13936</v>
      </c>
      <c r="V4764" s="148">
        <v>45587</v>
      </c>
      <c r="W4764" s="85" t="s">
        <v>15605</v>
      </c>
      <c r="X4764" s="80"/>
      <c r="Y4764" s="22">
        <v>0</v>
      </c>
      <c r="Z4764" s="80" t="s">
        <v>50</v>
      </c>
      <c r="AA4764" s="35" t="s">
        <v>9905</v>
      </c>
      <c r="AB4764" s="80"/>
      <c r="AC4764" s="80" t="s">
        <v>53</v>
      </c>
      <c r="AD4764" s="80" t="s">
        <v>138</v>
      </c>
      <c r="AE4764" s="80" t="s">
        <v>13424</v>
      </c>
      <c r="AF4764" s="17">
        <v>45624</v>
      </c>
      <c r="AG4764" s="80"/>
      <c r="AH4764" s="80"/>
      <c r="AI4764" s="147"/>
      <c r="AJ4764" s="80"/>
      <c r="AK4764" s="80"/>
      <c r="AL4764" s="35"/>
      <c r="AM4764" s="35"/>
      <c r="AN4764" s="35"/>
      <c r="AO4764" s="35"/>
      <c r="AP4764" s="35"/>
    </row>
    <row r="4765" spans="1:42" x14ac:dyDescent="0.2">
      <c r="A4765" s="74">
        <v>45618</v>
      </c>
      <c r="B4765" s="137" t="s">
        <v>37</v>
      </c>
      <c r="C4765" s="41" t="s">
        <v>118</v>
      </c>
      <c r="D4765" s="80" t="s">
        <v>36</v>
      </c>
      <c r="E4765" s="80" t="s">
        <v>139</v>
      </c>
      <c r="F4765" s="80" t="s">
        <v>13424</v>
      </c>
      <c r="G4765" s="80" t="s">
        <v>108</v>
      </c>
      <c r="H4765" s="80" t="s">
        <v>10098</v>
      </c>
      <c r="I4765" s="17">
        <f ca="1">IFERROR(__xludf.DUMMYFUNCTION("""COMPUTED_VALUE"""),45624)</f>
        <v>45624</v>
      </c>
      <c r="J4765" s="143" t="s">
        <v>15631</v>
      </c>
      <c r="K4765" s="80" t="s">
        <v>15632</v>
      </c>
      <c r="L4765" s="30">
        <v>332610600</v>
      </c>
      <c r="M4765" s="80" t="s">
        <v>910</v>
      </c>
      <c r="N4765" s="80" t="s">
        <v>3525</v>
      </c>
      <c r="O4765" s="80" t="s">
        <v>91</v>
      </c>
      <c r="P4765" s="80" t="s">
        <v>12578</v>
      </c>
      <c r="Q4765" s="20">
        <v>15936</v>
      </c>
      <c r="R4765" s="80" t="s">
        <v>70</v>
      </c>
      <c r="S4765" s="95">
        <v>2000</v>
      </c>
      <c r="T4765" s="148">
        <v>45560</v>
      </c>
      <c r="U4765" s="95">
        <v>13836</v>
      </c>
      <c r="V4765" s="148">
        <v>45588</v>
      </c>
      <c r="W4765" s="85" t="s">
        <v>15633</v>
      </c>
      <c r="X4765" s="80"/>
      <c r="Y4765" s="22">
        <v>100</v>
      </c>
      <c r="Z4765" s="80" t="s">
        <v>50</v>
      </c>
      <c r="AA4765" s="96" t="s">
        <v>9905</v>
      </c>
      <c r="AB4765" s="80"/>
      <c r="AC4765" s="80" t="s">
        <v>53</v>
      </c>
      <c r="AD4765" s="80" t="s">
        <v>138</v>
      </c>
      <c r="AE4765" s="80" t="s">
        <v>13424</v>
      </c>
      <c r="AF4765" s="17">
        <v>45624</v>
      </c>
      <c r="AG4765" s="80"/>
      <c r="AH4765" s="80"/>
      <c r="AI4765" s="147"/>
      <c r="AJ4765" s="80"/>
      <c r="AK4765" s="80"/>
      <c r="AL4765" s="35"/>
      <c r="AM4765" s="35"/>
      <c r="AN4765" s="35"/>
      <c r="AO4765" s="35"/>
      <c r="AP4765" s="35"/>
    </row>
    <row r="4766" spans="1:42" x14ac:dyDescent="0.2">
      <c r="A4766" s="74">
        <v>45618</v>
      </c>
      <c r="B4766" s="137" t="s">
        <v>37</v>
      </c>
      <c r="C4766" s="41" t="s">
        <v>118</v>
      </c>
      <c r="D4766" s="80" t="s">
        <v>36</v>
      </c>
      <c r="E4766" s="80" t="s">
        <v>139</v>
      </c>
      <c r="F4766" s="80" t="s">
        <v>13424</v>
      </c>
      <c r="G4766" s="80" t="s">
        <v>108</v>
      </c>
      <c r="H4766" s="80" t="s">
        <v>10098</v>
      </c>
      <c r="I4766" s="17">
        <f ca="1">IFERROR(__xludf.DUMMYFUNCTION("""COMPUTED_VALUE"""),45624)</f>
        <v>45624</v>
      </c>
      <c r="J4766" s="143" t="s">
        <v>15634</v>
      </c>
      <c r="K4766" s="80" t="s">
        <v>15635</v>
      </c>
      <c r="L4766" s="30">
        <v>347662995</v>
      </c>
      <c r="M4766" s="80" t="s">
        <v>910</v>
      </c>
      <c r="N4766" s="80" t="s">
        <v>3525</v>
      </c>
      <c r="O4766" s="80" t="s">
        <v>91</v>
      </c>
      <c r="P4766" s="80" t="s">
        <v>12578</v>
      </c>
      <c r="Q4766" s="20">
        <v>15936</v>
      </c>
      <c r="R4766" s="80" t="s">
        <v>70</v>
      </c>
      <c r="S4766" s="95">
        <v>2000</v>
      </c>
      <c r="T4766" s="148">
        <v>45560</v>
      </c>
      <c r="U4766" s="95">
        <v>13836</v>
      </c>
      <c r="V4766" s="148">
        <v>45587</v>
      </c>
      <c r="W4766" s="85" t="s">
        <v>15636</v>
      </c>
      <c r="X4766" s="80"/>
      <c r="Y4766" s="22">
        <v>100</v>
      </c>
      <c r="Z4766" s="80" t="s">
        <v>50</v>
      </c>
      <c r="AA4766" s="35" t="s">
        <v>9905</v>
      </c>
      <c r="AB4766" s="80"/>
      <c r="AC4766" s="80" t="s">
        <v>53</v>
      </c>
      <c r="AD4766" s="80" t="s">
        <v>138</v>
      </c>
      <c r="AE4766" s="80" t="s">
        <v>13424</v>
      </c>
      <c r="AF4766" s="17">
        <v>45624</v>
      </c>
      <c r="AG4766" s="80"/>
      <c r="AH4766" s="80"/>
      <c r="AI4766" s="147"/>
      <c r="AJ4766" s="80"/>
      <c r="AK4766" s="80"/>
      <c r="AL4766" s="35"/>
      <c r="AM4766" s="35"/>
      <c r="AN4766" s="35"/>
      <c r="AO4766" s="35"/>
      <c r="AP4766" s="35"/>
    </row>
    <row r="4767" spans="1:42" x14ac:dyDescent="0.2">
      <c r="A4767" s="74">
        <v>45618</v>
      </c>
      <c r="B4767" s="137" t="s">
        <v>37</v>
      </c>
      <c r="C4767" s="41" t="s">
        <v>118</v>
      </c>
      <c r="D4767" s="80" t="s">
        <v>36</v>
      </c>
      <c r="E4767" s="80" t="s">
        <v>139</v>
      </c>
      <c r="F4767" s="80" t="s">
        <v>13424</v>
      </c>
      <c r="G4767" s="80" t="s">
        <v>108</v>
      </c>
      <c r="H4767" s="80" t="s">
        <v>10098</v>
      </c>
      <c r="I4767" s="17">
        <f ca="1">IFERROR(__xludf.DUMMYFUNCTION("""COMPUTED_VALUE"""),45624)</f>
        <v>45624</v>
      </c>
      <c r="J4767" s="143" t="s">
        <v>15637</v>
      </c>
      <c r="K4767" s="80" t="s">
        <v>15638</v>
      </c>
      <c r="L4767" s="30">
        <v>388423919</v>
      </c>
      <c r="M4767" s="80" t="s">
        <v>12644</v>
      </c>
      <c r="N4767" s="80" t="s">
        <v>8725</v>
      </c>
      <c r="O4767" s="80" t="s">
        <v>15639</v>
      </c>
      <c r="P4767" s="80" t="s">
        <v>13226</v>
      </c>
      <c r="Q4767" s="20">
        <v>15936</v>
      </c>
      <c r="R4767" s="80" t="s">
        <v>70</v>
      </c>
      <c r="S4767" s="95">
        <f>200+1800</f>
        <v>2000</v>
      </c>
      <c r="T4767" s="83" t="s">
        <v>15640</v>
      </c>
      <c r="U4767" s="95">
        <v>13836</v>
      </c>
      <c r="V4767" s="148">
        <v>45588</v>
      </c>
      <c r="W4767" s="85" t="s">
        <v>15641</v>
      </c>
      <c r="X4767" s="80"/>
      <c r="Y4767" s="22">
        <v>100</v>
      </c>
      <c r="Z4767" s="80" t="s">
        <v>50</v>
      </c>
      <c r="AA4767" s="96" t="s">
        <v>9905</v>
      </c>
      <c r="AB4767" s="80"/>
      <c r="AC4767" s="80" t="s">
        <v>53</v>
      </c>
      <c r="AD4767" s="80" t="s">
        <v>138</v>
      </c>
      <c r="AE4767" s="80" t="s">
        <v>13424</v>
      </c>
      <c r="AF4767" s="17">
        <v>45624</v>
      </c>
      <c r="AG4767" s="80"/>
      <c r="AH4767" s="80"/>
      <c r="AI4767" s="147"/>
      <c r="AJ4767" s="80"/>
      <c r="AK4767" s="80"/>
      <c r="AL4767" s="35"/>
      <c r="AM4767" s="35"/>
      <c r="AN4767" s="35"/>
      <c r="AO4767" s="35"/>
      <c r="AP4767" s="35"/>
    </row>
    <row r="4768" spans="1:42" x14ac:dyDescent="0.2">
      <c r="A4768" s="74">
        <v>45618</v>
      </c>
      <c r="B4768" s="137" t="s">
        <v>37</v>
      </c>
      <c r="C4768" s="41" t="s">
        <v>118</v>
      </c>
      <c r="D4768" s="80" t="s">
        <v>36</v>
      </c>
      <c r="E4768" s="80" t="s">
        <v>139</v>
      </c>
      <c r="F4768" s="80" t="s">
        <v>13424</v>
      </c>
      <c r="G4768" s="80" t="s">
        <v>108</v>
      </c>
      <c r="H4768" s="80" t="s">
        <v>10098</v>
      </c>
      <c r="I4768" s="17">
        <f ca="1">IFERROR(__xludf.DUMMYFUNCTION("""COMPUTED_VALUE"""),45624)</f>
        <v>45624</v>
      </c>
      <c r="J4768" s="143" t="s">
        <v>16731</v>
      </c>
      <c r="K4768" s="80" t="s">
        <v>15667</v>
      </c>
      <c r="L4768" s="30">
        <v>329523506</v>
      </c>
      <c r="M4768" s="80" t="s">
        <v>3728</v>
      </c>
      <c r="N4768" s="80" t="s">
        <v>5277</v>
      </c>
      <c r="O4768" s="80" t="s">
        <v>15668</v>
      </c>
      <c r="P4768" s="80" t="s">
        <v>15669</v>
      </c>
      <c r="Q4768" s="20">
        <v>15936</v>
      </c>
      <c r="R4768" s="80" t="s">
        <v>36</v>
      </c>
      <c r="S4768" s="95">
        <f>500+1500</f>
        <v>2000</v>
      </c>
      <c r="T4768" s="83" t="s">
        <v>15670</v>
      </c>
      <c r="U4768" s="95">
        <v>13936</v>
      </c>
      <c r="V4768" s="148">
        <v>45589</v>
      </c>
      <c r="W4768" s="85" t="s">
        <v>15671</v>
      </c>
      <c r="X4768" s="80"/>
      <c r="Y4768" s="22">
        <v>0</v>
      </c>
      <c r="Z4768" s="80" t="s">
        <v>50</v>
      </c>
      <c r="AA4768" s="35" t="s">
        <v>9905</v>
      </c>
      <c r="AB4768" s="80"/>
      <c r="AC4768" s="80" t="s">
        <v>53</v>
      </c>
      <c r="AD4768" s="80" t="s">
        <v>138</v>
      </c>
      <c r="AE4768" s="80" t="s">
        <v>13424</v>
      </c>
      <c r="AF4768" s="17">
        <v>45624</v>
      </c>
      <c r="AG4768" s="143" t="s">
        <v>15666</v>
      </c>
      <c r="AH4768" s="80"/>
      <c r="AI4768" s="147"/>
      <c r="AJ4768" s="80"/>
      <c r="AK4768" s="80"/>
      <c r="AL4768" s="35"/>
      <c r="AM4768" s="35"/>
      <c r="AN4768" s="35"/>
      <c r="AO4768" s="35"/>
      <c r="AP4768" s="35"/>
    </row>
    <row r="4769" spans="1:42" x14ac:dyDescent="0.2">
      <c r="A4769" s="74">
        <v>45618</v>
      </c>
      <c r="B4769" s="137" t="s">
        <v>37</v>
      </c>
      <c r="C4769" s="41" t="s">
        <v>118</v>
      </c>
      <c r="D4769" s="80" t="s">
        <v>36</v>
      </c>
      <c r="E4769" s="80" t="s">
        <v>56</v>
      </c>
      <c r="F4769" s="80" t="s">
        <v>13424</v>
      </c>
      <c r="G4769" s="80" t="s">
        <v>108</v>
      </c>
      <c r="H4769" s="80" t="s">
        <v>10098</v>
      </c>
      <c r="I4769" s="17">
        <f ca="1">IFERROR(__xludf.DUMMYFUNCTION("""COMPUTED_VALUE"""),45624)</f>
        <v>45624</v>
      </c>
      <c r="J4769" s="143" t="s">
        <v>15735</v>
      </c>
      <c r="K4769" s="80" t="s">
        <v>15020</v>
      </c>
      <c r="L4769" s="30">
        <v>962601390</v>
      </c>
      <c r="M4769" s="80" t="s">
        <v>9422</v>
      </c>
      <c r="N4769" s="80" t="s">
        <v>186</v>
      </c>
      <c r="O4769" s="80" t="s">
        <v>11607</v>
      </c>
      <c r="P4769" s="80" t="s">
        <v>15736</v>
      </c>
      <c r="Q4769" s="20">
        <v>9317</v>
      </c>
      <c r="R4769" s="80" t="s">
        <v>11421</v>
      </c>
      <c r="S4769" s="95">
        <v>2000</v>
      </c>
      <c r="T4769" s="148">
        <v>45561</v>
      </c>
      <c r="U4769" s="95">
        <v>7017</v>
      </c>
      <c r="V4769" s="148">
        <v>45586</v>
      </c>
      <c r="W4769" s="85" t="s">
        <v>15737</v>
      </c>
      <c r="X4769" s="80"/>
      <c r="Y4769" s="22">
        <v>300</v>
      </c>
      <c r="Z4769" s="80" t="s">
        <v>50</v>
      </c>
      <c r="AA4769" s="96" t="s">
        <v>9905</v>
      </c>
      <c r="AB4769" s="80"/>
      <c r="AC4769" s="80" t="s">
        <v>53</v>
      </c>
      <c r="AD4769" s="80" t="s">
        <v>138</v>
      </c>
      <c r="AE4769" s="80" t="s">
        <v>13424</v>
      </c>
      <c r="AF4769" s="17">
        <v>45624</v>
      </c>
      <c r="AG4769" s="80"/>
      <c r="AH4769" s="80"/>
      <c r="AI4769" s="147"/>
      <c r="AJ4769" s="80"/>
      <c r="AK4769" s="80"/>
      <c r="AL4769" s="35"/>
      <c r="AM4769" s="35"/>
      <c r="AN4769" s="35"/>
      <c r="AO4769" s="35"/>
      <c r="AP4769" s="35"/>
    </row>
    <row r="4770" spans="1:42" x14ac:dyDescent="0.2">
      <c r="A4770" s="74">
        <v>45618</v>
      </c>
      <c r="B4770" s="137" t="s">
        <v>37</v>
      </c>
      <c r="C4770" s="41" t="s">
        <v>118</v>
      </c>
      <c r="D4770" s="80" t="s">
        <v>36</v>
      </c>
      <c r="E4770" s="80" t="s">
        <v>56</v>
      </c>
      <c r="F4770" s="80" t="s">
        <v>13424</v>
      </c>
      <c r="G4770" s="80" t="s">
        <v>108</v>
      </c>
      <c r="H4770" s="80" t="s">
        <v>10098</v>
      </c>
      <c r="I4770" s="17">
        <f ca="1">IFERROR(__xludf.DUMMYFUNCTION("""COMPUTED_VALUE"""),45624)</f>
        <v>45624</v>
      </c>
      <c r="J4770" s="143" t="s">
        <v>15738</v>
      </c>
      <c r="K4770" s="80" t="s">
        <v>15739</v>
      </c>
      <c r="L4770" s="30">
        <v>333172445</v>
      </c>
      <c r="M4770" s="80" t="s">
        <v>9422</v>
      </c>
      <c r="N4770" s="80" t="s">
        <v>186</v>
      </c>
      <c r="O4770" s="80" t="s">
        <v>11607</v>
      </c>
      <c r="P4770" s="80" t="s">
        <v>15740</v>
      </c>
      <c r="Q4770" s="20">
        <v>9317</v>
      </c>
      <c r="R4770" s="80" t="s">
        <v>11421</v>
      </c>
      <c r="S4770" s="95">
        <v>2000</v>
      </c>
      <c r="T4770" s="170">
        <v>45561</v>
      </c>
      <c r="U4770" s="95">
        <v>7017</v>
      </c>
      <c r="V4770" s="148">
        <v>45586</v>
      </c>
      <c r="W4770" s="85" t="s">
        <v>15741</v>
      </c>
      <c r="X4770" s="80"/>
      <c r="Y4770" s="22">
        <v>300</v>
      </c>
      <c r="Z4770" s="80" t="s">
        <v>50</v>
      </c>
      <c r="AA4770" s="35" t="s">
        <v>9905</v>
      </c>
      <c r="AB4770" s="80"/>
      <c r="AC4770" s="80" t="s">
        <v>53</v>
      </c>
      <c r="AD4770" s="80" t="s">
        <v>138</v>
      </c>
      <c r="AE4770" s="80" t="s">
        <v>13424</v>
      </c>
      <c r="AF4770" s="17">
        <v>45624</v>
      </c>
      <c r="AG4770" s="80"/>
      <c r="AH4770" s="80"/>
      <c r="AI4770" s="147"/>
      <c r="AJ4770" s="80"/>
      <c r="AK4770" s="80"/>
      <c r="AL4770" s="35"/>
      <c r="AM4770" s="35"/>
      <c r="AN4770" s="35"/>
      <c r="AO4770" s="35"/>
      <c r="AP4770" s="35"/>
    </row>
    <row r="4771" spans="1:42" x14ac:dyDescent="0.2">
      <c r="A4771" s="74">
        <v>45618</v>
      </c>
      <c r="B4771" s="137" t="s">
        <v>37</v>
      </c>
      <c r="C4771" s="41" t="s">
        <v>118</v>
      </c>
      <c r="D4771" s="80" t="s">
        <v>36</v>
      </c>
      <c r="E4771" s="80" t="s">
        <v>39</v>
      </c>
      <c r="F4771" s="80" t="s">
        <v>13424</v>
      </c>
      <c r="G4771" s="80" t="s">
        <v>108</v>
      </c>
      <c r="H4771" s="80" t="s">
        <v>10098</v>
      </c>
      <c r="I4771" s="17">
        <f ca="1">IFERROR(__xludf.DUMMYFUNCTION("""COMPUTED_VALUE"""),45624)</f>
        <v>45624</v>
      </c>
      <c r="J4771" s="143" t="s">
        <v>13593</v>
      </c>
      <c r="K4771" s="80" t="s">
        <v>13594</v>
      </c>
      <c r="L4771" s="30">
        <v>354700362</v>
      </c>
      <c r="M4771" s="80" t="s">
        <v>45</v>
      </c>
      <c r="N4771" s="80" t="s">
        <v>12895</v>
      </c>
      <c r="O4771" s="80" t="s">
        <v>13595</v>
      </c>
      <c r="P4771" s="80" t="s">
        <v>7743</v>
      </c>
      <c r="Q4771" s="20">
        <v>5736</v>
      </c>
      <c r="R4771" s="80" t="s">
        <v>36</v>
      </c>
      <c r="S4771" s="95">
        <v>5736</v>
      </c>
      <c r="T4771" s="148">
        <v>45558</v>
      </c>
      <c r="U4771" s="77"/>
      <c r="V4771" s="78"/>
      <c r="W4771" s="85" t="s">
        <v>13596</v>
      </c>
      <c r="X4771" s="80">
        <v>0</v>
      </c>
      <c r="Y4771" s="22">
        <v>0</v>
      </c>
      <c r="Z4771" s="80" t="s">
        <v>50</v>
      </c>
      <c r="AA4771" s="96" t="s">
        <v>3291</v>
      </c>
      <c r="AB4771" s="80"/>
      <c r="AC4771" s="80" t="s">
        <v>53</v>
      </c>
      <c r="AD4771" s="80" t="s">
        <v>138</v>
      </c>
      <c r="AE4771" s="80" t="s">
        <v>13424</v>
      </c>
      <c r="AF4771" s="17">
        <v>45624</v>
      </c>
      <c r="AG4771" s="80"/>
      <c r="AH4771" s="80"/>
      <c r="AI4771" s="147" t="s">
        <v>55</v>
      </c>
      <c r="AJ4771" s="80"/>
      <c r="AK4771" s="80"/>
      <c r="AL4771" s="35"/>
      <c r="AM4771" s="35"/>
      <c r="AN4771" s="35"/>
      <c r="AO4771" s="35"/>
      <c r="AP4771" s="35"/>
    </row>
    <row r="4772" spans="1:42" x14ac:dyDescent="0.2">
      <c r="A4772" s="74">
        <v>45618</v>
      </c>
      <c r="B4772" s="137" t="s">
        <v>1703</v>
      </c>
      <c r="C4772" s="41" t="s">
        <v>118</v>
      </c>
      <c r="D4772" s="80" t="s">
        <v>36</v>
      </c>
      <c r="E4772" s="80" t="s">
        <v>139</v>
      </c>
      <c r="F4772" s="80" t="s">
        <v>13424</v>
      </c>
      <c r="G4772" s="80" t="s">
        <v>108</v>
      </c>
      <c r="H4772" s="80" t="s">
        <v>865</v>
      </c>
      <c r="I4772" s="17" t="str">
        <f ca="1">IFERROR(__xludf.DUMMYFUNCTION("""COMPUTED_VALUE""")," ")</f>
        <v xml:space="preserve"> </v>
      </c>
      <c r="J4772" s="143" t="s">
        <v>16732</v>
      </c>
      <c r="K4772" s="145" t="s">
        <v>16733</v>
      </c>
      <c r="L4772" s="30">
        <v>335418692</v>
      </c>
      <c r="M4772" s="80" t="s">
        <v>2755</v>
      </c>
      <c r="N4772" s="80" t="s">
        <v>2756</v>
      </c>
      <c r="O4772" s="80" t="s">
        <v>4503</v>
      </c>
      <c r="P4772" s="80" t="s">
        <v>3694</v>
      </c>
      <c r="Q4772" s="20">
        <v>15936</v>
      </c>
      <c r="R4772" s="80" t="s">
        <v>36</v>
      </c>
      <c r="S4772" s="95">
        <f>200+4800</f>
        <v>5000</v>
      </c>
      <c r="T4772" s="83" t="s">
        <v>16734</v>
      </c>
      <c r="U4772" s="95">
        <v>10936</v>
      </c>
      <c r="V4772" s="148">
        <v>45610</v>
      </c>
      <c r="W4772" s="85" t="s">
        <v>16735</v>
      </c>
      <c r="X4772" s="80"/>
      <c r="Y4772" s="22">
        <v>0</v>
      </c>
      <c r="Z4772" s="80"/>
      <c r="AA4772" s="86"/>
      <c r="AB4772" s="80"/>
      <c r="AC4772" s="80" t="s">
        <v>53</v>
      </c>
      <c r="AD4772" s="80" t="s">
        <v>138</v>
      </c>
      <c r="AE4772" s="80" t="s">
        <v>13424</v>
      </c>
      <c r="AF4772" s="17"/>
      <c r="AG4772" s="80"/>
      <c r="AH4772" s="80"/>
      <c r="AI4772" s="147"/>
      <c r="AJ4772" s="80"/>
      <c r="AK4772" s="80"/>
      <c r="AL4772" s="35"/>
      <c r="AM4772" s="35"/>
      <c r="AN4772" s="35"/>
      <c r="AO4772" s="35"/>
      <c r="AP4772" s="35"/>
    </row>
    <row r="4773" spans="1:42" x14ac:dyDescent="0.2">
      <c r="A4773" s="74">
        <v>45618</v>
      </c>
      <c r="B4773" s="137" t="s">
        <v>37</v>
      </c>
      <c r="C4773" s="41" t="s">
        <v>118</v>
      </c>
      <c r="D4773" s="80" t="s">
        <v>36</v>
      </c>
      <c r="E4773" s="80" t="s">
        <v>139</v>
      </c>
      <c r="F4773" s="80" t="s">
        <v>13424</v>
      </c>
      <c r="G4773" s="80" t="s">
        <v>108</v>
      </c>
      <c r="H4773" s="80" t="s">
        <v>10098</v>
      </c>
      <c r="I4773" s="17">
        <f ca="1">IFERROR(__xludf.DUMMYFUNCTION("""COMPUTED_VALUE"""),45624)</f>
        <v>45624</v>
      </c>
      <c r="J4773" s="143" t="s">
        <v>16146</v>
      </c>
      <c r="K4773" s="80" t="s">
        <v>7979</v>
      </c>
      <c r="L4773" s="30">
        <v>967038205</v>
      </c>
      <c r="M4773" s="80" t="s">
        <v>11413</v>
      </c>
      <c r="N4773" s="80" t="s">
        <v>1246</v>
      </c>
      <c r="O4773" s="80" t="s">
        <v>16147</v>
      </c>
      <c r="P4773" s="80" t="s">
        <v>16148</v>
      </c>
      <c r="Q4773" s="20">
        <v>15936</v>
      </c>
      <c r="R4773" s="80" t="s">
        <v>36</v>
      </c>
      <c r="S4773" s="95">
        <v>2000</v>
      </c>
      <c r="T4773" s="148">
        <v>45571</v>
      </c>
      <c r="U4773" s="77">
        <v>13936</v>
      </c>
      <c r="V4773" s="78">
        <v>45586</v>
      </c>
      <c r="W4773" s="79" t="s">
        <v>16149</v>
      </c>
      <c r="X4773" s="80"/>
      <c r="Y4773" s="22">
        <v>0</v>
      </c>
      <c r="Z4773" s="80" t="s">
        <v>50</v>
      </c>
      <c r="AA4773" s="96" t="s">
        <v>9905</v>
      </c>
      <c r="AB4773" s="80"/>
      <c r="AC4773" s="80" t="s">
        <v>53</v>
      </c>
      <c r="AD4773" s="80" t="s">
        <v>54</v>
      </c>
      <c r="AE4773" s="80" t="s">
        <v>13424</v>
      </c>
      <c r="AF4773" s="17">
        <v>45624</v>
      </c>
      <c r="AG4773" s="80"/>
      <c r="AH4773" s="80"/>
      <c r="AI4773" s="147"/>
      <c r="AJ4773" s="80"/>
      <c r="AK4773" s="80"/>
      <c r="AL4773" s="35"/>
      <c r="AM4773" s="35"/>
      <c r="AN4773" s="35"/>
      <c r="AO4773" s="35"/>
      <c r="AP4773" s="35"/>
    </row>
    <row r="4774" spans="1:42" x14ac:dyDescent="0.2">
      <c r="A4774" s="74">
        <v>45618</v>
      </c>
      <c r="B4774" s="137" t="s">
        <v>37</v>
      </c>
      <c r="C4774" s="41" t="s">
        <v>118</v>
      </c>
      <c r="D4774" s="80" t="s">
        <v>36</v>
      </c>
      <c r="E4774" s="80" t="s">
        <v>139</v>
      </c>
      <c r="F4774" s="80" t="s">
        <v>13424</v>
      </c>
      <c r="G4774" s="80" t="s">
        <v>108</v>
      </c>
      <c r="H4774" s="80" t="s">
        <v>14088</v>
      </c>
      <c r="I4774" s="17">
        <f ca="1">IFERROR(__xludf.DUMMYFUNCTION("""COMPUTED_VALUE"""),45699)</f>
        <v>45699</v>
      </c>
      <c r="J4774" s="143" t="s">
        <v>16101</v>
      </c>
      <c r="K4774" s="80" t="s">
        <v>16736</v>
      </c>
      <c r="L4774" s="30">
        <v>389462402</v>
      </c>
      <c r="M4774" s="80" t="s">
        <v>5558</v>
      </c>
      <c r="N4774" s="80" t="s">
        <v>5277</v>
      </c>
      <c r="O4774" s="80" t="s">
        <v>4503</v>
      </c>
      <c r="P4774" s="80" t="s">
        <v>16103</v>
      </c>
      <c r="Q4774" s="20">
        <v>15936</v>
      </c>
      <c r="R4774" s="80" t="s">
        <v>36</v>
      </c>
      <c r="S4774" s="95">
        <f>50+6000</f>
        <v>6050</v>
      </c>
      <c r="T4774" s="83" t="s">
        <v>16104</v>
      </c>
      <c r="U4774" s="95">
        <v>9886</v>
      </c>
      <c r="V4774" s="148">
        <v>45585</v>
      </c>
      <c r="W4774" s="85" t="s">
        <v>16105</v>
      </c>
      <c r="X4774" s="80"/>
      <c r="Y4774" s="22">
        <v>0</v>
      </c>
      <c r="Z4774" s="80" t="s">
        <v>50</v>
      </c>
      <c r="AA4774" s="35" t="s">
        <v>9905</v>
      </c>
      <c r="AB4774" s="80"/>
      <c r="AC4774" s="80" t="s">
        <v>53</v>
      </c>
      <c r="AD4774" s="80" t="s">
        <v>138</v>
      </c>
      <c r="AE4774" s="80" t="s">
        <v>13424</v>
      </c>
      <c r="AF4774" s="17">
        <v>45624</v>
      </c>
      <c r="AG4774" s="80"/>
      <c r="AH4774" s="80"/>
      <c r="AI4774" s="147"/>
      <c r="AJ4774" s="80"/>
      <c r="AK4774" s="80"/>
      <c r="AL4774" s="35"/>
      <c r="AM4774" s="35"/>
      <c r="AN4774" s="35"/>
      <c r="AO4774" s="35"/>
      <c r="AP4774" s="35"/>
    </row>
    <row r="4775" spans="1:42" x14ac:dyDescent="0.2">
      <c r="A4775" s="74">
        <v>45618</v>
      </c>
      <c r="B4775" s="137" t="s">
        <v>37</v>
      </c>
      <c r="C4775" s="41" t="s">
        <v>118</v>
      </c>
      <c r="D4775" s="80" t="s">
        <v>36</v>
      </c>
      <c r="E4775" s="80" t="s">
        <v>56</v>
      </c>
      <c r="F4775" s="80" t="s">
        <v>14934</v>
      </c>
      <c r="G4775" s="80" t="s">
        <v>108</v>
      </c>
      <c r="H4775" s="80" t="s">
        <v>14495</v>
      </c>
      <c r="I4775" s="17">
        <f ca="1">IFERROR(__xludf.DUMMYFUNCTION("""COMPUTED_VALUE"""),45627)</f>
        <v>45627</v>
      </c>
      <c r="J4775" s="143" t="s">
        <v>15647</v>
      </c>
      <c r="K4775" s="80" t="s">
        <v>15648</v>
      </c>
      <c r="L4775" s="30">
        <v>866443705</v>
      </c>
      <c r="M4775" s="80" t="s">
        <v>59</v>
      </c>
      <c r="N4775" s="80" t="s">
        <v>9294</v>
      </c>
      <c r="O4775" s="80" t="s">
        <v>15649</v>
      </c>
      <c r="P4775" s="80" t="s">
        <v>12687</v>
      </c>
      <c r="Q4775" s="20">
        <v>9317</v>
      </c>
      <c r="R4775" s="80" t="s">
        <v>36</v>
      </c>
      <c r="S4775" s="95">
        <f>200+9117</f>
        <v>9317</v>
      </c>
      <c r="T4775" s="83" t="s">
        <v>15650</v>
      </c>
      <c r="U4775" s="77"/>
      <c r="V4775" s="78"/>
      <c r="W4775" s="85" t="s">
        <v>15651</v>
      </c>
      <c r="X4775" s="80"/>
      <c r="Y4775" s="22">
        <v>0</v>
      </c>
      <c r="Z4775" s="80" t="s">
        <v>50</v>
      </c>
      <c r="AA4775" s="96" t="s">
        <v>9905</v>
      </c>
      <c r="AB4775" s="80"/>
      <c r="AC4775" s="80" t="s">
        <v>53</v>
      </c>
      <c r="AD4775" s="80" t="s">
        <v>138</v>
      </c>
      <c r="AE4775" s="80" t="s">
        <v>14934</v>
      </c>
      <c r="AF4775" s="17">
        <v>45630</v>
      </c>
      <c r="AG4775" s="80"/>
      <c r="AH4775" s="80"/>
      <c r="AI4775" s="147"/>
      <c r="AJ4775" s="80"/>
      <c r="AK4775" s="80"/>
      <c r="AL4775" s="35"/>
      <c r="AM4775" s="35"/>
      <c r="AN4775" s="35"/>
      <c r="AO4775" s="35"/>
      <c r="AP4775" s="35"/>
    </row>
    <row r="4776" spans="1:42" x14ac:dyDescent="0.2">
      <c r="A4776" s="74">
        <v>45618</v>
      </c>
      <c r="B4776" s="137" t="s">
        <v>37</v>
      </c>
      <c r="C4776" s="41" t="s">
        <v>118</v>
      </c>
      <c r="D4776" s="80" t="s">
        <v>36</v>
      </c>
      <c r="E4776" s="80" t="s">
        <v>139</v>
      </c>
      <c r="F4776" s="80" t="s">
        <v>14934</v>
      </c>
      <c r="G4776" s="80" t="s">
        <v>108</v>
      </c>
      <c r="H4776" s="80" t="s">
        <v>14495</v>
      </c>
      <c r="I4776" s="17">
        <f ca="1">IFERROR(__xludf.DUMMYFUNCTION("""COMPUTED_VALUE"""),45627)</f>
        <v>45627</v>
      </c>
      <c r="J4776" s="143" t="s">
        <v>15742</v>
      </c>
      <c r="K4776" s="80" t="s">
        <v>151</v>
      </c>
      <c r="L4776" s="30">
        <v>974712006</v>
      </c>
      <c r="M4776" s="80" t="s">
        <v>12644</v>
      </c>
      <c r="N4776" s="80" t="s">
        <v>60</v>
      </c>
      <c r="O4776" s="80" t="s">
        <v>15744</v>
      </c>
      <c r="P4776" s="80" t="s">
        <v>13226</v>
      </c>
      <c r="Q4776" s="20">
        <v>15936</v>
      </c>
      <c r="R4776" s="80" t="s">
        <v>36</v>
      </c>
      <c r="S4776" s="95">
        <f>200+1800</f>
        <v>2000</v>
      </c>
      <c r="T4776" s="83" t="s">
        <v>15745</v>
      </c>
      <c r="U4776" s="95">
        <v>13968</v>
      </c>
      <c r="V4776" s="148">
        <v>45591</v>
      </c>
      <c r="W4776" s="85" t="s">
        <v>15746</v>
      </c>
      <c r="X4776" s="80"/>
      <c r="Y4776" s="22">
        <v>-32</v>
      </c>
      <c r="Z4776" s="80" t="s">
        <v>50</v>
      </c>
      <c r="AA4776" s="35" t="s">
        <v>9905</v>
      </c>
      <c r="AB4776" s="80"/>
      <c r="AC4776" s="80" t="s">
        <v>53</v>
      </c>
      <c r="AD4776" s="80" t="s">
        <v>138</v>
      </c>
      <c r="AE4776" s="80" t="s">
        <v>14934</v>
      </c>
      <c r="AF4776" s="17">
        <v>45630</v>
      </c>
      <c r="AG4776" s="80"/>
      <c r="AH4776" s="80"/>
      <c r="AI4776" s="147"/>
      <c r="AJ4776" s="80"/>
      <c r="AK4776" s="80"/>
      <c r="AL4776" s="35"/>
      <c r="AM4776" s="35"/>
      <c r="AN4776" s="35"/>
      <c r="AO4776" s="35"/>
      <c r="AP4776" s="35"/>
    </row>
    <row r="4777" spans="1:42" x14ac:dyDescent="0.2">
      <c r="A4777" s="74">
        <v>45618</v>
      </c>
      <c r="B4777" s="137" t="s">
        <v>37</v>
      </c>
      <c r="C4777" s="41" t="s">
        <v>118</v>
      </c>
      <c r="D4777" s="80" t="s">
        <v>36</v>
      </c>
      <c r="E4777" s="80" t="s">
        <v>139</v>
      </c>
      <c r="F4777" s="80" t="s">
        <v>14934</v>
      </c>
      <c r="G4777" s="80" t="s">
        <v>108</v>
      </c>
      <c r="H4777" s="80" t="s">
        <v>14495</v>
      </c>
      <c r="I4777" s="17">
        <f ca="1">IFERROR(__xludf.DUMMYFUNCTION("""COMPUTED_VALUE"""),45627)</f>
        <v>45627</v>
      </c>
      <c r="J4777" s="143" t="s">
        <v>15985</v>
      </c>
      <c r="K4777" s="80" t="s">
        <v>15986</v>
      </c>
      <c r="L4777" s="30">
        <v>328705276</v>
      </c>
      <c r="M4777" s="80" t="s">
        <v>59</v>
      </c>
      <c r="N4777" s="80" t="s">
        <v>68</v>
      </c>
      <c r="O4777" s="80" t="s">
        <v>15987</v>
      </c>
      <c r="P4777" s="80" t="s">
        <v>15988</v>
      </c>
      <c r="Q4777" s="20">
        <v>15936</v>
      </c>
      <c r="R4777" s="80" t="s">
        <v>36</v>
      </c>
      <c r="S4777" s="95">
        <f>200+3000</f>
        <v>3200</v>
      </c>
      <c r="T4777" s="83" t="s">
        <v>15942</v>
      </c>
      <c r="U4777" s="95">
        <v>12736</v>
      </c>
      <c r="V4777" s="148">
        <v>45586</v>
      </c>
      <c r="W4777" s="85" t="s">
        <v>15989</v>
      </c>
      <c r="X4777" s="80"/>
      <c r="Y4777" s="22">
        <v>0</v>
      </c>
      <c r="Z4777" s="80" t="s">
        <v>50</v>
      </c>
      <c r="AA4777" s="96" t="s">
        <v>9905</v>
      </c>
      <c r="AB4777" s="80"/>
      <c r="AC4777" s="80" t="s">
        <v>53</v>
      </c>
      <c r="AD4777" s="80"/>
      <c r="AE4777" s="80" t="s">
        <v>14934</v>
      </c>
      <c r="AF4777" s="17">
        <v>45630</v>
      </c>
      <c r="AG4777" s="80"/>
      <c r="AH4777" s="80"/>
      <c r="AI4777" s="147"/>
      <c r="AJ4777" s="80"/>
      <c r="AK4777" s="80"/>
      <c r="AL4777" s="35"/>
      <c r="AM4777" s="35"/>
      <c r="AN4777" s="35"/>
      <c r="AO4777" s="35"/>
      <c r="AP4777" s="35"/>
    </row>
    <row r="4778" spans="1:42" x14ac:dyDescent="0.2">
      <c r="A4778" s="74">
        <v>45618</v>
      </c>
      <c r="B4778" s="137" t="s">
        <v>37</v>
      </c>
      <c r="C4778" s="41" t="s">
        <v>118</v>
      </c>
      <c r="D4778" s="80" t="s">
        <v>36</v>
      </c>
      <c r="E4778" s="80" t="s">
        <v>139</v>
      </c>
      <c r="F4778" s="80" t="s">
        <v>14934</v>
      </c>
      <c r="G4778" s="80" t="s">
        <v>41</v>
      </c>
      <c r="H4778" s="80" t="s">
        <v>13441</v>
      </c>
      <c r="I4778" s="17">
        <f ca="1">IFERROR(__xludf.DUMMYFUNCTION("""COMPUTED_VALUE"""),45625)</f>
        <v>45625</v>
      </c>
      <c r="J4778" s="143" t="s">
        <v>16737</v>
      </c>
      <c r="K4778" s="80" t="s">
        <v>16738</v>
      </c>
      <c r="L4778" s="30">
        <v>333006562</v>
      </c>
      <c r="M4778" s="80" t="s">
        <v>15970</v>
      </c>
      <c r="N4778" s="80" t="s">
        <v>7210</v>
      </c>
      <c r="O4778" s="80" t="s">
        <v>4503</v>
      </c>
      <c r="P4778" s="80" t="s">
        <v>3056</v>
      </c>
      <c r="Q4778" s="20">
        <v>15936</v>
      </c>
      <c r="R4778" s="80" t="s">
        <v>36</v>
      </c>
      <c r="S4778" s="95">
        <f>200+2000</f>
        <v>2200</v>
      </c>
      <c r="T4778" s="83" t="s">
        <v>16739</v>
      </c>
      <c r="U4778" s="95">
        <v>13736</v>
      </c>
      <c r="V4778" s="148">
        <v>45612</v>
      </c>
      <c r="W4778" s="85" t="s">
        <v>16740</v>
      </c>
      <c r="X4778" s="80"/>
      <c r="Y4778" s="22">
        <v>0</v>
      </c>
      <c r="Z4778" s="80"/>
      <c r="AA4778" s="86"/>
      <c r="AB4778" s="80"/>
      <c r="AC4778" s="80" t="s">
        <v>53</v>
      </c>
      <c r="AD4778" s="80" t="s">
        <v>138</v>
      </c>
      <c r="AE4778" s="80" t="s">
        <v>14934</v>
      </c>
      <c r="AF4778" s="43">
        <v>45625</v>
      </c>
      <c r="AG4778" s="39" t="s">
        <v>16741</v>
      </c>
      <c r="AH4778" s="80"/>
      <c r="AI4778" s="147"/>
      <c r="AJ4778" s="80"/>
      <c r="AK4778" s="80"/>
      <c r="AL4778" s="35"/>
      <c r="AM4778" s="35"/>
      <c r="AN4778" s="35"/>
      <c r="AO4778" s="35"/>
      <c r="AP4778" s="35"/>
    </row>
    <row r="4779" spans="1:42" x14ac:dyDescent="0.2">
      <c r="A4779" s="74">
        <v>45618</v>
      </c>
      <c r="B4779" s="137" t="s">
        <v>37</v>
      </c>
      <c r="C4779" s="41" t="s">
        <v>118</v>
      </c>
      <c r="D4779" s="80" t="s">
        <v>36</v>
      </c>
      <c r="E4779" s="80" t="s">
        <v>139</v>
      </c>
      <c r="F4779" s="80" t="s">
        <v>14934</v>
      </c>
      <c r="G4779" s="80" t="s">
        <v>108</v>
      </c>
      <c r="H4779" s="80" t="s">
        <v>14495</v>
      </c>
      <c r="I4779" s="17">
        <f ca="1">IFERROR(__xludf.DUMMYFUNCTION("""COMPUTED_VALUE"""),45627)</f>
        <v>45627</v>
      </c>
      <c r="J4779" s="143" t="s">
        <v>16011</v>
      </c>
      <c r="K4779" s="80" t="s">
        <v>16012</v>
      </c>
      <c r="L4779" s="30">
        <v>345788045</v>
      </c>
      <c r="M4779" s="80" t="s">
        <v>15996</v>
      </c>
      <c r="N4779" s="80" t="s">
        <v>186</v>
      </c>
      <c r="O4779" s="80" t="s">
        <v>4503</v>
      </c>
      <c r="P4779" s="80" t="s">
        <v>3056</v>
      </c>
      <c r="Q4779" s="20">
        <v>15936</v>
      </c>
      <c r="R4779" s="80" t="s">
        <v>70</v>
      </c>
      <c r="S4779" s="95">
        <f t="shared" ref="S4779:S4780" si="107">200+3000</f>
        <v>3200</v>
      </c>
      <c r="T4779" s="83" t="s">
        <v>16013</v>
      </c>
      <c r="U4779" s="95">
        <v>12636</v>
      </c>
      <c r="V4779" s="148">
        <v>45590</v>
      </c>
      <c r="W4779" s="85" t="s">
        <v>16014</v>
      </c>
      <c r="X4779" s="80"/>
      <c r="Y4779" s="22">
        <v>100</v>
      </c>
      <c r="Z4779" s="80" t="s">
        <v>50</v>
      </c>
      <c r="AA4779" s="96" t="s">
        <v>9905</v>
      </c>
      <c r="AB4779" s="80"/>
      <c r="AC4779" s="80" t="s">
        <v>53</v>
      </c>
      <c r="AD4779" s="80" t="s">
        <v>138</v>
      </c>
      <c r="AE4779" s="80" t="s">
        <v>14934</v>
      </c>
      <c r="AF4779" s="17">
        <v>45630</v>
      </c>
      <c r="AG4779" s="80"/>
      <c r="AH4779" s="80"/>
      <c r="AI4779" s="147"/>
      <c r="AJ4779" s="80"/>
      <c r="AK4779" s="80"/>
      <c r="AL4779" s="35"/>
      <c r="AM4779" s="35"/>
      <c r="AN4779" s="35"/>
      <c r="AO4779" s="35"/>
      <c r="AP4779" s="35"/>
    </row>
    <row r="4780" spans="1:42" x14ac:dyDescent="0.2">
      <c r="A4780" s="74">
        <v>45618</v>
      </c>
      <c r="B4780" s="137" t="s">
        <v>37</v>
      </c>
      <c r="C4780" s="41" t="s">
        <v>118</v>
      </c>
      <c r="D4780" s="80" t="s">
        <v>36</v>
      </c>
      <c r="E4780" s="80" t="s">
        <v>139</v>
      </c>
      <c r="F4780" s="80" t="s">
        <v>14934</v>
      </c>
      <c r="G4780" s="80" t="s">
        <v>108</v>
      </c>
      <c r="H4780" s="80" t="s">
        <v>14495</v>
      </c>
      <c r="I4780" s="17">
        <f ca="1">IFERROR(__xludf.DUMMYFUNCTION("""COMPUTED_VALUE"""),45627)</f>
        <v>45627</v>
      </c>
      <c r="J4780" s="143" t="s">
        <v>16015</v>
      </c>
      <c r="K4780" s="80" t="s">
        <v>16016</v>
      </c>
      <c r="L4780" s="30">
        <v>352749154</v>
      </c>
      <c r="M4780" s="80" t="s">
        <v>15996</v>
      </c>
      <c r="N4780" s="80" t="s">
        <v>186</v>
      </c>
      <c r="O4780" s="80" t="s">
        <v>4503</v>
      </c>
      <c r="P4780" s="80" t="s">
        <v>3056</v>
      </c>
      <c r="Q4780" s="20">
        <v>15936</v>
      </c>
      <c r="R4780" s="80" t="s">
        <v>70</v>
      </c>
      <c r="S4780" s="95">
        <f t="shared" si="107"/>
        <v>3200</v>
      </c>
      <c r="T4780" s="83" t="s">
        <v>16013</v>
      </c>
      <c r="U4780" s="95">
        <v>12636</v>
      </c>
      <c r="V4780" s="148">
        <v>45593</v>
      </c>
      <c r="W4780" s="85" t="s">
        <v>16017</v>
      </c>
      <c r="X4780" s="80"/>
      <c r="Y4780" s="22">
        <v>100</v>
      </c>
      <c r="Z4780" s="80" t="s">
        <v>50</v>
      </c>
      <c r="AA4780" s="35" t="s">
        <v>9905</v>
      </c>
      <c r="AB4780" s="80"/>
      <c r="AC4780" s="80" t="s">
        <v>53</v>
      </c>
      <c r="AD4780" s="80" t="s">
        <v>138</v>
      </c>
      <c r="AE4780" s="80" t="s">
        <v>14934</v>
      </c>
      <c r="AF4780" s="17">
        <v>45630</v>
      </c>
      <c r="AG4780" s="80"/>
      <c r="AH4780" s="80"/>
      <c r="AI4780" s="147"/>
      <c r="AJ4780" s="80"/>
      <c r="AK4780" s="80"/>
      <c r="AL4780" s="35"/>
      <c r="AM4780" s="35"/>
      <c r="AN4780" s="35"/>
      <c r="AO4780" s="35"/>
      <c r="AP4780" s="35"/>
    </row>
    <row r="4781" spans="1:42" x14ac:dyDescent="0.2">
      <c r="A4781" s="74">
        <v>45618</v>
      </c>
      <c r="B4781" s="137" t="s">
        <v>37</v>
      </c>
      <c r="C4781" s="41" t="s">
        <v>118</v>
      </c>
      <c r="D4781" s="80" t="s">
        <v>36</v>
      </c>
      <c r="E4781" s="80" t="s">
        <v>139</v>
      </c>
      <c r="F4781" s="80" t="s">
        <v>14934</v>
      </c>
      <c r="G4781" s="80" t="s">
        <v>108</v>
      </c>
      <c r="H4781" s="80" t="s">
        <v>14495</v>
      </c>
      <c r="I4781" s="17">
        <f ca="1">IFERROR(__xludf.DUMMYFUNCTION("""COMPUTED_VALUE"""),45627)</f>
        <v>45627</v>
      </c>
      <c r="J4781" s="143" t="s">
        <v>16742</v>
      </c>
      <c r="K4781" s="80" t="s">
        <v>16743</v>
      </c>
      <c r="L4781" s="30">
        <v>395247864</v>
      </c>
      <c r="M4781" s="26" t="s">
        <v>3498</v>
      </c>
      <c r="N4781" s="80" t="s">
        <v>2756</v>
      </c>
      <c r="O4781" s="80" t="s">
        <v>4503</v>
      </c>
      <c r="P4781" s="80" t="s">
        <v>3056</v>
      </c>
      <c r="Q4781" s="20">
        <v>15936</v>
      </c>
      <c r="R4781" s="80" t="s">
        <v>36</v>
      </c>
      <c r="S4781" s="95">
        <f>200+4800</f>
        <v>5000</v>
      </c>
      <c r="T4781" s="83" t="s">
        <v>16744</v>
      </c>
      <c r="U4781" s="95">
        <v>10936</v>
      </c>
      <c r="V4781" s="148">
        <v>45610</v>
      </c>
      <c r="W4781" s="85" t="s">
        <v>16745</v>
      </c>
      <c r="X4781" s="80"/>
      <c r="Y4781" s="22">
        <v>0</v>
      </c>
      <c r="Z4781" s="80"/>
      <c r="AA4781" s="82"/>
      <c r="AB4781" s="80"/>
      <c r="AC4781" s="80" t="s">
        <v>53</v>
      </c>
      <c r="AD4781" s="80" t="s">
        <v>138</v>
      </c>
      <c r="AE4781" s="80" t="s">
        <v>14934</v>
      </c>
      <c r="AF4781" s="17">
        <v>45630</v>
      </c>
      <c r="AG4781" s="80"/>
      <c r="AH4781" s="80"/>
      <c r="AI4781" s="147"/>
      <c r="AJ4781" s="80"/>
      <c r="AK4781" s="80"/>
      <c r="AL4781" s="35"/>
      <c r="AM4781" s="35"/>
      <c r="AN4781" s="35"/>
      <c r="AO4781" s="35"/>
      <c r="AP4781" s="35"/>
    </row>
    <row r="4782" spans="1:42" x14ac:dyDescent="0.2">
      <c r="A4782" s="74">
        <v>45618</v>
      </c>
      <c r="B4782" s="137" t="s">
        <v>37</v>
      </c>
      <c r="C4782" s="41" t="s">
        <v>118</v>
      </c>
      <c r="D4782" s="80" t="s">
        <v>36</v>
      </c>
      <c r="E4782" s="80" t="s">
        <v>139</v>
      </c>
      <c r="F4782" s="80" t="s">
        <v>14934</v>
      </c>
      <c r="G4782" s="80" t="s">
        <v>108</v>
      </c>
      <c r="H4782" s="80" t="s">
        <v>14495</v>
      </c>
      <c r="I4782" s="17">
        <f ca="1">IFERROR(__xludf.DUMMYFUNCTION("""COMPUTED_VALUE"""),45627)</f>
        <v>45627</v>
      </c>
      <c r="J4782" s="143" t="s">
        <v>16018</v>
      </c>
      <c r="K4782" s="80" t="s">
        <v>16019</v>
      </c>
      <c r="L4782" s="30">
        <v>372219846</v>
      </c>
      <c r="M4782" s="80" t="s">
        <v>15996</v>
      </c>
      <c r="N4782" s="80" t="s">
        <v>186</v>
      </c>
      <c r="O4782" s="80" t="s">
        <v>4503</v>
      </c>
      <c r="P4782" s="80" t="s">
        <v>3056</v>
      </c>
      <c r="Q4782" s="20">
        <v>15936</v>
      </c>
      <c r="R4782" s="80" t="s">
        <v>36</v>
      </c>
      <c r="S4782" s="95">
        <f>200+3000</f>
        <v>3200</v>
      </c>
      <c r="T4782" s="83" t="s">
        <v>16020</v>
      </c>
      <c r="U4782" s="95">
        <v>12736</v>
      </c>
      <c r="V4782" s="148">
        <v>45595</v>
      </c>
      <c r="W4782" s="85" t="s">
        <v>16021</v>
      </c>
      <c r="X4782" s="80"/>
      <c r="Y4782" s="22">
        <v>0</v>
      </c>
      <c r="Z4782" s="80" t="s">
        <v>50</v>
      </c>
      <c r="AA4782" s="35" t="s">
        <v>9905</v>
      </c>
      <c r="AB4782" s="80"/>
      <c r="AC4782" s="80" t="s">
        <v>53</v>
      </c>
      <c r="AD4782" s="80" t="s">
        <v>138</v>
      </c>
      <c r="AE4782" s="80" t="s">
        <v>14934</v>
      </c>
      <c r="AF4782" s="17">
        <v>45630</v>
      </c>
      <c r="AG4782" s="80"/>
      <c r="AH4782" s="80"/>
      <c r="AI4782" s="147"/>
      <c r="AJ4782" s="80"/>
      <c r="AK4782" s="80"/>
      <c r="AL4782" s="35"/>
      <c r="AM4782" s="35"/>
      <c r="AN4782" s="35"/>
      <c r="AO4782" s="35"/>
      <c r="AP4782" s="35"/>
    </row>
    <row r="4783" spans="1:42" x14ac:dyDescent="0.2">
      <c r="A4783" s="74">
        <v>45618</v>
      </c>
      <c r="B4783" s="137" t="s">
        <v>37</v>
      </c>
      <c r="C4783" s="41" t="s">
        <v>118</v>
      </c>
      <c r="D4783" s="80" t="s">
        <v>36</v>
      </c>
      <c r="E4783" s="80" t="s">
        <v>139</v>
      </c>
      <c r="F4783" s="80" t="s">
        <v>14934</v>
      </c>
      <c r="G4783" s="80" t="s">
        <v>108</v>
      </c>
      <c r="H4783" s="80" t="s">
        <v>14495</v>
      </c>
      <c r="I4783" s="17">
        <f ca="1">IFERROR(__xludf.DUMMYFUNCTION("""COMPUTED_VALUE"""),45627)</f>
        <v>45627</v>
      </c>
      <c r="J4783" s="143" t="s">
        <v>16746</v>
      </c>
      <c r="K4783" s="80" t="s">
        <v>16747</v>
      </c>
      <c r="L4783" s="30">
        <v>842147696</v>
      </c>
      <c r="M4783" s="80" t="s">
        <v>5429</v>
      </c>
      <c r="N4783" s="80" t="s">
        <v>81</v>
      </c>
      <c r="O4783" s="80" t="s">
        <v>4626</v>
      </c>
      <c r="P4783" s="80" t="s">
        <v>6368</v>
      </c>
      <c r="Q4783" s="20">
        <v>15936</v>
      </c>
      <c r="R4783" s="80" t="s">
        <v>36</v>
      </c>
      <c r="S4783" s="95">
        <v>2000</v>
      </c>
      <c r="T4783" s="148">
        <v>45570</v>
      </c>
      <c r="U4783" s="95">
        <v>13936</v>
      </c>
      <c r="V4783" s="148">
        <v>45602</v>
      </c>
      <c r="W4783" s="85" t="s">
        <v>16748</v>
      </c>
      <c r="X4783" s="80"/>
      <c r="Y4783" s="22">
        <v>0</v>
      </c>
      <c r="Z4783" s="80"/>
      <c r="AA4783" s="82"/>
      <c r="AB4783" s="80"/>
      <c r="AC4783" s="80" t="s">
        <v>53</v>
      </c>
      <c r="AD4783" s="80" t="s">
        <v>138</v>
      </c>
      <c r="AE4783" s="80" t="s">
        <v>14934</v>
      </c>
      <c r="AF4783" s="17">
        <v>45630</v>
      </c>
      <c r="AG4783" s="80"/>
      <c r="AH4783" s="80"/>
      <c r="AI4783" s="147"/>
      <c r="AJ4783" s="80"/>
      <c r="AK4783" s="80"/>
      <c r="AL4783" s="35"/>
      <c r="AM4783" s="35"/>
      <c r="AN4783" s="35"/>
      <c r="AO4783" s="35"/>
      <c r="AP4783" s="35"/>
    </row>
    <row r="4784" spans="1:42" x14ac:dyDescent="0.2">
      <c r="A4784" s="74">
        <v>45618</v>
      </c>
      <c r="B4784" s="137" t="s">
        <v>37</v>
      </c>
      <c r="C4784" s="41" t="s">
        <v>118</v>
      </c>
      <c r="D4784" s="80" t="s">
        <v>36</v>
      </c>
      <c r="E4784" s="80" t="s">
        <v>39</v>
      </c>
      <c r="F4784" s="80" t="s">
        <v>14934</v>
      </c>
      <c r="G4784" s="80" t="s">
        <v>108</v>
      </c>
      <c r="H4784" s="80" t="s">
        <v>14495</v>
      </c>
      <c r="I4784" s="17">
        <f ca="1">IFERROR(__xludf.DUMMYFUNCTION("""COMPUTED_VALUE"""),45627)</f>
        <v>45627</v>
      </c>
      <c r="J4784" s="143" t="s">
        <v>16749</v>
      </c>
      <c r="K4784" s="80" t="s">
        <v>16750</v>
      </c>
      <c r="L4784" s="30">
        <v>932002806</v>
      </c>
      <c r="M4784" s="80" t="s">
        <v>15970</v>
      </c>
      <c r="N4784" s="80" t="s">
        <v>15991</v>
      </c>
      <c r="O4784" s="80" t="s">
        <v>16751</v>
      </c>
      <c r="P4784" s="80" t="s">
        <v>16752</v>
      </c>
      <c r="Q4784" s="20">
        <v>5736</v>
      </c>
      <c r="R4784" s="80" t="s">
        <v>70</v>
      </c>
      <c r="S4784" s="95">
        <f>200+1800</f>
        <v>2000</v>
      </c>
      <c r="T4784" s="83" t="s">
        <v>16753</v>
      </c>
      <c r="U4784" s="95">
        <v>3636</v>
      </c>
      <c r="V4784" s="148">
        <v>45600</v>
      </c>
      <c r="W4784" s="85" t="s">
        <v>16754</v>
      </c>
      <c r="X4784" s="80"/>
      <c r="Y4784" s="22">
        <v>100</v>
      </c>
      <c r="Z4784" s="80"/>
      <c r="AA4784" s="86"/>
      <c r="AB4784" s="80"/>
      <c r="AC4784" s="80"/>
      <c r="AD4784" s="80" t="s">
        <v>138</v>
      </c>
      <c r="AE4784" s="80" t="s">
        <v>14934</v>
      </c>
      <c r="AF4784" s="17">
        <v>45630</v>
      </c>
      <c r="AG4784" s="80"/>
      <c r="AH4784" s="80"/>
      <c r="AI4784" s="147"/>
      <c r="AJ4784" s="80"/>
      <c r="AK4784" s="80"/>
      <c r="AL4784" s="35"/>
      <c r="AM4784" s="35"/>
      <c r="AN4784" s="35"/>
      <c r="AO4784" s="35"/>
      <c r="AP4784" s="35"/>
    </row>
    <row r="4785" spans="1:42" x14ac:dyDescent="0.2">
      <c r="A4785" s="74">
        <v>45618</v>
      </c>
      <c r="B4785" s="137" t="s">
        <v>37</v>
      </c>
      <c r="C4785" s="41" t="s">
        <v>118</v>
      </c>
      <c r="D4785" s="80" t="s">
        <v>36</v>
      </c>
      <c r="E4785" s="80" t="s">
        <v>139</v>
      </c>
      <c r="F4785" s="80" t="s">
        <v>14934</v>
      </c>
      <c r="G4785" s="80" t="s">
        <v>108</v>
      </c>
      <c r="H4785" s="80" t="s">
        <v>14495</v>
      </c>
      <c r="I4785" s="17">
        <f ca="1">IFERROR(__xludf.DUMMYFUNCTION("""COMPUTED_VALUE"""),45627)</f>
        <v>45627</v>
      </c>
      <c r="J4785" s="143" t="s">
        <v>16755</v>
      </c>
      <c r="K4785" s="80" t="s">
        <v>8856</v>
      </c>
      <c r="L4785" s="30">
        <v>392944602</v>
      </c>
      <c r="M4785" s="80" t="s">
        <v>16756</v>
      </c>
      <c r="N4785" s="80" t="s">
        <v>3525</v>
      </c>
      <c r="O4785" s="80" t="s">
        <v>91</v>
      </c>
      <c r="P4785" s="80" t="s">
        <v>16757</v>
      </c>
      <c r="Q4785" s="20">
        <v>15936</v>
      </c>
      <c r="R4785" s="80" t="s">
        <v>36</v>
      </c>
      <c r="S4785" s="95">
        <v>2000</v>
      </c>
      <c r="T4785" s="148">
        <v>45572</v>
      </c>
      <c r="U4785" s="95">
        <v>13968</v>
      </c>
      <c r="V4785" s="148">
        <v>45598</v>
      </c>
      <c r="W4785" s="85" t="s">
        <v>16758</v>
      </c>
      <c r="X4785" s="80"/>
      <c r="Y4785" s="22">
        <v>-32</v>
      </c>
      <c r="Z4785" s="80"/>
      <c r="AA4785" s="82"/>
      <c r="AB4785" s="80" t="s">
        <v>16759</v>
      </c>
      <c r="AC4785" s="80" t="s">
        <v>53</v>
      </c>
      <c r="AD4785" s="80" t="s">
        <v>138</v>
      </c>
      <c r="AE4785" s="80" t="s">
        <v>14934</v>
      </c>
      <c r="AF4785" s="17">
        <v>45630</v>
      </c>
      <c r="AG4785" s="80"/>
      <c r="AH4785" s="80"/>
      <c r="AI4785" s="147"/>
      <c r="AJ4785" s="80"/>
      <c r="AK4785" s="80"/>
      <c r="AL4785" s="35"/>
      <c r="AM4785" s="35"/>
      <c r="AN4785" s="35"/>
      <c r="AO4785" s="35"/>
      <c r="AP4785" s="35"/>
    </row>
    <row r="4786" spans="1:42" x14ac:dyDescent="0.2">
      <c r="A4786" s="74">
        <v>45618</v>
      </c>
      <c r="B4786" s="137" t="s">
        <v>37</v>
      </c>
      <c r="C4786" s="41" t="s">
        <v>118</v>
      </c>
      <c r="D4786" s="80" t="s">
        <v>36</v>
      </c>
      <c r="E4786" s="80" t="s">
        <v>139</v>
      </c>
      <c r="F4786" s="80" t="s">
        <v>14934</v>
      </c>
      <c r="G4786" s="80" t="s">
        <v>108</v>
      </c>
      <c r="H4786" s="80" t="s">
        <v>14495</v>
      </c>
      <c r="I4786" s="17">
        <f ca="1">IFERROR(__xludf.DUMMYFUNCTION("""COMPUTED_VALUE"""),45627)</f>
        <v>45627</v>
      </c>
      <c r="J4786" s="143" t="s">
        <v>16202</v>
      </c>
      <c r="K4786" s="80" t="s">
        <v>16203</v>
      </c>
      <c r="L4786" s="30">
        <v>868369706</v>
      </c>
      <c r="M4786" s="80" t="s">
        <v>3498</v>
      </c>
      <c r="N4786" s="80" t="s">
        <v>4402</v>
      </c>
      <c r="O4786" s="80" t="s">
        <v>4503</v>
      </c>
      <c r="P4786" s="80" t="s">
        <v>3056</v>
      </c>
      <c r="Q4786" s="20">
        <v>15936</v>
      </c>
      <c r="R4786" s="80" t="s">
        <v>36</v>
      </c>
      <c r="S4786" s="95">
        <f>200+5000</f>
        <v>5200</v>
      </c>
      <c r="T4786" s="83" t="s">
        <v>16204</v>
      </c>
      <c r="U4786" s="95">
        <v>10736</v>
      </c>
      <c r="V4786" s="148">
        <v>45596</v>
      </c>
      <c r="W4786" s="85" t="s">
        <v>16205</v>
      </c>
      <c r="X4786" s="80"/>
      <c r="Y4786" s="22">
        <v>0</v>
      </c>
      <c r="Z4786" s="80" t="s">
        <v>50</v>
      </c>
      <c r="AA4786" s="35" t="s">
        <v>9905</v>
      </c>
      <c r="AB4786" s="80"/>
      <c r="AC4786" s="80" t="s">
        <v>53</v>
      </c>
      <c r="AD4786" s="80" t="s">
        <v>138</v>
      </c>
      <c r="AE4786" s="80" t="s">
        <v>14934</v>
      </c>
      <c r="AF4786" s="17">
        <v>45630</v>
      </c>
      <c r="AG4786" s="80"/>
      <c r="AH4786" s="80"/>
      <c r="AI4786" s="147"/>
      <c r="AJ4786" s="80"/>
      <c r="AK4786" s="80"/>
      <c r="AL4786" s="35"/>
      <c r="AM4786" s="35"/>
      <c r="AN4786" s="35"/>
      <c r="AO4786" s="35"/>
      <c r="AP4786" s="35"/>
    </row>
    <row r="4787" spans="1:42" x14ac:dyDescent="0.2">
      <c r="A4787" s="74">
        <v>45618</v>
      </c>
      <c r="B4787" s="137" t="s">
        <v>37</v>
      </c>
      <c r="C4787" s="41" t="s">
        <v>118</v>
      </c>
      <c r="D4787" s="80" t="s">
        <v>36</v>
      </c>
      <c r="E4787" s="80" t="s">
        <v>139</v>
      </c>
      <c r="F4787" s="80" t="s">
        <v>14934</v>
      </c>
      <c r="G4787" s="80" t="s">
        <v>108</v>
      </c>
      <c r="H4787" s="80" t="s">
        <v>14495</v>
      </c>
      <c r="I4787" s="17">
        <f ca="1">IFERROR(__xludf.DUMMYFUNCTION("""COMPUTED_VALUE"""),45627)</f>
        <v>45627</v>
      </c>
      <c r="J4787" s="143" t="s">
        <v>16240</v>
      </c>
      <c r="K4787" s="80" t="s">
        <v>16241</v>
      </c>
      <c r="L4787" s="30">
        <v>397254032</v>
      </c>
      <c r="M4787" s="80" t="s">
        <v>3498</v>
      </c>
      <c r="N4787" s="80" t="s">
        <v>2756</v>
      </c>
      <c r="O4787" s="80" t="s">
        <v>4503</v>
      </c>
      <c r="P4787" s="80" t="s">
        <v>6390</v>
      </c>
      <c r="Q4787" s="20">
        <v>15936</v>
      </c>
      <c r="R4787" s="80" t="s">
        <v>36</v>
      </c>
      <c r="S4787" s="95">
        <v>3000</v>
      </c>
      <c r="T4787" s="148">
        <v>45575</v>
      </c>
      <c r="U4787" s="95">
        <v>12936</v>
      </c>
      <c r="V4787" s="169">
        <v>45593</v>
      </c>
      <c r="W4787" s="85" t="s">
        <v>16242</v>
      </c>
      <c r="X4787" s="80"/>
      <c r="Y4787" s="22">
        <v>0</v>
      </c>
      <c r="Z4787" s="80" t="s">
        <v>50</v>
      </c>
      <c r="AA4787" s="96" t="s">
        <v>9905</v>
      </c>
      <c r="AB4787" s="80"/>
      <c r="AC4787" s="80" t="s">
        <v>53</v>
      </c>
      <c r="AD4787" s="80" t="s">
        <v>138</v>
      </c>
      <c r="AE4787" s="80" t="s">
        <v>14934</v>
      </c>
      <c r="AF4787" s="17">
        <v>45630</v>
      </c>
      <c r="AG4787" s="80"/>
      <c r="AH4787" s="80"/>
      <c r="AI4787" s="147"/>
      <c r="AJ4787" s="80"/>
      <c r="AK4787" s="80"/>
      <c r="AL4787" s="35"/>
      <c r="AM4787" s="35"/>
      <c r="AN4787" s="35"/>
      <c r="AO4787" s="35"/>
      <c r="AP4787" s="35"/>
    </row>
    <row r="4788" spans="1:42" x14ac:dyDescent="0.2">
      <c r="A4788" s="74">
        <v>45618</v>
      </c>
      <c r="B4788" s="137" t="s">
        <v>37</v>
      </c>
      <c r="C4788" s="41" t="s">
        <v>118</v>
      </c>
      <c r="D4788" s="80" t="s">
        <v>36</v>
      </c>
      <c r="E4788" s="80" t="s">
        <v>139</v>
      </c>
      <c r="F4788" s="80" t="s">
        <v>14934</v>
      </c>
      <c r="G4788" s="80" t="s">
        <v>108</v>
      </c>
      <c r="H4788" s="80" t="s">
        <v>14495</v>
      </c>
      <c r="I4788" s="17">
        <f ca="1">IFERROR(__xludf.DUMMYFUNCTION("""COMPUTED_VALUE"""),45627)</f>
        <v>45627</v>
      </c>
      <c r="J4788" s="143" t="s">
        <v>16243</v>
      </c>
      <c r="K4788" s="80" t="s">
        <v>16244</v>
      </c>
      <c r="L4788" s="30">
        <v>869653032</v>
      </c>
      <c r="M4788" s="80" t="s">
        <v>59</v>
      </c>
      <c r="N4788" s="80" t="s">
        <v>68</v>
      </c>
      <c r="O4788" s="80" t="s">
        <v>16245</v>
      </c>
      <c r="P4788" s="80" t="s">
        <v>16246</v>
      </c>
      <c r="Q4788" s="20">
        <v>15936</v>
      </c>
      <c r="R4788" s="80" t="s">
        <v>36</v>
      </c>
      <c r="S4788" s="95">
        <f>200+15763</f>
        <v>15963</v>
      </c>
      <c r="T4788" s="83" t="s">
        <v>16247</v>
      </c>
      <c r="U4788" s="77"/>
      <c r="V4788" s="78"/>
      <c r="W4788" s="85" t="s">
        <v>16248</v>
      </c>
      <c r="X4788" s="80"/>
      <c r="Y4788" s="22">
        <v>-27</v>
      </c>
      <c r="Z4788" s="80" t="s">
        <v>50</v>
      </c>
      <c r="AA4788" s="35" t="s">
        <v>9905</v>
      </c>
      <c r="AB4788" s="80"/>
      <c r="AC4788" s="80" t="s">
        <v>53</v>
      </c>
      <c r="AD4788" s="80" t="s">
        <v>138</v>
      </c>
      <c r="AE4788" s="80" t="s">
        <v>14934</v>
      </c>
      <c r="AF4788" s="17">
        <v>45630</v>
      </c>
      <c r="AG4788" s="80"/>
      <c r="AH4788" s="80"/>
      <c r="AI4788" s="147"/>
      <c r="AJ4788" s="80"/>
      <c r="AK4788" s="80"/>
      <c r="AL4788" s="35"/>
      <c r="AM4788" s="35"/>
      <c r="AN4788" s="35"/>
      <c r="AO4788" s="35"/>
      <c r="AP4788" s="35"/>
    </row>
    <row r="4789" spans="1:42" x14ac:dyDescent="0.2">
      <c r="A4789" s="74">
        <v>45618</v>
      </c>
      <c r="B4789" s="137" t="s">
        <v>37</v>
      </c>
      <c r="C4789" s="41" t="s">
        <v>118</v>
      </c>
      <c r="D4789" s="80" t="s">
        <v>36</v>
      </c>
      <c r="E4789" s="80" t="s">
        <v>139</v>
      </c>
      <c r="F4789" s="80" t="s">
        <v>13301</v>
      </c>
      <c r="G4789" s="80" t="s">
        <v>108</v>
      </c>
      <c r="H4789" s="80" t="s">
        <v>14495</v>
      </c>
      <c r="I4789" s="17">
        <f ca="1">IFERROR(__xludf.DUMMYFUNCTION("""COMPUTED_VALUE"""),45627)</f>
        <v>45627</v>
      </c>
      <c r="J4789" s="143" t="s">
        <v>16034</v>
      </c>
      <c r="K4789" s="80" t="s">
        <v>16035</v>
      </c>
      <c r="L4789" s="30">
        <v>974501976</v>
      </c>
      <c r="M4789" s="80" t="s">
        <v>15970</v>
      </c>
      <c r="N4789" s="80" t="s">
        <v>327</v>
      </c>
      <c r="O4789" s="80" t="s">
        <v>4503</v>
      </c>
      <c r="P4789" s="80" t="s">
        <v>3056</v>
      </c>
      <c r="Q4789" s="20">
        <v>15936</v>
      </c>
      <c r="R4789" s="80" t="s">
        <v>36</v>
      </c>
      <c r="S4789" s="95">
        <v>15936</v>
      </c>
      <c r="T4789" s="148">
        <v>45568</v>
      </c>
      <c r="U4789" s="77"/>
      <c r="V4789" s="78"/>
      <c r="W4789" s="85" t="s">
        <v>16036</v>
      </c>
      <c r="X4789" s="80"/>
      <c r="Y4789" s="22">
        <v>0</v>
      </c>
      <c r="Z4789" s="80" t="s">
        <v>50</v>
      </c>
      <c r="AA4789" s="96" t="s">
        <v>9905</v>
      </c>
      <c r="AB4789" s="80"/>
      <c r="AC4789" s="80" t="s">
        <v>53</v>
      </c>
      <c r="AD4789" s="80" t="s">
        <v>138</v>
      </c>
      <c r="AE4789" s="80" t="s">
        <v>13301</v>
      </c>
      <c r="AF4789" s="17">
        <v>45630</v>
      </c>
      <c r="AG4789" s="80"/>
      <c r="AH4789" s="80"/>
      <c r="AI4789" s="147"/>
      <c r="AJ4789" s="80"/>
      <c r="AK4789" s="80"/>
      <c r="AL4789" s="35"/>
      <c r="AM4789" s="35"/>
      <c r="AN4789" s="35"/>
      <c r="AO4789" s="35"/>
      <c r="AP4789" s="35"/>
    </row>
    <row r="4790" spans="1:42" x14ac:dyDescent="0.2">
      <c r="A4790" s="74">
        <v>45618</v>
      </c>
      <c r="B4790" s="137" t="s">
        <v>37</v>
      </c>
      <c r="C4790" s="41" t="s">
        <v>118</v>
      </c>
      <c r="D4790" s="80" t="s">
        <v>36</v>
      </c>
      <c r="E4790" s="80" t="s">
        <v>139</v>
      </c>
      <c r="F4790" s="80" t="s">
        <v>11735</v>
      </c>
      <c r="G4790" s="26" t="s">
        <v>108</v>
      </c>
      <c r="H4790" s="80" t="s">
        <v>16656</v>
      </c>
      <c r="I4790" s="17">
        <f ca="1">IFERROR(__xludf.DUMMYFUNCTION("""COMPUTED_VALUE"""),45624)</f>
        <v>45624</v>
      </c>
      <c r="J4790" s="143" t="s">
        <v>15025</v>
      </c>
      <c r="K4790" s="80" t="s">
        <v>16760</v>
      </c>
      <c r="L4790" s="30">
        <v>357686640</v>
      </c>
      <c r="M4790" s="80" t="s">
        <v>5429</v>
      </c>
      <c r="N4790" s="80" t="s">
        <v>756</v>
      </c>
      <c r="O4790" s="80" t="s">
        <v>15027</v>
      </c>
      <c r="P4790" s="80" t="s">
        <v>16761</v>
      </c>
      <c r="Q4790" s="20">
        <v>15936</v>
      </c>
      <c r="R4790" s="80" t="s">
        <v>36</v>
      </c>
      <c r="S4790" s="95">
        <f>200+1800</f>
        <v>2000</v>
      </c>
      <c r="T4790" s="83" t="s">
        <v>15028</v>
      </c>
      <c r="U4790" s="95">
        <v>13936</v>
      </c>
      <c r="V4790" s="148">
        <v>45571</v>
      </c>
      <c r="W4790" s="85" t="s">
        <v>15029</v>
      </c>
      <c r="X4790" s="80"/>
      <c r="Y4790" s="22">
        <v>0</v>
      </c>
      <c r="Z4790" s="80" t="s">
        <v>50</v>
      </c>
      <c r="AA4790" s="35" t="s">
        <v>9905</v>
      </c>
      <c r="AB4790" s="80"/>
      <c r="AC4790" s="80" t="s">
        <v>53</v>
      </c>
      <c r="AD4790" s="80" t="s">
        <v>138</v>
      </c>
      <c r="AE4790" s="80" t="s">
        <v>11735</v>
      </c>
      <c r="AF4790" s="17">
        <v>45624</v>
      </c>
      <c r="AG4790" s="80"/>
      <c r="AH4790" s="80"/>
      <c r="AI4790" s="147"/>
      <c r="AJ4790" s="80"/>
      <c r="AK4790" s="80"/>
      <c r="AL4790" s="35"/>
      <c r="AM4790" s="35"/>
      <c r="AN4790" s="35"/>
      <c r="AO4790" s="35"/>
      <c r="AP4790" s="35"/>
    </row>
    <row r="4791" spans="1:42" x14ac:dyDescent="0.2">
      <c r="A4791" s="74">
        <v>45618</v>
      </c>
      <c r="B4791" s="137" t="s">
        <v>37</v>
      </c>
      <c r="C4791" s="41" t="s">
        <v>118</v>
      </c>
      <c r="D4791" s="80" t="s">
        <v>36</v>
      </c>
      <c r="E4791" s="80" t="s">
        <v>139</v>
      </c>
      <c r="F4791" s="80" t="s">
        <v>13384</v>
      </c>
      <c r="G4791" s="80" t="s">
        <v>108</v>
      </c>
      <c r="H4791" s="80" t="s">
        <v>16656</v>
      </c>
      <c r="I4791" s="17">
        <f ca="1">IFERROR(__xludf.DUMMYFUNCTION("""COMPUTED_VALUE"""),45624)</f>
        <v>45624</v>
      </c>
      <c r="J4791" s="143" t="s">
        <v>15390</v>
      </c>
      <c r="K4791" s="80" t="s">
        <v>15391</v>
      </c>
      <c r="L4791" s="30">
        <v>973885168</v>
      </c>
      <c r="M4791" s="80" t="s">
        <v>3498</v>
      </c>
      <c r="N4791" s="80" t="s">
        <v>4402</v>
      </c>
      <c r="O4791" s="80" t="s">
        <v>4503</v>
      </c>
      <c r="P4791" s="80" t="s">
        <v>16762</v>
      </c>
      <c r="Q4791" s="20">
        <v>15936</v>
      </c>
      <c r="R4791" s="80" t="s">
        <v>36</v>
      </c>
      <c r="S4791" s="95">
        <v>2000</v>
      </c>
      <c r="T4791" s="148">
        <v>45555</v>
      </c>
      <c r="U4791" s="95">
        <v>13936</v>
      </c>
      <c r="V4791" s="148">
        <v>45586</v>
      </c>
      <c r="W4791" s="85" t="s">
        <v>15393</v>
      </c>
      <c r="X4791" s="80"/>
      <c r="Y4791" s="22">
        <v>0</v>
      </c>
      <c r="Z4791" s="80" t="s">
        <v>50</v>
      </c>
      <c r="AA4791" s="96" t="s">
        <v>9905</v>
      </c>
      <c r="AB4791" s="80"/>
      <c r="AC4791" s="80" t="s">
        <v>53</v>
      </c>
      <c r="AD4791" s="80" t="s">
        <v>138</v>
      </c>
      <c r="AE4791" s="80" t="s">
        <v>13384</v>
      </c>
      <c r="AF4791" s="17">
        <v>45624</v>
      </c>
      <c r="AG4791" s="80"/>
      <c r="AH4791" s="80"/>
      <c r="AI4791" s="147"/>
      <c r="AJ4791" s="80"/>
      <c r="AK4791" s="80"/>
      <c r="AL4791" s="35"/>
      <c r="AM4791" s="35"/>
      <c r="AN4791" s="35"/>
      <c r="AO4791" s="35"/>
      <c r="AP4791" s="35"/>
    </row>
    <row r="4792" spans="1:42" x14ac:dyDescent="0.2">
      <c r="A4792" s="74">
        <v>45618</v>
      </c>
      <c r="B4792" s="137" t="s">
        <v>37</v>
      </c>
      <c r="C4792" s="41" t="s">
        <v>118</v>
      </c>
      <c r="D4792" s="80" t="s">
        <v>36</v>
      </c>
      <c r="E4792" s="80" t="s">
        <v>139</v>
      </c>
      <c r="F4792" s="80" t="s">
        <v>13424</v>
      </c>
      <c r="G4792" s="80" t="s">
        <v>108</v>
      </c>
      <c r="H4792" s="80" t="s">
        <v>16763</v>
      </c>
      <c r="I4792" s="17">
        <f ca="1">IFERROR(__xludf.DUMMYFUNCTION("""COMPUTED_VALUE"""),45635)</f>
        <v>45635</v>
      </c>
      <c r="J4792" s="143" t="s">
        <v>15429</v>
      </c>
      <c r="K4792" s="80" t="s">
        <v>16764</v>
      </c>
      <c r="L4792" s="30">
        <v>399877131</v>
      </c>
      <c r="M4792" s="80" t="s">
        <v>12644</v>
      </c>
      <c r="N4792" s="80" t="s">
        <v>8725</v>
      </c>
      <c r="O4792" s="80" t="s">
        <v>15431</v>
      </c>
      <c r="P4792" s="144" t="s">
        <v>16765</v>
      </c>
      <c r="Q4792" s="20">
        <v>15936</v>
      </c>
      <c r="R4792" s="80" t="s">
        <v>36</v>
      </c>
      <c r="S4792" s="95">
        <v>2000</v>
      </c>
      <c r="T4792" s="148">
        <v>45556</v>
      </c>
      <c r="U4792" s="95">
        <v>13936</v>
      </c>
      <c r="V4792" s="148">
        <v>45591</v>
      </c>
      <c r="W4792" s="85" t="s">
        <v>15433</v>
      </c>
      <c r="X4792" s="80"/>
      <c r="Y4792" s="22">
        <v>0</v>
      </c>
      <c r="Z4792" s="80" t="s">
        <v>50</v>
      </c>
      <c r="AA4792" s="35" t="s">
        <v>9905</v>
      </c>
      <c r="AB4792" s="80"/>
      <c r="AC4792" s="80" t="s">
        <v>53</v>
      </c>
      <c r="AD4792" s="80" t="s">
        <v>138</v>
      </c>
      <c r="AE4792" s="80" t="s">
        <v>13424</v>
      </c>
      <c r="AF4792" s="17">
        <v>45629</v>
      </c>
      <c r="AG4792" s="80"/>
      <c r="AH4792" s="80"/>
      <c r="AI4792" s="147"/>
      <c r="AJ4792" s="80"/>
      <c r="AK4792" s="80"/>
      <c r="AL4792" s="35"/>
      <c r="AM4792" s="35"/>
      <c r="AN4792" s="35"/>
      <c r="AO4792" s="35"/>
      <c r="AP4792" s="35"/>
    </row>
    <row r="4793" spans="1:42" x14ac:dyDescent="0.2">
      <c r="A4793" s="74">
        <v>45618</v>
      </c>
      <c r="B4793" s="137" t="s">
        <v>37</v>
      </c>
      <c r="C4793" s="41" t="s">
        <v>118</v>
      </c>
      <c r="D4793" s="80" t="s">
        <v>36</v>
      </c>
      <c r="E4793" s="80" t="s">
        <v>139</v>
      </c>
      <c r="F4793" s="80" t="s">
        <v>11151</v>
      </c>
      <c r="G4793" s="80" t="s">
        <v>108</v>
      </c>
      <c r="H4793" s="80" t="s">
        <v>14210</v>
      </c>
      <c r="I4793" s="17">
        <f ca="1">IFERROR(__xludf.DUMMYFUNCTION("""COMPUTED_VALUE"""),45622)</f>
        <v>45622</v>
      </c>
      <c r="J4793" s="143" t="s">
        <v>12097</v>
      </c>
      <c r="K4793" s="80" t="s">
        <v>16766</v>
      </c>
      <c r="L4793" s="30">
        <v>373506202</v>
      </c>
      <c r="M4793" s="80" t="s">
        <v>5558</v>
      </c>
      <c r="N4793" s="80" t="s">
        <v>5559</v>
      </c>
      <c r="O4793" s="80" t="s">
        <v>4503</v>
      </c>
      <c r="P4793" s="182" t="s">
        <v>16767</v>
      </c>
      <c r="Q4793" s="20">
        <v>15936</v>
      </c>
      <c r="R4793" s="80" t="s">
        <v>36</v>
      </c>
      <c r="S4793" s="95">
        <v>5000</v>
      </c>
      <c r="T4793" s="148">
        <v>45505</v>
      </c>
      <c r="U4793" s="95">
        <v>10936</v>
      </c>
      <c r="V4793" s="148">
        <v>45554</v>
      </c>
      <c r="W4793" s="85" t="s">
        <v>12100</v>
      </c>
      <c r="X4793" s="80">
        <v>0</v>
      </c>
      <c r="Y4793" s="22">
        <v>0</v>
      </c>
      <c r="Z4793" s="80" t="s">
        <v>50</v>
      </c>
      <c r="AA4793" s="96" t="s">
        <v>3291</v>
      </c>
      <c r="AB4793" s="80"/>
      <c r="AC4793" s="80" t="s">
        <v>53</v>
      </c>
      <c r="AD4793" s="80" t="s">
        <v>54</v>
      </c>
      <c r="AE4793" s="80" t="s">
        <v>11151</v>
      </c>
      <c r="AF4793" s="17">
        <v>45621</v>
      </c>
      <c r="AG4793" s="80"/>
      <c r="AH4793" s="80"/>
      <c r="AI4793" s="147" t="s">
        <v>147</v>
      </c>
      <c r="AJ4793" s="80"/>
      <c r="AK4793" s="80"/>
      <c r="AL4793" s="35"/>
      <c r="AM4793" s="35"/>
      <c r="AN4793" s="35"/>
      <c r="AO4793" s="35"/>
      <c r="AP4793" s="35"/>
    </row>
    <row r="4794" spans="1:42" x14ac:dyDescent="0.2">
      <c r="A4794" s="74">
        <v>45620</v>
      </c>
      <c r="B4794" s="137" t="s">
        <v>37</v>
      </c>
      <c r="C4794" s="41" t="s">
        <v>118</v>
      </c>
      <c r="D4794" s="80" t="s">
        <v>36</v>
      </c>
      <c r="E4794" s="80" t="s">
        <v>56</v>
      </c>
      <c r="F4794" s="80" t="s">
        <v>12474</v>
      </c>
      <c r="G4794" s="80" t="s">
        <v>108</v>
      </c>
      <c r="H4794" s="80" t="s">
        <v>16656</v>
      </c>
      <c r="I4794" s="17">
        <f ca="1">IFERROR(__xludf.DUMMYFUNCTION("""COMPUTED_VALUE"""),45624)</f>
        <v>45624</v>
      </c>
      <c r="J4794" s="143" t="s">
        <v>13158</v>
      </c>
      <c r="K4794" s="80" t="s">
        <v>13159</v>
      </c>
      <c r="L4794" s="30">
        <v>334254506</v>
      </c>
      <c r="M4794" s="80" t="s">
        <v>45</v>
      </c>
      <c r="N4794" s="80" t="s">
        <v>8420</v>
      </c>
      <c r="O4794" s="80" t="s">
        <v>13160</v>
      </c>
      <c r="P4794" s="144" t="s">
        <v>16768</v>
      </c>
      <c r="Q4794" s="20">
        <v>9317</v>
      </c>
      <c r="R4794" s="80" t="s">
        <v>36</v>
      </c>
      <c r="S4794" s="95">
        <v>4000</v>
      </c>
      <c r="T4794" s="148">
        <v>45527</v>
      </c>
      <c r="U4794" s="178">
        <v>5317</v>
      </c>
      <c r="V4794" s="169">
        <v>45557</v>
      </c>
      <c r="W4794" s="85" t="s">
        <v>13161</v>
      </c>
      <c r="X4794" s="80">
        <v>0</v>
      </c>
      <c r="Y4794" s="22">
        <v>0</v>
      </c>
      <c r="Z4794" s="80" t="s">
        <v>50</v>
      </c>
      <c r="AA4794" s="35" t="s">
        <v>3291</v>
      </c>
      <c r="AB4794" s="80"/>
      <c r="AC4794" s="80" t="s">
        <v>53</v>
      </c>
      <c r="AD4794" s="80" t="s">
        <v>138</v>
      </c>
      <c r="AE4794" s="80" t="s">
        <v>12474</v>
      </c>
      <c r="AF4794" s="17">
        <v>45624</v>
      </c>
      <c r="AG4794" s="80"/>
      <c r="AH4794" s="80"/>
      <c r="AI4794" s="147" t="s">
        <v>64</v>
      </c>
      <c r="AJ4794" s="80"/>
      <c r="AK4794" s="80"/>
      <c r="AL4794" s="35"/>
      <c r="AM4794" s="35"/>
      <c r="AN4794" s="35"/>
      <c r="AO4794" s="35"/>
      <c r="AP4794" s="35"/>
    </row>
    <row r="4795" spans="1:42" x14ac:dyDescent="0.2">
      <c r="A4795" s="74">
        <v>45621</v>
      </c>
      <c r="B4795" s="137" t="s">
        <v>37</v>
      </c>
      <c r="C4795" s="41" t="s">
        <v>118</v>
      </c>
      <c r="D4795" s="80" t="s">
        <v>36</v>
      </c>
      <c r="E4795" s="80" t="s">
        <v>139</v>
      </c>
      <c r="F4795" s="80" t="s">
        <v>11747</v>
      </c>
      <c r="G4795" s="80" t="s">
        <v>108</v>
      </c>
      <c r="H4795" s="80" t="s">
        <v>14495</v>
      </c>
      <c r="I4795" s="17">
        <f ca="1">IFERROR(__xludf.DUMMYFUNCTION("""COMPUTED_VALUE"""),45627)</f>
        <v>45627</v>
      </c>
      <c r="J4795" s="143" t="s">
        <v>16769</v>
      </c>
      <c r="K4795" s="80" t="s">
        <v>16770</v>
      </c>
      <c r="L4795" s="30">
        <v>869230365</v>
      </c>
      <c r="M4795" s="80" t="s">
        <v>123</v>
      </c>
      <c r="N4795" s="80" t="s">
        <v>2847</v>
      </c>
      <c r="O4795" s="80" t="s">
        <v>4503</v>
      </c>
      <c r="P4795" s="80" t="s">
        <v>3487</v>
      </c>
      <c r="Q4795" s="20">
        <v>15936</v>
      </c>
      <c r="R4795" s="80" t="s">
        <v>36</v>
      </c>
      <c r="S4795" s="95">
        <f>100+5000</f>
        <v>5100</v>
      </c>
      <c r="T4795" s="83" t="s">
        <v>16771</v>
      </c>
      <c r="U4795" s="95">
        <v>10836</v>
      </c>
      <c r="V4795" s="148">
        <v>45610</v>
      </c>
      <c r="W4795" s="85" t="s">
        <v>16772</v>
      </c>
      <c r="X4795" s="80"/>
      <c r="Y4795" s="22">
        <v>0</v>
      </c>
      <c r="Z4795" s="80"/>
      <c r="AA4795" s="82"/>
      <c r="AB4795" s="80"/>
      <c r="AC4795" s="80" t="s">
        <v>53</v>
      </c>
      <c r="AD4795" s="80" t="s">
        <v>138</v>
      </c>
      <c r="AE4795" s="80" t="s">
        <v>11747</v>
      </c>
      <c r="AF4795" s="17">
        <v>45630</v>
      </c>
      <c r="AG4795" s="80"/>
      <c r="AH4795" s="80"/>
      <c r="AI4795" s="147"/>
      <c r="AJ4795" s="80"/>
      <c r="AK4795" s="80"/>
      <c r="AL4795" s="35"/>
      <c r="AM4795" s="35"/>
      <c r="AN4795" s="35"/>
      <c r="AO4795" s="35"/>
      <c r="AP4795" s="35"/>
    </row>
    <row r="4796" spans="1:42" x14ac:dyDescent="0.2">
      <c r="A4796" s="74">
        <v>45621</v>
      </c>
      <c r="B4796" s="137" t="s">
        <v>37</v>
      </c>
      <c r="C4796" s="41" t="s">
        <v>118</v>
      </c>
      <c r="D4796" s="80" t="s">
        <v>36</v>
      </c>
      <c r="E4796" s="80" t="s">
        <v>119</v>
      </c>
      <c r="F4796" s="80" t="s">
        <v>8986</v>
      </c>
      <c r="G4796" s="80" t="s">
        <v>221</v>
      </c>
      <c r="H4796" s="80" t="s">
        <v>16773</v>
      </c>
      <c r="I4796" s="17">
        <f ca="1">IFERROR(__xludf.DUMMYFUNCTION("""COMPUTED_VALUE"""),45636)</f>
        <v>45636</v>
      </c>
      <c r="J4796" s="143" t="s">
        <v>12157</v>
      </c>
      <c r="K4796" s="80" t="s">
        <v>16774</v>
      </c>
      <c r="L4796" s="30">
        <v>942072008</v>
      </c>
      <c r="M4796" s="80" t="s">
        <v>910</v>
      </c>
      <c r="N4796" s="80" t="s">
        <v>3525</v>
      </c>
      <c r="O4796" s="80" t="s">
        <v>2819</v>
      </c>
      <c r="P4796" s="144" t="s">
        <v>12159</v>
      </c>
      <c r="Q4796" s="20">
        <v>13968</v>
      </c>
      <c r="R4796" s="80" t="s">
        <v>1106</v>
      </c>
      <c r="S4796" s="95">
        <v>4000</v>
      </c>
      <c r="T4796" s="148">
        <v>45510</v>
      </c>
      <c r="U4796" s="95">
        <v>9818</v>
      </c>
      <c r="V4796" s="148">
        <v>45550</v>
      </c>
      <c r="W4796" s="85" t="s">
        <v>12160</v>
      </c>
      <c r="X4796" s="80">
        <v>150</v>
      </c>
      <c r="Y4796" s="22">
        <v>0</v>
      </c>
      <c r="Z4796" s="80" t="s">
        <v>50</v>
      </c>
      <c r="AA4796" s="35" t="s">
        <v>3291</v>
      </c>
      <c r="AB4796" s="80"/>
      <c r="AC4796" s="80" t="s">
        <v>53</v>
      </c>
      <c r="AD4796" s="80" t="s">
        <v>54</v>
      </c>
      <c r="AE4796" s="80" t="s">
        <v>8986</v>
      </c>
      <c r="AF4796" s="17">
        <v>45622</v>
      </c>
      <c r="AG4796" s="80"/>
      <c r="AH4796" s="80"/>
      <c r="AI4796" s="147">
        <v>4</v>
      </c>
      <c r="AJ4796" s="80"/>
      <c r="AK4796" s="80"/>
      <c r="AL4796" s="35"/>
      <c r="AM4796" s="35"/>
      <c r="AN4796" s="35"/>
      <c r="AO4796" s="35"/>
      <c r="AP4796" s="35"/>
    </row>
    <row r="4797" spans="1:42" x14ac:dyDescent="0.2">
      <c r="A4797" s="74">
        <v>45621</v>
      </c>
      <c r="B4797" s="137" t="s">
        <v>37</v>
      </c>
      <c r="C4797" s="41" t="s">
        <v>118</v>
      </c>
      <c r="D4797" s="26" t="s">
        <v>36</v>
      </c>
      <c r="E4797" s="26" t="s">
        <v>139</v>
      </c>
      <c r="F4797" s="26" t="s">
        <v>7355</v>
      </c>
      <c r="G4797" s="80" t="s">
        <v>221</v>
      </c>
      <c r="H4797" s="80" t="s">
        <v>16687</v>
      </c>
      <c r="I4797" s="17">
        <f ca="1">IFERROR(__xludf.DUMMYFUNCTION("""COMPUTED_VALUE"""),45637)</f>
        <v>45637</v>
      </c>
      <c r="J4797" s="29" t="s">
        <v>8218</v>
      </c>
      <c r="K4797" s="26" t="s">
        <v>16775</v>
      </c>
      <c r="L4797" s="30">
        <v>339744728</v>
      </c>
      <c r="M4797" s="80" t="s">
        <v>3498</v>
      </c>
      <c r="N4797" s="26" t="s">
        <v>2756</v>
      </c>
      <c r="O4797" s="26" t="s">
        <v>4503</v>
      </c>
      <c r="P4797" s="42" t="s">
        <v>16776</v>
      </c>
      <c r="Q4797" s="20">
        <v>15936</v>
      </c>
      <c r="R4797" s="26" t="s">
        <v>36</v>
      </c>
      <c r="S4797" s="31">
        <v>4000</v>
      </c>
      <c r="T4797" s="32">
        <v>45381</v>
      </c>
      <c r="U4797" s="31">
        <v>11936</v>
      </c>
      <c r="V4797" s="32">
        <v>45405</v>
      </c>
      <c r="W4797" s="33" t="s">
        <v>8220</v>
      </c>
      <c r="X4797" s="26"/>
      <c r="Y4797" s="22">
        <v>0</v>
      </c>
      <c r="Z4797" s="26" t="s">
        <v>118</v>
      </c>
      <c r="AA4797" s="19" t="s">
        <v>8102</v>
      </c>
      <c r="AB4797" s="26" t="s">
        <v>36</v>
      </c>
      <c r="AC4797" s="26" t="s">
        <v>53</v>
      </c>
      <c r="AD4797" s="19" t="s">
        <v>138</v>
      </c>
      <c r="AE4797" s="26" t="s">
        <v>7355</v>
      </c>
      <c r="AF4797" s="17">
        <v>45630</v>
      </c>
      <c r="AG4797" s="26"/>
      <c r="AH4797" s="26"/>
      <c r="AI4797" s="40"/>
      <c r="AJ4797" s="26"/>
      <c r="AK4797" s="26"/>
      <c r="AL4797" s="35"/>
      <c r="AM4797" s="35"/>
      <c r="AN4797" s="35"/>
      <c r="AO4797" s="35"/>
      <c r="AP4797" s="35"/>
    </row>
    <row r="4798" spans="1:42" x14ac:dyDescent="0.2">
      <c r="A4798" s="74">
        <v>45621</v>
      </c>
      <c r="B4798" s="137" t="s">
        <v>37</v>
      </c>
      <c r="C4798" s="41" t="s">
        <v>118</v>
      </c>
      <c r="D4798" s="80" t="s">
        <v>36</v>
      </c>
      <c r="E4798" s="80" t="s">
        <v>139</v>
      </c>
      <c r="F4798" s="80" t="s">
        <v>12849</v>
      </c>
      <c r="G4798" s="80" t="s">
        <v>108</v>
      </c>
      <c r="H4798" s="80" t="s">
        <v>16763</v>
      </c>
      <c r="I4798" s="17">
        <f ca="1">IFERROR(__xludf.DUMMYFUNCTION("""COMPUTED_VALUE"""),45635)</f>
        <v>45635</v>
      </c>
      <c r="J4798" s="143" t="s">
        <v>15422</v>
      </c>
      <c r="K4798" s="80" t="s">
        <v>15423</v>
      </c>
      <c r="L4798" s="30">
        <v>795755606</v>
      </c>
      <c r="M4798" s="80" t="s">
        <v>12644</v>
      </c>
      <c r="N4798" s="80" t="s">
        <v>8725</v>
      </c>
      <c r="O4798" s="80" t="s">
        <v>15424</v>
      </c>
      <c r="P4798" s="144" t="s">
        <v>15425</v>
      </c>
      <c r="Q4798" s="20">
        <v>15936</v>
      </c>
      <c r="R4798" s="80" t="s">
        <v>36</v>
      </c>
      <c r="S4798" s="95">
        <f>200+1800+8500</f>
        <v>10500</v>
      </c>
      <c r="T4798" s="83" t="s">
        <v>15426</v>
      </c>
      <c r="U4798" s="95">
        <v>5436</v>
      </c>
      <c r="V4798" s="148">
        <v>45596</v>
      </c>
      <c r="W4798" s="85" t="s">
        <v>15427</v>
      </c>
      <c r="X4798" s="80"/>
      <c r="Y4798" s="22">
        <v>0</v>
      </c>
      <c r="Z4798" s="80" t="s">
        <v>50</v>
      </c>
      <c r="AA4798" s="35" t="s">
        <v>9905</v>
      </c>
      <c r="AB4798" s="80"/>
      <c r="AC4798" s="80" t="s">
        <v>53</v>
      </c>
      <c r="AD4798" s="80" t="s">
        <v>54</v>
      </c>
      <c r="AE4798" s="80" t="s">
        <v>12849</v>
      </c>
      <c r="AF4798" s="17">
        <v>45629</v>
      </c>
      <c r="AG4798" s="80"/>
      <c r="AH4798" s="80"/>
      <c r="AI4798" s="147"/>
      <c r="AJ4798" s="80"/>
      <c r="AK4798" s="80"/>
      <c r="AL4798" s="35"/>
      <c r="AM4798" s="35"/>
      <c r="AN4798" s="35"/>
      <c r="AO4798" s="35"/>
      <c r="AP4798" s="35"/>
    </row>
    <row r="4799" spans="1:42" x14ac:dyDescent="0.2">
      <c r="A4799" s="74">
        <v>45621</v>
      </c>
      <c r="B4799" s="137" t="s">
        <v>37</v>
      </c>
      <c r="C4799" s="41" t="s">
        <v>118</v>
      </c>
      <c r="D4799" s="26" t="s">
        <v>36</v>
      </c>
      <c r="E4799" s="26" t="s">
        <v>56</v>
      </c>
      <c r="F4799" s="26" t="s">
        <v>9836</v>
      </c>
      <c r="G4799" s="80" t="s">
        <v>221</v>
      </c>
      <c r="H4799" s="80" t="s">
        <v>16687</v>
      </c>
      <c r="I4799" s="17">
        <f ca="1">IFERROR(__xludf.DUMMYFUNCTION("""COMPUTED_VALUE"""),45637)</f>
        <v>45637</v>
      </c>
      <c r="J4799" s="29" t="s">
        <v>7320</v>
      </c>
      <c r="K4799" s="26" t="s">
        <v>7321</v>
      </c>
      <c r="L4799" s="30">
        <v>354020390</v>
      </c>
      <c r="M4799" s="26" t="s">
        <v>59</v>
      </c>
      <c r="N4799" s="26" t="s">
        <v>7316</v>
      </c>
      <c r="O4799" s="26" t="s">
        <v>7322</v>
      </c>
      <c r="P4799" s="42" t="s">
        <v>16777</v>
      </c>
      <c r="Q4799" s="20">
        <v>15936</v>
      </c>
      <c r="R4799" s="26" t="s">
        <v>70</v>
      </c>
      <c r="S4799" s="31">
        <v>9317</v>
      </c>
      <c r="T4799" s="32">
        <v>45351</v>
      </c>
      <c r="U4799" s="31">
        <v>6646</v>
      </c>
      <c r="V4799" s="32">
        <v>45351</v>
      </c>
      <c r="W4799" s="26" t="s">
        <v>7324</v>
      </c>
      <c r="X4799" s="26"/>
      <c r="Y4799" s="22">
        <v>-27</v>
      </c>
      <c r="Z4799" s="26" t="s">
        <v>118</v>
      </c>
      <c r="AA4799" s="19" t="s">
        <v>7077</v>
      </c>
      <c r="AB4799" s="26" t="s">
        <v>104</v>
      </c>
      <c r="AC4799" s="26" t="s">
        <v>53</v>
      </c>
      <c r="AD4799" s="19" t="s">
        <v>54</v>
      </c>
      <c r="AE4799" s="26" t="s">
        <v>9836</v>
      </c>
      <c r="AF4799" s="17">
        <v>45635</v>
      </c>
      <c r="AG4799" s="26" t="s">
        <v>16778</v>
      </c>
      <c r="AH4799" s="26"/>
      <c r="AI4799" s="40" t="s">
        <v>147</v>
      </c>
      <c r="AJ4799" s="26"/>
      <c r="AK4799" s="26"/>
      <c r="AL4799" s="35"/>
      <c r="AM4799" s="35"/>
      <c r="AN4799" s="35"/>
      <c r="AO4799" s="35"/>
      <c r="AP4799" s="35"/>
    </row>
    <row r="4800" spans="1:42" x14ac:dyDescent="0.2">
      <c r="A4800" s="74">
        <v>45621</v>
      </c>
      <c r="B4800" s="137"/>
      <c r="C4800" s="41" t="s">
        <v>118</v>
      </c>
      <c r="D4800" s="26" t="s">
        <v>36</v>
      </c>
      <c r="E4800" s="26" t="s">
        <v>139</v>
      </c>
      <c r="F4800" s="26" t="s">
        <v>9865</v>
      </c>
      <c r="G4800" s="80" t="s">
        <v>221</v>
      </c>
      <c r="H4800" s="80" t="s">
        <v>16779</v>
      </c>
      <c r="I4800" s="17" t="str">
        <f ca="1">IFERROR(__xludf.DUMMYFUNCTION("""COMPUTED_VALUE""")," ")</f>
        <v xml:space="preserve"> </v>
      </c>
      <c r="J4800" s="44" t="s">
        <v>9880</v>
      </c>
      <c r="K4800" s="26" t="s">
        <v>16780</v>
      </c>
      <c r="L4800" s="30">
        <v>941671229</v>
      </c>
      <c r="M4800" s="26" t="s">
        <v>3728</v>
      </c>
      <c r="N4800" s="26" t="s">
        <v>8725</v>
      </c>
      <c r="O4800" s="26" t="s">
        <v>9882</v>
      </c>
      <c r="P4800" s="42" t="s">
        <v>16781</v>
      </c>
      <c r="Q4800" s="20">
        <v>15936</v>
      </c>
      <c r="R4800" s="26" t="s">
        <v>36</v>
      </c>
      <c r="S4800" s="95">
        <v>2000</v>
      </c>
      <c r="T4800" s="148">
        <v>45479</v>
      </c>
      <c r="U4800" s="95">
        <v>13936</v>
      </c>
      <c r="V4800" s="148">
        <v>45515</v>
      </c>
      <c r="W4800" s="33" t="s">
        <v>9884</v>
      </c>
      <c r="X4800" s="26">
        <v>0</v>
      </c>
      <c r="Y4800" s="22">
        <v>0</v>
      </c>
      <c r="Z4800" s="26" t="s">
        <v>118</v>
      </c>
      <c r="AA4800" s="35"/>
      <c r="AB4800" s="80" t="s">
        <v>36</v>
      </c>
      <c r="AC4800" s="26" t="s">
        <v>53</v>
      </c>
      <c r="AD4800" s="26" t="s">
        <v>54</v>
      </c>
      <c r="AE4800" s="26" t="s">
        <v>9865</v>
      </c>
      <c r="AF4800" s="17">
        <v>45630</v>
      </c>
      <c r="AG4800" s="26"/>
      <c r="AH4800" s="26"/>
      <c r="AI4800" s="40"/>
      <c r="AJ4800" s="26"/>
      <c r="AK4800" s="26"/>
      <c r="AL4800" s="35"/>
      <c r="AM4800" s="35"/>
      <c r="AN4800" s="35"/>
      <c r="AO4800" s="35"/>
      <c r="AP4800" s="35"/>
    </row>
    <row r="4801" spans="1:42" x14ac:dyDescent="0.2">
      <c r="A4801" s="74">
        <v>45621</v>
      </c>
      <c r="B4801" s="137" t="s">
        <v>37</v>
      </c>
      <c r="C4801" s="41" t="s">
        <v>118</v>
      </c>
      <c r="D4801" s="26" t="s">
        <v>36</v>
      </c>
      <c r="E4801" s="26" t="s">
        <v>56</v>
      </c>
      <c r="F4801" s="26" t="s">
        <v>9836</v>
      </c>
      <c r="G4801" s="80" t="s">
        <v>221</v>
      </c>
      <c r="H4801" s="80" t="s">
        <v>16687</v>
      </c>
      <c r="I4801" s="17">
        <f ca="1">IFERROR(__xludf.DUMMYFUNCTION("""COMPUTED_VALUE"""),45637)</f>
        <v>45637</v>
      </c>
      <c r="J4801" s="29" t="s">
        <v>9431</v>
      </c>
      <c r="K4801" s="26" t="s">
        <v>9432</v>
      </c>
      <c r="L4801" s="30">
        <v>868339206</v>
      </c>
      <c r="M4801" s="26" t="s">
        <v>6309</v>
      </c>
      <c r="N4801" s="26" t="s">
        <v>9433</v>
      </c>
      <c r="O4801" s="26" t="s">
        <v>8827</v>
      </c>
      <c r="P4801" s="42" t="s">
        <v>16782</v>
      </c>
      <c r="Q4801" s="20"/>
      <c r="R4801" s="26" t="s">
        <v>36</v>
      </c>
      <c r="S4801" s="95">
        <v>9317</v>
      </c>
      <c r="T4801" s="148">
        <v>45482</v>
      </c>
      <c r="U4801" s="31"/>
      <c r="V4801" s="32"/>
      <c r="W4801" s="33" t="s">
        <v>9435</v>
      </c>
      <c r="X4801" s="26"/>
      <c r="Y4801" s="22"/>
      <c r="Z4801" s="26" t="s">
        <v>118</v>
      </c>
      <c r="AA4801" s="70" t="s">
        <v>9070</v>
      </c>
      <c r="AB4801" s="26"/>
      <c r="AC4801" s="26" t="s">
        <v>53</v>
      </c>
      <c r="AD4801" s="26" t="s">
        <v>54</v>
      </c>
      <c r="AE4801" s="26" t="s">
        <v>9836</v>
      </c>
      <c r="AF4801" s="17">
        <v>45630</v>
      </c>
      <c r="AG4801" s="26"/>
      <c r="AH4801" s="26"/>
      <c r="AI4801" s="40"/>
      <c r="AJ4801" s="26"/>
      <c r="AK4801" s="26"/>
      <c r="AL4801" s="35"/>
      <c r="AM4801" s="35"/>
      <c r="AN4801" s="35"/>
      <c r="AO4801" s="35"/>
      <c r="AP4801" s="35"/>
    </row>
    <row r="4802" spans="1:42" x14ac:dyDescent="0.2">
      <c r="A4802" s="74">
        <v>45621</v>
      </c>
      <c r="B4802" s="137" t="s">
        <v>37</v>
      </c>
      <c r="C4802" s="41" t="s">
        <v>118</v>
      </c>
      <c r="D4802" s="80" t="s">
        <v>36</v>
      </c>
      <c r="E4802" s="80" t="s">
        <v>139</v>
      </c>
      <c r="F4802" s="80" t="s">
        <v>12849</v>
      </c>
      <c r="G4802" s="80" t="s">
        <v>108</v>
      </c>
      <c r="H4802" s="80" t="s">
        <v>16763</v>
      </c>
      <c r="I4802" s="17">
        <f ca="1">IFERROR(__xludf.DUMMYFUNCTION("""COMPUTED_VALUE"""),45635)</f>
        <v>45635</v>
      </c>
      <c r="J4802" s="143" t="s">
        <v>15513</v>
      </c>
      <c r="K4802" s="80" t="s">
        <v>15514</v>
      </c>
      <c r="L4802" s="30">
        <v>397339309</v>
      </c>
      <c r="M4802" s="80" t="s">
        <v>12529</v>
      </c>
      <c r="N4802" s="80" t="s">
        <v>13566</v>
      </c>
      <c r="O4802" s="80" t="s">
        <v>15515</v>
      </c>
      <c r="P4802" s="144" t="s">
        <v>16783</v>
      </c>
      <c r="Q4802" s="20">
        <v>15936</v>
      </c>
      <c r="R4802" s="80" t="s">
        <v>36</v>
      </c>
      <c r="S4802" s="95">
        <f t="shared" ref="S4802:S4803" si="108">200+1800</f>
        <v>2000</v>
      </c>
      <c r="T4802" s="83" t="s">
        <v>15517</v>
      </c>
      <c r="U4802" s="95">
        <v>13936</v>
      </c>
      <c r="V4802" s="148">
        <v>45596</v>
      </c>
      <c r="W4802" s="85" t="s">
        <v>15518</v>
      </c>
      <c r="X4802" s="80"/>
      <c r="Y4802" s="22">
        <v>0</v>
      </c>
      <c r="Z4802" s="80" t="s">
        <v>50</v>
      </c>
      <c r="AA4802" s="35" t="s">
        <v>9905</v>
      </c>
      <c r="AB4802" s="80"/>
      <c r="AC4802" s="80" t="s">
        <v>53</v>
      </c>
      <c r="AD4802" s="80" t="s">
        <v>54</v>
      </c>
      <c r="AE4802" s="80" t="s">
        <v>12849</v>
      </c>
      <c r="AF4802" s="17">
        <v>45629</v>
      </c>
      <c r="AG4802" s="80"/>
      <c r="AH4802" s="80"/>
      <c r="AI4802" s="147"/>
      <c r="AJ4802" s="80"/>
      <c r="AK4802" s="80"/>
      <c r="AL4802" s="35"/>
      <c r="AM4802" s="35"/>
      <c r="AN4802" s="35"/>
      <c r="AO4802" s="35"/>
      <c r="AP4802" s="35"/>
    </row>
    <row r="4803" spans="1:42" x14ac:dyDescent="0.2">
      <c r="A4803" s="74">
        <v>45621</v>
      </c>
      <c r="B4803" s="137" t="s">
        <v>37</v>
      </c>
      <c r="C4803" s="41" t="s">
        <v>118</v>
      </c>
      <c r="D4803" s="26" t="s">
        <v>36</v>
      </c>
      <c r="E4803" s="26" t="s">
        <v>139</v>
      </c>
      <c r="F4803" s="26" t="s">
        <v>9836</v>
      </c>
      <c r="G4803" s="80" t="s">
        <v>221</v>
      </c>
      <c r="H4803" s="80" t="s">
        <v>16687</v>
      </c>
      <c r="I4803" s="17">
        <f ca="1">IFERROR(__xludf.DUMMYFUNCTION("""COMPUTED_VALUE"""),45637)</f>
        <v>45637</v>
      </c>
      <c r="J4803" s="29" t="s">
        <v>9837</v>
      </c>
      <c r="K4803" s="26" t="s">
        <v>9838</v>
      </c>
      <c r="L4803" s="30">
        <v>372889965</v>
      </c>
      <c r="M4803" s="26" t="s">
        <v>3728</v>
      </c>
      <c r="N4803" s="26" t="s">
        <v>8725</v>
      </c>
      <c r="O4803" s="26" t="s">
        <v>134</v>
      </c>
      <c r="P4803" s="42" t="s">
        <v>16784</v>
      </c>
      <c r="Q4803" s="20">
        <v>15936</v>
      </c>
      <c r="R4803" s="26" t="s">
        <v>36</v>
      </c>
      <c r="S4803" s="95">
        <f t="shared" si="108"/>
        <v>2000</v>
      </c>
      <c r="T4803" s="83" t="s">
        <v>9840</v>
      </c>
      <c r="U4803" s="95">
        <v>13936</v>
      </c>
      <c r="V4803" s="148">
        <v>45519</v>
      </c>
      <c r="W4803" s="33" t="s">
        <v>9841</v>
      </c>
      <c r="X4803" s="26">
        <v>0</v>
      </c>
      <c r="Y4803" s="22">
        <v>0</v>
      </c>
      <c r="Z4803" s="41" t="s">
        <v>118</v>
      </c>
      <c r="AA4803" s="96"/>
      <c r="AB4803" s="26" t="s">
        <v>36</v>
      </c>
      <c r="AC4803" s="26" t="s">
        <v>53</v>
      </c>
      <c r="AD4803" s="26" t="s">
        <v>54</v>
      </c>
      <c r="AE4803" s="26" t="s">
        <v>9836</v>
      </c>
      <c r="AF4803" s="17">
        <v>45630</v>
      </c>
      <c r="AG4803" s="26"/>
      <c r="AH4803" s="26"/>
      <c r="AI4803" s="40"/>
      <c r="AJ4803" s="26"/>
      <c r="AK4803" s="26"/>
      <c r="AL4803" s="35"/>
      <c r="AM4803" s="35"/>
      <c r="AN4803" s="35"/>
      <c r="AO4803" s="35"/>
      <c r="AP4803" s="35"/>
    </row>
    <row r="4804" spans="1:42" x14ac:dyDescent="0.2">
      <c r="A4804" s="74">
        <v>45621</v>
      </c>
      <c r="B4804" s="137" t="s">
        <v>37</v>
      </c>
      <c r="C4804" s="41" t="s">
        <v>118</v>
      </c>
      <c r="D4804" s="80" t="s">
        <v>36</v>
      </c>
      <c r="E4804" s="80" t="s">
        <v>119</v>
      </c>
      <c r="F4804" s="80" t="s">
        <v>8986</v>
      </c>
      <c r="G4804" s="80" t="s">
        <v>221</v>
      </c>
      <c r="H4804" s="80" t="s">
        <v>16773</v>
      </c>
      <c r="I4804" s="17">
        <f ca="1">IFERROR(__xludf.DUMMYFUNCTION("""COMPUTED_VALUE"""),45636)</f>
        <v>45636</v>
      </c>
      <c r="J4804" s="143" t="s">
        <v>12302</v>
      </c>
      <c r="K4804" s="80" t="s">
        <v>16785</v>
      </c>
      <c r="L4804" s="30">
        <v>386268705</v>
      </c>
      <c r="M4804" s="80" t="s">
        <v>123</v>
      </c>
      <c r="N4804" s="80" t="s">
        <v>327</v>
      </c>
      <c r="O4804" s="80" t="s">
        <v>4503</v>
      </c>
      <c r="P4804" s="144" t="s">
        <v>16786</v>
      </c>
      <c r="Q4804" s="20">
        <v>13968</v>
      </c>
      <c r="R4804" s="80" t="s">
        <v>36</v>
      </c>
      <c r="S4804" s="95">
        <f>200+3800</f>
        <v>4000</v>
      </c>
      <c r="T4804" s="83" t="s">
        <v>12305</v>
      </c>
      <c r="U4804" s="95">
        <f>9900+68</f>
        <v>9968</v>
      </c>
      <c r="V4804" s="83" t="s">
        <v>12306</v>
      </c>
      <c r="W4804" s="80" t="s">
        <v>12307</v>
      </c>
      <c r="X4804" s="80">
        <v>0</v>
      </c>
      <c r="Y4804" s="22">
        <v>0</v>
      </c>
      <c r="Z4804" s="80" t="s">
        <v>50</v>
      </c>
      <c r="AA4804" s="35" t="s">
        <v>3291</v>
      </c>
      <c r="AB4804" s="80" t="s">
        <v>4503</v>
      </c>
      <c r="AC4804" s="80" t="s">
        <v>53</v>
      </c>
      <c r="AD4804" s="80" t="s">
        <v>54</v>
      </c>
      <c r="AE4804" s="80" t="s">
        <v>8986</v>
      </c>
      <c r="AF4804" s="17">
        <v>45622</v>
      </c>
      <c r="AG4804" s="80"/>
      <c r="AH4804" s="80"/>
      <c r="AI4804" s="147">
        <v>4</v>
      </c>
      <c r="AJ4804" s="80"/>
      <c r="AK4804" s="80"/>
      <c r="AL4804" s="35"/>
      <c r="AM4804" s="35"/>
      <c r="AN4804" s="35"/>
      <c r="AO4804" s="35"/>
      <c r="AP4804" s="35"/>
    </row>
    <row r="4805" spans="1:42" x14ac:dyDescent="0.2">
      <c r="A4805" s="74">
        <v>45621</v>
      </c>
      <c r="B4805" s="137" t="s">
        <v>37</v>
      </c>
      <c r="C4805" s="41" t="s">
        <v>118</v>
      </c>
      <c r="D4805" s="80" t="s">
        <v>36</v>
      </c>
      <c r="E4805" s="80" t="s">
        <v>139</v>
      </c>
      <c r="F4805" s="80" t="s">
        <v>15855</v>
      </c>
      <c r="G4805" s="80" t="s">
        <v>108</v>
      </c>
      <c r="H4805" s="80" t="s">
        <v>16763</v>
      </c>
      <c r="I4805" s="17">
        <f ca="1">IFERROR(__xludf.DUMMYFUNCTION("""COMPUTED_VALUE"""),45635)</f>
        <v>45635</v>
      </c>
      <c r="J4805" s="143" t="s">
        <v>16124</v>
      </c>
      <c r="K4805" s="80" t="s">
        <v>16125</v>
      </c>
      <c r="L4805" s="30">
        <v>961375834</v>
      </c>
      <c r="M4805" s="80" t="s">
        <v>59</v>
      </c>
      <c r="N4805" s="80" t="s">
        <v>68</v>
      </c>
      <c r="O4805" s="80" t="s">
        <v>16126</v>
      </c>
      <c r="P4805" s="144" t="s">
        <v>16127</v>
      </c>
      <c r="Q4805" s="20">
        <v>15936</v>
      </c>
      <c r="R4805" s="80" t="s">
        <v>70</v>
      </c>
      <c r="S4805" s="95">
        <v>2000</v>
      </c>
      <c r="T4805" s="148">
        <v>45570</v>
      </c>
      <c r="U4805" s="95">
        <v>13863</v>
      </c>
      <c r="V4805" s="148">
        <v>45582</v>
      </c>
      <c r="W4805" s="85" t="s">
        <v>16128</v>
      </c>
      <c r="X4805" s="80"/>
      <c r="Y4805" s="22">
        <v>73</v>
      </c>
      <c r="Z4805" s="80" t="s">
        <v>50</v>
      </c>
      <c r="AA4805" s="96" t="s">
        <v>9905</v>
      </c>
      <c r="AB4805" s="80"/>
      <c r="AC4805" s="80" t="s">
        <v>53</v>
      </c>
      <c r="AD4805" s="80" t="s">
        <v>54</v>
      </c>
      <c r="AE4805" s="80" t="s">
        <v>15855</v>
      </c>
      <c r="AF4805" s="17">
        <v>45629</v>
      </c>
      <c r="AG4805" s="80"/>
      <c r="AH4805" s="80"/>
      <c r="AI4805" s="147"/>
      <c r="AJ4805" s="80"/>
      <c r="AK4805" s="80"/>
      <c r="AL4805" s="35"/>
      <c r="AM4805" s="35"/>
      <c r="AN4805" s="35"/>
      <c r="AO4805" s="35"/>
      <c r="AP4805" s="35"/>
    </row>
    <row r="4806" spans="1:42" x14ac:dyDescent="0.2">
      <c r="A4806" s="74">
        <v>45621</v>
      </c>
      <c r="B4806" s="137" t="s">
        <v>37</v>
      </c>
      <c r="C4806" s="41" t="s">
        <v>118</v>
      </c>
      <c r="D4806" s="80" t="s">
        <v>36</v>
      </c>
      <c r="E4806" s="80" t="s">
        <v>139</v>
      </c>
      <c r="F4806" s="80" t="s">
        <v>15855</v>
      </c>
      <c r="G4806" s="80" t="s">
        <v>108</v>
      </c>
      <c r="H4806" s="80" t="s">
        <v>16763</v>
      </c>
      <c r="I4806" s="17">
        <f ca="1">IFERROR(__xludf.DUMMYFUNCTION("""COMPUTED_VALUE"""),45635)</f>
        <v>45635</v>
      </c>
      <c r="J4806" s="143" t="s">
        <v>15906</v>
      </c>
      <c r="K4806" s="80" t="s">
        <v>16787</v>
      </c>
      <c r="L4806" s="30">
        <v>868505471</v>
      </c>
      <c r="M4806" s="80" t="s">
        <v>5558</v>
      </c>
      <c r="N4806" s="80" t="s">
        <v>5559</v>
      </c>
      <c r="O4806" s="80" t="s">
        <v>4503</v>
      </c>
      <c r="P4806" s="144" t="s">
        <v>16788</v>
      </c>
      <c r="Q4806" s="20">
        <v>15936</v>
      </c>
      <c r="R4806" s="80" t="s">
        <v>36</v>
      </c>
      <c r="S4806" s="95">
        <v>2000</v>
      </c>
      <c r="T4806" s="148">
        <v>45565</v>
      </c>
      <c r="U4806" s="95">
        <v>13936</v>
      </c>
      <c r="V4806" s="148">
        <v>45588</v>
      </c>
      <c r="W4806" s="85" t="s">
        <v>15909</v>
      </c>
      <c r="X4806" s="80"/>
      <c r="Y4806" s="22">
        <v>0</v>
      </c>
      <c r="Z4806" s="80" t="s">
        <v>50</v>
      </c>
      <c r="AA4806" s="35" t="s">
        <v>9905</v>
      </c>
      <c r="AB4806" s="80"/>
      <c r="AC4806" s="80" t="s">
        <v>53</v>
      </c>
      <c r="AD4806" s="80" t="s">
        <v>54</v>
      </c>
      <c r="AE4806" s="80" t="s">
        <v>15855</v>
      </c>
      <c r="AF4806" s="17">
        <v>45629</v>
      </c>
      <c r="AG4806" s="80"/>
      <c r="AH4806" s="80"/>
      <c r="AI4806" s="147"/>
      <c r="AJ4806" s="80"/>
      <c r="AK4806" s="80"/>
      <c r="AL4806" s="35"/>
      <c r="AM4806" s="35"/>
      <c r="AN4806" s="35"/>
      <c r="AO4806" s="35"/>
      <c r="AP4806" s="35"/>
    </row>
    <row r="4807" spans="1:42" x14ac:dyDescent="0.2">
      <c r="A4807" s="74">
        <v>45621</v>
      </c>
      <c r="B4807" s="137" t="s">
        <v>37</v>
      </c>
      <c r="C4807" s="41" t="s">
        <v>118</v>
      </c>
      <c r="D4807" s="80" t="s">
        <v>36</v>
      </c>
      <c r="E4807" s="80" t="s">
        <v>139</v>
      </c>
      <c r="F4807" s="80" t="s">
        <v>15855</v>
      </c>
      <c r="G4807" s="80" t="s">
        <v>108</v>
      </c>
      <c r="H4807" s="80" t="s">
        <v>16763</v>
      </c>
      <c r="I4807" s="17">
        <f ca="1">IFERROR(__xludf.DUMMYFUNCTION("""COMPUTED_VALUE"""),45635)</f>
        <v>45635</v>
      </c>
      <c r="J4807" s="172" t="s">
        <v>16129</v>
      </c>
      <c r="K4807" s="80" t="s">
        <v>16130</v>
      </c>
      <c r="L4807" s="30">
        <v>355780206</v>
      </c>
      <c r="M4807" s="80" t="s">
        <v>59</v>
      </c>
      <c r="N4807" s="80" t="s">
        <v>68</v>
      </c>
      <c r="O4807" s="80" t="s">
        <v>16131</v>
      </c>
      <c r="P4807" s="144" t="s">
        <v>16789</v>
      </c>
      <c r="Q4807" s="20">
        <v>15936</v>
      </c>
      <c r="R4807" s="80" t="s">
        <v>70</v>
      </c>
      <c r="S4807" s="95">
        <v>2000</v>
      </c>
      <c r="T4807" s="148">
        <v>45570</v>
      </c>
      <c r="U4807" s="95">
        <v>13836</v>
      </c>
      <c r="V4807" s="148">
        <v>45588</v>
      </c>
      <c r="W4807" s="85" t="s">
        <v>16133</v>
      </c>
      <c r="X4807" s="80"/>
      <c r="Y4807" s="22">
        <v>100</v>
      </c>
      <c r="Z4807" s="80" t="s">
        <v>50</v>
      </c>
      <c r="AA4807" s="96" t="s">
        <v>9905</v>
      </c>
      <c r="AB4807" s="80"/>
      <c r="AC4807" s="80" t="s">
        <v>53</v>
      </c>
      <c r="AD4807" s="80" t="s">
        <v>54</v>
      </c>
      <c r="AE4807" s="80" t="s">
        <v>15855</v>
      </c>
      <c r="AF4807" s="17">
        <v>45629</v>
      </c>
      <c r="AG4807" s="80"/>
      <c r="AH4807" s="80"/>
      <c r="AI4807" s="147"/>
      <c r="AJ4807" s="80"/>
      <c r="AK4807" s="80"/>
      <c r="AL4807" s="35"/>
      <c r="AM4807" s="35"/>
      <c r="AN4807" s="35"/>
      <c r="AO4807" s="35"/>
      <c r="AP4807" s="35"/>
    </row>
    <row r="4808" spans="1:42" x14ac:dyDescent="0.2">
      <c r="A4808" s="74">
        <v>45621</v>
      </c>
      <c r="B4808" s="137" t="s">
        <v>37</v>
      </c>
      <c r="C4808" s="41" t="s">
        <v>118</v>
      </c>
      <c r="D4808" s="80" t="s">
        <v>36</v>
      </c>
      <c r="E4808" s="80" t="s">
        <v>39</v>
      </c>
      <c r="F4808" s="80" t="s">
        <v>15855</v>
      </c>
      <c r="G4808" s="80" t="s">
        <v>108</v>
      </c>
      <c r="H4808" s="80" t="s">
        <v>16763</v>
      </c>
      <c r="I4808" s="17">
        <f ca="1">IFERROR(__xludf.DUMMYFUNCTION("""COMPUTED_VALUE"""),45635)</f>
        <v>45635</v>
      </c>
      <c r="J4808" s="143" t="s">
        <v>16056</v>
      </c>
      <c r="K4808" s="80" t="s">
        <v>16790</v>
      </c>
      <c r="L4808" s="30">
        <v>968792259</v>
      </c>
      <c r="M4808" s="80" t="s">
        <v>45</v>
      </c>
      <c r="N4808" s="80" t="s">
        <v>299</v>
      </c>
      <c r="O4808" s="80" t="s">
        <v>16058</v>
      </c>
      <c r="P4808" s="144" t="s">
        <v>16791</v>
      </c>
      <c r="Q4808" s="20">
        <v>5736</v>
      </c>
      <c r="R4808" s="80" t="s">
        <v>36</v>
      </c>
      <c r="S4808" s="95">
        <v>5736</v>
      </c>
      <c r="T4808" s="148">
        <v>45569</v>
      </c>
      <c r="U4808" s="77"/>
      <c r="V4808" s="78"/>
      <c r="W4808" s="85" t="s">
        <v>16060</v>
      </c>
      <c r="X4808" s="80"/>
      <c r="Y4808" s="22">
        <v>0</v>
      </c>
      <c r="Z4808" s="80" t="s">
        <v>50</v>
      </c>
      <c r="AA4808" s="35" t="s">
        <v>9905</v>
      </c>
      <c r="AB4808" s="80"/>
      <c r="AC4808" s="80" t="s">
        <v>53</v>
      </c>
      <c r="AD4808" s="80" t="s">
        <v>54</v>
      </c>
      <c r="AE4808" s="80" t="s">
        <v>15855</v>
      </c>
      <c r="AF4808" s="17">
        <v>45629</v>
      </c>
      <c r="AG4808" s="80"/>
      <c r="AH4808" s="80"/>
      <c r="AI4808" s="147"/>
      <c r="AJ4808" s="80"/>
      <c r="AK4808" s="80"/>
      <c r="AL4808" s="35"/>
      <c r="AM4808" s="35"/>
      <c r="AN4808" s="35"/>
      <c r="AO4808" s="35"/>
      <c r="AP4808" s="35"/>
    </row>
    <row r="4809" spans="1:42" x14ac:dyDescent="0.2">
      <c r="A4809" s="74">
        <v>45622</v>
      </c>
      <c r="B4809" s="137" t="s">
        <v>37</v>
      </c>
      <c r="C4809" s="41" t="s">
        <v>118</v>
      </c>
      <c r="D4809" s="80" t="s">
        <v>36</v>
      </c>
      <c r="E4809" s="80" t="s">
        <v>39</v>
      </c>
      <c r="F4809" s="80" t="s">
        <v>11718</v>
      </c>
      <c r="G4809" s="80" t="s">
        <v>108</v>
      </c>
      <c r="H4809" s="80" t="s">
        <v>16792</v>
      </c>
      <c r="I4809" s="17">
        <f ca="1">IFERROR(__xludf.DUMMYFUNCTION("""COMPUTED_VALUE"""),45632)</f>
        <v>45632</v>
      </c>
      <c r="J4809" s="143" t="s">
        <v>12727</v>
      </c>
      <c r="K4809" s="80" t="s">
        <v>16793</v>
      </c>
      <c r="L4809" s="30">
        <v>792845626</v>
      </c>
      <c r="M4809" s="80" t="s">
        <v>3728</v>
      </c>
      <c r="N4809" s="80" t="s">
        <v>5312</v>
      </c>
      <c r="O4809" s="80" t="s">
        <v>12729</v>
      </c>
      <c r="P4809" s="144" t="s">
        <v>16794</v>
      </c>
      <c r="Q4809" s="20">
        <v>5736</v>
      </c>
      <c r="R4809" s="80" t="s">
        <v>36</v>
      </c>
      <c r="S4809" s="95">
        <v>2000</v>
      </c>
      <c r="T4809" s="148">
        <v>45539</v>
      </c>
      <c r="U4809" s="95">
        <v>3768</v>
      </c>
      <c r="V4809" s="148">
        <v>45551</v>
      </c>
      <c r="W4809" s="85" t="s">
        <v>12731</v>
      </c>
      <c r="X4809" s="80">
        <v>0</v>
      </c>
      <c r="Y4809" s="22">
        <v>-32</v>
      </c>
      <c r="Z4809" s="80" t="s">
        <v>50</v>
      </c>
      <c r="AA4809" s="96" t="s">
        <v>3291</v>
      </c>
      <c r="AB4809" s="80"/>
      <c r="AC4809" s="80" t="s">
        <v>53</v>
      </c>
      <c r="AD4809" s="80" t="s">
        <v>54</v>
      </c>
      <c r="AE4809" s="80" t="s">
        <v>11718</v>
      </c>
      <c r="AF4809" s="43">
        <v>45625</v>
      </c>
      <c r="AG4809" s="80" t="s">
        <v>7078</v>
      </c>
      <c r="AH4809" s="80"/>
      <c r="AI4809" s="147" t="s">
        <v>55</v>
      </c>
      <c r="AJ4809" s="80"/>
      <c r="AK4809" s="80"/>
      <c r="AL4809" s="35"/>
      <c r="AM4809" s="35"/>
      <c r="AN4809" s="35"/>
      <c r="AO4809" s="35"/>
      <c r="AP4809" s="35"/>
    </row>
    <row r="4810" spans="1:42" x14ac:dyDescent="0.2">
      <c r="A4810" s="74">
        <v>45622</v>
      </c>
      <c r="B4810" s="137" t="s">
        <v>37</v>
      </c>
      <c r="C4810" s="41" t="s">
        <v>118</v>
      </c>
      <c r="D4810" s="80" t="s">
        <v>36</v>
      </c>
      <c r="E4810" s="80" t="s">
        <v>139</v>
      </c>
      <c r="F4810" s="80" t="s">
        <v>13178</v>
      </c>
      <c r="G4810" s="80" t="s">
        <v>108</v>
      </c>
      <c r="H4810" s="80" t="s">
        <v>16656</v>
      </c>
      <c r="I4810" s="17">
        <f ca="1">IFERROR(__xludf.DUMMYFUNCTION("""COMPUTED_VALUE"""),45624)</f>
        <v>45624</v>
      </c>
      <c r="J4810" s="143" t="s">
        <v>15359</v>
      </c>
      <c r="K4810" s="80" t="s">
        <v>16795</v>
      </c>
      <c r="L4810" s="30">
        <v>346512396</v>
      </c>
      <c r="M4810" s="80" t="s">
        <v>5558</v>
      </c>
      <c r="N4810" s="80" t="s">
        <v>850</v>
      </c>
      <c r="O4810" s="80" t="s">
        <v>15361</v>
      </c>
      <c r="P4810" s="80" t="s">
        <v>15362</v>
      </c>
      <c r="Q4810" s="20">
        <v>15936</v>
      </c>
      <c r="R4810" s="80" t="s">
        <v>36</v>
      </c>
      <c r="S4810" s="95">
        <v>2000</v>
      </c>
      <c r="T4810" s="148">
        <v>45554</v>
      </c>
      <c r="U4810" s="95">
        <v>13936</v>
      </c>
      <c r="V4810" s="169">
        <v>45588</v>
      </c>
      <c r="W4810" s="85" t="s">
        <v>15363</v>
      </c>
      <c r="X4810" s="80"/>
      <c r="Y4810" s="22">
        <v>0</v>
      </c>
      <c r="Z4810" s="80" t="s">
        <v>50</v>
      </c>
      <c r="AA4810" s="35" t="s">
        <v>9905</v>
      </c>
      <c r="AB4810" s="80"/>
      <c r="AC4810" s="80" t="s">
        <v>53</v>
      </c>
      <c r="AD4810" s="80" t="s">
        <v>138</v>
      </c>
      <c r="AE4810" s="80" t="s">
        <v>13178</v>
      </c>
      <c r="AF4810" s="17">
        <v>45624</v>
      </c>
      <c r="AG4810" s="80"/>
      <c r="AH4810" s="80"/>
      <c r="AI4810" s="147"/>
      <c r="AJ4810" s="80"/>
      <c r="AK4810" s="80"/>
      <c r="AL4810" s="35"/>
      <c r="AM4810" s="35"/>
      <c r="AN4810" s="35"/>
      <c r="AO4810" s="35"/>
      <c r="AP4810" s="35"/>
    </row>
    <row r="4811" spans="1:42" x14ac:dyDescent="0.2">
      <c r="A4811" s="74">
        <v>45622</v>
      </c>
      <c r="B4811" s="137" t="s">
        <v>37</v>
      </c>
      <c r="C4811" s="41" t="s">
        <v>118</v>
      </c>
      <c r="D4811" s="80" t="s">
        <v>36</v>
      </c>
      <c r="E4811" s="80" t="s">
        <v>139</v>
      </c>
      <c r="F4811" s="80" t="s">
        <v>13178</v>
      </c>
      <c r="G4811" s="80" t="s">
        <v>108</v>
      </c>
      <c r="H4811" s="80" t="s">
        <v>16656</v>
      </c>
      <c r="I4811" s="17">
        <f ca="1">IFERROR(__xludf.DUMMYFUNCTION("""COMPUTED_VALUE"""),45624)</f>
        <v>45624</v>
      </c>
      <c r="J4811" s="143" t="s">
        <v>15373</v>
      </c>
      <c r="K4811" s="80" t="s">
        <v>16796</v>
      </c>
      <c r="L4811" s="30">
        <v>393642462</v>
      </c>
      <c r="M4811" s="80" t="s">
        <v>59</v>
      </c>
      <c r="N4811" s="80" t="s">
        <v>7298</v>
      </c>
      <c r="O4811" s="80" t="s">
        <v>15375</v>
      </c>
      <c r="P4811" s="80" t="s">
        <v>15376</v>
      </c>
      <c r="Q4811" s="20">
        <v>15936</v>
      </c>
      <c r="R4811" s="80" t="s">
        <v>36</v>
      </c>
      <c r="S4811" s="95">
        <f>200+2000</f>
        <v>2200</v>
      </c>
      <c r="T4811" s="83" t="s">
        <v>15377</v>
      </c>
      <c r="U4811" s="95">
        <v>13736</v>
      </c>
      <c r="V4811" s="148">
        <v>45573</v>
      </c>
      <c r="W4811" s="85" t="s">
        <v>15378</v>
      </c>
      <c r="X4811" s="80"/>
      <c r="Y4811" s="22">
        <v>0</v>
      </c>
      <c r="Z4811" s="80" t="s">
        <v>50</v>
      </c>
      <c r="AA4811" s="96" t="s">
        <v>9905</v>
      </c>
      <c r="AB4811" s="80"/>
      <c r="AC4811" s="80" t="s">
        <v>53</v>
      </c>
      <c r="AD4811" s="80" t="s">
        <v>138</v>
      </c>
      <c r="AE4811" s="80" t="s">
        <v>13178</v>
      </c>
      <c r="AF4811" s="17">
        <v>45624</v>
      </c>
      <c r="AG4811" s="80"/>
      <c r="AH4811" s="80"/>
      <c r="AI4811" s="147"/>
      <c r="AJ4811" s="80"/>
      <c r="AK4811" s="80"/>
      <c r="AL4811" s="35"/>
      <c r="AM4811" s="35"/>
      <c r="AN4811" s="35"/>
      <c r="AO4811" s="35"/>
      <c r="AP4811" s="35"/>
    </row>
    <row r="4812" spans="1:42" x14ac:dyDescent="0.2">
      <c r="A4812" s="74">
        <v>45622</v>
      </c>
      <c r="B4812" s="137" t="s">
        <v>37</v>
      </c>
      <c r="C4812" s="41" t="s">
        <v>118</v>
      </c>
      <c r="D4812" s="80" t="s">
        <v>36</v>
      </c>
      <c r="E4812" s="80" t="s">
        <v>139</v>
      </c>
      <c r="F4812" s="80" t="s">
        <v>13178</v>
      </c>
      <c r="G4812" s="80" t="s">
        <v>108</v>
      </c>
      <c r="H4812" s="80" t="s">
        <v>16656</v>
      </c>
      <c r="I4812" s="17">
        <f ca="1">IFERROR(__xludf.DUMMYFUNCTION("""COMPUTED_VALUE"""),45624)</f>
        <v>45624</v>
      </c>
      <c r="J4812" s="143" t="s">
        <v>15519</v>
      </c>
      <c r="K4812" s="80" t="s">
        <v>15520</v>
      </c>
      <c r="L4812" s="30">
        <v>334235705</v>
      </c>
      <c r="M4812" s="80" t="s">
        <v>348</v>
      </c>
      <c r="N4812" s="80" t="s">
        <v>200</v>
      </c>
      <c r="O4812" s="80" t="s">
        <v>91</v>
      </c>
      <c r="P4812" s="80" t="s">
        <v>3117</v>
      </c>
      <c r="Q4812" s="20">
        <v>15936</v>
      </c>
      <c r="R4812" s="80" t="s">
        <v>36</v>
      </c>
      <c r="S4812" s="95">
        <v>2000</v>
      </c>
      <c r="T4812" s="148">
        <v>45558</v>
      </c>
      <c r="U4812" s="95">
        <v>13936</v>
      </c>
      <c r="V4812" s="148">
        <v>45592</v>
      </c>
      <c r="W4812" s="85" t="s">
        <v>15521</v>
      </c>
      <c r="X4812" s="80"/>
      <c r="Y4812" s="22">
        <v>0</v>
      </c>
      <c r="Z4812" s="80" t="s">
        <v>50</v>
      </c>
      <c r="AA4812" s="35" t="s">
        <v>9905</v>
      </c>
      <c r="AB4812" s="80"/>
      <c r="AC4812" s="80" t="s">
        <v>53</v>
      </c>
      <c r="AD4812" s="80" t="s">
        <v>138</v>
      </c>
      <c r="AE4812" s="80" t="s">
        <v>13178</v>
      </c>
      <c r="AF4812" s="17">
        <v>45624</v>
      </c>
      <c r="AG4812" s="80"/>
      <c r="AH4812" s="80"/>
      <c r="AI4812" s="147"/>
      <c r="AJ4812" s="80"/>
      <c r="AK4812" s="80"/>
      <c r="AL4812" s="35"/>
      <c r="AM4812" s="35"/>
      <c r="AN4812" s="35"/>
      <c r="AO4812" s="35"/>
      <c r="AP4812" s="35"/>
    </row>
    <row r="4813" spans="1:42" x14ac:dyDescent="0.2">
      <c r="A4813" s="74">
        <v>45622</v>
      </c>
      <c r="B4813" s="137" t="s">
        <v>37</v>
      </c>
      <c r="C4813" s="41" t="s">
        <v>118</v>
      </c>
      <c r="D4813" s="80" t="s">
        <v>36</v>
      </c>
      <c r="E4813" s="80" t="s">
        <v>139</v>
      </c>
      <c r="F4813" s="80" t="s">
        <v>13178</v>
      </c>
      <c r="G4813" s="80" t="s">
        <v>108</v>
      </c>
      <c r="H4813" s="80" t="s">
        <v>16656</v>
      </c>
      <c r="I4813" s="17">
        <f ca="1">IFERROR(__xludf.DUMMYFUNCTION("""COMPUTED_VALUE"""),45624)</f>
        <v>45624</v>
      </c>
      <c r="J4813" s="143" t="s">
        <v>15823</v>
      </c>
      <c r="K4813" s="80" t="s">
        <v>15824</v>
      </c>
      <c r="L4813" s="30">
        <v>971810364</v>
      </c>
      <c r="M4813" s="80" t="s">
        <v>5558</v>
      </c>
      <c r="N4813" s="80" t="s">
        <v>5277</v>
      </c>
      <c r="O4813" s="80" t="s">
        <v>4503</v>
      </c>
      <c r="P4813" s="80" t="s">
        <v>15825</v>
      </c>
      <c r="Q4813" s="20">
        <v>15936</v>
      </c>
      <c r="R4813" s="80" t="s">
        <v>36</v>
      </c>
      <c r="S4813" s="95">
        <v>2000</v>
      </c>
      <c r="T4813" s="148">
        <v>45562</v>
      </c>
      <c r="U4813" s="95">
        <v>13936</v>
      </c>
      <c r="V4813" s="169">
        <v>45586</v>
      </c>
      <c r="W4813" s="85" t="s">
        <v>15826</v>
      </c>
      <c r="X4813" s="80"/>
      <c r="Y4813" s="22">
        <v>0</v>
      </c>
      <c r="Z4813" s="80" t="s">
        <v>50</v>
      </c>
      <c r="AA4813" s="96" t="s">
        <v>9905</v>
      </c>
      <c r="AB4813" s="80"/>
      <c r="AC4813" s="80" t="s">
        <v>53</v>
      </c>
      <c r="AD4813" s="80" t="s">
        <v>138</v>
      </c>
      <c r="AE4813" s="80" t="s">
        <v>13178</v>
      </c>
      <c r="AF4813" s="17">
        <v>45624</v>
      </c>
      <c r="AG4813" s="80"/>
      <c r="AH4813" s="80"/>
      <c r="AI4813" s="147"/>
      <c r="AJ4813" s="80"/>
      <c r="AK4813" s="80"/>
      <c r="AL4813" s="35"/>
      <c r="AM4813" s="35"/>
      <c r="AN4813" s="35"/>
      <c r="AO4813" s="35"/>
      <c r="AP4813" s="35"/>
    </row>
    <row r="4814" spans="1:42" x14ac:dyDescent="0.2">
      <c r="A4814" s="74">
        <v>45622</v>
      </c>
      <c r="B4814" s="137" t="s">
        <v>37</v>
      </c>
      <c r="C4814" s="41" t="s">
        <v>118</v>
      </c>
      <c r="D4814" s="80" t="s">
        <v>36</v>
      </c>
      <c r="E4814" s="80" t="s">
        <v>39</v>
      </c>
      <c r="F4814" s="80" t="s">
        <v>13178</v>
      </c>
      <c r="G4814" s="80" t="s">
        <v>108</v>
      </c>
      <c r="H4814" s="80" t="s">
        <v>16656</v>
      </c>
      <c r="I4814" s="17">
        <f ca="1">IFERROR(__xludf.DUMMYFUNCTION("""COMPUTED_VALUE"""),45624)</f>
        <v>45624</v>
      </c>
      <c r="J4814" s="143" t="s">
        <v>15847</v>
      </c>
      <c r="K4814" s="80" t="s">
        <v>15848</v>
      </c>
      <c r="L4814" s="30">
        <v>961302425</v>
      </c>
      <c r="M4814" s="80" t="s">
        <v>3498</v>
      </c>
      <c r="N4814" s="80" t="s">
        <v>4402</v>
      </c>
      <c r="O4814" s="80" t="s">
        <v>4503</v>
      </c>
      <c r="P4814" s="80" t="s">
        <v>7743</v>
      </c>
      <c r="Q4814" s="20">
        <v>5736</v>
      </c>
      <c r="R4814" s="80" t="s">
        <v>36</v>
      </c>
      <c r="S4814" s="95">
        <f>200+2000</f>
        <v>2200</v>
      </c>
      <c r="T4814" s="83" t="s">
        <v>15849</v>
      </c>
      <c r="U4814" s="95">
        <v>3536</v>
      </c>
      <c r="V4814" s="148">
        <v>45591</v>
      </c>
      <c r="W4814" s="85" t="s">
        <v>15850</v>
      </c>
      <c r="X4814" s="80"/>
      <c r="Y4814" s="22">
        <v>0</v>
      </c>
      <c r="Z4814" s="80" t="s">
        <v>50</v>
      </c>
      <c r="AA4814" s="35" t="s">
        <v>9905</v>
      </c>
      <c r="AB4814" s="80"/>
      <c r="AC4814" s="80" t="s">
        <v>53</v>
      </c>
      <c r="AD4814" s="80" t="s">
        <v>138</v>
      </c>
      <c r="AE4814" s="80" t="s">
        <v>13178</v>
      </c>
      <c r="AF4814" s="17">
        <v>45624</v>
      </c>
      <c r="AG4814" s="80"/>
      <c r="AH4814" s="80"/>
      <c r="AI4814" s="147"/>
      <c r="AJ4814" s="80"/>
      <c r="AK4814" s="80"/>
      <c r="AL4814" s="35"/>
      <c r="AM4814" s="35"/>
      <c r="AN4814" s="35"/>
      <c r="AO4814" s="35"/>
      <c r="AP4814" s="35"/>
    </row>
    <row r="4815" spans="1:42" x14ac:dyDescent="0.2">
      <c r="A4815" s="74">
        <v>45622</v>
      </c>
      <c r="B4815" s="137" t="s">
        <v>37</v>
      </c>
      <c r="C4815" s="41" t="s">
        <v>118</v>
      </c>
      <c r="D4815" s="80" t="s">
        <v>36</v>
      </c>
      <c r="E4815" s="80" t="s">
        <v>56</v>
      </c>
      <c r="F4815" s="80" t="s">
        <v>13178</v>
      </c>
      <c r="G4815" s="80" t="s">
        <v>108</v>
      </c>
      <c r="H4815" s="80" t="s">
        <v>16656</v>
      </c>
      <c r="I4815" s="17">
        <f ca="1">IFERROR(__xludf.DUMMYFUNCTION("""COMPUTED_VALUE"""),45624)</f>
        <v>45624</v>
      </c>
      <c r="J4815" s="143" t="s">
        <v>13576</v>
      </c>
      <c r="K4815" s="80" t="s">
        <v>13577</v>
      </c>
      <c r="L4815" s="30">
        <v>866484156</v>
      </c>
      <c r="M4815" s="80" t="s">
        <v>45</v>
      </c>
      <c r="N4815" s="80" t="s">
        <v>13578</v>
      </c>
      <c r="O4815" s="80" t="s">
        <v>13579</v>
      </c>
      <c r="P4815" s="80" t="s">
        <v>3694</v>
      </c>
      <c r="Q4815" s="20">
        <v>9317</v>
      </c>
      <c r="R4815" s="80" t="s">
        <v>36</v>
      </c>
      <c r="S4815" s="95">
        <v>9317</v>
      </c>
      <c r="T4815" s="148">
        <v>45558</v>
      </c>
      <c r="U4815" s="77"/>
      <c r="V4815" s="78"/>
      <c r="W4815" s="80" t="s">
        <v>13580</v>
      </c>
      <c r="X4815" s="80">
        <v>0</v>
      </c>
      <c r="Y4815" s="22">
        <v>0</v>
      </c>
      <c r="Z4815" s="80" t="s">
        <v>50</v>
      </c>
      <c r="AA4815" s="96" t="s">
        <v>3291</v>
      </c>
      <c r="AB4815" s="80"/>
      <c r="AC4815" s="80" t="s">
        <v>53</v>
      </c>
      <c r="AD4815" s="80" t="s">
        <v>138</v>
      </c>
      <c r="AE4815" s="80" t="s">
        <v>13178</v>
      </c>
      <c r="AF4815" s="17">
        <v>45624</v>
      </c>
      <c r="AG4815" s="80"/>
      <c r="AH4815" s="80"/>
      <c r="AI4815" s="147" t="s">
        <v>64</v>
      </c>
      <c r="AJ4815" s="80"/>
      <c r="AK4815" s="80"/>
      <c r="AL4815" s="35"/>
      <c r="AM4815" s="35"/>
      <c r="AN4815" s="35"/>
      <c r="AO4815" s="35"/>
      <c r="AP4815" s="35"/>
    </row>
    <row r="4816" spans="1:42" x14ac:dyDescent="0.2">
      <c r="A4816" s="74">
        <v>45622</v>
      </c>
      <c r="B4816" s="137" t="s">
        <v>37</v>
      </c>
      <c r="C4816" s="41" t="s">
        <v>118</v>
      </c>
      <c r="D4816" s="80" t="s">
        <v>36</v>
      </c>
      <c r="E4816" s="80" t="s">
        <v>139</v>
      </c>
      <c r="F4816" s="80" t="s">
        <v>13178</v>
      </c>
      <c r="G4816" s="80" t="s">
        <v>108</v>
      </c>
      <c r="H4816" s="80" t="s">
        <v>16656</v>
      </c>
      <c r="I4816" s="17">
        <f ca="1">IFERROR(__xludf.DUMMYFUNCTION("""COMPUTED_VALUE"""),45624)</f>
        <v>45624</v>
      </c>
      <c r="J4816" s="143" t="s">
        <v>13581</v>
      </c>
      <c r="K4816" s="80" t="s">
        <v>13582</v>
      </c>
      <c r="L4816" s="30">
        <v>385073142</v>
      </c>
      <c r="M4816" s="80" t="s">
        <v>45</v>
      </c>
      <c r="N4816" s="80" t="s">
        <v>8420</v>
      </c>
      <c r="O4816" s="80" t="s">
        <v>13583</v>
      </c>
      <c r="P4816" s="80" t="s">
        <v>7743</v>
      </c>
      <c r="Q4816" s="20">
        <v>15936</v>
      </c>
      <c r="R4816" s="80" t="s">
        <v>36</v>
      </c>
      <c r="S4816" s="95">
        <v>15936</v>
      </c>
      <c r="T4816" s="148">
        <v>45557</v>
      </c>
      <c r="U4816" s="77"/>
      <c r="V4816" s="78"/>
      <c r="W4816" s="80" t="s">
        <v>13584</v>
      </c>
      <c r="X4816" s="80">
        <v>0</v>
      </c>
      <c r="Y4816" s="22">
        <v>0</v>
      </c>
      <c r="Z4816" s="80" t="s">
        <v>50</v>
      </c>
      <c r="AA4816" s="35" t="s">
        <v>3291</v>
      </c>
      <c r="AB4816" s="80"/>
      <c r="AC4816" s="80" t="s">
        <v>53</v>
      </c>
      <c r="AD4816" s="80" t="s">
        <v>138</v>
      </c>
      <c r="AE4816" s="80" t="s">
        <v>13178</v>
      </c>
      <c r="AF4816" s="17">
        <v>45624</v>
      </c>
      <c r="AG4816" s="80"/>
      <c r="AH4816" s="80"/>
      <c r="AI4816" s="147" t="s">
        <v>147</v>
      </c>
      <c r="AJ4816" s="80"/>
      <c r="AK4816" s="80"/>
      <c r="AL4816" s="35"/>
      <c r="AM4816" s="35"/>
      <c r="AN4816" s="35"/>
      <c r="AO4816" s="35"/>
      <c r="AP4816" s="35"/>
    </row>
    <row r="4817" spans="1:42" x14ac:dyDescent="0.2">
      <c r="A4817" s="74">
        <v>45622</v>
      </c>
      <c r="B4817" s="137" t="s">
        <v>37</v>
      </c>
      <c r="C4817" s="41" t="s">
        <v>118</v>
      </c>
      <c r="D4817" s="80" t="s">
        <v>36</v>
      </c>
      <c r="E4817" s="80" t="s">
        <v>139</v>
      </c>
      <c r="F4817" s="80" t="s">
        <v>13178</v>
      </c>
      <c r="G4817" s="80" t="s">
        <v>108</v>
      </c>
      <c r="H4817" s="80" t="s">
        <v>16656</v>
      </c>
      <c r="I4817" s="17">
        <f ca="1">IFERROR(__xludf.DUMMYFUNCTION("""COMPUTED_VALUE"""),45624)</f>
        <v>45624</v>
      </c>
      <c r="J4817" s="143" t="s">
        <v>15953</v>
      </c>
      <c r="K4817" s="80" t="s">
        <v>15954</v>
      </c>
      <c r="L4817" s="30">
        <v>374980423</v>
      </c>
      <c r="M4817" s="80" t="s">
        <v>2755</v>
      </c>
      <c r="N4817" s="80" t="s">
        <v>2756</v>
      </c>
      <c r="O4817" s="80" t="s">
        <v>4503</v>
      </c>
      <c r="P4817" s="80" t="s">
        <v>8120</v>
      </c>
      <c r="Q4817" s="20">
        <v>15936</v>
      </c>
      <c r="R4817" s="80" t="s">
        <v>36</v>
      </c>
      <c r="S4817" s="95">
        <v>3200</v>
      </c>
      <c r="T4817" s="148">
        <v>45561</v>
      </c>
      <c r="U4817" s="95">
        <v>12736</v>
      </c>
      <c r="V4817" s="169">
        <v>45592</v>
      </c>
      <c r="W4817" s="80" t="s">
        <v>15955</v>
      </c>
      <c r="X4817" s="80"/>
      <c r="Y4817" s="22">
        <v>0</v>
      </c>
      <c r="Z4817" s="80" t="s">
        <v>50</v>
      </c>
      <c r="AA4817" s="96" t="s">
        <v>9905</v>
      </c>
      <c r="AB4817" s="80"/>
      <c r="AC4817" s="80" t="s">
        <v>53</v>
      </c>
      <c r="AD4817" s="80" t="s">
        <v>138</v>
      </c>
      <c r="AE4817" s="80" t="s">
        <v>13178</v>
      </c>
      <c r="AF4817" s="17">
        <v>45624</v>
      </c>
      <c r="AG4817" s="80"/>
      <c r="AH4817" s="80"/>
      <c r="AI4817" s="147"/>
      <c r="AJ4817" s="80"/>
      <c r="AK4817" s="80"/>
      <c r="AL4817" s="35"/>
      <c r="AM4817" s="35"/>
      <c r="AN4817" s="35"/>
      <c r="AO4817" s="35"/>
      <c r="AP4817" s="35"/>
    </row>
    <row r="4818" spans="1:42" x14ac:dyDescent="0.2">
      <c r="A4818" s="74">
        <v>45622</v>
      </c>
      <c r="B4818" s="137" t="s">
        <v>37</v>
      </c>
      <c r="C4818" s="41" t="s">
        <v>118</v>
      </c>
      <c r="D4818" s="80" t="s">
        <v>36</v>
      </c>
      <c r="E4818" s="80" t="s">
        <v>139</v>
      </c>
      <c r="F4818" s="80" t="s">
        <v>13178</v>
      </c>
      <c r="G4818" s="80" t="s">
        <v>108</v>
      </c>
      <c r="H4818" s="80" t="s">
        <v>16656</v>
      </c>
      <c r="I4818" s="17">
        <f ca="1">IFERROR(__xludf.DUMMYFUNCTION("""COMPUTED_VALUE"""),45624)</f>
        <v>45624</v>
      </c>
      <c r="J4818" s="143" t="s">
        <v>15956</v>
      </c>
      <c r="K4818" s="80" t="s">
        <v>16797</v>
      </c>
      <c r="L4818" s="30">
        <v>936161006</v>
      </c>
      <c r="M4818" s="80" t="s">
        <v>2755</v>
      </c>
      <c r="N4818" s="80" t="s">
        <v>4402</v>
      </c>
      <c r="O4818" s="80" t="s">
        <v>4503</v>
      </c>
      <c r="P4818" s="80" t="s">
        <v>7743</v>
      </c>
      <c r="Q4818" s="20">
        <v>15936</v>
      </c>
      <c r="R4818" s="80" t="s">
        <v>36</v>
      </c>
      <c r="S4818" s="95">
        <v>2000</v>
      </c>
      <c r="T4818" s="148">
        <v>45553</v>
      </c>
      <c r="U4818" s="95">
        <v>13960</v>
      </c>
      <c r="V4818" s="169">
        <v>45590</v>
      </c>
      <c r="W4818" s="80" t="s">
        <v>15958</v>
      </c>
      <c r="X4818" s="80"/>
      <c r="Y4818" s="22">
        <v>-24</v>
      </c>
      <c r="Z4818" s="80" t="s">
        <v>50</v>
      </c>
      <c r="AA4818" s="35" t="s">
        <v>9905</v>
      </c>
      <c r="AB4818" s="80"/>
      <c r="AC4818" s="80" t="s">
        <v>53</v>
      </c>
      <c r="AD4818" s="80" t="s">
        <v>138</v>
      </c>
      <c r="AE4818" s="80" t="s">
        <v>13178</v>
      </c>
      <c r="AF4818" s="17">
        <v>45624</v>
      </c>
      <c r="AG4818" s="80"/>
      <c r="AH4818" s="80"/>
      <c r="AI4818" s="147"/>
      <c r="AJ4818" s="80"/>
      <c r="AK4818" s="80"/>
      <c r="AL4818" s="35"/>
      <c r="AM4818" s="35"/>
      <c r="AN4818" s="35"/>
      <c r="AO4818" s="35"/>
      <c r="AP4818" s="35"/>
    </row>
    <row r="4819" spans="1:42" x14ac:dyDescent="0.2">
      <c r="A4819" s="74">
        <v>45622</v>
      </c>
      <c r="B4819" s="137" t="s">
        <v>37</v>
      </c>
      <c r="C4819" s="41" t="s">
        <v>118</v>
      </c>
      <c r="D4819" s="80" t="s">
        <v>36</v>
      </c>
      <c r="E4819" s="80" t="s">
        <v>56</v>
      </c>
      <c r="F4819" s="80" t="s">
        <v>13178</v>
      </c>
      <c r="G4819" s="80" t="s">
        <v>108</v>
      </c>
      <c r="H4819" s="80" t="s">
        <v>16656</v>
      </c>
      <c r="I4819" s="17">
        <f ca="1">IFERROR(__xludf.DUMMYFUNCTION("""COMPUTED_VALUE"""),45624)</f>
        <v>45624</v>
      </c>
      <c r="J4819" s="143" t="s">
        <v>16065</v>
      </c>
      <c r="K4819" s="80" t="s">
        <v>16066</v>
      </c>
      <c r="L4819" s="30">
        <v>329180467</v>
      </c>
      <c r="M4819" s="80" t="s">
        <v>9422</v>
      </c>
      <c r="N4819" s="80" t="s">
        <v>12670</v>
      </c>
      <c r="O4819" s="80" t="s">
        <v>16067</v>
      </c>
      <c r="P4819" s="80" t="s">
        <v>16068</v>
      </c>
      <c r="Q4819" s="20">
        <v>9317</v>
      </c>
      <c r="R4819" s="80" t="s">
        <v>11421</v>
      </c>
      <c r="S4819" s="95">
        <f>500+1500</f>
        <v>2000</v>
      </c>
      <c r="T4819" s="83" t="s">
        <v>16069</v>
      </c>
      <c r="U4819" s="95">
        <v>7017</v>
      </c>
      <c r="V4819" s="148">
        <v>45593</v>
      </c>
      <c r="W4819" s="85" t="s">
        <v>16070</v>
      </c>
      <c r="X4819" s="80"/>
      <c r="Y4819" s="22">
        <v>300</v>
      </c>
      <c r="Z4819" s="80" t="s">
        <v>50</v>
      </c>
      <c r="AA4819" s="96" t="s">
        <v>9905</v>
      </c>
      <c r="AB4819" s="80"/>
      <c r="AC4819" s="80" t="s">
        <v>53</v>
      </c>
      <c r="AD4819" s="80" t="s">
        <v>138</v>
      </c>
      <c r="AE4819" s="80" t="s">
        <v>13178</v>
      </c>
      <c r="AF4819" s="17">
        <v>45624</v>
      </c>
      <c r="AG4819" s="80"/>
      <c r="AH4819" s="80"/>
      <c r="AI4819" s="147"/>
      <c r="AJ4819" s="80"/>
      <c r="AK4819" s="80"/>
      <c r="AL4819" s="35"/>
      <c r="AM4819" s="35"/>
      <c r="AN4819" s="35"/>
      <c r="AO4819" s="35"/>
      <c r="AP4819" s="35"/>
    </row>
    <row r="4820" spans="1:42" x14ac:dyDescent="0.2">
      <c r="A4820" s="74">
        <v>45622</v>
      </c>
      <c r="B4820" s="137" t="s">
        <v>37</v>
      </c>
      <c r="C4820" s="41" t="s">
        <v>118</v>
      </c>
      <c r="D4820" s="80" t="s">
        <v>36</v>
      </c>
      <c r="E4820" s="80" t="s">
        <v>139</v>
      </c>
      <c r="F4820" s="80" t="s">
        <v>15855</v>
      </c>
      <c r="G4820" s="80" t="s">
        <v>108</v>
      </c>
      <c r="H4820" s="80" t="s">
        <v>16763</v>
      </c>
      <c r="I4820" s="17">
        <f ca="1">IFERROR(__xludf.DUMMYFUNCTION("""COMPUTED_VALUE"""),45635)</f>
        <v>45635</v>
      </c>
      <c r="J4820" s="143" t="s">
        <v>15856</v>
      </c>
      <c r="K4820" s="80" t="s">
        <v>16798</v>
      </c>
      <c r="L4820" s="30">
        <v>981526645</v>
      </c>
      <c r="M4820" s="80" t="s">
        <v>5518</v>
      </c>
      <c r="N4820" s="80" t="s">
        <v>5524</v>
      </c>
      <c r="O4820" s="80" t="s">
        <v>15858</v>
      </c>
      <c r="P4820" s="144" t="s">
        <v>16799</v>
      </c>
      <c r="Q4820" s="20">
        <v>15936</v>
      </c>
      <c r="R4820" s="80" t="s">
        <v>36</v>
      </c>
      <c r="S4820" s="95">
        <v>2000</v>
      </c>
      <c r="T4820" s="148">
        <v>45564</v>
      </c>
      <c r="U4820" s="95">
        <v>13936</v>
      </c>
      <c r="V4820" s="148">
        <v>45595</v>
      </c>
      <c r="W4820" s="85" t="s">
        <v>15860</v>
      </c>
      <c r="X4820" s="80"/>
      <c r="Y4820" s="22">
        <v>0</v>
      </c>
      <c r="Z4820" s="80" t="s">
        <v>50</v>
      </c>
      <c r="AA4820" s="35" t="s">
        <v>9905</v>
      </c>
      <c r="AB4820" s="80"/>
      <c r="AC4820" s="80" t="s">
        <v>53</v>
      </c>
      <c r="AD4820" s="80" t="s">
        <v>54</v>
      </c>
      <c r="AE4820" s="80" t="s">
        <v>15855</v>
      </c>
      <c r="AF4820" s="17">
        <v>45629</v>
      </c>
      <c r="AG4820" s="80"/>
      <c r="AH4820" s="80"/>
      <c r="AI4820" s="147"/>
      <c r="AJ4820" s="80"/>
      <c r="AK4820" s="80"/>
      <c r="AL4820" s="35"/>
      <c r="AM4820" s="35"/>
      <c r="AN4820" s="35"/>
      <c r="AO4820" s="35"/>
      <c r="AP4820" s="35"/>
    </row>
    <row r="4821" spans="1:42" x14ac:dyDescent="0.2">
      <c r="A4821" s="74">
        <v>45622</v>
      </c>
      <c r="B4821" s="137" t="s">
        <v>37</v>
      </c>
      <c r="C4821" s="41" t="s">
        <v>118</v>
      </c>
      <c r="D4821" s="80" t="s">
        <v>36</v>
      </c>
      <c r="E4821" s="80" t="s">
        <v>119</v>
      </c>
      <c r="F4821" s="80" t="s">
        <v>8986</v>
      </c>
      <c r="G4821" s="80" t="s">
        <v>221</v>
      </c>
      <c r="H4821" s="80" t="s">
        <v>16646</v>
      </c>
      <c r="I4821" s="17">
        <f ca="1">IFERROR(__xludf.DUMMYFUNCTION("""COMPUTED_VALUE"""),45700)</f>
        <v>45700</v>
      </c>
      <c r="J4821" s="143" t="s">
        <v>12068</v>
      </c>
      <c r="K4821" s="80" t="s">
        <v>16800</v>
      </c>
      <c r="L4821" s="30">
        <v>827281206</v>
      </c>
      <c r="M4821" s="80" t="s">
        <v>910</v>
      </c>
      <c r="N4821" s="80" t="s">
        <v>3525</v>
      </c>
      <c r="O4821" s="80" t="s">
        <v>12070</v>
      </c>
      <c r="P4821" s="144" t="s">
        <v>16801</v>
      </c>
      <c r="Q4821" s="20">
        <v>13968</v>
      </c>
      <c r="R4821" s="80" t="s">
        <v>1106</v>
      </c>
      <c r="S4821" s="95">
        <f>2000+2000</f>
        <v>4000</v>
      </c>
      <c r="T4821" s="83" t="s">
        <v>12065</v>
      </c>
      <c r="U4821" s="95">
        <v>9818</v>
      </c>
      <c r="V4821" s="148">
        <v>45550</v>
      </c>
      <c r="W4821" s="85" t="s">
        <v>12072</v>
      </c>
      <c r="X4821" s="80">
        <v>150</v>
      </c>
      <c r="Y4821" s="22">
        <v>0</v>
      </c>
      <c r="Z4821" s="80" t="s">
        <v>50</v>
      </c>
      <c r="AA4821" s="96" t="s">
        <v>3291</v>
      </c>
      <c r="AB4821" s="80"/>
      <c r="AC4821" s="80" t="s">
        <v>53</v>
      </c>
      <c r="AD4821" s="80" t="s">
        <v>54</v>
      </c>
      <c r="AE4821" s="80" t="s">
        <v>8986</v>
      </c>
      <c r="AF4821" s="17">
        <v>45622</v>
      </c>
      <c r="AG4821" s="80"/>
      <c r="AH4821" s="80"/>
      <c r="AI4821" s="147">
        <v>4</v>
      </c>
      <c r="AJ4821" s="80"/>
      <c r="AK4821" s="80"/>
      <c r="AL4821" s="35"/>
      <c r="AM4821" s="35"/>
      <c r="AN4821" s="35"/>
      <c r="AO4821" s="35"/>
      <c r="AP4821" s="35"/>
    </row>
    <row r="4822" spans="1:42" x14ac:dyDescent="0.2">
      <c r="A4822" s="74">
        <v>45622</v>
      </c>
      <c r="B4822" s="137" t="s">
        <v>37</v>
      </c>
      <c r="C4822" s="41" t="s">
        <v>118</v>
      </c>
      <c r="D4822" s="80" t="s">
        <v>36</v>
      </c>
      <c r="E4822" s="80" t="s">
        <v>139</v>
      </c>
      <c r="F4822" s="80" t="s">
        <v>15855</v>
      </c>
      <c r="G4822" s="80" t="s">
        <v>108</v>
      </c>
      <c r="H4822" s="80" t="s">
        <v>16763</v>
      </c>
      <c r="I4822" s="17">
        <f ca="1">IFERROR(__xludf.DUMMYFUNCTION("""COMPUTED_VALUE"""),45635)</f>
        <v>45635</v>
      </c>
      <c r="J4822" s="143" t="s">
        <v>16802</v>
      </c>
      <c r="K4822" s="80" t="s">
        <v>16803</v>
      </c>
      <c r="L4822" s="30">
        <v>919711765</v>
      </c>
      <c r="M4822" s="80" t="s">
        <v>5558</v>
      </c>
      <c r="N4822" s="80" t="s">
        <v>5277</v>
      </c>
      <c r="O4822" s="80" t="s">
        <v>4503</v>
      </c>
      <c r="P4822" s="144" t="s">
        <v>16804</v>
      </c>
      <c r="Q4822" s="20">
        <v>15936</v>
      </c>
      <c r="R4822" s="80" t="s">
        <v>36</v>
      </c>
      <c r="S4822" s="95">
        <f>200+1800</f>
        <v>2000</v>
      </c>
      <c r="T4822" s="83" t="s">
        <v>16805</v>
      </c>
      <c r="U4822" s="95">
        <v>13936</v>
      </c>
      <c r="V4822" s="148">
        <v>45600</v>
      </c>
      <c r="W4822" s="85" t="s">
        <v>16806</v>
      </c>
      <c r="X4822" s="80"/>
      <c r="Y4822" s="22">
        <v>0</v>
      </c>
      <c r="Z4822" s="80" t="s">
        <v>50</v>
      </c>
      <c r="AA4822" s="86"/>
      <c r="AB4822" s="80"/>
      <c r="AC4822" s="80" t="s">
        <v>53</v>
      </c>
      <c r="AD4822" s="80" t="s">
        <v>54</v>
      </c>
      <c r="AE4822" s="80" t="s">
        <v>15855</v>
      </c>
      <c r="AF4822" s="17">
        <v>45629</v>
      </c>
      <c r="AG4822" s="80"/>
      <c r="AH4822" s="80"/>
      <c r="AI4822" s="147"/>
      <c r="AJ4822" s="80"/>
      <c r="AK4822" s="80"/>
      <c r="AL4822" s="35"/>
      <c r="AM4822" s="35"/>
      <c r="AN4822" s="35"/>
      <c r="AO4822" s="35"/>
      <c r="AP4822" s="35"/>
    </row>
    <row r="4823" spans="1:42" x14ac:dyDescent="0.2">
      <c r="A4823" s="74">
        <v>45622</v>
      </c>
      <c r="B4823" s="137" t="s">
        <v>37</v>
      </c>
      <c r="C4823" s="41" t="s">
        <v>118</v>
      </c>
      <c r="D4823" s="26" t="s">
        <v>36</v>
      </c>
      <c r="E4823" s="26" t="s">
        <v>139</v>
      </c>
      <c r="F4823" s="26" t="s">
        <v>9626</v>
      </c>
      <c r="G4823" s="80" t="s">
        <v>108</v>
      </c>
      <c r="H4823" s="80" t="s">
        <v>16656</v>
      </c>
      <c r="I4823" s="17">
        <f ca="1">IFERROR(__xludf.DUMMYFUNCTION("""COMPUTED_VALUE"""),45624)</f>
        <v>45624</v>
      </c>
      <c r="J4823" s="29" t="s">
        <v>9627</v>
      </c>
      <c r="K4823" s="26" t="s">
        <v>16807</v>
      </c>
      <c r="L4823" s="30">
        <v>369692046</v>
      </c>
      <c r="M4823" s="26" t="s">
        <v>59</v>
      </c>
      <c r="N4823" s="26" t="s">
        <v>68</v>
      </c>
      <c r="O4823" s="26" t="s">
        <v>9629</v>
      </c>
      <c r="P4823" s="26" t="s">
        <v>9630</v>
      </c>
      <c r="Q4823" s="20"/>
      <c r="R4823" s="26" t="s">
        <v>36</v>
      </c>
      <c r="S4823" s="95">
        <v>15963</v>
      </c>
      <c r="T4823" s="148">
        <v>45495</v>
      </c>
      <c r="U4823" s="31"/>
      <c r="V4823" s="32"/>
      <c r="W4823" s="33" t="s">
        <v>9631</v>
      </c>
      <c r="X4823" s="26"/>
      <c r="Y4823" s="22"/>
      <c r="Z4823" s="26" t="s">
        <v>50</v>
      </c>
      <c r="AA4823" s="70" t="s">
        <v>9070</v>
      </c>
      <c r="AB4823" s="26"/>
      <c r="AC4823" s="26" t="s">
        <v>53</v>
      </c>
      <c r="AD4823" s="26" t="s">
        <v>138</v>
      </c>
      <c r="AE4823" s="26" t="s">
        <v>9626</v>
      </c>
      <c r="AF4823" s="17">
        <v>45624</v>
      </c>
      <c r="AG4823" s="26"/>
      <c r="AH4823" s="26"/>
      <c r="AI4823" s="40"/>
      <c r="AJ4823" s="26"/>
      <c r="AK4823" s="26"/>
      <c r="AL4823" s="35"/>
      <c r="AM4823" s="35"/>
      <c r="AN4823" s="35"/>
      <c r="AO4823" s="35"/>
      <c r="AP4823" s="35"/>
    </row>
    <row r="4824" spans="1:42" x14ac:dyDescent="0.2">
      <c r="A4824" s="74">
        <v>45622</v>
      </c>
      <c r="B4824" s="137" t="s">
        <v>37</v>
      </c>
      <c r="C4824" s="41" t="s">
        <v>118</v>
      </c>
      <c r="D4824" s="80" t="s">
        <v>36</v>
      </c>
      <c r="E4824" s="80" t="s">
        <v>148</v>
      </c>
      <c r="F4824" s="80" t="s">
        <v>9836</v>
      </c>
      <c r="G4824" s="80" t="s">
        <v>221</v>
      </c>
      <c r="H4824" s="80" t="s">
        <v>16687</v>
      </c>
      <c r="I4824" s="17">
        <f ca="1">IFERROR(__xludf.DUMMYFUNCTION("""COMPUTED_VALUE"""),45637)</f>
        <v>45637</v>
      </c>
      <c r="J4824" s="143" t="s">
        <v>14948</v>
      </c>
      <c r="K4824" s="80" t="s">
        <v>14949</v>
      </c>
      <c r="L4824" s="30">
        <v>359334811</v>
      </c>
      <c r="M4824" s="80" t="s">
        <v>80</v>
      </c>
      <c r="N4824" s="80" t="s">
        <v>1073</v>
      </c>
      <c r="O4824" s="80" t="s">
        <v>14950</v>
      </c>
      <c r="P4824" s="144" t="s">
        <v>16808</v>
      </c>
      <c r="Q4824" s="20">
        <v>7349</v>
      </c>
      <c r="R4824" s="80" t="s">
        <v>36</v>
      </c>
      <c r="S4824" s="95">
        <f>200+3600</f>
        <v>3800</v>
      </c>
      <c r="T4824" s="83" t="s">
        <v>14952</v>
      </c>
      <c r="U4824" s="95">
        <v>3549</v>
      </c>
      <c r="V4824" s="148">
        <v>45569</v>
      </c>
      <c r="W4824" s="85" t="s">
        <v>14953</v>
      </c>
      <c r="X4824" s="80"/>
      <c r="Y4824" s="22">
        <v>0</v>
      </c>
      <c r="Z4824" s="80" t="s">
        <v>50</v>
      </c>
      <c r="AA4824" s="35" t="s">
        <v>9905</v>
      </c>
      <c r="AB4824" s="80"/>
      <c r="AC4824" s="80" t="s">
        <v>53</v>
      </c>
      <c r="AD4824" s="80" t="s">
        <v>54</v>
      </c>
      <c r="AE4824" s="80" t="s">
        <v>9836</v>
      </c>
      <c r="AF4824" s="17">
        <v>45630</v>
      </c>
      <c r="AG4824" s="80"/>
      <c r="AH4824" s="80"/>
      <c r="AI4824" s="147"/>
      <c r="AJ4824" s="80"/>
      <c r="AK4824" s="80"/>
      <c r="AL4824" s="35"/>
      <c r="AM4824" s="35"/>
      <c r="AN4824" s="35"/>
      <c r="AO4824" s="35"/>
      <c r="AP4824" s="35"/>
    </row>
    <row r="4825" spans="1:42" x14ac:dyDescent="0.2">
      <c r="A4825" s="74">
        <v>45622</v>
      </c>
      <c r="B4825" s="137" t="s">
        <v>37</v>
      </c>
      <c r="C4825" s="41" t="s">
        <v>118</v>
      </c>
      <c r="D4825" s="80" t="s">
        <v>36</v>
      </c>
      <c r="E4825" s="80" t="s">
        <v>139</v>
      </c>
      <c r="F4825" s="80" t="s">
        <v>10992</v>
      </c>
      <c r="G4825" s="80" t="s">
        <v>108</v>
      </c>
      <c r="H4825" s="80" t="s">
        <v>16792</v>
      </c>
      <c r="I4825" s="17">
        <f ca="1">IFERROR(__xludf.DUMMYFUNCTION("""COMPUTED_VALUE"""),45632)</f>
        <v>45632</v>
      </c>
      <c r="J4825" s="143" t="s">
        <v>15791</v>
      </c>
      <c r="K4825" s="80" t="s">
        <v>15792</v>
      </c>
      <c r="L4825" s="30">
        <v>336670816</v>
      </c>
      <c r="M4825" s="80" t="s">
        <v>59</v>
      </c>
      <c r="N4825" s="80" t="s">
        <v>4299</v>
      </c>
      <c r="O4825" s="80" t="s">
        <v>15793</v>
      </c>
      <c r="P4825" s="144" t="s">
        <v>15794</v>
      </c>
      <c r="Q4825" s="20">
        <v>15936</v>
      </c>
      <c r="R4825" s="80" t="s">
        <v>36</v>
      </c>
      <c r="S4825" s="95">
        <v>2000</v>
      </c>
      <c r="T4825" s="148">
        <v>45562</v>
      </c>
      <c r="U4825" s="95">
        <v>13963</v>
      </c>
      <c r="V4825" s="148">
        <v>45594</v>
      </c>
      <c r="W4825" s="85" t="s">
        <v>15795</v>
      </c>
      <c r="X4825" s="80"/>
      <c r="Y4825" s="22">
        <v>-27</v>
      </c>
      <c r="Z4825" s="80" t="s">
        <v>50</v>
      </c>
      <c r="AA4825" s="96" t="s">
        <v>9905</v>
      </c>
      <c r="AB4825" s="80"/>
      <c r="AC4825" s="80" t="s">
        <v>53</v>
      </c>
      <c r="AD4825" s="80" t="s">
        <v>54</v>
      </c>
      <c r="AE4825" s="80" t="s">
        <v>10992</v>
      </c>
      <c r="AF4825" s="43">
        <v>45625</v>
      </c>
      <c r="AG4825" s="80"/>
      <c r="AH4825" s="80"/>
      <c r="AI4825" s="147"/>
      <c r="AJ4825" s="80"/>
      <c r="AK4825" s="80"/>
      <c r="AL4825" s="35"/>
      <c r="AM4825" s="35"/>
      <c r="AN4825" s="35"/>
      <c r="AO4825" s="35"/>
      <c r="AP4825" s="35"/>
    </row>
    <row r="4826" spans="1:42" x14ac:dyDescent="0.2">
      <c r="A4826" s="74">
        <v>45622</v>
      </c>
      <c r="B4826" s="137" t="s">
        <v>37</v>
      </c>
      <c r="C4826" s="41" t="s">
        <v>118</v>
      </c>
      <c r="D4826" s="80" t="s">
        <v>36</v>
      </c>
      <c r="E4826" s="80" t="s">
        <v>139</v>
      </c>
      <c r="F4826" s="80" t="s">
        <v>13384</v>
      </c>
      <c r="G4826" s="80" t="s">
        <v>108</v>
      </c>
      <c r="H4826" s="80" t="s">
        <v>16792</v>
      </c>
      <c r="I4826" s="17">
        <f ca="1">IFERROR(__xludf.DUMMYFUNCTION("""COMPUTED_VALUE"""),45632)</f>
        <v>45632</v>
      </c>
      <c r="J4826" s="143" t="s">
        <v>15543</v>
      </c>
      <c r="K4826" s="80" t="s">
        <v>15544</v>
      </c>
      <c r="L4826" s="30">
        <v>969726603</v>
      </c>
      <c r="M4826" s="80" t="s">
        <v>3728</v>
      </c>
      <c r="N4826" s="80" t="s">
        <v>5277</v>
      </c>
      <c r="O4826" s="80" t="s">
        <v>15545</v>
      </c>
      <c r="P4826" s="144" t="s">
        <v>16809</v>
      </c>
      <c r="Q4826" s="20">
        <v>15936</v>
      </c>
      <c r="R4826" s="80" t="s">
        <v>36</v>
      </c>
      <c r="S4826" s="95">
        <v>2000</v>
      </c>
      <c r="T4826" s="148">
        <v>45558</v>
      </c>
      <c r="U4826" s="95">
        <v>13936</v>
      </c>
      <c r="V4826" s="148">
        <v>45586</v>
      </c>
      <c r="W4826" s="85" t="s">
        <v>15546</v>
      </c>
      <c r="X4826" s="80"/>
      <c r="Y4826" s="22">
        <v>0</v>
      </c>
      <c r="Z4826" s="80" t="s">
        <v>50</v>
      </c>
      <c r="AA4826" s="35" t="s">
        <v>9905</v>
      </c>
      <c r="AB4826" s="80"/>
      <c r="AC4826" s="80" t="s">
        <v>53</v>
      </c>
      <c r="AD4826" s="80" t="s">
        <v>138</v>
      </c>
      <c r="AE4826" s="80" t="s">
        <v>13384</v>
      </c>
      <c r="AF4826" s="43">
        <v>45625</v>
      </c>
      <c r="AG4826" s="80"/>
      <c r="AH4826" s="80"/>
      <c r="AI4826" s="147"/>
      <c r="AJ4826" s="80"/>
      <c r="AK4826" s="80"/>
      <c r="AL4826" s="35"/>
      <c r="AM4826" s="35"/>
      <c r="AN4826" s="35"/>
      <c r="AO4826" s="35"/>
      <c r="AP4826" s="35"/>
    </row>
    <row r="4827" spans="1:42" x14ac:dyDescent="0.2">
      <c r="A4827" s="74">
        <v>45622</v>
      </c>
      <c r="B4827" s="137" t="s">
        <v>37</v>
      </c>
      <c r="C4827" s="41" t="s">
        <v>118</v>
      </c>
      <c r="D4827" s="80" t="s">
        <v>36</v>
      </c>
      <c r="E4827" s="80" t="s">
        <v>56</v>
      </c>
      <c r="F4827" s="80" t="s">
        <v>12398</v>
      </c>
      <c r="G4827" s="80" t="s">
        <v>108</v>
      </c>
      <c r="H4827" s="80" t="s">
        <v>16810</v>
      </c>
      <c r="I4827" s="17">
        <f ca="1">IFERROR(__xludf.DUMMYFUNCTION("""COMPUTED_VALUE"""),45631)</f>
        <v>45631</v>
      </c>
      <c r="J4827" s="143" t="s">
        <v>16006</v>
      </c>
      <c r="K4827" s="80" t="s">
        <v>16007</v>
      </c>
      <c r="L4827" s="30">
        <v>971418187</v>
      </c>
      <c r="M4827" s="80" t="s">
        <v>9422</v>
      </c>
      <c r="N4827" s="80" t="s">
        <v>5574</v>
      </c>
      <c r="O4827" s="80" t="s">
        <v>16008</v>
      </c>
      <c r="P4827" s="144" t="s">
        <v>16811</v>
      </c>
      <c r="Q4827" s="20">
        <v>9317</v>
      </c>
      <c r="R4827" s="80" t="s">
        <v>36</v>
      </c>
      <c r="S4827" s="95">
        <v>9317</v>
      </c>
      <c r="T4827" s="148">
        <v>45567</v>
      </c>
      <c r="U4827" s="77"/>
      <c r="V4827" s="78"/>
      <c r="W4827" s="85" t="s">
        <v>16010</v>
      </c>
      <c r="X4827" s="80"/>
      <c r="Y4827" s="22">
        <v>0</v>
      </c>
      <c r="Z4827" s="80" t="s">
        <v>50</v>
      </c>
      <c r="AA4827" s="96" t="s">
        <v>9905</v>
      </c>
      <c r="AB4827" s="80"/>
      <c r="AC4827" s="80" t="s">
        <v>53</v>
      </c>
      <c r="AD4827" s="80" t="s">
        <v>54</v>
      </c>
      <c r="AE4827" s="80" t="s">
        <v>12398</v>
      </c>
      <c r="AF4827" s="43">
        <v>45625</v>
      </c>
      <c r="AG4827" s="80"/>
      <c r="AH4827" s="80"/>
      <c r="AI4827" s="147"/>
      <c r="AJ4827" s="80"/>
      <c r="AK4827" s="80"/>
      <c r="AL4827" s="35"/>
      <c r="AM4827" s="35"/>
      <c r="AN4827" s="35"/>
      <c r="AO4827" s="35"/>
      <c r="AP4827" s="35"/>
    </row>
    <row r="4828" spans="1:42" x14ac:dyDescent="0.2">
      <c r="A4828" s="74">
        <v>45622</v>
      </c>
      <c r="B4828" s="137" t="s">
        <v>37</v>
      </c>
      <c r="C4828" s="41" t="s">
        <v>118</v>
      </c>
      <c r="D4828" s="80" t="s">
        <v>36</v>
      </c>
      <c r="E4828" s="80" t="s">
        <v>139</v>
      </c>
      <c r="F4828" s="80" t="s">
        <v>12398</v>
      </c>
      <c r="G4828" s="80" t="s">
        <v>108</v>
      </c>
      <c r="H4828" s="80" t="s">
        <v>16810</v>
      </c>
      <c r="I4828" s="17">
        <f ca="1">IFERROR(__xludf.DUMMYFUNCTION("""COMPUTED_VALUE"""),45631)</f>
        <v>45631</v>
      </c>
      <c r="J4828" s="143" t="s">
        <v>15994</v>
      </c>
      <c r="K4828" s="80" t="s">
        <v>15995</v>
      </c>
      <c r="L4828" s="30">
        <v>971700006</v>
      </c>
      <c r="M4828" s="80" t="s">
        <v>15996</v>
      </c>
      <c r="N4828" s="80" t="s">
        <v>207</v>
      </c>
      <c r="O4828" s="80" t="s">
        <v>4503</v>
      </c>
      <c r="P4828" s="144" t="s">
        <v>16812</v>
      </c>
      <c r="Q4828" s="20">
        <v>15936</v>
      </c>
      <c r="R4828" s="80" t="s">
        <v>36</v>
      </c>
      <c r="S4828" s="95">
        <f>200+1800+7000</f>
        <v>9000</v>
      </c>
      <c r="T4828" s="83" t="s">
        <v>15998</v>
      </c>
      <c r="U4828" s="95">
        <v>6936</v>
      </c>
      <c r="V4828" s="148">
        <v>45596</v>
      </c>
      <c r="W4828" s="85" t="s">
        <v>15999</v>
      </c>
      <c r="X4828" s="80"/>
      <c r="Y4828" s="22">
        <v>0</v>
      </c>
      <c r="Z4828" s="80" t="s">
        <v>50</v>
      </c>
      <c r="AA4828" s="35" t="s">
        <v>9905</v>
      </c>
      <c r="AB4828" s="80"/>
      <c r="AC4828" s="80" t="s">
        <v>53</v>
      </c>
      <c r="AD4828" s="80" t="s">
        <v>54</v>
      </c>
      <c r="AE4828" s="80" t="s">
        <v>12398</v>
      </c>
      <c r="AF4828" s="43">
        <v>45625</v>
      </c>
      <c r="AG4828" s="80"/>
      <c r="AH4828" s="80"/>
      <c r="AI4828" s="147"/>
      <c r="AJ4828" s="80"/>
      <c r="AK4828" s="80"/>
      <c r="AL4828" s="35"/>
      <c r="AM4828" s="35"/>
      <c r="AN4828" s="35"/>
      <c r="AO4828" s="35"/>
      <c r="AP4828" s="35"/>
    </row>
    <row r="4829" spans="1:42" x14ac:dyDescent="0.2">
      <c r="A4829" s="74">
        <v>45622</v>
      </c>
      <c r="B4829" s="137" t="s">
        <v>37</v>
      </c>
      <c r="C4829" s="41" t="s">
        <v>118</v>
      </c>
      <c r="D4829" s="80" t="s">
        <v>36</v>
      </c>
      <c r="E4829" s="80" t="s">
        <v>56</v>
      </c>
      <c r="F4829" s="80" t="s">
        <v>12398</v>
      </c>
      <c r="G4829" s="80" t="s">
        <v>108</v>
      </c>
      <c r="H4829" s="80" t="s">
        <v>16810</v>
      </c>
      <c r="I4829" s="17">
        <f ca="1">IFERROR(__xludf.DUMMYFUNCTION("""COMPUTED_VALUE"""),45631)</f>
        <v>45631</v>
      </c>
      <c r="J4829" s="143" t="s">
        <v>16000</v>
      </c>
      <c r="K4829" s="80" t="s">
        <v>16001</v>
      </c>
      <c r="L4829" s="30">
        <v>836372286</v>
      </c>
      <c r="M4829" s="80" t="s">
        <v>59</v>
      </c>
      <c r="N4829" s="80" t="s">
        <v>8342</v>
      </c>
      <c r="O4829" s="80" t="s">
        <v>16002</v>
      </c>
      <c r="P4829" s="144" t="s">
        <v>16813</v>
      </c>
      <c r="Q4829" s="20">
        <v>9317</v>
      </c>
      <c r="R4829" s="80" t="s">
        <v>36</v>
      </c>
      <c r="S4829" s="95">
        <f>200+9117</f>
        <v>9317</v>
      </c>
      <c r="T4829" s="83" t="s">
        <v>16004</v>
      </c>
      <c r="U4829" s="77"/>
      <c r="V4829" s="78"/>
      <c r="W4829" s="85" t="s">
        <v>16005</v>
      </c>
      <c r="X4829" s="80"/>
      <c r="Y4829" s="22">
        <v>0</v>
      </c>
      <c r="Z4829" s="80" t="s">
        <v>50</v>
      </c>
      <c r="AA4829" s="96" t="s">
        <v>9905</v>
      </c>
      <c r="AB4829" s="80"/>
      <c r="AC4829" s="80" t="s">
        <v>53</v>
      </c>
      <c r="AD4829" s="80" t="s">
        <v>54</v>
      </c>
      <c r="AE4829" s="80" t="s">
        <v>12398</v>
      </c>
      <c r="AF4829" s="43">
        <v>45625</v>
      </c>
      <c r="AG4829" s="80"/>
      <c r="AH4829" s="80"/>
      <c r="AI4829" s="147"/>
      <c r="AJ4829" s="80"/>
      <c r="AK4829" s="80"/>
      <c r="AL4829" s="35"/>
      <c r="AM4829" s="35"/>
      <c r="AN4829" s="35"/>
      <c r="AO4829" s="35"/>
      <c r="AP4829" s="35"/>
    </row>
    <row r="4830" spans="1:42" x14ac:dyDescent="0.2">
      <c r="A4830" s="74">
        <v>45622</v>
      </c>
      <c r="B4830" s="137" t="s">
        <v>37</v>
      </c>
      <c r="C4830" s="41" t="s">
        <v>118</v>
      </c>
      <c r="D4830" s="80" t="s">
        <v>36</v>
      </c>
      <c r="E4830" s="80" t="s">
        <v>56</v>
      </c>
      <c r="F4830" s="80" t="s">
        <v>12398</v>
      </c>
      <c r="G4830" s="80" t="s">
        <v>108</v>
      </c>
      <c r="H4830" s="80" t="s">
        <v>16810</v>
      </c>
      <c r="I4830" s="17">
        <f ca="1">IFERROR(__xludf.DUMMYFUNCTION("""COMPUTED_VALUE"""),45631)</f>
        <v>45631</v>
      </c>
      <c r="J4830" s="143" t="s">
        <v>15922</v>
      </c>
      <c r="K4830" s="80" t="s">
        <v>15923</v>
      </c>
      <c r="L4830" s="30">
        <v>973719706</v>
      </c>
      <c r="M4830" s="80" t="s">
        <v>59</v>
      </c>
      <c r="N4830" s="80" t="s">
        <v>9301</v>
      </c>
      <c r="O4830" s="80" t="s">
        <v>15924</v>
      </c>
      <c r="P4830" s="144" t="s">
        <v>16814</v>
      </c>
      <c r="Q4830" s="20">
        <v>9317</v>
      </c>
      <c r="R4830" s="80" t="s">
        <v>36</v>
      </c>
      <c r="S4830" s="95">
        <f>200+4117</f>
        <v>4317</v>
      </c>
      <c r="T4830" s="83" t="s">
        <v>15926</v>
      </c>
      <c r="U4830" s="95">
        <v>5000</v>
      </c>
      <c r="V4830" s="148">
        <v>45586</v>
      </c>
      <c r="W4830" s="85" t="s">
        <v>15927</v>
      </c>
      <c r="X4830" s="80"/>
      <c r="Y4830" s="22">
        <v>0</v>
      </c>
      <c r="Z4830" s="80" t="s">
        <v>50</v>
      </c>
      <c r="AA4830" s="35" t="s">
        <v>9905</v>
      </c>
      <c r="AB4830" s="80"/>
      <c r="AC4830" s="80" t="s">
        <v>53</v>
      </c>
      <c r="AD4830" s="80" t="s">
        <v>54</v>
      </c>
      <c r="AE4830" s="80" t="s">
        <v>12398</v>
      </c>
      <c r="AF4830" s="43">
        <v>45625</v>
      </c>
      <c r="AG4830" s="80"/>
      <c r="AH4830" s="80"/>
      <c r="AI4830" s="147"/>
      <c r="AJ4830" s="80"/>
      <c r="AK4830" s="80"/>
      <c r="AL4830" s="35"/>
      <c r="AM4830" s="35"/>
      <c r="AN4830" s="35"/>
      <c r="AO4830" s="35"/>
      <c r="AP4830" s="35"/>
    </row>
    <row r="4831" spans="1:42" x14ac:dyDescent="0.2">
      <c r="A4831" s="74">
        <v>45622</v>
      </c>
      <c r="B4831" s="137" t="s">
        <v>37</v>
      </c>
      <c r="C4831" s="41" t="s">
        <v>118</v>
      </c>
      <c r="D4831" s="80" t="s">
        <v>36</v>
      </c>
      <c r="E4831" s="80" t="s">
        <v>139</v>
      </c>
      <c r="F4831" s="80" t="s">
        <v>12398</v>
      </c>
      <c r="G4831" s="80" t="s">
        <v>108</v>
      </c>
      <c r="H4831" s="80" t="s">
        <v>16810</v>
      </c>
      <c r="I4831" s="17">
        <f ca="1">IFERROR(__xludf.DUMMYFUNCTION("""COMPUTED_VALUE"""),45631)</f>
        <v>45631</v>
      </c>
      <c r="J4831" s="143" t="s">
        <v>16178</v>
      </c>
      <c r="K4831" s="80" t="s">
        <v>16179</v>
      </c>
      <c r="L4831" s="30">
        <v>837767667</v>
      </c>
      <c r="M4831" s="80" t="s">
        <v>45</v>
      </c>
      <c r="N4831" s="80" t="s">
        <v>87</v>
      </c>
      <c r="O4831" s="80" t="s">
        <v>16180</v>
      </c>
      <c r="P4831" s="144" t="s">
        <v>16815</v>
      </c>
      <c r="Q4831" s="20">
        <v>15936</v>
      </c>
      <c r="R4831" s="80" t="s">
        <v>36</v>
      </c>
      <c r="S4831" s="95">
        <v>1000</v>
      </c>
      <c r="T4831" s="148">
        <v>45573</v>
      </c>
      <c r="U4831" s="95">
        <v>14936</v>
      </c>
      <c r="V4831" s="148">
        <v>45573</v>
      </c>
      <c r="W4831" s="85" t="s">
        <v>16182</v>
      </c>
      <c r="X4831" s="80"/>
      <c r="Y4831" s="22">
        <v>0</v>
      </c>
      <c r="Z4831" s="80" t="s">
        <v>50</v>
      </c>
      <c r="AA4831" s="96" t="s">
        <v>9905</v>
      </c>
      <c r="AB4831" s="80"/>
      <c r="AC4831" s="80" t="s">
        <v>53</v>
      </c>
      <c r="AD4831" s="80" t="s">
        <v>54</v>
      </c>
      <c r="AE4831" s="80" t="s">
        <v>12398</v>
      </c>
      <c r="AF4831" s="43">
        <v>45625</v>
      </c>
      <c r="AG4831" s="80"/>
      <c r="AH4831" s="80"/>
      <c r="AI4831" s="147"/>
      <c r="AJ4831" s="80"/>
      <c r="AK4831" s="80"/>
      <c r="AL4831" s="35"/>
      <c r="AM4831" s="35"/>
      <c r="AN4831" s="35"/>
      <c r="AO4831" s="35"/>
      <c r="AP4831" s="35"/>
    </row>
    <row r="4832" spans="1:42" x14ac:dyDescent="0.2">
      <c r="A4832" s="74">
        <v>45623</v>
      </c>
      <c r="B4832" s="137" t="s">
        <v>37</v>
      </c>
      <c r="C4832" s="41" t="s">
        <v>118</v>
      </c>
      <c r="D4832" s="80" t="s">
        <v>36</v>
      </c>
      <c r="E4832" s="80" t="s">
        <v>139</v>
      </c>
      <c r="F4832" s="80" t="s">
        <v>12416</v>
      </c>
      <c r="G4832" s="26" t="s">
        <v>108</v>
      </c>
      <c r="H4832" s="80" t="s">
        <v>16676</v>
      </c>
      <c r="I4832" s="17">
        <f ca="1">IFERROR(__xludf.DUMMYFUNCTION("""COMPUTED_VALUE"""),45630)</f>
        <v>45630</v>
      </c>
      <c r="J4832" s="143" t="s">
        <v>12417</v>
      </c>
      <c r="K4832" s="80" t="s">
        <v>16816</v>
      </c>
      <c r="L4832" s="30">
        <v>969022325</v>
      </c>
      <c r="M4832" s="80" t="s">
        <v>9422</v>
      </c>
      <c r="N4832" s="80" t="s">
        <v>2157</v>
      </c>
      <c r="O4832" s="80" t="s">
        <v>12419</v>
      </c>
      <c r="P4832" s="80" t="s">
        <v>12420</v>
      </c>
      <c r="Q4832" s="20">
        <v>15936</v>
      </c>
      <c r="R4832" s="80" t="s">
        <v>11421</v>
      </c>
      <c r="S4832" s="95">
        <v>2000</v>
      </c>
      <c r="T4832" s="148">
        <v>45529</v>
      </c>
      <c r="U4832" s="95">
        <v>13636</v>
      </c>
      <c r="V4832" s="148">
        <v>45560</v>
      </c>
      <c r="W4832" s="85" t="s">
        <v>12421</v>
      </c>
      <c r="X4832" s="80">
        <v>300</v>
      </c>
      <c r="Y4832" s="22">
        <v>0</v>
      </c>
      <c r="Z4832" s="80" t="s">
        <v>50</v>
      </c>
      <c r="AA4832" s="35" t="s">
        <v>3291</v>
      </c>
      <c r="AB4832" s="80"/>
      <c r="AC4832" s="80" t="s">
        <v>53</v>
      </c>
      <c r="AD4832" s="80" t="s">
        <v>138</v>
      </c>
      <c r="AE4832" s="80" t="s">
        <v>12416</v>
      </c>
      <c r="AF4832" s="17">
        <v>45630</v>
      </c>
      <c r="AG4832" s="26" t="s">
        <v>16677</v>
      </c>
      <c r="AH4832" s="80"/>
      <c r="AI4832" s="147" t="s">
        <v>147</v>
      </c>
      <c r="AJ4832" s="80"/>
      <c r="AK4832" s="80"/>
      <c r="AL4832" s="35"/>
      <c r="AM4832" s="35"/>
      <c r="AN4832" s="35"/>
      <c r="AO4832" s="35"/>
      <c r="AP4832" s="35"/>
    </row>
    <row r="4833" spans="1:42" x14ac:dyDescent="0.2">
      <c r="A4833" s="74">
        <v>45623</v>
      </c>
      <c r="B4833" s="137" t="s">
        <v>37</v>
      </c>
      <c r="C4833" s="41" t="s">
        <v>118</v>
      </c>
      <c r="D4833" s="80" t="s">
        <v>36</v>
      </c>
      <c r="E4833" s="80" t="s">
        <v>139</v>
      </c>
      <c r="F4833" s="80" t="s">
        <v>12416</v>
      </c>
      <c r="G4833" s="26" t="s">
        <v>108</v>
      </c>
      <c r="H4833" s="80" t="s">
        <v>16676</v>
      </c>
      <c r="I4833" s="17">
        <f ca="1">IFERROR(__xludf.DUMMYFUNCTION("""COMPUTED_VALUE"""),45630)</f>
        <v>45630</v>
      </c>
      <c r="J4833" s="143" t="s">
        <v>15558</v>
      </c>
      <c r="K4833" s="80" t="s">
        <v>15559</v>
      </c>
      <c r="L4833" s="30">
        <v>973812080</v>
      </c>
      <c r="M4833" s="80" t="s">
        <v>5429</v>
      </c>
      <c r="N4833" s="80" t="s">
        <v>1384</v>
      </c>
      <c r="O4833" s="80" t="s">
        <v>4626</v>
      </c>
      <c r="P4833" s="80" t="s">
        <v>7107</v>
      </c>
      <c r="Q4833" s="20">
        <v>15936</v>
      </c>
      <c r="R4833" s="80" t="s">
        <v>70</v>
      </c>
      <c r="S4833" s="95">
        <v>2000</v>
      </c>
      <c r="T4833" s="148">
        <v>45558</v>
      </c>
      <c r="U4833" s="95">
        <v>13836</v>
      </c>
      <c r="V4833" s="148">
        <v>45596</v>
      </c>
      <c r="W4833" s="80" t="s">
        <v>15560</v>
      </c>
      <c r="X4833" s="80"/>
      <c r="Y4833" s="22">
        <v>100</v>
      </c>
      <c r="Z4833" s="80" t="s">
        <v>50</v>
      </c>
      <c r="AA4833" s="96" t="s">
        <v>9905</v>
      </c>
      <c r="AB4833" s="80"/>
      <c r="AC4833" s="80" t="s">
        <v>53</v>
      </c>
      <c r="AD4833" s="80" t="s">
        <v>138</v>
      </c>
      <c r="AE4833" s="80" t="s">
        <v>12416</v>
      </c>
      <c r="AF4833" s="17">
        <v>45630</v>
      </c>
      <c r="AG4833" s="26" t="s">
        <v>16677</v>
      </c>
      <c r="AH4833" s="80"/>
      <c r="AI4833" s="147"/>
      <c r="AJ4833" s="80"/>
      <c r="AK4833" s="80"/>
      <c r="AL4833" s="35"/>
      <c r="AM4833" s="35"/>
      <c r="AN4833" s="35"/>
      <c r="AO4833" s="35"/>
      <c r="AP4833" s="35"/>
    </row>
    <row r="4834" spans="1:42" x14ac:dyDescent="0.2">
      <c r="A4834" s="74">
        <v>45623</v>
      </c>
      <c r="B4834" s="137" t="s">
        <v>37</v>
      </c>
      <c r="C4834" s="41" t="s">
        <v>118</v>
      </c>
      <c r="D4834" s="80" t="s">
        <v>36</v>
      </c>
      <c r="E4834" s="80" t="s">
        <v>139</v>
      </c>
      <c r="F4834" s="80" t="s">
        <v>12416</v>
      </c>
      <c r="G4834" s="26" t="s">
        <v>108</v>
      </c>
      <c r="H4834" s="80" t="s">
        <v>16676</v>
      </c>
      <c r="I4834" s="17">
        <f ca="1">IFERROR(__xludf.DUMMYFUNCTION("""COMPUTED_VALUE"""),45630)</f>
        <v>45630</v>
      </c>
      <c r="J4834" s="143" t="s">
        <v>15561</v>
      </c>
      <c r="K4834" s="80" t="s">
        <v>1334</v>
      </c>
      <c r="L4834" s="30">
        <v>348881426</v>
      </c>
      <c r="M4834" s="80" t="s">
        <v>5429</v>
      </c>
      <c r="N4834" s="80" t="s">
        <v>1384</v>
      </c>
      <c r="O4834" s="80" t="s">
        <v>61</v>
      </c>
      <c r="P4834" s="80" t="s">
        <v>6368</v>
      </c>
      <c r="Q4834" s="20">
        <v>15936</v>
      </c>
      <c r="R4834" s="80" t="s">
        <v>70</v>
      </c>
      <c r="S4834" s="95">
        <v>2000</v>
      </c>
      <c r="T4834" s="148">
        <v>45558</v>
      </c>
      <c r="U4834" s="95">
        <v>13836</v>
      </c>
      <c r="V4834" s="148">
        <v>45596</v>
      </c>
      <c r="W4834" s="85" t="s">
        <v>15562</v>
      </c>
      <c r="X4834" s="80"/>
      <c r="Y4834" s="22">
        <v>100</v>
      </c>
      <c r="Z4834" s="80" t="s">
        <v>50</v>
      </c>
      <c r="AA4834" s="35" t="s">
        <v>9905</v>
      </c>
      <c r="AB4834" s="80"/>
      <c r="AC4834" s="80" t="s">
        <v>53</v>
      </c>
      <c r="AD4834" s="80" t="s">
        <v>138</v>
      </c>
      <c r="AE4834" s="80" t="s">
        <v>12416</v>
      </c>
      <c r="AF4834" s="17">
        <v>45630</v>
      </c>
      <c r="AG4834" s="26" t="s">
        <v>16677</v>
      </c>
      <c r="AH4834" s="80"/>
      <c r="AI4834" s="147"/>
      <c r="AJ4834" s="80"/>
      <c r="AK4834" s="80"/>
      <c r="AL4834" s="35"/>
      <c r="AM4834" s="35"/>
      <c r="AN4834" s="35"/>
      <c r="AO4834" s="35"/>
      <c r="AP4834" s="35"/>
    </row>
    <row r="4835" spans="1:42" x14ac:dyDescent="0.2">
      <c r="A4835" s="74">
        <v>45623</v>
      </c>
      <c r="B4835" s="137" t="s">
        <v>37</v>
      </c>
      <c r="C4835" s="41" t="s">
        <v>118</v>
      </c>
      <c r="D4835" s="80" t="s">
        <v>36</v>
      </c>
      <c r="E4835" s="80" t="s">
        <v>56</v>
      </c>
      <c r="F4835" s="80" t="s">
        <v>12416</v>
      </c>
      <c r="G4835" s="26" t="s">
        <v>108</v>
      </c>
      <c r="H4835" s="80" t="s">
        <v>16676</v>
      </c>
      <c r="I4835" s="17">
        <f ca="1">IFERROR(__xludf.DUMMYFUNCTION("""COMPUTED_VALUE"""),45630)</f>
        <v>45630</v>
      </c>
      <c r="J4835" s="143" t="s">
        <v>15724</v>
      </c>
      <c r="K4835" s="80" t="s">
        <v>15725</v>
      </c>
      <c r="L4835" s="30">
        <v>368643620</v>
      </c>
      <c r="M4835" s="80" t="s">
        <v>5429</v>
      </c>
      <c r="N4835" s="80" t="s">
        <v>81</v>
      </c>
      <c r="O4835" s="80" t="s">
        <v>15726</v>
      </c>
      <c r="P4835" s="144" t="s">
        <v>15727</v>
      </c>
      <c r="Q4835" s="20">
        <v>9317</v>
      </c>
      <c r="R4835" s="80" t="s">
        <v>36</v>
      </c>
      <c r="S4835" s="95">
        <f>200+1800</f>
        <v>2000</v>
      </c>
      <c r="T4835" s="83" t="s">
        <v>15728</v>
      </c>
      <c r="U4835" s="95">
        <v>7317</v>
      </c>
      <c r="V4835" s="169">
        <v>45594</v>
      </c>
      <c r="W4835" s="85" t="s">
        <v>15729</v>
      </c>
      <c r="X4835" s="80"/>
      <c r="Y4835" s="22">
        <v>0</v>
      </c>
      <c r="Z4835" s="80" t="s">
        <v>50</v>
      </c>
      <c r="AA4835" s="96" t="s">
        <v>9905</v>
      </c>
      <c r="AB4835" s="80"/>
      <c r="AC4835" s="80" t="s">
        <v>53</v>
      </c>
      <c r="AD4835" s="80" t="s">
        <v>138</v>
      </c>
      <c r="AE4835" s="80" t="s">
        <v>12416</v>
      </c>
      <c r="AF4835" s="17">
        <v>45630</v>
      </c>
      <c r="AG4835" s="26" t="s">
        <v>16677</v>
      </c>
      <c r="AH4835" s="80"/>
      <c r="AI4835" s="147"/>
      <c r="AJ4835" s="80"/>
      <c r="AK4835" s="80"/>
      <c r="AL4835" s="35"/>
      <c r="AM4835" s="35"/>
      <c r="AN4835" s="35"/>
      <c r="AO4835" s="35"/>
      <c r="AP4835" s="35"/>
    </row>
    <row r="4836" spans="1:42" x14ac:dyDescent="0.2">
      <c r="A4836" s="74">
        <v>45623</v>
      </c>
      <c r="B4836" s="137" t="s">
        <v>37</v>
      </c>
      <c r="C4836" s="41" t="s">
        <v>118</v>
      </c>
      <c r="D4836" s="80" t="s">
        <v>36</v>
      </c>
      <c r="E4836" s="80" t="s">
        <v>139</v>
      </c>
      <c r="F4836" s="80" t="s">
        <v>12416</v>
      </c>
      <c r="G4836" s="26" t="s">
        <v>108</v>
      </c>
      <c r="H4836" s="80" t="s">
        <v>16676</v>
      </c>
      <c r="I4836" s="17">
        <f ca="1">IFERROR(__xludf.DUMMYFUNCTION("""COMPUTED_VALUE"""),45630)</f>
        <v>45630</v>
      </c>
      <c r="J4836" s="143" t="s">
        <v>15811</v>
      </c>
      <c r="K4836" s="80" t="s">
        <v>13732</v>
      </c>
      <c r="L4836" s="30">
        <v>562907113</v>
      </c>
      <c r="M4836" s="80" t="s">
        <v>12720</v>
      </c>
      <c r="N4836" s="80" t="s">
        <v>1073</v>
      </c>
      <c r="O4836" s="80" t="s">
        <v>15813</v>
      </c>
      <c r="P4836" s="80" t="s">
        <v>15814</v>
      </c>
      <c r="Q4836" s="20">
        <v>15936</v>
      </c>
      <c r="R4836" s="80" t="s">
        <v>36</v>
      </c>
      <c r="S4836" s="95">
        <f>200+5936</f>
        <v>6136</v>
      </c>
      <c r="T4836" s="83" t="s">
        <v>15815</v>
      </c>
      <c r="U4836" s="95">
        <v>9800</v>
      </c>
      <c r="V4836" s="169">
        <v>45594</v>
      </c>
      <c r="W4836" s="85" t="s">
        <v>15816</v>
      </c>
      <c r="X4836" s="80"/>
      <c r="Y4836" s="22">
        <v>0</v>
      </c>
      <c r="Z4836" s="80" t="s">
        <v>50</v>
      </c>
      <c r="AA4836" s="35" t="s">
        <v>9905</v>
      </c>
      <c r="AB4836" s="80"/>
      <c r="AC4836" s="80" t="s">
        <v>53</v>
      </c>
      <c r="AD4836" s="80" t="s">
        <v>138</v>
      </c>
      <c r="AE4836" s="80" t="s">
        <v>12416</v>
      </c>
      <c r="AF4836" s="17">
        <v>45630</v>
      </c>
      <c r="AG4836" s="26" t="s">
        <v>16677</v>
      </c>
      <c r="AH4836" s="80"/>
      <c r="AI4836" s="147"/>
      <c r="AJ4836" s="80"/>
      <c r="AK4836" s="80"/>
      <c r="AL4836" s="35"/>
      <c r="AM4836" s="35"/>
      <c r="AN4836" s="35"/>
      <c r="AO4836" s="35"/>
      <c r="AP4836" s="35"/>
    </row>
    <row r="4837" spans="1:42" x14ac:dyDescent="0.2">
      <c r="A4837" s="74">
        <v>45623</v>
      </c>
      <c r="B4837" s="137" t="s">
        <v>37</v>
      </c>
      <c r="C4837" s="41" t="s">
        <v>118</v>
      </c>
      <c r="D4837" s="80" t="s">
        <v>36</v>
      </c>
      <c r="E4837" s="80" t="s">
        <v>139</v>
      </c>
      <c r="F4837" s="80" t="s">
        <v>12416</v>
      </c>
      <c r="G4837" s="26" t="s">
        <v>108</v>
      </c>
      <c r="H4837" s="80" t="s">
        <v>16676</v>
      </c>
      <c r="I4837" s="17">
        <f ca="1">IFERROR(__xludf.DUMMYFUNCTION("""COMPUTED_VALUE"""),45630)</f>
        <v>45630</v>
      </c>
      <c r="J4837" s="143" t="s">
        <v>15827</v>
      </c>
      <c r="K4837" s="80" t="s">
        <v>16817</v>
      </c>
      <c r="L4837" s="30">
        <v>349667860</v>
      </c>
      <c r="M4837" s="80" t="s">
        <v>12720</v>
      </c>
      <c r="N4837" s="80" t="s">
        <v>1073</v>
      </c>
      <c r="O4837" s="80" t="s">
        <v>15829</v>
      </c>
      <c r="P4837" s="80" t="s">
        <v>15830</v>
      </c>
      <c r="Q4837" s="20">
        <v>15936</v>
      </c>
      <c r="R4837" s="80" t="s">
        <v>36</v>
      </c>
      <c r="S4837" s="95">
        <f t="shared" ref="S4837:S4838" si="109">200+1800</f>
        <v>2000</v>
      </c>
      <c r="T4837" s="83" t="s">
        <v>15831</v>
      </c>
      <c r="U4837" s="95">
        <v>13936</v>
      </c>
      <c r="V4837" s="148">
        <v>45595</v>
      </c>
      <c r="W4837" s="85" t="s">
        <v>15832</v>
      </c>
      <c r="X4837" s="80"/>
      <c r="Y4837" s="22">
        <v>0</v>
      </c>
      <c r="Z4837" s="80" t="s">
        <v>50</v>
      </c>
      <c r="AA4837" s="96" t="s">
        <v>9905</v>
      </c>
      <c r="AB4837" s="80"/>
      <c r="AC4837" s="80" t="s">
        <v>53</v>
      </c>
      <c r="AD4837" s="80" t="s">
        <v>138</v>
      </c>
      <c r="AE4837" s="80" t="s">
        <v>12416</v>
      </c>
      <c r="AF4837" s="17">
        <v>45630</v>
      </c>
      <c r="AG4837" s="26" t="s">
        <v>16677</v>
      </c>
      <c r="AH4837" s="80"/>
      <c r="AI4837" s="147"/>
      <c r="AJ4837" s="80"/>
      <c r="AK4837" s="80"/>
      <c r="AL4837" s="35"/>
      <c r="AM4837" s="35"/>
      <c r="AN4837" s="35"/>
      <c r="AO4837" s="35"/>
      <c r="AP4837" s="35"/>
    </row>
    <row r="4838" spans="1:42" x14ac:dyDescent="0.2">
      <c r="A4838" s="74">
        <v>45623</v>
      </c>
      <c r="B4838" s="137" t="s">
        <v>37</v>
      </c>
      <c r="C4838" s="41" t="s">
        <v>118</v>
      </c>
      <c r="D4838" s="80" t="s">
        <v>36</v>
      </c>
      <c r="E4838" s="80" t="s">
        <v>39</v>
      </c>
      <c r="F4838" s="80" t="s">
        <v>12416</v>
      </c>
      <c r="G4838" s="26" t="s">
        <v>108</v>
      </c>
      <c r="H4838" s="80" t="s">
        <v>16676</v>
      </c>
      <c r="I4838" s="17">
        <f ca="1">IFERROR(__xludf.DUMMYFUNCTION("""COMPUTED_VALUE"""),45630)</f>
        <v>45630</v>
      </c>
      <c r="J4838" s="172" t="s">
        <v>16818</v>
      </c>
      <c r="K4838" s="80" t="s">
        <v>16819</v>
      </c>
      <c r="L4838" s="30">
        <v>344025597</v>
      </c>
      <c r="M4838" s="80" t="s">
        <v>12720</v>
      </c>
      <c r="N4838" s="80" t="s">
        <v>1073</v>
      </c>
      <c r="O4838" s="80" t="s">
        <v>3098</v>
      </c>
      <c r="P4838" s="80" t="s">
        <v>586</v>
      </c>
      <c r="Q4838" s="20">
        <v>5736</v>
      </c>
      <c r="R4838" s="80" t="s">
        <v>36</v>
      </c>
      <c r="S4838" s="95">
        <f t="shared" si="109"/>
        <v>2000</v>
      </c>
      <c r="T4838" s="83" t="s">
        <v>15948</v>
      </c>
      <c r="U4838" s="95">
        <v>3736</v>
      </c>
      <c r="V4838" s="148">
        <v>45601</v>
      </c>
      <c r="W4838" s="85" t="s">
        <v>16820</v>
      </c>
      <c r="X4838" s="80"/>
      <c r="Y4838" s="22">
        <v>0</v>
      </c>
      <c r="Z4838" s="80" t="s">
        <v>50</v>
      </c>
      <c r="AA4838" s="86"/>
      <c r="AB4838" s="80"/>
      <c r="AC4838" s="80" t="s">
        <v>53</v>
      </c>
      <c r="AD4838" s="80" t="s">
        <v>138</v>
      </c>
      <c r="AE4838" s="80" t="s">
        <v>12416</v>
      </c>
      <c r="AF4838" s="17">
        <v>45630</v>
      </c>
      <c r="AG4838" s="26" t="s">
        <v>16677</v>
      </c>
      <c r="AH4838" s="80"/>
      <c r="AI4838" s="147"/>
      <c r="AJ4838" s="80"/>
      <c r="AK4838" s="80"/>
      <c r="AL4838" s="35"/>
      <c r="AM4838" s="35"/>
      <c r="AN4838" s="35"/>
      <c r="AO4838" s="35"/>
      <c r="AP4838" s="35"/>
    </row>
    <row r="4839" spans="1:42" x14ac:dyDescent="0.2">
      <c r="A4839" s="74">
        <v>45623</v>
      </c>
      <c r="B4839" s="137" t="s">
        <v>37</v>
      </c>
      <c r="C4839" s="41" t="s">
        <v>118</v>
      </c>
      <c r="D4839" s="80" t="s">
        <v>36</v>
      </c>
      <c r="E4839" s="80" t="s">
        <v>139</v>
      </c>
      <c r="F4839" s="80" t="s">
        <v>12416</v>
      </c>
      <c r="G4839" s="26" t="s">
        <v>108</v>
      </c>
      <c r="H4839" s="80" t="s">
        <v>16821</v>
      </c>
      <c r="I4839" s="17">
        <f ca="1">IFERROR(__xludf.DUMMYFUNCTION("""COMPUTED_VALUE"""),45782)</f>
        <v>45782</v>
      </c>
      <c r="J4839" s="143" t="s">
        <v>15880</v>
      </c>
      <c r="K4839" s="145" t="s">
        <v>16822</v>
      </c>
      <c r="L4839" s="30">
        <v>383942006</v>
      </c>
      <c r="M4839" s="80" t="s">
        <v>123</v>
      </c>
      <c r="N4839" s="80" t="s">
        <v>2847</v>
      </c>
      <c r="O4839" s="80" t="s">
        <v>4503</v>
      </c>
      <c r="P4839" s="144" t="s">
        <v>15882</v>
      </c>
      <c r="Q4839" s="20">
        <v>15936</v>
      </c>
      <c r="R4839" s="80" t="s">
        <v>70</v>
      </c>
      <c r="S4839" s="95">
        <f>200+2800</f>
        <v>3000</v>
      </c>
      <c r="T4839" s="148">
        <v>45565</v>
      </c>
      <c r="U4839" s="95">
        <v>12836</v>
      </c>
      <c r="V4839" s="148">
        <v>45593</v>
      </c>
      <c r="W4839" s="85" t="s">
        <v>15883</v>
      </c>
      <c r="X4839" s="80"/>
      <c r="Y4839" s="22">
        <v>100</v>
      </c>
      <c r="Z4839" s="80" t="s">
        <v>50</v>
      </c>
      <c r="AA4839" s="96" t="s">
        <v>9905</v>
      </c>
      <c r="AB4839" s="80"/>
      <c r="AC4839" s="80" t="s">
        <v>53</v>
      </c>
      <c r="AD4839" s="80" t="s">
        <v>54</v>
      </c>
      <c r="AE4839" s="80" t="s">
        <v>12416</v>
      </c>
      <c r="AF4839" s="17">
        <v>45656</v>
      </c>
      <c r="AG4839" s="80"/>
      <c r="AH4839" s="80"/>
      <c r="AI4839" s="147"/>
      <c r="AJ4839" s="80"/>
      <c r="AK4839" s="80"/>
      <c r="AL4839" s="35"/>
      <c r="AM4839" s="35"/>
      <c r="AN4839" s="35"/>
      <c r="AO4839" s="35"/>
      <c r="AP4839" s="35"/>
    </row>
    <row r="4840" spans="1:42" x14ac:dyDescent="0.2">
      <c r="A4840" s="74">
        <v>45623</v>
      </c>
      <c r="B4840" s="137" t="s">
        <v>37</v>
      </c>
      <c r="C4840" s="41" t="s">
        <v>118</v>
      </c>
      <c r="D4840" s="80" t="s">
        <v>36</v>
      </c>
      <c r="E4840" s="80" t="s">
        <v>139</v>
      </c>
      <c r="F4840" s="80" t="s">
        <v>12416</v>
      </c>
      <c r="G4840" s="26" t="s">
        <v>108</v>
      </c>
      <c r="H4840" s="80" t="s">
        <v>16821</v>
      </c>
      <c r="I4840" s="17">
        <f ca="1">IFERROR(__xludf.DUMMYFUNCTION("""COMPUTED_VALUE"""),45782)</f>
        <v>45782</v>
      </c>
      <c r="J4840" s="143" t="s">
        <v>15917</v>
      </c>
      <c r="K4840" s="145" t="s">
        <v>16823</v>
      </c>
      <c r="L4840" s="30">
        <v>968035981</v>
      </c>
      <c r="M4840" s="80" t="s">
        <v>123</v>
      </c>
      <c r="N4840" s="80" t="s">
        <v>2847</v>
      </c>
      <c r="O4840" s="80" t="s">
        <v>4503</v>
      </c>
      <c r="P4840" s="80" t="s">
        <v>15919</v>
      </c>
      <c r="Q4840" s="20">
        <v>15936</v>
      </c>
      <c r="R4840" s="80" t="s">
        <v>70</v>
      </c>
      <c r="S4840" s="95">
        <f>200+3000</f>
        <v>3200</v>
      </c>
      <c r="T4840" s="83" t="s">
        <v>15920</v>
      </c>
      <c r="U4840" s="95">
        <v>12636</v>
      </c>
      <c r="V4840" s="148">
        <v>45588</v>
      </c>
      <c r="W4840" s="85" t="s">
        <v>15921</v>
      </c>
      <c r="X4840" s="80"/>
      <c r="Y4840" s="22">
        <v>100</v>
      </c>
      <c r="Z4840" s="80" t="s">
        <v>50</v>
      </c>
      <c r="AA4840" s="35" t="s">
        <v>9905</v>
      </c>
      <c r="AB4840" s="80" t="s">
        <v>4503</v>
      </c>
      <c r="AC4840" s="80" t="s">
        <v>53</v>
      </c>
      <c r="AD4840" s="80" t="s">
        <v>138</v>
      </c>
      <c r="AE4840" s="80" t="s">
        <v>12416</v>
      </c>
      <c r="AF4840" s="17">
        <v>45656</v>
      </c>
      <c r="AG4840" s="80"/>
      <c r="AH4840" s="80"/>
      <c r="AI4840" s="147"/>
      <c r="AJ4840" s="80"/>
      <c r="AK4840" s="80"/>
      <c r="AL4840" s="35"/>
      <c r="AM4840" s="35"/>
      <c r="AN4840" s="35"/>
      <c r="AO4840" s="35"/>
      <c r="AP4840" s="35"/>
    </row>
    <row r="4841" spans="1:42" x14ac:dyDescent="0.2">
      <c r="A4841" s="74">
        <v>45623</v>
      </c>
      <c r="B4841" s="137" t="s">
        <v>37</v>
      </c>
      <c r="C4841" s="41" t="s">
        <v>118</v>
      </c>
      <c r="D4841" s="80" t="s">
        <v>36</v>
      </c>
      <c r="E4841" s="80" t="s">
        <v>139</v>
      </c>
      <c r="F4841" s="80" t="s">
        <v>12416</v>
      </c>
      <c r="G4841" s="26" t="s">
        <v>108</v>
      </c>
      <c r="H4841" s="80" t="s">
        <v>16676</v>
      </c>
      <c r="I4841" s="17">
        <f ca="1">IFERROR(__xludf.DUMMYFUNCTION("""COMPUTED_VALUE"""),45630)</f>
        <v>45630</v>
      </c>
      <c r="J4841" s="143" t="s">
        <v>16084</v>
      </c>
      <c r="K4841" s="80" t="s">
        <v>4106</v>
      </c>
      <c r="L4841" s="30">
        <v>869683062</v>
      </c>
      <c r="M4841" s="80" t="s">
        <v>3728</v>
      </c>
      <c r="N4841" s="80" t="s">
        <v>5277</v>
      </c>
      <c r="O4841" s="80" t="s">
        <v>16085</v>
      </c>
      <c r="P4841" s="80" t="s">
        <v>11644</v>
      </c>
      <c r="Q4841" s="20">
        <v>15936</v>
      </c>
      <c r="R4841" s="80" t="s">
        <v>70</v>
      </c>
      <c r="S4841" s="95">
        <v>2000</v>
      </c>
      <c r="T4841" s="148">
        <v>45569</v>
      </c>
      <c r="U4841" s="95">
        <v>13936</v>
      </c>
      <c r="V4841" s="148">
        <v>45593</v>
      </c>
      <c r="W4841" s="85" t="s">
        <v>16086</v>
      </c>
      <c r="X4841" s="80"/>
      <c r="Y4841" s="22">
        <v>0</v>
      </c>
      <c r="Z4841" s="80" t="s">
        <v>50</v>
      </c>
      <c r="AA4841" s="96" t="s">
        <v>9905</v>
      </c>
      <c r="AB4841" s="80"/>
      <c r="AC4841" s="80" t="s">
        <v>53</v>
      </c>
      <c r="AD4841" s="80" t="s">
        <v>138</v>
      </c>
      <c r="AE4841" s="80" t="s">
        <v>12416</v>
      </c>
      <c r="AF4841" s="17">
        <v>45630</v>
      </c>
      <c r="AG4841" s="26" t="s">
        <v>16677</v>
      </c>
      <c r="AH4841" s="80"/>
      <c r="AI4841" s="147"/>
      <c r="AJ4841" s="80"/>
      <c r="AK4841" s="80"/>
      <c r="AL4841" s="35"/>
      <c r="AM4841" s="35"/>
      <c r="AN4841" s="35"/>
      <c r="AO4841" s="35"/>
      <c r="AP4841" s="35"/>
    </row>
    <row r="4842" spans="1:42" x14ac:dyDescent="0.2">
      <c r="A4842" s="74">
        <v>45623</v>
      </c>
      <c r="B4842" s="137" t="s">
        <v>37</v>
      </c>
      <c r="C4842" s="41" t="s">
        <v>118</v>
      </c>
      <c r="D4842" s="80" t="s">
        <v>36</v>
      </c>
      <c r="E4842" s="80" t="s">
        <v>139</v>
      </c>
      <c r="F4842" s="80" t="s">
        <v>12416</v>
      </c>
      <c r="G4842" s="26" t="s">
        <v>108</v>
      </c>
      <c r="H4842" s="80" t="s">
        <v>16676</v>
      </c>
      <c r="I4842" s="17">
        <f ca="1">IFERROR(__xludf.DUMMYFUNCTION("""COMPUTED_VALUE"""),45630)</f>
        <v>45630</v>
      </c>
      <c r="J4842" s="143" t="s">
        <v>16087</v>
      </c>
      <c r="K4842" s="80" t="s">
        <v>16088</v>
      </c>
      <c r="L4842" s="30">
        <v>966115106</v>
      </c>
      <c r="M4842" s="80" t="s">
        <v>3728</v>
      </c>
      <c r="N4842" s="80" t="s">
        <v>5277</v>
      </c>
      <c r="O4842" s="80" t="s">
        <v>16089</v>
      </c>
      <c r="P4842" s="80" t="s">
        <v>11644</v>
      </c>
      <c r="Q4842" s="20">
        <v>15936</v>
      </c>
      <c r="R4842" s="80" t="s">
        <v>70</v>
      </c>
      <c r="S4842" s="95">
        <v>2000</v>
      </c>
      <c r="T4842" s="148">
        <v>45569</v>
      </c>
      <c r="U4842" s="95">
        <v>13936</v>
      </c>
      <c r="V4842" s="169">
        <v>45594</v>
      </c>
      <c r="W4842" s="85" t="s">
        <v>16090</v>
      </c>
      <c r="X4842" s="80"/>
      <c r="Y4842" s="22">
        <v>0</v>
      </c>
      <c r="Z4842" s="80" t="s">
        <v>50</v>
      </c>
      <c r="AA4842" s="35" t="s">
        <v>9905</v>
      </c>
      <c r="AB4842" s="80"/>
      <c r="AC4842" s="80" t="s">
        <v>53</v>
      </c>
      <c r="AD4842" s="80" t="s">
        <v>138</v>
      </c>
      <c r="AE4842" s="80" t="s">
        <v>12416</v>
      </c>
      <c r="AF4842" s="17">
        <v>45630</v>
      </c>
      <c r="AG4842" s="26" t="s">
        <v>16677</v>
      </c>
      <c r="AH4842" s="80"/>
      <c r="AI4842" s="147"/>
      <c r="AJ4842" s="80"/>
      <c r="AK4842" s="80"/>
      <c r="AL4842" s="35"/>
      <c r="AM4842" s="35"/>
      <c r="AN4842" s="35"/>
      <c r="AO4842" s="35"/>
      <c r="AP4842" s="35"/>
    </row>
    <row r="4843" spans="1:42" x14ac:dyDescent="0.2">
      <c r="A4843" s="74">
        <v>45623</v>
      </c>
      <c r="B4843" s="137" t="s">
        <v>37</v>
      </c>
      <c r="C4843" s="41" t="s">
        <v>118</v>
      </c>
      <c r="D4843" s="80" t="s">
        <v>36</v>
      </c>
      <c r="E4843" s="80" t="s">
        <v>139</v>
      </c>
      <c r="F4843" s="80" t="s">
        <v>12416</v>
      </c>
      <c r="G4843" s="26" t="s">
        <v>108</v>
      </c>
      <c r="H4843" s="80" t="s">
        <v>16676</v>
      </c>
      <c r="I4843" s="17">
        <f ca="1">IFERROR(__xludf.DUMMYFUNCTION("""COMPUTED_VALUE"""),45630)</f>
        <v>45630</v>
      </c>
      <c r="J4843" s="143" t="s">
        <v>16134</v>
      </c>
      <c r="K4843" s="80" t="s">
        <v>16135</v>
      </c>
      <c r="L4843" s="30">
        <v>359802189</v>
      </c>
      <c r="M4843" s="80" t="s">
        <v>5518</v>
      </c>
      <c r="N4843" s="80" t="s">
        <v>253</v>
      </c>
      <c r="O4843" s="80" t="s">
        <v>16136</v>
      </c>
      <c r="P4843" s="80" t="s">
        <v>5462</v>
      </c>
      <c r="Q4843" s="20">
        <v>15936</v>
      </c>
      <c r="R4843" s="80" t="s">
        <v>36</v>
      </c>
      <c r="S4843" s="95">
        <v>2000</v>
      </c>
      <c r="T4843" s="148">
        <v>45571</v>
      </c>
      <c r="U4843" s="95">
        <v>13936</v>
      </c>
      <c r="V4843" s="148">
        <v>45592</v>
      </c>
      <c r="W4843" s="85" t="s">
        <v>16137</v>
      </c>
      <c r="X4843" s="80"/>
      <c r="Y4843" s="22">
        <v>0</v>
      </c>
      <c r="Z4843" s="80" t="s">
        <v>50</v>
      </c>
      <c r="AA4843" s="96" t="s">
        <v>9905</v>
      </c>
      <c r="AB4843" s="80"/>
      <c r="AC4843" s="80" t="s">
        <v>53</v>
      </c>
      <c r="AD4843" s="80" t="s">
        <v>138</v>
      </c>
      <c r="AE4843" s="80" t="s">
        <v>12416</v>
      </c>
      <c r="AF4843" s="17">
        <v>45630</v>
      </c>
      <c r="AG4843" s="26" t="s">
        <v>16677</v>
      </c>
      <c r="AH4843" s="80"/>
      <c r="AI4843" s="147"/>
      <c r="AJ4843" s="80"/>
      <c r="AK4843" s="80"/>
      <c r="AL4843" s="35"/>
      <c r="AM4843" s="35"/>
      <c r="AN4843" s="35"/>
      <c r="AO4843" s="35"/>
      <c r="AP4843" s="35"/>
    </row>
    <row r="4844" spans="1:42" x14ac:dyDescent="0.2">
      <c r="A4844" s="74">
        <v>45623</v>
      </c>
      <c r="B4844" s="137" t="s">
        <v>37</v>
      </c>
      <c r="C4844" s="41" t="s">
        <v>118</v>
      </c>
      <c r="D4844" s="80" t="s">
        <v>36</v>
      </c>
      <c r="E4844" s="80" t="s">
        <v>139</v>
      </c>
      <c r="F4844" s="80" t="s">
        <v>12416</v>
      </c>
      <c r="G4844" s="26" t="s">
        <v>108</v>
      </c>
      <c r="H4844" s="80" t="s">
        <v>16676</v>
      </c>
      <c r="I4844" s="17">
        <f ca="1">IFERROR(__xludf.DUMMYFUNCTION("""COMPUTED_VALUE"""),45630)</f>
        <v>45630</v>
      </c>
      <c r="J4844" s="143" t="s">
        <v>16158</v>
      </c>
      <c r="K4844" s="80" t="s">
        <v>16159</v>
      </c>
      <c r="L4844" s="30">
        <v>867301861</v>
      </c>
      <c r="M4844" s="80" t="s">
        <v>5429</v>
      </c>
      <c r="N4844" s="80" t="s">
        <v>756</v>
      </c>
      <c r="O4844" s="80" t="s">
        <v>16160</v>
      </c>
      <c r="P4844" s="80" t="s">
        <v>6368</v>
      </c>
      <c r="Q4844" s="20">
        <v>15936</v>
      </c>
      <c r="R4844" s="80" t="s">
        <v>36</v>
      </c>
      <c r="S4844" s="95">
        <f>200+13936</f>
        <v>14136</v>
      </c>
      <c r="T4844" s="83" t="s">
        <v>16161</v>
      </c>
      <c r="U4844" s="95">
        <v>1800</v>
      </c>
      <c r="V4844" s="148">
        <v>45574</v>
      </c>
      <c r="W4844" s="85" t="s">
        <v>16162</v>
      </c>
      <c r="X4844" s="80"/>
      <c r="Y4844" s="22">
        <v>0</v>
      </c>
      <c r="Z4844" s="80" t="s">
        <v>50</v>
      </c>
      <c r="AA4844" s="35" t="s">
        <v>9905</v>
      </c>
      <c r="AB4844" s="80"/>
      <c r="AC4844" s="80" t="s">
        <v>53</v>
      </c>
      <c r="AD4844" s="80" t="s">
        <v>138</v>
      </c>
      <c r="AE4844" s="80" t="s">
        <v>12416</v>
      </c>
      <c r="AF4844" s="17">
        <v>45630</v>
      </c>
      <c r="AG4844" s="26" t="s">
        <v>16677</v>
      </c>
      <c r="AH4844" s="80"/>
      <c r="AI4844" s="147"/>
      <c r="AJ4844" s="80"/>
      <c r="AK4844" s="80"/>
      <c r="AL4844" s="35"/>
      <c r="AM4844" s="35"/>
      <c r="AN4844" s="35"/>
      <c r="AO4844" s="35"/>
      <c r="AP4844" s="35"/>
    </row>
    <row r="4845" spans="1:42" x14ac:dyDescent="0.2">
      <c r="A4845" s="74">
        <v>45623</v>
      </c>
      <c r="B4845" s="137" t="s">
        <v>37</v>
      </c>
      <c r="C4845" s="41" t="s">
        <v>118</v>
      </c>
      <c r="D4845" s="80" t="s">
        <v>36</v>
      </c>
      <c r="E4845" s="80" t="s">
        <v>139</v>
      </c>
      <c r="F4845" s="80" t="s">
        <v>12416</v>
      </c>
      <c r="G4845" s="26" t="s">
        <v>108</v>
      </c>
      <c r="H4845" s="80" t="s">
        <v>16676</v>
      </c>
      <c r="I4845" s="17">
        <f ca="1">IFERROR(__xludf.DUMMYFUNCTION("""COMPUTED_VALUE"""),45630)</f>
        <v>45630</v>
      </c>
      <c r="J4845" s="143" t="s">
        <v>16824</v>
      </c>
      <c r="K4845" s="80" t="s">
        <v>16825</v>
      </c>
      <c r="L4845" s="30">
        <v>989158823</v>
      </c>
      <c r="M4845" s="80" t="s">
        <v>348</v>
      </c>
      <c r="N4845" s="80" t="s">
        <v>4299</v>
      </c>
      <c r="O4845" s="80" t="s">
        <v>16826</v>
      </c>
      <c r="P4845" s="80" t="s">
        <v>7743</v>
      </c>
      <c r="Q4845" s="20">
        <v>15936</v>
      </c>
      <c r="R4845" s="80" t="s">
        <v>36</v>
      </c>
      <c r="S4845" s="95">
        <v>2000</v>
      </c>
      <c r="T4845" s="148">
        <v>45572</v>
      </c>
      <c r="U4845" s="95">
        <v>13936</v>
      </c>
      <c r="V4845" s="148">
        <v>45613</v>
      </c>
      <c r="W4845" s="85" t="s">
        <v>16827</v>
      </c>
      <c r="X4845" s="80"/>
      <c r="Y4845" s="22">
        <v>0</v>
      </c>
      <c r="Z4845" s="80" t="s">
        <v>50</v>
      </c>
      <c r="AA4845" s="82"/>
      <c r="AB4845" s="80"/>
      <c r="AC4845" s="80" t="s">
        <v>53</v>
      </c>
      <c r="AD4845" s="80" t="s">
        <v>138</v>
      </c>
      <c r="AE4845" s="80" t="s">
        <v>12416</v>
      </c>
      <c r="AF4845" s="17">
        <v>45630</v>
      </c>
      <c r="AG4845" s="26" t="s">
        <v>16677</v>
      </c>
      <c r="AH4845" s="80"/>
      <c r="AI4845" s="147"/>
      <c r="AJ4845" s="80"/>
      <c r="AK4845" s="80"/>
      <c r="AL4845" s="35"/>
      <c r="AM4845" s="35"/>
      <c r="AN4845" s="35"/>
      <c r="AO4845" s="35"/>
      <c r="AP4845" s="35"/>
    </row>
    <row r="4846" spans="1:42" x14ac:dyDescent="0.2">
      <c r="A4846" s="74">
        <v>45623</v>
      </c>
      <c r="B4846" s="137" t="s">
        <v>37</v>
      </c>
      <c r="C4846" s="41" t="s">
        <v>118</v>
      </c>
      <c r="D4846" s="80" t="s">
        <v>36</v>
      </c>
      <c r="E4846" s="80" t="s">
        <v>139</v>
      </c>
      <c r="F4846" s="80" t="s">
        <v>12398</v>
      </c>
      <c r="G4846" s="80" t="s">
        <v>108</v>
      </c>
      <c r="H4846" s="80" t="s">
        <v>16810</v>
      </c>
      <c r="I4846" s="17">
        <f ca="1">IFERROR(__xludf.DUMMYFUNCTION("""COMPUTED_VALUE"""),45631)</f>
        <v>45631</v>
      </c>
      <c r="J4846" s="143" t="s">
        <v>12399</v>
      </c>
      <c r="K4846" s="80" t="s">
        <v>16828</v>
      </c>
      <c r="L4846" s="30">
        <v>345736615</v>
      </c>
      <c r="M4846" s="80" t="s">
        <v>3728</v>
      </c>
      <c r="N4846" s="80" t="s">
        <v>8725</v>
      </c>
      <c r="O4846" s="80" t="s">
        <v>12401</v>
      </c>
      <c r="P4846" s="144" t="s">
        <v>16829</v>
      </c>
      <c r="Q4846" s="20">
        <v>15936</v>
      </c>
      <c r="R4846" s="80" t="s">
        <v>36</v>
      </c>
      <c r="S4846" s="95">
        <f>200+1800</f>
        <v>2000</v>
      </c>
      <c r="T4846" s="83" t="s">
        <v>12403</v>
      </c>
      <c r="U4846" s="95">
        <v>13936</v>
      </c>
      <c r="V4846" s="148">
        <v>45559</v>
      </c>
      <c r="W4846" s="85" t="s">
        <v>12404</v>
      </c>
      <c r="X4846" s="80">
        <v>0</v>
      </c>
      <c r="Y4846" s="22">
        <v>0</v>
      </c>
      <c r="Z4846" s="80" t="s">
        <v>50</v>
      </c>
      <c r="AA4846" s="35" t="s">
        <v>3291</v>
      </c>
      <c r="AB4846" s="80"/>
      <c r="AC4846" s="80" t="s">
        <v>53</v>
      </c>
      <c r="AD4846" s="80" t="s">
        <v>54</v>
      </c>
      <c r="AE4846" s="80" t="s">
        <v>12398</v>
      </c>
      <c r="AF4846" s="43">
        <v>45625</v>
      </c>
      <c r="AG4846" s="80"/>
      <c r="AH4846" s="80"/>
      <c r="AI4846" s="147" t="s">
        <v>147</v>
      </c>
      <c r="AJ4846" s="80"/>
      <c r="AK4846" s="80"/>
      <c r="AL4846" s="35"/>
      <c r="AM4846" s="35"/>
      <c r="AN4846" s="35"/>
      <c r="AO4846" s="35"/>
      <c r="AP4846" s="35"/>
    </row>
    <row r="4847" spans="1:42" x14ac:dyDescent="0.2">
      <c r="A4847" s="74">
        <v>45623</v>
      </c>
      <c r="B4847" s="137" t="s">
        <v>37</v>
      </c>
      <c r="C4847" s="41" t="s">
        <v>118</v>
      </c>
      <c r="D4847" s="80" t="s">
        <v>36</v>
      </c>
      <c r="E4847" s="80" t="s">
        <v>119</v>
      </c>
      <c r="F4847" s="80" t="s">
        <v>8662</v>
      </c>
      <c r="G4847" s="80" t="s">
        <v>221</v>
      </c>
      <c r="H4847" s="80" t="s">
        <v>13748</v>
      </c>
      <c r="I4847" s="17">
        <f ca="1">IFERROR(__xludf.DUMMYFUNCTION("""COMPUTED_VALUE"""),45636)</f>
        <v>45636</v>
      </c>
      <c r="J4847" s="143" t="s">
        <v>12199</v>
      </c>
      <c r="K4847" s="80" t="s">
        <v>16830</v>
      </c>
      <c r="L4847" s="30">
        <v>382693558</v>
      </c>
      <c r="M4847" s="80" t="s">
        <v>5429</v>
      </c>
      <c r="N4847" s="80" t="s">
        <v>3065</v>
      </c>
      <c r="O4847" s="80" t="s">
        <v>12201</v>
      </c>
      <c r="P4847" s="144" t="s">
        <v>16831</v>
      </c>
      <c r="Q4847" s="20">
        <v>13968</v>
      </c>
      <c r="R4847" s="80" t="s">
        <v>36</v>
      </c>
      <c r="S4847" s="95">
        <v>4000</v>
      </c>
      <c r="T4847" s="148">
        <v>45514</v>
      </c>
      <c r="U4847" s="95">
        <v>9968</v>
      </c>
      <c r="V4847" s="148">
        <v>45542</v>
      </c>
      <c r="W4847" s="85" t="s">
        <v>12203</v>
      </c>
      <c r="X4847" s="80">
        <v>0</v>
      </c>
      <c r="Y4847" s="22">
        <v>0</v>
      </c>
      <c r="Z4847" s="80" t="s">
        <v>50</v>
      </c>
      <c r="AA4847" s="96" t="s">
        <v>3291</v>
      </c>
      <c r="AB4847" s="80"/>
      <c r="AC4847" s="80" t="s">
        <v>53</v>
      </c>
      <c r="AD4847" s="80" t="s">
        <v>54</v>
      </c>
      <c r="AE4847" s="80" t="s">
        <v>8662</v>
      </c>
      <c r="AF4847" s="17">
        <v>45630</v>
      </c>
      <c r="AG4847" s="80"/>
      <c r="AH4847" s="80"/>
      <c r="AI4847" s="147">
        <v>4</v>
      </c>
      <c r="AJ4847" s="80"/>
      <c r="AK4847" s="80"/>
      <c r="AL4847" s="35"/>
      <c r="AM4847" s="35"/>
      <c r="AN4847" s="35"/>
      <c r="AO4847" s="35"/>
      <c r="AP4847" s="35"/>
    </row>
    <row r="4848" spans="1:42" x14ac:dyDescent="0.2">
      <c r="A4848" s="74">
        <v>45623</v>
      </c>
      <c r="B4848" s="137" t="s">
        <v>37</v>
      </c>
      <c r="C4848" s="41" t="s">
        <v>118</v>
      </c>
      <c r="D4848" s="80" t="s">
        <v>36</v>
      </c>
      <c r="E4848" s="80" t="s">
        <v>139</v>
      </c>
      <c r="F4848" s="80" t="s">
        <v>15506</v>
      </c>
      <c r="G4848" s="80" t="s">
        <v>108</v>
      </c>
      <c r="H4848" s="80" t="s">
        <v>15974</v>
      </c>
      <c r="I4848" s="17">
        <f ca="1">IFERROR(__xludf.DUMMYFUNCTION("""COMPUTED_VALUE"""),45639)</f>
        <v>45639</v>
      </c>
      <c r="J4848" s="143" t="s">
        <v>15968</v>
      </c>
      <c r="K4848" s="80" t="s">
        <v>15969</v>
      </c>
      <c r="L4848" s="30">
        <v>339633214</v>
      </c>
      <c r="M4848" s="80" t="s">
        <v>15970</v>
      </c>
      <c r="N4848" s="80" t="s">
        <v>327</v>
      </c>
      <c r="O4848" s="80" t="s">
        <v>4503</v>
      </c>
      <c r="P4848" s="144" t="s">
        <v>15971</v>
      </c>
      <c r="Q4848" s="20">
        <v>15936</v>
      </c>
      <c r="R4848" s="80" t="s">
        <v>36</v>
      </c>
      <c r="S4848" s="95">
        <v>3000</v>
      </c>
      <c r="T4848" s="148">
        <v>45560</v>
      </c>
      <c r="U4848" s="95">
        <v>12936</v>
      </c>
      <c r="V4848" s="148">
        <v>45592</v>
      </c>
      <c r="W4848" s="85" t="s">
        <v>15972</v>
      </c>
      <c r="X4848" s="80"/>
      <c r="Y4848" s="22">
        <v>0</v>
      </c>
      <c r="Z4848" s="80" t="s">
        <v>50</v>
      </c>
      <c r="AA4848" s="35" t="s">
        <v>9905</v>
      </c>
      <c r="AB4848" s="80"/>
      <c r="AC4848" s="80" t="s">
        <v>53</v>
      </c>
      <c r="AD4848" s="80" t="s">
        <v>54</v>
      </c>
      <c r="AE4848" s="80" t="s">
        <v>15506</v>
      </c>
      <c r="AF4848" s="43">
        <v>45625</v>
      </c>
      <c r="AG4848" s="80"/>
      <c r="AH4848" s="80"/>
      <c r="AI4848" s="147"/>
      <c r="AJ4848" s="80"/>
      <c r="AK4848" s="80"/>
      <c r="AL4848" s="35"/>
      <c r="AM4848" s="35"/>
      <c r="AN4848" s="35"/>
      <c r="AO4848" s="35"/>
      <c r="AP4848" s="35"/>
    </row>
    <row r="4849" spans="1:42" x14ac:dyDescent="0.2">
      <c r="A4849" s="74">
        <v>45623</v>
      </c>
      <c r="B4849" s="137" t="s">
        <v>37</v>
      </c>
      <c r="C4849" s="41" t="s">
        <v>118</v>
      </c>
      <c r="D4849" s="80" t="s">
        <v>36</v>
      </c>
      <c r="E4849" s="80" t="s">
        <v>139</v>
      </c>
      <c r="F4849" s="80" t="s">
        <v>7330</v>
      </c>
      <c r="G4849" s="26" t="s">
        <v>108</v>
      </c>
      <c r="H4849" s="80" t="s">
        <v>16676</v>
      </c>
      <c r="I4849" s="17">
        <f ca="1">IFERROR(__xludf.DUMMYFUNCTION("""COMPUTED_VALUE"""),45630)</f>
        <v>45630</v>
      </c>
      <c r="J4849" s="143" t="s">
        <v>12101</v>
      </c>
      <c r="K4849" s="80" t="s">
        <v>12102</v>
      </c>
      <c r="L4849" s="47">
        <v>337424898</v>
      </c>
      <c r="M4849" s="80" t="s">
        <v>123</v>
      </c>
      <c r="N4849" s="80" t="s">
        <v>186</v>
      </c>
      <c r="O4849" s="86" t="s">
        <v>12103</v>
      </c>
      <c r="P4849" s="86" t="s">
        <v>3487</v>
      </c>
      <c r="Q4849" s="20">
        <v>15936</v>
      </c>
      <c r="R4849" s="80" t="s">
        <v>70</v>
      </c>
      <c r="S4849" s="95">
        <f>200+1800</f>
        <v>2000</v>
      </c>
      <c r="T4849" s="78" t="s">
        <v>12104</v>
      </c>
      <c r="U4849" s="95">
        <v>13836</v>
      </c>
      <c r="V4849" s="148">
        <v>45544</v>
      </c>
      <c r="W4849" s="79" t="s">
        <v>12105</v>
      </c>
      <c r="X4849" s="80">
        <v>100</v>
      </c>
      <c r="Y4849" s="22">
        <v>0</v>
      </c>
      <c r="Z4849" s="80" t="s">
        <v>50</v>
      </c>
      <c r="AA4849" s="96" t="s">
        <v>3291</v>
      </c>
      <c r="AB4849" s="80"/>
      <c r="AC4849" s="80" t="s">
        <v>53</v>
      </c>
      <c r="AD4849" s="80" t="s">
        <v>138</v>
      </c>
      <c r="AE4849" s="80" t="s">
        <v>7330</v>
      </c>
      <c r="AF4849" s="17">
        <v>45630</v>
      </c>
      <c r="AG4849" s="26" t="s">
        <v>16677</v>
      </c>
      <c r="AH4849" s="80"/>
      <c r="AI4849" s="147" t="s">
        <v>147</v>
      </c>
      <c r="AJ4849" s="80"/>
      <c r="AK4849" s="80"/>
      <c r="AL4849" s="35"/>
      <c r="AM4849" s="35"/>
      <c r="AN4849" s="35"/>
      <c r="AO4849" s="35"/>
      <c r="AP4849" s="35"/>
    </row>
    <row r="4850" spans="1:42" x14ac:dyDescent="0.2">
      <c r="A4850" s="74">
        <v>45623</v>
      </c>
      <c r="B4850" s="137" t="s">
        <v>37</v>
      </c>
      <c r="C4850" s="41" t="s">
        <v>118</v>
      </c>
      <c r="D4850" s="80" t="s">
        <v>36</v>
      </c>
      <c r="E4850" s="80" t="s">
        <v>39</v>
      </c>
      <c r="F4850" s="80" t="s">
        <v>12398</v>
      </c>
      <c r="G4850" s="80" t="s">
        <v>108</v>
      </c>
      <c r="H4850" s="80" t="s">
        <v>16810</v>
      </c>
      <c r="I4850" s="17">
        <f ca="1">IFERROR(__xludf.DUMMYFUNCTION("""COMPUTED_VALUE"""),45631)</f>
        <v>45631</v>
      </c>
      <c r="J4850" s="143" t="s">
        <v>16138</v>
      </c>
      <c r="K4850" s="80" t="s">
        <v>16139</v>
      </c>
      <c r="L4850" s="30">
        <v>349839781</v>
      </c>
      <c r="M4850" s="80" t="s">
        <v>45</v>
      </c>
      <c r="N4850" s="80" t="s">
        <v>12895</v>
      </c>
      <c r="O4850" s="80" t="s">
        <v>16140</v>
      </c>
      <c r="P4850" s="144" t="s">
        <v>16141</v>
      </c>
      <c r="Q4850" s="20">
        <v>5736</v>
      </c>
      <c r="R4850" s="80" t="s">
        <v>36</v>
      </c>
      <c r="S4850" s="95">
        <v>5736</v>
      </c>
      <c r="T4850" s="148">
        <v>45571</v>
      </c>
      <c r="U4850" s="77"/>
      <c r="V4850" s="78"/>
      <c r="W4850" s="79" t="s">
        <v>16142</v>
      </c>
      <c r="X4850" s="80"/>
      <c r="Y4850" s="22">
        <v>0</v>
      </c>
      <c r="Z4850" s="80" t="s">
        <v>50</v>
      </c>
      <c r="AA4850" s="35" t="s">
        <v>9905</v>
      </c>
      <c r="AB4850" s="80"/>
      <c r="AC4850" s="80" t="s">
        <v>53</v>
      </c>
      <c r="AD4850" s="80" t="s">
        <v>54</v>
      </c>
      <c r="AE4850" s="80" t="s">
        <v>12398</v>
      </c>
      <c r="AF4850" s="43">
        <v>45625</v>
      </c>
      <c r="AG4850" s="80"/>
      <c r="AH4850" s="80"/>
      <c r="AI4850" s="147"/>
      <c r="AJ4850" s="80"/>
      <c r="AK4850" s="80"/>
      <c r="AL4850" s="35"/>
      <c r="AM4850" s="35"/>
      <c r="AN4850" s="35"/>
      <c r="AO4850" s="35"/>
      <c r="AP4850" s="35"/>
    </row>
    <row r="4851" spans="1:42" x14ac:dyDescent="0.2">
      <c r="A4851" s="74">
        <v>45623</v>
      </c>
      <c r="B4851" s="28" t="s">
        <v>37</v>
      </c>
      <c r="C4851" s="41" t="s">
        <v>118</v>
      </c>
      <c r="D4851" s="80" t="s">
        <v>36</v>
      </c>
      <c r="E4851" s="80" t="s">
        <v>119</v>
      </c>
      <c r="F4851" s="80" t="s">
        <v>8662</v>
      </c>
      <c r="G4851" s="80" t="s">
        <v>221</v>
      </c>
      <c r="H4851" s="80" t="s">
        <v>13748</v>
      </c>
      <c r="I4851" s="17">
        <f ca="1">IFERROR(__xludf.DUMMYFUNCTION("""COMPUTED_VALUE"""),45636)</f>
        <v>45636</v>
      </c>
      <c r="J4851" s="143" t="s">
        <v>12251</v>
      </c>
      <c r="K4851" s="80" t="s">
        <v>12252</v>
      </c>
      <c r="L4851" s="30">
        <v>899927444</v>
      </c>
      <c r="M4851" s="80" t="s">
        <v>123</v>
      </c>
      <c r="N4851" s="80" t="s">
        <v>327</v>
      </c>
      <c r="O4851" s="80" t="s">
        <v>4503</v>
      </c>
      <c r="P4851" s="144" t="s">
        <v>16832</v>
      </c>
      <c r="Q4851" s="20">
        <v>13968</v>
      </c>
      <c r="R4851" s="80" t="s">
        <v>36</v>
      </c>
      <c r="S4851" s="95">
        <f>200+2000+1800</f>
        <v>4000</v>
      </c>
      <c r="T4851" s="83" t="s">
        <v>12254</v>
      </c>
      <c r="U4851" s="95">
        <v>9968</v>
      </c>
      <c r="V4851" s="148">
        <v>45551</v>
      </c>
      <c r="W4851" s="80" t="s">
        <v>12255</v>
      </c>
      <c r="X4851" s="80">
        <v>0</v>
      </c>
      <c r="Y4851" s="22">
        <v>0</v>
      </c>
      <c r="Z4851" s="80" t="s">
        <v>50</v>
      </c>
      <c r="AA4851" s="96" t="s">
        <v>3291</v>
      </c>
      <c r="AB4851" s="80"/>
      <c r="AC4851" s="80" t="s">
        <v>53</v>
      </c>
      <c r="AD4851" s="80" t="s">
        <v>54</v>
      </c>
      <c r="AE4851" s="80" t="s">
        <v>8662</v>
      </c>
      <c r="AF4851" s="17">
        <v>45630</v>
      </c>
      <c r="AG4851" s="80"/>
      <c r="AH4851" s="80"/>
      <c r="AI4851" s="147">
        <v>4</v>
      </c>
      <c r="AJ4851" s="80"/>
      <c r="AK4851" s="80"/>
      <c r="AL4851" s="35"/>
      <c r="AM4851" s="35"/>
      <c r="AN4851" s="35"/>
      <c r="AO4851" s="35"/>
      <c r="AP4851" s="35"/>
    </row>
    <row r="4852" spans="1:42" x14ac:dyDescent="0.2">
      <c r="A4852" s="74">
        <v>45623</v>
      </c>
      <c r="B4852" s="137" t="s">
        <v>37</v>
      </c>
      <c r="C4852" s="41" t="s">
        <v>118</v>
      </c>
      <c r="D4852" s="80" t="s">
        <v>36</v>
      </c>
      <c r="E4852" s="80" t="s">
        <v>139</v>
      </c>
      <c r="F4852" s="80" t="s">
        <v>7330</v>
      </c>
      <c r="G4852" s="26" t="s">
        <v>108</v>
      </c>
      <c r="H4852" s="80" t="s">
        <v>16676</v>
      </c>
      <c r="I4852" s="17">
        <f ca="1">IFERROR(__xludf.DUMMYFUNCTION("""COMPUTED_VALUE"""),45630)</f>
        <v>45630</v>
      </c>
      <c r="J4852" s="143" t="s">
        <v>12111</v>
      </c>
      <c r="K4852" s="80" t="s">
        <v>12112</v>
      </c>
      <c r="L4852" s="30">
        <v>393576387</v>
      </c>
      <c r="M4852" s="80" t="s">
        <v>123</v>
      </c>
      <c r="N4852" s="80" t="s">
        <v>186</v>
      </c>
      <c r="O4852" s="80" t="s">
        <v>4503</v>
      </c>
      <c r="P4852" s="80" t="s">
        <v>3487</v>
      </c>
      <c r="Q4852" s="20">
        <v>15936</v>
      </c>
      <c r="R4852" s="80" t="s">
        <v>70</v>
      </c>
      <c r="S4852" s="95">
        <f>200+1800</f>
        <v>2000</v>
      </c>
      <c r="T4852" s="83" t="s">
        <v>12113</v>
      </c>
      <c r="U4852" s="95">
        <v>13836</v>
      </c>
      <c r="V4852" s="148">
        <v>45544</v>
      </c>
      <c r="W4852" s="80" t="s">
        <v>12114</v>
      </c>
      <c r="X4852" s="80">
        <v>100</v>
      </c>
      <c r="Y4852" s="22">
        <v>0</v>
      </c>
      <c r="Z4852" s="80" t="s">
        <v>50</v>
      </c>
      <c r="AA4852" s="35" t="s">
        <v>3291</v>
      </c>
      <c r="AB4852" s="80"/>
      <c r="AC4852" s="80" t="s">
        <v>53</v>
      </c>
      <c r="AD4852" s="80" t="s">
        <v>138</v>
      </c>
      <c r="AE4852" s="80" t="s">
        <v>7330</v>
      </c>
      <c r="AF4852" s="17">
        <v>45630</v>
      </c>
      <c r="AG4852" s="26" t="s">
        <v>16677</v>
      </c>
      <c r="AH4852" s="80"/>
      <c r="AI4852" s="147" t="s">
        <v>147</v>
      </c>
      <c r="AJ4852" s="80"/>
      <c r="AK4852" s="80"/>
      <c r="AL4852" s="35"/>
      <c r="AM4852" s="35"/>
      <c r="AN4852" s="35"/>
      <c r="AO4852" s="35"/>
      <c r="AP4852" s="35"/>
    </row>
    <row r="4853" spans="1:42" x14ac:dyDescent="0.2">
      <c r="A4853" s="74">
        <v>45623</v>
      </c>
      <c r="B4853" s="137" t="s">
        <v>37</v>
      </c>
      <c r="C4853" s="41" t="s">
        <v>118</v>
      </c>
      <c r="D4853" s="26" t="s">
        <v>36</v>
      </c>
      <c r="E4853" s="26" t="s">
        <v>139</v>
      </c>
      <c r="F4853" s="26" t="s">
        <v>8986</v>
      </c>
      <c r="G4853" s="80" t="s">
        <v>221</v>
      </c>
      <c r="H4853" s="80" t="s">
        <v>16773</v>
      </c>
      <c r="I4853" s="17">
        <f ca="1">IFERROR(__xludf.DUMMYFUNCTION("""COMPUTED_VALUE"""),45636)</f>
        <v>45636</v>
      </c>
      <c r="J4853" s="29" t="s">
        <v>9009</v>
      </c>
      <c r="K4853" s="26" t="s">
        <v>9010</v>
      </c>
      <c r="L4853" s="30">
        <v>7092390364</v>
      </c>
      <c r="M4853" s="26" t="s">
        <v>123</v>
      </c>
      <c r="N4853" s="26" t="s">
        <v>327</v>
      </c>
      <c r="O4853" s="26" t="s">
        <v>4503</v>
      </c>
      <c r="P4853" s="26" t="s">
        <v>9011</v>
      </c>
      <c r="Q4853" s="20">
        <v>15936</v>
      </c>
      <c r="R4853" s="26" t="s">
        <v>36</v>
      </c>
      <c r="S4853" s="95">
        <v>15636</v>
      </c>
      <c r="T4853" s="148">
        <v>45467</v>
      </c>
      <c r="U4853" s="31"/>
      <c r="V4853" s="32"/>
      <c r="W4853" s="33" t="s">
        <v>9012</v>
      </c>
      <c r="X4853" s="26"/>
      <c r="Y4853" s="22">
        <v>300</v>
      </c>
      <c r="Z4853" s="26" t="s">
        <v>118</v>
      </c>
      <c r="AA4853" s="19"/>
      <c r="AB4853" s="26" t="s">
        <v>36</v>
      </c>
      <c r="AC4853" s="26" t="s">
        <v>53</v>
      </c>
      <c r="AD4853" s="26" t="s">
        <v>54</v>
      </c>
      <c r="AE4853" s="26" t="s">
        <v>8986</v>
      </c>
      <c r="AF4853" s="60" t="s">
        <v>1829</v>
      </c>
      <c r="AG4853" s="26" t="s">
        <v>1830</v>
      </c>
      <c r="AH4853" s="26"/>
      <c r="AI4853" s="40"/>
      <c r="AJ4853" s="26"/>
      <c r="AK4853" s="26"/>
      <c r="AL4853" s="35"/>
      <c r="AM4853" s="35"/>
      <c r="AN4853" s="35"/>
      <c r="AO4853" s="35"/>
      <c r="AP4853" s="35"/>
    </row>
    <row r="4854" spans="1:42" x14ac:dyDescent="0.2">
      <c r="A4854" s="74">
        <v>45623</v>
      </c>
      <c r="B4854" s="137" t="s">
        <v>37</v>
      </c>
      <c r="C4854" s="41" t="s">
        <v>118</v>
      </c>
      <c r="D4854" s="80" t="s">
        <v>36</v>
      </c>
      <c r="E4854" s="80" t="s">
        <v>139</v>
      </c>
      <c r="F4854" s="80" t="s">
        <v>12416</v>
      </c>
      <c r="G4854" s="26" t="s">
        <v>108</v>
      </c>
      <c r="H4854" s="80" t="s">
        <v>16676</v>
      </c>
      <c r="I4854" s="17">
        <f ca="1">IFERROR(__xludf.DUMMYFUNCTION("""COMPUTED_VALUE"""),45630)</f>
        <v>45630</v>
      </c>
      <c r="J4854" s="143" t="s">
        <v>15596</v>
      </c>
      <c r="K4854" s="80" t="s">
        <v>15597</v>
      </c>
      <c r="L4854" s="30">
        <v>363676298</v>
      </c>
      <c r="M4854" s="80" t="s">
        <v>3728</v>
      </c>
      <c r="N4854" s="80" t="s">
        <v>5277</v>
      </c>
      <c r="O4854" s="80" t="s">
        <v>15598</v>
      </c>
      <c r="P4854" s="80" t="s">
        <v>11644</v>
      </c>
      <c r="Q4854" s="20">
        <v>15936</v>
      </c>
      <c r="R4854" s="80" t="s">
        <v>36</v>
      </c>
      <c r="S4854" s="95">
        <v>2000</v>
      </c>
      <c r="T4854" s="148">
        <v>45559</v>
      </c>
      <c r="U4854" s="95">
        <v>13936</v>
      </c>
      <c r="V4854" s="148">
        <v>45593</v>
      </c>
      <c r="W4854" s="85" t="s">
        <v>15599</v>
      </c>
      <c r="X4854" s="80"/>
      <c r="Y4854" s="22">
        <v>0</v>
      </c>
      <c r="Z4854" s="80" t="s">
        <v>50</v>
      </c>
      <c r="AA4854" s="35" t="s">
        <v>9905</v>
      </c>
      <c r="AB4854" s="80"/>
      <c r="AC4854" s="80" t="s">
        <v>53</v>
      </c>
      <c r="AD4854" s="80" t="s">
        <v>138</v>
      </c>
      <c r="AE4854" s="80" t="s">
        <v>12416</v>
      </c>
      <c r="AF4854" s="17">
        <v>45630</v>
      </c>
      <c r="AG4854" s="26" t="s">
        <v>16677</v>
      </c>
      <c r="AH4854" s="80"/>
      <c r="AI4854" s="147"/>
      <c r="AJ4854" s="80"/>
      <c r="AK4854" s="80"/>
      <c r="AL4854" s="35"/>
      <c r="AM4854" s="35"/>
      <c r="AN4854" s="35"/>
      <c r="AO4854" s="35"/>
      <c r="AP4854" s="35"/>
    </row>
    <row r="4855" spans="1:42" x14ac:dyDescent="0.2">
      <c r="A4855" s="74">
        <v>45623</v>
      </c>
      <c r="B4855" s="137" t="s">
        <v>37</v>
      </c>
      <c r="C4855" s="41" t="s">
        <v>118</v>
      </c>
      <c r="D4855" s="80" t="s">
        <v>36</v>
      </c>
      <c r="E4855" s="80" t="s">
        <v>148</v>
      </c>
      <c r="F4855" s="80" t="s">
        <v>9856</v>
      </c>
      <c r="G4855" s="80" t="s">
        <v>221</v>
      </c>
      <c r="H4855" s="80" t="s">
        <v>16687</v>
      </c>
      <c r="I4855" s="17">
        <f ca="1">IFERROR(__xludf.DUMMYFUNCTION("""COMPUTED_VALUE"""),45637)</f>
        <v>45637</v>
      </c>
      <c r="J4855" s="143" t="s">
        <v>12308</v>
      </c>
      <c r="K4855" s="145" t="s">
        <v>12309</v>
      </c>
      <c r="L4855" s="30">
        <v>358752638</v>
      </c>
      <c r="M4855" s="80" t="s">
        <v>5518</v>
      </c>
      <c r="N4855" s="80" t="s">
        <v>12310</v>
      </c>
      <c r="O4855" s="80" t="s">
        <v>12311</v>
      </c>
      <c r="P4855" s="144" t="s">
        <v>16833</v>
      </c>
      <c r="Q4855" s="20">
        <v>7349</v>
      </c>
      <c r="R4855" s="80" t="s">
        <v>36</v>
      </c>
      <c r="S4855" s="95">
        <v>4000</v>
      </c>
      <c r="T4855" s="148">
        <v>45522</v>
      </c>
      <c r="U4855" s="95">
        <v>3349</v>
      </c>
      <c r="V4855" s="148">
        <v>45552</v>
      </c>
      <c r="W4855" s="85" t="s">
        <v>12313</v>
      </c>
      <c r="X4855" s="80">
        <v>0</v>
      </c>
      <c r="Y4855" s="22">
        <v>0</v>
      </c>
      <c r="Z4855" s="80" t="s">
        <v>50</v>
      </c>
      <c r="AA4855" s="96" t="s">
        <v>3291</v>
      </c>
      <c r="AB4855" s="80"/>
      <c r="AC4855" s="80" t="s">
        <v>53</v>
      </c>
      <c r="AD4855" s="80" t="s">
        <v>54</v>
      </c>
      <c r="AE4855" s="80" t="s">
        <v>9856</v>
      </c>
      <c r="AF4855" s="17">
        <v>45630</v>
      </c>
      <c r="AG4855" s="80"/>
      <c r="AH4855" s="80"/>
      <c r="AI4855" s="147">
        <v>2</v>
      </c>
      <c r="AJ4855" s="80"/>
      <c r="AK4855" s="80"/>
      <c r="AL4855" s="35"/>
      <c r="AM4855" s="35"/>
      <c r="AN4855" s="35"/>
      <c r="AO4855" s="35"/>
      <c r="AP4855" s="35"/>
    </row>
    <row r="4856" spans="1:42" x14ac:dyDescent="0.2">
      <c r="A4856" s="74">
        <v>45623</v>
      </c>
      <c r="B4856" s="137" t="s">
        <v>37</v>
      </c>
      <c r="C4856" s="41" t="s">
        <v>118</v>
      </c>
      <c r="D4856" s="26" t="s">
        <v>36</v>
      </c>
      <c r="E4856" s="26" t="s">
        <v>139</v>
      </c>
      <c r="F4856" s="80" t="s">
        <v>9856</v>
      </c>
      <c r="G4856" s="80" t="s">
        <v>221</v>
      </c>
      <c r="H4856" s="80" t="s">
        <v>16687</v>
      </c>
      <c r="I4856" s="17">
        <f ca="1">IFERROR(__xludf.DUMMYFUNCTION("""COMPUTED_VALUE"""),45637)</f>
        <v>45637</v>
      </c>
      <c r="J4856" s="29" t="s">
        <v>16834</v>
      </c>
      <c r="K4856" s="19" t="s">
        <v>9863</v>
      </c>
      <c r="L4856" s="30">
        <v>973680698</v>
      </c>
      <c r="M4856" s="26" t="s">
        <v>80</v>
      </c>
      <c r="N4856" s="26" t="s">
        <v>1073</v>
      </c>
      <c r="O4856" s="26" t="s">
        <v>9380</v>
      </c>
      <c r="P4856" s="42" t="s">
        <v>16835</v>
      </c>
      <c r="Q4856" s="20"/>
      <c r="R4856" s="26" t="s">
        <v>36</v>
      </c>
      <c r="S4856" s="95">
        <f>200+1800</f>
        <v>2000</v>
      </c>
      <c r="T4856" s="83" t="s">
        <v>9382</v>
      </c>
      <c r="U4856" s="95">
        <v>13936</v>
      </c>
      <c r="V4856" s="148">
        <v>45503</v>
      </c>
      <c r="W4856" s="33" t="s">
        <v>9383</v>
      </c>
      <c r="X4856" s="26"/>
      <c r="Y4856" s="22"/>
      <c r="Z4856" s="26" t="s">
        <v>118</v>
      </c>
      <c r="AA4856" s="70" t="s">
        <v>9070</v>
      </c>
      <c r="AB4856" s="80" t="s">
        <v>36</v>
      </c>
      <c r="AC4856" s="26" t="s">
        <v>53</v>
      </c>
      <c r="AD4856" s="26" t="s">
        <v>54</v>
      </c>
      <c r="AE4856" s="80" t="s">
        <v>9856</v>
      </c>
      <c r="AF4856" s="17">
        <v>45630</v>
      </c>
      <c r="AG4856" s="26"/>
      <c r="AH4856" s="26"/>
      <c r="AI4856" s="40"/>
      <c r="AJ4856" s="26"/>
      <c r="AK4856" s="26"/>
      <c r="AL4856" s="35"/>
      <c r="AM4856" s="35"/>
      <c r="AN4856" s="35"/>
      <c r="AO4856" s="35"/>
      <c r="AP4856" s="35"/>
    </row>
    <row r="4857" spans="1:42" x14ac:dyDescent="0.2">
      <c r="A4857" s="74">
        <v>45623</v>
      </c>
      <c r="B4857" s="137" t="s">
        <v>37</v>
      </c>
      <c r="C4857" s="41" t="s">
        <v>118</v>
      </c>
      <c r="D4857" s="26" t="s">
        <v>36</v>
      </c>
      <c r="E4857" s="26" t="s">
        <v>56</v>
      </c>
      <c r="F4857" s="26" t="s">
        <v>7330</v>
      </c>
      <c r="G4857" s="26" t="s">
        <v>108</v>
      </c>
      <c r="H4857" s="26" t="s">
        <v>16836</v>
      </c>
      <c r="I4857" s="17" t="str">
        <f ca="1">IFERROR(__xludf.DUMMYFUNCTION("""COMPUTED_VALUE""")," ")</f>
        <v xml:space="preserve"> </v>
      </c>
      <c r="J4857" s="29" t="s">
        <v>9492</v>
      </c>
      <c r="K4857" s="26" t="s">
        <v>16837</v>
      </c>
      <c r="L4857" s="30">
        <v>354261503</v>
      </c>
      <c r="M4857" s="26" t="s">
        <v>59</v>
      </c>
      <c r="N4857" s="26" t="s">
        <v>68</v>
      </c>
      <c r="O4857" s="26" t="s">
        <v>9494</v>
      </c>
      <c r="P4857" s="26" t="s">
        <v>9495</v>
      </c>
      <c r="Q4857" s="20"/>
      <c r="R4857" s="26" t="s">
        <v>36</v>
      </c>
      <c r="S4857" s="95">
        <v>9317</v>
      </c>
      <c r="T4857" s="148">
        <v>45485</v>
      </c>
      <c r="U4857" s="31"/>
      <c r="V4857" s="32"/>
      <c r="W4857" s="33" t="s">
        <v>9496</v>
      </c>
      <c r="X4857" s="26"/>
      <c r="Y4857" s="22"/>
      <c r="Z4857" s="26" t="s">
        <v>50</v>
      </c>
      <c r="AA4857" s="70" t="s">
        <v>9070</v>
      </c>
      <c r="AB4857" s="26"/>
      <c r="AC4857" s="26" t="s">
        <v>53</v>
      </c>
      <c r="AD4857" s="26" t="s">
        <v>138</v>
      </c>
      <c r="AE4857" s="26" t="s">
        <v>7330</v>
      </c>
      <c r="AF4857" s="17">
        <v>45642</v>
      </c>
      <c r="AG4857" s="26"/>
      <c r="AH4857" s="26"/>
      <c r="AI4857" s="40"/>
      <c r="AJ4857" s="26"/>
      <c r="AK4857" s="26"/>
      <c r="AL4857" s="35"/>
      <c r="AM4857" s="35"/>
      <c r="AN4857" s="35"/>
      <c r="AO4857" s="35"/>
      <c r="AP4857" s="35"/>
    </row>
    <row r="4858" spans="1:42" x14ac:dyDescent="0.2">
      <c r="A4858" s="74">
        <v>45623</v>
      </c>
      <c r="B4858" s="137" t="s">
        <v>37</v>
      </c>
      <c r="C4858" s="41" t="s">
        <v>118</v>
      </c>
      <c r="D4858" s="80" t="s">
        <v>36</v>
      </c>
      <c r="E4858" s="80" t="s">
        <v>56</v>
      </c>
      <c r="F4858" s="26" t="s">
        <v>7330</v>
      </c>
      <c r="G4858" s="26" t="s">
        <v>108</v>
      </c>
      <c r="H4858" s="26" t="s">
        <v>14234</v>
      </c>
      <c r="I4858" s="17">
        <f ca="1">IFERROR(__xludf.DUMMYFUNCTION("""COMPUTED_VALUE"""),45642)</f>
        <v>45642</v>
      </c>
      <c r="J4858" s="143" t="s">
        <v>9688</v>
      </c>
      <c r="K4858" s="80" t="s">
        <v>16838</v>
      </c>
      <c r="L4858" s="30">
        <v>347023303</v>
      </c>
      <c r="M4858" s="80" t="s">
        <v>59</v>
      </c>
      <c r="N4858" s="80" t="s">
        <v>68</v>
      </c>
      <c r="O4858" s="80" t="s">
        <v>9690</v>
      </c>
      <c r="P4858" s="80" t="s">
        <v>9691</v>
      </c>
      <c r="Q4858" s="20"/>
      <c r="R4858" s="80" t="s">
        <v>70</v>
      </c>
      <c r="S4858" s="95">
        <v>9217</v>
      </c>
      <c r="T4858" s="148">
        <v>45493</v>
      </c>
      <c r="U4858" s="77"/>
      <c r="V4858" s="78"/>
      <c r="W4858" s="85" t="s">
        <v>9692</v>
      </c>
      <c r="X4858" s="80"/>
      <c r="Y4858" s="22"/>
      <c r="Z4858" s="80" t="s">
        <v>50</v>
      </c>
      <c r="AA4858" s="70" t="s">
        <v>9070</v>
      </c>
      <c r="AB4858" s="80"/>
      <c r="AC4858" s="80" t="s">
        <v>53</v>
      </c>
      <c r="AD4858" s="80" t="s">
        <v>138</v>
      </c>
      <c r="AE4858" s="26" t="s">
        <v>7330</v>
      </c>
      <c r="AF4858" s="17">
        <v>45642</v>
      </c>
      <c r="AG4858" s="26"/>
      <c r="AH4858" s="80"/>
      <c r="AI4858" s="147"/>
      <c r="AJ4858" s="80"/>
      <c r="AK4858" s="80"/>
      <c r="AL4858" s="35"/>
      <c r="AM4858" s="35"/>
      <c r="AN4858" s="35"/>
      <c r="AO4858" s="35"/>
      <c r="AP4858" s="35"/>
    </row>
    <row r="4859" spans="1:42" x14ac:dyDescent="0.2">
      <c r="A4859" s="74">
        <v>45624</v>
      </c>
      <c r="B4859" s="137" t="s">
        <v>37</v>
      </c>
      <c r="C4859" s="41" t="s">
        <v>118</v>
      </c>
      <c r="D4859" s="80" t="s">
        <v>36</v>
      </c>
      <c r="E4859" s="80" t="s">
        <v>139</v>
      </c>
      <c r="F4859" s="80" t="s">
        <v>15166</v>
      </c>
      <c r="G4859" s="26" t="s">
        <v>108</v>
      </c>
      <c r="H4859" s="26" t="s">
        <v>14234</v>
      </c>
      <c r="I4859" s="17">
        <f ca="1">IFERROR(__xludf.DUMMYFUNCTION("""COMPUTED_VALUE"""),45642)</f>
        <v>45642</v>
      </c>
      <c r="J4859" s="143" t="s">
        <v>16839</v>
      </c>
      <c r="K4859" s="80" t="s">
        <v>16840</v>
      </c>
      <c r="L4859" s="30">
        <v>964773828</v>
      </c>
      <c r="M4859" s="80" t="s">
        <v>12644</v>
      </c>
      <c r="N4859" s="80" t="s">
        <v>8725</v>
      </c>
      <c r="O4859" s="80" t="s">
        <v>16841</v>
      </c>
      <c r="P4859" s="80" t="s">
        <v>13226</v>
      </c>
      <c r="Q4859" s="20">
        <v>15936</v>
      </c>
      <c r="R4859" s="80" t="s">
        <v>70</v>
      </c>
      <c r="S4859" s="95">
        <f>200+1800</f>
        <v>2000</v>
      </c>
      <c r="T4859" s="83" t="s">
        <v>16842</v>
      </c>
      <c r="U4859" s="95">
        <v>13836</v>
      </c>
      <c r="V4859" s="148">
        <v>45614</v>
      </c>
      <c r="W4859" s="85" t="s">
        <v>16843</v>
      </c>
      <c r="X4859" s="80"/>
      <c r="Y4859" s="22">
        <v>100</v>
      </c>
      <c r="Z4859" s="80" t="s">
        <v>50</v>
      </c>
      <c r="AA4859" s="82"/>
      <c r="AB4859" s="80"/>
      <c r="AC4859" s="80" t="s">
        <v>53</v>
      </c>
      <c r="AD4859" s="80" t="s">
        <v>138</v>
      </c>
      <c r="AE4859" s="80" t="s">
        <v>15166</v>
      </c>
      <c r="AF4859" s="17">
        <v>45642</v>
      </c>
      <c r="AG4859" s="80"/>
      <c r="AH4859" s="80"/>
      <c r="AI4859" s="147"/>
      <c r="AJ4859" s="80"/>
      <c r="AK4859" s="80"/>
      <c r="AL4859" s="35"/>
      <c r="AM4859" s="35"/>
      <c r="AN4859" s="35"/>
      <c r="AO4859" s="35"/>
      <c r="AP4859" s="35"/>
    </row>
    <row r="4860" spans="1:42" x14ac:dyDescent="0.2">
      <c r="A4860" s="74">
        <v>45624</v>
      </c>
      <c r="B4860" s="137" t="s">
        <v>37</v>
      </c>
      <c r="C4860" s="41" t="s">
        <v>118</v>
      </c>
      <c r="D4860" s="80" t="s">
        <v>36</v>
      </c>
      <c r="E4860" s="80" t="s">
        <v>139</v>
      </c>
      <c r="F4860" s="80" t="s">
        <v>15166</v>
      </c>
      <c r="G4860" s="26" t="s">
        <v>108</v>
      </c>
      <c r="H4860" s="26" t="s">
        <v>14234</v>
      </c>
      <c r="I4860" s="17">
        <f ca="1">IFERROR(__xludf.DUMMYFUNCTION("""COMPUTED_VALUE"""),45642)</f>
        <v>45642</v>
      </c>
      <c r="J4860" s="143" t="s">
        <v>15167</v>
      </c>
      <c r="K4860" s="80" t="s">
        <v>15168</v>
      </c>
      <c r="L4860" s="30">
        <v>925852165</v>
      </c>
      <c r="M4860" s="80" t="s">
        <v>12644</v>
      </c>
      <c r="N4860" s="80" t="s">
        <v>8725</v>
      </c>
      <c r="O4860" s="80" t="s">
        <v>15169</v>
      </c>
      <c r="P4860" s="80" t="s">
        <v>13226</v>
      </c>
      <c r="Q4860" s="20">
        <v>15936</v>
      </c>
      <c r="R4860" s="80" t="s">
        <v>70</v>
      </c>
      <c r="S4860" s="178">
        <f>200+15636</f>
        <v>15836</v>
      </c>
      <c r="T4860" s="83" t="s">
        <v>15170</v>
      </c>
      <c r="U4860" s="77"/>
      <c r="V4860" s="78"/>
      <c r="W4860" s="85" t="s">
        <v>15171</v>
      </c>
      <c r="X4860" s="80"/>
      <c r="Y4860" s="22">
        <v>100</v>
      </c>
      <c r="Z4860" s="80" t="s">
        <v>50</v>
      </c>
      <c r="AA4860" s="35" t="s">
        <v>9905</v>
      </c>
      <c r="AB4860" s="80"/>
      <c r="AC4860" s="80" t="s">
        <v>53</v>
      </c>
      <c r="AD4860" s="80" t="s">
        <v>138</v>
      </c>
      <c r="AE4860" s="80" t="s">
        <v>15166</v>
      </c>
      <c r="AF4860" s="17">
        <v>45642</v>
      </c>
      <c r="AG4860" s="80"/>
      <c r="AH4860" s="80"/>
      <c r="AI4860" s="147"/>
      <c r="AJ4860" s="80"/>
      <c r="AK4860" s="80"/>
      <c r="AL4860" s="35"/>
      <c r="AM4860" s="35"/>
      <c r="AN4860" s="35"/>
      <c r="AO4860" s="35"/>
      <c r="AP4860" s="35"/>
    </row>
    <row r="4861" spans="1:42" x14ac:dyDescent="0.2">
      <c r="A4861" s="74">
        <v>45624</v>
      </c>
      <c r="B4861" s="137" t="s">
        <v>37</v>
      </c>
      <c r="C4861" s="41" t="s">
        <v>118</v>
      </c>
      <c r="D4861" s="80" t="s">
        <v>36</v>
      </c>
      <c r="E4861" s="80" t="s">
        <v>139</v>
      </c>
      <c r="F4861" s="80" t="s">
        <v>15166</v>
      </c>
      <c r="G4861" s="26" t="s">
        <v>108</v>
      </c>
      <c r="H4861" s="26" t="s">
        <v>14234</v>
      </c>
      <c r="I4861" s="17">
        <f ca="1">IFERROR(__xludf.DUMMYFUNCTION("""COMPUTED_VALUE"""),45642)</f>
        <v>45642</v>
      </c>
      <c r="J4861" s="143" t="s">
        <v>16844</v>
      </c>
      <c r="K4861" s="80" t="s">
        <v>16845</v>
      </c>
      <c r="L4861" s="30">
        <v>916235863</v>
      </c>
      <c r="M4861" s="80" t="s">
        <v>15970</v>
      </c>
      <c r="N4861" s="80" t="s">
        <v>327</v>
      </c>
      <c r="O4861" s="80" t="s">
        <v>4503</v>
      </c>
      <c r="P4861" s="80" t="s">
        <v>3056</v>
      </c>
      <c r="Q4861" s="20">
        <v>15936</v>
      </c>
      <c r="R4861" s="80" t="s">
        <v>36</v>
      </c>
      <c r="S4861" s="95">
        <v>2000</v>
      </c>
      <c r="T4861" s="148">
        <v>45555</v>
      </c>
      <c r="U4861" s="95">
        <v>13936</v>
      </c>
      <c r="V4861" s="148">
        <v>45623</v>
      </c>
      <c r="W4861" s="85" t="s">
        <v>16846</v>
      </c>
      <c r="X4861" s="80"/>
      <c r="Y4861" s="22">
        <v>0</v>
      </c>
      <c r="Z4861" s="80"/>
      <c r="AA4861" s="82"/>
      <c r="AB4861" s="80"/>
      <c r="AC4861" s="80" t="s">
        <v>53</v>
      </c>
      <c r="AD4861" s="80" t="s">
        <v>138</v>
      </c>
      <c r="AE4861" s="80" t="s">
        <v>15166</v>
      </c>
      <c r="AF4861" s="17">
        <v>45642</v>
      </c>
      <c r="AG4861" s="80"/>
      <c r="AH4861" s="80"/>
      <c r="AI4861" s="147"/>
      <c r="AJ4861" s="80"/>
      <c r="AK4861" s="80"/>
      <c r="AL4861" s="35"/>
      <c r="AM4861" s="35"/>
      <c r="AN4861" s="35"/>
      <c r="AO4861" s="35"/>
      <c r="AP4861" s="35"/>
    </row>
    <row r="4862" spans="1:42" x14ac:dyDescent="0.2">
      <c r="A4862" s="74">
        <v>45624</v>
      </c>
      <c r="B4862" s="137" t="s">
        <v>37</v>
      </c>
      <c r="C4862" s="41" t="s">
        <v>118</v>
      </c>
      <c r="D4862" s="80" t="s">
        <v>36</v>
      </c>
      <c r="E4862" s="80" t="s">
        <v>39</v>
      </c>
      <c r="F4862" s="80" t="s">
        <v>15166</v>
      </c>
      <c r="G4862" s="26" t="s">
        <v>108</v>
      </c>
      <c r="H4862" s="26" t="s">
        <v>6339</v>
      </c>
      <c r="I4862" s="17">
        <f ca="1">IFERROR(__xludf.DUMMYFUNCTION("""COMPUTED_VALUE"""),45761)</f>
        <v>45761</v>
      </c>
      <c r="J4862" s="143" t="s">
        <v>16061</v>
      </c>
      <c r="K4862" s="80" t="s">
        <v>16847</v>
      </c>
      <c r="L4862" s="30">
        <v>375164921</v>
      </c>
      <c r="M4862" s="80" t="s">
        <v>45</v>
      </c>
      <c r="N4862" s="80" t="s">
        <v>87</v>
      </c>
      <c r="O4862" s="80" t="s">
        <v>16063</v>
      </c>
      <c r="P4862" s="80" t="s">
        <v>7743</v>
      </c>
      <c r="Q4862" s="20">
        <v>5736</v>
      </c>
      <c r="R4862" s="80" t="s">
        <v>36</v>
      </c>
      <c r="S4862" s="95">
        <v>5736</v>
      </c>
      <c r="T4862" s="148">
        <v>45566</v>
      </c>
      <c r="U4862" s="77"/>
      <c r="V4862" s="78"/>
      <c r="W4862" s="85" t="s">
        <v>16064</v>
      </c>
      <c r="X4862" s="80"/>
      <c r="Y4862" s="22">
        <v>0</v>
      </c>
      <c r="Z4862" s="80" t="s">
        <v>50</v>
      </c>
      <c r="AA4862" s="35" t="s">
        <v>9905</v>
      </c>
      <c r="AB4862" s="80"/>
      <c r="AC4862" s="80" t="s">
        <v>53</v>
      </c>
      <c r="AD4862" s="80" t="s">
        <v>138</v>
      </c>
      <c r="AE4862" s="80" t="s">
        <v>15166</v>
      </c>
      <c r="AF4862" s="17">
        <v>45771</v>
      </c>
      <c r="AG4862" s="80" t="s">
        <v>16848</v>
      </c>
      <c r="AH4862" s="80" t="s">
        <v>13446</v>
      </c>
      <c r="AI4862" s="147"/>
      <c r="AJ4862" s="80"/>
      <c r="AK4862" s="80"/>
      <c r="AL4862" s="35"/>
      <c r="AM4862" s="35"/>
      <c r="AN4862" s="35"/>
      <c r="AO4862" s="35"/>
      <c r="AP4862" s="35"/>
    </row>
    <row r="4863" spans="1:42" x14ac:dyDescent="0.2">
      <c r="A4863" s="74">
        <v>45624</v>
      </c>
      <c r="B4863" s="137" t="s">
        <v>37</v>
      </c>
      <c r="C4863" s="41" t="s">
        <v>118</v>
      </c>
      <c r="D4863" s="80" t="s">
        <v>36</v>
      </c>
      <c r="E4863" s="80" t="s">
        <v>139</v>
      </c>
      <c r="F4863" s="80" t="s">
        <v>15166</v>
      </c>
      <c r="G4863" s="26" t="s">
        <v>108</v>
      </c>
      <c r="H4863" s="26" t="s">
        <v>16849</v>
      </c>
      <c r="I4863" s="17">
        <f ca="1">IFERROR(__xludf.DUMMYFUNCTION("""COMPUTED_VALUE"""),45705)</f>
        <v>45705</v>
      </c>
      <c r="J4863" s="172" t="s">
        <v>16850</v>
      </c>
      <c r="K4863" s="80" t="s">
        <v>16851</v>
      </c>
      <c r="L4863" s="30">
        <v>985466218</v>
      </c>
      <c r="M4863" s="80" t="s">
        <v>5518</v>
      </c>
      <c r="N4863" s="80" t="s">
        <v>12380</v>
      </c>
      <c r="O4863" s="80" t="s">
        <v>16852</v>
      </c>
      <c r="P4863" s="80" t="s">
        <v>5462</v>
      </c>
      <c r="Q4863" s="20">
        <v>15936</v>
      </c>
      <c r="R4863" s="80" t="s">
        <v>36</v>
      </c>
      <c r="S4863" s="95">
        <f>200+1800</f>
        <v>2000</v>
      </c>
      <c r="T4863" s="83" t="s">
        <v>16853</v>
      </c>
      <c r="U4863" s="95">
        <v>13936</v>
      </c>
      <c r="V4863" s="148">
        <v>45604</v>
      </c>
      <c r="W4863" s="85" t="s">
        <v>16854</v>
      </c>
      <c r="X4863" s="80"/>
      <c r="Y4863" s="22">
        <v>0</v>
      </c>
      <c r="Z4863" s="80" t="s">
        <v>50</v>
      </c>
      <c r="AA4863" s="82"/>
      <c r="AB4863" s="80"/>
      <c r="AC4863" s="80" t="s">
        <v>53</v>
      </c>
      <c r="AD4863" s="80" t="s">
        <v>138</v>
      </c>
      <c r="AE4863" s="80" t="s">
        <v>15166</v>
      </c>
      <c r="AF4863" s="17">
        <v>45705</v>
      </c>
      <c r="AG4863" s="80"/>
      <c r="AH4863" s="80"/>
      <c r="AI4863" s="147"/>
      <c r="AJ4863" s="80"/>
      <c r="AK4863" s="80"/>
      <c r="AL4863" s="35"/>
      <c r="AM4863" s="35"/>
      <c r="AN4863" s="35"/>
      <c r="AO4863" s="35"/>
      <c r="AP4863" s="35"/>
    </row>
    <row r="4864" spans="1:42" x14ac:dyDescent="0.2">
      <c r="A4864" s="74">
        <v>45624</v>
      </c>
      <c r="B4864" s="137" t="s">
        <v>37</v>
      </c>
      <c r="C4864" s="41" t="s">
        <v>118</v>
      </c>
      <c r="D4864" s="80" t="s">
        <v>36</v>
      </c>
      <c r="E4864" s="80" t="s">
        <v>139</v>
      </c>
      <c r="F4864" s="80" t="s">
        <v>15166</v>
      </c>
      <c r="G4864" s="26" t="s">
        <v>108</v>
      </c>
      <c r="H4864" s="26" t="s">
        <v>14234</v>
      </c>
      <c r="I4864" s="17">
        <f ca="1">IFERROR(__xludf.DUMMYFUNCTION("""COMPUTED_VALUE"""),45642)</f>
        <v>45642</v>
      </c>
      <c r="J4864" s="143" t="s">
        <v>16855</v>
      </c>
      <c r="K4864" s="80" t="s">
        <v>16856</v>
      </c>
      <c r="L4864" s="30">
        <v>869760362</v>
      </c>
      <c r="M4864" s="80" t="s">
        <v>16756</v>
      </c>
      <c r="N4864" s="80" t="s">
        <v>3525</v>
      </c>
      <c r="O4864" s="80" t="s">
        <v>4911</v>
      </c>
      <c r="P4864" s="80" t="s">
        <v>12578</v>
      </c>
      <c r="Q4864" s="20">
        <v>15936</v>
      </c>
      <c r="R4864" s="80" t="s">
        <v>36</v>
      </c>
      <c r="S4864" s="95">
        <v>2000</v>
      </c>
      <c r="T4864" s="148">
        <v>45579</v>
      </c>
      <c r="U4864" s="95">
        <v>13936</v>
      </c>
      <c r="V4864" s="148">
        <v>45607</v>
      </c>
      <c r="W4864" s="85" t="s">
        <v>16857</v>
      </c>
      <c r="X4864" s="80"/>
      <c r="Y4864" s="22">
        <v>0</v>
      </c>
      <c r="Z4864" s="80" t="s">
        <v>50</v>
      </c>
      <c r="AA4864" s="86"/>
      <c r="AB4864" s="80"/>
      <c r="AC4864" s="80" t="s">
        <v>53</v>
      </c>
      <c r="AD4864" s="80" t="s">
        <v>138</v>
      </c>
      <c r="AE4864" s="80" t="s">
        <v>15166</v>
      </c>
      <c r="AF4864" s="17">
        <v>45642</v>
      </c>
      <c r="AG4864" s="80"/>
      <c r="AH4864" s="80"/>
      <c r="AI4864" s="147"/>
      <c r="AJ4864" s="80"/>
      <c r="AK4864" s="80"/>
      <c r="AL4864" s="35"/>
      <c r="AM4864" s="35"/>
      <c r="AN4864" s="35"/>
      <c r="AO4864" s="35"/>
      <c r="AP4864" s="35"/>
    </row>
    <row r="4865" spans="1:42" x14ac:dyDescent="0.2">
      <c r="A4865" s="74">
        <v>45624</v>
      </c>
      <c r="B4865" s="137" t="s">
        <v>37</v>
      </c>
      <c r="C4865" s="41" t="s">
        <v>118</v>
      </c>
      <c r="D4865" s="80" t="s">
        <v>36</v>
      </c>
      <c r="E4865" s="80" t="s">
        <v>139</v>
      </c>
      <c r="F4865" s="80" t="s">
        <v>15166</v>
      </c>
      <c r="G4865" s="26" t="s">
        <v>108</v>
      </c>
      <c r="H4865" s="26" t="s">
        <v>14234</v>
      </c>
      <c r="I4865" s="17">
        <f ca="1">IFERROR(__xludf.DUMMYFUNCTION("""COMPUTED_VALUE"""),45642)</f>
        <v>45642</v>
      </c>
      <c r="J4865" s="143" t="s">
        <v>16858</v>
      </c>
      <c r="K4865" s="80" t="s">
        <v>16859</v>
      </c>
      <c r="L4865" s="30">
        <v>944290086</v>
      </c>
      <c r="M4865" s="80" t="s">
        <v>3728</v>
      </c>
      <c r="N4865" s="80" t="s">
        <v>5277</v>
      </c>
      <c r="O4865" s="80" t="s">
        <v>16860</v>
      </c>
      <c r="P4865" s="80" t="s">
        <v>11644</v>
      </c>
      <c r="Q4865" s="20">
        <v>15936</v>
      </c>
      <c r="R4865" s="80" t="s">
        <v>36</v>
      </c>
      <c r="S4865" s="95">
        <v>2000</v>
      </c>
      <c r="T4865" s="148">
        <v>45582</v>
      </c>
      <c r="U4865" s="95">
        <v>13936</v>
      </c>
      <c r="V4865" s="148">
        <v>45601</v>
      </c>
      <c r="W4865" s="85" t="s">
        <v>16861</v>
      </c>
      <c r="X4865" s="80"/>
      <c r="Y4865" s="22">
        <v>0</v>
      </c>
      <c r="Z4865" s="80" t="s">
        <v>50</v>
      </c>
      <c r="AA4865" s="82"/>
      <c r="AB4865" s="80"/>
      <c r="AC4865" s="80" t="s">
        <v>53</v>
      </c>
      <c r="AD4865" s="80" t="s">
        <v>138</v>
      </c>
      <c r="AE4865" s="80" t="s">
        <v>15166</v>
      </c>
      <c r="AF4865" s="17">
        <v>45642</v>
      </c>
      <c r="AG4865" s="80"/>
      <c r="AH4865" s="80"/>
      <c r="AI4865" s="147"/>
      <c r="AJ4865" s="80"/>
      <c r="AK4865" s="80"/>
      <c r="AL4865" s="35"/>
      <c r="AM4865" s="35"/>
      <c r="AN4865" s="35"/>
      <c r="AO4865" s="35"/>
      <c r="AP4865" s="35"/>
    </row>
    <row r="4866" spans="1:42" x14ac:dyDescent="0.2">
      <c r="A4866" s="74">
        <v>45624</v>
      </c>
      <c r="B4866" s="137" t="s">
        <v>37</v>
      </c>
      <c r="C4866" s="41" t="s">
        <v>118</v>
      </c>
      <c r="D4866" s="80" t="s">
        <v>36</v>
      </c>
      <c r="E4866" s="80" t="s">
        <v>56</v>
      </c>
      <c r="F4866" s="80" t="s">
        <v>15166</v>
      </c>
      <c r="G4866" s="26" t="s">
        <v>108</v>
      </c>
      <c r="H4866" s="26" t="s">
        <v>14234</v>
      </c>
      <c r="I4866" s="17">
        <f ca="1">IFERROR(__xludf.DUMMYFUNCTION("""COMPUTED_VALUE"""),45642)</f>
        <v>45642</v>
      </c>
      <c r="J4866" s="143" t="s">
        <v>16363</v>
      </c>
      <c r="K4866" s="80" t="s">
        <v>16364</v>
      </c>
      <c r="L4866" s="30">
        <v>364047463</v>
      </c>
      <c r="M4866" s="80" t="s">
        <v>59</v>
      </c>
      <c r="N4866" s="80" t="s">
        <v>11476</v>
      </c>
      <c r="O4866" s="80" t="s">
        <v>16365</v>
      </c>
      <c r="P4866" s="80" t="s">
        <v>12687</v>
      </c>
      <c r="Q4866" s="20">
        <v>9317</v>
      </c>
      <c r="R4866" s="80" t="s">
        <v>36</v>
      </c>
      <c r="S4866" s="95">
        <f>200+9117</f>
        <v>9317</v>
      </c>
      <c r="T4866" s="83" t="s">
        <v>16366</v>
      </c>
      <c r="U4866" s="77"/>
      <c r="V4866" s="78"/>
      <c r="W4866" s="85" t="s">
        <v>16367</v>
      </c>
      <c r="X4866" s="80"/>
      <c r="Y4866" s="22">
        <v>0</v>
      </c>
      <c r="Z4866" s="80" t="s">
        <v>50</v>
      </c>
      <c r="AA4866" s="35" t="s">
        <v>9905</v>
      </c>
      <c r="AB4866" s="80"/>
      <c r="AC4866" s="80" t="s">
        <v>53</v>
      </c>
      <c r="AD4866" s="80" t="s">
        <v>138</v>
      </c>
      <c r="AE4866" s="80" t="s">
        <v>15166</v>
      </c>
      <c r="AF4866" s="17">
        <v>45642</v>
      </c>
      <c r="AG4866" s="80"/>
      <c r="AH4866" s="80"/>
      <c r="AI4866" s="147"/>
      <c r="AJ4866" s="80"/>
      <c r="AK4866" s="80"/>
      <c r="AL4866" s="35"/>
      <c r="AM4866" s="35"/>
      <c r="AN4866" s="35"/>
      <c r="AO4866" s="35"/>
      <c r="AP4866" s="35"/>
    </row>
    <row r="4867" spans="1:42" x14ac:dyDescent="0.2">
      <c r="A4867" s="74">
        <v>45624</v>
      </c>
      <c r="B4867" s="137" t="s">
        <v>37</v>
      </c>
      <c r="C4867" s="41" t="s">
        <v>118</v>
      </c>
      <c r="D4867" s="80" t="s">
        <v>36</v>
      </c>
      <c r="E4867" s="80" t="s">
        <v>139</v>
      </c>
      <c r="F4867" s="80" t="s">
        <v>15166</v>
      </c>
      <c r="G4867" s="26" t="s">
        <v>108</v>
      </c>
      <c r="H4867" s="26" t="s">
        <v>16849</v>
      </c>
      <c r="I4867" s="17">
        <f ca="1">IFERROR(__xludf.DUMMYFUNCTION("""COMPUTED_VALUE"""),45705)</f>
        <v>45705</v>
      </c>
      <c r="J4867" s="143" t="s">
        <v>16862</v>
      </c>
      <c r="K4867" s="80" t="s">
        <v>16863</v>
      </c>
      <c r="L4867" s="30">
        <v>363071121</v>
      </c>
      <c r="M4867" s="80" t="s">
        <v>5429</v>
      </c>
      <c r="N4867" s="80" t="s">
        <v>1384</v>
      </c>
      <c r="O4867" s="80" t="s">
        <v>4626</v>
      </c>
      <c r="P4867" s="80" t="s">
        <v>7107</v>
      </c>
      <c r="Q4867" s="20">
        <v>15936</v>
      </c>
      <c r="R4867" s="80" t="s">
        <v>36</v>
      </c>
      <c r="S4867" s="95">
        <v>2000</v>
      </c>
      <c r="T4867" s="148">
        <v>45582</v>
      </c>
      <c r="U4867" s="95">
        <f>8000+5936</f>
        <v>13936</v>
      </c>
      <c r="V4867" s="83" t="s">
        <v>16864</v>
      </c>
      <c r="W4867" s="85" t="s">
        <v>16865</v>
      </c>
      <c r="X4867" s="80"/>
      <c r="Y4867" s="22">
        <v>0</v>
      </c>
      <c r="Z4867" s="80" t="s">
        <v>50</v>
      </c>
      <c r="AA4867" s="86" t="s">
        <v>14723</v>
      </c>
      <c r="AB4867" s="80"/>
      <c r="AC4867" s="80" t="s">
        <v>53</v>
      </c>
      <c r="AD4867" s="80" t="s">
        <v>138</v>
      </c>
      <c r="AE4867" s="80" t="s">
        <v>15166</v>
      </c>
      <c r="AF4867" s="17">
        <v>45705</v>
      </c>
      <c r="AG4867" s="80"/>
      <c r="AH4867" s="80"/>
      <c r="AI4867" s="147"/>
      <c r="AJ4867" s="80"/>
      <c r="AK4867" s="80"/>
      <c r="AL4867" s="35"/>
      <c r="AM4867" s="35"/>
      <c r="AN4867" s="35"/>
      <c r="AO4867" s="35"/>
      <c r="AP4867" s="35"/>
    </row>
    <row r="4868" spans="1:42" x14ac:dyDescent="0.2">
      <c r="A4868" s="74">
        <v>45624</v>
      </c>
      <c r="B4868" s="137" t="s">
        <v>37</v>
      </c>
      <c r="C4868" s="41" t="s">
        <v>118</v>
      </c>
      <c r="D4868" s="80" t="s">
        <v>36</v>
      </c>
      <c r="E4868" s="80" t="s">
        <v>39</v>
      </c>
      <c r="F4868" s="80" t="s">
        <v>15166</v>
      </c>
      <c r="G4868" s="26" t="s">
        <v>108</v>
      </c>
      <c r="H4868" s="26" t="s">
        <v>16866</v>
      </c>
      <c r="I4868" s="17" t="str">
        <f ca="1">IFERROR(__xludf.DUMMYFUNCTION("""COMPUTED_VALUE""")," ")</f>
        <v xml:space="preserve"> </v>
      </c>
      <c r="J4868" s="143" t="s">
        <v>16380</v>
      </c>
      <c r="K4868" s="80" t="s">
        <v>16867</v>
      </c>
      <c r="L4868" s="30">
        <v>974605703</v>
      </c>
      <c r="M4868" s="80" t="s">
        <v>348</v>
      </c>
      <c r="N4868" s="80" t="s">
        <v>4299</v>
      </c>
      <c r="O4868" s="80" t="s">
        <v>16382</v>
      </c>
      <c r="P4868" s="80" t="s">
        <v>16383</v>
      </c>
      <c r="Q4868" s="20">
        <v>5736</v>
      </c>
      <c r="R4868" s="80" t="s">
        <v>36</v>
      </c>
      <c r="S4868" s="95">
        <v>5736</v>
      </c>
      <c r="T4868" s="148">
        <v>45582</v>
      </c>
      <c r="U4868" s="77"/>
      <c r="V4868" s="78"/>
      <c r="W4868" s="85" t="s">
        <v>16384</v>
      </c>
      <c r="X4868" s="80"/>
      <c r="Y4868" s="22">
        <v>0</v>
      </c>
      <c r="Z4868" s="80" t="s">
        <v>50</v>
      </c>
      <c r="AA4868" s="35" t="s">
        <v>9905</v>
      </c>
      <c r="AB4868" s="80"/>
      <c r="AC4868" s="80" t="s">
        <v>53</v>
      </c>
      <c r="AD4868" s="80" t="s">
        <v>138</v>
      </c>
      <c r="AE4868" s="80" t="s">
        <v>15166</v>
      </c>
      <c r="AF4868" s="17">
        <v>45642</v>
      </c>
      <c r="AG4868" s="80"/>
      <c r="AH4868" s="80"/>
      <c r="AI4868" s="147"/>
      <c r="AJ4868" s="80"/>
      <c r="AK4868" s="80"/>
      <c r="AL4868" s="35"/>
      <c r="AM4868" s="35"/>
      <c r="AN4868" s="35"/>
      <c r="AO4868" s="35"/>
      <c r="AP4868" s="35"/>
    </row>
    <row r="4869" spans="1:42" x14ac:dyDescent="0.2">
      <c r="A4869" s="74">
        <v>45624</v>
      </c>
      <c r="B4869" s="137" t="s">
        <v>37</v>
      </c>
      <c r="C4869" s="41" t="s">
        <v>118</v>
      </c>
      <c r="D4869" s="80" t="s">
        <v>36</v>
      </c>
      <c r="E4869" s="80" t="s">
        <v>139</v>
      </c>
      <c r="F4869" s="80" t="s">
        <v>15166</v>
      </c>
      <c r="G4869" s="26" t="s">
        <v>108</v>
      </c>
      <c r="H4869" s="26" t="s">
        <v>14234</v>
      </c>
      <c r="I4869" s="17">
        <f ca="1">IFERROR(__xludf.DUMMYFUNCTION("""COMPUTED_VALUE"""),45642)</f>
        <v>45642</v>
      </c>
      <c r="J4869" s="143" t="s">
        <v>16408</v>
      </c>
      <c r="K4869" s="80" t="s">
        <v>16409</v>
      </c>
      <c r="L4869" s="30">
        <v>385617455</v>
      </c>
      <c r="M4869" s="80" t="s">
        <v>3498</v>
      </c>
      <c r="N4869" s="80" t="s">
        <v>4402</v>
      </c>
      <c r="O4869" s="80" t="s">
        <v>4503</v>
      </c>
      <c r="P4869" s="80" t="s">
        <v>16410</v>
      </c>
      <c r="Q4869" s="20">
        <v>15936</v>
      </c>
      <c r="R4869" s="80" t="s">
        <v>36</v>
      </c>
      <c r="S4869" s="95">
        <v>15936</v>
      </c>
      <c r="T4869" s="148">
        <v>45583</v>
      </c>
      <c r="U4869" s="77"/>
      <c r="V4869" s="78"/>
      <c r="W4869" s="85" t="s">
        <v>16411</v>
      </c>
      <c r="X4869" s="80"/>
      <c r="Y4869" s="22">
        <v>0</v>
      </c>
      <c r="Z4869" s="80" t="s">
        <v>50</v>
      </c>
      <c r="AA4869" s="96" t="s">
        <v>9905</v>
      </c>
      <c r="AB4869" s="80"/>
      <c r="AC4869" s="80" t="s">
        <v>53</v>
      </c>
      <c r="AD4869" s="80" t="s">
        <v>138</v>
      </c>
      <c r="AE4869" s="80" t="s">
        <v>15166</v>
      </c>
      <c r="AF4869" s="17">
        <v>45642</v>
      </c>
      <c r="AG4869" s="80"/>
      <c r="AH4869" s="80"/>
      <c r="AI4869" s="147"/>
      <c r="AJ4869" s="80"/>
      <c r="AK4869" s="80"/>
      <c r="AL4869" s="35"/>
      <c r="AM4869" s="35"/>
      <c r="AN4869" s="35"/>
      <c r="AO4869" s="35"/>
      <c r="AP4869" s="35"/>
    </row>
    <row r="4870" spans="1:42" x14ac:dyDescent="0.2">
      <c r="A4870" s="74">
        <v>45624</v>
      </c>
      <c r="B4870" s="137" t="s">
        <v>37</v>
      </c>
      <c r="C4870" s="41" t="s">
        <v>118</v>
      </c>
      <c r="D4870" s="80" t="s">
        <v>36</v>
      </c>
      <c r="E4870" s="80" t="s">
        <v>139</v>
      </c>
      <c r="F4870" s="80" t="s">
        <v>15166</v>
      </c>
      <c r="G4870" s="26" t="s">
        <v>108</v>
      </c>
      <c r="H4870" s="26" t="s">
        <v>14234</v>
      </c>
      <c r="I4870" s="17">
        <f ca="1">IFERROR(__xludf.DUMMYFUNCTION("""COMPUTED_VALUE"""),45642)</f>
        <v>45642</v>
      </c>
      <c r="J4870" s="143" t="s">
        <v>16868</v>
      </c>
      <c r="K4870" s="80" t="s">
        <v>16869</v>
      </c>
      <c r="L4870" s="30">
        <v>862014119</v>
      </c>
      <c r="M4870" s="80" t="s">
        <v>5429</v>
      </c>
      <c r="N4870" s="80" t="s">
        <v>756</v>
      </c>
      <c r="O4870" s="80" t="s">
        <v>16870</v>
      </c>
      <c r="P4870" s="80" t="s">
        <v>6368</v>
      </c>
      <c r="Q4870" s="20">
        <v>15936</v>
      </c>
      <c r="R4870" s="80" t="s">
        <v>36</v>
      </c>
      <c r="S4870" s="95">
        <f>200+1800</f>
        <v>2000</v>
      </c>
      <c r="T4870" s="83" t="s">
        <v>16871</v>
      </c>
      <c r="U4870" s="95">
        <v>13936</v>
      </c>
      <c r="V4870" s="148">
        <v>45605</v>
      </c>
      <c r="W4870" s="85" t="s">
        <v>16872</v>
      </c>
      <c r="X4870" s="80"/>
      <c r="Y4870" s="22">
        <v>0</v>
      </c>
      <c r="Z4870" s="80" t="s">
        <v>50</v>
      </c>
      <c r="AA4870" s="86"/>
      <c r="AB4870" s="80"/>
      <c r="AC4870" s="80" t="s">
        <v>53</v>
      </c>
      <c r="AD4870" s="80" t="s">
        <v>138</v>
      </c>
      <c r="AE4870" s="80" t="s">
        <v>15166</v>
      </c>
      <c r="AF4870" s="17">
        <v>45642</v>
      </c>
      <c r="AG4870" s="80"/>
      <c r="AH4870" s="80"/>
      <c r="AI4870" s="147"/>
      <c r="AJ4870" s="80"/>
      <c r="AK4870" s="80"/>
      <c r="AL4870" s="35"/>
      <c r="AM4870" s="35"/>
      <c r="AN4870" s="35"/>
      <c r="AO4870" s="35"/>
      <c r="AP4870" s="35"/>
    </row>
    <row r="4871" spans="1:42" x14ac:dyDescent="0.2">
      <c r="A4871" s="74">
        <v>45624</v>
      </c>
      <c r="B4871" s="137" t="s">
        <v>37</v>
      </c>
      <c r="C4871" s="41" t="s">
        <v>118</v>
      </c>
      <c r="D4871" s="80" t="s">
        <v>36</v>
      </c>
      <c r="E4871" s="80" t="s">
        <v>139</v>
      </c>
      <c r="F4871" s="80" t="s">
        <v>15166</v>
      </c>
      <c r="G4871" s="26" t="s">
        <v>108</v>
      </c>
      <c r="H4871" s="26" t="s">
        <v>5946</v>
      </c>
      <c r="I4871" s="17">
        <f ca="1">IFERROR(__xludf.DUMMYFUNCTION("""COMPUTED_VALUE"""),45742)</f>
        <v>45742</v>
      </c>
      <c r="J4871" s="143" t="s">
        <v>16873</v>
      </c>
      <c r="K4871" s="80" t="s">
        <v>16874</v>
      </c>
      <c r="L4871" s="30">
        <v>967084274</v>
      </c>
      <c r="M4871" s="80" t="s">
        <v>5558</v>
      </c>
      <c r="N4871" s="80" t="s">
        <v>5277</v>
      </c>
      <c r="O4871" s="80" t="s">
        <v>4503</v>
      </c>
      <c r="P4871" s="80" t="s">
        <v>16875</v>
      </c>
      <c r="Q4871" s="20">
        <v>15936</v>
      </c>
      <c r="R4871" s="80" t="s">
        <v>36</v>
      </c>
      <c r="S4871" s="95">
        <v>5000</v>
      </c>
      <c r="T4871" s="148">
        <v>45589</v>
      </c>
      <c r="U4871" s="95">
        <v>10936</v>
      </c>
      <c r="V4871" s="148">
        <v>45603</v>
      </c>
      <c r="W4871" s="85" t="s">
        <v>16876</v>
      </c>
      <c r="X4871" s="80"/>
      <c r="Y4871" s="22">
        <v>0</v>
      </c>
      <c r="Z4871" s="80" t="s">
        <v>50</v>
      </c>
      <c r="AA4871" s="82"/>
      <c r="AB4871" s="80"/>
      <c r="AC4871" s="80" t="s">
        <v>53</v>
      </c>
      <c r="AD4871" s="80" t="s">
        <v>138</v>
      </c>
      <c r="AE4871" s="80" t="s">
        <v>15166</v>
      </c>
      <c r="AF4871" s="17">
        <v>45642</v>
      </c>
      <c r="AG4871" s="80"/>
      <c r="AH4871" s="80"/>
      <c r="AI4871" s="147"/>
      <c r="AJ4871" s="80"/>
      <c r="AK4871" s="80"/>
      <c r="AL4871" s="35"/>
      <c r="AM4871" s="35"/>
      <c r="AN4871" s="35"/>
      <c r="AO4871" s="35"/>
      <c r="AP4871" s="35"/>
    </row>
    <row r="4872" spans="1:42" x14ac:dyDescent="0.2">
      <c r="A4872" s="74">
        <v>45624</v>
      </c>
      <c r="B4872" s="137" t="s">
        <v>37</v>
      </c>
      <c r="C4872" s="41" t="s">
        <v>118</v>
      </c>
      <c r="D4872" s="80" t="s">
        <v>36</v>
      </c>
      <c r="E4872" s="80" t="s">
        <v>139</v>
      </c>
      <c r="F4872" s="80" t="s">
        <v>16877</v>
      </c>
      <c r="G4872" s="26" t="s">
        <v>108</v>
      </c>
      <c r="H4872" s="26" t="s">
        <v>14234</v>
      </c>
      <c r="I4872" s="17">
        <f ca="1">IFERROR(__xludf.DUMMYFUNCTION("""COMPUTED_VALUE"""),45642)</f>
        <v>45642</v>
      </c>
      <c r="J4872" s="143" t="s">
        <v>16431</v>
      </c>
      <c r="K4872" s="80" t="s">
        <v>16878</v>
      </c>
      <c r="L4872" s="30">
        <v>386170236</v>
      </c>
      <c r="M4872" s="80" t="s">
        <v>9422</v>
      </c>
      <c r="N4872" s="80" t="s">
        <v>12670</v>
      </c>
      <c r="O4872" s="80" t="s">
        <v>307</v>
      </c>
      <c r="P4872" s="80" t="s">
        <v>11608</v>
      </c>
      <c r="Q4872" s="20">
        <v>15936</v>
      </c>
      <c r="R4872" s="80" t="s">
        <v>11421</v>
      </c>
      <c r="S4872" s="95">
        <v>15636</v>
      </c>
      <c r="T4872" s="148">
        <v>45586</v>
      </c>
      <c r="U4872" s="77"/>
      <c r="V4872" s="78"/>
      <c r="W4872" s="85" t="s">
        <v>16433</v>
      </c>
      <c r="X4872" s="80"/>
      <c r="Y4872" s="22">
        <v>300</v>
      </c>
      <c r="Z4872" s="80" t="s">
        <v>50</v>
      </c>
      <c r="AA4872" s="35" t="s">
        <v>9905</v>
      </c>
      <c r="AB4872" s="80"/>
      <c r="AC4872" s="80" t="s">
        <v>53</v>
      </c>
      <c r="AD4872" s="80" t="s">
        <v>138</v>
      </c>
      <c r="AE4872" s="80" t="s">
        <v>15166</v>
      </c>
      <c r="AF4872" s="17">
        <v>45642</v>
      </c>
      <c r="AG4872" s="80"/>
      <c r="AH4872" s="80"/>
      <c r="AI4872" s="147"/>
      <c r="AJ4872" s="80"/>
      <c r="AK4872" s="80"/>
      <c r="AL4872" s="35"/>
      <c r="AM4872" s="35"/>
      <c r="AN4872" s="35"/>
      <c r="AO4872" s="35"/>
      <c r="AP4872" s="35"/>
    </row>
    <row r="4873" spans="1:42" x14ac:dyDescent="0.2">
      <c r="A4873" s="74">
        <v>45624</v>
      </c>
      <c r="B4873" s="137" t="s">
        <v>37</v>
      </c>
      <c r="C4873" s="41" t="s">
        <v>118</v>
      </c>
      <c r="D4873" s="26" t="s">
        <v>36</v>
      </c>
      <c r="E4873" s="26" t="s">
        <v>139</v>
      </c>
      <c r="F4873" s="26" t="s">
        <v>8997</v>
      </c>
      <c r="G4873" s="142" t="s">
        <v>221</v>
      </c>
      <c r="H4873" s="26" t="s">
        <v>13748</v>
      </c>
      <c r="I4873" s="17">
        <f ca="1">IFERROR(__xludf.DUMMYFUNCTION("""COMPUTED_VALUE"""),45636)</f>
        <v>45636</v>
      </c>
      <c r="J4873" s="29" t="s">
        <v>3614</v>
      </c>
      <c r="K4873" s="26" t="s">
        <v>16879</v>
      </c>
      <c r="L4873" s="30">
        <v>345486753</v>
      </c>
      <c r="M4873" s="26" t="s">
        <v>80</v>
      </c>
      <c r="N4873" s="26" t="s">
        <v>81</v>
      </c>
      <c r="O4873" s="26" t="s">
        <v>3615</v>
      </c>
      <c r="P4873" s="42" t="s">
        <v>16880</v>
      </c>
      <c r="Q4873" s="20">
        <v>15936</v>
      </c>
      <c r="R4873" s="26" t="s">
        <v>36</v>
      </c>
      <c r="S4873" s="31">
        <v>2000</v>
      </c>
      <c r="T4873" s="32">
        <v>45185</v>
      </c>
      <c r="U4873" s="31">
        <v>13936</v>
      </c>
      <c r="V4873" s="32">
        <v>45209</v>
      </c>
      <c r="W4873" s="33" t="s">
        <v>3617</v>
      </c>
      <c r="X4873" s="26"/>
      <c r="Y4873" s="22">
        <v>0</v>
      </c>
      <c r="Z4873" s="26" t="s">
        <v>118</v>
      </c>
      <c r="AA4873" s="19" t="s">
        <v>5785</v>
      </c>
      <c r="AB4873" s="26"/>
      <c r="AC4873" s="26" t="s">
        <v>53</v>
      </c>
      <c r="AD4873" s="19" t="s">
        <v>138</v>
      </c>
      <c r="AE4873" s="26" t="s">
        <v>8997</v>
      </c>
      <c r="AF4873" s="17">
        <v>45526</v>
      </c>
      <c r="AG4873" s="26" t="s">
        <v>1362</v>
      </c>
      <c r="AH4873" s="26"/>
      <c r="AI4873" s="40" t="s">
        <v>147</v>
      </c>
      <c r="AJ4873" s="26"/>
      <c r="AK4873" s="26"/>
      <c r="AL4873" s="35"/>
      <c r="AM4873" s="35"/>
      <c r="AN4873" s="35"/>
      <c r="AO4873" s="35"/>
      <c r="AP4873" s="35"/>
    </row>
    <row r="4874" spans="1:42" x14ac:dyDescent="0.2">
      <c r="A4874" s="74">
        <v>45624</v>
      </c>
      <c r="B4874" s="137" t="s">
        <v>37</v>
      </c>
      <c r="C4874" s="41" t="s">
        <v>118</v>
      </c>
      <c r="D4874" s="26" t="s">
        <v>36</v>
      </c>
      <c r="E4874" s="80" t="s">
        <v>39</v>
      </c>
      <c r="F4874" s="80" t="s">
        <v>36</v>
      </c>
      <c r="G4874" s="80" t="s">
        <v>41</v>
      </c>
      <c r="H4874" s="80" t="s">
        <v>12324</v>
      </c>
      <c r="I4874" s="17">
        <f ca="1">IFERROR(__xludf.DUMMYFUNCTION("""COMPUTED_VALUE"""),45635)</f>
        <v>45635</v>
      </c>
      <c r="J4874" s="172" t="s">
        <v>16881</v>
      </c>
      <c r="K4874" s="80" t="s">
        <v>16882</v>
      </c>
      <c r="L4874" s="30">
        <v>367510219</v>
      </c>
      <c r="M4874" s="80" t="s">
        <v>1245</v>
      </c>
      <c r="N4874" s="80" t="s">
        <v>1750</v>
      </c>
      <c r="O4874" s="80"/>
      <c r="P4874" s="144" t="s">
        <v>16883</v>
      </c>
      <c r="Q4874" s="20"/>
      <c r="R4874" s="26" t="s">
        <v>36</v>
      </c>
      <c r="S4874" s="195">
        <v>10354</v>
      </c>
      <c r="T4874" s="196">
        <v>44795</v>
      </c>
      <c r="U4874" s="195"/>
      <c r="V4874" s="196"/>
      <c r="W4874" s="197" t="s">
        <v>16884</v>
      </c>
      <c r="X4874" s="80"/>
      <c r="Y4874" s="22">
        <v>0</v>
      </c>
      <c r="Z4874" s="26" t="s">
        <v>118</v>
      </c>
      <c r="AA4874" s="35"/>
      <c r="AB4874" s="80"/>
      <c r="AC4874" s="26" t="s">
        <v>53</v>
      </c>
      <c r="AD4874" s="19" t="s">
        <v>54</v>
      </c>
      <c r="AE4874" s="80"/>
      <c r="AF4874" s="17">
        <v>45629</v>
      </c>
      <c r="AG4874" s="80"/>
      <c r="AH4874" s="80"/>
      <c r="AI4874" s="147"/>
      <c r="AJ4874" s="80"/>
      <c r="AK4874" s="80"/>
      <c r="AL4874" s="35"/>
      <c r="AM4874" s="35"/>
      <c r="AN4874" s="35"/>
      <c r="AO4874" s="35"/>
      <c r="AP4874" s="35"/>
    </row>
    <row r="4875" spans="1:42" x14ac:dyDescent="0.2">
      <c r="A4875" s="74">
        <v>45621</v>
      </c>
      <c r="B4875" s="28" t="s">
        <v>37</v>
      </c>
      <c r="C4875" s="41" t="s">
        <v>118</v>
      </c>
      <c r="D4875" s="80" t="s">
        <v>36</v>
      </c>
      <c r="E4875" s="26" t="s">
        <v>77</v>
      </c>
      <c r="F4875" s="80" t="s">
        <v>40</v>
      </c>
      <c r="G4875" s="26" t="s">
        <v>41</v>
      </c>
      <c r="H4875" s="80" t="s">
        <v>16885</v>
      </c>
      <c r="I4875" s="17" t="str">
        <f ca="1">IFERROR(__xludf.DUMMYFUNCTION("""COMPUTED_VALUE""")," ")</f>
        <v xml:space="preserve"> </v>
      </c>
      <c r="J4875" s="143" t="s">
        <v>16886</v>
      </c>
      <c r="K4875" s="80" t="s">
        <v>16887</v>
      </c>
      <c r="L4875" s="30">
        <v>337289919</v>
      </c>
      <c r="M4875" s="26" t="s">
        <v>1245</v>
      </c>
      <c r="N4875" s="26" t="s">
        <v>1750</v>
      </c>
      <c r="O4875" s="26"/>
      <c r="P4875" s="26" t="s">
        <v>16888</v>
      </c>
      <c r="Q4875" s="20">
        <v>1968</v>
      </c>
      <c r="R4875" s="80" t="s">
        <v>36</v>
      </c>
      <c r="S4875" s="77">
        <v>3668</v>
      </c>
      <c r="T4875" s="78">
        <v>45290</v>
      </c>
      <c r="U4875" s="77">
        <v>100</v>
      </c>
      <c r="V4875" s="153">
        <v>45295</v>
      </c>
      <c r="W4875" s="85" t="s">
        <v>16889</v>
      </c>
      <c r="X4875" s="26"/>
      <c r="Y4875" s="22">
        <v>-1800</v>
      </c>
      <c r="Z4875" s="26" t="s">
        <v>118</v>
      </c>
      <c r="AA4875" s="96"/>
      <c r="AB4875" s="26"/>
      <c r="AC4875" s="80" t="s">
        <v>53</v>
      </c>
      <c r="AD4875" s="80" t="s">
        <v>54</v>
      </c>
      <c r="AE4875" s="26"/>
      <c r="AF4875" s="43">
        <v>45622</v>
      </c>
      <c r="AG4875" s="26"/>
      <c r="AH4875" s="26"/>
      <c r="AI4875" s="40"/>
      <c r="AJ4875" s="26"/>
      <c r="AK4875" s="26"/>
      <c r="AL4875" s="35"/>
      <c r="AM4875" s="35"/>
      <c r="AN4875" s="35"/>
      <c r="AO4875" s="35"/>
      <c r="AP4875" s="35"/>
    </row>
    <row r="4876" spans="1:42" x14ac:dyDescent="0.2">
      <c r="A4876" s="74">
        <v>45625</v>
      </c>
      <c r="B4876" s="137" t="s">
        <v>37</v>
      </c>
      <c r="C4876" s="41" t="s">
        <v>118</v>
      </c>
      <c r="D4876" s="80" t="s">
        <v>36</v>
      </c>
      <c r="E4876" s="80" t="s">
        <v>139</v>
      </c>
      <c r="F4876" s="80" t="s">
        <v>14159</v>
      </c>
      <c r="G4876" s="80" t="s">
        <v>108</v>
      </c>
      <c r="H4876" s="80" t="s">
        <v>16890</v>
      </c>
      <c r="I4876" s="17">
        <f ca="1">IFERROR(__xludf.DUMMYFUNCTION("""COMPUTED_VALUE"""),45636)</f>
        <v>45636</v>
      </c>
      <c r="J4876" s="143" t="s">
        <v>16891</v>
      </c>
      <c r="K4876" s="80" t="s">
        <v>16892</v>
      </c>
      <c r="L4876" s="30">
        <v>328641984</v>
      </c>
      <c r="M4876" s="80" t="s">
        <v>15970</v>
      </c>
      <c r="N4876" s="80" t="s">
        <v>327</v>
      </c>
      <c r="O4876" s="80" t="s">
        <v>16893</v>
      </c>
      <c r="P4876" s="144" t="s">
        <v>16894</v>
      </c>
      <c r="Q4876" s="20">
        <v>15936</v>
      </c>
      <c r="R4876" s="80" t="s">
        <v>1106</v>
      </c>
      <c r="S4876" s="95">
        <f>200+2800</f>
        <v>3000</v>
      </c>
      <c r="T4876" s="83" t="s">
        <v>16895</v>
      </c>
      <c r="U4876" s="95">
        <v>12786</v>
      </c>
      <c r="V4876" s="148">
        <v>45598</v>
      </c>
      <c r="W4876" s="85" t="s">
        <v>16896</v>
      </c>
      <c r="X4876" s="80"/>
      <c r="Y4876" s="22">
        <v>150</v>
      </c>
      <c r="Z4876" s="80" t="s">
        <v>50</v>
      </c>
      <c r="AA4876" s="86"/>
      <c r="AB4876" s="80"/>
      <c r="AC4876" s="80" t="s">
        <v>53</v>
      </c>
      <c r="AD4876" s="80" t="s">
        <v>54</v>
      </c>
      <c r="AE4876" s="80" t="s">
        <v>14159</v>
      </c>
      <c r="AF4876" s="17">
        <v>45633</v>
      </c>
      <c r="AG4876" s="80"/>
      <c r="AH4876" s="80"/>
      <c r="AI4876" s="147"/>
      <c r="AJ4876" s="80"/>
      <c r="AK4876" s="80"/>
      <c r="AL4876" s="35"/>
      <c r="AM4876" s="35"/>
      <c r="AN4876" s="35"/>
      <c r="AO4876" s="35"/>
      <c r="AP4876" s="35"/>
    </row>
    <row r="4877" spans="1:42" x14ac:dyDescent="0.2">
      <c r="A4877" s="74">
        <v>45625</v>
      </c>
      <c r="B4877" s="137" t="s">
        <v>37</v>
      </c>
      <c r="C4877" s="41" t="s">
        <v>118</v>
      </c>
      <c r="D4877" s="80" t="s">
        <v>36</v>
      </c>
      <c r="E4877" s="80" t="s">
        <v>56</v>
      </c>
      <c r="F4877" s="80" t="s">
        <v>14159</v>
      </c>
      <c r="G4877" s="80" t="s">
        <v>108</v>
      </c>
      <c r="H4877" s="80" t="s">
        <v>16890</v>
      </c>
      <c r="I4877" s="17">
        <f ca="1">IFERROR(__xludf.DUMMYFUNCTION("""COMPUTED_VALUE"""),45636)</f>
        <v>45636</v>
      </c>
      <c r="J4877" s="143" t="s">
        <v>16051</v>
      </c>
      <c r="K4877" s="80" t="s">
        <v>16052</v>
      </c>
      <c r="L4877" s="30">
        <v>352312394</v>
      </c>
      <c r="M4877" s="80" t="s">
        <v>9422</v>
      </c>
      <c r="N4877" s="80" t="s">
        <v>13156</v>
      </c>
      <c r="O4877" s="80" t="s">
        <v>16053</v>
      </c>
      <c r="P4877" s="144" t="s">
        <v>16897</v>
      </c>
      <c r="Q4877" s="20">
        <v>9317</v>
      </c>
      <c r="R4877" s="80" t="s">
        <v>11421</v>
      </c>
      <c r="S4877" s="95">
        <v>2000</v>
      </c>
      <c r="T4877" s="148">
        <v>45569</v>
      </c>
      <c r="U4877" s="95">
        <v>7017</v>
      </c>
      <c r="V4877" s="148">
        <v>45593</v>
      </c>
      <c r="W4877" s="85" t="s">
        <v>16055</v>
      </c>
      <c r="X4877" s="80"/>
      <c r="Y4877" s="22">
        <v>300</v>
      </c>
      <c r="Z4877" s="80" t="s">
        <v>50</v>
      </c>
      <c r="AA4877" s="96" t="s">
        <v>9905</v>
      </c>
      <c r="AB4877" s="80"/>
      <c r="AC4877" s="80" t="s">
        <v>53</v>
      </c>
      <c r="AD4877" s="80" t="s">
        <v>54</v>
      </c>
      <c r="AE4877" s="80" t="s">
        <v>14159</v>
      </c>
      <c r="AF4877" s="17">
        <v>45633</v>
      </c>
      <c r="AG4877" s="80"/>
      <c r="AH4877" s="80"/>
      <c r="AI4877" s="147"/>
      <c r="AJ4877" s="80"/>
      <c r="AK4877" s="80"/>
      <c r="AL4877" s="35"/>
      <c r="AM4877" s="35"/>
      <c r="AN4877" s="35"/>
      <c r="AO4877" s="35"/>
      <c r="AP4877" s="35"/>
    </row>
    <row r="4878" spans="1:42" x14ac:dyDescent="0.2">
      <c r="A4878" s="74">
        <v>45625</v>
      </c>
      <c r="B4878" s="137" t="s">
        <v>37</v>
      </c>
      <c r="C4878" s="41" t="s">
        <v>118</v>
      </c>
      <c r="D4878" s="80" t="s">
        <v>36</v>
      </c>
      <c r="E4878" s="80" t="s">
        <v>139</v>
      </c>
      <c r="F4878" s="80" t="s">
        <v>14159</v>
      </c>
      <c r="G4878" s="80" t="s">
        <v>108</v>
      </c>
      <c r="H4878" s="80" t="s">
        <v>16890</v>
      </c>
      <c r="I4878" s="17">
        <f ca="1">IFERROR(__xludf.DUMMYFUNCTION("""COMPUTED_VALUE"""),45636)</f>
        <v>45636</v>
      </c>
      <c r="J4878" s="143" t="s">
        <v>16898</v>
      </c>
      <c r="K4878" s="80" t="s">
        <v>16899</v>
      </c>
      <c r="L4878" s="30">
        <v>911400667</v>
      </c>
      <c r="M4878" s="80" t="s">
        <v>15970</v>
      </c>
      <c r="N4878" s="80" t="s">
        <v>16079</v>
      </c>
      <c r="O4878" s="80" t="s">
        <v>16900</v>
      </c>
      <c r="P4878" s="144" t="s">
        <v>16901</v>
      </c>
      <c r="Q4878" s="20">
        <v>15936</v>
      </c>
      <c r="R4878" s="80" t="s">
        <v>1106</v>
      </c>
      <c r="S4878" s="95">
        <v>3000</v>
      </c>
      <c r="T4878" s="148">
        <v>45571</v>
      </c>
      <c r="U4878" s="95">
        <v>12936</v>
      </c>
      <c r="V4878" s="148">
        <v>45600</v>
      </c>
      <c r="W4878" s="85" t="s">
        <v>16902</v>
      </c>
      <c r="X4878" s="80"/>
      <c r="Y4878" s="22">
        <v>0</v>
      </c>
      <c r="Z4878" s="80" t="s">
        <v>50</v>
      </c>
      <c r="AA4878" s="86"/>
      <c r="AB4878" s="80"/>
      <c r="AC4878" s="80" t="s">
        <v>53</v>
      </c>
      <c r="AD4878" s="80" t="s">
        <v>54</v>
      </c>
      <c r="AE4878" s="80" t="s">
        <v>14159</v>
      </c>
      <c r="AF4878" s="17">
        <v>45633</v>
      </c>
      <c r="AG4878" s="80"/>
      <c r="AH4878" s="80"/>
      <c r="AI4878" s="147"/>
      <c r="AJ4878" s="80"/>
      <c r="AK4878" s="80"/>
      <c r="AL4878" s="35"/>
      <c r="AM4878" s="35"/>
      <c r="AN4878" s="35"/>
      <c r="AO4878" s="35"/>
      <c r="AP4878" s="35"/>
    </row>
    <row r="4879" spans="1:42" x14ac:dyDescent="0.2">
      <c r="A4879" s="74">
        <v>45625</v>
      </c>
      <c r="B4879" s="137" t="s">
        <v>37</v>
      </c>
      <c r="C4879" s="41" t="s">
        <v>118</v>
      </c>
      <c r="D4879" s="80" t="s">
        <v>36</v>
      </c>
      <c r="E4879" s="80" t="s">
        <v>39</v>
      </c>
      <c r="F4879" s="80" t="s">
        <v>16095</v>
      </c>
      <c r="G4879" s="80" t="s">
        <v>108</v>
      </c>
      <c r="H4879" s="80" t="s">
        <v>16903</v>
      </c>
      <c r="I4879" s="17">
        <f ca="1">IFERROR(__xludf.DUMMYFUNCTION("""COMPUTED_VALUE"""),45635)</f>
        <v>45635</v>
      </c>
      <c r="J4879" s="143" t="s">
        <v>16249</v>
      </c>
      <c r="K4879" s="80" t="s">
        <v>16904</v>
      </c>
      <c r="L4879" s="30">
        <v>857360674</v>
      </c>
      <c r="M4879" s="80" t="s">
        <v>45</v>
      </c>
      <c r="N4879" s="80" t="s">
        <v>16251</v>
      </c>
      <c r="O4879" s="80" t="s">
        <v>16252</v>
      </c>
      <c r="P4879" s="144" t="s">
        <v>16905</v>
      </c>
      <c r="Q4879" s="20">
        <v>5736</v>
      </c>
      <c r="R4879" s="80" t="s">
        <v>36</v>
      </c>
      <c r="S4879" s="95">
        <v>5736</v>
      </c>
      <c r="T4879" s="148">
        <v>45575</v>
      </c>
      <c r="U4879" s="77"/>
      <c r="V4879" s="78"/>
      <c r="W4879" s="79" t="s">
        <v>16254</v>
      </c>
      <c r="X4879" s="80"/>
      <c r="Y4879" s="22">
        <v>0</v>
      </c>
      <c r="Z4879" s="80" t="s">
        <v>50</v>
      </c>
      <c r="AA4879" s="96" t="s">
        <v>9905</v>
      </c>
      <c r="AB4879" s="80"/>
      <c r="AC4879" s="80" t="s">
        <v>53</v>
      </c>
      <c r="AD4879" s="80" t="s">
        <v>54</v>
      </c>
      <c r="AE4879" s="80" t="s">
        <v>16095</v>
      </c>
      <c r="AF4879" s="17">
        <v>45629</v>
      </c>
      <c r="AG4879" s="80"/>
      <c r="AH4879" s="80"/>
      <c r="AI4879" s="147"/>
      <c r="AJ4879" s="80"/>
      <c r="AK4879" s="80"/>
      <c r="AL4879" s="35"/>
      <c r="AM4879" s="35"/>
      <c r="AN4879" s="35"/>
      <c r="AO4879" s="35"/>
      <c r="AP4879" s="35"/>
    </row>
    <row r="4880" spans="1:42" x14ac:dyDescent="0.2">
      <c r="A4880" s="74">
        <v>45625</v>
      </c>
      <c r="B4880" s="137" t="s">
        <v>37</v>
      </c>
      <c r="C4880" s="41" t="s">
        <v>118</v>
      </c>
      <c r="D4880" s="80" t="s">
        <v>36</v>
      </c>
      <c r="E4880" s="80" t="s">
        <v>139</v>
      </c>
      <c r="F4880" s="80" t="s">
        <v>16095</v>
      </c>
      <c r="G4880" s="80" t="s">
        <v>108</v>
      </c>
      <c r="H4880" s="80" t="s">
        <v>16903</v>
      </c>
      <c r="I4880" s="17">
        <f ca="1">IFERROR(__xludf.DUMMYFUNCTION("""COMPUTED_VALUE"""),45635)</f>
        <v>45635</v>
      </c>
      <c r="J4880" s="143" t="s">
        <v>16906</v>
      </c>
      <c r="K4880" s="80" t="s">
        <v>16907</v>
      </c>
      <c r="L4880" s="30">
        <v>869729553</v>
      </c>
      <c r="M4880" s="26" t="s">
        <v>3498</v>
      </c>
      <c r="N4880" s="80" t="s">
        <v>4402</v>
      </c>
      <c r="O4880" s="80" t="s">
        <v>4503</v>
      </c>
      <c r="P4880" s="144" t="s">
        <v>16908</v>
      </c>
      <c r="Q4880" s="20">
        <v>15936</v>
      </c>
      <c r="R4880" s="80" t="s">
        <v>36</v>
      </c>
      <c r="S4880" s="95">
        <f>200+8000</f>
        <v>8200</v>
      </c>
      <c r="T4880" s="83" t="s">
        <v>16909</v>
      </c>
      <c r="U4880" s="95">
        <v>7736</v>
      </c>
      <c r="V4880" s="148">
        <v>45597</v>
      </c>
      <c r="W4880" s="85" t="s">
        <v>16910</v>
      </c>
      <c r="X4880" s="80"/>
      <c r="Y4880" s="22">
        <v>0</v>
      </c>
      <c r="Z4880" s="80" t="s">
        <v>50</v>
      </c>
      <c r="AA4880" s="86"/>
      <c r="AB4880" s="80" t="s">
        <v>4503</v>
      </c>
      <c r="AC4880" s="80" t="s">
        <v>53</v>
      </c>
      <c r="AD4880" s="80" t="s">
        <v>54</v>
      </c>
      <c r="AE4880" s="80" t="s">
        <v>16095</v>
      </c>
      <c r="AF4880" s="17">
        <v>45629</v>
      </c>
      <c r="AG4880" s="80"/>
      <c r="AH4880" s="80"/>
      <c r="AI4880" s="147"/>
      <c r="AJ4880" s="80"/>
      <c r="AK4880" s="80"/>
      <c r="AL4880" s="35"/>
      <c r="AM4880" s="35"/>
      <c r="AN4880" s="35"/>
      <c r="AO4880" s="35"/>
      <c r="AP4880" s="35"/>
    </row>
    <row r="4881" spans="1:42" x14ac:dyDescent="0.2">
      <c r="A4881" s="74">
        <v>45625</v>
      </c>
      <c r="B4881" s="137" t="s">
        <v>37</v>
      </c>
      <c r="C4881" s="41" t="s">
        <v>118</v>
      </c>
      <c r="D4881" s="80" t="s">
        <v>36</v>
      </c>
      <c r="E4881" s="80" t="s">
        <v>56</v>
      </c>
      <c r="F4881" s="80" t="s">
        <v>16095</v>
      </c>
      <c r="G4881" s="80" t="s">
        <v>108</v>
      </c>
      <c r="H4881" s="80" t="s">
        <v>16903</v>
      </c>
      <c r="I4881" s="17">
        <f ca="1">IFERROR(__xludf.DUMMYFUNCTION("""COMPUTED_VALUE"""),45635)</f>
        <v>45635</v>
      </c>
      <c r="J4881" s="143" t="s">
        <v>16173</v>
      </c>
      <c r="K4881" s="80" t="s">
        <v>16174</v>
      </c>
      <c r="L4881" s="30">
        <v>348673496</v>
      </c>
      <c r="M4881" s="80" t="s">
        <v>59</v>
      </c>
      <c r="N4881" s="80" t="s">
        <v>9301</v>
      </c>
      <c r="O4881" s="80" t="s">
        <v>16175</v>
      </c>
      <c r="P4881" s="144" t="s">
        <v>16911</v>
      </c>
      <c r="Q4881" s="20">
        <v>9317</v>
      </c>
      <c r="R4881" s="80" t="s">
        <v>36</v>
      </c>
      <c r="S4881" s="95">
        <v>2000</v>
      </c>
      <c r="T4881" s="148">
        <v>45572</v>
      </c>
      <c r="U4881" s="95">
        <v>7317</v>
      </c>
      <c r="V4881" s="148">
        <v>45592</v>
      </c>
      <c r="W4881" s="85" t="s">
        <v>16177</v>
      </c>
      <c r="X4881" s="80"/>
      <c r="Y4881" s="22">
        <v>0</v>
      </c>
      <c r="Z4881" s="80" t="s">
        <v>50</v>
      </c>
      <c r="AA4881" s="96" t="s">
        <v>9905</v>
      </c>
      <c r="AB4881" s="80"/>
      <c r="AC4881" s="80" t="s">
        <v>53</v>
      </c>
      <c r="AD4881" s="80" t="s">
        <v>54</v>
      </c>
      <c r="AE4881" s="80" t="s">
        <v>16095</v>
      </c>
      <c r="AF4881" s="17">
        <v>45629</v>
      </c>
      <c r="AG4881" s="80"/>
      <c r="AH4881" s="80"/>
      <c r="AI4881" s="147"/>
      <c r="AJ4881" s="80"/>
      <c r="AK4881" s="80"/>
      <c r="AL4881" s="35"/>
      <c r="AM4881" s="35"/>
      <c r="AN4881" s="35"/>
      <c r="AO4881" s="35"/>
      <c r="AP4881" s="35"/>
    </row>
    <row r="4882" spans="1:42" x14ac:dyDescent="0.2">
      <c r="A4882" s="74">
        <v>45625</v>
      </c>
      <c r="B4882" s="137" t="s">
        <v>37</v>
      </c>
      <c r="C4882" s="41" t="s">
        <v>118</v>
      </c>
      <c r="D4882" s="80" t="s">
        <v>36</v>
      </c>
      <c r="E4882" s="80" t="s">
        <v>139</v>
      </c>
      <c r="F4882" s="80" t="s">
        <v>16095</v>
      </c>
      <c r="G4882" s="80" t="s">
        <v>108</v>
      </c>
      <c r="H4882" s="80" t="s">
        <v>16903</v>
      </c>
      <c r="I4882" s="17">
        <f ca="1">IFERROR(__xludf.DUMMYFUNCTION("""COMPUTED_VALUE"""),45635)</f>
        <v>45635</v>
      </c>
      <c r="J4882" s="143" t="s">
        <v>16912</v>
      </c>
      <c r="K4882" s="80" t="s">
        <v>16913</v>
      </c>
      <c r="L4882" s="30">
        <v>826222523</v>
      </c>
      <c r="M4882" s="80" t="s">
        <v>15970</v>
      </c>
      <c r="N4882" s="80" t="s">
        <v>327</v>
      </c>
      <c r="O4882" s="80" t="s">
        <v>16914</v>
      </c>
      <c r="P4882" s="144" t="s">
        <v>16915</v>
      </c>
      <c r="Q4882" s="20">
        <v>15936</v>
      </c>
      <c r="R4882" s="80" t="s">
        <v>36</v>
      </c>
      <c r="S4882" s="95">
        <f>500+4500</f>
        <v>5000</v>
      </c>
      <c r="T4882" s="83" t="s">
        <v>16916</v>
      </c>
      <c r="U4882" s="95">
        <v>10936</v>
      </c>
      <c r="V4882" s="148">
        <v>45597</v>
      </c>
      <c r="W4882" s="85" t="s">
        <v>16917</v>
      </c>
      <c r="X4882" s="80"/>
      <c r="Y4882" s="22">
        <v>0</v>
      </c>
      <c r="Z4882" s="80" t="s">
        <v>50</v>
      </c>
      <c r="AA4882" s="86"/>
      <c r="AB4882" s="80"/>
      <c r="AC4882" s="80" t="s">
        <v>53</v>
      </c>
      <c r="AD4882" s="80" t="s">
        <v>54</v>
      </c>
      <c r="AE4882" s="80" t="s">
        <v>16095</v>
      </c>
      <c r="AF4882" s="17">
        <v>45629</v>
      </c>
      <c r="AG4882" s="80"/>
      <c r="AH4882" s="80"/>
      <c r="AI4882" s="147"/>
      <c r="AJ4882" s="80"/>
      <c r="AK4882" s="80"/>
      <c r="AL4882" s="35"/>
      <c r="AM4882" s="35"/>
      <c r="AN4882" s="35"/>
      <c r="AO4882" s="35"/>
      <c r="AP4882" s="35"/>
    </row>
    <row r="4883" spans="1:42" x14ac:dyDescent="0.2">
      <c r="A4883" s="74">
        <v>45625</v>
      </c>
      <c r="B4883" s="137" t="s">
        <v>37</v>
      </c>
      <c r="C4883" s="41" t="s">
        <v>118</v>
      </c>
      <c r="D4883" s="80" t="s">
        <v>36</v>
      </c>
      <c r="E4883" s="80" t="s">
        <v>139</v>
      </c>
      <c r="F4883" s="80" t="s">
        <v>16095</v>
      </c>
      <c r="G4883" s="80" t="s">
        <v>108</v>
      </c>
      <c r="H4883" s="80" t="s">
        <v>16903</v>
      </c>
      <c r="I4883" s="17">
        <f ca="1">IFERROR(__xludf.DUMMYFUNCTION("""COMPUTED_VALUE"""),45635)</f>
        <v>45635</v>
      </c>
      <c r="J4883" s="143" t="s">
        <v>16918</v>
      </c>
      <c r="K4883" s="80" t="s">
        <v>16919</v>
      </c>
      <c r="L4883" s="30">
        <v>913764815</v>
      </c>
      <c r="M4883" s="80" t="s">
        <v>12644</v>
      </c>
      <c r="N4883" s="80" t="s">
        <v>260</v>
      </c>
      <c r="O4883" s="80" t="s">
        <v>16920</v>
      </c>
      <c r="P4883" s="144" t="s">
        <v>16921</v>
      </c>
      <c r="Q4883" s="20">
        <v>15936</v>
      </c>
      <c r="R4883" s="80" t="s">
        <v>36</v>
      </c>
      <c r="S4883" s="95">
        <f>200+2000</f>
        <v>2200</v>
      </c>
      <c r="T4883" s="83" t="s">
        <v>16104</v>
      </c>
      <c r="U4883" s="95">
        <v>13736</v>
      </c>
      <c r="V4883" s="148">
        <v>45597</v>
      </c>
      <c r="W4883" s="85" t="s">
        <v>16922</v>
      </c>
      <c r="X4883" s="80"/>
      <c r="Y4883" s="22">
        <v>0</v>
      </c>
      <c r="Z4883" s="80" t="s">
        <v>50</v>
      </c>
      <c r="AA4883" s="82"/>
      <c r="AB4883" s="80"/>
      <c r="AC4883" s="80" t="s">
        <v>53</v>
      </c>
      <c r="AD4883" s="80" t="s">
        <v>54</v>
      </c>
      <c r="AE4883" s="80" t="s">
        <v>16095</v>
      </c>
      <c r="AF4883" s="17">
        <v>45629</v>
      </c>
      <c r="AG4883" s="80"/>
      <c r="AH4883" s="80"/>
      <c r="AI4883" s="147"/>
      <c r="AJ4883" s="80"/>
      <c r="AK4883" s="80"/>
      <c r="AL4883" s="35"/>
      <c r="AM4883" s="35"/>
      <c r="AN4883" s="35"/>
      <c r="AO4883" s="35"/>
      <c r="AP4883" s="35"/>
    </row>
    <row r="4884" spans="1:42" x14ac:dyDescent="0.2">
      <c r="A4884" s="74">
        <v>45626</v>
      </c>
      <c r="B4884" s="137" t="s">
        <v>37</v>
      </c>
      <c r="C4884" s="41" t="s">
        <v>118</v>
      </c>
      <c r="D4884" s="26" t="s">
        <v>36</v>
      </c>
      <c r="E4884" s="26" t="s">
        <v>56</v>
      </c>
      <c r="F4884" s="26" t="s">
        <v>9906</v>
      </c>
      <c r="G4884" s="26" t="s">
        <v>221</v>
      </c>
      <c r="H4884" s="26" t="s">
        <v>13748</v>
      </c>
      <c r="I4884" s="17">
        <f ca="1">IFERROR(__xludf.DUMMYFUNCTION("""COMPUTED_VALUE"""),45636)</f>
        <v>45636</v>
      </c>
      <c r="J4884" s="29" t="s">
        <v>8825</v>
      </c>
      <c r="K4884" s="26" t="s">
        <v>8826</v>
      </c>
      <c r="L4884" s="30">
        <v>329837858</v>
      </c>
      <c r="M4884" s="26" t="s">
        <v>6309</v>
      </c>
      <c r="N4884" s="26" t="s">
        <v>1400</v>
      </c>
      <c r="O4884" s="26" t="s">
        <v>8827</v>
      </c>
      <c r="P4884" s="42" t="s">
        <v>9912</v>
      </c>
      <c r="Q4884" s="20">
        <v>9317</v>
      </c>
      <c r="R4884" s="26" t="s">
        <v>36</v>
      </c>
      <c r="S4884" s="31">
        <v>9317</v>
      </c>
      <c r="T4884" s="32">
        <v>45471</v>
      </c>
      <c r="U4884" s="31"/>
      <c r="V4884" s="32"/>
      <c r="W4884" s="33" t="s">
        <v>8829</v>
      </c>
      <c r="X4884" s="26"/>
      <c r="Y4884" s="22">
        <v>0</v>
      </c>
      <c r="Z4884" s="98" t="s">
        <v>118</v>
      </c>
      <c r="AA4884" s="19" t="s">
        <v>8721</v>
      </c>
      <c r="AB4884" s="26" t="s">
        <v>36</v>
      </c>
      <c r="AC4884" s="26" t="s">
        <v>53</v>
      </c>
      <c r="AD4884" s="19" t="s">
        <v>54</v>
      </c>
      <c r="AE4884" s="26" t="s">
        <v>9906</v>
      </c>
      <c r="AF4884" s="17">
        <v>45630</v>
      </c>
      <c r="AG4884" s="26"/>
      <c r="AH4884" s="26"/>
      <c r="AI4884" s="40"/>
      <c r="AJ4884" s="26"/>
      <c r="AK4884" s="26"/>
      <c r="AL4884" s="35"/>
      <c r="AM4884" s="35"/>
      <c r="AN4884" s="35"/>
      <c r="AO4884" s="35"/>
      <c r="AP4884" s="35"/>
    </row>
    <row r="4885" spans="1:42" x14ac:dyDescent="0.2">
      <c r="A4885" s="74">
        <v>45626</v>
      </c>
      <c r="B4885" s="137" t="s">
        <v>37</v>
      </c>
      <c r="C4885" s="41" t="s">
        <v>118</v>
      </c>
      <c r="D4885" s="80" t="s">
        <v>36</v>
      </c>
      <c r="E4885" s="80" t="s">
        <v>139</v>
      </c>
      <c r="F4885" s="80" t="s">
        <v>12937</v>
      </c>
      <c r="G4885" s="80" t="s">
        <v>108</v>
      </c>
      <c r="H4885" s="80" t="s">
        <v>16890</v>
      </c>
      <c r="I4885" s="17">
        <f ca="1">IFERROR(__xludf.DUMMYFUNCTION("""COMPUTED_VALUE"""),45636)</f>
        <v>45636</v>
      </c>
      <c r="J4885" s="143" t="s">
        <v>15177</v>
      </c>
      <c r="K4885" s="80" t="s">
        <v>16923</v>
      </c>
      <c r="L4885" s="30">
        <v>865994085</v>
      </c>
      <c r="M4885" s="80" t="s">
        <v>12529</v>
      </c>
      <c r="N4885" s="80" t="s">
        <v>466</v>
      </c>
      <c r="O4885" s="80" t="s">
        <v>15179</v>
      </c>
      <c r="P4885" s="144" t="s">
        <v>16924</v>
      </c>
      <c r="Q4885" s="20">
        <v>15936</v>
      </c>
      <c r="R4885" s="80" t="s">
        <v>36</v>
      </c>
      <c r="S4885" s="95">
        <v>2000</v>
      </c>
      <c r="T4885" s="148">
        <v>45546</v>
      </c>
      <c r="U4885" s="95">
        <v>13936</v>
      </c>
      <c r="V4885" s="169">
        <v>45586</v>
      </c>
      <c r="W4885" s="85" t="s">
        <v>15181</v>
      </c>
      <c r="X4885" s="80"/>
      <c r="Y4885" s="22">
        <v>0</v>
      </c>
      <c r="Z4885" s="80" t="s">
        <v>50</v>
      </c>
      <c r="AA4885" s="96" t="s">
        <v>9905</v>
      </c>
      <c r="AB4885" s="80"/>
      <c r="AC4885" s="80" t="s">
        <v>53</v>
      </c>
      <c r="AD4885" s="80" t="s">
        <v>54</v>
      </c>
      <c r="AE4885" s="80" t="s">
        <v>12937</v>
      </c>
      <c r="AF4885" s="17">
        <v>45630</v>
      </c>
      <c r="AG4885" s="80"/>
      <c r="AH4885" s="80"/>
      <c r="AI4885" s="147"/>
      <c r="AJ4885" s="80"/>
      <c r="AK4885" s="80"/>
      <c r="AL4885" s="35"/>
      <c r="AM4885" s="35"/>
      <c r="AN4885" s="35"/>
      <c r="AO4885" s="35"/>
      <c r="AP4885" s="35"/>
    </row>
    <row r="4886" spans="1:42" x14ac:dyDescent="0.2">
      <c r="A4886" s="74">
        <v>45626</v>
      </c>
      <c r="B4886" s="137" t="s">
        <v>37</v>
      </c>
      <c r="C4886" s="41" t="s">
        <v>118</v>
      </c>
      <c r="D4886" s="80" t="s">
        <v>36</v>
      </c>
      <c r="E4886" s="80" t="s">
        <v>56</v>
      </c>
      <c r="F4886" s="80" t="s">
        <v>11151</v>
      </c>
      <c r="G4886" s="80" t="s">
        <v>108</v>
      </c>
      <c r="H4886" s="80" t="s">
        <v>16890</v>
      </c>
      <c r="I4886" s="17">
        <f ca="1">IFERROR(__xludf.DUMMYFUNCTION("""COMPUTED_VALUE"""),45636)</f>
        <v>45636</v>
      </c>
      <c r="J4886" s="143" t="s">
        <v>12140</v>
      </c>
      <c r="K4886" s="80" t="s">
        <v>16925</v>
      </c>
      <c r="L4886" s="30">
        <v>915233135</v>
      </c>
      <c r="M4886" s="80" t="s">
        <v>123</v>
      </c>
      <c r="N4886" s="80" t="s">
        <v>327</v>
      </c>
      <c r="O4886" s="80"/>
      <c r="P4886" s="144" t="s">
        <v>16926</v>
      </c>
      <c r="Q4886" s="20">
        <v>9317</v>
      </c>
      <c r="R4886" s="80" t="s">
        <v>36</v>
      </c>
      <c r="S4886" s="95">
        <v>2000</v>
      </c>
      <c r="T4886" s="148">
        <v>45510</v>
      </c>
      <c r="U4886" s="178">
        <v>7317</v>
      </c>
      <c r="V4886" s="169">
        <v>45540</v>
      </c>
      <c r="W4886" s="85" t="s">
        <v>12143</v>
      </c>
      <c r="X4886" s="80">
        <v>0</v>
      </c>
      <c r="Y4886" s="22">
        <v>0</v>
      </c>
      <c r="Z4886" s="80" t="s">
        <v>50</v>
      </c>
      <c r="AA4886" s="35" t="s">
        <v>3291</v>
      </c>
      <c r="AB4886" s="80"/>
      <c r="AC4886" s="80" t="s">
        <v>53</v>
      </c>
      <c r="AD4886" s="80" t="s">
        <v>54</v>
      </c>
      <c r="AE4886" s="80" t="s">
        <v>11151</v>
      </c>
      <c r="AF4886" s="17">
        <v>45630</v>
      </c>
      <c r="AG4886" s="80"/>
      <c r="AH4886" s="80"/>
      <c r="AI4886" s="147" t="s">
        <v>64</v>
      </c>
      <c r="AJ4886" s="80"/>
      <c r="AK4886" s="80"/>
      <c r="AL4886" s="35"/>
      <c r="AM4886" s="35"/>
      <c r="AN4886" s="35"/>
      <c r="AO4886" s="35"/>
      <c r="AP4886" s="35"/>
    </row>
    <row r="4887" spans="1:42" x14ac:dyDescent="0.2">
      <c r="A4887" s="74">
        <v>45626</v>
      </c>
      <c r="B4887" s="137" t="s">
        <v>37</v>
      </c>
      <c r="C4887" s="41" t="s">
        <v>118</v>
      </c>
      <c r="D4887" s="80" t="s">
        <v>36</v>
      </c>
      <c r="E4887" s="80" t="s">
        <v>139</v>
      </c>
      <c r="F4887" s="80" t="s">
        <v>15506</v>
      </c>
      <c r="G4887" s="80" t="s">
        <v>108</v>
      </c>
      <c r="H4887" s="80" t="s">
        <v>15974</v>
      </c>
      <c r="I4887" s="17">
        <f ca="1">IFERROR(__xludf.DUMMYFUNCTION("""COMPUTED_VALUE"""),45639)</f>
        <v>45639</v>
      </c>
      <c r="J4887" s="143" t="s">
        <v>16037</v>
      </c>
      <c r="K4887" s="80" t="s">
        <v>16038</v>
      </c>
      <c r="L4887" s="30">
        <v>376935431</v>
      </c>
      <c r="M4887" s="80" t="s">
        <v>3288</v>
      </c>
      <c r="N4887" s="80" t="s">
        <v>200</v>
      </c>
      <c r="O4887" s="80" t="s">
        <v>91</v>
      </c>
      <c r="P4887" s="144" t="s">
        <v>16927</v>
      </c>
      <c r="Q4887" s="20">
        <v>15936</v>
      </c>
      <c r="R4887" s="80" t="s">
        <v>1106</v>
      </c>
      <c r="S4887" s="95">
        <f>1000+1000</f>
        <v>2000</v>
      </c>
      <c r="T4887" s="83" t="s">
        <v>16040</v>
      </c>
      <c r="U4887" s="95">
        <v>13786</v>
      </c>
      <c r="V4887" s="148">
        <v>45591</v>
      </c>
      <c r="W4887" s="85" t="s">
        <v>16041</v>
      </c>
      <c r="X4887" s="80"/>
      <c r="Y4887" s="22">
        <v>150</v>
      </c>
      <c r="Z4887" s="80" t="s">
        <v>50</v>
      </c>
      <c r="AA4887" s="96" t="s">
        <v>9905</v>
      </c>
      <c r="AB4887" s="80"/>
      <c r="AC4887" s="80" t="s">
        <v>53</v>
      </c>
      <c r="AD4887" s="80" t="s">
        <v>54</v>
      </c>
      <c r="AE4887" s="80" t="s">
        <v>15506</v>
      </c>
      <c r="AF4887" s="17">
        <v>45628</v>
      </c>
      <c r="AG4887" s="80"/>
      <c r="AH4887" s="80"/>
      <c r="AI4887" s="147"/>
      <c r="AJ4887" s="80"/>
      <c r="AK4887" s="80"/>
      <c r="AL4887" s="35"/>
      <c r="AM4887" s="35"/>
      <c r="AN4887" s="35"/>
      <c r="AO4887" s="35"/>
      <c r="AP4887" s="35"/>
    </row>
    <row r="4888" spans="1:42" x14ac:dyDescent="0.2">
      <c r="A4888" s="74">
        <v>45626</v>
      </c>
      <c r="B4888" s="137" t="s">
        <v>37</v>
      </c>
      <c r="C4888" s="41" t="s">
        <v>118</v>
      </c>
      <c r="D4888" s="80" t="s">
        <v>36</v>
      </c>
      <c r="E4888" s="80" t="s">
        <v>139</v>
      </c>
      <c r="F4888" s="80" t="s">
        <v>14159</v>
      </c>
      <c r="G4888" s="80" t="s">
        <v>108</v>
      </c>
      <c r="H4888" s="80" t="s">
        <v>16890</v>
      </c>
      <c r="I4888" s="17">
        <f ca="1">IFERROR(__xludf.DUMMYFUNCTION("""COMPUTED_VALUE"""),45636)</f>
        <v>45636</v>
      </c>
      <c r="J4888" s="143" t="s">
        <v>16077</v>
      </c>
      <c r="K4888" s="80" t="s">
        <v>16078</v>
      </c>
      <c r="L4888" s="30">
        <v>973963450</v>
      </c>
      <c r="M4888" s="80" t="s">
        <v>15970</v>
      </c>
      <c r="N4888" s="80" t="s">
        <v>16079</v>
      </c>
      <c r="O4888" s="80" t="s">
        <v>16080</v>
      </c>
      <c r="P4888" s="144" t="s">
        <v>16928</v>
      </c>
      <c r="Q4888" s="20">
        <v>15936</v>
      </c>
      <c r="R4888" s="80" t="s">
        <v>36</v>
      </c>
      <c r="S4888" s="95">
        <f>300+1968</f>
        <v>2268</v>
      </c>
      <c r="T4888" s="83" t="s">
        <v>16082</v>
      </c>
      <c r="U4888" s="95">
        <v>13668</v>
      </c>
      <c r="V4888" s="148">
        <v>45578</v>
      </c>
      <c r="W4888" s="85" t="s">
        <v>16083</v>
      </c>
      <c r="X4888" s="80"/>
      <c r="Y4888" s="22">
        <v>0</v>
      </c>
      <c r="Z4888" s="80" t="s">
        <v>50</v>
      </c>
      <c r="AA4888" s="35" t="s">
        <v>9905</v>
      </c>
      <c r="AB4888" s="80"/>
      <c r="AC4888" s="80" t="s">
        <v>53</v>
      </c>
      <c r="AD4888" s="80" t="s">
        <v>54</v>
      </c>
      <c r="AE4888" s="80" t="s">
        <v>14159</v>
      </c>
      <c r="AF4888" s="17">
        <v>45630</v>
      </c>
      <c r="AG4888" s="80"/>
      <c r="AH4888" s="80"/>
      <c r="AI4888" s="147"/>
      <c r="AJ4888" s="80"/>
      <c r="AK4888" s="80"/>
      <c r="AL4888" s="35"/>
      <c r="AM4888" s="35"/>
      <c r="AN4888" s="35"/>
      <c r="AO4888" s="35"/>
      <c r="AP4888" s="35"/>
    </row>
    <row r="4889" spans="1:42" x14ac:dyDescent="0.2">
      <c r="A4889" s="74">
        <v>45626</v>
      </c>
      <c r="B4889" s="137" t="s">
        <v>1703</v>
      </c>
      <c r="C4889" s="41" t="s">
        <v>118</v>
      </c>
      <c r="D4889" s="80" t="s">
        <v>36</v>
      </c>
      <c r="E4889" s="80" t="s">
        <v>139</v>
      </c>
      <c r="F4889" s="80" t="s">
        <v>15506</v>
      </c>
      <c r="G4889" s="80" t="s">
        <v>108</v>
      </c>
      <c r="H4889" s="80" t="s">
        <v>865</v>
      </c>
      <c r="I4889" s="17" t="str">
        <f ca="1">IFERROR(__xludf.DUMMYFUNCTION("""COMPUTED_VALUE""")," ")</f>
        <v xml:space="preserve"> </v>
      </c>
      <c r="J4889" s="143" t="s">
        <v>16929</v>
      </c>
      <c r="K4889" s="145" t="s">
        <v>16930</v>
      </c>
      <c r="L4889" s="30">
        <v>865094327</v>
      </c>
      <c r="M4889" s="80" t="s">
        <v>3288</v>
      </c>
      <c r="N4889" s="80" t="s">
        <v>200</v>
      </c>
      <c r="O4889" s="80" t="s">
        <v>91</v>
      </c>
      <c r="P4889" s="144" t="s">
        <v>16931</v>
      </c>
      <c r="Q4889" s="20">
        <v>15936</v>
      </c>
      <c r="R4889" s="80" t="s">
        <v>1106</v>
      </c>
      <c r="S4889" s="95">
        <f>1000+968+5000</f>
        <v>6968</v>
      </c>
      <c r="T4889" s="83" t="s">
        <v>16932</v>
      </c>
      <c r="U4889" s="95">
        <f>5000+3818</f>
        <v>8818</v>
      </c>
      <c r="V4889" s="83" t="s">
        <v>16933</v>
      </c>
      <c r="W4889" s="85" t="s">
        <v>16934</v>
      </c>
      <c r="X4889" s="80"/>
      <c r="Y4889" s="22">
        <v>150</v>
      </c>
      <c r="Z4889" s="80" t="s">
        <v>50</v>
      </c>
      <c r="AA4889" s="86" t="s">
        <v>14723</v>
      </c>
      <c r="AB4889" s="80"/>
      <c r="AC4889" s="80" t="s">
        <v>53</v>
      </c>
      <c r="AD4889" s="80" t="s">
        <v>54</v>
      </c>
      <c r="AE4889" s="80" t="s">
        <v>15506</v>
      </c>
      <c r="AF4889" s="17"/>
      <c r="AG4889" s="80"/>
      <c r="AH4889" s="80"/>
      <c r="AI4889" s="147"/>
      <c r="AJ4889" s="80"/>
      <c r="AK4889" s="80"/>
      <c r="AL4889" s="35"/>
      <c r="AM4889" s="35"/>
      <c r="AN4889" s="35"/>
      <c r="AO4889" s="35"/>
      <c r="AP4889" s="35"/>
    </row>
    <row r="4890" spans="1:42" x14ac:dyDescent="0.2">
      <c r="A4890" s="74">
        <v>45626</v>
      </c>
      <c r="B4890" s="137" t="s">
        <v>37</v>
      </c>
      <c r="C4890" s="41" t="s">
        <v>118</v>
      </c>
      <c r="D4890" s="80" t="s">
        <v>36</v>
      </c>
      <c r="E4890" s="80" t="s">
        <v>139</v>
      </c>
      <c r="F4890" s="80" t="s">
        <v>10992</v>
      </c>
      <c r="G4890" s="80" t="s">
        <v>108</v>
      </c>
      <c r="H4890" s="80" t="s">
        <v>15974</v>
      </c>
      <c r="I4890" s="17">
        <f ca="1">IFERROR(__xludf.DUMMYFUNCTION("""COMPUTED_VALUE"""),45639)</f>
        <v>45639</v>
      </c>
      <c r="J4890" s="143" t="s">
        <v>15575</v>
      </c>
      <c r="K4890" s="80" t="s">
        <v>16935</v>
      </c>
      <c r="L4890" s="30">
        <v>941571938</v>
      </c>
      <c r="M4890" s="80" t="s">
        <v>12644</v>
      </c>
      <c r="N4890" s="80" t="s">
        <v>8725</v>
      </c>
      <c r="O4890" s="80" t="s">
        <v>15577</v>
      </c>
      <c r="P4890" s="144" t="s">
        <v>15578</v>
      </c>
      <c r="Q4890" s="20">
        <v>15936</v>
      </c>
      <c r="R4890" s="80" t="s">
        <v>36</v>
      </c>
      <c r="S4890" s="95">
        <v>2000</v>
      </c>
      <c r="T4890" s="148">
        <v>45559</v>
      </c>
      <c r="U4890" s="95">
        <v>13936</v>
      </c>
      <c r="V4890" s="148">
        <v>45582</v>
      </c>
      <c r="W4890" s="85" t="s">
        <v>15579</v>
      </c>
      <c r="X4890" s="80"/>
      <c r="Y4890" s="22">
        <v>0</v>
      </c>
      <c r="Z4890" s="80" t="s">
        <v>50</v>
      </c>
      <c r="AA4890" s="35" t="s">
        <v>9905</v>
      </c>
      <c r="AB4890" s="80"/>
      <c r="AC4890" s="80" t="s">
        <v>53</v>
      </c>
      <c r="AD4890" s="80" t="s">
        <v>54</v>
      </c>
      <c r="AE4890" s="80" t="s">
        <v>10992</v>
      </c>
      <c r="AF4890" s="17">
        <v>45628</v>
      </c>
      <c r="AG4890" s="80"/>
      <c r="AH4890" s="80"/>
      <c r="AI4890" s="147"/>
      <c r="AJ4890" s="80"/>
      <c r="AK4890" s="80"/>
      <c r="AL4890" s="35"/>
      <c r="AM4890" s="35"/>
      <c r="AN4890" s="35"/>
      <c r="AO4890" s="35"/>
      <c r="AP4890" s="35"/>
    </row>
    <row r="4891" spans="1:42" x14ac:dyDescent="0.2">
      <c r="A4891" s="99">
        <v>45628</v>
      </c>
      <c r="B4891" s="137"/>
      <c r="C4891" s="41" t="s">
        <v>118</v>
      </c>
      <c r="D4891" s="80" t="s">
        <v>36</v>
      </c>
      <c r="E4891" s="80" t="s">
        <v>39</v>
      </c>
      <c r="F4891" s="80" t="s">
        <v>10992</v>
      </c>
      <c r="G4891" s="80" t="s">
        <v>108</v>
      </c>
      <c r="H4891" s="80" t="s">
        <v>16936</v>
      </c>
      <c r="I4891" s="17" t="str">
        <f ca="1">IFERROR(__xludf.DUMMYFUNCTION("""COMPUTED_VALUE""")," ")</f>
        <v xml:space="preserve"> </v>
      </c>
      <c r="J4891" s="143" t="s">
        <v>13531</v>
      </c>
      <c r="K4891" s="80" t="s">
        <v>6018</v>
      </c>
      <c r="L4891" s="30">
        <v>363454105</v>
      </c>
      <c r="M4891" s="80" t="s">
        <v>45</v>
      </c>
      <c r="N4891" s="80" t="s">
        <v>12712</v>
      </c>
      <c r="O4891" s="80" t="s">
        <v>13532</v>
      </c>
      <c r="P4891" s="144" t="s">
        <v>16937</v>
      </c>
      <c r="Q4891" s="20">
        <v>5736</v>
      </c>
      <c r="R4891" s="80" t="s">
        <v>36</v>
      </c>
      <c r="S4891" s="95">
        <v>5736</v>
      </c>
      <c r="T4891" s="148">
        <v>45561</v>
      </c>
      <c r="U4891" s="77"/>
      <c r="V4891" s="78"/>
      <c r="W4891" s="85" t="s">
        <v>13534</v>
      </c>
      <c r="X4891" s="80">
        <v>0</v>
      </c>
      <c r="Y4891" s="22">
        <v>0</v>
      </c>
      <c r="Z4891" s="80" t="s">
        <v>50</v>
      </c>
      <c r="AA4891" s="96" t="s">
        <v>3291</v>
      </c>
      <c r="AB4891" s="80"/>
      <c r="AC4891" s="80" t="s">
        <v>53</v>
      </c>
      <c r="AD4891" s="80" t="s">
        <v>54</v>
      </c>
      <c r="AE4891" s="80" t="s">
        <v>10992</v>
      </c>
      <c r="AF4891" s="17">
        <v>45628</v>
      </c>
      <c r="AG4891" s="80"/>
      <c r="AH4891" s="80"/>
      <c r="AI4891" s="147" t="s">
        <v>55</v>
      </c>
      <c r="AJ4891" s="80"/>
      <c r="AK4891" s="80"/>
      <c r="AL4891" s="35"/>
      <c r="AM4891" s="35"/>
      <c r="AN4891" s="35"/>
      <c r="AO4891" s="35"/>
      <c r="AP4891" s="35"/>
    </row>
    <row r="4892" spans="1:42" x14ac:dyDescent="0.2">
      <c r="A4892" s="99">
        <v>45628</v>
      </c>
      <c r="B4892" s="28" t="s">
        <v>37</v>
      </c>
      <c r="C4892" s="41" t="s">
        <v>118</v>
      </c>
      <c r="D4892" s="26" t="s">
        <v>36</v>
      </c>
      <c r="E4892" s="26" t="s">
        <v>56</v>
      </c>
      <c r="F4892" s="26" t="s">
        <v>6050</v>
      </c>
      <c r="G4892" s="26" t="s">
        <v>221</v>
      </c>
      <c r="H4892" s="26" t="s">
        <v>13682</v>
      </c>
      <c r="I4892" s="17">
        <f ca="1">IFERROR(__xludf.DUMMYFUNCTION("""COMPUTED_VALUE"""),45653)</f>
        <v>45653</v>
      </c>
      <c r="J4892" s="44" t="s">
        <v>4968</v>
      </c>
      <c r="K4892" s="26" t="s">
        <v>16938</v>
      </c>
      <c r="L4892" s="30">
        <v>963789993</v>
      </c>
      <c r="M4892" s="26" t="s">
        <v>80</v>
      </c>
      <c r="N4892" s="26" t="s">
        <v>81</v>
      </c>
      <c r="O4892" s="26" t="s">
        <v>4970</v>
      </c>
      <c r="P4892" s="42" t="s">
        <v>7964</v>
      </c>
      <c r="Q4892" s="20">
        <v>9317</v>
      </c>
      <c r="R4892" s="26" t="s">
        <v>36</v>
      </c>
      <c r="S4892" s="31">
        <v>2000</v>
      </c>
      <c r="T4892" s="32">
        <v>45188</v>
      </c>
      <c r="U4892" s="31">
        <v>7317</v>
      </c>
      <c r="V4892" s="32">
        <v>45217</v>
      </c>
      <c r="W4892" s="33" t="s">
        <v>4972</v>
      </c>
      <c r="X4892" s="26"/>
      <c r="Y4892" s="22">
        <v>0</v>
      </c>
      <c r="Z4892" s="26" t="s">
        <v>118</v>
      </c>
      <c r="AA4892" s="19" t="s">
        <v>4541</v>
      </c>
      <c r="AB4892" s="26" t="s">
        <v>36</v>
      </c>
      <c r="AC4892" s="26" t="s">
        <v>53</v>
      </c>
      <c r="AD4892" s="19" t="s">
        <v>138</v>
      </c>
      <c r="AE4892" s="26" t="s">
        <v>6050</v>
      </c>
      <c r="AF4892" s="17">
        <v>45398</v>
      </c>
      <c r="AG4892" s="26"/>
      <c r="AH4892" s="26"/>
      <c r="AI4892" s="40"/>
      <c r="AJ4892" s="26"/>
      <c r="AK4892" s="26"/>
      <c r="AL4892" s="35"/>
      <c r="AM4892" s="35"/>
      <c r="AN4892" s="35"/>
      <c r="AO4892" s="35"/>
      <c r="AP4892" s="35"/>
    </row>
    <row r="4893" spans="1:42" x14ac:dyDescent="0.2">
      <c r="A4893" s="99">
        <v>45628</v>
      </c>
      <c r="B4893" s="28" t="s">
        <v>37</v>
      </c>
      <c r="C4893" s="41" t="s">
        <v>118</v>
      </c>
      <c r="D4893" s="26" t="s">
        <v>36</v>
      </c>
      <c r="E4893" s="26" t="s">
        <v>56</v>
      </c>
      <c r="F4893" s="26" t="s">
        <v>13682</v>
      </c>
      <c r="G4893" s="26" t="s">
        <v>221</v>
      </c>
      <c r="H4893" s="26" t="s">
        <v>16939</v>
      </c>
      <c r="I4893" s="17">
        <f ca="1">IFERROR(__xludf.DUMMYFUNCTION("""COMPUTED_VALUE"""),45769)</f>
        <v>45769</v>
      </c>
      <c r="J4893" s="44" t="s">
        <v>4968</v>
      </c>
      <c r="K4893" s="26" t="s">
        <v>16940</v>
      </c>
      <c r="L4893" s="30">
        <v>963789993</v>
      </c>
      <c r="M4893" s="26" t="s">
        <v>80</v>
      </c>
      <c r="N4893" s="26" t="s">
        <v>81</v>
      </c>
      <c r="O4893" s="26" t="s">
        <v>4970</v>
      </c>
      <c r="P4893" s="42" t="s">
        <v>7964</v>
      </c>
      <c r="Q4893" s="20">
        <v>9317</v>
      </c>
      <c r="R4893" s="26" t="s">
        <v>36</v>
      </c>
      <c r="S4893" s="31">
        <v>2000</v>
      </c>
      <c r="T4893" s="32">
        <v>45188</v>
      </c>
      <c r="U4893" s="31">
        <v>7317</v>
      </c>
      <c r="V4893" s="32">
        <v>45217</v>
      </c>
      <c r="W4893" s="33" t="s">
        <v>4972</v>
      </c>
      <c r="X4893" s="26"/>
      <c r="Y4893" s="22">
        <v>0</v>
      </c>
      <c r="Z4893" s="26" t="s">
        <v>118</v>
      </c>
      <c r="AA4893" s="19" t="s">
        <v>4541</v>
      </c>
      <c r="AB4893" s="26" t="s">
        <v>36</v>
      </c>
      <c r="AC4893" s="26" t="s">
        <v>53</v>
      </c>
      <c r="AD4893" s="19" t="s">
        <v>138</v>
      </c>
      <c r="AE4893" s="26" t="s">
        <v>6050</v>
      </c>
      <c r="AF4893" s="17">
        <v>45398</v>
      </c>
      <c r="AG4893" s="26" t="s">
        <v>16941</v>
      </c>
      <c r="AH4893" s="26"/>
      <c r="AI4893" s="40"/>
      <c r="AJ4893" s="26"/>
      <c r="AK4893" s="26"/>
      <c r="AL4893" s="35"/>
      <c r="AM4893" s="35"/>
      <c r="AN4893" s="35"/>
      <c r="AO4893" s="35"/>
      <c r="AP4893" s="35"/>
    </row>
    <row r="4894" spans="1:42" x14ac:dyDescent="0.2">
      <c r="A4894" s="99">
        <v>45628</v>
      </c>
      <c r="B4894" s="28" t="s">
        <v>37</v>
      </c>
      <c r="C4894" s="41" t="s">
        <v>118</v>
      </c>
      <c r="D4894" s="80" t="s">
        <v>36</v>
      </c>
      <c r="E4894" s="80" t="s">
        <v>56</v>
      </c>
      <c r="F4894" s="80" t="s">
        <v>15506</v>
      </c>
      <c r="G4894" s="80" t="s">
        <v>108</v>
      </c>
      <c r="H4894" s="80" t="s">
        <v>15974</v>
      </c>
      <c r="I4894" s="17">
        <f ca="1">IFERROR(__xludf.DUMMYFUNCTION("""COMPUTED_VALUE"""),45639)</f>
        <v>45639</v>
      </c>
      <c r="J4894" s="143" t="s">
        <v>16942</v>
      </c>
      <c r="K4894" s="80" t="s">
        <v>16943</v>
      </c>
      <c r="L4894" s="30">
        <v>394524523</v>
      </c>
      <c r="M4894" s="80" t="s">
        <v>12529</v>
      </c>
      <c r="N4894" s="80" t="s">
        <v>13566</v>
      </c>
      <c r="O4894" s="80" t="s">
        <v>16944</v>
      </c>
      <c r="P4894" s="144" t="s">
        <v>16945</v>
      </c>
      <c r="Q4894" s="20">
        <v>9317</v>
      </c>
      <c r="R4894" s="80" t="s">
        <v>36</v>
      </c>
      <c r="S4894" s="95">
        <f>200+1800</f>
        <v>2000</v>
      </c>
      <c r="T4894" s="83" t="s">
        <v>15942</v>
      </c>
      <c r="U4894" s="77">
        <v>7317</v>
      </c>
      <c r="V4894" s="78">
        <v>45600</v>
      </c>
      <c r="W4894" s="85" t="s">
        <v>16946</v>
      </c>
      <c r="X4894" s="80"/>
      <c r="Y4894" s="22">
        <v>0</v>
      </c>
      <c r="Z4894" s="80" t="s">
        <v>50</v>
      </c>
      <c r="AA4894" s="86" t="s">
        <v>14723</v>
      </c>
      <c r="AB4894" s="80"/>
      <c r="AC4894" s="80" t="s">
        <v>53</v>
      </c>
      <c r="AD4894" s="80" t="s">
        <v>54</v>
      </c>
      <c r="AE4894" s="80" t="s">
        <v>15506</v>
      </c>
      <c r="AF4894" s="17">
        <v>45628</v>
      </c>
      <c r="AG4894" s="80" t="s">
        <v>7078</v>
      </c>
      <c r="AH4894" s="80"/>
      <c r="AI4894" s="147"/>
      <c r="AJ4894" s="80"/>
      <c r="AK4894" s="80"/>
      <c r="AL4894" s="35"/>
      <c r="AM4894" s="35"/>
      <c r="AN4894" s="35"/>
      <c r="AO4894" s="35"/>
      <c r="AP4894" s="35"/>
    </row>
    <row r="4895" spans="1:42" x14ac:dyDescent="0.2">
      <c r="A4895" s="99">
        <v>45628</v>
      </c>
      <c r="B4895" s="28" t="s">
        <v>37</v>
      </c>
      <c r="C4895" s="41" t="s">
        <v>118</v>
      </c>
      <c r="D4895" s="80" t="s">
        <v>36</v>
      </c>
      <c r="E4895" s="80" t="s">
        <v>139</v>
      </c>
      <c r="F4895" s="80" t="s">
        <v>15506</v>
      </c>
      <c r="G4895" s="80" t="s">
        <v>108</v>
      </c>
      <c r="H4895" s="80" t="s">
        <v>12982</v>
      </c>
      <c r="I4895" s="17">
        <f ca="1">IFERROR(__xludf.DUMMYFUNCTION("""COMPUTED_VALUE"""),45670)</f>
        <v>45670</v>
      </c>
      <c r="J4895" s="143" t="s">
        <v>15980</v>
      </c>
      <c r="K4895" s="80" t="s">
        <v>15981</v>
      </c>
      <c r="L4895" s="30">
        <v>972264118</v>
      </c>
      <c r="M4895" s="80" t="s">
        <v>348</v>
      </c>
      <c r="N4895" s="80" t="s">
        <v>200</v>
      </c>
      <c r="O4895" s="80" t="s">
        <v>91</v>
      </c>
      <c r="P4895" s="144" t="s">
        <v>16947</v>
      </c>
      <c r="Q4895" s="20">
        <v>15936</v>
      </c>
      <c r="R4895" s="80" t="s">
        <v>36</v>
      </c>
      <c r="S4895" s="95">
        <v>15936</v>
      </c>
      <c r="T4895" s="148" t="s">
        <v>15983</v>
      </c>
      <c r="U4895" s="77"/>
      <c r="V4895" s="78"/>
      <c r="W4895" s="85" t="s">
        <v>15984</v>
      </c>
      <c r="X4895" s="80"/>
      <c r="Y4895" s="22">
        <v>0</v>
      </c>
      <c r="Z4895" s="80" t="s">
        <v>50</v>
      </c>
      <c r="AA4895" s="96" t="s">
        <v>9905</v>
      </c>
      <c r="AB4895" s="80"/>
      <c r="AC4895" s="80" t="s">
        <v>53</v>
      </c>
      <c r="AD4895" s="80" t="s">
        <v>54</v>
      </c>
      <c r="AE4895" s="80" t="s">
        <v>15506</v>
      </c>
      <c r="AF4895" s="17">
        <v>45298</v>
      </c>
      <c r="AG4895" s="80"/>
      <c r="AH4895" s="80"/>
      <c r="AI4895" s="147"/>
      <c r="AJ4895" s="80"/>
      <c r="AK4895" s="80"/>
      <c r="AL4895" s="35"/>
      <c r="AM4895" s="35"/>
      <c r="AN4895" s="35"/>
      <c r="AO4895" s="35"/>
      <c r="AP4895" s="35"/>
    </row>
    <row r="4896" spans="1:42" x14ac:dyDescent="0.2">
      <c r="A4896" s="99">
        <v>45628</v>
      </c>
      <c r="B4896" s="28" t="s">
        <v>37</v>
      </c>
      <c r="C4896" s="41" t="s">
        <v>118</v>
      </c>
      <c r="D4896" s="26" t="s">
        <v>36</v>
      </c>
      <c r="E4896" s="26" t="s">
        <v>119</v>
      </c>
      <c r="F4896" s="26" t="s">
        <v>8867</v>
      </c>
      <c r="G4896" s="26" t="s">
        <v>221</v>
      </c>
      <c r="H4896" s="26" t="s">
        <v>13748</v>
      </c>
      <c r="I4896" s="17">
        <f ca="1">IFERROR(__xludf.DUMMYFUNCTION("""COMPUTED_VALUE"""),45636)</f>
        <v>45636</v>
      </c>
      <c r="J4896" s="29" t="s">
        <v>10795</v>
      </c>
      <c r="K4896" s="26" t="s">
        <v>10796</v>
      </c>
      <c r="L4896" s="30">
        <v>862989849</v>
      </c>
      <c r="M4896" s="26" t="s">
        <v>5429</v>
      </c>
      <c r="N4896" s="26" t="s">
        <v>756</v>
      </c>
      <c r="O4896" s="26" t="s">
        <v>10797</v>
      </c>
      <c r="P4896" s="42" t="s">
        <v>16948</v>
      </c>
      <c r="Q4896" s="20">
        <v>13968</v>
      </c>
      <c r="R4896" s="26" t="s">
        <v>36</v>
      </c>
      <c r="S4896" s="95">
        <f>200+3800</f>
        <v>4000</v>
      </c>
      <c r="T4896" s="83" t="s">
        <v>10799</v>
      </c>
      <c r="U4896" s="95">
        <v>9968</v>
      </c>
      <c r="V4896" s="148">
        <v>45515</v>
      </c>
      <c r="W4896" s="33" t="s">
        <v>10800</v>
      </c>
      <c r="X4896" s="26">
        <v>0</v>
      </c>
      <c r="Y4896" s="22">
        <v>0</v>
      </c>
      <c r="Z4896" s="26" t="s">
        <v>50</v>
      </c>
      <c r="AA4896" s="35" t="s">
        <v>10314</v>
      </c>
      <c r="AB4896" s="26"/>
      <c r="AC4896" s="26" t="s">
        <v>53</v>
      </c>
      <c r="AD4896" s="26" t="s">
        <v>54</v>
      </c>
      <c r="AE4896" s="26" t="s">
        <v>8867</v>
      </c>
      <c r="AF4896" s="17">
        <v>45630</v>
      </c>
      <c r="AG4896" s="26"/>
      <c r="AH4896" s="26"/>
      <c r="AI4896" s="40"/>
      <c r="AJ4896" s="26"/>
      <c r="AK4896" s="26"/>
      <c r="AL4896" s="35"/>
      <c r="AM4896" s="35"/>
      <c r="AN4896" s="35"/>
      <c r="AO4896" s="35"/>
      <c r="AP4896" s="35"/>
    </row>
    <row r="4897" spans="1:42" x14ac:dyDescent="0.2">
      <c r="A4897" s="99">
        <v>45628</v>
      </c>
      <c r="B4897" s="137" t="s">
        <v>37</v>
      </c>
      <c r="C4897" s="41" t="s">
        <v>118</v>
      </c>
      <c r="D4897" s="80" t="s">
        <v>36</v>
      </c>
      <c r="E4897" s="80" t="s">
        <v>119</v>
      </c>
      <c r="F4897" s="80" t="s">
        <v>1242</v>
      </c>
      <c r="G4897" s="26" t="s">
        <v>221</v>
      </c>
      <c r="H4897" s="26" t="s">
        <v>16949</v>
      </c>
      <c r="I4897" s="17">
        <f ca="1">IFERROR(__xludf.DUMMYFUNCTION("""COMPUTED_VALUE"""),45758)</f>
        <v>45758</v>
      </c>
      <c r="J4897" s="143" t="s">
        <v>11098</v>
      </c>
      <c r="K4897" s="80" t="s">
        <v>16950</v>
      </c>
      <c r="L4897" s="30">
        <v>967085134</v>
      </c>
      <c r="M4897" s="80" t="s">
        <v>80</v>
      </c>
      <c r="N4897" s="80" t="s">
        <v>1073</v>
      </c>
      <c r="O4897" s="80" t="s">
        <v>11100</v>
      </c>
      <c r="P4897" s="115" t="s">
        <v>16951</v>
      </c>
      <c r="Q4897" s="20">
        <v>13968</v>
      </c>
      <c r="R4897" s="80" t="s">
        <v>36</v>
      </c>
      <c r="S4897" s="95">
        <v>4000</v>
      </c>
      <c r="T4897" s="148">
        <v>45500</v>
      </c>
      <c r="U4897" s="95">
        <v>9968</v>
      </c>
      <c r="V4897" s="148">
        <v>45526</v>
      </c>
      <c r="W4897" s="85" t="s">
        <v>11102</v>
      </c>
      <c r="X4897" s="80">
        <v>0</v>
      </c>
      <c r="Y4897" s="22">
        <v>0</v>
      </c>
      <c r="Z4897" s="80" t="s">
        <v>50</v>
      </c>
      <c r="AA4897" s="96" t="s">
        <v>10314</v>
      </c>
      <c r="AB4897" s="80"/>
      <c r="AC4897" s="80" t="s">
        <v>53</v>
      </c>
      <c r="AD4897" s="80" t="s">
        <v>54</v>
      </c>
      <c r="AE4897" s="80" t="s">
        <v>1242</v>
      </c>
      <c r="AF4897" s="17">
        <v>45630</v>
      </c>
      <c r="AG4897" s="80"/>
      <c r="AH4897" s="80"/>
      <c r="AI4897" s="147"/>
      <c r="AJ4897" s="80"/>
      <c r="AK4897" s="80"/>
      <c r="AL4897" s="35"/>
      <c r="AM4897" s="35"/>
      <c r="AN4897" s="35"/>
      <c r="AO4897" s="35"/>
      <c r="AP4897" s="35"/>
    </row>
    <row r="4898" spans="1:42" x14ac:dyDescent="0.2">
      <c r="A4898" s="99">
        <v>45628</v>
      </c>
      <c r="B4898" s="28" t="s">
        <v>37</v>
      </c>
      <c r="C4898" s="41" t="s">
        <v>118</v>
      </c>
      <c r="D4898" s="80" t="s">
        <v>36</v>
      </c>
      <c r="E4898" s="80" t="s">
        <v>119</v>
      </c>
      <c r="F4898" s="80" t="s">
        <v>450</v>
      </c>
      <c r="G4898" s="26" t="s">
        <v>221</v>
      </c>
      <c r="H4898" s="26" t="s">
        <v>13748</v>
      </c>
      <c r="I4898" s="17">
        <f ca="1">IFERROR(__xludf.DUMMYFUNCTION("""COMPUTED_VALUE"""),45636)</f>
        <v>45636</v>
      </c>
      <c r="J4898" s="143" t="s">
        <v>12061</v>
      </c>
      <c r="K4898" s="80" t="s">
        <v>16952</v>
      </c>
      <c r="L4898" s="30">
        <v>943238495</v>
      </c>
      <c r="M4898" s="80" t="s">
        <v>910</v>
      </c>
      <c r="N4898" s="80" t="s">
        <v>3525</v>
      </c>
      <c r="O4898" s="80" t="s">
        <v>12063</v>
      </c>
      <c r="P4898" s="115" t="s">
        <v>16953</v>
      </c>
      <c r="Q4898" s="20">
        <v>13968</v>
      </c>
      <c r="R4898" s="80" t="s">
        <v>1106</v>
      </c>
      <c r="S4898" s="95">
        <f>2000+2000</f>
        <v>4000</v>
      </c>
      <c r="T4898" s="83" t="s">
        <v>12065</v>
      </c>
      <c r="U4898" s="95">
        <v>9818</v>
      </c>
      <c r="V4898" s="148">
        <v>45553</v>
      </c>
      <c r="W4898" s="85" t="s">
        <v>12066</v>
      </c>
      <c r="X4898" s="80">
        <v>150</v>
      </c>
      <c r="Y4898" s="22">
        <v>0</v>
      </c>
      <c r="Z4898" s="80" t="s">
        <v>50</v>
      </c>
      <c r="AA4898" s="35" t="s">
        <v>3291</v>
      </c>
      <c r="AB4898" s="80"/>
      <c r="AC4898" s="80" t="s">
        <v>53</v>
      </c>
      <c r="AD4898" s="80" t="s">
        <v>54</v>
      </c>
      <c r="AE4898" s="80" t="s">
        <v>450</v>
      </c>
      <c r="AF4898" s="17">
        <v>45630</v>
      </c>
      <c r="AG4898" s="80"/>
      <c r="AH4898" s="80"/>
      <c r="AI4898" s="147">
        <v>4</v>
      </c>
      <c r="AJ4898" s="80"/>
      <c r="AK4898" s="80"/>
      <c r="AL4898" s="35"/>
      <c r="AM4898" s="35"/>
      <c r="AN4898" s="35"/>
      <c r="AO4898" s="35"/>
      <c r="AP4898" s="35"/>
    </row>
    <row r="4899" spans="1:42" x14ac:dyDescent="0.2">
      <c r="A4899" s="99">
        <v>45628</v>
      </c>
      <c r="B4899" s="28" t="s">
        <v>37</v>
      </c>
      <c r="C4899" s="41" t="s">
        <v>118</v>
      </c>
      <c r="D4899" s="80" t="s">
        <v>36</v>
      </c>
      <c r="E4899" s="80" t="s">
        <v>139</v>
      </c>
      <c r="F4899" s="80" t="s">
        <v>10992</v>
      </c>
      <c r="G4899" s="80" t="s">
        <v>108</v>
      </c>
      <c r="H4899" s="80" t="s">
        <v>16792</v>
      </c>
      <c r="I4899" s="17">
        <f ca="1">IFERROR(__xludf.DUMMYFUNCTION("""COMPUTED_VALUE"""),45632)</f>
        <v>45632</v>
      </c>
      <c r="J4899" s="143" t="s">
        <v>15833</v>
      </c>
      <c r="K4899" s="80" t="s">
        <v>16954</v>
      </c>
      <c r="L4899" s="30">
        <v>862016198</v>
      </c>
      <c r="M4899" s="80" t="s">
        <v>12720</v>
      </c>
      <c r="N4899" s="80" t="s">
        <v>1073</v>
      </c>
      <c r="O4899" s="80" t="s">
        <v>15835</v>
      </c>
      <c r="P4899" s="144" t="s">
        <v>16955</v>
      </c>
      <c r="Q4899" s="20">
        <v>15936</v>
      </c>
      <c r="R4899" s="80" t="s">
        <v>36</v>
      </c>
      <c r="S4899" s="95">
        <v>2000</v>
      </c>
      <c r="T4899" s="148">
        <v>45563</v>
      </c>
      <c r="U4899" s="95">
        <f>6000+7936</f>
        <v>13936</v>
      </c>
      <c r="V4899" s="179" t="s">
        <v>15837</v>
      </c>
      <c r="W4899" s="85" t="s">
        <v>15838</v>
      </c>
      <c r="X4899" s="80"/>
      <c r="Y4899" s="22">
        <v>0</v>
      </c>
      <c r="Z4899" s="80" t="s">
        <v>50</v>
      </c>
      <c r="AA4899" s="96" t="s">
        <v>9905</v>
      </c>
      <c r="AB4899" s="80"/>
      <c r="AC4899" s="80" t="s">
        <v>53</v>
      </c>
      <c r="AD4899" s="80" t="s">
        <v>54</v>
      </c>
      <c r="AE4899" s="80" t="s">
        <v>10992</v>
      </c>
      <c r="AF4899" s="17">
        <v>45629</v>
      </c>
      <c r="AG4899" s="80"/>
      <c r="AH4899" s="80"/>
      <c r="AI4899" s="147"/>
      <c r="AJ4899" s="80"/>
      <c r="AK4899" s="80"/>
      <c r="AL4899" s="35"/>
      <c r="AM4899" s="35"/>
      <c r="AN4899" s="35"/>
      <c r="AO4899" s="35"/>
      <c r="AP4899" s="35"/>
    </row>
    <row r="4900" spans="1:42" x14ac:dyDescent="0.2">
      <c r="A4900" s="99">
        <v>45628</v>
      </c>
      <c r="B4900" s="137" t="s">
        <v>37</v>
      </c>
      <c r="C4900" s="41" t="s">
        <v>118</v>
      </c>
      <c r="D4900" s="80" t="s">
        <v>36</v>
      </c>
      <c r="E4900" s="80" t="s">
        <v>56</v>
      </c>
      <c r="F4900" s="80" t="s">
        <v>16095</v>
      </c>
      <c r="G4900" s="80" t="s">
        <v>108</v>
      </c>
      <c r="H4900" s="80" t="s">
        <v>16903</v>
      </c>
      <c r="I4900" s="17">
        <f ca="1">IFERROR(__xludf.DUMMYFUNCTION("""COMPUTED_VALUE"""),45635)</f>
        <v>45635</v>
      </c>
      <c r="J4900" s="143" t="s">
        <v>16096</v>
      </c>
      <c r="K4900" s="80" t="s">
        <v>16097</v>
      </c>
      <c r="L4900" s="30">
        <v>375919673</v>
      </c>
      <c r="M4900" s="80" t="s">
        <v>59</v>
      </c>
      <c r="N4900" s="80" t="s">
        <v>9294</v>
      </c>
      <c r="O4900" s="80" t="s">
        <v>16098</v>
      </c>
      <c r="P4900" s="80" t="s">
        <v>16099</v>
      </c>
      <c r="Q4900" s="20">
        <v>9317</v>
      </c>
      <c r="R4900" s="80" t="s">
        <v>36</v>
      </c>
      <c r="S4900" s="95">
        <v>9017</v>
      </c>
      <c r="T4900" s="148">
        <v>45569</v>
      </c>
      <c r="U4900" s="77"/>
      <c r="V4900" s="78"/>
      <c r="W4900" s="85" t="s">
        <v>16100</v>
      </c>
      <c r="X4900" s="80"/>
      <c r="Y4900" s="22">
        <v>300</v>
      </c>
      <c r="Z4900" s="80" t="s">
        <v>50</v>
      </c>
      <c r="AA4900" s="35" t="s">
        <v>9905</v>
      </c>
      <c r="AB4900" s="80"/>
      <c r="AC4900" s="80" t="s">
        <v>1828</v>
      </c>
      <c r="AD4900" s="80" t="s">
        <v>54</v>
      </c>
      <c r="AE4900" s="80" t="s">
        <v>16095</v>
      </c>
      <c r="AF4900" s="60" t="s">
        <v>1829</v>
      </c>
      <c r="AG4900" s="80" t="s">
        <v>1828</v>
      </c>
      <c r="AH4900" s="80"/>
      <c r="AI4900" s="147"/>
      <c r="AJ4900" s="80"/>
      <c r="AK4900" s="80"/>
      <c r="AL4900" s="35"/>
      <c r="AM4900" s="35"/>
      <c r="AN4900" s="35"/>
      <c r="AO4900" s="35"/>
      <c r="AP4900" s="35"/>
    </row>
    <row r="4901" spans="1:42" x14ac:dyDescent="0.2">
      <c r="A4901" s="99">
        <v>45629</v>
      </c>
      <c r="B4901" s="137" t="s">
        <v>37</v>
      </c>
      <c r="C4901" s="41" t="s">
        <v>118</v>
      </c>
      <c r="D4901" s="80" t="s">
        <v>36</v>
      </c>
      <c r="E4901" s="80" t="s">
        <v>139</v>
      </c>
      <c r="F4901" s="80" t="s">
        <v>10992</v>
      </c>
      <c r="G4901" s="80" t="s">
        <v>108</v>
      </c>
      <c r="H4901" s="80" t="s">
        <v>16792</v>
      </c>
      <c r="I4901" s="17">
        <f ca="1">IFERROR(__xludf.DUMMYFUNCTION("""COMPUTED_VALUE"""),45632)</f>
        <v>45632</v>
      </c>
      <c r="J4901" s="143" t="s">
        <v>15861</v>
      </c>
      <c r="K4901" s="80" t="s">
        <v>16956</v>
      </c>
      <c r="L4901" s="30">
        <v>339504350</v>
      </c>
      <c r="M4901" s="80" t="s">
        <v>12720</v>
      </c>
      <c r="N4901" s="80" t="s">
        <v>1073</v>
      </c>
      <c r="O4901" s="80" t="s">
        <v>15863</v>
      </c>
      <c r="P4901" s="144" t="s">
        <v>16957</v>
      </c>
      <c r="Q4901" s="20">
        <v>15936</v>
      </c>
      <c r="R4901" s="80" t="s">
        <v>36</v>
      </c>
      <c r="S4901" s="95">
        <f>200+1800</f>
        <v>2000</v>
      </c>
      <c r="T4901" s="83" t="s">
        <v>13556</v>
      </c>
      <c r="U4901" s="95">
        <v>13936</v>
      </c>
      <c r="V4901" s="148">
        <v>45589</v>
      </c>
      <c r="W4901" s="80" t="s">
        <v>15865</v>
      </c>
      <c r="X4901" s="80"/>
      <c r="Y4901" s="22">
        <v>0</v>
      </c>
      <c r="Z4901" s="80" t="s">
        <v>50</v>
      </c>
      <c r="AA4901" s="96" t="s">
        <v>9905</v>
      </c>
      <c r="AB4901" s="80"/>
      <c r="AC4901" s="80" t="s">
        <v>53</v>
      </c>
      <c r="AD4901" s="80" t="s">
        <v>54</v>
      </c>
      <c r="AE4901" s="80" t="s">
        <v>10992</v>
      </c>
      <c r="AF4901" s="17">
        <v>45630</v>
      </c>
      <c r="AG4901" s="80"/>
      <c r="AH4901" s="80"/>
      <c r="AI4901" s="147"/>
      <c r="AJ4901" s="80"/>
      <c r="AK4901" s="80"/>
      <c r="AL4901" s="35"/>
      <c r="AM4901" s="35"/>
      <c r="AN4901" s="35"/>
      <c r="AO4901" s="35"/>
      <c r="AP4901" s="35"/>
    </row>
    <row r="4902" spans="1:42" x14ac:dyDescent="0.2">
      <c r="A4902" s="99">
        <v>45630</v>
      </c>
      <c r="B4902" s="137" t="s">
        <v>37</v>
      </c>
      <c r="C4902" s="41" t="s">
        <v>118</v>
      </c>
      <c r="D4902" s="80" t="s">
        <v>36</v>
      </c>
      <c r="E4902" s="80" t="s">
        <v>56</v>
      </c>
      <c r="F4902" s="80" t="s">
        <v>11392</v>
      </c>
      <c r="G4902" s="80" t="s">
        <v>108</v>
      </c>
      <c r="H4902" s="80" t="s">
        <v>16903</v>
      </c>
      <c r="I4902" s="17">
        <f ca="1">IFERROR(__xludf.DUMMYFUNCTION("""COMPUTED_VALUE"""),45635)</f>
        <v>45635</v>
      </c>
      <c r="J4902" s="143" t="s">
        <v>11393</v>
      </c>
      <c r="K4902" s="80" t="s">
        <v>16958</v>
      </c>
      <c r="L4902" s="30">
        <v>377769969</v>
      </c>
      <c r="M4902" s="80" t="s">
        <v>59</v>
      </c>
      <c r="N4902" s="80" t="s">
        <v>9294</v>
      </c>
      <c r="O4902" s="80" t="s">
        <v>11395</v>
      </c>
      <c r="P4902" s="115" t="s">
        <v>11396</v>
      </c>
      <c r="Q4902" s="20">
        <v>9317</v>
      </c>
      <c r="R4902" s="80" t="s">
        <v>36</v>
      </c>
      <c r="S4902" s="95">
        <f>200+9117</f>
        <v>9317</v>
      </c>
      <c r="T4902" s="148">
        <v>45516</v>
      </c>
      <c r="U4902" s="95"/>
      <c r="V4902" s="148">
        <v>45534</v>
      </c>
      <c r="W4902" s="85" t="s">
        <v>11397</v>
      </c>
      <c r="X4902" s="80">
        <v>0</v>
      </c>
      <c r="Y4902" s="22">
        <v>0</v>
      </c>
      <c r="Z4902" s="80" t="s">
        <v>50</v>
      </c>
      <c r="AA4902" s="35" t="s">
        <v>10314</v>
      </c>
      <c r="AB4902" s="80"/>
      <c r="AC4902" s="80" t="s">
        <v>53</v>
      </c>
      <c r="AD4902" s="80" t="s">
        <v>138</v>
      </c>
      <c r="AE4902" s="80" t="s">
        <v>11392</v>
      </c>
      <c r="AF4902" s="17">
        <v>45633</v>
      </c>
      <c r="AG4902" s="80"/>
      <c r="AH4902" s="80"/>
      <c r="AI4902" s="147"/>
      <c r="AJ4902" s="80"/>
      <c r="AK4902" s="80"/>
      <c r="AL4902" s="35"/>
      <c r="AM4902" s="35"/>
      <c r="AN4902" s="35"/>
      <c r="AO4902" s="35"/>
      <c r="AP4902" s="35"/>
    </row>
    <row r="4903" spans="1:42" x14ac:dyDescent="0.2">
      <c r="A4903" s="99">
        <v>45631</v>
      </c>
      <c r="B4903" s="28" t="s">
        <v>37</v>
      </c>
      <c r="C4903" s="41" t="s">
        <v>118</v>
      </c>
      <c r="D4903" s="26" t="s">
        <v>36</v>
      </c>
      <c r="E4903" s="26" t="s">
        <v>139</v>
      </c>
      <c r="F4903" s="26" t="s">
        <v>6976</v>
      </c>
      <c r="G4903" s="26" t="s">
        <v>1705</v>
      </c>
      <c r="H4903" s="26" t="s">
        <v>16959</v>
      </c>
      <c r="I4903" s="17">
        <f ca="1">IFERROR(__xludf.DUMMYFUNCTION("""COMPUTED_VALUE"""),45643)</f>
        <v>45643</v>
      </c>
      <c r="J4903" s="29" t="s">
        <v>4118</v>
      </c>
      <c r="K4903" s="26" t="s">
        <v>5073</v>
      </c>
      <c r="L4903" s="30">
        <v>367450851</v>
      </c>
      <c r="M4903" s="26" t="s">
        <v>123</v>
      </c>
      <c r="N4903" s="26" t="s">
        <v>4957</v>
      </c>
      <c r="O4903" s="26" t="s">
        <v>1313</v>
      </c>
      <c r="P4903" s="42" t="s">
        <v>16960</v>
      </c>
      <c r="Q4903" s="20">
        <v>15936</v>
      </c>
      <c r="R4903" s="26" t="s">
        <v>36</v>
      </c>
      <c r="S4903" s="31">
        <v>2000</v>
      </c>
      <c r="T4903" s="32">
        <v>45206</v>
      </c>
      <c r="U4903" s="31">
        <v>13936</v>
      </c>
      <c r="V4903" s="32">
        <v>45207</v>
      </c>
      <c r="W4903" s="33" t="s">
        <v>4121</v>
      </c>
      <c r="X4903" s="26"/>
      <c r="Y4903" s="22">
        <v>0</v>
      </c>
      <c r="Z4903" s="98" t="s">
        <v>118</v>
      </c>
      <c r="AA4903" s="19" t="s">
        <v>3454</v>
      </c>
      <c r="AB4903" s="26" t="s">
        <v>36</v>
      </c>
      <c r="AC4903" s="26" t="s">
        <v>53</v>
      </c>
      <c r="AD4903" s="14" t="s">
        <v>54</v>
      </c>
      <c r="AE4903" s="26" t="s">
        <v>6976</v>
      </c>
      <c r="AF4903" s="17">
        <v>45637</v>
      </c>
      <c r="AG4903" s="40"/>
      <c r="AH4903" s="26"/>
      <c r="AI4903" s="40"/>
      <c r="AJ4903" s="26"/>
      <c r="AK4903" s="26"/>
      <c r="AL4903" s="35"/>
      <c r="AM4903" s="35"/>
      <c r="AN4903" s="35"/>
      <c r="AO4903" s="35"/>
      <c r="AP4903" s="35"/>
    </row>
    <row r="4904" spans="1:42" x14ac:dyDescent="0.2">
      <c r="A4904" s="99">
        <v>45631</v>
      </c>
      <c r="B4904" s="28" t="s">
        <v>37</v>
      </c>
      <c r="C4904" s="41" t="s">
        <v>118</v>
      </c>
      <c r="D4904" s="26" t="s">
        <v>36</v>
      </c>
      <c r="E4904" s="26" t="s">
        <v>139</v>
      </c>
      <c r="F4904" s="26" t="s">
        <v>6978</v>
      </c>
      <c r="G4904" s="26" t="s">
        <v>1705</v>
      </c>
      <c r="H4904" s="26" t="s">
        <v>16959</v>
      </c>
      <c r="I4904" s="17">
        <f ca="1">IFERROR(__xludf.DUMMYFUNCTION("""COMPUTED_VALUE"""),45643)</f>
        <v>45643</v>
      </c>
      <c r="J4904" s="29" t="s">
        <v>4101</v>
      </c>
      <c r="K4904" s="26" t="s">
        <v>5969</v>
      </c>
      <c r="L4904" s="30">
        <v>974883029</v>
      </c>
      <c r="M4904" s="26" t="s">
        <v>123</v>
      </c>
      <c r="N4904" s="26" t="s">
        <v>186</v>
      </c>
      <c r="O4904" s="26" t="s">
        <v>4293</v>
      </c>
      <c r="P4904" s="42" t="s">
        <v>16961</v>
      </c>
      <c r="Q4904" s="20">
        <v>15936</v>
      </c>
      <c r="R4904" s="26" t="s">
        <v>70</v>
      </c>
      <c r="S4904" s="31">
        <v>200</v>
      </c>
      <c r="T4904" s="32">
        <v>45200</v>
      </c>
      <c r="U4904" s="31">
        <v>15636</v>
      </c>
      <c r="V4904" s="32">
        <v>45205</v>
      </c>
      <c r="W4904" s="26" t="s">
        <v>4104</v>
      </c>
      <c r="X4904" s="26"/>
      <c r="Y4904" s="22">
        <v>100</v>
      </c>
      <c r="Z4904" s="26" t="s">
        <v>118</v>
      </c>
      <c r="AA4904" s="19" t="s">
        <v>5785</v>
      </c>
      <c r="AB4904" s="26" t="s">
        <v>36</v>
      </c>
      <c r="AC4904" s="26" t="s">
        <v>53</v>
      </c>
      <c r="AD4904" s="19" t="s">
        <v>54</v>
      </c>
      <c r="AE4904" s="26" t="s">
        <v>6978</v>
      </c>
      <c r="AF4904" s="17">
        <v>45637</v>
      </c>
      <c r="AG4904" s="26"/>
      <c r="AH4904" s="26"/>
      <c r="AI4904" s="40" t="s">
        <v>147</v>
      </c>
      <c r="AJ4904" s="26"/>
      <c r="AK4904" s="26"/>
      <c r="AL4904" s="35"/>
      <c r="AM4904" s="35"/>
      <c r="AN4904" s="35"/>
      <c r="AO4904" s="35"/>
      <c r="AP4904" s="35"/>
    </row>
    <row r="4905" spans="1:42" x14ac:dyDescent="0.2">
      <c r="A4905" s="99">
        <v>45631</v>
      </c>
      <c r="B4905" s="28" t="s">
        <v>37</v>
      </c>
      <c r="C4905" s="41" t="s">
        <v>118</v>
      </c>
      <c r="D4905" s="26" t="s">
        <v>36</v>
      </c>
      <c r="E4905" s="26" t="s">
        <v>119</v>
      </c>
      <c r="F4905" s="26" t="s">
        <v>450</v>
      </c>
      <c r="G4905" s="26" t="s">
        <v>1705</v>
      </c>
      <c r="H4905" s="26" t="s">
        <v>16959</v>
      </c>
      <c r="I4905" s="17">
        <f ca="1">IFERROR(__xludf.DUMMYFUNCTION("""COMPUTED_VALUE"""),45643)</f>
        <v>45643</v>
      </c>
      <c r="J4905" s="29" t="s">
        <v>10789</v>
      </c>
      <c r="K4905" s="26" t="s">
        <v>16962</v>
      </c>
      <c r="L4905" s="30">
        <v>972885806</v>
      </c>
      <c r="M4905" s="26" t="s">
        <v>45</v>
      </c>
      <c r="N4905" s="26" t="s">
        <v>565</v>
      </c>
      <c r="O4905" s="26" t="s">
        <v>10791</v>
      </c>
      <c r="P4905" s="42" t="s">
        <v>16963</v>
      </c>
      <c r="Q4905" s="20">
        <v>13968</v>
      </c>
      <c r="R4905" s="26" t="s">
        <v>36</v>
      </c>
      <c r="S4905" s="95">
        <f>200+7000</f>
        <v>7200</v>
      </c>
      <c r="T4905" s="83" t="s">
        <v>10793</v>
      </c>
      <c r="U4905" s="95">
        <v>6768</v>
      </c>
      <c r="V4905" s="148">
        <v>45519</v>
      </c>
      <c r="W4905" s="33" t="s">
        <v>10794</v>
      </c>
      <c r="X4905" s="26">
        <v>0</v>
      </c>
      <c r="Y4905" s="22">
        <v>0</v>
      </c>
      <c r="Z4905" s="26" t="s">
        <v>50</v>
      </c>
      <c r="AA4905" s="96" t="s">
        <v>10314</v>
      </c>
      <c r="AB4905" s="26"/>
      <c r="AC4905" s="26" t="s">
        <v>53</v>
      </c>
      <c r="AD4905" s="26" t="s">
        <v>54</v>
      </c>
      <c r="AE4905" s="26" t="s">
        <v>450</v>
      </c>
      <c r="AF4905" s="17">
        <v>45637</v>
      </c>
      <c r="AG4905" s="26" t="s">
        <v>16964</v>
      </c>
      <c r="AH4905" s="26"/>
      <c r="AI4905" s="40"/>
      <c r="AJ4905" s="26"/>
      <c r="AK4905" s="26"/>
      <c r="AL4905" s="35"/>
      <c r="AM4905" s="35"/>
      <c r="AN4905" s="35"/>
      <c r="AO4905" s="35"/>
      <c r="AP4905" s="35"/>
    </row>
    <row r="4906" spans="1:42" x14ac:dyDescent="0.2">
      <c r="A4906" s="99">
        <v>45631</v>
      </c>
      <c r="B4906" s="28" t="s">
        <v>37</v>
      </c>
      <c r="C4906" s="41" t="s">
        <v>118</v>
      </c>
      <c r="D4906" s="80" t="s">
        <v>36</v>
      </c>
      <c r="E4906" s="80" t="s">
        <v>119</v>
      </c>
      <c r="F4906" s="80" t="s">
        <v>9553</v>
      </c>
      <c r="G4906" s="80" t="s">
        <v>221</v>
      </c>
      <c r="H4906" s="80" t="s">
        <v>16773</v>
      </c>
      <c r="I4906" s="17">
        <f ca="1">IFERROR(__xludf.DUMMYFUNCTION("""COMPUTED_VALUE"""),45636)</f>
        <v>45636</v>
      </c>
      <c r="J4906" s="143" t="s">
        <v>10987</v>
      </c>
      <c r="K4906" s="80" t="s">
        <v>16965</v>
      </c>
      <c r="L4906" s="30">
        <v>569333688</v>
      </c>
      <c r="M4906" s="80" t="s">
        <v>5518</v>
      </c>
      <c r="N4906" s="80" t="s">
        <v>10698</v>
      </c>
      <c r="O4906" s="80" t="s">
        <v>10989</v>
      </c>
      <c r="P4906" s="80" t="s">
        <v>10990</v>
      </c>
      <c r="Q4906" s="20">
        <v>13968</v>
      </c>
      <c r="R4906" s="80" t="s">
        <v>36</v>
      </c>
      <c r="S4906" s="95">
        <v>4000</v>
      </c>
      <c r="T4906" s="148">
        <v>45496</v>
      </c>
      <c r="U4906" s="95">
        <v>9968</v>
      </c>
      <c r="V4906" s="148">
        <v>45513</v>
      </c>
      <c r="W4906" s="85" t="s">
        <v>10991</v>
      </c>
      <c r="X4906" s="80">
        <v>0</v>
      </c>
      <c r="Y4906" s="22">
        <v>0</v>
      </c>
      <c r="Z4906" s="80" t="s">
        <v>50</v>
      </c>
      <c r="AA4906" s="35" t="s">
        <v>10314</v>
      </c>
      <c r="AB4906" s="80"/>
      <c r="AC4906" s="80" t="s">
        <v>53</v>
      </c>
      <c r="AD4906" s="80" t="s">
        <v>54</v>
      </c>
      <c r="AE4906" s="80" t="s">
        <v>9553</v>
      </c>
      <c r="AF4906" s="17">
        <v>45631</v>
      </c>
      <c r="AG4906" s="80"/>
      <c r="AH4906" s="80"/>
      <c r="AI4906" s="147"/>
      <c r="AJ4906" s="80"/>
      <c r="AK4906" s="80"/>
      <c r="AL4906" s="35"/>
      <c r="AM4906" s="35"/>
      <c r="AN4906" s="35"/>
      <c r="AO4906" s="35"/>
      <c r="AP4906" s="35"/>
    </row>
    <row r="4907" spans="1:42" x14ac:dyDescent="0.2">
      <c r="A4907" s="99">
        <v>45631</v>
      </c>
      <c r="B4907" s="28" t="s">
        <v>37</v>
      </c>
      <c r="C4907" s="41" t="s">
        <v>118</v>
      </c>
      <c r="D4907" s="80" t="s">
        <v>36</v>
      </c>
      <c r="E4907" s="80" t="s">
        <v>56</v>
      </c>
      <c r="F4907" s="80" t="s">
        <v>13424</v>
      </c>
      <c r="G4907" s="80" t="s">
        <v>108</v>
      </c>
      <c r="H4907" s="80" t="s">
        <v>14140</v>
      </c>
      <c r="I4907" s="17">
        <f ca="1">IFERROR(__xludf.DUMMYFUNCTION("""COMPUTED_VALUE"""),45642)</f>
        <v>45642</v>
      </c>
      <c r="J4907" s="143" t="s">
        <v>13425</v>
      </c>
      <c r="K4907" s="80" t="s">
        <v>16966</v>
      </c>
      <c r="L4907" s="30">
        <v>386291242</v>
      </c>
      <c r="M4907" s="80" t="s">
        <v>12644</v>
      </c>
      <c r="N4907" s="80" t="s">
        <v>8725</v>
      </c>
      <c r="O4907" s="80" t="s">
        <v>13427</v>
      </c>
      <c r="P4907" s="80" t="s">
        <v>13428</v>
      </c>
      <c r="Q4907" s="20">
        <v>9317</v>
      </c>
      <c r="R4907" s="80" t="s">
        <v>36</v>
      </c>
      <c r="S4907" s="95">
        <v>9317</v>
      </c>
      <c r="T4907" s="148">
        <v>45557</v>
      </c>
      <c r="U4907" s="77"/>
      <c r="V4907" s="78"/>
      <c r="W4907" s="85" t="s">
        <v>13429</v>
      </c>
      <c r="X4907" s="80">
        <v>0</v>
      </c>
      <c r="Y4907" s="22">
        <v>0</v>
      </c>
      <c r="Z4907" s="80" t="s">
        <v>50</v>
      </c>
      <c r="AA4907" s="96" t="s">
        <v>3291</v>
      </c>
      <c r="AB4907" s="80"/>
      <c r="AC4907" s="80" t="s">
        <v>53</v>
      </c>
      <c r="AD4907" s="80" t="s">
        <v>138</v>
      </c>
      <c r="AE4907" s="80" t="s">
        <v>13424</v>
      </c>
      <c r="AF4907" s="17">
        <v>45636</v>
      </c>
      <c r="AG4907" s="80"/>
      <c r="AH4907" s="80"/>
      <c r="AI4907" s="147" t="s">
        <v>64</v>
      </c>
      <c r="AJ4907" s="80"/>
      <c r="AK4907" s="80"/>
      <c r="AL4907" s="35"/>
      <c r="AM4907" s="35"/>
      <c r="AN4907" s="35"/>
      <c r="AO4907" s="35"/>
      <c r="AP4907" s="35"/>
    </row>
    <row r="4908" spans="1:42" x14ac:dyDescent="0.2">
      <c r="A4908" s="99">
        <v>45631</v>
      </c>
      <c r="B4908" s="28" t="s">
        <v>37</v>
      </c>
      <c r="C4908" s="41" t="s">
        <v>118</v>
      </c>
      <c r="D4908" s="80" t="s">
        <v>36</v>
      </c>
      <c r="E4908" s="80" t="s">
        <v>139</v>
      </c>
      <c r="F4908" s="80" t="s">
        <v>13424</v>
      </c>
      <c r="G4908" s="80" t="s">
        <v>108</v>
      </c>
      <c r="H4908" s="80" t="s">
        <v>14140</v>
      </c>
      <c r="I4908" s="17">
        <f ca="1">IFERROR(__xludf.DUMMYFUNCTION("""COMPUTED_VALUE"""),45642)</f>
        <v>45642</v>
      </c>
      <c r="J4908" s="143" t="s">
        <v>13450</v>
      </c>
      <c r="K4908" s="80" t="s">
        <v>13451</v>
      </c>
      <c r="L4908" s="30">
        <v>372742589</v>
      </c>
      <c r="M4908" s="80" t="s">
        <v>9422</v>
      </c>
      <c r="N4908" s="80" t="s">
        <v>13452</v>
      </c>
      <c r="O4908" s="80" t="s">
        <v>13453</v>
      </c>
      <c r="P4908" s="80" t="s">
        <v>13454</v>
      </c>
      <c r="Q4908" s="20">
        <v>15936</v>
      </c>
      <c r="R4908" s="80" t="s">
        <v>11421</v>
      </c>
      <c r="S4908" s="95">
        <v>15686</v>
      </c>
      <c r="T4908" s="148">
        <v>45558</v>
      </c>
      <c r="U4908" s="77"/>
      <c r="V4908" s="78"/>
      <c r="W4908" s="85" t="s">
        <v>13455</v>
      </c>
      <c r="X4908" s="80">
        <v>300</v>
      </c>
      <c r="Y4908" s="22">
        <v>-50</v>
      </c>
      <c r="Z4908" s="80" t="s">
        <v>50</v>
      </c>
      <c r="AA4908" s="35" t="s">
        <v>3291</v>
      </c>
      <c r="AB4908" s="80"/>
      <c r="AC4908" s="80" t="s">
        <v>53</v>
      </c>
      <c r="AD4908" s="80" t="s">
        <v>138</v>
      </c>
      <c r="AE4908" s="80" t="s">
        <v>13424</v>
      </c>
      <c r="AF4908" s="17">
        <v>45636</v>
      </c>
      <c r="AG4908" s="80"/>
      <c r="AH4908" s="80"/>
      <c r="AI4908" s="147" t="s">
        <v>147</v>
      </c>
      <c r="AJ4908" s="80"/>
      <c r="AK4908" s="80"/>
      <c r="AL4908" s="35"/>
      <c r="AM4908" s="35"/>
      <c r="AN4908" s="35"/>
      <c r="AO4908" s="35"/>
      <c r="AP4908" s="35"/>
    </row>
    <row r="4909" spans="1:42" x14ac:dyDescent="0.2">
      <c r="A4909" s="99">
        <v>45631</v>
      </c>
      <c r="B4909" s="28" t="s">
        <v>37</v>
      </c>
      <c r="C4909" s="41" t="s">
        <v>118</v>
      </c>
      <c r="D4909" s="80" t="s">
        <v>36</v>
      </c>
      <c r="E4909" s="80" t="s">
        <v>39</v>
      </c>
      <c r="F4909" s="80" t="s">
        <v>13535</v>
      </c>
      <c r="G4909" s="80" t="s">
        <v>108</v>
      </c>
      <c r="H4909" s="80" t="s">
        <v>14140</v>
      </c>
      <c r="I4909" s="17">
        <f ca="1">IFERROR(__xludf.DUMMYFUNCTION("""COMPUTED_VALUE"""),45642)</f>
        <v>45642</v>
      </c>
      <c r="J4909" s="143" t="s">
        <v>14911</v>
      </c>
      <c r="K4909" s="80" t="s">
        <v>16967</v>
      </c>
      <c r="L4909" s="30">
        <v>961432929</v>
      </c>
      <c r="M4909" s="80" t="s">
        <v>910</v>
      </c>
      <c r="N4909" s="80" t="s">
        <v>3525</v>
      </c>
      <c r="O4909" s="80" t="s">
        <v>91</v>
      </c>
      <c r="P4909" s="80" t="s">
        <v>14913</v>
      </c>
      <c r="Q4909" s="20">
        <v>5736</v>
      </c>
      <c r="R4909" s="80" t="s">
        <v>36</v>
      </c>
      <c r="S4909" s="95">
        <f>500+5236</f>
        <v>5736</v>
      </c>
      <c r="T4909" s="83" t="s">
        <v>14914</v>
      </c>
      <c r="U4909" s="77"/>
      <c r="V4909" s="78"/>
      <c r="W4909" s="85" t="s">
        <v>14915</v>
      </c>
      <c r="X4909" s="80"/>
      <c r="Y4909" s="22">
        <v>0</v>
      </c>
      <c r="Z4909" s="80" t="s">
        <v>50</v>
      </c>
      <c r="AA4909" s="96" t="s">
        <v>9905</v>
      </c>
      <c r="AB4909" s="80"/>
      <c r="AC4909" s="80" t="s">
        <v>53</v>
      </c>
      <c r="AD4909" s="80" t="s">
        <v>138</v>
      </c>
      <c r="AE4909" s="80" t="s">
        <v>13535</v>
      </c>
      <c r="AF4909" s="17">
        <v>45636</v>
      </c>
      <c r="AG4909" s="80"/>
      <c r="AH4909" s="80"/>
      <c r="AI4909" s="147"/>
      <c r="AJ4909" s="80"/>
      <c r="AK4909" s="80"/>
      <c r="AL4909" s="35"/>
      <c r="AM4909" s="35"/>
      <c r="AN4909" s="35"/>
      <c r="AO4909" s="35"/>
      <c r="AP4909" s="35"/>
    </row>
    <row r="4910" spans="1:42" x14ac:dyDescent="0.2">
      <c r="A4910" s="99">
        <v>45631</v>
      </c>
      <c r="B4910" s="137" t="s">
        <v>37</v>
      </c>
      <c r="C4910" s="41" t="s">
        <v>118</v>
      </c>
      <c r="D4910" s="80" t="s">
        <v>36</v>
      </c>
      <c r="E4910" s="80" t="s">
        <v>139</v>
      </c>
      <c r="F4910" s="80" t="s">
        <v>13535</v>
      </c>
      <c r="G4910" s="80" t="s">
        <v>108</v>
      </c>
      <c r="H4910" s="80" t="s">
        <v>16968</v>
      </c>
      <c r="I4910" s="17">
        <f ca="1">IFERROR(__xludf.DUMMYFUNCTION("""COMPUTED_VALUE"""),45763)</f>
        <v>45763</v>
      </c>
      <c r="J4910" s="143" t="s">
        <v>15872</v>
      </c>
      <c r="K4910" s="80" t="s">
        <v>16969</v>
      </c>
      <c r="L4910" s="30">
        <v>366033206</v>
      </c>
      <c r="M4910" s="80" t="s">
        <v>59</v>
      </c>
      <c r="N4910" s="80" t="s">
        <v>68</v>
      </c>
      <c r="O4910" s="80" t="s">
        <v>15874</v>
      </c>
      <c r="P4910" s="80" t="s">
        <v>12687</v>
      </c>
      <c r="Q4910" s="20">
        <v>15936</v>
      </c>
      <c r="R4910" s="80" t="s">
        <v>1106</v>
      </c>
      <c r="S4910" s="95">
        <f t="shared" ref="S4910:S4911" si="110">200+1800</f>
        <v>2000</v>
      </c>
      <c r="T4910" s="83" t="s">
        <v>13556</v>
      </c>
      <c r="U4910" s="95">
        <v>14000</v>
      </c>
      <c r="V4910" s="148">
        <v>45596</v>
      </c>
      <c r="W4910" s="80" t="s">
        <v>15875</v>
      </c>
      <c r="X4910" s="80"/>
      <c r="Y4910" s="22">
        <v>-64</v>
      </c>
      <c r="Z4910" s="80" t="s">
        <v>50</v>
      </c>
      <c r="AA4910" s="35" t="s">
        <v>9905</v>
      </c>
      <c r="AB4910" s="80"/>
      <c r="AC4910" s="80" t="s">
        <v>53</v>
      </c>
      <c r="AD4910" s="80" t="s">
        <v>138</v>
      </c>
      <c r="AE4910" s="80" t="s">
        <v>13535</v>
      </c>
      <c r="AF4910" s="17">
        <v>45636</v>
      </c>
      <c r="AG4910" s="80" t="s">
        <v>8366</v>
      </c>
      <c r="AH4910" s="80"/>
      <c r="AI4910" s="147"/>
      <c r="AJ4910" s="80"/>
      <c r="AK4910" s="80"/>
      <c r="AL4910" s="35"/>
      <c r="AM4910" s="35"/>
      <c r="AN4910" s="35"/>
      <c r="AO4910" s="35"/>
      <c r="AP4910" s="35"/>
    </row>
    <row r="4911" spans="1:42" x14ac:dyDescent="0.2">
      <c r="A4911" s="99">
        <v>45631</v>
      </c>
      <c r="B4911" s="28" t="s">
        <v>37</v>
      </c>
      <c r="C4911" s="41" t="s">
        <v>118</v>
      </c>
      <c r="D4911" s="80" t="s">
        <v>36</v>
      </c>
      <c r="E4911" s="80" t="s">
        <v>56</v>
      </c>
      <c r="F4911" s="80" t="s">
        <v>13535</v>
      </c>
      <c r="G4911" s="80" t="s">
        <v>108</v>
      </c>
      <c r="H4911" s="80" t="s">
        <v>14140</v>
      </c>
      <c r="I4911" s="17">
        <f ca="1">IFERROR(__xludf.DUMMYFUNCTION("""COMPUTED_VALUE"""),45642)</f>
        <v>45642</v>
      </c>
      <c r="J4911" s="143" t="s">
        <v>16970</v>
      </c>
      <c r="K4911" s="80" t="s">
        <v>16971</v>
      </c>
      <c r="L4911" s="30">
        <v>393802070</v>
      </c>
      <c r="M4911" s="80" t="s">
        <v>5558</v>
      </c>
      <c r="N4911" s="80" t="s">
        <v>850</v>
      </c>
      <c r="O4911" s="80" t="s">
        <v>16972</v>
      </c>
      <c r="P4911" s="80" t="s">
        <v>13226</v>
      </c>
      <c r="Q4911" s="20">
        <v>9317</v>
      </c>
      <c r="R4911" s="80" t="s">
        <v>36</v>
      </c>
      <c r="S4911" s="95">
        <f t="shared" si="110"/>
        <v>2000</v>
      </c>
      <c r="T4911" s="83" t="s">
        <v>16973</v>
      </c>
      <c r="U4911" s="95">
        <f>3371+3946</f>
        <v>7317</v>
      </c>
      <c r="V4911" s="83" t="s">
        <v>16974</v>
      </c>
      <c r="W4911" s="85" t="s">
        <v>16975</v>
      </c>
      <c r="X4911" s="80"/>
      <c r="Y4911" s="22">
        <v>0</v>
      </c>
      <c r="Z4911" s="80" t="s">
        <v>50</v>
      </c>
      <c r="AA4911" s="82"/>
      <c r="AB4911" s="80"/>
      <c r="AC4911" s="80" t="s">
        <v>53</v>
      </c>
      <c r="AD4911" s="80" t="s">
        <v>138</v>
      </c>
      <c r="AE4911" s="80" t="s">
        <v>13535</v>
      </c>
      <c r="AF4911" s="17">
        <v>45636</v>
      </c>
      <c r="AG4911" s="80"/>
      <c r="AH4911" s="80"/>
      <c r="AI4911" s="147"/>
      <c r="AJ4911" s="80"/>
      <c r="AK4911" s="80"/>
      <c r="AL4911" s="35"/>
      <c r="AM4911" s="35"/>
      <c r="AN4911" s="35"/>
      <c r="AO4911" s="35"/>
      <c r="AP4911" s="35"/>
    </row>
    <row r="4912" spans="1:42" x14ac:dyDescent="0.2">
      <c r="A4912" s="99">
        <v>45631</v>
      </c>
      <c r="B4912" s="28" t="s">
        <v>37</v>
      </c>
      <c r="C4912" s="41" t="s">
        <v>118</v>
      </c>
      <c r="D4912" s="80" t="s">
        <v>36</v>
      </c>
      <c r="E4912" s="80" t="s">
        <v>56</v>
      </c>
      <c r="F4912" s="80" t="s">
        <v>13535</v>
      </c>
      <c r="G4912" s="80" t="s">
        <v>108</v>
      </c>
      <c r="H4912" s="80" t="s">
        <v>14140</v>
      </c>
      <c r="I4912" s="17">
        <f ca="1">IFERROR(__xludf.DUMMYFUNCTION("""COMPUTED_VALUE"""),45642)</f>
        <v>45642</v>
      </c>
      <c r="J4912" s="172" t="s">
        <v>16976</v>
      </c>
      <c r="K4912" s="80" t="s">
        <v>16977</v>
      </c>
      <c r="L4912" s="30">
        <v>971932603</v>
      </c>
      <c r="M4912" s="80" t="s">
        <v>59</v>
      </c>
      <c r="N4912" s="80" t="s">
        <v>4299</v>
      </c>
      <c r="O4912" s="80" t="s">
        <v>16978</v>
      </c>
      <c r="P4912" s="80" t="s">
        <v>12692</v>
      </c>
      <c r="Q4912" s="20">
        <v>9317</v>
      </c>
      <c r="R4912" s="80" t="s">
        <v>70</v>
      </c>
      <c r="S4912" s="95">
        <v>4217</v>
      </c>
      <c r="T4912" s="148">
        <v>45575</v>
      </c>
      <c r="U4912" s="95">
        <v>5000</v>
      </c>
      <c r="V4912" s="148">
        <v>45601</v>
      </c>
      <c r="W4912" s="85" t="s">
        <v>16979</v>
      </c>
      <c r="X4912" s="80"/>
      <c r="Y4912" s="22">
        <v>100</v>
      </c>
      <c r="Z4912" s="80" t="s">
        <v>50</v>
      </c>
      <c r="AA4912" s="86"/>
      <c r="AB4912" s="80"/>
      <c r="AC4912" s="80" t="s">
        <v>53</v>
      </c>
      <c r="AD4912" s="80" t="s">
        <v>138</v>
      </c>
      <c r="AE4912" s="80" t="s">
        <v>13535</v>
      </c>
      <c r="AF4912" s="17">
        <v>45636</v>
      </c>
      <c r="AG4912" s="80"/>
      <c r="AH4912" s="80"/>
      <c r="AI4912" s="147"/>
      <c r="AJ4912" s="80"/>
      <c r="AK4912" s="80"/>
      <c r="AL4912" s="35"/>
      <c r="AM4912" s="35"/>
      <c r="AN4912" s="35"/>
      <c r="AO4912" s="35"/>
      <c r="AP4912" s="35"/>
    </row>
    <row r="4913" spans="1:42" x14ac:dyDescent="0.2">
      <c r="A4913" s="99">
        <v>45631</v>
      </c>
      <c r="B4913" s="28" t="s">
        <v>37</v>
      </c>
      <c r="C4913" s="41" t="s">
        <v>118</v>
      </c>
      <c r="D4913" s="80" t="s">
        <v>36</v>
      </c>
      <c r="E4913" s="80" t="s">
        <v>39</v>
      </c>
      <c r="F4913" s="80" t="s">
        <v>13535</v>
      </c>
      <c r="G4913" s="80" t="s">
        <v>108</v>
      </c>
      <c r="H4913" s="80" t="s">
        <v>14140</v>
      </c>
      <c r="I4913" s="17">
        <f ca="1">IFERROR(__xludf.DUMMYFUNCTION("""COMPUTED_VALUE"""),45642)</f>
        <v>45642</v>
      </c>
      <c r="J4913" s="143" t="s">
        <v>16220</v>
      </c>
      <c r="K4913" s="80" t="s">
        <v>16221</v>
      </c>
      <c r="L4913" s="30">
        <v>981122306</v>
      </c>
      <c r="M4913" s="80" t="s">
        <v>59</v>
      </c>
      <c r="N4913" s="80" t="s">
        <v>10947</v>
      </c>
      <c r="O4913" s="80" t="s">
        <v>16222</v>
      </c>
      <c r="P4913" s="80" t="s">
        <v>12687</v>
      </c>
      <c r="Q4913" s="20">
        <v>5736</v>
      </c>
      <c r="R4913" s="80" t="s">
        <v>36</v>
      </c>
      <c r="S4913" s="95">
        <f>200+5536</f>
        <v>5736</v>
      </c>
      <c r="T4913" s="83" t="s">
        <v>16216</v>
      </c>
      <c r="U4913" s="77"/>
      <c r="V4913" s="78"/>
      <c r="W4913" s="85" t="s">
        <v>16223</v>
      </c>
      <c r="X4913" s="80"/>
      <c r="Y4913" s="22">
        <v>0</v>
      </c>
      <c r="Z4913" s="80" t="s">
        <v>50</v>
      </c>
      <c r="AA4913" s="96" t="s">
        <v>9905</v>
      </c>
      <c r="AB4913" s="80"/>
      <c r="AC4913" s="80" t="s">
        <v>53</v>
      </c>
      <c r="AD4913" s="80" t="s">
        <v>138</v>
      </c>
      <c r="AE4913" s="80" t="s">
        <v>13535</v>
      </c>
      <c r="AF4913" s="17">
        <v>45636</v>
      </c>
      <c r="AG4913" s="80"/>
      <c r="AH4913" s="80"/>
      <c r="AI4913" s="147"/>
      <c r="AJ4913" s="80"/>
      <c r="AK4913" s="80"/>
      <c r="AL4913" s="35"/>
      <c r="AM4913" s="35"/>
      <c r="AN4913" s="35"/>
      <c r="AO4913" s="35"/>
      <c r="AP4913" s="35"/>
    </row>
    <row r="4914" spans="1:42" x14ac:dyDescent="0.2">
      <c r="A4914" s="99">
        <v>45631</v>
      </c>
      <c r="B4914" s="28" t="s">
        <v>37</v>
      </c>
      <c r="C4914" s="41" t="s">
        <v>118</v>
      </c>
      <c r="D4914" s="80" t="s">
        <v>36</v>
      </c>
      <c r="E4914" s="80" t="s">
        <v>139</v>
      </c>
      <c r="F4914" s="80" t="s">
        <v>13535</v>
      </c>
      <c r="G4914" s="80" t="s">
        <v>108</v>
      </c>
      <c r="H4914" s="80" t="s">
        <v>16980</v>
      </c>
      <c r="I4914" s="17" t="str">
        <f ca="1">IFERROR(__xludf.DUMMYFUNCTION("""COMPUTED_VALUE""")," ")</f>
        <v xml:space="preserve"> </v>
      </c>
      <c r="J4914" s="143" t="s">
        <v>16981</v>
      </c>
      <c r="K4914" s="80" t="s">
        <v>16982</v>
      </c>
      <c r="L4914" s="30">
        <v>973820326</v>
      </c>
      <c r="M4914" s="80" t="s">
        <v>5558</v>
      </c>
      <c r="N4914" s="80" t="s">
        <v>5559</v>
      </c>
      <c r="O4914" s="80" t="s">
        <v>4503</v>
      </c>
      <c r="P4914" s="80" t="s">
        <v>14107</v>
      </c>
      <c r="Q4914" s="20">
        <v>15936</v>
      </c>
      <c r="R4914" s="80" t="s">
        <v>36</v>
      </c>
      <c r="S4914" s="95">
        <v>4000</v>
      </c>
      <c r="T4914" s="148">
        <v>45576</v>
      </c>
      <c r="U4914" s="95">
        <v>11936</v>
      </c>
      <c r="V4914" s="148">
        <v>45609</v>
      </c>
      <c r="W4914" s="85" t="s">
        <v>16983</v>
      </c>
      <c r="X4914" s="80"/>
      <c r="Y4914" s="22">
        <v>0</v>
      </c>
      <c r="Z4914" s="80" t="s">
        <v>50</v>
      </c>
      <c r="AA4914" s="86"/>
      <c r="AB4914" s="80"/>
      <c r="AC4914" s="80" t="s">
        <v>53</v>
      </c>
      <c r="AD4914" s="80" t="s">
        <v>138</v>
      </c>
      <c r="AE4914" s="80" t="s">
        <v>13535</v>
      </c>
      <c r="AF4914" s="17">
        <v>45636</v>
      </c>
      <c r="AG4914" s="80"/>
      <c r="AH4914" s="80"/>
      <c r="AI4914" s="147"/>
      <c r="AJ4914" s="80"/>
      <c r="AK4914" s="80"/>
      <c r="AL4914" s="35"/>
      <c r="AM4914" s="35"/>
      <c r="AN4914" s="35"/>
      <c r="AO4914" s="35"/>
      <c r="AP4914" s="35"/>
    </row>
    <row r="4915" spans="1:42" x14ac:dyDescent="0.2">
      <c r="A4915" s="99">
        <v>45631</v>
      </c>
      <c r="B4915" s="28" t="s">
        <v>37</v>
      </c>
      <c r="C4915" s="41" t="s">
        <v>118</v>
      </c>
      <c r="D4915" s="80" t="s">
        <v>36</v>
      </c>
      <c r="E4915" s="80" t="s">
        <v>56</v>
      </c>
      <c r="F4915" s="80" t="s">
        <v>13535</v>
      </c>
      <c r="G4915" s="80" t="s">
        <v>108</v>
      </c>
      <c r="H4915" s="80" t="s">
        <v>14140</v>
      </c>
      <c r="I4915" s="17">
        <f ca="1">IFERROR(__xludf.DUMMYFUNCTION("""COMPUTED_VALUE"""),45642)</f>
        <v>45642</v>
      </c>
      <c r="J4915" s="143" t="s">
        <v>16259</v>
      </c>
      <c r="K4915" s="80" t="s">
        <v>16260</v>
      </c>
      <c r="L4915" s="30">
        <v>961460056</v>
      </c>
      <c r="M4915" s="80" t="s">
        <v>59</v>
      </c>
      <c r="N4915" s="80" t="s">
        <v>68</v>
      </c>
      <c r="O4915" s="80" t="s">
        <v>16261</v>
      </c>
      <c r="P4915" s="80" t="s">
        <v>12692</v>
      </c>
      <c r="Q4915" s="20">
        <v>9317</v>
      </c>
      <c r="R4915" s="80" t="s">
        <v>70</v>
      </c>
      <c r="S4915" s="95">
        <v>9217</v>
      </c>
      <c r="T4915" s="148">
        <v>45575</v>
      </c>
      <c r="U4915" s="77"/>
      <c r="V4915" s="78"/>
      <c r="W4915" s="85" t="s">
        <v>16262</v>
      </c>
      <c r="X4915" s="80"/>
      <c r="Y4915" s="22">
        <v>100</v>
      </c>
      <c r="Z4915" s="80" t="s">
        <v>50</v>
      </c>
      <c r="AA4915" s="96" t="s">
        <v>9905</v>
      </c>
      <c r="AB4915" s="80"/>
      <c r="AC4915" s="80" t="s">
        <v>53</v>
      </c>
      <c r="AD4915" s="80" t="s">
        <v>138</v>
      </c>
      <c r="AE4915" s="80" t="s">
        <v>13535</v>
      </c>
      <c r="AF4915" s="17">
        <v>45636</v>
      </c>
      <c r="AG4915" s="80"/>
      <c r="AH4915" s="80"/>
      <c r="AI4915" s="147"/>
      <c r="AJ4915" s="80"/>
      <c r="AK4915" s="80"/>
      <c r="AL4915" s="35"/>
      <c r="AM4915" s="35"/>
      <c r="AN4915" s="35"/>
      <c r="AO4915" s="35"/>
      <c r="AP4915" s="35"/>
    </row>
    <row r="4916" spans="1:42" x14ac:dyDescent="0.2">
      <c r="A4916" s="99">
        <v>45631</v>
      </c>
      <c r="B4916" s="28" t="s">
        <v>37</v>
      </c>
      <c r="C4916" s="41" t="s">
        <v>118</v>
      </c>
      <c r="D4916" s="80" t="s">
        <v>36</v>
      </c>
      <c r="E4916" s="80" t="s">
        <v>139</v>
      </c>
      <c r="F4916" s="80" t="s">
        <v>13535</v>
      </c>
      <c r="G4916" s="80" t="s">
        <v>108</v>
      </c>
      <c r="H4916" s="80" t="s">
        <v>14140</v>
      </c>
      <c r="I4916" s="17">
        <f ca="1">IFERROR(__xludf.DUMMYFUNCTION("""COMPUTED_VALUE"""),45642)</f>
        <v>45642</v>
      </c>
      <c r="J4916" s="143" t="s">
        <v>16984</v>
      </c>
      <c r="K4916" s="80" t="s">
        <v>16985</v>
      </c>
      <c r="L4916" s="30">
        <v>363748375</v>
      </c>
      <c r="M4916" s="80" t="s">
        <v>5558</v>
      </c>
      <c r="N4916" s="80" t="s">
        <v>5277</v>
      </c>
      <c r="O4916" s="80" t="s">
        <v>4503</v>
      </c>
      <c r="P4916" s="80" t="s">
        <v>16986</v>
      </c>
      <c r="Q4916" s="20">
        <v>15936</v>
      </c>
      <c r="R4916" s="80" t="s">
        <v>36</v>
      </c>
      <c r="S4916" s="95">
        <f>200+5000</f>
        <v>5200</v>
      </c>
      <c r="T4916" s="83" t="s">
        <v>16987</v>
      </c>
      <c r="U4916" s="95">
        <v>10736</v>
      </c>
      <c r="V4916" s="148">
        <v>45604</v>
      </c>
      <c r="W4916" s="85" t="s">
        <v>16988</v>
      </c>
      <c r="X4916" s="80"/>
      <c r="Y4916" s="22">
        <v>0</v>
      </c>
      <c r="Z4916" s="80" t="s">
        <v>50</v>
      </c>
      <c r="AA4916" s="86"/>
      <c r="AB4916" s="80"/>
      <c r="AC4916" s="80" t="s">
        <v>53</v>
      </c>
      <c r="AD4916" s="80" t="s">
        <v>138</v>
      </c>
      <c r="AE4916" s="80" t="s">
        <v>13535</v>
      </c>
      <c r="AF4916" s="17">
        <v>45636</v>
      </c>
      <c r="AG4916" s="80"/>
      <c r="AH4916" s="80"/>
      <c r="AI4916" s="147"/>
      <c r="AJ4916" s="80"/>
      <c r="AK4916" s="80"/>
      <c r="AL4916" s="35"/>
      <c r="AM4916" s="35"/>
      <c r="AN4916" s="35"/>
      <c r="AO4916" s="35"/>
      <c r="AP4916" s="35"/>
    </row>
    <row r="4917" spans="1:42" x14ac:dyDescent="0.2">
      <c r="A4917" s="99">
        <v>45631</v>
      </c>
      <c r="B4917" s="28" t="s">
        <v>37</v>
      </c>
      <c r="C4917" s="41" t="s">
        <v>118</v>
      </c>
      <c r="D4917" s="80" t="s">
        <v>36</v>
      </c>
      <c r="E4917" s="80" t="s">
        <v>39</v>
      </c>
      <c r="F4917" s="80" t="s">
        <v>13535</v>
      </c>
      <c r="G4917" s="80" t="s">
        <v>108</v>
      </c>
      <c r="H4917" s="80" t="s">
        <v>14140</v>
      </c>
      <c r="I4917" s="17">
        <f ca="1">IFERROR(__xludf.DUMMYFUNCTION("""COMPUTED_VALUE"""),45642)</f>
        <v>45642</v>
      </c>
      <c r="J4917" s="143" t="s">
        <v>16989</v>
      </c>
      <c r="K4917" s="80" t="s">
        <v>16990</v>
      </c>
      <c r="L4917" s="30">
        <v>974384287</v>
      </c>
      <c r="M4917" s="80" t="s">
        <v>5558</v>
      </c>
      <c r="N4917" s="80" t="s">
        <v>850</v>
      </c>
      <c r="O4917" s="80" t="s">
        <v>16991</v>
      </c>
      <c r="P4917" s="80" t="s">
        <v>16992</v>
      </c>
      <c r="Q4917" s="20">
        <v>5736</v>
      </c>
      <c r="R4917" s="80" t="s">
        <v>36</v>
      </c>
      <c r="S4917" s="95">
        <f>2000+3736</f>
        <v>5736</v>
      </c>
      <c r="T4917" s="83" t="s">
        <v>16993</v>
      </c>
      <c r="U4917" s="77"/>
      <c r="V4917" s="78"/>
      <c r="W4917" s="85" t="s">
        <v>16994</v>
      </c>
      <c r="X4917" s="80"/>
      <c r="Y4917" s="22">
        <v>0</v>
      </c>
      <c r="Z4917" s="80" t="s">
        <v>50</v>
      </c>
      <c r="AA4917" s="82"/>
      <c r="AB4917" s="80"/>
      <c r="AC4917" s="80" t="s">
        <v>53</v>
      </c>
      <c r="AD4917" s="80" t="s">
        <v>138</v>
      </c>
      <c r="AE4917" s="80" t="s">
        <v>13535</v>
      </c>
      <c r="AF4917" s="17">
        <v>45636</v>
      </c>
      <c r="AG4917" s="80"/>
      <c r="AH4917" s="80"/>
      <c r="AI4917" s="147"/>
      <c r="AJ4917" s="80"/>
      <c r="AK4917" s="80"/>
      <c r="AL4917" s="35"/>
      <c r="AM4917" s="35"/>
      <c r="AN4917" s="35"/>
      <c r="AO4917" s="35"/>
      <c r="AP4917" s="35"/>
    </row>
    <row r="4918" spans="1:42" x14ac:dyDescent="0.2">
      <c r="A4918" s="99">
        <v>45631</v>
      </c>
      <c r="B4918" s="28" t="s">
        <v>37</v>
      </c>
      <c r="C4918" s="41" t="s">
        <v>118</v>
      </c>
      <c r="D4918" s="80" t="s">
        <v>36</v>
      </c>
      <c r="E4918" s="80" t="s">
        <v>139</v>
      </c>
      <c r="F4918" s="80" t="s">
        <v>13535</v>
      </c>
      <c r="G4918" s="80" t="s">
        <v>108</v>
      </c>
      <c r="H4918" s="80" t="s">
        <v>14140</v>
      </c>
      <c r="I4918" s="17">
        <f ca="1">IFERROR(__xludf.DUMMYFUNCTION("""COMPUTED_VALUE"""),45642)</f>
        <v>45642</v>
      </c>
      <c r="J4918" s="143" t="s">
        <v>16995</v>
      </c>
      <c r="K4918" s="80" t="s">
        <v>10188</v>
      </c>
      <c r="L4918" s="30">
        <v>869635155</v>
      </c>
      <c r="M4918" s="80" t="s">
        <v>12644</v>
      </c>
      <c r="N4918" s="80" t="s">
        <v>260</v>
      </c>
      <c r="O4918" s="80" t="s">
        <v>16996</v>
      </c>
      <c r="P4918" s="80" t="s">
        <v>14107</v>
      </c>
      <c r="Q4918" s="20">
        <v>15936</v>
      </c>
      <c r="R4918" s="80" t="s">
        <v>36</v>
      </c>
      <c r="S4918" s="95">
        <v>2000</v>
      </c>
      <c r="T4918" s="148">
        <v>45579</v>
      </c>
      <c r="U4918" s="95">
        <v>13936</v>
      </c>
      <c r="V4918" s="148">
        <v>45607</v>
      </c>
      <c r="W4918" s="85" t="s">
        <v>16997</v>
      </c>
      <c r="X4918" s="80"/>
      <c r="Y4918" s="22">
        <v>0</v>
      </c>
      <c r="Z4918" s="80" t="s">
        <v>50</v>
      </c>
      <c r="AA4918" s="86"/>
      <c r="AB4918" s="80"/>
      <c r="AC4918" s="80" t="s">
        <v>53</v>
      </c>
      <c r="AD4918" s="80" t="s">
        <v>138</v>
      </c>
      <c r="AE4918" s="80" t="s">
        <v>13535</v>
      </c>
      <c r="AF4918" s="17">
        <v>45636</v>
      </c>
      <c r="AG4918" s="80"/>
      <c r="AH4918" s="80"/>
      <c r="AI4918" s="147"/>
      <c r="AJ4918" s="80"/>
      <c r="AK4918" s="80"/>
      <c r="AL4918" s="35"/>
      <c r="AM4918" s="35"/>
      <c r="AN4918" s="35"/>
      <c r="AO4918" s="35"/>
      <c r="AP4918" s="35"/>
    </row>
    <row r="4919" spans="1:42" x14ac:dyDescent="0.2">
      <c r="A4919" s="99">
        <v>45631</v>
      </c>
      <c r="B4919" s="28" t="s">
        <v>37</v>
      </c>
      <c r="C4919" s="41" t="s">
        <v>118</v>
      </c>
      <c r="D4919" s="80" t="s">
        <v>36</v>
      </c>
      <c r="E4919" s="80" t="s">
        <v>139</v>
      </c>
      <c r="F4919" s="80" t="s">
        <v>13535</v>
      </c>
      <c r="G4919" s="80" t="s">
        <v>108</v>
      </c>
      <c r="H4919" s="80" t="s">
        <v>16692</v>
      </c>
      <c r="I4919" s="17">
        <f ca="1">IFERROR(__xludf.DUMMYFUNCTION("""COMPUTED_VALUE"""),45757)</f>
        <v>45757</v>
      </c>
      <c r="J4919" s="143" t="s">
        <v>16998</v>
      </c>
      <c r="K4919" s="80" t="s">
        <v>16999</v>
      </c>
      <c r="L4919" s="30">
        <v>377660397</v>
      </c>
      <c r="M4919" s="80" t="s">
        <v>3728</v>
      </c>
      <c r="N4919" s="80" t="s">
        <v>5312</v>
      </c>
      <c r="O4919" s="80" t="s">
        <v>17000</v>
      </c>
      <c r="P4919" s="80" t="s">
        <v>3178</v>
      </c>
      <c r="Q4919" s="20">
        <v>15936</v>
      </c>
      <c r="R4919" s="80" t="s">
        <v>36</v>
      </c>
      <c r="S4919" s="95">
        <v>2000</v>
      </c>
      <c r="T4919" s="148">
        <v>45582</v>
      </c>
      <c r="U4919" s="95">
        <v>13936</v>
      </c>
      <c r="V4919" s="148">
        <v>45614</v>
      </c>
      <c r="W4919" s="85" t="s">
        <v>17001</v>
      </c>
      <c r="X4919" s="80"/>
      <c r="Y4919" s="22">
        <v>0</v>
      </c>
      <c r="Z4919" s="80" t="s">
        <v>50</v>
      </c>
      <c r="AA4919" s="82"/>
      <c r="AB4919" s="80"/>
      <c r="AC4919" s="80" t="s">
        <v>53</v>
      </c>
      <c r="AD4919" s="80" t="s">
        <v>138</v>
      </c>
      <c r="AE4919" s="80" t="s">
        <v>13535</v>
      </c>
      <c r="AF4919" s="17">
        <v>45636</v>
      </c>
      <c r="AG4919" s="80"/>
      <c r="AH4919" s="80"/>
      <c r="AI4919" s="147"/>
      <c r="AJ4919" s="80"/>
      <c r="AK4919" s="80"/>
      <c r="AL4919" s="35"/>
      <c r="AM4919" s="35"/>
      <c r="AN4919" s="35"/>
      <c r="AO4919" s="35"/>
      <c r="AP4919" s="35"/>
    </row>
    <row r="4920" spans="1:42" x14ac:dyDescent="0.2">
      <c r="A4920" s="99">
        <v>45631</v>
      </c>
      <c r="B4920" s="28" t="s">
        <v>37</v>
      </c>
      <c r="C4920" s="41" t="s">
        <v>118</v>
      </c>
      <c r="D4920" s="80" t="s">
        <v>36</v>
      </c>
      <c r="E4920" s="80" t="s">
        <v>139</v>
      </c>
      <c r="F4920" s="80" t="s">
        <v>13535</v>
      </c>
      <c r="G4920" s="80" t="s">
        <v>108</v>
      </c>
      <c r="H4920" s="80" t="s">
        <v>17002</v>
      </c>
      <c r="I4920" s="17">
        <f ca="1">IFERROR(__xludf.DUMMYFUNCTION("""COMPUTED_VALUE"""),45736)</f>
        <v>45736</v>
      </c>
      <c r="J4920" s="172" t="s">
        <v>17003</v>
      </c>
      <c r="K4920" s="80" t="s">
        <v>17004</v>
      </c>
      <c r="L4920" s="30">
        <v>981388525</v>
      </c>
      <c r="M4920" s="80" t="s">
        <v>5558</v>
      </c>
      <c r="N4920" s="80" t="s">
        <v>5277</v>
      </c>
      <c r="O4920" s="80" t="s">
        <v>17005</v>
      </c>
      <c r="P4920" s="80" t="s">
        <v>17006</v>
      </c>
      <c r="Q4920" s="20">
        <v>15936</v>
      </c>
      <c r="R4920" s="80" t="s">
        <v>36</v>
      </c>
      <c r="S4920" s="95">
        <v>2000</v>
      </c>
      <c r="T4920" s="148">
        <v>45582</v>
      </c>
      <c r="U4920" s="95">
        <v>13936</v>
      </c>
      <c r="V4920" s="148">
        <v>45613</v>
      </c>
      <c r="W4920" s="85" t="s">
        <v>17007</v>
      </c>
      <c r="X4920" s="80"/>
      <c r="Y4920" s="22">
        <v>0</v>
      </c>
      <c r="Z4920" s="80" t="s">
        <v>50</v>
      </c>
      <c r="AA4920" s="86"/>
      <c r="AB4920" s="80"/>
      <c r="AC4920" s="80" t="s">
        <v>53</v>
      </c>
      <c r="AD4920" s="80" t="s">
        <v>138</v>
      </c>
      <c r="AE4920" s="80" t="s">
        <v>13535</v>
      </c>
      <c r="AF4920" s="17">
        <v>45636</v>
      </c>
      <c r="AG4920" s="80"/>
      <c r="AH4920" s="80"/>
      <c r="AI4920" s="147"/>
      <c r="AJ4920" s="80"/>
      <c r="AK4920" s="80"/>
      <c r="AL4920" s="35"/>
      <c r="AM4920" s="35"/>
      <c r="AN4920" s="35"/>
      <c r="AO4920" s="35"/>
      <c r="AP4920" s="35"/>
    </row>
    <row r="4921" spans="1:42" x14ac:dyDescent="0.2">
      <c r="A4921" s="99">
        <v>45631</v>
      </c>
      <c r="B4921" s="28" t="s">
        <v>37</v>
      </c>
      <c r="C4921" s="41" t="s">
        <v>118</v>
      </c>
      <c r="D4921" s="80" t="s">
        <v>36</v>
      </c>
      <c r="E4921" s="80" t="s">
        <v>139</v>
      </c>
      <c r="F4921" s="80" t="s">
        <v>13535</v>
      </c>
      <c r="G4921" s="80" t="s">
        <v>108</v>
      </c>
      <c r="H4921" s="80" t="s">
        <v>14140</v>
      </c>
      <c r="I4921" s="17">
        <f ca="1">IFERROR(__xludf.DUMMYFUNCTION("""COMPUTED_VALUE"""),45642)</f>
        <v>45642</v>
      </c>
      <c r="J4921" s="143" t="s">
        <v>16395</v>
      </c>
      <c r="K4921" s="80" t="s">
        <v>16396</v>
      </c>
      <c r="L4921" s="30">
        <v>349948085</v>
      </c>
      <c r="M4921" s="80" t="s">
        <v>9422</v>
      </c>
      <c r="N4921" s="80" t="s">
        <v>327</v>
      </c>
      <c r="O4921" s="80" t="s">
        <v>16397</v>
      </c>
      <c r="P4921" s="80" t="s">
        <v>3694</v>
      </c>
      <c r="Q4921" s="20">
        <v>15936</v>
      </c>
      <c r="R4921" s="80" t="s">
        <v>36</v>
      </c>
      <c r="S4921" s="95">
        <v>15936</v>
      </c>
      <c r="T4921" s="148">
        <v>45583</v>
      </c>
      <c r="U4921" s="77"/>
      <c r="V4921" s="78"/>
      <c r="W4921" s="85" t="s">
        <v>16398</v>
      </c>
      <c r="X4921" s="80"/>
      <c r="Y4921" s="22">
        <v>0</v>
      </c>
      <c r="Z4921" s="80" t="s">
        <v>50</v>
      </c>
      <c r="AA4921" s="96" t="s">
        <v>9905</v>
      </c>
      <c r="AB4921" s="80"/>
      <c r="AC4921" s="80" t="s">
        <v>53</v>
      </c>
      <c r="AD4921" s="80" t="s">
        <v>138</v>
      </c>
      <c r="AE4921" s="80" t="s">
        <v>13535</v>
      </c>
      <c r="AF4921" s="17">
        <v>45636</v>
      </c>
      <c r="AG4921" s="80"/>
      <c r="AH4921" s="80"/>
      <c r="AI4921" s="147"/>
      <c r="AJ4921" s="80"/>
      <c r="AK4921" s="80"/>
      <c r="AL4921" s="35"/>
      <c r="AM4921" s="35"/>
      <c r="AN4921" s="35"/>
      <c r="AO4921" s="35"/>
      <c r="AP4921" s="35"/>
    </row>
    <row r="4922" spans="1:42" x14ac:dyDescent="0.2">
      <c r="A4922" s="99">
        <v>45631</v>
      </c>
      <c r="B4922" s="28" t="s">
        <v>37</v>
      </c>
      <c r="C4922" s="41" t="s">
        <v>118</v>
      </c>
      <c r="D4922" s="80" t="s">
        <v>36</v>
      </c>
      <c r="E4922" s="80" t="s">
        <v>139</v>
      </c>
      <c r="F4922" s="80" t="s">
        <v>13535</v>
      </c>
      <c r="G4922" s="80" t="s">
        <v>108</v>
      </c>
      <c r="H4922" s="80" t="s">
        <v>14140</v>
      </c>
      <c r="I4922" s="17">
        <f ca="1">IFERROR(__xludf.DUMMYFUNCTION("""COMPUTED_VALUE"""),45642)</f>
        <v>45642</v>
      </c>
      <c r="J4922" s="143" t="s">
        <v>17008</v>
      </c>
      <c r="K4922" s="80" t="s">
        <v>17009</v>
      </c>
      <c r="L4922" s="30">
        <v>326329641</v>
      </c>
      <c r="M4922" s="80" t="s">
        <v>15996</v>
      </c>
      <c r="N4922" s="80" t="s">
        <v>186</v>
      </c>
      <c r="O4922" s="80" t="s">
        <v>4503</v>
      </c>
      <c r="P4922" s="80" t="s">
        <v>4503</v>
      </c>
      <c r="Q4922" s="20">
        <v>15936</v>
      </c>
      <c r="R4922" s="80" t="s">
        <v>36</v>
      </c>
      <c r="S4922" s="95">
        <f>200+5000</f>
        <v>5200</v>
      </c>
      <c r="T4922" s="83" t="s">
        <v>17010</v>
      </c>
      <c r="U4922" s="95">
        <f>10000+736</f>
        <v>10736</v>
      </c>
      <c r="V4922" s="83" t="s">
        <v>17011</v>
      </c>
      <c r="W4922" s="85" t="s">
        <v>17012</v>
      </c>
      <c r="X4922" s="80"/>
      <c r="Y4922" s="22">
        <v>0</v>
      </c>
      <c r="Z4922" s="80" t="s">
        <v>50</v>
      </c>
      <c r="AA4922" s="86"/>
      <c r="AB4922" s="80"/>
      <c r="AC4922" s="80" t="s">
        <v>53</v>
      </c>
      <c r="AD4922" s="80" t="s">
        <v>138</v>
      </c>
      <c r="AE4922" s="80" t="s">
        <v>13535</v>
      </c>
      <c r="AF4922" s="17">
        <v>45636</v>
      </c>
      <c r="AG4922" s="80"/>
      <c r="AH4922" s="80"/>
      <c r="AI4922" s="147"/>
      <c r="AJ4922" s="80"/>
      <c r="AK4922" s="80"/>
      <c r="AL4922" s="35"/>
      <c r="AM4922" s="35"/>
      <c r="AN4922" s="35"/>
      <c r="AO4922" s="35"/>
      <c r="AP4922" s="35"/>
    </row>
    <row r="4923" spans="1:42" x14ac:dyDescent="0.2">
      <c r="A4923" s="99">
        <v>45631</v>
      </c>
      <c r="B4923" s="28" t="s">
        <v>37</v>
      </c>
      <c r="C4923" s="41" t="s">
        <v>118</v>
      </c>
      <c r="D4923" s="80" t="s">
        <v>36</v>
      </c>
      <c r="E4923" s="80" t="s">
        <v>56</v>
      </c>
      <c r="F4923" s="80" t="s">
        <v>13535</v>
      </c>
      <c r="G4923" s="80" t="s">
        <v>108</v>
      </c>
      <c r="H4923" s="80" t="s">
        <v>14140</v>
      </c>
      <c r="I4923" s="17">
        <f ca="1">IFERROR(__xludf.DUMMYFUNCTION("""COMPUTED_VALUE"""),45642)</f>
        <v>45642</v>
      </c>
      <c r="J4923" s="172" t="s">
        <v>17013</v>
      </c>
      <c r="K4923" s="80" t="s">
        <v>17014</v>
      </c>
      <c r="L4923" s="30">
        <v>813145806</v>
      </c>
      <c r="M4923" s="80" t="s">
        <v>12644</v>
      </c>
      <c r="N4923" s="80" t="s">
        <v>8725</v>
      </c>
      <c r="O4923" s="80" t="s">
        <v>17015</v>
      </c>
      <c r="P4923" s="80" t="s">
        <v>3694</v>
      </c>
      <c r="Q4923" s="20">
        <v>9317</v>
      </c>
      <c r="R4923" s="80" t="s">
        <v>70</v>
      </c>
      <c r="S4923" s="95">
        <f>400+1600+4000</f>
        <v>6000</v>
      </c>
      <c r="T4923" s="83" t="s">
        <v>17016</v>
      </c>
      <c r="U4923" s="95">
        <v>3217</v>
      </c>
      <c r="V4923" s="148">
        <v>45618</v>
      </c>
      <c r="W4923" s="85" t="s">
        <v>17017</v>
      </c>
      <c r="X4923" s="80"/>
      <c r="Y4923" s="22">
        <v>100</v>
      </c>
      <c r="Z4923" s="80" t="s">
        <v>50</v>
      </c>
      <c r="AA4923" s="82"/>
      <c r="AB4923" s="80"/>
      <c r="AC4923" s="80" t="s">
        <v>53</v>
      </c>
      <c r="AD4923" s="80" t="s">
        <v>138</v>
      </c>
      <c r="AE4923" s="80" t="s">
        <v>13535</v>
      </c>
      <c r="AF4923" s="17">
        <v>45636</v>
      </c>
      <c r="AG4923" s="80"/>
      <c r="AH4923" s="80"/>
      <c r="AI4923" s="147"/>
      <c r="AJ4923" s="80"/>
      <c r="AK4923" s="80"/>
      <c r="AL4923" s="35"/>
      <c r="AM4923" s="35"/>
      <c r="AN4923" s="35"/>
      <c r="AO4923" s="35"/>
      <c r="AP4923" s="35"/>
    </row>
    <row r="4924" spans="1:42" x14ac:dyDescent="0.2">
      <c r="A4924" s="99">
        <v>45631</v>
      </c>
      <c r="B4924" s="28" t="s">
        <v>37</v>
      </c>
      <c r="C4924" s="41" t="s">
        <v>118</v>
      </c>
      <c r="D4924" s="80" t="s">
        <v>36</v>
      </c>
      <c r="E4924" s="80" t="s">
        <v>56</v>
      </c>
      <c r="F4924" s="80" t="s">
        <v>13535</v>
      </c>
      <c r="G4924" s="80" t="s">
        <v>108</v>
      </c>
      <c r="H4924" s="80" t="s">
        <v>14140</v>
      </c>
      <c r="I4924" s="17">
        <f ca="1">IFERROR(__xludf.DUMMYFUNCTION("""COMPUTED_VALUE"""),45642)</f>
        <v>45642</v>
      </c>
      <c r="J4924" s="143" t="s">
        <v>17018</v>
      </c>
      <c r="K4924" s="80" t="s">
        <v>17019</v>
      </c>
      <c r="L4924" s="30">
        <v>981610411</v>
      </c>
      <c r="M4924" s="80" t="s">
        <v>59</v>
      </c>
      <c r="N4924" s="80" t="s">
        <v>11476</v>
      </c>
      <c r="O4924" s="80" t="s">
        <v>17020</v>
      </c>
      <c r="P4924" s="80" t="s">
        <v>12687</v>
      </c>
      <c r="Q4924" s="20">
        <v>9317</v>
      </c>
      <c r="R4924" s="80" t="s">
        <v>70</v>
      </c>
      <c r="S4924" s="95">
        <f>100+1900+4000</f>
        <v>6000</v>
      </c>
      <c r="T4924" s="83" t="s">
        <v>17016</v>
      </c>
      <c r="U4924" s="95">
        <v>3217</v>
      </c>
      <c r="V4924" s="148">
        <v>45618</v>
      </c>
      <c r="W4924" s="85" t="s">
        <v>17021</v>
      </c>
      <c r="X4924" s="80"/>
      <c r="Y4924" s="22">
        <v>100</v>
      </c>
      <c r="Z4924" s="80" t="s">
        <v>50</v>
      </c>
      <c r="AA4924" s="86"/>
      <c r="AB4924" s="80"/>
      <c r="AC4924" s="80" t="s">
        <v>53</v>
      </c>
      <c r="AD4924" s="80" t="s">
        <v>138</v>
      </c>
      <c r="AE4924" s="80" t="s">
        <v>13535</v>
      </c>
      <c r="AF4924" s="17">
        <v>45636</v>
      </c>
      <c r="AG4924" s="80"/>
      <c r="AH4924" s="80"/>
      <c r="AI4924" s="147"/>
      <c r="AJ4924" s="80"/>
      <c r="AK4924" s="80"/>
      <c r="AL4924" s="35"/>
      <c r="AM4924" s="35"/>
      <c r="AN4924" s="35"/>
      <c r="AO4924" s="35"/>
      <c r="AP4924" s="35"/>
    </row>
    <row r="4925" spans="1:42" x14ac:dyDescent="0.2">
      <c r="A4925" s="99">
        <v>45631</v>
      </c>
      <c r="B4925" s="28" t="s">
        <v>37</v>
      </c>
      <c r="C4925" s="41" t="s">
        <v>118</v>
      </c>
      <c r="D4925" s="80" t="s">
        <v>36</v>
      </c>
      <c r="E4925" s="80" t="s">
        <v>56</v>
      </c>
      <c r="F4925" s="80" t="s">
        <v>13535</v>
      </c>
      <c r="G4925" s="80" t="s">
        <v>108</v>
      </c>
      <c r="H4925" s="80" t="s">
        <v>16692</v>
      </c>
      <c r="I4925" s="17">
        <f ca="1">IFERROR(__xludf.DUMMYFUNCTION("""COMPUTED_VALUE"""),45757)</f>
        <v>45757</v>
      </c>
      <c r="J4925" s="143" t="s">
        <v>13536</v>
      </c>
      <c r="K4925" s="80" t="s">
        <v>17022</v>
      </c>
      <c r="L4925" s="30">
        <v>869831633</v>
      </c>
      <c r="M4925" s="80" t="s">
        <v>9422</v>
      </c>
      <c r="N4925" s="80" t="s">
        <v>5574</v>
      </c>
      <c r="O4925" s="80" t="s">
        <v>13538</v>
      </c>
      <c r="P4925" s="144" t="s">
        <v>17023</v>
      </c>
      <c r="Q4925" s="20">
        <v>9317</v>
      </c>
      <c r="R4925" s="80" t="s">
        <v>11421</v>
      </c>
      <c r="S4925" s="95">
        <v>9017</v>
      </c>
      <c r="T4925" s="148">
        <v>45561</v>
      </c>
      <c r="U4925" s="77"/>
      <c r="V4925" s="78"/>
      <c r="W4925" s="85" t="s">
        <v>13540</v>
      </c>
      <c r="X4925" s="80">
        <v>300</v>
      </c>
      <c r="Y4925" s="22">
        <v>0</v>
      </c>
      <c r="Z4925" s="80" t="s">
        <v>50</v>
      </c>
      <c r="AA4925" s="96" t="s">
        <v>3291</v>
      </c>
      <c r="AB4925" s="80"/>
      <c r="AC4925" s="80" t="s">
        <v>53</v>
      </c>
      <c r="AD4925" s="80" t="s">
        <v>138</v>
      </c>
      <c r="AE4925" s="80" t="s">
        <v>13535</v>
      </c>
      <c r="AF4925" s="17">
        <v>45741</v>
      </c>
      <c r="AG4925" s="60" t="s">
        <v>17024</v>
      </c>
      <c r="AH4925" s="80"/>
      <c r="AI4925" s="147" t="s">
        <v>64</v>
      </c>
      <c r="AJ4925" s="80"/>
      <c r="AK4925" s="80"/>
      <c r="AL4925" s="35"/>
      <c r="AM4925" s="35"/>
      <c r="AN4925" s="35"/>
      <c r="AO4925" s="35"/>
      <c r="AP4925" s="35"/>
    </row>
    <row r="4926" spans="1:42" x14ac:dyDescent="0.2">
      <c r="A4926" s="99">
        <v>45631</v>
      </c>
      <c r="B4926" s="28" t="s">
        <v>37</v>
      </c>
      <c r="C4926" s="41" t="s">
        <v>118</v>
      </c>
      <c r="D4926" s="80" t="s">
        <v>36</v>
      </c>
      <c r="E4926" s="80" t="s">
        <v>39</v>
      </c>
      <c r="F4926" s="80" t="s">
        <v>13535</v>
      </c>
      <c r="G4926" s="80" t="s">
        <v>108</v>
      </c>
      <c r="H4926" s="80" t="s">
        <v>14140</v>
      </c>
      <c r="I4926" s="17">
        <f ca="1">IFERROR(__xludf.DUMMYFUNCTION("""COMPUTED_VALUE"""),45642)</f>
        <v>45642</v>
      </c>
      <c r="J4926" s="143" t="s">
        <v>13542</v>
      </c>
      <c r="K4926" s="80" t="s">
        <v>17025</v>
      </c>
      <c r="L4926" s="30">
        <v>869985665</v>
      </c>
      <c r="M4926" s="80" t="s">
        <v>45</v>
      </c>
      <c r="N4926" s="80" t="s">
        <v>12712</v>
      </c>
      <c r="O4926" s="80" t="s">
        <v>13544</v>
      </c>
      <c r="P4926" s="80" t="s">
        <v>7743</v>
      </c>
      <c r="Q4926" s="20">
        <v>5736</v>
      </c>
      <c r="R4926" s="80" t="s">
        <v>36</v>
      </c>
      <c r="S4926" s="95">
        <v>5736</v>
      </c>
      <c r="T4926" s="148">
        <v>45557</v>
      </c>
      <c r="U4926" s="77"/>
      <c r="V4926" s="78"/>
      <c r="W4926" s="85" t="s">
        <v>13545</v>
      </c>
      <c r="X4926" s="80">
        <v>0</v>
      </c>
      <c r="Y4926" s="22">
        <v>0</v>
      </c>
      <c r="Z4926" s="80" t="s">
        <v>50</v>
      </c>
      <c r="AA4926" s="35" t="s">
        <v>3291</v>
      </c>
      <c r="AB4926" s="80"/>
      <c r="AC4926" s="80" t="s">
        <v>53</v>
      </c>
      <c r="AD4926" s="80" t="s">
        <v>138</v>
      </c>
      <c r="AE4926" s="80" t="s">
        <v>13850</v>
      </c>
      <c r="AF4926" s="17">
        <v>45636</v>
      </c>
      <c r="AG4926" s="80"/>
      <c r="AH4926" s="80"/>
      <c r="AI4926" s="147" t="s">
        <v>55</v>
      </c>
      <c r="AJ4926" s="80"/>
      <c r="AK4926" s="80"/>
      <c r="AL4926" s="35"/>
      <c r="AM4926" s="35"/>
      <c r="AN4926" s="35"/>
      <c r="AO4926" s="35"/>
      <c r="AP4926" s="35"/>
    </row>
    <row r="4927" spans="1:42" x14ac:dyDescent="0.2">
      <c r="A4927" s="99">
        <v>45631</v>
      </c>
      <c r="B4927" s="28" t="s">
        <v>37</v>
      </c>
      <c r="C4927" s="41" t="s">
        <v>118</v>
      </c>
      <c r="D4927" s="80" t="s">
        <v>36</v>
      </c>
      <c r="E4927" s="80" t="s">
        <v>139</v>
      </c>
      <c r="F4927" s="80" t="s">
        <v>13535</v>
      </c>
      <c r="G4927" s="80" t="s">
        <v>108</v>
      </c>
      <c r="H4927" s="80" t="s">
        <v>14140</v>
      </c>
      <c r="I4927" s="17">
        <f ca="1">IFERROR(__xludf.DUMMYFUNCTION("""COMPUTED_VALUE"""),45642)</f>
        <v>45642</v>
      </c>
      <c r="J4927" s="143" t="s">
        <v>17026</v>
      </c>
      <c r="K4927" s="80" t="s">
        <v>17027</v>
      </c>
      <c r="L4927" s="30">
        <v>355847110</v>
      </c>
      <c r="M4927" s="80" t="s">
        <v>9422</v>
      </c>
      <c r="N4927" s="80" t="s">
        <v>1881</v>
      </c>
      <c r="O4927" s="80" t="s">
        <v>11607</v>
      </c>
      <c r="P4927" s="80" t="s">
        <v>11608</v>
      </c>
      <c r="Q4927" s="20">
        <v>15936</v>
      </c>
      <c r="R4927" s="80" t="s">
        <v>36</v>
      </c>
      <c r="S4927" s="95">
        <v>4000</v>
      </c>
      <c r="T4927" s="148">
        <v>45591</v>
      </c>
      <c r="U4927" s="95">
        <v>11936</v>
      </c>
      <c r="V4927" s="148">
        <v>45610</v>
      </c>
      <c r="W4927" s="85" t="s">
        <v>17028</v>
      </c>
      <c r="X4927" s="80"/>
      <c r="Y4927" s="22">
        <v>0</v>
      </c>
      <c r="Z4927" s="80" t="s">
        <v>50</v>
      </c>
      <c r="AA4927" s="82"/>
      <c r="AB4927" s="80"/>
      <c r="AC4927" s="80" t="s">
        <v>53</v>
      </c>
      <c r="AD4927" s="80" t="s">
        <v>138</v>
      </c>
      <c r="AE4927" s="80" t="s">
        <v>14934</v>
      </c>
      <c r="AF4927" s="17">
        <v>45636</v>
      </c>
      <c r="AG4927" s="80"/>
      <c r="AH4927" s="80"/>
      <c r="AI4927" s="147"/>
      <c r="AJ4927" s="80"/>
      <c r="AK4927" s="80"/>
      <c r="AL4927" s="35"/>
      <c r="AM4927" s="35"/>
      <c r="AN4927" s="35"/>
      <c r="AO4927" s="35"/>
      <c r="AP4927" s="35"/>
    </row>
    <row r="4928" spans="1:42" x14ac:dyDescent="0.2">
      <c r="A4928" s="99">
        <v>45631</v>
      </c>
      <c r="B4928" s="28" t="s">
        <v>37</v>
      </c>
      <c r="C4928" s="41" t="s">
        <v>118</v>
      </c>
      <c r="D4928" s="26" t="s">
        <v>36</v>
      </c>
      <c r="E4928" s="26" t="s">
        <v>139</v>
      </c>
      <c r="F4928" s="26" t="s">
        <v>8905</v>
      </c>
      <c r="G4928" s="26" t="s">
        <v>1705</v>
      </c>
      <c r="H4928" s="26" t="s">
        <v>16959</v>
      </c>
      <c r="I4928" s="17">
        <f ca="1">IFERROR(__xludf.DUMMYFUNCTION("""COMPUTED_VALUE"""),45643)</f>
        <v>45643</v>
      </c>
      <c r="J4928" s="29" t="s">
        <v>5433</v>
      </c>
      <c r="K4928" s="26" t="s">
        <v>7940</v>
      </c>
      <c r="L4928" s="30">
        <v>393409293</v>
      </c>
      <c r="M4928" s="26" t="s">
        <v>123</v>
      </c>
      <c r="N4928" s="26" t="s">
        <v>186</v>
      </c>
      <c r="O4928" s="26" t="s">
        <v>1226</v>
      </c>
      <c r="P4928" s="42" t="s">
        <v>17029</v>
      </c>
      <c r="Q4928" s="20">
        <v>15936</v>
      </c>
      <c r="R4928" s="26" t="s">
        <v>36</v>
      </c>
      <c r="S4928" s="31">
        <v>5000</v>
      </c>
      <c r="T4928" s="32">
        <v>45222</v>
      </c>
      <c r="U4928" s="58">
        <v>10936</v>
      </c>
      <c r="V4928" s="59">
        <v>45246</v>
      </c>
      <c r="W4928" s="33" t="s">
        <v>5436</v>
      </c>
      <c r="X4928" s="26"/>
      <c r="Y4928" s="22">
        <v>0</v>
      </c>
      <c r="Z4928" s="26" t="s">
        <v>118</v>
      </c>
      <c r="AA4928" s="19" t="s">
        <v>5112</v>
      </c>
      <c r="AB4928" s="26" t="s">
        <v>36</v>
      </c>
      <c r="AC4928" s="26" t="s">
        <v>53</v>
      </c>
      <c r="AD4928" s="19" t="s">
        <v>54</v>
      </c>
      <c r="AE4928" s="26" t="s">
        <v>8905</v>
      </c>
      <c r="AF4928" s="17">
        <v>45637</v>
      </c>
      <c r="AG4928" s="26"/>
      <c r="AH4928" s="26"/>
      <c r="AI4928" s="40" t="s">
        <v>147</v>
      </c>
      <c r="AJ4928" s="26"/>
      <c r="AK4928" s="26"/>
      <c r="AL4928" s="35"/>
      <c r="AM4928" s="35"/>
      <c r="AN4928" s="35"/>
      <c r="AO4928" s="35"/>
      <c r="AP4928" s="35"/>
    </row>
    <row r="4929" spans="1:42" x14ac:dyDescent="0.2">
      <c r="A4929" s="99">
        <v>45631</v>
      </c>
      <c r="B4929" s="28" t="s">
        <v>37</v>
      </c>
      <c r="C4929" s="41" t="s">
        <v>118</v>
      </c>
      <c r="D4929" s="26" t="s">
        <v>36</v>
      </c>
      <c r="E4929" s="26" t="s">
        <v>139</v>
      </c>
      <c r="F4929" s="26" t="s">
        <v>7454</v>
      </c>
      <c r="G4929" s="26" t="s">
        <v>1705</v>
      </c>
      <c r="H4929" s="26" t="s">
        <v>16959</v>
      </c>
      <c r="I4929" s="17">
        <f ca="1">IFERROR(__xludf.DUMMYFUNCTION("""COMPUTED_VALUE"""),45643)</f>
        <v>45643</v>
      </c>
      <c r="J4929" s="44" t="s">
        <v>7455</v>
      </c>
      <c r="K4929" s="26" t="s">
        <v>17030</v>
      </c>
      <c r="L4929" s="30">
        <v>973088950</v>
      </c>
      <c r="M4929" s="26" t="s">
        <v>3498</v>
      </c>
      <c r="N4929" s="26" t="s">
        <v>2756</v>
      </c>
      <c r="O4929" s="26" t="s">
        <v>134</v>
      </c>
      <c r="P4929" s="42" t="s">
        <v>7457</v>
      </c>
      <c r="Q4929" s="20">
        <v>15936</v>
      </c>
      <c r="R4929" s="26" t="s">
        <v>36</v>
      </c>
      <c r="S4929" s="31">
        <v>2000</v>
      </c>
      <c r="T4929" s="32">
        <v>45178</v>
      </c>
      <c r="U4929" s="31">
        <v>13936</v>
      </c>
      <c r="V4929" s="32">
        <v>45209</v>
      </c>
      <c r="W4929" s="33" t="s">
        <v>3500</v>
      </c>
      <c r="X4929" s="26"/>
      <c r="Y4929" s="22">
        <v>0</v>
      </c>
      <c r="Z4929" s="26" t="s">
        <v>118</v>
      </c>
      <c r="AA4929" s="19" t="s">
        <v>5785</v>
      </c>
      <c r="AB4929" s="26" t="s">
        <v>36</v>
      </c>
      <c r="AC4929" s="26" t="s">
        <v>53</v>
      </c>
      <c r="AD4929" s="19" t="s">
        <v>54</v>
      </c>
      <c r="AE4929" s="26" t="s">
        <v>7454</v>
      </c>
      <c r="AF4929" s="17">
        <v>45637</v>
      </c>
      <c r="AG4929" s="61"/>
      <c r="AH4929" s="26"/>
      <c r="AI4929" s="40" t="s">
        <v>147</v>
      </c>
      <c r="AJ4929" s="26"/>
      <c r="AK4929" s="26"/>
      <c r="AL4929" s="35"/>
      <c r="AM4929" s="35"/>
      <c r="AN4929" s="35"/>
      <c r="AO4929" s="35"/>
      <c r="AP4929" s="35"/>
    </row>
    <row r="4930" spans="1:42" x14ac:dyDescent="0.2">
      <c r="A4930" s="99">
        <v>45631</v>
      </c>
      <c r="B4930" s="137" t="s">
        <v>37</v>
      </c>
      <c r="C4930" s="41" t="s">
        <v>118</v>
      </c>
      <c r="D4930" s="26" t="s">
        <v>36</v>
      </c>
      <c r="E4930" s="26" t="s">
        <v>119</v>
      </c>
      <c r="F4930" s="26" t="s">
        <v>6976</v>
      </c>
      <c r="G4930" s="26" t="s">
        <v>1847</v>
      </c>
      <c r="H4930" s="26" t="s">
        <v>14438</v>
      </c>
      <c r="I4930" s="17">
        <f ca="1">IFERROR(__xludf.DUMMYFUNCTION("""COMPUTED_VALUE"""),45645)</f>
        <v>45645</v>
      </c>
      <c r="J4930" s="29" t="s">
        <v>6209</v>
      </c>
      <c r="K4930" s="26" t="s">
        <v>6991</v>
      </c>
      <c r="L4930" s="30">
        <v>345813351</v>
      </c>
      <c r="M4930" s="26" t="s">
        <v>5429</v>
      </c>
      <c r="N4930" s="26" t="s">
        <v>81</v>
      </c>
      <c r="O4930" s="26" t="s">
        <v>6211</v>
      </c>
      <c r="P4930" s="42" t="s">
        <v>17031</v>
      </c>
      <c r="Q4930" s="20">
        <v>13968</v>
      </c>
      <c r="R4930" s="26" t="s">
        <v>36</v>
      </c>
      <c r="S4930" s="31">
        <v>4000</v>
      </c>
      <c r="T4930" s="32">
        <v>45233</v>
      </c>
      <c r="U4930" s="31">
        <v>9968</v>
      </c>
      <c r="V4930" s="32">
        <v>45265</v>
      </c>
      <c r="W4930" s="33" t="s">
        <v>6213</v>
      </c>
      <c r="X4930" s="26"/>
      <c r="Y4930" s="22">
        <v>0</v>
      </c>
      <c r="Z4930" s="26" t="s">
        <v>118</v>
      </c>
      <c r="AA4930" s="19" t="s">
        <v>5961</v>
      </c>
      <c r="AB4930" s="26" t="s">
        <v>36</v>
      </c>
      <c r="AC4930" s="26" t="s">
        <v>53</v>
      </c>
      <c r="AD4930" s="19" t="s">
        <v>138</v>
      </c>
      <c r="AE4930" s="26" t="s">
        <v>6976</v>
      </c>
      <c r="AF4930" s="17">
        <v>45638</v>
      </c>
      <c r="AG4930" s="26"/>
      <c r="AH4930" s="26">
        <v>1</v>
      </c>
      <c r="AI4930" s="40"/>
      <c r="AJ4930" s="26"/>
      <c r="AK4930" s="26"/>
      <c r="AL4930" s="35"/>
      <c r="AM4930" s="35"/>
      <c r="AN4930" s="35"/>
      <c r="AO4930" s="35"/>
      <c r="AP4930" s="35"/>
    </row>
    <row r="4931" spans="1:42" x14ac:dyDescent="0.2">
      <c r="A4931" s="99">
        <v>45631</v>
      </c>
      <c r="B4931" s="137" t="s">
        <v>37</v>
      </c>
      <c r="C4931" s="41" t="s">
        <v>118</v>
      </c>
      <c r="D4931" s="26" t="s">
        <v>36</v>
      </c>
      <c r="E4931" s="26" t="s">
        <v>139</v>
      </c>
      <c r="F4931" s="80" t="s">
        <v>7477</v>
      </c>
      <c r="G4931" s="26" t="s">
        <v>1847</v>
      </c>
      <c r="H4931" s="26" t="s">
        <v>14438</v>
      </c>
      <c r="I4931" s="17">
        <f ca="1">IFERROR(__xludf.DUMMYFUNCTION("""COMPUTED_VALUE"""),45645)</f>
        <v>45645</v>
      </c>
      <c r="J4931" s="29" t="s">
        <v>2671</v>
      </c>
      <c r="K4931" s="26" t="s">
        <v>5830</v>
      </c>
      <c r="L4931" s="30">
        <v>971533472</v>
      </c>
      <c r="M4931" s="26" t="s">
        <v>123</v>
      </c>
      <c r="N4931" s="26" t="s">
        <v>850</v>
      </c>
      <c r="O4931" s="26" t="s">
        <v>125</v>
      </c>
      <c r="P4931" s="42" t="s">
        <v>17032</v>
      </c>
      <c r="Q4931" s="20">
        <v>15936</v>
      </c>
      <c r="R4931" s="26" t="s">
        <v>36</v>
      </c>
      <c r="S4931" s="31">
        <v>4000</v>
      </c>
      <c r="T4931" s="32">
        <v>45175</v>
      </c>
      <c r="U4931" s="31">
        <v>11936</v>
      </c>
      <c r="V4931" s="32">
        <v>45195</v>
      </c>
      <c r="W4931" s="33" t="s">
        <v>2674</v>
      </c>
      <c r="X4931" s="26"/>
      <c r="Y4931" s="22">
        <v>0</v>
      </c>
      <c r="Z4931" s="26" t="s">
        <v>118</v>
      </c>
      <c r="AA4931" s="19" t="s">
        <v>5785</v>
      </c>
      <c r="AB4931" s="80" t="s">
        <v>36</v>
      </c>
      <c r="AC4931" s="26" t="s">
        <v>53</v>
      </c>
      <c r="AD4931" s="19" t="s">
        <v>54</v>
      </c>
      <c r="AE4931" s="80" t="s">
        <v>7477</v>
      </c>
      <c r="AF4931" s="17">
        <v>45638</v>
      </c>
      <c r="AG4931" s="26"/>
      <c r="AH4931" s="26"/>
      <c r="AI4931" s="40" t="s">
        <v>147</v>
      </c>
      <c r="AJ4931" s="26"/>
      <c r="AK4931" s="26"/>
      <c r="AL4931" s="35"/>
      <c r="AM4931" s="35"/>
      <c r="AN4931" s="35"/>
      <c r="AO4931" s="35"/>
      <c r="AP4931" s="35"/>
    </row>
    <row r="4932" spans="1:42" x14ac:dyDescent="0.2">
      <c r="A4932" s="99">
        <v>45631</v>
      </c>
      <c r="B4932" s="137" t="s">
        <v>37</v>
      </c>
      <c r="C4932" s="41" t="s">
        <v>118</v>
      </c>
      <c r="D4932" s="26" t="s">
        <v>36</v>
      </c>
      <c r="E4932" s="26" t="s">
        <v>139</v>
      </c>
      <c r="F4932" s="26" t="s">
        <v>6623</v>
      </c>
      <c r="G4932" s="26" t="s">
        <v>1847</v>
      </c>
      <c r="H4932" s="26" t="s">
        <v>14438</v>
      </c>
      <c r="I4932" s="17">
        <f ca="1">IFERROR(__xludf.DUMMYFUNCTION("""COMPUTED_VALUE"""),45645)</f>
        <v>45645</v>
      </c>
      <c r="J4932" s="29" t="s">
        <v>6281</v>
      </c>
      <c r="K4932" s="26" t="s">
        <v>5899</v>
      </c>
      <c r="L4932" s="30">
        <v>382959506</v>
      </c>
      <c r="M4932" s="26" t="s">
        <v>3288</v>
      </c>
      <c r="N4932" s="26" t="s">
        <v>200</v>
      </c>
      <c r="O4932" s="26" t="s">
        <v>91</v>
      </c>
      <c r="P4932" s="42" t="s">
        <v>6282</v>
      </c>
      <c r="Q4932" s="20">
        <v>15936</v>
      </c>
      <c r="R4932" s="26" t="s">
        <v>36</v>
      </c>
      <c r="S4932" s="31">
        <v>7000</v>
      </c>
      <c r="T4932" s="32">
        <v>45256</v>
      </c>
      <c r="U4932" s="31">
        <v>8936</v>
      </c>
      <c r="V4932" s="32">
        <v>45263</v>
      </c>
      <c r="W4932" s="33" t="s">
        <v>6283</v>
      </c>
      <c r="X4932" s="26"/>
      <c r="Y4932" s="22">
        <v>0</v>
      </c>
      <c r="Z4932" s="26" t="s">
        <v>118</v>
      </c>
      <c r="AA4932" s="19" t="s">
        <v>5961</v>
      </c>
      <c r="AB4932" s="26" t="s">
        <v>36</v>
      </c>
      <c r="AC4932" s="26" t="s">
        <v>53</v>
      </c>
      <c r="AD4932" s="19" t="s">
        <v>54</v>
      </c>
      <c r="AE4932" s="26" t="s">
        <v>6623</v>
      </c>
      <c r="AF4932" s="17">
        <v>45638</v>
      </c>
      <c r="AG4932" s="26"/>
      <c r="AH4932" s="26">
        <v>1</v>
      </c>
      <c r="AI4932" s="40"/>
      <c r="AJ4932" s="26"/>
      <c r="AK4932" s="26"/>
      <c r="AL4932" s="35"/>
      <c r="AM4932" s="35"/>
      <c r="AN4932" s="35"/>
      <c r="AO4932" s="35"/>
      <c r="AP4932" s="35"/>
    </row>
    <row r="4933" spans="1:42" x14ac:dyDescent="0.2">
      <c r="A4933" s="99">
        <v>45631</v>
      </c>
      <c r="B4933" s="137" t="s">
        <v>37</v>
      </c>
      <c r="C4933" s="41" t="s">
        <v>118</v>
      </c>
      <c r="D4933" s="26" t="s">
        <v>36</v>
      </c>
      <c r="E4933" s="26" t="s">
        <v>119</v>
      </c>
      <c r="F4933" s="26" t="s">
        <v>8915</v>
      </c>
      <c r="G4933" s="26" t="s">
        <v>1847</v>
      </c>
      <c r="H4933" s="26" t="s">
        <v>14438</v>
      </c>
      <c r="I4933" s="17">
        <f ca="1">IFERROR(__xludf.DUMMYFUNCTION("""COMPUTED_VALUE"""),45645)</f>
        <v>45645</v>
      </c>
      <c r="J4933" s="29" t="s">
        <v>7535</v>
      </c>
      <c r="K4933" s="26" t="s">
        <v>7536</v>
      </c>
      <c r="L4933" s="30">
        <v>389346206</v>
      </c>
      <c r="M4933" s="26" t="s">
        <v>3728</v>
      </c>
      <c r="N4933" s="26" t="s">
        <v>5377</v>
      </c>
      <c r="O4933" s="26" t="s">
        <v>7537</v>
      </c>
      <c r="P4933" s="42" t="s">
        <v>7538</v>
      </c>
      <c r="Q4933" s="20">
        <v>13968</v>
      </c>
      <c r="R4933" s="26" t="s">
        <v>36</v>
      </c>
      <c r="S4933" s="31">
        <v>200</v>
      </c>
      <c r="T4933" s="32">
        <v>45245</v>
      </c>
      <c r="U4933" s="31">
        <f>3800+5000+4968</f>
        <v>13768</v>
      </c>
      <c r="V4933" s="26" t="s">
        <v>7539</v>
      </c>
      <c r="W4933" s="33" t="s">
        <v>7540</v>
      </c>
      <c r="X4933" s="26">
        <v>0</v>
      </c>
      <c r="Y4933" s="22">
        <v>0</v>
      </c>
      <c r="Z4933" s="26" t="s">
        <v>118</v>
      </c>
      <c r="AA4933" s="19" t="s">
        <v>7928</v>
      </c>
      <c r="AB4933" s="26" t="s">
        <v>36</v>
      </c>
      <c r="AC4933" s="26" t="s">
        <v>53</v>
      </c>
      <c r="AD4933" s="19" t="s">
        <v>54</v>
      </c>
      <c r="AE4933" s="26" t="s">
        <v>8915</v>
      </c>
      <c r="AF4933" s="17">
        <v>45638</v>
      </c>
      <c r="AG4933" s="26"/>
      <c r="AH4933" s="26"/>
      <c r="AI4933" s="40">
        <v>4</v>
      </c>
      <c r="AJ4933" s="26"/>
      <c r="AK4933" s="26"/>
      <c r="AL4933" s="35"/>
      <c r="AM4933" s="35"/>
      <c r="AN4933" s="35"/>
      <c r="AO4933" s="35"/>
      <c r="AP4933" s="35"/>
    </row>
    <row r="4934" spans="1:42" x14ac:dyDescent="0.2">
      <c r="A4934" s="99">
        <v>45631</v>
      </c>
      <c r="B4934" s="28" t="s">
        <v>37</v>
      </c>
      <c r="C4934" s="41" t="s">
        <v>118</v>
      </c>
      <c r="D4934" s="26" t="s">
        <v>36</v>
      </c>
      <c r="E4934" s="26" t="s">
        <v>139</v>
      </c>
      <c r="F4934" s="26" t="s">
        <v>5037</v>
      </c>
      <c r="G4934" s="26" t="s">
        <v>1705</v>
      </c>
      <c r="H4934" s="26" t="s">
        <v>16959</v>
      </c>
      <c r="I4934" s="17">
        <f ca="1">IFERROR(__xludf.DUMMYFUNCTION("""COMPUTED_VALUE"""),45643)</f>
        <v>45643</v>
      </c>
      <c r="J4934" s="29" t="s">
        <v>6769</v>
      </c>
      <c r="K4934" s="26" t="s">
        <v>6770</v>
      </c>
      <c r="L4934" s="30">
        <v>325596416</v>
      </c>
      <c r="M4934" s="26" t="s">
        <v>5518</v>
      </c>
      <c r="N4934" s="26" t="s">
        <v>5582</v>
      </c>
      <c r="O4934" s="26" t="s">
        <v>6771</v>
      </c>
      <c r="P4934" s="42" t="s">
        <v>17033</v>
      </c>
      <c r="Q4934" s="20">
        <v>15936</v>
      </c>
      <c r="R4934" s="26" t="s">
        <v>36</v>
      </c>
      <c r="S4934" s="31">
        <v>4000</v>
      </c>
      <c r="T4934" s="32">
        <v>45301</v>
      </c>
      <c r="U4934" s="31">
        <v>11936</v>
      </c>
      <c r="V4934" s="32">
        <v>45319</v>
      </c>
      <c r="W4934" s="33" t="s">
        <v>6773</v>
      </c>
      <c r="X4934" s="26">
        <v>0</v>
      </c>
      <c r="Y4934" s="22">
        <v>0</v>
      </c>
      <c r="Z4934" s="26" t="s">
        <v>118</v>
      </c>
      <c r="AA4934" s="19" t="s">
        <v>6079</v>
      </c>
      <c r="AB4934" s="26" t="s">
        <v>104</v>
      </c>
      <c r="AC4934" s="26" t="s">
        <v>53</v>
      </c>
      <c r="AD4934" s="19" t="s">
        <v>54</v>
      </c>
      <c r="AE4934" s="26" t="s">
        <v>5037</v>
      </c>
      <c r="AF4934" s="17">
        <v>45637</v>
      </c>
      <c r="AG4934" s="26"/>
      <c r="AH4934" s="26"/>
      <c r="AI4934" s="40" t="s">
        <v>147</v>
      </c>
      <c r="AJ4934" s="26"/>
      <c r="AK4934" s="26"/>
      <c r="AL4934" s="35"/>
      <c r="AM4934" s="35"/>
      <c r="AN4934" s="35"/>
      <c r="AO4934" s="35"/>
      <c r="AP4934" s="35"/>
    </row>
    <row r="4935" spans="1:42" x14ac:dyDescent="0.2">
      <c r="A4935" s="99">
        <v>45631</v>
      </c>
      <c r="B4935" s="28" t="s">
        <v>37</v>
      </c>
      <c r="C4935" s="41" t="s">
        <v>118</v>
      </c>
      <c r="D4935" s="80" t="s">
        <v>36</v>
      </c>
      <c r="E4935" s="80" t="s">
        <v>39</v>
      </c>
      <c r="F4935" s="80" t="s">
        <v>14159</v>
      </c>
      <c r="G4935" s="80" t="s">
        <v>108</v>
      </c>
      <c r="H4935" s="80" t="s">
        <v>16890</v>
      </c>
      <c r="I4935" s="17">
        <f ca="1">IFERROR(__xludf.DUMMYFUNCTION("""COMPUTED_VALUE"""),45636)</f>
        <v>45636</v>
      </c>
      <c r="J4935" s="143" t="s">
        <v>17034</v>
      </c>
      <c r="K4935" s="80" t="s">
        <v>17035</v>
      </c>
      <c r="L4935" s="30">
        <v>945034896</v>
      </c>
      <c r="M4935" s="80" t="s">
        <v>45</v>
      </c>
      <c r="N4935" s="80" t="s">
        <v>16251</v>
      </c>
      <c r="O4935" s="80" t="s">
        <v>17036</v>
      </c>
      <c r="P4935" s="144" t="s">
        <v>17037</v>
      </c>
      <c r="Q4935" s="20">
        <v>5736</v>
      </c>
      <c r="R4935" s="80" t="s">
        <v>36</v>
      </c>
      <c r="S4935" s="95">
        <f>1000+2000</f>
        <v>3000</v>
      </c>
      <c r="T4935" s="83" t="s">
        <v>17038</v>
      </c>
      <c r="U4935" s="95">
        <v>2736</v>
      </c>
      <c r="V4935" s="148">
        <v>45603</v>
      </c>
      <c r="W4935" s="85" t="s">
        <v>17039</v>
      </c>
      <c r="X4935" s="80"/>
      <c r="Y4935" s="22">
        <v>0</v>
      </c>
      <c r="Z4935" s="80" t="s">
        <v>50</v>
      </c>
      <c r="AA4935" s="82"/>
      <c r="AB4935" s="80"/>
      <c r="AC4935" s="80" t="s">
        <v>53</v>
      </c>
      <c r="AD4935" s="80" t="s">
        <v>54</v>
      </c>
      <c r="AE4935" s="80" t="s">
        <v>14159</v>
      </c>
      <c r="AF4935" s="17">
        <v>45633</v>
      </c>
      <c r="AG4935" s="80"/>
      <c r="AH4935" s="80"/>
      <c r="AI4935" s="147"/>
      <c r="AJ4935" s="80"/>
      <c r="AK4935" s="80"/>
      <c r="AL4935" s="35"/>
      <c r="AM4935" s="35"/>
      <c r="AN4935" s="35"/>
      <c r="AO4935" s="35"/>
      <c r="AP4935" s="35"/>
    </row>
    <row r="4936" spans="1:42" x14ac:dyDescent="0.2">
      <c r="A4936" s="99">
        <v>45631</v>
      </c>
      <c r="B4936" s="137" t="s">
        <v>37</v>
      </c>
      <c r="C4936" s="41" t="s">
        <v>118</v>
      </c>
      <c r="D4936" s="80" t="s">
        <v>36</v>
      </c>
      <c r="E4936" s="80" t="s">
        <v>1704</v>
      </c>
      <c r="F4936" s="80" t="s">
        <v>9845</v>
      </c>
      <c r="G4936" s="26" t="s">
        <v>1847</v>
      </c>
      <c r="H4936" s="26" t="s">
        <v>14438</v>
      </c>
      <c r="I4936" s="17">
        <f ca="1">IFERROR(__xludf.DUMMYFUNCTION("""COMPUTED_VALUE"""),45645)</f>
        <v>45645</v>
      </c>
      <c r="J4936" s="143" t="s">
        <v>13234</v>
      </c>
      <c r="K4936" s="80" t="s">
        <v>13235</v>
      </c>
      <c r="L4936" s="30">
        <v>865861006</v>
      </c>
      <c r="M4936" s="80" t="s">
        <v>9422</v>
      </c>
      <c r="N4936" s="80" t="s">
        <v>5574</v>
      </c>
      <c r="O4936" s="80" t="s">
        <v>13236</v>
      </c>
      <c r="P4936" s="144" t="s">
        <v>17040</v>
      </c>
      <c r="Q4936" s="20">
        <v>7729</v>
      </c>
      <c r="R4936" s="80" t="s">
        <v>36</v>
      </c>
      <c r="S4936" s="95">
        <v>3000</v>
      </c>
      <c r="T4936" s="148">
        <v>45551</v>
      </c>
      <c r="U4936" s="95">
        <v>4729</v>
      </c>
      <c r="V4936" s="148">
        <v>45554</v>
      </c>
      <c r="W4936" s="85" t="s">
        <v>13238</v>
      </c>
      <c r="X4936" s="80">
        <v>0</v>
      </c>
      <c r="Y4936" s="22">
        <v>0</v>
      </c>
      <c r="Z4936" s="80" t="s">
        <v>50</v>
      </c>
      <c r="AA4936" s="35" t="s">
        <v>3291</v>
      </c>
      <c r="AB4936" s="80"/>
      <c r="AC4936" s="80" t="s">
        <v>53</v>
      </c>
      <c r="AD4936" s="80" t="s">
        <v>54</v>
      </c>
      <c r="AE4936" s="80" t="s">
        <v>9845</v>
      </c>
      <c r="AF4936" s="17">
        <v>45638</v>
      </c>
      <c r="AG4936" s="80"/>
      <c r="AH4936" s="80"/>
      <c r="AI4936" s="147">
        <v>2</v>
      </c>
      <c r="AJ4936" s="80"/>
      <c r="AK4936" s="80"/>
      <c r="AL4936" s="35"/>
      <c r="AM4936" s="35"/>
      <c r="AN4936" s="35"/>
      <c r="AO4936" s="35"/>
      <c r="AP4936" s="35"/>
    </row>
    <row r="4937" spans="1:42" x14ac:dyDescent="0.2">
      <c r="A4937" s="99">
        <v>45631</v>
      </c>
      <c r="B4937" s="137" t="s">
        <v>37</v>
      </c>
      <c r="C4937" s="41" t="s">
        <v>118</v>
      </c>
      <c r="D4937" s="26" t="s">
        <v>36</v>
      </c>
      <c r="E4937" s="26" t="s">
        <v>139</v>
      </c>
      <c r="F4937" s="26" t="s">
        <v>6882</v>
      </c>
      <c r="G4937" s="26" t="s">
        <v>1847</v>
      </c>
      <c r="H4937" s="26" t="s">
        <v>17041</v>
      </c>
      <c r="I4937" s="17">
        <f ca="1">IFERROR(__xludf.DUMMYFUNCTION("""COMPUTED_VALUE"""),45725)</f>
        <v>45725</v>
      </c>
      <c r="J4937" s="29" t="s">
        <v>5380</v>
      </c>
      <c r="K4937" s="26" t="s">
        <v>17042</v>
      </c>
      <c r="L4937" s="30">
        <v>398926200</v>
      </c>
      <c r="M4937" s="26" t="s">
        <v>80</v>
      </c>
      <c r="N4937" s="26" t="s">
        <v>186</v>
      </c>
      <c r="O4937" s="26" t="s">
        <v>5382</v>
      </c>
      <c r="P4937" s="42" t="s">
        <v>6095</v>
      </c>
      <c r="Q4937" s="20">
        <v>15936</v>
      </c>
      <c r="R4937" s="26" t="s">
        <v>36</v>
      </c>
      <c r="S4937" s="31">
        <v>2000</v>
      </c>
      <c r="T4937" s="32">
        <v>45215</v>
      </c>
      <c r="U4937" s="58">
        <v>13936</v>
      </c>
      <c r="V4937" s="59">
        <v>45260</v>
      </c>
      <c r="W4937" s="33" t="s">
        <v>5384</v>
      </c>
      <c r="X4937" s="26"/>
      <c r="Y4937" s="22">
        <v>0</v>
      </c>
      <c r="Z4937" s="26" t="s">
        <v>118</v>
      </c>
      <c r="AA4937" s="19" t="s">
        <v>5112</v>
      </c>
      <c r="AB4937" s="26" t="s">
        <v>104</v>
      </c>
      <c r="AC4937" s="26" t="s">
        <v>53</v>
      </c>
      <c r="AD4937" s="19" t="s">
        <v>54</v>
      </c>
      <c r="AE4937" s="26" t="s">
        <v>6882</v>
      </c>
      <c r="AF4937" s="17">
        <v>45638</v>
      </c>
      <c r="AG4937" s="26"/>
      <c r="AH4937" s="26"/>
      <c r="AI4937" s="40" t="s">
        <v>147</v>
      </c>
      <c r="AJ4937" s="26"/>
      <c r="AK4937" s="26"/>
      <c r="AL4937" s="35"/>
      <c r="AM4937" s="35"/>
      <c r="AN4937" s="35"/>
      <c r="AO4937" s="35"/>
      <c r="AP4937" s="35"/>
    </row>
    <row r="4938" spans="1:42" x14ac:dyDescent="0.2">
      <c r="A4938" s="99">
        <v>45631</v>
      </c>
      <c r="B4938" s="28" t="s">
        <v>37</v>
      </c>
      <c r="C4938" s="41" t="s">
        <v>118</v>
      </c>
      <c r="D4938" s="80" t="s">
        <v>36</v>
      </c>
      <c r="E4938" s="80" t="s">
        <v>139</v>
      </c>
      <c r="F4938" s="80" t="s">
        <v>16224</v>
      </c>
      <c r="G4938" s="80" t="s">
        <v>108</v>
      </c>
      <c r="H4938" s="80" t="s">
        <v>15974</v>
      </c>
      <c r="I4938" s="17">
        <f ca="1">IFERROR(__xludf.DUMMYFUNCTION("""COMPUTED_VALUE"""),45639)</f>
        <v>45639</v>
      </c>
      <c r="J4938" s="143" t="s">
        <v>16284</v>
      </c>
      <c r="K4938" s="80" t="s">
        <v>17043</v>
      </c>
      <c r="L4938" s="30">
        <v>868965351</v>
      </c>
      <c r="M4938" s="80" t="s">
        <v>3498</v>
      </c>
      <c r="N4938" s="80" t="s">
        <v>2756</v>
      </c>
      <c r="O4938" s="80" t="s">
        <v>4503</v>
      </c>
      <c r="P4938" s="144" t="s">
        <v>17044</v>
      </c>
      <c r="Q4938" s="20">
        <v>15936</v>
      </c>
      <c r="R4938" s="80" t="s">
        <v>70</v>
      </c>
      <c r="S4938" s="95">
        <v>5000</v>
      </c>
      <c r="T4938" s="148">
        <v>45576</v>
      </c>
      <c r="U4938" s="95">
        <v>10836</v>
      </c>
      <c r="V4938" s="148">
        <v>45594</v>
      </c>
      <c r="W4938" s="80" t="s">
        <v>16287</v>
      </c>
      <c r="X4938" s="80"/>
      <c r="Y4938" s="22">
        <v>100</v>
      </c>
      <c r="Z4938" s="80" t="s">
        <v>50</v>
      </c>
      <c r="AA4938" s="35" t="s">
        <v>9905</v>
      </c>
      <c r="AB4938" s="80"/>
      <c r="AC4938" s="80" t="s">
        <v>53</v>
      </c>
      <c r="AD4938" s="80" t="s">
        <v>54</v>
      </c>
      <c r="AE4938" s="80" t="s">
        <v>16224</v>
      </c>
      <c r="AF4938" s="17">
        <v>45633</v>
      </c>
      <c r="AG4938" s="80"/>
      <c r="AH4938" s="80"/>
      <c r="AI4938" s="147"/>
      <c r="AJ4938" s="80"/>
      <c r="AK4938" s="80"/>
      <c r="AL4938" s="35"/>
      <c r="AM4938" s="35"/>
      <c r="AN4938" s="35"/>
      <c r="AO4938" s="35"/>
      <c r="AP4938" s="35"/>
    </row>
    <row r="4939" spans="1:42" x14ac:dyDescent="0.2">
      <c r="A4939" s="99">
        <v>45632</v>
      </c>
      <c r="B4939" s="137" t="s">
        <v>37</v>
      </c>
      <c r="C4939" s="41" t="s">
        <v>118</v>
      </c>
      <c r="D4939" s="26" t="s">
        <v>36</v>
      </c>
      <c r="E4939" s="26" t="s">
        <v>8578</v>
      </c>
      <c r="F4939" s="26" t="s">
        <v>6519</v>
      </c>
      <c r="G4939" s="26" t="s">
        <v>1847</v>
      </c>
      <c r="H4939" s="26" t="s">
        <v>14438</v>
      </c>
      <c r="I4939" s="17">
        <f ca="1">IFERROR(__xludf.DUMMYFUNCTION("""COMPUTED_VALUE"""),45645)</f>
        <v>45645</v>
      </c>
      <c r="J4939" s="29" t="s">
        <v>365</v>
      </c>
      <c r="K4939" s="19" t="s">
        <v>8579</v>
      </c>
      <c r="L4939" s="47">
        <v>973724205</v>
      </c>
      <c r="M4939" s="26" t="s">
        <v>80</v>
      </c>
      <c r="N4939" s="26" t="s">
        <v>299</v>
      </c>
      <c r="O4939" s="26" t="s">
        <v>367</v>
      </c>
      <c r="P4939" s="42" t="s">
        <v>17045</v>
      </c>
      <c r="Q4939" s="20">
        <v>13968</v>
      </c>
      <c r="R4939" s="26" t="s">
        <v>36</v>
      </c>
      <c r="S4939" s="31">
        <v>13968</v>
      </c>
      <c r="T4939" s="32">
        <v>45190</v>
      </c>
      <c r="U4939" s="31"/>
      <c r="V4939" s="26"/>
      <c r="W4939" s="33" t="s">
        <v>3018</v>
      </c>
      <c r="X4939" s="26"/>
      <c r="Y4939" s="22">
        <v>0</v>
      </c>
      <c r="Z4939" s="26" t="s">
        <v>118</v>
      </c>
      <c r="AA4939" s="19" t="s">
        <v>2449</v>
      </c>
      <c r="AB4939" s="26" t="s">
        <v>36</v>
      </c>
      <c r="AC4939" s="26" t="s">
        <v>53</v>
      </c>
      <c r="AD4939" s="19" t="s">
        <v>54</v>
      </c>
      <c r="AE4939" s="26" t="s">
        <v>6519</v>
      </c>
      <c r="AF4939" s="17">
        <v>45638</v>
      </c>
      <c r="AG4939" s="44" t="s">
        <v>3014</v>
      </c>
      <c r="AH4939" s="26"/>
      <c r="AI4939" s="40"/>
      <c r="AJ4939" s="26"/>
      <c r="AK4939" s="26"/>
      <c r="AL4939" s="35"/>
      <c r="AM4939" s="35"/>
      <c r="AN4939" s="35"/>
      <c r="AO4939" s="35"/>
      <c r="AP4939" s="35"/>
    </row>
    <row r="4940" spans="1:42" x14ac:dyDescent="0.2">
      <c r="A4940" s="99">
        <v>45632</v>
      </c>
      <c r="B4940" s="28" t="s">
        <v>37</v>
      </c>
      <c r="C4940" s="41" t="s">
        <v>118</v>
      </c>
      <c r="D4940" s="80" t="s">
        <v>36</v>
      </c>
      <c r="E4940" s="80" t="s">
        <v>39</v>
      </c>
      <c r="F4940" s="80" t="s">
        <v>9565</v>
      </c>
      <c r="G4940" s="80" t="s">
        <v>108</v>
      </c>
      <c r="H4940" s="80" t="s">
        <v>15974</v>
      </c>
      <c r="I4940" s="17">
        <f ca="1">IFERROR(__xludf.DUMMYFUNCTION("""COMPUTED_VALUE"""),45639)</f>
        <v>45639</v>
      </c>
      <c r="J4940" s="143" t="s">
        <v>12033</v>
      </c>
      <c r="K4940" s="80" t="s">
        <v>17046</v>
      </c>
      <c r="L4940" s="30">
        <v>974943133</v>
      </c>
      <c r="M4940" s="80" t="s">
        <v>1245</v>
      </c>
      <c r="N4940" s="80" t="s">
        <v>1246</v>
      </c>
      <c r="O4940" s="80" t="s">
        <v>4503</v>
      </c>
      <c r="P4940" s="144" t="s">
        <v>17047</v>
      </c>
      <c r="Q4940" s="20">
        <v>5736</v>
      </c>
      <c r="R4940" s="80" t="s">
        <v>36</v>
      </c>
      <c r="S4940" s="95">
        <f>200+1800</f>
        <v>2000</v>
      </c>
      <c r="T4940" s="83" t="s">
        <v>12036</v>
      </c>
      <c r="U4940" s="95">
        <v>3736</v>
      </c>
      <c r="V4940" s="148">
        <v>45546</v>
      </c>
      <c r="W4940" s="80" t="s">
        <v>12037</v>
      </c>
      <c r="X4940" s="80">
        <v>0</v>
      </c>
      <c r="Y4940" s="22">
        <v>0</v>
      </c>
      <c r="Z4940" s="80" t="s">
        <v>50</v>
      </c>
      <c r="AA4940" s="35" t="s">
        <v>3291</v>
      </c>
      <c r="AB4940" s="80"/>
      <c r="AC4940" s="80" t="s">
        <v>53</v>
      </c>
      <c r="AD4940" s="80" t="s">
        <v>54</v>
      </c>
      <c r="AE4940" s="80" t="s">
        <v>9565</v>
      </c>
      <c r="AF4940" s="17">
        <v>45633</v>
      </c>
      <c r="AG4940" s="80" t="s">
        <v>12038</v>
      </c>
      <c r="AH4940" s="80"/>
      <c r="AI4940" s="147" t="s">
        <v>55</v>
      </c>
      <c r="AJ4940" s="80"/>
      <c r="AK4940" s="80"/>
      <c r="AL4940" s="35"/>
      <c r="AM4940" s="35"/>
      <c r="AN4940" s="35"/>
      <c r="AO4940" s="35"/>
      <c r="AP4940" s="35"/>
    </row>
    <row r="4941" spans="1:42" x14ac:dyDescent="0.2">
      <c r="A4941" s="99">
        <v>45632</v>
      </c>
      <c r="B4941" s="137" t="s">
        <v>37</v>
      </c>
      <c r="C4941" s="41" t="s">
        <v>118</v>
      </c>
      <c r="D4941" s="80" t="s">
        <v>36</v>
      </c>
      <c r="E4941" s="80" t="s">
        <v>148</v>
      </c>
      <c r="F4941" s="80" t="s">
        <v>3349</v>
      </c>
      <c r="G4941" s="80" t="s">
        <v>108</v>
      </c>
      <c r="H4941" s="80" t="s">
        <v>17048</v>
      </c>
      <c r="I4941" s="17" t="str">
        <f ca="1">IFERROR(__xludf.DUMMYFUNCTION("""COMPUTED_VALUE""")," ")</f>
        <v xml:space="preserve"> </v>
      </c>
      <c r="J4941" s="143" t="s">
        <v>17049</v>
      </c>
      <c r="K4941" s="80" t="s">
        <v>17050</v>
      </c>
      <c r="L4941" s="30">
        <v>868112004</v>
      </c>
      <c r="M4941" s="80" t="s">
        <v>80</v>
      </c>
      <c r="N4941" s="80" t="s">
        <v>299</v>
      </c>
      <c r="O4941" s="80"/>
      <c r="P4941" s="144" t="s">
        <v>17051</v>
      </c>
      <c r="Q4941" s="20"/>
      <c r="R4941" s="80" t="s">
        <v>36</v>
      </c>
      <c r="S4941" s="95">
        <v>4000</v>
      </c>
      <c r="T4941" s="148">
        <v>44965</v>
      </c>
      <c r="U4941" s="95">
        <v>9615</v>
      </c>
      <c r="V4941" s="148">
        <v>45008</v>
      </c>
      <c r="W4941" s="79" t="s">
        <v>17052</v>
      </c>
      <c r="X4941" s="80"/>
      <c r="Y4941" s="22">
        <v>0</v>
      </c>
      <c r="Z4941" s="80" t="s">
        <v>50</v>
      </c>
      <c r="AA4941" s="96" t="s">
        <v>17053</v>
      </c>
      <c r="AB4941" s="80"/>
      <c r="AC4941" s="80" t="s">
        <v>53</v>
      </c>
      <c r="AD4941" s="80" t="s">
        <v>54</v>
      </c>
      <c r="AE4941" s="80" t="s">
        <v>3349</v>
      </c>
      <c r="AF4941" s="17">
        <v>45633</v>
      </c>
      <c r="AG4941" s="80"/>
      <c r="AH4941" s="80"/>
      <c r="AI4941" s="147"/>
      <c r="AJ4941" s="80"/>
      <c r="AK4941" s="80"/>
      <c r="AL4941" s="35"/>
      <c r="AM4941" s="35"/>
      <c r="AN4941" s="35"/>
      <c r="AO4941" s="35"/>
      <c r="AP4941" s="35"/>
    </row>
    <row r="4942" spans="1:42" x14ac:dyDescent="0.2">
      <c r="A4942" s="99">
        <v>45633</v>
      </c>
      <c r="B4942" s="137" t="s">
        <v>37</v>
      </c>
      <c r="C4942" s="41" t="s">
        <v>118</v>
      </c>
      <c r="D4942" s="80" t="s">
        <v>36</v>
      </c>
      <c r="E4942" s="80" t="s">
        <v>119</v>
      </c>
      <c r="F4942" s="80" t="s">
        <v>9781</v>
      </c>
      <c r="G4942" s="80" t="s">
        <v>221</v>
      </c>
      <c r="H4942" s="80" t="s">
        <v>7481</v>
      </c>
      <c r="I4942" s="17">
        <f ca="1">IFERROR(__xludf.DUMMYFUNCTION("""COMPUTED_VALUE"""),45646)</f>
        <v>45646</v>
      </c>
      <c r="J4942" s="143" t="s">
        <v>11661</v>
      </c>
      <c r="K4942" s="80" t="s">
        <v>11662</v>
      </c>
      <c r="L4942" s="30">
        <v>913206369</v>
      </c>
      <c r="M4942" s="80" t="s">
        <v>45</v>
      </c>
      <c r="N4942" s="80" t="s">
        <v>8518</v>
      </c>
      <c r="O4942" s="80" t="s">
        <v>11663</v>
      </c>
      <c r="P4942" s="144" t="s">
        <v>17054</v>
      </c>
      <c r="Q4942" s="20">
        <v>13968</v>
      </c>
      <c r="R4942" s="80" t="s">
        <v>36</v>
      </c>
      <c r="S4942" s="95">
        <v>13968</v>
      </c>
      <c r="T4942" s="148">
        <v>45528</v>
      </c>
      <c r="U4942" s="77"/>
      <c r="V4942" s="78"/>
      <c r="W4942" s="85" t="s">
        <v>11665</v>
      </c>
      <c r="X4942" s="80">
        <v>0</v>
      </c>
      <c r="Y4942" s="22">
        <v>0</v>
      </c>
      <c r="Z4942" s="80" t="s">
        <v>50</v>
      </c>
      <c r="AA4942" s="35" t="s">
        <v>10314</v>
      </c>
      <c r="AB4942" s="80"/>
      <c r="AC4942" s="80" t="s">
        <v>53</v>
      </c>
      <c r="AD4942" s="80" t="s">
        <v>54</v>
      </c>
      <c r="AE4942" s="80" t="s">
        <v>9781</v>
      </c>
      <c r="AF4942" s="17">
        <v>45638</v>
      </c>
      <c r="AG4942" s="80"/>
      <c r="AH4942" s="80"/>
      <c r="AI4942" s="147"/>
      <c r="AJ4942" s="80"/>
      <c r="AK4942" s="80"/>
      <c r="AL4942" s="35"/>
      <c r="AM4942" s="35"/>
      <c r="AN4942" s="35"/>
      <c r="AO4942" s="35"/>
      <c r="AP4942" s="35"/>
    </row>
    <row r="4943" spans="1:42" x14ac:dyDescent="0.2">
      <c r="A4943" s="99">
        <v>45633</v>
      </c>
      <c r="B4943" s="137" t="s">
        <v>37</v>
      </c>
      <c r="C4943" s="41" t="s">
        <v>118</v>
      </c>
      <c r="D4943" s="80" t="s">
        <v>36</v>
      </c>
      <c r="E4943" s="80" t="s">
        <v>119</v>
      </c>
      <c r="F4943" s="80" t="s">
        <v>9906</v>
      </c>
      <c r="G4943" s="80" t="s">
        <v>221</v>
      </c>
      <c r="H4943" s="80" t="s">
        <v>16773</v>
      </c>
      <c r="I4943" s="17">
        <f ca="1">IFERROR(__xludf.DUMMYFUNCTION("""COMPUTED_VALUE"""),45636)</f>
        <v>45636</v>
      </c>
      <c r="J4943" s="143" t="s">
        <v>12527</v>
      </c>
      <c r="K4943" s="80" t="s">
        <v>17055</v>
      </c>
      <c r="L4943" s="30">
        <v>972863741</v>
      </c>
      <c r="M4943" s="80" t="s">
        <v>12529</v>
      </c>
      <c r="N4943" s="80" t="s">
        <v>12530</v>
      </c>
      <c r="O4943" s="80" t="s">
        <v>12531</v>
      </c>
      <c r="P4943" s="144" t="s">
        <v>17056</v>
      </c>
      <c r="Q4943" s="20">
        <v>13968</v>
      </c>
      <c r="R4943" s="80" t="s">
        <v>36</v>
      </c>
      <c r="S4943" s="95">
        <f>200+3800</f>
        <v>4000</v>
      </c>
      <c r="T4943" s="83" t="s">
        <v>12533</v>
      </c>
      <c r="U4943" s="95">
        <v>9968</v>
      </c>
      <c r="V4943" s="148">
        <v>45558</v>
      </c>
      <c r="W4943" s="85" t="s">
        <v>12534</v>
      </c>
      <c r="X4943" s="80">
        <v>0</v>
      </c>
      <c r="Y4943" s="22">
        <v>0</v>
      </c>
      <c r="Z4943" s="80" t="s">
        <v>50</v>
      </c>
      <c r="AA4943" s="96" t="s">
        <v>3291</v>
      </c>
      <c r="AB4943" s="80"/>
      <c r="AC4943" s="80" t="s">
        <v>53</v>
      </c>
      <c r="AD4943" s="80" t="s">
        <v>54</v>
      </c>
      <c r="AE4943" s="80" t="s">
        <v>9906</v>
      </c>
      <c r="AF4943" s="17">
        <v>45635</v>
      </c>
      <c r="AG4943" s="80"/>
      <c r="AH4943" s="80"/>
      <c r="AI4943" s="147">
        <v>4</v>
      </c>
      <c r="AJ4943" s="80"/>
      <c r="AK4943" s="80"/>
      <c r="AL4943" s="35"/>
      <c r="AM4943" s="35"/>
      <c r="AN4943" s="35"/>
      <c r="AO4943" s="35"/>
      <c r="AP4943" s="35"/>
    </row>
    <row r="4944" spans="1:42" x14ac:dyDescent="0.2">
      <c r="A4944" s="99">
        <v>45633</v>
      </c>
      <c r="B4944" s="137" t="s">
        <v>37</v>
      </c>
      <c r="C4944" s="41" t="s">
        <v>118</v>
      </c>
      <c r="D4944" s="80" t="s">
        <v>36</v>
      </c>
      <c r="E4944" s="80" t="s">
        <v>139</v>
      </c>
      <c r="F4944" s="80" t="s">
        <v>13384</v>
      </c>
      <c r="G4944" s="80" t="s">
        <v>108</v>
      </c>
      <c r="H4944" s="80" t="s">
        <v>14002</v>
      </c>
      <c r="I4944" s="17">
        <f ca="1">IFERROR(__xludf.DUMMYFUNCTION("""COMPUTED_VALUE"""),45735)</f>
        <v>45735</v>
      </c>
      <c r="J4944" s="143" t="s">
        <v>15418</v>
      </c>
      <c r="K4944" s="80" t="s">
        <v>17057</v>
      </c>
      <c r="L4944" s="30">
        <v>964878555</v>
      </c>
      <c r="M4944" s="80" t="s">
        <v>5518</v>
      </c>
      <c r="N4944" s="80" t="s">
        <v>12240</v>
      </c>
      <c r="O4944" s="80" t="s">
        <v>15420</v>
      </c>
      <c r="P4944" s="80" t="s">
        <v>9528</v>
      </c>
      <c r="Q4944" s="20">
        <v>15936</v>
      </c>
      <c r="R4944" s="80" t="s">
        <v>36</v>
      </c>
      <c r="S4944" s="95">
        <v>2000</v>
      </c>
      <c r="T4944" s="148">
        <v>45561</v>
      </c>
      <c r="U4944" s="95">
        <v>13936</v>
      </c>
      <c r="V4944" s="148">
        <v>45584</v>
      </c>
      <c r="W4944" s="80" t="s">
        <v>15421</v>
      </c>
      <c r="X4944" s="80"/>
      <c r="Y4944" s="22">
        <v>0</v>
      </c>
      <c r="Z4944" s="80" t="s">
        <v>50</v>
      </c>
      <c r="AA4944" s="35" t="s">
        <v>9905</v>
      </c>
      <c r="AB4944" s="80"/>
      <c r="AC4944" s="80" t="s">
        <v>53</v>
      </c>
      <c r="AD4944" s="80" t="s">
        <v>138</v>
      </c>
      <c r="AE4944" s="80" t="s">
        <v>13384</v>
      </c>
      <c r="AF4944" s="17">
        <v>45642</v>
      </c>
      <c r="AG4944" s="80"/>
      <c r="AH4944" s="80"/>
      <c r="AI4944" s="147"/>
      <c r="AJ4944" s="80"/>
      <c r="AK4944" s="80"/>
      <c r="AL4944" s="35"/>
      <c r="AM4944" s="35"/>
      <c r="AN4944" s="35"/>
      <c r="AO4944" s="35"/>
      <c r="AP4944" s="35"/>
    </row>
    <row r="4945" spans="1:42" x14ac:dyDescent="0.2">
      <c r="A4945" s="99">
        <v>45633</v>
      </c>
      <c r="B4945" s="137" t="s">
        <v>37</v>
      </c>
      <c r="C4945" s="41" t="s">
        <v>118</v>
      </c>
      <c r="D4945" s="26" t="s">
        <v>36</v>
      </c>
      <c r="E4945" s="26" t="s">
        <v>119</v>
      </c>
      <c r="F4945" s="26" t="s">
        <v>8867</v>
      </c>
      <c r="G4945" s="80" t="s">
        <v>221</v>
      </c>
      <c r="H4945" s="80" t="s">
        <v>7481</v>
      </c>
      <c r="I4945" s="17">
        <f ca="1">IFERROR(__xludf.DUMMYFUNCTION("""COMPUTED_VALUE"""),45646)</f>
        <v>45646</v>
      </c>
      <c r="J4945" s="29" t="s">
        <v>10771</v>
      </c>
      <c r="K4945" s="26" t="s">
        <v>10772</v>
      </c>
      <c r="L4945" s="30">
        <v>989310426</v>
      </c>
      <c r="M4945" s="26" t="s">
        <v>2755</v>
      </c>
      <c r="N4945" s="26" t="s">
        <v>2756</v>
      </c>
      <c r="O4945" s="26" t="s">
        <v>4503</v>
      </c>
      <c r="P4945" s="42" t="s">
        <v>17058</v>
      </c>
      <c r="Q4945" s="20">
        <v>13968</v>
      </c>
      <c r="R4945" s="26" t="s">
        <v>36</v>
      </c>
      <c r="S4945" s="95">
        <v>4000</v>
      </c>
      <c r="T4945" s="148">
        <v>45489</v>
      </c>
      <c r="U4945" s="95">
        <v>9968</v>
      </c>
      <c r="V4945" s="148">
        <v>45516</v>
      </c>
      <c r="W4945" s="33" t="s">
        <v>10774</v>
      </c>
      <c r="X4945" s="26">
        <v>0</v>
      </c>
      <c r="Y4945" s="22">
        <v>0</v>
      </c>
      <c r="Z4945" s="26" t="s">
        <v>50</v>
      </c>
      <c r="AA4945" s="96" t="s">
        <v>10314</v>
      </c>
      <c r="AB4945" s="26"/>
      <c r="AC4945" s="26" t="s">
        <v>53</v>
      </c>
      <c r="AD4945" s="26" t="s">
        <v>54</v>
      </c>
      <c r="AE4945" s="26" t="s">
        <v>8867</v>
      </c>
      <c r="AF4945" s="17">
        <v>45638</v>
      </c>
      <c r="AG4945" s="26"/>
      <c r="AH4945" s="26"/>
      <c r="AI4945" s="40"/>
      <c r="AJ4945" s="26"/>
      <c r="AK4945" s="26"/>
      <c r="AL4945" s="35"/>
      <c r="AM4945" s="35"/>
      <c r="AN4945" s="35"/>
      <c r="AO4945" s="35"/>
      <c r="AP4945" s="35"/>
    </row>
    <row r="4946" spans="1:42" x14ac:dyDescent="0.2">
      <c r="A4946" s="99">
        <v>45633</v>
      </c>
      <c r="B4946" s="137" t="s">
        <v>37</v>
      </c>
      <c r="C4946" s="41" t="s">
        <v>118</v>
      </c>
      <c r="D4946" s="80" t="s">
        <v>36</v>
      </c>
      <c r="E4946" s="80" t="s">
        <v>139</v>
      </c>
      <c r="F4946" s="80" t="s">
        <v>14934</v>
      </c>
      <c r="G4946" s="80" t="s">
        <v>108</v>
      </c>
      <c r="H4946" s="80" t="s">
        <v>17059</v>
      </c>
      <c r="I4946" s="17">
        <f ca="1">IFERROR(__xludf.DUMMYFUNCTION("""COMPUTED_VALUE"""),45652)</f>
        <v>45652</v>
      </c>
      <c r="J4946" s="143" t="s">
        <v>15773</v>
      </c>
      <c r="K4946" s="80" t="s">
        <v>17060</v>
      </c>
      <c r="L4946" s="30">
        <v>972584609</v>
      </c>
      <c r="M4946" s="80" t="s">
        <v>3498</v>
      </c>
      <c r="N4946" s="80" t="s">
        <v>4402</v>
      </c>
      <c r="O4946" s="80" t="s">
        <v>4503</v>
      </c>
      <c r="P4946" s="144" t="s">
        <v>17061</v>
      </c>
      <c r="Q4946" s="20">
        <v>15936</v>
      </c>
      <c r="R4946" s="80" t="s">
        <v>36</v>
      </c>
      <c r="S4946" s="95">
        <f>200+1800</f>
        <v>2000</v>
      </c>
      <c r="T4946" s="83" t="s">
        <v>15776</v>
      </c>
      <c r="U4946" s="95">
        <v>13936</v>
      </c>
      <c r="V4946" s="169">
        <v>45594</v>
      </c>
      <c r="W4946" s="85" t="s">
        <v>15777</v>
      </c>
      <c r="X4946" s="80"/>
      <c r="Y4946" s="22">
        <v>0</v>
      </c>
      <c r="Z4946" s="80" t="s">
        <v>50</v>
      </c>
      <c r="AA4946" s="35" t="s">
        <v>9905</v>
      </c>
      <c r="AB4946" s="80"/>
      <c r="AC4946" s="80" t="s">
        <v>53</v>
      </c>
      <c r="AD4946" s="80" t="s">
        <v>54</v>
      </c>
      <c r="AE4946" s="80" t="s">
        <v>14934</v>
      </c>
      <c r="AF4946" s="43">
        <v>45644</v>
      </c>
      <c r="AG4946" s="80"/>
      <c r="AH4946" s="80"/>
      <c r="AI4946" s="147"/>
      <c r="AJ4946" s="80"/>
      <c r="AK4946" s="80"/>
      <c r="AL4946" s="35"/>
      <c r="AM4946" s="35"/>
      <c r="AN4946" s="35"/>
      <c r="AO4946" s="35"/>
      <c r="AP4946" s="35"/>
    </row>
    <row r="4947" spans="1:42" x14ac:dyDescent="0.2">
      <c r="A4947" s="99">
        <v>45633</v>
      </c>
      <c r="B4947" s="28" t="s">
        <v>37</v>
      </c>
      <c r="C4947" s="41" t="s">
        <v>118</v>
      </c>
      <c r="D4947" s="26" t="s">
        <v>36</v>
      </c>
      <c r="E4947" s="26" t="s">
        <v>119</v>
      </c>
      <c r="F4947" s="26" t="s">
        <v>4328</v>
      </c>
      <c r="G4947" s="26" t="s">
        <v>221</v>
      </c>
      <c r="H4947" s="26" t="s">
        <v>13889</v>
      </c>
      <c r="I4947" s="17">
        <f ca="1">IFERROR(__xludf.DUMMYFUNCTION("""COMPUTED_VALUE"""),45601)</f>
        <v>45601</v>
      </c>
      <c r="J4947" s="29" t="s">
        <v>5209</v>
      </c>
      <c r="K4947" s="26" t="s">
        <v>17062</v>
      </c>
      <c r="L4947" s="30">
        <v>976315889</v>
      </c>
      <c r="M4947" s="26" t="s">
        <v>80</v>
      </c>
      <c r="N4947" s="26" t="s">
        <v>186</v>
      </c>
      <c r="O4947" s="26" t="s">
        <v>5211</v>
      </c>
      <c r="P4947" s="42" t="s">
        <v>5212</v>
      </c>
      <c r="Q4947" s="20">
        <v>13968</v>
      </c>
      <c r="R4947" s="26" t="s">
        <v>36</v>
      </c>
      <c r="S4947" s="31">
        <v>4000</v>
      </c>
      <c r="T4947" s="32">
        <v>45201</v>
      </c>
      <c r="U4947" s="31">
        <v>10000</v>
      </c>
      <c r="V4947" s="32">
        <v>45248</v>
      </c>
      <c r="W4947" s="33" t="s">
        <v>5213</v>
      </c>
      <c r="X4947" s="26"/>
      <c r="Y4947" s="22">
        <v>-32</v>
      </c>
      <c r="Z4947" s="26" t="s">
        <v>118</v>
      </c>
      <c r="AA4947" s="19" t="s">
        <v>5112</v>
      </c>
      <c r="AB4947" s="26" t="s">
        <v>104</v>
      </c>
      <c r="AC4947" s="26" t="s">
        <v>53</v>
      </c>
      <c r="AD4947" s="19" t="s">
        <v>138</v>
      </c>
      <c r="AE4947" s="26" t="s">
        <v>4328</v>
      </c>
      <c r="AF4947" s="17">
        <v>45348</v>
      </c>
      <c r="AG4947" s="26"/>
      <c r="AH4947" s="26"/>
      <c r="AI4947" s="40">
        <v>4</v>
      </c>
      <c r="AJ4947" s="26"/>
      <c r="AK4947" s="26"/>
      <c r="AL4947" s="35"/>
      <c r="AM4947" s="35"/>
      <c r="AN4947" s="35"/>
      <c r="AO4947" s="35"/>
      <c r="AP4947" s="35"/>
    </row>
    <row r="4948" spans="1:42" x14ac:dyDescent="0.2">
      <c r="A4948" s="99">
        <v>45634</v>
      </c>
      <c r="B4948" s="137" t="s">
        <v>37</v>
      </c>
      <c r="C4948" s="41" t="s">
        <v>118</v>
      </c>
      <c r="D4948" s="26" t="s">
        <v>36</v>
      </c>
      <c r="E4948" s="26" t="s">
        <v>56</v>
      </c>
      <c r="F4948" s="26" t="s">
        <v>9896</v>
      </c>
      <c r="G4948" s="80" t="s">
        <v>221</v>
      </c>
      <c r="H4948" s="80" t="s">
        <v>7481</v>
      </c>
      <c r="I4948" s="17">
        <f ca="1">IFERROR(__xludf.DUMMYFUNCTION("""COMPUTED_VALUE"""),45646)</f>
        <v>45646</v>
      </c>
      <c r="J4948" s="29" t="s">
        <v>9964</v>
      </c>
      <c r="K4948" s="26" t="s">
        <v>9965</v>
      </c>
      <c r="L4948" s="30">
        <v>967607946</v>
      </c>
      <c r="M4948" s="26" t="s">
        <v>80</v>
      </c>
      <c r="N4948" s="26" t="s">
        <v>46</v>
      </c>
      <c r="O4948" s="26" t="s">
        <v>9966</v>
      </c>
      <c r="P4948" s="42" t="s">
        <v>9967</v>
      </c>
      <c r="Q4948" s="20">
        <v>9317</v>
      </c>
      <c r="R4948" s="26" t="s">
        <v>36</v>
      </c>
      <c r="S4948" s="95">
        <f>200+1800</f>
        <v>2000</v>
      </c>
      <c r="T4948" s="83" t="s">
        <v>9968</v>
      </c>
      <c r="U4948" s="31">
        <v>7317</v>
      </c>
      <c r="V4948" s="32">
        <v>45538</v>
      </c>
      <c r="W4948" s="33" t="s">
        <v>9969</v>
      </c>
      <c r="X4948" s="26">
        <v>0</v>
      </c>
      <c r="Y4948" s="22">
        <v>0</v>
      </c>
      <c r="Z4948" s="26" t="s">
        <v>118</v>
      </c>
      <c r="AA4948" s="35"/>
      <c r="AB4948" s="26"/>
      <c r="AC4948" s="26" t="s">
        <v>53</v>
      </c>
      <c r="AD4948" s="26" t="s">
        <v>54</v>
      </c>
      <c r="AE4948" s="26" t="s">
        <v>9896</v>
      </c>
      <c r="AF4948" s="17">
        <v>45638</v>
      </c>
      <c r="AG4948" s="26"/>
      <c r="AH4948" s="26"/>
      <c r="AI4948" s="40"/>
      <c r="AJ4948" s="26"/>
      <c r="AK4948" s="26"/>
      <c r="AL4948" s="35"/>
      <c r="AM4948" s="35"/>
      <c r="AN4948" s="35"/>
      <c r="AO4948" s="35"/>
      <c r="AP4948" s="35"/>
    </row>
    <row r="4949" spans="1:42" x14ac:dyDescent="0.2">
      <c r="A4949" s="99">
        <v>45635</v>
      </c>
      <c r="B4949" s="68" t="s">
        <v>37</v>
      </c>
      <c r="C4949" s="41" t="s">
        <v>118</v>
      </c>
      <c r="D4949" s="80" t="s">
        <v>36</v>
      </c>
      <c r="E4949" s="80" t="s">
        <v>139</v>
      </c>
      <c r="F4949" s="80" t="s">
        <v>15142</v>
      </c>
      <c r="G4949" s="80" t="s">
        <v>108</v>
      </c>
      <c r="H4949" s="80" t="s">
        <v>17063</v>
      </c>
      <c r="I4949" s="17">
        <f ca="1">IFERROR(__xludf.DUMMYFUNCTION("""COMPUTED_VALUE"""),45646)</f>
        <v>45646</v>
      </c>
      <c r="J4949" s="143" t="s">
        <v>17064</v>
      </c>
      <c r="K4949" s="80" t="s">
        <v>17065</v>
      </c>
      <c r="L4949" s="30">
        <v>879513191</v>
      </c>
      <c r="M4949" s="80" t="s">
        <v>15996</v>
      </c>
      <c r="N4949" s="80" t="s">
        <v>186</v>
      </c>
      <c r="O4949" s="80" t="s">
        <v>4503</v>
      </c>
      <c r="P4949" s="80" t="s">
        <v>17066</v>
      </c>
      <c r="Q4949" s="20">
        <v>15936</v>
      </c>
      <c r="R4949" s="80" t="s">
        <v>36</v>
      </c>
      <c r="S4949" s="95">
        <v>2000</v>
      </c>
      <c r="T4949" s="148">
        <v>45580</v>
      </c>
      <c r="U4949" s="95">
        <v>13936</v>
      </c>
      <c r="V4949" s="148">
        <v>45604</v>
      </c>
      <c r="W4949" s="85" t="s">
        <v>17067</v>
      </c>
      <c r="X4949" s="80"/>
      <c r="Y4949" s="22">
        <v>0</v>
      </c>
      <c r="Z4949" s="80" t="s">
        <v>50</v>
      </c>
      <c r="AA4949" s="82"/>
      <c r="AB4949" s="80"/>
      <c r="AC4949" s="80" t="s">
        <v>53</v>
      </c>
      <c r="AD4949" s="80" t="s">
        <v>54</v>
      </c>
      <c r="AE4949" s="80" t="s">
        <v>15142</v>
      </c>
      <c r="AF4949" s="17">
        <v>45638</v>
      </c>
      <c r="AG4949" s="80"/>
      <c r="AH4949" s="80"/>
      <c r="AI4949" s="147"/>
      <c r="AJ4949" s="80"/>
      <c r="AK4949" s="80"/>
      <c r="AL4949" s="35"/>
      <c r="AM4949" s="35"/>
      <c r="AN4949" s="35"/>
      <c r="AO4949" s="35"/>
      <c r="AP4949" s="35"/>
    </row>
    <row r="4950" spans="1:42" x14ac:dyDescent="0.2">
      <c r="A4950" s="99">
        <v>45635</v>
      </c>
      <c r="B4950" s="68" t="s">
        <v>37</v>
      </c>
      <c r="C4950" s="41" t="s">
        <v>118</v>
      </c>
      <c r="D4950" s="80" t="s">
        <v>36</v>
      </c>
      <c r="E4950" s="80" t="s">
        <v>39</v>
      </c>
      <c r="F4950" s="80" t="s">
        <v>15142</v>
      </c>
      <c r="G4950" s="80" t="s">
        <v>108</v>
      </c>
      <c r="H4950" s="80" t="s">
        <v>17063</v>
      </c>
      <c r="I4950" s="17">
        <f ca="1">IFERROR(__xludf.DUMMYFUNCTION("""COMPUTED_VALUE"""),45646)</f>
        <v>45646</v>
      </c>
      <c r="J4950" s="143" t="s">
        <v>17068</v>
      </c>
      <c r="K4950" s="80" t="s">
        <v>17069</v>
      </c>
      <c r="L4950" s="30">
        <v>982317021</v>
      </c>
      <c r="M4950" s="80" t="s">
        <v>5558</v>
      </c>
      <c r="N4950" s="80" t="s">
        <v>5277</v>
      </c>
      <c r="O4950" s="80" t="s">
        <v>17070</v>
      </c>
      <c r="P4950" s="80" t="s">
        <v>17071</v>
      </c>
      <c r="Q4950" s="20">
        <v>5736</v>
      </c>
      <c r="R4950" s="80" t="s">
        <v>36</v>
      </c>
      <c r="S4950" s="95">
        <f>200+2000+3536</f>
        <v>5736</v>
      </c>
      <c r="T4950" s="83" t="s">
        <v>17072</v>
      </c>
      <c r="U4950" s="77"/>
      <c r="V4950" s="78"/>
      <c r="W4950" s="85" t="s">
        <v>17073</v>
      </c>
      <c r="X4950" s="80"/>
      <c r="Y4950" s="22">
        <v>0</v>
      </c>
      <c r="Z4950" s="80" t="s">
        <v>50</v>
      </c>
      <c r="AA4950" s="86"/>
      <c r="AB4950" s="80"/>
      <c r="AC4950" s="80" t="s">
        <v>53</v>
      </c>
      <c r="AD4950" s="80" t="s">
        <v>54</v>
      </c>
      <c r="AE4950" s="80" t="s">
        <v>15142</v>
      </c>
      <c r="AF4950" s="17">
        <v>45638</v>
      </c>
      <c r="AG4950" s="80"/>
      <c r="AH4950" s="80"/>
      <c r="AI4950" s="147"/>
      <c r="AJ4950" s="80"/>
      <c r="AK4950" s="80"/>
      <c r="AL4950" s="35"/>
      <c r="AM4950" s="35"/>
      <c r="AN4950" s="35"/>
      <c r="AO4950" s="35"/>
      <c r="AP4950" s="35"/>
    </row>
    <row r="4951" spans="1:42" x14ac:dyDescent="0.2">
      <c r="A4951" s="99">
        <v>45635</v>
      </c>
      <c r="B4951" s="68" t="s">
        <v>37</v>
      </c>
      <c r="C4951" s="41" t="s">
        <v>118</v>
      </c>
      <c r="D4951" s="80" t="s">
        <v>36</v>
      </c>
      <c r="E4951" s="80" t="s">
        <v>39</v>
      </c>
      <c r="F4951" s="80" t="s">
        <v>15142</v>
      </c>
      <c r="G4951" s="80" t="s">
        <v>108</v>
      </c>
      <c r="H4951" s="80" t="s">
        <v>17063</v>
      </c>
      <c r="I4951" s="17">
        <f ca="1">IFERROR(__xludf.DUMMYFUNCTION("""COMPUTED_VALUE"""),45646)</f>
        <v>45646</v>
      </c>
      <c r="J4951" s="143" t="s">
        <v>17074</v>
      </c>
      <c r="K4951" s="80" t="s">
        <v>17075</v>
      </c>
      <c r="L4951" s="30">
        <v>357329953</v>
      </c>
      <c r="M4951" s="80" t="s">
        <v>5558</v>
      </c>
      <c r="N4951" s="80" t="s">
        <v>5559</v>
      </c>
      <c r="O4951" s="80" t="s">
        <v>4503</v>
      </c>
      <c r="P4951" s="80" t="s">
        <v>17076</v>
      </c>
      <c r="Q4951" s="20">
        <v>5736</v>
      </c>
      <c r="R4951" s="80" t="s">
        <v>36</v>
      </c>
      <c r="S4951" s="95">
        <v>2000</v>
      </c>
      <c r="T4951" s="148">
        <v>45591</v>
      </c>
      <c r="U4951" s="95">
        <v>3736</v>
      </c>
      <c r="V4951" s="148">
        <v>45619</v>
      </c>
      <c r="W4951" s="85" t="s">
        <v>17077</v>
      </c>
      <c r="X4951" s="80"/>
      <c r="Y4951" s="22">
        <v>0</v>
      </c>
      <c r="Z4951" s="80" t="s">
        <v>50</v>
      </c>
      <c r="AA4951" s="82"/>
      <c r="AB4951" s="80"/>
      <c r="AC4951" s="80" t="s">
        <v>53</v>
      </c>
      <c r="AD4951" s="80" t="s">
        <v>54</v>
      </c>
      <c r="AE4951" s="80" t="s">
        <v>15142</v>
      </c>
      <c r="AF4951" s="17">
        <v>45638</v>
      </c>
      <c r="AG4951" s="80"/>
      <c r="AH4951" s="80"/>
      <c r="AI4951" s="147"/>
      <c r="AJ4951" s="80"/>
      <c r="AK4951" s="80"/>
      <c r="AL4951" s="35"/>
      <c r="AM4951" s="35"/>
      <c r="AN4951" s="35"/>
      <c r="AO4951" s="35"/>
      <c r="AP4951" s="35"/>
    </row>
    <row r="4952" spans="1:42" x14ac:dyDescent="0.2">
      <c r="A4952" s="99">
        <v>45635</v>
      </c>
      <c r="B4952" s="68" t="s">
        <v>37</v>
      </c>
      <c r="C4952" s="41" t="s">
        <v>118</v>
      </c>
      <c r="D4952" s="80" t="s">
        <v>36</v>
      </c>
      <c r="E4952" s="80" t="s">
        <v>56</v>
      </c>
      <c r="F4952" s="80" t="s">
        <v>15142</v>
      </c>
      <c r="G4952" s="80" t="s">
        <v>108</v>
      </c>
      <c r="H4952" s="80" t="s">
        <v>17063</v>
      </c>
      <c r="I4952" s="17">
        <f ca="1">IFERROR(__xludf.DUMMYFUNCTION("""COMPUTED_VALUE"""),45646)</f>
        <v>45646</v>
      </c>
      <c r="J4952" s="143" t="s">
        <v>15143</v>
      </c>
      <c r="K4952" s="80" t="s">
        <v>17078</v>
      </c>
      <c r="L4952" s="30">
        <v>359508100</v>
      </c>
      <c r="M4952" s="80" t="s">
        <v>5558</v>
      </c>
      <c r="N4952" s="80" t="s">
        <v>5559</v>
      </c>
      <c r="O4952" s="80" t="s">
        <v>4503</v>
      </c>
      <c r="P4952" s="80" t="s">
        <v>15145</v>
      </c>
      <c r="Q4952" s="20">
        <v>9317</v>
      </c>
      <c r="R4952" s="80" t="s">
        <v>36</v>
      </c>
      <c r="S4952" s="95">
        <v>2000</v>
      </c>
      <c r="T4952" s="148">
        <v>45545</v>
      </c>
      <c r="U4952" s="95">
        <v>7317</v>
      </c>
      <c r="V4952" s="148">
        <v>45568</v>
      </c>
      <c r="W4952" s="85" t="s">
        <v>15146</v>
      </c>
      <c r="X4952" s="80"/>
      <c r="Y4952" s="22">
        <v>0</v>
      </c>
      <c r="Z4952" s="80" t="s">
        <v>50</v>
      </c>
      <c r="AA4952" s="35" t="s">
        <v>9905</v>
      </c>
      <c r="AB4952" s="80"/>
      <c r="AC4952" s="80" t="s">
        <v>53</v>
      </c>
      <c r="AD4952" s="80" t="s">
        <v>54</v>
      </c>
      <c r="AE4952" s="80" t="s">
        <v>15142</v>
      </c>
      <c r="AF4952" s="17">
        <v>45638</v>
      </c>
      <c r="AG4952" s="80"/>
      <c r="AH4952" s="80"/>
      <c r="AI4952" s="147"/>
      <c r="AJ4952" s="80"/>
      <c r="AK4952" s="80"/>
      <c r="AL4952" s="35"/>
      <c r="AM4952" s="35"/>
      <c r="AN4952" s="35"/>
      <c r="AO4952" s="35"/>
      <c r="AP4952" s="35"/>
    </row>
    <row r="4953" spans="1:42" x14ac:dyDescent="0.2">
      <c r="A4953" s="99">
        <v>45635</v>
      </c>
      <c r="B4953" s="68" t="s">
        <v>37</v>
      </c>
      <c r="C4953" s="41" t="s">
        <v>118</v>
      </c>
      <c r="D4953" s="80" t="s">
        <v>36</v>
      </c>
      <c r="E4953" s="80" t="s">
        <v>139</v>
      </c>
      <c r="F4953" s="80" t="s">
        <v>15142</v>
      </c>
      <c r="G4953" s="80" t="s">
        <v>108</v>
      </c>
      <c r="H4953" s="80" t="s">
        <v>17063</v>
      </c>
      <c r="I4953" s="17">
        <f ca="1">IFERROR(__xludf.DUMMYFUNCTION("""COMPUTED_VALUE"""),45646)</f>
        <v>45646</v>
      </c>
      <c r="J4953" s="143" t="s">
        <v>16417</v>
      </c>
      <c r="K4953" s="145" t="s">
        <v>17079</v>
      </c>
      <c r="L4953" s="30">
        <v>967099343</v>
      </c>
      <c r="M4953" s="80" t="s">
        <v>9422</v>
      </c>
      <c r="N4953" s="80" t="s">
        <v>260</v>
      </c>
      <c r="O4953" s="80" t="s">
        <v>16419</v>
      </c>
      <c r="P4953" s="137" t="s">
        <v>16420</v>
      </c>
      <c r="Q4953" s="20">
        <v>15936</v>
      </c>
      <c r="R4953" s="80" t="s">
        <v>36</v>
      </c>
      <c r="S4953" s="95">
        <v>15936</v>
      </c>
      <c r="T4953" s="148">
        <v>45585</v>
      </c>
      <c r="U4953" s="77"/>
      <c r="V4953" s="78"/>
      <c r="W4953" s="85" t="s">
        <v>16421</v>
      </c>
      <c r="X4953" s="80"/>
      <c r="Y4953" s="22">
        <v>0</v>
      </c>
      <c r="Z4953" s="80" t="s">
        <v>50</v>
      </c>
      <c r="AA4953" s="96" t="s">
        <v>9905</v>
      </c>
      <c r="AB4953" s="80"/>
      <c r="AC4953" s="80" t="s">
        <v>53</v>
      </c>
      <c r="AD4953" s="80" t="s">
        <v>138</v>
      </c>
      <c r="AE4953" s="80" t="s">
        <v>15142</v>
      </c>
      <c r="AF4953" s="17">
        <v>45638</v>
      </c>
      <c r="AG4953" s="80"/>
      <c r="AH4953" s="80"/>
      <c r="AI4953" s="147"/>
      <c r="AJ4953" s="80"/>
      <c r="AK4953" s="80"/>
      <c r="AL4953" s="35"/>
      <c r="AM4953" s="35"/>
      <c r="AN4953" s="35"/>
      <c r="AO4953" s="35"/>
      <c r="AP4953" s="35"/>
    </row>
    <row r="4954" spans="1:42" x14ac:dyDescent="0.2">
      <c r="A4954" s="99">
        <v>45635</v>
      </c>
      <c r="B4954" s="68" t="s">
        <v>37</v>
      </c>
      <c r="C4954" s="41" t="s">
        <v>118</v>
      </c>
      <c r="D4954" s="80" t="s">
        <v>36</v>
      </c>
      <c r="E4954" s="80" t="s">
        <v>39</v>
      </c>
      <c r="F4954" s="80" t="s">
        <v>15142</v>
      </c>
      <c r="G4954" s="80" t="s">
        <v>108</v>
      </c>
      <c r="H4954" s="80" t="s">
        <v>17063</v>
      </c>
      <c r="I4954" s="17">
        <f ca="1">IFERROR(__xludf.DUMMYFUNCTION("""COMPUTED_VALUE"""),45646)</f>
        <v>45646</v>
      </c>
      <c r="J4954" s="143" t="s">
        <v>16466</v>
      </c>
      <c r="K4954" s="80" t="s">
        <v>16467</v>
      </c>
      <c r="L4954" s="30">
        <v>333234515</v>
      </c>
      <c r="M4954" s="80" t="s">
        <v>9422</v>
      </c>
      <c r="N4954" s="80" t="s">
        <v>327</v>
      </c>
      <c r="O4954" s="80" t="s">
        <v>16468</v>
      </c>
      <c r="P4954" s="80" t="s">
        <v>16469</v>
      </c>
      <c r="Q4954" s="20">
        <v>5736</v>
      </c>
      <c r="R4954" s="80" t="s">
        <v>36</v>
      </c>
      <c r="S4954" s="95">
        <v>3000</v>
      </c>
      <c r="T4954" s="148">
        <v>45587</v>
      </c>
      <c r="U4954" s="95">
        <v>2736</v>
      </c>
      <c r="V4954" s="148">
        <v>45595</v>
      </c>
      <c r="W4954" s="85" t="s">
        <v>16470</v>
      </c>
      <c r="X4954" s="80"/>
      <c r="Y4954" s="22">
        <v>0</v>
      </c>
      <c r="Z4954" s="80" t="s">
        <v>50</v>
      </c>
      <c r="AA4954" s="35" t="s">
        <v>9905</v>
      </c>
      <c r="AB4954" s="80"/>
      <c r="AC4954" s="80" t="s">
        <v>53</v>
      </c>
      <c r="AD4954" s="80"/>
      <c r="AE4954" s="80" t="s">
        <v>15142</v>
      </c>
      <c r="AF4954" s="17">
        <v>45638</v>
      </c>
      <c r="AG4954" s="80"/>
      <c r="AH4954" s="80"/>
      <c r="AI4954" s="147"/>
      <c r="AJ4954" s="80"/>
      <c r="AK4954" s="80"/>
      <c r="AL4954" s="35"/>
      <c r="AM4954" s="35"/>
      <c r="AN4954" s="35"/>
      <c r="AO4954" s="35"/>
      <c r="AP4954" s="35"/>
    </row>
    <row r="4955" spans="1:42" x14ac:dyDescent="0.2">
      <c r="A4955" s="99">
        <v>45635</v>
      </c>
      <c r="B4955" s="68" t="s">
        <v>37</v>
      </c>
      <c r="C4955" s="41" t="s">
        <v>118</v>
      </c>
      <c r="D4955" s="80" t="s">
        <v>36</v>
      </c>
      <c r="E4955" s="80" t="s">
        <v>56</v>
      </c>
      <c r="F4955" s="80" t="s">
        <v>15142</v>
      </c>
      <c r="G4955" s="80" t="s">
        <v>108</v>
      </c>
      <c r="H4955" s="80" t="s">
        <v>17063</v>
      </c>
      <c r="I4955" s="17">
        <f ca="1">IFERROR(__xludf.DUMMYFUNCTION("""COMPUTED_VALUE"""),45646)</f>
        <v>45646</v>
      </c>
      <c r="J4955" s="143" t="s">
        <v>16495</v>
      </c>
      <c r="K4955" s="80" t="s">
        <v>16496</v>
      </c>
      <c r="L4955" s="30">
        <v>986270260</v>
      </c>
      <c r="M4955" s="80" t="s">
        <v>9422</v>
      </c>
      <c r="N4955" s="80" t="s">
        <v>327</v>
      </c>
      <c r="O4955" s="80" t="s">
        <v>8827</v>
      </c>
      <c r="P4955" s="80" t="s">
        <v>11654</v>
      </c>
      <c r="Q4955" s="20">
        <v>9317</v>
      </c>
      <c r="R4955" s="80" t="s">
        <v>36</v>
      </c>
      <c r="S4955" s="95">
        <v>2000</v>
      </c>
      <c r="T4955" s="148">
        <v>45589</v>
      </c>
      <c r="U4955" s="95">
        <v>7317</v>
      </c>
      <c r="V4955" s="148">
        <v>45596</v>
      </c>
      <c r="W4955" s="85" t="s">
        <v>16497</v>
      </c>
      <c r="X4955" s="80"/>
      <c r="Y4955" s="22">
        <v>0</v>
      </c>
      <c r="Z4955" s="80" t="s">
        <v>50</v>
      </c>
      <c r="AA4955" s="96" t="s">
        <v>9905</v>
      </c>
      <c r="AB4955" s="80"/>
      <c r="AC4955" s="80" t="s">
        <v>1828</v>
      </c>
      <c r="AD4955" s="80" t="s">
        <v>54</v>
      </c>
      <c r="AE4955" s="80" t="s">
        <v>15142</v>
      </c>
      <c r="AF4955" s="60" t="s">
        <v>1829</v>
      </c>
      <c r="AG4955" s="80"/>
      <c r="AH4955" s="80"/>
      <c r="AI4955" s="147"/>
      <c r="AJ4955" s="80"/>
      <c r="AK4955" s="80"/>
      <c r="AL4955" s="35"/>
      <c r="AM4955" s="35"/>
      <c r="AN4955" s="35"/>
      <c r="AO4955" s="35"/>
      <c r="AP4955" s="35"/>
    </row>
    <row r="4956" spans="1:42" x14ac:dyDescent="0.2">
      <c r="A4956" s="99">
        <v>45635</v>
      </c>
      <c r="B4956" s="137" t="s">
        <v>37</v>
      </c>
      <c r="C4956" s="41" t="s">
        <v>118</v>
      </c>
      <c r="D4956" s="80" t="s">
        <v>36</v>
      </c>
      <c r="E4956" s="80" t="s">
        <v>148</v>
      </c>
      <c r="F4956" s="80" t="s">
        <v>13384</v>
      </c>
      <c r="G4956" s="161" t="s">
        <v>108</v>
      </c>
      <c r="H4956" s="80" t="s">
        <v>14234</v>
      </c>
      <c r="I4956" s="17">
        <f ca="1">IFERROR(__xludf.DUMMYFUNCTION("""COMPUTED_VALUE"""),45642)</f>
        <v>45642</v>
      </c>
      <c r="J4956" s="172" t="s">
        <v>6449</v>
      </c>
      <c r="K4956" s="80" t="s">
        <v>17080</v>
      </c>
      <c r="L4956" s="30">
        <v>344686100</v>
      </c>
      <c r="M4956" s="80" t="s">
        <v>123</v>
      </c>
      <c r="N4956" s="80" t="s">
        <v>17081</v>
      </c>
      <c r="O4956" s="80" t="s">
        <v>4503</v>
      </c>
      <c r="P4956" s="144" t="s">
        <v>13412</v>
      </c>
      <c r="Q4956" s="20">
        <v>13968</v>
      </c>
      <c r="R4956" s="80" t="s">
        <v>36</v>
      </c>
      <c r="S4956" s="77">
        <v>13936</v>
      </c>
      <c r="T4956" s="78">
        <v>45267</v>
      </c>
      <c r="U4956" s="77"/>
      <c r="V4956" s="78" t="s">
        <v>6447</v>
      </c>
      <c r="W4956" s="85" t="s">
        <v>6448</v>
      </c>
      <c r="X4956" s="80"/>
      <c r="Y4956" s="22">
        <v>32</v>
      </c>
      <c r="Z4956" s="81" t="s">
        <v>50</v>
      </c>
      <c r="AA4956" s="86" t="s">
        <v>5961</v>
      </c>
      <c r="AB4956" s="80"/>
      <c r="AC4956" s="80" t="s">
        <v>53</v>
      </c>
      <c r="AD4956" s="86" t="s">
        <v>138</v>
      </c>
      <c r="AE4956" s="80" t="s">
        <v>13384</v>
      </c>
      <c r="AF4956" s="17">
        <v>45642</v>
      </c>
      <c r="AG4956" s="80" t="s">
        <v>17082</v>
      </c>
      <c r="AH4956" s="80">
        <v>2</v>
      </c>
      <c r="AI4956" s="147"/>
      <c r="AJ4956" s="80"/>
      <c r="AK4956" s="80"/>
      <c r="AL4956" s="86"/>
      <c r="AM4956" s="86"/>
      <c r="AN4956" s="86"/>
      <c r="AO4956" s="86"/>
      <c r="AP4956" s="35"/>
    </row>
    <row r="4957" spans="1:42" x14ac:dyDescent="0.2">
      <c r="A4957" s="99">
        <v>45635</v>
      </c>
      <c r="B4957" s="68" t="s">
        <v>37</v>
      </c>
      <c r="C4957" s="41" t="s">
        <v>118</v>
      </c>
      <c r="D4957" s="80" t="s">
        <v>36</v>
      </c>
      <c r="E4957" s="80" t="s">
        <v>56</v>
      </c>
      <c r="F4957" s="80" t="s">
        <v>12049</v>
      </c>
      <c r="G4957" s="80" t="s">
        <v>108</v>
      </c>
      <c r="H4957" s="80" t="s">
        <v>17063</v>
      </c>
      <c r="I4957" s="17">
        <f ca="1">IFERROR(__xludf.DUMMYFUNCTION("""COMPUTED_VALUE"""),45646)</f>
        <v>45646</v>
      </c>
      <c r="J4957" s="143" t="s">
        <v>12187</v>
      </c>
      <c r="K4957" s="80" t="s">
        <v>17083</v>
      </c>
      <c r="L4957" s="30">
        <v>866689785</v>
      </c>
      <c r="M4957" s="80" t="s">
        <v>80</v>
      </c>
      <c r="N4957" s="80" t="s">
        <v>1073</v>
      </c>
      <c r="O4957" s="80" t="s">
        <v>12189</v>
      </c>
      <c r="P4957" s="144" t="s">
        <v>17084</v>
      </c>
      <c r="Q4957" s="20">
        <v>9317</v>
      </c>
      <c r="R4957" s="80" t="s">
        <v>36</v>
      </c>
      <c r="S4957" s="95">
        <f>200+1800</f>
        <v>2000</v>
      </c>
      <c r="T4957" s="83" t="s">
        <v>12191</v>
      </c>
      <c r="U4957" s="83">
        <v>7317</v>
      </c>
      <c r="V4957" s="148">
        <v>45560</v>
      </c>
      <c r="W4957" s="85" t="s">
        <v>12192</v>
      </c>
      <c r="X4957" s="80">
        <v>0</v>
      </c>
      <c r="Y4957" s="22">
        <v>0</v>
      </c>
      <c r="Z4957" s="80" t="s">
        <v>50</v>
      </c>
      <c r="AA4957" s="96" t="s">
        <v>3291</v>
      </c>
      <c r="AB4957" s="80"/>
      <c r="AC4957" s="80" t="s">
        <v>53</v>
      </c>
      <c r="AD4957" s="80" t="s">
        <v>54</v>
      </c>
      <c r="AE4957" s="80" t="s">
        <v>12049</v>
      </c>
      <c r="AF4957" s="17">
        <v>45638</v>
      </c>
      <c r="AG4957" s="80"/>
      <c r="AH4957" s="80"/>
      <c r="AI4957" s="147" t="s">
        <v>64</v>
      </c>
      <c r="AJ4957" s="80"/>
      <c r="AK4957" s="80"/>
      <c r="AL4957" s="35"/>
      <c r="AM4957" s="35"/>
      <c r="AN4957" s="35"/>
      <c r="AO4957" s="35"/>
      <c r="AP4957" s="35"/>
    </row>
    <row r="4958" spans="1:42" x14ac:dyDescent="0.2">
      <c r="A4958" s="99">
        <v>45635</v>
      </c>
      <c r="B4958" s="28" t="s">
        <v>37</v>
      </c>
      <c r="C4958" s="41" t="s">
        <v>118</v>
      </c>
      <c r="D4958" s="80" t="s">
        <v>36</v>
      </c>
      <c r="E4958" s="80" t="s">
        <v>915</v>
      </c>
      <c r="F4958" s="80" t="s">
        <v>7016</v>
      </c>
      <c r="G4958" s="80" t="s">
        <v>1705</v>
      </c>
      <c r="H4958" s="80" t="s">
        <v>16959</v>
      </c>
      <c r="I4958" s="17">
        <f ca="1">IFERROR(__xludf.DUMMYFUNCTION("""COMPUTED_VALUE"""),45643)</f>
        <v>45643</v>
      </c>
      <c r="J4958" s="143" t="s">
        <v>12167</v>
      </c>
      <c r="K4958" s="80" t="s">
        <v>17085</v>
      </c>
      <c r="L4958" s="30">
        <v>916100698</v>
      </c>
      <c r="M4958" s="80" t="s">
        <v>910</v>
      </c>
      <c r="N4958" s="80" t="s">
        <v>3525</v>
      </c>
      <c r="O4958" s="80" t="s">
        <v>3754</v>
      </c>
      <c r="P4958" s="144" t="s">
        <v>17086</v>
      </c>
      <c r="Q4958" s="20">
        <v>10894</v>
      </c>
      <c r="R4958" s="80" t="s">
        <v>36</v>
      </c>
      <c r="S4958" s="95">
        <f t="shared" ref="S4958:S4959" si="111">200+3800</f>
        <v>4000</v>
      </c>
      <c r="T4958" s="83" t="s">
        <v>12170</v>
      </c>
      <c r="U4958" s="95">
        <v>6894</v>
      </c>
      <c r="V4958" s="148">
        <v>45545</v>
      </c>
      <c r="W4958" s="80" t="s">
        <v>12171</v>
      </c>
      <c r="X4958" s="80">
        <v>0</v>
      </c>
      <c r="Y4958" s="22">
        <v>0</v>
      </c>
      <c r="Z4958" s="80" t="s">
        <v>50</v>
      </c>
      <c r="AA4958" s="35" t="s">
        <v>3291</v>
      </c>
      <c r="AB4958" s="80"/>
      <c r="AC4958" s="80" t="s">
        <v>53</v>
      </c>
      <c r="AD4958" s="80" t="s">
        <v>54</v>
      </c>
      <c r="AE4958" s="80" t="s">
        <v>7016</v>
      </c>
      <c r="AF4958" s="17">
        <v>45637</v>
      </c>
      <c r="AG4958" s="80"/>
      <c r="AH4958" s="80"/>
      <c r="AI4958" s="147">
        <v>3</v>
      </c>
      <c r="AJ4958" s="80"/>
      <c r="AK4958" s="80"/>
      <c r="AL4958" s="35"/>
      <c r="AM4958" s="35"/>
      <c r="AN4958" s="35"/>
      <c r="AO4958" s="35"/>
      <c r="AP4958" s="35"/>
    </row>
    <row r="4959" spans="1:42" x14ac:dyDescent="0.2">
      <c r="A4959" s="99">
        <v>45635</v>
      </c>
      <c r="B4959" s="137" t="s">
        <v>37</v>
      </c>
      <c r="C4959" s="41" t="s">
        <v>118</v>
      </c>
      <c r="D4959" s="80" t="s">
        <v>36</v>
      </c>
      <c r="E4959" s="80" t="s">
        <v>915</v>
      </c>
      <c r="F4959" s="80" t="s">
        <v>7016</v>
      </c>
      <c r="G4959" s="80" t="s">
        <v>1847</v>
      </c>
      <c r="H4959" s="80" t="s">
        <v>14438</v>
      </c>
      <c r="I4959" s="17">
        <f ca="1">IFERROR(__xludf.DUMMYFUNCTION("""COMPUTED_VALUE"""),45645)</f>
        <v>45645</v>
      </c>
      <c r="J4959" s="143" t="s">
        <v>12167</v>
      </c>
      <c r="K4959" s="80" t="s">
        <v>17085</v>
      </c>
      <c r="L4959" s="30">
        <v>916100698</v>
      </c>
      <c r="M4959" s="80" t="s">
        <v>910</v>
      </c>
      <c r="N4959" s="80" t="s">
        <v>3525</v>
      </c>
      <c r="O4959" s="80" t="s">
        <v>3754</v>
      </c>
      <c r="P4959" s="144" t="s">
        <v>17086</v>
      </c>
      <c r="Q4959" s="20">
        <v>10894</v>
      </c>
      <c r="R4959" s="80" t="s">
        <v>36</v>
      </c>
      <c r="S4959" s="95">
        <f t="shared" si="111"/>
        <v>4000</v>
      </c>
      <c r="T4959" s="83" t="s">
        <v>12170</v>
      </c>
      <c r="U4959" s="95">
        <v>6894</v>
      </c>
      <c r="V4959" s="148">
        <v>45545</v>
      </c>
      <c r="W4959" s="80" t="s">
        <v>12171</v>
      </c>
      <c r="X4959" s="80">
        <v>0</v>
      </c>
      <c r="Y4959" s="22">
        <v>0</v>
      </c>
      <c r="Z4959" s="80" t="s">
        <v>50</v>
      </c>
      <c r="AA4959" s="96" t="s">
        <v>3291</v>
      </c>
      <c r="AB4959" s="80"/>
      <c r="AC4959" s="80" t="s">
        <v>53</v>
      </c>
      <c r="AD4959" s="80" t="s">
        <v>54</v>
      </c>
      <c r="AE4959" s="80" t="s">
        <v>7016</v>
      </c>
      <c r="AF4959" s="17">
        <v>45637</v>
      </c>
      <c r="AG4959" s="80"/>
      <c r="AH4959" s="80"/>
      <c r="AI4959" s="147">
        <v>3</v>
      </c>
      <c r="AJ4959" s="80"/>
      <c r="AK4959" s="80"/>
      <c r="AL4959" s="35"/>
      <c r="AM4959" s="35"/>
      <c r="AN4959" s="35"/>
      <c r="AO4959" s="35"/>
      <c r="AP4959" s="35"/>
    </row>
    <row r="4960" spans="1:42" x14ac:dyDescent="0.2">
      <c r="A4960" s="99">
        <v>45635</v>
      </c>
      <c r="B4960" s="68" t="s">
        <v>37</v>
      </c>
      <c r="C4960" s="41" t="s">
        <v>118</v>
      </c>
      <c r="D4960" s="80" t="s">
        <v>36</v>
      </c>
      <c r="E4960" s="80" t="s">
        <v>148</v>
      </c>
      <c r="F4960" s="80" t="s">
        <v>9865</v>
      </c>
      <c r="G4960" s="80" t="s">
        <v>221</v>
      </c>
      <c r="H4960" s="80" t="s">
        <v>7481</v>
      </c>
      <c r="I4960" s="17">
        <f ca="1">IFERROR(__xludf.DUMMYFUNCTION("""COMPUTED_VALUE"""),45646)</f>
        <v>45646</v>
      </c>
      <c r="J4960" s="143" t="s">
        <v>11505</v>
      </c>
      <c r="K4960" s="80" t="s">
        <v>11506</v>
      </c>
      <c r="L4960" s="30">
        <v>354396784</v>
      </c>
      <c r="M4960" s="80" t="s">
        <v>9422</v>
      </c>
      <c r="N4960" s="80" t="s">
        <v>68</v>
      </c>
      <c r="O4960" s="80" t="s">
        <v>11507</v>
      </c>
      <c r="P4960" s="144" t="s">
        <v>17087</v>
      </c>
      <c r="Q4960" s="20">
        <v>7349</v>
      </c>
      <c r="R4960" s="80" t="s">
        <v>36</v>
      </c>
      <c r="S4960" s="95">
        <v>7349</v>
      </c>
      <c r="T4960" s="148">
        <v>45524</v>
      </c>
      <c r="U4960" s="77"/>
      <c r="V4960" s="78"/>
      <c r="W4960" s="85" t="s">
        <v>11509</v>
      </c>
      <c r="X4960" s="80">
        <v>0</v>
      </c>
      <c r="Y4960" s="22">
        <v>0</v>
      </c>
      <c r="Z4960" s="80" t="s">
        <v>50</v>
      </c>
      <c r="AA4960" s="35" t="s">
        <v>10314</v>
      </c>
      <c r="AB4960" s="80"/>
      <c r="AC4960" s="80" t="s">
        <v>53</v>
      </c>
      <c r="AD4960" s="80" t="s">
        <v>54</v>
      </c>
      <c r="AE4960" s="80" t="s">
        <v>9865</v>
      </c>
      <c r="AF4960" s="17">
        <v>45638</v>
      </c>
      <c r="AG4960" s="80"/>
      <c r="AH4960" s="80"/>
      <c r="AI4960" s="147"/>
      <c r="AJ4960" s="80"/>
      <c r="AK4960" s="80"/>
      <c r="AL4960" s="35"/>
      <c r="AM4960" s="35"/>
      <c r="AN4960" s="35"/>
      <c r="AO4960" s="35"/>
      <c r="AP4960" s="35"/>
    </row>
    <row r="4961" spans="1:42" x14ac:dyDescent="0.2">
      <c r="A4961" s="126">
        <v>45473.415366597226</v>
      </c>
      <c r="B4961" s="28" t="s">
        <v>37</v>
      </c>
      <c r="C4961" s="41" t="s">
        <v>118</v>
      </c>
      <c r="D4961" s="26" t="s">
        <v>36</v>
      </c>
      <c r="E4961" s="26" t="s">
        <v>139</v>
      </c>
      <c r="F4961" s="26" t="s">
        <v>36</v>
      </c>
      <c r="G4961" s="26" t="s">
        <v>41</v>
      </c>
      <c r="H4961" s="26" t="s">
        <v>15199</v>
      </c>
      <c r="I4961" s="17">
        <f ca="1">IFERROR(__xludf.DUMMYFUNCTION("""COMPUTED_VALUE"""),45579)</f>
        <v>45579</v>
      </c>
      <c r="J4961" s="29" t="s">
        <v>17088</v>
      </c>
      <c r="K4961" s="26" t="s">
        <v>17089</v>
      </c>
      <c r="L4961" s="30">
        <v>338219760</v>
      </c>
      <c r="M4961" s="26" t="s">
        <v>80</v>
      </c>
      <c r="N4961" s="26" t="s">
        <v>466</v>
      </c>
      <c r="O4961" s="26" t="s">
        <v>17090</v>
      </c>
      <c r="P4961" s="26" t="s">
        <v>17091</v>
      </c>
      <c r="Q4961" s="20">
        <v>15936</v>
      </c>
      <c r="R4961" s="26" t="s">
        <v>36</v>
      </c>
      <c r="S4961" s="95">
        <f t="shared" ref="S4961:S4963" si="112">200+1800</f>
        <v>2000</v>
      </c>
      <c r="T4961" s="83" t="s">
        <v>17092</v>
      </c>
      <c r="U4961" s="95">
        <v>13936</v>
      </c>
      <c r="V4961" s="148">
        <v>45609</v>
      </c>
      <c r="W4961" s="33" t="s">
        <v>17093</v>
      </c>
      <c r="X4961" s="26"/>
      <c r="Y4961" s="22">
        <v>0</v>
      </c>
      <c r="Z4961" s="26" t="s">
        <v>50</v>
      </c>
      <c r="AA4961" s="82" t="s">
        <v>14723</v>
      </c>
      <c r="AB4961" s="26" t="s">
        <v>36</v>
      </c>
      <c r="AC4961" s="26" t="s">
        <v>53</v>
      </c>
      <c r="AD4961" s="26" t="s">
        <v>54</v>
      </c>
      <c r="AE4961" s="26">
        <v>0</v>
      </c>
      <c r="AF4961" s="43">
        <v>45579</v>
      </c>
      <c r="AG4961" s="26"/>
      <c r="AH4961" s="26"/>
      <c r="AI4961" s="40"/>
      <c r="AJ4961" s="26"/>
      <c r="AK4961" s="26"/>
      <c r="AL4961" s="35"/>
      <c r="AM4961" s="35"/>
      <c r="AN4961" s="35"/>
      <c r="AO4961" s="35"/>
      <c r="AP4961" s="35"/>
    </row>
    <row r="4962" spans="1:42" x14ac:dyDescent="0.2">
      <c r="A4962" s="126">
        <v>45484.404558912036</v>
      </c>
      <c r="B4962" s="28" t="s">
        <v>37</v>
      </c>
      <c r="C4962" s="41" t="s">
        <v>118</v>
      </c>
      <c r="D4962" s="26" t="s">
        <v>36</v>
      </c>
      <c r="E4962" s="26" t="s">
        <v>77</v>
      </c>
      <c r="F4962" s="26" t="s">
        <v>36</v>
      </c>
      <c r="G4962" s="26" t="s">
        <v>41</v>
      </c>
      <c r="H4962" s="26" t="s">
        <v>8635</v>
      </c>
      <c r="I4962" s="17">
        <f ca="1">IFERROR(__xludf.DUMMYFUNCTION("""COMPUTED_VALUE"""),45496)</f>
        <v>45496</v>
      </c>
      <c r="J4962" s="29" t="s">
        <v>17094</v>
      </c>
      <c r="K4962" s="26" t="s">
        <v>17095</v>
      </c>
      <c r="L4962" s="30">
        <v>968314553</v>
      </c>
      <c r="M4962" s="26" t="s">
        <v>80</v>
      </c>
      <c r="N4962" s="26" t="s">
        <v>466</v>
      </c>
      <c r="O4962" s="26" t="s">
        <v>17096</v>
      </c>
      <c r="P4962" s="26" t="s">
        <v>17097</v>
      </c>
      <c r="Q4962" s="20">
        <v>1968</v>
      </c>
      <c r="R4962" s="26" t="s">
        <v>36</v>
      </c>
      <c r="S4962" s="95">
        <f t="shared" si="112"/>
        <v>2000</v>
      </c>
      <c r="T4962" s="83" t="s">
        <v>17098</v>
      </c>
      <c r="U4962" s="31"/>
      <c r="V4962" s="32"/>
      <c r="W4962" s="33" t="s">
        <v>17099</v>
      </c>
      <c r="X4962" s="26"/>
      <c r="Y4962" s="22">
        <v>-32</v>
      </c>
      <c r="Z4962" s="26" t="s">
        <v>50</v>
      </c>
      <c r="AA4962" s="86" t="s">
        <v>14723</v>
      </c>
      <c r="AB4962" s="26" t="s">
        <v>36</v>
      </c>
      <c r="AC4962" s="26" t="s">
        <v>53</v>
      </c>
      <c r="AD4962" s="26" t="s">
        <v>138</v>
      </c>
      <c r="AE4962" s="26">
        <v>0</v>
      </c>
      <c r="AF4962" s="17">
        <v>45496</v>
      </c>
      <c r="AG4962" s="26" t="s">
        <v>7078</v>
      </c>
      <c r="AH4962" s="26"/>
      <c r="AI4962" s="40"/>
      <c r="AJ4962" s="26"/>
      <c r="AK4962" s="26"/>
      <c r="AL4962" s="35"/>
      <c r="AM4962" s="35"/>
      <c r="AN4962" s="35"/>
      <c r="AO4962" s="35"/>
      <c r="AP4962" s="35"/>
    </row>
    <row r="4963" spans="1:42" x14ac:dyDescent="0.2">
      <c r="A4963" s="126">
        <v>45485.389548310181</v>
      </c>
      <c r="B4963" s="28" t="s">
        <v>37</v>
      </c>
      <c r="C4963" s="41" t="s">
        <v>118</v>
      </c>
      <c r="D4963" s="26" t="s">
        <v>36</v>
      </c>
      <c r="E4963" s="26" t="s">
        <v>77</v>
      </c>
      <c r="F4963" s="26" t="s">
        <v>36</v>
      </c>
      <c r="G4963" s="26" t="s">
        <v>41</v>
      </c>
      <c r="H4963" s="26" t="s">
        <v>12474</v>
      </c>
      <c r="I4963" s="17">
        <f ca="1">IFERROR(__xludf.DUMMYFUNCTION("""COMPUTED_VALUE"""),45551)</f>
        <v>45551</v>
      </c>
      <c r="J4963" s="29" t="s">
        <v>17100</v>
      </c>
      <c r="K4963" s="26" t="s">
        <v>17101</v>
      </c>
      <c r="L4963" s="30">
        <v>353008990</v>
      </c>
      <c r="M4963" s="26" t="s">
        <v>5429</v>
      </c>
      <c r="N4963" s="26" t="s">
        <v>11095</v>
      </c>
      <c r="O4963" s="26" t="s">
        <v>17102</v>
      </c>
      <c r="P4963" s="42" t="s">
        <v>17103</v>
      </c>
      <c r="Q4963" s="20">
        <v>1968</v>
      </c>
      <c r="R4963" s="26" t="s">
        <v>36</v>
      </c>
      <c r="S4963" s="95">
        <f t="shared" si="112"/>
        <v>2000</v>
      </c>
      <c r="T4963" s="83" t="s">
        <v>17104</v>
      </c>
      <c r="U4963" s="31"/>
      <c r="V4963" s="32"/>
      <c r="W4963" s="33" t="s">
        <v>17105</v>
      </c>
      <c r="X4963" s="26"/>
      <c r="Y4963" s="22">
        <v>-32</v>
      </c>
      <c r="Z4963" s="26" t="s">
        <v>50</v>
      </c>
      <c r="AA4963" s="82" t="s">
        <v>14723</v>
      </c>
      <c r="AB4963" s="26"/>
      <c r="AC4963" s="26" t="s">
        <v>53</v>
      </c>
      <c r="AD4963" s="26" t="s">
        <v>138</v>
      </c>
      <c r="AE4963" s="26" t="s">
        <v>72</v>
      </c>
      <c r="AF4963" s="17">
        <v>45551</v>
      </c>
      <c r="AG4963" s="26" t="s">
        <v>7078</v>
      </c>
      <c r="AH4963" s="26"/>
      <c r="AI4963" s="40"/>
      <c r="AJ4963" s="26"/>
      <c r="AK4963" s="26"/>
      <c r="AL4963" s="35"/>
      <c r="AM4963" s="35"/>
      <c r="AN4963" s="35"/>
      <c r="AO4963" s="35"/>
      <c r="AP4963" s="35"/>
    </row>
    <row r="4964" spans="1:42" x14ac:dyDescent="0.2">
      <c r="A4964" s="126">
        <v>45485.442894224536</v>
      </c>
      <c r="B4964" s="28" t="s">
        <v>37</v>
      </c>
      <c r="C4964" s="41" t="s">
        <v>118</v>
      </c>
      <c r="D4964" s="26" t="s">
        <v>36</v>
      </c>
      <c r="E4964" s="26" t="s">
        <v>56</v>
      </c>
      <c r="F4964" s="26" t="s">
        <v>91</v>
      </c>
      <c r="G4964" s="26" t="s">
        <v>41</v>
      </c>
      <c r="H4964" s="26" t="s">
        <v>9448</v>
      </c>
      <c r="I4964" s="17">
        <f ca="1">IFERROR(__xludf.DUMMYFUNCTION("""COMPUTED_VALUE"""),45489)</f>
        <v>45489</v>
      </c>
      <c r="J4964" s="29" t="s">
        <v>10114</v>
      </c>
      <c r="K4964" s="26" t="s">
        <v>10115</v>
      </c>
      <c r="L4964" s="30">
        <v>344927238</v>
      </c>
      <c r="M4964" s="26" t="s">
        <v>94</v>
      </c>
      <c r="N4964" s="26" t="s">
        <v>9478</v>
      </c>
      <c r="O4964" s="26" t="s">
        <v>10116</v>
      </c>
      <c r="P4964" s="115" t="s">
        <v>17106</v>
      </c>
      <c r="Q4964" s="20">
        <v>9317</v>
      </c>
      <c r="R4964" s="26" t="s">
        <v>36</v>
      </c>
      <c r="S4964" s="95">
        <v>4700</v>
      </c>
      <c r="T4964" s="148">
        <v>45484</v>
      </c>
      <c r="U4964" s="31">
        <v>4617</v>
      </c>
      <c r="V4964" s="32">
        <v>45539</v>
      </c>
      <c r="W4964" s="33" t="s">
        <v>10118</v>
      </c>
      <c r="X4964" s="26"/>
      <c r="Y4964" s="22">
        <v>0</v>
      </c>
      <c r="Z4964" s="26" t="s">
        <v>50</v>
      </c>
      <c r="AA4964" s="86" t="s">
        <v>14723</v>
      </c>
      <c r="AB4964" s="26" t="s">
        <v>8827</v>
      </c>
      <c r="AC4964" s="26" t="s">
        <v>53</v>
      </c>
      <c r="AD4964" s="26" t="s">
        <v>54</v>
      </c>
      <c r="AE4964" s="26">
        <v>250</v>
      </c>
      <c r="AF4964" s="17">
        <v>45485</v>
      </c>
      <c r="AG4964" s="26"/>
      <c r="AH4964" s="26"/>
      <c r="AI4964" s="40"/>
      <c r="AJ4964" s="26"/>
      <c r="AK4964" s="26"/>
      <c r="AL4964" s="35"/>
      <c r="AM4964" s="35"/>
      <c r="AN4964" s="35"/>
      <c r="AO4964" s="35"/>
      <c r="AP4964" s="35"/>
    </row>
    <row r="4965" spans="1:42" x14ac:dyDescent="0.2">
      <c r="A4965" s="126">
        <v>45501.895929594903</v>
      </c>
      <c r="B4965" s="137" t="s">
        <v>37</v>
      </c>
      <c r="C4965" s="41" t="s">
        <v>118</v>
      </c>
      <c r="D4965" s="80" t="s">
        <v>36</v>
      </c>
      <c r="E4965" s="80" t="s">
        <v>77</v>
      </c>
      <c r="F4965" s="80" t="s">
        <v>36</v>
      </c>
      <c r="G4965" s="80" t="s">
        <v>41</v>
      </c>
      <c r="H4965" s="80" t="s">
        <v>9763</v>
      </c>
      <c r="I4965" s="17">
        <f ca="1">IFERROR(__xludf.DUMMYFUNCTION("""COMPUTED_VALUE"""),45512)</f>
        <v>45512</v>
      </c>
      <c r="J4965" s="143" t="s">
        <v>17107</v>
      </c>
      <c r="K4965" s="80" t="s">
        <v>17108</v>
      </c>
      <c r="L4965" s="30">
        <v>984612322</v>
      </c>
      <c r="M4965" s="80" t="s">
        <v>80</v>
      </c>
      <c r="N4965" s="80" t="s">
        <v>466</v>
      </c>
      <c r="O4965" s="80" t="s">
        <v>1492</v>
      </c>
      <c r="P4965" s="80" t="s">
        <v>17109</v>
      </c>
      <c r="Q4965" s="20">
        <v>1968</v>
      </c>
      <c r="R4965" s="80" t="s">
        <v>36</v>
      </c>
      <c r="S4965" s="95">
        <f t="shared" ref="S4965:S4967" si="113">200+1800</f>
        <v>2000</v>
      </c>
      <c r="T4965" s="83" t="s">
        <v>17110</v>
      </c>
      <c r="U4965" s="77"/>
      <c r="V4965" s="78"/>
      <c r="W4965" s="85" t="s">
        <v>17111</v>
      </c>
      <c r="X4965" s="80"/>
      <c r="Y4965" s="22">
        <v>-32</v>
      </c>
      <c r="Z4965" s="80" t="s">
        <v>50</v>
      </c>
      <c r="AA4965" s="82" t="s">
        <v>14723</v>
      </c>
      <c r="AB4965" s="80"/>
      <c r="AC4965" s="80" t="s">
        <v>53</v>
      </c>
      <c r="AD4965" s="80" t="s">
        <v>54</v>
      </c>
      <c r="AE4965" s="83">
        <v>0</v>
      </c>
      <c r="AF4965" s="17">
        <v>45511</v>
      </c>
      <c r="AG4965" s="80" t="s">
        <v>17112</v>
      </c>
      <c r="AH4965" s="80"/>
      <c r="AI4965" s="147"/>
      <c r="AJ4965" s="80"/>
      <c r="AK4965" s="80"/>
      <c r="AL4965" s="35"/>
      <c r="AM4965" s="35"/>
      <c r="AN4965" s="35"/>
      <c r="AO4965" s="35"/>
      <c r="AP4965" s="35"/>
    </row>
    <row r="4966" spans="1:42" x14ac:dyDescent="0.2">
      <c r="A4966" s="126">
        <v>45506.35411054398</v>
      </c>
      <c r="B4966" s="137" t="s">
        <v>37</v>
      </c>
      <c r="C4966" s="41" t="s">
        <v>118</v>
      </c>
      <c r="D4966" s="80" t="s">
        <v>36</v>
      </c>
      <c r="E4966" s="80" t="s">
        <v>77</v>
      </c>
      <c r="F4966" s="26" t="s">
        <v>36</v>
      </c>
      <c r="G4966" s="26" t="s">
        <v>41</v>
      </c>
      <c r="H4966" s="80" t="s">
        <v>17113</v>
      </c>
      <c r="I4966" s="17" t="str">
        <f ca="1">IFERROR(__xludf.DUMMYFUNCTION("""COMPUTED_VALUE""")," ")</f>
        <v xml:space="preserve"> </v>
      </c>
      <c r="J4966" s="143" t="s">
        <v>11847</v>
      </c>
      <c r="K4966" s="80" t="s">
        <v>17114</v>
      </c>
      <c r="L4966" s="47">
        <v>348014266</v>
      </c>
      <c r="M4966" s="80" t="s">
        <v>80</v>
      </c>
      <c r="N4966" s="80" t="s">
        <v>466</v>
      </c>
      <c r="O4966" s="86" t="s">
        <v>11849</v>
      </c>
      <c r="P4966" s="86" t="s">
        <v>11850</v>
      </c>
      <c r="Q4966" s="20">
        <v>1968</v>
      </c>
      <c r="R4966" s="80" t="s">
        <v>36</v>
      </c>
      <c r="S4966" s="95">
        <f t="shared" si="113"/>
        <v>2000</v>
      </c>
      <c r="T4966" s="83" t="s">
        <v>11851</v>
      </c>
      <c r="U4966" s="77"/>
      <c r="V4966" s="78"/>
      <c r="W4966" s="85" t="s">
        <v>11852</v>
      </c>
      <c r="X4966" s="80"/>
      <c r="Y4966" s="22">
        <v>-32</v>
      </c>
      <c r="Z4966" s="80" t="s">
        <v>50</v>
      </c>
      <c r="AA4966" s="86" t="s">
        <v>14723</v>
      </c>
      <c r="AB4966" s="80"/>
      <c r="AC4966" s="80" t="s">
        <v>53</v>
      </c>
      <c r="AD4966" s="80" t="s">
        <v>138</v>
      </c>
      <c r="AE4966" s="83">
        <v>0</v>
      </c>
      <c r="AF4966" s="17">
        <v>45540</v>
      </c>
      <c r="AG4966" s="26" t="s">
        <v>7078</v>
      </c>
      <c r="AH4966" s="80"/>
      <c r="AI4966" s="147"/>
      <c r="AJ4966" s="80"/>
      <c r="AK4966" s="80"/>
      <c r="AL4966" s="35"/>
      <c r="AM4966" s="35"/>
      <c r="AN4966" s="35"/>
      <c r="AO4966" s="35"/>
      <c r="AP4966" s="35"/>
    </row>
    <row r="4967" spans="1:42" x14ac:dyDescent="0.2">
      <c r="A4967" s="126">
        <v>45507.920319351848</v>
      </c>
      <c r="B4967" s="137" t="s">
        <v>37</v>
      </c>
      <c r="C4967" s="41" t="s">
        <v>118</v>
      </c>
      <c r="D4967" s="80" t="s">
        <v>36</v>
      </c>
      <c r="E4967" s="80" t="s">
        <v>56</v>
      </c>
      <c r="F4967" s="80" t="s">
        <v>36</v>
      </c>
      <c r="G4967" s="80" t="s">
        <v>41</v>
      </c>
      <c r="H4967" s="80" t="s">
        <v>13121</v>
      </c>
      <c r="I4967" s="17">
        <f ca="1">IFERROR(__xludf.DUMMYFUNCTION("""COMPUTED_VALUE"""),45565)</f>
        <v>45565</v>
      </c>
      <c r="J4967" s="143" t="s">
        <v>16712</v>
      </c>
      <c r="K4967" s="80" t="s">
        <v>17115</v>
      </c>
      <c r="L4967" s="30">
        <v>966295687</v>
      </c>
      <c r="M4967" s="80" t="s">
        <v>80</v>
      </c>
      <c r="N4967" s="80" t="s">
        <v>466</v>
      </c>
      <c r="O4967" s="80" t="s">
        <v>16714</v>
      </c>
      <c r="P4967" s="80" t="s">
        <v>2641</v>
      </c>
      <c r="Q4967" s="20">
        <v>9317</v>
      </c>
      <c r="R4967" s="80" t="s">
        <v>36</v>
      </c>
      <c r="S4967" s="95">
        <f t="shared" si="113"/>
        <v>2000</v>
      </c>
      <c r="T4967" s="83" t="s">
        <v>16715</v>
      </c>
      <c r="U4967" s="95">
        <v>7317</v>
      </c>
      <c r="V4967" s="148">
        <v>45607</v>
      </c>
      <c r="W4967" s="85" t="s">
        <v>16716</v>
      </c>
      <c r="X4967" s="80"/>
      <c r="Y4967" s="22">
        <v>0</v>
      </c>
      <c r="Z4967" s="80" t="s">
        <v>50</v>
      </c>
      <c r="AA4967" s="82" t="s">
        <v>14723</v>
      </c>
      <c r="AB4967" s="80"/>
      <c r="AC4967" s="80" t="s">
        <v>53</v>
      </c>
      <c r="AD4967" s="80" t="s">
        <v>54</v>
      </c>
      <c r="AE4967" s="83">
        <v>0</v>
      </c>
      <c r="AF4967" s="17">
        <v>45565</v>
      </c>
      <c r="AG4967" s="80" t="s">
        <v>7078</v>
      </c>
      <c r="AH4967" s="80"/>
      <c r="AI4967" s="147"/>
      <c r="AJ4967" s="80"/>
      <c r="AK4967" s="80"/>
      <c r="AL4967" s="35"/>
      <c r="AM4967" s="35"/>
      <c r="AN4967" s="35"/>
      <c r="AO4967" s="35"/>
      <c r="AP4967" s="35"/>
    </row>
    <row r="4968" spans="1:42" x14ac:dyDescent="0.2">
      <c r="A4968" s="126">
        <v>45514.731965474537</v>
      </c>
      <c r="B4968" s="137" t="s">
        <v>37</v>
      </c>
      <c r="C4968" s="41" t="s">
        <v>118</v>
      </c>
      <c r="D4968" s="80" t="s">
        <v>36</v>
      </c>
      <c r="E4968" s="80" t="s">
        <v>106</v>
      </c>
      <c r="F4968" s="26" t="s">
        <v>36</v>
      </c>
      <c r="G4968" s="26" t="s">
        <v>108</v>
      </c>
      <c r="H4968" s="80" t="s">
        <v>9825</v>
      </c>
      <c r="I4968" s="17">
        <f ca="1">IFERROR(__xludf.DUMMYFUNCTION("""COMPUTED_VALUE"""),45548)</f>
        <v>45548</v>
      </c>
      <c r="J4968" s="143" t="s">
        <v>17116</v>
      </c>
      <c r="K4968" s="80" t="s">
        <v>17117</v>
      </c>
      <c r="L4968" s="30">
        <v>961133735</v>
      </c>
      <c r="M4968" s="80" t="s">
        <v>3728</v>
      </c>
      <c r="N4968" s="80" t="s">
        <v>9301</v>
      </c>
      <c r="O4968" s="80" t="s">
        <v>134</v>
      </c>
      <c r="P4968" s="80" t="s">
        <v>17118</v>
      </c>
      <c r="Q4968" s="20">
        <v>3768</v>
      </c>
      <c r="R4968" s="80" t="s">
        <v>36</v>
      </c>
      <c r="S4968" s="95">
        <f>200+3800</f>
        <v>4000</v>
      </c>
      <c r="T4968" s="83" t="s">
        <v>17119</v>
      </c>
      <c r="U4968" s="77"/>
      <c r="V4968" s="78"/>
      <c r="W4968" s="85" t="s">
        <v>17120</v>
      </c>
      <c r="X4968" s="80"/>
      <c r="Y4968" s="22">
        <v>-232</v>
      </c>
      <c r="Z4968" s="80" t="s">
        <v>50</v>
      </c>
      <c r="AA4968" s="86" t="s">
        <v>14723</v>
      </c>
      <c r="AB4968" s="80"/>
      <c r="AC4968" s="80" t="s">
        <v>53</v>
      </c>
      <c r="AD4968" s="80" t="s">
        <v>138</v>
      </c>
      <c r="AE4968" s="80"/>
      <c r="AF4968" s="17">
        <v>45548</v>
      </c>
      <c r="AG4968" s="26" t="s">
        <v>7078</v>
      </c>
      <c r="AH4968" s="80"/>
      <c r="AI4968" s="147"/>
      <c r="AJ4968" s="80"/>
      <c r="AK4968" s="80"/>
      <c r="AL4968" s="35"/>
      <c r="AM4968" s="35"/>
      <c r="AN4968" s="35"/>
      <c r="AO4968" s="35"/>
      <c r="AP4968" s="35"/>
    </row>
    <row r="4969" spans="1:42" x14ac:dyDescent="0.2">
      <c r="A4969" s="126">
        <v>45518.468259224537</v>
      </c>
      <c r="B4969" s="137" t="s">
        <v>37</v>
      </c>
      <c r="C4969" s="41" t="s">
        <v>118</v>
      </c>
      <c r="D4969" s="80" t="s">
        <v>36</v>
      </c>
      <c r="E4969" s="80" t="s">
        <v>77</v>
      </c>
      <c r="F4969" s="80" t="s">
        <v>36</v>
      </c>
      <c r="G4969" s="80" t="s">
        <v>41</v>
      </c>
      <c r="H4969" s="80" t="s">
        <v>12049</v>
      </c>
      <c r="I4969" s="17">
        <f ca="1">IFERROR(__xludf.DUMMYFUNCTION("""COMPUTED_VALUE"""),45522)</f>
        <v>45522</v>
      </c>
      <c r="J4969" s="143" t="s">
        <v>17121</v>
      </c>
      <c r="K4969" s="80" t="s">
        <v>17122</v>
      </c>
      <c r="L4969" s="30">
        <v>888585906</v>
      </c>
      <c r="M4969" s="80" t="s">
        <v>123</v>
      </c>
      <c r="N4969" s="80" t="s">
        <v>327</v>
      </c>
      <c r="O4969" s="80" t="s">
        <v>4503</v>
      </c>
      <c r="P4969" s="80" t="s">
        <v>17123</v>
      </c>
      <c r="Q4969" s="20">
        <v>1968</v>
      </c>
      <c r="R4969" s="80" t="s">
        <v>36</v>
      </c>
      <c r="S4969" s="95">
        <f>200+3768</f>
        <v>3968</v>
      </c>
      <c r="T4969" s="83" t="s">
        <v>17124</v>
      </c>
      <c r="U4969" s="77"/>
      <c r="V4969" s="78"/>
      <c r="W4969" s="80" t="s">
        <v>17125</v>
      </c>
      <c r="X4969" s="80"/>
      <c r="Y4969" s="22">
        <v>-2000</v>
      </c>
      <c r="Z4969" s="80" t="s">
        <v>50</v>
      </c>
      <c r="AA4969" s="82" t="s">
        <v>14723</v>
      </c>
      <c r="AB4969" s="80"/>
      <c r="AC4969" s="80" t="s">
        <v>53</v>
      </c>
      <c r="AD4969" s="80" t="s">
        <v>54</v>
      </c>
      <c r="AE4969" s="80"/>
      <c r="AF4969" s="17">
        <v>45519</v>
      </c>
      <c r="AG4969" s="80" t="s">
        <v>7078</v>
      </c>
      <c r="AH4969" s="80"/>
      <c r="AI4969" s="147"/>
      <c r="AJ4969" s="80"/>
      <c r="AK4969" s="80"/>
      <c r="AL4969" s="35"/>
      <c r="AM4969" s="35"/>
      <c r="AN4969" s="35"/>
      <c r="AO4969" s="35"/>
      <c r="AP4969" s="35"/>
    </row>
    <row r="4970" spans="1:42" x14ac:dyDescent="0.2">
      <c r="A4970" s="126">
        <v>45519.343834074076</v>
      </c>
      <c r="B4970" s="137" t="s">
        <v>37</v>
      </c>
      <c r="C4970" s="41" t="s">
        <v>118</v>
      </c>
      <c r="D4970" s="80" t="s">
        <v>36</v>
      </c>
      <c r="E4970" s="80" t="s">
        <v>77</v>
      </c>
      <c r="F4970" s="26" t="s">
        <v>36</v>
      </c>
      <c r="G4970" s="26" t="s">
        <v>41</v>
      </c>
      <c r="H4970" s="80" t="s">
        <v>17126</v>
      </c>
      <c r="I4970" s="17" t="str">
        <f ca="1">IFERROR(__xludf.DUMMYFUNCTION("""COMPUTED_VALUE""")," ")</f>
        <v xml:space="preserve"> </v>
      </c>
      <c r="J4970" s="143" t="s">
        <v>17127</v>
      </c>
      <c r="K4970" s="80" t="s">
        <v>17128</v>
      </c>
      <c r="L4970" s="30">
        <v>763055563</v>
      </c>
      <c r="M4970" s="80" t="s">
        <v>910</v>
      </c>
      <c r="N4970" s="80" t="s">
        <v>3525</v>
      </c>
      <c r="O4970" s="85" t="s">
        <v>17129</v>
      </c>
      <c r="P4970" s="80" t="s">
        <v>17130</v>
      </c>
      <c r="Q4970" s="20">
        <v>1968</v>
      </c>
      <c r="R4970" s="80" t="s">
        <v>36</v>
      </c>
      <c r="S4970" s="95">
        <f>200+1800</f>
        <v>2000</v>
      </c>
      <c r="T4970" s="83" t="s">
        <v>17131</v>
      </c>
      <c r="U4970" s="77"/>
      <c r="V4970" s="78"/>
      <c r="W4970" s="85" t="s">
        <v>17132</v>
      </c>
      <c r="X4970" s="80"/>
      <c r="Y4970" s="22">
        <v>-32</v>
      </c>
      <c r="Z4970" s="80" t="s">
        <v>50</v>
      </c>
      <c r="AA4970" s="86" t="s">
        <v>14723</v>
      </c>
      <c r="AB4970" s="80"/>
      <c r="AC4970" s="80" t="s">
        <v>53</v>
      </c>
      <c r="AD4970" s="80" t="s">
        <v>138</v>
      </c>
      <c r="AE4970" s="80"/>
      <c r="AF4970" s="17">
        <v>45551</v>
      </c>
      <c r="AG4970" s="80" t="s">
        <v>7078</v>
      </c>
      <c r="AH4970" s="80"/>
      <c r="AI4970" s="147"/>
      <c r="AJ4970" s="80"/>
      <c r="AK4970" s="80"/>
      <c r="AL4970" s="35"/>
      <c r="AM4970" s="35"/>
      <c r="AN4970" s="35"/>
      <c r="AO4970" s="35"/>
      <c r="AP4970" s="35"/>
    </row>
    <row r="4971" spans="1:42" x14ac:dyDescent="0.2">
      <c r="A4971" s="126">
        <v>45524.347538136572</v>
      </c>
      <c r="B4971" s="137" t="s">
        <v>37</v>
      </c>
      <c r="C4971" s="41" t="s">
        <v>118</v>
      </c>
      <c r="D4971" s="80" t="s">
        <v>36</v>
      </c>
      <c r="E4971" s="80" t="s">
        <v>119</v>
      </c>
      <c r="F4971" s="80" t="s">
        <v>36</v>
      </c>
      <c r="G4971" s="80" t="s">
        <v>108</v>
      </c>
      <c r="H4971" s="80" t="s">
        <v>10223</v>
      </c>
      <c r="I4971" s="17">
        <f ca="1">IFERROR(__xludf.DUMMYFUNCTION("""COMPUTED_VALUE"""),45578)</f>
        <v>45578</v>
      </c>
      <c r="J4971" s="143" t="s">
        <v>17133</v>
      </c>
      <c r="K4971" s="80" t="s">
        <v>17134</v>
      </c>
      <c r="L4971" s="30">
        <v>342771189</v>
      </c>
      <c r="M4971" s="80" t="s">
        <v>80</v>
      </c>
      <c r="N4971" s="80" t="s">
        <v>1073</v>
      </c>
      <c r="O4971" s="80" t="s">
        <v>17135</v>
      </c>
      <c r="P4971" s="80" t="s">
        <v>17136</v>
      </c>
      <c r="Q4971" s="20">
        <v>13968</v>
      </c>
      <c r="R4971" s="80" t="s">
        <v>36</v>
      </c>
      <c r="S4971" s="95">
        <f>200+3800</f>
        <v>4000</v>
      </c>
      <c r="T4971" s="83" t="s">
        <v>17137</v>
      </c>
      <c r="U4971" s="77">
        <f>5000+5000</f>
        <v>10000</v>
      </c>
      <c r="V4971" s="80" t="s">
        <v>17138</v>
      </c>
      <c r="W4971" s="85" t="s">
        <v>17139</v>
      </c>
      <c r="X4971" s="80"/>
      <c r="Y4971" s="22">
        <v>-32</v>
      </c>
      <c r="Z4971" s="80" t="s">
        <v>50</v>
      </c>
      <c r="AA4971" s="82" t="s">
        <v>14723</v>
      </c>
      <c r="AB4971" s="80"/>
      <c r="AC4971" s="80" t="s">
        <v>53</v>
      </c>
      <c r="AD4971" s="80" t="s">
        <v>54</v>
      </c>
      <c r="AE4971" s="83">
        <v>0</v>
      </c>
      <c r="AF4971" s="43">
        <v>45576</v>
      </c>
      <c r="AG4971" s="80" t="s">
        <v>15592</v>
      </c>
      <c r="AH4971" s="80"/>
      <c r="AI4971" s="147"/>
      <c r="AJ4971" s="80"/>
      <c r="AK4971" s="80"/>
      <c r="AL4971" s="35"/>
      <c r="AM4971" s="35"/>
      <c r="AN4971" s="35"/>
      <c r="AO4971" s="35"/>
      <c r="AP4971" s="35"/>
    </row>
    <row r="4972" spans="1:42" x14ac:dyDescent="0.2">
      <c r="A4972" s="126">
        <v>45525.743922280089</v>
      </c>
      <c r="B4972" s="137" t="s">
        <v>37</v>
      </c>
      <c r="C4972" s="41" t="s">
        <v>118</v>
      </c>
      <c r="D4972" s="80" t="s">
        <v>36</v>
      </c>
      <c r="E4972" s="80" t="s">
        <v>139</v>
      </c>
      <c r="F4972" s="80" t="s">
        <v>40</v>
      </c>
      <c r="G4972" s="80" t="s">
        <v>41</v>
      </c>
      <c r="H4972" s="80" t="s">
        <v>11183</v>
      </c>
      <c r="I4972" s="17">
        <f ca="1">IFERROR(__xludf.DUMMYFUNCTION("""COMPUTED_VALUE"""),45554)</f>
        <v>45554</v>
      </c>
      <c r="J4972" s="143" t="s">
        <v>17140</v>
      </c>
      <c r="K4972" s="80" t="s">
        <v>17141</v>
      </c>
      <c r="L4972" s="30">
        <v>823323006</v>
      </c>
      <c r="M4972" s="80" t="s">
        <v>123</v>
      </c>
      <c r="N4972" s="80" t="s">
        <v>186</v>
      </c>
      <c r="O4972" s="80" t="s">
        <v>4503</v>
      </c>
      <c r="P4972" s="80" t="s">
        <v>17142</v>
      </c>
      <c r="Q4972" s="20">
        <v>15936</v>
      </c>
      <c r="R4972" s="80" t="s">
        <v>36</v>
      </c>
      <c r="S4972" s="95">
        <f t="shared" ref="S4972:S4973" si="114">200+1800</f>
        <v>2000</v>
      </c>
      <c r="T4972" s="83" t="s">
        <v>14021</v>
      </c>
      <c r="U4972" s="95">
        <f>13900+36</f>
        <v>13936</v>
      </c>
      <c r="V4972" s="83" t="s">
        <v>17143</v>
      </c>
      <c r="W4972" s="85" t="s">
        <v>17144</v>
      </c>
      <c r="X4972" s="80"/>
      <c r="Y4972" s="22">
        <v>0</v>
      </c>
      <c r="Z4972" s="80" t="s">
        <v>50</v>
      </c>
      <c r="AA4972" s="86" t="s">
        <v>14723</v>
      </c>
      <c r="AB4972" s="80"/>
      <c r="AC4972" s="80" t="s">
        <v>53</v>
      </c>
      <c r="AD4972" s="80" t="s">
        <v>138</v>
      </c>
      <c r="AE4972" s="80"/>
      <c r="AF4972" s="17">
        <v>45554</v>
      </c>
      <c r="AG4972" s="80"/>
      <c r="AH4972" s="80"/>
      <c r="AI4972" s="147"/>
      <c r="AJ4972" s="80"/>
      <c r="AK4972" s="80"/>
      <c r="AL4972" s="35"/>
      <c r="AM4972" s="35"/>
      <c r="AN4972" s="35"/>
      <c r="AO4972" s="35"/>
      <c r="AP4972" s="35"/>
    </row>
    <row r="4973" spans="1:42" x14ac:dyDescent="0.2">
      <c r="A4973" s="126">
        <v>45527.709097974541</v>
      </c>
      <c r="B4973" s="137" t="s">
        <v>37</v>
      </c>
      <c r="C4973" s="41" t="s">
        <v>118</v>
      </c>
      <c r="D4973" s="80" t="s">
        <v>36</v>
      </c>
      <c r="E4973" s="80" t="s">
        <v>139</v>
      </c>
      <c r="F4973" s="80" t="s">
        <v>36</v>
      </c>
      <c r="G4973" s="80" t="s">
        <v>41</v>
      </c>
      <c r="H4973" s="80" t="s">
        <v>13850</v>
      </c>
      <c r="I4973" s="17">
        <f ca="1">IFERROR(__xludf.DUMMYFUNCTION("""COMPUTED_VALUE"""),45594)</f>
        <v>45594</v>
      </c>
      <c r="J4973" s="143" t="s">
        <v>17145</v>
      </c>
      <c r="K4973" s="80" t="s">
        <v>17146</v>
      </c>
      <c r="L4973" s="30">
        <v>973042133</v>
      </c>
      <c r="M4973" s="80" t="s">
        <v>80</v>
      </c>
      <c r="N4973" s="80" t="s">
        <v>1073</v>
      </c>
      <c r="O4973" s="80" t="s">
        <v>17147</v>
      </c>
      <c r="P4973" s="80" t="s">
        <v>17148</v>
      </c>
      <c r="Q4973" s="20">
        <v>15936</v>
      </c>
      <c r="R4973" s="80" t="s">
        <v>36</v>
      </c>
      <c r="S4973" s="95">
        <f t="shared" si="114"/>
        <v>2000</v>
      </c>
      <c r="T4973" s="83" t="s">
        <v>17149</v>
      </c>
      <c r="U4973" s="95">
        <v>13936</v>
      </c>
      <c r="V4973" s="148">
        <v>45622</v>
      </c>
      <c r="W4973" s="85" t="s">
        <v>17150</v>
      </c>
      <c r="X4973" s="80"/>
      <c r="Y4973" s="22">
        <v>0</v>
      </c>
      <c r="Z4973" s="80" t="s">
        <v>50</v>
      </c>
      <c r="AA4973" s="82" t="s">
        <v>14723</v>
      </c>
      <c r="AB4973" s="80"/>
      <c r="AC4973" s="80" t="s">
        <v>53</v>
      </c>
      <c r="AD4973" s="80" t="s">
        <v>54</v>
      </c>
      <c r="AE4973" s="83">
        <v>0</v>
      </c>
      <c r="AF4973" s="17">
        <v>45530</v>
      </c>
      <c r="AG4973" s="80"/>
      <c r="AH4973" s="80"/>
      <c r="AI4973" s="147"/>
      <c r="AJ4973" s="80"/>
      <c r="AK4973" s="80"/>
      <c r="AL4973" s="35"/>
      <c r="AM4973" s="35"/>
      <c r="AN4973" s="35"/>
      <c r="AO4973" s="35"/>
      <c r="AP4973" s="35"/>
    </row>
    <row r="4974" spans="1:42" x14ac:dyDescent="0.2">
      <c r="A4974" s="126">
        <v>45527.862178981479</v>
      </c>
      <c r="B4974" s="137" t="s">
        <v>37</v>
      </c>
      <c r="C4974" s="41" t="s">
        <v>118</v>
      </c>
      <c r="D4974" s="80" t="s">
        <v>36</v>
      </c>
      <c r="E4974" s="80" t="s">
        <v>77</v>
      </c>
      <c r="F4974" s="80" t="s">
        <v>40</v>
      </c>
      <c r="G4974" s="80" t="s">
        <v>41</v>
      </c>
      <c r="H4974" s="80" t="s">
        <v>11183</v>
      </c>
      <c r="I4974" s="17">
        <f ca="1">IFERROR(__xludf.DUMMYFUNCTION("""COMPUTED_VALUE"""),45554)</f>
        <v>45554</v>
      </c>
      <c r="J4974" s="143" t="s">
        <v>17151</v>
      </c>
      <c r="K4974" s="80" t="s">
        <v>17152</v>
      </c>
      <c r="L4974" s="30">
        <v>866481344</v>
      </c>
      <c r="M4974" s="80" t="s">
        <v>80</v>
      </c>
      <c r="N4974" s="80" t="s">
        <v>466</v>
      </c>
      <c r="O4974" s="80" t="s">
        <v>17153</v>
      </c>
      <c r="P4974" s="80" t="s">
        <v>2641</v>
      </c>
      <c r="Q4974" s="20">
        <v>1968</v>
      </c>
      <c r="R4974" s="80" t="s">
        <v>70</v>
      </c>
      <c r="S4974" s="95">
        <f>200+3800</f>
        <v>4000</v>
      </c>
      <c r="T4974" s="83" t="s">
        <v>17154</v>
      </c>
      <c r="U4974" s="77"/>
      <c r="V4974" s="78"/>
      <c r="W4974" s="85" t="s">
        <v>17155</v>
      </c>
      <c r="X4974" s="80"/>
      <c r="Y4974" s="22">
        <v>-2032</v>
      </c>
      <c r="Z4974" s="80" t="s">
        <v>50</v>
      </c>
      <c r="AA4974" s="86" t="s">
        <v>14723</v>
      </c>
      <c r="AB4974" s="80"/>
      <c r="AC4974" s="80" t="s">
        <v>53</v>
      </c>
      <c r="AD4974" s="80" t="s">
        <v>54</v>
      </c>
      <c r="AE4974" s="83">
        <v>0</v>
      </c>
      <c r="AF4974" s="17">
        <v>45554</v>
      </c>
      <c r="AG4974" s="80"/>
      <c r="AH4974" s="80"/>
      <c r="AI4974" s="147"/>
      <c r="AJ4974" s="80"/>
      <c r="AK4974" s="80"/>
      <c r="AL4974" s="35"/>
      <c r="AM4974" s="35"/>
      <c r="AN4974" s="35"/>
      <c r="AO4974" s="35"/>
      <c r="AP4974" s="35"/>
    </row>
    <row r="4975" spans="1:42" x14ac:dyDescent="0.2">
      <c r="A4975" s="126">
        <v>45531.377347395828</v>
      </c>
      <c r="B4975" s="137" t="s">
        <v>37</v>
      </c>
      <c r="C4975" s="41" t="s">
        <v>118</v>
      </c>
      <c r="D4975" s="80" t="s">
        <v>36</v>
      </c>
      <c r="E4975" s="80" t="s">
        <v>39</v>
      </c>
      <c r="F4975" s="26" t="s">
        <v>36</v>
      </c>
      <c r="G4975" s="26" t="s">
        <v>41</v>
      </c>
      <c r="H4975" s="80" t="s">
        <v>11735</v>
      </c>
      <c r="I4975" s="17">
        <f ca="1">IFERROR(__xludf.DUMMYFUNCTION("""COMPUTED_VALUE"""),45555)</f>
        <v>45555</v>
      </c>
      <c r="J4975" s="143" t="s">
        <v>17156</v>
      </c>
      <c r="K4975" s="80" t="s">
        <v>17157</v>
      </c>
      <c r="L4975" s="30">
        <v>944286911</v>
      </c>
      <c r="M4975" s="80" t="s">
        <v>123</v>
      </c>
      <c r="N4975" s="80" t="s">
        <v>186</v>
      </c>
      <c r="O4975" s="80" t="s">
        <v>4503</v>
      </c>
      <c r="P4975" s="80" t="s">
        <v>3487</v>
      </c>
      <c r="Q4975" s="20">
        <v>5736</v>
      </c>
      <c r="R4975" s="80" t="s">
        <v>36</v>
      </c>
      <c r="S4975" s="95">
        <v>6000</v>
      </c>
      <c r="T4975" s="148">
        <v>45530</v>
      </c>
      <c r="U4975" s="77"/>
      <c r="V4975" s="78"/>
      <c r="W4975" s="85" t="s">
        <v>17158</v>
      </c>
      <c r="X4975" s="80"/>
      <c r="Y4975" s="22">
        <v>-264</v>
      </c>
      <c r="Z4975" s="80" t="s">
        <v>50</v>
      </c>
      <c r="AA4975" s="82" t="s">
        <v>14723</v>
      </c>
      <c r="AB4975" s="80"/>
      <c r="AC4975" s="80" t="s">
        <v>53</v>
      </c>
      <c r="AD4975" s="80" t="s">
        <v>138</v>
      </c>
      <c r="AE4975" s="80"/>
      <c r="AF4975" s="17">
        <v>45555</v>
      </c>
      <c r="AG4975" s="80" t="s">
        <v>7078</v>
      </c>
      <c r="AH4975" s="80"/>
      <c r="AI4975" s="147"/>
      <c r="AJ4975" s="80"/>
      <c r="AK4975" s="80"/>
      <c r="AL4975" s="35"/>
      <c r="AM4975" s="35"/>
      <c r="AN4975" s="35"/>
      <c r="AO4975" s="35"/>
      <c r="AP4975" s="35"/>
    </row>
    <row r="4976" spans="1:42" x14ac:dyDescent="0.2">
      <c r="A4976" s="126">
        <v>45533.721779861109</v>
      </c>
      <c r="B4976" s="137" t="s">
        <v>37</v>
      </c>
      <c r="C4976" s="41" t="s">
        <v>118</v>
      </c>
      <c r="D4976" s="80" t="s">
        <v>36</v>
      </c>
      <c r="E4976" s="80" t="s">
        <v>139</v>
      </c>
      <c r="F4976" s="80" t="s">
        <v>36</v>
      </c>
      <c r="G4976" s="80" t="s">
        <v>41</v>
      </c>
      <c r="H4976" s="80" t="s">
        <v>13121</v>
      </c>
      <c r="I4976" s="17">
        <f ca="1">IFERROR(__xludf.DUMMYFUNCTION("""COMPUTED_VALUE"""),45565)</f>
        <v>45565</v>
      </c>
      <c r="J4976" s="143" t="s">
        <v>16721</v>
      </c>
      <c r="K4976" s="80" t="s">
        <v>17159</v>
      </c>
      <c r="L4976" s="30">
        <v>868875930</v>
      </c>
      <c r="M4976" s="80" t="s">
        <v>3728</v>
      </c>
      <c r="N4976" s="80" t="s">
        <v>5312</v>
      </c>
      <c r="O4976" s="80" t="s">
        <v>16723</v>
      </c>
      <c r="P4976" s="80" t="s">
        <v>11644</v>
      </c>
      <c r="Q4976" s="20">
        <v>15936</v>
      </c>
      <c r="R4976" s="80" t="s">
        <v>1106</v>
      </c>
      <c r="S4976" s="95">
        <f>200+1800</f>
        <v>2000</v>
      </c>
      <c r="T4976" s="83" t="s">
        <v>16724</v>
      </c>
      <c r="U4976" s="95">
        <v>13786</v>
      </c>
      <c r="V4976" s="148">
        <v>45601</v>
      </c>
      <c r="W4976" s="85" t="s">
        <v>16725</v>
      </c>
      <c r="X4976" s="80"/>
      <c r="Y4976" s="22">
        <v>150</v>
      </c>
      <c r="Z4976" s="80" t="s">
        <v>50</v>
      </c>
      <c r="AA4976" s="86" t="s">
        <v>14723</v>
      </c>
      <c r="AB4976" s="80"/>
      <c r="AC4976" s="80" t="s">
        <v>53</v>
      </c>
      <c r="AD4976" s="80" t="s">
        <v>138</v>
      </c>
      <c r="AE4976" s="80"/>
      <c r="AF4976" s="17">
        <v>45565</v>
      </c>
      <c r="AG4976" s="80"/>
      <c r="AH4976" s="80"/>
      <c r="AI4976" s="147"/>
      <c r="AJ4976" s="80"/>
      <c r="AK4976" s="80"/>
      <c r="AL4976" s="35"/>
      <c r="AM4976" s="35"/>
      <c r="AN4976" s="35"/>
      <c r="AO4976" s="35"/>
      <c r="AP4976" s="35"/>
    </row>
    <row r="4977" spans="1:42" x14ac:dyDescent="0.2">
      <c r="A4977" s="126">
        <v>45533.723313182869</v>
      </c>
      <c r="B4977" s="137" t="s">
        <v>37</v>
      </c>
      <c r="C4977" s="41" t="s">
        <v>118</v>
      </c>
      <c r="D4977" s="80" t="s">
        <v>36</v>
      </c>
      <c r="E4977" s="80" t="s">
        <v>119</v>
      </c>
      <c r="F4977" s="80" t="s">
        <v>36</v>
      </c>
      <c r="G4977" s="80" t="s">
        <v>108</v>
      </c>
      <c r="H4977" s="80" t="s">
        <v>8541</v>
      </c>
      <c r="I4977" s="17">
        <f ca="1">IFERROR(__xludf.DUMMYFUNCTION("""COMPUTED_VALUE"""),45595)</f>
        <v>45595</v>
      </c>
      <c r="J4977" s="143" t="s">
        <v>17160</v>
      </c>
      <c r="K4977" s="80" t="s">
        <v>17161</v>
      </c>
      <c r="L4977" s="30">
        <v>339830342</v>
      </c>
      <c r="M4977" s="80" t="s">
        <v>3728</v>
      </c>
      <c r="N4977" s="80" t="s">
        <v>5312</v>
      </c>
      <c r="O4977" s="80" t="s">
        <v>17162</v>
      </c>
      <c r="P4977" s="80" t="s">
        <v>11644</v>
      </c>
      <c r="Q4977" s="20">
        <v>13968</v>
      </c>
      <c r="R4977" s="80" t="s">
        <v>1106</v>
      </c>
      <c r="S4977" s="95">
        <f>200+1800+2000</f>
        <v>4000</v>
      </c>
      <c r="T4977" s="83" t="s">
        <v>17163</v>
      </c>
      <c r="U4977" s="95">
        <f>4000+5968</f>
        <v>9968</v>
      </c>
      <c r="V4977" s="83" t="s">
        <v>17164</v>
      </c>
      <c r="W4977" s="85" t="s">
        <v>17165</v>
      </c>
      <c r="X4977" s="80"/>
      <c r="Y4977" s="22">
        <v>0</v>
      </c>
      <c r="Z4977" s="80" t="s">
        <v>50</v>
      </c>
      <c r="AA4977" s="82" t="s">
        <v>14723</v>
      </c>
      <c r="AB4977" s="80"/>
      <c r="AC4977" s="80" t="s">
        <v>53</v>
      </c>
      <c r="AD4977" s="80" t="s">
        <v>138</v>
      </c>
      <c r="AE4977" s="80">
        <f>320+250</f>
        <v>570</v>
      </c>
      <c r="AF4977" s="17">
        <v>45595</v>
      </c>
      <c r="AG4977" s="39" t="s">
        <v>17166</v>
      </c>
      <c r="AH4977" s="80"/>
      <c r="AI4977" s="147"/>
      <c r="AJ4977" s="80"/>
      <c r="AK4977" s="80"/>
      <c r="AL4977" s="35"/>
      <c r="AM4977" s="35"/>
      <c r="AN4977" s="35"/>
      <c r="AO4977" s="35"/>
      <c r="AP4977" s="35"/>
    </row>
    <row r="4978" spans="1:42" x14ac:dyDescent="0.2">
      <c r="A4978" s="126">
        <v>45539.388403333331</v>
      </c>
      <c r="B4978" s="137" t="s">
        <v>37</v>
      </c>
      <c r="C4978" s="41" t="s">
        <v>118</v>
      </c>
      <c r="D4978" s="80" t="s">
        <v>36</v>
      </c>
      <c r="E4978" s="80" t="s">
        <v>139</v>
      </c>
      <c r="F4978" s="80" t="s">
        <v>40</v>
      </c>
      <c r="G4978" s="80" t="s">
        <v>41</v>
      </c>
      <c r="H4978" s="80" t="s">
        <v>11183</v>
      </c>
      <c r="I4978" s="17">
        <f ca="1">IFERROR(__xludf.DUMMYFUNCTION("""COMPUTED_VALUE"""),45554)</f>
        <v>45554</v>
      </c>
      <c r="J4978" s="143" t="s">
        <v>14027</v>
      </c>
      <c r="K4978" s="80" t="s">
        <v>14028</v>
      </c>
      <c r="L4978" s="30">
        <v>984778699</v>
      </c>
      <c r="M4978" s="80" t="s">
        <v>123</v>
      </c>
      <c r="N4978" s="80" t="s">
        <v>327</v>
      </c>
      <c r="O4978" s="80" t="s">
        <v>4503</v>
      </c>
      <c r="P4978" s="80" t="s">
        <v>3487</v>
      </c>
      <c r="Q4978" s="20">
        <v>15936</v>
      </c>
      <c r="R4978" s="80" t="s">
        <v>1106</v>
      </c>
      <c r="S4978" s="95">
        <f>200+1800</f>
        <v>2000</v>
      </c>
      <c r="T4978" s="83" t="s">
        <v>14029</v>
      </c>
      <c r="U4978" s="95">
        <f>13750+36</f>
        <v>13786</v>
      </c>
      <c r="V4978" s="179" t="s">
        <v>17143</v>
      </c>
      <c r="W4978" s="85" t="s">
        <v>17167</v>
      </c>
      <c r="X4978" s="80"/>
      <c r="Y4978" s="22">
        <v>150</v>
      </c>
      <c r="Z4978" s="80" t="s">
        <v>50</v>
      </c>
      <c r="AA4978" s="86" t="s">
        <v>14723</v>
      </c>
      <c r="AB4978" s="80"/>
      <c r="AC4978" s="80" t="s">
        <v>53</v>
      </c>
      <c r="AD4978" s="80" t="s">
        <v>138</v>
      </c>
      <c r="AE4978" s="80"/>
      <c r="AF4978" s="17">
        <v>45554</v>
      </c>
      <c r="AG4978" s="80"/>
      <c r="AH4978" s="80"/>
      <c r="AI4978" s="147"/>
      <c r="AJ4978" s="80"/>
      <c r="AK4978" s="80"/>
      <c r="AL4978" s="35"/>
      <c r="AM4978" s="35"/>
      <c r="AN4978" s="35"/>
      <c r="AO4978" s="35"/>
      <c r="AP4978" s="35"/>
    </row>
    <row r="4979" spans="1:42" x14ac:dyDescent="0.2">
      <c r="A4979" s="126">
        <v>45539.394139733791</v>
      </c>
      <c r="B4979" s="137" t="s">
        <v>37</v>
      </c>
      <c r="C4979" s="41" t="s">
        <v>118</v>
      </c>
      <c r="D4979" s="80" t="s">
        <v>36</v>
      </c>
      <c r="E4979" s="80" t="s">
        <v>56</v>
      </c>
      <c r="F4979" s="80" t="s">
        <v>40</v>
      </c>
      <c r="G4979" s="80" t="s">
        <v>41</v>
      </c>
      <c r="H4979" s="80" t="s">
        <v>13829</v>
      </c>
      <c r="I4979" s="17">
        <f ca="1">IFERROR(__xludf.DUMMYFUNCTION("""COMPUTED_VALUE"""),45596)</f>
        <v>45596</v>
      </c>
      <c r="J4979" s="143" t="s">
        <v>17168</v>
      </c>
      <c r="K4979" s="80" t="s">
        <v>17169</v>
      </c>
      <c r="L4979" s="30">
        <v>859930355</v>
      </c>
      <c r="M4979" s="80" t="s">
        <v>59</v>
      </c>
      <c r="N4979" s="80" t="s">
        <v>68</v>
      </c>
      <c r="O4979" s="80" t="s">
        <v>17170</v>
      </c>
      <c r="P4979" s="80" t="s">
        <v>17171</v>
      </c>
      <c r="Q4979" s="20">
        <v>9317</v>
      </c>
      <c r="R4979" s="80" t="s">
        <v>70</v>
      </c>
      <c r="S4979" s="95">
        <f>200+2000</f>
        <v>2200</v>
      </c>
      <c r="T4979" s="83" t="s">
        <v>12705</v>
      </c>
      <c r="U4979" s="95">
        <v>7017</v>
      </c>
      <c r="V4979" s="148">
        <v>45607</v>
      </c>
      <c r="W4979" s="85" t="s">
        <v>17172</v>
      </c>
      <c r="X4979" s="80"/>
      <c r="Y4979" s="22">
        <v>100</v>
      </c>
      <c r="Z4979" s="80" t="s">
        <v>50</v>
      </c>
      <c r="AA4979" s="82" t="s">
        <v>14723</v>
      </c>
      <c r="AB4979" s="80"/>
      <c r="AC4979" s="80" t="s">
        <v>53</v>
      </c>
      <c r="AD4979" s="80" t="s">
        <v>54</v>
      </c>
      <c r="AE4979" s="80" t="s">
        <v>72</v>
      </c>
      <c r="AF4979" s="17">
        <v>45541</v>
      </c>
      <c r="AG4979" s="80"/>
      <c r="AH4979" s="80"/>
      <c r="AI4979" s="147"/>
      <c r="AJ4979" s="80"/>
      <c r="AK4979" s="80"/>
      <c r="AL4979" s="35"/>
      <c r="AM4979" s="35"/>
      <c r="AN4979" s="35"/>
      <c r="AO4979" s="35"/>
      <c r="AP4979" s="35"/>
    </row>
    <row r="4980" spans="1:42" x14ac:dyDescent="0.2">
      <c r="A4980" s="126">
        <v>45540.44397792824</v>
      </c>
      <c r="B4980" s="137" t="s">
        <v>37</v>
      </c>
      <c r="C4980" s="41" t="s">
        <v>118</v>
      </c>
      <c r="D4980" s="80" t="s">
        <v>36</v>
      </c>
      <c r="E4980" s="80" t="s">
        <v>139</v>
      </c>
      <c r="F4980" s="26" t="s">
        <v>36</v>
      </c>
      <c r="G4980" s="26" t="s">
        <v>41</v>
      </c>
      <c r="H4980" s="80" t="s">
        <v>12766</v>
      </c>
      <c r="I4980" s="17">
        <f ca="1">IFERROR(__xludf.DUMMYFUNCTION("""COMPUTED_VALUE"""),45555)</f>
        <v>45555</v>
      </c>
      <c r="J4980" s="143" t="s">
        <v>14137</v>
      </c>
      <c r="K4980" s="80" t="s">
        <v>14138</v>
      </c>
      <c r="L4980" s="30">
        <v>845576999</v>
      </c>
      <c r="M4980" s="80" t="s">
        <v>123</v>
      </c>
      <c r="N4980" s="80" t="s">
        <v>2847</v>
      </c>
      <c r="O4980" s="80" t="s">
        <v>4503</v>
      </c>
      <c r="P4980" s="80" t="s">
        <v>3487</v>
      </c>
      <c r="Q4980" s="20">
        <v>15936</v>
      </c>
      <c r="R4980" s="80" t="s">
        <v>36</v>
      </c>
      <c r="S4980" s="95">
        <v>1968</v>
      </c>
      <c r="T4980" s="148">
        <v>45540</v>
      </c>
      <c r="U4980" s="95">
        <v>13968</v>
      </c>
      <c r="V4980" s="148">
        <v>45598</v>
      </c>
      <c r="W4980" s="85" t="s">
        <v>14139</v>
      </c>
      <c r="X4980" s="80"/>
      <c r="Y4980" s="22">
        <v>0</v>
      </c>
      <c r="Z4980" s="80" t="s">
        <v>50</v>
      </c>
      <c r="AA4980" s="86" t="s">
        <v>14723</v>
      </c>
      <c r="AB4980" s="80"/>
      <c r="AC4980" s="80" t="s">
        <v>53</v>
      </c>
      <c r="AD4980" s="80" t="s">
        <v>138</v>
      </c>
      <c r="AE4980" s="80"/>
      <c r="AF4980" s="17">
        <v>45555</v>
      </c>
      <c r="AG4980" s="80"/>
      <c r="AH4980" s="80"/>
      <c r="AI4980" s="147"/>
      <c r="AJ4980" s="80"/>
      <c r="AK4980" s="80"/>
      <c r="AL4980" s="35"/>
      <c r="AM4980" s="35"/>
      <c r="AN4980" s="35"/>
      <c r="AO4980" s="35"/>
      <c r="AP4980" s="35"/>
    </row>
    <row r="4981" spans="1:42" x14ac:dyDescent="0.2">
      <c r="A4981" s="126">
        <v>45541.365701134258</v>
      </c>
      <c r="B4981" s="137" t="s">
        <v>37</v>
      </c>
      <c r="C4981" s="41" t="s">
        <v>118</v>
      </c>
      <c r="D4981" s="80" t="s">
        <v>36</v>
      </c>
      <c r="E4981" s="80" t="s">
        <v>77</v>
      </c>
      <c r="F4981" s="26" t="s">
        <v>40</v>
      </c>
      <c r="G4981" s="80" t="s">
        <v>41</v>
      </c>
      <c r="H4981" s="80" t="s">
        <v>11747</v>
      </c>
      <c r="I4981" s="17">
        <f ca="1">IFERROR(__xludf.DUMMYFUNCTION("""COMPUTED_VALUE"""),45559)</f>
        <v>45559</v>
      </c>
      <c r="J4981" s="143" t="s">
        <v>17173</v>
      </c>
      <c r="K4981" s="80" t="s">
        <v>17174</v>
      </c>
      <c r="L4981" s="30">
        <v>981690927</v>
      </c>
      <c r="M4981" s="80" t="s">
        <v>5429</v>
      </c>
      <c r="N4981" s="80" t="s">
        <v>3065</v>
      </c>
      <c r="O4981" s="80" t="s">
        <v>61</v>
      </c>
      <c r="P4981" s="144" t="s">
        <v>17175</v>
      </c>
      <c r="Q4981" s="20">
        <v>1968</v>
      </c>
      <c r="R4981" s="80" t="s">
        <v>36</v>
      </c>
      <c r="S4981" s="95">
        <v>2000</v>
      </c>
      <c r="T4981" s="148">
        <v>45541</v>
      </c>
      <c r="U4981" s="77"/>
      <c r="V4981" s="78"/>
      <c r="W4981" s="85" t="s">
        <v>17176</v>
      </c>
      <c r="X4981" s="80"/>
      <c r="Y4981" s="22">
        <v>-32</v>
      </c>
      <c r="Z4981" s="80" t="s">
        <v>50</v>
      </c>
      <c r="AA4981" s="82" t="s">
        <v>14723</v>
      </c>
      <c r="AB4981" s="80"/>
      <c r="AC4981" s="80" t="s">
        <v>53</v>
      </c>
      <c r="AD4981" s="80" t="s">
        <v>138</v>
      </c>
      <c r="AE4981" s="80" t="s">
        <v>72</v>
      </c>
      <c r="AF4981" s="17">
        <v>45559</v>
      </c>
      <c r="AG4981" s="80" t="s">
        <v>7078</v>
      </c>
      <c r="AH4981" s="80"/>
      <c r="AI4981" s="147"/>
      <c r="AJ4981" s="80"/>
      <c r="AK4981" s="80"/>
      <c r="AL4981" s="35"/>
      <c r="AM4981" s="35"/>
      <c r="AN4981" s="35"/>
      <c r="AO4981" s="35"/>
      <c r="AP4981" s="35"/>
    </row>
    <row r="4982" spans="1:42" x14ac:dyDescent="0.2">
      <c r="A4982" s="126">
        <v>45543.83295556713</v>
      </c>
      <c r="B4982" s="137" t="s">
        <v>37</v>
      </c>
      <c r="C4982" s="41" t="s">
        <v>118</v>
      </c>
      <c r="D4982" s="80" t="s">
        <v>36</v>
      </c>
      <c r="E4982" s="80" t="s">
        <v>77</v>
      </c>
      <c r="F4982" s="80" t="s">
        <v>36</v>
      </c>
      <c r="G4982" s="80" t="s">
        <v>41</v>
      </c>
      <c r="H4982" s="80" t="s">
        <v>13850</v>
      </c>
      <c r="I4982" s="17">
        <f ca="1">IFERROR(__xludf.DUMMYFUNCTION("""COMPUTED_VALUE"""),45594)</f>
        <v>45594</v>
      </c>
      <c r="J4982" s="143" t="s">
        <v>17177</v>
      </c>
      <c r="K4982" s="80" t="s">
        <v>17178</v>
      </c>
      <c r="L4982" s="30">
        <v>395517821</v>
      </c>
      <c r="M4982" s="80" t="s">
        <v>12720</v>
      </c>
      <c r="N4982" s="80" t="s">
        <v>1073</v>
      </c>
      <c r="O4982" s="80" t="s">
        <v>17179</v>
      </c>
      <c r="P4982" s="80" t="s">
        <v>2219</v>
      </c>
      <c r="Q4982" s="20">
        <v>1968</v>
      </c>
      <c r="R4982" s="80" t="s">
        <v>36</v>
      </c>
      <c r="S4982" s="95">
        <f>200+1800</f>
        <v>2000</v>
      </c>
      <c r="T4982" s="83" t="s">
        <v>17180</v>
      </c>
      <c r="U4982" s="95"/>
      <c r="V4982" s="148">
        <v>45543</v>
      </c>
      <c r="W4982" s="80" t="s">
        <v>17181</v>
      </c>
      <c r="X4982" s="80"/>
      <c r="Y4982" s="22">
        <v>-32</v>
      </c>
      <c r="Z4982" s="80" t="s">
        <v>50</v>
      </c>
      <c r="AA4982" s="86" t="s">
        <v>14723</v>
      </c>
      <c r="AB4982" s="80"/>
      <c r="AC4982" s="80" t="s">
        <v>53</v>
      </c>
      <c r="AD4982" s="80" t="s">
        <v>138</v>
      </c>
      <c r="AE4982" s="83"/>
      <c r="AF4982" s="17">
        <v>45543</v>
      </c>
      <c r="AG4982" s="26" t="s">
        <v>7078</v>
      </c>
      <c r="AH4982" s="80" t="s">
        <v>12854</v>
      </c>
      <c r="AI4982" s="147"/>
      <c r="AJ4982" s="80"/>
      <c r="AK4982" s="80"/>
      <c r="AL4982" s="35"/>
      <c r="AM4982" s="35"/>
      <c r="AN4982" s="35"/>
      <c r="AO4982" s="35"/>
      <c r="AP4982" s="35"/>
    </row>
    <row r="4983" spans="1:42" x14ac:dyDescent="0.2">
      <c r="A4983" s="126">
        <v>45544.324930196759</v>
      </c>
      <c r="B4983" s="137" t="s">
        <v>37</v>
      </c>
      <c r="C4983" s="41" t="s">
        <v>118</v>
      </c>
      <c r="D4983" s="80" t="s">
        <v>36</v>
      </c>
      <c r="E4983" s="80" t="s">
        <v>139</v>
      </c>
      <c r="F4983" s="26" t="s">
        <v>36</v>
      </c>
      <c r="G4983" s="26" t="s">
        <v>41</v>
      </c>
      <c r="H4983" s="80" t="s">
        <v>11610</v>
      </c>
      <c r="I4983" s="17">
        <f ca="1">IFERROR(__xludf.DUMMYFUNCTION("""COMPUTED_VALUE"""),45552)</f>
        <v>45552</v>
      </c>
      <c r="J4983" s="143" t="s">
        <v>16605</v>
      </c>
      <c r="K4983" s="80" t="s">
        <v>15407</v>
      </c>
      <c r="L4983" s="30">
        <v>395908257</v>
      </c>
      <c r="M4983" s="80" t="s">
        <v>910</v>
      </c>
      <c r="N4983" s="80" t="s">
        <v>3525</v>
      </c>
      <c r="O4983" s="80" t="s">
        <v>91</v>
      </c>
      <c r="P4983" s="80" t="s">
        <v>12578</v>
      </c>
      <c r="Q4983" s="20">
        <v>15936</v>
      </c>
      <c r="R4983" s="80" t="s">
        <v>70</v>
      </c>
      <c r="S4983" s="95">
        <v>1968</v>
      </c>
      <c r="T4983" s="148">
        <v>45543</v>
      </c>
      <c r="U4983" s="95">
        <f>8000+5869</f>
        <v>13869</v>
      </c>
      <c r="V4983" s="83" t="s">
        <v>16607</v>
      </c>
      <c r="W4983" s="85" t="s">
        <v>16608</v>
      </c>
      <c r="X4983" s="80"/>
      <c r="Y4983" s="22">
        <v>99</v>
      </c>
      <c r="Z4983" s="80" t="s">
        <v>50</v>
      </c>
      <c r="AA4983" s="82" t="s">
        <v>14723</v>
      </c>
      <c r="AB4983" s="80"/>
      <c r="AC4983" s="80" t="s">
        <v>53</v>
      </c>
      <c r="AD4983" s="80" t="s">
        <v>138</v>
      </c>
      <c r="AE4983" s="80"/>
      <c r="AF4983" s="17">
        <v>45551</v>
      </c>
      <c r="AG4983" s="80"/>
      <c r="AH4983" s="80"/>
      <c r="AI4983" s="147"/>
      <c r="AJ4983" s="80"/>
      <c r="AK4983" s="80"/>
      <c r="AL4983" s="35"/>
      <c r="AM4983" s="35"/>
      <c r="AN4983" s="35"/>
      <c r="AO4983" s="35"/>
      <c r="AP4983" s="35"/>
    </row>
    <row r="4984" spans="1:42" x14ac:dyDescent="0.2">
      <c r="A4984" s="126">
        <v>45544.764638831017</v>
      </c>
      <c r="B4984" s="137" t="s">
        <v>37</v>
      </c>
      <c r="C4984" s="41" t="s">
        <v>118</v>
      </c>
      <c r="D4984" s="80" t="s">
        <v>36</v>
      </c>
      <c r="E4984" s="80" t="s">
        <v>77</v>
      </c>
      <c r="F4984" s="80" t="s">
        <v>36</v>
      </c>
      <c r="G4984" s="26" t="s">
        <v>41</v>
      </c>
      <c r="H4984" s="80" t="s">
        <v>11845</v>
      </c>
      <c r="I4984" s="17">
        <f ca="1">IFERROR(__xludf.DUMMYFUNCTION("""COMPUTED_VALUE"""),45552)</f>
        <v>45552</v>
      </c>
      <c r="J4984" s="143" t="s">
        <v>17182</v>
      </c>
      <c r="K4984" s="80" t="s">
        <v>17183</v>
      </c>
      <c r="L4984" s="30">
        <v>942395258</v>
      </c>
      <c r="M4984" s="80" t="s">
        <v>12529</v>
      </c>
      <c r="N4984" s="80" t="s">
        <v>466</v>
      </c>
      <c r="O4984" s="80" t="s">
        <v>17184</v>
      </c>
      <c r="P4984" s="80" t="s">
        <v>2641</v>
      </c>
      <c r="Q4984" s="20">
        <v>1968</v>
      </c>
      <c r="R4984" s="80" t="s">
        <v>36</v>
      </c>
      <c r="S4984" s="95">
        <v>2000</v>
      </c>
      <c r="T4984" s="148">
        <v>45544</v>
      </c>
      <c r="U4984" s="77"/>
      <c r="V4984" s="78"/>
      <c r="W4984" s="85" t="s">
        <v>17185</v>
      </c>
      <c r="X4984" s="80"/>
      <c r="Y4984" s="22">
        <v>-32</v>
      </c>
      <c r="Z4984" s="80" t="s">
        <v>50</v>
      </c>
      <c r="AA4984" s="86" t="s">
        <v>14723</v>
      </c>
      <c r="AB4984" s="80"/>
      <c r="AC4984" s="80" t="s">
        <v>53</v>
      </c>
      <c r="AD4984" s="80" t="s">
        <v>138</v>
      </c>
      <c r="AE4984" s="83">
        <v>0</v>
      </c>
      <c r="AF4984" s="17">
        <v>45555</v>
      </c>
      <c r="AG4984" s="80" t="s">
        <v>7078</v>
      </c>
      <c r="AH4984" s="80"/>
      <c r="AI4984" s="147"/>
      <c r="AJ4984" s="80"/>
      <c r="AK4984" s="80"/>
      <c r="AL4984" s="35"/>
      <c r="AM4984" s="35"/>
      <c r="AN4984" s="35"/>
      <c r="AO4984" s="35"/>
      <c r="AP4984" s="35"/>
    </row>
    <row r="4985" spans="1:42" x14ac:dyDescent="0.2">
      <c r="A4985" s="126">
        <v>45546.958857893522</v>
      </c>
      <c r="B4985" s="137" t="s">
        <v>37</v>
      </c>
      <c r="C4985" s="41" t="s">
        <v>118</v>
      </c>
      <c r="D4985" s="80" t="s">
        <v>36</v>
      </c>
      <c r="E4985" s="80" t="s">
        <v>139</v>
      </c>
      <c r="F4985" s="80" t="s">
        <v>36</v>
      </c>
      <c r="G4985" s="80" t="s">
        <v>41</v>
      </c>
      <c r="H4985" s="80" t="s">
        <v>15166</v>
      </c>
      <c r="I4985" s="17">
        <f ca="1">IFERROR(__xludf.DUMMYFUNCTION("""COMPUTED_VALUE"""),45589)</f>
        <v>45589</v>
      </c>
      <c r="J4985" s="143" t="s">
        <v>16839</v>
      </c>
      <c r="K4985" s="80" t="s">
        <v>16840</v>
      </c>
      <c r="L4985" s="30">
        <v>964773828</v>
      </c>
      <c r="M4985" s="80" t="s">
        <v>12644</v>
      </c>
      <c r="N4985" s="80" t="s">
        <v>8725</v>
      </c>
      <c r="O4985" s="80" t="s">
        <v>16841</v>
      </c>
      <c r="P4985" s="80" t="s">
        <v>13226</v>
      </c>
      <c r="Q4985" s="20">
        <v>15936</v>
      </c>
      <c r="R4985" s="80" t="s">
        <v>70</v>
      </c>
      <c r="S4985" s="95">
        <f>200+1800</f>
        <v>2000</v>
      </c>
      <c r="T4985" s="83" t="s">
        <v>16842</v>
      </c>
      <c r="U4985" s="95">
        <v>13836</v>
      </c>
      <c r="V4985" s="148">
        <v>45614</v>
      </c>
      <c r="W4985" s="85" t="s">
        <v>16843</v>
      </c>
      <c r="X4985" s="80"/>
      <c r="Y4985" s="22">
        <v>100</v>
      </c>
      <c r="Z4985" s="80" t="s">
        <v>50</v>
      </c>
      <c r="AA4985" s="82" t="s">
        <v>14723</v>
      </c>
      <c r="AB4985" s="80"/>
      <c r="AC4985" s="80" t="s">
        <v>53</v>
      </c>
      <c r="AD4985" s="80" t="s">
        <v>138</v>
      </c>
      <c r="AE4985" s="80"/>
      <c r="AF4985" s="43">
        <v>45589</v>
      </c>
      <c r="AG4985" s="80" t="s">
        <v>14199</v>
      </c>
      <c r="AH4985" s="80"/>
      <c r="AI4985" s="147"/>
      <c r="AJ4985" s="80"/>
      <c r="AK4985" s="80"/>
      <c r="AL4985" s="35"/>
      <c r="AM4985" s="35"/>
      <c r="AN4985" s="35"/>
      <c r="AO4985" s="35"/>
      <c r="AP4985" s="35"/>
    </row>
    <row r="4986" spans="1:42" x14ac:dyDescent="0.2">
      <c r="A4986" s="126">
        <v>45547.90676680555</v>
      </c>
      <c r="B4986" s="137" t="s">
        <v>37</v>
      </c>
      <c r="C4986" s="41" t="s">
        <v>118</v>
      </c>
      <c r="D4986" s="80" t="s">
        <v>36</v>
      </c>
      <c r="E4986" s="80" t="s">
        <v>77</v>
      </c>
      <c r="F4986" s="80" t="s">
        <v>36</v>
      </c>
      <c r="G4986" s="26" t="s">
        <v>41</v>
      </c>
      <c r="H4986" s="80" t="s">
        <v>11845</v>
      </c>
      <c r="I4986" s="17">
        <f ca="1">IFERROR(__xludf.DUMMYFUNCTION("""COMPUTED_VALUE"""),45552)</f>
        <v>45552</v>
      </c>
      <c r="J4986" s="143" t="s">
        <v>17186</v>
      </c>
      <c r="K4986" s="80" t="s">
        <v>17187</v>
      </c>
      <c r="L4986" s="30">
        <v>904305218</v>
      </c>
      <c r="M4986" s="80" t="s">
        <v>12720</v>
      </c>
      <c r="N4986" s="80" t="s">
        <v>1073</v>
      </c>
      <c r="O4986" s="80" t="s">
        <v>1492</v>
      </c>
      <c r="P4986" s="80" t="s">
        <v>2216</v>
      </c>
      <c r="Q4986" s="20">
        <v>1968</v>
      </c>
      <c r="R4986" s="80" t="s">
        <v>36</v>
      </c>
      <c r="S4986" s="95">
        <v>2000</v>
      </c>
      <c r="T4986" s="148">
        <v>45546</v>
      </c>
      <c r="U4986" s="77"/>
      <c r="V4986" s="78"/>
      <c r="W4986" s="85" t="s">
        <v>17188</v>
      </c>
      <c r="X4986" s="80"/>
      <c r="Y4986" s="22">
        <v>-32</v>
      </c>
      <c r="Z4986" s="80" t="s">
        <v>50</v>
      </c>
      <c r="AA4986" s="86" t="s">
        <v>14723</v>
      </c>
      <c r="AB4986" s="80"/>
      <c r="AC4986" s="80" t="s">
        <v>53</v>
      </c>
      <c r="AD4986" s="80" t="s">
        <v>138</v>
      </c>
      <c r="AE4986" s="83">
        <v>0</v>
      </c>
      <c r="AF4986" s="17">
        <v>45555</v>
      </c>
      <c r="AG4986" s="80" t="s">
        <v>17189</v>
      </c>
      <c r="AH4986" s="80"/>
      <c r="AI4986" s="147"/>
      <c r="AJ4986" s="80"/>
      <c r="AK4986" s="80"/>
      <c r="AL4986" s="35"/>
      <c r="AM4986" s="35"/>
      <c r="AN4986" s="35"/>
      <c r="AO4986" s="35"/>
      <c r="AP4986" s="35"/>
    </row>
    <row r="4987" spans="1:42" x14ac:dyDescent="0.2">
      <c r="A4987" s="126">
        <v>45548.368174537041</v>
      </c>
      <c r="B4987" s="137" t="s">
        <v>37</v>
      </c>
      <c r="C4987" s="41" t="s">
        <v>118</v>
      </c>
      <c r="D4987" s="80" t="s">
        <v>36</v>
      </c>
      <c r="E4987" s="80" t="s">
        <v>139</v>
      </c>
      <c r="F4987" s="80" t="s">
        <v>36</v>
      </c>
      <c r="G4987" s="80" t="s">
        <v>41</v>
      </c>
      <c r="H4987" s="80" t="s">
        <v>11747</v>
      </c>
      <c r="I4987" s="17">
        <f ca="1">IFERROR(__xludf.DUMMYFUNCTION("""COMPUTED_VALUE"""),45559)</f>
        <v>45559</v>
      </c>
      <c r="J4987" s="143" t="s">
        <v>16769</v>
      </c>
      <c r="K4987" s="80" t="s">
        <v>17190</v>
      </c>
      <c r="L4987" s="30">
        <v>869230365</v>
      </c>
      <c r="M4987" s="80" t="s">
        <v>123</v>
      </c>
      <c r="N4987" s="80" t="s">
        <v>2847</v>
      </c>
      <c r="O4987" s="80" t="s">
        <v>4503</v>
      </c>
      <c r="P4987" s="80" t="s">
        <v>3487</v>
      </c>
      <c r="Q4987" s="20">
        <v>15936</v>
      </c>
      <c r="R4987" s="80" t="s">
        <v>36</v>
      </c>
      <c r="S4987" s="95">
        <f>100+5000</f>
        <v>5100</v>
      </c>
      <c r="T4987" s="83" t="s">
        <v>16771</v>
      </c>
      <c r="U4987" s="95">
        <v>10836</v>
      </c>
      <c r="V4987" s="148">
        <v>45610</v>
      </c>
      <c r="W4987" s="85" t="s">
        <v>16772</v>
      </c>
      <c r="X4987" s="80"/>
      <c r="Y4987" s="22">
        <v>0</v>
      </c>
      <c r="Z4987" s="80" t="s">
        <v>50</v>
      </c>
      <c r="AA4987" s="82" t="s">
        <v>14723</v>
      </c>
      <c r="AB4987" s="80"/>
      <c r="AC4987" s="80" t="s">
        <v>53</v>
      </c>
      <c r="AD4987" s="80" t="s">
        <v>138</v>
      </c>
      <c r="AE4987" s="80"/>
      <c r="AF4987" s="17">
        <v>45551</v>
      </c>
      <c r="AG4987" s="80"/>
      <c r="AH4987" s="80"/>
      <c r="AI4987" s="147"/>
      <c r="AJ4987" s="80"/>
      <c r="AK4987" s="80"/>
      <c r="AL4987" s="35"/>
      <c r="AM4987" s="35"/>
      <c r="AN4987" s="35"/>
      <c r="AO4987" s="35"/>
      <c r="AP4987" s="35"/>
    </row>
    <row r="4988" spans="1:42" x14ac:dyDescent="0.2">
      <c r="A4988" s="126">
        <v>45548.416116504624</v>
      </c>
      <c r="B4988" s="137" t="s">
        <v>37</v>
      </c>
      <c r="C4988" s="41" t="s">
        <v>118</v>
      </c>
      <c r="D4988" s="80" t="s">
        <v>36</v>
      </c>
      <c r="E4988" s="80" t="s">
        <v>77</v>
      </c>
      <c r="F4988" s="80" t="s">
        <v>40</v>
      </c>
      <c r="G4988" s="80" t="s">
        <v>41</v>
      </c>
      <c r="H4988" s="80" t="s">
        <v>9614</v>
      </c>
      <c r="I4988" s="17">
        <f ca="1">IFERROR(__xludf.DUMMYFUNCTION("""COMPUTED_VALUE"""),45552)</f>
        <v>45552</v>
      </c>
      <c r="J4988" s="143" t="s">
        <v>17191</v>
      </c>
      <c r="K4988" s="80" t="s">
        <v>17192</v>
      </c>
      <c r="L4988" s="30">
        <v>336851718</v>
      </c>
      <c r="M4988" s="80" t="s">
        <v>12644</v>
      </c>
      <c r="N4988" s="80" t="s">
        <v>260</v>
      </c>
      <c r="O4988" s="80" t="s">
        <v>17193</v>
      </c>
      <c r="P4988" s="80" t="s">
        <v>17194</v>
      </c>
      <c r="Q4988" s="20">
        <v>1968</v>
      </c>
      <c r="R4988" s="80" t="s">
        <v>36</v>
      </c>
      <c r="S4988" s="95">
        <f>200+1800</f>
        <v>2000</v>
      </c>
      <c r="T4988" s="83" t="s">
        <v>17195</v>
      </c>
      <c r="U4988" s="77"/>
      <c r="V4988" s="78"/>
      <c r="W4988" s="85" t="s">
        <v>17196</v>
      </c>
      <c r="X4988" s="80"/>
      <c r="Y4988" s="22">
        <v>-32</v>
      </c>
      <c r="Z4988" s="80" t="s">
        <v>50</v>
      </c>
      <c r="AA4988" s="86" t="s">
        <v>14723</v>
      </c>
      <c r="AB4988" s="80"/>
      <c r="AC4988" s="80" t="s">
        <v>53</v>
      </c>
      <c r="AD4988" s="80" t="s">
        <v>54</v>
      </c>
      <c r="AE4988" s="80"/>
      <c r="AF4988" s="17">
        <v>45551</v>
      </c>
      <c r="AG4988" s="80" t="s">
        <v>7078</v>
      </c>
      <c r="AH4988" s="80"/>
      <c r="AI4988" s="147"/>
      <c r="AJ4988" s="80"/>
      <c r="AK4988" s="80"/>
      <c r="AL4988" s="35"/>
      <c r="AM4988" s="35"/>
      <c r="AN4988" s="35"/>
      <c r="AO4988" s="35"/>
      <c r="AP4988" s="35"/>
    </row>
    <row r="4989" spans="1:42" x14ac:dyDescent="0.2">
      <c r="A4989" s="126">
        <v>45549.474469027773</v>
      </c>
      <c r="B4989" s="137" t="s">
        <v>90</v>
      </c>
      <c r="C4989" s="41" t="s">
        <v>118</v>
      </c>
      <c r="D4989" s="80" t="s">
        <v>36</v>
      </c>
      <c r="E4989" s="80" t="s">
        <v>139</v>
      </c>
      <c r="F4989" s="80" t="s">
        <v>40</v>
      </c>
      <c r="G4989" s="80" t="s">
        <v>41</v>
      </c>
      <c r="H4989" s="80" t="s">
        <v>11183</v>
      </c>
      <c r="I4989" s="17">
        <f ca="1">IFERROR(__xludf.DUMMYFUNCTION("""COMPUTED_VALUE"""),45554)</f>
        <v>45554</v>
      </c>
      <c r="J4989" s="143" t="s">
        <v>14171</v>
      </c>
      <c r="K4989" s="80" t="s">
        <v>17197</v>
      </c>
      <c r="L4989" s="30">
        <v>352971510</v>
      </c>
      <c r="M4989" s="80" t="s">
        <v>5558</v>
      </c>
      <c r="N4989" s="80" t="s">
        <v>5559</v>
      </c>
      <c r="O4989" s="80" t="s">
        <v>14173</v>
      </c>
      <c r="P4989" s="80" t="s">
        <v>14174</v>
      </c>
      <c r="Q4989" s="20">
        <v>15936</v>
      </c>
      <c r="R4989" s="80" t="s">
        <v>36</v>
      </c>
      <c r="S4989" s="95">
        <f>2000+6500</f>
        <v>8500</v>
      </c>
      <c r="T4989" s="83" t="s">
        <v>14175</v>
      </c>
      <c r="U4989" s="95">
        <v>7436</v>
      </c>
      <c r="V4989" s="148">
        <v>45598</v>
      </c>
      <c r="W4989" s="85" t="s">
        <v>14176</v>
      </c>
      <c r="X4989" s="80"/>
      <c r="Y4989" s="22">
        <v>0</v>
      </c>
      <c r="Z4989" s="80" t="s">
        <v>50</v>
      </c>
      <c r="AA4989" s="82" t="s">
        <v>14723</v>
      </c>
      <c r="AB4989" s="80"/>
      <c r="AC4989" s="80" t="s">
        <v>53</v>
      </c>
      <c r="AD4989" s="80" t="s">
        <v>138</v>
      </c>
      <c r="AE4989" s="80"/>
      <c r="AF4989" s="17">
        <v>45554</v>
      </c>
      <c r="AG4989" s="80"/>
      <c r="AH4989" s="80"/>
      <c r="AI4989" s="147"/>
      <c r="AJ4989" s="80"/>
      <c r="AK4989" s="80"/>
      <c r="AL4989" s="35"/>
      <c r="AM4989" s="35"/>
      <c r="AN4989" s="35"/>
      <c r="AO4989" s="35"/>
      <c r="AP4989" s="35"/>
    </row>
    <row r="4990" spans="1:42" x14ac:dyDescent="0.2">
      <c r="A4990" s="126">
        <v>45549.786100451391</v>
      </c>
      <c r="B4990" s="137" t="s">
        <v>37</v>
      </c>
      <c r="C4990" s="41" t="s">
        <v>118</v>
      </c>
      <c r="D4990" s="80" t="s">
        <v>36</v>
      </c>
      <c r="E4990" s="80" t="s">
        <v>106</v>
      </c>
      <c r="F4990" s="80" t="s">
        <v>36</v>
      </c>
      <c r="G4990" s="80" t="s">
        <v>108</v>
      </c>
      <c r="H4990" s="80" t="s">
        <v>6919</v>
      </c>
      <c r="I4990" s="17">
        <f ca="1">IFERROR(__xludf.DUMMYFUNCTION("""COMPUTED_VALUE"""),45552)</f>
        <v>45552</v>
      </c>
      <c r="J4990" s="143" t="s">
        <v>17198</v>
      </c>
      <c r="K4990" s="80" t="s">
        <v>17199</v>
      </c>
      <c r="L4990" s="30">
        <v>365594586</v>
      </c>
      <c r="M4990" s="80" t="s">
        <v>12720</v>
      </c>
      <c r="N4990" s="80" t="s">
        <v>1073</v>
      </c>
      <c r="O4990" s="80" t="s">
        <v>17200</v>
      </c>
      <c r="P4990" s="80" t="s">
        <v>5794</v>
      </c>
      <c r="Q4990" s="20">
        <v>3768</v>
      </c>
      <c r="R4990" s="80" t="s">
        <v>36</v>
      </c>
      <c r="S4990" s="95">
        <f>200+3800</f>
        <v>4000</v>
      </c>
      <c r="T4990" s="83" t="s">
        <v>17201</v>
      </c>
      <c r="U4990" s="77"/>
      <c r="V4990" s="78"/>
      <c r="W4990" s="85" t="s">
        <v>17202</v>
      </c>
      <c r="X4990" s="80"/>
      <c r="Y4990" s="22">
        <v>-232</v>
      </c>
      <c r="Z4990" s="80" t="s">
        <v>50</v>
      </c>
      <c r="AA4990" s="86" t="s">
        <v>14723</v>
      </c>
      <c r="AB4990" s="80"/>
      <c r="AC4990" s="80" t="s">
        <v>53</v>
      </c>
      <c r="AD4990" s="80" t="s">
        <v>138</v>
      </c>
      <c r="AE4990" s="83">
        <v>0</v>
      </c>
      <c r="AF4990" s="17">
        <v>45552</v>
      </c>
      <c r="AG4990" s="26" t="s">
        <v>7078</v>
      </c>
      <c r="AH4990" s="80"/>
      <c r="AI4990" s="147"/>
      <c r="AJ4990" s="80"/>
      <c r="AK4990" s="80"/>
      <c r="AL4990" s="35"/>
      <c r="AM4990" s="35"/>
      <c r="AN4990" s="35"/>
      <c r="AO4990" s="35"/>
      <c r="AP4990" s="35"/>
    </row>
    <row r="4991" spans="1:42" x14ac:dyDescent="0.2">
      <c r="A4991" s="126">
        <v>45550.701656215278</v>
      </c>
      <c r="B4991" s="137" t="s">
        <v>37</v>
      </c>
      <c r="C4991" s="41" t="s">
        <v>118</v>
      </c>
      <c r="D4991" s="80" t="s">
        <v>36</v>
      </c>
      <c r="E4991" s="80" t="s">
        <v>139</v>
      </c>
      <c r="F4991" s="26" t="s">
        <v>36</v>
      </c>
      <c r="G4991" s="80" t="s">
        <v>41</v>
      </c>
      <c r="H4991" s="80" t="s">
        <v>9626</v>
      </c>
      <c r="I4991" s="17">
        <f ca="1">IFERROR(__xludf.DUMMYFUNCTION("""COMPUTED_VALUE"""),45559)</f>
        <v>45559</v>
      </c>
      <c r="J4991" s="172" t="s">
        <v>14332</v>
      </c>
      <c r="K4991" s="80" t="s">
        <v>14333</v>
      </c>
      <c r="L4991" s="30">
        <v>766778889</v>
      </c>
      <c r="M4991" s="80" t="s">
        <v>5558</v>
      </c>
      <c r="N4991" s="80" t="s">
        <v>850</v>
      </c>
      <c r="O4991" s="80" t="s">
        <v>4503</v>
      </c>
      <c r="P4991" s="80" t="s">
        <v>14334</v>
      </c>
      <c r="Q4991" s="20">
        <v>15936</v>
      </c>
      <c r="R4991" s="80" t="s">
        <v>36</v>
      </c>
      <c r="S4991" s="95">
        <v>2000</v>
      </c>
      <c r="T4991" s="148">
        <v>45550</v>
      </c>
      <c r="U4991" s="95">
        <f>10000+2936+500+500</f>
        <v>13936</v>
      </c>
      <c r="V4991" s="83" t="s">
        <v>14335</v>
      </c>
      <c r="W4991" s="85" t="s">
        <v>14336</v>
      </c>
      <c r="X4991" s="80"/>
      <c r="Y4991" s="22">
        <v>0</v>
      </c>
      <c r="Z4991" s="80" t="s">
        <v>50</v>
      </c>
      <c r="AA4991" s="82" t="s">
        <v>14723</v>
      </c>
      <c r="AB4991" s="80"/>
      <c r="AC4991" s="80" t="s">
        <v>53</v>
      </c>
      <c r="AD4991" s="80" t="s">
        <v>138</v>
      </c>
      <c r="AE4991" s="80"/>
      <c r="AF4991" s="17">
        <v>45559</v>
      </c>
      <c r="AG4991" s="80"/>
      <c r="AH4991" s="80"/>
      <c r="AI4991" s="147"/>
      <c r="AJ4991" s="80"/>
      <c r="AK4991" s="80"/>
      <c r="AL4991" s="35"/>
      <c r="AM4991" s="35"/>
      <c r="AN4991" s="35"/>
      <c r="AO4991" s="35"/>
      <c r="AP4991" s="35"/>
    </row>
    <row r="4992" spans="1:42" x14ac:dyDescent="0.2">
      <c r="A4992" s="126">
        <v>45551.659348414352</v>
      </c>
      <c r="B4992" s="137" t="s">
        <v>37</v>
      </c>
      <c r="C4992" s="41" t="s">
        <v>118</v>
      </c>
      <c r="D4992" s="80" t="s">
        <v>36</v>
      </c>
      <c r="E4992" s="80" t="s">
        <v>56</v>
      </c>
      <c r="F4992" s="80" t="s">
        <v>40</v>
      </c>
      <c r="G4992" s="80" t="s">
        <v>41</v>
      </c>
      <c r="H4992" s="80" t="s">
        <v>11183</v>
      </c>
      <c r="I4992" s="17">
        <f ca="1">IFERROR(__xludf.DUMMYFUNCTION("""COMPUTED_VALUE"""),45554)</f>
        <v>45554</v>
      </c>
      <c r="J4992" s="143" t="s">
        <v>17203</v>
      </c>
      <c r="K4992" s="80" t="s">
        <v>17204</v>
      </c>
      <c r="L4992" s="30">
        <v>862558843</v>
      </c>
      <c r="M4992" s="80" t="s">
        <v>123</v>
      </c>
      <c r="N4992" s="80" t="s">
        <v>2847</v>
      </c>
      <c r="O4992" s="80" t="s">
        <v>4503</v>
      </c>
      <c r="P4992" s="80" t="s">
        <v>3056</v>
      </c>
      <c r="Q4992" s="20">
        <v>9317</v>
      </c>
      <c r="R4992" s="80" t="s">
        <v>1106</v>
      </c>
      <c r="S4992" s="95">
        <v>3000</v>
      </c>
      <c r="T4992" s="148">
        <v>45550</v>
      </c>
      <c r="U4992" s="95">
        <f>6067+100</f>
        <v>6167</v>
      </c>
      <c r="V4992" s="83" t="s">
        <v>17205</v>
      </c>
      <c r="W4992" s="85" t="s">
        <v>17206</v>
      </c>
      <c r="X4992" s="80"/>
      <c r="Y4992" s="22">
        <v>150</v>
      </c>
      <c r="Z4992" s="80" t="s">
        <v>50</v>
      </c>
      <c r="AA4992" s="86" t="s">
        <v>14723</v>
      </c>
      <c r="AB4992" s="80"/>
      <c r="AC4992" s="80" t="s">
        <v>53</v>
      </c>
      <c r="AD4992" s="80" t="s">
        <v>138</v>
      </c>
      <c r="AE4992" s="80"/>
      <c r="AF4992" s="17">
        <v>45554</v>
      </c>
      <c r="AG4992" s="80"/>
      <c r="AH4992" s="80"/>
      <c r="AI4992" s="147"/>
      <c r="AJ4992" s="80"/>
      <c r="AK4992" s="80"/>
      <c r="AL4992" s="35"/>
      <c r="AM4992" s="35"/>
      <c r="AN4992" s="35"/>
      <c r="AO4992" s="35"/>
      <c r="AP4992" s="35"/>
    </row>
    <row r="4993" spans="1:42" x14ac:dyDescent="0.2">
      <c r="A4993" s="126">
        <v>45551.784466006946</v>
      </c>
      <c r="B4993" s="137" t="s">
        <v>37</v>
      </c>
      <c r="C4993" s="41" t="s">
        <v>118</v>
      </c>
      <c r="D4993" s="80" t="s">
        <v>36</v>
      </c>
      <c r="E4993" s="80" t="s">
        <v>139</v>
      </c>
      <c r="F4993" s="80" t="s">
        <v>36</v>
      </c>
      <c r="G4993" s="80" t="s">
        <v>41</v>
      </c>
      <c r="H4993" s="80" t="s">
        <v>12799</v>
      </c>
      <c r="I4993" s="17">
        <f ca="1">IFERROR(__xludf.DUMMYFUNCTION("""COMPUTED_VALUE"""),45559)</f>
        <v>45559</v>
      </c>
      <c r="J4993" s="172" t="s">
        <v>14607</v>
      </c>
      <c r="K4993" s="80" t="s">
        <v>17207</v>
      </c>
      <c r="L4993" s="30">
        <v>565812545</v>
      </c>
      <c r="M4993" s="80" t="s">
        <v>5429</v>
      </c>
      <c r="N4993" s="80" t="s">
        <v>11095</v>
      </c>
      <c r="O4993" s="80" t="s">
        <v>6822</v>
      </c>
      <c r="P4993" s="80" t="s">
        <v>12597</v>
      </c>
      <c r="Q4993" s="20">
        <v>15936</v>
      </c>
      <c r="R4993" s="80" t="s">
        <v>1106</v>
      </c>
      <c r="S4993" s="95">
        <v>2000</v>
      </c>
      <c r="T4993" s="148">
        <v>45553</v>
      </c>
      <c r="U4993" s="95">
        <v>13786</v>
      </c>
      <c r="V4993" s="148">
        <v>45604</v>
      </c>
      <c r="W4993" s="85" t="s">
        <v>14609</v>
      </c>
      <c r="X4993" s="80"/>
      <c r="Y4993" s="22">
        <v>150</v>
      </c>
      <c r="Z4993" s="80" t="s">
        <v>50</v>
      </c>
      <c r="AA4993" s="82" t="s">
        <v>14723</v>
      </c>
      <c r="AB4993" s="80"/>
      <c r="AC4993" s="80" t="s">
        <v>53</v>
      </c>
      <c r="AD4993" s="80" t="s">
        <v>138</v>
      </c>
      <c r="AE4993" s="80" t="s">
        <v>76</v>
      </c>
      <c r="AF4993" s="17">
        <v>45559</v>
      </c>
      <c r="AG4993" s="80"/>
      <c r="AH4993" s="80"/>
      <c r="AI4993" s="147"/>
      <c r="AJ4993" s="80"/>
      <c r="AK4993" s="80"/>
      <c r="AL4993" s="35"/>
      <c r="AM4993" s="35"/>
      <c r="AN4993" s="35"/>
      <c r="AO4993" s="35"/>
      <c r="AP4993" s="35"/>
    </row>
    <row r="4994" spans="1:42" x14ac:dyDescent="0.2">
      <c r="A4994" s="126">
        <v>45552.388658356482</v>
      </c>
      <c r="B4994" s="137" t="s">
        <v>1703</v>
      </c>
      <c r="C4994" s="41" t="s">
        <v>118</v>
      </c>
      <c r="D4994" s="80" t="s">
        <v>36</v>
      </c>
      <c r="E4994" s="80" t="s">
        <v>77</v>
      </c>
      <c r="F4994" s="26" t="s">
        <v>40</v>
      </c>
      <c r="G4994" s="80" t="s">
        <v>41</v>
      </c>
      <c r="H4994" s="80" t="s">
        <v>17208</v>
      </c>
      <c r="I4994" s="17" t="str">
        <f ca="1">IFERROR(__xludf.DUMMYFUNCTION("""COMPUTED_VALUE""")," ")</f>
        <v xml:space="preserve"> </v>
      </c>
      <c r="J4994" s="143" t="s">
        <v>17209</v>
      </c>
      <c r="K4994" s="80" t="s">
        <v>17210</v>
      </c>
      <c r="L4994" s="30">
        <v>374978142</v>
      </c>
      <c r="M4994" s="80" t="s">
        <v>123</v>
      </c>
      <c r="N4994" s="80" t="s">
        <v>2847</v>
      </c>
      <c r="O4994" s="80" t="s">
        <v>4503</v>
      </c>
      <c r="P4994" s="144" t="s">
        <v>17211</v>
      </c>
      <c r="Q4994" s="20">
        <v>1968</v>
      </c>
      <c r="R4994" s="80" t="s">
        <v>36</v>
      </c>
      <c r="S4994" s="95">
        <v>3000</v>
      </c>
      <c r="T4994" s="148">
        <v>45549</v>
      </c>
      <c r="U4994" s="77"/>
      <c r="V4994" s="78"/>
      <c r="W4994" s="85" t="s">
        <v>17212</v>
      </c>
      <c r="X4994" s="80"/>
      <c r="Y4994" s="22">
        <v>-1032</v>
      </c>
      <c r="Z4994" s="80" t="s">
        <v>50</v>
      </c>
      <c r="AA4994" s="86" t="s">
        <v>14723</v>
      </c>
      <c r="AB4994" s="80"/>
      <c r="AC4994" s="80" t="s">
        <v>53</v>
      </c>
      <c r="AD4994" s="80" t="s">
        <v>138</v>
      </c>
      <c r="AE4994" s="80"/>
      <c r="AF4994" s="17">
        <v>45559</v>
      </c>
      <c r="AG4994" s="80" t="s">
        <v>7078</v>
      </c>
      <c r="AH4994" s="80"/>
      <c r="AI4994" s="147"/>
      <c r="AJ4994" s="80"/>
      <c r="AK4994" s="80"/>
      <c r="AL4994" s="35"/>
      <c r="AM4994" s="35"/>
      <c r="AN4994" s="35"/>
      <c r="AO4994" s="35"/>
      <c r="AP4994" s="35"/>
    </row>
    <row r="4995" spans="1:42" x14ac:dyDescent="0.2">
      <c r="A4995" s="126">
        <v>45552.436101724539</v>
      </c>
      <c r="B4995" s="137" t="s">
        <v>37</v>
      </c>
      <c r="C4995" s="41" t="s">
        <v>118</v>
      </c>
      <c r="D4995" s="80" t="s">
        <v>36</v>
      </c>
      <c r="E4995" s="80" t="s">
        <v>56</v>
      </c>
      <c r="F4995" s="80" t="s">
        <v>40</v>
      </c>
      <c r="G4995" s="80" t="s">
        <v>41</v>
      </c>
      <c r="H4995" s="80" t="s">
        <v>13206</v>
      </c>
      <c r="I4995" s="17">
        <f ca="1">IFERROR(__xludf.DUMMYFUNCTION("""COMPUTED_VALUE"""),45559)</f>
        <v>45559</v>
      </c>
      <c r="J4995" s="143" t="s">
        <v>14718</v>
      </c>
      <c r="K4995" s="80" t="s">
        <v>17213</v>
      </c>
      <c r="L4995" s="30">
        <v>338400898</v>
      </c>
      <c r="M4995" s="80" t="s">
        <v>5558</v>
      </c>
      <c r="N4995" s="80" t="s">
        <v>5559</v>
      </c>
      <c r="O4995" s="80" t="s">
        <v>4503</v>
      </c>
      <c r="P4995" s="80" t="s">
        <v>17214</v>
      </c>
      <c r="Q4995" s="20">
        <v>9317</v>
      </c>
      <c r="R4995" s="80" t="s">
        <v>36</v>
      </c>
      <c r="S4995" s="95">
        <f>200+9000+117</f>
        <v>9317</v>
      </c>
      <c r="T4995" s="83" t="s">
        <v>14721</v>
      </c>
      <c r="U4995" s="77"/>
      <c r="V4995" s="78"/>
      <c r="W4995" s="85" t="s">
        <v>14722</v>
      </c>
      <c r="X4995" s="80"/>
      <c r="Y4995" s="22">
        <v>0</v>
      </c>
      <c r="Z4995" s="80" t="s">
        <v>50</v>
      </c>
      <c r="AA4995" s="82" t="s">
        <v>14723</v>
      </c>
      <c r="AB4995" s="80"/>
      <c r="AC4995" s="80" t="s">
        <v>53</v>
      </c>
      <c r="AD4995" s="80" t="s">
        <v>54</v>
      </c>
      <c r="AE4995" s="80"/>
      <c r="AF4995" s="17">
        <v>45556</v>
      </c>
      <c r="AG4995" s="80" t="s">
        <v>7078</v>
      </c>
      <c r="AH4995" s="80"/>
      <c r="AI4995" s="147"/>
      <c r="AJ4995" s="80"/>
      <c r="AK4995" s="80"/>
      <c r="AL4995" s="35"/>
      <c r="AM4995" s="35"/>
      <c r="AN4995" s="35"/>
      <c r="AO4995" s="35"/>
      <c r="AP4995" s="35"/>
    </row>
    <row r="4996" spans="1:42" x14ac:dyDescent="0.2">
      <c r="A4996" s="126">
        <v>45552.463956631946</v>
      </c>
      <c r="B4996" s="137" t="s">
        <v>37</v>
      </c>
      <c r="C4996" s="41" t="s">
        <v>118</v>
      </c>
      <c r="D4996" s="80" t="s">
        <v>36</v>
      </c>
      <c r="E4996" s="80" t="s">
        <v>77</v>
      </c>
      <c r="F4996" s="80" t="s">
        <v>36</v>
      </c>
      <c r="G4996" s="80" t="s">
        <v>41</v>
      </c>
      <c r="H4996" s="80" t="s">
        <v>15199</v>
      </c>
      <c r="I4996" s="17">
        <f ca="1">IFERROR(__xludf.DUMMYFUNCTION("""COMPUTED_VALUE"""),45579)</f>
        <v>45579</v>
      </c>
      <c r="J4996" s="143" t="s">
        <v>17215</v>
      </c>
      <c r="K4996" s="80" t="s">
        <v>17216</v>
      </c>
      <c r="L4996" s="30">
        <v>328021695</v>
      </c>
      <c r="M4996" s="80" t="s">
        <v>12720</v>
      </c>
      <c r="N4996" s="80" t="s">
        <v>1073</v>
      </c>
      <c r="O4996" s="80" t="s">
        <v>17217</v>
      </c>
      <c r="P4996" s="144" t="s">
        <v>17218</v>
      </c>
      <c r="Q4996" s="20">
        <v>1968</v>
      </c>
      <c r="R4996" s="80" t="s">
        <v>36</v>
      </c>
      <c r="S4996" s="95">
        <f t="shared" ref="S4996:S4997" si="115">200+1800</f>
        <v>2000</v>
      </c>
      <c r="T4996" s="83" t="s">
        <v>13299</v>
      </c>
      <c r="U4996" s="77"/>
      <c r="V4996" s="78"/>
      <c r="W4996" s="85" t="s">
        <v>17219</v>
      </c>
      <c r="X4996" s="80"/>
      <c r="Y4996" s="22">
        <v>-32</v>
      </c>
      <c r="Z4996" s="80" t="s">
        <v>50</v>
      </c>
      <c r="AA4996" s="86" t="s">
        <v>14723</v>
      </c>
      <c r="AB4996" s="80"/>
      <c r="AC4996" s="80" t="s">
        <v>53</v>
      </c>
      <c r="AD4996" s="80" t="s">
        <v>138</v>
      </c>
      <c r="AE4996" s="83"/>
      <c r="AF4996" s="17">
        <v>45559</v>
      </c>
      <c r="AG4996" s="26" t="s">
        <v>7078</v>
      </c>
      <c r="AH4996" s="80" t="s">
        <v>15470</v>
      </c>
      <c r="AI4996" s="147"/>
      <c r="AJ4996" s="80"/>
      <c r="AK4996" s="80"/>
      <c r="AL4996" s="35"/>
      <c r="AM4996" s="35"/>
      <c r="AN4996" s="35"/>
      <c r="AO4996" s="35"/>
      <c r="AP4996" s="35"/>
    </row>
    <row r="4997" spans="1:42" x14ac:dyDescent="0.2">
      <c r="A4997" s="126">
        <v>45553.328230127314</v>
      </c>
      <c r="B4997" s="137" t="s">
        <v>37</v>
      </c>
      <c r="C4997" s="41" t="s">
        <v>118</v>
      </c>
      <c r="D4997" s="80" t="s">
        <v>36</v>
      </c>
      <c r="E4997" s="80" t="s">
        <v>77</v>
      </c>
      <c r="F4997" s="80" t="s">
        <v>36</v>
      </c>
      <c r="G4997" s="80" t="s">
        <v>41</v>
      </c>
      <c r="H4997" s="80" t="s">
        <v>13178</v>
      </c>
      <c r="I4997" s="17">
        <f ca="1">IFERROR(__xludf.DUMMYFUNCTION("""COMPUTED_VALUE"""),45572)</f>
        <v>45572</v>
      </c>
      <c r="J4997" s="143" t="s">
        <v>17220</v>
      </c>
      <c r="K4997" s="80" t="s">
        <v>17221</v>
      </c>
      <c r="L4997" s="30">
        <v>971817508</v>
      </c>
      <c r="M4997" s="80" t="s">
        <v>12529</v>
      </c>
      <c r="N4997" s="80" t="s">
        <v>466</v>
      </c>
      <c r="O4997" s="80" t="s">
        <v>17222</v>
      </c>
      <c r="P4997" s="80" t="s">
        <v>3178</v>
      </c>
      <c r="Q4997" s="20">
        <v>1968</v>
      </c>
      <c r="R4997" s="80" t="s">
        <v>36</v>
      </c>
      <c r="S4997" s="95">
        <f t="shared" si="115"/>
        <v>2000</v>
      </c>
      <c r="T4997" s="83" t="s">
        <v>17223</v>
      </c>
      <c r="U4997" s="77"/>
      <c r="V4997" s="78"/>
      <c r="W4997" s="85" t="s">
        <v>17224</v>
      </c>
      <c r="X4997" s="80"/>
      <c r="Y4997" s="22">
        <v>-32</v>
      </c>
      <c r="Z4997" s="80" t="s">
        <v>50</v>
      </c>
      <c r="AA4997" s="82" t="s">
        <v>14723</v>
      </c>
      <c r="AB4997" s="80"/>
      <c r="AC4997" s="80" t="s">
        <v>53</v>
      </c>
      <c r="AD4997" s="80" t="s">
        <v>138</v>
      </c>
      <c r="AE4997" s="83">
        <v>0</v>
      </c>
      <c r="AF4997" s="17">
        <v>45572</v>
      </c>
      <c r="AG4997" s="80" t="s">
        <v>13185</v>
      </c>
      <c r="AH4997" s="80"/>
      <c r="AI4997" s="147"/>
      <c r="AJ4997" s="80"/>
      <c r="AK4997" s="80"/>
      <c r="AL4997" s="35"/>
      <c r="AM4997" s="35"/>
      <c r="AN4997" s="35"/>
      <c r="AO4997" s="35"/>
      <c r="AP4997" s="35"/>
    </row>
    <row r="4998" spans="1:42" x14ac:dyDescent="0.2">
      <c r="A4998" s="126">
        <v>45554.970772673609</v>
      </c>
      <c r="B4998" s="137" t="s">
        <v>37</v>
      </c>
      <c r="C4998" s="41" t="s">
        <v>118</v>
      </c>
      <c r="D4998" s="80" t="s">
        <v>36</v>
      </c>
      <c r="E4998" s="80" t="s">
        <v>77</v>
      </c>
      <c r="F4998" s="80" t="s">
        <v>40</v>
      </c>
      <c r="G4998" s="80" t="s">
        <v>41</v>
      </c>
      <c r="H4998" s="80" t="s">
        <v>12737</v>
      </c>
      <c r="I4998" s="17">
        <f ca="1">IFERROR(__xludf.DUMMYFUNCTION("""COMPUTED_VALUE"""),45562)</f>
        <v>45562</v>
      </c>
      <c r="J4998" s="143" t="s">
        <v>17225</v>
      </c>
      <c r="K4998" s="80" t="s">
        <v>17226</v>
      </c>
      <c r="L4998" s="30">
        <v>357852250</v>
      </c>
      <c r="M4998" s="80" t="s">
        <v>5558</v>
      </c>
      <c r="N4998" s="80" t="s">
        <v>5559</v>
      </c>
      <c r="O4998" s="80" t="s">
        <v>4503</v>
      </c>
      <c r="P4998" s="80" t="s">
        <v>17227</v>
      </c>
      <c r="Q4998" s="20">
        <v>1968</v>
      </c>
      <c r="R4998" s="80" t="s">
        <v>36</v>
      </c>
      <c r="S4998" s="95">
        <v>5000</v>
      </c>
      <c r="T4998" s="148">
        <v>45554</v>
      </c>
      <c r="U4998" s="77"/>
      <c r="V4998" s="78"/>
      <c r="W4998" s="85" t="s">
        <v>17228</v>
      </c>
      <c r="X4998" s="80"/>
      <c r="Y4998" s="22">
        <v>-3032</v>
      </c>
      <c r="Z4998" s="80" t="s">
        <v>50</v>
      </c>
      <c r="AA4998" s="86" t="s">
        <v>14723</v>
      </c>
      <c r="AB4998" s="80"/>
      <c r="AC4998" s="80" t="s">
        <v>53</v>
      </c>
      <c r="AD4998" s="80" t="s">
        <v>54</v>
      </c>
      <c r="AE4998" s="80"/>
      <c r="AF4998" s="17">
        <v>45556</v>
      </c>
      <c r="AG4998" s="80" t="s">
        <v>7078</v>
      </c>
      <c r="AH4998" s="80"/>
      <c r="AI4998" s="147"/>
      <c r="AJ4998" s="80"/>
      <c r="AK4998" s="80"/>
      <c r="AL4998" s="35"/>
      <c r="AM4998" s="35"/>
      <c r="AN4998" s="35"/>
      <c r="AO4998" s="35"/>
      <c r="AP4998" s="35"/>
    </row>
    <row r="4999" spans="1:42" x14ac:dyDescent="0.2">
      <c r="A4999" s="126">
        <v>45554.986580474535</v>
      </c>
      <c r="B4999" s="137" t="s">
        <v>37</v>
      </c>
      <c r="C4999" s="41" t="s">
        <v>118</v>
      </c>
      <c r="D4999" s="80" t="s">
        <v>36</v>
      </c>
      <c r="E4999" s="80" t="s">
        <v>106</v>
      </c>
      <c r="F4999" s="80" t="s">
        <v>36</v>
      </c>
      <c r="G4999" s="80" t="s">
        <v>108</v>
      </c>
      <c r="H4999" s="80" t="s">
        <v>9900</v>
      </c>
      <c r="I4999" s="17">
        <f ca="1">IFERROR(__xludf.DUMMYFUNCTION("""COMPUTED_VALUE"""),45578)</f>
        <v>45578</v>
      </c>
      <c r="J4999" s="143" t="s">
        <v>17229</v>
      </c>
      <c r="K4999" s="80" t="s">
        <v>17230</v>
      </c>
      <c r="L4999" s="30">
        <v>984395217</v>
      </c>
      <c r="M4999" s="80" t="s">
        <v>5518</v>
      </c>
      <c r="N4999" s="80" t="s">
        <v>12477</v>
      </c>
      <c r="O4999" s="80" t="s">
        <v>17231</v>
      </c>
      <c r="P4999" s="80" t="s">
        <v>7743</v>
      </c>
      <c r="Q4999" s="20">
        <v>3768</v>
      </c>
      <c r="R4999" s="80" t="s">
        <v>36</v>
      </c>
      <c r="S4999" s="95">
        <v>4000</v>
      </c>
      <c r="T4999" s="148">
        <v>45554</v>
      </c>
      <c r="U4999" s="77"/>
      <c r="V4999" s="78"/>
      <c r="W4999" s="85" t="s">
        <v>17232</v>
      </c>
      <c r="X4999" s="80"/>
      <c r="Y4999" s="22">
        <v>-232</v>
      </c>
      <c r="Z4999" s="80" t="s">
        <v>50</v>
      </c>
      <c r="AA4999" s="82" t="s">
        <v>14723</v>
      </c>
      <c r="AB4999" s="80"/>
      <c r="AC4999" s="80" t="s">
        <v>53</v>
      </c>
      <c r="AD4999" s="80" t="s">
        <v>138</v>
      </c>
      <c r="AE4999" s="83">
        <v>450</v>
      </c>
      <c r="AF4999" s="17">
        <v>45562</v>
      </c>
      <c r="AG4999" s="80" t="s">
        <v>7078</v>
      </c>
      <c r="AH4999" s="80"/>
      <c r="AI4999" s="147"/>
      <c r="AJ4999" s="80"/>
      <c r="AK4999" s="80"/>
      <c r="AL4999" s="35"/>
      <c r="AM4999" s="35"/>
      <c r="AN4999" s="35"/>
      <c r="AO4999" s="35"/>
      <c r="AP4999" s="35"/>
    </row>
    <row r="5000" spans="1:42" x14ac:dyDescent="0.2">
      <c r="A5000" s="126">
        <v>45555.513865127316</v>
      </c>
      <c r="B5000" s="137" t="s">
        <v>37</v>
      </c>
      <c r="C5000" s="41" t="s">
        <v>118</v>
      </c>
      <c r="D5000" s="80" t="s">
        <v>36</v>
      </c>
      <c r="E5000" s="80" t="s">
        <v>139</v>
      </c>
      <c r="F5000" s="80" t="s">
        <v>36</v>
      </c>
      <c r="G5000" s="80" t="s">
        <v>41</v>
      </c>
      <c r="H5000" s="80" t="s">
        <v>13186</v>
      </c>
      <c r="I5000" s="17">
        <f ca="1">IFERROR(__xludf.DUMMYFUNCTION("""COMPUTED_VALUE"""),45561)</f>
        <v>45561</v>
      </c>
      <c r="J5000" s="143" t="s">
        <v>16660</v>
      </c>
      <c r="K5000" s="80" t="s">
        <v>16661</v>
      </c>
      <c r="L5000" s="30">
        <v>327352767</v>
      </c>
      <c r="M5000" s="80" t="s">
        <v>12529</v>
      </c>
      <c r="N5000" s="80" t="s">
        <v>13566</v>
      </c>
      <c r="O5000" s="80" t="s">
        <v>16662</v>
      </c>
      <c r="P5000" s="144" t="s">
        <v>16663</v>
      </c>
      <c r="Q5000" s="20">
        <v>15936</v>
      </c>
      <c r="R5000" s="80" t="s">
        <v>36</v>
      </c>
      <c r="S5000" s="95">
        <f>200+1800+6000</f>
        <v>8000</v>
      </c>
      <c r="T5000" s="83" t="s">
        <v>17233</v>
      </c>
      <c r="U5000" s="95">
        <v>7936</v>
      </c>
      <c r="V5000" s="148">
        <v>45611</v>
      </c>
      <c r="W5000" s="85" t="s">
        <v>17234</v>
      </c>
      <c r="X5000" s="80"/>
      <c r="Y5000" s="22">
        <v>0</v>
      </c>
      <c r="Z5000" s="80" t="s">
        <v>50</v>
      </c>
      <c r="AA5000" s="86" t="s">
        <v>14723</v>
      </c>
      <c r="AB5000" s="80"/>
      <c r="AC5000" s="80" t="s">
        <v>53</v>
      </c>
      <c r="AD5000" s="80" t="s">
        <v>138</v>
      </c>
      <c r="AE5000" s="80"/>
      <c r="AF5000" s="17">
        <v>45561</v>
      </c>
      <c r="AG5000" s="80" t="s">
        <v>863</v>
      </c>
      <c r="AH5000" s="80"/>
      <c r="AI5000" s="147"/>
      <c r="AJ5000" s="80"/>
      <c r="AK5000" s="80"/>
      <c r="AL5000" s="35"/>
      <c r="AM5000" s="35"/>
      <c r="AN5000" s="35"/>
      <c r="AO5000" s="35"/>
      <c r="AP5000" s="35"/>
    </row>
    <row r="5001" spans="1:42" x14ac:dyDescent="0.2">
      <c r="A5001" s="126">
        <v>45556.883001979164</v>
      </c>
      <c r="B5001" s="137" t="s">
        <v>37</v>
      </c>
      <c r="C5001" s="41" t="s">
        <v>118</v>
      </c>
      <c r="D5001" s="80" t="s">
        <v>36</v>
      </c>
      <c r="E5001" s="80" t="s">
        <v>77</v>
      </c>
      <c r="F5001" s="80" t="s">
        <v>36</v>
      </c>
      <c r="G5001" s="80" t="s">
        <v>41</v>
      </c>
      <c r="H5001" s="80" t="s">
        <v>13178</v>
      </c>
      <c r="I5001" s="17">
        <f ca="1">IFERROR(__xludf.DUMMYFUNCTION("""COMPUTED_VALUE"""),45572)</f>
        <v>45572</v>
      </c>
      <c r="J5001" s="143" t="s">
        <v>17235</v>
      </c>
      <c r="K5001" s="80" t="s">
        <v>17236</v>
      </c>
      <c r="L5001" s="30">
        <v>384463358</v>
      </c>
      <c r="M5001" s="80" t="s">
        <v>5429</v>
      </c>
      <c r="N5001" s="80" t="s">
        <v>1384</v>
      </c>
      <c r="O5001" s="80" t="s">
        <v>17237</v>
      </c>
      <c r="P5001" s="80" t="s">
        <v>6368</v>
      </c>
      <c r="Q5001" s="20">
        <v>1968</v>
      </c>
      <c r="R5001" s="80" t="s">
        <v>36</v>
      </c>
      <c r="S5001" s="95">
        <v>2000</v>
      </c>
      <c r="T5001" s="148">
        <v>45556</v>
      </c>
      <c r="U5001" s="77"/>
      <c r="V5001" s="78"/>
      <c r="W5001" s="85" t="s">
        <v>17238</v>
      </c>
      <c r="X5001" s="80"/>
      <c r="Y5001" s="22">
        <v>-32</v>
      </c>
      <c r="Z5001" s="80" t="s">
        <v>50</v>
      </c>
      <c r="AA5001" s="82" t="s">
        <v>14723</v>
      </c>
      <c r="AB5001" s="80"/>
      <c r="AC5001" s="80" t="s">
        <v>53</v>
      </c>
      <c r="AD5001" s="80" t="s">
        <v>138</v>
      </c>
      <c r="AE5001" s="80" t="s">
        <v>17239</v>
      </c>
      <c r="AF5001" s="17">
        <v>45572</v>
      </c>
      <c r="AG5001" s="80" t="s">
        <v>7078</v>
      </c>
      <c r="AH5001" s="80"/>
      <c r="AI5001" s="147"/>
      <c r="AJ5001" s="80"/>
      <c r="AK5001" s="80"/>
      <c r="AL5001" s="35"/>
      <c r="AM5001" s="35"/>
      <c r="AN5001" s="35"/>
      <c r="AO5001" s="35"/>
      <c r="AP5001" s="35"/>
    </row>
    <row r="5002" spans="1:42" x14ac:dyDescent="0.2">
      <c r="A5002" s="126">
        <v>45557.399794155092</v>
      </c>
      <c r="B5002" s="137" t="s">
        <v>37</v>
      </c>
      <c r="C5002" s="41" t="s">
        <v>118</v>
      </c>
      <c r="D5002" s="80" t="s">
        <v>36</v>
      </c>
      <c r="E5002" s="80" t="s">
        <v>139</v>
      </c>
      <c r="F5002" s="80" t="s">
        <v>36</v>
      </c>
      <c r="G5002" s="80" t="s">
        <v>41</v>
      </c>
      <c r="H5002" s="80" t="s">
        <v>13315</v>
      </c>
      <c r="I5002" s="17">
        <f ca="1">IFERROR(__xludf.DUMMYFUNCTION("""COMPUTED_VALUE"""),45561)</f>
        <v>45561</v>
      </c>
      <c r="J5002" s="143" t="s">
        <v>14516</v>
      </c>
      <c r="K5002" s="80" t="s">
        <v>14517</v>
      </c>
      <c r="L5002" s="30">
        <v>349348036</v>
      </c>
      <c r="M5002" s="26" t="s">
        <v>3498</v>
      </c>
      <c r="N5002" s="80" t="s">
        <v>4402</v>
      </c>
      <c r="O5002" s="80" t="s">
        <v>4503</v>
      </c>
      <c r="P5002" s="80" t="s">
        <v>14518</v>
      </c>
      <c r="Q5002" s="20">
        <v>15936</v>
      </c>
      <c r="R5002" s="80" t="s">
        <v>36</v>
      </c>
      <c r="S5002" s="95">
        <v>5200</v>
      </c>
      <c r="T5002" s="148">
        <v>45555</v>
      </c>
      <c r="U5002" s="95">
        <v>10736</v>
      </c>
      <c r="V5002" s="148">
        <v>45597</v>
      </c>
      <c r="W5002" s="80" t="s">
        <v>14519</v>
      </c>
      <c r="X5002" s="80"/>
      <c r="Y5002" s="22">
        <v>0</v>
      </c>
      <c r="Z5002" s="80" t="s">
        <v>50</v>
      </c>
      <c r="AA5002" s="86" t="s">
        <v>14723</v>
      </c>
      <c r="AB5002" s="80"/>
      <c r="AC5002" s="80" t="s">
        <v>53</v>
      </c>
      <c r="AD5002" s="80" t="s">
        <v>54</v>
      </c>
      <c r="AE5002" s="80"/>
      <c r="AF5002" s="17">
        <v>45558</v>
      </c>
      <c r="AG5002" s="80"/>
      <c r="AH5002" s="80"/>
      <c r="AI5002" s="147"/>
      <c r="AJ5002" s="80"/>
      <c r="AK5002" s="80"/>
      <c r="AL5002" s="35"/>
      <c r="AM5002" s="35"/>
      <c r="AN5002" s="35"/>
      <c r="AO5002" s="35"/>
      <c r="AP5002" s="35"/>
    </row>
    <row r="5003" spans="1:42" x14ac:dyDescent="0.2">
      <c r="A5003" s="126">
        <v>45557.895486932874</v>
      </c>
      <c r="B5003" s="137" t="s">
        <v>37</v>
      </c>
      <c r="C5003" s="41" t="s">
        <v>118</v>
      </c>
      <c r="D5003" s="80" t="s">
        <v>36</v>
      </c>
      <c r="E5003" s="80" t="s">
        <v>77</v>
      </c>
      <c r="F5003" s="80" t="s">
        <v>36</v>
      </c>
      <c r="G5003" s="80" t="s">
        <v>41</v>
      </c>
      <c r="H5003" s="80" t="s">
        <v>13384</v>
      </c>
      <c r="I5003" s="17">
        <f ca="1">IFERROR(__xludf.DUMMYFUNCTION("""COMPUTED_VALUE"""),45569)</f>
        <v>45569</v>
      </c>
      <c r="J5003" s="143" t="s">
        <v>17240</v>
      </c>
      <c r="K5003" s="80" t="s">
        <v>17241</v>
      </c>
      <c r="L5003" s="30">
        <v>342825022</v>
      </c>
      <c r="M5003" s="80" t="s">
        <v>5558</v>
      </c>
      <c r="N5003" s="80" t="s">
        <v>850</v>
      </c>
      <c r="O5003" s="80" t="s">
        <v>4503</v>
      </c>
      <c r="P5003" s="80" t="s">
        <v>17242</v>
      </c>
      <c r="Q5003" s="20">
        <v>1968</v>
      </c>
      <c r="R5003" s="80" t="s">
        <v>36</v>
      </c>
      <c r="S5003" s="95">
        <v>1968</v>
      </c>
      <c r="T5003" s="148">
        <v>45557</v>
      </c>
      <c r="U5003" s="77"/>
      <c r="V5003" s="78"/>
      <c r="W5003" s="85" t="s">
        <v>17243</v>
      </c>
      <c r="X5003" s="80"/>
      <c r="Y5003" s="22">
        <v>0</v>
      </c>
      <c r="Z5003" s="80" t="s">
        <v>50</v>
      </c>
      <c r="AA5003" s="82" t="s">
        <v>14723</v>
      </c>
      <c r="AB5003" s="80"/>
      <c r="AC5003" s="80" t="s">
        <v>53</v>
      </c>
      <c r="AD5003" s="80" t="s">
        <v>138</v>
      </c>
      <c r="AE5003" s="80"/>
      <c r="AF5003" s="17">
        <v>45569</v>
      </c>
      <c r="AG5003" s="80" t="s">
        <v>7078</v>
      </c>
      <c r="AH5003" s="80"/>
      <c r="AI5003" s="147"/>
      <c r="AJ5003" s="80"/>
      <c r="AK5003" s="80"/>
      <c r="AL5003" s="35"/>
      <c r="AM5003" s="35"/>
      <c r="AN5003" s="35"/>
      <c r="AO5003" s="35"/>
      <c r="AP5003" s="35"/>
    </row>
    <row r="5004" spans="1:42" x14ac:dyDescent="0.2">
      <c r="A5004" s="126">
        <v>45558.696762835651</v>
      </c>
      <c r="B5004" s="137" t="s">
        <v>37</v>
      </c>
      <c r="C5004" s="41" t="s">
        <v>118</v>
      </c>
      <c r="D5004" s="80" t="s">
        <v>36</v>
      </c>
      <c r="E5004" s="80" t="s">
        <v>77</v>
      </c>
      <c r="F5004" s="80" t="s">
        <v>36</v>
      </c>
      <c r="G5004" s="80" t="s">
        <v>41</v>
      </c>
      <c r="H5004" s="80" t="s">
        <v>15855</v>
      </c>
      <c r="I5004" s="17">
        <f ca="1">IFERROR(__xludf.DUMMYFUNCTION("""COMPUTED_VALUE"""),45572)</f>
        <v>45572</v>
      </c>
      <c r="J5004" s="143" t="s">
        <v>17244</v>
      </c>
      <c r="K5004" s="80" t="s">
        <v>17245</v>
      </c>
      <c r="L5004" s="30">
        <v>937597265</v>
      </c>
      <c r="M5004" s="80" t="s">
        <v>12644</v>
      </c>
      <c r="N5004" s="80" t="s">
        <v>8725</v>
      </c>
      <c r="O5004" s="80" t="s">
        <v>17246</v>
      </c>
      <c r="P5004" s="80" t="s">
        <v>17247</v>
      </c>
      <c r="Q5004" s="20">
        <v>1968</v>
      </c>
      <c r="R5004" s="80" t="s">
        <v>36</v>
      </c>
      <c r="S5004" s="95">
        <f>200+1800</f>
        <v>2000</v>
      </c>
      <c r="T5004" s="83" t="s">
        <v>17248</v>
      </c>
      <c r="U5004" s="77"/>
      <c r="V5004" s="78"/>
      <c r="W5004" s="85" t="s">
        <v>17249</v>
      </c>
      <c r="X5004" s="80"/>
      <c r="Y5004" s="22">
        <v>-32</v>
      </c>
      <c r="Z5004" s="80" t="s">
        <v>50</v>
      </c>
      <c r="AA5004" s="86" t="s">
        <v>14723</v>
      </c>
      <c r="AB5004" s="80"/>
      <c r="AC5004" s="80" t="s">
        <v>53</v>
      </c>
      <c r="AD5004" s="80" t="s">
        <v>54</v>
      </c>
      <c r="AE5004" s="80"/>
      <c r="AF5004" s="17">
        <v>45572</v>
      </c>
      <c r="AG5004" s="80" t="s">
        <v>7078</v>
      </c>
      <c r="AH5004" s="80"/>
      <c r="AI5004" s="147"/>
      <c r="AJ5004" s="80"/>
      <c r="AK5004" s="80"/>
      <c r="AL5004" s="35"/>
      <c r="AM5004" s="35"/>
      <c r="AN5004" s="35"/>
      <c r="AO5004" s="35"/>
      <c r="AP5004" s="35"/>
    </row>
    <row r="5005" spans="1:42" x14ac:dyDescent="0.2">
      <c r="A5005" s="126">
        <v>45558.939910729168</v>
      </c>
      <c r="B5005" s="137" t="s">
        <v>37</v>
      </c>
      <c r="C5005" s="41" t="s">
        <v>118</v>
      </c>
      <c r="D5005" s="80" t="s">
        <v>36</v>
      </c>
      <c r="E5005" s="80" t="s">
        <v>56</v>
      </c>
      <c r="F5005" s="80" t="s">
        <v>36</v>
      </c>
      <c r="G5005" s="80" t="s">
        <v>41</v>
      </c>
      <c r="H5005" s="80" t="s">
        <v>13480</v>
      </c>
      <c r="I5005" s="17">
        <f ca="1">IFERROR(__xludf.DUMMYFUNCTION("""COMPUTED_VALUE"""),45564)</f>
        <v>45564</v>
      </c>
      <c r="J5005" s="143" t="s">
        <v>17250</v>
      </c>
      <c r="K5005" s="80" t="s">
        <v>17251</v>
      </c>
      <c r="L5005" s="30">
        <v>337905543</v>
      </c>
      <c r="M5005" s="80" t="s">
        <v>12720</v>
      </c>
      <c r="N5005" s="80" t="s">
        <v>15408</v>
      </c>
      <c r="O5005" s="80" t="s">
        <v>17252</v>
      </c>
      <c r="P5005" s="80" t="s">
        <v>17253</v>
      </c>
      <c r="Q5005" s="20">
        <v>9317</v>
      </c>
      <c r="R5005" s="80" t="s">
        <v>70</v>
      </c>
      <c r="S5005" s="95">
        <f>100+100+1800</f>
        <v>2000</v>
      </c>
      <c r="T5005" s="83" t="s">
        <v>17254</v>
      </c>
      <c r="U5005" s="95">
        <f>7000+317</f>
        <v>7317</v>
      </c>
      <c r="V5005" s="83" t="s">
        <v>17255</v>
      </c>
      <c r="W5005" s="85" t="s">
        <v>17256</v>
      </c>
      <c r="X5005" s="80"/>
      <c r="Y5005" s="22">
        <v>0</v>
      </c>
      <c r="Z5005" s="80" t="s">
        <v>50</v>
      </c>
      <c r="AA5005" s="82" t="s">
        <v>14723</v>
      </c>
      <c r="AB5005" s="80"/>
      <c r="AC5005" s="80" t="s">
        <v>53</v>
      </c>
      <c r="AD5005" s="80" t="s">
        <v>54</v>
      </c>
      <c r="AE5005" s="83">
        <v>0</v>
      </c>
      <c r="AF5005" s="17">
        <v>45561</v>
      </c>
      <c r="AG5005" s="80" t="s">
        <v>7078</v>
      </c>
      <c r="AH5005" s="80"/>
      <c r="AI5005" s="147"/>
      <c r="AJ5005" s="80"/>
      <c r="AK5005" s="80"/>
      <c r="AL5005" s="35"/>
      <c r="AM5005" s="35"/>
      <c r="AN5005" s="35"/>
      <c r="AO5005" s="35"/>
      <c r="AP5005" s="35"/>
    </row>
    <row r="5006" spans="1:42" x14ac:dyDescent="0.2">
      <c r="A5006" s="126">
        <v>45558.950145173614</v>
      </c>
      <c r="B5006" s="137" t="s">
        <v>37</v>
      </c>
      <c r="C5006" s="41" t="s">
        <v>118</v>
      </c>
      <c r="D5006" s="80" t="s">
        <v>36</v>
      </c>
      <c r="E5006" s="80" t="s">
        <v>139</v>
      </c>
      <c r="F5006" s="80" t="s">
        <v>36</v>
      </c>
      <c r="G5006" s="80" t="s">
        <v>41</v>
      </c>
      <c r="H5006" s="80" t="s">
        <v>15199</v>
      </c>
      <c r="I5006" s="17">
        <f ca="1">IFERROR(__xludf.DUMMYFUNCTION("""COMPUTED_VALUE"""),45579)</f>
        <v>45579</v>
      </c>
      <c r="J5006" s="143" t="s">
        <v>17257</v>
      </c>
      <c r="K5006" s="80" t="s">
        <v>17258</v>
      </c>
      <c r="L5006" s="30">
        <v>944740906</v>
      </c>
      <c r="M5006" s="80" t="s">
        <v>12720</v>
      </c>
      <c r="N5006" s="80" t="s">
        <v>11095</v>
      </c>
      <c r="O5006" s="80" t="s">
        <v>17259</v>
      </c>
      <c r="P5006" s="80" t="s">
        <v>17260</v>
      </c>
      <c r="Q5006" s="20">
        <v>15936</v>
      </c>
      <c r="R5006" s="80" t="s">
        <v>70</v>
      </c>
      <c r="S5006" s="95">
        <f>200+1800</f>
        <v>2000</v>
      </c>
      <c r="T5006" s="83" t="s">
        <v>17261</v>
      </c>
      <c r="U5006" s="95">
        <v>13836</v>
      </c>
      <c r="V5006" s="148">
        <v>45597</v>
      </c>
      <c r="W5006" s="85" t="s">
        <v>17262</v>
      </c>
      <c r="X5006" s="80"/>
      <c r="Y5006" s="22">
        <v>100</v>
      </c>
      <c r="Z5006" s="80" t="s">
        <v>50</v>
      </c>
      <c r="AA5006" s="86" t="s">
        <v>14723</v>
      </c>
      <c r="AB5006" s="80"/>
      <c r="AC5006" s="80" t="s">
        <v>53</v>
      </c>
      <c r="AD5006" s="80" t="s">
        <v>138</v>
      </c>
      <c r="AE5006" s="83">
        <v>0</v>
      </c>
      <c r="AF5006" s="43">
        <v>45579</v>
      </c>
      <c r="AG5006" s="80"/>
      <c r="AH5006" s="80"/>
      <c r="AI5006" s="147"/>
      <c r="AJ5006" s="80"/>
      <c r="AK5006" s="80"/>
      <c r="AL5006" s="35"/>
      <c r="AM5006" s="35"/>
      <c r="AN5006" s="35"/>
      <c r="AO5006" s="35"/>
      <c r="AP5006" s="35"/>
    </row>
    <row r="5007" spans="1:42" x14ac:dyDescent="0.2">
      <c r="A5007" s="126">
        <v>45558.974170624999</v>
      </c>
      <c r="B5007" s="137" t="s">
        <v>37</v>
      </c>
      <c r="C5007" s="41" t="s">
        <v>118</v>
      </c>
      <c r="D5007" s="80" t="s">
        <v>36</v>
      </c>
      <c r="E5007" s="80" t="s">
        <v>56</v>
      </c>
      <c r="F5007" s="80" t="s">
        <v>36</v>
      </c>
      <c r="G5007" s="80" t="s">
        <v>41</v>
      </c>
      <c r="H5007" s="80" t="s">
        <v>13424</v>
      </c>
      <c r="I5007" s="17">
        <f ca="1">IFERROR(__xludf.DUMMYFUNCTION("""COMPUTED_VALUE"""),45572)</f>
        <v>45572</v>
      </c>
      <c r="J5007" s="143" t="s">
        <v>17263</v>
      </c>
      <c r="K5007" s="80" t="s">
        <v>17264</v>
      </c>
      <c r="L5007" s="30">
        <v>986921306</v>
      </c>
      <c r="M5007" s="80" t="s">
        <v>910</v>
      </c>
      <c r="N5007" s="80" t="s">
        <v>3525</v>
      </c>
      <c r="O5007" s="80" t="s">
        <v>91</v>
      </c>
      <c r="P5007" s="80" t="s">
        <v>12578</v>
      </c>
      <c r="Q5007" s="20">
        <v>9317</v>
      </c>
      <c r="R5007" s="80" t="s">
        <v>36</v>
      </c>
      <c r="S5007" s="95">
        <v>2000</v>
      </c>
      <c r="T5007" s="148">
        <v>45557</v>
      </c>
      <c r="U5007" s="95">
        <v>7317</v>
      </c>
      <c r="V5007" s="148">
        <v>45598</v>
      </c>
      <c r="W5007" s="85" t="s">
        <v>16728</v>
      </c>
      <c r="X5007" s="80"/>
      <c r="Y5007" s="22">
        <v>0</v>
      </c>
      <c r="Z5007" s="80" t="s">
        <v>50</v>
      </c>
      <c r="AA5007" s="82" t="s">
        <v>14723</v>
      </c>
      <c r="AB5007" s="80"/>
      <c r="AC5007" s="80" t="s">
        <v>53</v>
      </c>
      <c r="AD5007" s="80" t="s">
        <v>138</v>
      </c>
      <c r="AE5007" s="80"/>
      <c r="AF5007" s="17">
        <v>45572</v>
      </c>
      <c r="AG5007" s="80" t="s">
        <v>13430</v>
      </c>
      <c r="AH5007" s="80"/>
      <c r="AI5007" s="147"/>
      <c r="AJ5007" s="80"/>
      <c r="AK5007" s="80"/>
      <c r="AL5007" s="35"/>
      <c r="AM5007" s="35"/>
      <c r="AN5007" s="35"/>
      <c r="AO5007" s="35"/>
      <c r="AP5007" s="35"/>
    </row>
    <row r="5008" spans="1:42" x14ac:dyDescent="0.2">
      <c r="A5008" s="126">
        <v>45559.693530081015</v>
      </c>
      <c r="B5008" s="137" t="s">
        <v>37</v>
      </c>
      <c r="C5008" s="41" t="s">
        <v>118</v>
      </c>
      <c r="D5008" s="80" t="s">
        <v>36</v>
      </c>
      <c r="E5008" s="80" t="s">
        <v>139</v>
      </c>
      <c r="F5008" s="80" t="s">
        <v>36</v>
      </c>
      <c r="G5008" s="80" t="s">
        <v>41</v>
      </c>
      <c r="H5008" s="80" t="s">
        <v>13301</v>
      </c>
      <c r="I5008" s="17">
        <f ca="1">IFERROR(__xludf.DUMMYFUNCTION("""COMPUTED_VALUE"""),45566)</f>
        <v>45566</v>
      </c>
      <c r="J5008" s="143" t="s">
        <v>16635</v>
      </c>
      <c r="K5008" s="80" t="s">
        <v>16636</v>
      </c>
      <c r="L5008" s="30">
        <v>823685789</v>
      </c>
      <c r="M5008" s="26" t="s">
        <v>3498</v>
      </c>
      <c r="N5008" s="80" t="s">
        <v>4402</v>
      </c>
      <c r="O5008" s="80" t="s">
        <v>4503</v>
      </c>
      <c r="P5008" s="80" t="s">
        <v>3056</v>
      </c>
      <c r="Q5008" s="20">
        <v>15936</v>
      </c>
      <c r="R5008" s="80" t="s">
        <v>1106</v>
      </c>
      <c r="S5008" s="95">
        <f t="shared" ref="S5008:S5009" si="116">200+5000</f>
        <v>5200</v>
      </c>
      <c r="T5008" s="83" t="s">
        <v>15582</v>
      </c>
      <c r="U5008" s="95">
        <v>10586</v>
      </c>
      <c r="V5008" s="148">
        <v>45601</v>
      </c>
      <c r="W5008" s="85" t="s">
        <v>16637</v>
      </c>
      <c r="X5008" s="80"/>
      <c r="Y5008" s="22">
        <v>150</v>
      </c>
      <c r="Z5008" s="80" t="s">
        <v>50</v>
      </c>
      <c r="AA5008" s="86" t="s">
        <v>14723</v>
      </c>
      <c r="AB5008" s="80"/>
      <c r="AC5008" s="80" t="s">
        <v>53</v>
      </c>
      <c r="AD5008" s="80" t="s">
        <v>138</v>
      </c>
      <c r="AE5008" s="80"/>
      <c r="AF5008" s="17">
        <v>45566</v>
      </c>
      <c r="AG5008" s="80"/>
      <c r="AH5008" s="80"/>
      <c r="AI5008" s="147"/>
      <c r="AJ5008" s="80"/>
      <c r="AK5008" s="80"/>
      <c r="AL5008" s="35"/>
      <c r="AM5008" s="35"/>
      <c r="AN5008" s="35"/>
      <c r="AO5008" s="35"/>
      <c r="AP5008" s="35"/>
    </row>
    <row r="5009" spans="1:42" x14ac:dyDescent="0.2">
      <c r="A5009" s="126">
        <v>45559.695794386571</v>
      </c>
      <c r="B5009" s="137" t="s">
        <v>37</v>
      </c>
      <c r="C5009" s="41" t="s">
        <v>118</v>
      </c>
      <c r="D5009" s="80" t="s">
        <v>36</v>
      </c>
      <c r="E5009" s="80" t="s">
        <v>139</v>
      </c>
      <c r="F5009" s="80" t="s">
        <v>36</v>
      </c>
      <c r="G5009" s="80" t="s">
        <v>41</v>
      </c>
      <c r="H5009" s="80" t="s">
        <v>13301</v>
      </c>
      <c r="I5009" s="17">
        <f ca="1">IFERROR(__xludf.DUMMYFUNCTION("""COMPUTED_VALUE"""),45566)</f>
        <v>45566</v>
      </c>
      <c r="J5009" s="143" t="s">
        <v>14458</v>
      </c>
      <c r="K5009" s="80" t="s">
        <v>17265</v>
      </c>
      <c r="L5009" s="30">
        <v>337821606</v>
      </c>
      <c r="M5009" s="80" t="s">
        <v>123</v>
      </c>
      <c r="N5009" s="80" t="s">
        <v>2847</v>
      </c>
      <c r="O5009" s="80" t="s">
        <v>4503</v>
      </c>
      <c r="P5009" s="80" t="s">
        <v>5794</v>
      </c>
      <c r="Q5009" s="20">
        <v>15936</v>
      </c>
      <c r="R5009" s="80" t="s">
        <v>36</v>
      </c>
      <c r="S5009" s="95">
        <f t="shared" si="116"/>
        <v>5200</v>
      </c>
      <c r="T5009" s="83" t="s">
        <v>14460</v>
      </c>
      <c r="U5009" s="95">
        <v>10736</v>
      </c>
      <c r="V5009" s="148">
        <v>45603</v>
      </c>
      <c r="W5009" s="85" t="s">
        <v>14461</v>
      </c>
      <c r="X5009" s="80"/>
      <c r="Y5009" s="22">
        <v>0</v>
      </c>
      <c r="Z5009" s="80" t="s">
        <v>50</v>
      </c>
      <c r="AA5009" s="82" t="s">
        <v>14723</v>
      </c>
      <c r="AB5009" s="80"/>
      <c r="AC5009" s="80" t="s">
        <v>53</v>
      </c>
      <c r="AD5009" s="80" t="s">
        <v>138</v>
      </c>
      <c r="AE5009" s="80"/>
      <c r="AF5009" s="17">
        <v>45566</v>
      </c>
      <c r="AG5009" s="143" t="s">
        <v>14462</v>
      </c>
      <c r="AH5009" s="80"/>
      <c r="AI5009" s="147"/>
      <c r="AJ5009" s="80"/>
      <c r="AK5009" s="80"/>
      <c r="AL5009" s="35"/>
      <c r="AM5009" s="35"/>
      <c r="AN5009" s="35"/>
      <c r="AO5009" s="35"/>
      <c r="AP5009" s="35"/>
    </row>
    <row r="5010" spans="1:42" x14ac:dyDescent="0.2">
      <c r="A5010" s="126">
        <v>45559.858038969905</v>
      </c>
      <c r="B5010" s="137" t="s">
        <v>37</v>
      </c>
      <c r="C5010" s="41" t="s">
        <v>118</v>
      </c>
      <c r="D5010" s="80" t="s">
        <v>36</v>
      </c>
      <c r="E5010" s="80" t="s">
        <v>119</v>
      </c>
      <c r="F5010" s="80" t="s">
        <v>36</v>
      </c>
      <c r="G5010" s="26" t="s">
        <v>108</v>
      </c>
      <c r="H5010" s="80" t="s">
        <v>17266</v>
      </c>
      <c r="I5010" s="17" t="str">
        <f ca="1">IFERROR(__xludf.DUMMYFUNCTION("""COMPUTED_VALUE""")," ")</f>
        <v xml:space="preserve"> </v>
      </c>
      <c r="J5010" s="143" t="s">
        <v>17267</v>
      </c>
      <c r="K5010" s="80" t="s">
        <v>17268</v>
      </c>
      <c r="L5010" s="30">
        <v>962872855</v>
      </c>
      <c r="M5010" s="80" t="s">
        <v>12644</v>
      </c>
      <c r="N5010" s="80" t="s">
        <v>260</v>
      </c>
      <c r="O5010" s="80" t="s">
        <v>17269</v>
      </c>
      <c r="P5010" s="80" t="s">
        <v>13226</v>
      </c>
      <c r="Q5010" s="20">
        <v>13968</v>
      </c>
      <c r="R5010" s="80" t="s">
        <v>36</v>
      </c>
      <c r="S5010" s="95">
        <f>200+3600</f>
        <v>3800</v>
      </c>
      <c r="T5010" s="83" t="s">
        <v>17270</v>
      </c>
      <c r="U5010" s="95">
        <v>9968</v>
      </c>
      <c r="V5010" s="148">
        <v>45608</v>
      </c>
      <c r="W5010" s="85" t="s">
        <v>17271</v>
      </c>
      <c r="X5010" s="80"/>
      <c r="Y5010" s="22">
        <v>200</v>
      </c>
      <c r="Z5010" s="80" t="s">
        <v>50</v>
      </c>
      <c r="AA5010" s="86" t="s">
        <v>14723</v>
      </c>
      <c r="AB5010" s="80"/>
      <c r="AC5010" s="80" t="s">
        <v>53</v>
      </c>
      <c r="AD5010" s="80" t="s">
        <v>138</v>
      </c>
      <c r="AE5010" s="80" t="s">
        <v>17272</v>
      </c>
      <c r="AF5010" s="17">
        <v>45595</v>
      </c>
      <c r="AG5010" s="80"/>
      <c r="AH5010" s="80"/>
      <c r="AI5010" s="147"/>
      <c r="AJ5010" s="80"/>
      <c r="AK5010" s="80"/>
      <c r="AL5010" s="35"/>
      <c r="AM5010" s="35"/>
      <c r="AN5010" s="35"/>
      <c r="AO5010" s="35"/>
      <c r="AP5010" s="35"/>
    </row>
    <row r="5011" spans="1:42" x14ac:dyDescent="0.2">
      <c r="A5011" s="126">
        <v>45559.918094745371</v>
      </c>
      <c r="B5011" s="137" t="s">
        <v>37</v>
      </c>
      <c r="C5011" s="41" t="s">
        <v>118</v>
      </c>
      <c r="D5011" s="80" t="s">
        <v>36</v>
      </c>
      <c r="E5011" s="80" t="s">
        <v>139</v>
      </c>
      <c r="F5011" s="80" t="s">
        <v>36</v>
      </c>
      <c r="G5011" s="80" t="s">
        <v>41</v>
      </c>
      <c r="H5011" s="80" t="s">
        <v>15199</v>
      </c>
      <c r="I5011" s="17">
        <f ca="1">IFERROR(__xludf.DUMMYFUNCTION("""COMPUTED_VALUE"""),45579)</f>
        <v>45579</v>
      </c>
      <c r="J5011" s="143" t="s">
        <v>17273</v>
      </c>
      <c r="K5011" s="80" t="s">
        <v>17274</v>
      </c>
      <c r="L5011" s="30">
        <v>355138471</v>
      </c>
      <c r="M5011" s="80" t="s">
        <v>12720</v>
      </c>
      <c r="N5011" s="80" t="s">
        <v>1073</v>
      </c>
      <c r="O5011" s="80" t="s">
        <v>17275</v>
      </c>
      <c r="P5011" s="80" t="s">
        <v>17276</v>
      </c>
      <c r="Q5011" s="20">
        <v>15936</v>
      </c>
      <c r="R5011" s="80" t="s">
        <v>70</v>
      </c>
      <c r="S5011" s="95">
        <f>200+1800</f>
        <v>2000</v>
      </c>
      <c r="T5011" s="83" t="s">
        <v>15582</v>
      </c>
      <c r="U5011" s="95">
        <v>13836</v>
      </c>
      <c r="V5011" s="148">
        <v>45609</v>
      </c>
      <c r="W5011" s="85" t="s">
        <v>17277</v>
      </c>
      <c r="X5011" s="80"/>
      <c r="Y5011" s="22">
        <v>100</v>
      </c>
      <c r="Z5011" s="80" t="s">
        <v>50</v>
      </c>
      <c r="AA5011" s="82" t="s">
        <v>14723</v>
      </c>
      <c r="AB5011" s="80"/>
      <c r="AC5011" s="80" t="s">
        <v>53</v>
      </c>
      <c r="AD5011" s="80" t="s">
        <v>138</v>
      </c>
      <c r="AE5011" s="83">
        <v>0</v>
      </c>
      <c r="AF5011" s="43">
        <v>45579</v>
      </c>
      <c r="AG5011" s="80"/>
      <c r="AH5011" s="80"/>
      <c r="AI5011" s="147"/>
      <c r="AJ5011" s="80"/>
      <c r="AK5011" s="80"/>
      <c r="AL5011" s="35"/>
      <c r="AM5011" s="35"/>
      <c r="AN5011" s="35"/>
      <c r="AO5011" s="35"/>
      <c r="AP5011" s="35"/>
    </row>
    <row r="5012" spans="1:42" x14ac:dyDescent="0.2">
      <c r="A5012" s="126">
        <v>45560.398736319446</v>
      </c>
      <c r="B5012" s="137" t="s">
        <v>37</v>
      </c>
      <c r="C5012" s="41" t="s">
        <v>118</v>
      </c>
      <c r="D5012" s="80" t="s">
        <v>36</v>
      </c>
      <c r="E5012" s="80" t="s">
        <v>77</v>
      </c>
      <c r="F5012" s="80" t="s">
        <v>36</v>
      </c>
      <c r="G5012" s="80" t="s">
        <v>41</v>
      </c>
      <c r="H5012" s="80" t="s">
        <v>13254</v>
      </c>
      <c r="I5012" s="17">
        <f ca="1">IFERROR(__xludf.DUMMYFUNCTION("""COMPUTED_VALUE"""),45568)</f>
        <v>45568</v>
      </c>
      <c r="J5012" s="143" t="s">
        <v>17278</v>
      </c>
      <c r="K5012" s="80" t="s">
        <v>17279</v>
      </c>
      <c r="L5012" s="30">
        <v>981806414</v>
      </c>
      <c r="M5012" s="80" t="s">
        <v>5558</v>
      </c>
      <c r="N5012" s="80" t="s">
        <v>850</v>
      </c>
      <c r="O5012" s="80" t="s">
        <v>4503</v>
      </c>
      <c r="P5012" s="80" t="s">
        <v>17280</v>
      </c>
      <c r="Q5012" s="20">
        <v>1968</v>
      </c>
      <c r="R5012" s="80" t="s">
        <v>36</v>
      </c>
      <c r="S5012" s="95">
        <f>200+5000</f>
        <v>5200</v>
      </c>
      <c r="T5012" s="83" t="s">
        <v>17281</v>
      </c>
      <c r="U5012" s="77"/>
      <c r="V5012" s="78"/>
      <c r="W5012" s="85" t="s">
        <v>17282</v>
      </c>
      <c r="X5012" s="80"/>
      <c r="Y5012" s="22">
        <v>-3232</v>
      </c>
      <c r="Z5012" s="80" t="s">
        <v>50</v>
      </c>
      <c r="AA5012" s="86" t="s">
        <v>14723</v>
      </c>
      <c r="AB5012" s="80"/>
      <c r="AC5012" s="80" t="s">
        <v>53</v>
      </c>
      <c r="AD5012" s="80" t="s">
        <v>138</v>
      </c>
      <c r="AE5012" s="80"/>
      <c r="AF5012" s="17">
        <v>45562</v>
      </c>
      <c r="AG5012" s="80" t="s">
        <v>7078</v>
      </c>
      <c r="AH5012" s="80"/>
      <c r="AI5012" s="147"/>
      <c r="AJ5012" s="80"/>
      <c r="AK5012" s="80"/>
      <c r="AL5012" s="35"/>
      <c r="AM5012" s="35"/>
      <c r="AN5012" s="35"/>
      <c r="AO5012" s="35"/>
      <c r="AP5012" s="35"/>
    </row>
    <row r="5013" spans="1:42" x14ac:dyDescent="0.2">
      <c r="A5013" s="126">
        <v>45560.500943865743</v>
      </c>
      <c r="B5013" s="137" t="s">
        <v>37</v>
      </c>
      <c r="C5013" s="41" t="s">
        <v>118</v>
      </c>
      <c r="D5013" s="80" t="s">
        <v>36</v>
      </c>
      <c r="E5013" s="80" t="s">
        <v>77</v>
      </c>
      <c r="F5013" s="80" t="s">
        <v>36</v>
      </c>
      <c r="G5013" s="80" t="s">
        <v>41</v>
      </c>
      <c r="H5013" s="80" t="s">
        <v>13178</v>
      </c>
      <c r="I5013" s="17">
        <f ca="1">IFERROR(__xludf.DUMMYFUNCTION("""COMPUTED_VALUE"""),45572)</f>
        <v>45572</v>
      </c>
      <c r="J5013" s="143" t="s">
        <v>17283</v>
      </c>
      <c r="K5013" s="80" t="s">
        <v>17284</v>
      </c>
      <c r="L5013" s="30">
        <v>984711505</v>
      </c>
      <c r="M5013" s="80" t="s">
        <v>12529</v>
      </c>
      <c r="N5013" s="80" t="s">
        <v>13566</v>
      </c>
      <c r="O5013" s="80" t="s">
        <v>17285</v>
      </c>
      <c r="P5013" s="80" t="s">
        <v>17286</v>
      </c>
      <c r="Q5013" s="20">
        <v>1968</v>
      </c>
      <c r="R5013" s="80" t="s">
        <v>36</v>
      </c>
      <c r="S5013" s="95">
        <f t="shared" ref="S5013:S5014" si="117">200+1800</f>
        <v>2000</v>
      </c>
      <c r="T5013" s="83" t="s">
        <v>17287</v>
      </c>
      <c r="U5013" s="77"/>
      <c r="V5013" s="78"/>
      <c r="W5013" s="85" t="s">
        <v>17288</v>
      </c>
      <c r="X5013" s="80"/>
      <c r="Y5013" s="22">
        <v>-32</v>
      </c>
      <c r="Z5013" s="80" t="s">
        <v>50</v>
      </c>
      <c r="AA5013" s="82" t="s">
        <v>14723</v>
      </c>
      <c r="AB5013" s="80"/>
      <c r="AC5013" s="80" t="s">
        <v>53</v>
      </c>
      <c r="AD5013" s="80" t="s">
        <v>138</v>
      </c>
      <c r="AE5013" s="80"/>
      <c r="AF5013" s="17">
        <v>45572</v>
      </c>
      <c r="AG5013" s="80" t="s">
        <v>17289</v>
      </c>
      <c r="AH5013" s="80"/>
      <c r="AI5013" s="147"/>
      <c r="AJ5013" s="80"/>
      <c r="AK5013" s="80"/>
      <c r="AL5013" s="35"/>
      <c r="AM5013" s="35"/>
      <c r="AN5013" s="35"/>
      <c r="AO5013" s="35"/>
      <c r="AP5013" s="35"/>
    </row>
    <row r="5014" spans="1:42" x14ac:dyDescent="0.2">
      <c r="A5014" s="126">
        <v>45560.639656516199</v>
      </c>
      <c r="B5014" s="137" t="s">
        <v>37</v>
      </c>
      <c r="C5014" s="41" t="s">
        <v>118</v>
      </c>
      <c r="D5014" s="80" t="s">
        <v>36</v>
      </c>
      <c r="E5014" s="80" t="s">
        <v>77</v>
      </c>
      <c r="F5014" s="80" t="s">
        <v>36</v>
      </c>
      <c r="G5014" s="80" t="s">
        <v>41</v>
      </c>
      <c r="H5014" s="80" t="s">
        <v>15199</v>
      </c>
      <c r="I5014" s="17">
        <f ca="1">IFERROR(__xludf.DUMMYFUNCTION("""COMPUTED_VALUE"""),45579)</f>
        <v>45579</v>
      </c>
      <c r="J5014" s="143" t="s">
        <v>17290</v>
      </c>
      <c r="K5014" s="80" t="s">
        <v>17291</v>
      </c>
      <c r="L5014" s="30">
        <v>986871715</v>
      </c>
      <c r="M5014" s="80" t="s">
        <v>12720</v>
      </c>
      <c r="N5014" s="80" t="s">
        <v>1073</v>
      </c>
      <c r="O5014" s="80" t="s">
        <v>17292</v>
      </c>
      <c r="P5014" s="80" t="s">
        <v>17293</v>
      </c>
      <c r="Q5014" s="20">
        <v>1968</v>
      </c>
      <c r="R5014" s="80" t="s">
        <v>70</v>
      </c>
      <c r="S5014" s="95">
        <f t="shared" si="117"/>
        <v>2000</v>
      </c>
      <c r="T5014" s="83" t="s">
        <v>15582</v>
      </c>
      <c r="U5014" s="77"/>
      <c r="V5014" s="78"/>
      <c r="W5014" s="85" t="s">
        <v>17294</v>
      </c>
      <c r="X5014" s="80"/>
      <c r="Y5014" s="22">
        <v>-32</v>
      </c>
      <c r="Z5014" s="80" t="s">
        <v>50</v>
      </c>
      <c r="AA5014" s="86" t="s">
        <v>14723</v>
      </c>
      <c r="AB5014" s="80"/>
      <c r="AC5014" s="80" t="s">
        <v>53</v>
      </c>
      <c r="AD5014" s="80" t="s">
        <v>138</v>
      </c>
      <c r="AE5014" s="83">
        <v>0</v>
      </c>
      <c r="AF5014" s="43">
        <v>45579</v>
      </c>
      <c r="AG5014" s="80" t="s">
        <v>7078</v>
      </c>
      <c r="AH5014" s="80"/>
      <c r="AI5014" s="147"/>
      <c r="AJ5014" s="80"/>
      <c r="AK5014" s="80"/>
      <c r="AL5014" s="35"/>
      <c r="AM5014" s="35"/>
      <c r="AN5014" s="35"/>
      <c r="AO5014" s="35"/>
      <c r="AP5014" s="35"/>
    </row>
    <row r="5015" spans="1:42" x14ac:dyDescent="0.2">
      <c r="A5015" s="126">
        <v>45561.490106238431</v>
      </c>
      <c r="B5015" s="137" t="s">
        <v>37</v>
      </c>
      <c r="C5015" s="41" t="s">
        <v>118</v>
      </c>
      <c r="D5015" s="80" t="s">
        <v>36</v>
      </c>
      <c r="E5015" s="80" t="s">
        <v>77</v>
      </c>
      <c r="F5015" s="80" t="s">
        <v>36</v>
      </c>
      <c r="G5015" s="80" t="s">
        <v>41</v>
      </c>
      <c r="H5015" s="80" t="s">
        <v>12416</v>
      </c>
      <c r="I5015" s="17">
        <f ca="1">IFERROR(__xludf.DUMMYFUNCTION("""COMPUTED_VALUE"""),45574)</f>
        <v>45574</v>
      </c>
      <c r="J5015" s="143" t="s">
        <v>17295</v>
      </c>
      <c r="K5015" s="80" t="s">
        <v>17296</v>
      </c>
      <c r="L5015" s="30">
        <v>817530633</v>
      </c>
      <c r="M5015" s="80" t="s">
        <v>12720</v>
      </c>
      <c r="N5015" s="80" t="s">
        <v>46</v>
      </c>
      <c r="O5015" s="80" t="s">
        <v>17297</v>
      </c>
      <c r="P5015" s="80" t="s">
        <v>17298</v>
      </c>
      <c r="Q5015" s="20">
        <v>1968</v>
      </c>
      <c r="R5015" s="80" t="s">
        <v>36</v>
      </c>
      <c r="S5015" s="95">
        <v>2000</v>
      </c>
      <c r="T5015" s="148">
        <v>45560</v>
      </c>
      <c r="U5015" s="77"/>
      <c r="V5015" s="78"/>
      <c r="W5015" s="85" t="s">
        <v>17299</v>
      </c>
      <c r="X5015" s="80"/>
      <c r="Y5015" s="22">
        <v>-32</v>
      </c>
      <c r="Z5015" s="80" t="s">
        <v>50</v>
      </c>
      <c r="AA5015" s="82" t="s">
        <v>14723</v>
      </c>
      <c r="AB5015" s="80"/>
      <c r="AC5015" s="80" t="s">
        <v>53</v>
      </c>
      <c r="AD5015" s="80" t="s">
        <v>138</v>
      </c>
      <c r="AE5015" s="83"/>
      <c r="AF5015" s="17">
        <v>45573</v>
      </c>
      <c r="AG5015" s="26" t="s">
        <v>7078</v>
      </c>
      <c r="AH5015" s="80"/>
      <c r="AI5015" s="147"/>
      <c r="AJ5015" s="80"/>
      <c r="AK5015" s="80"/>
      <c r="AL5015" s="35"/>
      <c r="AM5015" s="35"/>
      <c r="AN5015" s="35"/>
      <c r="AO5015" s="35"/>
      <c r="AP5015" s="35"/>
    </row>
    <row r="5016" spans="1:42" x14ac:dyDescent="0.2">
      <c r="A5016" s="126">
        <v>45561.742913495371</v>
      </c>
      <c r="B5016" s="137" t="s">
        <v>37</v>
      </c>
      <c r="C5016" s="41" t="s">
        <v>118</v>
      </c>
      <c r="D5016" s="80" t="s">
        <v>36</v>
      </c>
      <c r="E5016" s="80" t="s">
        <v>119</v>
      </c>
      <c r="F5016" s="80" t="s">
        <v>36</v>
      </c>
      <c r="G5016" s="80" t="s">
        <v>108</v>
      </c>
      <c r="H5016" s="80" t="s">
        <v>10144</v>
      </c>
      <c r="I5016" s="17">
        <f ca="1">IFERROR(__xludf.DUMMYFUNCTION("""COMPUTED_VALUE"""),45593)</f>
        <v>45593</v>
      </c>
      <c r="J5016" s="143" t="s">
        <v>17300</v>
      </c>
      <c r="K5016" s="80" t="s">
        <v>17301</v>
      </c>
      <c r="L5016" s="30">
        <v>866027918</v>
      </c>
      <c r="M5016" s="80" t="s">
        <v>12529</v>
      </c>
      <c r="N5016" s="80" t="s">
        <v>9750</v>
      </c>
      <c r="O5016" s="80" t="s">
        <v>17302</v>
      </c>
      <c r="P5016" s="80" t="s">
        <v>17303</v>
      </c>
      <c r="Q5016" s="20">
        <v>13968</v>
      </c>
      <c r="R5016" s="80" t="s">
        <v>36</v>
      </c>
      <c r="S5016" s="95">
        <f>200+3800</f>
        <v>4000</v>
      </c>
      <c r="T5016" s="83" t="s">
        <v>17304</v>
      </c>
      <c r="U5016" s="95">
        <v>9968</v>
      </c>
      <c r="V5016" s="148">
        <v>45614</v>
      </c>
      <c r="W5016" s="85" t="s">
        <v>17305</v>
      </c>
      <c r="X5016" s="80"/>
      <c r="Y5016" s="22">
        <v>0</v>
      </c>
      <c r="Z5016" s="80" t="s">
        <v>50</v>
      </c>
      <c r="AA5016" s="86" t="s">
        <v>14723</v>
      </c>
      <c r="AB5016" s="80"/>
      <c r="AC5016" s="80" t="s">
        <v>53</v>
      </c>
      <c r="AD5016" s="80" t="s">
        <v>138</v>
      </c>
      <c r="AE5016" s="83">
        <v>400</v>
      </c>
      <c r="AF5016" s="43">
        <v>45593</v>
      </c>
      <c r="AG5016" s="80" t="s">
        <v>14763</v>
      </c>
      <c r="AH5016" s="80"/>
      <c r="AI5016" s="147"/>
      <c r="AJ5016" s="80"/>
      <c r="AK5016" s="80"/>
      <c r="AL5016" s="35"/>
      <c r="AM5016" s="35"/>
      <c r="AN5016" s="35"/>
      <c r="AO5016" s="35"/>
      <c r="AP5016" s="35"/>
    </row>
    <row r="5017" spans="1:42" x14ac:dyDescent="0.2">
      <c r="A5017" s="126">
        <v>45561.874665173615</v>
      </c>
      <c r="B5017" s="137" t="s">
        <v>37</v>
      </c>
      <c r="C5017" s="41" t="s">
        <v>118</v>
      </c>
      <c r="D5017" s="80" t="s">
        <v>36</v>
      </c>
      <c r="E5017" s="80" t="s">
        <v>77</v>
      </c>
      <c r="F5017" s="80" t="s">
        <v>36</v>
      </c>
      <c r="G5017" s="80" t="s">
        <v>41</v>
      </c>
      <c r="H5017" s="80" t="s">
        <v>13301</v>
      </c>
      <c r="I5017" s="17">
        <f ca="1">IFERROR(__xludf.DUMMYFUNCTION("""COMPUTED_VALUE"""),45566)</f>
        <v>45566</v>
      </c>
      <c r="J5017" s="143" t="s">
        <v>17306</v>
      </c>
      <c r="K5017" s="80" t="s">
        <v>17307</v>
      </c>
      <c r="L5017" s="30">
        <v>375788289</v>
      </c>
      <c r="M5017" s="80" t="s">
        <v>123</v>
      </c>
      <c r="N5017" s="80" t="s">
        <v>2847</v>
      </c>
      <c r="O5017" s="80" t="s">
        <v>4503</v>
      </c>
      <c r="P5017" s="80" t="s">
        <v>3487</v>
      </c>
      <c r="Q5017" s="20">
        <v>1968</v>
      </c>
      <c r="R5017" s="80" t="s">
        <v>36</v>
      </c>
      <c r="S5017" s="95">
        <f>1950+50</f>
        <v>2000</v>
      </c>
      <c r="T5017" s="83" t="s">
        <v>15745</v>
      </c>
      <c r="U5017" s="77"/>
      <c r="V5017" s="78"/>
      <c r="W5017" s="85" t="s">
        <v>17308</v>
      </c>
      <c r="X5017" s="80"/>
      <c r="Y5017" s="22">
        <v>-32</v>
      </c>
      <c r="Z5017" s="80" t="s">
        <v>50</v>
      </c>
      <c r="AA5017" s="82" t="s">
        <v>14723</v>
      </c>
      <c r="AB5017" s="80"/>
      <c r="AC5017" s="80" t="s">
        <v>53</v>
      </c>
      <c r="AD5017" s="80" t="s">
        <v>138</v>
      </c>
      <c r="AE5017" s="80"/>
      <c r="AF5017" s="17">
        <v>45566</v>
      </c>
      <c r="AG5017" s="80" t="s">
        <v>7078</v>
      </c>
      <c r="AH5017" s="80"/>
      <c r="AI5017" s="147"/>
      <c r="AJ5017" s="80"/>
      <c r="AK5017" s="80"/>
      <c r="AL5017" s="35"/>
      <c r="AM5017" s="35"/>
      <c r="AN5017" s="35"/>
      <c r="AO5017" s="35"/>
      <c r="AP5017" s="35"/>
    </row>
    <row r="5018" spans="1:42" x14ac:dyDescent="0.2">
      <c r="A5018" s="126">
        <v>45562.923574560184</v>
      </c>
      <c r="B5018" s="137" t="s">
        <v>37</v>
      </c>
      <c r="C5018" s="41" t="s">
        <v>118</v>
      </c>
      <c r="D5018" s="80" t="s">
        <v>36</v>
      </c>
      <c r="E5018" s="80" t="s">
        <v>139</v>
      </c>
      <c r="F5018" s="80" t="s">
        <v>36</v>
      </c>
      <c r="G5018" s="80" t="s">
        <v>41</v>
      </c>
      <c r="H5018" s="80" t="s">
        <v>15855</v>
      </c>
      <c r="I5018" s="17">
        <f ca="1">IFERROR(__xludf.DUMMYFUNCTION("""COMPUTED_VALUE"""),45572)</f>
        <v>45572</v>
      </c>
      <c r="J5018" s="143" t="s">
        <v>16802</v>
      </c>
      <c r="K5018" s="80" t="s">
        <v>17309</v>
      </c>
      <c r="L5018" s="30">
        <v>919711765</v>
      </c>
      <c r="M5018" s="80" t="s">
        <v>5558</v>
      </c>
      <c r="N5018" s="80" t="s">
        <v>5277</v>
      </c>
      <c r="O5018" s="80" t="s">
        <v>4503</v>
      </c>
      <c r="P5018" s="80" t="s">
        <v>17310</v>
      </c>
      <c r="Q5018" s="20">
        <v>15936</v>
      </c>
      <c r="R5018" s="80" t="s">
        <v>36</v>
      </c>
      <c r="S5018" s="95">
        <f>200+1800</f>
        <v>2000</v>
      </c>
      <c r="T5018" s="83" t="s">
        <v>16805</v>
      </c>
      <c r="U5018" s="95">
        <v>13936</v>
      </c>
      <c r="V5018" s="148">
        <v>45600</v>
      </c>
      <c r="W5018" s="85" t="s">
        <v>16806</v>
      </c>
      <c r="X5018" s="80"/>
      <c r="Y5018" s="22">
        <v>0</v>
      </c>
      <c r="Z5018" s="80" t="s">
        <v>50</v>
      </c>
      <c r="AA5018" s="86" t="s">
        <v>14723</v>
      </c>
      <c r="AB5018" s="80"/>
      <c r="AC5018" s="80" t="s">
        <v>53</v>
      </c>
      <c r="AD5018" s="80" t="s">
        <v>54</v>
      </c>
      <c r="AE5018" s="80"/>
      <c r="AF5018" s="17">
        <v>45569</v>
      </c>
      <c r="AG5018" s="80"/>
      <c r="AH5018" s="80"/>
      <c r="AI5018" s="147"/>
      <c r="AJ5018" s="80"/>
      <c r="AK5018" s="80"/>
      <c r="AL5018" s="35"/>
      <c r="AM5018" s="35"/>
      <c r="AN5018" s="35"/>
      <c r="AO5018" s="35"/>
      <c r="AP5018" s="35"/>
    </row>
    <row r="5019" spans="1:42" x14ac:dyDescent="0.2">
      <c r="A5019" s="126">
        <v>45563.49492646991</v>
      </c>
      <c r="B5019" s="137" t="s">
        <v>37</v>
      </c>
      <c r="C5019" s="41" t="s">
        <v>118</v>
      </c>
      <c r="D5019" s="80" t="s">
        <v>36</v>
      </c>
      <c r="E5019" s="80" t="s">
        <v>39</v>
      </c>
      <c r="F5019" s="80" t="s">
        <v>36</v>
      </c>
      <c r="G5019" s="80" t="s">
        <v>41</v>
      </c>
      <c r="H5019" s="80" t="s">
        <v>13850</v>
      </c>
      <c r="I5019" s="17">
        <f ca="1">IFERROR(__xludf.DUMMYFUNCTION("""COMPUTED_VALUE"""),45594)</f>
        <v>45594</v>
      </c>
      <c r="J5019" s="143" t="s">
        <v>17311</v>
      </c>
      <c r="K5019" s="80" t="s">
        <v>17312</v>
      </c>
      <c r="L5019" s="30">
        <v>822328589</v>
      </c>
      <c r="M5019" s="80" t="s">
        <v>5518</v>
      </c>
      <c r="N5019" s="80" t="s">
        <v>5524</v>
      </c>
      <c r="O5019" s="80" t="s">
        <v>17313</v>
      </c>
      <c r="P5019" s="80" t="s">
        <v>3694</v>
      </c>
      <c r="Q5019" s="20">
        <v>5736</v>
      </c>
      <c r="R5019" s="80" t="s">
        <v>36</v>
      </c>
      <c r="S5019" s="95">
        <v>2000</v>
      </c>
      <c r="T5019" s="148">
        <v>45562</v>
      </c>
      <c r="U5019" s="95">
        <v>3736</v>
      </c>
      <c r="V5019" s="148">
        <v>45613</v>
      </c>
      <c r="W5019" s="85" t="s">
        <v>17314</v>
      </c>
      <c r="X5019" s="80"/>
      <c r="Y5019" s="22">
        <v>0</v>
      </c>
      <c r="Z5019" s="80" t="s">
        <v>50</v>
      </c>
      <c r="AA5019" s="82" t="s">
        <v>14723</v>
      </c>
      <c r="AB5019" s="80"/>
      <c r="AC5019" s="80" t="s">
        <v>53</v>
      </c>
      <c r="AD5019" s="80" t="s">
        <v>138</v>
      </c>
      <c r="AE5019" s="80"/>
      <c r="AF5019" s="43">
        <v>45594</v>
      </c>
      <c r="AG5019" s="80"/>
      <c r="AH5019" s="80"/>
      <c r="AI5019" s="147"/>
      <c r="AJ5019" s="80"/>
      <c r="AK5019" s="80"/>
      <c r="AL5019" s="35"/>
      <c r="AM5019" s="35"/>
      <c r="AN5019" s="35"/>
      <c r="AO5019" s="35"/>
      <c r="AP5019" s="35"/>
    </row>
    <row r="5020" spans="1:42" x14ac:dyDescent="0.2">
      <c r="A5020" s="126">
        <v>45563.619830717595</v>
      </c>
      <c r="B5020" s="137" t="s">
        <v>37</v>
      </c>
      <c r="C5020" s="41" t="s">
        <v>118</v>
      </c>
      <c r="D5020" s="80" t="s">
        <v>36</v>
      </c>
      <c r="E5020" s="80" t="s">
        <v>139</v>
      </c>
      <c r="F5020" s="80" t="s">
        <v>36</v>
      </c>
      <c r="G5020" s="80" t="s">
        <v>41</v>
      </c>
      <c r="H5020" s="80" t="s">
        <v>15199</v>
      </c>
      <c r="I5020" s="17">
        <f ca="1">IFERROR(__xludf.DUMMYFUNCTION("""COMPUTED_VALUE"""),45579)</f>
        <v>45579</v>
      </c>
      <c r="J5020" s="143" t="s">
        <v>17315</v>
      </c>
      <c r="K5020" s="80" t="s">
        <v>17316</v>
      </c>
      <c r="L5020" s="30">
        <v>369589365</v>
      </c>
      <c r="M5020" s="80" t="s">
        <v>12529</v>
      </c>
      <c r="N5020" s="80" t="s">
        <v>466</v>
      </c>
      <c r="O5020" s="80" t="s">
        <v>17317</v>
      </c>
      <c r="P5020" s="80" t="s">
        <v>17318</v>
      </c>
      <c r="Q5020" s="20">
        <v>15936</v>
      </c>
      <c r="R5020" s="80" t="s">
        <v>36</v>
      </c>
      <c r="S5020" s="95">
        <f>100+1900</f>
        <v>2000</v>
      </c>
      <c r="T5020" s="83" t="s">
        <v>16739</v>
      </c>
      <c r="U5020" s="95">
        <v>13936</v>
      </c>
      <c r="V5020" s="148">
        <v>45599</v>
      </c>
      <c r="W5020" s="85" t="s">
        <v>17319</v>
      </c>
      <c r="X5020" s="80"/>
      <c r="Y5020" s="22">
        <v>0</v>
      </c>
      <c r="Z5020" s="80" t="s">
        <v>50</v>
      </c>
      <c r="AA5020" s="86" t="s">
        <v>14723</v>
      </c>
      <c r="AB5020" s="80"/>
      <c r="AC5020" s="80" t="s">
        <v>53</v>
      </c>
      <c r="AD5020" s="80" t="s">
        <v>138</v>
      </c>
      <c r="AE5020" s="83">
        <v>0</v>
      </c>
      <c r="AF5020" s="43">
        <v>45579</v>
      </c>
      <c r="AG5020" s="80"/>
      <c r="AH5020" s="80"/>
      <c r="AI5020" s="147"/>
      <c r="AJ5020" s="80"/>
      <c r="AK5020" s="80"/>
      <c r="AL5020" s="35"/>
      <c r="AM5020" s="35"/>
      <c r="AN5020" s="35"/>
      <c r="AO5020" s="35"/>
      <c r="AP5020" s="35"/>
    </row>
    <row r="5021" spans="1:42" x14ac:dyDescent="0.2">
      <c r="A5021" s="126">
        <v>45563.653720486109</v>
      </c>
      <c r="B5021" s="137" t="s">
        <v>37</v>
      </c>
      <c r="C5021" s="41" t="s">
        <v>118</v>
      </c>
      <c r="D5021" s="80" t="s">
        <v>36</v>
      </c>
      <c r="E5021" s="80" t="s">
        <v>77</v>
      </c>
      <c r="F5021" s="80" t="s">
        <v>36</v>
      </c>
      <c r="G5021" s="80" t="s">
        <v>41</v>
      </c>
      <c r="H5021" s="80" t="s">
        <v>13178</v>
      </c>
      <c r="I5021" s="17">
        <f ca="1">IFERROR(__xludf.DUMMYFUNCTION("""COMPUTED_VALUE"""),45572)</f>
        <v>45572</v>
      </c>
      <c r="J5021" s="143" t="s">
        <v>17320</v>
      </c>
      <c r="K5021" s="80" t="s">
        <v>17321</v>
      </c>
      <c r="L5021" s="30">
        <v>333664965</v>
      </c>
      <c r="M5021" s="80" t="s">
        <v>123</v>
      </c>
      <c r="N5021" s="80" t="s">
        <v>2847</v>
      </c>
      <c r="O5021" s="80" t="s">
        <v>4503</v>
      </c>
      <c r="P5021" s="80" t="s">
        <v>3487</v>
      </c>
      <c r="Q5021" s="20">
        <v>1968</v>
      </c>
      <c r="R5021" s="80" t="s">
        <v>36</v>
      </c>
      <c r="S5021" s="95">
        <v>1968</v>
      </c>
      <c r="T5021" s="148">
        <v>45563</v>
      </c>
      <c r="U5021" s="77"/>
      <c r="V5021" s="78"/>
      <c r="W5021" s="85" t="s">
        <v>17322</v>
      </c>
      <c r="X5021" s="80"/>
      <c r="Y5021" s="22">
        <v>0</v>
      </c>
      <c r="Z5021" s="80" t="s">
        <v>50</v>
      </c>
      <c r="AA5021" s="82" t="s">
        <v>14723</v>
      </c>
      <c r="AB5021" s="80"/>
      <c r="AC5021" s="80" t="s">
        <v>53</v>
      </c>
      <c r="AD5021" s="80" t="s">
        <v>138</v>
      </c>
      <c r="AE5021" s="80"/>
      <c r="AF5021" s="17">
        <v>45572</v>
      </c>
      <c r="AG5021" s="80" t="s">
        <v>7078</v>
      </c>
      <c r="AH5021" s="80"/>
      <c r="AI5021" s="147"/>
      <c r="AJ5021" s="80"/>
      <c r="AK5021" s="80"/>
      <c r="AL5021" s="35"/>
      <c r="AM5021" s="35"/>
      <c r="AN5021" s="35"/>
      <c r="AO5021" s="35"/>
      <c r="AP5021" s="35"/>
    </row>
    <row r="5022" spans="1:42" x14ac:dyDescent="0.2">
      <c r="A5022" s="126">
        <v>45563.884953541667</v>
      </c>
      <c r="B5022" s="137" t="s">
        <v>37</v>
      </c>
      <c r="C5022" s="41" t="s">
        <v>118</v>
      </c>
      <c r="D5022" s="80" t="s">
        <v>36</v>
      </c>
      <c r="E5022" s="80" t="s">
        <v>77</v>
      </c>
      <c r="F5022" s="80" t="s">
        <v>36</v>
      </c>
      <c r="G5022" s="80" t="s">
        <v>41</v>
      </c>
      <c r="H5022" s="80" t="s">
        <v>13301</v>
      </c>
      <c r="I5022" s="17">
        <f ca="1">IFERROR(__xludf.DUMMYFUNCTION("""COMPUTED_VALUE"""),45566)</f>
        <v>45566</v>
      </c>
      <c r="J5022" s="143" t="s">
        <v>17323</v>
      </c>
      <c r="K5022" s="80" t="s">
        <v>17324</v>
      </c>
      <c r="L5022" s="30">
        <v>865689835</v>
      </c>
      <c r="M5022" s="80" t="s">
        <v>123</v>
      </c>
      <c r="N5022" s="80" t="s">
        <v>2847</v>
      </c>
      <c r="O5022" s="80" t="s">
        <v>4503</v>
      </c>
      <c r="P5022" s="80" t="s">
        <v>3487</v>
      </c>
      <c r="Q5022" s="20">
        <v>1968</v>
      </c>
      <c r="R5022" s="80" t="s">
        <v>36</v>
      </c>
      <c r="S5022" s="95">
        <f>100+1868</f>
        <v>1968</v>
      </c>
      <c r="T5022" s="83" t="s">
        <v>15889</v>
      </c>
      <c r="U5022" s="77"/>
      <c r="V5022" s="78"/>
      <c r="W5022" s="85" t="s">
        <v>17325</v>
      </c>
      <c r="X5022" s="80"/>
      <c r="Y5022" s="22">
        <v>0</v>
      </c>
      <c r="Z5022" s="80" t="s">
        <v>50</v>
      </c>
      <c r="AA5022" s="86" t="s">
        <v>14723</v>
      </c>
      <c r="AB5022" s="80"/>
      <c r="AC5022" s="80" t="s">
        <v>53</v>
      </c>
      <c r="AD5022" s="80" t="s">
        <v>138</v>
      </c>
      <c r="AE5022" s="80"/>
      <c r="AF5022" s="17">
        <v>45566</v>
      </c>
      <c r="AG5022" s="80" t="s">
        <v>7078</v>
      </c>
      <c r="AH5022" s="80"/>
      <c r="AI5022" s="147"/>
      <c r="AJ5022" s="80"/>
      <c r="AK5022" s="80"/>
      <c r="AL5022" s="35"/>
      <c r="AM5022" s="35"/>
      <c r="AN5022" s="35"/>
      <c r="AO5022" s="35"/>
      <c r="AP5022" s="35"/>
    </row>
    <row r="5023" spans="1:42" x14ac:dyDescent="0.2">
      <c r="A5023" s="126">
        <v>45563.888798645829</v>
      </c>
      <c r="B5023" s="137" t="s">
        <v>37</v>
      </c>
      <c r="C5023" s="41" t="s">
        <v>118</v>
      </c>
      <c r="D5023" s="80" t="s">
        <v>36</v>
      </c>
      <c r="E5023" s="80" t="s">
        <v>148</v>
      </c>
      <c r="F5023" s="80" t="s">
        <v>36</v>
      </c>
      <c r="G5023" s="80" t="s">
        <v>7629</v>
      </c>
      <c r="H5023" s="80" t="s">
        <v>11808</v>
      </c>
      <c r="I5023" s="17">
        <f ca="1">IFERROR(__xludf.DUMMYFUNCTION("""COMPUTED_VALUE"""),45579)</f>
        <v>45579</v>
      </c>
      <c r="J5023" s="143" t="s">
        <v>17326</v>
      </c>
      <c r="K5023" s="80" t="s">
        <v>17327</v>
      </c>
      <c r="L5023" s="30">
        <v>332025391</v>
      </c>
      <c r="M5023" s="80" t="s">
        <v>5429</v>
      </c>
      <c r="N5023" s="80" t="s">
        <v>1594</v>
      </c>
      <c r="O5023" s="80" t="s">
        <v>17328</v>
      </c>
      <c r="P5023" s="80" t="s">
        <v>7107</v>
      </c>
      <c r="Q5023" s="20">
        <v>7349</v>
      </c>
      <c r="R5023" s="80" t="s">
        <v>36</v>
      </c>
      <c r="S5023" s="95">
        <f t="shared" ref="S5023:S5024" si="118">200+3800</f>
        <v>4000</v>
      </c>
      <c r="T5023" s="83" t="s">
        <v>17329</v>
      </c>
      <c r="U5023" s="95">
        <v>3349</v>
      </c>
      <c r="V5023" s="148">
        <v>45600</v>
      </c>
      <c r="W5023" s="85" t="s">
        <v>17330</v>
      </c>
      <c r="X5023" s="80"/>
      <c r="Y5023" s="22">
        <v>0</v>
      </c>
      <c r="Z5023" s="80" t="s">
        <v>50</v>
      </c>
      <c r="AA5023" s="82" t="s">
        <v>14723</v>
      </c>
      <c r="AB5023" s="80"/>
      <c r="AC5023" s="80" t="s">
        <v>53</v>
      </c>
      <c r="AD5023" s="80" t="s">
        <v>138</v>
      </c>
      <c r="AE5023" s="83">
        <v>410</v>
      </c>
      <c r="AF5023" s="43">
        <v>45579</v>
      </c>
      <c r="AG5023" s="80"/>
      <c r="AH5023" s="80"/>
      <c r="AI5023" s="147"/>
      <c r="AJ5023" s="80"/>
      <c r="AK5023" s="80"/>
      <c r="AL5023" s="35"/>
      <c r="AM5023" s="35"/>
      <c r="AN5023" s="35"/>
      <c r="AO5023" s="35"/>
      <c r="AP5023" s="35"/>
    </row>
    <row r="5024" spans="1:42" x14ac:dyDescent="0.2">
      <c r="A5024" s="126">
        <v>45563.927405856477</v>
      </c>
      <c r="B5024" s="137" t="s">
        <v>37</v>
      </c>
      <c r="C5024" s="41" t="s">
        <v>118</v>
      </c>
      <c r="D5024" s="80" t="s">
        <v>36</v>
      </c>
      <c r="E5024" s="80" t="s">
        <v>119</v>
      </c>
      <c r="F5024" s="80" t="s">
        <v>36</v>
      </c>
      <c r="G5024" s="80" t="s">
        <v>108</v>
      </c>
      <c r="H5024" s="80" t="s">
        <v>10223</v>
      </c>
      <c r="I5024" s="17">
        <f ca="1">IFERROR(__xludf.DUMMYFUNCTION("""COMPUTED_VALUE"""),45578)</f>
        <v>45578</v>
      </c>
      <c r="J5024" s="143" t="s">
        <v>17331</v>
      </c>
      <c r="K5024" s="80" t="s">
        <v>17332</v>
      </c>
      <c r="L5024" s="30">
        <v>835738611</v>
      </c>
      <c r="M5024" s="80" t="s">
        <v>12720</v>
      </c>
      <c r="N5024" s="80" t="s">
        <v>1073</v>
      </c>
      <c r="O5024" s="80" t="s">
        <v>17333</v>
      </c>
      <c r="P5024" s="80" t="s">
        <v>17334</v>
      </c>
      <c r="Q5024" s="20">
        <v>13968</v>
      </c>
      <c r="R5024" s="80" t="s">
        <v>36</v>
      </c>
      <c r="S5024" s="95">
        <f t="shared" si="118"/>
        <v>4000</v>
      </c>
      <c r="T5024" s="83" t="s">
        <v>17335</v>
      </c>
      <c r="U5024" s="95">
        <v>9968</v>
      </c>
      <c r="V5024" s="148">
        <v>45601</v>
      </c>
      <c r="W5024" s="85" t="s">
        <v>17336</v>
      </c>
      <c r="X5024" s="80"/>
      <c r="Y5024" s="22">
        <v>0</v>
      </c>
      <c r="Z5024" s="80" t="s">
        <v>50</v>
      </c>
      <c r="AA5024" s="86" t="s">
        <v>14723</v>
      </c>
      <c r="AB5024" s="80"/>
      <c r="AC5024" s="80" t="s">
        <v>53</v>
      </c>
      <c r="AD5024" s="80" t="s">
        <v>138</v>
      </c>
      <c r="AE5024" s="83">
        <v>400</v>
      </c>
      <c r="AF5024" s="43">
        <v>45576</v>
      </c>
      <c r="AG5024" s="80" t="s">
        <v>15592</v>
      </c>
      <c r="AH5024" s="80"/>
      <c r="AI5024" s="147"/>
      <c r="AJ5024" s="80"/>
      <c r="AK5024" s="80"/>
      <c r="AL5024" s="35"/>
      <c r="AM5024" s="35"/>
      <c r="AN5024" s="35"/>
      <c r="AO5024" s="35"/>
      <c r="AP5024" s="35"/>
    </row>
    <row r="5025" spans="1:42" x14ac:dyDescent="0.2">
      <c r="A5025" s="126">
        <v>45564.066910787034</v>
      </c>
      <c r="B5025" s="137" t="s">
        <v>37</v>
      </c>
      <c r="C5025" s="41" t="s">
        <v>118</v>
      </c>
      <c r="D5025" s="80" t="s">
        <v>36</v>
      </c>
      <c r="E5025" s="80" t="s">
        <v>77</v>
      </c>
      <c r="F5025" s="80" t="s">
        <v>36</v>
      </c>
      <c r="G5025" s="80" t="s">
        <v>41</v>
      </c>
      <c r="H5025" s="80" t="s">
        <v>13143</v>
      </c>
      <c r="I5025" s="17">
        <f ca="1">IFERROR(__xludf.DUMMYFUNCTION("""COMPUTED_VALUE"""),45604)</f>
        <v>45604</v>
      </c>
      <c r="J5025" s="143" t="s">
        <v>17337</v>
      </c>
      <c r="K5025" s="80" t="s">
        <v>17338</v>
      </c>
      <c r="L5025" s="30">
        <v>968980585</v>
      </c>
      <c r="M5025" s="80" t="s">
        <v>12529</v>
      </c>
      <c r="N5025" s="80" t="s">
        <v>466</v>
      </c>
      <c r="O5025" s="80" t="s">
        <v>17339</v>
      </c>
      <c r="P5025" s="80" t="s">
        <v>5462</v>
      </c>
      <c r="Q5025" s="20">
        <v>1968</v>
      </c>
      <c r="R5025" s="80" t="s">
        <v>36</v>
      </c>
      <c r="S5025" s="95">
        <f>200+1800</f>
        <v>2000</v>
      </c>
      <c r="T5025" s="83" t="s">
        <v>17340</v>
      </c>
      <c r="U5025" s="77"/>
      <c r="V5025" s="78"/>
      <c r="W5025" s="85" t="s">
        <v>17341</v>
      </c>
      <c r="X5025" s="80"/>
      <c r="Y5025" s="22">
        <v>-32</v>
      </c>
      <c r="Z5025" s="80" t="s">
        <v>50</v>
      </c>
      <c r="AA5025" s="82" t="s">
        <v>14723</v>
      </c>
      <c r="AB5025" s="80"/>
      <c r="AC5025" s="80" t="s">
        <v>53</v>
      </c>
      <c r="AD5025" s="80" t="s">
        <v>138</v>
      </c>
      <c r="AE5025" s="80"/>
      <c r="AF5025" s="17">
        <v>45604</v>
      </c>
      <c r="AG5025" s="80" t="s">
        <v>7078</v>
      </c>
      <c r="AH5025" s="80"/>
      <c r="AI5025" s="147"/>
      <c r="AJ5025" s="80"/>
      <c r="AK5025" s="80"/>
      <c r="AL5025" s="35"/>
      <c r="AM5025" s="35"/>
      <c r="AN5025" s="35"/>
      <c r="AO5025" s="35"/>
      <c r="AP5025" s="35"/>
    </row>
    <row r="5026" spans="1:42" x14ac:dyDescent="0.2">
      <c r="A5026" s="126">
        <v>45564.670287465276</v>
      </c>
      <c r="B5026" s="137" t="s">
        <v>37</v>
      </c>
      <c r="C5026" s="41" t="s">
        <v>118</v>
      </c>
      <c r="D5026" s="80" t="s">
        <v>36</v>
      </c>
      <c r="E5026" s="80" t="s">
        <v>139</v>
      </c>
      <c r="F5026" s="80" t="s">
        <v>36</v>
      </c>
      <c r="G5026" s="80" t="s">
        <v>41</v>
      </c>
      <c r="H5026" s="80" t="s">
        <v>10992</v>
      </c>
      <c r="I5026" s="17">
        <f ca="1">IFERROR(__xludf.DUMMYFUNCTION("""COMPUTED_VALUE"""),45565)</f>
        <v>45565</v>
      </c>
      <c r="J5026" s="143" t="s">
        <v>16640</v>
      </c>
      <c r="K5026" s="80" t="s">
        <v>17342</v>
      </c>
      <c r="L5026" s="30">
        <v>961880678</v>
      </c>
      <c r="M5026" s="80" t="s">
        <v>5558</v>
      </c>
      <c r="N5026" s="80" t="s">
        <v>5277</v>
      </c>
      <c r="O5026" s="80" t="s">
        <v>4503</v>
      </c>
      <c r="P5026" s="144" t="s">
        <v>17343</v>
      </c>
      <c r="Q5026" s="20">
        <v>15936</v>
      </c>
      <c r="R5026" s="80" t="s">
        <v>36</v>
      </c>
      <c r="S5026" s="95">
        <v>2000</v>
      </c>
      <c r="T5026" s="148">
        <v>45564</v>
      </c>
      <c r="U5026" s="95">
        <v>13936</v>
      </c>
      <c r="V5026" s="148">
        <v>45603</v>
      </c>
      <c r="W5026" s="85" t="s">
        <v>16643</v>
      </c>
      <c r="X5026" s="80"/>
      <c r="Y5026" s="22">
        <v>0</v>
      </c>
      <c r="Z5026" s="80" t="s">
        <v>50</v>
      </c>
      <c r="AA5026" s="86" t="s">
        <v>14723</v>
      </c>
      <c r="AB5026" s="80"/>
      <c r="AC5026" s="80" t="s">
        <v>53</v>
      </c>
      <c r="AD5026" s="80" t="s">
        <v>54</v>
      </c>
      <c r="AE5026" s="80"/>
      <c r="AF5026" s="17">
        <v>45565</v>
      </c>
      <c r="AG5026" s="80"/>
      <c r="AH5026" s="80"/>
      <c r="AI5026" s="147"/>
      <c r="AJ5026" s="80"/>
      <c r="AK5026" s="80"/>
      <c r="AL5026" s="35"/>
      <c r="AM5026" s="35"/>
      <c r="AN5026" s="35"/>
      <c r="AO5026" s="35"/>
      <c r="AP5026" s="35"/>
    </row>
    <row r="5027" spans="1:42" x14ac:dyDescent="0.2">
      <c r="A5027" s="126">
        <v>45564.944537939809</v>
      </c>
      <c r="B5027" s="137" t="s">
        <v>37</v>
      </c>
      <c r="C5027" s="41" t="s">
        <v>118</v>
      </c>
      <c r="D5027" s="80" t="s">
        <v>36</v>
      </c>
      <c r="E5027" s="80" t="s">
        <v>39</v>
      </c>
      <c r="F5027" s="80" t="s">
        <v>36</v>
      </c>
      <c r="G5027" s="80" t="s">
        <v>41</v>
      </c>
      <c r="H5027" s="80" t="s">
        <v>12416</v>
      </c>
      <c r="I5027" s="17">
        <f ca="1">IFERROR(__xludf.DUMMYFUNCTION("""COMPUTED_VALUE"""),45574)</f>
        <v>45574</v>
      </c>
      <c r="J5027" s="143" t="s">
        <v>17344</v>
      </c>
      <c r="K5027" s="80" t="s">
        <v>16819</v>
      </c>
      <c r="L5027" s="30">
        <v>344025597</v>
      </c>
      <c r="M5027" s="80" t="s">
        <v>12720</v>
      </c>
      <c r="N5027" s="80" t="s">
        <v>1073</v>
      </c>
      <c r="O5027" s="80" t="s">
        <v>3098</v>
      </c>
      <c r="P5027" s="80" t="s">
        <v>586</v>
      </c>
      <c r="Q5027" s="20">
        <v>5736</v>
      </c>
      <c r="R5027" s="80" t="s">
        <v>36</v>
      </c>
      <c r="S5027" s="95">
        <f t="shared" ref="S5027:S5029" si="119">200+1800</f>
        <v>2000</v>
      </c>
      <c r="T5027" s="83" t="s">
        <v>15948</v>
      </c>
      <c r="U5027" s="95">
        <v>3736</v>
      </c>
      <c r="V5027" s="148">
        <v>45601</v>
      </c>
      <c r="W5027" s="85" t="s">
        <v>16820</v>
      </c>
      <c r="X5027" s="80"/>
      <c r="Y5027" s="22">
        <v>0</v>
      </c>
      <c r="Z5027" s="80" t="s">
        <v>50</v>
      </c>
      <c r="AA5027" s="82" t="s">
        <v>14723</v>
      </c>
      <c r="AB5027" s="80"/>
      <c r="AC5027" s="80" t="s">
        <v>53</v>
      </c>
      <c r="AD5027" s="80" t="s">
        <v>138</v>
      </c>
      <c r="AE5027" s="83">
        <v>0</v>
      </c>
      <c r="AF5027" s="17">
        <v>45573</v>
      </c>
      <c r="AG5027" s="80" t="s">
        <v>13500</v>
      </c>
      <c r="AH5027" s="80"/>
      <c r="AI5027" s="147"/>
      <c r="AJ5027" s="80"/>
      <c r="AK5027" s="80"/>
      <c r="AL5027" s="35"/>
      <c r="AM5027" s="35"/>
      <c r="AN5027" s="35"/>
      <c r="AO5027" s="35"/>
      <c r="AP5027" s="35"/>
    </row>
    <row r="5028" spans="1:42" x14ac:dyDescent="0.2">
      <c r="A5028" s="126">
        <v>45565.018411365745</v>
      </c>
      <c r="B5028" s="137" t="s">
        <v>37</v>
      </c>
      <c r="C5028" s="41" t="s">
        <v>118</v>
      </c>
      <c r="D5028" s="80" t="s">
        <v>36</v>
      </c>
      <c r="E5028" s="80" t="s">
        <v>139</v>
      </c>
      <c r="F5028" s="80" t="s">
        <v>40</v>
      </c>
      <c r="G5028" s="80" t="s">
        <v>41</v>
      </c>
      <c r="H5028" s="80" t="s">
        <v>11640</v>
      </c>
      <c r="I5028" s="17">
        <f ca="1">IFERROR(__xludf.DUMMYFUNCTION("""COMPUTED_VALUE"""),45636)</f>
        <v>45636</v>
      </c>
      <c r="J5028" s="143" t="s">
        <v>17345</v>
      </c>
      <c r="K5028" s="80" t="s">
        <v>17346</v>
      </c>
      <c r="L5028" s="30">
        <v>329235705</v>
      </c>
      <c r="M5028" s="80" t="s">
        <v>59</v>
      </c>
      <c r="N5028" s="80" t="s">
        <v>4299</v>
      </c>
      <c r="O5028" s="80" t="s">
        <v>17347</v>
      </c>
      <c r="P5028" s="80" t="s">
        <v>12692</v>
      </c>
      <c r="Q5028" s="20">
        <v>15936</v>
      </c>
      <c r="R5028" s="80" t="s">
        <v>1106</v>
      </c>
      <c r="S5028" s="95">
        <f t="shared" si="119"/>
        <v>2000</v>
      </c>
      <c r="T5028" s="83" t="s">
        <v>12500</v>
      </c>
      <c r="U5028" s="95">
        <v>13786</v>
      </c>
      <c r="V5028" s="148">
        <v>45619</v>
      </c>
      <c r="W5028" s="85" t="s">
        <v>17348</v>
      </c>
      <c r="X5028" s="80"/>
      <c r="Y5028" s="22">
        <v>150</v>
      </c>
      <c r="Z5028" s="80" t="s">
        <v>50</v>
      </c>
      <c r="AA5028" s="86" t="s">
        <v>14723</v>
      </c>
      <c r="AB5028" s="80"/>
      <c r="AC5028" s="80" t="s">
        <v>53</v>
      </c>
      <c r="AD5028" s="80" t="s">
        <v>54</v>
      </c>
      <c r="AE5028" s="80"/>
      <c r="AF5028" s="43">
        <v>45636</v>
      </c>
      <c r="AG5028" s="80"/>
      <c r="AH5028" s="80"/>
      <c r="AI5028" s="147"/>
      <c r="AJ5028" s="80"/>
      <c r="AK5028" s="80"/>
      <c r="AL5028" s="35"/>
      <c r="AM5028" s="35"/>
      <c r="AN5028" s="35"/>
      <c r="AO5028" s="35"/>
      <c r="AP5028" s="35"/>
    </row>
    <row r="5029" spans="1:42" x14ac:dyDescent="0.2">
      <c r="A5029" s="126">
        <v>45565.670658483796</v>
      </c>
      <c r="B5029" s="137" t="s">
        <v>37</v>
      </c>
      <c r="C5029" s="41" t="s">
        <v>118</v>
      </c>
      <c r="D5029" s="80" t="s">
        <v>36</v>
      </c>
      <c r="E5029" s="80" t="s">
        <v>77</v>
      </c>
      <c r="F5029" s="80" t="s">
        <v>36</v>
      </c>
      <c r="G5029" s="80" t="s">
        <v>41</v>
      </c>
      <c r="H5029" s="80" t="s">
        <v>13850</v>
      </c>
      <c r="I5029" s="17">
        <f ca="1">IFERROR(__xludf.DUMMYFUNCTION("""COMPUTED_VALUE"""),45594)</f>
        <v>45594</v>
      </c>
      <c r="J5029" s="143" t="s">
        <v>17349</v>
      </c>
      <c r="K5029" s="80" t="s">
        <v>17350</v>
      </c>
      <c r="L5029" s="30">
        <v>829699524</v>
      </c>
      <c r="M5029" s="80" t="s">
        <v>12529</v>
      </c>
      <c r="N5029" s="80" t="s">
        <v>17351</v>
      </c>
      <c r="O5029" s="80" t="s">
        <v>17352</v>
      </c>
      <c r="P5029" s="80" t="s">
        <v>17353</v>
      </c>
      <c r="Q5029" s="20">
        <v>1968</v>
      </c>
      <c r="R5029" s="80" t="s">
        <v>36</v>
      </c>
      <c r="S5029" s="95">
        <f t="shared" si="119"/>
        <v>2000</v>
      </c>
      <c r="T5029" s="83" t="s">
        <v>15849</v>
      </c>
      <c r="U5029" s="77"/>
      <c r="V5029" s="78"/>
      <c r="W5029" s="85" t="s">
        <v>17354</v>
      </c>
      <c r="X5029" s="80"/>
      <c r="Y5029" s="22">
        <v>-32</v>
      </c>
      <c r="Z5029" s="80" t="s">
        <v>50</v>
      </c>
      <c r="AA5029" s="82" t="s">
        <v>14723</v>
      </c>
      <c r="AB5029" s="80"/>
      <c r="AC5029" s="80" t="s">
        <v>53</v>
      </c>
      <c r="AD5029" s="80" t="s">
        <v>138</v>
      </c>
      <c r="AE5029" s="80"/>
      <c r="AF5029" s="43">
        <v>45594</v>
      </c>
      <c r="AG5029" s="80" t="s">
        <v>7078</v>
      </c>
      <c r="AH5029" s="80"/>
      <c r="AI5029" s="147"/>
      <c r="AJ5029" s="80"/>
      <c r="AK5029" s="80"/>
      <c r="AL5029" s="35"/>
      <c r="AM5029" s="35"/>
      <c r="AN5029" s="35"/>
      <c r="AO5029" s="35"/>
      <c r="AP5029" s="35"/>
    </row>
    <row r="5030" spans="1:42" x14ac:dyDescent="0.2">
      <c r="A5030" s="126">
        <v>45565.936522858799</v>
      </c>
      <c r="B5030" s="137" t="s">
        <v>37</v>
      </c>
      <c r="C5030" s="41" t="s">
        <v>118</v>
      </c>
      <c r="D5030" s="80" t="s">
        <v>36</v>
      </c>
      <c r="E5030" s="80" t="s">
        <v>139</v>
      </c>
      <c r="F5030" s="80" t="s">
        <v>40</v>
      </c>
      <c r="G5030" s="80" t="s">
        <v>41</v>
      </c>
      <c r="H5030" s="80" t="s">
        <v>15506</v>
      </c>
      <c r="I5030" s="17">
        <f ca="1">IFERROR(__xludf.DUMMYFUNCTION("""COMPUTED_VALUE"""),45573)</f>
        <v>45573</v>
      </c>
      <c r="J5030" s="143" t="s">
        <v>16929</v>
      </c>
      <c r="K5030" s="80" t="s">
        <v>17355</v>
      </c>
      <c r="L5030" s="30">
        <v>865094327</v>
      </c>
      <c r="M5030" s="80" t="s">
        <v>3288</v>
      </c>
      <c r="N5030" s="80" t="s">
        <v>200</v>
      </c>
      <c r="O5030" s="80" t="s">
        <v>91</v>
      </c>
      <c r="P5030" s="80" t="s">
        <v>17356</v>
      </c>
      <c r="Q5030" s="20">
        <v>15936</v>
      </c>
      <c r="R5030" s="80" t="s">
        <v>1106</v>
      </c>
      <c r="S5030" s="95">
        <f>1000+968+5000</f>
        <v>6968</v>
      </c>
      <c r="T5030" s="83" t="s">
        <v>16932</v>
      </c>
      <c r="U5030" s="95">
        <f>5000+3818</f>
        <v>8818</v>
      </c>
      <c r="V5030" s="83" t="s">
        <v>16933</v>
      </c>
      <c r="W5030" s="85" t="s">
        <v>16934</v>
      </c>
      <c r="X5030" s="80"/>
      <c r="Y5030" s="22">
        <v>150</v>
      </c>
      <c r="Z5030" s="80" t="s">
        <v>50</v>
      </c>
      <c r="AA5030" s="86" t="s">
        <v>14723</v>
      </c>
      <c r="AB5030" s="80"/>
      <c r="AC5030" s="80" t="s">
        <v>53</v>
      </c>
      <c r="AD5030" s="80" t="s">
        <v>54</v>
      </c>
      <c r="AE5030" s="80" t="s">
        <v>17357</v>
      </c>
      <c r="AF5030" s="17">
        <v>45567</v>
      </c>
      <c r="AG5030" s="80"/>
      <c r="AH5030" s="80"/>
      <c r="AI5030" s="147"/>
      <c r="AJ5030" s="80"/>
      <c r="AK5030" s="80"/>
      <c r="AL5030" s="35"/>
      <c r="AM5030" s="35"/>
      <c r="AN5030" s="35"/>
      <c r="AO5030" s="35"/>
      <c r="AP5030" s="35"/>
    </row>
    <row r="5031" spans="1:42" x14ac:dyDescent="0.2">
      <c r="A5031" s="126">
        <v>45566.587393506939</v>
      </c>
      <c r="B5031" s="137" t="s">
        <v>37</v>
      </c>
      <c r="C5031" s="41" t="s">
        <v>118</v>
      </c>
      <c r="D5031" s="80" t="s">
        <v>36</v>
      </c>
      <c r="E5031" s="80" t="s">
        <v>139</v>
      </c>
      <c r="F5031" s="80" t="s">
        <v>36</v>
      </c>
      <c r="G5031" s="80" t="s">
        <v>41</v>
      </c>
      <c r="H5031" s="80" t="s">
        <v>13850</v>
      </c>
      <c r="I5031" s="17">
        <f ca="1">IFERROR(__xludf.DUMMYFUNCTION("""COMPUTED_VALUE"""),45594)</f>
        <v>45594</v>
      </c>
      <c r="J5031" s="143" t="s">
        <v>17358</v>
      </c>
      <c r="K5031" s="80" t="s">
        <v>17359</v>
      </c>
      <c r="L5031" s="30">
        <v>354303129</v>
      </c>
      <c r="M5031" s="80" t="s">
        <v>12529</v>
      </c>
      <c r="N5031" s="80" t="s">
        <v>13566</v>
      </c>
      <c r="O5031" s="80" t="s">
        <v>17360</v>
      </c>
      <c r="P5031" s="80" t="s">
        <v>17361</v>
      </c>
      <c r="Q5031" s="20">
        <v>15936</v>
      </c>
      <c r="R5031" s="80" t="s">
        <v>36</v>
      </c>
      <c r="S5031" s="95">
        <f t="shared" ref="S5031:S5032" si="120">200+1800</f>
        <v>2000</v>
      </c>
      <c r="T5031" s="83" t="s">
        <v>15920</v>
      </c>
      <c r="U5031" s="95">
        <v>13936</v>
      </c>
      <c r="V5031" s="148">
        <v>45624</v>
      </c>
      <c r="W5031" s="85" t="s">
        <v>17362</v>
      </c>
      <c r="X5031" s="80"/>
      <c r="Y5031" s="22">
        <v>0</v>
      </c>
      <c r="Z5031" s="80" t="s">
        <v>50</v>
      </c>
      <c r="AA5031" s="82" t="s">
        <v>14723</v>
      </c>
      <c r="AB5031" s="80"/>
      <c r="AC5031" s="80" t="s">
        <v>53</v>
      </c>
      <c r="AD5031" s="80" t="s">
        <v>138</v>
      </c>
      <c r="AE5031" s="80"/>
      <c r="AF5031" s="43">
        <v>45594</v>
      </c>
      <c r="AG5031" s="80"/>
      <c r="AH5031" s="80"/>
      <c r="AI5031" s="147"/>
      <c r="AJ5031" s="80"/>
      <c r="AK5031" s="80"/>
      <c r="AL5031" s="35"/>
      <c r="AM5031" s="35"/>
      <c r="AN5031" s="35"/>
      <c r="AO5031" s="35"/>
      <c r="AP5031" s="35"/>
    </row>
    <row r="5032" spans="1:42" x14ac:dyDescent="0.2">
      <c r="A5032" s="126">
        <v>45566.599456192125</v>
      </c>
      <c r="B5032" s="137" t="s">
        <v>37</v>
      </c>
      <c r="C5032" s="41" t="s">
        <v>118</v>
      </c>
      <c r="D5032" s="80" t="s">
        <v>36</v>
      </c>
      <c r="E5032" s="80" t="s">
        <v>56</v>
      </c>
      <c r="F5032" s="80" t="s">
        <v>40</v>
      </c>
      <c r="G5032" s="80" t="s">
        <v>41</v>
      </c>
      <c r="H5032" s="80" t="s">
        <v>15506</v>
      </c>
      <c r="I5032" s="17">
        <f ca="1">IFERROR(__xludf.DUMMYFUNCTION("""COMPUTED_VALUE"""),45573)</f>
        <v>45573</v>
      </c>
      <c r="J5032" s="143" t="s">
        <v>16942</v>
      </c>
      <c r="K5032" s="80" t="s">
        <v>16943</v>
      </c>
      <c r="L5032" s="30">
        <v>394524523</v>
      </c>
      <c r="M5032" s="80" t="s">
        <v>12529</v>
      </c>
      <c r="N5032" s="80" t="s">
        <v>13566</v>
      </c>
      <c r="O5032" s="80" t="s">
        <v>16944</v>
      </c>
      <c r="P5032" s="80" t="s">
        <v>17363</v>
      </c>
      <c r="Q5032" s="20">
        <v>9317</v>
      </c>
      <c r="R5032" s="80" t="s">
        <v>36</v>
      </c>
      <c r="S5032" s="95">
        <f t="shared" si="120"/>
        <v>2000</v>
      </c>
      <c r="T5032" s="83" t="s">
        <v>15942</v>
      </c>
      <c r="U5032" s="77">
        <v>7317</v>
      </c>
      <c r="V5032" s="78">
        <v>45600</v>
      </c>
      <c r="W5032" s="85" t="s">
        <v>16946</v>
      </c>
      <c r="X5032" s="80"/>
      <c r="Y5032" s="22">
        <v>0</v>
      </c>
      <c r="Z5032" s="80" t="s">
        <v>50</v>
      </c>
      <c r="AA5032" s="86" t="s">
        <v>14723</v>
      </c>
      <c r="AB5032" s="80"/>
      <c r="AC5032" s="80" t="s">
        <v>53</v>
      </c>
      <c r="AD5032" s="80" t="s">
        <v>54</v>
      </c>
      <c r="AE5032" s="80"/>
      <c r="AF5032" s="17">
        <v>45572</v>
      </c>
      <c r="AG5032" s="80" t="s">
        <v>7078</v>
      </c>
      <c r="AH5032" s="80"/>
      <c r="AI5032" s="147"/>
      <c r="AJ5032" s="80"/>
      <c r="AK5032" s="80"/>
      <c r="AL5032" s="35"/>
      <c r="AM5032" s="35"/>
      <c r="AN5032" s="35"/>
      <c r="AO5032" s="35"/>
      <c r="AP5032" s="35"/>
    </row>
    <row r="5033" spans="1:42" x14ac:dyDescent="0.2">
      <c r="A5033" s="126">
        <v>45567.347672361109</v>
      </c>
      <c r="B5033" s="137" t="s">
        <v>37</v>
      </c>
      <c r="C5033" s="41" t="s">
        <v>118</v>
      </c>
      <c r="D5033" s="80" t="s">
        <v>36</v>
      </c>
      <c r="E5033" s="80" t="s">
        <v>148</v>
      </c>
      <c r="F5033" s="80" t="s">
        <v>36</v>
      </c>
      <c r="G5033" s="80" t="s">
        <v>108</v>
      </c>
      <c r="H5033" s="80" t="s">
        <v>10223</v>
      </c>
      <c r="I5033" s="17">
        <f ca="1">IFERROR(__xludf.DUMMYFUNCTION("""COMPUTED_VALUE"""),45578)</f>
        <v>45578</v>
      </c>
      <c r="J5033" s="143" t="s">
        <v>17364</v>
      </c>
      <c r="K5033" s="80" t="s">
        <v>7549</v>
      </c>
      <c r="L5033" s="30">
        <v>377351873</v>
      </c>
      <c r="M5033" s="80" t="s">
        <v>15970</v>
      </c>
      <c r="N5033" s="80" t="s">
        <v>15991</v>
      </c>
      <c r="O5033" s="80" t="s">
        <v>4503</v>
      </c>
      <c r="P5033" s="80" t="s">
        <v>3056</v>
      </c>
      <c r="Q5033" s="20">
        <v>7349</v>
      </c>
      <c r="R5033" s="80" t="s">
        <v>36</v>
      </c>
      <c r="S5033" s="95">
        <f>200+3800</f>
        <v>4000</v>
      </c>
      <c r="T5033" s="83" t="s">
        <v>15965</v>
      </c>
      <c r="U5033" s="95">
        <v>3349</v>
      </c>
      <c r="V5033" s="148">
        <v>45600</v>
      </c>
      <c r="W5033" s="85" t="s">
        <v>17365</v>
      </c>
      <c r="X5033" s="80"/>
      <c r="Y5033" s="22">
        <v>0</v>
      </c>
      <c r="Z5033" s="80" t="s">
        <v>50</v>
      </c>
      <c r="AA5033" s="82" t="s">
        <v>14723</v>
      </c>
      <c r="AB5033" s="80"/>
      <c r="AC5033" s="80" t="s">
        <v>53</v>
      </c>
      <c r="AD5033" s="80" t="s">
        <v>138</v>
      </c>
      <c r="AE5033" s="80"/>
      <c r="AF5033" s="43">
        <v>45576</v>
      </c>
      <c r="AG5033" s="80" t="s">
        <v>15592</v>
      </c>
      <c r="AH5033" s="80"/>
      <c r="AI5033" s="147"/>
      <c r="AJ5033" s="80"/>
      <c r="AK5033" s="80"/>
      <c r="AL5033" s="35"/>
      <c r="AM5033" s="35"/>
      <c r="AN5033" s="35"/>
      <c r="AO5033" s="35"/>
      <c r="AP5033" s="35"/>
    </row>
    <row r="5034" spans="1:42" x14ac:dyDescent="0.2">
      <c r="A5034" s="126">
        <v>45567.360327349539</v>
      </c>
      <c r="B5034" s="137" t="s">
        <v>37</v>
      </c>
      <c r="C5034" s="41" t="s">
        <v>118</v>
      </c>
      <c r="D5034" s="80" t="s">
        <v>36</v>
      </c>
      <c r="E5034" s="80" t="s">
        <v>139</v>
      </c>
      <c r="F5034" s="80" t="s">
        <v>36</v>
      </c>
      <c r="G5034" s="80" t="s">
        <v>41</v>
      </c>
      <c r="H5034" s="80" t="s">
        <v>15166</v>
      </c>
      <c r="I5034" s="17">
        <f ca="1">IFERROR(__xludf.DUMMYFUNCTION("""COMPUTED_VALUE"""),45589)</f>
        <v>45589</v>
      </c>
      <c r="J5034" s="143" t="s">
        <v>16844</v>
      </c>
      <c r="K5034" s="80" t="s">
        <v>17366</v>
      </c>
      <c r="L5034" s="30">
        <v>916235863</v>
      </c>
      <c r="M5034" s="80" t="s">
        <v>15970</v>
      </c>
      <c r="N5034" s="80" t="s">
        <v>327</v>
      </c>
      <c r="O5034" s="80" t="s">
        <v>4503</v>
      </c>
      <c r="P5034" s="80" t="s">
        <v>3056</v>
      </c>
      <c r="Q5034" s="20">
        <v>15936</v>
      </c>
      <c r="R5034" s="80" t="s">
        <v>36</v>
      </c>
      <c r="S5034" s="95">
        <v>2000</v>
      </c>
      <c r="T5034" s="148">
        <v>45555</v>
      </c>
      <c r="U5034" s="95">
        <v>13936</v>
      </c>
      <c r="V5034" s="148">
        <v>45623</v>
      </c>
      <c r="W5034" s="85" t="s">
        <v>16846</v>
      </c>
      <c r="X5034" s="80"/>
      <c r="Y5034" s="22">
        <v>0</v>
      </c>
      <c r="Z5034" s="80" t="s">
        <v>50</v>
      </c>
      <c r="AA5034" s="86" t="s">
        <v>14723</v>
      </c>
      <c r="AB5034" s="80"/>
      <c r="AC5034" s="80" t="s">
        <v>53</v>
      </c>
      <c r="AD5034" s="80" t="s">
        <v>138</v>
      </c>
      <c r="AE5034" s="80"/>
      <c r="AF5034" s="43">
        <v>45589</v>
      </c>
      <c r="AG5034" s="80" t="s">
        <v>14199</v>
      </c>
      <c r="AH5034" s="80"/>
      <c r="AI5034" s="147"/>
      <c r="AJ5034" s="80"/>
      <c r="AK5034" s="80"/>
      <c r="AL5034" s="35"/>
      <c r="AM5034" s="35"/>
      <c r="AN5034" s="35"/>
      <c r="AO5034" s="35"/>
      <c r="AP5034" s="35"/>
    </row>
    <row r="5035" spans="1:42" x14ac:dyDescent="0.2">
      <c r="A5035" s="126">
        <v>45567.465505046297</v>
      </c>
      <c r="B5035" s="137" t="s">
        <v>37</v>
      </c>
      <c r="C5035" s="41" t="s">
        <v>118</v>
      </c>
      <c r="D5035" s="80" t="s">
        <v>36</v>
      </c>
      <c r="E5035" s="80" t="s">
        <v>77</v>
      </c>
      <c r="F5035" s="80" t="s">
        <v>36</v>
      </c>
      <c r="G5035" s="80" t="s">
        <v>41</v>
      </c>
      <c r="H5035" s="80" t="s">
        <v>14159</v>
      </c>
      <c r="I5035" s="17">
        <f ca="1">IFERROR(__xludf.DUMMYFUNCTION("""COMPUTED_VALUE"""),45576)</f>
        <v>45576</v>
      </c>
      <c r="J5035" s="143" t="s">
        <v>17367</v>
      </c>
      <c r="K5035" s="80" t="s">
        <v>17368</v>
      </c>
      <c r="L5035" s="30">
        <v>966247783</v>
      </c>
      <c r="M5035" s="80" t="s">
        <v>5558</v>
      </c>
      <c r="N5035" s="80" t="s">
        <v>850</v>
      </c>
      <c r="O5035" s="85" t="s">
        <v>17369</v>
      </c>
      <c r="P5035" s="80" t="s">
        <v>17370</v>
      </c>
      <c r="Q5035" s="20">
        <v>1968</v>
      </c>
      <c r="R5035" s="80" t="s">
        <v>36</v>
      </c>
      <c r="S5035" s="95">
        <v>2000</v>
      </c>
      <c r="T5035" s="148">
        <v>45567</v>
      </c>
      <c r="U5035" s="77"/>
      <c r="V5035" s="78"/>
      <c r="W5035" s="79" t="s">
        <v>17371</v>
      </c>
      <c r="X5035" s="80"/>
      <c r="Y5035" s="22">
        <v>-32</v>
      </c>
      <c r="Z5035" s="80" t="s">
        <v>50</v>
      </c>
      <c r="AA5035" s="82" t="s">
        <v>14723</v>
      </c>
      <c r="AB5035" s="80"/>
      <c r="AC5035" s="80" t="s">
        <v>53</v>
      </c>
      <c r="AD5035" s="80" t="s">
        <v>138</v>
      </c>
      <c r="AE5035" s="80"/>
      <c r="AF5035" s="17">
        <v>45569</v>
      </c>
      <c r="AG5035" s="80" t="s">
        <v>7078</v>
      </c>
      <c r="AH5035" s="80"/>
      <c r="AI5035" s="147"/>
      <c r="AJ5035" s="80"/>
      <c r="AK5035" s="80"/>
      <c r="AL5035" s="35"/>
      <c r="AM5035" s="35"/>
      <c r="AN5035" s="35"/>
      <c r="AO5035" s="35"/>
      <c r="AP5035" s="35"/>
    </row>
    <row r="5036" spans="1:42" x14ac:dyDescent="0.2">
      <c r="A5036" s="126">
        <v>45567.760922881949</v>
      </c>
      <c r="B5036" s="137" t="s">
        <v>37</v>
      </c>
      <c r="C5036" s="41" t="s">
        <v>118</v>
      </c>
      <c r="D5036" s="80" t="s">
        <v>36</v>
      </c>
      <c r="E5036" s="80" t="s">
        <v>139</v>
      </c>
      <c r="F5036" s="80" t="s">
        <v>36</v>
      </c>
      <c r="G5036" s="80" t="s">
        <v>41</v>
      </c>
      <c r="H5036" s="80" t="s">
        <v>14934</v>
      </c>
      <c r="I5036" s="17">
        <f ca="1">IFERROR(__xludf.DUMMYFUNCTION("""COMPUTED_VALUE"""),45578)</f>
        <v>45578</v>
      </c>
      <c r="J5036" s="143" t="s">
        <v>16737</v>
      </c>
      <c r="K5036" s="80" t="s">
        <v>17372</v>
      </c>
      <c r="L5036" s="30">
        <v>333006562</v>
      </c>
      <c r="M5036" s="80" t="s">
        <v>15970</v>
      </c>
      <c r="N5036" s="80" t="s">
        <v>7210</v>
      </c>
      <c r="O5036" s="80" t="s">
        <v>4503</v>
      </c>
      <c r="P5036" s="80" t="s">
        <v>3056</v>
      </c>
      <c r="Q5036" s="20">
        <v>15936</v>
      </c>
      <c r="R5036" s="80" t="s">
        <v>36</v>
      </c>
      <c r="S5036" s="95">
        <f>200+2000</f>
        <v>2200</v>
      </c>
      <c r="T5036" s="83" t="s">
        <v>16739</v>
      </c>
      <c r="U5036" s="95">
        <v>13736</v>
      </c>
      <c r="V5036" s="148">
        <v>45612</v>
      </c>
      <c r="W5036" s="85" t="s">
        <v>16740</v>
      </c>
      <c r="X5036" s="80"/>
      <c r="Y5036" s="22">
        <v>0</v>
      </c>
      <c r="Z5036" s="80" t="s">
        <v>50</v>
      </c>
      <c r="AA5036" s="86" t="s">
        <v>14723</v>
      </c>
      <c r="AB5036" s="80"/>
      <c r="AC5036" s="80" t="s">
        <v>53</v>
      </c>
      <c r="AD5036" s="80" t="s">
        <v>138</v>
      </c>
      <c r="AE5036" s="80"/>
      <c r="AF5036" s="43">
        <v>45576</v>
      </c>
      <c r="AG5036" s="80" t="s">
        <v>14940</v>
      </c>
      <c r="AH5036" s="80"/>
      <c r="AI5036" s="147"/>
      <c r="AJ5036" s="80"/>
      <c r="AK5036" s="80"/>
      <c r="AL5036" s="35"/>
      <c r="AM5036" s="35"/>
      <c r="AN5036" s="35"/>
      <c r="AO5036" s="35"/>
      <c r="AP5036" s="35"/>
    </row>
    <row r="5037" spans="1:42" x14ac:dyDescent="0.2">
      <c r="A5037" s="126">
        <v>45567.908290023144</v>
      </c>
      <c r="B5037" s="137" t="s">
        <v>37</v>
      </c>
      <c r="C5037" s="41" t="s">
        <v>118</v>
      </c>
      <c r="D5037" s="80" t="s">
        <v>36</v>
      </c>
      <c r="E5037" s="80" t="s">
        <v>77</v>
      </c>
      <c r="F5037" s="80" t="s">
        <v>36</v>
      </c>
      <c r="G5037" s="80" t="s">
        <v>41</v>
      </c>
      <c r="H5037" s="80" t="s">
        <v>16288</v>
      </c>
      <c r="I5037" s="17">
        <f ca="1">IFERROR(__xludf.DUMMYFUNCTION("""COMPUTED_VALUE"""),45589)</f>
        <v>45589</v>
      </c>
      <c r="J5037" s="143" t="s">
        <v>17373</v>
      </c>
      <c r="K5037" s="80" t="s">
        <v>17374</v>
      </c>
      <c r="L5037" s="30">
        <v>916309879</v>
      </c>
      <c r="M5037" s="80" t="s">
        <v>5518</v>
      </c>
      <c r="N5037" s="80" t="s">
        <v>5252</v>
      </c>
      <c r="O5037" s="80" t="s">
        <v>17375</v>
      </c>
      <c r="P5037" s="115" t="s">
        <v>17376</v>
      </c>
      <c r="Q5037" s="20">
        <v>1968</v>
      </c>
      <c r="R5037" s="80" t="s">
        <v>36</v>
      </c>
      <c r="S5037" s="95">
        <v>2000</v>
      </c>
      <c r="T5037" s="148">
        <v>45567</v>
      </c>
      <c r="U5037" s="77"/>
      <c r="V5037" s="78"/>
      <c r="W5037" s="85" t="s">
        <v>17377</v>
      </c>
      <c r="X5037" s="80"/>
      <c r="Y5037" s="22">
        <v>-32</v>
      </c>
      <c r="Z5037" s="80" t="s">
        <v>50</v>
      </c>
      <c r="AA5037" s="82" t="s">
        <v>14723</v>
      </c>
      <c r="AB5037" s="80"/>
      <c r="AC5037" s="80" t="s">
        <v>53</v>
      </c>
      <c r="AD5037" s="80" t="s">
        <v>138</v>
      </c>
      <c r="AE5037" s="80"/>
      <c r="AF5037" s="43">
        <v>45581</v>
      </c>
      <c r="AG5037" s="80" t="s">
        <v>7078</v>
      </c>
      <c r="AH5037" s="80"/>
      <c r="AI5037" s="147"/>
      <c r="AJ5037" s="80"/>
      <c r="AK5037" s="80"/>
      <c r="AL5037" s="35"/>
      <c r="AM5037" s="35"/>
      <c r="AN5037" s="35"/>
      <c r="AO5037" s="35"/>
      <c r="AP5037" s="35"/>
    </row>
    <row r="5038" spans="1:42" x14ac:dyDescent="0.2">
      <c r="A5038" s="126">
        <v>45567.961408877316</v>
      </c>
      <c r="B5038" s="137" t="s">
        <v>37</v>
      </c>
      <c r="C5038" s="41" t="s">
        <v>118</v>
      </c>
      <c r="D5038" s="80" t="s">
        <v>36</v>
      </c>
      <c r="E5038" s="80" t="s">
        <v>139</v>
      </c>
      <c r="F5038" s="80" t="s">
        <v>36</v>
      </c>
      <c r="G5038" s="80" t="s">
        <v>41</v>
      </c>
      <c r="H5038" s="80" t="s">
        <v>17378</v>
      </c>
      <c r="I5038" s="17">
        <f ca="1">IFERROR(__xludf.DUMMYFUNCTION("""COMPUTED_VALUE"""),45975)</f>
        <v>45975</v>
      </c>
      <c r="J5038" s="143" t="s">
        <v>16732</v>
      </c>
      <c r="K5038" s="80" t="s">
        <v>17379</v>
      </c>
      <c r="L5038" s="30">
        <v>335418692</v>
      </c>
      <c r="M5038" s="26" t="s">
        <v>3498</v>
      </c>
      <c r="N5038" s="80" t="s">
        <v>2756</v>
      </c>
      <c r="O5038" s="80" t="s">
        <v>4503</v>
      </c>
      <c r="P5038" s="80" t="s">
        <v>3694</v>
      </c>
      <c r="Q5038" s="20">
        <v>15936</v>
      </c>
      <c r="R5038" s="80" t="s">
        <v>36</v>
      </c>
      <c r="S5038" s="95">
        <f>200+4800</f>
        <v>5000</v>
      </c>
      <c r="T5038" s="83" t="s">
        <v>16734</v>
      </c>
      <c r="U5038" s="95">
        <v>10936</v>
      </c>
      <c r="V5038" s="148">
        <v>45610</v>
      </c>
      <c r="W5038" s="85" t="s">
        <v>17380</v>
      </c>
      <c r="X5038" s="80"/>
      <c r="Y5038" s="22">
        <v>0</v>
      </c>
      <c r="Z5038" s="80" t="s">
        <v>50</v>
      </c>
      <c r="AA5038" s="86" t="s">
        <v>14723</v>
      </c>
      <c r="AB5038" s="80"/>
      <c r="AC5038" s="80" t="s">
        <v>53</v>
      </c>
      <c r="AD5038" s="80" t="s">
        <v>138</v>
      </c>
      <c r="AE5038" s="80"/>
      <c r="AF5038" s="17">
        <v>45975</v>
      </c>
      <c r="AG5038" s="198" t="s">
        <v>17381</v>
      </c>
      <c r="AH5038" s="80"/>
      <c r="AI5038" s="147"/>
      <c r="AJ5038" s="80"/>
      <c r="AK5038" s="80"/>
      <c r="AL5038" s="35"/>
      <c r="AM5038" s="35"/>
      <c r="AN5038" s="35"/>
      <c r="AO5038" s="35"/>
      <c r="AP5038" s="35"/>
    </row>
    <row r="5039" spans="1:42" x14ac:dyDescent="0.2">
      <c r="A5039" s="126">
        <v>45567.974176354168</v>
      </c>
      <c r="B5039" s="137" t="s">
        <v>37</v>
      </c>
      <c r="C5039" s="41" t="s">
        <v>118</v>
      </c>
      <c r="D5039" s="80" t="s">
        <v>36</v>
      </c>
      <c r="E5039" s="80" t="s">
        <v>39</v>
      </c>
      <c r="F5039" s="80" t="s">
        <v>36</v>
      </c>
      <c r="G5039" s="80" t="s">
        <v>41</v>
      </c>
      <c r="H5039" s="80" t="s">
        <v>17382</v>
      </c>
      <c r="I5039" s="17" t="str">
        <f ca="1">IFERROR(__xludf.DUMMYFUNCTION("""COMPUTED_VALUE""")," ")</f>
        <v xml:space="preserve"> </v>
      </c>
      <c r="J5039" s="143" t="s">
        <v>17383</v>
      </c>
      <c r="K5039" s="80" t="s">
        <v>17384</v>
      </c>
      <c r="L5039" s="30">
        <v>968097311</v>
      </c>
      <c r="M5039" s="80" t="s">
        <v>59</v>
      </c>
      <c r="N5039" s="80" t="s">
        <v>9660</v>
      </c>
      <c r="O5039" s="80" t="s">
        <v>17385</v>
      </c>
      <c r="P5039" s="80" t="s">
        <v>17386</v>
      </c>
      <c r="Q5039" s="20">
        <v>5736</v>
      </c>
      <c r="R5039" s="80" t="s">
        <v>36</v>
      </c>
      <c r="S5039" s="77">
        <f>200+5000</f>
        <v>5200</v>
      </c>
      <c r="T5039" s="83" t="s">
        <v>17387</v>
      </c>
      <c r="U5039" s="95">
        <v>536</v>
      </c>
      <c r="V5039" s="148">
        <v>45626</v>
      </c>
      <c r="W5039" s="85" t="s">
        <v>17388</v>
      </c>
      <c r="X5039" s="80"/>
      <c r="Y5039" s="22">
        <v>0</v>
      </c>
      <c r="Z5039" s="80" t="s">
        <v>50</v>
      </c>
      <c r="AA5039" s="82" t="s">
        <v>14723</v>
      </c>
      <c r="AB5039" s="80"/>
      <c r="AC5039" s="80" t="s">
        <v>53</v>
      </c>
      <c r="AD5039" s="80" t="s">
        <v>138</v>
      </c>
      <c r="AE5039" s="80" t="s">
        <v>72</v>
      </c>
      <c r="AF5039" s="43">
        <v>45576</v>
      </c>
      <c r="AG5039" s="80" t="s">
        <v>7078</v>
      </c>
      <c r="AH5039" s="80"/>
      <c r="AI5039" s="147"/>
      <c r="AJ5039" s="80"/>
      <c r="AK5039" s="80"/>
      <c r="AL5039" s="35"/>
      <c r="AM5039" s="35"/>
      <c r="AN5039" s="35"/>
      <c r="AO5039" s="35"/>
      <c r="AP5039" s="35"/>
    </row>
    <row r="5040" spans="1:42" x14ac:dyDescent="0.2">
      <c r="A5040" s="126">
        <v>45568.330920219909</v>
      </c>
      <c r="B5040" s="137" t="s">
        <v>37</v>
      </c>
      <c r="C5040" s="41" t="s">
        <v>118</v>
      </c>
      <c r="D5040" s="80" t="s">
        <v>36</v>
      </c>
      <c r="E5040" s="80" t="s">
        <v>139</v>
      </c>
      <c r="F5040" s="80" t="s">
        <v>36</v>
      </c>
      <c r="G5040" s="80" t="s">
        <v>41</v>
      </c>
      <c r="H5040" s="80" t="s">
        <v>14934</v>
      </c>
      <c r="I5040" s="17">
        <f ca="1">IFERROR(__xludf.DUMMYFUNCTION("""COMPUTED_VALUE"""),45578)</f>
        <v>45578</v>
      </c>
      <c r="J5040" s="143" t="s">
        <v>16742</v>
      </c>
      <c r="K5040" s="80" t="s">
        <v>16743</v>
      </c>
      <c r="L5040" s="30">
        <v>395247864</v>
      </c>
      <c r="M5040" s="26" t="s">
        <v>3498</v>
      </c>
      <c r="N5040" s="80" t="s">
        <v>2756</v>
      </c>
      <c r="O5040" s="80" t="s">
        <v>4503</v>
      </c>
      <c r="P5040" s="80" t="s">
        <v>3056</v>
      </c>
      <c r="Q5040" s="20">
        <v>15936</v>
      </c>
      <c r="R5040" s="80" t="s">
        <v>36</v>
      </c>
      <c r="S5040" s="95">
        <f>200+4800</f>
        <v>5000</v>
      </c>
      <c r="T5040" s="83" t="s">
        <v>16744</v>
      </c>
      <c r="U5040" s="95">
        <v>10936</v>
      </c>
      <c r="V5040" s="148">
        <v>45610</v>
      </c>
      <c r="W5040" s="85" t="s">
        <v>16745</v>
      </c>
      <c r="X5040" s="80"/>
      <c r="Y5040" s="22">
        <v>0</v>
      </c>
      <c r="Z5040" s="80" t="s">
        <v>50</v>
      </c>
      <c r="AA5040" s="86" t="s">
        <v>14723</v>
      </c>
      <c r="AB5040" s="80"/>
      <c r="AC5040" s="80" t="s">
        <v>53</v>
      </c>
      <c r="AD5040" s="80" t="s">
        <v>138</v>
      </c>
      <c r="AE5040" s="80"/>
      <c r="AF5040" s="43">
        <v>45576</v>
      </c>
      <c r="AG5040" s="80" t="s">
        <v>14940</v>
      </c>
      <c r="AH5040" s="80"/>
      <c r="AI5040" s="147"/>
      <c r="AJ5040" s="80"/>
      <c r="AK5040" s="80"/>
      <c r="AL5040" s="35"/>
      <c r="AM5040" s="35"/>
      <c r="AN5040" s="35"/>
      <c r="AO5040" s="35"/>
      <c r="AP5040" s="35"/>
    </row>
    <row r="5041" spans="1:42" x14ac:dyDescent="0.2">
      <c r="A5041" s="126">
        <v>45568.333968796302</v>
      </c>
      <c r="B5041" s="137" t="s">
        <v>37</v>
      </c>
      <c r="C5041" s="41" t="s">
        <v>118</v>
      </c>
      <c r="D5041" s="80" t="s">
        <v>36</v>
      </c>
      <c r="E5041" s="80" t="s">
        <v>139</v>
      </c>
      <c r="F5041" s="80" t="s">
        <v>36</v>
      </c>
      <c r="G5041" s="80" t="s">
        <v>41</v>
      </c>
      <c r="H5041" s="80" t="s">
        <v>15796</v>
      </c>
      <c r="I5041" s="17">
        <f ca="1">IFERROR(__xludf.DUMMYFUNCTION("""COMPUTED_VALUE"""),45594)</f>
        <v>45594</v>
      </c>
      <c r="J5041" s="143" t="s">
        <v>17389</v>
      </c>
      <c r="K5041" s="80" t="s">
        <v>17390</v>
      </c>
      <c r="L5041" s="30">
        <v>346769564</v>
      </c>
      <c r="M5041" s="80" t="s">
        <v>15996</v>
      </c>
      <c r="N5041" s="80" t="s">
        <v>186</v>
      </c>
      <c r="O5041" s="80" t="s">
        <v>4503</v>
      </c>
      <c r="P5041" s="80" t="s">
        <v>5794</v>
      </c>
      <c r="Q5041" s="20">
        <v>15936</v>
      </c>
      <c r="R5041" s="80" t="s">
        <v>70</v>
      </c>
      <c r="S5041" s="95">
        <f t="shared" ref="S5041:S5042" si="121">200+2800</f>
        <v>3000</v>
      </c>
      <c r="T5041" s="83" t="s">
        <v>17391</v>
      </c>
      <c r="U5041" s="95">
        <v>12836</v>
      </c>
      <c r="V5041" s="148">
        <v>45607</v>
      </c>
      <c r="W5041" s="85" t="s">
        <v>17392</v>
      </c>
      <c r="X5041" s="80"/>
      <c r="Y5041" s="22">
        <v>100</v>
      </c>
      <c r="Z5041" s="80" t="s">
        <v>50</v>
      </c>
      <c r="AA5041" s="82" t="s">
        <v>14723</v>
      </c>
      <c r="AB5041" s="80"/>
      <c r="AC5041" s="80" t="s">
        <v>53</v>
      </c>
      <c r="AD5041" s="80" t="s">
        <v>138</v>
      </c>
      <c r="AE5041" s="80"/>
      <c r="AF5041" s="43">
        <v>45594</v>
      </c>
      <c r="AG5041" s="80"/>
      <c r="AH5041" s="80"/>
      <c r="AI5041" s="147"/>
      <c r="AJ5041" s="80"/>
      <c r="AK5041" s="80"/>
      <c r="AL5041" s="35"/>
      <c r="AM5041" s="35"/>
      <c r="AN5041" s="35"/>
      <c r="AO5041" s="35"/>
      <c r="AP5041" s="35"/>
    </row>
    <row r="5042" spans="1:42" x14ac:dyDescent="0.2">
      <c r="A5042" s="126">
        <v>45568.335160821764</v>
      </c>
      <c r="B5042" s="137" t="s">
        <v>37</v>
      </c>
      <c r="C5042" s="41" t="s">
        <v>118</v>
      </c>
      <c r="D5042" s="80" t="s">
        <v>36</v>
      </c>
      <c r="E5042" s="80" t="s">
        <v>139</v>
      </c>
      <c r="F5042" s="80" t="s">
        <v>36</v>
      </c>
      <c r="G5042" s="80" t="s">
        <v>41</v>
      </c>
      <c r="H5042" s="80" t="s">
        <v>15796</v>
      </c>
      <c r="I5042" s="17">
        <f ca="1">IFERROR(__xludf.DUMMYFUNCTION("""COMPUTED_VALUE"""),45594)</f>
        <v>45594</v>
      </c>
      <c r="J5042" s="143" t="s">
        <v>17393</v>
      </c>
      <c r="K5042" s="80" t="s">
        <v>17394</v>
      </c>
      <c r="L5042" s="30">
        <v>906108476</v>
      </c>
      <c r="M5042" s="80" t="s">
        <v>15996</v>
      </c>
      <c r="N5042" s="80" t="s">
        <v>186</v>
      </c>
      <c r="O5042" s="80" t="s">
        <v>4503</v>
      </c>
      <c r="P5042" s="80" t="s">
        <v>3056</v>
      </c>
      <c r="Q5042" s="20">
        <v>15936</v>
      </c>
      <c r="R5042" s="80" t="s">
        <v>70</v>
      </c>
      <c r="S5042" s="95">
        <f t="shared" si="121"/>
        <v>3000</v>
      </c>
      <c r="T5042" s="83" t="s">
        <v>17391</v>
      </c>
      <c r="U5042" s="95">
        <v>12836</v>
      </c>
      <c r="V5042" s="148">
        <v>45610</v>
      </c>
      <c r="W5042" s="85" t="s">
        <v>17395</v>
      </c>
      <c r="X5042" s="80"/>
      <c r="Y5042" s="22">
        <v>100</v>
      </c>
      <c r="Z5042" s="80" t="s">
        <v>50</v>
      </c>
      <c r="AA5042" s="86" t="s">
        <v>14723</v>
      </c>
      <c r="AB5042" s="80"/>
      <c r="AC5042" s="80" t="s">
        <v>53</v>
      </c>
      <c r="AD5042" s="80" t="s">
        <v>138</v>
      </c>
      <c r="AE5042" s="80"/>
      <c r="AF5042" s="43">
        <v>45594</v>
      </c>
      <c r="AG5042" s="80"/>
      <c r="AH5042" s="80"/>
      <c r="AI5042" s="147"/>
      <c r="AJ5042" s="80"/>
      <c r="AK5042" s="80"/>
      <c r="AL5042" s="35"/>
      <c r="AM5042" s="35"/>
      <c r="AN5042" s="35"/>
      <c r="AO5042" s="35"/>
      <c r="AP5042" s="35"/>
    </row>
    <row r="5043" spans="1:42" x14ac:dyDescent="0.2">
      <c r="A5043" s="126">
        <v>45568.338376527783</v>
      </c>
      <c r="B5043" s="137" t="s">
        <v>37</v>
      </c>
      <c r="C5043" s="41" t="s">
        <v>118</v>
      </c>
      <c r="D5043" s="80" t="s">
        <v>36</v>
      </c>
      <c r="E5043" s="80" t="s">
        <v>77</v>
      </c>
      <c r="F5043" s="80" t="s">
        <v>36</v>
      </c>
      <c r="G5043" s="80" t="s">
        <v>41</v>
      </c>
      <c r="H5043" s="80" t="s">
        <v>14934</v>
      </c>
      <c r="I5043" s="17">
        <f ca="1">IFERROR(__xludf.DUMMYFUNCTION("""COMPUTED_VALUE"""),45578)</f>
        <v>45578</v>
      </c>
      <c r="J5043" s="143" t="s">
        <v>17396</v>
      </c>
      <c r="K5043" s="80" t="s">
        <v>17397</v>
      </c>
      <c r="L5043" s="30">
        <v>978135861</v>
      </c>
      <c r="M5043" s="80" t="s">
        <v>123</v>
      </c>
      <c r="N5043" s="80" t="s">
        <v>2847</v>
      </c>
      <c r="O5043" s="80" t="s">
        <v>4503</v>
      </c>
      <c r="P5043" s="80" t="s">
        <v>3056</v>
      </c>
      <c r="Q5043" s="20">
        <v>1968</v>
      </c>
      <c r="R5043" s="80" t="s">
        <v>36</v>
      </c>
      <c r="S5043" s="95">
        <f t="shared" ref="S5043:S5044" si="122">200+1800</f>
        <v>2000</v>
      </c>
      <c r="T5043" s="83" t="s">
        <v>17398</v>
      </c>
      <c r="U5043" s="77"/>
      <c r="V5043" s="78"/>
      <c r="W5043" s="85" t="s">
        <v>17399</v>
      </c>
      <c r="X5043" s="80"/>
      <c r="Y5043" s="22">
        <v>-32</v>
      </c>
      <c r="Z5043" s="80" t="s">
        <v>50</v>
      </c>
      <c r="AA5043" s="82" t="s">
        <v>14723</v>
      </c>
      <c r="AB5043" s="80"/>
      <c r="AC5043" s="80" t="s">
        <v>53</v>
      </c>
      <c r="AD5043" s="80" t="s">
        <v>138</v>
      </c>
      <c r="AE5043" s="80"/>
      <c r="AF5043" s="43">
        <v>45576</v>
      </c>
      <c r="AG5043" s="80" t="s">
        <v>7078</v>
      </c>
      <c r="AH5043" s="80"/>
      <c r="AI5043" s="147"/>
      <c r="AJ5043" s="80"/>
      <c r="AK5043" s="80"/>
      <c r="AL5043" s="35"/>
      <c r="AM5043" s="35"/>
      <c r="AN5043" s="35"/>
      <c r="AO5043" s="35"/>
      <c r="AP5043" s="35"/>
    </row>
    <row r="5044" spans="1:42" x14ac:dyDescent="0.2">
      <c r="A5044" s="126">
        <v>45568.670635532406</v>
      </c>
      <c r="B5044" s="137" t="s">
        <v>37</v>
      </c>
      <c r="C5044" s="41" t="s">
        <v>118</v>
      </c>
      <c r="D5044" s="80" t="s">
        <v>36</v>
      </c>
      <c r="E5044" s="80" t="s">
        <v>139</v>
      </c>
      <c r="F5044" s="80" t="s">
        <v>36</v>
      </c>
      <c r="G5044" s="80" t="s">
        <v>41</v>
      </c>
      <c r="H5044" s="80" t="s">
        <v>13143</v>
      </c>
      <c r="I5044" s="17">
        <f ca="1">IFERROR(__xludf.DUMMYFUNCTION("""COMPUTED_VALUE"""),45604)</f>
        <v>45604</v>
      </c>
      <c r="J5044" s="143" t="s">
        <v>17400</v>
      </c>
      <c r="K5044" s="80" t="s">
        <v>17401</v>
      </c>
      <c r="L5044" s="30">
        <v>886896215</v>
      </c>
      <c r="M5044" s="80" t="s">
        <v>12720</v>
      </c>
      <c r="N5044" s="80" t="s">
        <v>1073</v>
      </c>
      <c r="O5044" s="80" t="s">
        <v>17402</v>
      </c>
      <c r="P5044" s="80" t="s">
        <v>14120</v>
      </c>
      <c r="Q5044" s="20">
        <v>15936</v>
      </c>
      <c r="R5044" s="80" t="s">
        <v>36</v>
      </c>
      <c r="S5044" s="95">
        <f t="shared" si="122"/>
        <v>2000</v>
      </c>
      <c r="T5044" s="83" t="s">
        <v>17403</v>
      </c>
      <c r="U5044" s="95">
        <v>13936</v>
      </c>
      <c r="V5044" s="148">
        <v>45624</v>
      </c>
      <c r="W5044" s="85" t="s">
        <v>17404</v>
      </c>
      <c r="X5044" s="80"/>
      <c r="Y5044" s="22">
        <v>0</v>
      </c>
      <c r="Z5044" s="80" t="s">
        <v>50</v>
      </c>
      <c r="AA5044" s="86" t="s">
        <v>14723</v>
      </c>
      <c r="AB5044" s="80"/>
      <c r="AC5044" s="80" t="s">
        <v>53</v>
      </c>
      <c r="AD5044" s="80" t="s">
        <v>138</v>
      </c>
      <c r="AE5044" s="83">
        <v>0</v>
      </c>
      <c r="AF5044" s="17">
        <v>45604</v>
      </c>
      <c r="AG5044" s="80"/>
      <c r="AH5044" s="80"/>
      <c r="AI5044" s="147"/>
      <c r="AJ5044" s="80"/>
      <c r="AK5044" s="80"/>
      <c r="AL5044" s="35"/>
      <c r="AM5044" s="35"/>
      <c r="AN5044" s="35"/>
      <c r="AO5044" s="35"/>
      <c r="AP5044" s="35"/>
    </row>
    <row r="5045" spans="1:42" x14ac:dyDescent="0.2">
      <c r="A5045" s="126">
        <v>45568.856960092591</v>
      </c>
      <c r="B5045" s="137" t="s">
        <v>37</v>
      </c>
      <c r="C5045" s="41" t="s">
        <v>118</v>
      </c>
      <c r="D5045" s="80" t="s">
        <v>36</v>
      </c>
      <c r="E5045" s="80" t="s">
        <v>139</v>
      </c>
      <c r="F5045" s="80" t="s">
        <v>36</v>
      </c>
      <c r="G5045" s="80" t="s">
        <v>41</v>
      </c>
      <c r="H5045" s="80" t="s">
        <v>13143</v>
      </c>
      <c r="I5045" s="17">
        <f ca="1">IFERROR(__xludf.DUMMYFUNCTION("""COMPUTED_VALUE"""),45604)</f>
        <v>45604</v>
      </c>
      <c r="J5045" s="143" t="s">
        <v>17405</v>
      </c>
      <c r="K5045" s="80" t="s">
        <v>17406</v>
      </c>
      <c r="L5045" s="30">
        <v>353292027</v>
      </c>
      <c r="M5045" s="80" t="s">
        <v>5558</v>
      </c>
      <c r="N5045" s="80" t="s">
        <v>850</v>
      </c>
      <c r="O5045" s="80" t="s">
        <v>17407</v>
      </c>
      <c r="P5045" s="80" t="s">
        <v>17408</v>
      </c>
      <c r="Q5045" s="20">
        <v>15936</v>
      </c>
      <c r="R5045" s="80" t="s">
        <v>36</v>
      </c>
      <c r="S5045" s="95">
        <v>2000</v>
      </c>
      <c r="T5045" s="148">
        <v>45568</v>
      </c>
      <c r="U5045" s="95">
        <v>13936</v>
      </c>
      <c r="V5045" s="148">
        <v>45621</v>
      </c>
      <c r="W5045" s="85" t="s">
        <v>17409</v>
      </c>
      <c r="X5045" s="80"/>
      <c r="Y5045" s="22">
        <v>0</v>
      </c>
      <c r="Z5045" s="80" t="s">
        <v>50</v>
      </c>
      <c r="AA5045" s="82" t="s">
        <v>14723</v>
      </c>
      <c r="AB5045" s="80"/>
      <c r="AC5045" s="80" t="s">
        <v>53</v>
      </c>
      <c r="AD5045" s="80" t="s">
        <v>138</v>
      </c>
      <c r="AE5045" s="80"/>
      <c r="AF5045" s="17">
        <v>45604</v>
      </c>
      <c r="AG5045" s="80"/>
      <c r="AH5045" s="80"/>
      <c r="AI5045" s="147"/>
      <c r="AJ5045" s="80"/>
      <c r="AK5045" s="80"/>
      <c r="AL5045" s="35"/>
      <c r="AM5045" s="35"/>
      <c r="AN5045" s="35"/>
      <c r="AO5045" s="35"/>
      <c r="AP5045" s="35"/>
    </row>
    <row r="5046" spans="1:42" x14ac:dyDescent="0.2">
      <c r="A5046" s="126">
        <v>45568.864506319442</v>
      </c>
      <c r="B5046" s="137" t="s">
        <v>37</v>
      </c>
      <c r="C5046" s="41" t="s">
        <v>118</v>
      </c>
      <c r="D5046" s="80" t="s">
        <v>36</v>
      </c>
      <c r="E5046" s="80" t="s">
        <v>56</v>
      </c>
      <c r="F5046" s="80" t="s">
        <v>36</v>
      </c>
      <c r="G5046" s="80" t="s">
        <v>41</v>
      </c>
      <c r="H5046" s="80" t="s">
        <v>13535</v>
      </c>
      <c r="I5046" s="17">
        <f ca="1">IFERROR(__xludf.DUMMYFUNCTION("""COMPUTED_VALUE"""),45589)</f>
        <v>45589</v>
      </c>
      <c r="J5046" s="143" t="s">
        <v>16970</v>
      </c>
      <c r="K5046" s="80" t="s">
        <v>17410</v>
      </c>
      <c r="L5046" s="30">
        <v>393802070</v>
      </c>
      <c r="M5046" s="80" t="s">
        <v>5558</v>
      </c>
      <c r="N5046" s="80" t="s">
        <v>850</v>
      </c>
      <c r="O5046" s="80" t="s">
        <v>16972</v>
      </c>
      <c r="P5046" s="80" t="s">
        <v>13226</v>
      </c>
      <c r="Q5046" s="20">
        <v>9317</v>
      </c>
      <c r="R5046" s="80" t="s">
        <v>36</v>
      </c>
      <c r="S5046" s="95">
        <f>200+1800</f>
        <v>2000</v>
      </c>
      <c r="T5046" s="83" t="s">
        <v>16973</v>
      </c>
      <c r="U5046" s="95">
        <f>3371+3946</f>
        <v>7317</v>
      </c>
      <c r="V5046" s="83" t="s">
        <v>16974</v>
      </c>
      <c r="W5046" s="85" t="s">
        <v>16975</v>
      </c>
      <c r="X5046" s="80"/>
      <c r="Y5046" s="22">
        <v>0</v>
      </c>
      <c r="Z5046" s="80" t="s">
        <v>50</v>
      </c>
      <c r="AA5046" s="86" t="s">
        <v>14723</v>
      </c>
      <c r="AB5046" s="80"/>
      <c r="AC5046" s="80" t="s">
        <v>53</v>
      </c>
      <c r="AD5046" s="80" t="s">
        <v>138</v>
      </c>
      <c r="AE5046" s="80"/>
      <c r="AF5046" s="43">
        <v>45589</v>
      </c>
      <c r="AG5046" s="80" t="s">
        <v>13541</v>
      </c>
      <c r="AH5046" s="80"/>
      <c r="AI5046" s="147"/>
      <c r="AJ5046" s="80"/>
      <c r="AK5046" s="80"/>
      <c r="AL5046" s="35"/>
      <c r="AM5046" s="35"/>
      <c r="AN5046" s="35"/>
      <c r="AO5046" s="35"/>
      <c r="AP5046" s="35"/>
    </row>
    <row r="5047" spans="1:42" x14ac:dyDescent="0.2">
      <c r="A5047" s="126">
        <v>45569.325498611113</v>
      </c>
      <c r="B5047" s="137" t="s">
        <v>37</v>
      </c>
      <c r="C5047" s="41" t="s">
        <v>118</v>
      </c>
      <c r="D5047" s="80" t="s">
        <v>36</v>
      </c>
      <c r="E5047" s="80" t="s">
        <v>139</v>
      </c>
      <c r="F5047" s="80" t="s">
        <v>36</v>
      </c>
      <c r="G5047" s="80" t="s">
        <v>41</v>
      </c>
      <c r="H5047" s="80" t="s">
        <v>15451</v>
      </c>
      <c r="I5047" s="17">
        <f ca="1">IFERROR(__xludf.DUMMYFUNCTION("""COMPUTED_VALUE"""),45603)</f>
        <v>45603</v>
      </c>
      <c r="J5047" s="143" t="s">
        <v>17411</v>
      </c>
      <c r="K5047" s="80" t="s">
        <v>17412</v>
      </c>
      <c r="L5047" s="30">
        <v>378502736</v>
      </c>
      <c r="M5047" s="80" t="s">
        <v>15970</v>
      </c>
      <c r="N5047" s="80" t="s">
        <v>327</v>
      </c>
      <c r="O5047" s="80" t="s">
        <v>4503</v>
      </c>
      <c r="P5047" s="80" t="s">
        <v>3056</v>
      </c>
      <c r="Q5047" s="20">
        <v>15936</v>
      </c>
      <c r="R5047" s="80" t="s">
        <v>36</v>
      </c>
      <c r="S5047" s="95">
        <v>3000</v>
      </c>
      <c r="T5047" s="148">
        <v>45568</v>
      </c>
      <c r="U5047" s="95">
        <v>12936</v>
      </c>
      <c r="V5047" s="148">
        <v>45621</v>
      </c>
      <c r="W5047" s="85" t="s">
        <v>17413</v>
      </c>
      <c r="X5047" s="80"/>
      <c r="Y5047" s="22">
        <v>0</v>
      </c>
      <c r="Z5047" s="80" t="s">
        <v>50</v>
      </c>
      <c r="AA5047" s="82" t="s">
        <v>14723</v>
      </c>
      <c r="AB5047" s="80"/>
      <c r="AC5047" s="80" t="s">
        <v>53</v>
      </c>
      <c r="AD5047" s="80" t="s">
        <v>138</v>
      </c>
      <c r="AE5047" s="80"/>
      <c r="AF5047" s="17">
        <v>45603</v>
      </c>
      <c r="AG5047" s="80"/>
      <c r="AH5047" s="80"/>
      <c r="AI5047" s="147"/>
      <c r="AJ5047" s="80"/>
      <c r="AK5047" s="80"/>
      <c r="AL5047" s="35"/>
      <c r="AM5047" s="35"/>
      <c r="AN5047" s="35"/>
      <c r="AO5047" s="35"/>
      <c r="AP5047" s="35"/>
    </row>
    <row r="5048" spans="1:42" x14ac:dyDescent="0.2">
      <c r="A5048" s="126">
        <v>45569.58427269676</v>
      </c>
      <c r="B5048" s="137" t="s">
        <v>37</v>
      </c>
      <c r="C5048" s="41" t="s">
        <v>118</v>
      </c>
      <c r="D5048" s="80" t="s">
        <v>36</v>
      </c>
      <c r="E5048" s="80" t="s">
        <v>139</v>
      </c>
      <c r="F5048" s="80" t="s">
        <v>36</v>
      </c>
      <c r="G5048" s="80" t="s">
        <v>41</v>
      </c>
      <c r="H5048" s="80" t="s">
        <v>14159</v>
      </c>
      <c r="I5048" s="17">
        <f ca="1">IFERROR(__xludf.DUMMYFUNCTION("""COMPUTED_VALUE"""),45576)</f>
        <v>45576</v>
      </c>
      <c r="J5048" s="143" t="s">
        <v>16891</v>
      </c>
      <c r="K5048" s="80" t="s">
        <v>17414</v>
      </c>
      <c r="L5048" s="30">
        <v>328641984</v>
      </c>
      <c r="M5048" s="80" t="s">
        <v>15970</v>
      </c>
      <c r="N5048" s="80" t="s">
        <v>327</v>
      </c>
      <c r="O5048" s="80" t="s">
        <v>16893</v>
      </c>
      <c r="P5048" s="80" t="s">
        <v>17415</v>
      </c>
      <c r="Q5048" s="20">
        <v>15936</v>
      </c>
      <c r="R5048" s="80" t="s">
        <v>1106</v>
      </c>
      <c r="S5048" s="95">
        <f>200+2800</f>
        <v>3000</v>
      </c>
      <c r="T5048" s="83" t="s">
        <v>16895</v>
      </c>
      <c r="U5048" s="95">
        <v>12786</v>
      </c>
      <c r="V5048" s="148">
        <v>45598</v>
      </c>
      <c r="W5048" s="85" t="s">
        <v>16896</v>
      </c>
      <c r="X5048" s="80"/>
      <c r="Y5048" s="22">
        <v>150</v>
      </c>
      <c r="Z5048" s="80" t="s">
        <v>50</v>
      </c>
      <c r="AA5048" s="86" t="s">
        <v>14723</v>
      </c>
      <c r="AB5048" s="80"/>
      <c r="AC5048" s="80" t="s">
        <v>53</v>
      </c>
      <c r="AD5048" s="80" t="s">
        <v>54</v>
      </c>
      <c r="AE5048" s="80" t="s">
        <v>17416</v>
      </c>
      <c r="AF5048" s="17">
        <v>45572</v>
      </c>
      <c r="AG5048" s="80"/>
      <c r="AH5048" s="80"/>
      <c r="AI5048" s="147"/>
      <c r="AJ5048" s="80"/>
      <c r="AK5048" s="80"/>
      <c r="AL5048" s="35"/>
      <c r="AM5048" s="35"/>
      <c r="AN5048" s="35"/>
      <c r="AO5048" s="35"/>
      <c r="AP5048" s="35"/>
    </row>
    <row r="5049" spans="1:42" x14ac:dyDescent="0.2">
      <c r="A5049" s="126">
        <v>45569.924933437505</v>
      </c>
      <c r="B5049" s="137" t="s">
        <v>37</v>
      </c>
      <c r="C5049" s="41" t="s">
        <v>118</v>
      </c>
      <c r="D5049" s="80" t="s">
        <v>36</v>
      </c>
      <c r="E5049" s="80" t="s">
        <v>139</v>
      </c>
      <c r="F5049" s="80" t="s">
        <v>36</v>
      </c>
      <c r="G5049" s="80" t="s">
        <v>41</v>
      </c>
      <c r="H5049" s="80" t="s">
        <v>16095</v>
      </c>
      <c r="I5049" s="17">
        <f ca="1">IFERROR(__xludf.DUMMYFUNCTION("""COMPUTED_VALUE"""),45579)</f>
        <v>45579</v>
      </c>
      <c r="J5049" s="143" t="s">
        <v>16918</v>
      </c>
      <c r="K5049" s="80" t="s">
        <v>16919</v>
      </c>
      <c r="L5049" s="30">
        <v>913764815</v>
      </c>
      <c r="M5049" s="80" t="s">
        <v>12644</v>
      </c>
      <c r="N5049" s="80" t="s">
        <v>260</v>
      </c>
      <c r="O5049" s="80" t="s">
        <v>16920</v>
      </c>
      <c r="P5049" s="80" t="s">
        <v>16921</v>
      </c>
      <c r="Q5049" s="20">
        <v>15936</v>
      </c>
      <c r="R5049" s="80" t="s">
        <v>36</v>
      </c>
      <c r="S5049" s="95">
        <f>200+2000</f>
        <v>2200</v>
      </c>
      <c r="T5049" s="83" t="s">
        <v>16104</v>
      </c>
      <c r="U5049" s="95">
        <v>13736</v>
      </c>
      <c r="V5049" s="148">
        <v>45597</v>
      </c>
      <c r="W5049" s="85" t="s">
        <v>16922</v>
      </c>
      <c r="X5049" s="80"/>
      <c r="Y5049" s="22">
        <v>0</v>
      </c>
      <c r="Z5049" s="80" t="s">
        <v>50</v>
      </c>
      <c r="AA5049" s="82" t="s">
        <v>14723</v>
      </c>
      <c r="AB5049" s="80"/>
      <c r="AC5049" s="80" t="s">
        <v>53</v>
      </c>
      <c r="AD5049" s="80" t="s">
        <v>54</v>
      </c>
      <c r="AE5049" s="80"/>
      <c r="AF5049" s="17">
        <v>45573</v>
      </c>
      <c r="AG5049" s="80"/>
      <c r="AH5049" s="80"/>
      <c r="AI5049" s="147"/>
      <c r="AJ5049" s="80"/>
      <c r="AK5049" s="80"/>
      <c r="AL5049" s="35"/>
      <c r="AM5049" s="35"/>
      <c r="AN5049" s="35"/>
      <c r="AO5049" s="35"/>
      <c r="AP5049" s="35"/>
    </row>
    <row r="5050" spans="1:42" x14ac:dyDescent="0.2">
      <c r="A5050" s="126">
        <v>45570.530393182868</v>
      </c>
      <c r="B5050" s="137" t="s">
        <v>37</v>
      </c>
      <c r="C5050" s="41" t="s">
        <v>118</v>
      </c>
      <c r="D5050" s="80" t="s">
        <v>36</v>
      </c>
      <c r="E5050" s="80" t="s">
        <v>139</v>
      </c>
      <c r="F5050" s="80" t="s">
        <v>40</v>
      </c>
      <c r="G5050" s="80" t="s">
        <v>41</v>
      </c>
      <c r="H5050" s="80" t="s">
        <v>14934</v>
      </c>
      <c r="I5050" s="17">
        <f ca="1">IFERROR(__xludf.DUMMYFUNCTION("""COMPUTED_VALUE"""),45578)</f>
        <v>45578</v>
      </c>
      <c r="J5050" s="143" t="s">
        <v>16746</v>
      </c>
      <c r="K5050" s="80" t="s">
        <v>16747</v>
      </c>
      <c r="L5050" s="30">
        <v>842147696</v>
      </c>
      <c r="M5050" s="80" t="s">
        <v>5429</v>
      </c>
      <c r="N5050" s="80" t="s">
        <v>81</v>
      </c>
      <c r="O5050" s="80" t="s">
        <v>4626</v>
      </c>
      <c r="P5050" s="80" t="s">
        <v>6368</v>
      </c>
      <c r="Q5050" s="20">
        <v>15936</v>
      </c>
      <c r="R5050" s="80" t="s">
        <v>36</v>
      </c>
      <c r="S5050" s="95">
        <v>2000</v>
      </c>
      <c r="T5050" s="148">
        <v>45570</v>
      </c>
      <c r="U5050" s="95">
        <v>13936</v>
      </c>
      <c r="V5050" s="148">
        <v>45602</v>
      </c>
      <c r="W5050" s="85" t="s">
        <v>16748</v>
      </c>
      <c r="X5050" s="80"/>
      <c r="Y5050" s="22">
        <v>0</v>
      </c>
      <c r="Z5050" s="80" t="s">
        <v>50</v>
      </c>
      <c r="AA5050" s="86" t="s">
        <v>14723</v>
      </c>
      <c r="AB5050" s="80"/>
      <c r="AC5050" s="80" t="s">
        <v>53</v>
      </c>
      <c r="AD5050" s="80" t="s">
        <v>138</v>
      </c>
      <c r="AE5050" s="80" t="s">
        <v>72</v>
      </c>
      <c r="AF5050" s="43">
        <v>45576</v>
      </c>
      <c r="AG5050" s="80" t="s">
        <v>14940</v>
      </c>
      <c r="AH5050" s="80"/>
      <c r="AI5050" s="147"/>
      <c r="AJ5050" s="80"/>
      <c r="AK5050" s="80"/>
      <c r="AL5050" s="35"/>
      <c r="AM5050" s="35"/>
      <c r="AN5050" s="35"/>
      <c r="AO5050" s="35"/>
      <c r="AP5050" s="35"/>
    </row>
    <row r="5051" spans="1:42" x14ac:dyDescent="0.2">
      <c r="A5051" s="126">
        <v>45570.74170943287</v>
      </c>
      <c r="B5051" s="137" t="s">
        <v>37</v>
      </c>
      <c r="C5051" s="41" t="s">
        <v>118</v>
      </c>
      <c r="D5051" s="80" t="s">
        <v>36</v>
      </c>
      <c r="E5051" s="80" t="s">
        <v>39</v>
      </c>
      <c r="F5051" s="80" t="s">
        <v>40</v>
      </c>
      <c r="G5051" s="80" t="s">
        <v>41</v>
      </c>
      <c r="H5051" s="80" t="s">
        <v>14934</v>
      </c>
      <c r="I5051" s="17">
        <f ca="1">IFERROR(__xludf.DUMMYFUNCTION("""COMPUTED_VALUE"""),45578)</f>
        <v>45578</v>
      </c>
      <c r="J5051" s="143" t="s">
        <v>16749</v>
      </c>
      <c r="K5051" s="80" t="s">
        <v>16750</v>
      </c>
      <c r="L5051" s="30">
        <v>932002806</v>
      </c>
      <c r="M5051" s="80" t="s">
        <v>15970</v>
      </c>
      <c r="N5051" s="80" t="s">
        <v>15991</v>
      </c>
      <c r="O5051" s="80" t="s">
        <v>16751</v>
      </c>
      <c r="P5051" s="80" t="s">
        <v>16752</v>
      </c>
      <c r="Q5051" s="20">
        <v>5736</v>
      </c>
      <c r="R5051" s="80" t="s">
        <v>70</v>
      </c>
      <c r="S5051" s="95">
        <f t="shared" ref="S5051:S5052" si="123">200+1800</f>
        <v>2000</v>
      </c>
      <c r="T5051" s="83" t="s">
        <v>16753</v>
      </c>
      <c r="U5051" s="95">
        <v>3636</v>
      </c>
      <c r="V5051" s="148">
        <v>45600</v>
      </c>
      <c r="W5051" s="85" t="s">
        <v>16754</v>
      </c>
      <c r="X5051" s="80"/>
      <c r="Y5051" s="22">
        <v>100</v>
      </c>
      <c r="Z5051" s="80" t="s">
        <v>50</v>
      </c>
      <c r="AA5051" s="82" t="s">
        <v>14723</v>
      </c>
      <c r="AB5051" s="80"/>
      <c r="AC5051" s="80"/>
      <c r="AD5051" s="80" t="s">
        <v>138</v>
      </c>
      <c r="AE5051" s="80"/>
      <c r="AF5051" s="43">
        <v>45576</v>
      </c>
      <c r="AG5051" s="80" t="s">
        <v>14940</v>
      </c>
      <c r="AH5051" s="80"/>
      <c r="AI5051" s="147"/>
      <c r="AJ5051" s="80"/>
      <c r="AK5051" s="80"/>
      <c r="AL5051" s="35"/>
      <c r="AM5051" s="35"/>
      <c r="AN5051" s="35"/>
      <c r="AO5051" s="35"/>
      <c r="AP5051" s="35"/>
    </row>
    <row r="5052" spans="1:42" x14ac:dyDescent="0.2">
      <c r="A5052" s="126">
        <v>45570.918327083331</v>
      </c>
      <c r="B5052" s="137" t="s">
        <v>37</v>
      </c>
      <c r="C5052" s="41" t="s">
        <v>118</v>
      </c>
      <c r="D5052" s="80" t="s">
        <v>36</v>
      </c>
      <c r="E5052" s="80" t="s">
        <v>77</v>
      </c>
      <c r="F5052" s="80" t="s">
        <v>36</v>
      </c>
      <c r="G5052" s="80" t="s">
        <v>41</v>
      </c>
      <c r="H5052" s="80" t="s">
        <v>12416</v>
      </c>
      <c r="I5052" s="17">
        <f ca="1">IFERROR(__xludf.DUMMYFUNCTION("""COMPUTED_VALUE"""),45574)</f>
        <v>45574</v>
      </c>
      <c r="J5052" s="143" t="s">
        <v>17417</v>
      </c>
      <c r="K5052" s="80" t="s">
        <v>17418</v>
      </c>
      <c r="L5052" s="30">
        <v>373407185</v>
      </c>
      <c r="M5052" s="80" t="s">
        <v>12720</v>
      </c>
      <c r="N5052" s="80" t="s">
        <v>1073</v>
      </c>
      <c r="O5052" s="80" t="s">
        <v>17419</v>
      </c>
      <c r="P5052" s="80" t="s">
        <v>12578</v>
      </c>
      <c r="Q5052" s="20">
        <v>1968</v>
      </c>
      <c r="R5052" s="80" t="s">
        <v>36</v>
      </c>
      <c r="S5052" s="95">
        <f t="shared" si="123"/>
        <v>2000</v>
      </c>
      <c r="T5052" s="83" t="s">
        <v>17420</v>
      </c>
      <c r="U5052" s="77"/>
      <c r="V5052" s="78"/>
      <c r="W5052" s="85" t="s">
        <v>17421</v>
      </c>
      <c r="X5052" s="80"/>
      <c r="Y5052" s="22">
        <v>-32</v>
      </c>
      <c r="Z5052" s="80" t="s">
        <v>50</v>
      </c>
      <c r="AA5052" s="86" t="s">
        <v>14723</v>
      </c>
      <c r="AB5052" s="80"/>
      <c r="AC5052" s="80" t="s">
        <v>53</v>
      </c>
      <c r="AD5052" s="80" t="s">
        <v>138</v>
      </c>
      <c r="AE5052" s="80"/>
      <c r="AF5052" s="17">
        <v>45573</v>
      </c>
      <c r="AG5052" s="26" t="s">
        <v>7078</v>
      </c>
      <c r="AH5052" s="80"/>
      <c r="AI5052" s="147"/>
      <c r="AJ5052" s="80"/>
      <c r="AK5052" s="80"/>
      <c r="AL5052" s="35"/>
      <c r="AM5052" s="35"/>
      <c r="AN5052" s="35"/>
      <c r="AO5052" s="35"/>
      <c r="AP5052" s="35"/>
    </row>
    <row r="5053" spans="1:42" x14ac:dyDescent="0.2">
      <c r="A5053" s="126">
        <v>45572.384224004629</v>
      </c>
      <c r="B5053" s="137" t="s">
        <v>37</v>
      </c>
      <c r="C5053" s="41" t="s">
        <v>118</v>
      </c>
      <c r="D5053" s="80" t="s">
        <v>36</v>
      </c>
      <c r="E5053" s="80" t="s">
        <v>139</v>
      </c>
      <c r="F5053" s="80" t="s">
        <v>36</v>
      </c>
      <c r="G5053" s="80" t="s">
        <v>41</v>
      </c>
      <c r="H5053" s="80" t="s">
        <v>14159</v>
      </c>
      <c r="I5053" s="17">
        <f ca="1">IFERROR(__xludf.DUMMYFUNCTION("""COMPUTED_VALUE"""),45576)</f>
        <v>45576</v>
      </c>
      <c r="J5053" s="143" t="s">
        <v>16898</v>
      </c>
      <c r="K5053" s="80" t="s">
        <v>16899</v>
      </c>
      <c r="L5053" s="30">
        <v>911400667</v>
      </c>
      <c r="M5053" s="80" t="s">
        <v>15970</v>
      </c>
      <c r="N5053" s="80" t="s">
        <v>16079</v>
      </c>
      <c r="O5053" s="80" t="s">
        <v>16900</v>
      </c>
      <c r="P5053" s="80" t="s">
        <v>17422</v>
      </c>
      <c r="Q5053" s="20">
        <v>15936</v>
      </c>
      <c r="R5053" s="80" t="s">
        <v>1106</v>
      </c>
      <c r="S5053" s="95">
        <v>3000</v>
      </c>
      <c r="T5053" s="148">
        <v>45571</v>
      </c>
      <c r="U5053" s="95">
        <v>12936</v>
      </c>
      <c r="V5053" s="148">
        <v>45600</v>
      </c>
      <c r="W5053" s="85" t="s">
        <v>16902</v>
      </c>
      <c r="X5053" s="80"/>
      <c r="Y5053" s="22">
        <v>0</v>
      </c>
      <c r="Z5053" s="80" t="s">
        <v>50</v>
      </c>
      <c r="AA5053" s="82" t="s">
        <v>14723</v>
      </c>
      <c r="AB5053" s="80"/>
      <c r="AC5053" s="80" t="s">
        <v>53</v>
      </c>
      <c r="AD5053" s="80" t="s">
        <v>54</v>
      </c>
      <c r="AE5053" s="80"/>
      <c r="AF5053" s="17">
        <v>45572</v>
      </c>
      <c r="AG5053" s="80"/>
      <c r="AH5053" s="80"/>
      <c r="AI5053" s="147"/>
      <c r="AJ5053" s="80"/>
      <c r="AK5053" s="80"/>
      <c r="AL5053" s="35"/>
      <c r="AM5053" s="35"/>
      <c r="AN5053" s="35"/>
      <c r="AO5053" s="35"/>
      <c r="AP5053" s="35"/>
    </row>
    <row r="5054" spans="1:42" x14ac:dyDescent="0.2">
      <c r="A5054" s="126">
        <v>45572.659734236113</v>
      </c>
      <c r="B5054" s="137" t="s">
        <v>37</v>
      </c>
      <c r="C5054" s="41" t="s">
        <v>118</v>
      </c>
      <c r="D5054" s="80" t="s">
        <v>36</v>
      </c>
      <c r="E5054" s="80" t="s">
        <v>139</v>
      </c>
      <c r="F5054" s="80" t="s">
        <v>40</v>
      </c>
      <c r="G5054" s="80" t="s">
        <v>41</v>
      </c>
      <c r="H5054" s="80" t="s">
        <v>12416</v>
      </c>
      <c r="I5054" s="17">
        <f ca="1">IFERROR(__xludf.DUMMYFUNCTION("""COMPUTED_VALUE"""),45574)</f>
        <v>45574</v>
      </c>
      <c r="J5054" s="143" t="s">
        <v>16824</v>
      </c>
      <c r="K5054" s="80" t="s">
        <v>16825</v>
      </c>
      <c r="L5054" s="30">
        <v>989158823</v>
      </c>
      <c r="M5054" s="80" t="s">
        <v>348</v>
      </c>
      <c r="N5054" s="80" t="s">
        <v>4299</v>
      </c>
      <c r="O5054" s="80" t="s">
        <v>16826</v>
      </c>
      <c r="P5054" s="80" t="s">
        <v>7743</v>
      </c>
      <c r="Q5054" s="20">
        <v>15936</v>
      </c>
      <c r="R5054" s="80" t="s">
        <v>36</v>
      </c>
      <c r="S5054" s="95">
        <v>2000</v>
      </c>
      <c r="T5054" s="148">
        <v>45572</v>
      </c>
      <c r="U5054" s="95">
        <v>13936</v>
      </c>
      <c r="V5054" s="148">
        <v>45613</v>
      </c>
      <c r="W5054" s="85" t="s">
        <v>16827</v>
      </c>
      <c r="X5054" s="80"/>
      <c r="Y5054" s="22">
        <v>0</v>
      </c>
      <c r="Z5054" s="80" t="s">
        <v>50</v>
      </c>
      <c r="AA5054" s="86" t="s">
        <v>14723</v>
      </c>
      <c r="AB5054" s="80"/>
      <c r="AC5054" s="80" t="s">
        <v>53</v>
      </c>
      <c r="AD5054" s="80" t="s">
        <v>138</v>
      </c>
      <c r="AE5054" s="80" t="s">
        <v>430</v>
      </c>
      <c r="AF5054" s="17">
        <v>45573</v>
      </c>
      <c r="AG5054" s="80" t="s">
        <v>13500</v>
      </c>
      <c r="AH5054" s="80"/>
      <c r="AI5054" s="147"/>
      <c r="AJ5054" s="80"/>
      <c r="AK5054" s="80"/>
      <c r="AL5054" s="35"/>
      <c r="AM5054" s="35"/>
      <c r="AN5054" s="35"/>
      <c r="AO5054" s="35"/>
      <c r="AP5054" s="35"/>
    </row>
    <row r="5055" spans="1:42" x14ac:dyDescent="0.2">
      <c r="A5055" s="126">
        <v>45572.702700682872</v>
      </c>
      <c r="B5055" s="137" t="s">
        <v>37</v>
      </c>
      <c r="C5055" s="41" t="s">
        <v>118</v>
      </c>
      <c r="D5055" s="80" t="s">
        <v>36</v>
      </c>
      <c r="E5055" s="80" t="s">
        <v>139</v>
      </c>
      <c r="F5055" s="80" t="s">
        <v>36</v>
      </c>
      <c r="G5055" s="80" t="s">
        <v>41</v>
      </c>
      <c r="H5055" s="80" t="s">
        <v>15166</v>
      </c>
      <c r="I5055" s="17">
        <f ca="1">IFERROR(__xludf.DUMMYFUNCTION("""COMPUTED_VALUE"""),45589)</f>
        <v>45589</v>
      </c>
      <c r="J5055" s="143" t="s">
        <v>17423</v>
      </c>
      <c r="K5055" s="80" t="s">
        <v>17424</v>
      </c>
      <c r="L5055" s="30">
        <v>985466218</v>
      </c>
      <c r="M5055" s="80" t="s">
        <v>5518</v>
      </c>
      <c r="N5055" s="80" t="s">
        <v>12380</v>
      </c>
      <c r="O5055" s="80" t="s">
        <v>16852</v>
      </c>
      <c r="P5055" s="80" t="s">
        <v>5462</v>
      </c>
      <c r="Q5055" s="20">
        <v>15936</v>
      </c>
      <c r="R5055" s="80" t="s">
        <v>36</v>
      </c>
      <c r="S5055" s="95">
        <f>200+1800</f>
        <v>2000</v>
      </c>
      <c r="T5055" s="83" t="s">
        <v>16853</v>
      </c>
      <c r="U5055" s="95">
        <v>13936</v>
      </c>
      <c r="V5055" s="148">
        <v>45604</v>
      </c>
      <c r="W5055" s="85" t="s">
        <v>16854</v>
      </c>
      <c r="X5055" s="80"/>
      <c r="Y5055" s="22">
        <v>0</v>
      </c>
      <c r="Z5055" s="80" t="s">
        <v>50</v>
      </c>
      <c r="AA5055" s="82" t="s">
        <v>14723</v>
      </c>
      <c r="AB5055" s="80"/>
      <c r="AC5055" s="80" t="s">
        <v>53</v>
      </c>
      <c r="AD5055" s="80" t="s">
        <v>138</v>
      </c>
      <c r="AE5055" s="80"/>
      <c r="AF5055" s="43">
        <v>45589</v>
      </c>
      <c r="AG5055" s="80" t="s">
        <v>14199</v>
      </c>
      <c r="AH5055" s="80"/>
      <c r="AI5055" s="147"/>
      <c r="AJ5055" s="80"/>
      <c r="AK5055" s="80"/>
      <c r="AL5055" s="35"/>
      <c r="AM5055" s="35"/>
      <c r="AN5055" s="35"/>
      <c r="AO5055" s="35"/>
      <c r="AP5055" s="35"/>
    </row>
    <row r="5056" spans="1:42" x14ac:dyDescent="0.2">
      <c r="A5056" s="126">
        <v>45572.887889803242</v>
      </c>
      <c r="B5056" s="137" t="s">
        <v>37</v>
      </c>
      <c r="C5056" s="41" t="s">
        <v>118</v>
      </c>
      <c r="D5056" s="80" t="s">
        <v>36</v>
      </c>
      <c r="E5056" s="80" t="s">
        <v>139</v>
      </c>
      <c r="F5056" s="80" t="s">
        <v>40</v>
      </c>
      <c r="G5056" s="80" t="s">
        <v>41</v>
      </c>
      <c r="H5056" s="80" t="s">
        <v>14934</v>
      </c>
      <c r="I5056" s="17">
        <f ca="1">IFERROR(__xludf.DUMMYFUNCTION("""COMPUTED_VALUE"""),45578)</f>
        <v>45578</v>
      </c>
      <c r="J5056" s="143" t="s">
        <v>16755</v>
      </c>
      <c r="K5056" s="80" t="s">
        <v>8856</v>
      </c>
      <c r="L5056" s="30">
        <v>392944602</v>
      </c>
      <c r="M5056" s="80" t="s">
        <v>16756</v>
      </c>
      <c r="N5056" s="80" t="s">
        <v>3525</v>
      </c>
      <c r="O5056" s="80" t="s">
        <v>91</v>
      </c>
      <c r="P5056" s="80" t="s">
        <v>16757</v>
      </c>
      <c r="Q5056" s="20">
        <v>15936</v>
      </c>
      <c r="R5056" s="80" t="s">
        <v>36</v>
      </c>
      <c r="S5056" s="95">
        <v>2000</v>
      </c>
      <c r="T5056" s="148">
        <v>45572</v>
      </c>
      <c r="U5056" s="95">
        <v>13968</v>
      </c>
      <c r="V5056" s="148">
        <v>45598</v>
      </c>
      <c r="W5056" s="85" t="s">
        <v>16758</v>
      </c>
      <c r="X5056" s="80"/>
      <c r="Y5056" s="22">
        <v>-32</v>
      </c>
      <c r="Z5056" s="80" t="s">
        <v>50</v>
      </c>
      <c r="AA5056" s="86" t="s">
        <v>14723</v>
      </c>
      <c r="AB5056" s="80" t="s">
        <v>16759</v>
      </c>
      <c r="AC5056" s="80" t="s">
        <v>53</v>
      </c>
      <c r="AD5056" s="80" t="s">
        <v>138</v>
      </c>
      <c r="AE5056" s="80"/>
      <c r="AF5056" s="43">
        <v>45576</v>
      </c>
      <c r="AG5056" s="80" t="s">
        <v>14940</v>
      </c>
      <c r="AH5056" s="80"/>
      <c r="AI5056" s="147"/>
      <c r="AJ5056" s="80"/>
      <c r="AK5056" s="80"/>
      <c r="AL5056" s="35"/>
      <c r="AM5056" s="35"/>
      <c r="AN5056" s="35"/>
      <c r="AO5056" s="35"/>
      <c r="AP5056" s="35"/>
    </row>
    <row r="5057" spans="1:42" x14ac:dyDescent="0.2">
      <c r="A5057" s="126">
        <v>45572.949890590273</v>
      </c>
      <c r="B5057" s="137" t="s">
        <v>37</v>
      </c>
      <c r="C5057" s="41" t="s">
        <v>118</v>
      </c>
      <c r="D5057" s="80" t="s">
        <v>36</v>
      </c>
      <c r="E5057" s="80" t="s">
        <v>139</v>
      </c>
      <c r="F5057" s="80" t="s">
        <v>36</v>
      </c>
      <c r="G5057" s="80" t="s">
        <v>41</v>
      </c>
      <c r="H5057" s="80" t="s">
        <v>16095</v>
      </c>
      <c r="I5057" s="17">
        <f ca="1">IFERROR(__xludf.DUMMYFUNCTION("""COMPUTED_VALUE"""),45579)</f>
        <v>45579</v>
      </c>
      <c r="J5057" s="143" t="s">
        <v>16912</v>
      </c>
      <c r="K5057" s="80" t="s">
        <v>17425</v>
      </c>
      <c r="L5057" s="30">
        <v>826222523</v>
      </c>
      <c r="M5057" s="80" t="s">
        <v>15970</v>
      </c>
      <c r="N5057" s="80" t="s">
        <v>327</v>
      </c>
      <c r="O5057" s="80" t="s">
        <v>16914</v>
      </c>
      <c r="P5057" s="80" t="s">
        <v>16915</v>
      </c>
      <c r="Q5057" s="20">
        <v>15936</v>
      </c>
      <c r="R5057" s="80" t="s">
        <v>36</v>
      </c>
      <c r="S5057" s="95">
        <f>500+4500</f>
        <v>5000</v>
      </c>
      <c r="T5057" s="83" t="s">
        <v>16916</v>
      </c>
      <c r="U5057" s="95">
        <v>10936</v>
      </c>
      <c r="V5057" s="148">
        <v>45597</v>
      </c>
      <c r="W5057" s="85" t="s">
        <v>16917</v>
      </c>
      <c r="X5057" s="80"/>
      <c r="Y5057" s="22">
        <v>0</v>
      </c>
      <c r="Z5057" s="80" t="s">
        <v>50</v>
      </c>
      <c r="AA5057" s="82" t="s">
        <v>14723</v>
      </c>
      <c r="AB5057" s="80"/>
      <c r="AC5057" s="80" t="s">
        <v>53</v>
      </c>
      <c r="AD5057" s="80" t="s">
        <v>54</v>
      </c>
      <c r="AE5057" s="80"/>
      <c r="AF5057" s="43">
        <v>45576</v>
      </c>
      <c r="AG5057" s="80"/>
      <c r="AH5057" s="80"/>
      <c r="AI5057" s="147"/>
      <c r="AJ5057" s="80"/>
      <c r="AK5057" s="80"/>
      <c r="AL5057" s="35"/>
      <c r="AM5057" s="35"/>
      <c r="AN5057" s="35"/>
      <c r="AO5057" s="35"/>
      <c r="AP5057" s="35"/>
    </row>
    <row r="5058" spans="1:42" x14ac:dyDescent="0.2">
      <c r="A5058" s="126">
        <v>45573.331556979167</v>
      </c>
      <c r="B5058" s="137" t="s">
        <v>37</v>
      </c>
      <c r="C5058" s="41" t="s">
        <v>118</v>
      </c>
      <c r="D5058" s="80" t="s">
        <v>36</v>
      </c>
      <c r="E5058" s="80" t="s">
        <v>77</v>
      </c>
      <c r="F5058" s="80" t="s">
        <v>36</v>
      </c>
      <c r="G5058" s="80" t="s">
        <v>41</v>
      </c>
      <c r="H5058" s="80" t="s">
        <v>13850</v>
      </c>
      <c r="I5058" s="17">
        <f ca="1">IFERROR(__xludf.DUMMYFUNCTION("""COMPUTED_VALUE"""),45594)</f>
        <v>45594</v>
      </c>
      <c r="J5058" s="143" t="s">
        <v>17426</v>
      </c>
      <c r="K5058" s="80" t="s">
        <v>17427</v>
      </c>
      <c r="L5058" s="30">
        <v>976184806</v>
      </c>
      <c r="M5058" s="80" t="s">
        <v>12720</v>
      </c>
      <c r="N5058" s="80" t="s">
        <v>1073</v>
      </c>
      <c r="O5058" s="80" t="s">
        <v>17428</v>
      </c>
      <c r="P5058" s="80" t="s">
        <v>17429</v>
      </c>
      <c r="Q5058" s="20">
        <v>1968</v>
      </c>
      <c r="R5058" s="80" t="s">
        <v>70</v>
      </c>
      <c r="S5058" s="95">
        <f>200+1800</f>
        <v>2000</v>
      </c>
      <c r="T5058" s="83" t="s">
        <v>17430</v>
      </c>
      <c r="U5058" s="77"/>
      <c r="V5058" s="78"/>
      <c r="W5058" s="85" t="s">
        <v>17431</v>
      </c>
      <c r="X5058" s="80"/>
      <c r="Y5058" s="22">
        <v>-32</v>
      </c>
      <c r="Z5058" s="80" t="s">
        <v>50</v>
      </c>
      <c r="AA5058" s="86" t="s">
        <v>14723</v>
      </c>
      <c r="AB5058" s="80"/>
      <c r="AC5058" s="80" t="s">
        <v>53</v>
      </c>
      <c r="AD5058" s="80" t="s">
        <v>138</v>
      </c>
      <c r="AE5058" s="83">
        <v>0</v>
      </c>
      <c r="AF5058" s="43">
        <v>45594</v>
      </c>
      <c r="AG5058" s="80" t="s">
        <v>7078</v>
      </c>
      <c r="AH5058" s="80"/>
      <c r="AI5058" s="147"/>
      <c r="AJ5058" s="80"/>
      <c r="AK5058" s="80"/>
      <c r="AL5058" s="35"/>
      <c r="AM5058" s="35"/>
      <c r="AN5058" s="35"/>
      <c r="AO5058" s="35"/>
      <c r="AP5058" s="35"/>
    </row>
    <row r="5059" spans="1:42" x14ac:dyDescent="0.2">
      <c r="A5059" s="126">
        <v>45573.769755393514</v>
      </c>
      <c r="B5059" s="137" t="s">
        <v>37</v>
      </c>
      <c r="C5059" s="41" t="s">
        <v>118</v>
      </c>
      <c r="D5059" s="80" t="s">
        <v>36</v>
      </c>
      <c r="E5059" s="80" t="s">
        <v>39</v>
      </c>
      <c r="F5059" s="80" t="s">
        <v>36</v>
      </c>
      <c r="G5059" s="80" t="s">
        <v>41</v>
      </c>
      <c r="H5059" s="80" t="s">
        <v>13143</v>
      </c>
      <c r="I5059" s="17">
        <f ca="1">IFERROR(__xludf.DUMMYFUNCTION("""COMPUTED_VALUE"""),45604)</f>
        <v>45604</v>
      </c>
      <c r="J5059" s="143" t="s">
        <v>17432</v>
      </c>
      <c r="K5059" s="80" t="s">
        <v>242</v>
      </c>
      <c r="L5059" s="30">
        <v>352743727</v>
      </c>
      <c r="M5059" s="80" t="s">
        <v>5558</v>
      </c>
      <c r="N5059" s="80" t="s">
        <v>850</v>
      </c>
      <c r="O5059" s="80" t="s">
        <v>4503</v>
      </c>
      <c r="P5059" s="80" t="s">
        <v>14107</v>
      </c>
      <c r="Q5059" s="20">
        <v>5736</v>
      </c>
      <c r="R5059" s="80" t="s">
        <v>36</v>
      </c>
      <c r="S5059" s="95">
        <v>2000</v>
      </c>
      <c r="T5059" s="148">
        <v>45573</v>
      </c>
      <c r="U5059" s="95">
        <v>3736</v>
      </c>
      <c r="V5059" s="148">
        <v>45615</v>
      </c>
      <c r="W5059" s="85" t="s">
        <v>17433</v>
      </c>
      <c r="X5059" s="80"/>
      <c r="Y5059" s="22">
        <v>0</v>
      </c>
      <c r="Z5059" s="80" t="s">
        <v>50</v>
      </c>
      <c r="AA5059" s="82" t="s">
        <v>14723</v>
      </c>
      <c r="AB5059" s="80"/>
      <c r="AC5059" s="80" t="s">
        <v>53</v>
      </c>
      <c r="AD5059" s="80" t="s">
        <v>138</v>
      </c>
      <c r="AE5059" s="80"/>
      <c r="AF5059" s="17">
        <v>45604</v>
      </c>
      <c r="AG5059" s="80"/>
      <c r="AH5059" s="80"/>
      <c r="AI5059" s="147"/>
      <c r="AJ5059" s="80"/>
      <c r="AK5059" s="80"/>
      <c r="AL5059" s="35"/>
      <c r="AM5059" s="35"/>
      <c r="AN5059" s="35"/>
      <c r="AO5059" s="35"/>
      <c r="AP5059" s="35"/>
    </row>
    <row r="5060" spans="1:42" x14ac:dyDescent="0.2">
      <c r="A5060" s="126">
        <v>45573.873723645833</v>
      </c>
      <c r="B5060" s="137" t="s">
        <v>37</v>
      </c>
      <c r="C5060" s="41" t="s">
        <v>118</v>
      </c>
      <c r="D5060" s="80" t="s">
        <v>36</v>
      </c>
      <c r="E5060" s="80" t="s">
        <v>139</v>
      </c>
      <c r="F5060" s="80" t="s">
        <v>36</v>
      </c>
      <c r="G5060" s="80" t="s">
        <v>41</v>
      </c>
      <c r="H5060" s="80" t="s">
        <v>13850</v>
      </c>
      <c r="I5060" s="17">
        <f ca="1">IFERROR(__xludf.DUMMYFUNCTION("""COMPUTED_VALUE"""),45594)</f>
        <v>45594</v>
      </c>
      <c r="J5060" s="143" t="s">
        <v>17434</v>
      </c>
      <c r="K5060" s="80" t="s">
        <v>17435</v>
      </c>
      <c r="L5060" s="30">
        <v>399380227</v>
      </c>
      <c r="M5060" s="80" t="s">
        <v>12720</v>
      </c>
      <c r="N5060" s="80" t="s">
        <v>1073</v>
      </c>
      <c r="O5060" s="80" t="s">
        <v>17436</v>
      </c>
      <c r="P5060" s="80" t="s">
        <v>17437</v>
      </c>
      <c r="Q5060" s="20">
        <v>15936</v>
      </c>
      <c r="R5060" s="80" t="s">
        <v>36</v>
      </c>
      <c r="S5060" s="95">
        <v>2000</v>
      </c>
      <c r="T5060" s="148">
        <v>45573</v>
      </c>
      <c r="U5060" s="95">
        <v>13936</v>
      </c>
      <c r="V5060" s="148">
        <v>45626</v>
      </c>
      <c r="W5060" s="85" t="s">
        <v>17438</v>
      </c>
      <c r="X5060" s="80"/>
      <c r="Y5060" s="22">
        <v>0</v>
      </c>
      <c r="Z5060" s="80" t="s">
        <v>50</v>
      </c>
      <c r="AA5060" s="86" t="s">
        <v>14723</v>
      </c>
      <c r="AB5060" s="80"/>
      <c r="AC5060" s="80" t="s">
        <v>53</v>
      </c>
      <c r="AD5060" s="80" t="s">
        <v>138</v>
      </c>
      <c r="AE5060" s="83">
        <v>0</v>
      </c>
      <c r="AF5060" s="43">
        <v>45594</v>
      </c>
      <c r="AG5060" s="80"/>
      <c r="AH5060" s="80"/>
      <c r="AI5060" s="147"/>
      <c r="AJ5060" s="80"/>
      <c r="AK5060" s="80"/>
      <c r="AL5060" s="35"/>
      <c r="AM5060" s="35"/>
      <c r="AN5060" s="35"/>
      <c r="AO5060" s="35"/>
      <c r="AP5060" s="35"/>
    </row>
    <row r="5061" spans="1:42" x14ac:dyDescent="0.2">
      <c r="A5061" s="126">
        <v>45573.896366273148</v>
      </c>
      <c r="B5061" s="137" t="s">
        <v>37</v>
      </c>
      <c r="C5061" s="41" t="s">
        <v>118</v>
      </c>
      <c r="D5061" s="80" t="s">
        <v>36</v>
      </c>
      <c r="E5061" s="80" t="s">
        <v>39</v>
      </c>
      <c r="F5061" s="80" t="s">
        <v>36</v>
      </c>
      <c r="G5061" s="80" t="s">
        <v>41</v>
      </c>
      <c r="H5061" s="80" t="s">
        <v>14159</v>
      </c>
      <c r="I5061" s="17">
        <f ca="1">IFERROR(__xludf.DUMMYFUNCTION("""COMPUTED_VALUE"""),45576)</f>
        <v>45576</v>
      </c>
      <c r="J5061" s="143" t="s">
        <v>17034</v>
      </c>
      <c r="K5061" s="80" t="s">
        <v>17035</v>
      </c>
      <c r="L5061" s="30">
        <v>945034896</v>
      </c>
      <c r="M5061" s="80" t="s">
        <v>45</v>
      </c>
      <c r="N5061" s="80" t="s">
        <v>16251</v>
      </c>
      <c r="O5061" s="80" t="s">
        <v>17036</v>
      </c>
      <c r="P5061" s="80" t="s">
        <v>17439</v>
      </c>
      <c r="Q5061" s="20">
        <v>5736</v>
      </c>
      <c r="R5061" s="80" t="s">
        <v>36</v>
      </c>
      <c r="S5061" s="95">
        <f>1000+2000</f>
        <v>3000</v>
      </c>
      <c r="T5061" s="83" t="s">
        <v>17038</v>
      </c>
      <c r="U5061" s="95">
        <v>2736</v>
      </c>
      <c r="V5061" s="148">
        <v>45603</v>
      </c>
      <c r="W5061" s="85" t="s">
        <v>17039</v>
      </c>
      <c r="X5061" s="80"/>
      <c r="Y5061" s="22">
        <v>0</v>
      </c>
      <c r="Z5061" s="80" t="s">
        <v>50</v>
      </c>
      <c r="AA5061" s="82" t="s">
        <v>14723</v>
      </c>
      <c r="AB5061" s="80"/>
      <c r="AC5061" s="80" t="s">
        <v>53</v>
      </c>
      <c r="AD5061" s="80" t="s">
        <v>54</v>
      </c>
      <c r="AE5061" s="83">
        <v>0</v>
      </c>
      <c r="AF5061" s="17">
        <v>45574</v>
      </c>
      <c r="AG5061" s="80"/>
      <c r="AH5061" s="80"/>
      <c r="AI5061" s="147"/>
      <c r="AJ5061" s="80"/>
      <c r="AK5061" s="80"/>
      <c r="AL5061" s="35"/>
      <c r="AM5061" s="35"/>
      <c r="AN5061" s="35"/>
      <c r="AO5061" s="35"/>
      <c r="AP5061" s="35"/>
    </row>
    <row r="5062" spans="1:42" x14ac:dyDescent="0.2">
      <c r="A5062" s="126">
        <v>45574.939241840279</v>
      </c>
      <c r="B5062" s="137" t="s">
        <v>37</v>
      </c>
      <c r="C5062" s="41" t="s">
        <v>118</v>
      </c>
      <c r="D5062" s="80" t="s">
        <v>36</v>
      </c>
      <c r="E5062" s="80" t="s">
        <v>56</v>
      </c>
      <c r="F5062" s="80" t="s">
        <v>36</v>
      </c>
      <c r="G5062" s="80" t="s">
        <v>41</v>
      </c>
      <c r="H5062" s="80" t="s">
        <v>15796</v>
      </c>
      <c r="I5062" s="17">
        <f ca="1">IFERROR(__xludf.DUMMYFUNCTION("""COMPUTED_VALUE"""),45594)</f>
        <v>45594</v>
      </c>
      <c r="J5062" s="143" t="s">
        <v>17440</v>
      </c>
      <c r="K5062" s="80" t="s">
        <v>17441</v>
      </c>
      <c r="L5062" s="30">
        <v>867744725</v>
      </c>
      <c r="M5062" s="80" t="s">
        <v>59</v>
      </c>
      <c r="N5062" s="80" t="s">
        <v>9294</v>
      </c>
      <c r="O5062" s="80" t="s">
        <v>17442</v>
      </c>
      <c r="P5062" s="80" t="s">
        <v>12687</v>
      </c>
      <c r="Q5062" s="20">
        <v>9317</v>
      </c>
      <c r="R5062" s="80" t="s">
        <v>70</v>
      </c>
      <c r="S5062" s="95">
        <v>2000</v>
      </c>
      <c r="T5062" s="148">
        <v>45574</v>
      </c>
      <c r="U5062" s="95">
        <v>7217</v>
      </c>
      <c r="V5062" s="148">
        <v>45623</v>
      </c>
      <c r="W5062" s="85" t="s">
        <v>17443</v>
      </c>
      <c r="X5062" s="80"/>
      <c r="Y5062" s="22">
        <v>100</v>
      </c>
      <c r="Z5062" s="80" t="s">
        <v>50</v>
      </c>
      <c r="AA5062" s="86" t="s">
        <v>14723</v>
      </c>
      <c r="AB5062" s="80"/>
      <c r="AC5062" s="80" t="s">
        <v>53</v>
      </c>
      <c r="AD5062" s="80" t="s">
        <v>138</v>
      </c>
      <c r="AE5062" s="80" t="s">
        <v>3130</v>
      </c>
      <c r="AF5062" s="43">
        <v>45594</v>
      </c>
      <c r="AG5062" s="80"/>
      <c r="AH5062" s="80"/>
      <c r="AI5062" s="147"/>
      <c r="AJ5062" s="80"/>
      <c r="AK5062" s="80"/>
      <c r="AL5062" s="35"/>
      <c r="AM5062" s="35"/>
      <c r="AN5062" s="35"/>
      <c r="AO5062" s="35"/>
      <c r="AP5062" s="35"/>
    </row>
    <row r="5063" spans="1:42" x14ac:dyDescent="0.2">
      <c r="A5063" s="126">
        <v>45574.940506527782</v>
      </c>
      <c r="B5063" s="137" t="s">
        <v>37</v>
      </c>
      <c r="C5063" s="41" t="s">
        <v>118</v>
      </c>
      <c r="D5063" s="80" t="s">
        <v>36</v>
      </c>
      <c r="E5063" s="80" t="s">
        <v>56</v>
      </c>
      <c r="F5063" s="80" t="s">
        <v>40</v>
      </c>
      <c r="G5063" s="80" t="s">
        <v>41</v>
      </c>
      <c r="H5063" s="80" t="s">
        <v>15796</v>
      </c>
      <c r="I5063" s="17">
        <f ca="1">IFERROR(__xludf.DUMMYFUNCTION("""COMPUTED_VALUE"""),45594)</f>
        <v>45594</v>
      </c>
      <c r="J5063" s="143" t="s">
        <v>17444</v>
      </c>
      <c r="K5063" s="145" t="s">
        <v>17445</v>
      </c>
      <c r="L5063" s="30">
        <v>968785535</v>
      </c>
      <c r="M5063" s="80" t="s">
        <v>59</v>
      </c>
      <c r="N5063" s="80" t="s">
        <v>9660</v>
      </c>
      <c r="O5063" s="80" t="s">
        <v>17446</v>
      </c>
      <c r="P5063" s="80" t="s">
        <v>7743</v>
      </c>
      <c r="Q5063" s="20">
        <v>9317</v>
      </c>
      <c r="R5063" s="80" t="s">
        <v>70</v>
      </c>
      <c r="S5063" s="95">
        <v>2000</v>
      </c>
      <c r="T5063" s="148">
        <v>45574</v>
      </c>
      <c r="U5063" s="95">
        <v>7217</v>
      </c>
      <c r="V5063" s="148">
        <v>45623</v>
      </c>
      <c r="W5063" s="85" t="s">
        <v>17447</v>
      </c>
      <c r="X5063" s="80"/>
      <c r="Y5063" s="22">
        <v>100</v>
      </c>
      <c r="Z5063" s="80" t="s">
        <v>50</v>
      </c>
      <c r="AA5063" s="82" t="s">
        <v>14723</v>
      </c>
      <c r="AB5063" s="80"/>
      <c r="AC5063" s="80" t="s">
        <v>53</v>
      </c>
      <c r="AD5063" s="80" t="s">
        <v>138</v>
      </c>
      <c r="AE5063" s="80" t="s">
        <v>2670</v>
      </c>
      <c r="AF5063" s="43">
        <v>45594</v>
      </c>
      <c r="AG5063" s="80"/>
      <c r="AH5063" s="80"/>
      <c r="AI5063" s="147"/>
      <c r="AJ5063" s="80"/>
      <c r="AK5063" s="80"/>
      <c r="AL5063" s="35"/>
      <c r="AM5063" s="35"/>
      <c r="AN5063" s="35"/>
      <c r="AO5063" s="35"/>
      <c r="AP5063" s="35"/>
    </row>
    <row r="5064" spans="1:42" x14ac:dyDescent="0.2">
      <c r="A5064" s="126">
        <v>45575.707512835652</v>
      </c>
      <c r="B5064" s="137" t="s">
        <v>37</v>
      </c>
      <c r="C5064" s="41" t="s">
        <v>118</v>
      </c>
      <c r="D5064" s="80" t="s">
        <v>36</v>
      </c>
      <c r="E5064" s="80" t="s">
        <v>39</v>
      </c>
      <c r="F5064" s="80" t="s">
        <v>36</v>
      </c>
      <c r="G5064" s="80" t="s">
        <v>41</v>
      </c>
      <c r="H5064" s="80" t="s">
        <v>13143</v>
      </c>
      <c r="I5064" s="17">
        <f ca="1">IFERROR(__xludf.DUMMYFUNCTION("""COMPUTED_VALUE"""),45604)</f>
        <v>45604</v>
      </c>
      <c r="J5064" s="143" t="s">
        <v>17448</v>
      </c>
      <c r="K5064" s="80" t="s">
        <v>17449</v>
      </c>
      <c r="L5064" s="30">
        <v>981109580</v>
      </c>
      <c r="M5064" s="80" t="s">
        <v>5558</v>
      </c>
      <c r="N5064" s="80" t="s">
        <v>5559</v>
      </c>
      <c r="O5064" s="80" t="s">
        <v>4503</v>
      </c>
      <c r="P5064" s="80" t="s">
        <v>17450</v>
      </c>
      <c r="Q5064" s="20">
        <v>5736</v>
      </c>
      <c r="R5064" s="80" t="s">
        <v>36</v>
      </c>
      <c r="S5064" s="95">
        <v>2000</v>
      </c>
      <c r="T5064" s="148">
        <v>45575</v>
      </c>
      <c r="U5064" s="95">
        <v>3736</v>
      </c>
      <c r="V5064" s="148">
        <v>45617</v>
      </c>
      <c r="W5064" s="85" t="s">
        <v>17451</v>
      </c>
      <c r="X5064" s="80"/>
      <c r="Y5064" s="22">
        <v>0</v>
      </c>
      <c r="Z5064" s="80" t="s">
        <v>50</v>
      </c>
      <c r="AA5064" s="86" t="s">
        <v>14723</v>
      </c>
      <c r="AB5064" s="80"/>
      <c r="AC5064" s="80" t="s">
        <v>53</v>
      </c>
      <c r="AD5064" s="80" t="s">
        <v>138</v>
      </c>
      <c r="AE5064" s="80"/>
      <c r="AF5064" s="17">
        <v>45604</v>
      </c>
      <c r="AG5064" s="80" t="s">
        <v>7078</v>
      </c>
      <c r="AH5064" s="80"/>
      <c r="AI5064" s="147"/>
      <c r="AJ5064" s="80"/>
      <c r="AK5064" s="80"/>
      <c r="AL5064" s="35"/>
      <c r="AM5064" s="35"/>
      <c r="AN5064" s="35"/>
      <c r="AO5064" s="35"/>
      <c r="AP5064" s="35"/>
    </row>
    <row r="5065" spans="1:42" x14ac:dyDescent="0.2">
      <c r="A5065" s="126">
        <v>45575.911063182866</v>
      </c>
      <c r="B5065" s="137" t="s">
        <v>37</v>
      </c>
      <c r="C5065" s="41" t="s">
        <v>118</v>
      </c>
      <c r="D5065" s="80" t="s">
        <v>36</v>
      </c>
      <c r="E5065" s="80" t="s">
        <v>139</v>
      </c>
      <c r="F5065" s="80" t="s">
        <v>36</v>
      </c>
      <c r="G5065" s="80" t="s">
        <v>41</v>
      </c>
      <c r="H5065" s="80" t="s">
        <v>16095</v>
      </c>
      <c r="I5065" s="17">
        <f ca="1">IFERROR(__xludf.DUMMYFUNCTION("""COMPUTED_VALUE"""),45579)</f>
        <v>45579</v>
      </c>
      <c r="J5065" s="143" t="s">
        <v>16906</v>
      </c>
      <c r="K5065" s="80" t="s">
        <v>17452</v>
      </c>
      <c r="L5065" s="30">
        <v>869729553</v>
      </c>
      <c r="M5065" s="26" t="s">
        <v>3498</v>
      </c>
      <c r="N5065" s="80" t="s">
        <v>4402</v>
      </c>
      <c r="O5065" s="80" t="s">
        <v>4503</v>
      </c>
      <c r="P5065" s="80" t="s">
        <v>17453</v>
      </c>
      <c r="Q5065" s="20">
        <v>15936</v>
      </c>
      <c r="R5065" s="80" t="s">
        <v>36</v>
      </c>
      <c r="S5065" s="95">
        <f>200+8000</f>
        <v>8200</v>
      </c>
      <c r="T5065" s="83" t="s">
        <v>16909</v>
      </c>
      <c r="U5065" s="95">
        <v>7736</v>
      </c>
      <c r="V5065" s="148">
        <v>45597</v>
      </c>
      <c r="W5065" s="85" t="s">
        <v>16910</v>
      </c>
      <c r="X5065" s="80"/>
      <c r="Y5065" s="22">
        <v>0</v>
      </c>
      <c r="Z5065" s="80" t="s">
        <v>50</v>
      </c>
      <c r="AA5065" s="82" t="s">
        <v>14723</v>
      </c>
      <c r="AB5065" s="80" t="s">
        <v>4503</v>
      </c>
      <c r="AC5065" s="80" t="s">
        <v>53</v>
      </c>
      <c r="AD5065" s="80" t="s">
        <v>54</v>
      </c>
      <c r="AE5065" s="80"/>
      <c r="AF5065" s="43">
        <v>45581</v>
      </c>
      <c r="AG5065" s="80"/>
      <c r="AH5065" s="80"/>
      <c r="AI5065" s="147"/>
      <c r="AJ5065" s="80"/>
      <c r="AK5065" s="80"/>
      <c r="AL5065" s="35"/>
      <c r="AM5065" s="35"/>
      <c r="AN5065" s="35"/>
      <c r="AO5065" s="35"/>
      <c r="AP5065" s="35"/>
    </row>
    <row r="5066" spans="1:42" x14ac:dyDescent="0.2">
      <c r="A5066" s="126">
        <v>45575.928588576389</v>
      </c>
      <c r="B5066" s="137" t="s">
        <v>37</v>
      </c>
      <c r="C5066" s="41" t="s">
        <v>118</v>
      </c>
      <c r="D5066" s="80" t="s">
        <v>36</v>
      </c>
      <c r="E5066" s="80" t="s">
        <v>119</v>
      </c>
      <c r="F5066" s="80" t="s">
        <v>36</v>
      </c>
      <c r="G5066" s="80" t="s">
        <v>7629</v>
      </c>
      <c r="H5066" s="80" t="s">
        <v>11808</v>
      </c>
      <c r="I5066" s="17">
        <f ca="1">IFERROR(__xludf.DUMMYFUNCTION("""COMPUTED_VALUE"""),45579)</f>
        <v>45579</v>
      </c>
      <c r="J5066" s="143" t="s">
        <v>17454</v>
      </c>
      <c r="K5066" s="80" t="s">
        <v>17455</v>
      </c>
      <c r="L5066" s="30">
        <v>988000871</v>
      </c>
      <c r="M5066" s="80" t="s">
        <v>12529</v>
      </c>
      <c r="N5066" s="80" t="s">
        <v>13566</v>
      </c>
      <c r="O5066" s="80" t="s">
        <v>17456</v>
      </c>
      <c r="P5066" s="80" t="s">
        <v>15693</v>
      </c>
      <c r="Q5066" s="20">
        <v>13968</v>
      </c>
      <c r="R5066" s="80" t="s">
        <v>70</v>
      </c>
      <c r="S5066" s="95">
        <f>200+9968</f>
        <v>10168</v>
      </c>
      <c r="T5066" s="83" t="s">
        <v>17457</v>
      </c>
      <c r="U5066" s="95">
        <v>3700</v>
      </c>
      <c r="V5066" s="148">
        <v>45575</v>
      </c>
      <c r="W5066" s="85" t="s">
        <v>17458</v>
      </c>
      <c r="X5066" s="80"/>
      <c r="Y5066" s="22">
        <v>100</v>
      </c>
      <c r="Z5066" s="80" t="s">
        <v>50</v>
      </c>
      <c r="AA5066" s="86" t="s">
        <v>14723</v>
      </c>
      <c r="AB5066" s="80"/>
      <c r="AC5066" s="80" t="s">
        <v>53</v>
      </c>
      <c r="AD5066" s="80" t="s">
        <v>138</v>
      </c>
      <c r="AE5066" s="83">
        <v>380</v>
      </c>
      <c r="AF5066" s="43">
        <v>45579</v>
      </c>
      <c r="AG5066" s="80"/>
      <c r="AH5066" s="80"/>
      <c r="AI5066" s="147"/>
      <c r="AJ5066" s="80"/>
      <c r="AK5066" s="80"/>
      <c r="AL5066" s="35"/>
      <c r="AM5066" s="35"/>
      <c r="AN5066" s="35"/>
      <c r="AO5066" s="35"/>
      <c r="AP5066" s="35"/>
    </row>
    <row r="5067" spans="1:42" x14ac:dyDescent="0.2">
      <c r="A5067" s="126">
        <v>45575.9297108912</v>
      </c>
      <c r="B5067" s="137" t="s">
        <v>37</v>
      </c>
      <c r="C5067" s="41" t="s">
        <v>118</v>
      </c>
      <c r="D5067" s="80" t="s">
        <v>36</v>
      </c>
      <c r="E5067" s="80" t="s">
        <v>119</v>
      </c>
      <c r="F5067" s="80" t="s">
        <v>36</v>
      </c>
      <c r="G5067" s="80" t="s">
        <v>7629</v>
      </c>
      <c r="H5067" s="80" t="s">
        <v>11808</v>
      </c>
      <c r="I5067" s="17">
        <f ca="1">IFERROR(__xludf.DUMMYFUNCTION("""COMPUTED_VALUE"""),45579)</f>
        <v>45579</v>
      </c>
      <c r="J5067" s="143" t="s">
        <v>17459</v>
      </c>
      <c r="K5067" s="80" t="s">
        <v>17460</v>
      </c>
      <c r="L5067" s="30">
        <v>356725248</v>
      </c>
      <c r="M5067" s="80" t="s">
        <v>12529</v>
      </c>
      <c r="N5067" s="80" t="s">
        <v>13566</v>
      </c>
      <c r="O5067" s="80" t="s">
        <v>17461</v>
      </c>
      <c r="P5067" s="80" t="s">
        <v>15693</v>
      </c>
      <c r="Q5067" s="20">
        <v>13968</v>
      </c>
      <c r="R5067" s="80" t="s">
        <v>36</v>
      </c>
      <c r="S5067" s="95">
        <f>200+3800</f>
        <v>4000</v>
      </c>
      <c r="T5067" s="83" t="s">
        <v>17462</v>
      </c>
      <c r="U5067" s="95">
        <v>9968</v>
      </c>
      <c r="V5067" s="148">
        <v>45601</v>
      </c>
      <c r="W5067" s="85" t="s">
        <v>17463</v>
      </c>
      <c r="X5067" s="80"/>
      <c r="Y5067" s="22">
        <v>0</v>
      </c>
      <c r="Z5067" s="80" t="s">
        <v>50</v>
      </c>
      <c r="AA5067" s="82" t="s">
        <v>14723</v>
      </c>
      <c r="AB5067" s="80"/>
      <c r="AC5067" s="80" t="s">
        <v>53</v>
      </c>
      <c r="AD5067" s="80" t="s">
        <v>138</v>
      </c>
      <c r="AE5067" s="83">
        <v>410</v>
      </c>
      <c r="AF5067" s="43">
        <v>45579</v>
      </c>
      <c r="AG5067" s="80"/>
      <c r="AH5067" s="80"/>
      <c r="AI5067" s="147"/>
      <c r="AJ5067" s="80"/>
      <c r="AK5067" s="80"/>
      <c r="AL5067" s="35"/>
      <c r="AM5067" s="35"/>
      <c r="AN5067" s="35"/>
      <c r="AO5067" s="35"/>
      <c r="AP5067" s="35"/>
    </row>
    <row r="5068" spans="1:42" x14ac:dyDescent="0.2">
      <c r="A5068" s="126">
        <v>45575.992088530096</v>
      </c>
      <c r="B5068" s="137" t="s">
        <v>37</v>
      </c>
      <c r="C5068" s="41" t="s">
        <v>118</v>
      </c>
      <c r="D5068" s="80" t="s">
        <v>36</v>
      </c>
      <c r="E5068" s="80" t="s">
        <v>56</v>
      </c>
      <c r="F5068" s="80" t="s">
        <v>40</v>
      </c>
      <c r="G5068" s="80" t="s">
        <v>41</v>
      </c>
      <c r="H5068" s="80" t="s">
        <v>13535</v>
      </c>
      <c r="I5068" s="17">
        <f ca="1">IFERROR(__xludf.DUMMYFUNCTION("""COMPUTED_VALUE"""),45589)</f>
        <v>45589</v>
      </c>
      <c r="J5068" s="172" t="s">
        <v>16976</v>
      </c>
      <c r="K5068" s="80" t="s">
        <v>17464</v>
      </c>
      <c r="L5068" s="30">
        <v>971932603</v>
      </c>
      <c r="M5068" s="80" t="s">
        <v>59</v>
      </c>
      <c r="N5068" s="80" t="s">
        <v>4299</v>
      </c>
      <c r="O5068" s="80" t="s">
        <v>16978</v>
      </c>
      <c r="P5068" s="80" t="s">
        <v>12692</v>
      </c>
      <c r="Q5068" s="20">
        <v>9317</v>
      </c>
      <c r="R5068" s="80" t="s">
        <v>70</v>
      </c>
      <c r="S5068" s="95">
        <v>4217</v>
      </c>
      <c r="T5068" s="148">
        <v>45575</v>
      </c>
      <c r="U5068" s="95">
        <v>5000</v>
      </c>
      <c r="V5068" s="148">
        <v>45601</v>
      </c>
      <c r="W5068" s="85" t="s">
        <v>16979</v>
      </c>
      <c r="X5068" s="80"/>
      <c r="Y5068" s="22">
        <v>100</v>
      </c>
      <c r="Z5068" s="80" t="s">
        <v>50</v>
      </c>
      <c r="AA5068" s="86" t="s">
        <v>14723</v>
      </c>
      <c r="AB5068" s="80"/>
      <c r="AC5068" s="80" t="s">
        <v>53</v>
      </c>
      <c r="AD5068" s="80" t="s">
        <v>138</v>
      </c>
      <c r="AE5068" s="80" t="s">
        <v>2670</v>
      </c>
      <c r="AF5068" s="43">
        <v>45589</v>
      </c>
      <c r="AG5068" s="80" t="s">
        <v>13541</v>
      </c>
      <c r="AH5068" s="80"/>
      <c r="AI5068" s="147"/>
      <c r="AJ5068" s="80"/>
      <c r="AK5068" s="80"/>
      <c r="AL5068" s="35"/>
      <c r="AM5068" s="35"/>
      <c r="AN5068" s="35"/>
      <c r="AO5068" s="35"/>
      <c r="AP5068" s="35"/>
    </row>
    <row r="5069" spans="1:42" x14ac:dyDescent="0.2">
      <c r="A5069" s="126">
        <v>45576.900945543981</v>
      </c>
      <c r="B5069" s="137" t="s">
        <v>37</v>
      </c>
      <c r="C5069" s="41" t="s">
        <v>118</v>
      </c>
      <c r="D5069" s="80" t="s">
        <v>36</v>
      </c>
      <c r="E5069" s="80" t="s">
        <v>139</v>
      </c>
      <c r="F5069" s="80" t="s">
        <v>36</v>
      </c>
      <c r="G5069" s="80" t="s">
        <v>41</v>
      </c>
      <c r="H5069" s="80" t="s">
        <v>13535</v>
      </c>
      <c r="I5069" s="17">
        <f ca="1">IFERROR(__xludf.DUMMYFUNCTION("""COMPUTED_VALUE"""),45589)</f>
        <v>45589</v>
      </c>
      <c r="J5069" s="143" t="s">
        <v>16981</v>
      </c>
      <c r="K5069" s="80" t="s">
        <v>16982</v>
      </c>
      <c r="L5069" s="30">
        <v>973820326</v>
      </c>
      <c r="M5069" s="80" t="s">
        <v>5558</v>
      </c>
      <c r="N5069" s="80" t="s">
        <v>5559</v>
      </c>
      <c r="O5069" s="80" t="s">
        <v>4503</v>
      </c>
      <c r="P5069" s="80" t="s">
        <v>14107</v>
      </c>
      <c r="Q5069" s="20">
        <v>15936</v>
      </c>
      <c r="R5069" s="80" t="s">
        <v>36</v>
      </c>
      <c r="S5069" s="95">
        <v>4000</v>
      </c>
      <c r="T5069" s="148">
        <v>45576</v>
      </c>
      <c r="U5069" s="95">
        <v>11936</v>
      </c>
      <c r="V5069" s="148">
        <v>45609</v>
      </c>
      <c r="W5069" s="85" t="s">
        <v>16983</v>
      </c>
      <c r="X5069" s="80"/>
      <c r="Y5069" s="22">
        <v>0</v>
      </c>
      <c r="Z5069" s="80" t="s">
        <v>50</v>
      </c>
      <c r="AA5069" s="82" t="s">
        <v>14723</v>
      </c>
      <c r="AB5069" s="80"/>
      <c r="AC5069" s="80" t="s">
        <v>53</v>
      </c>
      <c r="AD5069" s="80" t="s">
        <v>138</v>
      </c>
      <c r="AE5069" s="80"/>
      <c r="AF5069" s="43">
        <v>45589</v>
      </c>
      <c r="AG5069" s="80" t="s">
        <v>13541</v>
      </c>
      <c r="AH5069" s="80"/>
      <c r="AI5069" s="147"/>
      <c r="AJ5069" s="80"/>
      <c r="AK5069" s="80"/>
      <c r="AL5069" s="35"/>
      <c r="AM5069" s="35"/>
      <c r="AN5069" s="35"/>
      <c r="AO5069" s="35"/>
      <c r="AP5069" s="35"/>
    </row>
    <row r="5070" spans="1:42" x14ac:dyDescent="0.2">
      <c r="A5070" s="126">
        <v>45576.938866157405</v>
      </c>
      <c r="B5070" s="137" t="s">
        <v>37</v>
      </c>
      <c r="C5070" s="41" t="s">
        <v>118</v>
      </c>
      <c r="D5070" s="80" t="s">
        <v>36</v>
      </c>
      <c r="E5070" s="80" t="s">
        <v>119</v>
      </c>
      <c r="F5070" s="80" t="s">
        <v>36</v>
      </c>
      <c r="G5070" s="80" t="s">
        <v>108</v>
      </c>
      <c r="H5070" s="80" t="s">
        <v>8844</v>
      </c>
      <c r="I5070" s="17">
        <f ca="1">IFERROR(__xludf.DUMMYFUNCTION("""COMPUTED_VALUE"""),45593)</f>
        <v>45593</v>
      </c>
      <c r="J5070" s="143" t="s">
        <v>17465</v>
      </c>
      <c r="K5070" s="80" t="s">
        <v>17466</v>
      </c>
      <c r="L5070" s="30">
        <v>368975015</v>
      </c>
      <c r="M5070" s="80" t="s">
        <v>12529</v>
      </c>
      <c r="N5070" s="80" t="s">
        <v>466</v>
      </c>
      <c r="O5070" s="80" t="s">
        <v>17467</v>
      </c>
      <c r="P5070" s="80" t="s">
        <v>17468</v>
      </c>
      <c r="Q5070" s="20">
        <v>13968</v>
      </c>
      <c r="R5070" s="80" t="s">
        <v>36</v>
      </c>
      <c r="S5070" s="95">
        <f>200+3800</f>
        <v>4000</v>
      </c>
      <c r="T5070" s="83" t="s">
        <v>17469</v>
      </c>
      <c r="U5070" s="95">
        <v>9968</v>
      </c>
      <c r="V5070" s="148">
        <v>45621</v>
      </c>
      <c r="W5070" s="80" t="s">
        <v>17470</v>
      </c>
      <c r="X5070" s="80"/>
      <c r="Y5070" s="22">
        <v>0</v>
      </c>
      <c r="Z5070" s="80" t="s">
        <v>50</v>
      </c>
      <c r="AA5070" s="86" t="s">
        <v>14723</v>
      </c>
      <c r="AB5070" s="80"/>
      <c r="AC5070" s="80" t="s">
        <v>53</v>
      </c>
      <c r="AD5070" s="80" t="s">
        <v>54</v>
      </c>
      <c r="AE5070" s="83">
        <v>500</v>
      </c>
      <c r="AF5070" s="43">
        <v>45586</v>
      </c>
      <c r="AG5070" s="80"/>
      <c r="AH5070" s="80"/>
      <c r="AI5070" s="147"/>
      <c r="AJ5070" s="80"/>
      <c r="AK5070" s="80"/>
      <c r="AL5070" s="35"/>
      <c r="AM5070" s="35"/>
      <c r="AN5070" s="35"/>
      <c r="AO5070" s="35"/>
      <c r="AP5070" s="35"/>
    </row>
    <row r="5071" spans="1:42" x14ac:dyDescent="0.2">
      <c r="A5071" s="126">
        <v>45576.968176238428</v>
      </c>
      <c r="B5071" s="137" t="s">
        <v>37</v>
      </c>
      <c r="C5071" s="41" t="s">
        <v>118</v>
      </c>
      <c r="D5071" s="80" t="s">
        <v>36</v>
      </c>
      <c r="E5071" s="80" t="s">
        <v>139</v>
      </c>
      <c r="F5071" s="80" t="s">
        <v>36</v>
      </c>
      <c r="G5071" s="80" t="s">
        <v>41</v>
      </c>
      <c r="H5071" s="80" t="s">
        <v>13535</v>
      </c>
      <c r="I5071" s="17">
        <f ca="1">IFERROR(__xludf.DUMMYFUNCTION("""COMPUTED_VALUE"""),45589)</f>
        <v>45589</v>
      </c>
      <c r="J5071" s="143" t="s">
        <v>16984</v>
      </c>
      <c r="K5071" s="80" t="s">
        <v>16985</v>
      </c>
      <c r="L5071" s="30">
        <v>363748375</v>
      </c>
      <c r="M5071" s="80" t="s">
        <v>5558</v>
      </c>
      <c r="N5071" s="80" t="s">
        <v>5277</v>
      </c>
      <c r="O5071" s="80" t="s">
        <v>4503</v>
      </c>
      <c r="P5071" s="80" t="s">
        <v>16986</v>
      </c>
      <c r="Q5071" s="20">
        <v>15936</v>
      </c>
      <c r="R5071" s="80" t="s">
        <v>36</v>
      </c>
      <c r="S5071" s="95">
        <f>200+5000</f>
        <v>5200</v>
      </c>
      <c r="T5071" s="83" t="s">
        <v>16987</v>
      </c>
      <c r="U5071" s="95">
        <v>10736</v>
      </c>
      <c r="V5071" s="148">
        <v>45604</v>
      </c>
      <c r="W5071" s="85" t="s">
        <v>16988</v>
      </c>
      <c r="X5071" s="80"/>
      <c r="Y5071" s="22">
        <v>0</v>
      </c>
      <c r="Z5071" s="80" t="s">
        <v>50</v>
      </c>
      <c r="AA5071" s="82" t="s">
        <v>14723</v>
      </c>
      <c r="AB5071" s="80"/>
      <c r="AC5071" s="80" t="s">
        <v>53</v>
      </c>
      <c r="AD5071" s="80" t="s">
        <v>138</v>
      </c>
      <c r="AE5071" s="80"/>
      <c r="AF5071" s="43">
        <v>45589</v>
      </c>
      <c r="AG5071" s="80" t="s">
        <v>13541</v>
      </c>
      <c r="AH5071" s="80"/>
      <c r="AI5071" s="147"/>
      <c r="AJ5071" s="80"/>
      <c r="AK5071" s="80"/>
      <c r="AL5071" s="35"/>
      <c r="AM5071" s="35"/>
      <c r="AN5071" s="35"/>
      <c r="AO5071" s="35"/>
      <c r="AP5071" s="35"/>
    </row>
    <row r="5072" spans="1:42" x14ac:dyDescent="0.2">
      <c r="A5072" s="126">
        <v>45577.533257986113</v>
      </c>
      <c r="B5072" s="137" t="s">
        <v>37</v>
      </c>
      <c r="C5072" s="41" t="s">
        <v>118</v>
      </c>
      <c r="D5072" s="80" t="s">
        <v>36</v>
      </c>
      <c r="E5072" s="80" t="s">
        <v>39</v>
      </c>
      <c r="F5072" s="80" t="s">
        <v>36</v>
      </c>
      <c r="G5072" s="80" t="s">
        <v>41</v>
      </c>
      <c r="H5072" s="80" t="s">
        <v>16224</v>
      </c>
      <c r="I5072" s="17">
        <f ca="1">IFERROR(__xludf.DUMMYFUNCTION("""COMPUTED_VALUE"""),45580)</f>
        <v>45580</v>
      </c>
      <c r="J5072" s="143" t="s">
        <v>17471</v>
      </c>
      <c r="K5072" s="80" t="s">
        <v>17472</v>
      </c>
      <c r="L5072" s="30">
        <v>976599857</v>
      </c>
      <c r="M5072" s="80" t="s">
        <v>9422</v>
      </c>
      <c r="N5072" s="80" t="s">
        <v>12670</v>
      </c>
      <c r="O5072" s="80" t="s">
        <v>11607</v>
      </c>
      <c r="P5072" s="80" t="s">
        <v>6918</v>
      </c>
      <c r="Q5072" s="20">
        <v>5736</v>
      </c>
      <c r="R5072" s="80" t="s">
        <v>11421</v>
      </c>
      <c r="S5072" s="95">
        <v>2000</v>
      </c>
      <c r="T5072" s="148">
        <v>45576</v>
      </c>
      <c r="U5072" s="95">
        <v>3436</v>
      </c>
      <c r="V5072" s="148">
        <v>45597</v>
      </c>
      <c r="W5072" s="85" t="s">
        <v>17473</v>
      </c>
      <c r="X5072" s="80"/>
      <c r="Y5072" s="22">
        <v>300</v>
      </c>
      <c r="Z5072" s="80" t="s">
        <v>50</v>
      </c>
      <c r="AA5072" s="86" t="s">
        <v>14723</v>
      </c>
      <c r="AB5072" s="80"/>
      <c r="AC5072" s="80" t="s">
        <v>53</v>
      </c>
      <c r="AD5072" s="80" t="s">
        <v>54</v>
      </c>
      <c r="AE5072" s="80"/>
      <c r="AF5072" s="43">
        <v>45579</v>
      </c>
      <c r="AG5072" s="80"/>
      <c r="AH5072" s="80"/>
      <c r="AI5072" s="147"/>
      <c r="AJ5072" s="80"/>
      <c r="AK5072" s="80"/>
      <c r="AL5072" s="35"/>
      <c r="AM5072" s="35"/>
      <c r="AN5072" s="35"/>
      <c r="AO5072" s="35"/>
      <c r="AP5072" s="35"/>
    </row>
    <row r="5073" spans="1:42" x14ac:dyDescent="0.2">
      <c r="A5073" s="126">
        <v>45577.848257951387</v>
      </c>
      <c r="B5073" s="137" t="s">
        <v>37</v>
      </c>
      <c r="C5073" s="41" t="s">
        <v>118</v>
      </c>
      <c r="D5073" s="80" t="s">
        <v>36</v>
      </c>
      <c r="E5073" s="80" t="s">
        <v>77</v>
      </c>
      <c r="F5073" s="80" t="s">
        <v>36</v>
      </c>
      <c r="G5073" s="80" t="s">
        <v>41</v>
      </c>
      <c r="H5073" s="80" t="s">
        <v>16224</v>
      </c>
      <c r="I5073" s="17">
        <f ca="1">IFERROR(__xludf.DUMMYFUNCTION("""COMPUTED_VALUE"""),45580)</f>
        <v>45580</v>
      </c>
      <c r="J5073" s="143" t="s">
        <v>17474</v>
      </c>
      <c r="K5073" s="80" t="s">
        <v>17475</v>
      </c>
      <c r="L5073" s="30">
        <v>356135906</v>
      </c>
      <c r="M5073" s="80" t="s">
        <v>348</v>
      </c>
      <c r="N5073" s="80" t="s">
        <v>4299</v>
      </c>
      <c r="O5073" s="80" t="s">
        <v>17476</v>
      </c>
      <c r="P5073" s="80" t="s">
        <v>17477</v>
      </c>
      <c r="Q5073" s="20">
        <v>1968</v>
      </c>
      <c r="R5073" s="80" t="s">
        <v>36</v>
      </c>
      <c r="S5073" s="95">
        <v>2000</v>
      </c>
      <c r="T5073" s="148">
        <v>45577</v>
      </c>
      <c r="U5073" s="77"/>
      <c r="V5073" s="78"/>
      <c r="W5073" s="85" t="s">
        <v>17478</v>
      </c>
      <c r="X5073" s="80"/>
      <c r="Y5073" s="22">
        <v>-32</v>
      </c>
      <c r="Z5073" s="80" t="s">
        <v>50</v>
      </c>
      <c r="AA5073" s="82" t="s">
        <v>14723</v>
      </c>
      <c r="AB5073" s="80"/>
      <c r="AC5073" s="80" t="s">
        <v>53</v>
      </c>
      <c r="AD5073" s="80" t="s">
        <v>54</v>
      </c>
      <c r="AE5073" s="80" t="s">
        <v>17479</v>
      </c>
      <c r="AF5073" s="43">
        <v>45579</v>
      </c>
      <c r="AG5073" s="80" t="s">
        <v>7078</v>
      </c>
      <c r="AH5073" s="80"/>
      <c r="AI5073" s="147"/>
      <c r="AJ5073" s="80"/>
      <c r="AK5073" s="80"/>
      <c r="AL5073" s="35"/>
      <c r="AM5073" s="35"/>
      <c r="AN5073" s="35"/>
      <c r="AO5073" s="35"/>
      <c r="AP5073" s="35"/>
    </row>
    <row r="5074" spans="1:42" x14ac:dyDescent="0.2">
      <c r="A5074" s="126">
        <v>45578.49034423611</v>
      </c>
      <c r="B5074" s="137" t="s">
        <v>37</v>
      </c>
      <c r="C5074" s="41" t="s">
        <v>118</v>
      </c>
      <c r="D5074" s="80" t="s">
        <v>36</v>
      </c>
      <c r="E5074" s="80" t="s">
        <v>139</v>
      </c>
      <c r="F5074" s="80" t="s">
        <v>36</v>
      </c>
      <c r="G5074" s="80" t="s">
        <v>41</v>
      </c>
      <c r="H5074" s="80" t="s">
        <v>15451</v>
      </c>
      <c r="I5074" s="17">
        <f ca="1">IFERROR(__xludf.DUMMYFUNCTION("""COMPUTED_VALUE"""),45603)</f>
        <v>45603</v>
      </c>
      <c r="J5074" s="143" t="s">
        <v>17480</v>
      </c>
      <c r="K5074" s="80" t="s">
        <v>17481</v>
      </c>
      <c r="L5074" s="30">
        <v>967301445</v>
      </c>
      <c r="M5074" s="80" t="s">
        <v>5429</v>
      </c>
      <c r="N5074" s="80" t="s">
        <v>81</v>
      </c>
      <c r="O5074" s="80" t="s">
        <v>61</v>
      </c>
      <c r="P5074" s="80" t="s">
        <v>6368</v>
      </c>
      <c r="Q5074" s="20">
        <v>15936</v>
      </c>
      <c r="R5074" s="80" t="s">
        <v>36</v>
      </c>
      <c r="S5074" s="95">
        <f>200+1800</f>
        <v>2000</v>
      </c>
      <c r="T5074" s="83" t="s">
        <v>17482</v>
      </c>
      <c r="U5074" s="95">
        <v>13936</v>
      </c>
      <c r="V5074" s="148">
        <v>45622</v>
      </c>
      <c r="W5074" s="85" t="s">
        <v>17483</v>
      </c>
      <c r="X5074" s="80"/>
      <c r="Y5074" s="22">
        <v>0</v>
      </c>
      <c r="Z5074" s="80" t="s">
        <v>50</v>
      </c>
      <c r="AA5074" s="86" t="s">
        <v>14723</v>
      </c>
      <c r="AB5074" s="80"/>
      <c r="AC5074" s="80" t="s">
        <v>53</v>
      </c>
      <c r="AD5074" s="80" t="s">
        <v>138</v>
      </c>
      <c r="AE5074" s="80" t="s">
        <v>72</v>
      </c>
      <c r="AF5074" s="17">
        <v>45603</v>
      </c>
      <c r="AG5074" s="80"/>
      <c r="AH5074" s="80"/>
      <c r="AI5074" s="147"/>
      <c r="AJ5074" s="80"/>
      <c r="AK5074" s="80"/>
      <c r="AL5074" s="35"/>
      <c r="AM5074" s="35"/>
      <c r="AN5074" s="35"/>
      <c r="AO5074" s="35"/>
      <c r="AP5074" s="35"/>
    </row>
    <row r="5075" spans="1:42" x14ac:dyDescent="0.2">
      <c r="A5075" s="126">
        <v>45578.668672129628</v>
      </c>
      <c r="B5075" s="137" t="s">
        <v>37</v>
      </c>
      <c r="C5075" s="41" t="s">
        <v>118</v>
      </c>
      <c r="D5075" s="80" t="s">
        <v>36</v>
      </c>
      <c r="E5075" s="80" t="s">
        <v>39</v>
      </c>
      <c r="F5075" s="80" t="s">
        <v>36</v>
      </c>
      <c r="G5075" s="80" t="s">
        <v>41</v>
      </c>
      <c r="H5075" s="80" t="s">
        <v>16224</v>
      </c>
      <c r="I5075" s="17">
        <f ca="1">IFERROR(__xludf.DUMMYFUNCTION("""COMPUTED_VALUE"""),45580)</f>
        <v>45580</v>
      </c>
      <c r="J5075" s="143" t="s">
        <v>17484</v>
      </c>
      <c r="K5075" s="80" t="s">
        <v>12972</v>
      </c>
      <c r="L5075" s="30">
        <v>974105177</v>
      </c>
      <c r="M5075" s="80" t="s">
        <v>9422</v>
      </c>
      <c r="N5075" s="80" t="s">
        <v>12670</v>
      </c>
      <c r="O5075" s="80" t="s">
        <v>11607</v>
      </c>
      <c r="P5075" s="80" t="s">
        <v>16298</v>
      </c>
      <c r="Q5075" s="20">
        <v>5736</v>
      </c>
      <c r="R5075" s="80" t="s">
        <v>11421</v>
      </c>
      <c r="S5075" s="95">
        <v>2000</v>
      </c>
      <c r="T5075" s="148">
        <v>45578</v>
      </c>
      <c r="U5075" s="95">
        <v>3436</v>
      </c>
      <c r="V5075" s="148">
        <v>45599</v>
      </c>
      <c r="W5075" s="85" t="s">
        <v>17485</v>
      </c>
      <c r="X5075" s="80"/>
      <c r="Y5075" s="22">
        <v>300</v>
      </c>
      <c r="Z5075" s="80" t="s">
        <v>50</v>
      </c>
      <c r="AA5075" s="82" t="s">
        <v>14723</v>
      </c>
      <c r="AB5075" s="80"/>
      <c r="AC5075" s="80" t="s">
        <v>53</v>
      </c>
      <c r="AD5075" s="80" t="s">
        <v>54</v>
      </c>
      <c r="AE5075" s="80"/>
      <c r="AF5075" s="43">
        <v>45579</v>
      </c>
      <c r="AG5075" s="80"/>
      <c r="AH5075" s="80"/>
      <c r="AI5075" s="147"/>
      <c r="AJ5075" s="80"/>
      <c r="AK5075" s="80"/>
      <c r="AL5075" s="35"/>
      <c r="AM5075" s="35"/>
      <c r="AN5075" s="35"/>
      <c r="AO5075" s="35"/>
      <c r="AP5075" s="35"/>
    </row>
    <row r="5076" spans="1:42" x14ac:dyDescent="0.2">
      <c r="A5076" s="126">
        <v>45579.656693865742</v>
      </c>
      <c r="B5076" s="137" t="s">
        <v>37</v>
      </c>
      <c r="C5076" s="41" t="s">
        <v>118</v>
      </c>
      <c r="D5076" s="80" t="s">
        <v>36</v>
      </c>
      <c r="E5076" s="80" t="s">
        <v>56</v>
      </c>
      <c r="F5076" s="80" t="s">
        <v>36</v>
      </c>
      <c r="G5076" s="80" t="s">
        <v>41</v>
      </c>
      <c r="H5076" s="80" t="s">
        <v>15796</v>
      </c>
      <c r="I5076" s="17">
        <f ca="1">IFERROR(__xludf.DUMMYFUNCTION("""COMPUTED_VALUE"""),45594)</f>
        <v>45594</v>
      </c>
      <c r="J5076" s="143" t="s">
        <v>17486</v>
      </c>
      <c r="K5076" s="145" t="s">
        <v>17487</v>
      </c>
      <c r="L5076" s="30">
        <v>347022063</v>
      </c>
      <c r="M5076" s="80" t="s">
        <v>59</v>
      </c>
      <c r="N5076" s="80" t="s">
        <v>17488</v>
      </c>
      <c r="O5076" s="80" t="s">
        <v>17489</v>
      </c>
      <c r="P5076" s="80" t="s">
        <v>12692</v>
      </c>
      <c r="Q5076" s="20">
        <v>9317</v>
      </c>
      <c r="R5076" s="80" t="s">
        <v>36</v>
      </c>
      <c r="S5076" s="95">
        <v>2000</v>
      </c>
      <c r="T5076" s="148">
        <v>45579</v>
      </c>
      <c r="U5076" s="95">
        <v>7317</v>
      </c>
      <c r="V5076" s="148">
        <v>45613</v>
      </c>
      <c r="W5076" s="85" t="s">
        <v>17490</v>
      </c>
      <c r="X5076" s="80"/>
      <c r="Y5076" s="22">
        <v>0</v>
      </c>
      <c r="Z5076" s="80" t="s">
        <v>50</v>
      </c>
      <c r="AA5076" s="86" t="s">
        <v>14723</v>
      </c>
      <c r="AB5076" s="80"/>
      <c r="AC5076" s="80" t="s">
        <v>53</v>
      </c>
      <c r="AD5076" s="80" t="s">
        <v>138</v>
      </c>
      <c r="AE5076" s="80" t="s">
        <v>16312</v>
      </c>
      <c r="AF5076" s="43">
        <v>45594</v>
      </c>
      <c r="AG5076" s="80"/>
      <c r="AH5076" s="80"/>
      <c r="AI5076" s="147"/>
      <c r="AJ5076" s="80"/>
      <c r="AK5076" s="80"/>
      <c r="AL5076" s="35"/>
      <c r="AM5076" s="35"/>
      <c r="AN5076" s="35"/>
      <c r="AO5076" s="35"/>
      <c r="AP5076" s="35"/>
    </row>
    <row r="5077" spans="1:42" x14ac:dyDescent="0.2">
      <c r="A5077" s="126">
        <v>45579.675157476857</v>
      </c>
      <c r="B5077" s="137" t="s">
        <v>37</v>
      </c>
      <c r="C5077" s="41" t="s">
        <v>118</v>
      </c>
      <c r="D5077" s="80" t="s">
        <v>36</v>
      </c>
      <c r="E5077" s="80" t="s">
        <v>139</v>
      </c>
      <c r="F5077" s="80" t="s">
        <v>36</v>
      </c>
      <c r="G5077" s="80" t="s">
        <v>41</v>
      </c>
      <c r="H5077" s="80" t="s">
        <v>15166</v>
      </c>
      <c r="I5077" s="17">
        <f ca="1">IFERROR(__xludf.DUMMYFUNCTION("""COMPUTED_VALUE"""),45589)</f>
        <v>45589</v>
      </c>
      <c r="J5077" s="143" t="s">
        <v>16855</v>
      </c>
      <c r="K5077" s="80" t="s">
        <v>16856</v>
      </c>
      <c r="L5077" s="30">
        <v>869760362</v>
      </c>
      <c r="M5077" s="80" t="s">
        <v>16756</v>
      </c>
      <c r="N5077" s="80" t="s">
        <v>3525</v>
      </c>
      <c r="O5077" s="80" t="s">
        <v>4911</v>
      </c>
      <c r="P5077" s="80" t="s">
        <v>12578</v>
      </c>
      <c r="Q5077" s="20">
        <v>15936</v>
      </c>
      <c r="R5077" s="80" t="s">
        <v>36</v>
      </c>
      <c r="S5077" s="95">
        <v>2000</v>
      </c>
      <c r="T5077" s="148">
        <v>45579</v>
      </c>
      <c r="U5077" s="95">
        <v>13936</v>
      </c>
      <c r="V5077" s="148">
        <v>45607</v>
      </c>
      <c r="W5077" s="85" t="s">
        <v>16857</v>
      </c>
      <c r="X5077" s="80"/>
      <c r="Y5077" s="22">
        <v>0</v>
      </c>
      <c r="Z5077" s="80" t="s">
        <v>50</v>
      </c>
      <c r="AA5077" s="82" t="s">
        <v>14723</v>
      </c>
      <c r="AB5077" s="80"/>
      <c r="AC5077" s="80" t="s">
        <v>53</v>
      </c>
      <c r="AD5077" s="80" t="s">
        <v>138</v>
      </c>
      <c r="AE5077" s="80"/>
      <c r="AF5077" s="43">
        <v>45589</v>
      </c>
      <c r="AG5077" s="80" t="s">
        <v>14199</v>
      </c>
      <c r="AH5077" s="80"/>
      <c r="AI5077" s="147"/>
      <c r="AJ5077" s="80"/>
      <c r="AK5077" s="80"/>
      <c r="AL5077" s="35"/>
      <c r="AM5077" s="35"/>
      <c r="AN5077" s="35"/>
      <c r="AO5077" s="35"/>
      <c r="AP5077" s="35"/>
    </row>
    <row r="5078" spans="1:42" x14ac:dyDescent="0.2">
      <c r="A5078" s="126">
        <v>45579.873802407412</v>
      </c>
      <c r="B5078" s="137" t="s">
        <v>37</v>
      </c>
      <c r="C5078" s="41" t="s">
        <v>118</v>
      </c>
      <c r="D5078" s="80" t="s">
        <v>36</v>
      </c>
      <c r="E5078" s="80" t="s">
        <v>39</v>
      </c>
      <c r="F5078" s="80" t="s">
        <v>36</v>
      </c>
      <c r="G5078" s="80" t="s">
        <v>41</v>
      </c>
      <c r="H5078" s="80" t="s">
        <v>13535</v>
      </c>
      <c r="I5078" s="17">
        <f ca="1">IFERROR(__xludf.DUMMYFUNCTION("""COMPUTED_VALUE"""),45589)</f>
        <v>45589</v>
      </c>
      <c r="J5078" s="143" t="s">
        <v>16989</v>
      </c>
      <c r="K5078" s="80" t="s">
        <v>17491</v>
      </c>
      <c r="L5078" s="30">
        <v>974384287</v>
      </c>
      <c r="M5078" s="80" t="s">
        <v>5558</v>
      </c>
      <c r="N5078" s="80" t="s">
        <v>850</v>
      </c>
      <c r="O5078" s="80" t="s">
        <v>16991</v>
      </c>
      <c r="P5078" s="80" t="s">
        <v>16992</v>
      </c>
      <c r="Q5078" s="20">
        <v>5736</v>
      </c>
      <c r="R5078" s="80" t="s">
        <v>36</v>
      </c>
      <c r="S5078" s="95">
        <f>2000+3736</f>
        <v>5736</v>
      </c>
      <c r="T5078" s="83" t="s">
        <v>16993</v>
      </c>
      <c r="U5078" s="77"/>
      <c r="V5078" s="78"/>
      <c r="W5078" s="85" t="s">
        <v>16994</v>
      </c>
      <c r="X5078" s="80"/>
      <c r="Y5078" s="22">
        <v>0</v>
      </c>
      <c r="Z5078" s="80" t="s">
        <v>50</v>
      </c>
      <c r="AA5078" s="86" t="s">
        <v>14723</v>
      </c>
      <c r="AB5078" s="80"/>
      <c r="AC5078" s="80" t="s">
        <v>53</v>
      </c>
      <c r="AD5078" s="80" t="s">
        <v>138</v>
      </c>
      <c r="AE5078" s="80"/>
      <c r="AF5078" s="43">
        <v>45589</v>
      </c>
      <c r="AG5078" s="80" t="s">
        <v>7078</v>
      </c>
      <c r="AH5078" s="80"/>
      <c r="AI5078" s="147"/>
      <c r="AJ5078" s="80"/>
      <c r="AK5078" s="80"/>
      <c r="AL5078" s="35"/>
      <c r="AM5078" s="35"/>
      <c r="AN5078" s="35"/>
      <c r="AO5078" s="35"/>
      <c r="AP5078" s="35"/>
    </row>
    <row r="5079" spans="1:42" x14ac:dyDescent="0.2">
      <c r="A5079" s="126">
        <v>45579.934094178243</v>
      </c>
      <c r="B5079" s="137" t="s">
        <v>37</v>
      </c>
      <c r="C5079" s="41" t="s">
        <v>118</v>
      </c>
      <c r="D5079" s="80" t="s">
        <v>36</v>
      </c>
      <c r="E5079" s="80" t="s">
        <v>139</v>
      </c>
      <c r="F5079" s="80" t="s">
        <v>36</v>
      </c>
      <c r="G5079" s="80" t="s">
        <v>41</v>
      </c>
      <c r="H5079" s="80" t="s">
        <v>16288</v>
      </c>
      <c r="I5079" s="17">
        <f ca="1">IFERROR(__xludf.DUMMYFUNCTION("""COMPUTED_VALUE"""),45589)</f>
        <v>45589</v>
      </c>
      <c r="J5079" s="143" t="s">
        <v>17492</v>
      </c>
      <c r="K5079" s="80" t="s">
        <v>17493</v>
      </c>
      <c r="L5079" s="30">
        <v>965825127</v>
      </c>
      <c r="M5079" s="80" t="s">
        <v>5558</v>
      </c>
      <c r="N5079" s="80" t="s">
        <v>5277</v>
      </c>
      <c r="O5079" s="80" t="s">
        <v>4503</v>
      </c>
      <c r="P5079" s="80" t="s">
        <v>17494</v>
      </c>
      <c r="Q5079" s="20">
        <v>15936</v>
      </c>
      <c r="R5079" s="80" t="s">
        <v>36</v>
      </c>
      <c r="S5079" s="95">
        <v>3000</v>
      </c>
      <c r="T5079" s="148">
        <v>45579</v>
      </c>
      <c r="U5079" s="95">
        <v>12936</v>
      </c>
      <c r="V5079" s="148">
        <v>45626</v>
      </c>
      <c r="W5079" s="85" t="s">
        <v>17495</v>
      </c>
      <c r="X5079" s="80"/>
      <c r="Y5079" s="22">
        <v>0</v>
      </c>
      <c r="Z5079" s="80" t="s">
        <v>50</v>
      </c>
      <c r="AA5079" s="82" t="s">
        <v>14723</v>
      </c>
      <c r="AB5079" s="80"/>
      <c r="AC5079" s="80" t="s">
        <v>53</v>
      </c>
      <c r="AD5079" s="80" t="s">
        <v>54</v>
      </c>
      <c r="AE5079" s="80"/>
      <c r="AF5079" s="43">
        <v>45580</v>
      </c>
      <c r="AG5079" s="80"/>
      <c r="AH5079" s="80"/>
      <c r="AI5079" s="147"/>
      <c r="AJ5079" s="80"/>
      <c r="AK5079" s="80"/>
      <c r="AL5079" s="35"/>
      <c r="AM5079" s="35"/>
      <c r="AN5079" s="35"/>
      <c r="AO5079" s="35"/>
      <c r="AP5079" s="35"/>
    </row>
    <row r="5080" spans="1:42" x14ac:dyDescent="0.2">
      <c r="A5080" s="126">
        <v>45579.936968275462</v>
      </c>
      <c r="B5080" s="137" t="s">
        <v>37</v>
      </c>
      <c r="C5080" s="41" t="s">
        <v>118</v>
      </c>
      <c r="D5080" s="80" t="s">
        <v>36</v>
      </c>
      <c r="E5080" s="80" t="s">
        <v>77</v>
      </c>
      <c r="F5080" s="80" t="s">
        <v>36</v>
      </c>
      <c r="G5080" s="80" t="s">
        <v>41</v>
      </c>
      <c r="H5080" s="80" t="s">
        <v>12444</v>
      </c>
      <c r="I5080" s="17">
        <f ca="1">IFERROR(__xludf.DUMMYFUNCTION("""COMPUTED_VALUE"""),45590)</f>
        <v>45590</v>
      </c>
      <c r="J5080" s="143" t="s">
        <v>17496</v>
      </c>
      <c r="K5080" s="80" t="s">
        <v>17497</v>
      </c>
      <c r="L5080" s="30">
        <v>961360922</v>
      </c>
      <c r="M5080" s="80" t="s">
        <v>5558</v>
      </c>
      <c r="N5080" s="80" t="s">
        <v>850</v>
      </c>
      <c r="O5080" s="80" t="s">
        <v>4503</v>
      </c>
      <c r="P5080" s="80" t="s">
        <v>17498</v>
      </c>
      <c r="Q5080" s="20">
        <v>1968</v>
      </c>
      <c r="R5080" s="80" t="s">
        <v>36</v>
      </c>
      <c r="S5080" s="95">
        <v>1968</v>
      </c>
      <c r="T5080" s="148">
        <v>45579</v>
      </c>
      <c r="U5080" s="77"/>
      <c r="V5080" s="78"/>
      <c r="W5080" s="85" t="s">
        <v>17499</v>
      </c>
      <c r="X5080" s="80"/>
      <c r="Y5080" s="22">
        <v>0</v>
      </c>
      <c r="Z5080" s="80" t="s">
        <v>50</v>
      </c>
      <c r="AA5080" s="86" t="s">
        <v>14723</v>
      </c>
      <c r="AB5080" s="80"/>
      <c r="AC5080" s="80" t="s">
        <v>53</v>
      </c>
      <c r="AD5080" s="80" t="s">
        <v>54</v>
      </c>
      <c r="AE5080" s="80"/>
      <c r="AF5080" s="43">
        <v>45583</v>
      </c>
      <c r="AG5080" s="80" t="s">
        <v>7078</v>
      </c>
      <c r="AH5080" s="80"/>
      <c r="AI5080" s="147"/>
      <c r="AJ5080" s="80"/>
      <c r="AK5080" s="80"/>
      <c r="AL5080" s="35"/>
      <c r="AM5080" s="35"/>
      <c r="AN5080" s="35"/>
      <c r="AO5080" s="35"/>
      <c r="AP5080" s="35"/>
    </row>
    <row r="5081" spans="1:42" x14ac:dyDescent="0.2">
      <c r="A5081" s="126">
        <v>45579.977449652783</v>
      </c>
      <c r="B5081" s="137" t="s">
        <v>37</v>
      </c>
      <c r="C5081" s="41" t="s">
        <v>118</v>
      </c>
      <c r="D5081" s="80" t="s">
        <v>36</v>
      </c>
      <c r="E5081" s="80" t="s">
        <v>139</v>
      </c>
      <c r="F5081" s="80" t="s">
        <v>36</v>
      </c>
      <c r="G5081" s="80" t="s">
        <v>41</v>
      </c>
      <c r="H5081" s="80" t="s">
        <v>13535</v>
      </c>
      <c r="I5081" s="17">
        <f ca="1">IFERROR(__xludf.DUMMYFUNCTION("""COMPUTED_VALUE"""),45589)</f>
        <v>45589</v>
      </c>
      <c r="J5081" s="143" t="s">
        <v>16995</v>
      </c>
      <c r="K5081" s="80" t="s">
        <v>10188</v>
      </c>
      <c r="L5081" s="30">
        <v>869635155</v>
      </c>
      <c r="M5081" s="80" t="s">
        <v>12644</v>
      </c>
      <c r="N5081" s="80" t="s">
        <v>260</v>
      </c>
      <c r="O5081" s="80" t="s">
        <v>16996</v>
      </c>
      <c r="P5081" s="80" t="s">
        <v>14107</v>
      </c>
      <c r="Q5081" s="20">
        <v>15936</v>
      </c>
      <c r="R5081" s="80" t="s">
        <v>36</v>
      </c>
      <c r="S5081" s="95">
        <v>2000</v>
      </c>
      <c r="T5081" s="148">
        <v>45579</v>
      </c>
      <c r="U5081" s="95">
        <v>13936</v>
      </c>
      <c r="V5081" s="148">
        <v>45607</v>
      </c>
      <c r="W5081" s="85" t="s">
        <v>16997</v>
      </c>
      <c r="X5081" s="80"/>
      <c r="Y5081" s="22">
        <v>0</v>
      </c>
      <c r="Z5081" s="80" t="s">
        <v>50</v>
      </c>
      <c r="AA5081" s="82" t="s">
        <v>14723</v>
      </c>
      <c r="AB5081" s="80"/>
      <c r="AC5081" s="80" t="s">
        <v>53</v>
      </c>
      <c r="AD5081" s="80" t="s">
        <v>138</v>
      </c>
      <c r="AE5081" s="80"/>
      <c r="AF5081" s="43">
        <v>45589</v>
      </c>
      <c r="AG5081" s="80" t="s">
        <v>13541</v>
      </c>
      <c r="AH5081" s="80"/>
      <c r="AI5081" s="147"/>
      <c r="AJ5081" s="80"/>
      <c r="AK5081" s="80"/>
      <c r="AL5081" s="35"/>
      <c r="AM5081" s="35"/>
      <c r="AN5081" s="35"/>
      <c r="AO5081" s="35"/>
      <c r="AP5081" s="35"/>
    </row>
    <row r="5082" spans="1:42" x14ac:dyDescent="0.2">
      <c r="A5082" s="126">
        <v>45580.414155578706</v>
      </c>
      <c r="B5082" s="137" t="s">
        <v>37</v>
      </c>
      <c r="C5082" s="41" t="s">
        <v>118</v>
      </c>
      <c r="D5082" s="80" t="s">
        <v>36</v>
      </c>
      <c r="E5082" s="80" t="s">
        <v>139</v>
      </c>
      <c r="F5082" s="80" t="s">
        <v>40</v>
      </c>
      <c r="G5082" s="80" t="s">
        <v>41</v>
      </c>
      <c r="H5082" s="80" t="s">
        <v>12444</v>
      </c>
      <c r="I5082" s="17">
        <f ca="1">IFERROR(__xludf.DUMMYFUNCTION("""COMPUTED_VALUE"""),45590)</f>
        <v>45590</v>
      </c>
      <c r="J5082" s="143" t="s">
        <v>17500</v>
      </c>
      <c r="K5082" s="80" t="s">
        <v>17501</v>
      </c>
      <c r="L5082" s="30">
        <v>328692314</v>
      </c>
      <c r="M5082" s="80" t="s">
        <v>12720</v>
      </c>
      <c r="N5082" s="80" t="s">
        <v>1073</v>
      </c>
      <c r="O5082" s="80" t="s">
        <v>17502</v>
      </c>
      <c r="P5082" s="144" t="s">
        <v>17503</v>
      </c>
      <c r="Q5082" s="20">
        <v>15936</v>
      </c>
      <c r="R5082" s="80" t="s">
        <v>36</v>
      </c>
      <c r="S5082" s="95">
        <f t="shared" ref="S5082:S5083" si="124">200+1800</f>
        <v>2000</v>
      </c>
      <c r="T5082" s="83" t="s">
        <v>17504</v>
      </c>
      <c r="U5082" s="95">
        <f>10000+3936</f>
        <v>13936</v>
      </c>
      <c r="V5082" s="83" t="s">
        <v>17505</v>
      </c>
      <c r="W5082" s="85" t="s">
        <v>17506</v>
      </c>
      <c r="X5082" s="80"/>
      <c r="Y5082" s="22">
        <v>0</v>
      </c>
      <c r="Z5082" s="80" t="s">
        <v>50</v>
      </c>
      <c r="AA5082" s="86" t="s">
        <v>14723</v>
      </c>
      <c r="AB5082" s="80"/>
      <c r="AC5082" s="80" t="s">
        <v>53</v>
      </c>
      <c r="AD5082" s="80" t="s">
        <v>54</v>
      </c>
      <c r="AE5082" s="83">
        <v>0</v>
      </c>
      <c r="AF5082" s="43">
        <v>45586</v>
      </c>
      <c r="AG5082" s="80"/>
      <c r="AH5082" s="80"/>
      <c r="AI5082" s="147"/>
      <c r="AJ5082" s="80"/>
      <c r="AK5082" s="80"/>
      <c r="AL5082" s="35"/>
      <c r="AM5082" s="35"/>
      <c r="AN5082" s="35"/>
      <c r="AO5082" s="35"/>
      <c r="AP5082" s="35"/>
    </row>
    <row r="5083" spans="1:42" x14ac:dyDescent="0.2">
      <c r="A5083" s="126">
        <v>45580.758264884258</v>
      </c>
      <c r="B5083" s="137" t="s">
        <v>37</v>
      </c>
      <c r="C5083" s="41" t="s">
        <v>118</v>
      </c>
      <c r="D5083" s="80" t="s">
        <v>36</v>
      </c>
      <c r="E5083" s="80" t="s">
        <v>56</v>
      </c>
      <c r="F5083" s="80" t="s">
        <v>40</v>
      </c>
      <c r="G5083" s="80" t="s">
        <v>41</v>
      </c>
      <c r="H5083" s="80" t="s">
        <v>12444</v>
      </c>
      <c r="I5083" s="17">
        <f ca="1">IFERROR(__xludf.DUMMYFUNCTION("""COMPUTED_VALUE"""),45590)</f>
        <v>45590</v>
      </c>
      <c r="J5083" s="143" t="s">
        <v>17507</v>
      </c>
      <c r="K5083" s="80" t="s">
        <v>17508</v>
      </c>
      <c r="L5083" s="30">
        <v>389860171</v>
      </c>
      <c r="M5083" s="80" t="s">
        <v>12720</v>
      </c>
      <c r="N5083" s="80" t="s">
        <v>1073</v>
      </c>
      <c r="O5083" s="80" t="s">
        <v>1492</v>
      </c>
      <c r="P5083" s="80" t="s">
        <v>17509</v>
      </c>
      <c r="Q5083" s="20">
        <v>9317</v>
      </c>
      <c r="R5083" s="80" t="s">
        <v>36</v>
      </c>
      <c r="S5083" s="95">
        <f t="shared" si="124"/>
        <v>2000</v>
      </c>
      <c r="T5083" s="83" t="s">
        <v>17510</v>
      </c>
      <c r="U5083" s="95">
        <v>7317</v>
      </c>
      <c r="V5083" s="148">
        <v>45611</v>
      </c>
      <c r="W5083" s="85" t="s">
        <v>17511</v>
      </c>
      <c r="X5083" s="80"/>
      <c r="Y5083" s="22">
        <v>0</v>
      </c>
      <c r="Z5083" s="80" t="s">
        <v>50</v>
      </c>
      <c r="AA5083" s="82" t="s">
        <v>14723</v>
      </c>
      <c r="AB5083" s="80"/>
      <c r="AC5083" s="80" t="s">
        <v>53</v>
      </c>
      <c r="AD5083" s="80" t="s">
        <v>54</v>
      </c>
      <c r="AE5083" s="83">
        <v>0</v>
      </c>
      <c r="AF5083" s="43">
        <v>45586</v>
      </c>
      <c r="AG5083" s="80"/>
      <c r="AH5083" s="80"/>
      <c r="AI5083" s="147"/>
      <c r="AJ5083" s="80"/>
      <c r="AK5083" s="80"/>
      <c r="AL5083" s="35"/>
      <c r="AM5083" s="35"/>
      <c r="AN5083" s="35"/>
      <c r="AO5083" s="35"/>
      <c r="AP5083" s="35"/>
    </row>
    <row r="5084" spans="1:42" x14ac:dyDescent="0.2">
      <c r="A5084" s="126">
        <v>45580.924796041669</v>
      </c>
      <c r="B5084" s="137" t="s">
        <v>37</v>
      </c>
      <c r="C5084" s="41" t="s">
        <v>118</v>
      </c>
      <c r="D5084" s="80" t="s">
        <v>36</v>
      </c>
      <c r="E5084" s="80" t="s">
        <v>119</v>
      </c>
      <c r="F5084" s="80" t="s">
        <v>40</v>
      </c>
      <c r="G5084" s="80" t="s">
        <v>108</v>
      </c>
      <c r="H5084" s="80" t="s">
        <v>13727</v>
      </c>
      <c r="I5084" s="17">
        <f ca="1">IFERROR(__xludf.DUMMYFUNCTION("""COMPUTED_VALUE"""),45705)</f>
        <v>45705</v>
      </c>
      <c r="J5084" s="143" t="s">
        <v>17512</v>
      </c>
      <c r="K5084" s="80" t="s">
        <v>17513</v>
      </c>
      <c r="L5084" s="30">
        <v>383998022</v>
      </c>
      <c r="M5084" s="80" t="s">
        <v>5558</v>
      </c>
      <c r="N5084" s="80" t="s">
        <v>5277</v>
      </c>
      <c r="O5084" s="80" t="s">
        <v>4503</v>
      </c>
      <c r="P5084" s="80" t="s">
        <v>17514</v>
      </c>
      <c r="Q5084" s="20">
        <v>13968</v>
      </c>
      <c r="R5084" s="80" t="s">
        <v>36</v>
      </c>
      <c r="S5084" s="95">
        <v>4000</v>
      </c>
      <c r="T5084" s="148">
        <v>45580</v>
      </c>
      <c r="U5084" s="95">
        <v>9968</v>
      </c>
      <c r="V5084" s="148">
        <v>45609</v>
      </c>
      <c r="W5084" s="85" t="s">
        <v>17515</v>
      </c>
      <c r="X5084" s="80"/>
      <c r="Y5084" s="22">
        <v>0</v>
      </c>
      <c r="Z5084" s="80" t="s">
        <v>50</v>
      </c>
      <c r="AA5084" s="86" t="s">
        <v>14723</v>
      </c>
      <c r="AB5084" s="80"/>
      <c r="AC5084" s="80" t="s">
        <v>53</v>
      </c>
      <c r="AD5084" s="80" t="s">
        <v>54</v>
      </c>
      <c r="AE5084" s="80"/>
      <c r="AF5084" s="43">
        <v>45583</v>
      </c>
      <c r="AG5084" s="80"/>
      <c r="AH5084" s="80"/>
      <c r="AI5084" s="147"/>
      <c r="AJ5084" s="80"/>
      <c r="AK5084" s="80"/>
      <c r="AL5084" s="35"/>
      <c r="AM5084" s="35"/>
      <c r="AN5084" s="35"/>
      <c r="AO5084" s="35"/>
      <c r="AP5084" s="35"/>
    </row>
    <row r="5085" spans="1:42" x14ac:dyDescent="0.2">
      <c r="A5085" s="126">
        <v>45580.958029745372</v>
      </c>
      <c r="B5085" s="137" t="s">
        <v>37</v>
      </c>
      <c r="C5085" s="41" t="s">
        <v>118</v>
      </c>
      <c r="D5085" s="80" t="s">
        <v>36</v>
      </c>
      <c r="E5085" s="80" t="s">
        <v>119</v>
      </c>
      <c r="F5085" s="80" t="s">
        <v>40</v>
      </c>
      <c r="G5085" s="80" t="s">
        <v>108</v>
      </c>
      <c r="H5085" s="80" t="s">
        <v>10205</v>
      </c>
      <c r="I5085" s="17">
        <f ca="1">IFERROR(__xludf.DUMMYFUNCTION("""COMPUTED_VALUE"""),45590)</f>
        <v>45590</v>
      </c>
      <c r="J5085" s="143" t="s">
        <v>17516</v>
      </c>
      <c r="K5085" s="80" t="s">
        <v>17517</v>
      </c>
      <c r="L5085" s="30">
        <v>943912118</v>
      </c>
      <c r="M5085" s="80" t="s">
        <v>5558</v>
      </c>
      <c r="N5085" s="80" t="s">
        <v>5277</v>
      </c>
      <c r="O5085" s="80" t="s">
        <v>4503</v>
      </c>
      <c r="P5085" s="80" t="s">
        <v>17518</v>
      </c>
      <c r="Q5085" s="20">
        <v>13968</v>
      </c>
      <c r="R5085" s="80" t="s">
        <v>36</v>
      </c>
      <c r="S5085" s="95">
        <f>200+4800</f>
        <v>5000</v>
      </c>
      <c r="T5085" s="83" t="s">
        <v>17519</v>
      </c>
      <c r="U5085" s="95">
        <v>8968</v>
      </c>
      <c r="V5085" s="148">
        <v>45607</v>
      </c>
      <c r="W5085" s="85" t="s">
        <v>17520</v>
      </c>
      <c r="X5085" s="80"/>
      <c r="Y5085" s="22">
        <v>0</v>
      </c>
      <c r="Z5085" s="80" t="s">
        <v>50</v>
      </c>
      <c r="AA5085" s="82" t="s">
        <v>14723</v>
      </c>
      <c r="AB5085" s="80"/>
      <c r="AC5085" s="80" t="s">
        <v>53</v>
      </c>
      <c r="AD5085" s="80" t="s">
        <v>54</v>
      </c>
      <c r="AE5085" s="80"/>
      <c r="AF5085" s="43">
        <v>45583</v>
      </c>
      <c r="AG5085" s="80"/>
      <c r="AH5085" s="80"/>
      <c r="AI5085" s="147"/>
      <c r="AJ5085" s="80"/>
      <c r="AK5085" s="80"/>
      <c r="AL5085" s="35"/>
      <c r="AM5085" s="35"/>
      <c r="AN5085" s="35"/>
      <c r="AO5085" s="35"/>
      <c r="AP5085" s="35"/>
    </row>
    <row r="5086" spans="1:42" x14ac:dyDescent="0.2">
      <c r="A5086" s="126">
        <v>45581.375355150463</v>
      </c>
      <c r="B5086" s="137" t="s">
        <v>37</v>
      </c>
      <c r="C5086" s="41" t="s">
        <v>118</v>
      </c>
      <c r="D5086" s="80" t="s">
        <v>36</v>
      </c>
      <c r="E5086" s="80" t="s">
        <v>77</v>
      </c>
      <c r="F5086" s="80" t="s">
        <v>36</v>
      </c>
      <c r="G5086" s="80" t="s">
        <v>41</v>
      </c>
      <c r="H5086" s="80" t="s">
        <v>13143</v>
      </c>
      <c r="I5086" s="17">
        <f ca="1">IFERROR(__xludf.DUMMYFUNCTION("""COMPUTED_VALUE"""),45604)</f>
        <v>45604</v>
      </c>
      <c r="J5086" s="143" t="s">
        <v>17521</v>
      </c>
      <c r="K5086" s="80" t="s">
        <v>17522</v>
      </c>
      <c r="L5086" s="30">
        <v>369323406</v>
      </c>
      <c r="M5086" s="80" t="s">
        <v>348</v>
      </c>
      <c r="N5086" s="80" t="s">
        <v>200</v>
      </c>
      <c r="O5086" s="80" t="s">
        <v>91</v>
      </c>
      <c r="P5086" s="80" t="s">
        <v>17523</v>
      </c>
      <c r="Q5086" s="20">
        <v>1968</v>
      </c>
      <c r="R5086" s="80" t="s">
        <v>36</v>
      </c>
      <c r="S5086" s="95">
        <v>1968</v>
      </c>
      <c r="T5086" s="148">
        <v>45581</v>
      </c>
      <c r="U5086" s="77"/>
      <c r="V5086" s="78"/>
      <c r="W5086" s="85" t="s">
        <v>17524</v>
      </c>
      <c r="X5086" s="80"/>
      <c r="Y5086" s="22">
        <v>0</v>
      </c>
      <c r="Z5086" s="80" t="s">
        <v>50</v>
      </c>
      <c r="AA5086" s="86" t="s">
        <v>14723</v>
      </c>
      <c r="AB5086" s="80"/>
      <c r="AC5086" s="80" t="s">
        <v>53</v>
      </c>
      <c r="AD5086" s="80" t="s">
        <v>138</v>
      </c>
      <c r="AE5086" s="80" t="s">
        <v>4911</v>
      </c>
      <c r="AF5086" s="17">
        <v>45604</v>
      </c>
      <c r="AG5086" s="80" t="s">
        <v>7078</v>
      </c>
      <c r="AH5086" s="80"/>
      <c r="AI5086" s="147"/>
      <c r="AJ5086" s="80"/>
      <c r="AK5086" s="80"/>
      <c r="AL5086" s="35"/>
      <c r="AM5086" s="35"/>
      <c r="AN5086" s="35"/>
      <c r="AO5086" s="35"/>
      <c r="AP5086" s="35"/>
    </row>
    <row r="5087" spans="1:42" x14ac:dyDescent="0.2">
      <c r="A5087" s="126">
        <v>45581.436497696763</v>
      </c>
      <c r="B5087" s="137" t="s">
        <v>37</v>
      </c>
      <c r="C5087" s="41" t="s">
        <v>118</v>
      </c>
      <c r="D5087" s="80" t="s">
        <v>36</v>
      </c>
      <c r="E5087" s="80" t="s">
        <v>119</v>
      </c>
      <c r="F5087" s="80" t="s">
        <v>36</v>
      </c>
      <c r="G5087" s="80" t="s">
        <v>108</v>
      </c>
      <c r="H5087" s="80" t="s">
        <v>13913</v>
      </c>
      <c r="I5087" s="17">
        <f ca="1">IFERROR(__xludf.DUMMYFUNCTION("""COMPUTED_VALUE"""),45602)</f>
        <v>45602</v>
      </c>
      <c r="J5087" s="143" t="s">
        <v>17525</v>
      </c>
      <c r="K5087" s="80" t="s">
        <v>17526</v>
      </c>
      <c r="L5087" s="30">
        <v>815707803</v>
      </c>
      <c r="M5087" s="80" t="s">
        <v>5429</v>
      </c>
      <c r="N5087" s="80" t="s">
        <v>756</v>
      </c>
      <c r="O5087" s="80" t="s">
        <v>61</v>
      </c>
      <c r="P5087" s="80" t="s">
        <v>6368</v>
      </c>
      <c r="Q5087" s="20">
        <v>13968</v>
      </c>
      <c r="R5087" s="80" t="s">
        <v>36</v>
      </c>
      <c r="S5087" s="95">
        <f>200+3800</f>
        <v>4000</v>
      </c>
      <c r="T5087" s="83" t="s">
        <v>17527</v>
      </c>
      <c r="U5087" s="95">
        <v>9968</v>
      </c>
      <c r="V5087" s="148">
        <v>45618</v>
      </c>
      <c r="W5087" s="85" t="s">
        <v>17528</v>
      </c>
      <c r="X5087" s="80"/>
      <c r="Y5087" s="22">
        <v>0</v>
      </c>
      <c r="Z5087" s="80" t="s">
        <v>50</v>
      </c>
      <c r="AA5087" s="82" t="s">
        <v>14723</v>
      </c>
      <c r="AB5087" s="80"/>
      <c r="AC5087" s="80" t="s">
        <v>53</v>
      </c>
      <c r="AD5087" s="80" t="s">
        <v>138</v>
      </c>
      <c r="AE5087" s="83">
        <v>430</v>
      </c>
      <c r="AF5087" s="17">
        <v>45602</v>
      </c>
      <c r="AG5087" s="80" t="s">
        <v>13915</v>
      </c>
      <c r="AH5087" s="80"/>
      <c r="AI5087" s="147"/>
      <c r="AJ5087" s="80"/>
      <c r="AK5087" s="80"/>
      <c r="AL5087" s="35"/>
      <c r="AM5087" s="35"/>
      <c r="AN5087" s="35"/>
      <c r="AO5087" s="35"/>
      <c r="AP5087" s="35"/>
    </row>
    <row r="5088" spans="1:42" x14ac:dyDescent="0.2">
      <c r="A5088" s="126">
        <v>45581.952139814814</v>
      </c>
      <c r="B5088" s="137" t="s">
        <v>37</v>
      </c>
      <c r="C5088" s="41" t="s">
        <v>118</v>
      </c>
      <c r="D5088" s="80" t="s">
        <v>36</v>
      </c>
      <c r="E5088" s="80" t="s">
        <v>139</v>
      </c>
      <c r="F5088" s="80" t="s">
        <v>36</v>
      </c>
      <c r="G5088" s="80" t="s">
        <v>41</v>
      </c>
      <c r="H5088" s="80" t="s">
        <v>12444</v>
      </c>
      <c r="I5088" s="17">
        <f ca="1">IFERROR(__xludf.DUMMYFUNCTION("""COMPUTED_VALUE"""),45590)</f>
        <v>45590</v>
      </c>
      <c r="J5088" s="143" t="s">
        <v>17529</v>
      </c>
      <c r="K5088" s="80" t="s">
        <v>17530</v>
      </c>
      <c r="L5088" s="30">
        <v>342194772</v>
      </c>
      <c r="M5088" s="80" t="s">
        <v>5518</v>
      </c>
      <c r="N5088" s="80" t="s">
        <v>5252</v>
      </c>
      <c r="O5088" s="80" t="s">
        <v>17531</v>
      </c>
      <c r="P5088" s="80" t="s">
        <v>17532</v>
      </c>
      <c r="Q5088" s="20">
        <v>15936</v>
      </c>
      <c r="R5088" s="80" t="s">
        <v>36</v>
      </c>
      <c r="S5088" s="95">
        <v>2000</v>
      </c>
      <c r="T5088" s="148">
        <v>45581</v>
      </c>
      <c r="U5088" s="95">
        <v>13936</v>
      </c>
      <c r="V5088" s="148">
        <v>45608</v>
      </c>
      <c r="W5088" s="85" t="s">
        <v>17533</v>
      </c>
      <c r="X5088" s="80"/>
      <c r="Y5088" s="22">
        <v>0</v>
      </c>
      <c r="Z5088" s="80" t="s">
        <v>50</v>
      </c>
      <c r="AA5088" s="86" t="s">
        <v>14723</v>
      </c>
      <c r="AB5088" s="80"/>
      <c r="AC5088" s="80" t="s">
        <v>53</v>
      </c>
      <c r="AD5088" s="80" t="s">
        <v>54</v>
      </c>
      <c r="AE5088" s="80"/>
      <c r="AF5088" s="43">
        <v>45583</v>
      </c>
      <c r="AG5088" s="80"/>
      <c r="AH5088" s="80"/>
      <c r="AI5088" s="147"/>
      <c r="AJ5088" s="80"/>
      <c r="AK5088" s="80"/>
      <c r="AL5088" s="35"/>
      <c r="AM5088" s="35"/>
      <c r="AN5088" s="35"/>
      <c r="AO5088" s="35"/>
      <c r="AP5088" s="35"/>
    </row>
    <row r="5089" spans="1:42" x14ac:dyDescent="0.2">
      <c r="A5089" s="126">
        <v>45581.958159548609</v>
      </c>
      <c r="B5089" s="137" t="s">
        <v>37</v>
      </c>
      <c r="C5089" s="41" t="s">
        <v>118</v>
      </c>
      <c r="D5089" s="80" t="s">
        <v>36</v>
      </c>
      <c r="E5089" s="80" t="s">
        <v>139</v>
      </c>
      <c r="F5089" s="80" t="s">
        <v>36</v>
      </c>
      <c r="G5089" s="80" t="s">
        <v>41</v>
      </c>
      <c r="H5089" s="80" t="s">
        <v>13143</v>
      </c>
      <c r="I5089" s="17">
        <f ca="1">IFERROR(__xludf.DUMMYFUNCTION("""COMPUTED_VALUE"""),45604)</f>
        <v>45604</v>
      </c>
      <c r="J5089" s="143" t="s">
        <v>17534</v>
      </c>
      <c r="K5089" s="80" t="s">
        <v>17535</v>
      </c>
      <c r="L5089" s="30">
        <v>968223076</v>
      </c>
      <c r="M5089" s="80" t="s">
        <v>12720</v>
      </c>
      <c r="N5089" s="80" t="s">
        <v>1073</v>
      </c>
      <c r="O5089" s="80" t="s">
        <v>17536</v>
      </c>
      <c r="P5089" s="80" t="s">
        <v>17537</v>
      </c>
      <c r="Q5089" s="20">
        <v>15936</v>
      </c>
      <c r="R5089" s="80" t="s">
        <v>36</v>
      </c>
      <c r="S5089" s="95">
        <f>200+1800</f>
        <v>2000</v>
      </c>
      <c r="T5089" s="83" t="s">
        <v>17538</v>
      </c>
      <c r="U5089" s="95">
        <v>13936</v>
      </c>
      <c r="V5089" s="148">
        <v>45626</v>
      </c>
      <c r="W5089" s="85" t="s">
        <v>17539</v>
      </c>
      <c r="X5089" s="80"/>
      <c r="Y5089" s="22">
        <v>0</v>
      </c>
      <c r="Z5089" s="80" t="s">
        <v>50</v>
      </c>
      <c r="AA5089" s="82" t="s">
        <v>14723</v>
      </c>
      <c r="AB5089" s="80"/>
      <c r="AC5089" s="80" t="s">
        <v>53</v>
      </c>
      <c r="AD5089" s="80" t="s">
        <v>138</v>
      </c>
      <c r="AE5089" s="83">
        <v>0</v>
      </c>
      <c r="AF5089" s="17">
        <v>45604</v>
      </c>
      <c r="AG5089" s="80"/>
      <c r="AH5089" s="80"/>
      <c r="AI5089" s="147"/>
      <c r="AJ5089" s="80"/>
      <c r="AK5089" s="80"/>
      <c r="AL5089" s="35"/>
      <c r="AM5089" s="35"/>
      <c r="AN5089" s="35"/>
      <c r="AO5089" s="35"/>
      <c r="AP5089" s="35"/>
    </row>
    <row r="5090" spans="1:42" x14ac:dyDescent="0.2">
      <c r="A5090" s="126">
        <v>45582.34508835648</v>
      </c>
      <c r="B5090" s="137" t="s">
        <v>37</v>
      </c>
      <c r="C5090" s="41" t="s">
        <v>118</v>
      </c>
      <c r="D5090" s="80" t="s">
        <v>36</v>
      </c>
      <c r="E5090" s="80" t="s">
        <v>139</v>
      </c>
      <c r="F5090" s="80" t="s">
        <v>36</v>
      </c>
      <c r="G5090" s="80" t="s">
        <v>41</v>
      </c>
      <c r="H5090" s="80" t="s">
        <v>15166</v>
      </c>
      <c r="I5090" s="17">
        <f ca="1">IFERROR(__xludf.DUMMYFUNCTION("""COMPUTED_VALUE"""),45589)</f>
        <v>45589</v>
      </c>
      <c r="J5090" s="143" t="s">
        <v>16858</v>
      </c>
      <c r="K5090" s="80" t="s">
        <v>16859</v>
      </c>
      <c r="L5090" s="30">
        <v>944290086</v>
      </c>
      <c r="M5090" s="80" t="s">
        <v>3728</v>
      </c>
      <c r="N5090" s="80" t="s">
        <v>5277</v>
      </c>
      <c r="O5090" s="80" t="s">
        <v>16860</v>
      </c>
      <c r="P5090" s="80" t="s">
        <v>11644</v>
      </c>
      <c r="Q5090" s="20">
        <v>15936</v>
      </c>
      <c r="R5090" s="80" t="s">
        <v>36</v>
      </c>
      <c r="S5090" s="95">
        <v>2000</v>
      </c>
      <c r="T5090" s="148">
        <v>45582</v>
      </c>
      <c r="U5090" s="95">
        <v>13936</v>
      </c>
      <c r="V5090" s="148">
        <v>45601</v>
      </c>
      <c r="W5090" s="85" t="s">
        <v>16861</v>
      </c>
      <c r="X5090" s="80"/>
      <c r="Y5090" s="22">
        <v>0</v>
      </c>
      <c r="Z5090" s="80" t="s">
        <v>50</v>
      </c>
      <c r="AA5090" s="86" t="s">
        <v>14723</v>
      </c>
      <c r="AB5090" s="80"/>
      <c r="AC5090" s="80" t="s">
        <v>53</v>
      </c>
      <c r="AD5090" s="80" t="s">
        <v>138</v>
      </c>
      <c r="AE5090" s="80"/>
      <c r="AF5090" s="43">
        <v>45589</v>
      </c>
      <c r="AG5090" s="80" t="s">
        <v>14199</v>
      </c>
      <c r="AH5090" s="80"/>
      <c r="AI5090" s="147"/>
      <c r="AJ5090" s="80"/>
      <c r="AK5090" s="80"/>
      <c r="AL5090" s="35"/>
      <c r="AM5090" s="35"/>
      <c r="AN5090" s="35"/>
      <c r="AO5090" s="35"/>
      <c r="AP5090" s="35"/>
    </row>
    <row r="5091" spans="1:42" x14ac:dyDescent="0.2">
      <c r="A5091" s="126">
        <v>45582.34663792824</v>
      </c>
      <c r="B5091" s="137" t="s">
        <v>37</v>
      </c>
      <c r="C5091" s="41" t="s">
        <v>118</v>
      </c>
      <c r="D5091" s="80" t="s">
        <v>36</v>
      </c>
      <c r="E5091" s="80" t="s">
        <v>139</v>
      </c>
      <c r="F5091" s="80" t="s">
        <v>36</v>
      </c>
      <c r="G5091" s="80" t="s">
        <v>41</v>
      </c>
      <c r="H5091" s="80" t="s">
        <v>15796</v>
      </c>
      <c r="I5091" s="17">
        <f ca="1">IFERROR(__xludf.DUMMYFUNCTION("""COMPUTED_VALUE"""),45594)</f>
        <v>45594</v>
      </c>
      <c r="J5091" s="143" t="s">
        <v>17540</v>
      </c>
      <c r="K5091" s="80" t="s">
        <v>17541</v>
      </c>
      <c r="L5091" s="30">
        <v>826625228</v>
      </c>
      <c r="M5091" s="80" t="s">
        <v>3728</v>
      </c>
      <c r="N5091" s="80" t="s">
        <v>5312</v>
      </c>
      <c r="O5091" s="80" t="s">
        <v>17542</v>
      </c>
      <c r="P5091" s="80" t="s">
        <v>11644</v>
      </c>
      <c r="Q5091" s="20">
        <v>15936</v>
      </c>
      <c r="R5091" s="80" t="s">
        <v>36</v>
      </c>
      <c r="S5091" s="95">
        <f>200+1800</f>
        <v>2000</v>
      </c>
      <c r="T5091" s="83" t="s">
        <v>17543</v>
      </c>
      <c r="U5091" s="95">
        <v>13936</v>
      </c>
      <c r="V5091" s="148">
        <v>45618</v>
      </c>
      <c r="W5091" s="85" t="s">
        <v>17544</v>
      </c>
      <c r="X5091" s="80"/>
      <c r="Y5091" s="22">
        <v>0</v>
      </c>
      <c r="Z5091" s="80" t="s">
        <v>50</v>
      </c>
      <c r="AA5091" s="82" t="s">
        <v>14723</v>
      </c>
      <c r="AB5091" s="80"/>
      <c r="AC5091" s="80" t="s">
        <v>53</v>
      </c>
      <c r="AD5091" s="80" t="s">
        <v>138</v>
      </c>
      <c r="AE5091" s="80"/>
      <c r="AF5091" s="43">
        <v>45594</v>
      </c>
      <c r="AG5091" s="80"/>
      <c r="AH5091" s="80"/>
      <c r="AI5091" s="147"/>
      <c r="AJ5091" s="80"/>
      <c r="AK5091" s="80"/>
      <c r="AL5091" s="35"/>
      <c r="AM5091" s="35"/>
      <c r="AN5091" s="35"/>
      <c r="AO5091" s="35"/>
      <c r="AP5091" s="35"/>
    </row>
    <row r="5092" spans="1:42" x14ac:dyDescent="0.2">
      <c r="A5092" s="126">
        <v>45582.400516157402</v>
      </c>
      <c r="B5092" s="137" t="s">
        <v>37</v>
      </c>
      <c r="C5092" s="41" t="s">
        <v>118</v>
      </c>
      <c r="D5092" s="80" t="s">
        <v>36</v>
      </c>
      <c r="E5092" s="80" t="s">
        <v>139</v>
      </c>
      <c r="F5092" s="80" t="s">
        <v>36</v>
      </c>
      <c r="G5092" s="80" t="s">
        <v>41</v>
      </c>
      <c r="H5092" s="80" t="s">
        <v>15166</v>
      </c>
      <c r="I5092" s="17">
        <f ca="1">IFERROR(__xludf.DUMMYFUNCTION("""COMPUTED_VALUE"""),45589)</f>
        <v>45589</v>
      </c>
      <c r="J5092" s="143" t="s">
        <v>16862</v>
      </c>
      <c r="K5092" s="80" t="s">
        <v>11636</v>
      </c>
      <c r="L5092" s="30">
        <v>363071121</v>
      </c>
      <c r="M5092" s="80" t="s">
        <v>5429</v>
      </c>
      <c r="N5092" s="80" t="s">
        <v>1384</v>
      </c>
      <c r="O5092" s="80" t="s">
        <v>4626</v>
      </c>
      <c r="P5092" s="80" t="s">
        <v>7107</v>
      </c>
      <c r="Q5092" s="20">
        <v>15936</v>
      </c>
      <c r="R5092" s="80" t="s">
        <v>36</v>
      </c>
      <c r="S5092" s="95">
        <v>2000</v>
      </c>
      <c r="T5092" s="148">
        <v>45582</v>
      </c>
      <c r="U5092" s="95">
        <f>8000+5936</f>
        <v>13936</v>
      </c>
      <c r="V5092" s="83" t="s">
        <v>16864</v>
      </c>
      <c r="W5092" s="85" t="s">
        <v>16865</v>
      </c>
      <c r="X5092" s="80"/>
      <c r="Y5092" s="22">
        <v>0</v>
      </c>
      <c r="Z5092" s="80" t="s">
        <v>50</v>
      </c>
      <c r="AA5092" s="86" t="s">
        <v>14723</v>
      </c>
      <c r="AB5092" s="80"/>
      <c r="AC5092" s="80" t="s">
        <v>53</v>
      </c>
      <c r="AD5092" s="80" t="s">
        <v>138</v>
      </c>
      <c r="AE5092" s="80" t="s">
        <v>430</v>
      </c>
      <c r="AF5092" s="43">
        <v>45589</v>
      </c>
      <c r="AG5092" s="80" t="s">
        <v>14199</v>
      </c>
      <c r="AH5092" s="80"/>
      <c r="AI5092" s="147"/>
      <c r="AJ5092" s="80"/>
      <c r="AK5092" s="80"/>
      <c r="AL5092" s="35"/>
      <c r="AM5092" s="35"/>
      <c r="AN5092" s="35"/>
      <c r="AO5092" s="35"/>
      <c r="AP5092" s="35"/>
    </row>
    <row r="5093" spans="1:42" x14ac:dyDescent="0.2">
      <c r="A5093" s="126">
        <v>45582.765648009256</v>
      </c>
      <c r="B5093" s="137" t="s">
        <v>37</v>
      </c>
      <c r="C5093" s="41" t="s">
        <v>118</v>
      </c>
      <c r="D5093" s="80" t="s">
        <v>36</v>
      </c>
      <c r="E5093" s="80" t="s">
        <v>139</v>
      </c>
      <c r="F5093" s="80" t="s">
        <v>36</v>
      </c>
      <c r="G5093" s="80" t="s">
        <v>41</v>
      </c>
      <c r="H5093" s="80" t="s">
        <v>13535</v>
      </c>
      <c r="I5093" s="17">
        <f ca="1">IFERROR(__xludf.DUMMYFUNCTION("""COMPUTED_VALUE"""),45589)</f>
        <v>45589</v>
      </c>
      <c r="J5093" s="143" t="s">
        <v>16998</v>
      </c>
      <c r="K5093" s="80" t="s">
        <v>17545</v>
      </c>
      <c r="L5093" s="30">
        <v>377660397</v>
      </c>
      <c r="M5093" s="80" t="s">
        <v>3728</v>
      </c>
      <c r="N5093" s="80" t="s">
        <v>5312</v>
      </c>
      <c r="O5093" s="80" t="s">
        <v>17000</v>
      </c>
      <c r="P5093" s="80" t="s">
        <v>3178</v>
      </c>
      <c r="Q5093" s="20">
        <v>15936</v>
      </c>
      <c r="R5093" s="80" t="s">
        <v>36</v>
      </c>
      <c r="S5093" s="95">
        <v>2000</v>
      </c>
      <c r="T5093" s="148">
        <v>45582</v>
      </c>
      <c r="U5093" s="95">
        <v>13936</v>
      </c>
      <c r="V5093" s="148">
        <v>45614</v>
      </c>
      <c r="W5093" s="85" t="s">
        <v>17001</v>
      </c>
      <c r="X5093" s="80"/>
      <c r="Y5093" s="22">
        <v>0</v>
      </c>
      <c r="Z5093" s="80" t="s">
        <v>50</v>
      </c>
      <c r="AA5093" s="82" t="s">
        <v>14723</v>
      </c>
      <c r="AB5093" s="80"/>
      <c r="AC5093" s="80" t="s">
        <v>53</v>
      </c>
      <c r="AD5093" s="80" t="s">
        <v>138</v>
      </c>
      <c r="AE5093" s="80"/>
      <c r="AF5093" s="43">
        <v>45589</v>
      </c>
      <c r="AG5093" s="80" t="s">
        <v>13541</v>
      </c>
      <c r="AH5093" s="80"/>
      <c r="AI5093" s="147"/>
      <c r="AJ5093" s="80"/>
      <c r="AK5093" s="80"/>
      <c r="AL5093" s="35"/>
      <c r="AM5093" s="35"/>
      <c r="AN5093" s="35"/>
      <c r="AO5093" s="35"/>
      <c r="AP5093" s="35"/>
    </row>
    <row r="5094" spans="1:42" x14ac:dyDescent="0.2">
      <c r="A5094" s="126">
        <v>45582.821717812505</v>
      </c>
      <c r="B5094" s="137" t="s">
        <v>37</v>
      </c>
      <c r="C5094" s="41" t="s">
        <v>118</v>
      </c>
      <c r="D5094" s="80" t="s">
        <v>36</v>
      </c>
      <c r="E5094" s="80" t="s">
        <v>139</v>
      </c>
      <c r="F5094" s="80" t="s">
        <v>40</v>
      </c>
      <c r="G5094" s="80" t="s">
        <v>41</v>
      </c>
      <c r="H5094" s="80" t="s">
        <v>13535</v>
      </c>
      <c r="I5094" s="17">
        <f ca="1">IFERROR(__xludf.DUMMYFUNCTION("""COMPUTED_VALUE"""),45589)</f>
        <v>45589</v>
      </c>
      <c r="J5094" s="143" t="s">
        <v>17546</v>
      </c>
      <c r="K5094" s="80" t="s">
        <v>17547</v>
      </c>
      <c r="L5094" s="30">
        <v>981388525</v>
      </c>
      <c r="M5094" s="80" t="s">
        <v>5558</v>
      </c>
      <c r="N5094" s="80" t="s">
        <v>5277</v>
      </c>
      <c r="O5094" s="80" t="s">
        <v>17005</v>
      </c>
      <c r="P5094" s="80" t="s">
        <v>17006</v>
      </c>
      <c r="Q5094" s="20">
        <v>15936</v>
      </c>
      <c r="R5094" s="80" t="s">
        <v>36</v>
      </c>
      <c r="S5094" s="95">
        <v>2000</v>
      </c>
      <c r="T5094" s="148">
        <v>45582</v>
      </c>
      <c r="U5094" s="95">
        <v>13936</v>
      </c>
      <c r="V5094" s="148">
        <v>45613</v>
      </c>
      <c r="W5094" s="85" t="s">
        <v>17007</v>
      </c>
      <c r="X5094" s="80"/>
      <c r="Y5094" s="22">
        <v>0</v>
      </c>
      <c r="Z5094" s="80" t="s">
        <v>50</v>
      </c>
      <c r="AA5094" s="86" t="s">
        <v>14723</v>
      </c>
      <c r="AB5094" s="80"/>
      <c r="AC5094" s="80" t="s">
        <v>53</v>
      </c>
      <c r="AD5094" s="80" t="s">
        <v>138</v>
      </c>
      <c r="AE5094" s="80"/>
      <c r="AF5094" s="43">
        <v>45589</v>
      </c>
      <c r="AG5094" s="80" t="s">
        <v>13541</v>
      </c>
      <c r="AH5094" s="80"/>
      <c r="AI5094" s="147"/>
      <c r="AJ5094" s="80"/>
      <c r="AK5094" s="80"/>
      <c r="AL5094" s="35"/>
      <c r="AM5094" s="35"/>
      <c r="AN5094" s="35"/>
      <c r="AO5094" s="35"/>
      <c r="AP5094" s="35"/>
    </row>
    <row r="5095" spans="1:42" x14ac:dyDescent="0.2">
      <c r="A5095" s="126">
        <v>45582.861864224542</v>
      </c>
      <c r="B5095" s="137" t="s">
        <v>37</v>
      </c>
      <c r="C5095" s="41" t="s">
        <v>118</v>
      </c>
      <c r="D5095" s="80" t="s">
        <v>36</v>
      </c>
      <c r="E5095" s="80" t="s">
        <v>139</v>
      </c>
      <c r="F5095" s="80" t="s">
        <v>36</v>
      </c>
      <c r="G5095" s="80" t="s">
        <v>41</v>
      </c>
      <c r="H5095" s="80" t="s">
        <v>13143</v>
      </c>
      <c r="I5095" s="17">
        <f ca="1">IFERROR(__xludf.DUMMYFUNCTION("""COMPUTED_VALUE"""),45604)</f>
        <v>45604</v>
      </c>
      <c r="J5095" s="143" t="s">
        <v>17548</v>
      </c>
      <c r="K5095" s="80" t="s">
        <v>17549</v>
      </c>
      <c r="L5095" s="30">
        <v>353669085</v>
      </c>
      <c r="M5095" s="80" t="s">
        <v>12720</v>
      </c>
      <c r="N5095" s="80" t="s">
        <v>1073</v>
      </c>
      <c r="O5095" s="80" t="s">
        <v>17550</v>
      </c>
      <c r="P5095" s="80" t="s">
        <v>5794</v>
      </c>
      <c r="Q5095" s="20">
        <v>15936</v>
      </c>
      <c r="R5095" s="80" t="s">
        <v>36</v>
      </c>
      <c r="S5095" s="95">
        <f t="shared" ref="S5095:S5097" si="125">200+1800</f>
        <v>2000</v>
      </c>
      <c r="T5095" s="83" t="s">
        <v>17551</v>
      </c>
      <c r="U5095" s="95">
        <v>13936</v>
      </c>
      <c r="V5095" s="148">
        <v>45622</v>
      </c>
      <c r="W5095" s="85" t="s">
        <v>17552</v>
      </c>
      <c r="X5095" s="80"/>
      <c r="Y5095" s="22">
        <v>0</v>
      </c>
      <c r="Z5095" s="80" t="s">
        <v>50</v>
      </c>
      <c r="AA5095" s="82" t="s">
        <v>14723</v>
      </c>
      <c r="AB5095" s="80"/>
      <c r="AC5095" s="80" t="s">
        <v>53</v>
      </c>
      <c r="AD5095" s="80" t="s">
        <v>138</v>
      </c>
      <c r="AE5095" s="83">
        <v>0</v>
      </c>
      <c r="AF5095" s="17">
        <v>45604</v>
      </c>
      <c r="AG5095" s="80"/>
      <c r="AH5095" s="80"/>
      <c r="AI5095" s="147"/>
      <c r="AJ5095" s="80"/>
      <c r="AK5095" s="80"/>
      <c r="AL5095" s="35"/>
      <c r="AM5095" s="35"/>
      <c r="AN5095" s="35"/>
      <c r="AO5095" s="35"/>
      <c r="AP5095" s="35"/>
    </row>
    <row r="5096" spans="1:42" x14ac:dyDescent="0.2">
      <c r="A5096" s="126">
        <v>45583.314756550928</v>
      </c>
      <c r="B5096" s="137" t="s">
        <v>37</v>
      </c>
      <c r="C5096" s="41" t="s">
        <v>118</v>
      </c>
      <c r="D5096" s="80" t="s">
        <v>36</v>
      </c>
      <c r="E5096" s="80" t="s">
        <v>139</v>
      </c>
      <c r="F5096" s="80" t="s">
        <v>40</v>
      </c>
      <c r="G5096" s="80" t="s">
        <v>41</v>
      </c>
      <c r="H5096" s="80" t="s">
        <v>13850</v>
      </c>
      <c r="I5096" s="17">
        <f ca="1">IFERROR(__xludf.DUMMYFUNCTION("""COMPUTED_VALUE"""),45594)</f>
        <v>45594</v>
      </c>
      <c r="J5096" s="172" t="s">
        <v>17553</v>
      </c>
      <c r="K5096" s="80" t="s">
        <v>17554</v>
      </c>
      <c r="L5096" s="30">
        <v>865759980</v>
      </c>
      <c r="M5096" s="80" t="s">
        <v>12720</v>
      </c>
      <c r="N5096" s="80" t="s">
        <v>1073</v>
      </c>
      <c r="O5096" s="80" t="s">
        <v>17555</v>
      </c>
      <c r="P5096" s="80" t="s">
        <v>3178</v>
      </c>
      <c r="Q5096" s="20">
        <v>15936</v>
      </c>
      <c r="R5096" s="80" t="s">
        <v>36</v>
      </c>
      <c r="S5096" s="95">
        <f t="shared" si="125"/>
        <v>2000</v>
      </c>
      <c r="T5096" s="83" t="s">
        <v>17556</v>
      </c>
      <c r="U5096" s="95">
        <v>13936</v>
      </c>
      <c r="V5096" s="148">
        <v>45616</v>
      </c>
      <c r="W5096" s="85" t="s">
        <v>17557</v>
      </c>
      <c r="X5096" s="80"/>
      <c r="Y5096" s="22">
        <v>0</v>
      </c>
      <c r="Z5096" s="80" t="s">
        <v>50</v>
      </c>
      <c r="AA5096" s="86" t="s">
        <v>14723</v>
      </c>
      <c r="AB5096" s="80"/>
      <c r="AC5096" s="80" t="s">
        <v>53</v>
      </c>
      <c r="AD5096" s="80" t="s">
        <v>138</v>
      </c>
      <c r="AE5096" s="83">
        <v>0</v>
      </c>
      <c r="AF5096" s="43">
        <v>45594</v>
      </c>
      <c r="AG5096" s="80"/>
      <c r="AH5096" s="80"/>
      <c r="AI5096" s="147"/>
      <c r="AJ5096" s="80"/>
      <c r="AK5096" s="80"/>
      <c r="AL5096" s="35"/>
      <c r="AM5096" s="35"/>
      <c r="AN5096" s="35"/>
      <c r="AO5096" s="35"/>
      <c r="AP5096" s="35"/>
    </row>
    <row r="5097" spans="1:42" x14ac:dyDescent="0.2">
      <c r="A5097" s="126">
        <v>45583.332570185186</v>
      </c>
      <c r="B5097" s="137" t="s">
        <v>37</v>
      </c>
      <c r="C5097" s="41" t="s">
        <v>118</v>
      </c>
      <c r="D5097" s="80" t="s">
        <v>36</v>
      </c>
      <c r="E5097" s="80" t="s">
        <v>56</v>
      </c>
      <c r="F5097" s="80" t="s">
        <v>40</v>
      </c>
      <c r="G5097" s="80" t="s">
        <v>41</v>
      </c>
      <c r="H5097" s="80" t="s">
        <v>13850</v>
      </c>
      <c r="I5097" s="17">
        <f ca="1">IFERROR(__xludf.DUMMYFUNCTION("""COMPUTED_VALUE"""),45594)</f>
        <v>45594</v>
      </c>
      <c r="J5097" s="143" t="s">
        <v>17558</v>
      </c>
      <c r="K5097" s="80" t="s">
        <v>17559</v>
      </c>
      <c r="L5097" s="30">
        <v>332989802</v>
      </c>
      <c r="M5097" s="80" t="s">
        <v>12529</v>
      </c>
      <c r="N5097" s="80" t="s">
        <v>466</v>
      </c>
      <c r="O5097" s="80" t="s">
        <v>17560</v>
      </c>
      <c r="P5097" s="80" t="s">
        <v>2641</v>
      </c>
      <c r="Q5097" s="20">
        <v>9317</v>
      </c>
      <c r="R5097" s="80" t="s">
        <v>36</v>
      </c>
      <c r="S5097" s="95">
        <f t="shared" si="125"/>
        <v>2000</v>
      </c>
      <c r="T5097" s="83" t="s">
        <v>17561</v>
      </c>
      <c r="U5097" s="95">
        <v>7317</v>
      </c>
      <c r="V5097" s="148">
        <v>45617</v>
      </c>
      <c r="W5097" s="85" t="s">
        <v>17562</v>
      </c>
      <c r="X5097" s="80"/>
      <c r="Y5097" s="22">
        <v>0</v>
      </c>
      <c r="Z5097" s="80" t="s">
        <v>50</v>
      </c>
      <c r="AA5097" s="82" t="s">
        <v>14723</v>
      </c>
      <c r="AB5097" s="80"/>
      <c r="AC5097" s="80" t="s">
        <v>53</v>
      </c>
      <c r="AD5097" s="80" t="s">
        <v>138</v>
      </c>
      <c r="AE5097" s="83">
        <v>0</v>
      </c>
      <c r="AF5097" s="43">
        <v>45594</v>
      </c>
      <c r="AG5097" s="80" t="s">
        <v>7078</v>
      </c>
      <c r="AH5097" s="80"/>
      <c r="AI5097" s="147"/>
      <c r="AJ5097" s="80"/>
      <c r="AK5097" s="80"/>
      <c r="AL5097" s="35"/>
      <c r="AM5097" s="35"/>
      <c r="AN5097" s="35"/>
      <c r="AO5097" s="35"/>
      <c r="AP5097" s="35"/>
    </row>
    <row r="5098" spans="1:42" x14ac:dyDescent="0.2">
      <c r="A5098" s="126">
        <v>45583.858998194446</v>
      </c>
      <c r="B5098" s="137" t="s">
        <v>37</v>
      </c>
      <c r="C5098" s="41" t="s">
        <v>118</v>
      </c>
      <c r="D5098" s="80" t="s">
        <v>36</v>
      </c>
      <c r="E5098" s="80" t="s">
        <v>139</v>
      </c>
      <c r="F5098" s="80" t="s">
        <v>40</v>
      </c>
      <c r="G5098" s="80" t="s">
        <v>41</v>
      </c>
      <c r="H5098" s="80" t="s">
        <v>15142</v>
      </c>
      <c r="I5098" s="17">
        <f ca="1">IFERROR(__xludf.DUMMYFUNCTION("""COMPUTED_VALUE"""),45594)</f>
        <v>45594</v>
      </c>
      <c r="J5098" s="143" t="s">
        <v>17064</v>
      </c>
      <c r="K5098" s="80" t="s">
        <v>17065</v>
      </c>
      <c r="L5098" s="30">
        <v>879513191</v>
      </c>
      <c r="M5098" s="80" t="s">
        <v>15996</v>
      </c>
      <c r="N5098" s="80" t="s">
        <v>186</v>
      </c>
      <c r="O5098" s="80" t="s">
        <v>4503</v>
      </c>
      <c r="P5098" s="80" t="s">
        <v>17066</v>
      </c>
      <c r="Q5098" s="20">
        <v>15936</v>
      </c>
      <c r="R5098" s="80" t="s">
        <v>36</v>
      </c>
      <c r="S5098" s="95">
        <v>2000</v>
      </c>
      <c r="T5098" s="148">
        <v>45580</v>
      </c>
      <c r="U5098" s="95">
        <v>13936</v>
      </c>
      <c r="V5098" s="148">
        <v>45604</v>
      </c>
      <c r="W5098" s="85" t="s">
        <v>17067</v>
      </c>
      <c r="X5098" s="80"/>
      <c r="Y5098" s="22">
        <v>0</v>
      </c>
      <c r="Z5098" s="80" t="s">
        <v>50</v>
      </c>
      <c r="AA5098" s="86" t="s">
        <v>14723</v>
      </c>
      <c r="AB5098" s="80"/>
      <c r="AC5098" s="80" t="s">
        <v>53</v>
      </c>
      <c r="AD5098" s="80" t="s">
        <v>54</v>
      </c>
      <c r="AE5098" s="80"/>
      <c r="AF5098" s="43">
        <v>45587</v>
      </c>
      <c r="AG5098" s="80"/>
      <c r="AH5098" s="80"/>
      <c r="AI5098" s="147"/>
      <c r="AJ5098" s="80"/>
      <c r="AK5098" s="80"/>
      <c r="AL5098" s="35"/>
      <c r="AM5098" s="35"/>
      <c r="AN5098" s="35"/>
      <c r="AO5098" s="35"/>
      <c r="AP5098" s="35"/>
    </row>
    <row r="5099" spans="1:42" x14ac:dyDescent="0.2">
      <c r="A5099" s="126">
        <v>45583.878933668981</v>
      </c>
      <c r="B5099" s="137" t="s">
        <v>37</v>
      </c>
      <c r="C5099" s="41" t="s">
        <v>118</v>
      </c>
      <c r="D5099" s="80" t="s">
        <v>36</v>
      </c>
      <c r="E5099" s="80" t="s">
        <v>56</v>
      </c>
      <c r="F5099" s="80" t="s">
        <v>40</v>
      </c>
      <c r="G5099" s="80" t="s">
        <v>41</v>
      </c>
      <c r="H5099" s="80" t="s">
        <v>13535</v>
      </c>
      <c r="I5099" s="17">
        <f ca="1">IFERROR(__xludf.DUMMYFUNCTION("""COMPUTED_VALUE"""),45589)</f>
        <v>45589</v>
      </c>
      <c r="J5099" s="143" t="s">
        <v>17563</v>
      </c>
      <c r="K5099" s="80" t="s">
        <v>17564</v>
      </c>
      <c r="L5099" s="30">
        <v>945812566</v>
      </c>
      <c r="M5099" s="26" t="s">
        <v>3498</v>
      </c>
      <c r="N5099" s="80" t="s">
        <v>4402</v>
      </c>
      <c r="O5099" s="80" t="s">
        <v>4503</v>
      </c>
      <c r="P5099" s="80" t="s">
        <v>3056</v>
      </c>
      <c r="Q5099" s="20">
        <v>9317</v>
      </c>
      <c r="R5099" s="80" t="s">
        <v>36</v>
      </c>
      <c r="S5099" s="95">
        <f>200+1800</f>
        <v>2000</v>
      </c>
      <c r="T5099" s="83" t="s">
        <v>17565</v>
      </c>
      <c r="U5099" s="95">
        <v>7317</v>
      </c>
      <c r="V5099" s="148">
        <v>45609</v>
      </c>
      <c r="W5099" s="85" t="s">
        <v>17566</v>
      </c>
      <c r="X5099" s="80"/>
      <c r="Y5099" s="22">
        <v>0</v>
      </c>
      <c r="Z5099" s="80" t="s">
        <v>50</v>
      </c>
      <c r="AA5099" s="82" t="s">
        <v>14723</v>
      </c>
      <c r="AB5099" s="80"/>
      <c r="AC5099" s="80" t="s">
        <v>53</v>
      </c>
      <c r="AD5099" s="80" t="s">
        <v>138</v>
      </c>
      <c r="AE5099" s="80"/>
      <c r="AF5099" s="43">
        <v>45589</v>
      </c>
      <c r="AG5099" s="80" t="s">
        <v>13541</v>
      </c>
      <c r="AH5099" s="80"/>
      <c r="AI5099" s="147"/>
      <c r="AJ5099" s="80"/>
      <c r="AK5099" s="80"/>
      <c r="AL5099" s="35"/>
      <c r="AM5099" s="35"/>
      <c r="AN5099" s="35"/>
      <c r="AO5099" s="35"/>
      <c r="AP5099" s="35"/>
    </row>
    <row r="5100" spans="1:42" x14ac:dyDescent="0.2">
      <c r="A5100" s="126">
        <v>45584.376830717592</v>
      </c>
      <c r="B5100" s="137" t="s">
        <v>37</v>
      </c>
      <c r="C5100" s="41" t="s">
        <v>118</v>
      </c>
      <c r="D5100" s="80" t="s">
        <v>36</v>
      </c>
      <c r="E5100" s="80" t="s">
        <v>119</v>
      </c>
      <c r="F5100" s="80" t="s">
        <v>36</v>
      </c>
      <c r="G5100" s="80" t="s">
        <v>108</v>
      </c>
      <c r="H5100" s="80" t="s">
        <v>10144</v>
      </c>
      <c r="I5100" s="17">
        <f ca="1">IFERROR(__xludf.DUMMYFUNCTION("""COMPUTED_VALUE"""),45593)</f>
        <v>45593</v>
      </c>
      <c r="J5100" s="143" t="s">
        <v>17567</v>
      </c>
      <c r="K5100" s="80" t="s">
        <v>17568</v>
      </c>
      <c r="L5100" s="30">
        <v>399642933</v>
      </c>
      <c r="M5100" s="80" t="s">
        <v>5518</v>
      </c>
      <c r="N5100" s="80" t="s">
        <v>12380</v>
      </c>
      <c r="O5100" s="80" t="s">
        <v>17569</v>
      </c>
      <c r="P5100" s="80" t="s">
        <v>3694</v>
      </c>
      <c r="Q5100" s="20">
        <v>13968</v>
      </c>
      <c r="R5100" s="80" t="s">
        <v>36</v>
      </c>
      <c r="S5100" s="95">
        <v>4000</v>
      </c>
      <c r="T5100" s="148">
        <v>45583</v>
      </c>
      <c r="U5100" s="95">
        <v>9968</v>
      </c>
      <c r="V5100" s="148">
        <v>45610</v>
      </c>
      <c r="W5100" s="85" t="s">
        <v>17570</v>
      </c>
      <c r="X5100" s="80"/>
      <c r="Y5100" s="22">
        <v>0</v>
      </c>
      <c r="Z5100" s="80" t="s">
        <v>50</v>
      </c>
      <c r="AA5100" s="86" t="s">
        <v>14723</v>
      </c>
      <c r="AB5100" s="80"/>
      <c r="AC5100" s="80" t="s">
        <v>53</v>
      </c>
      <c r="AD5100" s="80" t="s">
        <v>138</v>
      </c>
      <c r="AE5100" s="83">
        <v>380</v>
      </c>
      <c r="AF5100" s="43">
        <v>45593</v>
      </c>
      <c r="AG5100" s="80" t="s">
        <v>14763</v>
      </c>
      <c r="AH5100" s="80"/>
      <c r="AI5100" s="147"/>
      <c r="AJ5100" s="80"/>
      <c r="AK5100" s="80"/>
      <c r="AL5100" s="35"/>
      <c r="AM5100" s="35"/>
      <c r="AN5100" s="35"/>
      <c r="AO5100" s="35"/>
      <c r="AP5100" s="35"/>
    </row>
    <row r="5101" spans="1:42" x14ac:dyDescent="0.2">
      <c r="A5101" s="126">
        <v>45584.396470231484</v>
      </c>
      <c r="B5101" s="137" t="s">
        <v>37</v>
      </c>
      <c r="C5101" s="41" t="s">
        <v>118</v>
      </c>
      <c r="D5101" s="80" t="s">
        <v>36</v>
      </c>
      <c r="E5101" s="80" t="s">
        <v>139</v>
      </c>
      <c r="F5101" s="80" t="s">
        <v>40</v>
      </c>
      <c r="G5101" s="80" t="s">
        <v>41</v>
      </c>
      <c r="H5101" s="80" t="s">
        <v>15796</v>
      </c>
      <c r="I5101" s="17">
        <f ca="1">IFERROR(__xludf.DUMMYFUNCTION("""COMPUTED_VALUE"""),45594)</f>
        <v>45594</v>
      </c>
      <c r="J5101" s="143" t="s">
        <v>17571</v>
      </c>
      <c r="K5101" s="80" t="s">
        <v>17572</v>
      </c>
      <c r="L5101" s="30">
        <v>963355869</v>
      </c>
      <c r="M5101" s="80" t="s">
        <v>5558</v>
      </c>
      <c r="N5101" s="80" t="s">
        <v>5559</v>
      </c>
      <c r="O5101" s="80" t="s">
        <v>4503</v>
      </c>
      <c r="P5101" s="80" t="s">
        <v>17573</v>
      </c>
      <c r="Q5101" s="20">
        <v>15936</v>
      </c>
      <c r="R5101" s="80" t="s">
        <v>36</v>
      </c>
      <c r="S5101" s="95">
        <v>4000</v>
      </c>
      <c r="T5101" s="148">
        <v>45584</v>
      </c>
      <c r="U5101" s="95">
        <f>9000+2936</f>
        <v>11936</v>
      </c>
      <c r="V5101" s="148">
        <v>45614</v>
      </c>
      <c r="W5101" s="85" t="s">
        <v>17574</v>
      </c>
      <c r="X5101" s="80"/>
      <c r="Y5101" s="22">
        <v>0</v>
      </c>
      <c r="Z5101" s="80" t="s">
        <v>50</v>
      </c>
      <c r="AA5101" s="82" t="s">
        <v>14723</v>
      </c>
      <c r="AB5101" s="80"/>
      <c r="AC5101" s="80" t="s">
        <v>53</v>
      </c>
      <c r="AD5101" s="80" t="s">
        <v>138</v>
      </c>
      <c r="AE5101" s="80"/>
      <c r="AF5101" s="43">
        <v>45594</v>
      </c>
      <c r="AG5101" s="80"/>
      <c r="AH5101" s="80"/>
      <c r="AI5101" s="147"/>
      <c r="AJ5101" s="80"/>
      <c r="AK5101" s="80"/>
      <c r="AL5101" s="35"/>
      <c r="AM5101" s="35"/>
      <c r="AN5101" s="35"/>
      <c r="AO5101" s="35"/>
      <c r="AP5101" s="35"/>
    </row>
    <row r="5102" spans="1:42" x14ac:dyDescent="0.2">
      <c r="A5102" s="126">
        <v>45584.399208287039</v>
      </c>
      <c r="B5102" s="137" t="s">
        <v>37</v>
      </c>
      <c r="C5102" s="41" t="s">
        <v>118</v>
      </c>
      <c r="D5102" s="80" t="s">
        <v>36</v>
      </c>
      <c r="E5102" s="80" t="s">
        <v>39</v>
      </c>
      <c r="F5102" s="80" t="s">
        <v>40</v>
      </c>
      <c r="G5102" s="80" t="s">
        <v>41</v>
      </c>
      <c r="H5102" s="80" t="s">
        <v>15142</v>
      </c>
      <c r="I5102" s="17">
        <f ca="1">IFERROR(__xludf.DUMMYFUNCTION("""COMPUTED_VALUE"""),45594)</f>
        <v>45594</v>
      </c>
      <c r="J5102" s="143" t="s">
        <v>17068</v>
      </c>
      <c r="K5102" s="80" t="s">
        <v>17575</v>
      </c>
      <c r="L5102" s="30">
        <v>982317021</v>
      </c>
      <c r="M5102" s="80" t="s">
        <v>5558</v>
      </c>
      <c r="N5102" s="80" t="s">
        <v>5277</v>
      </c>
      <c r="O5102" s="80" t="s">
        <v>17070</v>
      </c>
      <c r="P5102" s="80" t="s">
        <v>17071</v>
      </c>
      <c r="Q5102" s="20">
        <v>5736</v>
      </c>
      <c r="R5102" s="80" t="s">
        <v>36</v>
      </c>
      <c r="S5102" s="95">
        <f>200+2000+3536</f>
        <v>5736</v>
      </c>
      <c r="T5102" s="83" t="s">
        <v>17072</v>
      </c>
      <c r="U5102" s="77"/>
      <c r="V5102" s="78"/>
      <c r="W5102" s="85" t="s">
        <v>17073</v>
      </c>
      <c r="X5102" s="80"/>
      <c r="Y5102" s="22">
        <v>0</v>
      </c>
      <c r="Z5102" s="80" t="s">
        <v>50</v>
      </c>
      <c r="AA5102" s="86" t="s">
        <v>14723</v>
      </c>
      <c r="AB5102" s="80"/>
      <c r="AC5102" s="80" t="s">
        <v>53</v>
      </c>
      <c r="AD5102" s="80" t="s">
        <v>54</v>
      </c>
      <c r="AE5102" s="80"/>
      <c r="AF5102" s="43">
        <v>45594</v>
      </c>
      <c r="AG5102" s="80" t="s">
        <v>7078</v>
      </c>
      <c r="AH5102" s="80"/>
      <c r="AI5102" s="147"/>
      <c r="AJ5102" s="80"/>
      <c r="AK5102" s="80"/>
      <c r="AL5102" s="35"/>
      <c r="AM5102" s="35"/>
      <c r="AN5102" s="35"/>
      <c r="AO5102" s="35"/>
      <c r="AP5102" s="35"/>
    </row>
    <row r="5103" spans="1:42" x14ac:dyDescent="0.2">
      <c r="A5103" s="126">
        <v>45585.391893171298</v>
      </c>
      <c r="B5103" s="137" t="s">
        <v>37</v>
      </c>
      <c r="C5103" s="41" t="s">
        <v>118</v>
      </c>
      <c r="D5103" s="80" t="s">
        <v>36</v>
      </c>
      <c r="E5103" s="80" t="s">
        <v>139</v>
      </c>
      <c r="F5103" s="80" t="s">
        <v>40</v>
      </c>
      <c r="G5103" s="80" t="s">
        <v>41</v>
      </c>
      <c r="H5103" s="80" t="s">
        <v>13535</v>
      </c>
      <c r="I5103" s="17">
        <f ca="1">IFERROR(__xludf.DUMMYFUNCTION("""COMPUTED_VALUE"""),45589)</f>
        <v>45589</v>
      </c>
      <c r="J5103" s="143" t="s">
        <v>17008</v>
      </c>
      <c r="K5103" s="80" t="s">
        <v>17009</v>
      </c>
      <c r="L5103" s="30">
        <v>326329641</v>
      </c>
      <c r="M5103" s="80" t="s">
        <v>15996</v>
      </c>
      <c r="N5103" s="80" t="s">
        <v>186</v>
      </c>
      <c r="O5103" s="80" t="s">
        <v>4503</v>
      </c>
      <c r="P5103" s="80" t="s">
        <v>4503</v>
      </c>
      <c r="Q5103" s="20">
        <v>15936</v>
      </c>
      <c r="R5103" s="80" t="s">
        <v>36</v>
      </c>
      <c r="S5103" s="95">
        <f>200+5000</f>
        <v>5200</v>
      </c>
      <c r="T5103" s="83" t="s">
        <v>17010</v>
      </c>
      <c r="U5103" s="95">
        <f>10000+736</f>
        <v>10736</v>
      </c>
      <c r="V5103" s="83" t="s">
        <v>17011</v>
      </c>
      <c r="W5103" s="85" t="s">
        <v>17012</v>
      </c>
      <c r="X5103" s="80"/>
      <c r="Y5103" s="22">
        <v>0</v>
      </c>
      <c r="Z5103" s="80" t="s">
        <v>50</v>
      </c>
      <c r="AA5103" s="82" t="s">
        <v>14723</v>
      </c>
      <c r="AB5103" s="80"/>
      <c r="AC5103" s="80" t="s">
        <v>53</v>
      </c>
      <c r="AD5103" s="80" t="s">
        <v>138</v>
      </c>
      <c r="AE5103" s="80"/>
      <c r="AF5103" s="43">
        <v>45589</v>
      </c>
      <c r="AG5103" s="80" t="s">
        <v>13541</v>
      </c>
      <c r="AH5103" s="80"/>
      <c r="AI5103" s="147"/>
      <c r="AJ5103" s="80"/>
      <c r="AK5103" s="80"/>
      <c r="AL5103" s="35"/>
      <c r="AM5103" s="35"/>
      <c r="AN5103" s="35"/>
      <c r="AO5103" s="35"/>
      <c r="AP5103" s="35"/>
    </row>
    <row r="5104" spans="1:42" x14ac:dyDescent="0.2">
      <c r="A5104" s="126">
        <v>45585.826045196758</v>
      </c>
      <c r="B5104" s="137" t="s">
        <v>37</v>
      </c>
      <c r="C5104" s="41" t="s">
        <v>118</v>
      </c>
      <c r="D5104" s="80" t="s">
        <v>36</v>
      </c>
      <c r="E5104" s="80" t="s">
        <v>119</v>
      </c>
      <c r="F5104" s="80" t="s">
        <v>40</v>
      </c>
      <c r="G5104" s="80" t="s">
        <v>108</v>
      </c>
      <c r="H5104" s="80" t="s">
        <v>8088</v>
      </c>
      <c r="I5104" s="17">
        <f ca="1">IFERROR(__xludf.DUMMYFUNCTION("""COMPUTED_VALUE"""),45611)</f>
        <v>45611</v>
      </c>
      <c r="J5104" s="143" t="s">
        <v>17576</v>
      </c>
      <c r="K5104" s="80" t="s">
        <v>17577</v>
      </c>
      <c r="L5104" s="30">
        <v>826976566</v>
      </c>
      <c r="M5104" s="80" t="s">
        <v>348</v>
      </c>
      <c r="N5104" s="80" t="s">
        <v>68</v>
      </c>
      <c r="O5104" s="80" t="s">
        <v>17578</v>
      </c>
      <c r="P5104" s="80" t="s">
        <v>12687</v>
      </c>
      <c r="Q5104" s="20">
        <v>13968</v>
      </c>
      <c r="R5104" s="80" t="s">
        <v>36</v>
      </c>
      <c r="S5104" s="95">
        <v>4000</v>
      </c>
      <c r="T5104" s="148">
        <v>45585</v>
      </c>
      <c r="U5104" s="95">
        <v>9968</v>
      </c>
      <c r="V5104" s="148">
        <v>45655</v>
      </c>
      <c r="W5104" s="85" t="s">
        <v>17579</v>
      </c>
      <c r="X5104" s="80"/>
      <c r="Y5104" s="22">
        <v>0</v>
      </c>
      <c r="Z5104" s="80" t="s">
        <v>50</v>
      </c>
      <c r="AA5104" s="86" t="s">
        <v>14723</v>
      </c>
      <c r="AB5104" s="80"/>
      <c r="AC5104" s="80" t="s">
        <v>53</v>
      </c>
      <c r="AD5104" s="80" t="s">
        <v>138</v>
      </c>
      <c r="AE5104" s="80" t="s">
        <v>2752</v>
      </c>
      <c r="AF5104" s="43">
        <v>45611</v>
      </c>
      <c r="AG5104" s="80" t="s">
        <v>17580</v>
      </c>
      <c r="AH5104" s="80"/>
      <c r="AI5104" s="147"/>
      <c r="AJ5104" s="80"/>
      <c r="AK5104" s="80"/>
      <c r="AL5104" s="35"/>
      <c r="AM5104" s="35"/>
      <c r="AN5104" s="35"/>
      <c r="AO5104" s="35"/>
      <c r="AP5104" s="35"/>
    </row>
    <row r="5105" spans="1:42" x14ac:dyDescent="0.2">
      <c r="A5105" s="126">
        <v>45585.919458738426</v>
      </c>
      <c r="B5105" s="137" t="s">
        <v>37</v>
      </c>
      <c r="C5105" s="41" t="s">
        <v>118</v>
      </c>
      <c r="D5105" s="80" t="s">
        <v>36</v>
      </c>
      <c r="E5105" s="80" t="s">
        <v>139</v>
      </c>
      <c r="F5105" s="80" t="s">
        <v>36</v>
      </c>
      <c r="G5105" s="80" t="s">
        <v>41</v>
      </c>
      <c r="H5105" s="80" t="s">
        <v>15166</v>
      </c>
      <c r="I5105" s="17">
        <f ca="1">IFERROR(__xludf.DUMMYFUNCTION("""COMPUTED_VALUE"""),45589)</f>
        <v>45589</v>
      </c>
      <c r="J5105" s="143" t="s">
        <v>16868</v>
      </c>
      <c r="K5105" s="80" t="s">
        <v>16869</v>
      </c>
      <c r="L5105" s="30">
        <v>862014119</v>
      </c>
      <c r="M5105" s="80" t="s">
        <v>5429</v>
      </c>
      <c r="N5105" s="80" t="s">
        <v>756</v>
      </c>
      <c r="O5105" s="80" t="s">
        <v>16870</v>
      </c>
      <c r="P5105" s="80" t="s">
        <v>6368</v>
      </c>
      <c r="Q5105" s="20">
        <v>15936</v>
      </c>
      <c r="R5105" s="80" t="s">
        <v>36</v>
      </c>
      <c r="S5105" s="95">
        <f>200+1800</f>
        <v>2000</v>
      </c>
      <c r="T5105" s="83" t="s">
        <v>16871</v>
      </c>
      <c r="U5105" s="95">
        <v>13936</v>
      </c>
      <c r="V5105" s="148">
        <v>45605</v>
      </c>
      <c r="W5105" s="85" t="s">
        <v>16872</v>
      </c>
      <c r="X5105" s="80"/>
      <c r="Y5105" s="22">
        <v>0</v>
      </c>
      <c r="Z5105" s="80" t="s">
        <v>50</v>
      </c>
      <c r="AA5105" s="82" t="s">
        <v>14723</v>
      </c>
      <c r="AB5105" s="80"/>
      <c r="AC5105" s="80" t="s">
        <v>53</v>
      </c>
      <c r="AD5105" s="80" t="s">
        <v>138</v>
      </c>
      <c r="AE5105" s="80" t="s">
        <v>72</v>
      </c>
      <c r="AF5105" s="43">
        <v>45589</v>
      </c>
      <c r="AG5105" s="80" t="s">
        <v>14199</v>
      </c>
      <c r="AH5105" s="80"/>
      <c r="AI5105" s="147"/>
      <c r="AJ5105" s="80"/>
      <c r="AK5105" s="80"/>
      <c r="AL5105" s="35"/>
      <c r="AM5105" s="35"/>
      <c r="AN5105" s="35"/>
      <c r="AO5105" s="35"/>
      <c r="AP5105" s="35"/>
    </row>
    <row r="5106" spans="1:42" x14ac:dyDescent="0.2">
      <c r="A5106" s="126">
        <v>45586.58103011574</v>
      </c>
      <c r="B5106" s="137" t="s">
        <v>37</v>
      </c>
      <c r="C5106" s="41" t="s">
        <v>118</v>
      </c>
      <c r="D5106" s="80" t="s">
        <v>36</v>
      </c>
      <c r="E5106" s="80" t="s">
        <v>139</v>
      </c>
      <c r="F5106" s="80" t="s">
        <v>40</v>
      </c>
      <c r="G5106" s="80" t="s">
        <v>41</v>
      </c>
      <c r="H5106" s="80" t="s">
        <v>15796</v>
      </c>
      <c r="I5106" s="17">
        <f ca="1">IFERROR(__xludf.DUMMYFUNCTION("""COMPUTED_VALUE"""),45594)</f>
        <v>45594</v>
      </c>
      <c r="J5106" s="143" t="s">
        <v>17581</v>
      </c>
      <c r="K5106" s="80" t="s">
        <v>17582</v>
      </c>
      <c r="L5106" s="30">
        <v>969585335</v>
      </c>
      <c r="M5106" s="80" t="s">
        <v>15996</v>
      </c>
      <c r="N5106" s="80" t="s">
        <v>186</v>
      </c>
      <c r="O5106" s="80" t="s">
        <v>4503</v>
      </c>
      <c r="P5106" s="80" t="s">
        <v>3056</v>
      </c>
      <c r="Q5106" s="20">
        <v>15936</v>
      </c>
      <c r="R5106" s="80" t="s">
        <v>36</v>
      </c>
      <c r="S5106" s="95">
        <f>200+3000</f>
        <v>3200</v>
      </c>
      <c r="T5106" s="83" t="s">
        <v>17583</v>
      </c>
      <c r="U5106" s="77">
        <f>12000+736</f>
        <v>12736</v>
      </c>
      <c r="V5106" s="199">
        <v>45626</v>
      </c>
      <c r="W5106" s="85" t="s">
        <v>17584</v>
      </c>
      <c r="X5106" s="80"/>
      <c r="Y5106" s="22">
        <v>0</v>
      </c>
      <c r="Z5106" s="80" t="s">
        <v>50</v>
      </c>
      <c r="AA5106" s="86" t="s">
        <v>14723</v>
      </c>
      <c r="AB5106" s="80"/>
      <c r="AC5106" s="80" t="s">
        <v>53</v>
      </c>
      <c r="AD5106" s="80" t="s">
        <v>138</v>
      </c>
      <c r="AE5106" s="80"/>
      <c r="AF5106" s="43">
        <v>45594</v>
      </c>
      <c r="AG5106" s="80"/>
      <c r="AH5106" s="80"/>
      <c r="AI5106" s="147"/>
      <c r="AJ5106" s="80"/>
      <c r="AK5106" s="80"/>
      <c r="AL5106" s="35"/>
      <c r="AM5106" s="35"/>
      <c r="AN5106" s="35"/>
      <c r="AO5106" s="35"/>
      <c r="AP5106" s="35"/>
    </row>
    <row r="5107" spans="1:42" x14ac:dyDescent="0.2">
      <c r="A5107" s="126">
        <v>45586.599405370369</v>
      </c>
      <c r="B5107" s="137" t="s">
        <v>37</v>
      </c>
      <c r="C5107" s="41" t="s">
        <v>118</v>
      </c>
      <c r="D5107" s="80" t="s">
        <v>36</v>
      </c>
      <c r="E5107" s="80" t="s">
        <v>77</v>
      </c>
      <c r="F5107" s="80" t="s">
        <v>40</v>
      </c>
      <c r="G5107" s="80" t="s">
        <v>41</v>
      </c>
      <c r="H5107" s="80" t="s">
        <v>15796</v>
      </c>
      <c r="I5107" s="17">
        <f ca="1">IFERROR(__xludf.DUMMYFUNCTION("""COMPUTED_VALUE"""),45594)</f>
        <v>45594</v>
      </c>
      <c r="J5107" s="143" t="s">
        <v>17585</v>
      </c>
      <c r="K5107" s="80" t="s">
        <v>17586</v>
      </c>
      <c r="L5107" s="30">
        <v>355460513</v>
      </c>
      <c r="M5107" s="80" t="s">
        <v>5558</v>
      </c>
      <c r="N5107" s="80" t="s">
        <v>850</v>
      </c>
      <c r="O5107" s="80" t="s">
        <v>4503</v>
      </c>
      <c r="P5107" s="80" t="s">
        <v>3056</v>
      </c>
      <c r="Q5107" s="20">
        <v>1968</v>
      </c>
      <c r="R5107" s="80" t="s">
        <v>36</v>
      </c>
      <c r="S5107" s="95">
        <f>200+1768</f>
        <v>1968</v>
      </c>
      <c r="T5107" s="83" t="s">
        <v>17587</v>
      </c>
      <c r="U5107" s="77"/>
      <c r="V5107" s="78"/>
      <c r="W5107" s="85" t="s">
        <v>17588</v>
      </c>
      <c r="X5107" s="80"/>
      <c r="Y5107" s="22">
        <v>0</v>
      </c>
      <c r="Z5107" s="80" t="s">
        <v>50</v>
      </c>
      <c r="AA5107" s="82" t="s">
        <v>14723</v>
      </c>
      <c r="AB5107" s="80"/>
      <c r="AC5107" s="80" t="s">
        <v>53</v>
      </c>
      <c r="AD5107" s="80" t="s">
        <v>138</v>
      </c>
      <c r="AE5107" s="80"/>
      <c r="AF5107" s="43">
        <v>45594</v>
      </c>
      <c r="AG5107" s="80" t="s">
        <v>7078</v>
      </c>
      <c r="AH5107" s="80"/>
      <c r="AI5107" s="147"/>
      <c r="AJ5107" s="80"/>
      <c r="AK5107" s="80"/>
      <c r="AL5107" s="35"/>
      <c r="AM5107" s="35"/>
      <c r="AN5107" s="35"/>
      <c r="AO5107" s="35"/>
      <c r="AP5107" s="35"/>
    </row>
    <row r="5108" spans="1:42" x14ac:dyDescent="0.2">
      <c r="A5108" s="126">
        <v>45586.691844421293</v>
      </c>
      <c r="B5108" s="137" t="s">
        <v>37</v>
      </c>
      <c r="C5108" s="41" t="s">
        <v>118</v>
      </c>
      <c r="D5108" s="80" t="s">
        <v>36</v>
      </c>
      <c r="E5108" s="80" t="s">
        <v>119</v>
      </c>
      <c r="F5108" s="80" t="s">
        <v>40</v>
      </c>
      <c r="G5108" s="80" t="s">
        <v>108</v>
      </c>
      <c r="H5108" s="80" t="s">
        <v>13877</v>
      </c>
      <c r="I5108" s="17">
        <f ca="1">IFERROR(__xludf.DUMMYFUNCTION("""COMPUTED_VALUE"""),45597)</f>
        <v>45597</v>
      </c>
      <c r="J5108" s="143" t="s">
        <v>17589</v>
      </c>
      <c r="K5108" s="145" t="s">
        <v>17590</v>
      </c>
      <c r="L5108" s="30">
        <v>778375389</v>
      </c>
      <c r="M5108" s="80" t="s">
        <v>12529</v>
      </c>
      <c r="N5108" s="80" t="s">
        <v>13566</v>
      </c>
      <c r="O5108" s="80" t="s">
        <v>17591</v>
      </c>
      <c r="P5108" s="80" t="s">
        <v>15693</v>
      </c>
      <c r="Q5108" s="20">
        <v>13968</v>
      </c>
      <c r="R5108" s="80" t="s">
        <v>36</v>
      </c>
      <c r="S5108" s="95">
        <f>200+3800</f>
        <v>4000</v>
      </c>
      <c r="T5108" s="83" t="s">
        <v>17592</v>
      </c>
      <c r="U5108" s="95">
        <v>9968</v>
      </c>
      <c r="V5108" s="148">
        <v>45618</v>
      </c>
      <c r="W5108" s="85" t="s">
        <v>17593</v>
      </c>
      <c r="X5108" s="80"/>
      <c r="Y5108" s="22">
        <v>0</v>
      </c>
      <c r="Z5108" s="80" t="s">
        <v>50</v>
      </c>
      <c r="AA5108" s="86" t="s">
        <v>14723</v>
      </c>
      <c r="AB5108" s="80"/>
      <c r="AC5108" s="80" t="s">
        <v>53</v>
      </c>
      <c r="AD5108" s="80" t="s">
        <v>138</v>
      </c>
      <c r="AE5108" s="83">
        <v>440</v>
      </c>
      <c r="AF5108" s="43">
        <v>45590</v>
      </c>
      <c r="AG5108" s="80" t="s">
        <v>17594</v>
      </c>
      <c r="AH5108" s="80"/>
      <c r="AI5108" s="147"/>
      <c r="AJ5108" s="80"/>
      <c r="AK5108" s="80"/>
      <c r="AL5108" s="35"/>
      <c r="AM5108" s="35"/>
      <c r="AN5108" s="35"/>
      <c r="AO5108" s="35"/>
      <c r="AP5108" s="35"/>
    </row>
    <row r="5109" spans="1:42" x14ac:dyDescent="0.2">
      <c r="A5109" s="126">
        <v>45586.69405204861</v>
      </c>
      <c r="B5109" s="137" t="s">
        <v>37</v>
      </c>
      <c r="C5109" s="41" t="s">
        <v>118</v>
      </c>
      <c r="D5109" s="80" t="s">
        <v>36</v>
      </c>
      <c r="E5109" s="80" t="s">
        <v>139</v>
      </c>
      <c r="F5109" s="80" t="s">
        <v>40</v>
      </c>
      <c r="G5109" s="80" t="s">
        <v>41</v>
      </c>
      <c r="H5109" s="80" t="s">
        <v>15451</v>
      </c>
      <c r="I5109" s="17">
        <f ca="1">IFERROR(__xludf.DUMMYFUNCTION("""COMPUTED_VALUE"""),45603)</f>
        <v>45603</v>
      </c>
      <c r="J5109" s="143" t="s">
        <v>17595</v>
      </c>
      <c r="K5109" s="80" t="s">
        <v>17596</v>
      </c>
      <c r="L5109" s="30">
        <v>876129286</v>
      </c>
      <c r="M5109" s="80" t="s">
        <v>12529</v>
      </c>
      <c r="N5109" s="80" t="s">
        <v>13566</v>
      </c>
      <c r="O5109" s="80" t="s">
        <v>17597</v>
      </c>
      <c r="P5109" s="80" t="s">
        <v>17598</v>
      </c>
      <c r="Q5109" s="20">
        <v>15936</v>
      </c>
      <c r="R5109" s="80" t="s">
        <v>36</v>
      </c>
      <c r="S5109" s="95">
        <f>200+1800</f>
        <v>2000</v>
      </c>
      <c r="T5109" s="83" t="s">
        <v>17599</v>
      </c>
      <c r="U5109" s="95">
        <v>13936</v>
      </c>
      <c r="V5109" s="148">
        <v>45618</v>
      </c>
      <c r="W5109" s="85" t="s">
        <v>17600</v>
      </c>
      <c r="X5109" s="80"/>
      <c r="Y5109" s="22">
        <v>0</v>
      </c>
      <c r="Z5109" s="80" t="s">
        <v>50</v>
      </c>
      <c r="AA5109" s="82" t="s">
        <v>14723</v>
      </c>
      <c r="AB5109" s="80"/>
      <c r="AC5109" s="80" t="s">
        <v>53</v>
      </c>
      <c r="AD5109" s="80" t="s">
        <v>138</v>
      </c>
      <c r="AE5109" s="80"/>
      <c r="AF5109" s="43">
        <v>45590</v>
      </c>
      <c r="AG5109" s="80" t="s">
        <v>17594</v>
      </c>
      <c r="AH5109" s="80"/>
      <c r="AI5109" s="147"/>
      <c r="AJ5109" s="80"/>
      <c r="AK5109" s="80"/>
      <c r="AL5109" s="35"/>
      <c r="AM5109" s="35"/>
      <c r="AN5109" s="35"/>
      <c r="AO5109" s="35"/>
      <c r="AP5109" s="35"/>
    </row>
    <row r="5110" spans="1:42" x14ac:dyDescent="0.2">
      <c r="A5110" s="126">
        <v>45586.897306817133</v>
      </c>
      <c r="B5110" s="137" t="s">
        <v>37</v>
      </c>
      <c r="C5110" s="41" t="s">
        <v>118</v>
      </c>
      <c r="D5110" s="80" t="s">
        <v>36</v>
      </c>
      <c r="E5110" s="80" t="s">
        <v>119</v>
      </c>
      <c r="F5110" s="80" t="s">
        <v>40</v>
      </c>
      <c r="G5110" s="80" t="s">
        <v>108</v>
      </c>
      <c r="H5110" s="80" t="s">
        <v>13913</v>
      </c>
      <c r="I5110" s="17">
        <f ca="1">IFERROR(__xludf.DUMMYFUNCTION("""COMPUTED_VALUE"""),45602)</f>
        <v>45602</v>
      </c>
      <c r="J5110" s="143" t="s">
        <v>17601</v>
      </c>
      <c r="K5110" s="80" t="s">
        <v>17602</v>
      </c>
      <c r="L5110" s="30">
        <v>377330258</v>
      </c>
      <c r="M5110" s="80" t="s">
        <v>3728</v>
      </c>
      <c r="N5110" s="80" t="s">
        <v>5277</v>
      </c>
      <c r="O5110" s="80" t="s">
        <v>17603</v>
      </c>
      <c r="P5110" s="80" t="s">
        <v>17604</v>
      </c>
      <c r="Q5110" s="20">
        <v>13968</v>
      </c>
      <c r="R5110" s="80" t="s">
        <v>36</v>
      </c>
      <c r="S5110" s="95">
        <v>4000</v>
      </c>
      <c r="T5110" s="148">
        <v>45586</v>
      </c>
      <c r="U5110" s="95">
        <v>9968</v>
      </c>
      <c r="V5110" s="148">
        <v>45623</v>
      </c>
      <c r="W5110" s="85" t="s">
        <v>17605</v>
      </c>
      <c r="X5110" s="80"/>
      <c r="Y5110" s="22">
        <v>0</v>
      </c>
      <c r="Z5110" s="80" t="s">
        <v>50</v>
      </c>
      <c r="AA5110" s="86" t="s">
        <v>14723</v>
      </c>
      <c r="AB5110" s="80"/>
      <c r="AC5110" s="80" t="s">
        <v>53</v>
      </c>
      <c r="AD5110" s="80" t="s">
        <v>138</v>
      </c>
      <c r="AE5110" s="80"/>
      <c r="AF5110" s="17">
        <v>45602</v>
      </c>
      <c r="AG5110" s="80" t="s">
        <v>13915</v>
      </c>
      <c r="AH5110" s="80"/>
      <c r="AI5110" s="147"/>
      <c r="AJ5110" s="80"/>
      <c r="AK5110" s="80"/>
      <c r="AL5110" s="35"/>
      <c r="AM5110" s="35"/>
      <c r="AN5110" s="35"/>
      <c r="AO5110" s="35"/>
      <c r="AP5110" s="35"/>
    </row>
    <row r="5111" spans="1:42" x14ac:dyDescent="0.2">
      <c r="A5111" s="126">
        <v>45586.935142280097</v>
      </c>
      <c r="B5111" s="137" t="s">
        <v>37</v>
      </c>
      <c r="C5111" s="41" t="s">
        <v>118</v>
      </c>
      <c r="D5111" s="80" t="s">
        <v>36</v>
      </c>
      <c r="E5111" s="80" t="s">
        <v>139</v>
      </c>
      <c r="F5111" s="80" t="s">
        <v>40</v>
      </c>
      <c r="G5111" s="80" t="s">
        <v>41</v>
      </c>
      <c r="H5111" s="80" t="s">
        <v>12444</v>
      </c>
      <c r="I5111" s="17">
        <f ca="1">IFERROR(__xludf.DUMMYFUNCTION("""COMPUTED_VALUE"""),45590)</f>
        <v>45590</v>
      </c>
      <c r="J5111" s="143" t="s">
        <v>17606</v>
      </c>
      <c r="K5111" s="80" t="s">
        <v>17607</v>
      </c>
      <c r="L5111" s="30">
        <v>348084283</v>
      </c>
      <c r="M5111" s="80" t="s">
        <v>12529</v>
      </c>
      <c r="N5111" s="80" t="s">
        <v>13566</v>
      </c>
      <c r="O5111" s="80" t="s">
        <v>17608</v>
      </c>
      <c r="P5111" s="80" t="s">
        <v>17609</v>
      </c>
      <c r="Q5111" s="20">
        <v>15936</v>
      </c>
      <c r="R5111" s="80" t="s">
        <v>36</v>
      </c>
      <c r="S5111" s="95">
        <v>2000</v>
      </c>
      <c r="T5111" s="148">
        <v>45586</v>
      </c>
      <c r="U5111" s="95">
        <v>13936</v>
      </c>
      <c r="V5111" s="148">
        <v>45619</v>
      </c>
      <c r="W5111" s="85" t="s">
        <v>17610</v>
      </c>
      <c r="X5111" s="80"/>
      <c r="Y5111" s="22">
        <v>0</v>
      </c>
      <c r="Z5111" s="80" t="s">
        <v>50</v>
      </c>
      <c r="AA5111" s="82" t="s">
        <v>14723</v>
      </c>
      <c r="AB5111" s="80"/>
      <c r="AC5111" s="80" t="s">
        <v>53</v>
      </c>
      <c r="AD5111" s="80" t="s">
        <v>54</v>
      </c>
      <c r="AE5111" s="80"/>
      <c r="AF5111" s="43">
        <v>45587</v>
      </c>
      <c r="AG5111" s="80"/>
      <c r="AH5111" s="80"/>
      <c r="AI5111" s="147"/>
      <c r="AJ5111" s="80"/>
      <c r="AK5111" s="80"/>
      <c r="AL5111" s="35"/>
      <c r="AM5111" s="35"/>
      <c r="AN5111" s="35"/>
      <c r="AO5111" s="35"/>
      <c r="AP5111" s="35"/>
    </row>
    <row r="5112" spans="1:42" x14ac:dyDescent="0.2">
      <c r="A5112" s="126">
        <v>45587.429591539352</v>
      </c>
      <c r="B5112" s="137" t="s">
        <v>37</v>
      </c>
      <c r="C5112" s="41" t="s">
        <v>118</v>
      </c>
      <c r="D5112" s="80" t="s">
        <v>36</v>
      </c>
      <c r="E5112" s="80" t="s">
        <v>119</v>
      </c>
      <c r="F5112" s="80" t="s">
        <v>40</v>
      </c>
      <c r="G5112" s="80" t="s">
        <v>108</v>
      </c>
      <c r="H5112" s="80" t="s">
        <v>8844</v>
      </c>
      <c r="I5112" s="17">
        <f ca="1">IFERROR(__xludf.DUMMYFUNCTION("""COMPUTED_VALUE"""),45593)</f>
        <v>45593</v>
      </c>
      <c r="J5112" s="143" t="s">
        <v>17611</v>
      </c>
      <c r="K5112" s="80" t="s">
        <v>17612</v>
      </c>
      <c r="L5112" s="30">
        <v>339432004</v>
      </c>
      <c r="M5112" s="80" t="s">
        <v>5558</v>
      </c>
      <c r="N5112" s="80" t="s">
        <v>850</v>
      </c>
      <c r="O5112" s="80" t="s">
        <v>17613</v>
      </c>
      <c r="P5112" s="80" t="s">
        <v>17614</v>
      </c>
      <c r="Q5112" s="20">
        <v>13968</v>
      </c>
      <c r="R5112" s="80" t="s">
        <v>36</v>
      </c>
      <c r="S5112" s="95">
        <v>4000</v>
      </c>
      <c r="T5112" s="148">
        <v>45586</v>
      </c>
      <c r="U5112" s="95">
        <f>5000+4968</f>
        <v>9968</v>
      </c>
      <c r="V5112" s="148">
        <v>45608</v>
      </c>
      <c r="W5112" s="85" t="s">
        <v>17615</v>
      </c>
      <c r="X5112" s="80"/>
      <c r="Y5112" s="22">
        <v>0</v>
      </c>
      <c r="Z5112" s="80" t="s">
        <v>50</v>
      </c>
      <c r="AA5112" s="86" t="s">
        <v>14723</v>
      </c>
      <c r="AB5112" s="80"/>
      <c r="AC5112" s="80" t="s">
        <v>53</v>
      </c>
      <c r="AD5112" s="80" t="s">
        <v>54</v>
      </c>
      <c r="AE5112" s="83">
        <v>700</v>
      </c>
      <c r="AF5112" s="43">
        <v>45587</v>
      </c>
      <c r="AG5112" s="80"/>
      <c r="AH5112" s="80"/>
      <c r="AI5112" s="147"/>
      <c r="AJ5112" s="80"/>
      <c r="AK5112" s="80"/>
      <c r="AL5112" s="35"/>
      <c r="AM5112" s="35"/>
      <c r="AN5112" s="35"/>
      <c r="AO5112" s="35"/>
      <c r="AP5112" s="35"/>
    </row>
    <row r="5113" spans="1:42" x14ac:dyDescent="0.2">
      <c r="A5113" s="126">
        <v>45587.540048877316</v>
      </c>
      <c r="B5113" s="137" t="s">
        <v>37</v>
      </c>
      <c r="C5113" s="41" t="s">
        <v>118</v>
      </c>
      <c r="D5113" s="80" t="s">
        <v>36</v>
      </c>
      <c r="E5113" s="80" t="s">
        <v>56</v>
      </c>
      <c r="F5113" s="80" t="s">
        <v>40</v>
      </c>
      <c r="G5113" s="80" t="s">
        <v>41</v>
      </c>
      <c r="H5113" s="80" t="s">
        <v>13535</v>
      </c>
      <c r="I5113" s="17">
        <f ca="1">IFERROR(__xludf.DUMMYFUNCTION("""COMPUTED_VALUE"""),45589)</f>
        <v>45589</v>
      </c>
      <c r="J5113" s="143" t="s">
        <v>17616</v>
      </c>
      <c r="K5113" s="80" t="s">
        <v>17014</v>
      </c>
      <c r="L5113" s="30">
        <v>813145806</v>
      </c>
      <c r="M5113" s="80" t="s">
        <v>12644</v>
      </c>
      <c r="N5113" s="80" t="s">
        <v>8725</v>
      </c>
      <c r="O5113" s="80" t="s">
        <v>17015</v>
      </c>
      <c r="P5113" s="80" t="s">
        <v>3694</v>
      </c>
      <c r="Q5113" s="20">
        <v>9317</v>
      </c>
      <c r="R5113" s="80" t="s">
        <v>70</v>
      </c>
      <c r="S5113" s="95">
        <f>400+1600+4000</f>
        <v>6000</v>
      </c>
      <c r="T5113" s="83" t="s">
        <v>17016</v>
      </c>
      <c r="U5113" s="95">
        <v>3217</v>
      </c>
      <c r="V5113" s="148">
        <v>45618</v>
      </c>
      <c r="W5113" s="85" t="s">
        <v>17017</v>
      </c>
      <c r="X5113" s="80"/>
      <c r="Y5113" s="22">
        <v>100</v>
      </c>
      <c r="Z5113" s="80" t="s">
        <v>50</v>
      </c>
      <c r="AA5113" s="82" t="s">
        <v>14723</v>
      </c>
      <c r="AB5113" s="80"/>
      <c r="AC5113" s="80" t="s">
        <v>53</v>
      </c>
      <c r="AD5113" s="80" t="s">
        <v>138</v>
      </c>
      <c r="AE5113" s="80" t="s">
        <v>16305</v>
      </c>
      <c r="AF5113" s="43">
        <v>45589</v>
      </c>
      <c r="AG5113" s="80" t="s">
        <v>13541</v>
      </c>
      <c r="AH5113" s="80"/>
      <c r="AI5113" s="147"/>
      <c r="AJ5113" s="80"/>
      <c r="AK5113" s="80"/>
      <c r="AL5113" s="35"/>
      <c r="AM5113" s="35"/>
      <c r="AN5113" s="35"/>
      <c r="AO5113" s="35"/>
      <c r="AP5113" s="35"/>
    </row>
    <row r="5114" spans="1:42" x14ac:dyDescent="0.2">
      <c r="A5114" s="126">
        <v>45587.542052534722</v>
      </c>
      <c r="B5114" s="137" t="s">
        <v>37</v>
      </c>
      <c r="C5114" s="41" t="s">
        <v>118</v>
      </c>
      <c r="D5114" s="80" t="s">
        <v>36</v>
      </c>
      <c r="E5114" s="80" t="s">
        <v>56</v>
      </c>
      <c r="F5114" s="80" t="s">
        <v>40</v>
      </c>
      <c r="G5114" s="80" t="s">
        <v>41</v>
      </c>
      <c r="H5114" s="80" t="s">
        <v>13535</v>
      </c>
      <c r="I5114" s="17">
        <f ca="1">IFERROR(__xludf.DUMMYFUNCTION("""COMPUTED_VALUE"""),45589)</f>
        <v>45589</v>
      </c>
      <c r="J5114" s="143" t="s">
        <v>17018</v>
      </c>
      <c r="K5114" s="80" t="s">
        <v>17019</v>
      </c>
      <c r="L5114" s="30">
        <v>981610411</v>
      </c>
      <c r="M5114" s="80" t="s">
        <v>59</v>
      </c>
      <c r="N5114" s="80" t="s">
        <v>11476</v>
      </c>
      <c r="O5114" s="80" t="s">
        <v>17020</v>
      </c>
      <c r="P5114" s="80" t="s">
        <v>12687</v>
      </c>
      <c r="Q5114" s="20">
        <v>9317</v>
      </c>
      <c r="R5114" s="80" t="s">
        <v>70</v>
      </c>
      <c r="S5114" s="95">
        <f>100+1900+4000</f>
        <v>6000</v>
      </c>
      <c r="T5114" s="83" t="s">
        <v>17016</v>
      </c>
      <c r="U5114" s="95">
        <v>3217</v>
      </c>
      <c r="V5114" s="148">
        <v>45618</v>
      </c>
      <c r="W5114" s="85" t="s">
        <v>17021</v>
      </c>
      <c r="X5114" s="80"/>
      <c r="Y5114" s="22">
        <v>100</v>
      </c>
      <c r="Z5114" s="80" t="s">
        <v>50</v>
      </c>
      <c r="AA5114" s="86" t="s">
        <v>14723</v>
      </c>
      <c r="AB5114" s="80"/>
      <c r="AC5114" s="80" t="s">
        <v>53</v>
      </c>
      <c r="AD5114" s="80" t="s">
        <v>138</v>
      </c>
      <c r="AE5114" s="80" t="s">
        <v>16312</v>
      </c>
      <c r="AF5114" s="43">
        <v>45589</v>
      </c>
      <c r="AG5114" s="80" t="s">
        <v>13541</v>
      </c>
      <c r="AH5114" s="80"/>
      <c r="AI5114" s="147"/>
      <c r="AJ5114" s="80"/>
      <c r="AK5114" s="80"/>
      <c r="AL5114" s="35"/>
      <c r="AM5114" s="35"/>
      <c r="AN5114" s="35"/>
      <c r="AO5114" s="35"/>
      <c r="AP5114" s="35"/>
    </row>
    <row r="5115" spans="1:42" x14ac:dyDescent="0.2">
      <c r="A5115" s="126">
        <v>45587.564294050928</v>
      </c>
      <c r="B5115" s="137" t="s">
        <v>37</v>
      </c>
      <c r="C5115" s="41" t="s">
        <v>118</v>
      </c>
      <c r="D5115" s="80" t="s">
        <v>36</v>
      </c>
      <c r="E5115" s="80" t="s">
        <v>139</v>
      </c>
      <c r="F5115" s="80" t="s">
        <v>40</v>
      </c>
      <c r="G5115" s="80" t="s">
        <v>41</v>
      </c>
      <c r="H5115" s="80" t="s">
        <v>16183</v>
      </c>
      <c r="I5115" s="17">
        <f ca="1">IFERROR(__xludf.DUMMYFUNCTION("""COMPUTED_VALUE"""),45657)</f>
        <v>45657</v>
      </c>
      <c r="J5115" s="143" t="s">
        <v>17617</v>
      </c>
      <c r="K5115" s="80" t="s">
        <v>17618</v>
      </c>
      <c r="L5115" s="30">
        <v>964057155</v>
      </c>
      <c r="M5115" s="80" t="s">
        <v>9422</v>
      </c>
      <c r="N5115" s="80" t="s">
        <v>5574</v>
      </c>
      <c r="O5115" s="80" t="s">
        <v>17619</v>
      </c>
      <c r="P5115" s="80" t="s">
        <v>3694</v>
      </c>
      <c r="Q5115" s="20">
        <v>15936</v>
      </c>
      <c r="R5115" s="80" t="s">
        <v>36</v>
      </c>
      <c r="S5115" s="95">
        <f>1000+7000</f>
        <v>8000</v>
      </c>
      <c r="T5115" s="83" t="s">
        <v>17620</v>
      </c>
      <c r="U5115" s="95">
        <v>7936</v>
      </c>
      <c r="V5115" s="148">
        <v>45608</v>
      </c>
      <c r="W5115" s="85" t="s">
        <v>17621</v>
      </c>
      <c r="X5115" s="80"/>
      <c r="Y5115" s="22">
        <v>0</v>
      </c>
      <c r="Z5115" s="80" t="s">
        <v>50</v>
      </c>
      <c r="AA5115" s="82" t="s">
        <v>14723</v>
      </c>
      <c r="AB5115" s="80"/>
      <c r="AC5115" s="80" t="s">
        <v>53</v>
      </c>
      <c r="AD5115" s="80" t="s">
        <v>138</v>
      </c>
      <c r="AE5115" s="80"/>
      <c r="AF5115" s="43">
        <v>45594</v>
      </c>
      <c r="AG5115" s="80"/>
      <c r="AH5115" s="80"/>
      <c r="AI5115" s="147"/>
      <c r="AJ5115" s="80"/>
      <c r="AK5115" s="80"/>
      <c r="AL5115" s="35"/>
      <c r="AM5115" s="35"/>
      <c r="AN5115" s="35"/>
      <c r="AO5115" s="35"/>
      <c r="AP5115" s="35"/>
    </row>
    <row r="5116" spans="1:42" x14ac:dyDescent="0.2">
      <c r="A5116" s="126">
        <v>45587.745991689815</v>
      </c>
      <c r="B5116" s="137" t="s">
        <v>37</v>
      </c>
      <c r="C5116" s="41" t="s">
        <v>118</v>
      </c>
      <c r="D5116" s="80" t="s">
        <v>36</v>
      </c>
      <c r="E5116" s="80" t="s">
        <v>56</v>
      </c>
      <c r="F5116" s="80" t="s">
        <v>40</v>
      </c>
      <c r="G5116" s="80" t="s">
        <v>41</v>
      </c>
      <c r="H5116" s="80" t="s">
        <v>12444</v>
      </c>
      <c r="I5116" s="17">
        <f ca="1">IFERROR(__xludf.DUMMYFUNCTION("""COMPUTED_VALUE"""),45590)</f>
        <v>45590</v>
      </c>
      <c r="J5116" s="143" t="s">
        <v>17622</v>
      </c>
      <c r="K5116" s="80" t="s">
        <v>17623</v>
      </c>
      <c r="L5116" s="30">
        <v>377336982</v>
      </c>
      <c r="M5116" s="80" t="s">
        <v>59</v>
      </c>
      <c r="N5116" s="80" t="s">
        <v>8342</v>
      </c>
      <c r="O5116" s="80" t="s">
        <v>17624</v>
      </c>
      <c r="P5116" s="80" t="s">
        <v>17625</v>
      </c>
      <c r="Q5116" s="20">
        <v>9317</v>
      </c>
      <c r="R5116" s="80" t="s">
        <v>36</v>
      </c>
      <c r="S5116" s="95">
        <v>2000</v>
      </c>
      <c r="T5116" s="148">
        <v>45587</v>
      </c>
      <c r="U5116" s="95">
        <v>7317</v>
      </c>
      <c r="V5116" s="148">
        <v>45622</v>
      </c>
      <c r="W5116" s="85" t="s">
        <v>17626</v>
      </c>
      <c r="X5116" s="80"/>
      <c r="Y5116" s="22">
        <v>0</v>
      </c>
      <c r="Z5116" s="80" t="s">
        <v>50</v>
      </c>
      <c r="AA5116" s="86" t="s">
        <v>14723</v>
      </c>
      <c r="AB5116" s="80"/>
      <c r="AC5116" s="80" t="s">
        <v>53</v>
      </c>
      <c r="AD5116" s="80" t="s">
        <v>54</v>
      </c>
      <c r="AE5116" s="80" t="s">
        <v>16312</v>
      </c>
      <c r="AF5116" s="43">
        <v>45588</v>
      </c>
      <c r="AG5116" s="80"/>
      <c r="AH5116" s="80"/>
      <c r="AI5116" s="147"/>
      <c r="AJ5116" s="80"/>
      <c r="AK5116" s="80"/>
      <c r="AL5116" s="35"/>
      <c r="AM5116" s="35"/>
      <c r="AN5116" s="35"/>
      <c r="AO5116" s="35"/>
      <c r="AP5116" s="35"/>
    </row>
    <row r="5117" spans="1:42" x14ac:dyDescent="0.2">
      <c r="A5117" s="126">
        <v>45588.454942025463</v>
      </c>
      <c r="B5117" s="137" t="s">
        <v>37</v>
      </c>
      <c r="C5117" s="41" t="s">
        <v>118</v>
      </c>
      <c r="D5117" s="80" t="s">
        <v>119</v>
      </c>
      <c r="E5117" s="80" t="s">
        <v>119</v>
      </c>
      <c r="F5117" s="80" t="s">
        <v>40</v>
      </c>
      <c r="G5117" s="80" t="s">
        <v>108</v>
      </c>
      <c r="H5117" s="80" t="s">
        <v>8541</v>
      </c>
      <c r="I5117" s="17">
        <f ca="1">IFERROR(__xludf.DUMMYFUNCTION("""COMPUTED_VALUE"""),45595)</f>
        <v>45595</v>
      </c>
      <c r="J5117" s="143" t="s">
        <v>17627</v>
      </c>
      <c r="K5117" s="80" t="s">
        <v>17628</v>
      </c>
      <c r="L5117" s="30">
        <v>968140920</v>
      </c>
      <c r="M5117" s="80" t="s">
        <v>12720</v>
      </c>
      <c r="N5117" s="80" t="s">
        <v>1073</v>
      </c>
      <c r="O5117" s="80" t="s">
        <v>17629</v>
      </c>
      <c r="P5117" s="80" t="s">
        <v>17630</v>
      </c>
      <c r="Q5117" s="20">
        <v>13968</v>
      </c>
      <c r="R5117" s="80" t="s">
        <v>36</v>
      </c>
      <c r="S5117" s="95">
        <v>4000</v>
      </c>
      <c r="T5117" s="148">
        <v>45587</v>
      </c>
      <c r="U5117" s="95">
        <v>9968</v>
      </c>
      <c r="V5117" s="148">
        <v>45616</v>
      </c>
      <c r="W5117" s="85" t="s">
        <v>17631</v>
      </c>
      <c r="X5117" s="80"/>
      <c r="Y5117" s="22">
        <v>0</v>
      </c>
      <c r="Z5117" s="80" t="s">
        <v>50</v>
      </c>
      <c r="AA5117" s="82" t="s">
        <v>14723</v>
      </c>
      <c r="AB5117" s="80"/>
      <c r="AC5117" s="80" t="s">
        <v>53</v>
      </c>
      <c r="AD5117" s="80" t="s">
        <v>138</v>
      </c>
      <c r="AE5117" s="83">
        <v>500</v>
      </c>
      <c r="AF5117" s="17">
        <v>45595</v>
      </c>
      <c r="AG5117" s="80" t="s">
        <v>17632</v>
      </c>
      <c r="AH5117" s="80"/>
      <c r="AI5117" s="147"/>
      <c r="AJ5117" s="80"/>
      <c r="AK5117" s="80"/>
      <c r="AL5117" s="35"/>
      <c r="AM5117" s="35"/>
      <c r="AN5117" s="35"/>
      <c r="AO5117" s="35"/>
      <c r="AP5117" s="35"/>
    </row>
    <row r="5118" spans="1:42" x14ac:dyDescent="0.2">
      <c r="A5118" s="126">
        <v>45588.611429652781</v>
      </c>
      <c r="B5118" s="137" t="s">
        <v>37</v>
      </c>
      <c r="C5118" s="41" t="s">
        <v>118</v>
      </c>
      <c r="D5118" s="80" t="s">
        <v>36</v>
      </c>
      <c r="E5118" s="80" t="s">
        <v>77</v>
      </c>
      <c r="F5118" s="80" t="s">
        <v>36</v>
      </c>
      <c r="G5118" s="80" t="s">
        <v>41</v>
      </c>
      <c r="H5118" s="80" t="s">
        <v>14051</v>
      </c>
      <c r="I5118" s="17">
        <f ca="1">IFERROR(__xludf.DUMMYFUNCTION("""COMPUTED_VALUE"""),45615)</f>
        <v>45615</v>
      </c>
      <c r="J5118" s="143" t="s">
        <v>17633</v>
      </c>
      <c r="K5118" s="80" t="s">
        <v>17634</v>
      </c>
      <c r="L5118" s="30">
        <v>969260943</v>
      </c>
      <c r="M5118" s="80" t="s">
        <v>348</v>
      </c>
      <c r="N5118" s="80" t="s">
        <v>4299</v>
      </c>
      <c r="O5118" s="80" t="s">
        <v>17635</v>
      </c>
      <c r="P5118" s="80" t="s">
        <v>17636</v>
      </c>
      <c r="Q5118" s="20">
        <v>1968</v>
      </c>
      <c r="R5118" s="80" t="s">
        <v>36</v>
      </c>
      <c r="S5118" s="95">
        <f t="shared" ref="S5118:S5119" si="126">200+1768</f>
        <v>1968</v>
      </c>
      <c r="T5118" s="83" t="s">
        <v>17637</v>
      </c>
      <c r="U5118" s="77"/>
      <c r="V5118" s="78"/>
      <c r="W5118" s="85" t="s">
        <v>17638</v>
      </c>
      <c r="X5118" s="80"/>
      <c r="Y5118" s="22">
        <v>0</v>
      </c>
      <c r="Z5118" s="80" t="s">
        <v>50</v>
      </c>
      <c r="AA5118" s="86" t="s">
        <v>14723</v>
      </c>
      <c r="AB5118" s="80"/>
      <c r="AC5118" s="80" t="s">
        <v>53</v>
      </c>
      <c r="AD5118" s="80" t="s">
        <v>138</v>
      </c>
      <c r="AE5118" s="80" t="s">
        <v>16312</v>
      </c>
      <c r="AF5118" s="43">
        <v>45615</v>
      </c>
      <c r="AG5118" s="80"/>
      <c r="AH5118" s="80"/>
      <c r="AI5118" s="147"/>
      <c r="AJ5118" s="80"/>
      <c r="AK5118" s="80"/>
      <c r="AL5118" s="35"/>
      <c r="AM5118" s="35"/>
      <c r="AN5118" s="35"/>
      <c r="AO5118" s="35"/>
      <c r="AP5118" s="35"/>
    </row>
    <row r="5119" spans="1:42" x14ac:dyDescent="0.2">
      <c r="A5119" s="126">
        <v>45588.613771909717</v>
      </c>
      <c r="B5119" s="137" t="s">
        <v>37</v>
      </c>
      <c r="C5119" s="41" t="s">
        <v>118</v>
      </c>
      <c r="D5119" s="80" t="s">
        <v>36</v>
      </c>
      <c r="E5119" s="80" t="s">
        <v>77</v>
      </c>
      <c r="F5119" s="80" t="s">
        <v>36</v>
      </c>
      <c r="G5119" s="80" t="s">
        <v>41</v>
      </c>
      <c r="H5119" s="80" t="s">
        <v>14051</v>
      </c>
      <c r="I5119" s="17">
        <f ca="1">IFERROR(__xludf.DUMMYFUNCTION("""COMPUTED_VALUE"""),45615)</f>
        <v>45615</v>
      </c>
      <c r="J5119" s="143" t="s">
        <v>17639</v>
      </c>
      <c r="K5119" s="80" t="s">
        <v>17640</v>
      </c>
      <c r="L5119" s="30">
        <v>914894139</v>
      </c>
      <c r="M5119" s="80" t="s">
        <v>348</v>
      </c>
      <c r="N5119" s="80" t="s">
        <v>68</v>
      </c>
      <c r="O5119" s="80" t="s">
        <v>17641</v>
      </c>
      <c r="P5119" s="80" t="s">
        <v>16383</v>
      </c>
      <c r="Q5119" s="20">
        <v>1968</v>
      </c>
      <c r="R5119" s="80" t="s">
        <v>36</v>
      </c>
      <c r="S5119" s="95">
        <f t="shared" si="126"/>
        <v>1968</v>
      </c>
      <c r="T5119" s="83" t="s">
        <v>17637</v>
      </c>
      <c r="U5119" s="77"/>
      <c r="V5119" s="78"/>
      <c r="W5119" s="85" t="s">
        <v>17642</v>
      </c>
      <c r="X5119" s="80"/>
      <c r="Y5119" s="22">
        <v>0</v>
      </c>
      <c r="Z5119" s="80" t="s">
        <v>50</v>
      </c>
      <c r="AA5119" s="82" t="s">
        <v>14723</v>
      </c>
      <c r="AB5119" s="80"/>
      <c r="AC5119" s="80" t="s">
        <v>53</v>
      </c>
      <c r="AD5119" s="80" t="s">
        <v>138</v>
      </c>
      <c r="AE5119" s="80" t="s">
        <v>17643</v>
      </c>
      <c r="AF5119" s="43">
        <v>45615</v>
      </c>
      <c r="AG5119" s="80"/>
      <c r="AH5119" s="80"/>
      <c r="AI5119" s="147"/>
      <c r="AJ5119" s="80"/>
      <c r="AK5119" s="80"/>
      <c r="AL5119" s="35"/>
      <c r="AM5119" s="35"/>
      <c r="AN5119" s="35"/>
      <c r="AO5119" s="35"/>
      <c r="AP5119" s="35"/>
    </row>
    <row r="5120" spans="1:42" x14ac:dyDescent="0.2">
      <c r="A5120" s="126">
        <v>45589.45742604167</v>
      </c>
      <c r="B5120" s="137" t="s">
        <v>37</v>
      </c>
      <c r="C5120" s="41" t="s">
        <v>118</v>
      </c>
      <c r="D5120" s="80" t="s">
        <v>36</v>
      </c>
      <c r="E5120" s="80" t="s">
        <v>139</v>
      </c>
      <c r="F5120" s="80" t="s">
        <v>36</v>
      </c>
      <c r="G5120" s="80" t="s">
        <v>41</v>
      </c>
      <c r="H5120" s="80" t="s">
        <v>13143</v>
      </c>
      <c r="I5120" s="17">
        <f ca="1">IFERROR(__xludf.DUMMYFUNCTION("""COMPUTED_VALUE"""),45604)</f>
        <v>45604</v>
      </c>
      <c r="J5120" s="143" t="s">
        <v>17644</v>
      </c>
      <c r="K5120" s="80" t="s">
        <v>17645</v>
      </c>
      <c r="L5120" s="30">
        <v>348555806</v>
      </c>
      <c r="M5120" s="80" t="s">
        <v>5558</v>
      </c>
      <c r="N5120" s="80" t="s">
        <v>5277</v>
      </c>
      <c r="O5120" s="80" t="s">
        <v>4503</v>
      </c>
      <c r="P5120" s="80" t="s">
        <v>17646</v>
      </c>
      <c r="Q5120" s="20">
        <v>15936</v>
      </c>
      <c r="R5120" s="80" t="s">
        <v>36</v>
      </c>
      <c r="S5120" s="95">
        <f>2000+6968</f>
        <v>8968</v>
      </c>
      <c r="T5120" s="83" t="s">
        <v>17647</v>
      </c>
      <c r="U5120" s="95">
        <v>6968</v>
      </c>
      <c r="V5120" s="148">
        <v>45621</v>
      </c>
      <c r="W5120" s="85" t="s">
        <v>17648</v>
      </c>
      <c r="X5120" s="80"/>
      <c r="Y5120" s="22">
        <v>0</v>
      </c>
      <c r="Z5120" s="80" t="s">
        <v>50</v>
      </c>
      <c r="AA5120" s="86" t="s">
        <v>14723</v>
      </c>
      <c r="AB5120" s="80"/>
      <c r="AC5120" s="80" t="s">
        <v>53</v>
      </c>
      <c r="AD5120" s="80" t="s">
        <v>138</v>
      </c>
      <c r="AE5120" s="80"/>
      <c r="AF5120" s="17">
        <v>45604</v>
      </c>
      <c r="AG5120" s="80"/>
      <c r="AH5120" s="80"/>
      <c r="AI5120" s="147"/>
      <c r="AJ5120" s="80"/>
      <c r="AK5120" s="80"/>
      <c r="AL5120" s="35"/>
      <c r="AM5120" s="35"/>
      <c r="AN5120" s="35"/>
      <c r="AO5120" s="35"/>
      <c r="AP5120" s="35"/>
    </row>
    <row r="5121" spans="1:42" x14ac:dyDescent="0.2">
      <c r="A5121" s="126">
        <v>45589.584099467596</v>
      </c>
      <c r="B5121" s="137" t="s">
        <v>37</v>
      </c>
      <c r="C5121" s="41" t="s">
        <v>118</v>
      </c>
      <c r="D5121" s="80" t="s">
        <v>36</v>
      </c>
      <c r="E5121" s="80" t="s">
        <v>139</v>
      </c>
      <c r="F5121" s="80" t="s">
        <v>36</v>
      </c>
      <c r="G5121" s="80" t="s">
        <v>41</v>
      </c>
      <c r="H5121" s="80" t="s">
        <v>15166</v>
      </c>
      <c r="I5121" s="17">
        <f ca="1">IFERROR(__xludf.DUMMYFUNCTION("""COMPUTED_VALUE"""),45589)</f>
        <v>45589</v>
      </c>
      <c r="J5121" s="143" t="s">
        <v>16873</v>
      </c>
      <c r="K5121" s="80" t="s">
        <v>17649</v>
      </c>
      <c r="L5121" s="30">
        <v>967084274</v>
      </c>
      <c r="M5121" s="80" t="s">
        <v>5558</v>
      </c>
      <c r="N5121" s="80" t="s">
        <v>5277</v>
      </c>
      <c r="O5121" s="80" t="s">
        <v>4503</v>
      </c>
      <c r="P5121" s="80" t="s">
        <v>16875</v>
      </c>
      <c r="Q5121" s="20">
        <v>15936</v>
      </c>
      <c r="R5121" s="80" t="s">
        <v>36</v>
      </c>
      <c r="S5121" s="95">
        <v>5000</v>
      </c>
      <c r="T5121" s="148">
        <v>45589</v>
      </c>
      <c r="U5121" s="95">
        <v>10936</v>
      </c>
      <c r="V5121" s="148">
        <v>45603</v>
      </c>
      <c r="W5121" s="85" t="s">
        <v>16876</v>
      </c>
      <c r="X5121" s="80"/>
      <c r="Y5121" s="22">
        <v>0</v>
      </c>
      <c r="Z5121" s="80" t="s">
        <v>50</v>
      </c>
      <c r="AA5121" s="82" t="s">
        <v>14723</v>
      </c>
      <c r="AB5121" s="80"/>
      <c r="AC5121" s="80" t="s">
        <v>53</v>
      </c>
      <c r="AD5121" s="80" t="s">
        <v>138</v>
      </c>
      <c r="AE5121" s="80"/>
      <c r="AF5121" s="43">
        <v>45589</v>
      </c>
      <c r="AG5121" s="80" t="s">
        <v>14199</v>
      </c>
      <c r="AH5121" s="80"/>
      <c r="AI5121" s="147"/>
      <c r="AJ5121" s="80"/>
      <c r="AK5121" s="80"/>
      <c r="AL5121" s="35"/>
      <c r="AM5121" s="35"/>
      <c r="AN5121" s="35"/>
      <c r="AO5121" s="35"/>
      <c r="AP5121" s="35"/>
    </row>
    <row r="5122" spans="1:42" x14ac:dyDescent="0.2">
      <c r="A5122" s="126">
        <v>45589.619710115745</v>
      </c>
      <c r="B5122" s="137" t="s">
        <v>37</v>
      </c>
      <c r="C5122" s="41" t="s">
        <v>118</v>
      </c>
      <c r="D5122" s="80" t="s">
        <v>36</v>
      </c>
      <c r="E5122" s="80" t="s">
        <v>77</v>
      </c>
      <c r="F5122" s="80" t="s">
        <v>36</v>
      </c>
      <c r="G5122" s="80" t="s">
        <v>41</v>
      </c>
      <c r="H5122" s="80" t="s">
        <v>17650</v>
      </c>
      <c r="I5122" s="17" t="str">
        <f ca="1">IFERROR(__xludf.DUMMYFUNCTION("""COMPUTED_VALUE""")," ")</f>
        <v xml:space="preserve"> </v>
      </c>
      <c r="J5122" s="143" t="s">
        <v>17651</v>
      </c>
      <c r="K5122" s="80" t="s">
        <v>17652</v>
      </c>
      <c r="L5122" s="30">
        <v>335631358</v>
      </c>
      <c r="M5122" s="80" t="s">
        <v>59</v>
      </c>
      <c r="N5122" s="80" t="s">
        <v>9660</v>
      </c>
      <c r="O5122" s="80" t="s">
        <v>17653</v>
      </c>
      <c r="P5122" s="80" t="s">
        <v>7743</v>
      </c>
      <c r="Q5122" s="20">
        <v>1968</v>
      </c>
      <c r="R5122" s="80" t="s">
        <v>36</v>
      </c>
      <c r="S5122" s="95">
        <v>2000</v>
      </c>
      <c r="T5122" s="148">
        <v>45589</v>
      </c>
      <c r="U5122" s="77"/>
      <c r="V5122" s="78"/>
      <c r="W5122" s="85" t="s">
        <v>17654</v>
      </c>
      <c r="X5122" s="80"/>
      <c r="Y5122" s="22">
        <v>-32</v>
      </c>
      <c r="Z5122" s="80" t="s">
        <v>50</v>
      </c>
      <c r="AA5122" s="86" t="s">
        <v>14723</v>
      </c>
      <c r="AB5122" s="80"/>
      <c r="AC5122" s="80" t="s">
        <v>53</v>
      </c>
      <c r="AD5122" s="80" t="s">
        <v>138</v>
      </c>
      <c r="AE5122" s="80" t="s">
        <v>16305</v>
      </c>
      <c r="AF5122" s="43">
        <v>45589</v>
      </c>
      <c r="AG5122" s="80" t="s">
        <v>7078</v>
      </c>
      <c r="AH5122" s="80"/>
      <c r="AI5122" s="147"/>
      <c r="AJ5122" s="80"/>
      <c r="AK5122" s="80"/>
      <c r="AL5122" s="35"/>
      <c r="AM5122" s="35"/>
      <c r="AN5122" s="35"/>
      <c r="AO5122" s="35"/>
      <c r="AP5122" s="35"/>
    </row>
    <row r="5123" spans="1:42" x14ac:dyDescent="0.2">
      <c r="A5123" s="126">
        <v>45589.724950706019</v>
      </c>
      <c r="B5123" s="137" t="s">
        <v>37</v>
      </c>
      <c r="C5123" s="41" t="s">
        <v>118</v>
      </c>
      <c r="D5123" s="80" t="s">
        <v>36</v>
      </c>
      <c r="E5123" s="80" t="s">
        <v>139</v>
      </c>
      <c r="F5123" s="80" t="s">
        <v>36</v>
      </c>
      <c r="G5123" s="80" t="s">
        <v>41</v>
      </c>
      <c r="H5123" s="80" t="s">
        <v>13143</v>
      </c>
      <c r="I5123" s="17">
        <f ca="1">IFERROR(__xludf.DUMMYFUNCTION("""COMPUTED_VALUE"""),45604)</f>
        <v>45604</v>
      </c>
      <c r="J5123" s="143" t="s">
        <v>17655</v>
      </c>
      <c r="K5123" s="80" t="s">
        <v>17656</v>
      </c>
      <c r="L5123" s="30">
        <v>989905352</v>
      </c>
      <c r="M5123" s="80" t="s">
        <v>5429</v>
      </c>
      <c r="N5123" s="80" t="s">
        <v>1384</v>
      </c>
      <c r="O5123" s="80" t="s">
        <v>61</v>
      </c>
      <c r="P5123" s="80" t="s">
        <v>6368</v>
      </c>
      <c r="Q5123" s="20">
        <v>15936</v>
      </c>
      <c r="R5123" s="80" t="s">
        <v>36</v>
      </c>
      <c r="S5123" s="95">
        <v>2000</v>
      </c>
      <c r="T5123" s="148">
        <v>45589</v>
      </c>
      <c r="U5123" s="95">
        <v>13936</v>
      </c>
      <c r="V5123" s="148">
        <v>45619</v>
      </c>
      <c r="W5123" s="85" t="s">
        <v>17657</v>
      </c>
      <c r="X5123" s="80"/>
      <c r="Y5123" s="22">
        <v>0</v>
      </c>
      <c r="Z5123" s="80" t="s">
        <v>50</v>
      </c>
      <c r="AA5123" s="82" t="s">
        <v>14723</v>
      </c>
      <c r="AB5123" s="80"/>
      <c r="AC5123" s="80" t="s">
        <v>53</v>
      </c>
      <c r="AD5123" s="80" t="s">
        <v>138</v>
      </c>
      <c r="AE5123" s="80" t="s">
        <v>72</v>
      </c>
      <c r="AF5123" s="17">
        <v>45604</v>
      </c>
      <c r="AG5123" s="80"/>
      <c r="AH5123" s="80"/>
      <c r="AI5123" s="147"/>
      <c r="AJ5123" s="80"/>
      <c r="AK5123" s="80"/>
      <c r="AL5123" s="35"/>
      <c r="AM5123" s="35"/>
      <c r="AN5123" s="35"/>
      <c r="AO5123" s="35"/>
      <c r="AP5123" s="35"/>
    </row>
    <row r="5124" spans="1:42" x14ac:dyDescent="0.2">
      <c r="A5124" s="126">
        <v>45590.68794596065</v>
      </c>
      <c r="B5124" s="137" t="s">
        <v>37</v>
      </c>
      <c r="C5124" s="41" t="s">
        <v>118</v>
      </c>
      <c r="D5124" s="80" t="s">
        <v>36</v>
      </c>
      <c r="E5124" s="80" t="s">
        <v>139</v>
      </c>
      <c r="F5124" s="80" t="s">
        <v>36</v>
      </c>
      <c r="G5124" s="80" t="s">
        <v>41</v>
      </c>
      <c r="H5124" s="80" t="s">
        <v>15796</v>
      </c>
      <c r="I5124" s="17">
        <f ca="1">IFERROR(__xludf.DUMMYFUNCTION("""COMPUTED_VALUE"""),45594)</f>
        <v>45594</v>
      </c>
      <c r="J5124" s="143" t="s">
        <v>17658</v>
      </c>
      <c r="K5124" s="80" t="s">
        <v>17659</v>
      </c>
      <c r="L5124" s="30">
        <v>965162305</v>
      </c>
      <c r="M5124" s="80" t="s">
        <v>5558</v>
      </c>
      <c r="N5124" s="80" t="s">
        <v>5277</v>
      </c>
      <c r="O5124" s="80" t="s">
        <v>4503</v>
      </c>
      <c r="P5124" s="80" t="s">
        <v>17660</v>
      </c>
      <c r="Q5124" s="20">
        <v>15936</v>
      </c>
      <c r="R5124" s="80" t="s">
        <v>70</v>
      </c>
      <c r="S5124" s="95">
        <f>200+3000</f>
        <v>3200</v>
      </c>
      <c r="T5124" s="83" t="s">
        <v>17661</v>
      </c>
      <c r="U5124" s="95">
        <v>12636</v>
      </c>
      <c r="V5124" s="148">
        <v>45626</v>
      </c>
      <c r="W5124" s="85" t="s">
        <v>17662</v>
      </c>
      <c r="X5124" s="80"/>
      <c r="Y5124" s="22">
        <v>100</v>
      </c>
      <c r="Z5124" s="80" t="s">
        <v>50</v>
      </c>
      <c r="AA5124" s="86" t="s">
        <v>14723</v>
      </c>
      <c r="AB5124" s="80"/>
      <c r="AC5124" s="80" t="s">
        <v>53</v>
      </c>
      <c r="AD5124" s="80" t="s">
        <v>138</v>
      </c>
      <c r="AE5124" s="80"/>
      <c r="AF5124" s="43">
        <v>45594</v>
      </c>
      <c r="AG5124" s="80"/>
      <c r="AH5124" s="80"/>
      <c r="AI5124" s="147"/>
      <c r="AJ5124" s="80"/>
      <c r="AK5124" s="80"/>
      <c r="AL5124" s="35"/>
      <c r="AM5124" s="35"/>
      <c r="AN5124" s="35"/>
      <c r="AO5124" s="35"/>
      <c r="AP5124" s="35"/>
    </row>
    <row r="5125" spans="1:42" x14ac:dyDescent="0.2">
      <c r="A5125" s="126">
        <v>45590.855273275462</v>
      </c>
      <c r="B5125" s="137" t="s">
        <v>37</v>
      </c>
      <c r="C5125" s="41" t="s">
        <v>118</v>
      </c>
      <c r="D5125" s="80" t="s">
        <v>36</v>
      </c>
      <c r="E5125" s="80" t="s">
        <v>119</v>
      </c>
      <c r="F5125" s="80" t="s">
        <v>36</v>
      </c>
      <c r="G5125" s="80" t="s">
        <v>108</v>
      </c>
      <c r="H5125" s="80" t="s">
        <v>13913</v>
      </c>
      <c r="I5125" s="17">
        <f ca="1">IFERROR(__xludf.DUMMYFUNCTION("""COMPUTED_VALUE"""),45602)</f>
        <v>45602</v>
      </c>
      <c r="J5125" s="143" t="s">
        <v>17663</v>
      </c>
      <c r="K5125" s="80" t="s">
        <v>17664</v>
      </c>
      <c r="L5125" s="30">
        <v>326903875</v>
      </c>
      <c r="M5125" s="80" t="s">
        <v>12529</v>
      </c>
      <c r="N5125" s="80" t="s">
        <v>466</v>
      </c>
      <c r="O5125" s="80" t="s">
        <v>17665</v>
      </c>
      <c r="P5125" s="80" t="s">
        <v>17666</v>
      </c>
      <c r="Q5125" s="20">
        <v>13968</v>
      </c>
      <c r="R5125" s="80" t="s">
        <v>36</v>
      </c>
      <c r="S5125" s="95">
        <f>200+3800</f>
        <v>4000</v>
      </c>
      <c r="T5125" s="83" t="s">
        <v>17667</v>
      </c>
      <c r="U5125" s="95">
        <v>9968</v>
      </c>
      <c r="V5125" s="148">
        <v>45621</v>
      </c>
      <c r="W5125" s="85" t="s">
        <v>17668</v>
      </c>
      <c r="X5125" s="80"/>
      <c r="Y5125" s="22">
        <v>0</v>
      </c>
      <c r="Z5125" s="80" t="s">
        <v>50</v>
      </c>
      <c r="AA5125" s="82" t="s">
        <v>14723</v>
      </c>
      <c r="AB5125" s="80"/>
      <c r="AC5125" s="80" t="s">
        <v>2218</v>
      </c>
      <c r="AD5125" s="80" t="s">
        <v>138</v>
      </c>
      <c r="AE5125" s="83">
        <v>400</v>
      </c>
      <c r="AF5125" s="43">
        <v>45590</v>
      </c>
      <c r="AG5125" s="80" t="s">
        <v>12945</v>
      </c>
      <c r="AH5125" s="80"/>
      <c r="AI5125" s="147"/>
      <c r="AJ5125" s="80"/>
      <c r="AK5125" s="80"/>
      <c r="AL5125" s="35"/>
      <c r="AM5125" s="35"/>
      <c r="AN5125" s="35"/>
      <c r="AO5125" s="35"/>
      <c r="AP5125" s="35"/>
    </row>
    <row r="5126" spans="1:42" x14ac:dyDescent="0.2">
      <c r="A5126" s="126">
        <v>45591.850290625</v>
      </c>
      <c r="B5126" s="137" t="s">
        <v>37</v>
      </c>
      <c r="C5126" s="41" t="s">
        <v>118</v>
      </c>
      <c r="D5126" s="80" t="s">
        <v>36</v>
      </c>
      <c r="E5126" s="80" t="s">
        <v>139</v>
      </c>
      <c r="F5126" s="80" t="s">
        <v>36</v>
      </c>
      <c r="G5126" s="80" t="s">
        <v>41</v>
      </c>
      <c r="H5126" s="80" t="s">
        <v>15796</v>
      </c>
      <c r="I5126" s="17">
        <f ca="1">IFERROR(__xludf.DUMMYFUNCTION("""COMPUTED_VALUE"""),45594)</f>
        <v>45594</v>
      </c>
      <c r="J5126" s="143" t="s">
        <v>17669</v>
      </c>
      <c r="K5126" s="80" t="s">
        <v>17670</v>
      </c>
      <c r="L5126" s="30">
        <v>815289326</v>
      </c>
      <c r="M5126" s="80" t="s">
        <v>5558</v>
      </c>
      <c r="N5126" s="80" t="s">
        <v>850</v>
      </c>
      <c r="O5126" s="80" t="s">
        <v>4503</v>
      </c>
      <c r="P5126" s="80" t="s">
        <v>3487</v>
      </c>
      <c r="Q5126" s="20">
        <v>15936</v>
      </c>
      <c r="R5126" s="80" t="s">
        <v>36</v>
      </c>
      <c r="S5126" s="95">
        <v>5000</v>
      </c>
      <c r="T5126" s="148">
        <v>45591</v>
      </c>
      <c r="U5126" s="95">
        <v>10936</v>
      </c>
      <c r="V5126" s="148">
        <v>45610</v>
      </c>
      <c r="W5126" s="85" t="s">
        <v>17671</v>
      </c>
      <c r="X5126" s="80"/>
      <c r="Y5126" s="22">
        <v>0</v>
      </c>
      <c r="Z5126" s="80" t="s">
        <v>50</v>
      </c>
      <c r="AA5126" s="86" t="s">
        <v>14723</v>
      </c>
      <c r="AB5126" s="80"/>
      <c r="AC5126" s="80" t="s">
        <v>53</v>
      </c>
      <c r="AD5126" s="80" t="s">
        <v>138</v>
      </c>
      <c r="AE5126" s="80"/>
      <c r="AF5126" s="43">
        <v>45594</v>
      </c>
      <c r="AG5126" s="80"/>
      <c r="AH5126" s="80"/>
      <c r="AI5126" s="147"/>
      <c r="AJ5126" s="80"/>
      <c r="AK5126" s="80"/>
      <c r="AL5126" s="35"/>
      <c r="AM5126" s="35"/>
      <c r="AN5126" s="35"/>
      <c r="AO5126" s="35"/>
      <c r="AP5126" s="35"/>
    </row>
    <row r="5127" spans="1:42" x14ac:dyDescent="0.2">
      <c r="A5127" s="126">
        <v>45591.943532361111</v>
      </c>
      <c r="B5127" s="137" t="s">
        <v>37</v>
      </c>
      <c r="C5127" s="41" t="s">
        <v>118</v>
      </c>
      <c r="D5127" s="80" t="s">
        <v>36</v>
      </c>
      <c r="E5127" s="80" t="s">
        <v>39</v>
      </c>
      <c r="F5127" s="80" t="s">
        <v>36</v>
      </c>
      <c r="G5127" s="80" t="s">
        <v>41</v>
      </c>
      <c r="H5127" s="80" t="s">
        <v>15142</v>
      </c>
      <c r="I5127" s="17">
        <f ca="1">IFERROR(__xludf.DUMMYFUNCTION("""COMPUTED_VALUE"""),45594)</f>
        <v>45594</v>
      </c>
      <c r="J5127" s="143" t="s">
        <v>17074</v>
      </c>
      <c r="K5127" s="80" t="s">
        <v>17672</v>
      </c>
      <c r="L5127" s="30">
        <v>357329953</v>
      </c>
      <c r="M5127" s="80" t="s">
        <v>5558</v>
      </c>
      <c r="N5127" s="80" t="s">
        <v>5559</v>
      </c>
      <c r="O5127" s="80" t="s">
        <v>4503</v>
      </c>
      <c r="P5127" s="80" t="s">
        <v>17076</v>
      </c>
      <c r="Q5127" s="20">
        <v>5736</v>
      </c>
      <c r="R5127" s="80" t="s">
        <v>36</v>
      </c>
      <c r="S5127" s="95">
        <v>2000</v>
      </c>
      <c r="T5127" s="148">
        <v>45591</v>
      </c>
      <c r="U5127" s="95">
        <v>3736</v>
      </c>
      <c r="V5127" s="148">
        <v>45619</v>
      </c>
      <c r="W5127" s="85" t="s">
        <v>17077</v>
      </c>
      <c r="X5127" s="80"/>
      <c r="Y5127" s="22">
        <v>0</v>
      </c>
      <c r="Z5127" s="80" t="s">
        <v>50</v>
      </c>
      <c r="AA5127" s="82" t="s">
        <v>14723</v>
      </c>
      <c r="AB5127" s="80"/>
      <c r="AC5127" s="80" t="s">
        <v>53</v>
      </c>
      <c r="AD5127" s="80" t="s">
        <v>54</v>
      </c>
      <c r="AE5127" s="80"/>
      <c r="AF5127" s="43">
        <v>45593</v>
      </c>
      <c r="AG5127" s="80"/>
      <c r="AH5127" s="80"/>
      <c r="AI5127" s="147"/>
      <c r="AJ5127" s="80"/>
      <c r="AK5127" s="80"/>
      <c r="AL5127" s="35"/>
      <c r="AM5127" s="35"/>
      <c r="AN5127" s="35"/>
      <c r="AO5127" s="35"/>
      <c r="AP5127" s="35"/>
    </row>
    <row r="5128" spans="1:42" x14ac:dyDescent="0.2">
      <c r="A5128" s="126">
        <v>45591.948227719906</v>
      </c>
      <c r="B5128" s="137" t="s">
        <v>37</v>
      </c>
      <c r="C5128" s="41" t="s">
        <v>118</v>
      </c>
      <c r="D5128" s="80" t="s">
        <v>36</v>
      </c>
      <c r="E5128" s="80" t="s">
        <v>139</v>
      </c>
      <c r="F5128" s="80" t="s">
        <v>36</v>
      </c>
      <c r="G5128" s="80" t="s">
        <v>6516</v>
      </c>
      <c r="H5128" s="80" t="s">
        <v>13535</v>
      </c>
      <c r="I5128" s="17">
        <f ca="1">IFERROR(__xludf.DUMMYFUNCTION("""COMPUTED_VALUE"""),45589)</f>
        <v>45589</v>
      </c>
      <c r="J5128" s="143" t="s">
        <v>17026</v>
      </c>
      <c r="K5128" s="80" t="s">
        <v>17027</v>
      </c>
      <c r="L5128" s="30">
        <v>355847110</v>
      </c>
      <c r="M5128" s="80" t="s">
        <v>9422</v>
      </c>
      <c r="N5128" s="80" t="s">
        <v>1881</v>
      </c>
      <c r="O5128" s="80" t="s">
        <v>11607</v>
      </c>
      <c r="P5128" s="80" t="s">
        <v>11608</v>
      </c>
      <c r="Q5128" s="20">
        <v>15936</v>
      </c>
      <c r="R5128" s="80" t="s">
        <v>36</v>
      </c>
      <c r="S5128" s="95">
        <v>4000</v>
      </c>
      <c r="T5128" s="148">
        <v>45591</v>
      </c>
      <c r="U5128" s="95">
        <v>11936</v>
      </c>
      <c r="V5128" s="148">
        <v>45610</v>
      </c>
      <c r="W5128" s="85" t="s">
        <v>17028</v>
      </c>
      <c r="X5128" s="80"/>
      <c r="Y5128" s="22">
        <v>0</v>
      </c>
      <c r="Z5128" s="80" t="s">
        <v>50</v>
      </c>
      <c r="AA5128" s="86" t="s">
        <v>14723</v>
      </c>
      <c r="AB5128" s="80"/>
      <c r="AC5128" s="80" t="s">
        <v>53</v>
      </c>
      <c r="AD5128" s="80" t="s">
        <v>138</v>
      </c>
      <c r="AE5128" s="80"/>
      <c r="AF5128" s="17">
        <v>45589</v>
      </c>
      <c r="AG5128" s="26" t="s">
        <v>7078</v>
      </c>
      <c r="AH5128" s="80" t="s">
        <v>15967</v>
      </c>
      <c r="AI5128" s="147"/>
      <c r="AJ5128" s="80"/>
      <c r="AK5128" s="80"/>
      <c r="AL5128" s="35"/>
      <c r="AM5128" s="35"/>
      <c r="AN5128" s="35"/>
      <c r="AO5128" s="35"/>
      <c r="AP5128" s="35"/>
    </row>
    <row r="5129" spans="1:42" x14ac:dyDescent="0.2">
      <c r="A5129" s="126">
        <v>45593.594005636573</v>
      </c>
      <c r="B5129" s="137" t="s">
        <v>37</v>
      </c>
      <c r="C5129" s="41" t="s">
        <v>118</v>
      </c>
      <c r="D5129" s="80" t="s">
        <v>36</v>
      </c>
      <c r="E5129" s="80" t="s">
        <v>39</v>
      </c>
      <c r="F5129" s="80" t="s">
        <v>36</v>
      </c>
      <c r="G5129" s="80" t="s">
        <v>41</v>
      </c>
      <c r="H5129" s="80" t="s">
        <v>15796</v>
      </c>
      <c r="I5129" s="17">
        <f ca="1">IFERROR(__xludf.DUMMYFUNCTION("""COMPUTED_VALUE"""),45594)</f>
        <v>45594</v>
      </c>
      <c r="J5129" s="143" t="s">
        <v>17673</v>
      </c>
      <c r="K5129" s="80" t="s">
        <v>17674</v>
      </c>
      <c r="L5129" s="30">
        <v>963088055</v>
      </c>
      <c r="M5129" s="80" t="s">
        <v>5558</v>
      </c>
      <c r="N5129" s="80" t="s">
        <v>5277</v>
      </c>
      <c r="O5129" s="80" t="s">
        <v>4503</v>
      </c>
      <c r="P5129" s="80" t="s">
        <v>3487</v>
      </c>
      <c r="Q5129" s="20">
        <v>5736</v>
      </c>
      <c r="R5129" s="80" t="s">
        <v>36</v>
      </c>
      <c r="S5129" s="95">
        <v>3000</v>
      </c>
      <c r="T5129" s="148">
        <v>45593</v>
      </c>
      <c r="U5129" s="95">
        <v>2736</v>
      </c>
      <c r="V5129" s="148">
        <v>45615</v>
      </c>
      <c r="W5129" s="85" t="s">
        <v>17675</v>
      </c>
      <c r="X5129" s="80"/>
      <c r="Y5129" s="22">
        <v>0</v>
      </c>
      <c r="Z5129" s="80" t="s">
        <v>50</v>
      </c>
      <c r="AA5129" s="82" t="s">
        <v>14723</v>
      </c>
      <c r="AB5129" s="80"/>
      <c r="AC5129" s="80" t="s">
        <v>53</v>
      </c>
      <c r="AD5129" s="80" t="s">
        <v>138</v>
      </c>
      <c r="AE5129" s="80"/>
      <c r="AF5129" s="43">
        <v>45594</v>
      </c>
      <c r="AG5129" s="80"/>
      <c r="AH5129" s="80"/>
      <c r="AI5129" s="147"/>
      <c r="AJ5129" s="80"/>
      <c r="AK5129" s="80"/>
      <c r="AL5129" s="35"/>
      <c r="AM5129" s="35"/>
      <c r="AN5129" s="35"/>
      <c r="AO5129" s="35"/>
      <c r="AP5129" s="35"/>
    </row>
    <row r="5130" spans="1:42" x14ac:dyDescent="0.2">
      <c r="A5130" s="126">
        <v>45593.596567604167</v>
      </c>
      <c r="B5130" s="137" t="s">
        <v>37</v>
      </c>
      <c r="C5130" s="41" t="s">
        <v>118</v>
      </c>
      <c r="D5130" s="80" t="s">
        <v>36</v>
      </c>
      <c r="E5130" s="80" t="s">
        <v>77</v>
      </c>
      <c r="F5130" s="80" t="s">
        <v>36</v>
      </c>
      <c r="G5130" s="80" t="s">
        <v>41</v>
      </c>
      <c r="H5130" s="80" t="s">
        <v>14051</v>
      </c>
      <c r="I5130" s="17">
        <f ca="1">IFERROR(__xludf.DUMMYFUNCTION("""COMPUTED_VALUE"""),45615)</f>
        <v>45615</v>
      </c>
      <c r="J5130" s="143" t="s">
        <v>17676</v>
      </c>
      <c r="K5130" s="80" t="s">
        <v>17677</v>
      </c>
      <c r="L5130" s="30">
        <v>886537293</v>
      </c>
      <c r="M5130" s="80" t="s">
        <v>910</v>
      </c>
      <c r="N5130" s="80" t="s">
        <v>355</v>
      </c>
      <c r="O5130" s="80" t="s">
        <v>91</v>
      </c>
      <c r="P5130" s="80" t="s">
        <v>12578</v>
      </c>
      <c r="Q5130" s="20">
        <v>1968</v>
      </c>
      <c r="R5130" s="80" t="s">
        <v>36</v>
      </c>
      <c r="S5130" s="95">
        <f>200+1768</f>
        <v>1968</v>
      </c>
      <c r="T5130" s="83" t="s">
        <v>17678</v>
      </c>
      <c r="U5130" s="77"/>
      <c r="V5130" s="78"/>
      <c r="W5130" s="85" t="s">
        <v>17679</v>
      </c>
      <c r="X5130" s="80"/>
      <c r="Y5130" s="22">
        <v>0</v>
      </c>
      <c r="Z5130" s="80" t="s">
        <v>50</v>
      </c>
      <c r="AA5130" s="86" t="s">
        <v>14723</v>
      </c>
      <c r="AB5130" s="80"/>
      <c r="AC5130" s="80" t="s">
        <v>53</v>
      </c>
      <c r="AD5130" s="80" t="s">
        <v>138</v>
      </c>
      <c r="AE5130" s="80"/>
      <c r="AF5130" s="43">
        <v>45615</v>
      </c>
      <c r="AG5130" s="80"/>
      <c r="AH5130" s="80"/>
      <c r="AI5130" s="147"/>
      <c r="AJ5130" s="80"/>
      <c r="AK5130" s="80"/>
      <c r="AL5130" s="35"/>
      <c r="AM5130" s="35"/>
      <c r="AN5130" s="35"/>
      <c r="AO5130" s="35"/>
      <c r="AP5130" s="35"/>
    </row>
    <row r="5131" spans="1:42" x14ac:dyDescent="0.2">
      <c r="A5131" s="126">
        <v>45593.834391932869</v>
      </c>
      <c r="B5131" s="137" t="s">
        <v>37</v>
      </c>
      <c r="C5131" s="41" t="s">
        <v>118</v>
      </c>
      <c r="D5131" s="80" t="s">
        <v>36</v>
      </c>
      <c r="E5131" s="80" t="s">
        <v>77</v>
      </c>
      <c r="F5131" s="80" t="s">
        <v>36</v>
      </c>
      <c r="G5131" s="80" t="s">
        <v>41</v>
      </c>
      <c r="H5131" s="80" t="s">
        <v>15142</v>
      </c>
      <c r="I5131" s="17">
        <f ca="1">IFERROR(__xludf.DUMMYFUNCTION("""COMPUTED_VALUE"""),45594)</f>
        <v>45594</v>
      </c>
      <c r="J5131" s="143" t="s">
        <v>17680</v>
      </c>
      <c r="K5131" s="80" t="s">
        <v>17681</v>
      </c>
      <c r="L5131" s="30">
        <v>965491712</v>
      </c>
      <c r="M5131" s="80" t="s">
        <v>16756</v>
      </c>
      <c r="N5131" s="80" t="s">
        <v>3525</v>
      </c>
      <c r="O5131" s="80" t="s">
        <v>17682</v>
      </c>
      <c r="P5131" s="80" t="s">
        <v>17683</v>
      </c>
      <c r="Q5131" s="20">
        <v>1968</v>
      </c>
      <c r="R5131" s="80" t="s">
        <v>36</v>
      </c>
      <c r="S5131" s="95">
        <v>2000</v>
      </c>
      <c r="T5131" s="148">
        <v>45593</v>
      </c>
      <c r="U5131" s="77"/>
      <c r="V5131" s="78"/>
      <c r="W5131" s="85" t="s">
        <v>17684</v>
      </c>
      <c r="X5131" s="80"/>
      <c r="Y5131" s="22">
        <v>-32</v>
      </c>
      <c r="Z5131" s="80" t="s">
        <v>50</v>
      </c>
      <c r="AA5131" s="82" t="s">
        <v>14723</v>
      </c>
      <c r="AB5131" s="80"/>
      <c r="AC5131" s="80" t="s">
        <v>53</v>
      </c>
      <c r="AD5131" s="80" t="s">
        <v>54</v>
      </c>
      <c r="AE5131" s="80"/>
      <c r="AF5131" s="43">
        <v>45594</v>
      </c>
      <c r="AG5131" s="80" t="s">
        <v>7078</v>
      </c>
      <c r="AH5131" s="80"/>
      <c r="AI5131" s="147"/>
      <c r="AJ5131" s="80"/>
      <c r="AK5131" s="80"/>
      <c r="AL5131" s="35"/>
      <c r="AM5131" s="35"/>
      <c r="AN5131" s="35"/>
      <c r="AO5131" s="35"/>
      <c r="AP5131" s="35"/>
    </row>
    <row r="5132" spans="1:42" x14ac:dyDescent="0.2">
      <c r="A5132" s="126">
        <v>45595.321381365742</v>
      </c>
      <c r="B5132" s="137" t="s">
        <v>37</v>
      </c>
      <c r="C5132" s="41" t="s">
        <v>118</v>
      </c>
      <c r="D5132" s="80" t="s">
        <v>36</v>
      </c>
      <c r="E5132" s="80" t="s">
        <v>77</v>
      </c>
      <c r="F5132" s="26" t="s">
        <v>36</v>
      </c>
      <c r="G5132" s="26" t="s">
        <v>41</v>
      </c>
      <c r="H5132" s="80" t="s">
        <v>13143</v>
      </c>
      <c r="I5132" s="17">
        <f ca="1">IFERROR(__xludf.DUMMYFUNCTION("""COMPUTED_VALUE"""),45604)</f>
        <v>45604</v>
      </c>
      <c r="J5132" s="143" t="s">
        <v>17685</v>
      </c>
      <c r="K5132" s="80" t="s">
        <v>17686</v>
      </c>
      <c r="L5132" s="30">
        <v>866448484</v>
      </c>
      <c r="M5132" s="80" t="s">
        <v>910</v>
      </c>
      <c r="N5132" s="80" t="s">
        <v>15912</v>
      </c>
      <c r="O5132" s="80" t="s">
        <v>91</v>
      </c>
      <c r="P5132" s="80" t="s">
        <v>12578</v>
      </c>
      <c r="Q5132" s="20">
        <v>1968</v>
      </c>
      <c r="R5132" s="80" t="s">
        <v>36</v>
      </c>
      <c r="S5132" s="95">
        <v>2000</v>
      </c>
      <c r="T5132" s="148" t="s">
        <v>17687</v>
      </c>
      <c r="U5132" s="77"/>
      <c r="V5132" s="78"/>
      <c r="W5132" s="79" t="s">
        <v>17688</v>
      </c>
      <c r="X5132" s="80"/>
      <c r="Y5132" s="22">
        <v>-32</v>
      </c>
      <c r="Z5132" s="80" t="s">
        <v>50</v>
      </c>
      <c r="AA5132" s="86" t="s">
        <v>14723</v>
      </c>
      <c r="AB5132" s="80"/>
      <c r="AC5132" s="80" t="s">
        <v>53</v>
      </c>
      <c r="AD5132" s="80" t="s">
        <v>138</v>
      </c>
      <c r="AE5132" s="80"/>
      <c r="AF5132" s="17">
        <v>45604</v>
      </c>
      <c r="AG5132" s="80" t="s">
        <v>7078</v>
      </c>
      <c r="AH5132" s="80"/>
      <c r="AI5132" s="147"/>
      <c r="AJ5132" s="80"/>
      <c r="AK5132" s="80"/>
      <c r="AL5132" s="35"/>
      <c r="AM5132" s="35"/>
      <c r="AN5132" s="35"/>
      <c r="AO5132" s="35"/>
      <c r="AP5132" s="35"/>
    </row>
    <row r="5133" spans="1:42" x14ac:dyDescent="0.2">
      <c r="A5133" s="126">
        <v>45595.326816851855</v>
      </c>
      <c r="B5133" s="137" t="s">
        <v>37</v>
      </c>
      <c r="C5133" s="41" t="s">
        <v>118</v>
      </c>
      <c r="D5133" s="80" t="s">
        <v>36</v>
      </c>
      <c r="E5133" s="80" t="s">
        <v>139</v>
      </c>
      <c r="F5133" s="80" t="s">
        <v>36</v>
      </c>
      <c r="G5133" s="80" t="s">
        <v>41</v>
      </c>
      <c r="H5133" s="80" t="s">
        <v>6523</v>
      </c>
      <c r="I5133" s="17">
        <f ca="1">IFERROR(__xludf.DUMMYFUNCTION("""COMPUTED_VALUE"""),45622)</f>
        <v>45622</v>
      </c>
      <c r="J5133" s="143" t="s">
        <v>17689</v>
      </c>
      <c r="K5133" s="80" t="s">
        <v>17690</v>
      </c>
      <c r="L5133" s="30">
        <v>368340181</v>
      </c>
      <c r="M5133" s="80" t="s">
        <v>910</v>
      </c>
      <c r="N5133" s="80" t="s">
        <v>3525</v>
      </c>
      <c r="O5133" s="80" t="s">
        <v>91</v>
      </c>
      <c r="P5133" s="144" t="s">
        <v>17691</v>
      </c>
      <c r="Q5133" s="20">
        <v>15936</v>
      </c>
      <c r="R5133" s="80" t="s">
        <v>36</v>
      </c>
      <c r="S5133" s="95">
        <f>200+15736</f>
        <v>15936</v>
      </c>
      <c r="T5133" s="83" t="s">
        <v>17692</v>
      </c>
      <c r="U5133" s="77"/>
      <c r="V5133" s="78"/>
      <c r="W5133" s="85" t="s">
        <v>17693</v>
      </c>
      <c r="X5133" s="80"/>
      <c r="Y5133" s="22">
        <v>0</v>
      </c>
      <c r="Z5133" s="80" t="s">
        <v>50</v>
      </c>
      <c r="AA5133" s="82" t="s">
        <v>14723</v>
      </c>
      <c r="AB5133" s="80"/>
      <c r="AC5133" s="80" t="s">
        <v>53</v>
      </c>
      <c r="AD5133" s="80" t="s">
        <v>138</v>
      </c>
      <c r="AE5133" s="80"/>
      <c r="AF5133" s="43">
        <v>45615</v>
      </c>
      <c r="AG5133" s="80"/>
      <c r="AH5133" s="80"/>
      <c r="AI5133" s="147"/>
      <c r="AJ5133" s="80"/>
      <c r="AK5133" s="80"/>
      <c r="AL5133" s="35"/>
      <c r="AM5133" s="35"/>
      <c r="AN5133" s="35"/>
      <c r="AO5133" s="35"/>
      <c r="AP5133" s="35"/>
    </row>
    <row r="5134" spans="1:42" x14ac:dyDescent="0.2">
      <c r="A5134" s="126">
        <v>45595.79823803241</v>
      </c>
      <c r="B5134" s="137" t="s">
        <v>37</v>
      </c>
      <c r="C5134" s="41" t="s">
        <v>118</v>
      </c>
      <c r="D5134" s="80" t="s">
        <v>36</v>
      </c>
      <c r="E5134" s="80" t="s">
        <v>148</v>
      </c>
      <c r="F5134" s="80" t="s">
        <v>36</v>
      </c>
      <c r="G5134" s="80" t="s">
        <v>108</v>
      </c>
      <c r="H5134" s="80" t="s">
        <v>13943</v>
      </c>
      <c r="I5134" s="17">
        <f ca="1">IFERROR(__xludf.DUMMYFUNCTION("""COMPUTED_VALUE"""),45660)</f>
        <v>45660</v>
      </c>
      <c r="J5134" s="143" t="s">
        <v>17694</v>
      </c>
      <c r="K5134" s="80" t="s">
        <v>17695</v>
      </c>
      <c r="L5134" s="30">
        <v>372914852</v>
      </c>
      <c r="M5134" s="80" t="s">
        <v>5558</v>
      </c>
      <c r="N5134" s="80" t="s">
        <v>5277</v>
      </c>
      <c r="O5134" s="80" t="s">
        <v>4503</v>
      </c>
      <c r="P5134" s="80" t="s">
        <v>17696</v>
      </c>
      <c r="Q5134" s="20">
        <v>7349</v>
      </c>
      <c r="R5134" s="80" t="s">
        <v>36</v>
      </c>
      <c r="S5134" s="95">
        <v>4000</v>
      </c>
      <c r="T5134" s="148">
        <v>45595</v>
      </c>
      <c r="U5134" s="95">
        <f>3289+60</f>
        <v>3349</v>
      </c>
      <c r="V5134" s="148">
        <v>45626</v>
      </c>
      <c r="W5134" s="85" t="s">
        <v>17697</v>
      </c>
      <c r="X5134" s="80"/>
      <c r="Y5134" s="22">
        <v>0</v>
      </c>
      <c r="Z5134" s="80" t="s">
        <v>50</v>
      </c>
      <c r="AA5134" s="86" t="s">
        <v>14723</v>
      </c>
      <c r="AB5134" s="80"/>
      <c r="AC5134" s="80" t="s">
        <v>53</v>
      </c>
      <c r="AD5134" s="80" t="s">
        <v>54</v>
      </c>
      <c r="AE5134" s="80"/>
      <c r="AF5134" s="43">
        <v>45596</v>
      </c>
      <c r="AG5134" s="80"/>
      <c r="AH5134" s="80"/>
      <c r="AI5134" s="147"/>
      <c r="AJ5134" s="80"/>
      <c r="AK5134" s="80"/>
      <c r="AL5134" s="35"/>
      <c r="AM5134" s="35"/>
      <c r="AN5134" s="35"/>
      <c r="AO5134" s="35"/>
      <c r="AP5134" s="35"/>
    </row>
    <row r="5135" spans="1:42" x14ac:dyDescent="0.2">
      <c r="A5135" s="126">
        <v>45595.907961736113</v>
      </c>
      <c r="B5135" s="137" t="s">
        <v>37</v>
      </c>
      <c r="C5135" s="41" t="s">
        <v>118</v>
      </c>
      <c r="D5135" s="80" t="s">
        <v>36</v>
      </c>
      <c r="E5135" s="80" t="s">
        <v>39</v>
      </c>
      <c r="F5135" s="26" t="s">
        <v>36</v>
      </c>
      <c r="G5135" s="26" t="s">
        <v>41</v>
      </c>
      <c r="H5135" s="80" t="s">
        <v>15451</v>
      </c>
      <c r="I5135" s="17">
        <f ca="1">IFERROR(__xludf.DUMMYFUNCTION("""COMPUTED_VALUE"""),45603)</f>
        <v>45603</v>
      </c>
      <c r="J5135" s="143" t="s">
        <v>17698</v>
      </c>
      <c r="K5135" s="80" t="s">
        <v>17699</v>
      </c>
      <c r="L5135" s="30">
        <v>372068205</v>
      </c>
      <c r="M5135" s="80" t="s">
        <v>5518</v>
      </c>
      <c r="N5135" s="80" t="s">
        <v>186</v>
      </c>
      <c r="O5135" s="80" t="s">
        <v>17700</v>
      </c>
      <c r="P5135" s="80" t="s">
        <v>5462</v>
      </c>
      <c r="Q5135" s="20">
        <v>5736</v>
      </c>
      <c r="R5135" s="80" t="s">
        <v>36</v>
      </c>
      <c r="S5135" s="95">
        <v>2000</v>
      </c>
      <c r="T5135" s="148">
        <v>45595</v>
      </c>
      <c r="U5135" s="95">
        <v>3736</v>
      </c>
      <c r="V5135" s="148">
        <v>45620</v>
      </c>
      <c r="W5135" s="85" t="s">
        <v>17701</v>
      </c>
      <c r="X5135" s="80"/>
      <c r="Y5135" s="22">
        <v>0</v>
      </c>
      <c r="Z5135" s="80" t="s">
        <v>50</v>
      </c>
      <c r="AA5135" s="82" t="s">
        <v>14723</v>
      </c>
      <c r="AB5135" s="80"/>
      <c r="AC5135" s="80" t="s">
        <v>53</v>
      </c>
      <c r="AD5135" s="80" t="s">
        <v>138</v>
      </c>
      <c r="AE5135" s="80"/>
      <c r="AF5135" s="17">
        <v>45603</v>
      </c>
      <c r="AG5135" s="80"/>
      <c r="AH5135" s="80"/>
      <c r="AI5135" s="147"/>
      <c r="AJ5135" s="80"/>
      <c r="AK5135" s="80"/>
      <c r="AL5135" s="35"/>
      <c r="AM5135" s="35"/>
      <c r="AN5135" s="35"/>
      <c r="AO5135" s="35"/>
      <c r="AP5135" s="35"/>
    </row>
    <row r="5136" spans="1:42" x14ac:dyDescent="0.2">
      <c r="A5136" s="126">
        <v>45596.667339548614</v>
      </c>
      <c r="B5136" s="137" t="s">
        <v>37</v>
      </c>
      <c r="C5136" s="41" t="s">
        <v>118</v>
      </c>
      <c r="D5136" s="80" t="s">
        <v>36</v>
      </c>
      <c r="E5136" s="80" t="s">
        <v>119</v>
      </c>
      <c r="F5136" s="80" t="s">
        <v>40</v>
      </c>
      <c r="G5136" s="80" t="s">
        <v>108</v>
      </c>
      <c r="H5136" s="80" t="s">
        <v>14007</v>
      </c>
      <c r="I5136" s="17">
        <f ca="1">IFERROR(__xludf.DUMMYFUNCTION("""COMPUTED_VALUE"""),45603)</f>
        <v>45603</v>
      </c>
      <c r="J5136" s="143" t="s">
        <v>17702</v>
      </c>
      <c r="K5136" s="80" t="s">
        <v>17703</v>
      </c>
      <c r="L5136" s="30">
        <v>869607898</v>
      </c>
      <c r="M5136" s="80" t="s">
        <v>5558</v>
      </c>
      <c r="N5136" s="80" t="s">
        <v>5277</v>
      </c>
      <c r="O5136" s="80" t="s">
        <v>4503</v>
      </c>
      <c r="P5136" s="80" t="s">
        <v>3056</v>
      </c>
      <c r="Q5136" s="20">
        <v>13968</v>
      </c>
      <c r="R5136" s="80" t="s">
        <v>36</v>
      </c>
      <c r="S5136" s="95">
        <v>4000</v>
      </c>
      <c r="T5136" s="148">
        <v>45596</v>
      </c>
      <c r="U5136" s="95">
        <v>9968</v>
      </c>
      <c r="V5136" s="148">
        <v>45621</v>
      </c>
      <c r="W5136" s="85" t="s">
        <v>17704</v>
      </c>
      <c r="X5136" s="80"/>
      <c r="Y5136" s="22">
        <v>0</v>
      </c>
      <c r="Z5136" s="80" t="s">
        <v>50</v>
      </c>
      <c r="AA5136" s="86" t="s">
        <v>14723</v>
      </c>
      <c r="AB5136" s="80"/>
      <c r="AC5136" s="80" t="s">
        <v>53</v>
      </c>
      <c r="AD5136" s="80" t="s">
        <v>138</v>
      </c>
      <c r="AE5136" s="80"/>
      <c r="AF5136" s="17">
        <v>45603</v>
      </c>
      <c r="AG5136" s="80"/>
      <c r="AH5136" s="80"/>
      <c r="AI5136" s="147"/>
      <c r="AJ5136" s="80"/>
      <c r="AK5136" s="80"/>
      <c r="AL5136" s="35"/>
      <c r="AM5136" s="35"/>
      <c r="AN5136" s="35"/>
      <c r="AO5136" s="35"/>
      <c r="AP5136" s="35"/>
    </row>
    <row r="5137" spans="1:42" x14ac:dyDescent="0.2">
      <c r="A5137" s="126">
        <v>45596.674084814818</v>
      </c>
      <c r="B5137" s="137" t="s">
        <v>37</v>
      </c>
      <c r="C5137" s="41" t="s">
        <v>118</v>
      </c>
      <c r="D5137" s="80" t="s">
        <v>36</v>
      </c>
      <c r="E5137" s="80" t="s">
        <v>119</v>
      </c>
      <c r="F5137" s="80" t="s">
        <v>40</v>
      </c>
      <c r="G5137" s="80" t="s">
        <v>108</v>
      </c>
      <c r="H5137" s="80" t="s">
        <v>14007</v>
      </c>
      <c r="I5137" s="17">
        <f ca="1">IFERROR(__xludf.DUMMYFUNCTION("""COMPUTED_VALUE"""),45603)</f>
        <v>45603</v>
      </c>
      <c r="J5137" s="143" t="s">
        <v>17705</v>
      </c>
      <c r="K5137" s="80" t="s">
        <v>17706</v>
      </c>
      <c r="L5137" s="30">
        <v>868335918</v>
      </c>
      <c r="M5137" s="80" t="s">
        <v>5558</v>
      </c>
      <c r="N5137" s="80" t="s">
        <v>5277</v>
      </c>
      <c r="O5137" s="80" t="s">
        <v>4503</v>
      </c>
      <c r="P5137" s="80" t="s">
        <v>3056</v>
      </c>
      <c r="Q5137" s="20">
        <v>13968</v>
      </c>
      <c r="R5137" s="80" t="s">
        <v>36</v>
      </c>
      <c r="S5137" s="95">
        <f>200+6768</f>
        <v>6968</v>
      </c>
      <c r="T5137" s="83" t="s">
        <v>17707</v>
      </c>
      <c r="U5137" s="95">
        <v>7000</v>
      </c>
      <c r="V5137" s="148">
        <v>45619</v>
      </c>
      <c r="W5137" s="85" t="s">
        <v>17708</v>
      </c>
      <c r="X5137" s="80"/>
      <c r="Y5137" s="22">
        <v>0</v>
      </c>
      <c r="Z5137" s="80" t="s">
        <v>50</v>
      </c>
      <c r="AA5137" s="82" t="s">
        <v>14723</v>
      </c>
      <c r="AB5137" s="80"/>
      <c r="AC5137" s="80" t="s">
        <v>53</v>
      </c>
      <c r="AD5137" s="80" t="s">
        <v>138</v>
      </c>
      <c r="AE5137" s="80"/>
      <c r="AF5137" s="17">
        <v>45603</v>
      </c>
      <c r="AG5137" s="80"/>
      <c r="AH5137" s="80"/>
      <c r="AI5137" s="147"/>
      <c r="AJ5137" s="80"/>
      <c r="AK5137" s="80"/>
      <c r="AL5137" s="35"/>
      <c r="AM5137" s="35"/>
      <c r="AN5137" s="35"/>
      <c r="AO5137" s="35"/>
      <c r="AP5137" s="35"/>
    </row>
    <row r="5138" spans="1:42" x14ac:dyDescent="0.2">
      <c r="A5138" s="126">
        <v>45596.740936099537</v>
      </c>
      <c r="B5138" s="137" t="s">
        <v>37</v>
      </c>
      <c r="C5138" s="41" t="s">
        <v>118</v>
      </c>
      <c r="D5138" s="80" t="s">
        <v>36</v>
      </c>
      <c r="E5138" s="80" t="s">
        <v>119</v>
      </c>
      <c r="F5138" s="80" t="s">
        <v>36</v>
      </c>
      <c r="G5138" s="80" t="s">
        <v>108</v>
      </c>
      <c r="H5138" s="80" t="s">
        <v>13957</v>
      </c>
      <c r="I5138" s="17">
        <f ca="1">IFERROR(__xludf.DUMMYFUNCTION("""COMPUTED_VALUE"""),45600)</f>
        <v>45600</v>
      </c>
      <c r="J5138" s="143" t="s">
        <v>17709</v>
      </c>
      <c r="K5138" s="80" t="s">
        <v>17710</v>
      </c>
      <c r="L5138" s="30">
        <v>838335332</v>
      </c>
      <c r="M5138" s="80" t="s">
        <v>12529</v>
      </c>
      <c r="N5138" s="80" t="s">
        <v>466</v>
      </c>
      <c r="O5138" s="80" t="s">
        <v>17711</v>
      </c>
      <c r="P5138" s="80" t="s">
        <v>17712</v>
      </c>
      <c r="Q5138" s="20">
        <v>13968</v>
      </c>
      <c r="R5138" s="80" t="s">
        <v>36</v>
      </c>
      <c r="S5138" s="95">
        <f>200+3800</f>
        <v>4000</v>
      </c>
      <c r="T5138" s="83" t="s">
        <v>17713</v>
      </c>
      <c r="U5138" s="95">
        <v>9968</v>
      </c>
      <c r="V5138" s="148">
        <v>45620</v>
      </c>
      <c r="W5138" s="85" t="s">
        <v>17714</v>
      </c>
      <c r="X5138" s="80"/>
      <c r="Y5138" s="22">
        <v>0</v>
      </c>
      <c r="Z5138" s="80" t="s">
        <v>50</v>
      </c>
      <c r="AA5138" s="86" t="s">
        <v>14723</v>
      </c>
      <c r="AB5138" s="80"/>
      <c r="AC5138" s="80" t="s">
        <v>2218</v>
      </c>
      <c r="AD5138" s="80" t="s">
        <v>54</v>
      </c>
      <c r="AE5138" s="83">
        <v>400</v>
      </c>
      <c r="AF5138" s="17">
        <v>45596</v>
      </c>
      <c r="AG5138" s="80" t="s">
        <v>17715</v>
      </c>
      <c r="AH5138" s="80"/>
      <c r="AI5138" s="147"/>
      <c r="AJ5138" s="80"/>
      <c r="AK5138" s="80"/>
      <c r="AL5138" s="35"/>
      <c r="AM5138" s="35"/>
      <c r="AN5138" s="35"/>
      <c r="AO5138" s="35"/>
      <c r="AP5138" s="35"/>
    </row>
    <row r="5139" spans="1:42" x14ac:dyDescent="0.2">
      <c r="A5139" s="126">
        <v>45596.807858784727</v>
      </c>
      <c r="B5139" s="137" t="s">
        <v>37</v>
      </c>
      <c r="C5139" s="41" t="s">
        <v>118</v>
      </c>
      <c r="D5139" s="80" t="s">
        <v>36</v>
      </c>
      <c r="E5139" s="80" t="s">
        <v>56</v>
      </c>
      <c r="F5139" s="80" t="s">
        <v>36</v>
      </c>
      <c r="G5139" s="80" t="s">
        <v>41</v>
      </c>
      <c r="H5139" s="80" t="s">
        <v>14051</v>
      </c>
      <c r="I5139" s="17">
        <f ca="1">IFERROR(__xludf.DUMMYFUNCTION("""COMPUTED_VALUE"""),45615)</f>
        <v>45615</v>
      </c>
      <c r="J5139" s="143" t="s">
        <v>17716</v>
      </c>
      <c r="K5139" s="80" t="s">
        <v>17717</v>
      </c>
      <c r="L5139" s="30">
        <v>352666430</v>
      </c>
      <c r="M5139" s="80" t="s">
        <v>3728</v>
      </c>
      <c r="N5139" s="80" t="s">
        <v>299</v>
      </c>
      <c r="O5139" s="80" t="s">
        <v>17718</v>
      </c>
      <c r="P5139" s="80" t="s">
        <v>11644</v>
      </c>
      <c r="Q5139" s="20">
        <v>9317</v>
      </c>
      <c r="R5139" s="80" t="s">
        <v>36</v>
      </c>
      <c r="S5139" s="95">
        <v>2000</v>
      </c>
      <c r="T5139" s="148">
        <v>45596</v>
      </c>
      <c r="U5139" s="95">
        <v>7317</v>
      </c>
      <c r="V5139" s="148">
        <v>45626</v>
      </c>
      <c r="W5139" s="85" t="s">
        <v>17719</v>
      </c>
      <c r="X5139" s="80"/>
      <c r="Y5139" s="22">
        <v>0</v>
      </c>
      <c r="Z5139" s="80" t="s">
        <v>50</v>
      </c>
      <c r="AA5139" s="82" t="s">
        <v>14723</v>
      </c>
      <c r="AB5139" s="80"/>
      <c r="AC5139" s="80" t="s">
        <v>53</v>
      </c>
      <c r="AD5139" s="80" t="s">
        <v>138</v>
      </c>
      <c r="AE5139" s="80"/>
      <c r="AF5139" s="43">
        <v>45615</v>
      </c>
      <c r="AG5139" s="80"/>
      <c r="AH5139" s="80"/>
      <c r="AI5139" s="147"/>
      <c r="AJ5139" s="80"/>
      <c r="AK5139" s="80"/>
      <c r="AL5139" s="35"/>
      <c r="AM5139" s="35"/>
      <c r="AN5139" s="35"/>
      <c r="AO5139" s="35"/>
      <c r="AP5139" s="35"/>
    </row>
    <row r="5140" spans="1:42" x14ac:dyDescent="0.2">
      <c r="A5140" s="126">
        <v>45596.908573113426</v>
      </c>
      <c r="B5140" s="137" t="s">
        <v>37</v>
      </c>
      <c r="C5140" s="41" t="s">
        <v>118</v>
      </c>
      <c r="D5140" s="80" t="s">
        <v>36</v>
      </c>
      <c r="E5140" s="80" t="s">
        <v>139</v>
      </c>
      <c r="F5140" s="26" t="s">
        <v>36</v>
      </c>
      <c r="G5140" s="26" t="s">
        <v>41</v>
      </c>
      <c r="H5140" s="80" t="s">
        <v>13143</v>
      </c>
      <c r="I5140" s="17">
        <f ca="1">IFERROR(__xludf.DUMMYFUNCTION("""COMPUTED_VALUE"""),45604)</f>
        <v>45604</v>
      </c>
      <c r="J5140" s="143" t="s">
        <v>17720</v>
      </c>
      <c r="K5140" s="80" t="s">
        <v>17721</v>
      </c>
      <c r="L5140" s="30">
        <v>398762006</v>
      </c>
      <c r="M5140" s="80" t="s">
        <v>12529</v>
      </c>
      <c r="N5140" s="80" t="s">
        <v>13566</v>
      </c>
      <c r="O5140" s="80" t="s">
        <v>17722</v>
      </c>
      <c r="P5140" s="80" t="s">
        <v>17723</v>
      </c>
      <c r="Q5140" s="20">
        <v>15936</v>
      </c>
      <c r="R5140" s="80" t="s">
        <v>36</v>
      </c>
      <c r="S5140" s="95">
        <f>200+1800</f>
        <v>2000</v>
      </c>
      <c r="T5140" s="83" t="s">
        <v>17724</v>
      </c>
      <c r="U5140" s="95">
        <v>13936</v>
      </c>
      <c r="V5140" s="148">
        <v>45624</v>
      </c>
      <c r="W5140" s="85" t="s">
        <v>17725</v>
      </c>
      <c r="X5140" s="80"/>
      <c r="Y5140" s="22">
        <v>0</v>
      </c>
      <c r="Z5140" s="80" t="s">
        <v>50</v>
      </c>
      <c r="AA5140" s="86" t="s">
        <v>14723</v>
      </c>
      <c r="AB5140" s="80"/>
      <c r="AC5140" s="80" t="s">
        <v>53</v>
      </c>
      <c r="AD5140" s="80" t="s">
        <v>138</v>
      </c>
      <c r="AE5140" s="80"/>
      <c r="AF5140" s="17">
        <v>45604</v>
      </c>
      <c r="AG5140" s="80"/>
      <c r="AH5140" s="80"/>
      <c r="AI5140" s="147"/>
      <c r="AJ5140" s="80"/>
      <c r="AK5140" s="80"/>
      <c r="AL5140" s="35"/>
      <c r="AM5140" s="35"/>
      <c r="AN5140" s="35"/>
      <c r="AO5140" s="35"/>
      <c r="AP5140" s="35"/>
    </row>
    <row r="5141" spans="1:42" x14ac:dyDescent="0.2">
      <c r="A5141" s="126">
        <v>45597.416743993061</v>
      </c>
      <c r="B5141" s="137" t="s">
        <v>37</v>
      </c>
      <c r="C5141" s="41" t="s">
        <v>118</v>
      </c>
      <c r="D5141" s="80" t="s">
        <v>36</v>
      </c>
      <c r="E5141" s="80" t="s">
        <v>56</v>
      </c>
      <c r="F5141" s="80" t="s">
        <v>36</v>
      </c>
      <c r="G5141" s="80" t="s">
        <v>41</v>
      </c>
      <c r="H5141" s="80" t="s">
        <v>15451</v>
      </c>
      <c r="I5141" s="17">
        <f ca="1">IFERROR(__xludf.DUMMYFUNCTION("""COMPUTED_VALUE"""),45603)</f>
        <v>45603</v>
      </c>
      <c r="J5141" s="143" t="s">
        <v>17726</v>
      </c>
      <c r="K5141" s="80" t="s">
        <v>17727</v>
      </c>
      <c r="L5141" s="30">
        <v>396062136</v>
      </c>
      <c r="M5141" s="80" t="s">
        <v>45</v>
      </c>
      <c r="N5141" s="80" t="s">
        <v>17728</v>
      </c>
      <c r="O5141" s="80" t="s">
        <v>17729</v>
      </c>
      <c r="P5141" s="80" t="s">
        <v>7743</v>
      </c>
      <c r="Q5141" s="20">
        <v>9317</v>
      </c>
      <c r="R5141" s="80" t="s">
        <v>36</v>
      </c>
      <c r="S5141" s="95">
        <v>2000</v>
      </c>
      <c r="T5141" s="148">
        <v>45597</v>
      </c>
      <c r="U5141" s="95">
        <v>7317</v>
      </c>
      <c r="V5141" s="148">
        <v>45614</v>
      </c>
      <c r="W5141" s="85" t="s">
        <v>17730</v>
      </c>
      <c r="X5141" s="80"/>
      <c r="Y5141" s="22">
        <v>0</v>
      </c>
      <c r="Z5141" s="80" t="s">
        <v>50</v>
      </c>
      <c r="AA5141" s="82" t="s">
        <v>14723</v>
      </c>
      <c r="AB5141" s="80"/>
      <c r="AC5141" s="80" t="s">
        <v>53</v>
      </c>
      <c r="AD5141" s="80" t="s">
        <v>138</v>
      </c>
      <c r="AE5141" s="83">
        <v>0</v>
      </c>
      <c r="AF5141" s="17">
        <v>45603</v>
      </c>
      <c r="AG5141" s="80"/>
      <c r="AH5141" s="80"/>
      <c r="AI5141" s="147"/>
      <c r="AJ5141" s="80"/>
      <c r="AK5141" s="80"/>
      <c r="AL5141" s="35"/>
      <c r="AM5141" s="35"/>
      <c r="AN5141" s="35"/>
      <c r="AO5141" s="35"/>
      <c r="AP5141" s="35"/>
    </row>
    <row r="5142" spans="1:42" x14ac:dyDescent="0.2">
      <c r="A5142" s="126">
        <v>45597.47470939815</v>
      </c>
      <c r="B5142" s="137" t="s">
        <v>37</v>
      </c>
      <c r="C5142" s="41" t="s">
        <v>118</v>
      </c>
      <c r="D5142" s="80" t="s">
        <v>36</v>
      </c>
      <c r="E5142" s="80" t="s">
        <v>139</v>
      </c>
      <c r="F5142" s="80" t="s">
        <v>36</v>
      </c>
      <c r="G5142" s="80" t="s">
        <v>41</v>
      </c>
      <c r="H5142" s="80" t="s">
        <v>12700</v>
      </c>
      <c r="I5142" s="17">
        <f ca="1">IFERROR(__xludf.DUMMYFUNCTION("""COMPUTED_VALUE"""),45601)</f>
        <v>45601</v>
      </c>
      <c r="J5142" s="143" t="s">
        <v>17731</v>
      </c>
      <c r="K5142" s="80" t="s">
        <v>17732</v>
      </c>
      <c r="L5142" s="30">
        <v>327085552</v>
      </c>
      <c r="M5142" s="80" t="s">
        <v>45</v>
      </c>
      <c r="N5142" s="80" t="s">
        <v>5312</v>
      </c>
      <c r="O5142" s="85" t="s">
        <v>17733</v>
      </c>
      <c r="P5142" s="80" t="s">
        <v>17734</v>
      </c>
      <c r="Q5142" s="20">
        <v>15936</v>
      </c>
      <c r="R5142" s="80" t="s">
        <v>36</v>
      </c>
      <c r="S5142" s="95">
        <v>5736</v>
      </c>
      <c r="T5142" s="148">
        <v>45597</v>
      </c>
      <c r="U5142" s="95">
        <v>10200</v>
      </c>
      <c r="V5142" s="148">
        <v>45615</v>
      </c>
      <c r="W5142" s="85" t="s">
        <v>17735</v>
      </c>
      <c r="X5142" s="80"/>
      <c r="Y5142" s="22">
        <v>0</v>
      </c>
      <c r="Z5142" s="80" t="s">
        <v>50</v>
      </c>
      <c r="AA5142" s="86" t="s">
        <v>14723</v>
      </c>
      <c r="AB5142" s="80"/>
      <c r="AC5142" s="80" t="s">
        <v>53</v>
      </c>
      <c r="AD5142" s="80" t="s">
        <v>54</v>
      </c>
      <c r="AE5142" s="83">
        <v>0</v>
      </c>
      <c r="AF5142" s="17">
        <v>45597</v>
      </c>
      <c r="AG5142" s="80"/>
      <c r="AH5142" s="80"/>
      <c r="AI5142" s="147"/>
      <c r="AJ5142" s="80"/>
      <c r="AK5142" s="80"/>
      <c r="AL5142" s="35"/>
      <c r="AM5142" s="35"/>
      <c r="AN5142" s="35"/>
      <c r="AO5142" s="35"/>
      <c r="AP5142" s="35"/>
    </row>
    <row r="5143" spans="1:42" x14ac:dyDescent="0.2">
      <c r="A5143" s="126">
        <v>45597.569555115741</v>
      </c>
      <c r="B5143" s="137" t="s">
        <v>37</v>
      </c>
      <c r="C5143" s="41" t="s">
        <v>118</v>
      </c>
      <c r="D5143" s="80" t="s">
        <v>36</v>
      </c>
      <c r="E5143" s="80" t="s">
        <v>139</v>
      </c>
      <c r="F5143" s="26" t="s">
        <v>36</v>
      </c>
      <c r="G5143" s="26" t="s">
        <v>41</v>
      </c>
      <c r="H5143" s="80" t="s">
        <v>13143</v>
      </c>
      <c r="I5143" s="17">
        <f ca="1">IFERROR(__xludf.DUMMYFUNCTION("""COMPUTED_VALUE"""),45604)</f>
        <v>45604</v>
      </c>
      <c r="J5143" s="143" t="s">
        <v>17736</v>
      </c>
      <c r="K5143" s="80" t="s">
        <v>1442</v>
      </c>
      <c r="L5143" s="30">
        <v>378222042</v>
      </c>
      <c r="M5143" s="80" t="s">
        <v>5429</v>
      </c>
      <c r="N5143" s="80" t="s">
        <v>81</v>
      </c>
      <c r="O5143" s="80" t="s">
        <v>17737</v>
      </c>
      <c r="P5143" s="80" t="s">
        <v>6368</v>
      </c>
      <c r="Q5143" s="20">
        <v>15936</v>
      </c>
      <c r="R5143" s="80" t="s">
        <v>36</v>
      </c>
      <c r="S5143" s="95">
        <f>200+1800</f>
        <v>2000</v>
      </c>
      <c r="T5143" s="83" t="s">
        <v>17738</v>
      </c>
      <c r="U5143" s="95">
        <v>13936</v>
      </c>
      <c r="V5143" s="148">
        <v>45622</v>
      </c>
      <c r="W5143" s="85" t="s">
        <v>17739</v>
      </c>
      <c r="X5143" s="80"/>
      <c r="Y5143" s="22">
        <v>0</v>
      </c>
      <c r="Z5143" s="80" t="s">
        <v>50</v>
      </c>
      <c r="AA5143" s="82" t="s">
        <v>14723</v>
      </c>
      <c r="AB5143" s="80"/>
      <c r="AC5143" s="80" t="s">
        <v>53</v>
      </c>
      <c r="AD5143" s="80" t="s">
        <v>138</v>
      </c>
      <c r="AE5143" s="80" t="s">
        <v>72</v>
      </c>
      <c r="AF5143" s="17">
        <v>45604</v>
      </c>
      <c r="AG5143" s="80"/>
      <c r="AH5143" s="80"/>
      <c r="AI5143" s="147"/>
      <c r="AJ5143" s="80"/>
      <c r="AK5143" s="80"/>
      <c r="AL5143" s="35"/>
      <c r="AM5143" s="35"/>
      <c r="AN5143" s="35"/>
      <c r="AO5143" s="35"/>
      <c r="AP5143" s="35"/>
    </row>
    <row r="5144" spans="1:42" x14ac:dyDescent="0.2">
      <c r="A5144" s="126">
        <v>45597.706184062496</v>
      </c>
      <c r="B5144" s="137" t="s">
        <v>37</v>
      </c>
      <c r="C5144" s="41" t="s">
        <v>118</v>
      </c>
      <c r="D5144" s="80" t="s">
        <v>36</v>
      </c>
      <c r="E5144" s="80" t="s">
        <v>119</v>
      </c>
      <c r="F5144" s="80" t="s">
        <v>36</v>
      </c>
      <c r="G5144" s="80" t="s">
        <v>108</v>
      </c>
      <c r="H5144" s="80" t="s">
        <v>14066</v>
      </c>
      <c r="I5144" s="17">
        <f ca="1">IFERROR(__xludf.DUMMYFUNCTION("""COMPUTED_VALUE"""),45604)</f>
        <v>45604</v>
      </c>
      <c r="J5144" s="143" t="s">
        <v>17740</v>
      </c>
      <c r="K5144" s="80" t="s">
        <v>14353</v>
      </c>
      <c r="L5144" s="30">
        <v>369390838</v>
      </c>
      <c r="M5144" s="80" t="s">
        <v>12644</v>
      </c>
      <c r="N5144" s="80" t="s">
        <v>8725</v>
      </c>
      <c r="O5144" s="80" t="s">
        <v>17741</v>
      </c>
      <c r="P5144" s="80" t="s">
        <v>17742</v>
      </c>
      <c r="Q5144" s="20">
        <v>13968</v>
      </c>
      <c r="R5144" s="80" t="s">
        <v>36</v>
      </c>
      <c r="S5144" s="95">
        <f>200+3800</f>
        <v>4000</v>
      </c>
      <c r="T5144" s="83" t="s">
        <v>17713</v>
      </c>
      <c r="U5144" s="95">
        <v>9968</v>
      </c>
      <c r="V5144" s="148">
        <v>45618</v>
      </c>
      <c r="W5144" s="85" t="s">
        <v>17743</v>
      </c>
      <c r="X5144" s="80"/>
      <c r="Y5144" s="22">
        <v>0</v>
      </c>
      <c r="Z5144" s="80" t="s">
        <v>50</v>
      </c>
      <c r="AA5144" s="86" t="s">
        <v>14723</v>
      </c>
      <c r="AB5144" s="80"/>
      <c r="AC5144" s="80" t="s">
        <v>53</v>
      </c>
      <c r="AD5144" s="80" t="s">
        <v>138</v>
      </c>
      <c r="AE5144" s="80" t="s">
        <v>17744</v>
      </c>
      <c r="AF5144" s="60" t="s">
        <v>14072</v>
      </c>
      <c r="AG5144" s="80"/>
      <c r="AH5144" s="80"/>
      <c r="AI5144" s="147"/>
      <c r="AJ5144" s="80"/>
      <c r="AK5144" s="80"/>
      <c r="AL5144" s="35"/>
      <c r="AM5144" s="35"/>
      <c r="AN5144" s="35"/>
      <c r="AO5144" s="35"/>
      <c r="AP5144" s="35"/>
    </row>
    <row r="5145" spans="1:42" x14ac:dyDescent="0.2">
      <c r="A5145" s="126">
        <v>45597.813612384256</v>
      </c>
      <c r="B5145" s="137" t="s">
        <v>37</v>
      </c>
      <c r="C5145" s="41" t="s">
        <v>118</v>
      </c>
      <c r="D5145" s="80" t="s">
        <v>36</v>
      </c>
      <c r="E5145" s="80" t="s">
        <v>139</v>
      </c>
      <c r="F5145" s="80" t="s">
        <v>36</v>
      </c>
      <c r="G5145" s="26" t="s">
        <v>41</v>
      </c>
      <c r="H5145" s="80" t="s">
        <v>15451</v>
      </c>
      <c r="I5145" s="17">
        <f ca="1">IFERROR(__xludf.DUMMYFUNCTION("""COMPUTED_VALUE"""),45603)</f>
        <v>45603</v>
      </c>
      <c r="J5145" s="143" t="s">
        <v>17745</v>
      </c>
      <c r="K5145" s="80" t="s">
        <v>17746</v>
      </c>
      <c r="L5145" s="30">
        <v>385141006</v>
      </c>
      <c r="M5145" s="80" t="s">
        <v>16756</v>
      </c>
      <c r="N5145" s="80"/>
      <c r="O5145" s="80" t="s">
        <v>91</v>
      </c>
      <c r="P5145" s="80" t="s">
        <v>12578</v>
      </c>
      <c r="Q5145" s="20">
        <v>15936</v>
      </c>
      <c r="R5145" s="80" t="s">
        <v>36</v>
      </c>
      <c r="S5145" s="95">
        <v>2000</v>
      </c>
      <c r="T5145" s="148">
        <v>45597</v>
      </c>
      <c r="U5145" s="95">
        <v>13936</v>
      </c>
      <c r="V5145" s="148">
        <v>45618</v>
      </c>
      <c r="W5145" s="85" t="s">
        <v>17747</v>
      </c>
      <c r="X5145" s="80"/>
      <c r="Y5145" s="22">
        <v>0</v>
      </c>
      <c r="Z5145" s="80" t="s">
        <v>50</v>
      </c>
      <c r="AA5145" s="82" t="s">
        <v>14723</v>
      </c>
      <c r="AB5145" s="80"/>
      <c r="AC5145" s="80" t="s">
        <v>53</v>
      </c>
      <c r="AD5145" s="80" t="s">
        <v>138</v>
      </c>
      <c r="AE5145" s="80"/>
      <c r="AF5145" s="17">
        <v>45603</v>
      </c>
      <c r="AG5145" s="80"/>
      <c r="AH5145" s="80"/>
      <c r="AI5145" s="147"/>
      <c r="AJ5145" s="80"/>
      <c r="AK5145" s="80"/>
      <c r="AL5145" s="35"/>
      <c r="AM5145" s="35"/>
      <c r="AN5145" s="35"/>
      <c r="AO5145" s="35"/>
      <c r="AP5145" s="35"/>
    </row>
    <row r="5146" spans="1:42" x14ac:dyDescent="0.2">
      <c r="A5146" s="126">
        <v>45597.896367476853</v>
      </c>
      <c r="B5146" s="137" t="s">
        <v>37</v>
      </c>
      <c r="C5146" s="41" t="s">
        <v>118</v>
      </c>
      <c r="D5146" s="80" t="s">
        <v>36</v>
      </c>
      <c r="E5146" s="80" t="s">
        <v>77</v>
      </c>
      <c r="F5146" s="80" t="s">
        <v>36</v>
      </c>
      <c r="G5146" s="80" t="s">
        <v>41</v>
      </c>
      <c r="H5146" s="80" t="s">
        <v>12700</v>
      </c>
      <c r="I5146" s="17">
        <f ca="1">IFERROR(__xludf.DUMMYFUNCTION("""COMPUTED_VALUE"""),45601)</f>
        <v>45601</v>
      </c>
      <c r="J5146" s="143" t="s">
        <v>17748</v>
      </c>
      <c r="K5146" s="80" t="s">
        <v>17749</v>
      </c>
      <c r="L5146" s="30">
        <v>367999316</v>
      </c>
      <c r="M5146" s="80" t="s">
        <v>15970</v>
      </c>
      <c r="N5146" s="80" t="s">
        <v>466</v>
      </c>
      <c r="O5146" s="80" t="s">
        <v>7833</v>
      </c>
      <c r="P5146" s="80" t="s">
        <v>17750</v>
      </c>
      <c r="Q5146" s="20">
        <v>1968</v>
      </c>
      <c r="R5146" s="80" t="s">
        <v>36</v>
      </c>
      <c r="S5146" s="95">
        <v>1968</v>
      </c>
      <c r="T5146" s="148">
        <v>45597</v>
      </c>
      <c r="U5146" s="77"/>
      <c r="V5146" s="78"/>
      <c r="W5146" s="85" t="s">
        <v>17751</v>
      </c>
      <c r="X5146" s="80"/>
      <c r="Y5146" s="22">
        <v>0</v>
      </c>
      <c r="Z5146" s="80" t="s">
        <v>50</v>
      </c>
      <c r="AA5146" s="86" t="s">
        <v>14723</v>
      </c>
      <c r="AB5146" s="80"/>
      <c r="AC5146" s="80" t="s">
        <v>53</v>
      </c>
      <c r="AD5146" s="80" t="s">
        <v>54</v>
      </c>
      <c r="AE5146" s="80"/>
      <c r="AF5146" s="17">
        <v>45600</v>
      </c>
      <c r="AG5146" s="80"/>
      <c r="AH5146" s="80"/>
      <c r="AI5146" s="147"/>
      <c r="AJ5146" s="80"/>
      <c r="AK5146" s="80"/>
      <c r="AL5146" s="35"/>
      <c r="AM5146" s="35"/>
      <c r="AN5146" s="35"/>
      <c r="AO5146" s="35"/>
      <c r="AP5146" s="35"/>
    </row>
    <row r="5147" spans="1:42" x14ac:dyDescent="0.2">
      <c r="A5147" s="126">
        <v>45597.898791539352</v>
      </c>
      <c r="B5147" s="137" t="s">
        <v>37</v>
      </c>
      <c r="C5147" s="41" t="s">
        <v>118</v>
      </c>
      <c r="D5147" s="80" t="s">
        <v>36</v>
      </c>
      <c r="E5147" s="80" t="s">
        <v>77</v>
      </c>
      <c r="F5147" s="80" t="s">
        <v>36</v>
      </c>
      <c r="G5147" s="80" t="s">
        <v>41</v>
      </c>
      <c r="H5147" s="80" t="s">
        <v>17752</v>
      </c>
      <c r="I5147" s="17">
        <f ca="1">IFERROR(__xludf.DUMMYFUNCTION("""COMPUTED_VALUE"""),45618)</f>
        <v>45618</v>
      </c>
      <c r="J5147" s="143" t="s">
        <v>17753</v>
      </c>
      <c r="K5147" s="80" t="s">
        <v>17754</v>
      </c>
      <c r="L5147" s="30">
        <v>866221927</v>
      </c>
      <c r="M5147" s="80" t="s">
        <v>15970</v>
      </c>
      <c r="N5147" s="80" t="s">
        <v>1246</v>
      </c>
      <c r="O5147" s="80" t="s">
        <v>7833</v>
      </c>
      <c r="P5147" s="80" t="s">
        <v>3178</v>
      </c>
      <c r="Q5147" s="20">
        <v>1968</v>
      </c>
      <c r="R5147" s="80" t="s">
        <v>36</v>
      </c>
      <c r="S5147" s="95">
        <f>100+1868</f>
        <v>1968</v>
      </c>
      <c r="T5147" s="83" t="s">
        <v>17755</v>
      </c>
      <c r="U5147" s="77"/>
      <c r="V5147" s="78"/>
      <c r="W5147" s="85" t="s">
        <v>17756</v>
      </c>
      <c r="X5147" s="80"/>
      <c r="Y5147" s="22">
        <v>0</v>
      </c>
      <c r="Z5147" s="80" t="s">
        <v>50</v>
      </c>
      <c r="AA5147" s="82" t="s">
        <v>14723</v>
      </c>
      <c r="AB5147" s="80"/>
      <c r="AC5147" s="80" t="s">
        <v>53</v>
      </c>
      <c r="AD5147" s="80" t="s">
        <v>138</v>
      </c>
      <c r="AE5147" s="80"/>
      <c r="AF5147" s="43">
        <v>45618</v>
      </c>
      <c r="AG5147" s="80" t="s">
        <v>16677</v>
      </c>
      <c r="AH5147" s="80"/>
      <c r="AI5147" s="147"/>
      <c r="AJ5147" s="80"/>
      <c r="AK5147" s="80"/>
      <c r="AL5147" s="35"/>
      <c r="AM5147" s="35"/>
      <c r="AN5147" s="35"/>
      <c r="AO5147" s="35"/>
      <c r="AP5147" s="35"/>
    </row>
    <row r="5148" spans="1:42" x14ac:dyDescent="0.2">
      <c r="A5148" s="126">
        <v>45597.951038009254</v>
      </c>
      <c r="B5148" s="137" t="s">
        <v>37</v>
      </c>
      <c r="C5148" s="41" t="s">
        <v>118</v>
      </c>
      <c r="D5148" s="80" t="s">
        <v>36</v>
      </c>
      <c r="E5148" s="80" t="s">
        <v>139</v>
      </c>
      <c r="F5148" s="80" t="s">
        <v>36</v>
      </c>
      <c r="G5148" s="26" t="s">
        <v>41</v>
      </c>
      <c r="H5148" s="80" t="s">
        <v>15451</v>
      </c>
      <c r="I5148" s="17">
        <f ca="1">IFERROR(__xludf.DUMMYFUNCTION("""COMPUTED_VALUE"""),45603)</f>
        <v>45603</v>
      </c>
      <c r="J5148" s="143" t="s">
        <v>17757</v>
      </c>
      <c r="K5148" s="80" t="s">
        <v>17758</v>
      </c>
      <c r="L5148" s="30">
        <v>813242134</v>
      </c>
      <c r="M5148" s="80" t="s">
        <v>17759</v>
      </c>
      <c r="N5148" s="80" t="s">
        <v>2756</v>
      </c>
      <c r="O5148" s="80" t="s">
        <v>4503</v>
      </c>
      <c r="P5148" s="80" t="s">
        <v>17760</v>
      </c>
      <c r="Q5148" s="20">
        <v>15936</v>
      </c>
      <c r="R5148" s="80" t="s">
        <v>36</v>
      </c>
      <c r="S5148" s="95">
        <f>200+8000</f>
        <v>8200</v>
      </c>
      <c r="T5148" s="83" t="s">
        <v>17724</v>
      </c>
      <c r="U5148" s="95">
        <v>7736</v>
      </c>
      <c r="V5148" s="148">
        <v>45614</v>
      </c>
      <c r="W5148" s="85" t="s">
        <v>17761</v>
      </c>
      <c r="X5148" s="80"/>
      <c r="Y5148" s="22">
        <v>0</v>
      </c>
      <c r="Z5148" s="80" t="s">
        <v>50</v>
      </c>
      <c r="AA5148" s="86" t="s">
        <v>14723</v>
      </c>
      <c r="AB5148" s="80"/>
      <c r="AC5148" s="80" t="s">
        <v>53</v>
      </c>
      <c r="AD5148" s="80" t="s">
        <v>138</v>
      </c>
      <c r="AE5148" s="80"/>
      <c r="AF5148" s="17">
        <v>45603</v>
      </c>
      <c r="AG5148" s="80"/>
      <c r="AH5148" s="80"/>
      <c r="AI5148" s="147"/>
      <c r="AJ5148" s="80"/>
      <c r="AK5148" s="80"/>
      <c r="AL5148" s="35"/>
      <c r="AM5148" s="35"/>
      <c r="AN5148" s="35"/>
      <c r="AO5148" s="35"/>
      <c r="AP5148" s="35"/>
    </row>
    <row r="5149" spans="1:42" x14ac:dyDescent="0.2">
      <c r="A5149" s="126">
        <v>45597.956253310185</v>
      </c>
      <c r="B5149" s="137" t="s">
        <v>37</v>
      </c>
      <c r="C5149" s="41" t="s">
        <v>118</v>
      </c>
      <c r="D5149" s="80" t="s">
        <v>36</v>
      </c>
      <c r="E5149" s="80" t="s">
        <v>119</v>
      </c>
      <c r="F5149" s="80" t="s">
        <v>36</v>
      </c>
      <c r="G5149" s="80" t="s">
        <v>108</v>
      </c>
      <c r="H5149" s="80" t="s">
        <v>13913</v>
      </c>
      <c r="I5149" s="17">
        <f ca="1">IFERROR(__xludf.DUMMYFUNCTION("""COMPUTED_VALUE"""),45602)</f>
        <v>45602</v>
      </c>
      <c r="J5149" s="143" t="s">
        <v>17762</v>
      </c>
      <c r="K5149" s="80" t="s">
        <v>17763</v>
      </c>
      <c r="L5149" s="30">
        <v>854002006</v>
      </c>
      <c r="M5149" s="80" t="s">
        <v>17759</v>
      </c>
      <c r="N5149" s="80" t="s">
        <v>2756</v>
      </c>
      <c r="O5149" s="80" t="s">
        <v>8140</v>
      </c>
      <c r="P5149" s="80" t="s">
        <v>17764</v>
      </c>
      <c r="Q5149" s="20">
        <v>13968</v>
      </c>
      <c r="R5149" s="80" t="s">
        <v>36</v>
      </c>
      <c r="S5149" s="95">
        <v>4000</v>
      </c>
      <c r="T5149" s="148">
        <v>45597</v>
      </c>
      <c r="U5149" s="95">
        <v>9968</v>
      </c>
      <c r="V5149" s="148">
        <v>45613</v>
      </c>
      <c r="W5149" s="85" t="s">
        <v>17765</v>
      </c>
      <c r="X5149" s="80"/>
      <c r="Y5149" s="22">
        <v>0</v>
      </c>
      <c r="Z5149" s="80" t="s">
        <v>50</v>
      </c>
      <c r="AA5149" s="82" t="s">
        <v>14723</v>
      </c>
      <c r="AB5149" s="80"/>
      <c r="AC5149" s="80" t="s">
        <v>53</v>
      </c>
      <c r="AD5149" s="80" t="s">
        <v>138</v>
      </c>
      <c r="AE5149" s="80" t="s">
        <v>17766</v>
      </c>
      <c r="AF5149" s="17">
        <v>45602</v>
      </c>
      <c r="AG5149" s="80" t="s">
        <v>13915</v>
      </c>
      <c r="AH5149" s="80"/>
      <c r="AI5149" s="147"/>
      <c r="AJ5149" s="80"/>
      <c r="AK5149" s="80"/>
      <c r="AL5149" s="35"/>
      <c r="AM5149" s="35"/>
      <c r="AN5149" s="35"/>
      <c r="AO5149" s="35"/>
      <c r="AP5149" s="35"/>
    </row>
    <row r="5150" spans="1:42" x14ac:dyDescent="0.2">
      <c r="A5150" s="126">
        <v>45597.979532210651</v>
      </c>
      <c r="B5150" s="137" t="s">
        <v>37</v>
      </c>
      <c r="C5150" s="41" t="s">
        <v>118</v>
      </c>
      <c r="D5150" s="80" t="s">
        <v>36</v>
      </c>
      <c r="E5150" s="80" t="s">
        <v>56</v>
      </c>
      <c r="F5150" s="80" t="s">
        <v>36</v>
      </c>
      <c r="G5150" s="26" t="s">
        <v>41</v>
      </c>
      <c r="H5150" s="80" t="s">
        <v>15451</v>
      </c>
      <c r="I5150" s="17">
        <f ca="1">IFERROR(__xludf.DUMMYFUNCTION("""COMPUTED_VALUE"""),45603)</f>
        <v>45603</v>
      </c>
      <c r="J5150" s="143" t="s">
        <v>17767</v>
      </c>
      <c r="K5150" s="80" t="s">
        <v>17768</v>
      </c>
      <c r="L5150" s="30">
        <v>867213341</v>
      </c>
      <c r="M5150" s="80" t="s">
        <v>59</v>
      </c>
      <c r="N5150" s="80" t="s">
        <v>7298</v>
      </c>
      <c r="O5150" s="80" t="s">
        <v>17769</v>
      </c>
      <c r="P5150" s="80" t="s">
        <v>17770</v>
      </c>
      <c r="Q5150" s="20">
        <v>9317</v>
      </c>
      <c r="R5150" s="80" t="s">
        <v>36</v>
      </c>
      <c r="S5150" s="95">
        <f>200+9117</f>
        <v>9317</v>
      </c>
      <c r="T5150" s="148">
        <v>45596</v>
      </c>
      <c r="U5150" s="95"/>
      <c r="V5150" s="148">
        <v>45597</v>
      </c>
      <c r="W5150" s="80" t="s">
        <v>17771</v>
      </c>
      <c r="X5150" s="80"/>
      <c r="Y5150" s="22">
        <v>0</v>
      </c>
      <c r="Z5150" s="80" t="s">
        <v>50</v>
      </c>
      <c r="AA5150" s="86" t="s">
        <v>14723</v>
      </c>
      <c r="AB5150" s="80"/>
      <c r="AC5150" s="80" t="s">
        <v>53</v>
      </c>
      <c r="AD5150" s="80" t="s">
        <v>138</v>
      </c>
      <c r="AE5150" s="80" t="s">
        <v>17772</v>
      </c>
      <c r="AF5150" s="17">
        <v>45603</v>
      </c>
      <c r="AG5150" s="80"/>
      <c r="AH5150" s="80"/>
      <c r="AI5150" s="147"/>
      <c r="AJ5150" s="80"/>
      <c r="AK5150" s="80"/>
      <c r="AL5150" s="35"/>
      <c r="AM5150" s="35"/>
      <c r="AN5150" s="35"/>
      <c r="AO5150" s="35"/>
      <c r="AP5150" s="35"/>
    </row>
    <row r="5151" spans="1:42" x14ac:dyDescent="0.2">
      <c r="A5151" s="38">
        <v>45601</v>
      </c>
      <c r="B5151" s="137" t="s">
        <v>37</v>
      </c>
      <c r="C5151" s="41" t="s">
        <v>118</v>
      </c>
      <c r="D5151" s="80" t="s">
        <v>36</v>
      </c>
      <c r="E5151" s="80" t="s">
        <v>106</v>
      </c>
      <c r="F5151" s="80" t="s">
        <v>11610</v>
      </c>
      <c r="G5151" s="80" t="s">
        <v>108</v>
      </c>
      <c r="H5151" s="182" t="s">
        <v>14066</v>
      </c>
      <c r="I5151" s="17">
        <f ca="1">IFERROR(__xludf.DUMMYFUNCTION("""COMPUTED_VALUE"""),45604)</f>
        <v>45604</v>
      </c>
      <c r="J5151" s="143" t="s">
        <v>12962</v>
      </c>
      <c r="K5151" s="80" t="s">
        <v>12963</v>
      </c>
      <c r="L5151" s="30">
        <v>787231272</v>
      </c>
      <c r="M5151" s="80" t="s">
        <v>348</v>
      </c>
      <c r="N5151" s="80" t="s">
        <v>68</v>
      </c>
      <c r="O5151" s="80" t="s">
        <v>12964</v>
      </c>
      <c r="P5151" s="80" t="s">
        <v>12687</v>
      </c>
      <c r="Q5151" s="20">
        <v>3768</v>
      </c>
      <c r="R5151" s="80" t="s">
        <v>36</v>
      </c>
      <c r="S5151" s="95">
        <v>3668</v>
      </c>
      <c r="T5151" s="148">
        <v>45601</v>
      </c>
      <c r="U5151" s="77"/>
      <c r="V5151" s="78"/>
      <c r="W5151" s="79" t="s">
        <v>17773</v>
      </c>
      <c r="X5151" s="80">
        <v>0</v>
      </c>
      <c r="Y5151" s="22">
        <v>100</v>
      </c>
      <c r="Z5151" s="80" t="s">
        <v>50</v>
      </c>
      <c r="AA5151" s="82" t="s">
        <v>14723</v>
      </c>
      <c r="AB5151" s="80"/>
      <c r="AC5151" s="80" t="s">
        <v>53</v>
      </c>
      <c r="AD5151" s="80" t="s">
        <v>138</v>
      </c>
      <c r="AE5151" s="80" t="s">
        <v>11610</v>
      </c>
      <c r="AF5151" s="60" t="s">
        <v>14072</v>
      </c>
      <c r="AG5151" s="80"/>
      <c r="AH5151" s="80"/>
      <c r="AI5151" s="147" t="s">
        <v>84</v>
      </c>
      <c r="AJ5151" s="80"/>
      <c r="AK5151" s="80"/>
      <c r="AL5151" s="35"/>
      <c r="AM5151" s="35"/>
      <c r="AN5151" s="35"/>
      <c r="AO5151" s="35"/>
      <c r="AP5151" s="35"/>
    </row>
    <row r="5152" spans="1:42" x14ac:dyDescent="0.2">
      <c r="A5152" s="38">
        <v>45604</v>
      </c>
      <c r="B5152" s="137" t="s">
        <v>37</v>
      </c>
      <c r="C5152" s="41" t="s">
        <v>118</v>
      </c>
      <c r="D5152" s="80" t="s">
        <v>36</v>
      </c>
      <c r="E5152" s="80" t="s">
        <v>148</v>
      </c>
      <c r="F5152" s="80" t="s">
        <v>11610</v>
      </c>
      <c r="G5152" s="80" t="s">
        <v>108</v>
      </c>
      <c r="H5152" s="182" t="s">
        <v>14066</v>
      </c>
      <c r="I5152" s="17">
        <f ca="1">IFERROR(__xludf.DUMMYFUNCTION("""COMPUTED_VALUE"""),45604)</f>
        <v>45604</v>
      </c>
      <c r="J5152" s="172" t="s">
        <v>11611</v>
      </c>
      <c r="K5152" s="80" t="s">
        <v>2413</v>
      </c>
      <c r="L5152" s="30">
        <v>942562693</v>
      </c>
      <c r="M5152" s="80" t="s">
        <v>3728</v>
      </c>
      <c r="N5152" s="80" t="s">
        <v>8725</v>
      </c>
      <c r="O5152" s="80" t="s">
        <v>11613</v>
      </c>
      <c r="P5152" s="80" t="s">
        <v>11614</v>
      </c>
      <c r="Q5152" s="20">
        <v>7349</v>
      </c>
      <c r="R5152" s="80" t="s">
        <v>36</v>
      </c>
      <c r="S5152" s="95">
        <v>7349</v>
      </c>
      <c r="T5152" s="148">
        <v>45604</v>
      </c>
      <c r="U5152" s="77"/>
      <c r="V5152" s="78"/>
      <c r="W5152" s="79" t="s">
        <v>17774</v>
      </c>
      <c r="X5152" s="80">
        <v>0</v>
      </c>
      <c r="Y5152" s="22">
        <v>0</v>
      </c>
      <c r="Z5152" s="80" t="s">
        <v>50</v>
      </c>
      <c r="AA5152" s="86" t="s">
        <v>14723</v>
      </c>
      <c r="AB5152" s="80"/>
      <c r="AC5152" s="80" t="s">
        <v>53</v>
      </c>
      <c r="AD5152" s="80" t="s">
        <v>138</v>
      </c>
      <c r="AE5152" s="80" t="s">
        <v>11610</v>
      </c>
      <c r="AF5152" s="60" t="s">
        <v>14072</v>
      </c>
      <c r="AG5152" s="80"/>
      <c r="AH5152" s="80"/>
      <c r="AI5152" s="147"/>
      <c r="AJ5152" s="80"/>
      <c r="AK5152" s="80"/>
      <c r="AL5152" s="35"/>
      <c r="AM5152" s="35"/>
      <c r="AN5152" s="35"/>
      <c r="AO5152" s="35"/>
      <c r="AP5152" s="35"/>
    </row>
    <row r="5153" spans="1:42" x14ac:dyDescent="0.2">
      <c r="A5153" s="38">
        <v>45598</v>
      </c>
      <c r="B5153" s="137" t="s">
        <v>37</v>
      </c>
      <c r="C5153" s="41" t="s">
        <v>118</v>
      </c>
      <c r="D5153" s="80" t="s">
        <v>36</v>
      </c>
      <c r="E5153" s="80" t="s">
        <v>106</v>
      </c>
      <c r="F5153" s="80" t="s">
        <v>12766</v>
      </c>
      <c r="G5153" s="26" t="s">
        <v>108</v>
      </c>
      <c r="H5153" s="182" t="s">
        <v>14073</v>
      </c>
      <c r="I5153" s="17">
        <f ca="1">IFERROR(__xludf.DUMMYFUNCTION("""COMPUTED_VALUE"""),45615)</f>
        <v>45615</v>
      </c>
      <c r="J5153" s="143" t="s">
        <v>13363</v>
      </c>
      <c r="K5153" s="80" t="s">
        <v>17775</v>
      </c>
      <c r="L5153" s="30">
        <v>366357415</v>
      </c>
      <c r="M5153" s="80" t="s">
        <v>348</v>
      </c>
      <c r="N5153" s="80" t="s">
        <v>68</v>
      </c>
      <c r="O5153" s="80" t="s">
        <v>13365</v>
      </c>
      <c r="P5153" s="80" t="s">
        <v>7743</v>
      </c>
      <c r="Q5153" s="20">
        <v>3768</v>
      </c>
      <c r="R5153" s="80" t="s">
        <v>36</v>
      </c>
      <c r="S5153" s="95">
        <v>3668</v>
      </c>
      <c r="T5153" s="148">
        <v>45614</v>
      </c>
      <c r="U5153" s="77"/>
      <c r="V5153" s="78"/>
      <c r="W5153" s="79" t="s">
        <v>17776</v>
      </c>
      <c r="X5153" s="80">
        <v>0</v>
      </c>
      <c r="Y5153" s="22">
        <v>100</v>
      </c>
      <c r="Z5153" s="80" t="s">
        <v>50</v>
      </c>
      <c r="AA5153" s="82" t="s">
        <v>14723</v>
      </c>
      <c r="AB5153" s="80"/>
      <c r="AC5153" s="80" t="s">
        <v>53</v>
      </c>
      <c r="AD5153" s="80" t="s">
        <v>138</v>
      </c>
      <c r="AE5153" s="80" t="s">
        <v>12766</v>
      </c>
      <c r="AF5153" s="60" t="s">
        <v>14077</v>
      </c>
      <c r="AG5153" s="39" t="s">
        <v>14078</v>
      </c>
      <c r="AH5153" s="80"/>
      <c r="AI5153" s="147" t="s">
        <v>84</v>
      </c>
      <c r="AJ5153" s="80"/>
      <c r="AK5153" s="80"/>
      <c r="AL5153" s="35"/>
      <c r="AM5153" s="35"/>
      <c r="AN5153" s="35"/>
      <c r="AO5153" s="35"/>
      <c r="AP5153" s="35"/>
    </row>
    <row r="5154" spans="1:42" x14ac:dyDescent="0.2">
      <c r="A5154" s="126">
        <v>45598.50954165509</v>
      </c>
      <c r="B5154" s="137" t="s">
        <v>37</v>
      </c>
      <c r="C5154" s="41" t="s">
        <v>118</v>
      </c>
      <c r="D5154" s="80" t="s">
        <v>36</v>
      </c>
      <c r="E5154" s="80" t="s">
        <v>77</v>
      </c>
      <c r="F5154" s="80" t="s">
        <v>36</v>
      </c>
      <c r="G5154" s="80" t="s">
        <v>41</v>
      </c>
      <c r="H5154" s="80" t="s">
        <v>12700</v>
      </c>
      <c r="I5154" s="17">
        <f ca="1">IFERROR(__xludf.DUMMYFUNCTION("""COMPUTED_VALUE"""),45601)</f>
        <v>45601</v>
      </c>
      <c r="J5154" s="143" t="s">
        <v>17777</v>
      </c>
      <c r="K5154" s="80" t="s">
        <v>17778</v>
      </c>
      <c r="L5154" s="30">
        <v>367539662</v>
      </c>
      <c r="M5154" s="80" t="s">
        <v>17779</v>
      </c>
      <c r="N5154" s="80" t="s">
        <v>17780</v>
      </c>
      <c r="O5154" s="80" t="s">
        <v>17781</v>
      </c>
      <c r="P5154" s="80" t="s">
        <v>17782</v>
      </c>
      <c r="Q5154" s="20">
        <v>1968</v>
      </c>
      <c r="R5154" s="80" t="s">
        <v>36</v>
      </c>
      <c r="S5154" s="95">
        <f>200+1768</f>
        <v>1968</v>
      </c>
      <c r="T5154" s="83" t="s">
        <v>17783</v>
      </c>
      <c r="U5154" s="77"/>
      <c r="V5154" s="78"/>
      <c r="W5154" s="85" t="s">
        <v>17784</v>
      </c>
      <c r="X5154" s="80"/>
      <c r="Y5154" s="22">
        <v>0</v>
      </c>
      <c r="Z5154" s="80" t="s">
        <v>50</v>
      </c>
      <c r="AA5154" s="86" t="s">
        <v>14723</v>
      </c>
      <c r="AB5154" s="80"/>
      <c r="AC5154" s="80" t="s">
        <v>53</v>
      </c>
      <c r="AD5154" s="80" t="s">
        <v>54</v>
      </c>
      <c r="AE5154" s="80"/>
      <c r="AF5154" s="17">
        <v>45600</v>
      </c>
      <c r="AG5154" s="80"/>
      <c r="AH5154" s="80"/>
      <c r="AI5154" s="147"/>
      <c r="AJ5154" s="80"/>
      <c r="AK5154" s="80"/>
      <c r="AL5154" s="35"/>
      <c r="AM5154" s="35"/>
      <c r="AN5154" s="35"/>
      <c r="AO5154" s="35"/>
      <c r="AP5154" s="35"/>
    </row>
    <row r="5155" spans="1:42" x14ac:dyDescent="0.2">
      <c r="A5155" s="126">
        <v>45598.944326354162</v>
      </c>
      <c r="B5155" s="137" t="s">
        <v>37</v>
      </c>
      <c r="C5155" s="41" t="s">
        <v>118</v>
      </c>
      <c r="D5155" s="80" t="s">
        <v>36</v>
      </c>
      <c r="E5155" s="80" t="s">
        <v>119</v>
      </c>
      <c r="F5155" s="80" t="s">
        <v>36</v>
      </c>
      <c r="G5155" s="80" t="s">
        <v>108</v>
      </c>
      <c r="H5155" s="80" t="s">
        <v>13913</v>
      </c>
      <c r="I5155" s="17">
        <f ca="1">IFERROR(__xludf.DUMMYFUNCTION("""COMPUTED_VALUE"""),45602)</f>
        <v>45602</v>
      </c>
      <c r="J5155" s="143" t="s">
        <v>17785</v>
      </c>
      <c r="K5155" s="80" t="s">
        <v>17786</v>
      </c>
      <c r="L5155" s="30">
        <v>389487805</v>
      </c>
      <c r="M5155" s="80" t="s">
        <v>348</v>
      </c>
      <c r="N5155" s="80" t="s">
        <v>200</v>
      </c>
      <c r="O5155" s="80" t="s">
        <v>91</v>
      </c>
      <c r="P5155" s="80" t="s">
        <v>3117</v>
      </c>
      <c r="Q5155" s="20">
        <v>13968</v>
      </c>
      <c r="R5155" s="80" t="s">
        <v>36</v>
      </c>
      <c r="S5155" s="95">
        <v>2000</v>
      </c>
      <c r="T5155" s="148">
        <v>45598</v>
      </c>
      <c r="U5155" s="95">
        <v>11968</v>
      </c>
      <c r="V5155" s="148">
        <v>45618</v>
      </c>
      <c r="W5155" s="85" t="s">
        <v>17787</v>
      </c>
      <c r="X5155" s="80"/>
      <c r="Y5155" s="22">
        <v>0</v>
      </c>
      <c r="Z5155" s="80" t="s">
        <v>50</v>
      </c>
      <c r="AA5155" s="82" t="s">
        <v>14723</v>
      </c>
      <c r="AB5155" s="80"/>
      <c r="AC5155" s="80" t="s">
        <v>53</v>
      </c>
      <c r="AD5155" s="80" t="s">
        <v>138</v>
      </c>
      <c r="AE5155" s="83">
        <v>510</v>
      </c>
      <c r="AF5155" s="17">
        <v>45602</v>
      </c>
      <c r="AG5155" s="80" t="s">
        <v>13915</v>
      </c>
      <c r="AH5155" s="80"/>
      <c r="AI5155" s="147"/>
      <c r="AJ5155" s="80"/>
      <c r="AK5155" s="80"/>
      <c r="AL5155" s="35"/>
      <c r="AM5155" s="35"/>
      <c r="AN5155" s="35"/>
      <c r="AO5155" s="35"/>
      <c r="AP5155" s="35"/>
    </row>
    <row r="5156" spans="1:42" x14ac:dyDescent="0.2">
      <c r="A5156" s="126">
        <v>45598.958441249997</v>
      </c>
      <c r="B5156" s="137" t="s">
        <v>37</v>
      </c>
      <c r="C5156" s="41" t="s">
        <v>118</v>
      </c>
      <c r="D5156" s="80" t="s">
        <v>36</v>
      </c>
      <c r="E5156" s="80" t="s">
        <v>219</v>
      </c>
      <c r="F5156" s="80" t="s">
        <v>36</v>
      </c>
      <c r="G5156" s="80" t="s">
        <v>221</v>
      </c>
      <c r="H5156" s="80" t="s">
        <v>17788</v>
      </c>
      <c r="I5156" s="17" t="str">
        <f ca="1">IFERROR(__xludf.DUMMYFUNCTION("""COMPUTED_VALUE""")," ")</f>
        <v xml:space="preserve"> </v>
      </c>
      <c r="J5156" s="143" t="s">
        <v>17789</v>
      </c>
      <c r="K5156" s="80" t="s">
        <v>17790</v>
      </c>
      <c r="L5156" s="30">
        <v>356110763</v>
      </c>
      <c r="M5156" s="80" t="s">
        <v>348</v>
      </c>
      <c r="N5156" s="80" t="s">
        <v>4299</v>
      </c>
      <c r="O5156" s="80" t="s">
        <v>17791</v>
      </c>
      <c r="P5156" s="80" t="s">
        <v>17792</v>
      </c>
      <c r="Q5156" s="20">
        <v>3968</v>
      </c>
      <c r="R5156" s="80" t="s">
        <v>36</v>
      </c>
      <c r="S5156" s="95">
        <v>3968</v>
      </c>
      <c r="T5156" s="148">
        <v>45598</v>
      </c>
      <c r="U5156" s="77"/>
      <c r="V5156" s="78"/>
      <c r="W5156" s="85" t="s">
        <v>17793</v>
      </c>
      <c r="X5156" s="80"/>
      <c r="Y5156" s="22">
        <v>0</v>
      </c>
      <c r="Z5156" s="80" t="s">
        <v>50</v>
      </c>
      <c r="AA5156" s="86" t="s">
        <v>14723</v>
      </c>
      <c r="AB5156" s="80"/>
      <c r="AC5156" s="80" t="s">
        <v>53</v>
      </c>
      <c r="AD5156" s="80" t="s">
        <v>54</v>
      </c>
      <c r="AE5156" s="80" t="s">
        <v>3554</v>
      </c>
      <c r="AF5156" s="17">
        <v>45600</v>
      </c>
      <c r="AG5156" s="80"/>
      <c r="AH5156" s="80"/>
      <c r="AI5156" s="147"/>
      <c r="AJ5156" s="80"/>
      <c r="AK5156" s="80"/>
      <c r="AL5156" s="35"/>
      <c r="AM5156" s="35"/>
      <c r="AN5156" s="35"/>
      <c r="AO5156" s="35"/>
      <c r="AP5156" s="35"/>
    </row>
    <row r="5157" spans="1:42" x14ac:dyDescent="0.2">
      <c r="A5157" s="126">
        <v>45598.962022997686</v>
      </c>
      <c r="B5157" s="137" t="s">
        <v>37</v>
      </c>
      <c r="C5157" s="41" t="s">
        <v>118</v>
      </c>
      <c r="D5157" s="80" t="s">
        <v>36</v>
      </c>
      <c r="E5157" s="80" t="s">
        <v>56</v>
      </c>
      <c r="F5157" s="80" t="s">
        <v>36</v>
      </c>
      <c r="G5157" s="80" t="s">
        <v>41</v>
      </c>
      <c r="H5157" s="80" t="s">
        <v>12700</v>
      </c>
      <c r="I5157" s="17">
        <f ca="1">IFERROR(__xludf.DUMMYFUNCTION("""COMPUTED_VALUE"""),45601)</f>
        <v>45601</v>
      </c>
      <c r="J5157" s="143" t="s">
        <v>17794</v>
      </c>
      <c r="K5157" s="80" t="s">
        <v>17795</v>
      </c>
      <c r="L5157" s="30">
        <v>931768068</v>
      </c>
      <c r="M5157" s="80" t="s">
        <v>59</v>
      </c>
      <c r="N5157" s="80" t="s">
        <v>9301</v>
      </c>
      <c r="O5157" s="80" t="s">
        <v>17796</v>
      </c>
      <c r="P5157" s="80" t="s">
        <v>17797</v>
      </c>
      <c r="Q5157" s="20">
        <v>9317</v>
      </c>
      <c r="R5157" s="80" t="s">
        <v>36</v>
      </c>
      <c r="S5157" s="95">
        <v>2000</v>
      </c>
      <c r="T5157" s="148">
        <v>45598</v>
      </c>
      <c r="U5157" s="95">
        <v>7317</v>
      </c>
      <c r="V5157" s="148">
        <v>45622</v>
      </c>
      <c r="W5157" s="85" t="s">
        <v>17798</v>
      </c>
      <c r="X5157" s="80"/>
      <c r="Y5157" s="22">
        <v>0</v>
      </c>
      <c r="Z5157" s="80" t="s">
        <v>50</v>
      </c>
      <c r="AA5157" s="82" t="s">
        <v>14723</v>
      </c>
      <c r="AB5157" s="80"/>
      <c r="AC5157" s="80" t="s">
        <v>53</v>
      </c>
      <c r="AD5157" s="80" t="s">
        <v>54</v>
      </c>
      <c r="AE5157" s="80" t="s">
        <v>16312</v>
      </c>
      <c r="AF5157" s="17">
        <v>45600</v>
      </c>
      <c r="AG5157" s="80"/>
      <c r="AH5157" s="80"/>
      <c r="AI5157" s="147"/>
      <c r="AJ5157" s="80"/>
      <c r="AK5157" s="80"/>
      <c r="AL5157" s="35"/>
      <c r="AM5157" s="35"/>
      <c r="AN5157" s="35"/>
      <c r="AO5157" s="35"/>
      <c r="AP5157" s="35"/>
    </row>
    <row r="5158" spans="1:42" x14ac:dyDescent="0.2">
      <c r="A5158" s="126">
        <v>45598.965381516202</v>
      </c>
      <c r="B5158" s="137" t="s">
        <v>37</v>
      </c>
      <c r="C5158" s="41" t="s">
        <v>118</v>
      </c>
      <c r="D5158" s="80" t="s">
        <v>36</v>
      </c>
      <c r="E5158" s="80" t="s">
        <v>139</v>
      </c>
      <c r="F5158" s="80" t="s">
        <v>36</v>
      </c>
      <c r="G5158" s="80" t="s">
        <v>41</v>
      </c>
      <c r="H5158" s="80" t="s">
        <v>14051</v>
      </c>
      <c r="I5158" s="17">
        <f ca="1">IFERROR(__xludf.DUMMYFUNCTION("""COMPUTED_VALUE"""),45615)</f>
        <v>45615</v>
      </c>
      <c r="J5158" s="143" t="s">
        <v>17799</v>
      </c>
      <c r="K5158" s="80" t="s">
        <v>17800</v>
      </c>
      <c r="L5158" s="30">
        <v>972028917</v>
      </c>
      <c r="M5158" s="80" t="s">
        <v>59</v>
      </c>
      <c r="N5158" s="80" t="s">
        <v>17801</v>
      </c>
      <c r="O5158" s="80" t="s">
        <v>17802</v>
      </c>
      <c r="P5158" s="80" t="s">
        <v>3694</v>
      </c>
      <c r="Q5158" s="20">
        <v>15936</v>
      </c>
      <c r="R5158" s="80" t="s">
        <v>36</v>
      </c>
      <c r="S5158" s="95">
        <v>2000</v>
      </c>
      <c r="T5158" s="148">
        <v>45598</v>
      </c>
      <c r="U5158" s="95">
        <v>13963</v>
      </c>
      <c r="V5158" s="148">
        <v>45623</v>
      </c>
      <c r="W5158" s="85" t="s">
        <v>17803</v>
      </c>
      <c r="X5158" s="80"/>
      <c r="Y5158" s="22">
        <v>-27</v>
      </c>
      <c r="Z5158" s="80" t="s">
        <v>50</v>
      </c>
      <c r="AA5158" s="86" t="s">
        <v>14723</v>
      </c>
      <c r="AB5158" s="80"/>
      <c r="AC5158" s="80" t="s">
        <v>53</v>
      </c>
      <c r="AD5158" s="80" t="s">
        <v>138</v>
      </c>
      <c r="AE5158" s="80" t="s">
        <v>13558</v>
      </c>
      <c r="AF5158" s="43">
        <v>45615</v>
      </c>
      <c r="AG5158" s="80"/>
      <c r="AH5158" s="80"/>
      <c r="AI5158" s="147"/>
      <c r="AJ5158" s="80"/>
      <c r="AK5158" s="80"/>
      <c r="AL5158" s="35"/>
      <c r="AM5158" s="35"/>
      <c r="AN5158" s="35"/>
      <c r="AO5158" s="35"/>
      <c r="AP5158" s="35"/>
    </row>
    <row r="5159" spans="1:42" x14ac:dyDescent="0.2">
      <c r="A5159" s="126">
        <v>45599.376673171297</v>
      </c>
      <c r="B5159" s="137" t="s">
        <v>37</v>
      </c>
      <c r="C5159" s="41" t="s">
        <v>118</v>
      </c>
      <c r="D5159" s="80" t="s">
        <v>36</v>
      </c>
      <c r="E5159" s="80" t="s">
        <v>139</v>
      </c>
      <c r="F5159" s="80" t="s">
        <v>36</v>
      </c>
      <c r="G5159" s="80" t="s">
        <v>41</v>
      </c>
      <c r="H5159" s="80" t="s">
        <v>12700</v>
      </c>
      <c r="I5159" s="17">
        <f ca="1">IFERROR(__xludf.DUMMYFUNCTION("""COMPUTED_VALUE"""),45601)</f>
        <v>45601</v>
      </c>
      <c r="J5159" s="143" t="s">
        <v>17804</v>
      </c>
      <c r="K5159" s="80" t="s">
        <v>17805</v>
      </c>
      <c r="L5159" s="30">
        <v>329635559</v>
      </c>
      <c r="M5159" s="80" t="s">
        <v>15996</v>
      </c>
      <c r="N5159" s="80" t="s">
        <v>186</v>
      </c>
      <c r="O5159" s="80" t="s">
        <v>4503</v>
      </c>
      <c r="P5159" s="80" t="s">
        <v>17806</v>
      </c>
      <c r="Q5159" s="20">
        <v>15936</v>
      </c>
      <c r="R5159" s="80" t="s">
        <v>36</v>
      </c>
      <c r="S5159" s="95">
        <f>200+7800</f>
        <v>8000</v>
      </c>
      <c r="T5159" s="83" t="s">
        <v>17783</v>
      </c>
      <c r="U5159" s="95">
        <v>7936</v>
      </c>
      <c r="V5159" s="148">
        <v>45620</v>
      </c>
      <c r="W5159" s="85" t="s">
        <v>17807</v>
      </c>
      <c r="X5159" s="80"/>
      <c r="Y5159" s="22">
        <v>0</v>
      </c>
      <c r="Z5159" s="80" t="s">
        <v>50</v>
      </c>
      <c r="AA5159" s="82" t="s">
        <v>14723</v>
      </c>
      <c r="AB5159" s="80"/>
      <c r="AC5159" s="80" t="s">
        <v>53</v>
      </c>
      <c r="AD5159" s="80" t="s">
        <v>138</v>
      </c>
      <c r="AE5159" s="80"/>
      <c r="AF5159" s="17">
        <v>45600</v>
      </c>
      <c r="AG5159" s="80"/>
      <c r="AH5159" s="80"/>
      <c r="AI5159" s="147"/>
      <c r="AJ5159" s="80"/>
      <c r="AK5159" s="80"/>
      <c r="AL5159" s="35"/>
      <c r="AM5159" s="35"/>
      <c r="AN5159" s="35"/>
      <c r="AO5159" s="35"/>
      <c r="AP5159" s="35"/>
    </row>
    <row r="5160" spans="1:42" x14ac:dyDescent="0.2">
      <c r="A5160" s="126">
        <v>45599.855276782408</v>
      </c>
      <c r="B5160" s="137" t="s">
        <v>37</v>
      </c>
      <c r="C5160" s="41" t="s">
        <v>118</v>
      </c>
      <c r="D5160" s="80" t="s">
        <v>77</v>
      </c>
      <c r="E5160" s="80" t="s">
        <v>106</v>
      </c>
      <c r="F5160" s="80" t="s">
        <v>13106</v>
      </c>
      <c r="G5160" s="80" t="s">
        <v>108</v>
      </c>
      <c r="H5160" s="80" t="s">
        <v>14370</v>
      </c>
      <c r="I5160" s="17">
        <f ca="1">IFERROR(__xludf.DUMMYFUNCTION("""COMPUTED_VALUE"""),45606)</f>
        <v>45606</v>
      </c>
      <c r="J5160" s="143" t="s">
        <v>13111</v>
      </c>
      <c r="K5160" s="80" t="s">
        <v>17808</v>
      </c>
      <c r="L5160" s="30">
        <v>376798541</v>
      </c>
      <c r="M5160" s="80" t="s">
        <v>910</v>
      </c>
      <c r="N5160" s="80" t="s">
        <v>355</v>
      </c>
      <c r="O5160" s="80" t="s">
        <v>91</v>
      </c>
      <c r="P5160" s="80" t="s">
        <v>17809</v>
      </c>
      <c r="Q5160" s="20">
        <v>3768</v>
      </c>
      <c r="R5160" s="80" t="s">
        <v>36</v>
      </c>
      <c r="S5160" s="95">
        <v>3868</v>
      </c>
      <c r="T5160" s="148">
        <v>45599</v>
      </c>
      <c r="U5160" s="77"/>
      <c r="V5160" s="78"/>
      <c r="W5160" s="85" t="s">
        <v>17810</v>
      </c>
      <c r="X5160" s="80"/>
      <c r="Y5160" s="22">
        <v>-100</v>
      </c>
      <c r="Z5160" s="80" t="s">
        <v>50</v>
      </c>
      <c r="AA5160" s="86" t="s">
        <v>14723</v>
      </c>
      <c r="AB5160" s="80"/>
      <c r="AC5160" s="80" t="s">
        <v>53</v>
      </c>
      <c r="AD5160" s="80" t="s">
        <v>138</v>
      </c>
      <c r="AE5160" s="80" t="s">
        <v>13106</v>
      </c>
      <c r="AF5160" s="17">
        <v>45600</v>
      </c>
      <c r="AG5160" s="80"/>
      <c r="AH5160" s="80"/>
      <c r="AI5160" s="147"/>
      <c r="AJ5160" s="80"/>
      <c r="AK5160" s="80"/>
      <c r="AL5160" s="35"/>
      <c r="AM5160" s="35"/>
      <c r="AN5160" s="35"/>
      <c r="AO5160" s="35"/>
      <c r="AP5160" s="35"/>
    </row>
    <row r="5161" spans="1:42" x14ac:dyDescent="0.2">
      <c r="A5161" s="126">
        <v>45599.925183553241</v>
      </c>
      <c r="B5161" s="137" t="s">
        <v>37</v>
      </c>
      <c r="C5161" s="41" t="s">
        <v>118</v>
      </c>
      <c r="D5161" s="80" t="s">
        <v>36</v>
      </c>
      <c r="E5161" s="80" t="s">
        <v>148</v>
      </c>
      <c r="F5161" s="80" t="s">
        <v>36</v>
      </c>
      <c r="G5161" s="80" t="s">
        <v>108</v>
      </c>
      <c r="H5161" s="80" t="s">
        <v>13987</v>
      </c>
      <c r="I5161" s="17">
        <f ca="1">IFERROR(__xludf.DUMMYFUNCTION("""COMPUTED_VALUE"""),45610)</f>
        <v>45610</v>
      </c>
      <c r="J5161" s="143" t="s">
        <v>17811</v>
      </c>
      <c r="K5161" s="80" t="s">
        <v>9526</v>
      </c>
      <c r="L5161" s="30">
        <v>973434206</v>
      </c>
      <c r="M5161" s="80" t="s">
        <v>348</v>
      </c>
      <c r="N5161" s="80" t="s">
        <v>68</v>
      </c>
      <c r="O5161" s="80" t="s">
        <v>17812</v>
      </c>
      <c r="P5161" s="80" t="s">
        <v>17813</v>
      </c>
      <c r="Q5161" s="20">
        <v>7349</v>
      </c>
      <c r="R5161" s="80" t="s">
        <v>36</v>
      </c>
      <c r="S5161" s="95">
        <v>7349</v>
      </c>
      <c r="T5161" s="148">
        <v>45599</v>
      </c>
      <c r="U5161" s="77"/>
      <c r="V5161" s="78"/>
      <c r="W5161" s="85" t="s">
        <v>17814</v>
      </c>
      <c r="X5161" s="80"/>
      <c r="Y5161" s="22">
        <v>0</v>
      </c>
      <c r="Z5161" s="80" t="s">
        <v>50</v>
      </c>
      <c r="AA5161" s="82" t="s">
        <v>14723</v>
      </c>
      <c r="AB5161" s="80"/>
      <c r="AC5161" s="80" t="s">
        <v>53</v>
      </c>
      <c r="AD5161" s="80" t="s">
        <v>54</v>
      </c>
      <c r="AE5161" s="80" t="s">
        <v>3554</v>
      </c>
      <c r="AF5161" s="17">
        <v>45605</v>
      </c>
      <c r="AG5161" s="80"/>
      <c r="AH5161" s="80"/>
      <c r="AI5161" s="147"/>
      <c r="AJ5161" s="80"/>
      <c r="AK5161" s="80"/>
      <c r="AL5161" s="35"/>
      <c r="AM5161" s="35"/>
      <c r="AN5161" s="35"/>
      <c r="AO5161" s="35"/>
      <c r="AP5161" s="35"/>
    </row>
    <row r="5162" spans="1:42" x14ac:dyDescent="0.2">
      <c r="A5162" s="126">
        <v>45600.467914212961</v>
      </c>
      <c r="B5162" s="137" t="s">
        <v>37</v>
      </c>
      <c r="C5162" s="41" t="s">
        <v>118</v>
      </c>
      <c r="D5162" s="80" t="s">
        <v>36</v>
      </c>
      <c r="E5162" s="80" t="s">
        <v>56</v>
      </c>
      <c r="F5162" s="80" t="s">
        <v>36</v>
      </c>
      <c r="G5162" s="80" t="s">
        <v>41</v>
      </c>
      <c r="H5162" s="80" t="s">
        <v>14051</v>
      </c>
      <c r="I5162" s="17">
        <f ca="1">IFERROR(__xludf.DUMMYFUNCTION("""COMPUTED_VALUE"""),45615)</f>
        <v>45615</v>
      </c>
      <c r="J5162" s="143" t="s">
        <v>17815</v>
      </c>
      <c r="K5162" s="80" t="s">
        <v>17816</v>
      </c>
      <c r="L5162" s="188">
        <v>862393211</v>
      </c>
      <c r="M5162" s="80" t="s">
        <v>9422</v>
      </c>
      <c r="N5162" s="80" t="s">
        <v>327</v>
      </c>
      <c r="O5162" s="80" t="s">
        <v>11607</v>
      </c>
      <c r="P5162" s="80" t="s">
        <v>11608</v>
      </c>
      <c r="Q5162" s="20">
        <v>9317</v>
      </c>
      <c r="R5162" s="80" t="s">
        <v>36</v>
      </c>
      <c r="S5162" s="95">
        <f>500+3500</f>
        <v>4000</v>
      </c>
      <c r="T5162" s="83" t="s">
        <v>17817</v>
      </c>
      <c r="U5162" s="95">
        <v>5317</v>
      </c>
      <c r="V5162" s="148">
        <v>45619</v>
      </c>
      <c r="W5162" s="85" t="s">
        <v>17818</v>
      </c>
      <c r="X5162" s="80"/>
      <c r="Y5162" s="22">
        <v>0</v>
      </c>
      <c r="Z5162" s="80" t="s">
        <v>50</v>
      </c>
      <c r="AA5162" s="86" t="s">
        <v>14723</v>
      </c>
      <c r="AB5162" s="80"/>
      <c r="AC5162" s="80" t="s">
        <v>53</v>
      </c>
      <c r="AD5162" s="80" t="s">
        <v>138</v>
      </c>
      <c r="AE5162" s="80"/>
      <c r="AF5162" s="43">
        <v>45615</v>
      </c>
      <c r="AG5162" s="80"/>
      <c r="AH5162" s="80"/>
      <c r="AI5162" s="147"/>
      <c r="AJ5162" s="80"/>
      <c r="AK5162" s="80"/>
      <c r="AL5162" s="35"/>
      <c r="AM5162" s="35"/>
      <c r="AN5162" s="35"/>
      <c r="AO5162" s="35"/>
      <c r="AP5162" s="35"/>
    </row>
    <row r="5163" spans="1:42" x14ac:dyDescent="0.2">
      <c r="A5163" s="126">
        <v>45600.946909259263</v>
      </c>
      <c r="B5163" s="137" t="s">
        <v>37</v>
      </c>
      <c r="C5163" s="41" t="s">
        <v>118</v>
      </c>
      <c r="D5163" s="80" t="s">
        <v>36</v>
      </c>
      <c r="E5163" s="80" t="s">
        <v>219</v>
      </c>
      <c r="F5163" s="80" t="s">
        <v>40</v>
      </c>
      <c r="G5163" s="80" t="s">
        <v>221</v>
      </c>
      <c r="H5163" s="80" t="s">
        <v>13508</v>
      </c>
      <c r="I5163" s="17">
        <f ca="1">IFERROR(__xludf.DUMMYFUNCTION("""COMPUTED_VALUE"""),45604)</f>
        <v>45604</v>
      </c>
      <c r="J5163" s="143" t="s">
        <v>17819</v>
      </c>
      <c r="K5163" s="80" t="s">
        <v>17820</v>
      </c>
      <c r="L5163" s="30">
        <v>829884646</v>
      </c>
      <c r="M5163" s="80" t="s">
        <v>348</v>
      </c>
      <c r="N5163" s="80" t="s">
        <v>4299</v>
      </c>
      <c r="O5163" s="80" t="s">
        <v>17821</v>
      </c>
      <c r="P5163" s="80" t="s">
        <v>17822</v>
      </c>
      <c r="Q5163" s="20">
        <v>3968</v>
      </c>
      <c r="R5163" s="80" t="s">
        <v>36</v>
      </c>
      <c r="S5163" s="95">
        <v>3968</v>
      </c>
      <c r="T5163" s="148">
        <v>45600</v>
      </c>
      <c r="U5163" s="77"/>
      <c r="V5163" s="78"/>
      <c r="W5163" s="85" t="s">
        <v>17823</v>
      </c>
      <c r="X5163" s="80"/>
      <c r="Y5163" s="22">
        <v>0</v>
      </c>
      <c r="Z5163" s="80" t="s">
        <v>50</v>
      </c>
      <c r="AA5163" s="82" t="s">
        <v>14723</v>
      </c>
      <c r="AB5163" s="80"/>
      <c r="AC5163" s="80" t="s">
        <v>53</v>
      </c>
      <c r="AD5163" s="80" t="s">
        <v>54</v>
      </c>
      <c r="AE5163" s="80" t="s">
        <v>3554</v>
      </c>
      <c r="AF5163" s="17">
        <v>45601</v>
      </c>
      <c r="AG5163" s="80"/>
      <c r="AH5163" s="80"/>
      <c r="AI5163" s="147"/>
      <c r="AJ5163" s="80"/>
      <c r="AK5163" s="80"/>
      <c r="AL5163" s="35"/>
      <c r="AM5163" s="35"/>
      <c r="AN5163" s="35"/>
      <c r="AO5163" s="35"/>
      <c r="AP5163" s="35"/>
    </row>
    <row r="5164" spans="1:42" x14ac:dyDescent="0.2">
      <c r="A5164" s="126">
        <v>45601.050978252315</v>
      </c>
      <c r="B5164" s="137" t="s">
        <v>37</v>
      </c>
      <c r="C5164" s="41" t="s">
        <v>118</v>
      </c>
      <c r="D5164" s="80" t="s">
        <v>36</v>
      </c>
      <c r="E5164" s="80" t="s">
        <v>139</v>
      </c>
      <c r="F5164" s="26" t="s">
        <v>36</v>
      </c>
      <c r="G5164" s="26" t="s">
        <v>41</v>
      </c>
      <c r="H5164" s="80" t="s">
        <v>13143</v>
      </c>
      <c r="I5164" s="17">
        <f ca="1">IFERROR(__xludf.DUMMYFUNCTION("""COMPUTED_VALUE"""),45604)</f>
        <v>45604</v>
      </c>
      <c r="J5164" s="143" t="s">
        <v>17824</v>
      </c>
      <c r="K5164" s="80" t="s">
        <v>17825</v>
      </c>
      <c r="L5164" s="30">
        <v>355994678</v>
      </c>
      <c r="M5164" s="80" t="s">
        <v>17779</v>
      </c>
      <c r="N5164" s="80" t="s">
        <v>186</v>
      </c>
      <c r="O5164" s="80" t="s">
        <v>17826</v>
      </c>
      <c r="P5164" s="80" t="s">
        <v>17827</v>
      </c>
      <c r="Q5164" s="20">
        <v>15936</v>
      </c>
      <c r="R5164" s="80" t="s">
        <v>36</v>
      </c>
      <c r="S5164" s="95">
        <v>8000</v>
      </c>
      <c r="T5164" s="148">
        <v>45600</v>
      </c>
      <c r="U5164" s="95">
        <v>7936</v>
      </c>
      <c r="V5164" s="148">
        <v>45624</v>
      </c>
      <c r="W5164" s="85" t="s">
        <v>17828</v>
      </c>
      <c r="X5164" s="80"/>
      <c r="Y5164" s="22">
        <v>0</v>
      </c>
      <c r="Z5164" s="80" t="s">
        <v>50</v>
      </c>
      <c r="AA5164" s="86" t="s">
        <v>14723</v>
      </c>
      <c r="AB5164" s="80"/>
      <c r="AC5164" s="80" t="s">
        <v>53</v>
      </c>
      <c r="AD5164" s="80" t="s">
        <v>138</v>
      </c>
      <c r="AE5164" s="80" t="s">
        <v>15557</v>
      </c>
      <c r="AF5164" s="17">
        <v>45604</v>
      </c>
      <c r="AG5164" s="80"/>
      <c r="AH5164" s="80"/>
      <c r="AI5164" s="147"/>
      <c r="AJ5164" s="80"/>
      <c r="AK5164" s="80"/>
      <c r="AL5164" s="35"/>
      <c r="AM5164" s="35"/>
      <c r="AN5164" s="35"/>
      <c r="AO5164" s="35"/>
      <c r="AP5164" s="35"/>
    </row>
    <row r="5165" spans="1:42" x14ac:dyDescent="0.2">
      <c r="A5165" s="126">
        <v>45601.321907442129</v>
      </c>
      <c r="B5165" s="137" t="s">
        <v>37</v>
      </c>
      <c r="C5165" s="41" t="s">
        <v>118</v>
      </c>
      <c r="D5165" s="80" t="s">
        <v>36</v>
      </c>
      <c r="E5165" s="80" t="s">
        <v>106</v>
      </c>
      <c r="F5165" s="80" t="s">
        <v>17829</v>
      </c>
      <c r="G5165" s="80" t="s">
        <v>108</v>
      </c>
      <c r="H5165" s="80" t="s">
        <v>13913</v>
      </c>
      <c r="I5165" s="17">
        <f ca="1">IFERROR(__xludf.DUMMYFUNCTION("""COMPUTED_VALUE"""),45602)</f>
        <v>45602</v>
      </c>
      <c r="J5165" s="143" t="s">
        <v>17830</v>
      </c>
      <c r="K5165" s="80" t="s">
        <v>17831</v>
      </c>
      <c r="L5165" s="30">
        <v>338804380</v>
      </c>
      <c r="M5165" s="80" t="s">
        <v>3288</v>
      </c>
      <c r="N5165" s="80" t="s">
        <v>8331</v>
      </c>
      <c r="O5165" s="80" t="s">
        <v>40</v>
      </c>
      <c r="P5165" s="80" t="s">
        <v>17832</v>
      </c>
      <c r="Q5165" s="20">
        <v>3768</v>
      </c>
      <c r="R5165" s="80" t="s">
        <v>36</v>
      </c>
      <c r="S5165" s="95">
        <f>1000+2668</f>
        <v>3668</v>
      </c>
      <c r="T5165" s="83" t="s">
        <v>17833</v>
      </c>
      <c r="U5165" s="77"/>
      <c r="V5165" s="78"/>
      <c r="W5165" s="85" t="s">
        <v>17834</v>
      </c>
      <c r="X5165" s="80"/>
      <c r="Y5165" s="22">
        <v>100</v>
      </c>
      <c r="Z5165" s="80" t="s">
        <v>50</v>
      </c>
      <c r="AA5165" s="82" t="s">
        <v>14723</v>
      </c>
      <c r="AB5165" s="80" t="s">
        <v>17835</v>
      </c>
      <c r="AC5165" s="80" t="s">
        <v>53</v>
      </c>
      <c r="AD5165" s="80" t="s">
        <v>138</v>
      </c>
      <c r="AE5165" s="83">
        <v>400</v>
      </c>
      <c r="AF5165" s="17">
        <v>45602</v>
      </c>
      <c r="AG5165" s="80" t="s">
        <v>13915</v>
      </c>
      <c r="AH5165" s="80"/>
      <c r="AI5165" s="147"/>
      <c r="AJ5165" s="80"/>
      <c r="AK5165" s="80"/>
      <c r="AL5165" s="35"/>
      <c r="AM5165" s="35"/>
      <c r="AN5165" s="35"/>
      <c r="AO5165" s="35"/>
      <c r="AP5165" s="35"/>
    </row>
    <row r="5166" spans="1:42" x14ac:dyDescent="0.2">
      <c r="A5166" s="126">
        <v>45601.559738078708</v>
      </c>
      <c r="B5166" s="137" t="s">
        <v>37</v>
      </c>
      <c r="C5166" s="41" t="s">
        <v>118</v>
      </c>
      <c r="D5166" s="80" t="s">
        <v>36</v>
      </c>
      <c r="E5166" s="80" t="s">
        <v>119</v>
      </c>
      <c r="F5166" s="80" t="s">
        <v>36</v>
      </c>
      <c r="G5166" s="80" t="s">
        <v>108</v>
      </c>
      <c r="H5166" s="80" t="s">
        <v>14007</v>
      </c>
      <c r="I5166" s="17">
        <f ca="1">IFERROR(__xludf.DUMMYFUNCTION("""COMPUTED_VALUE"""),45603)</f>
        <v>45603</v>
      </c>
      <c r="J5166" s="143" t="s">
        <v>17836</v>
      </c>
      <c r="K5166" s="80" t="s">
        <v>17837</v>
      </c>
      <c r="L5166" s="30">
        <v>335681683</v>
      </c>
      <c r="M5166" s="80" t="s">
        <v>45</v>
      </c>
      <c r="N5166" s="80" t="s">
        <v>12712</v>
      </c>
      <c r="O5166" s="80" t="s">
        <v>17838</v>
      </c>
      <c r="P5166" s="80" t="s">
        <v>3694</v>
      </c>
      <c r="Q5166" s="20">
        <v>13968</v>
      </c>
      <c r="R5166" s="80" t="s">
        <v>36</v>
      </c>
      <c r="S5166" s="95">
        <v>14000</v>
      </c>
      <c r="T5166" s="148">
        <v>45601</v>
      </c>
      <c r="U5166" s="77"/>
      <c r="V5166" s="78"/>
      <c r="W5166" s="85" t="s">
        <v>17839</v>
      </c>
      <c r="X5166" s="80"/>
      <c r="Y5166" s="22">
        <v>-32</v>
      </c>
      <c r="Z5166" s="80" t="s">
        <v>50</v>
      </c>
      <c r="AA5166" s="86" t="s">
        <v>14723</v>
      </c>
      <c r="AB5166" s="80"/>
      <c r="AC5166" s="80" t="s">
        <v>53</v>
      </c>
      <c r="AD5166" s="80" t="s">
        <v>138</v>
      </c>
      <c r="AE5166" s="83">
        <v>350</v>
      </c>
      <c r="AF5166" s="17">
        <v>45603</v>
      </c>
      <c r="AG5166" s="80"/>
      <c r="AH5166" s="80"/>
      <c r="AI5166" s="147"/>
      <c r="AJ5166" s="80"/>
      <c r="AK5166" s="80"/>
      <c r="AL5166" s="35"/>
      <c r="AM5166" s="35"/>
      <c r="AN5166" s="35"/>
      <c r="AO5166" s="35"/>
      <c r="AP5166" s="35"/>
    </row>
    <row r="5167" spans="1:42" x14ac:dyDescent="0.2">
      <c r="A5167" s="126">
        <v>45601.749032083331</v>
      </c>
      <c r="B5167" s="137" t="s">
        <v>37</v>
      </c>
      <c r="C5167" s="41" t="s">
        <v>118</v>
      </c>
      <c r="D5167" s="80" t="s">
        <v>36</v>
      </c>
      <c r="E5167" s="80" t="s">
        <v>106</v>
      </c>
      <c r="F5167" s="80" t="s">
        <v>36</v>
      </c>
      <c r="G5167" s="80" t="s">
        <v>108</v>
      </c>
      <c r="H5167" s="80" t="s">
        <v>14066</v>
      </c>
      <c r="I5167" s="17">
        <f ca="1">IFERROR(__xludf.DUMMYFUNCTION("""COMPUTED_VALUE"""),45604)</f>
        <v>45604</v>
      </c>
      <c r="J5167" s="143" t="s">
        <v>17840</v>
      </c>
      <c r="K5167" s="80" t="s">
        <v>17841</v>
      </c>
      <c r="L5167" s="30">
        <v>976607625</v>
      </c>
      <c r="M5167" s="80" t="s">
        <v>45</v>
      </c>
      <c r="N5167" s="80" t="s">
        <v>2847</v>
      </c>
      <c r="O5167" s="80" t="s">
        <v>17842</v>
      </c>
      <c r="P5167" s="80" t="s">
        <v>7743</v>
      </c>
      <c r="Q5167" s="20">
        <v>3768</v>
      </c>
      <c r="R5167" s="80" t="s">
        <v>36</v>
      </c>
      <c r="S5167" s="95">
        <v>3768</v>
      </c>
      <c r="T5167" s="148">
        <v>45601</v>
      </c>
      <c r="U5167" s="77"/>
      <c r="V5167" s="78"/>
      <c r="W5167" s="85" t="s">
        <v>17843</v>
      </c>
      <c r="X5167" s="80"/>
      <c r="Y5167" s="22">
        <v>0</v>
      </c>
      <c r="Z5167" s="80" t="s">
        <v>50</v>
      </c>
      <c r="AA5167" s="82" t="s">
        <v>14723</v>
      </c>
      <c r="AB5167" s="80"/>
      <c r="AC5167" s="80" t="s">
        <v>53</v>
      </c>
      <c r="AD5167" s="80" t="s">
        <v>138</v>
      </c>
      <c r="AE5167" s="83">
        <v>350</v>
      </c>
      <c r="AF5167" s="60" t="s">
        <v>14072</v>
      </c>
      <c r="AG5167" s="80"/>
      <c r="AH5167" s="80"/>
      <c r="AI5167" s="147"/>
      <c r="AJ5167" s="80"/>
      <c r="AK5167" s="80"/>
      <c r="AL5167" s="35"/>
      <c r="AM5167" s="35"/>
      <c r="AN5167" s="35"/>
      <c r="AO5167" s="35"/>
      <c r="AP5167" s="35"/>
    </row>
    <row r="5168" spans="1:42" x14ac:dyDescent="0.2">
      <c r="A5168" s="126">
        <v>45601.816281689811</v>
      </c>
      <c r="B5168" s="137" t="s">
        <v>37</v>
      </c>
      <c r="C5168" s="41" t="s">
        <v>118</v>
      </c>
      <c r="D5168" s="80" t="s">
        <v>77</v>
      </c>
      <c r="E5168" s="80" t="s">
        <v>106</v>
      </c>
      <c r="F5168" s="80" t="s">
        <v>9177</v>
      </c>
      <c r="G5168" s="80" t="s">
        <v>108</v>
      </c>
      <c r="H5168" s="80" t="s">
        <v>8702</v>
      </c>
      <c r="I5168" s="17">
        <f ca="1">IFERROR(__xludf.DUMMYFUNCTION("""COMPUTED_VALUE"""),45608)</f>
        <v>45608</v>
      </c>
      <c r="J5168" s="143" t="s">
        <v>17844</v>
      </c>
      <c r="K5168" s="80" t="s">
        <v>11876</v>
      </c>
      <c r="L5168" s="30">
        <v>372715491</v>
      </c>
      <c r="M5168" s="80" t="s">
        <v>17759</v>
      </c>
      <c r="N5168" s="80" t="s">
        <v>2756</v>
      </c>
      <c r="O5168" s="80" t="s">
        <v>8140</v>
      </c>
      <c r="P5168" s="80" t="s">
        <v>17845</v>
      </c>
      <c r="Q5168" s="20">
        <v>3768</v>
      </c>
      <c r="R5168" s="80" t="s">
        <v>36</v>
      </c>
      <c r="S5168" s="95">
        <f>200+3568</f>
        <v>3768</v>
      </c>
      <c r="T5168" s="83" t="s">
        <v>17846</v>
      </c>
      <c r="U5168" s="77"/>
      <c r="V5168" s="78"/>
      <c r="W5168" s="85" t="s">
        <v>17847</v>
      </c>
      <c r="X5168" s="80"/>
      <c r="Y5168" s="22">
        <v>0</v>
      </c>
      <c r="Z5168" s="80" t="s">
        <v>50</v>
      </c>
      <c r="AA5168" s="86" t="s">
        <v>14723</v>
      </c>
      <c r="AB5168" s="80"/>
      <c r="AC5168" s="80" t="s">
        <v>53</v>
      </c>
      <c r="AD5168" s="80" t="s">
        <v>138</v>
      </c>
      <c r="AE5168" s="80"/>
      <c r="AF5168" s="17">
        <v>45611</v>
      </c>
      <c r="AG5168" s="80" t="s">
        <v>14199</v>
      </c>
      <c r="AH5168" s="80"/>
      <c r="AI5168" s="147"/>
      <c r="AJ5168" s="80"/>
      <c r="AK5168" s="80"/>
      <c r="AL5168" s="35"/>
      <c r="AM5168" s="35"/>
      <c r="AN5168" s="35"/>
      <c r="AO5168" s="35"/>
      <c r="AP5168" s="35"/>
    </row>
    <row r="5169" spans="1:42" x14ac:dyDescent="0.2">
      <c r="A5169" s="126">
        <v>45601.925517557873</v>
      </c>
      <c r="B5169" s="137" t="s">
        <v>37</v>
      </c>
      <c r="C5169" s="41" t="s">
        <v>118</v>
      </c>
      <c r="D5169" s="80" t="s">
        <v>36</v>
      </c>
      <c r="E5169" s="80" t="s">
        <v>106</v>
      </c>
      <c r="F5169" s="80" t="s">
        <v>36</v>
      </c>
      <c r="G5169" s="80" t="s">
        <v>108</v>
      </c>
      <c r="H5169" s="80" t="s">
        <v>14298</v>
      </c>
      <c r="I5169" s="17">
        <f ca="1">IFERROR(__xludf.DUMMYFUNCTION("""COMPUTED_VALUE"""),45621)</f>
        <v>45621</v>
      </c>
      <c r="J5169" s="143" t="s">
        <v>17848</v>
      </c>
      <c r="K5169" s="80" t="s">
        <v>17849</v>
      </c>
      <c r="L5169" s="30">
        <v>971669624</v>
      </c>
      <c r="M5169" s="80" t="s">
        <v>12644</v>
      </c>
      <c r="N5169" s="80" t="s">
        <v>260</v>
      </c>
      <c r="O5169" s="80" t="s">
        <v>17850</v>
      </c>
      <c r="P5169" s="80" t="s">
        <v>17851</v>
      </c>
      <c r="Q5169" s="20">
        <v>3768</v>
      </c>
      <c r="R5169" s="80" t="s">
        <v>36</v>
      </c>
      <c r="S5169" s="95">
        <v>3768</v>
      </c>
      <c r="T5169" s="148">
        <v>45601</v>
      </c>
      <c r="U5169" s="77"/>
      <c r="V5169" s="78"/>
      <c r="W5169" s="85" t="s">
        <v>17852</v>
      </c>
      <c r="X5169" s="80"/>
      <c r="Y5169" s="22">
        <v>0</v>
      </c>
      <c r="Z5169" s="80" t="s">
        <v>50</v>
      </c>
      <c r="AA5169" s="82" t="s">
        <v>14723</v>
      </c>
      <c r="AB5169" s="80"/>
      <c r="AC5169" s="80" t="s">
        <v>53</v>
      </c>
      <c r="AD5169" s="80" t="s">
        <v>54</v>
      </c>
      <c r="AE5169" s="80" t="s">
        <v>17853</v>
      </c>
      <c r="AF5169" s="17">
        <v>45605</v>
      </c>
      <c r="AG5169" s="80"/>
      <c r="AH5169" s="80"/>
      <c r="AI5169" s="147"/>
      <c r="AJ5169" s="80"/>
      <c r="AK5169" s="80"/>
      <c r="AL5169" s="35"/>
      <c r="AM5169" s="35"/>
      <c r="AN5169" s="35"/>
      <c r="AO5169" s="35"/>
      <c r="AP5169" s="35"/>
    </row>
    <row r="5170" spans="1:42" x14ac:dyDescent="0.2">
      <c r="A5170" s="126">
        <v>45601.94783892361</v>
      </c>
      <c r="B5170" s="137" t="s">
        <v>37</v>
      </c>
      <c r="C5170" s="41" t="s">
        <v>118</v>
      </c>
      <c r="D5170" s="80" t="s">
        <v>36</v>
      </c>
      <c r="E5170" s="80" t="s">
        <v>119</v>
      </c>
      <c r="F5170" s="80" t="s">
        <v>36</v>
      </c>
      <c r="G5170" s="80" t="s">
        <v>108</v>
      </c>
      <c r="H5170" s="80" t="s">
        <v>12857</v>
      </c>
      <c r="I5170" s="17">
        <f ca="1">IFERROR(__xludf.DUMMYFUNCTION("""COMPUTED_VALUE"""),45611)</f>
        <v>45611</v>
      </c>
      <c r="J5170" s="143" t="s">
        <v>17854</v>
      </c>
      <c r="K5170" s="80" t="s">
        <v>17855</v>
      </c>
      <c r="L5170" s="30">
        <v>913698756</v>
      </c>
      <c r="M5170" s="80" t="s">
        <v>45</v>
      </c>
      <c r="N5170" s="80" t="s">
        <v>12712</v>
      </c>
      <c r="O5170" s="80" t="s">
        <v>17856</v>
      </c>
      <c r="P5170" s="80" t="s">
        <v>17857</v>
      </c>
      <c r="Q5170" s="20">
        <v>13968</v>
      </c>
      <c r="R5170" s="80" t="s">
        <v>36</v>
      </c>
      <c r="S5170" s="95">
        <v>13968</v>
      </c>
      <c r="T5170" s="148">
        <v>45601</v>
      </c>
      <c r="U5170" s="77"/>
      <c r="V5170" s="78"/>
      <c r="W5170" s="85" t="s">
        <v>17858</v>
      </c>
      <c r="X5170" s="80"/>
      <c r="Y5170" s="22">
        <v>0</v>
      </c>
      <c r="Z5170" s="80" t="s">
        <v>50</v>
      </c>
      <c r="AA5170" s="86" t="s">
        <v>14723</v>
      </c>
      <c r="AB5170" s="80"/>
      <c r="AC5170" s="80" t="s">
        <v>53</v>
      </c>
      <c r="AD5170" s="80" t="s">
        <v>54</v>
      </c>
      <c r="AE5170" s="83">
        <v>620</v>
      </c>
      <c r="AF5170" s="43">
        <v>45607</v>
      </c>
      <c r="AG5170" s="80"/>
      <c r="AH5170" s="80"/>
      <c r="AI5170" s="147"/>
      <c r="AJ5170" s="80"/>
      <c r="AK5170" s="80"/>
      <c r="AL5170" s="35"/>
      <c r="AM5170" s="35"/>
      <c r="AN5170" s="35"/>
      <c r="AO5170" s="35"/>
      <c r="AP5170" s="35"/>
    </row>
    <row r="5171" spans="1:42" x14ac:dyDescent="0.2">
      <c r="A5171" s="126">
        <v>45602.569388715274</v>
      </c>
      <c r="B5171" s="137" t="s">
        <v>37</v>
      </c>
      <c r="C5171" s="41" t="s">
        <v>118</v>
      </c>
      <c r="D5171" s="80" t="s">
        <v>106</v>
      </c>
      <c r="E5171" s="80" t="s">
        <v>219</v>
      </c>
      <c r="F5171" s="80" t="s">
        <v>8066</v>
      </c>
      <c r="G5171" s="80" t="s">
        <v>221</v>
      </c>
      <c r="H5171" s="80" t="s">
        <v>13508</v>
      </c>
      <c r="I5171" s="17">
        <f ca="1">IFERROR(__xludf.DUMMYFUNCTION("""COMPUTED_VALUE"""),45604)</f>
        <v>45604</v>
      </c>
      <c r="J5171" s="143" t="s">
        <v>11172</v>
      </c>
      <c r="K5171" s="80" t="s">
        <v>17859</v>
      </c>
      <c r="L5171" s="30">
        <v>973536159</v>
      </c>
      <c r="M5171" s="80" t="s">
        <v>45</v>
      </c>
      <c r="N5171" s="80" t="s">
        <v>1472</v>
      </c>
      <c r="O5171" s="80" t="s">
        <v>11174</v>
      </c>
      <c r="P5171" s="80" t="s">
        <v>17860</v>
      </c>
      <c r="Q5171" s="20">
        <v>3968</v>
      </c>
      <c r="R5171" s="80" t="s">
        <v>36</v>
      </c>
      <c r="S5171" s="95">
        <v>3968</v>
      </c>
      <c r="T5171" s="148">
        <v>45602</v>
      </c>
      <c r="U5171" s="77"/>
      <c r="V5171" s="78"/>
      <c r="W5171" s="85" t="s">
        <v>17861</v>
      </c>
      <c r="X5171" s="80"/>
      <c r="Y5171" s="22">
        <v>0</v>
      </c>
      <c r="Z5171" s="80" t="s">
        <v>50</v>
      </c>
      <c r="AA5171" s="82" t="s">
        <v>14723</v>
      </c>
      <c r="AB5171" s="80"/>
      <c r="AC5171" s="80" t="s">
        <v>53</v>
      </c>
      <c r="AD5171" s="80" t="s">
        <v>54</v>
      </c>
      <c r="AE5171" s="80" t="s">
        <v>3554</v>
      </c>
      <c r="AF5171" s="17">
        <v>45602</v>
      </c>
      <c r="AG5171" s="80"/>
      <c r="AH5171" s="80"/>
      <c r="AI5171" s="147"/>
      <c r="AJ5171" s="80"/>
      <c r="AK5171" s="80"/>
      <c r="AL5171" s="35"/>
      <c r="AM5171" s="35"/>
      <c r="AN5171" s="35"/>
      <c r="AO5171" s="35"/>
      <c r="AP5171" s="35"/>
    </row>
    <row r="5172" spans="1:42" x14ac:dyDescent="0.2">
      <c r="A5172" s="126">
        <v>45602.680479918985</v>
      </c>
      <c r="B5172" s="137" t="s">
        <v>37</v>
      </c>
      <c r="C5172" s="41" t="s">
        <v>118</v>
      </c>
      <c r="D5172" s="80" t="s">
        <v>36</v>
      </c>
      <c r="E5172" s="80" t="s">
        <v>39</v>
      </c>
      <c r="F5172" s="80" t="s">
        <v>36</v>
      </c>
      <c r="G5172" s="26" t="s">
        <v>41</v>
      </c>
      <c r="H5172" s="80" t="s">
        <v>13143</v>
      </c>
      <c r="I5172" s="17">
        <f ca="1">IFERROR(__xludf.DUMMYFUNCTION("""COMPUTED_VALUE"""),45604)</f>
        <v>45604</v>
      </c>
      <c r="J5172" s="143" t="s">
        <v>17862</v>
      </c>
      <c r="K5172" s="80" t="s">
        <v>17863</v>
      </c>
      <c r="L5172" s="30">
        <v>353179293</v>
      </c>
      <c r="M5172" s="80" t="s">
        <v>17759</v>
      </c>
      <c r="N5172" s="80" t="s">
        <v>2756</v>
      </c>
      <c r="O5172" s="80" t="s">
        <v>8140</v>
      </c>
      <c r="P5172" s="80" t="s">
        <v>17864</v>
      </c>
      <c r="Q5172" s="20">
        <v>5736</v>
      </c>
      <c r="R5172" s="80" t="s">
        <v>36</v>
      </c>
      <c r="S5172" s="95">
        <v>2000</v>
      </c>
      <c r="T5172" s="148">
        <v>45602</v>
      </c>
      <c r="U5172" s="95">
        <v>3736</v>
      </c>
      <c r="V5172" s="148">
        <v>45619</v>
      </c>
      <c r="W5172" s="80" t="s">
        <v>17865</v>
      </c>
      <c r="X5172" s="80"/>
      <c r="Y5172" s="22">
        <v>0</v>
      </c>
      <c r="Z5172" s="80" t="s">
        <v>50</v>
      </c>
      <c r="AA5172" s="86" t="s">
        <v>14723</v>
      </c>
      <c r="AB5172" s="80"/>
      <c r="AC5172" s="80" t="s">
        <v>53</v>
      </c>
      <c r="AD5172" s="80" t="s">
        <v>138</v>
      </c>
      <c r="AE5172" s="80"/>
      <c r="AF5172" s="17">
        <v>45604</v>
      </c>
      <c r="AG5172" s="80"/>
      <c r="AH5172" s="80"/>
      <c r="AI5172" s="147"/>
      <c r="AJ5172" s="80"/>
      <c r="AK5172" s="80"/>
      <c r="AL5172" s="35"/>
      <c r="AM5172" s="35"/>
      <c r="AN5172" s="35"/>
      <c r="AO5172" s="35"/>
      <c r="AP5172" s="35"/>
    </row>
    <row r="5173" spans="1:42" x14ac:dyDescent="0.2">
      <c r="A5173" s="126">
        <v>45602.780308807865</v>
      </c>
      <c r="B5173" s="137" t="s">
        <v>37</v>
      </c>
      <c r="C5173" s="41" t="s">
        <v>118</v>
      </c>
      <c r="D5173" s="80" t="s">
        <v>36</v>
      </c>
      <c r="E5173" s="80" t="s">
        <v>139</v>
      </c>
      <c r="F5173" s="80" t="s">
        <v>36</v>
      </c>
      <c r="G5173" s="80" t="s">
        <v>41</v>
      </c>
      <c r="H5173" s="80" t="s">
        <v>15290</v>
      </c>
      <c r="I5173" s="17">
        <f ca="1">IFERROR(__xludf.DUMMYFUNCTION("""COMPUTED_VALUE"""),45609)</f>
        <v>45609</v>
      </c>
      <c r="J5173" s="143" t="s">
        <v>17866</v>
      </c>
      <c r="K5173" s="80" t="s">
        <v>17867</v>
      </c>
      <c r="L5173" s="30">
        <v>357661376</v>
      </c>
      <c r="M5173" s="80" t="s">
        <v>5429</v>
      </c>
      <c r="N5173" s="80" t="s">
        <v>1384</v>
      </c>
      <c r="O5173" s="80" t="s">
        <v>61</v>
      </c>
      <c r="P5173" s="80" t="s">
        <v>17868</v>
      </c>
      <c r="Q5173" s="20">
        <v>15936</v>
      </c>
      <c r="R5173" s="80" t="s">
        <v>36</v>
      </c>
      <c r="S5173" s="95">
        <v>2000</v>
      </c>
      <c r="T5173" s="148">
        <v>45602</v>
      </c>
      <c r="U5173" s="95">
        <v>13936</v>
      </c>
      <c r="V5173" s="148">
        <v>45626</v>
      </c>
      <c r="W5173" s="85" t="s">
        <v>17869</v>
      </c>
      <c r="X5173" s="80"/>
      <c r="Y5173" s="22">
        <v>0</v>
      </c>
      <c r="Z5173" s="80" t="s">
        <v>50</v>
      </c>
      <c r="AA5173" s="82" t="s">
        <v>14723</v>
      </c>
      <c r="AB5173" s="80"/>
      <c r="AC5173" s="80" t="s">
        <v>53</v>
      </c>
      <c r="AD5173" s="80" t="s">
        <v>54</v>
      </c>
      <c r="AE5173" s="80" t="s">
        <v>72</v>
      </c>
      <c r="AF5173" s="17">
        <v>45603</v>
      </c>
      <c r="AG5173" s="80"/>
      <c r="AH5173" s="80"/>
      <c r="AI5173" s="147"/>
      <c r="AJ5173" s="80"/>
      <c r="AK5173" s="80"/>
      <c r="AL5173" s="35"/>
      <c r="AM5173" s="35"/>
      <c r="AN5173" s="35"/>
      <c r="AO5173" s="35"/>
      <c r="AP5173" s="35"/>
    </row>
    <row r="5174" spans="1:42" x14ac:dyDescent="0.2">
      <c r="A5174" s="126">
        <v>45602.840347581019</v>
      </c>
      <c r="B5174" s="137" t="s">
        <v>37</v>
      </c>
      <c r="C5174" s="41" t="s">
        <v>118</v>
      </c>
      <c r="D5174" s="80" t="s">
        <v>36</v>
      </c>
      <c r="E5174" s="80" t="s">
        <v>56</v>
      </c>
      <c r="F5174" s="80" t="s">
        <v>36</v>
      </c>
      <c r="G5174" s="26" t="s">
        <v>41</v>
      </c>
      <c r="H5174" s="80" t="s">
        <v>15451</v>
      </c>
      <c r="I5174" s="17">
        <f ca="1">IFERROR(__xludf.DUMMYFUNCTION("""COMPUTED_VALUE"""),45603)</f>
        <v>45603</v>
      </c>
      <c r="J5174" s="143" t="s">
        <v>17870</v>
      </c>
      <c r="K5174" s="80" t="s">
        <v>17871</v>
      </c>
      <c r="L5174" s="30">
        <v>981632062</v>
      </c>
      <c r="M5174" s="80" t="s">
        <v>59</v>
      </c>
      <c r="N5174" s="80" t="s">
        <v>7298</v>
      </c>
      <c r="O5174" s="80" t="s">
        <v>17872</v>
      </c>
      <c r="P5174" s="80" t="s">
        <v>12687</v>
      </c>
      <c r="Q5174" s="20">
        <v>9317</v>
      </c>
      <c r="R5174" s="80" t="s">
        <v>36</v>
      </c>
      <c r="S5174" s="95">
        <v>9317</v>
      </c>
      <c r="T5174" s="148">
        <v>45602</v>
      </c>
      <c r="U5174" s="77"/>
      <c r="V5174" s="78"/>
      <c r="W5174" s="85" t="s">
        <v>17873</v>
      </c>
      <c r="X5174" s="80"/>
      <c r="Y5174" s="22">
        <v>0</v>
      </c>
      <c r="Z5174" s="80" t="s">
        <v>50</v>
      </c>
      <c r="AA5174" s="86" t="s">
        <v>14723</v>
      </c>
      <c r="AB5174" s="80"/>
      <c r="AC5174" s="80" t="s">
        <v>53</v>
      </c>
      <c r="AD5174" s="80" t="s">
        <v>138</v>
      </c>
      <c r="AE5174" s="80" t="s">
        <v>430</v>
      </c>
      <c r="AF5174" s="17">
        <v>45603</v>
      </c>
      <c r="AG5174" s="80"/>
      <c r="AH5174" s="80"/>
      <c r="AI5174" s="147"/>
      <c r="AJ5174" s="80"/>
      <c r="AK5174" s="80"/>
      <c r="AL5174" s="35"/>
      <c r="AM5174" s="35"/>
      <c r="AN5174" s="35"/>
      <c r="AO5174" s="35"/>
      <c r="AP5174" s="35"/>
    </row>
    <row r="5175" spans="1:42" x14ac:dyDescent="0.2">
      <c r="A5175" s="126">
        <v>45603.57734293981</v>
      </c>
      <c r="B5175" s="137" t="s">
        <v>37</v>
      </c>
      <c r="C5175" s="41" t="s">
        <v>118</v>
      </c>
      <c r="D5175" s="80" t="s">
        <v>36</v>
      </c>
      <c r="E5175" s="80" t="s">
        <v>77</v>
      </c>
      <c r="F5175" s="80" t="s">
        <v>36</v>
      </c>
      <c r="G5175" s="80" t="s">
        <v>41</v>
      </c>
      <c r="H5175" s="80" t="s">
        <v>15290</v>
      </c>
      <c r="I5175" s="17">
        <f ca="1">IFERROR(__xludf.DUMMYFUNCTION("""COMPUTED_VALUE"""),45609)</f>
        <v>45609</v>
      </c>
      <c r="J5175" s="143" t="s">
        <v>17874</v>
      </c>
      <c r="K5175" s="80" t="s">
        <v>17875</v>
      </c>
      <c r="L5175" s="30">
        <v>335608226</v>
      </c>
      <c r="M5175" s="80" t="s">
        <v>15970</v>
      </c>
      <c r="N5175" s="80" t="s">
        <v>466</v>
      </c>
      <c r="O5175" s="80" t="s">
        <v>17876</v>
      </c>
      <c r="P5175" s="80" t="s">
        <v>17877</v>
      </c>
      <c r="Q5175" s="20">
        <v>1968</v>
      </c>
      <c r="R5175" s="80" t="s">
        <v>36</v>
      </c>
      <c r="S5175" s="95">
        <f>100+1868</f>
        <v>1968</v>
      </c>
      <c r="T5175" s="83" t="s">
        <v>17878</v>
      </c>
      <c r="U5175" s="95"/>
      <c r="V5175" s="148"/>
      <c r="W5175" s="80" t="s">
        <v>17879</v>
      </c>
      <c r="X5175" s="80"/>
      <c r="Y5175" s="22">
        <v>0</v>
      </c>
      <c r="Z5175" s="80" t="s">
        <v>50</v>
      </c>
      <c r="AA5175" s="82" t="s">
        <v>14723</v>
      </c>
      <c r="AB5175" s="80"/>
      <c r="AC5175" s="80" t="s">
        <v>53</v>
      </c>
      <c r="AD5175" s="80" t="s">
        <v>54</v>
      </c>
      <c r="AE5175" s="80"/>
      <c r="AF5175" s="17">
        <v>45603</v>
      </c>
      <c r="AG5175" s="80"/>
      <c r="AH5175" s="80"/>
      <c r="AI5175" s="147"/>
      <c r="AJ5175" s="80"/>
      <c r="AK5175" s="80"/>
      <c r="AL5175" s="35"/>
      <c r="AM5175" s="35"/>
      <c r="AN5175" s="35"/>
      <c r="AO5175" s="35"/>
      <c r="AP5175" s="35"/>
    </row>
    <row r="5176" spans="1:42" x14ac:dyDescent="0.2">
      <c r="A5176" s="126">
        <v>45603.583589907408</v>
      </c>
      <c r="B5176" s="137" t="s">
        <v>37</v>
      </c>
      <c r="C5176" s="41" t="s">
        <v>118</v>
      </c>
      <c r="D5176" s="80" t="s">
        <v>36</v>
      </c>
      <c r="E5176" s="80" t="s">
        <v>56</v>
      </c>
      <c r="F5176" s="80" t="s">
        <v>36</v>
      </c>
      <c r="G5176" s="26" t="s">
        <v>41</v>
      </c>
      <c r="H5176" s="80" t="s">
        <v>13143</v>
      </c>
      <c r="I5176" s="17">
        <f ca="1">IFERROR(__xludf.DUMMYFUNCTION("""COMPUTED_VALUE"""),45604)</f>
        <v>45604</v>
      </c>
      <c r="J5176" s="143" t="s">
        <v>17880</v>
      </c>
      <c r="K5176" s="80" t="s">
        <v>17881</v>
      </c>
      <c r="L5176" s="30">
        <v>329651386</v>
      </c>
      <c r="M5176" s="80" t="s">
        <v>5429</v>
      </c>
      <c r="N5176" s="80" t="s">
        <v>81</v>
      </c>
      <c r="O5176" s="80" t="s">
        <v>17882</v>
      </c>
      <c r="P5176" s="80" t="s">
        <v>6368</v>
      </c>
      <c r="Q5176" s="20">
        <v>9317</v>
      </c>
      <c r="R5176" s="80" t="s">
        <v>36</v>
      </c>
      <c r="S5176" s="95">
        <v>2000</v>
      </c>
      <c r="T5176" s="148">
        <v>45603</v>
      </c>
      <c r="U5176" s="95">
        <v>7317</v>
      </c>
      <c r="V5176" s="148">
        <v>45622</v>
      </c>
      <c r="W5176" s="85" t="s">
        <v>17883</v>
      </c>
      <c r="X5176" s="80"/>
      <c r="Y5176" s="22">
        <v>0</v>
      </c>
      <c r="Z5176" s="80" t="s">
        <v>50</v>
      </c>
      <c r="AA5176" s="86" t="s">
        <v>14723</v>
      </c>
      <c r="AB5176" s="80"/>
      <c r="AC5176" s="80" t="s">
        <v>53</v>
      </c>
      <c r="AD5176" s="80" t="s">
        <v>138</v>
      </c>
      <c r="AE5176" s="80" t="s">
        <v>76</v>
      </c>
      <c r="AF5176" s="17">
        <v>45604</v>
      </c>
      <c r="AG5176" s="80"/>
      <c r="AH5176" s="80"/>
      <c r="AI5176" s="147"/>
      <c r="AJ5176" s="80"/>
      <c r="AK5176" s="80"/>
      <c r="AL5176" s="35"/>
      <c r="AM5176" s="35"/>
      <c r="AN5176" s="35"/>
      <c r="AO5176" s="35"/>
      <c r="AP5176" s="35"/>
    </row>
    <row r="5177" spans="1:42" x14ac:dyDescent="0.2">
      <c r="A5177" s="126">
        <v>45603.794432499999</v>
      </c>
      <c r="B5177" s="137" t="s">
        <v>37</v>
      </c>
      <c r="C5177" s="41" t="s">
        <v>118</v>
      </c>
      <c r="D5177" s="80" t="s">
        <v>36</v>
      </c>
      <c r="E5177" s="80" t="s">
        <v>1704</v>
      </c>
      <c r="F5177" s="80" t="s">
        <v>91</v>
      </c>
      <c r="G5177" s="80" t="s">
        <v>11438</v>
      </c>
      <c r="H5177" s="80" t="s">
        <v>9050</v>
      </c>
      <c r="I5177" s="17">
        <f ca="1">IFERROR(__xludf.DUMMYFUNCTION("""COMPUTED_VALUE"""),45607)</f>
        <v>45607</v>
      </c>
      <c r="J5177" s="143" t="s">
        <v>17884</v>
      </c>
      <c r="K5177" s="80" t="s">
        <v>17885</v>
      </c>
      <c r="L5177" s="30">
        <v>355638204</v>
      </c>
      <c r="M5177" s="80" t="s">
        <v>9422</v>
      </c>
      <c r="N5177" s="80" t="s">
        <v>17886</v>
      </c>
      <c r="O5177" s="80" t="s">
        <v>12356</v>
      </c>
      <c r="P5177" s="80" t="s">
        <v>17887</v>
      </c>
      <c r="Q5177" s="20">
        <v>7729</v>
      </c>
      <c r="R5177" s="80" t="s">
        <v>36</v>
      </c>
      <c r="S5177" s="95">
        <v>7729</v>
      </c>
      <c r="T5177" s="148">
        <v>45602</v>
      </c>
      <c r="U5177" s="77"/>
      <c r="V5177" s="78"/>
      <c r="W5177" s="80"/>
      <c r="X5177" s="80"/>
      <c r="Y5177" s="22">
        <v>0</v>
      </c>
      <c r="Z5177" s="80" t="s">
        <v>50</v>
      </c>
      <c r="AA5177" s="82" t="s">
        <v>14723</v>
      </c>
      <c r="AB5177" s="80"/>
      <c r="AC5177" s="80" t="s">
        <v>53</v>
      </c>
      <c r="AD5177" s="80" t="s">
        <v>138</v>
      </c>
      <c r="AE5177" s="80"/>
      <c r="AF5177" s="17">
        <v>45607</v>
      </c>
      <c r="AG5177" s="80"/>
      <c r="AH5177" s="80"/>
      <c r="AI5177" s="147"/>
      <c r="AJ5177" s="80"/>
      <c r="AK5177" s="80"/>
      <c r="AL5177" s="35"/>
      <c r="AM5177" s="35"/>
      <c r="AN5177" s="35"/>
      <c r="AO5177" s="35"/>
      <c r="AP5177" s="35"/>
    </row>
    <row r="5178" spans="1:42" x14ac:dyDescent="0.2">
      <c r="A5178" s="38">
        <v>45604</v>
      </c>
      <c r="B5178" s="137" t="s">
        <v>37</v>
      </c>
      <c r="C5178" s="41" t="s">
        <v>118</v>
      </c>
      <c r="D5178" s="80" t="s">
        <v>36</v>
      </c>
      <c r="E5178" s="80" t="s">
        <v>106</v>
      </c>
      <c r="F5178" s="80" t="s">
        <v>11845</v>
      </c>
      <c r="G5178" s="26" t="s">
        <v>41</v>
      </c>
      <c r="H5178" s="80" t="s">
        <v>14342</v>
      </c>
      <c r="I5178" s="17">
        <f ca="1">IFERROR(__xludf.DUMMYFUNCTION("""COMPUTED_VALUE"""),45611)</f>
        <v>45611</v>
      </c>
      <c r="J5178" s="143" t="s">
        <v>15030</v>
      </c>
      <c r="K5178" s="80" t="s">
        <v>15031</v>
      </c>
      <c r="L5178" s="30">
        <v>362466296</v>
      </c>
      <c r="M5178" s="80" t="s">
        <v>5518</v>
      </c>
      <c r="N5178" s="80" t="s">
        <v>5252</v>
      </c>
      <c r="O5178" s="80" t="s">
        <v>15032</v>
      </c>
      <c r="P5178" s="144" t="s">
        <v>15033</v>
      </c>
      <c r="Q5178" s="20">
        <v>3768</v>
      </c>
      <c r="R5178" s="80" t="s">
        <v>36</v>
      </c>
      <c r="S5178" s="95">
        <v>3768</v>
      </c>
      <c r="T5178" s="148">
        <v>45623</v>
      </c>
      <c r="U5178" s="77"/>
      <c r="V5178" s="78"/>
      <c r="W5178" s="79" t="s">
        <v>17888</v>
      </c>
      <c r="X5178" s="80"/>
      <c r="Y5178" s="22">
        <v>0</v>
      </c>
      <c r="Z5178" s="80" t="s">
        <v>50</v>
      </c>
      <c r="AA5178" s="86" t="s">
        <v>14723</v>
      </c>
      <c r="AB5178" s="80"/>
      <c r="AC5178" s="80" t="s">
        <v>53</v>
      </c>
      <c r="AD5178" s="80" t="s">
        <v>138</v>
      </c>
      <c r="AE5178" s="80" t="s">
        <v>11845</v>
      </c>
      <c r="AF5178" s="17">
        <v>45611</v>
      </c>
      <c r="AG5178" s="80" t="s">
        <v>7078</v>
      </c>
      <c r="AH5178" s="80"/>
      <c r="AI5178" s="147"/>
      <c r="AJ5178" s="80"/>
      <c r="AK5178" s="80"/>
      <c r="AL5178" s="35"/>
      <c r="AM5178" s="35"/>
      <c r="AN5178" s="35"/>
      <c r="AO5178" s="35"/>
      <c r="AP5178" s="35"/>
    </row>
    <row r="5179" spans="1:42" x14ac:dyDescent="0.2">
      <c r="A5179" s="126">
        <v>45604.402323738424</v>
      </c>
      <c r="B5179" s="137" t="s">
        <v>37</v>
      </c>
      <c r="C5179" s="41" t="s">
        <v>118</v>
      </c>
      <c r="D5179" s="80" t="s">
        <v>36</v>
      </c>
      <c r="E5179" s="80" t="s">
        <v>56</v>
      </c>
      <c r="F5179" s="80" t="s">
        <v>36</v>
      </c>
      <c r="G5179" s="26" t="s">
        <v>41</v>
      </c>
      <c r="H5179" s="80" t="s">
        <v>13143</v>
      </c>
      <c r="I5179" s="17">
        <f ca="1">IFERROR(__xludf.DUMMYFUNCTION("""COMPUTED_VALUE"""),45604)</f>
        <v>45604</v>
      </c>
      <c r="J5179" s="143" t="s">
        <v>17889</v>
      </c>
      <c r="K5179" s="80" t="s">
        <v>17890</v>
      </c>
      <c r="L5179" s="30">
        <v>865742951</v>
      </c>
      <c r="M5179" s="80" t="s">
        <v>9422</v>
      </c>
      <c r="N5179" s="80" t="s">
        <v>327</v>
      </c>
      <c r="O5179" s="80" t="s">
        <v>91</v>
      </c>
      <c r="P5179" s="80" t="s">
        <v>3117</v>
      </c>
      <c r="Q5179" s="20">
        <v>9317</v>
      </c>
      <c r="R5179" s="80" t="s">
        <v>36</v>
      </c>
      <c r="S5179" s="95">
        <f>500+1500</f>
        <v>2000</v>
      </c>
      <c r="T5179" s="83" t="s">
        <v>17891</v>
      </c>
      <c r="U5179" s="95">
        <v>7317</v>
      </c>
      <c r="V5179" s="148">
        <v>45614</v>
      </c>
      <c r="W5179" s="85" t="s">
        <v>17892</v>
      </c>
      <c r="X5179" s="80"/>
      <c r="Y5179" s="22">
        <v>0</v>
      </c>
      <c r="Z5179" s="80" t="s">
        <v>50</v>
      </c>
      <c r="AA5179" s="82" t="s">
        <v>14723</v>
      </c>
      <c r="AB5179" s="80"/>
      <c r="AC5179" s="80" t="s">
        <v>53</v>
      </c>
      <c r="AD5179" s="80" t="s">
        <v>138</v>
      </c>
      <c r="AE5179" s="80" t="s">
        <v>91</v>
      </c>
      <c r="AF5179" s="17">
        <v>45604</v>
      </c>
      <c r="AG5179" s="80"/>
      <c r="AH5179" s="80"/>
      <c r="AI5179" s="147"/>
      <c r="AJ5179" s="80"/>
      <c r="AK5179" s="80"/>
      <c r="AL5179" s="35"/>
      <c r="AM5179" s="35"/>
      <c r="AN5179" s="35"/>
      <c r="AO5179" s="35"/>
      <c r="AP5179" s="35"/>
    </row>
    <row r="5180" spans="1:42" x14ac:dyDescent="0.2">
      <c r="A5180" s="126">
        <v>45604.447088425921</v>
      </c>
      <c r="B5180" s="137" t="s">
        <v>37</v>
      </c>
      <c r="C5180" s="41" t="s">
        <v>118</v>
      </c>
      <c r="D5180" s="80" t="s">
        <v>36</v>
      </c>
      <c r="E5180" s="80" t="s">
        <v>915</v>
      </c>
      <c r="F5180" s="80" t="s">
        <v>40</v>
      </c>
      <c r="G5180" s="26" t="s">
        <v>221</v>
      </c>
      <c r="H5180" s="80" t="s">
        <v>13807</v>
      </c>
      <c r="I5180" s="17">
        <f ca="1">IFERROR(__xludf.DUMMYFUNCTION("""COMPUTED_VALUE"""),45660)</f>
        <v>45660</v>
      </c>
      <c r="J5180" s="143" t="s">
        <v>4571</v>
      </c>
      <c r="K5180" s="80" t="s">
        <v>17893</v>
      </c>
      <c r="L5180" s="30">
        <v>337501861</v>
      </c>
      <c r="M5180" s="80" t="s">
        <v>59</v>
      </c>
      <c r="N5180" s="80" t="s">
        <v>4299</v>
      </c>
      <c r="O5180" s="80" t="s">
        <v>17894</v>
      </c>
      <c r="P5180" s="80" t="s">
        <v>17895</v>
      </c>
      <c r="Q5180" s="20">
        <v>10894</v>
      </c>
      <c r="R5180" s="80" t="s">
        <v>36</v>
      </c>
      <c r="S5180" s="95">
        <v>10894</v>
      </c>
      <c r="T5180" s="148">
        <v>45603</v>
      </c>
      <c r="U5180" s="77"/>
      <c r="V5180" s="78"/>
      <c r="W5180" s="85" t="s">
        <v>17896</v>
      </c>
      <c r="X5180" s="80"/>
      <c r="Y5180" s="22">
        <v>0</v>
      </c>
      <c r="Z5180" s="80" t="s">
        <v>50</v>
      </c>
      <c r="AA5180" s="86" t="s">
        <v>14723</v>
      </c>
      <c r="AB5180" s="80"/>
      <c r="AC5180" s="80" t="s">
        <v>53</v>
      </c>
      <c r="AD5180" s="80" t="s">
        <v>138</v>
      </c>
      <c r="AE5180" s="80" t="s">
        <v>3554</v>
      </c>
      <c r="AF5180" s="17">
        <v>45660</v>
      </c>
      <c r="AG5180" s="80"/>
      <c r="AH5180" s="80"/>
      <c r="AI5180" s="147"/>
      <c r="AJ5180" s="80"/>
      <c r="AK5180" s="80"/>
      <c r="AL5180" s="35"/>
      <c r="AM5180" s="35"/>
      <c r="AN5180" s="35"/>
      <c r="AO5180" s="35"/>
      <c r="AP5180" s="35"/>
    </row>
    <row r="5181" spans="1:42" x14ac:dyDescent="0.2">
      <c r="A5181" s="126">
        <v>45605.665528321755</v>
      </c>
      <c r="B5181" s="137" t="s">
        <v>37</v>
      </c>
      <c r="C5181" s="41" t="s">
        <v>118</v>
      </c>
      <c r="D5181" s="80" t="s">
        <v>36</v>
      </c>
      <c r="E5181" s="80" t="s">
        <v>77</v>
      </c>
      <c r="F5181" s="80" t="s">
        <v>40</v>
      </c>
      <c r="G5181" s="80" t="s">
        <v>41</v>
      </c>
      <c r="H5181" s="80" t="s">
        <v>11640</v>
      </c>
      <c r="I5181" s="17">
        <f ca="1">IFERROR(__xludf.DUMMYFUNCTION("""COMPUTED_VALUE"""),45636)</f>
        <v>45636</v>
      </c>
      <c r="J5181" s="172" t="s">
        <v>17897</v>
      </c>
      <c r="K5181" s="80" t="s">
        <v>17898</v>
      </c>
      <c r="L5181" s="30">
        <v>389156850</v>
      </c>
      <c r="M5181" s="80" t="s">
        <v>45</v>
      </c>
      <c r="N5181" s="80" t="s">
        <v>1472</v>
      </c>
      <c r="O5181" s="80" t="s">
        <v>17899</v>
      </c>
      <c r="P5181" s="80" t="s">
        <v>7743</v>
      </c>
      <c r="Q5181" s="20">
        <v>1968</v>
      </c>
      <c r="R5181" s="80" t="s">
        <v>36</v>
      </c>
      <c r="S5181" s="95">
        <v>2000</v>
      </c>
      <c r="T5181" s="148">
        <v>45600</v>
      </c>
      <c r="U5181" s="77"/>
      <c r="V5181" s="78"/>
      <c r="W5181" s="80" t="s">
        <v>17900</v>
      </c>
      <c r="X5181" s="80"/>
      <c r="Y5181" s="22">
        <v>-32</v>
      </c>
      <c r="Z5181" s="80" t="s">
        <v>50</v>
      </c>
      <c r="AA5181" s="82" t="s">
        <v>14723</v>
      </c>
      <c r="AB5181" s="80"/>
      <c r="AC5181" s="80" t="s">
        <v>53</v>
      </c>
      <c r="AD5181" s="80" t="s">
        <v>138</v>
      </c>
      <c r="AE5181" s="83"/>
      <c r="AF5181" s="43">
        <v>45636</v>
      </c>
      <c r="AG5181" s="143" t="s">
        <v>17901</v>
      </c>
      <c r="AH5181" s="80"/>
      <c r="AI5181" s="147"/>
      <c r="AJ5181" s="80"/>
      <c r="AK5181" s="80"/>
      <c r="AL5181" s="35"/>
      <c r="AM5181" s="35"/>
      <c r="AN5181" s="35"/>
      <c r="AO5181" s="35"/>
      <c r="AP5181" s="35"/>
    </row>
    <row r="5182" spans="1:42" x14ac:dyDescent="0.2">
      <c r="A5182" s="126">
        <v>45605.667788969906</v>
      </c>
      <c r="B5182" s="137" t="s">
        <v>37</v>
      </c>
      <c r="C5182" s="41" t="s">
        <v>118</v>
      </c>
      <c r="D5182" s="80" t="s">
        <v>36</v>
      </c>
      <c r="E5182" s="80" t="s">
        <v>77</v>
      </c>
      <c r="F5182" s="80" t="s">
        <v>36</v>
      </c>
      <c r="G5182" s="80" t="s">
        <v>41</v>
      </c>
      <c r="H5182" s="80" t="s">
        <v>15290</v>
      </c>
      <c r="I5182" s="17">
        <f ca="1">IFERROR(__xludf.DUMMYFUNCTION("""COMPUTED_VALUE"""),45609)</f>
        <v>45609</v>
      </c>
      <c r="J5182" s="143" t="s">
        <v>17902</v>
      </c>
      <c r="K5182" s="80" t="s">
        <v>7846</v>
      </c>
      <c r="L5182" s="30">
        <v>393605614</v>
      </c>
      <c r="M5182" s="80" t="s">
        <v>45</v>
      </c>
      <c r="N5182" s="80" t="s">
        <v>1472</v>
      </c>
      <c r="O5182" s="80" t="s">
        <v>17903</v>
      </c>
      <c r="P5182" s="80" t="s">
        <v>17904</v>
      </c>
      <c r="Q5182" s="20">
        <v>1968</v>
      </c>
      <c r="R5182" s="80" t="s">
        <v>36</v>
      </c>
      <c r="S5182" s="95">
        <v>1968</v>
      </c>
      <c r="T5182" s="148">
        <v>45603</v>
      </c>
      <c r="U5182" s="77"/>
      <c r="V5182" s="78"/>
      <c r="W5182" s="85" t="s">
        <v>17905</v>
      </c>
      <c r="X5182" s="80"/>
      <c r="Y5182" s="22">
        <v>0</v>
      </c>
      <c r="Z5182" s="80" t="s">
        <v>50</v>
      </c>
      <c r="AA5182" s="86" t="s">
        <v>14723</v>
      </c>
      <c r="AB5182" s="80"/>
      <c r="AC5182" s="80" t="s">
        <v>53</v>
      </c>
      <c r="AD5182" s="80" t="s">
        <v>54</v>
      </c>
      <c r="AE5182" s="83">
        <v>0</v>
      </c>
      <c r="AF5182" s="17">
        <v>45605</v>
      </c>
      <c r="AG5182" s="80"/>
      <c r="AH5182" s="80"/>
      <c r="AI5182" s="147"/>
      <c r="AJ5182" s="80"/>
      <c r="AK5182" s="80"/>
      <c r="AL5182" s="35"/>
      <c r="AM5182" s="35"/>
      <c r="AN5182" s="35"/>
      <c r="AO5182" s="35"/>
      <c r="AP5182" s="35"/>
    </row>
    <row r="5183" spans="1:42" x14ac:dyDescent="0.2">
      <c r="A5183" s="126">
        <v>45606.595332581019</v>
      </c>
      <c r="B5183" s="137" t="s">
        <v>37</v>
      </c>
      <c r="C5183" s="41" t="s">
        <v>118</v>
      </c>
      <c r="D5183" s="80" t="s">
        <v>36</v>
      </c>
      <c r="E5183" s="80" t="s">
        <v>77</v>
      </c>
      <c r="F5183" s="80" t="s">
        <v>40</v>
      </c>
      <c r="G5183" s="80" t="s">
        <v>41</v>
      </c>
      <c r="H5183" s="80" t="s">
        <v>17906</v>
      </c>
      <c r="I5183" s="17">
        <f ca="1">IFERROR(__xludf.DUMMYFUNCTION("""COMPUTED_VALUE"""),45610)</f>
        <v>45610</v>
      </c>
      <c r="J5183" s="143" t="s">
        <v>17907</v>
      </c>
      <c r="K5183" s="80" t="s">
        <v>17908</v>
      </c>
      <c r="L5183" s="30">
        <v>393427787</v>
      </c>
      <c r="M5183" s="80" t="s">
        <v>5558</v>
      </c>
      <c r="N5183" s="80" t="s">
        <v>5277</v>
      </c>
      <c r="O5183" s="80" t="s">
        <v>17909</v>
      </c>
      <c r="P5183" s="80" t="s">
        <v>17910</v>
      </c>
      <c r="Q5183" s="20">
        <v>1968</v>
      </c>
      <c r="R5183" s="80" t="s">
        <v>70</v>
      </c>
      <c r="S5183" s="95">
        <v>2500</v>
      </c>
      <c r="T5183" s="148">
        <v>45605</v>
      </c>
      <c r="U5183" s="77"/>
      <c r="V5183" s="78"/>
      <c r="W5183" s="79" t="s">
        <v>17911</v>
      </c>
      <c r="X5183" s="80"/>
      <c r="Y5183" s="22">
        <v>-532</v>
      </c>
      <c r="Z5183" s="80" t="s">
        <v>50</v>
      </c>
      <c r="AA5183" s="82" t="s">
        <v>14723</v>
      </c>
      <c r="AB5183" s="80"/>
      <c r="AC5183" s="80" t="s">
        <v>53</v>
      </c>
      <c r="AD5183" s="80" t="s">
        <v>138</v>
      </c>
      <c r="AE5183" s="80"/>
      <c r="AF5183" s="43">
        <v>45607</v>
      </c>
      <c r="AG5183" s="80" t="s">
        <v>7078</v>
      </c>
      <c r="AH5183" s="80"/>
      <c r="AI5183" s="147"/>
      <c r="AJ5183" s="80"/>
      <c r="AK5183" s="80"/>
      <c r="AL5183" s="35"/>
      <c r="AM5183" s="35"/>
      <c r="AN5183" s="35"/>
      <c r="AO5183" s="35"/>
      <c r="AP5183" s="35"/>
    </row>
    <row r="5184" spans="1:42" x14ac:dyDescent="0.2">
      <c r="A5184" s="126">
        <v>45606.912328796301</v>
      </c>
      <c r="B5184" s="137" t="s">
        <v>37</v>
      </c>
      <c r="C5184" s="41" t="s">
        <v>118</v>
      </c>
      <c r="D5184" s="80" t="s">
        <v>36</v>
      </c>
      <c r="E5184" s="80" t="s">
        <v>56</v>
      </c>
      <c r="F5184" s="80" t="s">
        <v>40</v>
      </c>
      <c r="G5184" s="80" t="s">
        <v>41</v>
      </c>
      <c r="H5184" s="80" t="s">
        <v>11640</v>
      </c>
      <c r="I5184" s="17">
        <f ca="1">IFERROR(__xludf.DUMMYFUNCTION("""COMPUTED_VALUE"""),45636)</f>
        <v>45636</v>
      </c>
      <c r="J5184" s="143" t="s">
        <v>17912</v>
      </c>
      <c r="K5184" s="80" t="s">
        <v>10434</v>
      </c>
      <c r="L5184" s="30">
        <v>368545575</v>
      </c>
      <c r="M5184" s="80" t="s">
        <v>59</v>
      </c>
      <c r="N5184" s="80" t="s">
        <v>9660</v>
      </c>
      <c r="O5184" s="80" t="s">
        <v>17913</v>
      </c>
      <c r="P5184" s="80" t="s">
        <v>12687</v>
      </c>
      <c r="Q5184" s="20">
        <v>9317</v>
      </c>
      <c r="R5184" s="80" t="s">
        <v>36</v>
      </c>
      <c r="S5184" s="95">
        <f>300+9017</f>
        <v>9317</v>
      </c>
      <c r="T5184" s="83" t="s">
        <v>17914</v>
      </c>
      <c r="U5184" s="77"/>
      <c r="V5184" s="78"/>
      <c r="W5184" s="85" t="s">
        <v>17915</v>
      </c>
      <c r="X5184" s="80"/>
      <c r="Y5184" s="22">
        <v>0</v>
      </c>
      <c r="Z5184" s="80" t="s">
        <v>50</v>
      </c>
      <c r="AA5184" s="86" t="s">
        <v>14723</v>
      </c>
      <c r="AB5184" s="80"/>
      <c r="AC5184" s="80" t="s">
        <v>53</v>
      </c>
      <c r="AD5184" s="80" t="s">
        <v>138</v>
      </c>
      <c r="AE5184" s="80"/>
      <c r="AF5184" s="43">
        <v>45636</v>
      </c>
      <c r="AG5184" s="80"/>
      <c r="AH5184" s="80"/>
      <c r="AI5184" s="147"/>
      <c r="AJ5184" s="80"/>
      <c r="AK5184" s="80"/>
      <c r="AL5184" s="35"/>
      <c r="AM5184" s="35"/>
      <c r="AN5184" s="35"/>
      <c r="AO5184" s="35"/>
      <c r="AP5184" s="35"/>
    </row>
    <row r="5185" spans="1:42" x14ac:dyDescent="0.2">
      <c r="A5185" s="126">
        <v>45606.917387442125</v>
      </c>
      <c r="B5185" s="137" t="s">
        <v>37</v>
      </c>
      <c r="C5185" s="41" t="s">
        <v>118</v>
      </c>
      <c r="D5185" s="80" t="s">
        <v>77</v>
      </c>
      <c r="E5185" s="80" t="s">
        <v>106</v>
      </c>
      <c r="F5185" s="80" t="s">
        <v>6516</v>
      </c>
      <c r="G5185" s="80" t="s">
        <v>108</v>
      </c>
      <c r="H5185" s="80" t="s">
        <v>17916</v>
      </c>
      <c r="I5185" s="17" t="str">
        <f ca="1">IFERROR(__xludf.DUMMYFUNCTION("""COMPUTED_VALUE""")," ")</f>
        <v xml:space="preserve"> </v>
      </c>
      <c r="J5185" s="143" t="s">
        <v>13020</v>
      </c>
      <c r="K5185" s="80" t="s">
        <v>17917</v>
      </c>
      <c r="L5185" s="30">
        <v>359795770</v>
      </c>
      <c r="M5185" s="80" t="s">
        <v>59</v>
      </c>
      <c r="N5185" s="80" t="s">
        <v>68</v>
      </c>
      <c r="O5185" s="80" t="s">
        <v>17918</v>
      </c>
      <c r="P5185" s="80" t="s">
        <v>12687</v>
      </c>
      <c r="Q5185" s="20">
        <v>3768</v>
      </c>
      <c r="R5185" s="80" t="s">
        <v>36</v>
      </c>
      <c r="S5185" s="95">
        <v>3768</v>
      </c>
      <c r="T5185" s="148">
        <v>45606</v>
      </c>
      <c r="U5185" s="77"/>
      <c r="V5185" s="78"/>
      <c r="W5185" s="85" t="s">
        <v>17919</v>
      </c>
      <c r="X5185" s="80"/>
      <c r="Y5185" s="22">
        <v>0</v>
      </c>
      <c r="Z5185" s="80" t="s">
        <v>50</v>
      </c>
      <c r="AA5185" s="82" t="s">
        <v>14723</v>
      </c>
      <c r="AB5185" s="80"/>
      <c r="AC5185" s="80" t="s">
        <v>53</v>
      </c>
      <c r="AD5185" s="80" t="s">
        <v>138</v>
      </c>
      <c r="AE5185" s="80" t="s">
        <v>2752</v>
      </c>
      <c r="AF5185" s="43">
        <v>45610</v>
      </c>
      <c r="AG5185" s="80" t="s">
        <v>14541</v>
      </c>
      <c r="AH5185" s="80"/>
      <c r="AI5185" s="147"/>
      <c r="AJ5185" s="80"/>
      <c r="AK5185" s="80"/>
      <c r="AL5185" s="35"/>
      <c r="AM5185" s="35"/>
      <c r="AN5185" s="35"/>
      <c r="AO5185" s="35"/>
      <c r="AP5185" s="35"/>
    </row>
    <row r="5186" spans="1:42" x14ac:dyDescent="0.2">
      <c r="A5186" s="126">
        <v>45606.923531493056</v>
      </c>
      <c r="B5186" s="137" t="s">
        <v>37</v>
      </c>
      <c r="C5186" s="41" t="s">
        <v>118</v>
      </c>
      <c r="D5186" s="80" t="s">
        <v>36</v>
      </c>
      <c r="E5186" s="80" t="s">
        <v>77</v>
      </c>
      <c r="F5186" s="80" t="s">
        <v>40</v>
      </c>
      <c r="G5186" s="80" t="s">
        <v>41</v>
      </c>
      <c r="H5186" s="80" t="s">
        <v>17906</v>
      </c>
      <c r="I5186" s="17">
        <f ca="1">IFERROR(__xludf.DUMMYFUNCTION("""COMPUTED_VALUE"""),45610)</f>
        <v>45610</v>
      </c>
      <c r="J5186" s="143" t="s">
        <v>17920</v>
      </c>
      <c r="K5186" s="80" t="s">
        <v>17921</v>
      </c>
      <c r="L5186" s="30">
        <v>344207433</v>
      </c>
      <c r="M5186" s="80" t="s">
        <v>348</v>
      </c>
      <c r="N5186" s="80" t="s">
        <v>4299</v>
      </c>
      <c r="O5186" s="80" t="s">
        <v>17922</v>
      </c>
      <c r="P5186" s="80" t="s">
        <v>17923</v>
      </c>
      <c r="Q5186" s="20">
        <v>1968</v>
      </c>
      <c r="R5186" s="80" t="s">
        <v>36</v>
      </c>
      <c r="S5186" s="95">
        <v>1968</v>
      </c>
      <c r="T5186" s="148">
        <v>45606</v>
      </c>
      <c r="U5186" s="77"/>
      <c r="V5186" s="78"/>
      <c r="W5186" s="85" t="s">
        <v>17924</v>
      </c>
      <c r="X5186" s="80"/>
      <c r="Y5186" s="22">
        <v>0</v>
      </c>
      <c r="Z5186" s="80" t="s">
        <v>50</v>
      </c>
      <c r="AA5186" s="86" t="s">
        <v>14723</v>
      </c>
      <c r="AB5186" s="80"/>
      <c r="AC5186" s="80" t="s">
        <v>53</v>
      </c>
      <c r="AD5186" s="80" t="s">
        <v>54</v>
      </c>
      <c r="AE5186" s="80" t="s">
        <v>16305</v>
      </c>
      <c r="AF5186" s="43">
        <v>45607</v>
      </c>
      <c r="AG5186" s="80"/>
      <c r="AH5186" s="80"/>
      <c r="AI5186" s="147"/>
      <c r="AJ5186" s="80"/>
      <c r="AK5186" s="80"/>
      <c r="AL5186" s="35"/>
      <c r="AM5186" s="35"/>
      <c r="AN5186" s="35"/>
      <c r="AO5186" s="35"/>
      <c r="AP5186" s="35"/>
    </row>
    <row r="5187" spans="1:42" x14ac:dyDescent="0.2">
      <c r="A5187" s="126">
        <v>45607.341168391205</v>
      </c>
      <c r="B5187" s="137" t="s">
        <v>37</v>
      </c>
      <c r="C5187" s="41" t="s">
        <v>118</v>
      </c>
      <c r="D5187" s="80" t="s">
        <v>36</v>
      </c>
      <c r="E5187" s="80" t="s">
        <v>106</v>
      </c>
      <c r="F5187" s="80" t="s">
        <v>11735</v>
      </c>
      <c r="G5187" s="80" t="s">
        <v>108</v>
      </c>
      <c r="H5187" s="80" t="s">
        <v>8702</v>
      </c>
      <c r="I5187" s="17">
        <f ca="1">IFERROR(__xludf.DUMMYFUNCTION("""COMPUTED_VALUE"""),45608)</f>
        <v>45608</v>
      </c>
      <c r="J5187" s="143" t="s">
        <v>13267</v>
      </c>
      <c r="K5187" s="80" t="s">
        <v>13268</v>
      </c>
      <c r="L5187" s="30">
        <v>362019610</v>
      </c>
      <c r="M5187" s="80" t="s">
        <v>3288</v>
      </c>
      <c r="N5187" s="80" t="s">
        <v>200</v>
      </c>
      <c r="O5187" s="80" t="s">
        <v>91</v>
      </c>
      <c r="P5187" s="80" t="s">
        <v>3117</v>
      </c>
      <c r="Q5187" s="20">
        <v>3768</v>
      </c>
      <c r="R5187" s="80" t="s">
        <v>36</v>
      </c>
      <c r="S5187" s="95">
        <f t="shared" ref="S5187:S5188" si="127">200+3468</f>
        <v>3668</v>
      </c>
      <c r="T5187" s="83" t="s">
        <v>17925</v>
      </c>
      <c r="U5187" s="77"/>
      <c r="V5187" s="78"/>
      <c r="W5187" s="85" t="s">
        <v>17926</v>
      </c>
      <c r="X5187" s="80"/>
      <c r="Y5187" s="22">
        <v>100</v>
      </c>
      <c r="Z5187" s="80" t="s">
        <v>50</v>
      </c>
      <c r="AA5187" s="82" t="s">
        <v>14723</v>
      </c>
      <c r="AB5187" s="80"/>
      <c r="AC5187" s="80" t="s">
        <v>53</v>
      </c>
      <c r="AD5187" s="80" t="s">
        <v>138</v>
      </c>
      <c r="AE5187" s="80" t="s">
        <v>17927</v>
      </c>
      <c r="AF5187" s="17">
        <v>45611</v>
      </c>
      <c r="AG5187" s="80" t="s">
        <v>14199</v>
      </c>
      <c r="AH5187" s="80"/>
      <c r="AI5187" s="147"/>
      <c r="AJ5187" s="80"/>
      <c r="AK5187" s="80"/>
      <c r="AL5187" s="35"/>
      <c r="AM5187" s="35"/>
      <c r="AN5187" s="35"/>
      <c r="AO5187" s="35"/>
      <c r="AP5187" s="35"/>
    </row>
    <row r="5188" spans="1:42" x14ac:dyDescent="0.2">
      <c r="A5188" s="126">
        <v>45607.373352546296</v>
      </c>
      <c r="B5188" s="137" t="s">
        <v>37</v>
      </c>
      <c r="C5188" s="41" t="s">
        <v>118</v>
      </c>
      <c r="D5188" s="80" t="s">
        <v>36</v>
      </c>
      <c r="E5188" s="80" t="s">
        <v>106</v>
      </c>
      <c r="F5188" s="80" t="s">
        <v>11735</v>
      </c>
      <c r="G5188" s="80" t="s">
        <v>108</v>
      </c>
      <c r="H5188" s="80" t="s">
        <v>8702</v>
      </c>
      <c r="I5188" s="17">
        <f ca="1">IFERROR(__xludf.DUMMYFUNCTION("""COMPUTED_VALUE"""),45608)</f>
        <v>45608</v>
      </c>
      <c r="J5188" s="143" t="s">
        <v>13273</v>
      </c>
      <c r="K5188" s="80" t="s">
        <v>13274</v>
      </c>
      <c r="L5188" s="30">
        <v>398286396</v>
      </c>
      <c r="M5188" s="80" t="s">
        <v>3288</v>
      </c>
      <c r="N5188" s="80" t="s">
        <v>200</v>
      </c>
      <c r="O5188" s="80" t="s">
        <v>91</v>
      </c>
      <c r="P5188" s="80" t="s">
        <v>3117</v>
      </c>
      <c r="Q5188" s="20">
        <v>3768</v>
      </c>
      <c r="R5188" s="80" t="s">
        <v>36</v>
      </c>
      <c r="S5188" s="95">
        <f t="shared" si="127"/>
        <v>3668</v>
      </c>
      <c r="T5188" s="83" t="s">
        <v>17928</v>
      </c>
      <c r="U5188" s="77"/>
      <c r="V5188" s="78"/>
      <c r="W5188" s="80" t="s">
        <v>17929</v>
      </c>
      <c r="X5188" s="80"/>
      <c r="Y5188" s="22">
        <v>100</v>
      </c>
      <c r="Z5188" s="80" t="s">
        <v>50</v>
      </c>
      <c r="AA5188" s="86" t="s">
        <v>14723</v>
      </c>
      <c r="AB5188" s="80"/>
      <c r="AC5188" s="80" t="s">
        <v>53</v>
      </c>
      <c r="AD5188" s="80" t="s">
        <v>138</v>
      </c>
      <c r="AE5188" s="80" t="s">
        <v>17930</v>
      </c>
      <c r="AF5188" s="17">
        <v>45611</v>
      </c>
      <c r="AG5188" s="80" t="s">
        <v>14199</v>
      </c>
      <c r="AH5188" s="80"/>
      <c r="AI5188" s="147"/>
      <c r="AJ5188" s="80"/>
      <c r="AK5188" s="80"/>
      <c r="AL5188" s="35"/>
      <c r="AM5188" s="35"/>
      <c r="AN5188" s="35"/>
      <c r="AO5188" s="35"/>
      <c r="AP5188" s="35"/>
    </row>
    <row r="5189" spans="1:42" x14ac:dyDescent="0.2">
      <c r="A5189" s="126">
        <v>45607.429582962963</v>
      </c>
      <c r="B5189" s="137" t="s">
        <v>37</v>
      </c>
      <c r="C5189" s="41" t="s">
        <v>118</v>
      </c>
      <c r="D5189" s="80" t="s">
        <v>36</v>
      </c>
      <c r="E5189" s="80" t="s">
        <v>77</v>
      </c>
      <c r="F5189" s="80" t="s">
        <v>36</v>
      </c>
      <c r="G5189" s="80" t="s">
        <v>41</v>
      </c>
      <c r="H5189" s="80" t="s">
        <v>17931</v>
      </c>
      <c r="I5189" s="17" t="str">
        <f ca="1">IFERROR(__xludf.DUMMYFUNCTION("""COMPUTED_VALUE""")," ")</f>
        <v xml:space="preserve"> </v>
      </c>
      <c r="J5189" s="143" t="s">
        <v>17932</v>
      </c>
      <c r="K5189" s="80" t="s">
        <v>17933</v>
      </c>
      <c r="L5189" s="30">
        <v>846661107</v>
      </c>
      <c r="M5189" s="80" t="s">
        <v>348</v>
      </c>
      <c r="N5189" s="80" t="s">
        <v>4299</v>
      </c>
      <c r="O5189" s="80" t="s">
        <v>17934</v>
      </c>
      <c r="P5189" s="80" t="s">
        <v>17935</v>
      </c>
      <c r="Q5189" s="20">
        <v>1968</v>
      </c>
      <c r="R5189" s="80" t="s">
        <v>36</v>
      </c>
      <c r="S5189" s="95">
        <v>1968</v>
      </c>
      <c r="T5189" s="148">
        <v>45607</v>
      </c>
      <c r="U5189" s="77"/>
      <c r="V5189" s="78"/>
      <c r="W5189" s="85" t="s">
        <v>17936</v>
      </c>
      <c r="X5189" s="80"/>
      <c r="Y5189" s="22">
        <v>0</v>
      </c>
      <c r="Z5189" s="80" t="s">
        <v>50</v>
      </c>
      <c r="AA5189" s="82" t="s">
        <v>14723</v>
      </c>
      <c r="AB5189" s="80"/>
      <c r="AC5189" s="80" t="s">
        <v>53</v>
      </c>
      <c r="AD5189" s="80" t="s">
        <v>138</v>
      </c>
      <c r="AE5189" s="80" t="s">
        <v>16312</v>
      </c>
      <c r="AF5189" s="43">
        <v>45615</v>
      </c>
      <c r="AG5189" s="80"/>
      <c r="AH5189" s="80"/>
      <c r="AI5189" s="147"/>
      <c r="AJ5189" s="80"/>
      <c r="AK5189" s="80"/>
      <c r="AL5189" s="35"/>
      <c r="AM5189" s="35"/>
      <c r="AN5189" s="35"/>
      <c r="AO5189" s="35"/>
      <c r="AP5189" s="35"/>
    </row>
    <row r="5190" spans="1:42" x14ac:dyDescent="0.2">
      <c r="A5190" s="126">
        <v>45607.505390127313</v>
      </c>
      <c r="B5190" s="137" t="s">
        <v>37</v>
      </c>
      <c r="C5190" s="41" t="s">
        <v>118</v>
      </c>
      <c r="D5190" s="80" t="s">
        <v>36</v>
      </c>
      <c r="E5190" s="80" t="s">
        <v>39</v>
      </c>
      <c r="F5190" s="80" t="s">
        <v>36</v>
      </c>
      <c r="G5190" s="80" t="s">
        <v>41</v>
      </c>
      <c r="H5190" s="80" t="s">
        <v>17906</v>
      </c>
      <c r="I5190" s="17">
        <f ca="1">IFERROR(__xludf.DUMMYFUNCTION("""COMPUTED_VALUE"""),45610)</f>
        <v>45610</v>
      </c>
      <c r="J5190" s="143" t="s">
        <v>17937</v>
      </c>
      <c r="K5190" s="80" t="s">
        <v>10188</v>
      </c>
      <c r="L5190" s="30">
        <v>349159733</v>
      </c>
      <c r="M5190" s="80" t="s">
        <v>45</v>
      </c>
      <c r="N5190" s="80" t="s">
        <v>1472</v>
      </c>
      <c r="O5190" s="80" t="s">
        <v>17938</v>
      </c>
      <c r="P5190" s="80" t="s">
        <v>17939</v>
      </c>
      <c r="Q5190" s="20">
        <v>5736</v>
      </c>
      <c r="R5190" s="80" t="s">
        <v>36</v>
      </c>
      <c r="S5190" s="95">
        <v>5736</v>
      </c>
      <c r="T5190" s="148">
        <v>45607</v>
      </c>
      <c r="U5190" s="77"/>
      <c r="V5190" s="78"/>
      <c r="W5190" s="80" t="s">
        <v>17940</v>
      </c>
      <c r="X5190" s="80"/>
      <c r="Y5190" s="22">
        <v>0</v>
      </c>
      <c r="Z5190" s="80" t="s">
        <v>50</v>
      </c>
      <c r="AA5190" s="86" t="s">
        <v>14723</v>
      </c>
      <c r="AB5190" s="80"/>
      <c r="AC5190" s="80" t="s">
        <v>53</v>
      </c>
      <c r="AD5190" s="80" t="s">
        <v>54</v>
      </c>
      <c r="AE5190" s="83">
        <v>280</v>
      </c>
      <c r="AF5190" s="43">
        <v>45607</v>
      </c>
      <c r="AG5190" s="80"/>
      <c r="AH5190" s="80"/>
      <c r="AI5190" s="147"/>
      <c r="AJ5190" s="80"/>
      <c r="AK5190" s="80"/>
      <c r="AL5190" s="35"/>
      <c r="AM5190" s="35"/>
      <c r="AN5190" s="35"/>
      <c r="AO5190" s="35"/>
      <c r="AP5190" s="35"/>
    </row>
    <row r="5191" spans="1:42" x14ac:dyDescent="0.2">
      <c r="A5191" s="126">
        <v>45607.562608865745</v>
      </c>
      <c r="B5191" s="137" t="s">
        <v>37</v>
      </c>
      <c r="C5191" s="41" t="s">
        <v>118</v>
      </c>
      <c r="D5191" s="80" t="s">
        <v>36</v>
      </c>
      <c r="E5191" s="80" t="s">
        <v>77</v>
      </c>
      <c r="F5191" s="80" t="s">
        <v>40</v>
      </c>
      <c r="G5191" s="80" t="s">
        <v>41</v>
      </c>
      <c r="H5191" s="80" t="s">
        <v>15290</v>
      </c>
      <c r="I5191" s="17">
        <f ca="1">IFERROR(__xludf.DUMMYFUNCTION("""COMPUTED_VALUE"""),45609)</f>
        <v>45609</v>
      </c>
      <c r="J5191" s="143" t="s">
        <v>17941</v>
      </c>
      <c r="K5191" s="80" t="s">
        <v>17942</v>
      </c>
      <c r="L5191" s="30">
        <v>886199396</v>
      </c>
      <c r="M5191" s="80" t="s">
        <v>348</v>
      </c>
      <c r="N5191" s="80" t="s">
        <v>68</v>
      </c>
      <c r="O5191" s="80" t="s">
        <v>17943</v>
      </c>
      <c r="P5191" s="80" t="s">
        <v>17944</v>
      </c>
      <c r="Q5191" s="20">
        <v>1968</v>
      </c>
      <c r="R5191" s="80" t="s">
        <v>36</v>
      </c>
      <c r="S5191" s="95">
        <v>1968</v>
      </c>
      <c r="T5191" s="148">
        <v>45607</v>
      </c>
      <c r="U5191" s="77"/>
      <c r="V5191" s="78"/>
      <c r="W5191" s="85" t="s">
        <v>17945</v>
      </c>
      <c r="X5191" s="80"/>
      <c r="Y5191" s="22">
        <v>0</v>
      </c>
      <c r="Z5191" s="80" t="s">
        <v>50</v>
      </c>
      <c r="AA5191" s="82" t="s">
        <v>14723</v>
      </c>
      <c r="AB5191" s="80"/>
      <c r="AC5191" s="80" t="s">
        <v>53</v>
      </c>
      <c r="AD5191" s="80" t="s">
        <v>54</v>
      </c>
      <c r="AE5191" s="80" t="s">
        <v>16312</v>
      </c>
      <c r="AF5191" s="43">
        <v>45607</v>
      </c>
      <c r="AG5191" s="80"/>
      <c r="AH5191" s="80"/>
      <c r="AI5191" s="147"/>
      <c r="AJ5191" s="80"/>
      <c r="AK5191" s="80"/>
      <c r="AL5191" s="35"/>
      <c r="AM5191" s="35"/>
      <c r="AN5191" s="35"/>
      <c r="AO5191" s="35"/>
      <c r="AP5191" s="35"/>
    </row>
    <row r="5192" spans="1:42" x14ac:dyDescent="0.2">
      <c r="A5192" s="126">
        <v>45607.565291770836</v>
      </c>
      <c r="B5192" s="137" t="s">
        <v>37</v>
      </c>
      <c r="C5192" s="41" t="s">
        <v>118</v>
      </c>
      <c r="D5192" s="80" t="s">
        <v>36</v>
      </c>
      <c r="E5192" s="80" t="s">
        <v>77</v>
      </c>
      <c r="F5192" s="80" t="s">
        <v>40</v>
      </c>
      <c r="G5192" s="80" t="s">
        <v>41</v>
      </c>
      <c r="H5192" s="80" t="s">
        <v>17906</v>
      </c>
      <c r="I5192" s="17">
        <f ca="1">IFERROR(__xludf.DUMMYFUNCTION("""COMPUTED_VALUE"""),45610)</f>
        <v>45610</v>
      </c>
      <c r="J5192" s="143" t="s">
        <v>17946</v>
      </c>
      <c r="K5192" s="80" t="s">
        <v>17947</v>
      </c>
      <c r="L5192" s="30">
        <v>962574633</v>
      </c>
      <c r="M5192" s="80" t="s">
        <v>348</v>
      </c>
      <c r="N5192" s="80" t="s">
        <v>68</v>
      </c>
      <c r="O5192" s="80" t="s">
        <v>17948</v>
      </c>
      <c r="P5192" s="80" t="s">
        <v>17949</v>
      </c>
      <c r="Q5192" s="20">
        <v>1968</v>
      </c>
      <c r="R5192" s="80" t="s">
        <v>36</v>
      </c>
      <c r="S5192" s="95">
        <v>1968</v>
      </c>
      <c r="T5192" s="148">
        <v>45607</v>
      </c>
      <c r="U5192" s="77"/>
      <c r="V5192" s="78"/>
      <c r="W5192" s="85" t="s">
        <v>17950</v>
      </c>
      <c r="X5192" s="80"/>
      <c r="Y5192" s="22">
        <v>0</v>
      </c>
      <c r="Z5192" s="80" t="s">
        <v>50</v>
      </c>
      <c r="AA5192" s="86" t="s">
        <v>14723</v>
      </c>
      <c r="AB5192" s="80"/>
      <c r="AC5192" s="80" t="s">
        <v>53</v>
      </c>
      <c r="AD5192" s="80" t="s">
        <v>54</v>
      </c>
      <c r="AE5192" s="80" t="s">
        <v>16312</v>
      </c>
      <c r="AF5192" s="43">
        <v>45607</v>
      </c>
      <c r="AG5192" s="80"/>
      <c r="AH5192" s="80"/>
      <c r="AI5192" s="147"/>
      <c r="AJ5192" s="80"/>
      <c r="AK5192" s="80"/>
      <c r="AL5192" s="35"/>
      <c r="AM5192" s="35"/>
      <c r="AN5192" s="35"/>
      <c r="AO5192" s="35"/>
      <c r="AP5192" s="35"/>
    </row>
    <row r="5193" spans="1:42" x14ac:dyDescent="0.2">
      <c r="A5193" s="126">
        <v>45607.803991030094</v>
      </c>
      <c r="B5193" s="137" t="s">
        <v>37</v>
      </c>
      <c r="C5193" s="41" t="s">
        <v>118</v>
      </c>
      <c r="D5193" s="80" t="s">
        <v>77</v>
      </c>
      <c r="E5193" s="80" t="s">
        <v>106</v>
      </c>
      <c r="F5193" s="80" t="s">
        <v>9626</v>
      </c>
      <c r="G5193" s="80" t="s">
        <v>108</v>
      </c>
      <c r="H5193" s="80" t="s">
        <v>17951</v>
      </c>
      <c r="I5193" s="17" t="str">
        <f ca="1">IFERROR(__xludf.DUMMYFUNCTION("""COMPUTED_VALUE""")," ")</f>
        <v xml:space="preserve"> </v>
      </c>
      <c r="J5193" s="143" t="s">
        <v>11556</v>
      </c>
      <c r="K5193" s="80" t="s">
        <v>17952</v>
      </c>
      <c r="L5193" s="30">
        <v>386822891</v>
      </c>
      <c r="M5193" s="80" t="s">
        <v>59</v>
      </c>
      <c r="N5193" s="80" t="s">
        <v>4299</v>
      </c>
      <c r="O5193" s="80" t="s">
        <v>11558</v>
      </c>
      <c r="P5193" s="80" t="s">
        <v>12687</v>
      </c>
      <c r="Q5193" s="20">
        <v>3768</v>
      </c>
      <c r="R5193" s="80" t="s">
        <v>36</v>
      </c>
      <c r="S5193" s="95">
        <v>3668</v>
      </c>
      <c r="T5193" s="148">
        <v>45607</v>
      </c>
      <c r="U5193" s="77"/>
      <c r="V5193" s="78"/>
      <c r="W5193" s="85" t="s">
        <v>17953</v>
      </c>
      <c r="X5193" s="80"/>
      <c r="Y5193" s="22">
        <v>100</v>
      </c>
      <c r="Z5193" s="80" t="s">
        <v>50</v>
      </c>
      <c r="AA5193" s="82" t="s">
        <v>14723</v>
      </c>
      <c r="AB5193" s="80"/>
      <c r="AC5193" s="80" t="s">
        <v>53</v>
      </c>
      <c r="AD5193" s="80" t="s">
        <v>138</v>
      </c>
      <c r="AE5193" s="80" t="s">
        <v>9626</v>
      </c>
      <c r="AF5193" s="43">
        <v>45611</v>
      </c>
      <c r="AG5193" s="80" t="s">
        <v>17580</v>
      </c>
      <c r="AH5193" s="80"/>
      <c r="AI5193" s="147"/>
      <c r="AJ5193" s="80"/>
      <c r="AK5193" s="80"/>
      <c r="AL5193" s="35"/>
      <c r="AM5193" s="35"/>
      <c r="AN5193" s="35"/>
      <c r="AO5193" s="35"/>
      <c r="AP5193" s="35"/>
    </row>
    <row r="5194" spans="1:42" x14ac:dyDescent="0.2">
      <c r="A5194" s="126">
        <v>45607.807046111113</v>
      </c>
      <c r="B5194" s="137" t="s">
        <v>37</v>
      </c>
      <c r="C5194" s="41" t="s">
        <v>118</v>
      </c>
      <c r="D5194" s="80" t="s">
        <v>77</v>
      </c>
      <c r="E5194" s="80" t="s">
        <v>106</v>
      </c>
      <c r="F5194" s="80" t="s">
        <v>9626</v>
      </c>
      <c r="G5194" s="80" t="s">
        <v>108</v>
      </c>
      <c r="H5194" s="80" t="s">
        <v>17951</v>
      </c>
      <c r="I5194" s="17" t="str">
        <f ca="1">IFERROR(__xludf.DUMMYFUNCTION("""COMPUTED_VALUE""")," ")</f>
        <v xml:space="preserve"> </v>
      </c>
      <c r="J5194" s="143" t="s">
        <v>11562</v>
      </c>
      <c r="K5194" s="80" t="s">
        <v>17954</v>
      </c>
      <c r="L5194" s="30">
        <v>358403798</v>
      </c>
      <c r="M5194" s="80" t="s">
        <v>59</v>
      </c>
      <c r="N5194" s="80" t="s">
        <v>4299</v>
      </c>
      <c r="O5194" s="80" t="s">
        <v>7310</v>
      </c>
      <c r="P5194" s="80" t="s">
        <v>12687</v>
      </c>
      <c r="Q5194" s="20">
        <v>3768</v>
      </c>
      <c r="R5194" s="80" t="s">
        <v>36</v>
      </c>
      <c r="S5194" s="95">
        <v>3668</v>
      </c>
      <c r="T5194" s="148">
        <v>45607</v>
      </c>
      <c r="U5194" s="77"/>
      <c r="V5194" s="78"/>
      <c r="W5194" s="85" t="s">
        <v>17955</v>
      </c>
      <c r="X5194" s="80"/>
      <c r="Y5194" s="22">
        <v>100</v>
      </c>
      <c r="Z5194" s="80" t="s">
        <v>50</v>
      </c>
      <c r="AA5194" s="86" t="s">
        <v>14723</v>
      </c>
      <c r="AB5194" s="80"/>
      <c r="AC5194" s="80" t="s">
        <v>53</v>
      </c>
      <c r="AD5194" s="80" t="s">
        <v>138</v>
      </c>
      <c r="AE5194" s="80" t="s">
        <v>9626</v>
      </c>
      <c r="AF5194" s="43">
        <v>45611</v>
      </c>
      <c r="AG5194" s="80" t="s">
        <v>17580</v>
      </c>
      <c r="AH5194" s="80"/>
      <c r="AI5194" s="147"/>
      <c r="AJ5194" s="80"/>
      <c r="AK5194" s="80"/>
      <c r="AL5194" s="35"/>
      <c r="AM5194" s="35"/>
      <c r="AN5194" s="35"/>
      <c r="AO5194" s="35"/>
      <c r="AP5194" s="35"/>
    </row>
    <row r="5195" spans="1:42" x14ac:dyDescent="0.2">
      <c r="A5195" s="126">
        <v>45607.847590231482</v>
      </c>
      <c r="B5195" s="137" t="s">
        <v>37</v>
      </c>
      <c r="C5195" s="41" t="s">
        <v>118</v>
      </c>
      <c r="D5195" s="80" t="s">
        <v>36</v>
      </c>
      <c r="E5195" s="80" t="s">
        <v>77</v>
      </c>
      <c r="F5195" s="80" t="s">
        <v>40</v>
      </c>
      <c r="G5195" s="80" t="s">
        <v>41</v>
      </c>
      <c r="H5195" s="80" t="s">
        <v>17906</v>
      </c>
      <c r="I5195" s="17">
        <f ca="1">IFERROR(__xludf.DUMMYFUNCTION("""COMPUTED_VALUE"""),45610)</f>
        <v>45610</v>
      </c>
      <c r="J5195" s="143" t="s">
        <v>17956</v>
      </c>
      <c r="K5195" s="80" t="s">
        <v>17957</v>
      </c>
      <c r="L5195" s="30">
        <v>398558849</v>
      </c>
      <c r="M5195" s="80" t="s">
        <v>59</v>
      </c>
      <c r="N5195" s="80" t="s">
        <v>9301</v>
      </c>
      <c r="O5195" s="80" t="s">
        <v>17958</v>
      </c>
      <c r="P5195" s="80" t="s">
        <v>17959</v>
      </c>
      <c r="Q5195" s="20">
        <v>1968</v>
      </c>
      <c r="R5195" s="80" t="s">
        <v>36</v>
      </c>
      <c r="S5195" s="95">
        <v>1968</v>
      </c>
      <c r="T5195" s="148">
        <v>45607</v>
      </c>
      <c r="U5195" s="77"/>
      <c r="V5195" s="78"/>
      <c r="W5195" s="85" t="s">
        <v>17960</v>
      </c>
      <c r="X5195" s="80"/>
      <c r="Y5195" s="22">
        <v>0</v>
      </c>
      <c r="Z5195" s="80" t="s">
        <v>50</v>
      </c>
      <c r="AA5195" s="82" t="s">
        <v>14723</v>
      </c>
      <c r="AB5195" s="80"/>
      <c r="AC5195" s="80" t="s">
        <v>53</v>
      </c>
      <c r="AD5195" s="80" t="s">
        <v>54</v>
      </c>
      <c r="AE5195" s="80"/>
      <c r="AF5195" s="43">
        <v>45608</v>
      </c>
      <c r="AG5195" s="80"/>
      <c r="AH5195" s="80"/>
      <c r="AI5195" s="147"/>
      <c r="AJ5195" s="80"/>
      <c r="AK5195" s="80"/>
      <c r="AL5195" s="35"/>
      <c r="AM5195" s="35"/>
      <c r="AN5195" s="35"/>
      <c r="AO5195" s="35"/>
      <c r="AP5195" s="35"/>
    </row>
    <row r="5196" spans="1:42" x14ac:dyDescent="0.2">
      <c r="A5196" s="74">
        <v>45608</v>
      </c>
      <c r="B5196" s="137" t="s">
        <v>37</v>
      </c>
      <c r="C5196" s="41" t="s">
        <v>118</v>
      </c>
      <c r="D5196" s="26" t="s">
        <v>36</v>
      </c>
      <c r="E5196" s="80" t="s">
        <v>106</v>
      </c>
      <c r="F5196" s="26" t="s">
        <v>9241</v>
      </c>
      <c r="G5196" s="26" t="s">
        <v>108</v>
      </c>
      <c r="H5196" s="26" t="s">
        <v>13987</v>
      </c>
      <c r="I5196" s="17">
        <f ca="1">IFERROR(__xludf.DUMMYFUNCTION("""COMPUTED_VALUE"""),45610)</f>
        <v>45610</v>
      </c>
      <c r="J5196" s="143" t="s">
        <v>17961</v>
      </c>
      <c r="K5196" s="26" t="s">
        <v>17962</v>
      </c>
      <c r="L5196" s="30">
        <v>931380310</v>
      </c>
      <c r="M5196" s="26" t="s">
        <v>3498</v>
      </c>
      <c r="N5196" s="26" t="s">
        <v>9386</v>
      </c>
      <c r="O5196" s="26" t="s">
        <v>4503</v>
      </c>
      <c r="P5196" s="42" t="s">
        <v>17963</v>
      </c>
      <c r="Q5196" s="20">
        <v>3768</v>
      </c>
      <c r="R5196" s="26" t="s">
        <v>36</v>
      </c>
      <c r="S5196" s="95">
        <v>3768</v>
      </c>
      <c r="T5196" s="200">
        <v>45609</v>
      </c>
      <c r="U5196" s="31"/>
      <c r="V5196" s="32"/>
      <c r="W5196" s="55" t="s">
        <v>17964</v>
      </c>
      <c r="X5196" s="26"/>
      <c r="Y5196" s="22">
        <v>0</v>
      </c>
      <c r="Z5196" s="26" t="s">
        <v>50</v>
      </c>
      <c r="AA5196" s="86" t="s">
        <v>14723</v>
      </c>
      <c r="AB5196" s="26"/>
      <c r="AC5196" s="26" t="s">
        <v>53</v>
      </c>
      <c r="AD5196" s="26" t="s">
        <v>54</v>
      </c>
      <c r="AE5196" s="26" t="s">
        <v>9241</v>
      </c>
      <c r="AF5196" s="17">
        <v>45609</v>
      </c>
      <c r="AG5196" s="29" t="s">
        <v>9384</v>
      </c>
      <c r="AH5196" s="26"/>
      <c r="AI5196" s="40"/>
      <c r="AJ5196" s="26"/>
      <c r="AK5196" s="26"/>
      <c r="AL5196" s="35"/>
      <c r="AM5196" s="35"/>
      <c r="AN5196" s="35"/>
      <c r="AO5196" s="35"/>
      <c r="AP5196" s="35"/>
    </row>
    <row r="5197" spans="1:42" x14ac:dyDescent="0.2">
      <c r="A5197" s="74">
        <v>45608</v>
      </c>
      <c r="B5197" s="137" t="s">
        <v>37</v>
      </c>
      <c r="C5197" s="41" t="s">
        <v>118</v>
      </c>
      <c r="D5197" s="26" t="s">
        <v>36</v>
      </c>
      <c r="E5197" s="26" t="s">
        <v>148</v>
      </c>
      <c r="F5197" s="26" t="s">
        <v>9531</v>
      </c>
      <c r="G5197" s="26" t="s">
        <v>108</v>
      </c>
      <c r="H5197" s="26" t="s">
        <v>14542</v>
      </c>
      <c r="I5197" s="17">
        <f ca="1">IFERROR(__xludf.DUMMYFUNCTION("""COMPUTED_VALUE"""),45610)</f>
        <v>45610</v>
      </c>
      <c r="J5197" s="29" t="s">
        <v>10720</v>
      </c>
      <c r="K5197" s="26" t="s">
        <v>17965</v>
      </c>
      <c r="L5197" s="30">
        <v>343299128</v>
      </c>
      <c r="M5197" s="26" t="s">
        <v>80</v>
      </c>
      <c r="N5197" s="26" t="s">
        <v>1073</v>
      </c>
      <c r="O5197" s="26" t="s">
        <v>10722</v>
      </c>
      <c r="P5197" s="26" t="s">
        <v>17966</v>
      </c>
      <c r="Q5197" s="20">
        <v>7349</v>
      </c>
      <c r="R5197" s="26" t="s">
        <v>36</v>
      </c>
      <c r="S5197" s="95">
        <v>7349</v>
      </c>
      <c r="T5197" s="200">
        <v>45608</v>
      </c>
      <c r="U5197" s="31"/>
      <c r="V5197" s="32"/>
      <c r="W5197" s="55" t="s">
        <v>17967</v>
      </c>
      <c r="X5197" s="26">
        <v>0</v>
      </c>
      <c r="Y5197" s="22">
        <v>0</v>
      </c>
      <c r="Z5197" s="26" t="s">
        <v>50</v>
      </c>
      <c r="AA5197" s="82" t="s">
        <v>14723</v>
      </c>
      <c r="AB5197" s="26"/>
      <c r="AC5197" s="26" t="s">
        <v>53</v>
      </c>
      <c r="AD5197" s="26" t="s">
        <v>54</v>
      </c>
      <c r="AE5197" s="26" t="s">
        <v>9531</v>
      </c>
      <c r="AF5197" s="43">
        <v>45610</v>
      </c>
      <c r="AG5197" s="80" t="s">
        <v>14541</v>
      </c>
      <c r="AH5197" s="26"/>
      <c r="AI5197" s="40"/>
      <c r="AJ5197" s="26"/>
      <c r="AK5197" s="26"/>
      <c r="AL5197" s="35"/>
      <c r="AM5197" s="35"/>
      <c r="AN5197" s="35"/>
      <c r="AO5197" s="35"/>
      <c r="AP5197" s="35"/>
    </row>
    <row r="5198" spans="1:42" x14ac:dyDescent="0.2">
      <c r="A5198" s="74">
        <v>45608</v>
      </c>
      <c r="B5198" s="137" t="s">
        <v>37</v>
      </c>
      <c r="C5198" s="41" t="s">
        <v>118</v>
      </c>
      <c r="D5198" s="80" t="s">
        <v>36</v>
      </c>
      <c r="E5198" s="80" t="s">
        <v>148</v>
      </c>
      <c r="F5198" s="80" t="s">
        <v>11846</v>
      </c>
      <c r="G5198" s="26" t="s">
        <v>108</v>
      </c>
      <c r="H5198" s="80" t="s">
        <v>14737</v>
      </c>
      <c r="I5198" s="17">
        <f ca="1">IFERROR(__xludf.DUMMYFUNCTION("""COMPUTED_VALUE"""),45616)</f>
        <v>45616</v>
      </c>
      <c r="J5198" s="143" t="s">
        <v>11847</v>
      </c>
      <c r="K5198" s="80" t="s">
        <v>17968</v>
      </c>
      <c r="L5198" s="47">
        <v>348014266</v>
      </c>
      <c r="M5198" s="80" t="s">
        <v>80</v>
      </c>
      <c r="N5198" s="80" t="s">
        <v>466</v>
      </c>
      <c r="O5198" s="86" t="s">
        <v>11849</v>
      </c>
      <c r="P5198" s="86" t="s">
        <v>11850</v>
      </c>
      <c r="Q5198" s="20">
        <v>7349</v>
      </c>
      <c r="R5198" s="80" t="s">
        <v>36</v>
      </c>
      <c r="S5198" s="95">
        <f>7317+32</f>
        <v>7349</v>
      </c>
      <c r="T5198" s="200">
        <v>45622</v>
      </c>
      <c r="U5198" s="77"/>
      <c r="V5198" s="144" t="s">
        <v>17969</v>
      </c>
      <c r="W5198" s="79" t="s">
        <v>17970</v>
      </c>
      <c r="X5198" s="80"/>
      <c r="Y5198" s="22">
        <v>0</v>
      </c>
      <c r="Z5198" s="80" t="s">
        <v>50</v>
      </c>
      <c r="AA5198" s="86" t="s">
        <v>14723</v>
      </c>
      <c r="AB5198" s="80"/>
      <c r="AC5198" s="80" t="s">
        <v>53</v>
      </c>
      <c r="AD5198" s="80" t="s">
        <v>138</v>
      </c>
      <c r="AE5198" s="80" t="s">
        <v>11846</v>
      </c>
      <c r="AF5198" s="17">
        <v>45615</v>
      </c>
      <c r="AG5198" s="26"/>
      <c r="AH5198" s="80"/>
      <c r="AI5198" s="147"/>
      <c r="AJ5198" s="80"/>
      <c r="AK5198" s="80"/>
      <c r="AL5198" s="35"/>
      <c r="AM5198" s="35"/>
      <c r="AN5198" s="35"/>
      <c r="AO5198" s="35"/>
      <c r="AP5198" s="35"/>
    </row>
    <row r="5199" spans="1:42" x14ac:dyDescent="0.2">
      <c r="A5199" s="126">
        <v>45608.447194849534</v>
      </c>
      <c r="B5199" s="28" t="s">
        <v>37</v>
      </c>
      <c r="C5199" s="41" t="s">
        <v>118</v>
      </c>
      <c r="D5199" s="80" t="s">
        <v>36</v>
      </c>
      <c r="E5199" s="80" t="s">
        <v>119</v>
      </c>
      <c r="F5199" s="80" t="s">
        <v>36</v>
      </c>
      <c r="G5199" s="26" t="s">
        <v>108</v>
      </c>
      <c r="H5199" s="80" t="s">
        <v>14007</v>
      </c>
      <c r="I5199" s="17">
        <f ca="1">IFERROR(__xludf.DUMMYFUNCTION("""COMPUTED_VALUE"""),45603)</f>
        <v>45603</v>
      </c>
      <c r="J5199" s="143" t="s">
        <v>17971</v>
      </c>
      <c r="K5199" s="80" t="s">
        <v>17972</v>
      </c>
      <c r="L5199" s="30">
        <v>965971933</v>
      </c>
      <c r="M5199" s="80" t="s">
        <v>45</v>
      </c>
      <c r="N5199" s="80" t="s">
        <v>12712</v>
      </c>
      <c r="O5199" s="80" t="s">
        <v>17973</v>
      </c>
      <c r="P5199" s="80" t="s">
        <v>3694</v>
      </c>
      <c r="Q5199" s="20">
        <v>13968</v>
      </c>
      <c r="R5199" s="80" t="s">
        <v>36</v>
      </c>
      <c r="S5199" s="95">
        <v>13968</v>
      </c>
      <c r="T5199" s="148">
        <v>45605</v>
      </c>
      <c r="U5199" s="77"/>
      <c r="V5199" s="78"/>
      <c r="W5199" s="79" t="s">
        <v>17974</v>
      </c>
      <c r="X5199" s="80"/>
      <c r="Y5199" s="22">
        <v>0</v>
      </c>
      <c r="Z5199" s="80" t="s">
        <v>50</v>
      </c>
      <c r="AA5199" s="82" t="s">
        <v>14723</v>
      </c>
      <c r="AB5199" s="80"/>
      <c r="AC5199" s="80" t="s">
        <v>53</v>
      </c>
      <c r="AD5199" s="80" t="s">
        <v>138</v>
      </c>
      <c r="AE5199" s="83">
        <v>350</v>
      </c>
      <c r="AF5199" s="43">
        <v>45607</v>
      </c>
      <c r="AG5199" s="80" t="s">
        <v>17975</v>
      </c>
      <c r="AH5199" s="80"/>
      <c r="AI5199" s="147"/>
      <c r="AJ5199" s="80"/>
      <c r="AK5199" s="80"/>
      <c r="AL5199" s="35"/>
      <c r="AM5199" s="35"/>
      <c r="AN5199" s="35"/>
      <c r="AO5199" s="35"/>
      <c r="AP5199" s="35"/>
    </row>
    <row r="5200" spans="1:42" x14ac:dyDescent="0.2">
      <c r="A5200" s="38">
        <v>45601</v>
      </c>
      <c r="B5200" s="137" t="s">
        <v>37</v>
      </c>
      <c r="C5200" s="41" t="s">
        <v>118</v>
      </c>
      <c r="D5200" s="80" t="s">
        <v>36</v>
      </c>
      <c r="E5200" s="80" t="s">
        <v>106</v>
      </c>
      <c r="F5200" s="80" t="s">
        <v>11183</v>
      </c>
      <c r="G5200" s="80" t="s">
        <v>108</v>
      </c>
      <c r="H5200" s="80" t="s">
        <v>13600</v>
      </c>
      <c r="I5200" s="17">
        <f ca="1">IFERROR(__xludf.DUMMYFUNCTION("""COMPUTED_VALUE"""),45607)</f>
        <v>45607</v>
      </c>
      <c r="J5200" s="143" t="s">
        <v>17151</v>
      </c>
      <c r="K5200" s="80" t="s">
        <v>17976</v>
      </c>
      <c r="L5200" s="30">
        <v>866481344</v>
      </c>
      <c r="M5200" s="80" t="s">
        <v>80</v>
      </c>
      <c r="N5200" s="80" t="s">
        <v>466</v>
      </c>
      <c r="O5200" s="80" t="s">
        <v>17153</v>
      </c>
      <c r="P5200" s="80" t="s">
        <v>2641</v>
      </c>
      <c r="Q5200" s="20">
        <v>3768</v>
      </c>
      <c r="R5200" s="80" t="s">
        <v>70</v>
      </c>
      <c r="S5200" s="95">
        <f>2032+1736</f>
        <v>3768</v>
      </c>
      <c r="T5200" s="83" t="s">
        <v>17977</v>
      </c>
      <c r="U5200" s="77"/>
      <c r="V5200" s="78"/>
      <c r="W5200" s="85" t="s">
        <v>17978</v>
      </c>
      <c r="X5200" s="80"/>
      <c r="Y5200" s="22">
        <v>0</v>
      </c>
      <c r="Z5200" s="80" t="s">
        <v>50</v>
      </c>
      <c r="AA5200" s="86" t="s">
        <v>14723</v>
      </c>
      <c r="AB5200" s="144" t="s">
        <v>17979</v>
      </c>
      <c r="AC5200" s="80" t="s">
        <v>53</v>
      </c>
      <c r="AD5200" s="80" t="s">
        <v>54</v>
      </c>
      <c r="AE5200" s="80" t="s">
        <v>11183</v>
      </c>
      <c r="AF5200" s="43">
        <v>45607</v>
      </c>
      <c r="AG5200" s="80"/>
      <c r="AH5200" s="80"/>
      <c r="AI5200" s="147"/>
      <c r="AJ5200" s="80"/>
      <c r="AK5200" s="80"/>
      <c r="AL5200" s="35"/>
      <c r="AM5200" s="35"/>
      <c r="AN5200" s="35"/>
      <c r="AO5200" s="35"/>
      <c r="AP5200" s="35"/>
    </row>
    <row r="5201" spans="1:42" x14ac:dyDescent="0.2">
      <c r="A5201" s="126">
        <v>45608.675781388883</v>
      </c>
      <c r="B5201" s="137" t="s">
        <v>37</v>
      </c>
      <c r="C5201" s="41" t="s">
        <v>118</v>
      </c>
      <c r="D5201" s="80" t="s">
        <v>36</v>
      </c>
      <c r="E5201" s="80" t="s">
        <v>56</v>
      </c>
      <c r="F5201" s="80" t="s">
        <v>36</v>
      </c>
      <c r="G5201" s="80" t="s">
        <v>41</v>
      </c>
      <c r="H5201" s="80" t="s">
        <v>14051</v>
      </c>
      <c r="I5201" s="17">
        <f ca="1">IFERROR(__xludf.DUMMYFUNCTION("""COMPUTED_VALUE"""),45615)</f>
        <v>45615</v>
      </c>
      <c r="J5201" s="143" t="s">
        <v>17980</v>
      </c>
      <c r="K5201" s="201" t="s">
        <v>17981</v>
      </c>
      <c r="L5201" s="30">
        <v>965784013</v>
      </c>
      <c r="M5201" s="80" t="s">
        <v>59</v>
      </c>
      <c r="N5201" s="80" t="s">
        <v>17488</v>
      </c>
      <c r="O5201" s="80" t="s">
        <v>17982</v>
      </c>
      <c r="P5201" s="80" t="s">
        <v>7743</v>
      </c>
      <c r="Q5201" s="20">
        <v>9317</v>
      </c>
      <c r="R5201" s="80" t="s">
        <v>36</v>
      </c>
      <c r="S5201" s="95">
        <v>7349</v>
      </c>
      <c r="T5201" s="200">
        <v>45608</v>
      </c>
      <c r="U5201" s="173">
        <f>1000+968</f>
        <v>1968</v>
      </c>
      <c r="V5201" s="78">
        <v>45626</v>
      </c>
      <c r="W5201" s="85" t="s">
        <v>17983</v>
      </c>
      <c r="X5201" s="80"/>
      <c r="Y5201" s="22">
        <v>0</v>
      </c>
      <c r="Z5201" s="80" t="s">
        <v>50</v>
      </c>
      <c r="AA5201" s="82" t="s">
        <v>14723</v>
      </c>
      <c r="AB5201" s="80"/>
      <c r="AC5201" s="80" t="s">
        <v>53</v>
      </c>
      <c r="AD5201" s="80" t="s">
        <v>138</v>
      </c>
      <c r="AE5201" s="80" t="s">
        <v>16305</v>
      </c>
      <c r="AF5201" s="43">
        <v>45615</v>
      </c>
      <c r="AG5201" s="80"/>
      <c r="AH5201" s="80"/>
      <c r="AI5201" s="147"/>
      <c r="AJ5201" s="80"/>
      <c r="AK5201" s="80"/>
      <c r="AL5201" s="35"/>
      <c r="AM5201" s="35"/>
      <c r="AN5201" s="35"/>
      <c r="AO5201" s="35"/>
      <c r="AP5201" s="35"/>
    </row>
    <row r="5202" spans="1:42" x14ac:dyDescent="0.2">
      <c r="A5202" s="126">
        <v>45609.667273136569</v>
      </c>
      <c r="B5202" s="137" t="s">
        <v>37</v>
      </c>
      <c r="C5202" s="41" t="s">
        <v>118</v>
      </c>
      <c r="D5202" s="80" t="s">
        <v>77</v>
      </c>
      <c r="E5202" s="80" t="s">
        <v>106</v>
      </c>
      <c r="F5202" s="80" t="s">
        <v>13239</v>
      </c>
      <c r="G5202" s="80" t="s">
        <v>108</v>
      </c>
      <c r="H5202" s="80" t="s">
        <v>13782</v>
      </c>
      <c r="I5202" s="17">
        <f ca="1">IFERROR(__xludf.DUMMYFUNCTION("""COMPUTED_VALUE"""),45623)</f>
        <v>45623</v>
      </c>
      <c r="J5202" s="143" t="s">
        <v>17984</v>
      </c>
      <c r="K5202" s="80" t="s">
        <v>17985</v>
      </c>
      <c r="L5202" s="30">
        <v>981415076</v>
      </c>
      <c r="M5202" s="80" t="s">
        <v>9422</v>
      </c>
      <c r="N5202" s="80" t="s">
        <v>584</v>
      </c>
      <c r="O5202" s="80" t="s">
        <v>8827</v>
      </c>
      <c r="P5202" s="80" t="s">
        <v>17986</v>
      </c>
      <c r="Q5202" s="20">
        <v>3768</v>
      </c>
      <c r="R5202" s="80" t="s">
        <v>36</v>
      </c>
      <c r="S5202" s="95">
        <v>3668</v>
      </c>
      <c r="T5202" s="148">
        <v>45608</v>
      </c>
      <c r="U5202" s="77"/>
      <c r="V5202" s="78"/>
      <c r="W5202" s="79" t="s">
        <v>17987</v>
      </c>
      <c r="X5202" s="80"/>
      <c r="Y5202" s="22">
        <v>100</v>
      </c>
      <c r="Z5202" s="80" t="s">
        <v>50</v>
      </c>
      <c r="AA5202" s="86" t="s">
        <v>14723</v>
      </c>
      <c r="AB5202" s="80"/>
      <c r="AC5202" s="80"/>
      <c r="AD5202" s="80" t="s">
        <v>54</v>
      </c>
      <c r="AE5202" s="80"/>
      <c r="AF5202" s="17">
        <v>45609</v>
      </c>
      <c r="AG5202" s="80"/>
      <c r="AH5202" s="80"/>
      <c r="AI5202" s="147"/>
      <c r="AJ5202" s="80"/>
      <c r="AK5202" s="80"/>
      <c r="AL5202" s="35"/>
      <c r="AM5202" s="35"/>
      <c r="AN5202" s="35"/>
      <c r="AO5202" s="35"/>
      <c r="AP5202" s="35"/>
    </row>
    <row r="5203" spans="1:42" x14ac:dyDescent="0.2">
      <c r="A5203" s="126">
        <v>45609.850988506943</v>
      </c>
      <c r="B5203" s="137" t="s">
        <v>37</v>
      </c>
      <c r="C5203" s="41" t="s">
        <v>118</v>
      </c>
      <c r="D5203" s="80" t="s">
        <v>36</v>
      </c>
      <c r="E5203" s="80" t="s">
        <v>77</v>
      </c>
      <c r="F5203" s="80" t="s">
        <v>36</v>
      </c>
      <c r="G5203" s="80" t="s">
        <v>41</v>
      </c>
      <c r="H5203" s="80" t="s">
        <v>13441</v>
      </c>
      <c r="I5203" s="17">
        <f ca="1">IFERROR(__xludf.DUMMYFUNCTION("""COMPUTED_VALUE"""),45625)</f>
        <v>45625</v>
      </c>
      <c r="J5203" s="143" t="s">
        <v>17988</v>
      </c>
      <c r="K5203" s="80" t="s">
        <v>17989</v>
      </c>
      <c r="L5203" s="30">
        <v>377515745</v>
      </c>
      <c r="M5203" s="80" t="s">
        <v>348</v>
      </c>
      <c r="N5203" s="80" t="s">
        <v>4299</v>
      </c>
      <c r="O5203" s="80" t="s">
        <v>17990</v>
      </c>
      <c r="P5203" s="80" t="s">
        <v>17991</v>
      </c>
      <c r="Q5203" s="20">
        <v>1968</v>
      </c>
      <c r="R5203" s="80" t="s">
        <v>36</v>
      </c>
      <c r="S5203" s="95">
        <v>1968</v>
      </c>
      <c r="T5203" s="148">
        <v>45608</v>
      </c>
      <c r="U5203" s="77"/>
      <c r="V5203" s="78"/>
      <c r="W5203" s="85" t="s">
        <v>17992</v>
      </c>
      <c r="X5203" s="80"/>
      <c r="Y5203" s="22">
        <v>0</v>
      </c>
      <c r="Z5203" s="80" t="s">
        <v>50</v>
      </c>
      <c r="AA5203" s="82" t="s">
        <v>14723</v>
      </c>
      <c r="AB5203" s="80"/>
      <c r="AC5203" s="80" t="s">
        <v>53</v>
      </c>
      <c r="AD5203" s="80"/>
      <c r="AE5203" s="80" t="s">
        <v>5672</v>
      </c>
      <c r="AF5203" s="43">
        <v>45625</v>
      </c>
      <c r="AG5203" s="80" t="s">
        <v>13446</v>
      </c>
      <c r="AH5203" s="80"/>
      <c r="AI5203" s="147"/>
      <c r="AJ5203" s="80"/>
      <c r="AK5203" s="80"/>
      <c r="AL5203" s="35"/>
      <c r="AM5203" s="35"/>
      <c r="AN5203" s="35"/>
      <c r="AO5203" s="35"/>
      <c r="AP5203" s="35"/>
    </row>
    <row r="5204" spans="1:42" x14ac:dyDescent="0.2">
      <c r="A5204" s="126">
        <v>45609.857803298612</v>
      </c>
      <c r="B5204" s="137" t="s">
        <v>37</v>
      </c>
      <c r="C5204" s="41" t="s">
        <v>118</v>
      </c>
      <c r="D5204" s="80" t="s">
        <v>36</v>
      </c>
      <c r="E5204" s="80" t="s">
        <v>77</v>
      </c>
      <c r="F5204" s="80" t="s">
        <v>36</v>
      </c>
      <c r="G5204" s="80" t="s">
        <v>41</v>
      </c>
      <c r="H5204" s="80" t="s">
        <v>13441</v>
      </c>
      <c r="I5204" s="17">
        <f ca="1">IFERROR(__xludf.DUMMYFUNCTION("""COMPUTED_VALUE"""),45625)</f>
        <v>45625</v>
      </c>
      <c r="J5204" s="143" t="s">
        <v>17993</v>
      </c>
      <c r="K5204" s="80" t="s">
        <v>17994</v>
      </c>
      <c r="L5204" s="30">
        <v>834253016</v>
      </c>
      <c r="M5204" s="80" t="s">
        <v>348</v>
      </c>
      <c r="N5204" s="80" t="s">
        <v>4299</v>
      </c>
      <c r="O5204" s="80" t="s">
        <v>17995</v>
      </c>
      <c r="P5204" s="80" t="s">
        <v>17996</v>
      </c>
      <c r="Q5204" s="20">
        <v>1968</v>
      </c>
      <c r="R5204" s="80" t="s">
        <v>36</v>
      </c>
      <c r="S5204" s="95">
        <v>1968</v>
      </c>
      <c r="T5204" s="148">
        <v>45609</v>
      </c>
      <c r="U5204" s="77"/>
      <c r="V5204" s="78"/>
      <c r="W5204" s="85" t="s">
        <v>17997</v>
      </c>
      <c r="X5204" s="80"/>
      <c r="Y5204" s="22">
        <v>0</v>
      </c>
      <c r="Z5204" s="80" t="s">
        <v>50</v>
      </c>
      <c r="AA5204" s="86" t="s">
        <v>14723</v>
      </c>
      <c r="AB5204" s="80"/>
      <c r="AC5204" s="80" t="s">
        <v>53</v>
      </c>
      <c r="AD5204" s="80" t="s">
        <v>138</v>
      </c>
      <c r="AE5204" s="80" t="s">
        <v>16312</v>
      </c>
      <c r="AF5204" s="43">
        <v>45625</v>
      </c>
      <c r="AG5204" s="80" t="s">
        <v>13446</v>
      </c>
      <c r="AH5204" s="80"/>
      <c r="AI5204" s="147"/>
      <c r="AJ5204" s="80"/>
      <c r="AK5204" s="80"/>
      <c r="AL5204" s="35"/>
      <c r="AM5204" s="35"/>
      <c r="AN5204" s="35"/>
      <c r="AO5204" s="35"/>
      <c r="AP5204" s="35"/>
    </row>
    <row r="5205" spans="1:42" x14ac:dyDescent="0.2">
      <c r="A5205" s="126">
        <v>45609.923404907408</v>
      </c>
      <c r="B5205" s="137" t="s">
        <v>37</v>
      </c>
      <c r="C5205" s="41" t="s">
        <v>118</v>
      </c>
      <c r="D5205" s="80" t="s">
        <v>36</v>
      </c>
      <c r="E5205" s="80" t="s">
        <v>56</v>
      </c>
      <c r="F5205" s="80" t="s">
        <v>36</v>
      </c>
      <c r="G5205" s="80" t="s">
        <v>41</v>
      </c>
      <c r="H5205" s="80" t="s">
        <v>17752</v>
      </c>
      <c r="I5205" s="17">
        <f ca="1">IFERROR(__xludf.DUMMYFUNCTION("""COMPUTED_VALUE"""),45618)</f>
        <v>45618</v>
      </c>
      <c r="J5205" s="143" t="s">
        <v>17998</v>
      </c>
      <c r="K5205" s="80" t="s">
        <v>17999</v>
      </c>
      <c r="L5205" s="30">
        <v>862478409</v>
      </c>
      <c r="M5205" s="80" t="s">
        <v>59</v>
      </c>
      <c r="N5205" s="80" t="s">
        <v>17488</v>
      </c>
      <c r="O5205" s="80" t="s">
        <v>18000</v>
      </c>
      <c r="P5205" s="80" t="s">
        <v>12687</v>
      </c>
      <c r="Q5205" s="20">
        <v>9317</v>
      </c>
      <c r="R5205" s="80" t="s">
        <v>70</v>
      </c>
      <c r="S5205" s="95">
        <f t="shared" ref="S5205:S5206" si="128">200+9017</f>
        <v>9217</v>
      </c>
      <c r="T5205" s="83" t="s">
        <v>18001</v>
      </c>
      <c r="U5205" s="77"/>
      <c r="V5205" s="78"/>
      <c r="W5205" s="85" t="s">
        <v>18002</v>
      </c>
      <c r="X5205" s="80"/>
      <c r="Y5205" s="22">
        <v>100</v>
      </c>
      <c r="Z5205" s="80" t="s">
        <v>50</v>
      </c>
      <c r="AA5205" s="82" t="s">
        <v>14723</v>
      </c>
      <c r="AB5205" s="80"/>
      <c r="AC5205" s="80" t="s">
        <v>53</v>
      </c>
      <c r="AD5205" s="80" t="s">
        <v>138</v>
      </c>
      <c r="AE5205" s="80"/>
      <c r="AF5205" s="43">
        <v>45618</v>
      </c>
      <c r="AG5205" s="80" t="s">
        <v>7078</v>
      </c>
      <c r="AH5205" s="80"/>
      <c r="AI5205" s="147"/>
      <c r="AJ5205" s="80"/>
      <c r="AK5205" s="80"/>
      <c r="AL5205" s="35"/>
      <c r="AM5205" s="35"/>
      <c r="AN5205" s="35"/>
      <c r="AO5205" s="35"/>
      <c r="AP5205" s="35"/>
    </row>
    <row r="5206" spans="1:42" x14ac:dyDescent="0.2">
      <c r="A5206" s="126">
        <v>45609.92749538194</v>
      </c>
      <c r="B5206" s="137" t="s">
        <v>37</v>
      </c>
      <c r="C5206" s="41" t="s">
        <v>118</v>
      </c>
      <c r="D5206" s="80" t="s">
        <v>36</v>
      </c>
      <c r="E5206" s="80" t="s">
        <v>56</v>
      </c>
      <c r="F5206" s="80" t="s">
        <v>36</v>
      </c>
      <c r="G5206" s="80" t="s">
        <v>41</v>
      </c>
      <c r="H5206" s="80" t="s">
        <v>17752</v>
      </c>
      <c r="I5206" s="17">
        <f ca="1">IFERROR(__xludf.DUMMYFUNCTION("""COMPUTED_VALUE"""),45618)</f>
        <v>45618</v>
      </c>
      <c r="J5206" s="143" t="s">
        <v>18003</v>
      </c>
      <c r="K5206" s="80" t="s">
        <v>18004</v>
      </c>
      <c r="L5206" s="30">
        <v>815908906</v>
      </c>
      <c r="M5206" s="80" t="s">
        <v>59</v>
      </c>
      <c r="N5206" s="80" t="s">
        <v>17488</v>
      </c>
      <c r="O5206" s="80" t="s">
        <v>18005</v>
      </c>
      <c r="P5206" s="80" t="s">
        <v>18006</v>
      </c>
      <c r="Q5206" s="20">
        <v>9317</v>
      </c>
      <c r="R5206" s="80" t="s">
        <v>70</v>
      </c>
      <c r="S5206" s="95">
        <f t="shared" si="128"/>
        <v>9217</v>
      </c>
      <c r="T5206" s="83" t="s">
        <v>18001</v>
      </c>
      <c r="U5206" s="77"/>
      <c r="V5206" s="78"/>
      <c r="W5206" s="85" t="s">
        <v>18007</v>
      </c>
      <c r="X5206" s="80"/>
      <c r="Y5206" s="22">
        <v>100</v>
      </c>
      <c r="Z5206" s="80" t="s">
        <v>50</v>
      </c>
      <c r="AA5206" s="86" t="s">
        <v>14723</v>
      </c>
      <c r="AB5206" s="80"/>
      <c r="AC5206" s="80" t="s">
        <v>53</v>
      </c>
      <c r="AD5206" s="80" t="s">
        <v>138</v>
      </c>
      <c r="AE5206" s="80"/>
      <c r="AF5206" s="43">
        <v>45618</v>
      </c>
      <c r="AG5206" s="80" t="s">
        <v>7078</v>
      </c>
      <c r="AH5206" s="80"/>
      <c r="AI5206" s="147"/>
      <c r="AJ5206" s="80"/>
      <c r="AK5206" s="80"/>
      <c r="AL5206" s="35"/>
      <c r="AM5206" s="35"/>
      <c r="AN5206" s="35"/>
      <c r="AO5206" s="35"/>
      <c r="AP5206" s="35"/>
    </row>
    <row r="5207" spans="1:42" x14ac:dyDescent="0.2">
      <c r="A5207" s="126">
        <v>45609.953897233798</v>
      </c>
      <c r="B5207" s="137" t="s">
        <v>37</v>
      </c>
      <c r="C5207" s="41" t="s">
        <v>118</v>
      </c>
      <c r="D5207" s="80" t="s">
        <v>36</v>
      </c>
      <c r="E5207" s="80" t="s">
        <v>56</v>
      </c>
      <c r="F5207" s="26" t="s">
        <v>36</v>
      </c>
      <c r="G5207" s="26" t="s">
        <v>41</v>
      </c>
      <c r="H5207" s="80" t="s">
        <v>13283</v>
      </c>
      <c r="I5207" s="17">
        <f ca="1">IFERROR(__xludf.DUMMYFUNCTION("""COMPUTED_VALUE"""),45631)</f>
        <v>45631</v>
      </c>
      <c r="J5207" s="143" t="s">
        <v>18008</v>
      </c>
      <c r="K5207" s="80" t="s">
        <v>5126</v>
      </c>
      <c r="L5207" s="30">
        <v>838180902</v>
      </c>
      <c r="M5207" s="80" t="s">
        <v>5558</v>
      </c>
      <c r="N5207" s="80" t="s">
        <v>5277</v>
      </c>
      <c r="O5207" s="80" t="s">
        <v>4503</v>
      </c>
      <c r="P5207" s="80" t="s">
        <v>18009</v>
      </c>
      <c r="Q5207" s="20">
        <v>9317</v>
      </c>
      <c r="R5207" s="80" t="s">
        <v>36</v>
      </c>
      <c r="S5207" s="95">
        <f>200+9117</f>
        <v>9317</v>
      </c>
      <c r="T5207" s="83" t="s">
        <v>18010</v>
      </c>
      <c r="U5207" s="95"/>
      <c r="V5207" s="148"/>
      <c r="W5207" s="80" t="s">
        <v>18011</v>
      </c>
      <c r="X5207" s="80"/>
      <c r="Y5207" s="22">
        <v>0</v>
      </c>
      <c r="Z5207" s="80" t="s">
        <v>50</v>
      </c>
      <c r="AA5207" s="82" t="s">
        <v>14723</v>
      </c>
      <c r="AB5207" s="80"/>
      <c r="AC5207" s="80" t="s">
        <v>53</v>
      </c>
      <c r="AD5207" s="80" t="s">
        <v>138</v>
      </c>
      <c r="AE5207" s="80"/>
      <c r="AF5207" s="17">
        <v>45631</v>
      </c>
      <c r="AG5207" s="80"/>
      <c r="AH5207" s="80"/>
      <c r="AI5207" s="147"/>
      <c r="AJ5207" s="80"/>
      <c r="AK5207" s="80"/>
      <c r="AL5207" s="35"/>
      <c r="AM5207" s="35"/>
      <c r="AN5207" s="35"/>
      <c r="AO5207" s="35"/>
      <c r="AP5207" s="35"/>
    </row>
    <row r="5208" spans="1:42" x14ac:dyDescent="0.2">
      <c r="A5208" s="126">
        <v>45610.539765451387</v>
      </c>
      <c r="B5208" s="137" t="s">
        <v>37</v>
      </c>
      <c r="C5208" s="41" t="s">
        <v>118</v>
      </c>
      <c r="D5208" s="80" t="s">
        <v>36</v>
      </c>
      <c r="E5208" s="80" t="s">
        <v>39</v>
      </c>
      <c r="F5208" s="80" t="s">
        <v>36</v>
      </c>
      <c r="G5208" s="80" t="s">
        <v>41</v>
      </c>
      <c r="H5208" s="80" t="s">
        <v>16705</v>
      </c>
      <c r="I5208" s="17">
        <f ca="1">IFERROR(__xludf.DUMMYFUNCTION("""COMPUTED_VALUE"""),45621)</f>
        <v>45621</v>
      </c>
      <c r="J5208" s="143" t="s">
        <v>18012</v>
      </c>
      <c r="K5208" s="80" t="s">
        <v>18013</v>
      </c>
      <c r="L5208" s="30">
        <v>941946272</v>
      </c>
      <c r="M5208" s="80" t="s">
        <v>5558</v>
      </c>
      <c r="N5208" s="80" t="s">
        <v>5559</v>
      </c>
      <c r="O5208" s="80" t="s">
        <v>4503</v>
      </c>
      <c r="P5208" s="80" t="s">
        <v>18014</v>
      </c>
      <c r="Q5208" s="20">
        <v>5736</v>
      </c>
      <c r="R5208" s="80" t="s">
        <v>36</v>
      </c>
      <c r="S5208" s="95">
        <f>200+1800</f>
        <v>2000</v>
      </c>
      <c r="T5208" s="83" t="s">
        <v>18015</v>
      </c>
      <c r="U5208" s="95">
        <v>3736</v>
      </c>
      <c r="V5208" s="148">
        <v>45626</v>
      </c>
      <c r="W5208" s="85" t="s">
        <v>18016</v>
      </c>
      <c r="X5208" s="80"/>
      <c r="Y5208" s="22">
        <v>0</v>
      </c>
      <c r="Z5208" s="80" t="s">
        <v>50</v>
      </c>
      <c r="AA5208" s="86" t="s">
        <v>14723</v>
      </c>
      <c r="AB5208" s="80"/>
      <c r="AC5208" s="80" t="s">
        <v>53</v>
      </c>
      <c r="AD5208" s="80" t="s">
        <v>54</v>
      </c>
      <c r="AE5208" s="80"/>
      <c r="AF5208" s="43">
        <v>45622</v>
      </c>
      <c r="AG5208" s="80" t="s">
        <v>7078</v>
      </c>
      <c r="AH5208" s="80"/>
      <c r="AI5208" s="147"/>
      <c r="AJ5208" s="80"/>
      <c r="AK5208" s="80"/>
      <c r="AL5208" s="35"/>
      <c r="AM5208" s="35"/>
      <c r="AN5208" s="35"/>
      <c r="AO5208" s="35"/>
      <c r="AP5208" s="35"/>
    </row>
    <row r="5209" spans="1:42" x14ac:dyDescent="0.2">
      <c r="A5209" s="126">
        <v>45610.83962353009</v>
      </c>
      <c r="B5209" s="137" t="s">
        <v>37</v>
      </c>
      <c r="C5209" s="41" t="s">
        <v>118</v>
      </c>
      <c r="D5209" s="80" t="s">
        <v>36</v>
      </c>
      <c r="E5209" s="80" t="s">
        <v>119</v>
      </c>
      <c r="F5209" s="80" t="s">
        <v>36</v>
      </c>
      <c r="G5209" s="80" t="s">
        <v>108</v>
      </c>
      <c r="H5209" s="80" t="s">
        <v>14637</v>
      </c>
      <c r="I5209" s="17">
        <f ca="1">IFERROR(__xludf.DUMMYFUNCTION("""COMPUTED_VALUE"""),45611)</f>
        <v>45611</v>
      </c>
      <c r="J5209" s="143" t="s">
        <v>18017</v>
      </c>
      <c r="K5209" s="80" t="s">
        <v>18018</v>
      </c>
      <c r="L5209" s="30">
        <v>965357178</v>
      </c>
      <c r="M5209" s="80" t="s">
        <v>5558</v>
      </c>
      <c r="N5209" s="80" t="s">
        <v>5277</v>
      </c>
      <c r="O5209" s="80" t="s">
        <v>4503</v>
      </c>
      <c r="P5209" s="80" t="s">
        <v>18019</v>
      </c>
      <c r="Q5209" s="20">
        <v>13968</v>
      </c>
      <c r="R5209" s="80" t="s">
        <v>36</v>
      </c>
      <c r="S5209" s="95">
        <v>4000</v>
      </c>
      <c r="T5209" s="148">
        <v>45610</v>
      </c>
      <c r="U5209" s="95">
        <v>9968</v>
      </c>
      <c r="V5209" s="148">
        <v>45618</v>
      </c>
      <c r="W5209" s="85" t="s">
        <v>18020</v>
      </c>
      <c r="X5209" s="80"/>
      <c r="Y5209" s="22">
        <v>0</v>
      </c>
      <c r="Z5209" s="80" t="s">
        <v>50</v>
      </c>
      <c r="AA5209" s="82" t="s">
        <v>14723</v>
      </c>
      <c r="AB5209" s="80"/>
      <c r="AC5209" s="80" t="s">
        <v>53</v>
      </c>
      <c r="AD5209" s="80" t="s">
        <v>54</v>
      </c>
      <c r="AE5209" s="80"/>
      <c r="AF5209" s="17">
        <v>45611</v>
      </c>
      <c r="AG5209" s="80"/>
      <c r="AH5209" s="80"/>
      <c r="AI5209" s="147"/>
      <c r="AJ5209" s="80"/>
      <c r="AK5209" s="80"/>
      <c r="AL5209" s="35"/>
      <c r="AM5209" s="35"/>
      <c r="AN5209" s="35"/>
      <c r="AO5209" s="35"/>
      <c r="AP5209" s="35"/>
    </row>
    <row r="5210" spans="1:42" x14ac:dyDescent="0.2">
      <c r="A5210" s="126">
        <v>45610.930481678239</v>
      </c>
      <c r="B5210" s="137" t="s">
        <v>37</v>
      </c>
      <c r="C5210" s="41" t="s">
        <v>118</v>
      </c>
      <c r="D5210" s="80" t="s">
        <v>77</v>
      </c>
      <c r="E5210" s="80" t="s">
        <v>148</v>
      </c>
      <c r="F5210" s="80" t="s">
        <v>11845</v>
      </c>
      <c r="G5210" s="26" t="s">
        <v>108</v>
      </c>
      <c r="H5210" s="80" t="s">
        <v>14342</v>
      </c>
      <c r="I5210" s="17">
        <f ca="1">IFERROR(__xludf.DUMMYFUNCTION("""COMPUTED_VALUE"""),45611)</f>
        <v>45611</v>
      </c>
      <c r="J5210" s="143" t="s">
        <v>12841</v>
      </c>
      <c r="K5210" s="80" t="s">
        <v>12842</v>
      </c>
      <c r="L5210" s="30">
        <v>357189602</v>
      </c>
      <c r="M5210" s="80" t="s">
        <v>5518</v>
      </c>
      <c r="N5210" s="80" t="s">
        <v>12380</v>
      </c>
      <c r="O5210" s="80" t="s">
        <v>12843</v>
      </c>
      <c r="P5210" s="80" t="s">
        <v>3694</v>
      </c>
      <c r="Q5210" s="20">
        <v>7349</v>
      </c>
      <c r="R5210" s="80" t="s">
        <v>36</v>
      </c>
      <c r="S5210" s="95">
        <v>3768</v>
      </c>
      <c r="T5210" s="148">
        <v>45608</v>
      </c>
      <c r="U5210" s="95">
        <v>3581</v>
      </c>
      <c r="V5210" s="148">
        <v>45626</v>
      </c>
      <c r="W5210" s="85" t="s">
        <v>18021</v>
      </c>
      <c r="X5210" s="80"/>
      <c r="Y5210" s="22">
        <v>0</v>
      </c>
      <c r="Z5210" s="80" t="s">
        <v>50</v>
      </c>
      <c r="AA5210" s="86" t="s">
        <v>14723</v>
      </c>
      <c r="AB5210" s="80"/>
      <c r="AC5210" s="80" t="s">
        <v>53</v>
      </c>
      <c r="AD5210" s="80" t="s">
        <v>138</v>
      </c>
      <c r="AE5210" s="80" t="s">
        <v>11845</v>
      </c>
      <c r="AF5210" s="17">
        <v>45611</v>
      </c>
      <c r="AG5210" s="80"/>
      <c r="AH5210" s="80"/>
      <c r="AI5210" s="147"/>
      <c r="AJ5210" s="80"/>
      <c r="AK5210" s="80"/>
      <c r="AL5210" s="35"/>
      <c r="AM5210" s="35"/>
      <c r="AN5210" s="35"/>
      <c r="AO5210" s="35"/>
      <c r="AP5210" s="35"/>
    </row>
    <row r="5211" spans="1:42" x14ac:dyDescent="0.2">
      <c r="A5211" s="126">
        <v>45610.943073252318</v>
      </c>
      <c r="B5211" s="137" t="s">
        <v>37</v>
      </c>
      <c r="C5211" s="41" t="s">
        <v>118</v>
      </c>
      <c r="D5211" s="80" t="s">
        <v>36</v>
      </c>
      <c r="E5211" s="80" t="s">
        <v>56</v>
      </c>
      <c r="F5211" s="80" t="s">
        <v>36</v>
      </c>
      <c r="G5211" s="80" t="s">
        <v>41</v>
      </c>
      <c r="H5211" s="80" t="s">
        <v>13441</v>
      </c>
      <c r="I5211" s="17">
        <f ca="1">IFERROR(__xludf.DUMMYFUNCTION("""COMPUTED_VALUE"""),45625)</f>
        <v>45625</v>
      </c>
      <c r="J5211" s="143" t="s">
        <v>18022</v>
      </c>
      <c r="K5211" s="80" t="s">
        <v>18023</v>
      </c>
      <c r="L5211" s="30">
        <v>973867024</v>
      </c>
      <c r="M5211" s="80" t="s">
        <v>9422</v>
      </c>
      <c r="N5211" s="80" t="s">
        <v>7051</v>
      </c>
      <c r="O5211" s="80" t="s">
        <v>11607</v>
      </c>
      <c r="P5211" s="80" t="s">
        <v>18024</v>
      </c>
      <c r="Q5211" s="20">
        <v>9317</v>
      </c>
      <c r="R5211" s="80" t="s">
        <v>36</v>
      </c>
      <c r="S5211" s="95">
        <v>9317</v>
      </c>
      <c r="T5211" s="148">
        <v>45610</v>
      </c>
      <c r="U5211" s="77"/>
      <c r="V5211" s="78"/>
      <c r="W5211" s="85" t="s">
        <v>18025</v>
      </c>
      <c r="X5211" s="80"/>
      <c r="Y5211" s="22">
        <v>0</v>
      </c>
      <c r="Z5211" s="80" t="s">
        <v>50</v>
      </c>
      <c r="AA5211" s="82" t="s">
        <v>14723</v>
      </c>
      <c r="AB5211" s="80"/>
      <c r="AC5211" s="80" t="s">
        <v>53</v>
      </c>
      <c r="AD5211" s="80" t="s">
        <v>138</v>
      </c>
      <c r="AE5211" s="80"/>
      <c r="AF5211" s="43">
        <v>45615</v>
      </c>
      <c r="AG5211" s="80"/>
      <c r="AH5211" s="80"/>
      <c r="AI5211" s="147"/>
      <c r="AJ5211" s="80"/>
      <c r="AK5211" s="80"/>
      <c r="AL5211" s="35"/>
      <c r="AM5211" s="35"/>
      <c r="AN5211" s="35"/>
      <c r="AO5211" s="35"/>
      <c r="AP5211" s="35"/>
    </row>
    <row r="5212" spans="1:42" x14ac:dyDescent="0.2">
      <c r="A5212" s="126">
        <v>45611.406184664353</v>
      </c>
      <c r="B5212" s="137" t="s">
        <v>37</v>
      </c>
      <c r="C5212" s="41" t="s">
        <v>118</v>
      </c>
      <c r="D5212" s="80" t="s">
        <v>36</v>
      </c>
      <c r="E5212" s="80" t="s">
        <v>148</v>
      </c>
      <c r="F5212" s="80" t="s">
        <v>36</v>
      </c>
      <c r="G5212" s="80" t="s">
        <v>108</v>
      </c>
      <c r="H5212" s="80" t="s">
        <v>14409</v>
      </c>
      <c r="I5212" s="17">
        <f ca="1">IFERROR(__xludf.DUMMYFUNCTION("""COMPUTED_VALUE"""),45624)</f>
        <v>45624</v>
      </c>
      <c r="J5212" s="143" t="s">
        <v>18026</v>
      </c>
      <c r="K5212" s="80" t="s">
        <v>18027</v>
      </c>
      <c r="L5212" s="30">
        <v>348847001</v>
      </c>
      <c r="M5212" s="80" t="s">
        <v>5558</v>
      </c>
      <c r="N5212" s="80" t="s">
        <v>5277</v>
      </c>
      <c r="O5212" s="80" t="s">
        <v>18028</v>
      </c>
      <c r="P5212" s="80" t="s">
        <v>18029</v>
      </c>
      <c r="Q5212" s="20">
        <v>7349</v>
      </c>
      <c r="R5212" s="80" t="s">
        <v>70</v>
      </c>
      <c r="S5212" s="95">
        <v>7249</v>
      </c>
      <c r="T5212" s="148">
        <v>45611</v>
      </c>
      <c r="U5212" s="77"/>
      <c r="V5212" s="78"/>
      <c r="W5212" s="85" t="s">
        <v>18030</v>
      </c>
      <c r="X5212" s="80"/>
      <c r="Y5212" s="22">
        <v>100</v>
      </c>
      <c r="Z5212" s="80" t="s">
        <v>50</v>
      </c>
      <c r="AA5212" s="86" t="s">
        <v>14723</v>
      </c>
      <c r="AB5212" s="80"/>
      <c r="AC5212" s="80" t="s">
        <v>53</v>
      </c>
      <c r="AD5212" s="80" t="s">
        <v>54</v>
      </c>
      <c r="AE5212" s="80"/>
      <c r="AF5212" s="17">
        <v>45611</v>
      </c>
      <c r="AG5212" s="80"/>
      <c r="AH5212" s="80"/>
      <c r="AI5212" s="147"/>
      <c r="AJ5212" s="80"/>
      <c r="AK5212" s="80"/>
      <c r="AL5212" s="35"/>
      <c r="AM5212" s="35"/>
      <c r="AN5212" s="35"/>
      <c r="AO5212" s="35"/>
      <c r="AP5212" s="35"/>
    </row>
    <row r="5213" spans="1:42" x14ac:dyDescent="0.2">
      <c r="A5213" s="126">
        <v>45611.557142800928</v>
      </c>
      <c r="B5213" s="137" t="s">
        <v>37</v>
      </c>
      <c r="C5213" s="41" t="s">
        <v>118</v>
      </c>
      <c r="D5213" s="80" t="s">
        <v>36</v>
      </c>
      <c r="E5213" s="80" t="s">
        <v>77</v>
      </c>
      <c r="F5213" s="80" t="s">
        <v>36</v>
      </c>
      <c r="G5213" s="80" t="s">
        <v>41</v>
      </c>
      <c r="H5213" s="80" t="s">
        <v>17752</v>
      </c>
      <c r="I5213" s="17">
        <f ca="1">IFERROR(__xludf.DUMMYFUNCTION("""COMPUTED_VALUE"""),45618)</f>
        <v>45618</v>
      </c>
      <c r="J5213" s="143" t="s">
        <v>18031</v>
      </c>
      <c r="K5213" s="80" t="s">
        <v>18032</v>
      </c>
      <c r="L5213" s="30">
        <v>338919006</v>
      </c>
      <c r="M5213" s="80" t="s">
        <v>348</v>
      </c>
      <c r="N5213" s="80" t="s">
        <v>4299</v>
      </c>
      <c r="O5213" s="80" t="s">
        <v>18033</v>
      </c>
      <c r="P5213" s="80" t="s">
        <v>18034</v>
      </c>
      <c r="Q5213" s="20">
        <v>1968</v>
      </c>
      <c r="R5213" s="80" t="s">
        <v>36</v>
      </c>
      <c r="S5213" s="95">
        <v>1968</v>
      </c>
      <c r="T5213" s="148">
        <v>45611</v>
      </c>
      <c r="U5213" s="77"/>
      <c r="V5213" s="78"/>
      <c r="W5213" s="85" t="s">
        <v>18035</v>
      </c>
      <c r="X5213" s="80"/>
      <c r="Y5213" s="22">
        <v>0</v>
      </c>
      <c r="Z5213" s="80" t="s">
        <v>50</v>
      </c>
      <c r="AA5213" s="82" t="s">
        <v>14723</v>
      </c>
      <c r="AB5213" s="80"/>
      <c r="AC5213" s="80" t="s">
        <v>53</v>
      </c>
      <c r="AD5213" s="80" t="s">
        <v>138</v>
      </c>
      <c r="AE5213" s="80"/>
      <c r="AF5213" s="43">
        <v>45618</v>
      </c>
      <c r="AG5213" s="80" t="s">
        <v>16677</v>
      </c>
      <c r="AH5213" s="80"/>
      <c r="AI5213" s="147"/>
      <c r="AJ5213" s="80"/>
      <c r="AK5213" s="80"/>
      <c r="AL5213" s="35"/>
      <c r="AM5213" s="35"/>
      <c r="AN5213" s="35"/>
      <c r="AO5213" s="35"/>
      <c r="AP5213" s="35"/>
    </row>
    <row r="5214" spans="1:42" x14ac:dyDescent="0.2">
      <c r="A5214" s="126">
        <v>45611.644723483798</v>
      </c>
      <c r="B5214" s="137" t="s">
        <v>37</v>
      </c>
      <c r="C5214" s="41" t="s">
        <v>118</v>
      </c>
      <c r="D5214" s="80" t="s">
        <v>77</v>
      </c>
      <c r="E5214" s="80" t="s">
        <v>148</v>
      </c>
      <c r="F5214" s="80" t="s">
        <v>11347</v>
      </c>
      <c r="G5214" s="80" t="s">
        <v>108</v>
      </c>
      <c r="H5214" s="80" t="s">
        <v>14177</v>
      </c>
      <c r="I5214" s="17">
        <f ca="1">IFERROR(__xludf.DUMMYFUNCTION("""COMPUTED_VALUE"""),45614)</f>
        <v>45614</v>
      </c>
      <c r="J5214" s="143" t="s">
        <v>11680</v>
      </c>
      <c r="K5214" s="80" t="s">
        <v>11681</v>
      </c>
      <c r="L5214" s="30">
        <v>338184763</v>
      </c>
      <c r="M5214" s="80" t="s">
        <v>11413</v>
      </c>
      <c r="N5214" s="80" t="s">
        <v>1246</v>
      </c>
      <c r="O5214" s="80" t="s">
        <v>11682</v>
      </c>
      <c r="P5214" s="80" t="s">
        <v>11683</v>
      </c>
      <c r="Q5214" s="20">
        <v>7349</v>
      </c>
      <c r="R5214" s="80" t="s">
        <v>36</v>
      </c>
      <c r="S5214" s="95">
        <v>7349</v>
      </c>
      <c r="T5214" s="148">
        <v>45611</v>
      </c>
      <c r="U5214" s="77"/>
      <c r="V5214" s="78"/>
      <c r="W5214" s="85" t="s">
        <v>18036</v>
      </c>
      <c r="X5214" s="80"/>
      <c r="Y5214" s="22">
        <v>0</v>
      </c>
      <c r="Z5214" s="80" t="s">
        <v>50</v>
      </c>
      <c r="AA5214" s="86" t="s">
        <v>14723</v>
      </c>
      <c r="AB5214" s="80"/>
      <c r="AC5214" s="80" t="s">
        <v>53</v>
      </c>
      <c r="AD5214" s="80" t="s">
        <v>138</v>
      </c>
      <c r="AE5214" s="80" t="s">
        <v>11347</v>
      </c>
      <c r="AF5214" s="17">
        <v>45614</v>
      </c>
      <c r="AG5214" s="80"/>
      <c r="AH5214" s="80"/>
      <c r="AI5214" s="147"/>
      <c r="AJ5214" s="80"/>
      <c r="AK5214" s="80"/>
      <c r="AL5214" s="35"/>
      <c r="AM5214" s="35"/>
      <c r="AN5214" s="35"/>
      <c r="AO5214" s="35"/>
      <c r="AP5214" s="35"/>
    </row>
    <row r="5215" spans="1:42" x14ac:dyDescent="0.2">
      <c r="A5215" s="126">
        <v>45611.668580486112</v>
      </c>
      <c r="B5215" s="137" t="s">
        <v>37</v>
      </c>
      <c r="C5215" s="41" t="s">
        <v>118</v>
      </c>
      <c r="D5215" s="80" t="s">
        <v>36</v>
      </c>
      <c r="E5215" s="80" t="s">
        <v>139</v>
      </c>
      <c r="F5215" s="80" t="s">
        <v>91</v>
      </c>
      <c r="G5215" s="80" t="s">
        <v>41</v>
      </c>
      <c r="H5215" s="80" t="s">
        <v>16705</v>
      </c>
      <c r="I5215" s="17">
        <f ca="1">IFERROR(__xludf.DUMMYFUNCTION("""COMPUTED_VALUE"""),45621)</f>
        <v>45621</v>
      </c>
      <c r="J5215" s="143" t="s">
        <v>18037</v>
      </c>
      <c r="K5215" s="80" t="s">
        <v>18038</v>
      </c>
      <c r="L5215" s="30">
        <v>902028671</v>
      </c>
      <c r="M5215" s="80" t="s">
        <v>5558</v>
      </c>
      <c r="N5215" s="80" t="s">
        <v>5277</v>
      </c>
      <c r="O5215" s="80" t="s">
        <v>4503</v>
      </c>
      <c r="P5215" s="80" t="s">
        <v>18039</v>
      </c>
      <c r="Q5215" s="20">
        <v>15936</v>
      </c>
      <c r="R5215" s="80" t="s">
        <v>36</v>
      </c>
      <c r="S5215" s="95">
        <f>200+15236</f>
        <v>15436</v>
      </c>
      <c r="T5215" s="83" t="s">
        <v>18040</v>
      </c>
      <c r="U5215" s="95"/>
      <c r="V5215" s="148"/>
      <c r="W5215" s="80" t="s">
        <v>18041</v>
      </c>
      <c r="X5215" s="80"/>
      <c r="Y5215" s="22">
        <v>500</v>
      </c>
      <c r="Z5215" s="80" t="s">
        <v>50</v>
      </c>
      <c r="AA5215" s="82" t="s">
        <v>14723</v>
      </c>
      <c r="AB5215" s="80" t="s">
        <v>18042</v>
      </c>
      <c r="AC5215" s="80" t="s">
        <v>1828</v>
      </c>
      <c r="AD5215" s="80" t="s">
        <v>54</v>
      </c>
      <c r="AE5215" s="80"/>
      <c r="AF5215" s="60" t="s">
        <v>1829</v>
      </c>
      <c r="AG5215" s="80"/>
      <c r="AH5215" s="80"/>
      <c r="AI5215" s="147"/>
      <c r="AJ5215" s="80"/>
      <c r="AK5215" s="80"/>
      <c r="AL5215" s="35"/>
      <c r="AM5215" s="35"/>
      <c r="AN5215" s="35"/>
      <c r="AO5215" s="35"/>
      <c r="AP5215" s="35"/>
    </row>
    <row r="5216" spans="1:42" x14ac:dyDescent="0.2">
      <c r="A5216" s="126">
        <v>45612.728282673612</v>
      </c>
      <c r="B5216" s="137" t="s">
        <v>37</v>
      </c>
      <c r="C5216" s="41" t="s">
        <v>118</v>
      </c>
      <c r="D5216" s="80" t="s">
        <v>77</v>
      </c>
      <c r="E5216" s="80" t="s">
        <v>106</v>
      </c>
      <c r="F5216" s="80" t="s">
        <v>18043</v>
      </c>
      <c r="G5216" s="80" t="s">
        <v>7629</v>
      </c>
      <c r="H5216" s="80" t="s">
        <v>14387</v>
      </c>
      <c r="I5216" s="17">
        <f ca="1">IFERROR(__xludf.DUMMYFUNCTION("""COMPUTED_VALUE"""),45615)</f>
        <v>45615</v>
      </c>
      <c r="J5216" s="143" t="s">
        <v>18044</v>
      </c>
      <c r="K5216" s="80" t="s">
        <v>13461</v>
      </c>
      <c r="L5216" s="30">
        <v>926222006</v>
      </c>
      <c r="M5216" s="80" t="s">
        <v>59</v>
      </c>
      <c r="N5216" s="80" t="s">
        <v>18045</v>
      </c>
      <c r="O5216" s="80" t="s">
        <v>13462</v>
      </c>
      <c r="P5216" s="80" t="s">
        <v>12687</v>
      </c>
      <c r="Q5216" s="20">
        <v>3768</v>
      </c>
      <c r="R5216" s="80" t="s">
        <v>36</v>
      </c>
      <c r="S5216" s="95">
        <v>3668</v>
      </c>
      <c r="T5216" s="148">
        <v>45612</v>
      </c>
      <c r="U5216" s="77"/>
      <c r="V5216" s="78"/>
      <c r="W5216" s="85" t="s">
        <v>18046</v>
      </c>
      <c r="X5216" s="80"/>
      <c r="Y5216" s="22">
        <v>100</v>
      </c>
      <c r="Z5216" s="80" t="s">
        <v>50</v>
      </c>
      <c r="AA5216" s="86" t="s">
        <v>14723</v>
      </c>
      <c r="AB5216" s="80"/>
      <c r="AC5216" s="80" t="s">
        <v>53</v>
      </c>
      <c r="AD5216" s="80" t="s">
        <v>138</v>
      </c>
      <c r="AE5216" s="80" t="s">
        <v>2752</v>
      </c>
      <c r="AF5216" s="43">
        <v>45615</v>
      </c>
      <c r="AG5216" s="80"/>
      <c r="AH5216" s="80"/>
      <c r="AI5216" s="147"/>
      <c r="AJ5216" s="80"/>
      <c r="AK5216" s="80"/>
      <c r="AL5216" s="35"/>
      <c r="AM5216" s="35"/>
      <c r="AN5216" s="35"/>
      <c r="AO5216" s="35"/>
      <c r="AP5216" s="35"/>
    </row>
    <row r="5217" spans="1:42" x14ac:dyDescent="0.2">
      <c r="A5217" s="126">
        <v>45612.730934699073</v>
      </c>
      <c r="B5217" s="137" t="s">
        <v>37</v>
      </c>
      <c r="C5217" s="41" t="s">
        <v>118</v>
      </c>
      <c r="D5217" s="80" t="s">
        <v>36</v>
      </c>
      <c r="E5217" s="80" t="s">
        <v>77</v>
      </c>
      <c r="F5217" s="80" t="s">
        <v>36</v>
      </c>
      <c r="G5217" s="80" t="s">
        <v>41</v>
      </c>
      <c r="H5217" s="80" t="s">
        <v>14051</v>
      </c>
      <c r="I5217" s="17">
        <f ca="1">IFERROR(__xludf.DUMMYFUNCTION("""COMPUTED_VALUE"""),45615)</f>
        <v>45615</v>
      </c>
      <c r="J5217" s="143" t="s">
        <v>18047</v>
      </c>
      <c r="K5217" s="80" t="s">
        <v>18048</v>
      </c>
      <c r="L5217" s="30">
        <v>912108261</v>
      </c>
      <c r="M5217" s="80" t="s">
        <v>348</v>
      </c>
      <c r="N5217" s="80" t="s">
        <v>4299</v>
      </c>
      <c r="O5217" s="80" t="s">
        <v>18049</v>
      </c>
      <c r="P5217" s="80" t="s">
        <v>7743</v>
      </c>
      <c r="Q5217" s="20">
        <v>1968</v>
      </c>
      <c r="R5217" s="80" t="s">
        <v>36</v>
      </c>
      <c r="S5217" s="95">
        <v>1968</v>
      </c>
      <c r="T5217" s="148">
        <v>45612</v>
      </c>
      <c r="U5217" s="77"/>
      <c r="V5217" s="78"/>
      <c r="W5217" s="85" t="s">
        <v>18050</v>
      </c>
      <c r="X5217" s="80"/>
      <c r="Y5217" s="22">
        <v>0</v>
      </c>
      <c r="Z5217" s="80" t="s">
        <v>50</v>
      </c>
      <c r="AA5217" s="82" t="s">
        <v>14723</v>
      </c>
      <c r="AB5217" s="80"/>
      <c r="AC5217" s="80" t="s">
        <v>53</v>
      </c>
      <c r="AD5217" s="80" t="s">
        <v>138</v>
      </c>
      <c r="AE5217" s="80" t="s">
        <v>16312</v>
      </c>
      <c r="AF5217" s="43">
        <v>45615</v>
      </c>
      <c r="AG5217" s="80"/>
      <c r="AH5217" s="80"/>
      <c r="AI5217" s="147"/>
      <c r="AJ5217" s="80"/>
      <c r="AK5217" s="80"/>
      <c r="AL5217" s="35"/>
      <c r="AM5217" s="35"/>
      <c r="AN5217" s="35"/>
      <c r="AO5217" s="35"/>
      <c r="AP5217" s="35"/>
    </row>
    <row r="5218" spans="1:42" x14ac:dyDescent="0.2">
      <c r="A5218" s="126">
        <v>45612.86321210648</v>
      </c>
      <c r="B5218" s="137" t="s">
        <v>37</v>
      </c>
      <c r="C5218" s="41" t="s">
        <v>118</v>
      </c>
      <c r="D5218" s="80" t="s">
        <v>77</v>
      </c>
      <c r="E5218" s="80" t="s">
        <v>106</v>
      </c>
      <c r="F5218" s="80" t="s">
        <v>13301</v>
      </c>
      <c r="G5218" s="80" t="s">
        <v>7629</v>
      </c>
      <c r="H5218" s="80" t="s">
        <v>14387</v>
      </c>
      <c r="I5218" s="17">
        <f ca="1">IFERROR(__xludf.DUMMYFUNCTION("""COMPUTED_VALUE"""),45615)</f>
        <v>45615</v>
      </c>
      <c r="J5218" s="143" t="s">
        <v>18051</v>
      </c>
      <c r="K5218" s="80" t="s">
        <v>18052</v>
      </c>
      <c r="L5218" s="30">
        <v>968103687</v>
      </c>
      <c r="M5218" s="80" t="s">
        <v>59</v>
      </c>
      <c r="N5218" s="80" t="s">
        <v>18053</v>
      </c>
      <c r="O5218" s="80" t="s">
        <v>18054</v>
      </c>
      <c r="P5218" s="80" t="s">
        <v>18055</v>
      </c>
      <c r="Q5218" s="20">
        <v>3768</v>
      </c>
      <c r="R5218" s="80" t="s">
        <v>36</v>
      </c>
      <c r="S5218" s="95">
        <v>3668</v>
      </c>
      <c r="T5218" s="148">
        <v>45612</v>
      </c>
      <c r="U5218" s="77"/>
      <c r="V5218" s="78"/>
      <c r="W5218" s="85" t="s">
        <v>18056</v>
      </c>
      <c r="X5218" s="80"/>
      <c r="Y5218" s="22">
        <v>100</v>
      </c>
      <c r="Z5218" s="80" t="s">
        <v>50</v>
      </c>
      <c r="AA5218" s="86" t="s">
        <v>14723</v>
      </c>
      <c r="AB5218" s="80"/>
      <c r="AC5218" s="80" t="s">
        <v>53</v>
      </c>
      <c r="AD5218" s="80" t="s">
        <v>138</v>
      </c>
      <c r="AE5218" s="80" t="s">
        <v>2752</v>
      </c>
      <c r="AF5218" s="43">
        <v>45615</v>
      </c>
      <c r="AG5218" s="80"/>
      <c r="AH5218" s="80"/>
      <c r="AI5218" s="147"/>
      <c r="AJ5218" s="80"/>
      <c r="AK5218" s="80"/>
      <c r="AL5218" s="35"/>
      <c r="AM5218" s="35"/>
      <c r="AN5218" s="35"/>
      <c r="AO5218" s="35"/>
      <c r="AP5218" s="35"/>
    </row>
    <row r="5219" spans="1:42" x14ac:dyDescent="0.2">
      <c r="A5219" s="126">
        <v>45612.961840439813</v>
      </c>
      <c r="B5219" s="137" t="s">
        <v>37</v>
      </c>
      <c r="C5219" s="41" t="s">
        <v>118</v>
      </c>
      <c r="D5219" s="80" t="s">
        <v>36</v>
      </c>
      <c r="E5219" s="80" t="s">
        <v>119</v>
      </c>
      <c r="F5219" s="80" t="s">
        <v>36</v>
      </c>
      <c r="G5219" s="26" t="s">
        <v>108</v>
      </c>
      <c r="H5219" s="80" t="s">
        <v>14429</v>
      </c>
      <c r="I5219" s="17">
        <f ca="1">IFERROR(__xludf.DUMMYFUNCTION("""COMPUTED_VALUE"""),45615)</f>
        <v>45615</v>
      </c>
      <c r="J5219" s="143" t="s">
        <v>18057</v>
      </c>
      <c r="K5219" s="80" t="s">
        <v>18058</v>
      </c>
      <c r="L5219" s="30">
        <v>569568569</v>
      </c>
      <c r="M5219" s="80" t="s">
        <v>9422</v>
      </c>
      <c r="N5219" s="80" t="s">
        <v>12670</v>
      </c>
      <c r="O5219" s="80" t="s">
        <v>18059</v>
      </c>
      <c r="P5219" s="80" t="s">
        <v>8638</v>
      </c>
      <c r="Q5219" s="20">
        <v>13968</v>
      </c>
      <c r="R5219" s="80" t="s">
        <v>36</v>
      </c>
      <c r="S5219" s="95">
        <f>200+13768</f>
        <v>13968</v>
      </c>
      <c r="T5219" s="83" t="s">
        <v>18060</v>
      </c>
      <c r="U5219" s="77"/>
      <c r="V5219" s="78"/>
      <c r="W5219" s="85" t="s">
        <v>18061</v>
      </c>
      <c r="X5219" s="80"/>
      <c r="Y5219" s="22">
        <v>0</v>
      </c>
      <c r="Z5219" s="80" t="s">
        <v>50</v>
      </c>
      <c r="AA5219" s="82" t="s">
        <v>14723</v>
      </c>
      <c r="AB5219" s="80"/>
      <c r="AC5219" s="80" t="s">
        <v>53</v>
      </c>
      <c r="AD5219" s="80" t="s">
        <v>138</v>
      </c>
      <c r="AE5219" s="83">
        <v>350</v>
      </c>
      <c r="AF5219" s="17">
        <v>45615</v>
      </c>
      <c r="AG5219" s="80"/>
      <c r="AH5219" s="80"/>
      <c r="AI5219" s="147"/>
      <c r="AJ5219" s="80"/>
      <c r="AK5219" s="80"/>
      <c r="AL5219" s="35"/>
      <c r="AM5219" s="35"/>
      <c r="AN5219" s="35"/>
      <c r="AO5219" s="35"/>
      <c r="AP5219" s="35"/>
    </row>
    <row r="5220" spans="1:42" x14ac:dyDescent="0.2">
      <c r="A5220" s="126">
        <v>45613.871289166666</v>
      </c>
      <c r="B5220" s="137" t="s">
        <v>37</v>
      </c>
      <c r="C5220" s="41" t="s">
        <v>118</v>
      </c>
      <c r="D5220" s="80" t="s">
        <v>36</v>
      </c>
      <c r="E5220" s="80" t="s">
        <v>139</v>
      </c>
      <c r="F5220" s="80" t="s">
        <v>36</v>
      </c>
      <c r="G5220" s="80" t="s">
        <v>41</v>
      </c>
      <c r="H5220" s="80" t="s">
        <v>6523</v>
      </c>
      <c r="I5220" s="17">
        <f ca="1">IFERROR(__xludf.DUMMYFUNCTION("""COMPUTED_VALUE"""),45622)</f>
        <v>45622</v>
      </c>
      <c r="J5220" s="143" t="s">
        <v>18062</v>
      </c>
      <c r="K5220" s="80" t="s">
        <v>18063</v>
      </c>
      <c r="L5220" s="30">
        <v>375948128</v>
      </c>
      <c r="M5220" s="80" t="s">
        <v>9422</v>
      </c>
      <c r="N5220" s="80" t="s">
        <v>12670</v>
      </c>
      <c r="O5220" s="80" t="s">
        <v>18064</v>
      </c>
      <c r="P5220" s="80" t="s">
        <v>18065</v>
      </c>
      <c r="Q5220" s="20">
        <v>15936</v>
      </c>
      <c r="R5220" s="80" t="s">
        <v>36</v>
      </c>
      <c r="S5220" s="95">
        <v>16000</v>
      </c>
      <c r="T5220" s="148">
        <v>45613</v>
      </c>
      <c r="U5220" s="77"/>
      <c r="V5220" s="78"/>
      <c r="W5220" s="85" t="s">
        <v>18066</v>
      </c>
      <c r="X5220" s="80"/>
      <c r="Y5220" s="22">
        <v>-64</v>
      </c>
      <c r="Z5220" s="80" t="s">
        <v>50</v>
      </c>
      <c r="AA5220" s="86" t="s">
        <v>14723</v>
      </c>
      <c r="AB5220" s="80"/>
      <c r="AC5220" s="80" t="s">
        <v>53</v>
      </c>
      <c r="AD5220" s="80" t="s">
        <v>54</v>
      </c>
      <c r="AE5220" s="83">
        <v>0</v>
      </c>
      <c r="AF5220" s="17">
        <v>45615</v>
      </c>
      <c r="AG5220" s="80"/>
      <c r="AH5220" s="80"/>
      <c r="AI5220" s="147"/>
      <c r="AJ5220" s="80"/>
      <c r="AK5220" s="80"/>
      <c r="AL5220" s="35"/>
      <c r="AM5220" s="35"/>
      <c r="AN5220" s="35"/>
      <c r="AO5220" s="35"/>
      <c r="AP5220" s="35"/>
    </row>
    <row r="5221" spans="1:42" x14ac:dyDescent="0.2">
      <c r="A5221" s="126">
        <v>45614.028260358798</v>
      </c>
      <c r="B5221" s="137" t="s">
        <v>37</v>
      </c>
      <c r="C5221" s="41" t="s">
        <v>118</v>
      </c>
      <c r="D5221" s="80" t="s">
        <v>36</v>
      </c>
      <c r="E5221" s="80" t="s">
        <v>219</v>
      </c>
      <c r="F5221" s="80" t="s">
        <v>40</v>
      </c>
      <c r="G5221" s="80" t="s">
        <v>221</v>
      </c>
      <c r="H5221" s="80" t="s">
        <v>8972</v>
      </c>
      <c r="I5221" s="17">
        <f ca="1">IFERROR(__xludf.DUMMYFUNCTION("""COMPUTED_VALUE"""),45625)</f>
        <v>45625</v>
      </c>
      <c r="J5221" s="143" t="s">
        <v>18067</v>
      </c>
      <c r="K5221" s="80" t="s">
        <v>18068</v>
      </c>
      <c r="L5221" s="30">
        <v>329088011</v>
      </c>
      <c r="M5221" s="80" t="s">
        <v>348</v>
      </c>
      <c r="N5221" s="80" t="s">
        <v>4299</v>
      </c>
      <c r="O5221" s="80" t="s">
        <v>18069</v>
      </c>
      <c r="P5221" s="80" t="s">
        <v>18070</v>
      </c>
      <c r="Q5221" s="20">
        <v>3968</v>
      </c>
      <c r="R5221" s="80" t="s">
        <v>36</v>
      </c>
      <c r="S5221" s="95">
        <v>3968</v>
      </c>
      <c r="T5221" s="148">
        <v>45613</v>
      </c>
      <c r="U5221" s="77"/>
      <c r="V5221" s="78"/>
      <c r="W5221" s="85" t="s">
        <v>18071</v>
      </c>
      <c r="X5221" s="80"/>
      <c r="Y5221" s="22">
        <v>0</v>
      </c>
      <c r="Z5221" s="80" t="s">
        <v>50</v>
      </c>
      <c r="AA5221" s="82" t="s">
        <v>14723</v>
      </c>
      <c r="AB5221" s="80"/>
      <c r="AC5221" s="80" t="s">
        <v>53</v>
      </c>
      <c r="AD5221" s="80" t="s">
        <v>54</v>
      </c>
      <c r="AE5221" s="80" t="s">
        <v>3554</v>
      </c>
      <c r="AF5221" s="43">
        <v>45617</v>
      </c>
      <c r="AG5221" s="80"/>
      <c r="AH5221" s="80"/>
      <c r="AI5221" s="147"/>
      <c r="AJ5221" s="80"/>
      <c r="AK5221" s="80"/>
      <c r="AL5221" s="35"/>
      <c r="AM5221" s="35"/>
      <c r="AN5221" s="35"/>
      <c r="AO5221" s="35"/>
      <c r="AP5221" s="35"/>
    </row>
    <row r="5222" spans="1:42" x14ac:dyDescent="0.2">
      <c r="A5222" s="126">
        <v>45614.438255312503</v>
      </c>
      <c r="B5222" s="137" t="s">
        <v>37</v>
      </c>
      <c r="C5222" s="41" t="s">
        <v>118</v>
      </c>
      <c r="D5222" s="80" t="s">
        <v>39</v>
      </c>
      <c r="E5222" s="80" t="s">
        <v>915</v>
      </c>
      <c r="F5222" s="80" t="s">
        <v>12793</v>
      </c>
      <c r="G5222" s="80" t="s">
        <v>221</v>
      </c>
      <c r="H5222" s="80" t="s">
        <v>18072</v>
      </c>
      <c r="I5222" s="17">
        <f ca="1">IFERROR(__xludf.DUMMYFUNCTION("""COMPUTED_VALUE"""),45804)</f>
        <v>45804</v>
      </c>
      <c r="J5222" s="143" t="s">
        <v>13305</v>
      </c>
      <c r="K5222" s="80" t="s">
        <v>18073</v>
      </c>
      <c r="L5222" s="30">
        <v>383257036</v>
      </c>
      <c r="M5222" s="80" t="s">
        <v>45</v>
      </c>
      <c r="N5222" s="80" t="s">
        <v>12712</v>
      </c>
      <c r="O5222" s="80" t="s">
        <v>18074</v>
      </c>
      <c r="P5222" s="80" t="s">
        <v>13308</v>
      </c>
      <c r="Q5222" s="20">
        <v>10894</v>
      </c>
      <c r="R5222" s="80" t="s">
        <v>36</v>
      </c>
      <c r="S5222" s="95">
        <v>10894</v>
      </c>
      <c r="T5222" s="148">
        <v>45612</v>
      </c>
      <c r="U5222" s="77"/>
      <c r="V5222" s="78"/>
      <c r="W5222" s="85" t="s">
        <v>18075</v>
      </c>
      <c r="X5222" s="80"/>
      <c r="Y5222" s="22">
        <v>0</v>
      </c>
      <c r="Z5222" s="80" t="s">
        <v>50</v>
      </c>
      <c r="AA5222" s="86" t="s">
        <v>14723</v>
      </c>
      <c r="AB5222" s="80"/>
      <c r="AC5222" s="80" t="s">
        <v>53</v>
      </c>
      <c r="AD5222" s="80" t="s">
        <v>54</v>
      </c>
      <c r="AE5222" s="80" t="s">
        <v>3554</v>
      </c>
      <c r="AF5222" s="17">
        <v>45798</v>
      </c>
      <c r="AG5222" s="80"/>
      <c r="AH5222" s="80"/>
      <c r="AI5222" s="147"/>
      <c r="AJ5222" s="80"/>
      <c r="AK5222" s="80"/>
      <c r="AL5222" s="35"/>
      <c r="AM5222" s="35"/>
      <c r="AN5222" s="35"/>
      <c r="AO5222" s="35"/>
      <c r="AP5222" s="35"/>
    </row>
    <row r="5223" spans="1:42" x14ac:dyDescent="0.2">
      <c r="A5223" s="126">
        <v>45614.894522581017</v>
      </c>
      <c r="B5223" s="137" t="s">
        <v>37</v>
      </c>
      <c r="C5223" s="41" t="s">
        <v>118</v>
      </c>
      <c r="D5223" s="80" t="s">
        <v>36</v>
      </c>
      <c r="E5223" s="80" t="s">
        <v>77</v>
      </c>
      <c r="F5223" s="80" t="s">
        <v>40</v>
      </c>
      <c r="G5223" s="80" t="s">
        <v>41</v>
      </c>
      <c r="H5223" s="80" t="s">
        <v>16705</v>
      </c>
      <c r="I5223" s="17">
        <f ca="1">IFERROR(__xludf.DUMMYFUNCTION("""COMPUTED_VALUE"""),45621)</f>
        <v>45621</v>
      </c>
      <c r="J5223" s="143" t="s">
        <v>18076</v>
      </c>
      <c r="K5223" s="80" t="s">
        <v>18077</v>
      </c>
      <c r="L5223" s="30">
        <v>876292196</v>
      </c>
      <c r="M5223" s="80" t="s">
        <v>348</v>
      </c>
      <c r="N5223" s="80" t="s">
        <v>4299</v>
      </c>
      <c r="O5223" s="80" t="s">
        <v>18078</v>
      </c>
      <c r="P5223" s="80" t="s">
        <v>18079</v>
      </c>
      <c r="Q5223" s="20">
        <v>1968</v>
      </c>
      <c r="R5223" s="80" t="s">
        <v>36</v>
      </c>
      <c r="S5223" s="95">
        <v>1968</v>
      </c>
      <c r="T5223" s="148">
        <v>45614</v>
      </c>
      <c r="U5223" s="77"/>
      <c r="V5223" s="78"/>
      <c r="W5223" s="85" t="s">
        <v>18080</v>
      </c>
      <c r="X5223" s="80"/>
      <c r="Y5223" s="22">
        <v>0</v>
      </c>
      <c r="Z5223" s="80" t="s">
        <v>50</v>
      </c>
      <c r="AA5223" s="82" t="s">
        <v>14723</v>
      </c>
      <c r="AB5223" s="80"/>
      <c r="AC5223" s="80" t="s">
        <v>53</v>
      </c>
      <c r="AD5223" s="80" t="s">
        <v>54</v>
      </c>
      <c r="AE5223" s="80"/>
      <c r="AF5223" s="17">
        <v>45615</v>
      </c>
      <c r="AG5223" s="80"/>
      <c r="AH5223" s="80"/>
      <c r="AI5223" s="147"/>
      <c r="AJ5223" s="80"/>
      <c r="AK5223" s="80"/>
      <c r="AL5223" s="35"/>
      <c r="AM5223" s="35"/>
      <c r="AN5223" s="35"/>
      <c r="AO5223" s="35"/>
      <c r="AP5223" s="35"/>
    </row>
    <row r="5224" spans="1:42" x14ac:dyDescent="0.2">
      <c r="A5224" s="126">
        <v>45614.903178703702</v>
      </c>
      <c r="B5224" s="137" t="s">
        <v>37</v>
      </c>
      <c r="C5224" s="41" t="s">
        <v>118</v>
      </c>
      <c r="D5224" s="80" t="s">
        <v>36</v>
      </c>
      <c r="E5224" s="80" t="s">
        <v>77</v>
      </c>
      <c r="F5224" s="80" t="s">
        <v>36</v>
      </c>
      <c r="G5224" s="80" t="s">
        <v>41</v>
      </c>
      <c r="H5224" s="80" t="s">
        <v>14051</v>
      </c>
      <c r="I5224" s="17">
        <f ca="1">IFERROR(__xludf.DUMMYFUNCTION("""COMPUTED_VALUE"""),45615)</f>
        <v>45615</v>
      </c>
      <c r="J5224" s="143" t="s">
        <v>18081</v>
      </c>
      <c r="K5224" s="80" t="s">
        <v>4721</v>
      </c>
      <c r="L5224" s="30">
        <v>868126823</v>
      </c>
      <c r="M5224" s="80" t="s">
        <v>348</v>
      </c>
      <c r="N5224" s="80" t="s">
        <v>4299</v>
      </c>
      <c r="O5224" s="80" t="s">
        <v>18082</v>
      </c>
      <c r="P5224" s="80" t="s">
        <v>18083</v>
      </c>
      <c r="Q5224" s="20">
        <v>1968</v>
      </c>
      <c r="R5224" s="80" t="s">
        <v>36</v>
      </c>
      <c r="S5224" s="95">
        <v>1968</v>
      </c>
      <c r="T5224" s="148">
        <v>45612</v>
      </c>
      <c r="U5224" s="77"/>
      <c r="V5224" s="78"/>
      <c r="W5224" s="85" t="s">
        <v>18084</v>
      </c>
      <c r="X5224" s="80"/>
      <c r="Y5224" s="22">
        <v>0</v>
      </c>
      <c r="Z5224" s="80" t="s">
        <v>50</v>
      </c>
      <c r="AA5224" s="86" t="s">
        <v>14723</v>
      </c>
      <c r="AB5224" s="80"/>
      <c r="AC5224" s="80" t="s">
        <v>53</v>
      </c>
      <c r="AD5224" s="80" t="s">
        <v>138</v>
      </c>
      <c r="AE5224" s="80" t="s">
        <v>16312</v>
      </c>
      <c r="AF5224" s="43">
        <v>45615</v>
      </c>
      <c r="AG5224" s="80"/>
      <c r="AH5224" s="80"/>
      <c r="AI5224" s="147"/>
      <c r="AJ5224" s="80"/>
      <c r="AK5224" s="80"/>
      <c r="AL5224" s="35"/>
      <c r="AM5224" s="35"/>
      <c r="AN5224" s="35"/>
      <c r="AO5224" s="35"/>
      <c r="AP5224" s="35"/>
    </row>
    <row r="5225" spans="1:42" x14ac:dyDescent="0.2">
      <c r="A5225" s="126">
        <v>45615.362606643517</v>
      </c>
      <c r="B5225" s="137" t="s">
        <v>37</v>
      </c>
      <c r="C5225" s="41" t="s">
        <v>118</v>
      </c>
      <c r="D5225" s="80" t="s">
        <v>36</v>
      </c>
      <c r="E5225" s="80" t="s">
        <v>139</v>
      </c>
      <c r="F5225" s="80" t="s">
        <v>40</v>
      </c>
      <c r="G5225" s="80" t="s">
        <v>41</v>
      </c>
      <c r="H5225" s="80" t="s">
        <v>6523</v>
      </c>
      <c r="I5225" s="17">
        <f ca="1">IFERROR(__xludf.DUMMYFUNCTION("""COMPUTED_VALUE"""),45622)</f>
        <v>45622</v>
      </c>
      <c r="J5225" s="143" t="s">
        <v>18085</v>
      </c>
      <c r="K5225" s="80" t="s">
        <v>18086</v>
      </c>
      <c r="L5225" s="30">
        <v>826942006</v>
      </c>
      <c r="M5225" s="80" t="s">
        <v>5558</v>
      </c>
      <c r="N5225" s="80" t="s">
        <v>5277</v>
      </c>
      <c r="O5225" s="80" t="s">
        <v>4503</v>
      </c>
      <c r="P5225" s="80" t="s">
        <v>18087</v>
      </c>
      <c r="Q5225" s="20">
        <v>15936</v>
      </c>
      <c r="R5225" s="80" t="s">
        <v>36</v>
      </c>
      <c r="S5225" s="95">
        <f>200+2000</f>
        <v>2200</v>
      </c>
      <c r="T5225" s="83" t="s">
        <v>18088</v>
      </c>
      <c r="U5225" s="95">
        <v>13736</v>
      </c>
      <c r="V5225" s="148">
        <v>45620</v>
      </c>
      <c r="W5225" s="85" t="s">
        <v>18089</v>
      </c>
      <c r="X5225" s="80"/>
      <c r="Y5225" s="22">
        <v>0</v>
      </c>
      <c r="Z5225" s="80" t="s">
        <v>50</v>
      </c>
      <c r="AA5225" s="82" t="s">
        <v>14723</v>
      </c>
      <c r="AB5225" s="80"/>
      <c r="AC5225" s="80" t="s">
        <v>53</v>
      </c>
      <c r="AD5225" s="80" t="s">
        <v>138</v>
      </c>
      <c r="AE5225" s="80"/>
      <c r="AF5225" s="17">
        <v>45615</v>
      </c>
      <c r="AG5225" s="80"/>
      <c r="AH5225" s="80"/>
      <c r="AI5225" s="147"/>
      <c r="AJ5225" s="80"/>
      <c r="AK5225" s="80"/>
      <c r="AL5225" s="35"/>
      <c r="AM5225" s="35"/>
      <c r="AN5225" s="35"/>
      <c r="AO5225" s="35"/>
      <c r="AP5225" s="35"/>
    </row>
    <row r="5226" spans="1:42" x14ac:dyDescent="0.2">
      <c r="A5226" s="126">
        <v>45616.363880069446</v>
      </c>
      <c r="B5226" s="137" t="s">
        <v>37</v>
      </c>
      <c r="C5226" s="41" t="s">
        <v>118</v>
      </c>
      <c r="D5226" s="80" t="s">
        <v>36</v>
      </c>
      <c r="E5226" s="80" t="s">
        <v>56</v>
      </c>
      <c r="F5226" s="80" t="s">
        <v>40</v>
      </c>
      <c r="G5226" s="80" t="s">
        <v>41</v>
      </c>
      <c r="H5226" s="80" t="s">
        <v>11640</v>
      </c>
      <c r="I5226" s="17">
        <f ca="1">IFERROR(__xludf.DUMMYFUNCTION("""COMPUTED_VALUE"""),45636)</f>
        <v>45636</v>
      </c>
      <c r="J5226" s="143" t="s">
        <v>18090</v>
      </c>
      <c r="K5226" s="80" t="s">
        <v>18091</v>
      </c>
      <c r="L5226" s="30">
        <v>862393305</v>
      </c>
      <c r="M5226" s="80" t="s">
        <v>59</v>
      </c>
      <c r="N5226" s="80" t="s">
        <v>9294</v>
      </c>
      <c r="O5226" s="80" t="s">
        <v>18092</v>
      </c>
      <c r="P5226" s="80" t="s">
        <v>7743</v>
      </c>
      <c r="Q5226" s="20">
        <v>9317</v>
      </c>
      <c r="R5226" s="80" t="s">
        <v>36</v>
      </c>
      <c r="S5226" s="95">
        <f>300+9017</f>
        <v>9317</v>
      </c>
      <c r="T5226" s="83" t="s">
        <v>18093</v>
      </c>
      <c r="U5226" s="77"/>
      <c r="V5226" s="78"/>
      <c r="W5226" s="85" t="s">
        <v>18094</v>
      </c>
      <c r="X5226" s="80"/>
      <c r="Y5226" s="22">
        <v>0</v>
      </c>
      <c r="Z5226" s="80" t="s">
        <v>50</v>
      </c>
      <c r="AA5226" s="86" t="s">
        <v>14723</v>
      </c>
      <c r="AB5226" s="80"/>
      <c r="AC5226" s="80" t="s">
        <v>53</v>
      </c>
      <c r="AD5226" s="80" t="s">
        <v>138</v>
      </c>
      <c r="AE5226" s="80"/>
      <c r="AF5226" s="43">
        <v>45636</v>
      </c>
      <c r="AG5226" s="80"/>
      <c r="AH5226" s="80"/>
      <c r="AI5226" s="147"/>
      <c r="AJ5226" s="80"/>
      <c r="AK5226" s="80"/>
      <c r="AL5226" s="35"/>
      <c r="AM5226" s="35"/>
      <c r="AN5226" s="35"/>
      <c r="AO5226" s="35"/>
      <c r="AP5226" s="35"/>
    </row>
    <row r="5227" spans="1:42" x14ac:dyDescent="0.2">
      <c r="A5227" s="126">
        <v>45616.595403391198</v>
      </c>
      <c r="B5227" s="137" t="s">
        <v>37</v>
      </c>
      <c r="C5227" s="41" t="s">
        <v>118</v>
      </c>
      <c r="D5227" s="80" t="s">
        <v>36</v>
      </c>
      <c r="E5227" s="80" t="s">
        <v>39</v>
      </c>
      <c r="F5227" s="26" t="s">
        <v>36</v>
      </c>
      <c r="G5227" s="26" t="s">
        <v>41</v>
      </c>
      <c r="H5227" s="80" t="s">
        <v>13283</v>
      </c>
      <c r="I5227" s="17">
        <f ca="1">IFERROR(__xludf.DUMMYFUNCTION("""COMPUTED_VALUE"""),45631)</f>
        <v>45631</v>
      </c>
      <c r="J5227" s="137" t="s">
        <v>18095</v>
      </c>
      <c r="K5227" s="80" t="s">
        <v>18096</v>
      </c>
      <c r="L5227" s="30">
        <v>967388003</v>
      </c>
      <c r="M5227" s="80" t="s">
        <v>9422</v>
      </c>
      <c r="N5227" s="80" t="s">
        <v>2157</v>
      </c>
      <c r="O5227" s="80" t="s">
        <v>8827</v>
      </c>
      <c r="P5227" s="80" t="s">
        <v>18097</v>
      </c>
      <c r="Q5227" s="20">
        <v>5736</v>
      </c>
      <c r="R5227" s="80" t="s">
        <v>36</v>
      </c>
      <c r="S5227" s="95">
        <v>5736</v>
      </c>
      <c r="T5227" s="148">
        <v>45616</v>
      </c>
      <c r="U5227" s="77"/>
      <c r="V5227" s="78"/>
      <c r="W5227" s="85" t="s">
        <v>18098</v>
      </c>
      <c r="X5227" s="80"/>
      <c r="Y5227" s="22">
        <v>0</v>
      </c>
      <c r="Z5227" s="80" t="s">
        <v>50</v>
      </c>
      <c r="AA5227" s="82" t="s">
        <v>14723</v>
      </c>
      <c r="AB5227" s="80"/>
      <c r="AC5227" s="80" t="s">
        <v>53</v>
      </c>
      <c r="AD5227" s="80" t="s">
        <v>138</v>
      </c>
      <c r="AE5227" s="80"/>
      <c r="AF5227" s="17">
        <v>45631</v>
      </c>
      <c r="AG5227" s="80"/>
      <c r="AH5227" s="80"/>
      <c r="AI5227" s="147"/>
      <c r="AJ5227" s="80"/>
      <c r="AK5227" s="80"/>
      <c r="AL5227" s="35"/>
      <c r="AM5227" s="35"/>
      <c r="AN5227" s="35"/>
      <c r="AO5227" s="35"/>
      <c r="AP5227" s="35"/>
    </row>
    <row r="5228" spans="1:42" x14ac:dyDescent="0.2">
      <c r="A5228" s="126">
        <v>45616.775730185182</v>
      </c>
      <c r="B5228" s="137" t="s">
        <v>37</v>
      </c>
      <c r="C5228" s="41" t="s">
        <v>118</v>
      </c>
      <c r="D5228" s="80" t="s">
        <v>77</v>
      </c>
      <c r="E5228" s="80" t="s">
        <v>106</v>
      </c>
      <c r="F5228" s="80" t="s">
        <v>13239</v>
      </c>
      <c r="G5228" s="80" t="s">
        <v>108</v>
      </c>
      <c r="H5228" s="80" t="s">
        <v>13782</v>
      </c>
      <c r="I5228" s="17">
        <f ca="1">IFERROR(__xludf.DUMMYFUNCTION("""COMPUTED_VALUE"""),45623)</f>
        <v>45623</v>
      </c>
      <c r="J5228" s="143" t="s">
        <v>13240</v>
      </c>
      <c r="K5228" s="80" t="s">
        <v>13241</v>
      </c>
      <c r="L5228" s="30">
        <v>369960355</v>
      </c>
      <c r="M5228" s="80" t="s">
        <v>59</v>
      </c>
      <c r="N5228" s="80" t="s">
        <v>9294</v>
      </c>
      <c r="O5228" s="80" t="s">
        <v>13242</v>
      </c>
      <c r="P5228" s="80" t="s">
        <v>13243</v>
      </c>
      <c r="Q5228" s="20">
        <v>3768</v>
      </c>
      <c r="R5228" s="80" t="s">
        <v>36</v>
      </c>
      <c r="S5228" s="95">
        <v>3668</v>
      </c>
      <c r="T5228" s="148">
        <v>45616</v>
      </c>
      <c r="U5228" s="77"/>
      <c r="V5228" s="78"/>
      <c r="W5228" s="85" t="s">
        <v>18099</v>
      </c>
      <c r="X5228" s="80"/>
      <c r="Y5228" s="22">
        <v>100</v>
      </c>
      <c r="Z5228" s="80" t="s">
        <v>50</v>
      </c>
      <c r="AA5228" s="86" t="s">
        <v>14723</v>
      </c>
      <c r="AB5228" s="80"/>
      <c r="AC5228" s="80" t="s">
        <v>53</v>
      </c>
      <c r="AD5228" s="80" t="s">
        <v>54</v>
      </c>
      <c r="AE5228" s="80" t="s">
        <v>13239</v>
      </c>
      <c r="AF5228" s="43">
        <v>45617</v>
      </c>
      <c r="AG5228" s="80"/>
      <c r="AH5228" s="80"/>
      <c r="AI5228" s="147"/>
      <c r="AJ5228" s="80"/>
      <c r="AK5228" s="80"/>
      <c r="AL5228" s="35"/>
      <c r="AM5228" s="35"/>
      <c r="AN5228" s="35"/>
      <c r="AO5228" s="35"/>
      <c r="AP5228" s="35"/>
    </row>
    <row r="5229" spans="1:42" x14ac:dyDescent="0.2">
      <c r="A5229" s="126">
        <v>45616.777252800923</v>
      </c>
      <c r="B5229" s="28" t="s">
        <v>37</v>
      </c>
      <c r="C5229" s="41" t="s">
        <v>118</v>
      </c>
      <c r="D5229" s="80" t="s">
        <v>77</v>
      </c>
      <c r="E5229" s="80" t="s">
        <v>106</v>
      </c>
      <c r="F5229" s="80" t="s">
        <v>13239</v>
      </c>
      <c r="G5229" s="80" t="s">
        <v>108</v>
      </c>
      <c r="H5229" s="80" t="s">
        <v>13782</v>
      </c>
      <c r="I5229" s="17">
        <f ca="1">IFERROR(__xludf.DUMMYFUNCTION("""COMPUTED_VALUE"""),45623)</f>
        <v>45623</v>
      </c>
      <c r="J5229" s="143" t="s">
        <v>13245</v>
      </c>
      <c r="K5229" s="80" t="s">
        <v>13246</v>
      </c>
      <c r="L5229" s="30">
        <v>395954315</v>
      </c>
      <c r="M5229" s="80" t="s">
        <v>59</v>
      </c>
      <c r="N5229" s="80" t="s">
        <v>9660</v>
      </c>
      <c r="O5229" s="80" t="s">
        <v>18100</v>
      </c>
      <c r="P5229" s="80" t="s">
        <v>13243</v>
      </c>
      <c r="Q5229" s="20">
        <v>3768</v>
      </c>
      <c r="R5229" s="80" t="s">
        <v>36</v>
      </c>
      <c r="S5229" s="95">
        <v>3668</v>
      </c>
      <c r="T5229" s="148">
        <v>45616</v>
      </c>
      <c r="U5229" s="77"/>
      <c r="V5229" s="78"/>
      <c r="W5229" s="85" t="s">
        <v>18101</v>
      </c>
      <c r="X5229" s="80"/>
      <c r="Y5229" s="22">
        <v>100</v>
      </c>
      <c r="Z5229" s="80" t="s">
        <v>50</v>
      </c>
      <c r="AA5229" s="82" t="s">
        <v>14723</v>
      </c>
      <c r="AB5229" s="80"/>
      <c r="AC5229" s="80" t="s">
        <v>53</v>
      </c>
      <c r="AD5229" s="80" t="s">
        <v>54</v>
      </c>
      <c r="AE5229" s="80" t="s">
        <v>13239</v>
      </c>
      <c r="AF5229" s="43">
        <v>45617</v>
      </c>
      <c r="AG5229" s="80"/>
      <c r="AH5229" s="80"/>
      <c r="AI5229" s="147"/>
      <c r="AJ5229" s="80"/>
      <c r="AK5229" s="80"/>
      <c r="AL5229" s="35"/>
      <c r="AM5229" s="35"/>
      <c r="AN5229" s="35"/>
      <c r="AO5229" s="35"/>
      <c r="AP5229" s="35"/>
    </row>
    <row r="5230" spans="1:42" x14ac:dyDescent="0.2">
      <c r="A5230" s="126">
        <v>45617.997896469911</v>
      </c>
      <c r="B5230" s="137" t="s">
        <v>37</v>
      </c>
      <c r="C5230" s="41" t="s">
        <v>118</v>
      </c>
      <c r="D5230" s="80" t="s">
        <v>36</v>
      </c>
      <c r="E5230" s="80" t="s">
        <v>77</v>
      </c>
      <c r="F5230" s="80" t="s">
        <v>36</v>
      </c>
      <c r="G5230" s="80" t="s">
        <v>41</v>
      </c>
      <c r="H5230" s="80" t="s">
        <v>18102</v>
      </c>
      <c r="I5230" s="17">
        <f ca="1">IFERROR(__xludf.DUMMYFUNCTION("""COMPUTED_VALUE"""),45712)</f>
        <v>45712</v>
      </c>
      <c r="J5230" s="143" t="s">
        <v>18103</v>
      </c>
      <c r="K5230" s="80" t="s">
        <v>18104</v>
      </c>
      <c r="L5230" s="30">
        <v>983393431</v>
      </c>
      <c r="M5230" s="80" t="s">
        <v>348</v>
      </c>
      <c r="N5230" s="80" t="s">
        <v>4299</v>
      </c>
      <c r="O5230" s="80" t="s">
        <v>18105</v>
      </c>
      <c r="P5230" s="144" t="s">
        <v>18106</v>
      </c>
      <c r="Q5230" s="20">
        <v>1968</v>
      </c>
      <c r="R5230" s="80" t="s">
        <v>36</v>
      </c>
      <c r="S5230" s="95">
        <v>1968</v>
      </c>
      <c r="T5230" s="148">
        <v>45617</v>
      </c>
      <c r="U5230" s="77"/>
      <c r="V5230" s="78"/>
      <c r="W5230" s="85" t="s">
        <v>18107</v>
      </c>
      <c r="X5230" s="80"/>
      <c r="Y5230" s="22">
        <v>0</v>
      </c>
      <c r="Z5230" s="80" t="s">
        <v>50</v>
      </c>
      <c r="AA5230" s="86" t="s">
        <v>14723</v>
      </c>
      <c r="AB5230" s="80"/>
      <c r="AC5230" s="80" t="s">
        <v>53</v>
      </c>
      <c r="AD5230" s="80" t="s">
        <v>54</v>
      </c>
      <c r="AE5230" s="80" t="s">
        <v>5672</v>
      </c>
      <c r="AF5230" s="17">
        <v>45701</v>
      </c>
      <c r="AG5230" s="30">
        <v>946741097</v>
      </c>
      <c r="AH5230" s="144" t="s">
        <v>18108</v>
      </c>
      <c r="AI5230" s="147" t="s">
        <v>18109</v>
      </c>
      <c r="AJ5230" s="80"/>
      <c r="AK5230" s="80"/>
      <c r="AL5230" s="35"/>
      <c r="AM5230" s="35"/>
      <c r="AN5230" s="35"/>
      <c r="AO5230" s="35"/>
      <c r="AP5230" s="35"/>
    </row>
    <row r="5231" spans="1:42" x14ac:dyDescent="0.2">
      <c r="A5231" s="126">
        <v>45618.31550769676</v>
      </c>
      <c r="B5231" s="137" t="s">
        <v>37</v>
      </c>
      <c r="C5231" s="41" t="s">
        <v>118</v>
      </c>
      <c r="D5231" s="80" t="s">
        <v>36</v>
      </c>
      <c r="E5231" s="80" t="s">
        <v>139</v>
      </c>
      <c r="F5231" s="80" t="s">
        <v>36</v>
      </c>
      <c r="G5231" s="80" t="s">
        <v>41</v>
      </c>
      <c r="H5231" s="80" t="s">
        <v>18110</v>
      </c>
      <c r="I5231" s="17">
        <f ca="1">IFERROR(__xludf.DUMMYFUNCTION("""COMPUTED_VALUE"""),45630)</f>
        <v>45630</v>
      </c>
      <c r="J5231" s="143" t="s">
        <v>18111</v>
      </c>
      <c r="K5231" s="80" t="s">
        <v>18112</v>
      </c>
      <c r="L5231" s="30">
        <v>981902709</v>
      </c>
      <c r="M5231" s="80" t="s">
        <v>9422</v>
      </c>
      <c r="N5231" s="80" t="s">
        <v>438</v>
      </c>
      <c r="O5231" s="80" t="s">
        <v>18113</v>
      </c>
      <c r="P5231" s="144" t="s">
        <v>18114</v>
      </c>
      <c r="Q5231" s="20">
        <v>15936</v>
      </c>
      <c r="R5231" s="80" t="s">
        <v>36</v>
      </c>
      <c r="S5231" s="95">
        <v>8000</v>
      </c>
      <c r="T5231" s="148">
        <v>45617</v>
      </c>
      <c r="U5231" s="95">
        <v>7938</v>
      </c>
      <c r="V5231" s="148">
        <v>45625</v>
      </c>
      <c r="W5231" s="85" t="s">
        <v>18115</v>
      </c>
      <c r="X5231" s="80"/>
      <c r="Y5231" s="22">
        <v>-2</v>
      </c>
      <c r="Z5231" s="80" t="s">
        <v>50</v>
      </c>
      <c r="AA5231" s="82" t="s">
        <v>14723</v>
      </c>
      <c r="AB5231" s="80"/>
      <c r="AC5231" s="80" t="s">
        <v>53</v>
      </c>
      <c r="AD5231" s="80" t="s">
        <v>138</v>
      </c>
      <c r="AE5231" s="83">
        <v>400</v>
      </c>
      <c r="AF5231" s="43">
        <v>45623</v>
      </c>
      <c r="AG5231" s="80"/>
      <c r="AH5231" s="80"/>
      <c r="AI5231" s="147"/>
      <c r="AJ5231" s="80"/>
      <c r="AK5231" s="80"/>
      <c r="AL5231" s="35"/>
      <c r="AM5231" s="35"/>
      <c r="AN5231" s="35"/>
      <c r="AO5231" s="35"/>
      <c r="AP5231" s="35"/>
    </row>
    <row r="5232" spans="1:42" x14ac:dyDescent="0.2">
      <c r="A5232" s="126">
        <v>45618.318571712967</v>
      </c>
      <c r="B5232" s="137"/>
      <c r="C5232" s="41" t="s">
        <v>118</v>
      </c>
      <c r="D5232" s="80" t="s">
        <v>36</v>
      </c>
      <c r="E5232" s="80" t="s">
        <v>119</v>
      </c>
      <c r="F5232" s="80" t="s">
        <v>36</v>
      </c>
      <c r="G5232" s="80" t="s">
        <v>108</v>
      </c>
      <c r="H5232" s="80"/>
      <c r="I5232" s="17" t="str">
        <f ca="1">IFERROR(__xludf.DUMMYFUNCTION("""COMPUTED_VALUE""")," ")</f>
        <v xml:space="preserve"> </v>
      </c>
      <c r="J5232" s="143" t="s">
        <v>18116</v>
      </c>
      <c r="K5232" s="80" t="s">
        <v>18117</v>
      </c>
      <c r="L5232" s="30">
        <v>889732445</v>
      </c>
      <c r="M5232" s="80" t="s">
        <v>9422</v>
      </c>
      <c r="N5232" s="80" t="s">
        <v>12670</v>
      </c>
      <c r="O5232" s="80" t="s">
        <v>18118</v>
      </c>
      <c r="P5232" s="80" t="s">
        <v>18119</v>
      </c>
      <c r="Q5232" s="20">
        <v>13968</v>
      </c>
      <c r="R5232" s="80" t="s">
        <v>70</v>
      </c>
      <c r="S5232" s="95">
        <v>3768</v>
      </c>
      <c r="T5232" s="148">
        <v>45617</v>
      </c>
      <c r="U5232" s="95">
        <v>10100</v>
      </c>
      <c r="V5232" s="148">
        <v>45624</v>
      </c>
      <c r="W5232" s="85" t="s">
        <v>18120</v>
      </c>
      <c r="X5232" s="80"/>
      <c r="Y5232" s="22">
        <v>100</v>
      </c>
      <c r="Z5232" s="80" t="s">
        <v>50</v>
      </c>
      <c r="AA5232" s="86" t="s">
        <v>14723</v>
      </c>
      <c r="AB5232" s="80"/>
      <c r="AC5232" s="80" t="s">
        <v>53</v>
      </c>
      <c r="AD5232" s="80" t="s">
        <v>54</v>
      </c>
      <c r="AE5232" s="80"/>
      <c r="AF5232" s="43">
        <v>45625</v>
      </c>
      <c r="AG5232" s="80"/>
      <c r="AH5232" s="80"/>
      <c r="AI5232" s="147"/>
      <c r="AJ5232" s="80"/>
      <c r="AK5232" s="80"/>
      <c r="AL5232" s="35"/>
      <c r="AM5232" s="35"/>
      <c r="AN5232" s="35"/>
      <c r="AO5232" s="35"/>
      <c r="AP5232" s="35"/>
    </row>
    <row r="5233" spans="1:42" x14ac:dyDescent="0.2">
      <c r="A5233" s="126">
        <v>45618.342501238425</v>
      </c>
      <c r="B5233" s="137" t="s">
        <v>37</v>
      </c>
      <c r="C5233" s="41" t="s">
        <v>118</v>
      </c>
      <c r="D5233" s="80" t="s">
        <v>36</v>
      </c>
      <c r="E5233" s="80" t="s">
        <v>56</v>
      </c>
      <c r="F5233" s="80" t="s">
        <v>36</v>
      </c>
      <c r="G5233" s="80" t="s">
        <v>41</v>
      </c>
      <c r="H5233" s="80" t="s">
        <v>37</v>
      </c>
      <c r="I5233" s="17" t="str">
        <f ca="1">IFERROR(__xludf.DUMMYFUNCTION("""COMPUTED_VALUE""")," ")</f>
        <v xml:space="preserve"> </v>
      </c>
      <c r="J5233" s="143" t="s">
        <v>18121</v>
      </c>
      <c r="K5233" s="80" t="s">
        <v>18122</v>
      </c>
      <c r="L5233" s="30">
        <v>969262105</v>
      </c>
      <c r="M5233" s="80" t="s">
        <v>45</v>
      </c>
      <c r="N5233" s="80" t="s">
        <v>12712</v>
      </c>
      <c r="O5233" s="80" t="s">
        <v>4503</v>
      </c>
      <c r="P5233" s="80" t="s">
        <v>18123</v>
      </c>
      <c r="Q5233" s="20">
        <v>9317</v>
      </c>
      <c r="R5233" s="80" t="s">
        <v>36</v>
      </c>
      <c r="S5233" s="95">
        <v>9317</v>
      </c>
      <c r="T5233" s="148">
        <v>45616</v>
      </c>
      <c r="U5233" s="77"/>
      <c r="V5233" s="78"/>
      <c r="W5233" s="85" t="s">
        <v>18124</v>
      </c>
      <c r="X5233" s="80"/>
      <c r="Y5233" s="22">
        <v>0</v>
      </c>
      <c r="Z5233" s="80" t="s">
        <v>50</v>
      </c>
      <c r="AA5233" s="82" t="s">
        <v>14723</v>
      </c>
      <c r="AB5233" s="80"/>
      <c r="AC5233" s="80" t="s">
        <v>53</v>
      </c>
      <c r="AD5233" s="80" t="s">
        <v>54</v>
      </c>
      <c r="AE5233" s="83"/>
      <c r="AF5233" s="43">
        <v>45621</v>
      </c>
      <c r="AG5233" s="80"/>
      <c r="AH5233" s="80"/>
      <c r="AI5233" s="147"/>
      <c r="AJ5233" s="80"/>
      <c r="AK5233" s="80"/>
      <c r="AL5233" s="35"/>
      <c r="AM5233" s="35"/>
      <c r="AN5233" s="35"/>
      <c r="AO5233" s="35"/>
      <c r="AP5233" s="35"/>
    </row>
    <row r="5234" spans="1:42" x14ac:dyDescent="0.2">
      <c r="A5234" s="126">
        <v>45618.344078842594</v>
      </c>
      <c r="B5234" s="137" t="s">
        <v>37</v>
      </c>
      <c r="C5234" s="41" t="s">
        <v>118</v>
      </c>
      <c r="D5234" s="80" t="s">
        <v>36</v>
      </c>
      <c r="E5234" s="80" t="s">
        <v>56</v>
      </c>
      <c r="F5234" s="26" t="s">
        <v>36</v>
      </c>
      <c r="G5234" s="26" t="s">
        <v>41</v>
      </c>
      <c r="H5234" s="80" t="s">
        <v>13283</v>
      </c>
      <c r="I5234" s="17">
        <f ca="1">IFERROR(__xludf.DUMMYFUNCTION("""COMPUTED_VALUE"""),45631)</f>
        <v>45631</v>
      </c>
      <c r="J5234" s="143" t="s">
        <v>18125</v>
      </c>
      <c r="K5234" s="80" t="s">
        <v>18126</v>
      </c>
      <c r="L5234" s="30">
        <v>944068162</v>
      </c>
      <c r="M5234" s="80" t="s">
        <v>9422</v>
      </c>
      <c r="N5234" s="80" t="s">
        <v>12670</v>
      </c>
      <c r="O5234" s="80" t="s">
        <v>4503</v>
      </c>
      <c r="P5234" s="80" t="s">
        <v>3694</v>
      </c>
      <c r="Q5234" s="20">
        <v>9317</v>
      </c>
      <c r="R5234" s="80" t="s">
        <v>36</v>
      </c>
      <c r="S5234" s="95">
        <v>9317</v>
      </c>
      <c r="T5234" s="148">
        <v>45617</v>
      </c>
      <c r="U5234" s="77"/>
      <c r="V5234" s="78"/>
      <c r="W5234" s="85" t="s">
        <v>18127</v>
      </c>
      <c r="X5234" s="80"/>
      <c r="Y5234" s="22">
        <v>0</v>
      </c>
      <c r="Z5234" s="80" t="s">
        <v>50</v>
      </c>
      <c r="AA5234" s="86" t="s">
        <v>14723</v>
      </c>
      <c r="AB5234" s="80"/>
      <c r="AC5234" s="80" t="s">
        <v>53</v>
      </c>
      <c r="AD5234" s="80" t="s">
        <v>138</v>
      </c>
      <c r="AE5234" s="83"/>
      <c r="AF5234" s="17">
        <v>45631</v>
      </c>
      <c r="AG5234" s="80"/>
      <c r="AH5234" s="80"/>
      <c r="AI5234" s="147"/>
      <c r="AJ5234" s="80"/>
      <c r="AK5234" s="80"/>
      <c r="AL5234" s="35"/>
      <c r="AM5234" s="35"/>
      <c r="AN5234" s="35"/>
      <c r="AO5234" s="35"/>
      <c r="AP5234" s="35"/>
    </row>
    <row r="5235" spans="1:42" x14ac:dyDescent="0.2">
      <c r="A5235" s="126">
        <v>45618.482603692129</v>
      </c>
      <c r="B5235" s="137" t="s">
        <v>37</v>
      </c>
      <c r="C5235" s="41" t="s">
        <v>118</v>
      </c>
      <c r="D5235" s="80" t="s">
        <v>36</v>
      </c>
      <c r="E5235" s="80" t="s">
        <v>1704</v>
      </c>
      <c r="F5235" s="80" t="s">
        <v>36</v>
      </c>
      <c r="G5235" s="80" t="s">
        <v>1705</v>
      </c>
      <c r="H5235" s="80" t="s">
        <v>6989</v>
      </c>
      <c r="I5235" s="17">
        <f ca="1">IFERROR(__xludf.DUMMYFUNCTION("""COMPUTED_VALUE"""),45622)</f>
        <v>45622</v>
      </c>
      <c r="J5235" s="143" t="s">
        <v>18128</v>
      </c>
      <c r="K5235" s="80" t="s">
        <v>1679</v>
      </c>
      <c r="L5235" s="30">
        <v>373388886</v>
      </c>
      <c r="M5235" s="80" t="s">
        <v>9422</v>
      </c>
      <c r="N5235" s="80" t="s">
        <v>87</v>
      </c>
      <c r="O5235" s="80" t="s">
        <v>18129</v>
      </c>
      <c r="P5235" s="80" t="s">
        <v>18130</v>
      </c>
      <c r="Q5235" s="20">
        <v>7729</v>
      </c>
      <c r="R5235" s="80" t="s">
        <v>36</v>
      </c>
      <c r="S5235" s="95">
        <v>7729</v>
      </c>
      <c r="T5235" s="148">
        <v>45619</v>
      </c>
      <c r="U5235" s="77"/>
      <c r="V5235" s="78"/>
      <c r="W5235" s="80"/>
      <c r="X5235" s="80"/>
      <c r="Y5235" s="22">
        <v>0</v>
      </c>
      <c r="Z5235" s="80" t="s">
        <v>50</v>
      </c>
      <c r="AA5235" s="82" t="s">
        <v>14723</v>
      </c>
      <c r="AB5235" s="80"/>
      <c r="AC5235" s="80" t="s">
        <v>53</v>
      </c>
      <c r="AD5235" s="80" t="s">
        <v>54</v>
      </c>
      <c r="AE5235" s="83">
        <v>750</v>
      </c>
      <c r="AF5235" s="17">
        <v>45618</v>
      </c>
      <c r="AG5235" s="80"/>
      <c r="AH5235" s="80"/>
      <c r="AI5235" s="147"/>
      <c r="AJ5235" s="80"/>
      <c r="AK5235" s="80"/>
      <c r="AL5235" s="35"/>
      <c r="AM5235" s="35"/>
      <c r="AN5235" s="35"/>
      <c r="AO5235" s="35"/>
      <c r="AP5235" s="35"/>
    </row>
    <row r="5236" spans="1:42" x14ac:dyDescent="0.2">
      <c r="A5236" s="126">
        <v>45618.633857662033</v>
      </c>
      <c r="B5236" s="137" t="s">
        <v>37</v>
      </c>
      <c r="C5236" s="41" t="s">
        <v>118</v>
      </c>
      <c r="D5236" s="80" t="s">
        <v>77</v>
      </c>
      <c r="E5236" s="80" t="s">
        <v>106</v>
      </c>
      <c r="F5236" s="80" t="s">
        <v>18131</v>
      </c>
      <c r="G5236" s="80" t="s">
        <v>108</v>
      </c>
      <c r="H5236" s="80" t="s">
        <v>14495</v>
      </c>
      <c r="I5236" s="17">
        <f ca="1">IFERROR(__xludf.DUMMYFUNCTION("""COMPUTED_VALUE"""),45627)</f>
        <v>45627</v>
      </c>
      <c r="J5236" s="143" t="s">
        <v>15990</v>
      </c>
      <c r="K5236" s="80" t="s">
        <v>9798</v>
      </c>
      <c r="L5236" s="30">
        <v>943798819</v>
      </c>
      <c r="M5236" s="80" t="s">
        <v>123</v>
      </c>
      <c r="N5236" s="80" t="s">
        <v>15991</v>
      </c>
      <c r="O5236" s="80" t="s">
        <v>18132</v>
      </c>
      <c r="P5236" s="80" t="s">
        <v>18133</v>
      </c>
      <c r="Q5236" s="20">
        <v>3768</v>
      </c>
      <c r="R5236" s="80" t="s">
        <v>36</v>
      </c>
      <c r="S5236" s="95">
        <v>3768</v>
      </c>
      <c r="T5236" s="148">
        <v>45607</v>
      </c>
      <c r="U5236" s="77"/>
      <c r="V5236" s="78"/>
      <c r="W5236" s="85" t="s">
        <v>18134</v>
      </c>
      <c r="X5236" s="80"/>
      <c r="Y5236" s="22">
        <v>0</v>
      </c>
      <c r="Z5236" s="80" t="s">
        <v>50</v>
      </c>
      <c r="AA5236" s="86" t="s">
        <v>14723</v>
      </c>
      <c r="AB5236" s="80"/>
      <c r="AC5236" s="80" t="s">
        <v>53</v>
      </c>
      <c r="AD5236" s="80" t="s">
        <v>138</v>
      </c>
      <c r="AE5236" s="80"/>
      <c r="AF5236" s="17">
        <v>45630</v>
      </c>
      <c r="AG5236" s="80"/>
      <c r="AH5236" s="80"/>
      <c r="AI5236" s="147"/>
      <c r="AJ5236" s="80"/>
      <c r="AK5236" s="80"/>
      <c r="AL5236" s="35"/>
      <c r="AM5236" s="35"/>
      <c r="AN5236" s="35"/>
      <c r="AO5236" s="35"/>
      <c r="AP5236" s="35"/>
    </row>
    <row r="5237" spans="1:42" x14ac:dyDescent="0.2">
      <c r="A5237" s="126">
        <v>45618.949426898151</v>
      </c>
      <c r="B5237" s="137" t="s">
        <v>37</v>
      </c>
      <c r="C5237" s="41" t="s">
        <v>118</v>
      </c>
      <c r="D5237" s="80" t="s">
        <v>36</v>
      </c>
      <c r="E5237" s="80" t="s">
        <v>915</v>
      </c>
      <c r="F5237" s="80" t="s">
        <v>36</v>
      </c>
      <c r="G5237" s="80" t="s">
        <v>221</v>
      </c>
      <c r="H5237" s="80" t="s">
        <v>18135</v>
      </c>
      <c r="I5237" s="17">
        <f ca="1">IFERROR(__xludf.DUMMYFUNCTION("""COMPUTED_VALUE"""),45729)</f>
        <v>45729</v>
      </c>
      <c r="J5237" s="143" t="s">
        <v>18136</v>
      </c>
      <c r="K5237" s="80" t="s">
        <v>18137</v>
      </c>
      <c r="L5237" s="30">
        <v>869725860</v>
      </c>
      <c r="M5237" s="80" t="s">
        <v>9422</v>
      </c>
      <c r="N5237" s="80" t="s">
        <v>2157</v>
      </c>
      <c r="O5237" s="80" t="s">
        <v>8827</v>
      </c>
      <c r="P5237" s="80" t="s">
        <v>3694</v>
      </c>
      <c r="Q5237" s="20">
        <v>10894</v>
      </c>
      <c r="R5237" s="80" t="s">
        <v>36</v>
      </c>
      <c r="S5237" s="95">
        <v>10200</v>
      </c>
      <c r="T5237" s="148">
        <v>45618</v>
      </c>
      <c r="U5237" s="77"/>
      <c r="V5237" s="78"/>
      <c r="W5237" s="80"/>
      <c r="X5237" s="80"/>
      <c r="Y5237" s="22">
        <v>694</v>
      </c>
      <c r="Z5237" s="80" t="s">
        <v>50</v>
      </c>
      <c r="AA5237" s="82" t="s">
        <v>14723</v>
      </c>
      <c r="AB5237" s="80"/>
      <c r="AC5237" s="80" t="s">
        <v>53</v>
      </c>
      <c r="AD5237" s="80" t="s">
        <v>138</v>
      </c>
      <c r="AE5237" s="80"/>
      <c r="AF5237" s="17">
        <v>45729</v>
      </c>
      <c r="AG5237" s="80"/>
      <c r="AH5237" s="80"/>
      <c r="AI5237" s="147"/>
      <c r="AJ5237" s="80"/>
      <c r="AK5237" s="80"/>
      <c r="AL5237" s="35"/>
      <c r="AM5237" s="35"/>
      <c r="AN5237" s="35"/>
      <c r="AO5237" s="35"/>
      <c r="AP5237" s="35"/>
    </row>
    <row r="5238" spans="1:42" x14ac:dyDescent="0.2">
      <c r="A5238" s="126">
        <v>45618.973036678246</v>
      </c>
      <c r="B5238" s="137" t="s">
        <v>37</v>
      </c>
      <c r="C5238" s="41" t="s">
        <v>38</v>
      </c>
      <c r="D5238" s="80" t="s">
        <v>36</v>
      </c>
      <c r="E5238" s="80" t="s">
        <v>77</v>
      </c>
      <c r="F5238" s="26" t="s">
        <v>36</v>
      </c>
      <c r="G5238" s="26" t="s">
        <v>41</v>
      </c>
      <c r="H5238" s="80" t="s">
        <v>13283</v>
      </c>
      <c r="I5238" s="17">
        <f ca="1">IFERROR(__xludf.DUMMYFUNCTION("""COMPUTED_VALUE"""),45631)</f>
        <v>45631</v>
      </c>
      <c r="J5238" s="143" t="s">
        <v>18138</v>
      </c>
      <c r="K5238" s="80" t="s">
        <v>7259</v>
      </c>
      <c r="L5238" s="30">
        <v>358639830</v>
      </c>
      <c r="M5238" s="80" t="s">
        <v>348</v>
      </c>
      <c r="N5238" s="80" t="s">
        <v>68</v>
      </c>
      <c r="O5238" s="80" t="s">
        <v>18139</v>
      </c>
      <c r="P5238" s="80" t="s">
        <v>18140</v>
      </c>
      <c r="Q5238" s="20">
        <v>1968</v>
      </c>
      <c r="R5238" s="80" t="s">
        <v>36</v>
      </c>
      <c r="S5238" s="95">
        <v>1968</v>
      </c>
      <c r="T5238" s="148">
        <v>45618</v>
      </c>
      <c r="U5238" s="77"/>
      <c r="V5238" s="78"/>
      <c r="W5238" s="85" t="s">
        <v>18141</v>
      </c>
      <c r="X5238" s="80"/>
      <c r="Y5238" s="22">
        <v>0</v>
      </c>
      <c r="Z5238" s="80" t="s">
        <v>50</v>
      </c>
      <c r="AA5238" s="86" t="s">
        <v>14723</v>
      </c>
      <c r="AB5238" s="80"/>
      <c r="AC5238" s="80" t="s">
        <v>53</v>
      </c>
      <c r="AD5238" s="80" t="s">
        <v>138</v>
      </c>
      <c r="AE5238" s="80"/>
      <c r="AF5238" s="17">
        <v>45631</v>
      </c>
      <c r="AG5238" s="80"/>
      <c r="AH5238" s="80"/>
      <c r="AI5238" s="147"/>
      <c r="AJ5238" s="80"/>
      <c r="AK5238" s="80"/>
      <c r="AL5238" s="35"/>
      <c r="AM5238" s="35"/>
      <c r="AN5238" s="35"/>
      <c r="AO5238" s="35"/>
      <c r="AP5238" s="35"/>
    </row>
    <row r="5239" spans="1:42" x14ac:dyDescent="0.2">
      <c r="A5239" s="126">
        <v>45618.987115925927</v>
      </c>
      <c r="B5239" s="137" t="s">
        <v>37</v>
      </c>
      <c r="C5239" s="41" t="s">
        <v>118</v>
      </c>
      <c r="D5239" s="80" t="s">
        <v>77</v>
      </c>
      <c r="E5239" s="80" t="s">
        <v>106</v>
      </c>
      <c r="F5239" s="80" t="s">
        <v>15166</v>
      </c>
      <c r="G5239" s="80" t="s">
        <v>108</v>
      </c>
      <c r="H5239" s="80" t="s">
        <v>18142</v>
      </c>
      <c r="I5239" s="17" t="str">
        <f ca="1">IFERROR(__xludf.DUMMYFUNCTION("""COMPUTED_VALUE""")," ")</f>
        <v xml:space="preserve"> </v>
      </c>
      <c r="J5239" s="143" t="s">
        <v>16544</v>
      </c>
      <c r="K5239" s="80" t="s">
        <v>18143</v>
      </c>
      <c r="L5239" s="30">
        <v>333449904</v>
      </c>
      <c r="M5239" s="80" t="s">
        <v>59</v>
      </c>
      <c r="N5239" s="80" t="s">
        <v>4299</v>
      </c>
      <c r="O5239" s="80" t="s">
        <v>11399</v>
      </c>
      <c r="P5239" s="80" t="s">
        <v>18083</v>
      </c>
      <c r="Q5239" s="20">
        <v>3768</v>
      </c>
      <c r="R5239" s="80" t="s">
        <v>36</v>
      </c>
      <c r="S5239" s="95">
        <v>3668</v>
      </c>
      <c r="T5239" s="148">
        <v>45618</v>
      </c>
      <c r="U5239" s="77"/>
      <c r="V5239" s="78"/>
      <c r="W5239" s="85" t="s">
        <v>18144</v>
      </c>
      <c r="X5239" s="80"/>
      <c r="Y5239" s="22">
        <v>100</v>
      </c>
      <c r="Z5239" s="80" t="s">
        <v>50</v>
      </c>
      <c r="AA5239" s="82" t="s">
        <v>14723</v>
      </c>
      <c r="AB5239" s="80"/>
      <c r="AC5239" s="80" t="s">
        <v>53</v>
      </c>
      <c r="AD5239" s="80" t="s">
        <v>138</v>
      </c>
      <c r="AE5239" s="80" t="s">
        <v>2752</v>
      </c>
      <c r="AF5239" s="17">
        <v>45642</v>
      </c>
      <c r="AG5239" s="80"/>
      <c r="AH5239" s="80"/>
      <c r="AI5239" s="147"/>
      <c r="AJ5239" s="80"/>
      <c r="AK5239" s="80"/>
      <c r="AL5239" s="35"/>
      <c r="AM5239" s="35"/>
      <c r="AN5239" s="35"/>
      <c r="AO5239" s="35"/>
      <c r="AP5239" s="35"/>
    </row>
    <row r="5240" spans="1:42" x14ac:dyDescent="0.2">
      <c r="A5240" s="126">
        <v>45619.985694976851</v>
      </c>
      <c r="B5240" s="137" t="s">
        <v>37</v>
      </c>
      <c r="C5240" s="41" t="s">
        <v>118</v>
      </c>
      <c r="D5240" s="80" t="s">
        <v>36</v>
      </c>
      <c r="E5240" s="80" t="s">
        <v>77</v>
      </c>
      <c r="F5240" s="80" t="s">
        <v>40</v>
      </c>
      <c r="G5240" s="80" t="s">
        <v>41</v>
      </c>
      <c r="H5240" s="80" t="s">
        <v>16705</v>
      </c>
      <c r="I5240" s="17">
        <f ca="1">IFERROR(__xludf.DUMMYFUNCTION("""COMPUTED_VALUE"""),45621)</f>
        <v>45621</v>
      </c>
      <c r="J5240" s="143" t="s">
        <v>18145</v>
      </c>
      <c r="K5240" s="80" t="s">
        <v>18146</v>
      </c>
      <c r="L5240" s="30">
        <v>936873697</v>
      </c>
      <c r="M5240" s="80" t="s">
        <v>348</v>
      </c>
      <c r="N5240" s="80" t="s">
        <v>4299</v>
      </c>
      <c r="O5240" s="80" t="s">
        <v>18147</v>
      </c>
      <c r="P5240" s="80" t="s">
        <v>18148</v>
      </c>
      <c r="Q5240" s="20">
        <v>1968</v>
      </c>
      <c r="R5240" s="80" t="s">
        <v>36</v>
      </c>
      <c r="S5240" s="95">
        <v>1968</v>
      </c>
      <c r="T5240" s="148">
        <v>45619</v>
      </c>
      <c r="U5240" s="77"/>
      <c r="V5240" s="78"/>
      <c r="W5240" s="85" t="s">
        <v>18149</v>
      </c>
      <c r="X5240" s="80"/>
      <c r="Y5240" s="22">
        <v>0</v>
      </c>
      <c r="Z5240" s="80" t="s">
        <v>50</v>
      </c>
      <c r="AA5240" s="86" t="s">
        <v>14723</v>
      </c>
      <c r="AB5240" s="80"/>
      <c r="AC5240" s="80" t="s">
        <v>53</v>
      </c>
      <c r="AD5240" s="80" t="s">
        <v>54</v>
      </c>
      <c r="AE5240" s="80"/>
      <c r="AF5240" s="43">
        <v>45621</v>
      </c>
      <c r="AG5240" s="80"/>
      <c r="AH5240" s="80"/>
      <c r="AI5240" s="147"/>
      <c r="AJ5240" s="80"/>
      <c r="AK5240" s="80"/>
      <c r="AL5240" s="35"/>
      <c r="AM5240" s="35"/>
      <c r="AN5240" s="35"/>
      <c r="AO5240" s="35"/>
      <c r="AP5240" s="35"/>
    </row>
    <row r="5241" spans="1:42" x14ac:dyDescent="0.2">
      <c r="A5241" s="126">
        <v>45620.992813553239</v>
      </c>
      <c r="B5241" s="137" t="s">
        <v>37</v>
      </c>
      <c r="C5241" s="41" t="s">
        <v>118</v>
      </c>
      <c r="D5241" s="80" t="s">
        <v>77</v>
      </c>
      <c r="E5241" s="80" t="s">
        <v>106</v>
      </c>
      <c r="F5241" s="80" t="s">
        <v>14159</v>
      </c>
      <c r="G5241" s="80" t="s">
        <v>108</v>
      </c>
      <c r="H5241" s="80" t="s">
        <v>16890</v>
      </c>
      <c r="I5241" s="17">
        <f ca="1">IFERROR(__xludf.DUMMYFUNCTION("""COMPUTED_VALUE"""),45636)</f>
        <v>45636</v>
      </c>
      <c r="J5241" s="143" t="s">
        <v>16091</v>
      </c>
      <c r="K5241" s="80" t="s">
        <v>18150</v>
      </c>
      <c r="L5241" s="30">
        <v>964892502</v>
      </c>
      <c r="M5241" s="80" t="s">
        <v>59</v>
      </c>
      <c r="N5241" s="80" t="s">
        <v>68</v>
      </c>
      <c r="O5241" s="80" t="s">
        <v>11399</v>
      </c>
      <c r="P5241" s="144" t="s">
        <v>18151</v>
      </c>
      <c r="Q5241" s="20">
        <v>3768</v>
      </c>
      <c r="R5241" s="80" t="s">
        <v>36</v>
      </c>
      <c r="S5241" s="95">
        <v>3670</v>
      </c>
      <c r="T5241" s="148">
        <v>45620</v>
      </c>
      <c r="U5241" s="77"/>
      <c r="V5241" s="78"/>
      <c r="W5241" s="85" t="s">
        <v>18152</v>
      </c>
      <c r="X5241" s="80"/>
      <c r="Y5241" s="22">
        <v>98</v>
      </c>
      <c r="Z5241" s="80" t="s">
        <v>50</v>
      </c>
      <c r="AA5241" s="82" t="s">
        <v>14723</v>
      </c>
      <c r="AB5241" s="80"/>
      <c r="AC5241" s="80" t="s">
        <v>53</v>
      </c>
      <c r="AD5241" s="80" t="s">
        <v>54</v>
      </c>
      <c r="AE5241" s="80"/>
      <c r="AF5241" s="17">
        <v>45630</v>
      </c>
      <c r="AG5241" s="80"/>
      <c r="AH5241" s="80"/>
      <c r="AI5241" s="147"/>
      <c r="AJ5241" s="80"/>
      <c r="AK5241" s="80"/>
      <c r="AL5241" s="35"/>
      <c r="AM5241" s="35"/>
      <c r="AN5241" s="35"/>
      <c r="AO5241" s="35"/>
      <c r="AP5241" s="35"/>
    </row>
    <row r="5242" spans="1:42" x14ac:dyDescent="0.2">
      <c r="A5242" s="126">
        <v>45620.995869756945</v>
      </c>
      <c r="B5242" s="137" t="s">
        <v>37</v>
      </c>
      <c r="C5242" s="41" t="s">
        <v>118</v>
      </c>
      <c r="D5242" s="80" t="s">
        <v>36</v>
      </c>
      <c r="E5242" s="80" t="s">
        <v>77</v>
      </c>
      <c r="F5242" s="80" t="s">
        <v>36</v>
      </c>
      <c r="G5242" s="80" t="s">
        <v>41</v>
      </c>
      <c r="H5242" s="80" t="s">
        <v>16705</v>
      </c>
      <c r="I5242" s="17">
        <f ca="1">IFERROR(__xludf.DUMMYFUNCTION("""COMPUTED_VALUE"""),45621)</f>
        <v>45621</v>
      </c>
      <c r="J5242" s="143" t="s">
        <v>18153</v>
      </c>
      <c r="K5242" s="80" t="s">
        <v>18154</v>
      </c>
      <c r="L5242" s="30">
        <v>975159328</v>
      </c>
      <c r="M5242" s="80" t="s">
        <v>348</v>
      </c>
      <c r="N5242" s="80" t="s">
        <v>4299</v>
      </c>
      <c r="O5242" s="80" t="s">
        <v>18155</v>
      </c>
      <c r="P5242" s="80" t="s">
        <v>18148</v>
      </c>
      <c r="Q5242" s="20">
        <v>1968</v>
      </c>
      <c r="R5242" s="80" t="s">
        <v>36</v>
      </c>
      <c r="S5242" s="95">
        <v>1968</v>
      </c>
      <c r="T5242" s="148">
        <v>45620</v>
      </c>
      <c r="U5242" s="77"/>
      <c r="V5242" s="78"/>
      <c r="W5242" s="85" t="s">
        <v>18156</v>
      </c>
      <c r="X5242" s="80"/>
      <c r="Y5242" s="22">
        <v>0</v>
      </c>
      <c r="Z5242" s="80" t="s">
        <v>50</v>
      </c>
      <c r="AA5242" s="86" t="s">
        <v>14723</v>
      </c>
      <c r="AB5242" s="80"/>
      <c r="AC5242" s="80" t="s">
        <v>53</v>
      </c>
      <c r="AD5242" s="80" t="s">
        <v>54</v>
      </c>
      <c r="AE5242" s="80"/>
      <c r="AF5242" s="43">
        <v>45621</v>
      </c>
      <c r="AG5242" s="80"/>
      <c r="AH5242" s="80"/>
      <c r="AI5242" s="147"/>
      <c r="AJ5242" s="80"/>
      <c r="AK5242" s="80"/>
      <c r="AL5242" s="35"/>
      <c r="AM5242" s="35"/>
      <c r="AN5242" s="35"/>
      <c r="AO5242" s="35"/>
      <c r="AP5242" s="35"/>
    </row>
    <row r="5243" spans="1:42" x14ac:dyDescent="0.2">
      <c r="A5243" s="126">
        <v>45620.998841203706</v>
      </c>
      <c r="B5243" s="137" t="s">
        <v>37</v>
      </c>
      <c r="C5243" s="41" t="s">
        <v>118</v>
      </c>
      <c r="D5243" s="80" t="s">
        <v>36</v>
      </c>
      <c r="E5243" s="80" t="s">
        <v>77</v>
      </c>
      <c r="F5243" s="26" t="s">
        <v>36</v>
      </c>
      <c r="G5243" s="26" t="s">
        <v>41</v>
      </c>
      <c r="H5243" s="80" t="s">
        <v>13283</v>
      </c>
      <c r="I5243" s="17">
        <f ca="1">IFERROR(__xludf.DUMMYFUNCTION("""COMPUTED_VALUE"""),45631)</f>
        <v>45631</v>
      </c>
      <c r="J5243" s="143" t="s">
        <v>18157</v>
      </c>
      <c r="K5243" s="80" t="s">
        <v>18158</v>
      </c>
      <c r="L5243" s="30">
        <v>862357644</v>
      </c>
      <c r="M5243" s="80" t="s">
        <v>348</v>
      </c>
      <c r="N5243" s="80" t="s">
        <v>4299</v>
      </c>
      <c r="O5243" s="80" t="s">
        <v>18159</v>
      </c>
      <c r="P5243" s="144" t="s">
        <v>18160</v>
      </c>
      <c r="Q5243" s="20">
        <v>1968</v>
      </c>
      <c r="R5243" s="80" t="s">
        <v>36</v>
      </c>
      <c r="S5243" s="95">
        <v>1968</v>
      </c>
      <c r="T5243" s="148">
        <v>45620</v>
      </c>
      <c r="U5243" s="77"/>
      <c r="V5243" s="78"/>
      <c r="W5243" s="85" t="s">
        <v>18161</v>
      </c>
      <c r="X5243" s="80"/>
      <c r="Y5243" s="22">
        <v>0</v>
      </c>
      <c r="Z5243" s="80" t="s">
        <v>50</v>
      </c>
      <c r="AA5243" s="82" t="s">
        <v>14723</v>
      </c>
      <c r="AB5243" s="80"/>
      <c r="AC5243" s="80" t="s">
        <v>53</v>
      </c>
      <c r="AD5243" s="80" t="s">
        <v>138</v>
      </c>
      <c r="AE5243" s="80"/>
      <c r="AF5243" s="17">
        <v>45631</v>
      </c>
      <c r="AG5243" s="80"/>
      <c r="AH5243" s="80"/>
      <c r="AI5243" s="147"/>
      <c r="AJ5243" s="80"/>
      <c r="AK5243" s="80"/>
      <c r="AL5243" s="35"/>
      <c r="AM5243" s="35"/>
      <c r="AN5243" s="35"/>
      <c r="AO5243" s="35"/>
      <c r="AP5243" s="35"/>
    </row>
    <row r="5244" spans="1:42" x14ac:dyDescent="0.2">
      <c r="A5244" s="126">
        <v>45621.000398703705</v>
      </c>
      <c r="B5244" s="137" t="s">
        <v>37</v>
      </c>
      <c r="C5244" s="41" t="s">
        <v>118</v>
      </c>
      <c r="D5244" s="80" t="s">
        <v>36</v>
      </c>
      <c r="E5244" s="80" t="s">
        <v>56</v>
      </c>
      <c r="F5244" s="80" t="s">
        <v>36</v>
      </c>
      <c r="G5244" s="80" t="s">
        <v>41</v>
      </c>
      <c r="H5244" s="80" t="s">
        <v>13441</v>
      </c>
      <c r="I5244" s="17">
        <f ca="1">IFERROR(__xludf.DUMMYFUNCTION("""COMPUTED_VALUE"""),45625)</f>
        <v>45625</v>
      </c>
      <c r="J5244" s="143" t="s">
        <v>18162</v>
      </c>
      <c r="K5244" s="80" t="s">
        <v>18163</v>
      </c>
      <c r="L5244" s="30">
        <v>982945702</v>
      </c>
      <c r="M5244" s="80" t="s">
        <v>348</v>
      </c>
      <c r="N5244" s="80" t="s">
        <v>4299</v>
      </c>
      <c r="O5244" s="80" t="s">
        <v>18164</v>
      </c>
      <c r="P5244" s="80" t="s">
        <v>18165</v>
      </c>
      <c r="Q5244" s="20">
        <v>9317</v>
      </c>
      <c r="R5244" s="80" t="s">
        <v>36</v>
      </c>
      <c r="S5244" s="95">
        <v>9317</v>
      </c>
      <c r="T5244" s="148">
        <v>45620</v>
      </c>
      <c r="U5244" s="77"/>
      <c r="V5244" s="78"/>
      <c r="W5244" s="85" t="s">
        <v>18166</v>
      </c>
      <c r="X5244" s="80"/>
      <c r="Y5244" s="22">
        <v>0</v>
      </c>
      <c r="Z5244" s="80" t="s">
        <v>50</v>
      </c>
      <c r="AA5244" s="86" t="s">
        <v>14723</v>
      </c>
      <c r="AB5244" s="80"/>
      <c r="AC5244" s="80" t="s">
        <v>53</v>
      </c>
      <c r="AD5244" s="80" t="s">
        <v>138</v>
      </c>
      <c r="AE5244" s="80" t="s">
        <v>16305</v>
      </c>
      <c r="AF5244" s="43">
        <v>45625</v>
      </c>
      <c r="AG5244" s="80" t="s">
        <v>13446</v>
      </c>
      <c r="AH5244" s="80"/>
      <c r="AI5244" s="147"/>
      <c r="AJ5244" s="80"/>
      <c r="AK5244" s="80"/>
      <c r="AL5244" s="35"/>
      <c r="AM5244" s="35"/>
      <c r="AN5244" s="35"/>
      <c r="AO5244" s="35"/>
      <c r="AP5244" s="35"/>
    </row>
    <row r="5245" spans="1:42" x14ac:dyDescent="0.2">
      <c r="A5245" s="126">
        <v>45621.375785729164</v>
      </c>
      <c r="B5245" s="137" t="s">
        <v>37</v>
      </c>
      <c r="C5245" s="41" t="s">
        <v>118</v>
      </c>
      <c r="D5245" s="80" t="s">
        <v>36</v>
      </c>
      <c r="E5245" s="80" t="s">
        <v>106</v>
      </c>
      <c r="F5245" s="80" t="s">
        <v>36</v>
      </c>
      <c r="G5245" s="80" t="s">
        <v>108</v>
      </c>
      <c r="H5245" s="80" t="s">
        <v>16890</v>
      </c>
      <c r="I5245" s="17">
        <f ca="1">IFERROR(__xludf.DUMMYFUNCTION("""COMPUTED_VALUE"""),45636)</f>
        <v>45636</v>
      </c>
      <c r="J5245" s="143" t="s">
        <v>18167</v>
      </c>
      <c r="K5245" s="80" t="s">
        <v>18168</v>
      </c>
      <c r="L5245" s="30">
        <v>702080615</v>
      </c>
      <c r="M5245" s="80" t="s">
        <v>9422</v>
      </c>
      <c r="N5245" s="80" t="s">
        <v>327</v>
      </c>
      <c r="O5245" s="80" t="s">
        <v>8827</v>
      </c>
      <c r="P5245" s="80" t="s">
        <v>18169</v>
      </c>
      <c r="Q5245" s="20">
        <v>3768</v>
      </c>
      <c r="R5245" s="80" t="s">
        <v>36</v>
      </c>
      <c r="S5245" s="95">
        <v>2000</v>
      </c>
      <c r="T5245" s="148">
        <v>45593</v>
      </c>
      <c r="U5245" s="95">
        <v>1768</v>
      </c>
      <c r="V5245" s="148">
        <v>45626</v>
      </c>
      <c r="W5245" s="85" t="s">
        <v>18170</v>
      </c>
      <c r="X5245" s="80"/>
      <c r="Y5245" s="22">
        <v>0</v>
      </c>
      <c r="Z5245" s="80" t="s">
        <v>50</v>
      </c>
      <c r="AA5245" s="82" t="s">
        <v>14723</v>
      </c>
      <c r="AB5245" s="80"/>
      <c r="AC5245" s="80" t="s">
        <v>53</v>
      </c>
      <c r="AD5245" s="80" t="s">
        <v>54</v>
      </c>
      <c r="AE5245" s="80"/>
      <c r="AF5245" s="17">
        <v>45633</v>
      </c>
      <c r="AG5245" s="80"/>
      <c r="AH5245" s="80"/>
      <c r="AI5245" s="147"/>
      <c r="AJ5245" s="80"/>
      <c r="AK5245" s="80"/>
      <c r="AL5245" s="35"/>
      <c r="AM5245" s="35"/>
      <c r="AN5245" s="35"/>
      <c r="AO5245" s="35"/>
      <c r="AP5245" s="35"/>
    </row>
    <row r="5246" spans="1:42" x14ac:dyDescent="0.2">
      <c r="A5246" s="126">
        <v>45621.486111620368</v>
      </c>
      <c r="B5246" s="28" t="s">
        <v>37</v>
      </c>
      <c r="C5246" s="41" t="s">
        <v>118</v>
      </c>
      <c r="D5246" s="80" t="s">
        <v>36</v>
      </c>
      <c r="E5246" s="80" t="s">
        <v>39</v>
      </c>
      <c r="F5246" s="80" t="s">
        <v>40</v>
      </c>
      <c r="G5246" s="80" t="s">
        <v>41</v>
      </c>
      <c r="H5246" s="80" t="s">
        <v>11640</v>
      </c>
      <c r="I5246" s="17">
        <f ca="1">IFERROR(__xludf.DUMMYFUNCTION("""COMPUTED_VALUE"""),45636)</f>
        <v>45636</v>
      </c>
      <c r="J5246" s="143" t="s">
        <v>18171</v>
      </c>
      <c r="K5246" s="80" t="s">
        <v>18172</v>
      </c>
      <c r="L5246" s="30">
        <v>366502854</v>
      </c>
      <c r="M5246" s="80" t="s">
        <v>59</v>
      </c>
      <c r="N5246" s="80" t="s">
        <v>4299</v>
      </c>
      <c r="O5246" s="80" t="s">
        <v>18173</v>
      </c>
      <c r="P5246" s="80" t="s">
        <v>12687</v>
      </c>
      <c r="Q5246" s="20">
        <v>5736</v>
      </c>
      <c r="R5246" s="80" t="s">
        <v>36</v>
      </c>
      <c r="S5246" s="95">
        <v>5736</v>
      </c>
      <c r="T5246" s="148">
        <v>45621</v>
      </c>
      <c r="U5246" s="77"/>
      <c r="V5246" s="78"/>
      <c r="W5246" s="85" t="s">
        <v>18174</v>
      </c>
      <c r="X5246" s="80"/>
      <c r="Y5246" s="22">
        <v>0</v>
      </c>
      <c r="Z5246" s="80" t="s">
        <v>50</v>
      </c>
      <c r="AA5246" s="86" t="s">
        <v>14723</v>
      </c>
      <c r="AB5246" s="80"/>
      <c r="AC5246" s="80" t="s">
        <v>53</v>
      </c>
      <c r="AD5246" s="80" t="s">
        <v>138</v>
      </c>
      <c r="AE5246" s="80"/>
      <c r="AF5246" s="43">
        <v>45636</v>
      </c>
      <c r="AG5246" s="80"/>
      <c r="AH5246" s="80"/>
      <c r="AI5246" s="147"/>
      <c r="AJ5246" s="80"/>
      <c r="AK5246" s="80"/>
      <c r="AL5246" s="35"/>
      <c r="AM5246" s="35"/>
      <c r="AN5246" s="35"/>
      <c r="AO5246" s="35"/>
      <c r="AP5246" s="35"/>
    </row>
    <row r="5247" spans="1:42" x14ac:dyDescent="0.2">
      <c r="A5247" s="74">
        <v>45621</v>
      </c>
      <c r="B5247" s="137" t="s">
        <v>37</v>
      </c>
      <c r="C5247" s="41" t="s">
        <v>118</v>
      </c>
      <c r="D5247" s="80" t="s">
        <v>36</v>
      </c>
      <c r="E5247" s="80" t="s">
        <v>106</v>
      </c>
      <c r="F5247" s="80" t="s">
        <v>13178</v>
      </c>
      <c r="G5247" s="80" t="s">
        <v>108</v>
      </c>
      <c r="H5247" s="80" t="s">
        <v>16656</v>
      </c>
      <c r="I5247" s="17">
        <f ca="1">IFERROR(__xludf.DUMMYFUNCTION("""COMPUTED_VALUE"""),45624)</f>
        <v>45624</v>
      </c>
      <c r="J5247" s="143" t="s">
        <v>13179</v>
      </c>
      <c r="K5247" s="80" t="s">
        <v>18175</v>
      </c>
      <c r="L5247" s="30">
        <v>382161608</v>
      </c>
      <c r="M5247" s="80" t="s">
        <v>12720</v>
      </c>
      <c r="N5247" s="80" t="s">
        <v>1073</v>
      </c>
      <c r="O5247" s="80" t="s">
        <v>13181</v>
      </c>
      <c r="P5247" s="80" t="s">
        <v>13182</v>
      </c>
      <c r="Q5247" s="20">
        <v>3768</v>
      </c>
      <c r="R5247" s="80" t="s">
        <v>36</v>
      </c>
      <c r="S5247" s="95">
        <v>3768</v>
      </c>
      <c r="T5247" s="148">
        <v>45622</v>
      </c>
      <c r="U5247" s="77"/>
      <c r="V5247" s="78"/>
      <c r="W5247" s="79" t="s">
        <v>18176</v>
      </c>
      <c r="X5247" s="80">
        <v>0</v>
      </c>
      <c r="Y5247" s="22">
        <v>0</v>
      </c>
      <c r="Z5247" s="80" t="s">
        <v>50</v>
      </c>
      <c r="AA5247" s="82" t="s">
        <v>14723</v>
      </c>
      <c r="AB5247" s="80"/>
      <c r="AC5247" s="80" t="s">
        <v>53</v>
      </c>
      <c r="AD5247" s="80" t="s">
        <v>138</v>
      </c>
      <c r="AE5247" s="80" t="s">
        <v>13178</v>
      </c>
      <c r="AF5247" s="43">
        <v>45624</v>
      </c>
      <c r="AG5247" s="80"/>
      <c r="AH5247" s="80"/>
      <c r="AI5247" s="147" t="s">
        <v>84</v>
      </c>
      <c r="AJ5247" s="80"/>
      <c r="AK5247" s="80"/>
      <c r="AL5247" s="35"/>
      <c r="AM5247" s="35"/>
      <c r="AN5247" s="35"/>
      <c r="AO5247" s="35"/>
      <c r="AP5247" s="35"/>
    </row>
    <row r="5248" spans="1:42" x14ac:dyDescent="0.2">
      <c r="A5248" s="126">
        <v>45622.366188506945</v>
      </c>
      <c r="B5248" s="137" t="s">
        <v>37</v>
      </c>
      <c r="C5248" s="41" t="s">
        <v>118</v>
      </c>
      <c r="D5248" s="80" t="s">
        <v>36</v>
      </c>
      <c r="E5248" s="80" t="s">
        <v>148</v>
      </c>
      <c r="F5248" s="80" t="s">
        <v>36</v>
      </c>
      <c r="G5248" s="80" t="s">
        <v>108</v>
      </c>
      <c r="H5248" s="80" t="s">
        <v>13782</v>
      </c>
      <c r="I5248" s="17">
        <f ca="1">IFERROR(__xludf.DUMMYFUNCTION("""COMPUTED_VALUE"""),45623)</f>
        <v>45623</v>
      </c>
      <c r="J5248" s="143" t="s">
        <v>18177</v>
      </c>
      <c r="K5248" s="80" t="s">
        <v>18178</v>
      </c>
      <c r="L5248" s="30">
        <v>386788257</v>
      </c>
      <c r="M5248" s="80" t="s">
        <v>9422</v>
      </c>
      <c r="N5248" s="80" t="s">
        <v>327</v>
      </c>
      <c r="O5248" s="80" t="s">
        <v>8827</v>
      </c>
      <c r="P5248" s="80" t="s">
        <v>18179</v>
      </c>
      <c r="Q5248" s="20">
        <v>7349</v>
      </c>
      <c r="R5248" s="80" t="s">
        <v>36</v>
      </c>
      <c r="S5248" s="95">
        <v>7150</v>
      </c>
      <c r="T5248" s="148">
        <v>45622</v>
      </c>
      <c r="U5248" s="77"/>
      <c r="V5248" s="78"/>
      <c r="W5248" s="85" t="s">
        <v>18180</v>
      </c>
      <c r="X5248" s="80"/>
      <c r="Y5248" s="22">
        <v>199</v>
      </c>
      <c r="Z5248" s="80" t="s">
        <v>50</v>
      </c>
      <c r="AA5248" s="86" t="s">
        <v>14723</v>
      </c>
      <c r="AB5248" s="80"/>
      <c r="AC5248" s="80" t="s">
        <v>1828</v>
      </c>
      <c r="AD5248" s="80" t="s">
        <v>54</v>
      </c>
      <c r="AE5248" s="80"/>
      <c r="AF5248" s="60" t="s">
        <v>1829</v>
      </c>
      <c r="AG5248" s="80" t="s">
        <v>1828</v>
      </c>
      <c r="AH5248" s="80"/>
      <c r="AI5248" s="147"/>
      <c r="AJ5248" s="80"/>
      <c r="AK5248" s="80"/>
      <c r="AL5248" s="35"/>
      <c r="AM5248" s="35"/>
      <c r="AN5248" s="35"/>
      <c r="AO5248" s="35"/>
      <c r="AP5248" s="35"/>
    </row>
    <row r="5249" spans="1:42" x14ac:dyDescent="0.2">
      <c r="A5249" s="126">
        <v>45622.438517037037</v>
      </c>
      <c r="B5249" s="137" t="s">
        <v>37</v>
      </c>
      <c r="C5249" s="41" t="s">
        <v>118</v>
      </c>
      <c r="D5249" s="80" t="s">
        <v>36</v>
      </c>
      <c r="E5249" s="80" t="s">
        <v>139</v>
      </c>
      <c r="F5249" s="80" t="s">
        <v>40</v>
      </c>
      <c r="G5249" s="80" t="s">
        <v>41</v>
      </c>
      <c r="H5249" s="80" t="s">
        <v>13441</v>
      </c>
      <c r="I5249" s="17">
        <f ca="1">IFERROR(__xludf.DUMMYFUNCTION("""COMPUTED_VALUE"""),45625)</f>
        <v>45625</v>
      </c>
      <c r="J5249" s="143" t="s">
        <v>18181</v>
      </c>
      <c r="K5249" s="80" t="s">
        <v>18182</v>
      </c>
      <c r="L5249" s="30">
        <v>878154318</v>
      </c>
      <c r="M5249" s="80" t="s">
        <v>59</v>
      </c>
      <c r="N5249" s="80" t="s">
        <v>11476</v>
      </c>
      <c r="O5249" s="80" t="s">
        <v>18183</v>
      </c>
      <c r="P5249" s="80" t="s">
        <v>12687</v>
      </c>
      <c r="Q5249" s="20">
        <v>15936</v>
      </c>
      <c r="R5249" s="80" t="s">
        <v>36</v>
      </c>
      <c r="S5249" s="95">
        <v>15936</v>
      </c>
      <c r="T5249" s="148">
        <v>45621</v>
      </c>
      <c r="U5249" s="77"/>
      <c r="V5249" s="78"/>
      <c r="W5249" s="85" t="s">
        <v>18184</v>
      </c>
      <c r="X5249" s="80"/>
      <c r="Y5249" s="22">
        <v>0</v>
      </c>
      <c r="Z5249" s="80" t="s">
        <v>50</v>
      </c>
      <c r="AA5249" s="82" t="s">
        <v>14723</v>
      </c>
      <c r="AB5249" s="80"/>
      <c r="AC5249" s="80" t="s">
        <v>53</v>
      </c>
      <c r="AD5249" s="80" t="s">
        <v>138</v>
      </c>
      <c r="AE5249" s="80" t="s">
        <v>5672</v>
      </c>
      <c r="AF5249" s="43">
        <v>45625</v>
      </c>
      <c r="AG5249" s="80" t="s">
        <v>13446</v>
      </c>
      <c r="AH5249" s="80"/>
      <c r="AI5249" s="147"/>
      <c r="AJ5249" s="80"/>
      <c r="AK5249" s="80"/>
      <c r="AL5249" s="35"/>
      <c r="AM5249" s="35"/>
      <c r="AN5249" s="35"/>
      <c r="AO5249" s="35"/>
      <c r="AP5249" s="35"/>
    </row>
    <row r="5250" spans="1:42" x14ac:dyDescent="0.2">
      <c r="A5250" s="126">
        <v>45622.440535844908</v>
      </c>
      <c r="B5250" s="137" t="s">
        <v>37</v>
      </c>
      <c r="C5250" s="41" t="s">
        <v>118</v>
      </c>
      <c r="D5250" s="80" t="s">
        <v>36</v>
      </c>
      <c r="E5250" s="80" t="s">
        <v>219</v>
      </c>
      <c r="F5250" s="80" t="s">
        <v>36</v>
      </c>
      <c r="G5250" s="26" t="s">
        <v>221</v>
      </c>
      <c r="H5250" s="80" t="s">
        <v>13807</v>
      </c>
      <c r="I5250" s="17">
        <f ca="1">IFERROR(__xludf.DUMMYFUNCTION("""COMPUTED_VALUE"""),45660)</f>
        <v>45660</v>
      </c>
      <c r="J5250" s="143" t="s">
        <v>18185</v>
      </c>
      <c r="K5250" s="80" t="s">
        <v>18186</v>
      </c>
      <c r="L5250" s="30">
        <v>839037282</v>
      </c>
      <c r="M5250" s="80" t="s">
        <v>348</v>
      </c>
      <c r="N5250" s="80" t="s">
        <v>4299</v>
      </c>
      <c r="O5250" s="80" t="s">
        <v>18187</v>
      </c>
      <c r="P5250" s="80" t="s">
        <v>18083</v>
      </c>
      <c r="Q5250" s="20">
        <v>3968</v>
      </c>
      <c r="R5250" s="80" t="s">
        <v>36</v>
      </c>
      <c r="S5250" s="95">
        <v>3968</v>
      </c>
      <c r="T5250" s="148">
        <v>45622</v>
      </c>
      <c r="U5250" s="77"/>
      <c r="V5250" s="78"/>
      <c r="W5250" s="85" t="s">
        <v>18188</v>
      </c>
      <c r="X5250" s="80"/>
      <c r="Y5250" s="22">
        <v>0</v>
      </c>
      <c r="Z5250" s="80" t="s">
        <v>50</v>
      </c>
      <c r="AA5250" s="86" t="s">
        <v>14723</v>
      </c>
      <c r="AB5250" s="80"/>
      <c r="AC5250" s="80" t="s">
        <v>53</v>
      </c>
      <c r="AD5250" s="80" t="s">
        <v>138</v>
      </c>
      <c r="AE5250" s="80" t="s">
        <v>3473</v>
      </c>
      <c r="AF5250" s="17">
        <v>45660</v>
      </c>
      <c r="AG5250" s="80"/>
      <c r="AH5250" s="80"/>
      <c r="AI5250" s="147"/>
      <c r="AJ5250" s="80"/>
      <c r="AK5250" s="80"/>
      <c r="AL5250" s="35"/>
      <c r="AM5250" s="35"/>
      <c r="AN5250" s="35"/>
      <c r="AO5250" s="35"/>
      <c r="AP5250" s="35"/>
    </row>
    <row r="5251" spans="1:42" x14ac:dyDescent="0.2">
      <c r="A5251" s="126">
        <v>45622.677260520832</v>
      </c>
      <c r="B5251" s="28" t="s">
        <v>37</v>
      </c>
      <c r="C5251" s="41" t="s">
        <v>118</v>
      </c>
      <c r="D5251" s="80" t="s">
        <v>36</v>
      </c>
      <c r="E5251" s="80" t="s">
        <v>219</v>
      </c>
      <c r="F5251" s="80" t="s">
        <v>8986</v>
      </c>
      <c r="G5251" s="80" t="s">
        <v>221</v>
      </c>
      <c r="H5251" s="80" t="s">
        <v>16773</v>
      </c>
      <c r="I5251" s="17">
        <f ca="1">IFERROR(__xludf.DUMMYFUNCTION("""COMPUTED_VALUE"""),45636)</f>
        <v>45636</v>
      </c>
      <c r="J5251" s="143" t="s">
        <v>8873</v>
      </c>
      <c r="K5251" s="80" t="s">
        <v>18189</v>
      </c>
      <c r="L5251" s="30">
        <v>379519775</v>
      </c>
      <c r="M5251" s="80" t="s">
        <v>11413</v>
      </c>
      <c r="N5251" s="80" t="s">
        <v>1246</v>
      </c>
      <c r="O5251" s="80" t="s">
        <v>36</v>
      </c>
      <c r="P5251" s="144" t="s">
        <v>18190</v>
      </c>
      <c r="Q5251" s="20">
        <v>3968</v>
      </c>
      <c r="R5251" s="80" t="s">
        <v>36</v>
      </c>
      <c r="S5251" s="95">
        <v>3968</v>
      </c>
      <c r="T5251" s="148">
        <v>45622</v>
      </c>
      <c r="U5251" s="77"/>
      <c r="V5251" s="78"/>
      <c r="W5251" s="85" t="s">
        <v>18191</v>
      </c>
      <c r="X5251" s="80"/>
      <c r="Y5251" s="22">
        <v>0</v>
      </c>
      <c r="Z5251" s="80" t="s">
        <v>50</v>
      </c>
      <c r="AA5251" s="82" t="s">
        <v>14723</v>
      </c>
      <c r="AB5251" s="80"/>
      <c r="AC5251" s="80" t="s">
        <v>53</v>
      </c>
      <c r="AD5251" s="80" t="s">
        <v>54</v>
      </c>
      <c r="AE5251" s="80" t="s">
        <v>8986</v>
      </c>
      <c r="AF5251" s="43">
        <v>45622</v>
      </c>
      <c r="AG5251" s="80"/>
      <c r="AH5251" s="80"/>
      <c r="AI5251" s="147"/>
      <c r="AJ5251" s="80"/>
      <c r="AK5251" s="80"/>
      <c r="AL5251" s="35"/>
      <c r="AM5251" s="35"/>
      <c r="AN5251" s="35"/>
      <c r="AO5251" s="35"/>
      <c r="AP5251" s="35"/>
    </row>
    <row r="5252" spans="1:42" x14ac:dyDescent="0.2">
      <c r="A5252" s="126">
        <v>45622.85238600694</v>
      </c>
      <c r="B5252" s="28" t="s">
        <v>37</v>
      </c>
      <c r="C5252" s="41" t="s">
        <v>118</v>
      </c>
      <c r="D5252" s="80" t="s">
        <v>36</v>
      </c>
      <c r="E5252" s="80" t="s">
        <v>119</v>
      </c>
      <c r="F5252" s="80" t="s">
        <v>36</v>
      </c>
      <c r="G5252" s="80" t="s">
        <v>108</v>
      </c>
      <c r="H5252" s="80" t="s">
        <v>16656</v>
      </c>
      <c r="I5252" s="17">
        <f ca="1">IFERROR(__xludf.DUMMYFUNCTION("""COMPUTED_VALUE"""),45624)</f>
        <v>45624</v>
      </c>
      <c r="J5252" s="143" t="s">
        <v>18192</v>
      </c>
      <c r="K5252" s="80" t="s">
        <v>18193</v>
      </c>
      <c r="L5252" s="30">
        <v>374504395</v>
      </c>
      <c r="M5252" s="80" t="s">
        <v>17759</v>
      </c>
      <c r="N5252" s="80" t="s">
        <v>2756</v>
      </c>
      <c r="O5252" s="80" t="s">
        <v>8140</v>
      </c>
      <c r="P5252" s="144" t="s">
        <v>18194</v>
      </c>
      <c r="Q5252" s="20">
        <v>13968</v>
      </c>
      <c r="R5252" s="80" t="s">
        <v>36</v>
      </c>
      <c r="S5252" s="95">
        <v>14000</v>
      </c>
      <c r="T5252" s="148">
        <v>45622</v>
      </c>
      <c r="U5252" s="77"/>
      <c r="V5252" s="78"/>
      <c r="W5252" s="85" t="s">
        <v>18195</v>
      </c>
      <c r="X5252" s="80"/>
      <c r="Y5252" s="22">
        <v>-32</v>
      </c>
      <c r="Z5252" s="80" t="s">
        <v>50</v>
      </c>
      <c r="AA5252" s="86" t="s">
        <v>14723</v>
      </c>
      <c r="AB5252" s="80"/>
      <c r="AC5252" s="80" t="s">
        <v>53</v>
      </c>
      <c r="AD5252" s="80" t="s">
        <v>138</v>
      </c>
      <c r="AE5252" s="83">
        <v>420</v>
      </c>
      <c r="AF5252" s="43">
        <v>45624</v>
      </c>
      <c r="AG5252" s="80"/>
      <c r="AH5252" s="80"/>
      <c r="AI5252" s="147"/>
      <c r="AJ5252" s="80"/>
      <c r="AK5252" s="80"/>
      <c r="AL5252" s="35"/>
      <c r="AM5252" s="35"/>
      <c r="AN5252" s="35"/>
      <c r="AO5252" s="35"/>
      <c r="AP5252" s="35"/>
    </row>
    <row r="5253" spans="1:42" x14ac:dyDescent="0.2">
      <c r="A5253" s="126">
        <v>45623.330136944445</v>
      </c>
      <c r="B5253" s="28" t="s">
        <v>37</v>
      </c>
      <c r="C5253" s="41" t="s">
        <v>118</v>
      </c>
      <c r="D5253" s="80" t="s">
        <v>36</v>
      </c>
      <c r="E5253" s="80" t="s">
        <v>139</v>
      </c>
      <c r="F5253" s="80" t="s">
        <v>40</v>
      </c>
      <c r="G5253" s="80" t="s">
        <v>41</v>
      </c>
      <c r="H5253" s="80" t="s">
        <v>11640</v>
      </c>
      <c r="I5253" s="17">
        <f ca="1">IFERROR(__xludf.DUMMYFUNCTION("""COMPUTED_VALUE"""),45636)</f>
        <v>45636</v>
      </c>
      <c r="J5253" s="143" t="s">
        <v>18196</v>
      </c>
      <c r="K5253" s="80" t="s">
        <v>18197</v>
      </c>
      <c r="L5253" s="30">
        <v>376485290</v>
      </c>
      <c r="M5253" s="80" t="s">
        <v>9422</v>
      </c>
      <c r="N5253" s="80" t="s">
        <v>327</v>
      </c>
      <c r="O5253" s="80" t="s">
        <v>11607</v>
      </c>
      <c r="P5253" s="144" t="s">
        <v>18198</v>
      </c>
      <c r="Q5253" s="20">
        <v>15936</v>
      </c>
      <c r="R5253" s="80" t="s">
        <v>11421</v>
      </c>
      <c r="S5253" s="95">
        <v>2000</v>
      </c>
      <c r="T5253" s="148">
        <v>45621</v>
      </c>
      <c r="U5253" s="95">
        <v>13636</v>
      </c>
      <c r="V5253" s="148">
        <v>45624</v>
      </c>
      <c r="W5253" s="85" t="s">
        <v>18199</v>
      </c>
      <c r="X5253" s="80"/>
      <c r="Y5253" s="22">
        <v>300</v>
      </c>
      <c r="Z5253" s="80" t="s">
        <v>50</v>
      </c>
      <c r="AA5253" s="82" t="s">
        <v>14723</v>
      </c>
      <c r="AB5253" s="80"/>
      <c r="AC5253" s="80" t="s">
        <v>53</v>
      </c>
      <c r="AD5253" s="80" t="s">
        <v>138</v>
      </c>
      <c r="AE5253" s="80"/>
      <c r="AF5253" s="43">
        <v>45636</v>
      </c>
      <c r="AG5253" s="80"/>
      <c r="AH5253" s="80"/>
      <c r="AI5253" s="147"/>
      <c r="AJ5253" s="80"/>
      <c r="AK5253" s="80"/>
      <c r="AL5253" s="35"/>
      <c r="AM5253" s="35"/>
      <c r="AN5253" s="35"/>
      <c r="AO5253" s="35"/>
      <c r="AP5253" s="35"/>
    </row>
    <row r="5254" spans="1:42" x14ac:dyDescent="0.2">
      <c r="A5254" s="126">
        <v>45623.336532546295</v>
      </c>
      <c r="B5254" s="28" t="s">
        <v>37</v>
      </c>
      <c r="C5254" s="41" t="s">
        <v>118</v>
      </c>
      <c r="D5254" s="80" t="s">
        <v>36</v>
      </c>
      <c r="E5254" s="80" t="s">
        <v>56</v>
      </c>
      <c r="F5254" s="80" t="s">
        <v>36</v>
      </c>
      <c r="G5254" s="80" t="s">
        <v>41</v>
      </c>
      <c r="H5254" s="80" t="s">
        <v>13441</v>
      </c>
      <c r="I5254" s="17">
        <f ca="1">IFERROR(__xludf.DUMMYFUNCTION("""COMPUTED_VALUE"""),45625)</f>
        <v>45625</v>
      </c>
      <c r="J5254" s="143" t="s">
        <v>18200</v>
      </c>
      <c r="K5254" s="80" t="s">
        <v>18201</v>
      </c>
      <c r="L5254" s="30">
        <v>834005871</v>
      </c>
      <c r="M5254" s="80" t="s">
        <v>11413</v>
      </c>
      <c r="N5254" s="80" t="s">
        <v>1246</v>
      </c>
      <c r="O5254" s="80" t="s">
        <v>18202</v>
      </c>
      <c r="P5254" s="80" t="s">
        <v>18203</v>
      </c>
      <c r="Q5254" s="20">
        <v>9317</v>
      </c>
      <c r="R5254" s="80" t="s">
        <v>36</v>
      </c>
      <c r="S5254" s="95">
        <v>9317</v>
      </c>
      <c r="T5254" s="148">
        <v>45622</v>
      </c>
      <c r="U5254" s="77"/>
      <c r="V5254" s="78"/>
      <c r="W5254" s="85" t="s">
        <v>18204</v>
      </c>
      <c r="X5254" s="80"/>
      <c r="Y5254" s="22">
        <v>0</v>
      </c>
      <c r="Z5254" s="80" t="s">
        <v>50</v>
      </c>
      <c r="AA5254" s="86" t="s">
        <v>14723</v>
      </c>
      <c r="AB5254" s="80"/>
      <c r="AC5254" s="80" t="s">
        <v>53</v>
      </c>
      <c r="AD5254" s="80" t="s">
        <v>138</v>
      </c>
      <c r="AE5254" s="80"/>
      <c r="AF5254" s="43">
        <v>45625</v>
      </c>
      <c r="AG5254" s="80" t="s">
        <v>13446</v>
      </c>
      <c r="AH5254" s="80"/>
      <c r="AI5254" s="147"/>
      <c r="AJ5254" s="80"/>
      <c r="AK5254" s="80"/>
      <c r="AL5254" s="35"/>
      <c r="AM5254" s="35"/>
      <c r="AN5254" s="35"/>
      <c r="AO5254" s="35"/>
      <c r="AP5254" s="35"/>
    </row>
    <row r="5255" spans="1:42" x14ac:dyDescent="0.2">
      <c r="A5255" s="126">
        <v>45623.338015277783</v>
      </c>
      <c r="B5255" s="28" t="s">
        <v>37</v>
      </c>
      <c r="C5255" s="41" t="s">
        <v>118</v>
      </c>
      <c r="D5255" s="80" t="s">
        <v>77</v>
      </c>
      <c r="E5255" s="80" t="s">
        <v>106</v>
      </c>
      <c r="F5255" s="80" t="s">
        <v>15166</v>
      </c>
      <c r="G5255" s="80" t="s">
        <v>108</v>
      </c>
      <c r="H5255" s="80" t="s">
        <v>14234</v>
      </c>
      <c r="I5255" s="17">
        <f ca="1">IFERROR(__xludf.DUMMYFUNCTION("""COMPUTED_VALUE"""),45642)</f>
        <v>45642</v>
      </c>
      <c r="J5255" s="143" t="s">
        <v>16437</v>
      </c>
      <c r="K5255" s="80" t="s">
        <v>18205</v>
      </c>
      <c r="L5255" s="30">
        <v>327311456</v>
      </c>
      <c r="M5255" s="80" t="s">
        <v>59</v>
      </c>
      <c r="N5255" s="80" t="s">
        <v>68</v>
      </c>
      <c r="O5255" s="80" t="s">
        <v>18206</v>
      </c>
      <c r="P5255" s="80" t="s">
        <v>12687</v>
      </c>
      <c r="Q5255" s="20">
        <v>3768</v>
      </c>
      <c r="R5255" s="80" t="s">
        <v>36</v>
      </c>
      <c r="S5255" s="95">
        <v>3668</v>
      </c>
      <c r="T5255" s="148">
        <v>45622</v>
      </c>
      <c r="U5255" s="77"/>
      <c r="V5255" s="78"/>
      <c r="W5255" s="85" t="s">
        <v>18207</v>
      </c>
      <c r="X5255" s="80"/>
      <c r="Y5255" s="22">
        <v>100</v>
      </c>
      <c r="Z5255" s="80" t="s">
        <v>50</v>
      </c>
      <c r="AA5255" s="82" t="s">
        <v>14723</v>
      </c>
      <c r="AB5255" s="80"/>
      <c r="AC5255" s="80" t="s">
        <v>53</v>
      </c>
      <c r="AD5255" s="80" t="s">
        <v>138</v>
      </c>
      <c r="AE5255" s="83">
        <v>350</v>
      </c>
      <c r="AF5255" s="17">
        <v>45642</v>
      </c>
      <c r="AG5255" s="80"/>
      <c r="AH5255" s="80"/>
      <c r="AI5255" s="147"/>
      <c r="AJ5255" s="80"/>
      <c r="AK5255" s="80"/>
      <c r="AL5255" s="35"/>
      <c r="AM5255" s="35"/>
      <c r="AN5255" s="35"/>
      <c r="AO5255" s="35"/>
      <c r="AP5255" s="35"/>
    </row>
    <row r="5256" spans="1:42" x14ac:dyDescent="0.2">
      <c r="A5256" s="126">
        <v>45623.432955729164</v>
      </c>
      <c r="B5256" s="137" t="s">
        <v>37</v>
      </c>
      <c r="C5256" s="41" t="s">
        <v>118</v>
      </c>
      <c r="D5256" s="80" t="s">
        <v>36</v>
      </c>
      <c r="E5256" s="80" t="s">
        <v>915</v>
      </c>
      <c r="F5256" s="80" t="s">
        <v>13600</v>
      </c>
      <c r="G5256" s="161" t="s">
        <v>221</v>
      </c>
      <c r="H5256" s="80" t="s">
        <v>18208</v>
      </c>
      <c r="I5256" s="17">
        <f ca="1">IFERROR(__xludf.DUMMYFUNCTION("""COMPUTED_VALUE"""),45715)</f>
        <v>45715</v>
      </c>
      <c r="J5256" s="143" t="s">
        <v>13601</v>
      </c>
      <c r="K5256" s="80" t="s">
        <v>18209</v>
      </c>
      <c r="L5256" s="30">
        <v>877846709</v>
      </c>
      <c r="M5256" s="80" t="s">
        <v>45</v>
      </c>
      <c r="N5256" s="80" t="s">
        <v>12712</v>
      </c>
      <c r="O5256" s="80" t="s">
        <v>13603</v>
      </c>
      <c r="P5256" s="80" t="s">
        <v>3694</v>
      </c>
      <c r="Q5256" s="20">
        <v>10894</v>
      </c>
      <c r="R5256" s="80" t="s">
        <v>36</v>
      </c>
      <c r="S5256" s="95">
        <v>10200</v>
      </c>
      <c r="T5256" s="148">
        <v>45622</v>
      </c>
      <c r="U5256" s="77"/>
      <c r="V5256" s="144" t="s">
        <v>18210</v>
      </c>
      <c r="W5256" s="85" t="s">
        <v>18211</v>
      </c>
      <c r="X5256" s="80"/>
      <c r="Y5256" s="22">
        <v>694</v>
      </c>
      <c r="Z5256" s="80" t="s">
        <v>50</v>
      </c>
      <c r="AA5256" s="86" t="s">
        <v>14723</v>
      </c>
      <c r="AB5256" s="80"/>
      <c r="AC5256" s="80" t="s">
        <v>53</v>
      </c>
      <c r="AD5256" s="80" t="s">
        <v>138</v>
      </c>
      <c r="AE5256" s="80" t="s">
        <v>13600</v>
      </c>
      <c r="AF5256" s="17">
        <v>45715</v>
      </c>
      <c r="AG5256" s="80"/>
      <c r="AH5256" s="80"/>
      <c r="AI5256" s="147"/>
      <c r="AJ5256" s="80"/>
      <c r="AK5256" s="80"/>
      <c r="AL5256" s="35"/>
      <c r="AM5256" s="35"/>
      <c r="AN5256" s="35"/>
      <c r="AO5256" s="35"/>
      <c r="AP5256" s="35"/>
    </row>
    <row r="5257" spans="1:42" x14ac:dyDescent="0.2">
      <c r="A5257" s="126">
        <v>45623.801886319445</v>
      </c>
      <c r="B5257" s="28" t="s">
        <v>37</v>
      </c>
      <c r="C5257" s="41" t="s">
        <v>118</v>
      </c>
      <c r="D5257" s="80" t="s">
        <v>77</v>
      </c>
      <c r="E5257" s="80" t="s">
        <v>106</v>
      </c>
      <c r="F5257" s="80" t="s">
        <v>12416</v>
      </c>
      <c r="G5257" s="80" t="s">
        <v>108</v>
      </c>
      <c r="H5257" s="80" t="s">
        <v>16676</v>
      </c>
      <c r="I5257" s="17">
        <f ca="1">IFERROR(__xludf.DUMMYFUNCTION("""COMPUTED_VALUE"""),45630)</f>
        <v>45630</v>
      </c>
      <c r="J5257" s="143" t="s">
        <v>13495</v>
      </c>
      <c r="K5257" s="80" t="s">
        <v>18212</v>
      </c>
      <c r="L5257" s="30">
        <v>373999329</v>
      </c>
      <c r="M5257" s="80" t="s">
        <v>59</v>
      </c>
      <c r="N5257" s="80" t="s">
        <v>4299</v>
      </c>
      <c r="O5257" s="80" t="s">
        <v>18213</v>
      </c>
      <c r="P5257" s="80" t="s">
        <v>13498</v>
      </c>
      <c r="Q5257" s="20">
        <v>3768</v>
      </c>
      <c r="R5257" s="80" t="s">
        <v>36</v>
      </c>
      <c r="S5257" s="95">
        <v>3768</v>
      </c>
      <c r="T5257" s="148">
        <v>45623</v>
      </c>
      <c r="U5257" s="77"/>
      <c r="V5257" s="78"/>
      <c r="W5257" s="85" t="s">
        <v>18214</v>
      </c>
      <c r="X5257" s="80"/>
      <c r="Y5257" s="22">
        <v>0</v>
      </c>
      <c r="Z5257" s="80" t="s">
        <v>50</v>
      </c>
      <c r="AA5257" s="82" t="s">
        <v>14723</v>
      </c>
      <c r="AB5257" s="80"/>
      <c r="AC5257" s="80" t="s">
        <v>53</v>
      </c>
      <c r="AD5257" s="80" t="s">
        <v>138</v>
      </c>
      <c r="AE5257" s="80" t="s">
        <v>12416</v>
      </c>
      <c r="AF5257" s="17">
        <v>45630</v>
      </c>
      <c r="AG5257" s="80" t="s">
        <v>16677</v>
      </c>
      <c r="AH5257" s="80"/>
      <c r="AI5257" s="147"/>
      <c r="AJ5257" s="80"/>
      <c r="AK5257" s="80"/>
      <c r="AL5257" s="35"/>
      <c r="AM5257" s="35"/>
      <c r="AN5257" s="35"/>
      <c r="AO5257" s="35"/>
      <c r="AP5257" s="35"/>
    </row>
    <row r="5258" spans="1:42" x14ac:dyDescent="0.2">
      <c r="A5258" s="126">
        <v>45623.98993924768</v>
      </c>
      <c r="B5258" s="28" t="s">
        <v>37</v>
      </c>
      <c r="C5258" s="41" t="s">
        <v>118</v>
      </c>
      <c r="D5258" s="80" t="s">
        <v>36</v>
      </c>
      <c r="E5258" s="80" t="s">
        <v>77</v>
      </c>
      <c r="F5258" s="26" t="s">
        <v>36</v>
      </c>
      <c r="G5258" s="26" t="s">
        <v>41</v>
      </c>
      <c r="H5258" s="80" t="s">
        <v>13283</v>
      </c>
      <c r="I5258" s="17">
        <f ca="1">IFERROR(__xludf.DUMMYFUNCTION("""COMPUTED_VALUE"""),45631)</f>
        <v>45631</v>
      </c>
      <c r="J5258" s="143" t="s">
        <v>18215</v>
      </c>
      <c r="K5258" s="80" t="s">
        <v>18216</v>
      </c>
      <c r="L5258" s="30">
        <v>385891106</v>
      </c>
      <c r="M5258" s="80" t="s">
        <v>16756</v>
      </c>
      <c r="N5258" s="80" t="s">
        <v>3525</v>
      </c>
      <c r="O5258" s="80" t="s">
        <v>18217</v>
      </c>
      <c r="P5258" s="80" t="s">
        <v>18218</v>
      </c>
      <c r="Q5258" s="20">
        <v>1968</v>
      </c>
      <c r="R5258" s="80" t="s">
        <v>36</v>
      </c>
      <c r="S5258" s="95">
        <v>1968</v>
      </c>
      <c r="T5258" s="148">
        <v>45623</v>
      </c>
      <c r="U5258" s="77"/>
      <c r="V5258" s="78"/>
      <c r="W5258" s="85" t="s">
        <v>18219</v>
      </c>
      <c r="X5258" s="80"/>
      <c r="Y5258" s="22">
        <v>0</v>
      </c>
      <c r="Z5258" s="80" t="s">
        <v>50</v>
      </c>
      <c r="AA5258" s="86" t="s">
        <v>14723</v>
      </c>
      <c r="AB5258" s="80"/>
      <c r="AC5258" s="80" t="s">
        <v>53</v>
      </c>
      <c r="AD5258" s="80" t="s">
        <v>138</v>
      </c>
      <c r="AE5258" s="80"/>
      <c r="AF5258" s="17">
        <v>45631</v>
      </c>
      <c r="AG5258" s="80"/>
      <c r="AH5258" s="80"/>
      <c r="AI5258" s="147"/>
      <c r="AJ5258" s="80"/>
      <c r="AK5258" s="80"/>
      <c r="AL5258" s="35"/>
      <c r="AM5258" s="35"/>
      <c r="AN5258" s="35"/>
      <c r="AO5258" s="35"/>
      <c r="AP5258" s="35"/>
    </row>
    <row r="5259" spans="1:42" x14ac:dyDescent="0.2">
      <c r="A5259" s="126">
        <v>45624.75217605324</v>
      </c>
      <c r="B5259" s="137" t="s">
        <v>37</v>
      </c>
      <c r="C5259" s="41" t="s">
        <v>118</v>
      </c>
      <c r="D5259" s="80" t="s">
        <v>36</v>
      </c>
      <c r="E5259" s="80" t="s">
        <v>39</v>
      </c>
      <c r="F5259" s="80" t="s">
        <v>36</v>
      </c>
      <c r="G5259" s="80" t="s">
        <v>41</v>
      </c>
      <c r="H5259" s="80" t="s">
        <v>13441</v>
      </c>
      <c r="I5259" s="17">
        <f ca="1">IFERROR(__xludf.DUMMYFUNCTION("""COMPUTED_VALUE"""),45625)</f>
        <v>45625</v>
      </c>
      <c r="J5259" s="143" t="s">
        <v>18220</v>
      </c>
      <c r="K5259" s="80" t="s">
        <v>18221</v>
      </c>
      <c r="L5259" s="30">
        <v>898996530</v>
      </c>
      <c r="M5259" s="80" t="s">
        <v>9422</v>
      </c>
      <c r="N5259" s="80" t="s">
        <v>7051</v>
      </c>
      <c r="O5259" s="80" t="s">
        <v>8827</v>
      </c>
      <c r="P5259" s="80" t="s">
        <v>3117</v>
      </c>
      <c r="Q5259" s="20">
        <v>5736</v>
      </c>
      <c r="R5259" s="80" t="s">
        <v>36</v>
      </c>
      <c r="S5259" s="95">
        <v>2000</v>
      </c>
      <c r="T5259" s="148">
        <v>45624</v>
      </c>
      <c r="U5259" s="95">
        <v>3736</v>
      </c>
      <c r="V5259" s="148">
        <v>45626</v>
      </c>
      <c r="W5259" s="85" t="s">
        <v>18222</v>
      </c>
      <c r="X5259" s="80"/>
      <c r="Y5259" s="22">
        <v>0</v>
      </c>
      <c r="Z5259" s="80" t="s">
        <v>50</v>
      </c>
      <c r="AA5259" s="82" t="s">
        <v>14723</v>
      </c>
      <c r="AB5259" s="80"/>
      <c r="AC5259" s="80" t="s">
        <v>53</v>
      </c>
      <c r="AD5259" s="80" t="s">
        <v>138</v>
      </c>
      <c r="AE5259" s="80"/>
      <c r="AF5259" s="43">
        <v>45625</v>
      </c>
      <c r="AG5259" s="80" t="s">
        <v>13446</v>
      </c>
      <c r="AH5259" s="80"/>
      <c r="AI5259" s="147"/>
      <c r="AJ5259" s="80"/>
      <c r="AK5259" s="80"/>
      <c r="AL5259" s="35"/>
      <c r="AM5259" s="35"/>
      <c r="AN5259" s="35"/>
      <c r="AO5259" s="35"/>
      <c r="AP5259" s="35"/>
    </row>
    <row r="5260" spans="1:42" x14ac:dyDescent="0.2">
      <c r="A5260" s="126">
        <v>45625.566966631945</v>
      </c>
      <c r="B5260" s="137" t="s">
        <v>37</v>
      </c>
      <c r="C5260" s="41" t="s">
        <v>105</v>
      </c>
      <c r="D5260" s="80" t="s">
        <v>36</v>
      </c>
      <c r="E5260" s="80" t="s">
        <v>106</v>
      </c>
      <c r="F5260" s="80" t="s">
        <v>13178</v>
      </c>
      <c r="G5260" s="80" t="s">
        <v>108</v>
      </c>
      <c r="H5260" s="80" t="s">
        <v>16656</v>
      </c>
      <c r="I5260" s="17">
        <f ca="1">IFERROR(__xludf.DUMMYFUNCTION("""COMPUTED_VALUE"""),45624)</f>
        <v>45624</v>
      </c>
      <c r="J5260" s="143" t="s">
        <v>17283</v>
      </c>
      <c r="K5260" s="80" t="s">
        <v>17284</v>
      </c>
      <c r="L5260" s="30">
        <v>984711505</v>
      </c>
      <c r="M5260" s="80" t="s">
        <v>12529</v>
      </c>
      <c r="N5260" s="80" t="s">
        <v>13566</v>
      </c>
      <c r="O5260" s="80" t="s">
        <v>17285</v>
      </c>
      <c r="P5260" s="80" t="s">
        <v>17286</v>
      </c>
      <c r="Q5260" s="20">
        <v>3768</v>
      </c>
      <c r="R5260" s="80" t="s">
        <v>36</v>
      </c>
      <c r="S5260" s="95">
        <v>3768</v>
      </c>
      <c r="T5260" s="200">
        <v>45624</v>
      </c>
      <c r="U5260" s="77"/>
      <c r="V5260" s="78"/>
      <c r="W5260" s="85" t="s">
        <v>18223</v>
      </c>
      <c r="X5260" s="80"/>
      <c r="Y5260" s="22">
        <v>0</v>
      </c>
      <c r="Z5260" s="80" t="s">
        <v>50</v>
      </c>
      <c r="AA5260" s="86" t="s">
        <v>14723</v>
      </c>
      <c r="AB5260" s="80"/>
      <c r="AC5260" s="80" t="s">
        <v>53</v>
      </c>
      <c r="AD5260" s="80" t="s">
        <v>138</v>
      </c>
      <c r="AE5260" s="80" t="s">
        <v>13178</v>
      </c>
      <c r="AF5260" s="17">
        <v>45624</v>
      </c>
      <c r="AG5260" s="80"/>
      <c r="AH5260" s="80"/>
      <c r="AI5260" s="147"/>
      <c r="AJ5260" s="80"/>
      <c r="AK5260" s="80"/>
      <c r="AL5260" s="35"/>
      <c r="AM5260" s="35"/>
      <c r="AN5260" s="35"/>
      <c r="AO5260" s="35"/>
      <c r="AP5260" s="35"/>
    </row>
    <row r="5261" spans="1:42" x14ac:dyDescent="0.2">
      <c r="A5261" s="126">
        <v>45625.516969502314</v>
      </c>
      <c r="B5261" s="137" t="s">
        <v>37</v>
      </c>
      <c r="C5261" s="41" t="s">
        <v>118</v>
      </c>
      <c r="D5261" s="80" t="s">
        <v>36</v>
      </c>
      <c r="E5261" s="80" t="s">
        <v>77</v>
      </c>
      <c r="F5261" s="80" t="s">
        <v>36</v>
      </c>
      <c r="G5261" s="80" t="s">
        <v>41</v>
      </c>
      <c r="H5261" s="80" t="s">
        <v>13441</v>
      </c>
      <c r="I5261" s="17">
        <f ca="1">IFERROR(__xludf.DUMMYFUNCTION("""COMPUTED_VALUE"""),45625)</f>
        <v>45625</v>
      </c>
      <c r="J5261" s="143" t="s">
        <v>18224</v>
      </c>
      <c r="K5261" s="80" t="s">
        <v>18225</v>
      </c>
      <c r="L5261" s="30">
        <v>347326770</v>
      </c>
      <c r="M5261" s="80" t="s">
        <v>123</v>
      </c>
      <c r="N5261" s="80" t="s">
        <v>1384</v>
      </c>
      <c r="O5261" s="80" t="s">
        <v>16080</v>
      </c>
      <c r="P5261" s="80" t="s">
        <v>8120</v>
      </c>
      <c r="Q5261" s="20">
        <v>1968</v>
      </c>
      <c r="R5261" s="80" t="s">
        <v>36</v>
      </c>
      <c r="S5261" s="95">
        <f>100+1868</f>
        <v>1968</v>
      </c>
      <c r="T5261" s="83" t="s">
        <v>18226</v>
      </c>
      <c r="U5261" s="77"/>
      <c r="V5261" s="78"/>
      <c r="W5261" s="85" t="s">
        <v>18227</v>
      </c>
      <c r="X5261" s="80"/>
      <c r="Y5261" s="22">
        <v>0</v>
      </c>
      <c r="Z5261" s="80" t="s">
        <v>50</v>
      </c>
      <c r="AA5261" s="82" t="s">
        <v>14723</v>
      </c>
      <c r="AB5261" s="80"/>
      <c r="AC5261" s="80" t="s">
        <v>53</v>
      </c>
      <c r="AD5261" s="80" t="s">
        <v>138</v>
      </c>
      <c r="AE5261" s="80"/>
      <c r="AF5261" s="43">
        <v>45625</v>
      </c>
      <c r="AG5261" s="80" t="s">
        <v>13446</v>
      </c>
      <c r="AH5261" s="80"/>
      <c r="AI5261" s="147"/>
      <c r="AJ5261" s="80"/>
      <c r="AK5261" s="80"/>
      <c r="AL5261" s="35"/>
      <c r="AM5261" s="35"/>
      <c r="AN5261" s="35"/>
      <c r="AO5261" s="35"/>
      <c r="AP5261" s="35"/>
    </row>
    <row r="5262" spans="1:42" x14ac:dyDescent="0.2">
      <c r="A5262" s="126">
        <v>45625.574681296297</v>
      </c>
      <c r="B5262" s="137" t="s">
        <v>37</v>
      </c>
      <c r="C5262" s="41" t="s">
        <v>118</v>
      </c>
      <c r="D5262" s="80" t="s">
        <v>36</v>
      </c>
      <c r="E5262" s="80" t="s">
        <v>106</v>
      </c>
      <c r="F5262" s="80" t="s">
        <v>15506</v>
      </c>
      <c r="G5262" s="80" t="s">
        <v>108</v>
      </c>
      <c r="H5262" s="80" t="s">
        <v>16810</v>
      </c>
      <c r="I5262" s="17">
        <f ca="1">IFERROR(__xludf.DUMMYFUNCTION("""COMPUTED_VALUE"""),45631)</f>
        <v>45631</v>
      </c>
      <c r="J5262" s="143" t="s">
        <v>18228</v>
      </c>
      <c r="K5262" s="80" t="s">
        <v>18229</v>
      </c>
      <c r="L5262" s="30">
        <v>988483618</v>
      </c>
      <c r="M5262" s="80" t="s">
        <v>3288</v>
      </c>
      <c r="N5262" s="80" t="s">
        <v>200</v>
      </c>
      <c r="O5262" s="80" t="s">
        <v>91</v>
      </c>
      <c r="P5262" s="80" t="s">
        <v>18230</v>
      </c>
      <c r="Q5262" s="20">
        <v>3768</v>
      </c>
      <c r="R5262" s="80" t="s">
        <v>36</v>
      </c>
      <c r="S5262" s="95">
        <v>3668</v>
      </c>
      <c r="T5262" s="148">
        <v>45625</v>
      </c>
      <c r="U5262" s="77"/>
      <c r="V5262" s="78"/>
      <c r="W5262" s="85" t="s">
        <v>18231</v>
      </c>
      <c r="X5262" s="80"/>
      <c r="Y5262" s="22">
        <v>100</v>
      </c>
      <c r="Z5262" s="80" t="s">
        <v>50</v>
      </c>
      <c r="AA5262" s="86" t="s">
        <v>14723</v>
      </c>
      <c r="AB5262" s="80"/>
      <c r="AC5262" s="80" t="s">
        <v>53</v>
      </c>
      <c r="AD5262" s="80" t="s">
        <v>54</v>
      </c>
      <c r="AE5262" s="80" t="s">
        <v>203</v>
      </c>
      <c r="AF5262" s="17">
        <v>45628</v>
      </c>
      <c r="AG5262" s="80"/>
      <c r="AH5262" s="80"/>
      <c r="AI5262" s="147"/>
      <c r="AJ5262" s="80"/>
      <c r="AK5262" s="80"/>
      <c r="AL5262" s="35"/>
      <c r="AM5262" s="35"/>
      <c r="AN5262" s="35"/>
      <c r="AO5262" s="35"/>
      <c r="AP5262" s="35"/>
    </row>
    <row r="5263" spans="1:42" x14ac:dyDescent="0.2">
      <c r="A5263" s="126">
        <v>45626.971033240741</v>
      </c>
      <c r="B5263" s="137" t="s">
        <v>37</v>
      </c>
      <c r="C5263" s="41" t="s">
        <v>118</v>
      </c>
      <c r="D5263" s="80" t="s">
        <v>36</v>
      </c>
      <c r="E5263" s="80" t="s">
        <v>106</v>
      </c>
      <c r="F5263" s="80" t="s">
        <v>40</v>
      </c>
      <c r="G5263" s="80" t="s">
        <v>108</v>
      </c>
      <c r="H5263" s="80" t="s">
        <v>14495</v>
      </c>
      <c r="I5263" s="17">
        <f ca="1">IFERROR(__xludf.DUMMYFUNCTION("""COMPUTED_VALUE"""),45627)</f>
        <v>45627</v>
      </c>
      <c r="J5263" s="172" t="s">
        <v>18232</v>
      </c>
      <c r="K5263" s="80" t="s">
        <v>18233</v>
      </c>
      <c r="L5263" s="30">
        <v>913203900</v>
      </c>
      <c r="M5263" s="80" t="s">
        <v>3288</v>
      </c>
      <c r="N5263" s="80" t="s">
        <v>200</v>
      </c>
      <c r="O5263" s="80" t="s">
        <v>91</v>
      </c>
      <c r="P5263" s="80" t="s">
        <v>3117</v>
      </c>
      <c r="Q5263" s="20">
        <v>3768</v>
      </c>
      <c r="R5263" s="80" t="s">
        <v>36</v>
      </c>
      <c r="S5263" s="95">
        <v>3768</v>
      </c>
      <c r="T5263" s="148">
        <v>45626</v>
      </c>
      <c r="U5263" s="77"/>
      <c r="V5263" s="78"/>
      <c r="W5263" s="80" t="s">
        <v>18234</v>
      </c>
      <c r="X5263" s="80"/>
      <c r="Y5263" s="22">
        <v>0</v>
      </c>
      <c r="Z5263" s="80" t="s">
        <v>50</v>
      </c>
      <c r="AA5263" s="82" t="s">
        <v>14723</v>
      </c>
      <c r="AB5263" s="80"/>
      <c r="AC5263" s="80" t="s">
        <v>2218</v>
      </c>
      <c r="AD5263" s="80" t="s">
        <v>138</v>
      </c>
      <c r="AE5263" s="83">
        <v>550</v>
      </c>
      <c r="AF5263" s="17">
        <v>45627</v>
      </c>
      <c r="AG5263" s="80" t="s">
        <v>18235</v>
      </c>
      <c r="AH5263" s="80"/>
      <c r="AI5263" s="147"/>
      <c r="AJ5263" s="80"/>
      <c r="AK5263" s="80"/>
      <c r="AL5263" s="35"/>
      <c r="AM5263" s="35"/>
      <c r="AN5263" s="35"/>
      <c r="AO5263" s="35"/>
      <c r="AP5263" s="35"/>
    </row>
    <row r="5264" spans="1:42" x14ac:dyDescent="0.2">
      <c r="A5264" s="126">
        <v>45626.975984733799</v>
      </c>
      <c r="B5264" s="137" t="s">
        <v>37</v>
      </c>
      <c r="C5264" s="41" t="s">
        <v>118</v>
      </c>
      <c r="D5264" s="80" t="s">
        <v>36</v>
      </c>
      <c r="E5264" s="80" t="s">
        <v>148</v>
      </c>
      <c r="F5264" s="80" t="s">
        <v>40</v>
      </c>
      <c r="G5264" s="80" t="s">
        <v>108</v>
      </c>
      <c r="H5264" s="80" t="s">
        <v>5946</v>
      </c>
      <c r="I5264" s="17">
        <f ca="1">IFERROR(__xludf.DUMMYFUNCTION("""COMPUTED_VALUE"""),45742)</f>
        <v>45742</v>
      </c>
      <c r="J5264" s="143" t="s">
        <v>18236</v>
      </c>
      <c r="K5264" s="80" t="s">
        <v>7741</v>
      </c>
      <c r="L5264" s="30">
        <v>976735925</v>
      </c>
      <c r="M5264" s="80" t="s">
        <v>3288</v>
      </c>
      <c r="N5264" s="80" t="s">
        <v>200</v>
      </c>
      <c r="O5264" s="80" t="s">
        <v>91</v>
      </c>
      <c r="P5264" s="80" t="s">
        <v>18237</v>
      </c>
      <c r="Q5264" s="20">
        <v>7349</v>
      </c>
      <c r="R5264" s="80" t="s">
        <v>36</v>
      </c>
      <c r="S5264" s="95">
        <v>7349</v>
      </c>
      <c r="T5264" s="148">
        <v>45626</v>
      </c>
      <c r="U5264" s="77"/>
      <c r="V5264" s="78"/>
      <c r="W5264" s="85" t="s">
        <v>18238</v>
      </c>
      <c r="X5264" s="80"/>
      <c r="Y5264" s="22">
        <v>0</v>
      </c>
      <c r="Z5264" s="80" t="s">
        <v>50</v>
      </c>
      <c r="AA5264" s="86" t="s">
        <v>14723</v>
      </c>
      <c r="AB5264" s="80"/>
      <c r="AC5264" s="80" t="s">
        <v>53</v>
      </c>
      <c r="AD5264" s="80" t="s">
        <v>54</v>
      </c>
      <c r="AE5264" s="83">
        <v>370</v>
      </c>
      <c r="AF5264" s="17">
        <v>45742</v>
      </c>
      <c r="AG5264" s="80"/>
      <c r="AH5264" s="80"/>
      <c r="AI5264" s="147"/>
      <c r="AJ5264" s="80"/>
      <c r="AK5264" s="80"/>
      <c r="AL5264" s="35"/>
      <c r="AM5264" s="35"/>
      <c r="AN5264" s="35"/>
      <c r="AO5264" s="35"/>
      <c r="AP5264" s="35"/>
    </row>
    <row r="5265" spans="1:42" x14ac:dyDescent="0.2">
      <c r="A5265" s="126">
        <v>45627.540898043982</v>
      </c>
      <c r="B5265" s="137" t="s">
        <v>37</v>
      </c>
      <c r="C5265" s="41" t="s">
        <v>118</v>
      </c>
      <c r="D5265" s="80" t="s">
        <v>36</v>
      </c>
      <c r="E5265" s="80" t="s">
        <v>77</v>
      </c>
      <c r="F5265" s="26" t="s">
        <v>36</v>
      </c>
      <c r="G5265" s="26" t="s">
        <v>41</v>
      </c>
      <c r="H5265" s="80" t="s">
        <v>12542</v>
      </c>
      <c r="I5265" s="17">
        <f ca="1">IFERROR(__xludf.DUMMYFUNCTION("""COMPUTED_VALUE"""),45636)</f>
        <v>45636</v>
      </c>
      <c r="J5265" s="143" t="s">
        <v>18239</v>
      </c>
      <c r="K5265" s="80" t="s">
        <v>18240</v>
      </c>
      <c r="L5265" s="30">
        <v>969844806</v>
      </c>
      <c r="M5265" s="80" t="s">
        <v>348</v>
      </c>
      <c r="N5265" s="80" t="s">
        <v>4299</v>
      </c>
      <c r="O5265" s="80" t="s">
        <v>17476</v>
      </c>
      <c r="P5265" s="80" t="s">
        <v>18241</v>
      </c>
      <c r="Q5265" s="20">
        <v>1968</v>
      </c>
      <c r="R5265" s="80" t="s">
        <v>36</v>
      </c>
      <c r="S5265" s="95">
        <v>1968</v>
      </c>
      <c r="T5265" s="148">
        <v>45626</v>
      </c>
      <c r="U5265" s="77"/>
      <c r="V5265" s="78"/>
      <c r="W5265" s="85" t="s">
        <v>18242</v>
      </c>
      <c r="X5265" s="80"/>
      <c r="Y5265" s="22">
        <v>0</v>
      </c>
      <c r="Z5265" s="80" t="s">
        <v>50</v>
      </c>
      <c r="AA5265" s="82" t="s">
        <v>14723</v>
      </c>
      <c r="AB5265" s="80"/>
      <c r="AC5265" s="80" t="s">
        <v>53</v>
      </c>
      <c r="AD5265" s="80" t="s">
        <v>138</v>
      </c>
      <c r="AE5265" s="80"/>
      <c r="AF5265" s="17">
        <v>45633</v>
      </c>
      <c r="AG5265" s="80"/>
      <c r="AH5265" s="80"/>
      <c r="AI5265" s="147"/>
      <c r="AJ5265" s="80"/>
      <c r="AK5265" s="80"/>
      <c r="AL5265" s="35"/>
      <c r="AM5265" s="35"/>
      <c r="AN5265" s="35"/>
      <c r="AO5265" s="35"/>
      <c r="AP5265" s="35"/>
    </row>
    <row r="5266" spans="1:42" x14ac:dyDescent="0.2">
      <c r="A5266" s="126">
        <v>45294.961392106481</v>
      </c>
      <c r="B5266" s="28" t="s">
        <v>37</v>
      </c>
      <c r="C5266" s="41" t="s">
        <v>118</v>
      </c>
      <c r="D5266" s="26" t="s">
        <v>36</v>
      </c>
      <c r="E5266" s="26" t="s">
        <v>148</v>
      </c>
      <c r="F5266" s="26" t="s">
        <v>5931</v>
      </c>
      <c r="G5266" s="26" t="s">
        <v>108</v>
      </c>
      <c r="H5266" s="26" t="s">
        <v>2440</v>
      </c>
      <c r="I5266" s="17">
        <f ca="1">IFERROR(__xludf.DUMMYFUNCTION("""COMPUTED_VALUE"""),45306)</f>
        <v>45306</v>
      </c>
      <c r="J5266" s="29" t="s">
        <v>8567</v>
      </c>
      <c r="K5266" s="26" t="s">
        <v>8568</v>
      </c>
      <c r="L5266" s="30">
        <v>981284054</v>
      </c>
      <c r="M5266" s="26" t="s">
        <v>80</v>
      </c>
      <c r="N5266" s="26" t="s">
        <v>8569</v>
      </c>
      <c r="O5266" s="26" t="s">
        <v>36</v>
      </c>
      <c r="P5266" s="42" t="s">
        <v>8570</v>
      </c>
      <c r="Q5266" s="20">
        <v>7349</v>
      </c>
      <c r="R5266" s="26" t="s">
        <v>70</v>
      </c>
      <c r="S5266" s="95">
        <v>16679</v>
      </c>
      <c r="T5266" s="148">
        <v>44858</v>
      </c>
      <c r="U5266" s="31"/>
      <c r="V5266" s="32"/>
      <c r="W5266" s="33" t="s">
        <v>8571</v>
      </c>
      <c r="X5266" s="26"/>
      <c r="Y5266" s="22">
        <v>-9330</v>
      </c>
      <c r="Z5266" s="26" t="s">
        <v>118</v>
      </c>
      <c r="AA5266" s="35" t="s">
        <v>18243</v>
      </c>
      <c r="AB5266" s="26"/>
      <c r="AC5266" s="26" t="s">
        <v>53</v>
      </c>
      <c r="AD5266" s="26" t="s">
        <v>54</v>
      </c>
      <c r="AE5266" s="26">
        <v>460</v>
      </c>
      <c r="AF5266" s="17">
        <v>45299</v>
      </c>
      <c r="AG5266" s="26"/>
      <c r="AH5266" s="26"/>
      <c r="AI5266" s="40"/>
      <c r="AJ5266" s="26">
        <f>COUNTIF(L5266:L5306,L5266)</f>
        <v>1</v>
      </c>
      <c r="AK5266" s="26"/>
      <c r="AL5266" s="35"/>
      <c r="AM5266" s="35"/>
      <c r="AN5266" s="35"/>
      <c r="AO5266" s="35"/>
      <c r="AP5266" s="35"/>
    </row>
    <row r="5267" spans="1:42" x14ac:dyDescent="0.2">
      <c r="A5267" s="38">
        <v>45450</v>
      </c>
      <c r="B5267" s="28" t="s">
        <v>37</v>
      </c>
      <c r="C5267" s="41" t="s">
        <v>118</v>
      </c>
      <c r="D5267" s="26" t="s">
        <v>77</v>
      </c>
      <c r="E5267" s="26" t="s">
        <v>106</v>
      </c>
      <c r="F5267" s="26" t="s">
        <v>413</v>
      </c>
      <c r="G5267" s="71" t="s">
        <v>108</v>
      </c>
      <c r="H5267" s="26" t="s">
        <v>2434</v>
      </c>
      <c r="I5267" s="17">
        <f ca="1">IFERROR(__xludf.DUMMYFUNCTION("""COMPUTED_VALUE"""),45320)</f>
        <v>45320</v>
      </c>
      <c r="J5267" s="29" t="s">
        <v>5626</v>
      </c>
      <c r="K5267" s="26" t="s">
        <v>5627</v>
      </c>
      <c r="L5267" s="30">
        <v>328614607</v>
      </c>
      <c r="M5267" s="26" t="s">
        <v>123</v>
      </c>
      <c r="N5267" s="26" t="s">
        <v>4878</v>
      </c>
      <c r="O5267" s="26"/>
      <c r="P5267" s="42" t="s">
        <v>18244</v>
      </c>
      <c r="Q5267" s="20">
        <v>3768</v>
      </c>
      <c r="R5267" s="26" t="s">
        <v>36</v>
      </c>
      <c r="S5267" s="95">
        <v>3668</v>
      </c>
      <c r="T5267" s="148">
        <v>45289</v>
      </c>
      <c r="U5267" s="31"/>
      <c r="V5267" s="32"/>
      <c r="W5267" s="55" t="s">
        <v>18245</v>
      </c>
      <c r="X5267" s="26"/>
      <c r="Y5267" s="22">
        <v>100</v>
      </c>
      <c r="Z5267" s="26" t="s">
        <v>118</v>
      </c>
      <c r="AA5267" s="96" t="s">
        <v>18243</v>
      </c>
      <c r="AB5267" s="26"/>
      <c r="AC5267" s="26" t="s">
        <v>104</v>
      </c>
      <c r="AD5267" s="26" t="s">
        <v>54</v>
      </c>
      <c r="AE5267" s="26" t="s">
        <v>413</v>
      </c>
      <c r="AF5267" s="17">
        <v>45320</v>
      </c>
      <c r="AG5267" s="26" t="s">
        <v>18246</v>
      </c>
      <c r="AH5267" s="26"/>
      <c r="AI5267" s="40"/>
      <c r="AJ5267" s="26"/>
      <c r="AK5267" s="26"/>
      <c r="AL5267" s="35"/>
      <c r="AM5267" s="35"/>
      <c r="AN5267" s="35"/>
      <c r="AO5267" s="35"/>
      <c r="AP5267" s="35"/>
    </row>
    <row r="5268" spans="1:42" x14ac:dyDescent="0.2">
      <c r="A5268" s="126">
        <v>45469.666653263892</v>
      </c>
      <c r="B5268" s="28" t="s">
        <v>37</v>
      </c>
      <c r="C5268" s="41" t="s">
        <v>118</v>
      </c>
      <c r="D5268" s="26" t="s">
        <v>36</v>
      </c>
      <c r="E5268" s="26" t="s">
        <v>148</v>
      </c>
      <c r="F5268" s="26" t="s">
        <v>4931</v>
      </c>
      <c r="G5268" s="26" t="s">
        <v>221</v>
      </c>
      <c r="H5268" s="26" t="s">
        <v>8406</v>
      </c>
      <c r="I5268" s="17">
        <f ca="1">IFERROR(__xludf.DUMMYFUNCTION("""COMPUTED_VALUE"""),45499)</f>
        <v>45499</v>
      </c>
      <c r="J5268" s="29" t="s">
        <v>7625</v>
      </c>
      <c r="K5268" s="26" t="s">
        <v>18247</v>
      </c>
      <c r="L5268" s="30">
        <v>868739913</v>
      </c>
      <c r="M5268" s="26" t="s">
        <v>3288</v>
      </c>
      <c r="N5268" s="26" t="s">
        <v>200</v>
      </c>
      <c r="O5268" s="26" t="s">
        <v>18248</v>
      </c>
      <c r="P5268" s="26" t="s">
        <v>3117</v>
      </c>
      <c r="Q5268" s="20">
        <v>7349</v>
      </c>
      <c r="R5268" s="26" t="s">
        <v>36</v>
      </c>
      <c r="S5268" s="95">
        <v>7349</v>
      </c>
      <c r="T5268" s="148">
        <v>45352</v>
      </c>
      <c r="U5268" s="31"/>
      <c r="V5268" s="32"/>
      <c r="W5268" s="26" t="s">
        <v>18249</v>
      </c>
      <c r="X5268" s="26"/>
      <c r="Y5268" s="22">
        <v>0</v>
      </c>
      <c r="Z5268" s="26" t="s">
        <v>118</v>
      </c>
      <c r="AA5268" s="35" t="s">
        <v>18243</v>
      </c>
      <c r="AB5268" s="26"/>
      <c r="AC5268" s="26" t="s">
        <v>53</v>
      </c>
      <c r="AD5268" s="26" t="s">
        <v>138</v>
      </c>
      <c r="AE5268" s="26" t="s">
        <v>18250</v>
      </c>
      <c r="AF5268" s="17">
        <v>45495</v>
      </c>
      <c r="AG5268" s="26" t="s">
        <v>4279</v>
      </c>
      <c r="AH5268" s="26"/>
      <c r="AI5268" s="40"/>
      <c r="AJ5268" s="26"/>
      <c r="AK5268" s="26"/>
      <c r="AL5268" s="35"/>
      <c r="AM5268" s="35"/>
      <c r="AN5268" s="35"/>
      <c r="AO5268" s="35"/>
      <c r="AP5268" s="35"/>
    </row>
    <row r="5269" spans="1:42" x14ac:dyDescent="0.2">
      <c r="A5269" s="126">
        <v>45541.599974606477</v>
      </c>
      <c r="B5269" s="137" t="s">
        <v>37</v>
      </c>
      <c r="C5269" s="41" t="s">
        <v>118</v>
      </c>
      <c r="D5269" s="80" t="s">
        <v>36</v>
      </c>
      <c r="E5269" s="80" t="s">
        <v>56</v>
      </c>
      <c r="F5269" s="80" t="s">
        <v>36</v>
      </c>
      <c r="G5269" s="26" t="s">
        <v>108</v>
      </c>
      <c r="H5269" s="80" t="s">
        <v>6919</v>
      </c>
      <c r="I5269" s="17">
        <f ca="1">IFERROR(__xludf.DUMMYFUNCTION("""COMPUTED_VALUE"""),45552)</f>
        <v>45552</v>
      </c>
      <c r="J5269" s="143" t="s">
        <v>8783</v>
      </c>
      <c r="K5269" s="80" t="s">
        <v>8784</v>
      </c>
      <c r="L5269" s="30">
        <v>392887089</v>
      </c>
      <c r="M5269" s="80" t="s">
        <v>9422</v>
      </c>
      <c r="N5269" s="80" t="s">
        <v>8785</v>
      </c>
      <c r="O5269" s="80" t="s">
        <v>11607</v>
      </c>
      <c r="P5269" s="144" t="s">
        <v>18251</v>
      </c>
      <c r="Q5269" s="20">
        <v>9317</v>
      </c>
      <c r="R5269" s="80" t="s">
        <v>36</v>
      </c>
      <c r="S5269" s="95">
        <f>1000+8317</f>
        <v>9317</v>
      </c>
      <c r="T5269" s="148">
        <v>45461</v>
      </c>
      <c r="U5269" s="95"/>
      <c r="V5269" s="148">
        <v>45465</v>
      </c>
      <c r="W5269" s="80"/>
      <c r="X5269" s="80"/>
      <c r="Y5269" s="22">
        <v>0</v>
      </c>
      <c r="Z5269" s="80" t="s">
        <v>118</v>
      </c>
      <c r="AA5269" s="96" t="s">
        <v>18243</v>
      </c>
      <c r="AB5269" s="80"/>
      <c r="AC5269" s="80" t="s">
        <v>53</v>
      </c>
      <c r="AD5269" s="80" t="s">
        <v>138</v>
      </c>
      <c r="AE5269" s="80"/>
      <c r="AF5269" s="17">
        <v>45552</v>
      </c>
      <c r="AG5269" s="26" t="s">
        <v>4996</v>
      </c>
      <c r="AH5269" s="80"/>
      <c r="AI5269" s="147"/>
      <c r="AJ5269" s="80"/>
      <c r="AK5269" s="80"/>
      <c r="AL5269" s="35"/>
      <c r="AM5269" s="35"/>
      <c r="AN5269" s="35"/>
      <c r="AO5269" s="35"/>
      <c r="AP5269" s="35"/>
    </row>
    <row r="5270" spans="1:42" x14ac:dyDescent="0.2">
      <c r="A5270" s="126">
        <v>45554.569868136576</v>
      </c>
      <c r="B5270" s="137" t="s">
        <v>37</v>
      </c>
      <c r="C5270" s="41" t="s">
        <v>118</v>
      </c>
      <c r="D5270" s="80" t="s">
        <v>36</v>
      </c>
      <c r="E5270" s="80" t="s">
        <v>139</v>
      </c>
      <c r="F5270" s="80" t="s">
        <v>36</v>
      </c>
      <c r="G5270" s="80" t="s">
        <v>108</v>
      </c>
      <c r="H5270" s="80" t="s">
        <v>10028</v>
      </c>
      <c r="I5270" s="17">
        <f ca="1">IFERROR(__xludf.DUMMYFUNCTION("""COMPUTED_VALUE"""),45562)</f>
        <v>45562</v>
      </c>
      <c r="J5270" s="143" t="s">
        <v>18252</v>
      </c>
      <c r="K5270" s="80" t="s">
        <v>18253</v>
      </c>
      <c r="L5270" s="30">
        <v>373653025</v>
      </c>
      <c r="M5270" s="80" t="s">
        <v>9422</v>
      </c>
      <c r="N5270" s="80" t="s">
        <v>4299</v>
      </c>
      <c r="O5270" s="80" t="s">
        <v>11607</v>
      </c>
      <c r="P5270" s="80" t="s">
        <v>11608</v>
      </c>
      <c r="Q5270" s="20">
        <v>15936</v>
      </c>
      <c r="R5270" s="80" t="s">
        <v>36</v>
      </c>
      <c r="S5270" s="77">
        <v>5000</v>
      </c>
      <c r="T5270" s="148">
        <v>45505</v>
      </c>
      <c r="U5270" s="95">
        <v>10936</v>
      </c>
      <c r="V5270" s="148">
        <v>45522</v>
      </c>
      <c r="W5270" s="80"/>
      <c r="X5270" s="80"/>
      <c r="Y5270" s="22">
        <v>0</v>
      </c>
      <c r="Z5270" s="80" t="s">
        <v>118</v>
      </c>
      <c r="AA5270" s="35" t="s">
        <v>18243</v>
      </c>
      <c r="AB5270" s="80"/>
      <c r="AC5270" s="80" t="s">
        <v>53</v>
      </c>
      <c r="AD5270" s="80" t="s">
        <v>138</v>
      </c>
      <c r="AE5270" s="80"/>
      <c r="AF5270" s="17">
        <v>45562</v>
      </c>
      <c r="AG5270" s="80"/>
      <c r="AH5270" s="80"/>
      <c r="AI5270" s="147"/>
      <c r="AJ5270" s="80"/>
      <c r="AK5270" s="80"/>
      <c r="AL5270" s="35"/>
      <c r="AM5270" s="35"/>
      <c r="AN5270" s="35"/>
      <c r="AO5270" s="35"/>
      <c r="AP5270" s="35"/>
    </row>
    <row r="5271" spans="1:42" x14ac:dyDescent="0.2">
      <c r="A5271" s="126">
        <v>45559.479059618054</v>
      </c>
      <c r="B5271" s="137" t="s">
        <v>37</v>
      </c>
      <c r="C5271" s="41" t="s">
        <v>118</v>
      </c>
      <c r="D5271" s="80" t="s">
        <v>36</v>
      </c>
      <c r="E5271" s="80" t="s">
        <v>139</v>
      </c>
      <c r="F5271" s="80" t="s">
        <v>36</v>
      </c>
      <c r="G5271" s="26" t="s">
        <v>108</v>
      </c>
      <c r="H5271" s="80" t="s">
        <v>8541</v>
      </c>
      <c r="I5271" s="17">
        <f ca="1">IFERROR(__xludf.DUMMYFUNCTION("""COMPUTED_VALUE"""),45595)</f>
        <v>45595</v>
      </c>
      <c r="J5271" s="143" t="s">
        <v>18254</v>
      </c>
      <c r="K5271" s="80" t="s">
        <v>18255</v>
      </c>
      <c r="L5271" s="30">
        <v>982588370</v>
      </c>
      <c r="M5271" s="80" t="s">
        <v>9422</v>
      </c>
      <c r="N5271" s="80" t="s">
        <v>2157</v>
      </c>
      <c r="O5271" s="80" t="s">
        <v>8827</v>
      </c>
      <c r="P5271" s="80" t="s">
        <v>8827</v>
      </c>
      <c r="Q5271" s="20">
        <v>15936</v>
      </c>
      <c r="R5271" s="80" t="s">
        <v>36</v>
      </c>
      <c r="S5271" s="95">
        <v>15936</v>
      </c>
      <c r="T5271" s="148">
        <v>45504</v>
      </c>
      <c r="U5271" s="77"/>
      <c r="V5271" s="78"/>
      <c r="W5271" s="80"/>
      <c r="X5271" s="80"/>
      <c r="Y5271" s="22">
        <v>0</v>
      </c>
      <c r="Z5271" s="80" t="s">
        <v>118</v>
      </c>
      <c r="AA5271" s="96" t="s">
        <v>18243</v>
      </c>
      <c r="AB5271" s="80"/>
      <c r="AC5271" s="80" t="s">
        <v>53</v>
      </c>
      <c r="AD5271" s="80" t="s">
        <v>138</v>
      </c>
      <c r="AE5271" s="80"/>
      <c r="AF5271" s="17">
        <v>45595</v>
      </c>
      <c r="AG5271" s="80"/>
      <c r="AH5271" s="80"/>
      <c r="AI5271" s="147"/>
      <c r="AJ5271" s="80"/>
      <c r="AK5271" s="80"/>
      <c r="AL5271" s="35"/>
      <c r="AM5271" s="35"/>
      <c r="AN5271" s="35"/>
      <c r="AO5271" s="35"/>
      <c r="AP5271" s="35"/>
    </row>
    <row r="5272" spans="1:42" x14ac:dyDescent="0.2">
      <c r="A5272" s="126">
        <v>45570.568204826384</v>
      </c>
      <c r="B5272" s="137" t="s">
        <v>37</v>
      </c>
      <c r="C5272" s="41" t="s">
        <v>118</v>
      </c>
      <c r="D5272" s="80" t="s">
        <v>36</v>
      </c>
      <c r="E5272" s="80" t="s">
        <v>39</v>
      </c>
      <c r="F5272" s="80" t="s">
        <v>9682</v>
      </c>
      <c r="G5272" s="80" t="s">
        <v>108</v>
      </c>
      <c r="H5272" s="80" t="s">
        <v>13126</v>
      </c>
      <c r="I5272" s="17">
        <f ca="1">IFERROR(__xludf.DUMMYFUNCTION("""COMPUTED_VALUE"""),45576)</f>
        <v>45576</v>
      </c>
      <c r="J5272" s="143" t="s">
        <v>9683</v>
      </c>
      <c r="K5272" s="80" t="s">
        <v>9684</v>
      </c>
      <c r="L5272" s="30">
        <v>377092803</v>
      </c>
      <c r="M5272" s="80" t="s">
        <v>3288</v>
      </c>
      <c r="N5272" s="80" t="s">
        <v>200</v>
      </c>
      <c r="O5272" s="80" t="s">
        <v>91</v>
      </c>
      <c r="P5272" s="80" t="s">
        <v>18256</v>
      </c>
      <c r="Q5272" s="20">
        <v>5736</v>
      </c>
      <c r="R5272" s="80" t="s">
        <v>36</v>
      </c>
      <c r="S5272" s="95">
        <v>5736</v>
      </c>
      <c r="T5272" s="148">
        <v>45498</v>
      </c>
      <c r="U5272" s="77"/>
      <c r="V5272" s="78"/>
      <c r="W5272" s="80" t="s">
        <v>18257</v>
      </c>
      <c r="X5272" s="80"/>
      <c r="Y5272" s="22">
        <v>0</v>
      </c>
      <c r="Z5272" s="80" t="s">
        <v>118</v>
      </c>
      <c r="AA5272" s="35" t="s">
        <v>18243</v>
      </c>
      <c r="AB5272" s="80"/>
      <c r="AC5272" s="80" t="s">
        <v>53</v>
      </c>
      <c r="AD5272" s="80" t="s">
        <v>54</v>
      </c>
      <c r="AE5272" s="80" t="s">
        <v>203</v>
      </c>
      <c r="AF5272" s="17">
        <v>45572</v>
      </c>
      <c r="AG5272" s="80"/>
      <c r="AH5272" s="80"/>
      <c r="AI5272" s="147"/>
      <c r="AJ5272" s="80"/>
      <c r="AK5272" s="80"/>
      <c r="AL5272" s="35"/>
      <c r="AM5272" s="35"/>
      <c r="AN5272" s="35"/>
      <c r="AO5272" s="35"/>
      <c r="AP5272" s="35"/>
    </row>
    <row r="5273" spans="1:42" x14ac:dyDescent="0.2">
      <c r="A5273" s="126">
        <v>45600.63881462963</v>
      </c>
      <c r="B5273" s="137" t="s">
        <v>37</v>
      </c>
      <c r="C5273" s="41" t="s">
        <v>118</v>
      </c>
      <c r="D5273" s="80" t="s">
        <v>36</v>
      </c>
      <c r="E5273" s="80" t="s">
        <v>139</v>
      </c>
      <c r="F5273" s="80" t="s">
        <v>12766</v>
      </c>
      <c r="G5273" s="80" t="s">
        <v>108</v>
      </c>
      <c r="H5273" s="80" t="s">
        <v>14177</v>
      </c>
      <c r="I5273" s="17">
        <f ca="1">IFERROR(__xludf.DUMMYFUNCTION("""COMPUTED_VALUE"""),45614)</f>
        <v>45614</v>
      </c>
      <c r="J5273" s="143" t="s">
        <v>15401</v>
      </c>
      <c r="K5273" s="80" t="s">
        <v>18258</v>
      </c>
      <c r="L5273" s="30">
        <v>969298119</v>
      </c>
      <c r="M5273" s="80" t="s">
        <v>9422</v>
      </c>
      <c r="N5273" s="80" t="s">
        <v>327</v>
      </c>
      <c r="O5273" s="80" t="s">
        <v>11607</v>
      </c>
      <c r="P5273" s="80" t="s">
        <v>11608</v>
      </c>
      <c r="Q5273" s="20">
        <v>15936</v>
      </c>
      <c r="R5273" s="80" t="s">
        <v>11421</v>
      </c>
      <c r="S5273" s="95">
        <v>1968</v>
      </c>
      <c r="T5273" s="148">
        <v>45555</v>
      </c>
      <c r="U5273" s="95">
        <v>13668</v>
      </c>
      <c r="V5273" s="148">
        <v>45571</v>
      </c>
      <c r="W5273" s="80"/>
      <c r="X5273" s="80"/>
      <c r="Y5273" s="22">
        <v>300</v>
      </c>
      <c r="Z5273" s="80" t="s">
        <v>118</v>
      </c>
      <c r="AA5273" s="96" t="s">
        <v>18243</v>
      </c>
      <c r="AB5273" s="80"/>
      <c r="AC5273" s="80" t="s">
        <v>53</v>
      </c>
      <c r="AD5273" s="80" t="s">
        <v>138</v>
      </c>
      <c r="AE5273" s="80"/>
      <c r="AF5273" s="17">
        <v>45614</v>
      </c>
      <c r="AG5273" s="80"/>
      <c r="AH5273" s="80"/>
      <c r="AI5273" s="147"/>
      <c r="AJ5273" s="80"/>
      <c r="AK5273" s="80"/>
      <c r="AL5273" s="35"/>
      <c r="AM5273" s="35"/>
      <c r="AN5273" s="35"/>
      <c r="AO5273" s="35"/>
      <c r="AP5273" s="35"/>
    </row>
    <row r="5274" spans="1:42" x14ac:dyDescent="0.2">
      <c r="A5274" s="126">
        <v>45627.583604791667</v>
      </c>
      <c r="B5274" s="137" t="s">
        <v>37</v>
      </c>
      <c r="C5274" s="41" t="s">
        <v>118</v>
      </c>
      <c r="D5274" s="80" t="s">
        <v>36</v>
      </c>
      <c r="E5274" s="80" t="s">
        <v>148</v>
      </c>
      <c r="F5274" s="80" t="s">
        <v>9896</v>
      </c>
      <c r="G5274" s="80" t="s">
        <v>221</v>
      </c>
      <c r="H5274" s="80" t="s">
        <v>8991</v>
      </c>
      <c r="I5274" s="17">
        <f ca="1">IFERROR(__xludf.DUMMYFUNCTION("""COMPUTED_VALUE"""),45721)</f>
        <v>45721</v>
      </c>
      <c r="J5274" s="143" t="s">
        <v>11359</v>
      </c>
      <c r="K5274" s="80" t="s">
        <v>18259</v>
      </c>
      <c r="L5274" s="30">
        <v>336823332</v>
      </c>
      <c r="M5274" s="80" t="s">
        <v>3288</v>
      </c>
      <c r="N5274" s="80" t="s">
        <v>200</v>
      </c>
      <c r="O5274" s="80" t="s">
        <v>91</v>
      </c>
      <c r="P5274" s="144" t="s">
        <v>18260</v>
      </c>
      <c r="Q5274" s="20">
        <v>7349</v>
      </c>
      <c r="R5274" s="80" t="s">
        <v>36</v>
      </c>
      <c r="S5274" s="95">
        <v>7349</v>
      </c>
      <c r="T5274" s="148">
        <v>45530</v>
      </c>
      <c r="U5274" s="77"/>
      <c r="V5274" s="78"/>
      <c r="W5274" s="80" t="s">
        <v>18261</v>
      </c>
      <c r="X5274" s="80"/>
      <c r="Y5274" s="22">
        <v>0</v>
      </c>
      <c r="Z5274" s="80" t="s">
        <v>118</v>
      </c>
      <c r="AA5274" s="35" t="s">
        <v>18243</v>
      </c>
      <c r="AB5274" s="80"/>
      <c r="AC5274" s="80" t="s">
        <v>53</v>
      </c>
      <c r="AD5274" s="80" t="s">
        <v>54</v>
      </c>
      <c r="AE5274" s="80"/>
      <c r="AF5274" s="17">
        <v>45630</v>
      </c>
      <c r="AG5274" s="80"/>
      <c r="AH5274" s="80"/>
      <c r="AI5274" s="147"/>
      <c r="AJ5274" s="80"/>
      <c r="AK5274" s="80"/>
      <c r="AL5274" s="35"/>
      <c r="AM5274" s="35"/>
      <c r="AN5274" s="35"/>
      <c r="AO5274" s="35"/>
      <c r="AP5274" s="35"/>
    </row>
    <row r="5275" spans="1:42" x14ac:dyDescent="0.2">
      <c r="A5275" s="74">
        <v>45637</v>
      </c>
      <c r="B5275" s="137" t="s">
        <v>37</v>
      </c>
      <c r="C5275" s="41" t="s">
        <v>118</v>
      </c>
      <c r="D5275" s="80" t="s">
        <v>36</v>
      </c>
      <c r="E5275" s="80" t="s">
        <v>139</v>
      </c>
      <c r="F5275" s="80" t="s">
        <v>12444</v>
      </c>
      <c r="G5275" s="80" t="s">
        <v>108</v>
      </c>
      <c r="H5275" s="80" t="s">
        <v>14140</v>
      </c>
      <c r="I5275" s="17">
        <f ca="1">IFERROR(__xludf.DUMMYFUNCTION("""COMPUTED_VALUE"""),45642)</f>
        <v>45642</v>
      </c>
      <c r="J5275" s="143" t="s">
        <v>17529</v>
      </c>
      <c r="K5275" s="80" t="s">
        <v>18262</v>
      </c>
      <c r="L5275" s="30">
        <v>342194772</v>
      </c>
      <c r="M5275" s="80" t="s">
        <v>5518</v>
      </c>
      <c r="N5275" s="80" t="s">
        <v>5252</v>
      </c>
      <c r="O5275" s="80" t="s">
        <v>17531</v>
      </c>
      <c r="P5275" s="144" t="s">
        <v>18263</v>
      </c>
      <c r="Q5275" s="20">
        <v>15936</v>
      </c>
      <c r="R5275" s="80" t="s">
        <v>36</v>
      </c>
      <c r="S5275" s="95">
        <v>2000</v>
      </c>
      <c r="T5275" s="148">
        <v>45581</v>
      </c>
      <c r="U5275" s="95">
        <v>13936</v>
      </c>
      <c r="V5275" s="148">
        <v>45608</v>
      </c>
      <c r="W5275" s="85" t="s">
        <v>17533</v>
      </c>
      <c r="X5275" s="80"/>
      <c r="Y5275" s="22">
        <v>0</v>
      </c>
      <c r="Z5275" s="80" t="s">
        <v>50</v>
      </c>
      <c r="AA5275" s="86" t="s">
        <v>14723</v>
      </c>
      <c r="AB5275" s="80"/>
      <c r="AC5275" s="80" t="s">
        <v>53</v>
      </c>
      <c r="AD5275" s="80" t="s">
        <v>54</v>
      </c>
      <c r="AE5275" s="80" t="s">
        <v>12444</v>
      </c>
      <c r="AF5275" s="17">
        <v>45643</v>
      </c>
      <c r="AG5275" s="80" t="s">
        <v>18264</v>
      </c>
      <c r="AH5275" s="80"/>
      <c r="AI5275" s="147"/>
      <c r="AJ5275" s="80"/>
      <c r="AK5275" s="80"/>
      <c r="AL5275" s="35"/>
      <c r="AM5275" s="35"/>
      <c r="AN5275" s="35"/>
      <c r="AO5275" s="35"/>
      <c r="AP5275" s="35"/>
    </row>
    <row r="5276" spans="1:42" x14ac:dyDescent="0.2">
      <c r="A5276" s="74">
        <v>45637</v>
      </c>
      <c r="B5276" s="137" t="s">
        <v>37</v>
      </c>
      <c r="C5276" s="41" t="s">
        <v>118</v>
      </c>
      <c r="D5276" s="80" t="s">
        <v>36</v>
      </c>
      <c r="E5276" s="80" t="s">
        <v>56</v>
      </c>
      <c r="F5276" s="80" t="s">
        <v>13535</v>
      </c>
      <c r="G5276" s="80" t="s">
        <v>108</v>
      </c>
      <c r="H5276" s="80" t="s">
        <v>16628</v>
      </c>
      <c r="I5276" s="17">
        <f ca="1">IFERROR(__xludf.DUMMYFUNCTION("""COMPUTED_VALUE"""),45758)</f>
        <v>45758</v>
      </c>
      <c r="J5276" s="143" t="s">
        <v>17563</v>
      </c>
      <c r="K5276" s="80" t="s">
        <v>18265</v>
      </c>
      <c r="L5276" s="30">
        <v>945812566</v>
      </c>
      <c r="M5276" s="26" t="s">
        <v>3498</v>
      </c>
      <c r="N5276" s="80" t="s">
        <v>4402</v>
      </c>
      <c r="O5276" s="80" t="s">
        <v>4503</v>
      </c>
      <c r="P5276" s="144" t="s">
        <v>18266</v>
      </c>
      <c r="Q5276" s="20">
        <v>9317</v>
      </c>
      <c r="R5276" s="80" t="s">
        <v>36</v>
      </c>
      <c r="S5276" s="95">
        <f>200+1800</f>
        <v>2000</v>
      </c>
      <c r="T5276" s="83" t="s">
        <v>17565</v>
      </c>
      <c r="U5276" s="95">
        <v>7317</v>
      </c>
      <c r="V5276" s="148">
        <v>45609</v>
      </c>
      <c r="W5276" s="85" t="s">
        <v>17566</v>
      </c>
      <c r="X5276" s="80"/>
      <c r="Y5276" s="22">
        <v>0</v>
      </c>
      <c r="Z5276" s="80" t="s">
        <v>50</v>
      </c>
      <c r="AA5276" s="86" t="s">
        <v>14723</v>
      </c>
      <c r="AB5276" s="80"/>
      <c r="AC5276" s="80" t="s">
        <v>53</v>
      </c>
      <c r="AD5276" s="80" t="s">
        <v>138</v>
      </c>
      <c r="AE5276" s="80" t="s">
        <v>13535</v>
      </c>
      <c r="AF5276" s="17">
        <v>45637</v>
      </c>
      <c r="AG5276" s="80"/>
      <c r="AH5276" s="80"/>
      <c r="AI5276" s="147"/>
      <c r="AJ5276" s="80"/>
      <c r="AK5276" s="80"/>
      <c r="AL5276" s="35"/>
      <c r="AM5276" s="35"/>
      <c r="AN5276" s="35"/>
      <c r="AO5276" s="35"/>
      <c r="AP5276" s="35"/>
    </row>
    <row r="5277" spans="1:42" x14ac:dyDescent="0.2">
      <c r="A5277" s="74">
        <v>45639</v>
      </c>
      <c r="B5277" s="137" t="s">
        <v>37</v>
      </c>
      <c r="C5277" s="41" t="s">
        <v>118</v>
      </c>
      <c r="D5277" s="80" t="s">
        <v>36</v>
      </c>
      <c r="E5277" s="80" t="s">
        <v>56</v>
      </c>
      <c r="F5277" s="80" t="s">
        <v>9763</v>
      </c>
      <c r="G5277" s="80" t="s">
        <v>108</v>
      </c>
      <c r="H5277" s="80" t="s">
        <v>17063</v>
      </c>
      <c r="I5277" s="17">
        <f ca="1">IFERROR(__xludf.DUMMYFUNCTION("""COMPUTED_VALUE"""),45646)</f>
        <v>45646</v>
      </c>
      <c r="J5277" s="143" t="s">
        <v>11205</v>
      </c>
      <c r="K5277" s="145" t="s">
        <v>18267</v>
      </c>
      <c r="L5277" s="30">
        <v>343372006</v>
      </c>
      <c r="M5277" s="80" t="s">
        <v>910</v>
      </c>
      <c r="N5277" s="80" t="s">
        <v>3525</v>
      </c>
      <c r="O5277" s="80" t="s">
        <v>11207</v>
      </c>
      <c r="P5277" s="144" t="s">
        <v>18268</v>
      </c>
      <c r="Q5277" s="20">
        <v>9317</v>
      </c>
      <c r="R5277" s="80" t="s">
        <v>36</v>
      </c>
      <c r="S5277" s="95">
        <f>200+9117</f>
        <v>9317</v>
      </c>
      <c r="T5277" s="83" t="s">
        <v>11209</v>
      </c>
      <c r="U5277" s="95"/>
      <c r="V5277" s="148"/>
      <c r="W5277" s="80" t="s">
        <v>11210</v>
      </c>
      <c r="X5277" s="80">
        <v>0</v>
      </c>
      <c r="Y5277" s="22">
        <v>0</v>
      </c>
      <c r="Z5277" s="80" t="s">
        <v>50</v>
      </c>
      <c r="AA5277" s="96" t="s">
        <v>10314</v>
      </c>
      <c r="AB5277" s="80"/>
      <c r="AC5277" s="80" t="s">
        <v>53</v>
      </c>
      <c r="AD5277" s="80" t="s">
        <v>54</v>
      </c>
      <c r="AE5277" s="80" t="s">
        <v>9763</v>
      </c>
      <c r="AF5277" s="17">
        <v>45639</v>
      </c>
      <c r="AG5277" s="80"/>
      <c r="AH5277" s="80"/>
      <c r="AI5277" s="147"/>
      <c r="AJ5277" s="80"/>
      <c r="AK5277" s="80"/>
      <c r="AL5277" s="35"/>
      <c r="AM5277" s="35"/>
      <c r="AN5277" s="35"/>
      <c r="AO5277" s="35"/>
      <c r="AP5277" s="35"/>
    </row>
    <row r="5278" spans="1:42" x14ac:dyDescent="0.2">
      <c r="A5278" s="74">
        <v>45639</v>
      </c>
      <c r="B5278" s="137" t="s">
        <v>37</v>
      </c>
      <c r="C5278" s="41" t="s">
        <v>118</v>
      </c>
      <c r="D5278" s="26" t="s">
        <v>36</v>
      </c>
      <c r="E5278" s="26" t="s">
        <v>139</v>
      </c>
      <c r="F5278" s="26" t="s">
        <v>7519</v>
      </c>
      <c r="G5278" s="26" t="s">
        <v>221</v>
      </c>
      <c r="H5278" s="26" t="s">
        <v>7481</v>
      </c>
      <c r="I5278" s="17">
        <f ca="1">IFERROR(__xludf.DUMMYFUNCTION("""COMPUTED_VALUE"""),45646)</f>
        <v>45646</v>
      </c>
      <c r="J5278" s="44" t="s">
        <v>9986</v>
      </c>
      <c r="K5278" s="26" t="s">
        <v>18269</v>
      </c>
      <c r="L5278" s="30">
        <v>981753328</v>
      </c>
      <c r="M5278" s="26" t="s">
        <v>80</v>
      </c>
      <c r="N5278" s="26" t="s">
        <v>1073</v>
      </c>
      <c r="O5278" s="26" t="s">
        <v>9129</v>
      </c>
      <c r="P5278" s="42" t="s">
        <v>18270</v>
      </c>
      <c r="Q5278" s="20"/>
      <c r="R5278" s="26" t="s">
        <v>36</v>
      </c>
      <c r="S5278" s="95">
        <v>2000</v>
      </c>
      <c r="T5278" s="148">
        <v>45473</v>
      </c>
      <c r="U5278" s="95">
        <v>13936</v>
      </c>
      <c r="V5278" s="148">
        <v>45499</v>
      </c>
      <c r="W5278" s="33" t="s">
        <v>9131</v>
      </c>
      <c r="X5278" s="26"/>
      <c r="Y5278" s="22"/>
      <c r="Z5278" s="98" t="s">
        <v>118</v>
      </c>
      <c r="AA5278" s="70" t="s">
        <v>9070</v>
      </c>
      <c r="AB5278" s="26"/>
      <c r="AC5278" s="26" t="s">
        <v>53</v>
      </c>
      <c r="AD5278" s="26" t="s">
        <v>54</v>
      </c>
      <c r="AE5278" s="26" t="s">
        <v>7519</v>
      </c>
      <c r="AF5278" s="17">
        <v>45639</v>
      </c>
      <c r="AG5278" s="26"/>
      <c r="AH5278" s="26"/>
      <c r="AI5278" s="40"/>
      <c r="AJ5278" s="26"/>
      <c r="AK5278" s="26"/>
      <c r="AL5278" s="35"/>
      <c r="AM5278" s="35"/>
      <c r="AN5278" s="35"/>
      <c r="AO5278" s="35"/>
      <c r="AP5278" s="35"/>
    </row>
    <row r="5279" spans="1:42" x14ac:dyDescent="0.2">
      <c r="A5279" s="74">
        <v>45639</v>
      </c>
      <c r="B5279" s="137" t="s">
        <v>37</v>
      </c>
      <c r="C5279" s="41" t="s">
        <v>118</v>
      </c>
      <c r="D5279" s="80" t="s">
        <v>36</v>
      </c>
      <c r="E5279" s="80" t="s">
        <v>148</v>
      </c>
      <c r="F5279" s="80" t="s">
        <v>6083</v>
      </c>
      <c r="G5279" s="142" t="s">
        <v>221</v>
      </c>
      <c r="H5279" s="80" t="s">
        <v>18271</v>
      </c>
      <c r="I5279" s="17">
        <f ca="1">IFERROR(__xludf.DUMMYFUNCTION("""COMPUTED_VALUE"""),45806)</f>
        <v>45806</v>
      </c>
      <c r="J5279" s="143" t="s">
        <v>4655</v>
      </c>
      <c r="K5279" s="26" t="s">
        <v>4656</v>
      </c>
      <c r="L5279" s="30">
        <v>941356180</v>
      </c>
      <c r="M5279" s="80" t="s">
        <v>80</v>
      </c>
      <c r="N5279" s="80" t="s">
        <v>299</v>
      </c>
      <c r="O5279" s="80" t="s">
        <v>1492</v>
      </c>
      <c r="P5279" s="80" t="s">
        <v>4657</v>
      </c>
      <c r="Q5279" s="20">
        <v>7349</v>
      </c>
      <c r="R5279" s="80" t="s">
        <v>36</v>
      </c>
      <c r="S5279" s="77">
        <v>2000</v>
      </c>
      <c r="T5279" s="78">
        <v>44908</v>
      </c>
      <c r="U5279" s="77">
        <v>14779</v>
      </c>
      <c r="V5279" s="78">
        <v>44990</v>
      </c>
      <c r="W5279" s="80" t="s">
        <v>3665</v>
      </c>
      <c r="X5279" s="80"/>
      <c r="Y5279" s="22">
        <v>-9430</v>
      </c>
      <c r="Z5279" s="41" t="s">
        <v>118</v>
      </c>
      <c r="AA5279" s="82" t="s">
        <v>4541</v>
      </c>
      <c r="AB5279" s="80" t="s">
        <v>104</v>
      </c>
      <c r="AC5279" s="80" t="s">
        <v>53</v>
      </c>
      <c r="AD5279" s="86" t="s">
        <v>138</v>
      </c>
      <c r="AE5279" s="80" t="s">
        <v>6083</v>
      </c>
      <c r="AF5279" s="17">
        <v>45806</v>
      </c>
      <c r="AG5279" s="80"/>
      <c r="AH5279" s="201" t="s">
        <v>4658</v>
      </c>
      <c r="AI5279" s="147"/>
      <c r="AJ5279" s="80"/>
      <c r="AK5279" s="80"/>
      <c r="AL5279" s="86"/>
      <c r="AM5279" s="86"/>
      <c r="AN5279" s="86"/>
      <c r="AO5279" s="86"/>
      <c r="AP5279" s="86"/>
    </row>
    <row r="5280" spans="1:42" x14ac:dyDescent="0.2">
      <c r="A5280" s="74">
        <v>45639</v>
      </c>
      <c r="B5280" s="137" t="s">
        <v>37</v>
      </c>
      <c r="C5280" s="41" t="s">
        <v>118</v>
      </c>
      <c r="D5280" s="80" t="s">
        <v>36</v>
      </c>
      <c r="E5280" s="80" t="s">
        <v>139</v>
      </c>
      <c r="F5280" s="80" t="s">
        <v>15796</v>
      </c>
      <c r="G5280" s="80" t="s">
        <v>108</v>
      </c>
      <c r="H5280" s="80" t="s">
        <v>13902</v>
      </c>
      <c r="I5280" s="17">
        <f ca="1">IFERROR(__xludf.DUMMYFUNCTION("""COMPUTED_VALUE"""),45643)</f>
        <v>45643</v>
      </c>
      <c r="J5280" s="143" t="s">
        <v>17389</v>
      </c>
      <c r="K5280" s="80" t="s">
        <v>18272</v>
      </c>
      <c r="L5280" s="30">
        <v>346769564</v>
      </c>
      <c r="M5280" s="80" t="s">
        <v>15996</v>
      </c>
      <c r="N5280" s="80" t="s">
        <v>186</v>
      </c>
      <c r="O5280" s="80" t="s">
        <v>4503</v>
      </c>
      <c r="P5280" s="80" t="s">
        <v>5794</v>
      </c>
      <c r="Q5280" s="20">
        <v>15936</v>
      </c>
      <c r="R5280" s="80" t="s">
        <v>70</v>
      </c>
      <c r="S5280" s="95">
        <f t="shared" ref="S5280:S5281" si="129">200+2800</f>
        <v>3000</v>
      </c>
      <c r="T5280" s="83" t="s">
        <v>17391</v>
      </c>
      <c r="U5280" s="95">
        <v>12836</v>
      </c>
      <c r="V5280" s="148">
        <v>45607</v>
      </c>
      <c r="W5280" s="85" t="s">
        <v>17392</v>
      </c>
      <c r="X5280" s="80"/>
      <c r="Y5280" s="22">
        <v>100</v>
      </c>
      <c r="Z5280" s="80" t="s">
        <v>50</v>
      </c>
      <c r="AA5280" s="86" t="s">
        <v>14723</v>
      </c>
      <c r="AB5280" s="80"/>
      <c r="AC5280" s="80" t="s">
        <v>53</v>
      </c>
      <c r="AD5280" s="80" t="s">
        <v>138</v>
      </c>
      <c r="AE5280" s="80" t="s">
        <v>15796</v>
      </c>
      <c r="AF5280" s="43">
        <v>45643</v>
      </c>
      <c r="AG5280" s="80" t="s">
        <v>16677</v>
      </c>
      <c r="AH5280" s="80"/>
      <c r="AI5280" s="147"/>
      <c r="AJ5280" s="80"/>
      <c r="AK5280" s="80"/>
      <c r="AL5280" s="35"/>
      <c r="AM5280" s="35"/>
      <c r="AN5280" s="35"/>
      <c r="AO5280" s="35"/>
      <c r="AP5280" s="35"/>
    </row>
    <row r="5281" spans="1:42" x14ac:dyDescent="0.2">
      <c r="A5281" s="74">
        <v>45639</v>
      </c>
      <c r="B5281" s="137" t="s">
        <v>37</v>
      </c>
      <c r="C5281" s="41" t="s">
        <v>118</v>
      </c>
      <c r="D5281" s="80" t="s">
        <v>36</v>
      </c>
      <c r="E5281" s="80" t="s">
        <v>139</v>
      </c>
      <c r="F5281" s="80" t="s">
        <v>15796</v>
      </c>
      <c r="G5281" s="80" t="s">
        <v>108</v>
      </c>
      <c r="H5281" s="80" t="s">
        <v>13902</v>
      </c>
      <c r="I5281" s="17">
        <f ca="1">IFERROR(__xludf.DUMMYFUNCTION("""COMPUTED_VALUE"""),45643)</f>
        <v>45643</v>
      </c>
      <c r="J5281" s="143" t="s">
        <v>17393</v>
      </c>
      <c r="K5281" s="80" t="s">
        <v>18273</v>
      </c>
      <c r="L5281" s="30">
        <v>906108476</v>
      </c>
      <c r="M5281" s="80" t="s">
        <v>15996</v>
      </c>
      <c r="N5281" s="80" t="s">
        <v>186</v>
      </c>
      <c r="O5281" s="80" t="s">
        <v>4503</v>
      </c>
      <c r="P5281" s="80" t="s">
        <v>3056</v>
      </c>
      <c r="Q5281" s="20">
        <v>15936</v>
      </c>
      <c r="R5281" s="80" t="s">
        <v>70</v>
      </c>
      <c r="S5281" s="95">
        <f t="shared" si="129"/>
        <v>3000</v>
      </c>
      <c r="T5281" s="83" t="s">
        <v>17391</v>
      </c>
      <c r="U5281" s="95">
        <v>12836</v>
      </c>
      <c r="V5281" s="148">
        <v>45610</v>
      </c>
      <c r="W5281" s="85" t="s">
        <v>17395</v>
      </c>
      <c r="X5281" s="80"/>
      <c r="Y5281" s="22">
        <v>100</v>
      </c>
      <c r="Z5281" s="80" t="s">
        <v>50</v>
      </c>
      <c r="AA5281" s="86" t="s">
        <v>14723</v>
      </c>
      <c r="AB5281" s="80"/>
      <c r="AC5281" s="80" t="s">
        <v>53</v>
      </c>
      <c r="AD5281" s="80" t="s">
        <v>138</v>
      </c>
      <c r="AE5281" s="80" t="s">
        <v>15796</v>
      </c>
      <c r="AF5281" s="43">
        <v>45643</v>
      </c>
      <c r="AG5281" s="80" t="s">
        <v>16677</v>
      </c>
      <c r="AH5281" s="80"/>
      <c r="AI5281" s="147"/>
      <c r="AJ5281" s="80"/>
      <c r="AK5281" s="80"/>
      <c r="AL5281" s="35"/>
      <c r="AM5281" s="35"/>
      <c r="AN5281" s="35"/>
      <c r="AO5281" s="35"/>
      <c r="AP5281" s="35"/>
    </row>
    <row r="5282" spans="1:42" x14ac:dyDescent="0.2">
      <c r="A5282" s="74">
        <v>45639</v>
      </c>
      <c r="B5282" s="137" t="s">
        <v>37</v>
      </c>
      <c r="C5282" s="41" t="s">
        <v>118</v>
      </c>
      <c r="D5282" s="80" t="s">
        <v>36</v>
      </c>
      <c r="E5282" s="80" t="s">
        <v>56</v>
      </c>
      <c r="F5282" s="80" t="s">
        <v>15796</v>
      </c>
      <c r="G5282" s="80" t="s">
        <v>108</v>
      </c>
      <c r="H5282" s="80" t="s">
        <v>13902</v>
      </c>
      <c r="I5282" s="17">
        <f ca="1">IFERROR(__xludf.DUMMYFUNCTION("""COMPUTED_VALUE"""),45643)</f>
        <v>45643</v>
      </c>
      <c r="J5282" s="172" t="s">
        <v>18274</v>
      </c>
      <c r="K5282" s="80" t="s">
        <v>17441</v>
      </c>
      <c r="L5282" s="30">
        <v>867744725</v>
      </c>
      <c r="M5282" s="80" t="s">
        <v>59</v>
      </c>
      <c r="N5282" s="80" t="s">
        <v>9294</v>
      </c>
      <c r="O5282" s="80" t="s">
        <v>17442</v>
      </c>
      <c r="P5282" s="80" t="s">
        <v>12687</v>
      </c>
      <c r="Q5282" s="20">
        <v>9317</v>
      </c>
      <c r="R5282" s="80" t="s">
        <v>70</v>
      </c>
      <c r="S5282" s="95">
        <v>2000</v>
      </c>
      <c r="T5282" s="148">
        <v>45574</v>
      </c>
      <c r="U5282" s="95">
        <v>7217</v>
      </c>
      <c r="V5282" s="148">
        <v>45623</v>
      </c>
      <c r="W5282" s="85" t="s">
        <v>17443</v>
      </c>
      <c r="X5282" s="80"/>
      <c r="Y5282" s="22">
        <v>100</v>
      </c>
      <c r="Z5282" s="80" t="s">
        <v>50</v>
      </c>
      <c r="AA5282" s="86" t="s">
        <v>14723</v>
      </c>
      <c r="AB5282" s="80"/>
      <c r="AC5282" s="80" t="s">
        <v>53</v>
      </c>
      <c r="AD5282" s="80" t="s">
        <v>138</v>
      </c>
      <c r="AE5282" s="80" t="s">
        <v>15796</v>
      </c>
      <c r="AF5282" s="43">
        <v>45643</v>
      </c>
      <c r="AG5282" s="80" t="s">
        <v>16677</v>
      </c>
      <c r="AH5282" s="80"/>
      <c r="AI5282" s="147"/>
      <c r="AJ5282" s="80"/>
      <c r="AK5282" s="80"/>
      <c r="AL5282" s="35"/>
      <c r="AM5282" s="35"/>
      <c r="AN5282" s="35"/>
      <c r="AO5282" s="35"/>
      <c r="AP5282" s="35"/>
    </row>
    <row r="5283" spans="1:42" x14ac:dyDescent="0.2">
      <c r="A5283" s="74">
        <v>45639</v>
      </c>
      <c r="B5283" s="137" t="s">
        <v>37</v>
      </c>
      <c r="C5283" s="41" t="s">
        <v>118</v>
      </c>
      <c r="D5283" s="80" t="s">
        <v>36</v>
      </c>
      <c r="E5283" s="80" t="s">
        <v>56</v>
      </c>
      <c r="F5283" s="80" t="s">
        <v>15796</v>
      </c>
      <c r="G5283" s="80" t="s">
        <v>108</v>
      </c>
      <c r="H5283" s="80" t="s">
        <v>13902</v>
      </c>
      <c r="I5283" s="17">
        <f ca="1">IFERROR(__xludf.DUMMYFUNCTION("""COMPUTED_VALUE"""),45643)</f>
        <v>45643</v>
      </c>
      <c r="J5283" s="143" t="s">
        <v>17444</v>
      </c>
      <c r="K5283" s="145" t="s">
        <v>17445</v>
      </c>
      <c r="L5283" s="30">
        <v>968785535</v>
      </c>
      <c r="M5283" s="80" t="s">
        <v>59</v>
      </c>
      <c r="N5283" s="80" t="s">
        <v>9660</v>
      </c>
      <c r="O5283" s="80" t="s">
        <v>17446</v>
      </c>
      <c r="P5283" s="80" t="s">
        <v>7743</v>
      </c>
      <c r="Q5283" s="20">
        <v>9317</v>
      </c>
      <c r="R5283" s="80" t="s">
        <v>70</v>
      </c>
      <c r="S5283" s="95">
        <v>2000</v>
      </c>
      <c r="T5283" s="148">
        <v>45574</v>
      </c>
      <c r="U5283" s="95">
        <v>7217</v>
      </c>
      <c r="V5283" s="148">
        <v>45623</v>
      </c>
      <c r="W5283" s="85" t="s">
        <v>17447</v>
      </c>
      <c r="X5283" s="80"/>
      <c r="Y5283" s="22">
        <v>100</v>
      </c>
      <c r="Z5283" s="80" t="s">
        <v>50</v>
      </c>
      <c r="AA5283" s="82" t="s">
        <v>14723</v>
      </c>
      <c r="AB5283" s="80"/>
      <c r="AC5283" s="80" t="s">
        <v>53</v>
      </c>
      <c r="AD5283" s="80" t="s">
        <v>138</v>
      </c>
      <c r="AE5283" s="80" t="s">
        <v>15796</v>
      </c>
      <c r="AF5283" s="43">
        <v>45643</v>
      </c>
      <c r="AG5283" s="80" t="s">
        <v>16677</v>
      </c>
      <c r="AH5283" s="80"/>
      <c r="AI5283" s="147"/>
      <c r="AJ5283" s="80"/>
      <c r="AK5283" s="80"/>
      <c r="AL5283" s="35"/>
      <c r="AM5283" s="35"/>
      <c r="AN5283" s="35"/>
      <c r="AO5283" s="35"/>
      <c r="AP5283" s="35"/>
    </row>
    <row r="5284" spans="1:42" x14ac:dyDescent="0.2">
      <c r="A5284" s="74">
        <v>45639</v>
      </c>
      <c r="B5284" s="137" t="s">
        <v>37</v>
      </c>
      <c r="C5284" s="41" t="s">
        <v>118</v>
      </c>
      <c r="D5284" s="80" t="s">
        <v>36</v>
      </c>
      <c r="E5284" s="80" t="s">
        <v>56</v>
      </c>
      <c r="F5284" s="80" t="s">
        <v>15796</v>
      </c>
      <c r="G5284" s="80" t="s">
        <v>108</v>
      </c>
      <c r="H5284" s="80" t="s">
        <v>13902</v>
      </c>
      <c r="I5284" s="17">
        <f ca="1">IFERROR(__xludf.DUMMYFUNCTION("""COMPUTED_VALUE"""),45643)</f>
        <v>45643</v>
      </c>
      <c r="J5284" s="143" t="s">
        <v>17486</v>
      </c>
      <c r="K5284" s="145" t="s">
        <v>17487</v>
      </c>
      <c r="L5284" s="30">
        <v>347022063</v>
      </c>
      <c r="M5284" s="80" t="s">
        <v>59</v>
      </c>
      <c r="N5284" s="80" t="s">
        <v>17488</v>
      </c>
      <c r="O5284" s="80" t="s">
        <v>17489</v>
      </c>
      <c r="P5284" s="80" t="s">
        <v>12692</v>
      </c>
      <c r="Q5284" s="20">
        <v>9317</v>
      </c>
      <c r="R5284" s="80" t="s">
        <v>36</v>
      </c>
      <c r="S5284" s="95">
        <v>2000</v>
      </c>
      <c r="T5284" s="148">
        <v>45579</v>
      </c>
      <c r="U5284" s="95">
        <v>7317</v>
      </c>
      <c r="V5284" s="148">
        <v>45613</v>
      </c>
      <c r="W5284" s="85" t="s">
        <v>17490</v>
      </c>
      <c r="X5284" s="80"/>
      <c r="Y5284" s="22">
        <v>0</v>
      </c>
      <c r="Z5284" s="80" t="s">
        <v>50</v>
      </c>
      <c r="AA5284" s="86" t="s">
        <v>14723</v>
      </c>
      <c r="AB5284" s="80"/>
      <c r="AC5284" s="80" t="s">
        <v>53</v>
      </c>
      <c r="AD5284" s="80" t="s">
        <v>138</v>
      </c>
      <c r="AE5284" s="80" t="s">
        <v>15796</v>
      </c>
      <c r="AF5284" s="43">
        <v>45643</v>
      </c>
      <c r="AG5284" s="80" t="s">
        <v>16677</v>
      </c>
      <c r="AH5284" s="80"/>
      <c r="AI5284" s="147"/>
      <c r="AJ5284" s="80"/>
      <c r="AK5284" s="80"/>
      <c r="AL5284" s="35"/>
      <c r="AM5284" s="35"/>
      <c r="AN5284" s="35"/>
      <c r="AO5284" s="35"/>
      <c r="AP5284" s="35"/>
    </row>
    <row r="5285" spans="1:42" x14ac:dyDescent="0.2">
      <c r="A5285" s="74">
        <v>45639</v>
      </c>
      <c r="B5285" s="137" t="s">
        <v>37</v>
      </c>
      <c r="C5285" s="41" t="s">
        <v>118</v>
      </c>
      <c r="D5285" s="80" t="s">
        <v>36</v>
      </c>
      <c r="E5285" s="80" t="s">
        <v>139</v>
      </c>
      <c r="F5285" s="80" t="s">
        <v>15796</v>
      </c>
      <c r="G5285" s="80" t="s">
        <v>108</v>
      </c>
      <c r="H5285" s="80" t="s">
        <v>13902</v>
      </c>
      <c r="I5285" s="17">
        <f ca="1">IFERROR(__xludf.DUMMYFUNCTION("""COMPUTED_VALUE"""),45643)</f>
        <v>45643</v>
      </c>
      <c r="J5285" s="143" t="s">
        <v>17540</v>
      </c>
      <c r="K5285" s="80" t="s">
        <v>17541</v>
      </c>
      <c r="L5285" s="30">
        <v>826625228</v>
      </c>
      <c r="M5285" s="80" t="s">
        <v>3728</v>
      </c>
      <c r="N5285" s="80" t="s">
        <v>5312</v>
      </c>
      <c r="O5285" s="80" t="s">
        <v>17542</v>
      </c>
      <c r="P5285" s="80" t="s">
        <v>11644</v>
      </c>
      <c r="Q5285" s="20">
        <v>15936</v>
      </c>
      <c r="R5285" s="80" t="s">
        <v>36</v>
      </c>
      <c r="S5285" s="95">
        <f>200+1800</f>
        <v>2000</v>
      </c>
      <c r="T5285" s="83" t="s">
        <v>17543</v>
      </c>
      <c r="U5285" s="95">
        <v>13936</v>
      </c>
      <c r="V5285" s="148">
        <v>45618</v>
      </c>
      <c r="W5285" s="85" t="s">
        <v>17544</v>
      </c>
      <c r="X5285" s="80"/>
      <c r="Y5285" s="22">
        <v>0</v>
      </c>
      <c r="Z5285" s="80" t="s">
        <v>50</v>
      </c>
      <c r="AA5285" s="82" t="s">
        <v>14723</v>
      </c>
      <c r="AB5285" s="80"/>
      <c r="AC5285" s="80" t="s">
        <v>53</v>
      </c>
      <c r="AD5285" s="80" t="s">
        <v>138</v>
      </c>
      <c r="AE5285" s="80" t="s">
        <v>15796</v>
      </c>
      <c r="AF5285" s="43">
        <v>45643</v>
      </c>
      <c r="AG5285" s="80" t="s">
        <v>16677</v>
      </c>
      <c r="AH5285" s="80"/>
      <c r="AI5285" s="147"/>
      <c r="AJ5285" s="80"/>
      <c r="AK5285" s="80"/>
      <c r="AL5285" s="35"/>
      <c r="AM5285" s="35"/>
      <c r="AN5285" s="35"/>
      <c r="AO5285" s="35"/>
      <c r="AP5285" s="35"/>
    </row>
    <row r="5286" spans="1:42" x14ac:dyDescent="0.2">
      <c r="A5286" s="74">
        <v>45639</v>
      </c>
      <c r="B5286" s="137" t="s">
        <v>37</v>
      </c>
      <c r="C5286" s="41" t="s">
        <v>118</v>
      </c>
      <c r="D5286" s="80" t="s">
        <v>36</v>
      </c>
      <c r="E5286" s="80" t="s">
        <v>139</v>
      </c>
      <c r="F5286" s="80" t="s">
        <v>15796</v>
      </c>
      <c r="G5286" s="80" t="s">
        <v>108</v>
      </c>
      <c r="H5286" s="80" t="s">
        <v>13902</v>
      </c>
      <c r="I5286" s="17">
        <f ca="1">IFERROR(__xludf.DUMMYFUNCTION("""COMPUTED_VALUE"""),45643)</f>
        <v>45643</v>
      </c>
      <c r="J5286" s="143" t="s">
        <v>17571</v>
      </c>
      <c r="K5286" s="80" t="s">
        <v>17572</v>
      </c>
      <c r="L5286" s="30">
        <v>963355869</v>
      </c>
      <c r="M5286" s="80" t="s">
        <v>5558</v>
      </c>
      <c r="N5286" s="80" t="s">
        <v>5559</v>
      </c>
      <c r="O5286" s="80" t="s">
        <v>4503</v>
      </c>
      <c r="P5286" s="80" t="s">
        <v>17573</v>
      </c>
      <c r="Q5286" s="20">
        <v>15936</v>
      </c>
      <c r="R5286" s="80" t="s">
        <v>36</v>
      </c>
      <c r="S5286" s="95">
        <v>4000</v>
      </c>
      <c r="T5286" s="148">
        <v>45584</v>
      </c>
      <c r="U5286" s="95">
        <f>9000+2936</f>
        <v>11936</v>
      </c>
      <c r="V5286" s="148">
        <v>45614</v>
      </c>
      <c r="W5286" s="85" t="s">
        <v>17574</v>
      </c>
      <c r="X5286" s="80"/>
      <c r="Y5286" s="22">
        <v>0</v>
      </c>
      <c r="Z5286" s="80" t="s">
        <v>50</v>
      </c>
      <c r="AA5286" s="86" t="s">
        <v>14723</v>
      </c>
      <c r="AB5286" s="80"/>
      <c r="AC5286" s="80" t="s">
        <v>53</v>
      </c>
      <c r="AD5286" s="80" t="s">
        <v>138</v>
      </c>
      <c r="AE5286" s="80" t="s">
        <v>15796</v>
      </c>
      <c r="AF5286" s="43">
        <v>45643</v>
      </c>
      <c r="AG5286" s="80" t="s">
        <v>16677</v>
      </c>
      <c r="AH5286" s="80"/>
      <c r="AI5286" s="147"/>
      <c r="AJ5286" s="80"/>
      <c r="AK5286" s="80"/>
      <c r="AL5286" s="35"/>
      <c r="AM5286" s="35"/>
      <c r="AN5286" s="35"/>
      <c r="AO5286" s="35"/>
      <c r="AP5286" s="35"/>
    </row>
    <row r="5287" spans="1:42" x14ac:dyDescent="0.2">
      <c r="A5287" s="74">
        <v>45639</v>
      </c>
      <c r="B5287" s="137" t="s">
        <v>37</v>
      </c>
      <c r="C5287" s="41" t="s">
        <v>118</v>
      </c>
      <c r="D5287" s="80" t="s">
        <v>36</v>
      </c>
      <c r="E5287" s="80" t="s">
        <v>139</v>
      </c>
      <c r="F5287" s="80" t="s">
        <v>15796</v>
      </c>
      <c r="G5287" s="80" t="s">
        <v>108</v>
      </c>
      <c r="H5287" s="80" t="s">
        <v>13902</v>
      </c>
      <c r="I5287" s="17">
        <f ca="1">IFERROR(__xludf.DUMMYFUNCTION("""COMPUTED_VALUE"""),45643)</f>
        <v>45643</v>
      </c>
      <c r="J5287" s="143" t="s">
        <v>17581</v>
      </c>
      <c r="K5287" s="80" t="s">
        <v>17582</v>
      </c>
      <c r="L5287" s="30">
        <v>969585335</v>
      </c>
      <c r="M5287" s="80" t="s">
        <v>15996</v>
      </c>
      <c r="N5287" s="80" t="s">
        <v>186</v>
      </c>
      <c r="O5287" s="80" t="s">
        <v>4503</v>
      </c>
      <c r="P5287" s="80" t="s">
        <v>3056</v>
      </c>
      <c r="Q5287" s="20">
        <v>15936</v>
      </c>
      <c r="R5287" s="80" t="s">
        <v>36</v>
      </c>
      <c r="S5287" s="95">
        <f t="shared" ref="S5287:S5288" si="130">200+3000</f>
        <v>3200</v>
      </c>
      <c r="T5287" s="83" t="s">
        <v>17583</v>
      </c>
      <c r="U5287" s="77">
        <f>12000+736</f>
        <v>12736</v>
      </c>
      <c r="V5287" s="199">
        <v>45626</v>
      </c>
      <c r="W5287" s="85" t="s">
        <v>17584</v>
      </c>
      <c r="X5287" s="80"/>
      <c r="Y5287" s="22">
        <v>0</v>
      </c>
      <c r="Z5287" s="80" t="s">
        <v>50</v>
      </c>
      <c r="AA5287" s="86" t="s">
        <v>14723</v>
      </c>
      <c r="AB5287" s="80"/>
      <c r="AC5287" s="80" t="s">
        <v>53</v>
      </c>
      <c r="AD5287" s="80" t="s">
        <v>138</v>
      </c>
      <c r="AE5287" s="80" t="s">
        <v>15796</v>
      </c>
      <c r="AF5287" s="43">
        <v>45643</v>
      </c>
      <c r="AG5287" s="80" t="s">
        <v>16677</v>
      </c>
      <c r="AH5287" s="80"/>
      <c r="AI5287" s="147"/>
      <c r="AJ5287" s="80"/>
      <c r="AK5287" s="80"/>
      <c r="AL5287" s="35"/>
      <c r="AM5287" s="35"/>
      <c r="AN5287" s="35"/>
      <c r="AO5287" s="35"/>
      <c r="AP5287" s="35"/>
    </row>
    <row r="5288" spans="1:42" x14ac:dyDescent="0.2">
      <c r="A5288" s="74">
        <v>45639</v>
      </c>
      <c r="B5288" s="137" t="s">
        <v>37</v>
      </c>
      <c r="C5288" s="41" t="s">
        <v>118</v>
      </c>
      <c r="D5288" s="80" t="s">
        <v>36</v>
      </c>
      <c r="E5288" s="80" t="s">
        <v>139</v>
      </c>
      <c r="F5288" s="80" t="s">
        <v>15796</v>
      </c>
      <c r="G5288" s="80" t="s">
        <v>108</v>
      </c>
      <c r="H5288" s="80" t="s">
        <v>13902</v>
      </c>
      <c r="I5288" s="17">
        <f ca="1">IFERROR(__xludf.DUMMYFUNCTION("""COMPUTED_VALUE"""),45643)</f>
        <v>45643</v>
      </c>
      <c r="J5288" s="143" t="s">
        <v>17658</v>
      </c>
      <c r="K5288" s="80" t="s">
        <v>17659</v>
      </c>
      <c r="L5288" s="30">
        <v>965162305</v>
      </c>
      <c r="M5288" s="80" t="s">
        <v>5558</v>
      </c>
      <c r="N5288" s="80" t="s">
        <v>5277</v>
      </c>
      <c r="O5288" s="80" t="s">
        <v>4503</v>
      </c>
      <c r="P5288" s="80" t="s">
        <v>17660</v>
      </c>
      <c r="Q5288" s="20">
        <v>15936</v>
      </c>
      <c r="R5288" s="80" t="s">
        <v>70</v>
      </c>
      <c r="S5288" s="95">
        <f t="shared" si="130"/>
        <v>3200</v>
      </c>
      <c r="T5288" s="83" t="s">
        <v>17661</v>
      </c>
      <c r="U5288" s="95">
        <v>12636</v>
      </c>
      <c r="V5288" s="148">
        <v>45626</v>
      </c>
      <c r="W5288" s="85" t="s">
        <v>17662</v>
      </c>
      <c r="X5288" s="80"/>
      <c r="Y5288" s="22">
        <v>100</v>
      </c>
      <c r="Z5288" s="80" t="s">
        <v>50</v>
      </c>
      <c r="AA5288" s="86" t="s">
        <v>14723</v>
      </c>
      <c r="AB5288" s="80"/>
      <c r="AC5288" s="80" t="s">
        <v>53</v>
      </c>
      <c r="AD5288" s="80" t="s">
        <v>138</v>
      </c>
      <c r="AE5288" s="80" t="s">
        <v>15796</v>
      </c>
      <c r="AF5288" s="43">
        <v>45643</v>
      </c>
      <c r="AG5288" s="80" t="s">
        <v>16677</v>
      </c>
      <c r="AH5288" s="80"/>
      <c r="AI5288" s="147"/>
      <c r="AJ5288" s="80"/>
      <c r="AK5288" s="80"/>
      <c r="AL5288" s="35"/>
      <c r="AM5288" s="35"/>
      <c r="AN5288" s="35"/>
      <c r="AO5288" s="35"/>
      <c r="AP5288" s="35"/>
    </row>
    <row r="5289" spans="1:42" x14ac:dyDescent="0.2">
      <c r="A5289" s="74">
        <v>45639</v>
      </c>
      <c r="B5289" s="137" t="s">
        <v>37</v>
      </c>
      <c r="C5289" s="41" t="s">
        <v>118</v>
      </c>
      <c r="D5289" s="80" t="s">
        <v>36</v>
      </c>
      <c r="E5289" s="80" t="s">
        <v>139</v>
      </c>
      <c r="F5289" s="80" t="s">
        <v>15796</v>
      </c>
      <c r="G5289" s="80" t="s">
        <v>108</v>
      </c>
      <c r="H5289" s="80" t="s">
        <v>13902</v>
      </c>
      <c r="I5289" s="17">
        <f ca="1">IFERROR(__xludf.DUMMYFUNCTION("""COMPUTED_VALUE"""),45643)</f>
        <v>45643</v>
      </c>
      <c r="J5289" s="143" t="s">
        <v>17669</v>
      </c>
      <c r="K5289" s="80" t="s">
        <v>17670</v>
      </c>
      <c r="L5289" s="30">
        <v>815289326</v>
      </c>
      <c r="M5289" s="80" t="s">
        <v>5558</v>
      </c>
      <c r="N5289" s="80" t="s">
        <v>850</v>
      </c>
      <c r="O5289" s="80" t="s">
        <v>4503</v>
      </c>
      <c r="P5289" s="80" t="s">
        <v>3487</v>
      </c>
      <c r="Q5289" s="20">
        <v>15936</v>
      </c>
      <c r="R5289" s="80" t="s">
        <v>36</v>
      </c>
      <c r="S5289" s="95">
        <v>5000</v>
      </c>
      <c r="T5289" s="148">
        <v>45591</v>
      </c>
      <c r="U5289" s="95">
        <v>10936</v>
      </c>
      <c r="V5289" s="148">
        <v>45610</v>
      </c>
      <c r="W5289" s="85" t="s">
        <v>17671</v>
      </c>
      <c r="X5289" s="80"/>
      <c r="Y5289" s="22">
        <v>0</v>
      </c>
      <c r="Z5289" s="80" t="s">
        <v>50</v>
      </c>
      <c r="AA5289" s="86" t="s">
        <v>14723</v>
      </c>
      <c r="AB5289" s="80"/>
      <c r="AC5289" s="80" t="s">
        <v>53</v>
      </c>
      <c r="AD5289" s="80" t="s">
        <v>138</v>
      </c>
      <c r="AE5289" s="80" t="s">
        <v>15796</v>
      </c>
      <c r="AF5289" s="43">
        <v>45643</v>
      </c>
      <c r="AG5289" s="80" t="s">
        <v>16677</v>
      </c>
      <c r="AH5289" s="80"/>
      <c r="AI5289" s="147"/>
      <c r="AJ5289" s="80"/>
      <c r="AK5289" s="80"/>
      <c r="AL5289" s="35"/>
      <c r="AM5289" s="35"/>
      <c r="AN5289" s="35"/>
      <c r="AO5289" s="35"/>
      <c r="AP5289" s="35"/>
    </row>
    <row r="5290" spans="1:42" x14ac:dyDescent="0.2">
      <c r="A5290" s="74">
        <v>45639</v>
      </c>
      <c r="B5290" s="137" t="s">
        <v>37</v>
      </c>
      <c r="C5290" s="41" t="s">
        <v>118</v>
      </c>
      <c r="D5290" s="80" t="s">
        <v>36</v>
      </c>
      <c r="E5290" s="80" t="s">
        <v>39</v>
      </c>
      <c r="F5290" s="80" t="s">
        <v>15796</v>
      </c>
      <c r="G5290" s="80" t="s">
        <v>108</v>
      </c>
      <c r="H5290" s="80" t="s">
        <v>13902</v>
      </c>
      <c r="I5290" s="17">
        <f ca="1">IFERROR(__xludf.DUMMYFUNCTION("""COMPUTED_VALUE"""),45643)</f>
        <v>45643</v>
      </c>
      <c r="J5290" s="143" t="s">
        <v>15797</v>
      </c>
      <c r="K5290" s="80" t="s">
        <v>15798</v>
      </c>
      <c r="L5290" s="30">
        <v>356121509</v>
      </c>
      <c r="M5290" s="80" t="s">
        <v>59</v>
      </c>
      <c r="N5290" s="80" t="s">
        <v>8342</v>
      </c>
      <c r="O5290" s="80" t="s">
        <v>15799</v>
      </c>
      <c r="P5290" s="80" t="s">
        <v>15800</v>
      </c>
      <c r="Q5290" s="20">
        <v>5736</v>
      </c>
      <c r="R5290" s="80" t="s">
        <v>36</v>
      </c>
      <c r="S5290" s="95">
        <f>200+5536</f>
        <v>5736</v>
      </c>
      <c r="T5290" s="83" t="s">
        <v>15771</v>
      </c>
      <c r="U5290" s="77"/>
      <c r="V5290" s="78"/>
      <c r="W5290" s="85" t="s">
        <v>15801</v>
      </c>
      <c r="X5290" s="80"/>
      <c r="Y5290" s="22">
        <v>0</v>
      </c>
      <c r="Z5290" s="80" t="s">
        <v>50</v>
      </c>
      <c r="AA5290" s="35" t="s">
        <v>9905</v>
      </c>
      <c r="AB5290" s="80"/>
      <c r="AC5290" s="80" t="s">
        <v>53</v>
      </c>
      <c r="AD5290" s="80" t="s">
        <v>54</v>
      </c>
      <c r="AE5290" s="80" t="s">
        <v>15796</v>
      </c>
      <c r="AF5290" s="43">
        <v>45643</v>
      </c>
      <c r="AG5290" s="80" t="s">
        <v>16677</v>
      </c>
      <c r="AH5290" s="80"/>
      <c r="AI5290" s="147"/>
      <c r="AJ5290" s="80"/>
      <c r="AK5290" s="80"/>
      <c r="AL5290" s="35"/>
      <c r="AM5290" s="35"/>
      <c r="AN5290" s="35"/>
      <c r="AO5290" s="35"/>
      <c r="AP5290" s="35"/>
    </row>
    <row r="5291" spans="1:42" x14ac:dyDescent="0.2">
      <c r="A5291" s="74">
        <v>45639</v>
      </c>
      <c r="B5291" s="137" t="s">
        <v>37</v>
      </c>
      <c r="C5291" s="41" t="s">
        <v>118</v>
      </c>
      <c r="D5291" s="80" t="s">
        <v>36</v>
      </c>
      <c r="E5291" s="80" t="s">
        <v>56</v>
      </c>
      <c r="F5291" s="80" t="s">
        <v>15855</v>
      </c>
      <c r="G5291" s="80" t="s">
        <v>108</v>
      </c>
      <c r="H5291" s="80" t="s">
        <v>18275</v>
      </c>
      <c r="I5291" s="17">
        <f ca="1">IFERROR(__xludf.DUMMYFUNCTION("""COMPUTED_VALUE"""),45667)</f>
        <v>45667</v>
      </c>
      <c r="J5291" s="143" t="s">
        <v>15928</v>
      </c>
      <c r="K5291" s="80" t="s">
        <v>18276</v>
      </c>
      <c r="L5291" s="30">
        <v>353706996</v>
      </c>
      <c r="M5291" s="80" t="s">
        <v>9422</v>
      </c>
      <c r="N5291" s="80" t="s">
        <v>15930</v>
      </c>
      <c r="O5291" s="80" t="s">
        <v>2144</v>
      </c>
      <c r="P5291" s="144" t="s">
        <v>18277</v>
      </c>
      <c r="Q5291" s="20">
        <v>9317</v>
      </c>
      <c r="R5291" s="80" t="s">
        <v>36</v>
      </c>
      <c r="S5291" s="95">
        <v>2000</v>
      </c>
      <c r="T5291" s="148">
        <v>45566</v>
      </c>
      <c r="U5291" s="95">
        <f>3768+3549</f>
        <v>7317</v>
      </c>
      <c r="V5291" s="83" t="s">
        <v>15932</v>
      </c>
      <c r="W5291" s="85" t="s">
        <v>15933</v>
      </c>
      <c r="X5291" s="80"/>
      <c r="Y5291" s="22">
        <v>0</v>
      </c>
      <c r="Z5291" s="80" t="s">
        <v>50</v>
      </c>
      <c r="AA5291" s="96" t="s">
        <v>9905</v>
      </c>
      <c r="AB5291" s="80"/>
      <c r="AC5291" s="80" t="s">
        <v>53</v>
      </c>
      <c r="AD5291" s="80" t="s">
        <v>54</v>
      </c>
      <c r="AE5291" s="80" t="s">
        <v>15855</v>
      </c>
      <c r="AF5291" s="17">
        <v>45639</v>
      </c>
      <c r="AG5291" s="80"/>
      <c r="AH5291" s="80"/>
      <c r="AI5291" s="147"/>
      <c r="AJ5291" s="80"/>
      <c r="AK5291" s="80"/>
      <c r="AL5291" s="35"/>
      <c r="AM5291" s="35"/>
      <c r="AN5291" s="35"/>
      <c r="AO5291" s="35"/>
      <c r="AP5291" s="35"/>
    </row>
    <row r="5292" spans="1:42" x14ac:dyDescent="0.2">
      <c r="A5292" s="74">
        <v>45639</v>
      </c>
      <c r="B5292" s="137" t="s">
        <v>37</v>
      </c>
      <c r="C5292" s="41" t="s">
        <v>118</v>
      </c>
      <c r="D5292" s="26" t="s">
        <v>36</v>
      </c>
      <c r="E5292" s="26" t="s">
        <v>915</v>
      </c>
      <c r="F5292" s="26" t="s">
        <v>8917</v>
      </c>
      <c r="G5292" s="26" t="s">
        <v>1705</v>
      </c>
      <c r="H5292" s="26" t="s">
        <v>16959</v>
      </c>
      <c r="I5292" s="17">
        <f ca="1">IFERROR(__xludf.DUMMYFUNCTION("""COMPUTED_VALUE"""),45643)</f>
        <v>45643</v>
      </c>
      <c r="J5292" s="29" t="s">
        <v>7837</v>
      </c>
      <c r="K5292" s="26" t="s">
        <v>7838</v>
      </c>
      <c r="L5292" s="30">
        <v>843240205</v>
      </c>
      <c r="M5292" s="26" t="s">
        <v>123</v>
      </c>
      <c r="N5292" s="26" t="s">
        <v>2847</v>
      </c>
      <c r="O5292" s="26" t="s">
        <v>4503</v>
      </c>
      <c r="P5292" s="42" t="s">
        <v>18278</v>
      </c>
      <c r="Q5292" s="20">
        <v>10894</v>
      </c>
      <c r="R5292" s="26" t="s">
        <v>36</v>
      </c>
      <c r="S5292" s="31">
        <v>10694</v>
      </c>
      <c r="T5292" s="32">
        <v>45366</v>
      </c>
      <c r="U5292" s="31">
        <v>200</v>
      </c>
      <c r="V5292" s="32">
        <v>45317</v>
      </c>
      <c r="W5292" s="33" t="s">
        <v>7839</v>
      </c>
      <c r="X5292" s="26"/>
      <c r="Y5292" s="22">
        <v>0</v>
      </c>
      <c r="Z5292" s="26" t="s">
        <v>118</v>
      </c>
      <c r="AA5292" s="19" t="s">
        <v>7361</v>
      </c>
      <c r="AB5292" s="26" t="s">
        <v>36</v>
      </c>
      <c r="AC5292" s="26" t="s">
        <v>53</v>
      </c>
      <c r="AD5292" s="19" t="s">
        <v>138</v>
      </c>
      <c r="AE5292" s="26" t="s">
        <v>8917</v>
      </c>
      <c r="AF5292" s="17">
        <v>45639</v>
      </c>
      <c r="AG5292" s="26"/>
      <c r="AH5292" s="26"/>
      <c r="AI5292" s="40"/>
      <c r="AJ5292" s="26"/>
      <c r="AK5292" s="26"/>
      <c r="AL5292" s="35"/>
      <c r="AM5292" s="35"/>
      <c r="AN5292" s="35"/>
      <c r="AO5292" s="35"/>
      <c r="AP5292" s="35"/>
    </row>
    <row r="5293" spans="1:42" x14ac:dyDescent="0.2">
      <c r="A5293" s="74">
        <v>45642</v>
      </c>
      <c r="B5293" s="28" t="s">
        <v>37</v>
      </c>
      <c r="C5293" s="41" t="s">
        <v>118</v>
      </c>
      <c r="D5293" s="26" t="s">
        <v>36</v>
      </c>
      <c r="E5293" s="26" t="s">
        <v>139</v>
      </c>
      <c r="F5293" s="26" t="s">
        <v>9865</v>
      </c>
      <c r="G5293" s="26" t="s">
        <v>221</v>
      </c>
      <c r="H5293" s="26" t="s">
        <v>7481</v>
      </c>
      <c r="I5293" s="17">
        <f ca="1">IFERROR(__xludf.DUMMYFUNCTION("""COMPUTED_VALUE"""),45646)</f>
        <v>45646</v>
      </c>
      <c r="J5293" s="29" t="s">
        <v>9868</v>
      </c>
      <c r="K5293" s="26" t="s">
        <v>9869</v>
      </c>
      <c r="L5293" s="30">
        <v>824436683</v>
      </c>
      <c r="M5293" s="26" t="s">
        <v>80</v>
      </c>
      <c r="N5293" s="26" t="s">
        <v>1073</v>
      </c>
      <c r="O5293" s="26" t="s">
        <v>9870</v>
      </c>
      <c r="P5293" s="42" t="s">
        <v>9871</v>
      </c>
      <c r="Q5293" s="20">
        <v>15936</v>
      </c>
      <c r="R5293" s="26" t="s">
        <v>36</v>
      </c>
      <c r="S5293" s="95">
        <f t="shared" ref="S5293:S5295" si="131">200+1800</f>
        <v>2000</v>
      </c>
      <c r="T5293" s="83" t="s">
        <v>9872</v>
      </c>
      <c r="U5293" s="95">
        <v>13936</v>
      </c>
      <c r="V5293" s="148">
        <v>45516</v>
      </c>
      <c r="W5293" s="33" t="s">
        <v>9873</v>
      </c>
      <c r="X5293" s="26">
        <v>0</v>
      </c>
      <c r="Y5293" s="22">
        <v>0</v>
      </c>
      <c r="Z5293" s="26" t="s">
        <v>118</v>
      </c>
      <c r="AA5293" s="96"/>
      <c r="AB5293" s="80" t="s">
        <v>36</v>
      </c>
      <c r="AC5293" s="26" t="s">
        <v>53</v>
      </c>
      <c r="AD5293" s="26" t="s">
        <v>54</v>
      </c>
      <c r="AE5293" s="26" t="s">
        <v>9865</v>
      </c>
      <c r="AF5293" s="17">
        <v>45642</v>
      </c>
      <c r="AG5293" s="26"/>
      <c r="AH5293" s="26"/>
      <c r="AI5293" s="40"/>
      <c r="AJ5293" s="26"/>
      <c r="AK5293" s="26"/>
      <c r="AL5293" s="35"/>
      <c r="AM5293" s="35"/>
      <c r="AN5293" s="35"/>
      <c r="AO5293" s="35"/>
      <c r="AP5293" s="35"/>
    </row>
    <row r="5294" spans="1:42" x14ac:dyDescent="0.2">
      <c r="A5294" s="74">
        <v>45642</v>
      </c>
      <c r="B5294" s="28" t="s">
        <v>37</v>
      </c>
      <c r="C5294" s="41" t="s">
        <v>118</v>
      </c>
      <c r="D5294" s="26" t="s">
        <v>36</v>
      </c>
      <c r="E5294" s="26" t="s">
        <v>139</v>
      </c>
      <c r="F5294" s="26" t="s">
        <v>9781</v>
      </c>
      <c r="G5294" s="26" t="s">
        <v>221</v>
      </c>
      <c r="H5294" s="26" t="s">
        <v>13682</v>
      </c>
      <c r="I5294" s="17">
        <f ca="1">IFERROR(__xludf.DUMMYFUNCTION("""COMPUTED_VALUE"""),45653)</f>
        <v>45653</v>
      </c>
      <c r="J5294" s="29" t="s">
        <v>9791</v>
      </c>
      <c r="K5294" s="19" t="s">
        <v>9792</v>
      </c>
      <c r="L5294" s="47">
        <v>973826403</v>
      </c>
      <c r="M5294" s="19" t="s">
        <v>3728</v>
      </c>
      <c r="N5294" s="19" t="s">
        <v>8725</v>
      </c>
      <c r="O5294" s="26" t="s">
        <v>9793</v>
      </c>
      <c r="P5294" s="42" t="s">
        <v>18279</v>
      </c>
      <c r="Q5294" s="20"/>
      <c r="R5294" s="26" t="s">
        <v>1106</v>
      </c>
      <c r="S5294" s="95">
        <f t="shared" si="131"/>
        <v>2000</v>
      </c>
      <c r="T5294" s="83" t="s">
        <v>9795</v>
      </c>
      <c r="U5294" s="95">
        <v>13936</v>
      </c>
      <c r="V5294" s="148">
        <v>45519</v>
      </c>
      <c r="W5294" s="33" t="s">
        <v>9796</v>
      </c>
      <c r="X5294" s="26">
        <v>150</v>
      </c>
      <c r="Y5294" s="22"/>
      <c r="Z5294" s="26" t="s">
        <v>118</v>
      </c>
      <c r="AA5294" s="35"/>
      <c r="AB5294" s="26" t="s">
        <v>36</v>
      </c>
      <c r="AC5294" s="26" t="s">
        <v>53</v>
      </c>
      <c r="AD5294" s="26" t="s">
        <v>54</v>
      </c>
      <c r="AE5294" s="26" t="s">
        <v>9781</v>
      </c>
      <c r="AF5294" s="17">
        <v>45646</v>
      </c>
      <c r="AG5294" s="26"/>
      <c r="AH5294" s="26"/>
      <c r="AI5294" s="40"/>
      <c r="AJ5294" s="26"/>
      <c r="AK5294" s="26"/>
      <c r="AL5294" s="35"/>
      <c r="AM5294" s="35"/>
      <c r="AN5294" s="35"/>
      <c r="AO5294" s="35"/>
      <c r="AP5294" s="35"/>
    </row>
    <row r="5295" spans="1:42" x14ac:dyDescent="0.2">
      <c r="A5295" s="74">
        <v>45642</v>
      </c>
      <c r="B5295" s="28" t="s">
        <v>37</v>
      </c>
      <c r="C5295" s="41" t="s">
        <v>118</v>
      </c>
      <c r="D5295" s="26" t="s">
        <v>36</v>
      </c>
      <c r="E5295" s="26" t="s">
        <v>139</v>
      </c>
      <c r="F5295" s="26" t="s">
        <v>9781</v>
      </c>
      <c r="G5295" s="26" t="s">
        <v>221</v>
      </c>
      <c r="H5295" s="26" t="s">
        <v>18280</v>
      </c>
      <c r="I5295" s="17">
        <f ca="1">IFERROR(__xludf.DUMMYFUNCTION("""COMPUTED_VALUE"""),45722)</f>
        <v>45722</v>
      </c>
      <c r="J5295" s="29" t="s">
        <v>9805</v>
      </c>
      <c r="K5295" s="19" t="s">
        <v>18281</v>
      </c>
      <c r="L5295" s="47">
        <v>396832902</v>
      </c>
      <c r="M5295" s="19" t="s">
        <v>3728</v>
      </c>
      <c r="N5295" s="19" t="s">
        <v>8725</v>
      </c>
      <c r="O5295" s="26" t="s">
        <v>9807</v>
      </c>
      <c r="P5295" s="42" t="s">
        <v>9808</v>
      </c>
      <c r="Q5295" s="20">
        <v>15936</v>
      </c>
      <c r="R5295" s="26" t="s">
        <v>1106</v>
      </c>
      <c r="S5295" s="95">
        <f t="shared" si="131"/>
        <v>2000</v>
      </c>
      <c r="T5295" s="83" t="s">
        <v>9795</v>
      </c>
      <c r="U5295" s="95">
        <v>13936</v>
      </c>
      <c r="V5295" s="148">
        <v>45513</v>
      </c>
      <c r="W5295" s="33" t="s">
        <v>9809</v>
      </c>
      <c r="X5295" s="26">
        <v>150</v>
      </c>
      <c r="Y5295" s="22">
        <v>-150</v>
      </c>
      <c r="Z5295" s="41" t="s">
        <v>118</v>
      </c>
      <c r="AA5295" s="96"/>
      <c r="AB5295" s="26" t="s">
        <v>36</v>
      </c>
      <c r="AC5295" s="26" t="s">
        <v>53</v>
      </c>
      <c r="AD5295" s="26" t="s">
        <v>54</v>
      </c>
      <c r="AE5295" s="26" t="s">
        <v>9781</v>
      </c>
      <c r="AF5295" s="17">
        <v>45646</v>
      </c>
      <c r="AG5295" s="26"/>
      <c r="AH5295" s="26"/>
      <c r="AI5295" s="40"/>
      <c r="AJ5295" s="26"/>
      <c r="AK5295" s="26"/>
      <c r="AL5295" s="35"/>
      <c r="AM5295" s="35"/>
      <c r="AN5295" s="35"/>
      <c r="AO5295" s="35"/>
      <c r="AP5295" s="35"/>
    </row>
    <row r="5296" spans="1:42" x14ac:dyDescent="0.2">
      <c r="A5296" s="74">
        <v>45642</v>
      </c>
      <c r="B5296" s="28" t="s">
        <v>37</v>
      </c>
      <c r="C5296" s="41" t="s">
        <v>118</v>
      </c>
      <c r="D5296" s="26" t="s">
        <v>36</v>
      </c>
      <c r="E5296" s="26" t="s">
        <v>56</v>
      </c>
      <c r="F5296" s="26" t="s">
        <v>9781</v>
      </c>
      <c r="G5296" s="26" t="s">
        <v>221</v>
      </c>
      <c r="H5296" s="26" t="s">
        <v>13682</v>
      </c>
      <c r="I5296" s="17">
        <f ca="1">IFERROR(__xludf.DUMMYFUNCTION("""COMPUTED_VALUE"""),45653)</f>
        <v>45653</v>
      </c>
      <c r="J5296" s="29" t="s">
        <v>8764</v>
      </c>
      <c r="K5296" s="26" t="s">
        <v>8765</v>
      </c>
      <c r="L5296" s="30">
        <v>942373828</v>
      </c>
      <c r="M5296" s="26" t="s">
        <v>6309</v>
      </c>
      <c r="N5296" s="26" t="s">
        <v>6899</v>
      </c>
      <c r="O5296" s="26" t="s">
        <v>36</v>
      </c>
      <c r="P5296" s="42" t="s">
        <v>18282</v>
      </c>
      <c r="Q5296" s="20">
        <v>9317</v>
      </c>
      <c r="R5296" s="26" t="s">
        <v>36</v>
      </c>
      <c r="S5296" s="31">
        <v>9317</v>
      </c>
      <c r="T5296" s="32">
        <v>45455</v>
      </c>
      <c r="U5296" s="31"/>
      <c r="V5296" s="32"/>
      <c r="W5296" s="33" t="s">
        <v>8767</v>
      </c>
      <c r="X5296" s="26"/>
      <c r="Y5296" s="22">
        <v>0</v>
      </c>
      <c r="Z5296" s="41" t="s">
        <v>118</v>
      </c>
      <c r="AA5296" s="19" t="s">
        <v>8721</v>
      </c>
      <c r="AB5296" s="26" t="s">
        <v>36</v>
      </c>
      <c r="AC5296" s="26" t="s">
        <v>53</v>
      </c>
      <c r="AD5296" s="19" t="s">
        <v>54</v>
      </c>
      <c r="AE5296" s="26" t="s">
        <v>9781</v>
      </c>
      <c r="AF5296" s="17">
        <v>45646</v>
      </c>
      <c r="AG5296" s="26"/>
      <c r="AH5296" s="26"/>
      <c r="AI5296" s="40"/>
      <c r="AJ5296" s="26"/>
      <c r="AK5296" s="26"/>
      <c r="AL5296" s="35"/>
      <c r="AM5296" s="35"/>
      <c r="AN5296" s="35"/>
      <c r="AO5296" s="35"/>
      <c r="AP5296" s="35"/>
    </row>
    <row r="5297" spans="1:42" x14ac:dyDescent="0.2">
      <c r="A5297" s="74">
        <v>45642</v>
      </c>
      <c r="B5297" s="28" t="s">
        <v>37</v>
      </c>
      <c r="C5297" s="41" t="s">
        <v>118</v>
      </c>
      <c r="D5297" s="26" t="s">
        <v>36</v>
      </c>
      <c r="E5297" s="26" t="s">
        <v>139</v>
      </c>
      <c r="F5297" s="26" t="s">
        <v>9781</v>
      </c>
      <c r="G5297" s="26" t="s">
        <v>221</v>
      </c>
      <c r="H5297" s="26" t="s">
        <v>13682</v>
      </c>
      <c r="I5297" s="17">
        <f ca="1">IFERROR(__xludf.DUMMYFUNCTION("""COMPUTED_VALUE"""),45653)</f>
        <v>45653</v>
      </c>
      <c r="J5297" s="29" t="s">
        <v>9090</v>
      </c>
      <c r="K5297" s="19" t="s">
        <v>9782</v>
      </c>
      <c r="L5297" s="47">
        <v>862050606</v>
      </c>
      <c r="M5297" s="19" t="s">
        <v>910</v>
      </c>
      <c r="N5297" s="19" t="s">
        <v>3525</v>
      </c>
      <c r="O5297" s="26" t="s">
        <v>9092</v>
      </c>
      <c r="P5297" s="42" t="s">
        <v>9783</v>
      </c>
      <c r="Q5297" s="20"/>
      <c r="R5297" s="26" t="s">
        <v>36</v>
      </c>
      <c r="S5297" s="95">
        <f>100+2000</f>
        <v>2100</v>
      </c>
      <c r="T5297" s="83" t="s">
        <v>9094</v>
      </c>
      <c r="U5297" s="31">
        <f>10000+3836</f>
        <v>13836</v>
      </c>
      <c r="V5297" s="32">
        <v>45481</v>
      </c>
      <c r="W5297" s="33" t="s">
        <v>9095</v>
      </c>
      <c r="X5297" s="26"/>
      <c r="Y5297" s="22"/>
      <c r="Z5297" s="26" t="s">
        <v>118</v>
      </c>
      <c r="AA5297" s="70" t="s">
        <v>9070</v>
      </c>
      <c r="AB5297" s="26" t="s">
        <v>36</v>
      </c>
      <c r="AC5297" s="26" t="s">
        <v>53</v>
      </c>
      <c r="AD5297" s="26" t="s">
        <v>54</v>
      </c>
      <c r="AE5297" s="26" t="s">
        <v>9781</v>
      </c>
      <c r="AF5297" s="17">
        <v>45646</v>
      </c>
      <c r="AG5297" s="26"/>
      <c r="AH5297" s="26"/>
      <c r="AI5297" s="40"/>
      <c r="AJ5297" s="26"/>
      <c r="AK5297" s="26"/>
      <c r="AL5297" s="35"/>
      <c r="AM5297" s="35"/>
      <c r="AN5297" s="35"/>
      <c r="AO5297" s="35"/>
      <c r="AP5297" s="35"/>
    </row>
    <row r="5298" spans="1:42" x14ac:dyDescent="0.2">
      <c r="A5298" s="74">
        <v>45642</v>
      </c>
      <c r="B5298" s="28" t="s">
        <v>37</v>
      </c>
      <c r="C5298" s="41" t="s">
        <v>118</v>
      </c>
      <c r="D5298" s="80" t="s">
        <v>36</v>
      </c>
      <c r="E5298" s="80" t="s">
        <v>119</v>
      </c>
      <c r="F5298" s="26" t="s">
        <v>9781</v>
      </c>
      <c r="G5298" s="26" t="s">
        <v>221</v>
      </c>
      <c r="H5298" s="26" t="s">
        <v>13682</v>
      </c>
      <c r="I5298" s="17">
        <f ca="1">IFERROR(__xludf.DUMMYFUNCTION("""COMPUTED_VALUE"""),45653)</f>
        <v>45653</v>
      </c>
      <c r="J5298" s="143" t="s">
        <v>11351</v>
      </c>
      <c r="K5298" s="80" t="s">
        <v>18283</v>
      </c>
      <c r="L5298" s="30">
        <v>336960734</v>
      </c>
      <c r="M5298" s="80" t="s">
        <v>3288</v>
      </c>
      <c r="N5298" s="80" t="s">
        <v>200</v>
      </c>
      <c r="O5298" s="80" t="s">
        <v>11353</v>
      </c>
      <c r="P5298" s="144" t="s">
        <v>18284</v>
      </c>
      <c r="Q5298" s="20">
        <v>13968</v>
      </c>
      <c r="R5298" s="80" t="s">
        <v>36</v>
      </c>
      <c r="S5298" s="95">
        <v>13968</v>
      </c>
      <c r="T5298" s="148">
        <v>45515</v>
      </c>
      <c r="U5298" s="77"/>
      <c r="V5298" s="78"/>
      <c r="W5298" s="85" t="s">
        <v>11355</v>
      </c>
      <c r="X5298" s="80">
        <v>0</v>
      </c>
      <c r="Y5298" s="22">
        <v>0</v>
      </c>
      <c r="Z5298" s="80" t="s">
        <v>50</v>
      </c>
      <c r="AA5298" s="35" t="s">
        <v>10314</v>
      </c>
      <c r="AB5298" s="80"/>
      <c r="AC5298" s="80" t="s">
        <v>53</v>
      </c>
      <c r="AD5298" s="80" t="s">
        <v>54</v>
      </c>
      <c r="AE5298" s="26" t="s">
        <v>9781</v>
      </c>
      <c r="AF5298" s="17">
        <v>45649</v>
      </c>
      <c r="AG5298" s="39" t="s">
        <v>18285</v>
      </c>
      <c r="AH5298" s="80"/>
      <c r="AI5298" s="147"/>
      <c r="AJ5298" s="80"/>
      <c r="AK5298" s="80"/>
      <c r="AL5298" s="35"/>
      <c r="AM5298" s="35"/>
      <c r="AN5298" s="35"/>
      <c r="AO5298" s="35"/>
      <c r="AP5298" s="35"/>
    </row>
    <row r="5299" spans="1:42" x14ac:dyDescent="0.2">
      <c r="A5299" s="74">
        <v>45642</v>
      </c>
      <c r="B5299" s="28" t="s">
        <v>37</v>
      </c>
      <c r="C5299" s="41" t="s">
        <v>118</v>
      </c>
      <c r="D5299" s="80" t="s">
        <v>36</v>
      </c>
      <c r="E5299" s="80" t="s">
        <v>915</v>
      </c>
      <c r="F5299" s="80" t="s">
        <v>9031</v>
      </c>
      <c r="G5299" s="80" t="s">
        <v>1847</v>
      </c>
      <c r="H5299" s="80" t="s">
        <v>14438</v>
      </c>
      <c r="I5299" s="17">
        <f ca="1">IFERROR(__xludf.DUMMYFUNCTION("""COMPUTED_VALUE"""),45645)</f>
        <v>45645</v>
      </c>
      <c r="J5299" s="143" t="s">
        <v>11686</v>
      </c>
      <c r="K5299" s="80" t="s">
        <v>18286</v>
      </c>
      <c r="L5299" s="30">
        <v>325938477</v>
      </c>
      <c r="M5299" s="80" t="s">
        <v>910</v>
      </c>
      <c r="N5299" s="80" t="s">
        <v>11688</v>
      </c>
      <c r="O5299" s="80" t="s">
        <v>36</v>
      </c>
      <c r="P5299" s="144" t="s">
        <v>18287</v>
      </c>
      <c r="Q5299" s="20">
        <v>10894</v>
      </c>
      <c r="R5299" s="80" t="s">
        <v>36</v>
      </c>
      <c r="S5299" s="95">
        <v>10894</v>
      </c>
      <c r="T5299" s="148">
        <v>45526</v>
      </c>
      <c r="U5299" s="77"/>
      <c r="V5299" s="78"/>
      <c r="W5299" s="85" t="s">
        <v>11690</v>
      </c>
      <c r="X5299" s="80">
        <v>0</v>
      </c>
      <c r="Y5299" s="22">
        <v>0</v>
      </c>
      <c r="Z5299" s="80" t="s">
        <v>50</v>
      </c>
      <c r="AA5299" s="96" t="s">
        <v>10314</v>
      </c>
      <c r="AB5299" s="80"/>
      <c r="AC5299" s="80" t="s">
        <v>53</v>
      </c>
      <c r="AD5299" s="80" t="s">
        <v>54</v>
      </c>
      <c r="AE5299" s="80" t="s">
        <v>9031</v>
      </c>
      <c r="AF5299" s="17">
        <v>45642</v>
      </c>
      <c r="AG5299" s="80"/>
      <c r="AH5299" s="80"/>
      <c r="AI5299" s="147"/>
      <c r="AJ5299" s="80"/>
      <c r="AK5299" s="80"/>
      <c r="AL5299" s="35"/>
      <c r="AM5299" s="35"/>
      <c r="AN5299" s="35"/>
      <c r="AO5299" s="35"/>
      <c r="AP5299" s="35"/>
    </row>
    <row r="5300" spans="1:42" x14ac:dyDescent="0.2">
      <c r="A5300" s="74">
        <v>45642</v>
      </c>
      <c r="B5300" s="137" t="s">
        <v>37</v>
      </c>
      <c r="C5300" s="41" t="s">
        <v>118</v>
      </c>
      <c r="D5300" s="80" t="s">
        <v>36</v>
      </c>
      <c r="E5300" s="80" t="s">
        <v>139</v>
      </c>
      <c r="F5300" s="80" t="s">
        <v>11758</v>
      </c>
      <c r="G5300" s="80" t="s">
        <v>108</v>
      </c>
      <c r="H5300" s="80" t="s">
        <v>17059</v>
      </c>
      <c r="I5300" s="17">
        <f ca="1">IFERROR(__xludf.DUMMYFUNCTION("""COMPUTED_VALUE"""),45652)</f>
        <v>45652</v>
      </c>
      <c r="J5300" s="143" t="s">
        <v>12715</v>
      </c>
      <c r="K5300" s="80" t="s">
        <v>9733</v>
      </c>
      <c r="L5300" s="30">
        <v>941691662</v>
      </c>
      <c r="M5300" s="80" t="s">
        <v>5558</v>
      </c>
      <c r="N5300" s="80" t="s">
        <v>5559</v>
      </c>
      <c r="O5300" s="80" t="s">
        <v>4503</v>
      </c>
      <c r="P5300" s="144" t="s">
        <v>18288</v>
      </c>
      <c r="Q5300" s="20">
        <v>15936</v>
      </c>
      <c r="R5300" s="80" t="s">
        <v>36</v>
      </c>
      <c r="S5300" s="95">
        <v>1968</v>
      </c>
      <c r="T5300" s="148">
        <v>45539</v>
      </c>
      <c r="U5300" s="95">
        <v>13968</v>
      </c>
      <c r="V5300" s="148">
        <v>45561</v>
      </c>
      <c r="W5300" s="85" t="s">
        <v>12718</v>
      </c>
      <c r="X5300" s="80">
        <v>0</v>
      </c>
      <c r="Y5300" s="22">
        <v>0</v>
      </c>
      <c r="Z5300" s="80" t="s">
        <v>50</v>
      </c>
      <c r="AA5300" s="35" t="s">
        <v>3291</v>
      </c>
      <c r="AB5300" s="80"/>
      <c r="AC5300" s="80" t="s">
        <v>53</v>
      </c>
      <c r="AD5300" s="80" t="s">
        <v>54</v>
      </c>
      <c r="AE5300" s="80" t="s">
        <v>11758</v>
      </c>
      <c r="AF5300" s="43">
        <v>45644</v>
      </c>
      <c r="AG5300" s="80"/>
      <c r="AH5300" s="80"/>
      <c r="AI5300" s="147" t="s">
        <v>147</v>
      </c>
      <c r="AJ5300" s="80"/>
      <c r="AK5300" s="80"/>
      <c r="AL5300" s="35"/>
      <c r="AM5300" s="35"/>
      <c r="AN5300" s="35"/>
      <c r="AO5300" s="35"/>
      <c r="AP5300" s="35"/>
    </row>
    <row r="5301" spans="1:42" x14ac:dyDescent="0.2">
      <c r="A5301" s="74">
        <v>45643</v>
      </c>
      <c r="B5301" s="28" t="s">
        <v>37</v>
      </c>
      <c r="C5301" s="41" t="s">
        <v>118</v>
      </c>
      <c r="D5301" s="80" t="s">
        <v>36</v>
      </c>
      <c r="E5301" s="80" t="s">
        <v>39</v>
      </c>
      <c r="F5301" s="80" t="s">
        <v>12474</v>
      </c>
      <c r="G5301" s="80" t="s">
        <v>108</v>
      </c>
      <c r="H5301" s="80" t="s">
        <v>14234</v>
      </c>
      <c r="I5301" s="17">
        <f ca="1">IFERROR(__xludf.DUMMYFUNCTION("""COMPUTED_VALUE"""),45642)</f>
        <v>45642</v>
      </c>
      <c r="J5301" s="143" t="s">
        <v>12664</v>
      </c>
      <c r="K5301" s="80" t="s">
        <v>12665</v>
      </c>
      <c r="L5301" s="30">
        <v>373832073</v>
      </c>
      <c r="M5301" s="80" t="s">
        <v>348</v>
      </c>
      <c r="N5301" s="80" t="s">
        <v>68</v>
      </c>
      <c r="O5301" s="80" t="s">
        <v>12666</v>
      </c>
      <c r="P5301" s="80" t="s">
        <v>3694</v>
      </c>
      <c r="Q5301" s="20">
        <v>5736</v>
      </c>
      <c r="R5301" s="80" t="s">
        <v>36</v>
      </c>
      <c r="S5301" s="95">
        <v>5736</v>
      </c>
      <c r="T5301" s="148">
        <v>45538</v>
      </c>
      <c r="U5301" s="77"/>
      <c r="V5301" s="78"/>
      <c r="W5301" s="85" t="s">
        <v>12667</v>
      </c>
      <c r="X5301" s="80">
        <v>0</v>
      </c>
      <c r="Y5301" s="22">
        <v>0</v>
      </c>
      <c r="Z5301" s="80" t="s">
        <v>50</v>
      </c>
      <c r="AA5301" s="96" t="s">
        <v>3291</v>
      </c>
      <c r="AB5301" s="80"/>
      <c r="AC5301" s="80" t="s">
        <v>53</v>
      </c>
      <c r="AD5301" s="80" t="s">
        <v>138</v>
      </c>
      <c r="AE5301" s="80" t="s">
        <v>12474</v>
      </c>
      <c r="AF5301" s="17">
        <v>45643</v>
      </c>
      <c r="AG5301" s="80" t="s">
        <v>18289</v>
      </c>
      <c r="AH5301" s="80"/>
      <c r="AI5301" s="147" t="s">
        <v>55</v>
      </c>
      <c r="AJ5301" s="80"/>
      <c r="AK5301" s="80"/>
      <c r="AL5301" s="35"/>
      <c r="AM5301" s="35"/>
      <c r="AN5301" s="35"/>
      <c r="AO5301" s="35"/>
      <c r="AP5301" s="35"/>
    </row>
    <row r="5302" spans="1:42" x14ac:dyDescent="0.2">
      <c r="A5302" s="74">
        <v>45643</v>
      </c>
      <c r="B5302" s="28" t="s">
        <v>37</v>
      </c>
      <c r="C5302" s="41" t="s">
        <v>118</v>
      </c>
      <c r="D5302" s="26" t="s">
        <v>36</v>
      </c>
      <c r="E5302" s="26" t="s">
        <v>139</v>
      </c>
      <c r="F5302" s="26" t="s">
        <v>7204</v>
      </c>
      <c r="G5302" s="26" t="s">
        <v>221</v>
      </c>
      <c r="H5302" s="26" t="s">
        <v>18290</v>
      </c>
      <c r="I5302" s="17">
        <f ca="1">IFERROR(__xludf.DUMMYFUNCTION("""COMPUTED_VALUE"""),45653)</f>
        <v>45653</v>
      </c>
      <c r="J5302" s="29" t="s">
        <v>10171</v>
      </c>
      <c r="K5302" s="26" t="s">
        <v>10172</v>
      </c>
      <c r="L5302" s="30">
        <v>973386602</v>
      </c>
      <c r="M5302" s="26" t="s">
        <v>80</v>
      </c>
      <c r="N5302" s="26" t="s">
        <v>466</v>
      </c>
      <c r="O5302" s="26" t="s">
        <v>10173</v>
      </c>
      <c r="P5302" s="42" t="s">
        <v>10174</v>
      </c>
      <c r="Q5302" s="20">
        <v>15936</v>
      </c>
      <c r="R5302" s="26" t="s">
        <v>36</v>
      </c>
      <c r="S5302" s="95">
        <f>200+1800</f>
        <v>2000</v>
      </c>
      <c r="T5302" s="83" t="s">
        <v>10175</v>
      </c>
      <c r="U5302" s="95">
        <v>13936</v>
      </c>
      <c r="V5302" s="148">
        <v>45531</v>
      </c>
      <c r="W5302" s="33" t="s">
        <v>10176</v>
      </c>
      <c r="X5302" s="26">
        <v>0</v>
      </c>
      <c r="Y5302" s="22">
        <v>0</v>
      </c>
      <c r="Z5302" s="26" t="s">
        <v>50</v>
      </c>
      <c r="AA5302" s="35"/>
      <c r="AB5302" s="26"/>
      <c r="AC5302" s="26" t="s">
        <v>53</v>
      </c>
      <c r="AD5302" s="26" t="s">
        <v>54</v>
      </c>
      <c r="AE5302" s="26" t="s">
        <v>7204</v>
      </c>
      <c r="AF5302" s="17">
        <v>45653</v>
      </c>
      <c r="AG5302" s="26"/>
      <c r="AH5302" s="26"/>
      <c r="AI5302" s="40"/>
      <c r="AJ5302" s="26"/>
      <c r="AK5302" s="26"/>
      <c r="AL5302" s="35"/>
      <c r="AM5302" s="35"/>
      <c r="AN5302" s="35"/>
      <c r="AO5302" s="35"/>
      <c r="AP5302" s="35"/>
    </row>
    <row r="5303" spans="1:42" x14ac:dyDescent="0.2">
      <c r="A5303" s="74">
        <v>45643</v>
      </c>
      <c r="B5303" s="28" t="s">
        <v>37</v>
      </c>
      <c r="C5303" s="41" t="s">
        <v>118</v>
      </c>
      <c r="D5303" s="26" t="s">
        <v>36</v>
      </c>
      <c r="E5303" s="26" t="s">
        <v>139</v>
      </c>
      <c r="F5303" s="26" t="s">
        <v>7204</v>
      </c>
      <c r="G5303" s="26" t="s">
        <v>221</v>
      </c>
      <c r="H5303" s="26" t="s">
        <v>18290</v>
      </c>
      <c r="I5303" s="17">
        <f ca="1">IFERROR(__xludf.DUMMYFUNCTION("""COMPUTED_VALUE"""),45653)</f>
        <v>45653</v>
      </c>
      <c r="J5303" s="29" t="s">
        <v>10157</v>
      </c>
      <c r="K5303" s="26" t="s">
        <v>10158</v>
      </c>
      <c r="L5303" s="83">
        <v>348806493</v>
      </c>
      <c r="M5303" s="26" t="s">
        <v>2755</v>
      </c>
      <c r="N5303" s="26" t="s">
        <v>2756</v>
      </c>
      <c r="O5303" s="26" t="s">
        <v>4503</v>
      </c>
      <c r="P5303" s="42" t="s">
        <v>18291</v>
      </c>
      <c r="Q5303" s="20">
        <v>15936</v>
      </c>
      <c r="R5303" s="26" t="s">
        <v>36</v>
      </c>
      <c r="S5303" s="95">
        <f>200+3000+6000</f>
        <v>9200</v>
      </c>
      <c r="T5303" s="83" t="s">
        <v>10160</v>
      </c>
      <c r="U5303" s="95">
        <v>6736</v>
      </c>
      <c r="V5303" s="148">
        <v>45520</v>
      </c>
      <c r="W5303" s="33" t="s">
        <v>10161</v>
      </c>
      <c r="X5303" s="26">
        <v>0</v>
      </c>
      <c r="Y5303" s="22">
        <v>0</v>
      </c>
      <c r="Z5303" s="26" t="s">
        <v>50</v>
      </c>
      <c r="AA5303" s="96"/>
      <c r="AB5303" s="26"/>
      <c r="AC5303" s="26" t="s">
        <v>53</v>
      </c>
      <c r="AD5303" s="26" t="s">
        <v>54</v>
      </c>
      <c r="AE5303" s="26" t="s">
        <v>7204</v>
      </c>
      <c r="AF5303" s="17">
        <v>45653</v>
      </c>
      <c r="AG5303" s="26" t="s">
        <v>18292</v>
      </c>
      <c r="AH5303" s="26"/>
      <c r="AI5303" s="40"/>
      <c r="AJ5303" s="26"/>
      <c r="AK5303" s="26"/>
      <c r="AL5303" s="35"/>
      <c r="AM5303" s="35"/>
      <c r="AN5303" s="35"/>
      <c r="AO5303" s="35"/>
      <c r="AP5303" s="35"/>
    </row>
    <row r="5304" spans="1:42" x14ac:dyDescent="0.2">
      <c r="A5304" s="74">
        <v>45643</v>
      </c>
      <c r="B5304" s="28" t="s">
        <v>37</v>
      </c>
      <c r="C5304" s="41" t="s">
        <v>118</v>
      </c>
      <c r="D5304" s="80" t="s">
        <v>36</v>
      </c>
      <c r="E5304" s="80" t="s">
        <v>119</v>
      </c>
      <c r="F5304" s="26" t="s">
        <v>7204</v>
      </c>
      <c r="G5304" s="26" t="s">
        <v>221</v>
      </c>
      <c r="H5304" s="26" t="s">
        <v>18290</v>
      </c>
      <c r="I5304" s="17">
        <f ca="1">IFERROR(__xludf.DUMMYFUNCTION("""COMPUTED_VALUE"""),45653)</f>
        <v>45653</v>
      </c>
      <c r="J5304" s="143" t="s">
        <v>15035</v>
      </c>
      <c r="K5304" s="80" t="s">
        <v>18293</v>
      </c>
      <c r="L5304" s="30">
        <v>788282369</v>
      </c>
      <c r="M5304" s="80" t="s">
        <v>12720</v>
      </c>
      <c r="N5304" s="80" t="s">
        <v>1073</v>
      </c>
      <c r="O5304" s="80" t="s">
        <v>15037</v>
      </c>
      <c r="P5304" s="115" t="s">
        <v>15038</v>
      </c>
      <c r="Q5304" s="20">
        <v>13968</v>
      </c>
      <c r="R5304" s="80" t="s">
        <v>36</v>
      </c>
      <c r="S5304" s="95">
        <f>200+3800</f>
        <v>4000</v>
      </c>
      <c r="T5304" s="83" t="s">
        <v>15039</v>
      </c>
      <c r="U5304" s="95">
        <v>9968</v>
      </c>
      <c r="V5304" s="148">
        <v>45583</v>
      </c>
      <c r="W5304" s="85" t="s">
        <v>15040</v>
      </c>
      <c r="X5304" s="80"/>
      <c r="Y5304" s="22">
        <v>0</v>
      </c>
      <c r="Z5304" s="80" t="s">
        <v>50</v>
      </c>
      <c r="AA5304" s="35" t="s">
        <v>9905</v>
      </c>
      <c r="AB5304" s="80"/>
      <c r="AC5304" s="80" t="s">
        <v>53</v>
      </c>
      <c r="AD5304" s="80" t="s">
        <v>138</v>
      </c>
      <c r="AE5304" s="26" t="s">
        <v>7204</v>
      </c>
      <c r="AF5304" s="17">
        <v>45653</v>
      </c>
      <c r="AG5304" s="80"/>
      <c r="AH5304" s="80"/>
      <c r="AI5304" s="147"/>
      <c r="AJ5304" s="80"/>
      <c r="AK5304" s="80"/>
      <c r="AL5304" s="35"/>
      <c r="AM5304" s="35"/>
      <c r="AN5304" s="35"/>
      <c r="AO5304" s="35"/>
      <c r="AP5304" s="35"/>
    </row>
    <row r="5305" spans="1:42" x14ac:dyDescent="0.2">
      <c r="A5305" s="74">
        <v>45643</v>
      </c>
      <c r="B5305" s="28" t="s">
        <v>37</v>
      </c>
      <c r="C5305" s="41" t="s">
        <v>118</v>
      </c>
      <c r="D5305" s="26" t="s">
        <v>36</v>
      </c>
      <c r="E5305" s="26" t="s">
        <v>56</v>
      </c>
      <c r="F5305" s="26" t="s">
        <v>7204</v>
      </c>
      <c r="G5305" s="26" t="s">
        <v>221</v>
      </c>
      <c r="H5305" s="26" t="s">
        <v>18290</v>
      </c>
      <c r="I5305" s="17">
        <f ca="1">IFERROR(__xludf.DUMMYFUNCTION("""COMPUTED_VALUE"""),45653)</f>
        <v>45653</v>
      </c>
      <c r="J5305" s="29" t="s">
        <v>10109</v>
      </c>
      <c r="K5305" s="26" t="s">
        <v>6046</v>
      </c>
      <c r="L5305" s="30">
        <v>836892409</v>
      </c>
      <c r="M5305" s="26" t="s">
        <v>80</v>
      </c>
      <c r="N5305" s="26" t="s">
        <v>466</v>
      </c>
      <c r="O5305" s="26" t="s">
        <v>10110</v>
      </c>
      <c r="P5305" s="42" t="s">
        <v>18294</v>
      </c>
      <c r="Q5305" s="20">
        <v>9317</v>
      </c>
      <c r="R5305" s="26" t="s">
        <v>36</v>
      </c>
      <c r="S5305" s="95">
        <f>200+1800</f>
        <v>2000</v>
      </c>
      <c r="T5305" s="83" t="s">
        <v>10112</v>
      </c>
      <c r="U5305" s="95">
        <v>7317</v>
      </c>
      <c r="V5305" s="148">
        <v>45515</v>
      </c>
      <c r="W5305" s="33" t="s">
        <v>10113</v>
      </c>
      <c r="X5305" s="26">
        <v>0</v>
      </c>
      <c r="Y5305" s="22">
        <v>0</v>
      </c>
      <c r="Z5305" s="26" t="s">
        <v>50</v>
      </c>
      <c r="AA5305" s="96"/>
      <c r="AB5305" s="26"/>
      <c r="AC5305" s="26" t="s">
        <v>53</v>
      </c>
      <c r="AD5305" s="26" t="s">
        <v>54</v>
      </c>
      <c r="AE5305" s="26" t="s">
        <v>7204</v>
      </c>
      <c r="AF5305" s="17">
        <v>45653</v>
      </c>
      <c r="AG5305" s="26" t="s">
        <v>7078</v>
      </c>
      <c r="AH5305" s="26"/>
      <c r="AI5305" s="40"/>
      <c r="AJ5305" s="26"/>
      <c r="AK5305" s="26"/>
      <c r="AL5305" s="35"/>
      <c r="AM5305" s="35"/>
      <c r="AN5305" s="35"/>
      <c r="AO5305" s="35"/>
      <c r="AP5305" s="35"/>
    </row>
    <row r="5306" spans="1:42" x14ac:dyDescent="0.2">
      <c r="A5306" s="74">
        <v>45643</v>
      </c>
      <c r="B5306" s="28" t="s">
        <v>37</v>
      </c>
      <c r="C5306" s="41" t="s">
        <v>118</v>
      </c>
      <c r="D5306" s="26" t="s">
        <v>36</v>
      </c>
      <c r="E5306" s="26" t="s">
        <v>148</v>
      </c>
      <c r="F5306" s="26" t="s">
        <v>7204</v>
      </c>
      <c r="G5306" s="26" t="s">
        <v>221</v>
      </c>
      <c r="H5306" s="26" t="s">
        <v>18290</v>
      </c>
      <c r="I5306" s="17">
        <f ca="1">IFERROR(__xludf.DUMMYFUNCTION("""COMPUTED_VALUE"""),45653)</f>
        <v>45653</v>
      </c>
      <c r="J5306" s="29" t="s">
        <v>7205</v>
      </c>
      <c r="K5306" s="26" t="s">
        <v>7206</v>
      </c>
      <c r="L5306" s="30">
        <v>972185582</v>
      </c>
      <c r="M5306" s="26" t="s">
        <v>292</v>
      </c>
      <c r="N5306" s="26" t="s">
        <v>438</v>
      </c>
      <c r="O5306" s="67" t="s">
        <v>7207</v>
      </c>
      <c r="P5306" s="42" t="s">
        <v>18295</v>
      </c>
      <c r="Q5306" s="20">
        <v>7349</v>
      </c>
      <c r="R5306" s="26" t="s">
        <v>36</v>
      </c>
      <c r="S5306" s="31">
        <v>6536</v>
      </c>
      <c r="T5306" s="32">
        <v>45342</v>
      </c>
      <c r="U5306" s="31">
        <v>713</v>
      </c>
      <c r="V5306" s="32">
        <v>45349</v>
      </c>
      <c r="W5306" s="33" t="s">
        <v>7209</v>
      </c>
      <c r="X5306" s="26"/>
      <c r="Y5306" s="22">
        <v>100</v>
      </c>
      <c r="Z5306" s="26" t="s">
        <v>50</v>
      </c>
      <c r="AA5306" s="19" t="s">
        <v>7077</v>
      </c>
      <c r="AB5306" s="26" t="s">
        <v>104</v>
      </c>
      <c r="AC5306" s="26" t="s">
        <v>53</v>
      </c>
      <c r="AD5306" s="19" t="s">
        <v>138</v>
      </c>
      <c r="AE5306" s="26" t="s">
        <v>7204</v>
      </c>
      <c r="AF5306" s="17">
        <v>45653</v>
      </c>
      <c r="AG5306" s="26"/>
      <c r="AH5306" s="26"/>
      <c r="AI5306" s="40">
        <v>2</v>
      </c>
      <c r="AJ5306" s="26"/>
      <c r="AK5306" s="26"/>
      <c r="AL5306" s="35"/>
      <c r="AM5306" s="35"/>
      <c r="AN5306" s="35"/>
      <c r="AO5306" s="35"/>
      <c r="AP5306" s="35"/>
    </row>
    <row r="5307" spans="1:42" x14ac:dyDescent="0.2">
      <c r="A5307" s="74">
        <v>45643</v>
      </c>
      <c r="B5307" s="28" t="s">
        <v>90</v>
      </c>
      <c r="C5307" s="41" t="s">
        <v>118</v>
      </c>
      <c r="D5307" s="80" t="s">
        <v>36</v>
      </c>
      <c r="E5307" s="80" t="s">
        <v>139</v>
      </c>
      <c r="F5307" s="80" t="s">
        <v>12766</v>
      </c>
      <c r="G5307" s="80" t="s">
        <v>108</v>
      </c>
      <c r="H5307" s="80" t="s">
        <v>14140</v>
      </c>
      <c r="I5307" s="17">
        <f ca="1">IFERROR(__xludf.DUMMYFUNCTION("""COMPUTED_VALUE"""),45642)</f>
        <v>45642</v>
      </c>
      <c r="J5307" s="143" t="s">
        <v>15266</v>
      </c>
      <c r="K5307" s="80" t="s">
        <v>15267</v>
      </c>
      <c r="L5307" s="30">
        <v>339615670</v>
      </c>
      <c r="M5307" s="80" t="s">
        <v>910</v>
      </c>
      <c r="N5307" s="80" t="s">
        <v>3525</v>
      </c>
      <c r="O5307" s="80" t="s">
        <v>91</v>
      </c>
      <c r="P5307" s="80" t="s">
        <v>12578</v>
      </c>
      <c r="Q5307" s="20">
        <v>15936</v>
      </c>
      <c r="R5307" s="80" t="s">
        <v>70</v>
      </c>
      <c r="S5307" s="95">
        <v>2000</v>
      </c>
      <c r="T5307" s="148">
        <v>45551</v>
      </c>
      <c r="U5307" s="95">
        <v>13936</v>
      </c>
      <c r="V5307" s="148">
        <v>45573</v>
      </c>
      <c r="W5307" s="85" t="s">
        <v>15268</v>
      </c>
      <c r="X5307" s="80"/>
      <c r="Y5307" s="22">
        <v>0</v>
      </c>
      <c r="Z5307" s="80" t="s">
        <v>50</v>
      </c>
      <c r="AA5307" s="96" t="s">
        <v>9905</v>
      </c>
      <c r="AB5307" s="80"/>
      <c r="AC5307" s="80" t="s">
        <v>53</v>
      </c>
      <c r="AD5307" s="80" t="s">
        <v>138</v>
      </c>
      <c r="AE5307" s="80"/>
      <c r="AF5307" s="17">
        <v>45643</v>
      </c>
      <c r="AG5307" s="80" t="s">
        <v>18264</v>
      </c>
      <c r="AH5307" s="80"/>
      <c r="AI5307" s="147"/>
      <c r="AJ5307" s="80"/>
      <c r="AK5307" s="80"/>
      <c r="AL5307" s="35"/>
      <c r="AM5307" s="35"/>
      <c r="AN5307" s="35"/>
      <c r="AO5307" s="35"/>
      <c r="AP5307" s="35"/>
    </row>
    <row r="5308" spans="1:42" x14ac:dyDescent="0.2">
      <c r="A5308" s="74">
        <v>45643</v>
      </c>
      <c r="B5308" s="137" t="s">
        <v>37</v>
      </c>
      <c r="C5308" s="41" t="s">
        <v>118</v>
      </c>
      <c r="D5308" s="80" t="s">
        <v>36</v>
      </c>
      <c r="E5308" s="80" t="s">
        <v>139</v>
      </c>
      <c r="F5308" s="80" t="s">
        <v>11747</v>
      </c>
      <c r="G5308" s="80" t="s">
        <v>108</v>
      </c>
      <c r="H5308" s="80" t="s">
        <v>17059</v>
      </c>
      <c r="I5308" s="17">
        <f ca="1">IFERROR(__xludf.DUMMYFUNCTION("""COMPUTED_VALUE"""),45652)</f>
        <v>45652</v>
      </c>
      <c r="J5308" s="143" t="s">
        <v>14889</v>
      </c>
      <c r="K5308" s="80" t="s">
        <v>18296</v>
      </c>
      <c r="L5308" s="30">
        <v>382360645</v>
      </c>
      <c r="M5308" s="80" t="s">
        <v>123</v>
      </c>
      <c r="N5308" s="80" t="s">
        <v>2847</v>
      </c>
      <c r="O5308" s="80" t="s">
        <v>4503</v>
      </c>
      <c r="P5308" s="144" t="s">
        <v>18297</v>
      </c>
      <c r="Q5308" s="20">
        <v>15936</v>
      </c>
      <c r="R5308" s="80" t="s">
        <v>36</v>
      </c>
      <c r="S5308" s="95">
        <f>200+13736</f>
        <v>13936</v>
      </c>
      <c r="T5308" s="83" t="s">
        <v>14891</v>
      </c>
      <c r="U5308" s="95">
        <v>2000</v>
      </c>
      <c r="V5308" s="148">
        <v>45558</v>
      </c>
      <c r="W5308" s="85" t="s">
        <v>14892</v>
      </c>
      <c r="X5308" s="80"/>
      <c r="Y5308" s="22">
        <v>0</v>
      </c>
      <c r="Z5308" s="80" t="s">
        <v>50</v>
      </c>
      <c r="AA5308" s="35" t="s">
        <v>9905</v>
      </c>
      <c r="AB5308" s="80"/>
      <c r="AC5308" s="80" t="s">
        <v>53</v>
      </c>
      <c r="AD5308" s="80" t="s">
        <v>138</v>
      </c>
      <c r="AE5308" s="80" t="s">
        <v>11747</v>
      </c>
      <c r="AF5308" s="17">
        <v>45649</v>
      </c>
      <c r="AG5308" s="80"/>
      <c r="AH5308" s="80"/>
      <c r="AI5308" s="147"/>
      <c r="AJ5308" s="80"/>
      <c r="AK5308" s="80"/>
      <c r="AL5308" s="35"/>
      <c r="AM5308" s="35"/>
      <c r="AN5308" s="35"/>
      <c r="AO5308" s="35"/>
      <c r="AP5308" s="35"/>
    </row>
    <row r="5309" spans="1:42" x14ac:dyDescent="0.2">
      <c r="A5309" s="74">
        <v>45643</v>
      </c>
      <c r="B5309" s="137" t="s">
        <v>37</v>
      </c>
      <c r="C5309" s="41" t="s">
        <v>118</v>
      </c>
      <c r="D5309" s="80" t="s">
        <v>36</v>
      </c>
      <c r="E5309" s="80" t="s">
        <v>119</v>
      </c>
      <c r="F5309" s="80" t="s">
        <v>9825</v>
      </c>
      <c r="G5309" s="26" t="s">
        <v>221</v>
      </c>
      <c r="H5309" s="80" t="s">
        <v>13807</v>
      </c>
      <c r="I5309" s="17">
        <f ca="1">IFERROR(__xludf.DUMMYFUNCTION("""COMPUTED_VALUE"""),45660)</f>
        <v>45660</v>
      </c>
      <c r="J5309" s="143" t="s">
        <v>14971</v>
      </c>
      <c r="K5309" s="80" t="s">
        <v>18298</v>
      </c>
      <c r="L5309" s="30">
        <v>389665362</v>
      </c>
      <c r="M5309" s="80" t="s">
        <v>80</v>
      </c>
      <c r="N5309" s="80" t="s">
        <v>1073</v>
      </c>
      <c r="O5309" s="80" t="s">
        <v>14973</v>
      </c>
      <c r="P5309" s="144" t="s">
        <v>18299</v>
      </c>
      <c r="Q5309" s="20">
        <v>13968</v>
      </c>
      <c r="R5309" s="80" t="s">
        <v>36</v>
      </c>
      <c r="S5309" s="95">
        <f>200+3600</f>
        <v>3800</v>
      </c>
      <c r="T5309" s="83" t="s">
        <v>14975</v>
      </c>
      <c r="U5309" s="95">
        <v>10168</v>
      </c>
      <c r="V5309" s="83" t="s">
        <v>14976</v>
      </c>
      <c r="W5309" s="85" t="s">
        <v>14977</v>
      </c>
      <c r="X5309" s="80"/>
      <c r="Y5309" s="22">
        <v>0</v>
      </c>
      <c r="Z5309" s="80" t="s">
        <v>50</v>
      </c>
      <c r="AA5309" s="96" t="s">
        <v>9905</v>
      </c>
      <c r="AB5309" s="80"/>
      <c r="AC5309" s="80" t="s">
        <v>53</v>
      </c>
      <c r="AD5309" s="80" t="s">
        <v>138</v>
      </c>
      <c r="AE5309" s="80" t="s">
        <v>9825</v>
      </c>
      <c r="AF5309" s="17">
        <v>45660</v>
      </c>
      <c r="AG5309" s="26"/>
      <c r="AH5309" s="80"/>
      <c r="AI5309" s="147"/>
      <c r="AJ5309" s="80"/>
      <c r="AK5309" s="80"/>
      <c r="AL5309" s="35"/>
      <c r="AM5309" s="35"/>
      <c r="AN5309" s="35"/>
      <c r="AO5309" s="35"/>
      <c r="AP5309" s="35"/>
    </row>
    <row r="5310" spans="1:42" x14ac:dyDescent="0.2">
      <c r="A5310" s="74">
        <v>45643</v>
      </c>
      <c r="B5310" s="137" t="s">
        <v>37</v>
      </c>
      <c r="C5310" s="41" t="s">
        <v>118</v>
      </c>
      <c r="D5310" s="80" t="s">
        <v>36</v>
      </c>
      <c r="E5310" s="80" t="s">
        <v>119</v>
      </c>
      <c r="F5310" s="80" t="s">
        <v>9825</v>
      </c>
      <c r="G5310" s="26" t="s">
        <v>221</v>
      </c>
      <c r="H5310" s="80" t="s">
        <v>13807</v>
      </c>
      <c r="I5310" s="17">
        <f ca="1">IFERROR(__xludf.DUMMYFUNCTION("""COMPUTED_VALUE"""),45660)</f>
        <v>45660</v>
      </c>
      <c r="J5310" s="143" t="s">
        <v>14880</v>
      </c>
      <c r="K5310" s="80" t="s">
        <v>18300</v>
      </c>
      <c r="L5310" s="30">
        <v>327532209</v>
      </c>
      <c r="M5310" s="80" t="s">
        <v>80</v>
      </c>
      <c r="N5310" s="80" t="s">
        <v>466</v>
      </c>
      <c r="O5310" s="80" t="s">
        <v>14882</v>
      </c>
      <c r="P5310" s="144" t="s">
        <v>18301</v>
      </c>
      <c r="Q5310" s="20">
        <v>13968</v>
      </c>
      <c r="R5310" s="80" t="s">
        <v>36</v>
      </c>
      <c r="S5310" s="95">
        <f>200+3800</f>
        <v>4000</v>
      </c>
      <c r="T5310" s="83" t="s">
        <v>14884</v>
      </c>
      <c r="U5310" s="95">
        <v>9968</v>
      </c>
      <c r="V5310" s="148">
        <v>45579</v>
      </c>
      <c r="W5310" s="85" t="s">
        <v>14885</v>
      </c>
      <c r="X5310" s="80"/>
      <c r="Y5310" s="22">
        <v>0</v>
      </c>
      <c r="Z5310" s="80" t="s">
        <v>50</v>
      </c>
      <c r="AA5310" s="35" t="s">
        <v>9905</v>
      </c>
      <c r="AB5310" s="80"/>
      <c r="AC5310" s="80" t="s">
        <v>53</v>
      </c>
      <c r="AD5310" s="80" t="s">
        <v>138</v>
      </c>
      <c r="AE5310" s="80" t="s">
        <v>9825</v>
      </c>
      <c r="AF5310" s="17">
        <v>45660</v>
      </c>
      <c r="AG5310" s="26"/>
      <c r="AH5310" s="80"/>
      <c r="AI5310" s="147"/>
      <c r="AJ5310" s="80"/>
      <c r="AK5310" s="80"/>
      <c r="AL5310" s="35"/>
      <c r="AM5310" s="35"/>
      <c r="AN5310" s="35"/>
      <c r="AO5310" s="35"/>
      <c r="AP5310" s="35"/>
    </row>
    <row r="5311" spans="1:42" x14ac:dyDescent="0.2">
      <c r="A5311" s="74">
        <v>45643</v>
      </c>
      <c r="B5311" s="137" t="s">
        <v>37</v>
      </c>
      <c r="C5311" s="41" t="s">
        <v>118</v>
      </c>
      <c r="D5311" s="26" t="s">
        <v>36</v>
      </c>
      <c r="E5311" s="26" t="s">
        <v>139</v>
      </c>
      <c r="F5311" s="26" t="s">
        <v>1565</v>
      </c>
      <c r="G5311" s="26" t="s">
        <v>221</v>
      </c>
      <c r="H5311" s="80" t="s">
        <v>18302</v>
      </c>
      <c r="I5311" s="17">
        <f ca="1">IFERROR(__xludf.DUMMYFUNCTION("""COMPUTED_VALUE"""),45755)</f>
        <v>45755</v>
      </c>
      <c r="J5311" s="29" t="s">
        <v>5414</v>
      </c>
      <c r="K5311" s="26" t="s">
        <v>18303</v>
      </c>
      <c r="L5311" s="30">
        <v>564144888</v>
      </c>
      <c r="M5311" s="26" t="s">
        <v>123</v>
      </c>
      <c r="N5311" s="26" t="s">
        <v>186</v>
      </c>
      <c r="O5311" s="26" t="s">
        <v>1226</v>
      </c>
      <c r="P5311" s="26" t="s">
        <v>18304</v>
      </c>
      <c r="Q5311" s="20">
        <v>15936</v>
      </c>
      <c r="R5311" s="26" t="s">
        <v>36</v>
      </c>
      <c r="S5311" s="31">
        <v>5000</v>
      </c>
      <c r="T5311" s="32">
        <v>45221</v>
      </c>
      <c r="U5311" s="58">
        <v>10936</v>
      </c>
      <c r="V5311" s="59">
        <v>45253</v>
      </c>
      <c r="W5311" s="33" t="s">
        <v>5416</v>
      </c>
      <c r="X5311" s="26"/>
      <c r="Y5311" s="22">
        <v>0</v>
      </c>
      <c r="Z5311" s="26" t="s">
        <v>118</v>
      </c>
      <c r="AA5311" s="19" t="s">
        <v>5112</v>
      </c>
      <c r="AB5311" s="26" t="s">
        <v>36</v>
      </c>
      <c r="AC5311" s="26" t="s">
        <v>53</v>
      </c>
      <c r="AD5311" s="19" t="s">
        <v>138</v>
      </c>
      <c r="AE5311" s="26" t="s">
        <v>1565</v>
      </c>
      <c r="AF5311" s="17">
        <v>45660</v>
      </c>
      <c r="AG5311" s="26"/>
      <c r="AH5311" s="26"/>
      <c r="AI5311" s="40" t="s">
        <v>147</v>
      </c>
      <c r="AJ5311" s="26"/>
      <c r="AK5311" s="26"/>
      <c r="AL5311" s="35"/>
      <c r="AM5311" s="35"/>
      <c r="AN5311" s="35"/>
      <c r="AO5311" s="35"/>
      <c r="AP5311" s="35"/>
    </row>
    <row r="5312" spans="1:42" x14ac:dyDescent="0.2">
      <c r="A5312" s="74">
        <v>45643</v>
      </c>
      <c r="B5312" s="28" t="s">
        <v>37</v>
      </c>
      <c r="C5312" s="41" t="s">
        <v>118</v>
      </c>
      <c r="D5312" s="26" t="s">
        <v>36</v>
      </c>
      <c r="E5312" s="26" t="s">
        <v>139</v>
      </c>
      <c r="F5312" s="35" t="s">
        <v>1176</v>
      </c>
      <c r="G5312" s="26" t="s">
        <v>221</v>
      </c>
      <c r="H5312" s="26" t="s">
        <v>13682</v>
      </c>
      <c r="I5312" s="17">
        <f ca="1">IFERROR(__xludf.DUMMYFUNCTION("""COMPUTED_VALUE"""),45653)</f>
        <v>45653</v>
      </c>
      <c r="J5312" s="29" t="s">
        <v>2610</v>
      </c>
      <c r="K5312" s="26" t="s">
        <v>2611</v>
      </c>
      <c r="L5312" s="30">
        <v>384217399</v>
      </c>
      <c r="M5312" s="26" t="s">
        <v>910</v>
      </c>
      <c r="N5312" s="26" t="s">
        <v>355</v>
      </c>
      <c r="O5312" s="26" t="s">
        <v>2612</v>
      </c>
      <c r="P5312" s="42" t="s">
        <v>18305</v>
      </c>
      <c r="Q5312" s="20">
        <v>15936</v>
      </c>
      <c r="R5312" s="26" t="s">
        <v>36</v>
      </c>
      <c r="S5312" s="31">
        <v>8000</v>
      </c>
      <c r="T5312" s="32">
        <v>45173</v>
      </c>
      <c r="U5312" s="31">
        <v>7936</v>
      </c>
      <c r="V5312" s="32">
        <v>45190</v>
      </c>
      <c r="W5312" s="33" t="s">
        <v>2614</v>
      </c>
      <c r="X5312" s="26">
        <v>0</v>
      </c>
      <c r="Y5312" s="22">
        <v>0</v>
      </c>
      <c r="Z5312" s="26" t="s">
        <v>118</v>
      </c>
      <c r="AA5312" s="19" t="s">
        <v>2449</v>
      </c>
      <c r="AB5312" s="26" t="s">
        <v>104</v>
      </c>
      <c r="AC5312" s="26" t="s">
        <v>53</v>
      </c>
      <c r="AD5312" s="19" t="s">
        <v>54</v>
      </c>
      <c r="AE5312" s="35" t="s">
        <v>1176</v>
      </c>
      <c r="AF5312" s="17">
        <v>45646</v>
      </c>
      <c r="AG5312" s="26"/>
      <c r="AH5312" s="26"/>
      <c r="AI5312" s="40"/>
      <c r="AJ5312" s="26"/>
      <c r="AK5312" s="26"/>
      <c r="AL5312" s="35"/>
      <c r="AM5312" s="35"/>
      <c r="AN5312" s="35"/>
      <c r="AO5312" s="35"/>
      <c r="AP5312" s="35"/>
    </row>
    <row r="5313" spans="1:42" x14ac:dyDescent="0.2">
      <c r="A5313" s="74">
        <v>45643</v>
      </c>
      <c r="B5313" s="137" t="s">
        <v>37</v>
      </c>
      <c r="C5313" s="41" t="s">
        <v>118</v>
      </c>
      <c r="D5313" s="80" t="s">
        <v>36</v>
      </c>
      <c r="E5313" s="80" t="s">
        <v>119</v>
      </c>
      <c r="F5313" s="80" t="s">
        <v>9825</v>
      </c>
      <c r="G5313" s="26" t="s">
        <v>221</v>
      </c>
      <c r="H5313" s="80" t="s">
        <v>13807</v>
      </c>
      <c r="I5313" s="17">
        <f ca="1">IFERROR(__xludf.DUMMYFUNCTION("""COMPUTED_VALUE"""),45660)</f>
        <v>45660</v>
      </c>
      <c r="J5313" s="143" t="s">
        <v>13354</v>
      </c>
      <c r="K5313" s="182" t="s">
        <v>18306</v>
      </c>
      <c r="L5313" s="30">
        <v>763307247</v>
      </c>
      <c r="M5313" s="80" t="s">
        <v>5518</v>
      </c>
      <c r="N5313" s="80" t="s">
        <v>186</v>
      </c>
      <c r="O5313" s="80" t="s">
        <v>13356</v>
      </c>
      <c r="P5313" s="144" t="s">
        <v>18307</v>
      </c>
      <c r="Q5313" s="20">
        <v>13968</v>
      </c>
      <c r="R5313" s="80" t="s">
        <v>36</v>
      </c>
      <c r="S5313" s="95">
        <v>13986</v>
      </c>
      <c r="T5313" s="148">
        <v>45554</v>
      </c>
      <c r="U5313" s="77"/>
      <c r="V5313" s="78"/>
      <c r="W5313" s="85" t="s">
        <v>13357</v>
      </c>
      <c r="X5313" s="80">
        <v>0</v>
      </c>
      <c r="Y5313" s="22">
        <v>-18</v>
      </c>
      <c r="Z5313" s="80" t="s">
        <v>50</v>
      </c>
      <c r="AA5313" s="96" t="s">
        <v>3291</v>
      </c>
      <c r="AB5313" s="80"/>
      <c r="AC5313" s="80" t="s">
        <v>53</v>
      </c>
      <c r="AD5313" s="80" t="s">
        <v>138</v>
      </c>
      <c r="AE5313" s="80" t="s">
        <v>9825</v>
      </c>
      <c r="AF5313" s="17">
        <v>45660</v>
      </c>
      <c r="AG5313" s="80"/>
      <c r="AH5313" s="80"/>
      <c r="AI5313" s="147">
        <v>4</v>
      </c>
      <c r="AJ5313" s="80"/>
      <c r="AK5313" s="80"/>
      <c r="AL5313" s="35"/>
      <c r="AM5313" s="35"/>
      <c r="AN5313" s="35"/>
      <c r="AO5313" s="35"/>
      <c r="AP5313" s="35"/>
    </row>
    <row r="5314" spans="1:42" x14ac:dyDescent="0.2">
      <c r="A5314" s="74">
        <v>45643</v>
      </c>
      <c r="B5314" s="137" t="s">
        <v>37</v>
      </c>
      <c r="C5314" s="41" t="s">
        <v>118</v>
      </c>
      <c r="D5314" s="80" t="s">
        <v>36</v>
      </c>
      <c r="E5314" s="80" t="s">
        <v>119</v>
      </c>
      <c r="F5314" s="80" t="s">
        <v>9825</v>
      </c>
      <c r="G5314" s="26" t="s">
        <v>221</v>
      </c>
      <c r="H5314" s="80" t="s">
        <v>13807</v>
      </c>
      <c r="I5314" s="17">
        <f ca="1">IFERROR(__xludf.DUMMYFUNCTION("""COMPUTED_VALUE"""),45660)</f>
        <v>45660</v>
      </c>
      <c r="J5314" s="143" t="s">
        <v>14921</v>
      </c>
      <c r="K5314" s="80" t="s">
        <v>18308</v>
      </c>
      <c r="L5314" s="30">
        <v>981289531</v>
      </c>
      <c r="M5314" s="80" t="s">
        <v>80</v>
      </c>
      <c r="N5314" s="80" t="s">
        <v>466</v>
      </c>
      <c r="O5314" s="80" t="s">
        <v>14923</v>
      </c>
      <c r="P5314" s="144" t="s">
        <v>18309</v>
      </c>
      <c r="Q5314" s="20">
        <v>13968</v>
      </c>
      <c r="R5314" s="80" t="s">
        <v>36</v>
      </c>
      <c r="S5314" s="95">
        <f>200+3800</f>
        <v>4000</v>
      </c>
      <c r="T5314" s="83" t="s">
        <v>14925</v>
      </c>
      <c r="U5314" s="95">
        <v>9968</v>
      </c>
      <c r="V5314" s="148">
        <v>45587</v>
      </c>
      <c r="W5314" s="85" t="s">
        <v>14926</v>
      </c>
      <c r="X5314" s="80"/>
      <c r="Y5314" s="22">
        <v>0</v>
      </c>
      <c r="Z5314" s="80" t="s">
        <v>50</v>
      </c>
      <c r="AA5314" s="35" t="s">
        <v>9905</v>
      </c>
      <c r="AB5314" s="80"/>
      <c r="AC5314" s="80" t="s">
        <v>53</v>
      </c>
      <c r="AD5314" s="80" t="s">
        <v>54</v>
      </c>
      <c r="AE5314" s="80" t="s">
        <v>9768</v>
      </c>
      <c r="AF5314" s="17">
        <v>45660</v>
      </c>
      <c r="AG5314" s="80"/>
      <c r="AH5314" s="80"/>
      <c r="AI5314" s="147"/>
      <c r="AJ5314" s="80"/>
      <c r="AK5314" s="80"/>
      <c r="AL5314" s="35"/>
      <c r="AM5314" s="35"/>
      <c r="AN5314" s="35"/>
      <c r="AO5314" s="35"/>
      <c r="AP5314" s="35"/>
    </row>
    <row r="5315" spans="1:42" x14ac:dyDescent="0.2">
      <c r="A5315" s="74">
        <v>45643</v>
      </c>
      <c r="B5315" s="137" t="s">
        <v>37</v>
      </c>
      <c r="C5315" s="41" t="s">
        <v>118</v>
      </c>
      <c r="D5315" s="80" t="s">
        <v>36</v>
      </c>
      <c r="E5315" s="80" t="s">
        <v>119</v>
      </c>
      <c r="F5315" s="80" t="s">
        <v>9825</v>
      </c>
      <c r="G5315" s="26" t="s">
        <v>221</v>
      </c>
      <c r="H5315" s="80" t="s">
        <v>13807</v>
      </c>
      <c r="I5315" s="17">
        <f ca="1">IFERROR(__xludf.DUMMYFUNCTION("""COMPUTED_VALUE"""),45660)</f>
        <v>45660</v>
      </c>
      <c r="J5315" s="143" t="s">
        <v>14868</v>
      </c>
      <c r="K5315" s="80" t="s">
        <v>18310</v>
      </c>
      <c r="L5315" s="30">
        <v>969532720</v>
      </c>
      <c r="M5315" s="80" t="s">
        <v>80</v>
      </c>
      <c r="N5315" s="80" t="s">
        <v>1073</v>
      </c>
      <c r="O5315" s="80" t="s">
        <v>14870</v>
      </c>
      <c r="P5315" s="144" t="s">
        <v>18311</v>
      </c>
      <c r="Q5315" s="20">
        <v>13968</v>
      </c>
      <c r="R5315" s="80" t="s">
        <v>36</v>
      </c>
      <c r="S5315" s="95">
        <f t="shared" ref="S5315:S5316" si="132">500+3500</f>
        <v>4000</v>
      </c>
      <c r="T5315" s="83" t="s">
        <v>14872</v>
      </c>
      <c r="U5315" s="95">
        <v>9968</v>
      </c>
      <c r="V5315" s="148">
        <v>45580</v>
      </c>
      <c r="W5315" s="85" t="s">
        <v>14873</v>
      </c>
      <c r="X5315" s="80"/>
      <c r="Y5315" s="22">
        <v>0</v>
      </c>
      <c r="Z5315" s="80" t="s">
        <v>50</v>
      </c>
      <c r="AA5315" s="96" t="s">
        <v>9905</v>
      </c>
      <c r="AB5315" s="80"/>
      <c r="AC5315" s="80" t="s">
        <v>53</v>
      </c>
      <c r="AD5315" s="80" t="s">
        <v>54</v>
      </c>
      <c r="AE5315" s="80" t="s">
        <v>6919</v>
      </c>
      <c r="AF5315" s="17">
        <v>45660</v>
      </c>
      <c r="AG5315" s="80"/>
      <c r="AH5315" s="80"/>
      <c r="AI5315" s="147"/>
      <c r="AJ5315" s="80"/>
      <c r="AK5315" s="80"/>
      <c r="AL5315" s="35"/>
      <c r="AM5315" s="35"/>
      <c r="AN5315" s="35"/>
      <c r="AO5315" s="35"/>
      <c r="AP5315" s="35"/>
    </row>
    <row r="5316" spans="1:42" x14ac:dyDescent="0.2">
      <c r="A5316" s="74">
        <v>45851</v>
      </c>
      <c r="B5316" s="137" t="s">
        <v>37</v>
      </c>
      <c r="C5316" s="41" t="s">
        <v>118</v>
      </c>
      <c r="D5316" s="80" t="s">
        <v>36</v>
      </c>
      <c r="E5316" s="80" t="s">
        <v>119</v>
      </c>
      <c r="F5316" s="80" t="s">
        <v>13807</v>
      </c>
      <c r="G5316" s="153" t="s">
        <v>1847</v>
      </c>
      <c r="H5316" s="80" t="s">
        <v>18312</v>
      </c>
      <c r="I5316" s="17">
        <f ca="1">IFERROR(__xludf.DUMMYFUNCTION("""COMPUTED_VALUE"""),45856)</f>
        <v>45856</v>
      </c>
      <c r="J5316" s="143" t="s">
        <v>14868</v>
      </c>
      <c r="K5316" s="80" t="s">
        <v>18310</v>
      </c>
      <c r="L5316" s="30">
        <v>969532720</v>
      </c>
      <c r="M5316" s="80" t="s">
        <v>80</v>
      </c>
      <c r="N5316" s="80" t="s">
        <v>1073</v>
      </c>
      <c r="O5316" s="80" t="s">
        <v>14870</v>
      </c>
      <c r="P5316" s="202" t="s">
        <v>18313</v>
      </c>
      <c r="Q5316" s="20">
        <v>13968</v>
      </c>
      <c r="R5316" s="80" t="s">
        <v>36</v>
      </c>
      <c r="S5316" s="95">
        <f t="shared" si="132"/>
        <v>4000</v>
      </c>
      <c r="T5316" s="83" t="s">
        <v>14872</v>
      </c>
      <c r="U5316" s="95">
        <v>9968</v>
      </c>
      <c r="V5316" s="148">
        <v>45580</v>
      </c>
      <c r="W5316" s="85" t="s">
        <v>14873</v>
      </c>
      <c r="X5316" s="80"/>
      <c r="Y5316" s="22">
        <v>0</v>
      </c>
      <c r="Z5316" s="81" t="s">
        <v>50</v>
      </c>
      <c r="AA5316" s="86" t="s">
        <v>9905</v>
      </c>
      <c r="AB5316" s="80"/>
      <c r="AC5316" s="80" t="s">
        <v>53</v>
      </c>
      <c r="AD5316" s="80" t="s">
        <v>54</v>
      </c>
      <c r="AE5316" s="80" t="s">
        <v>6919</v>
      </c>
      <c r="AF5316" s="17">
        <v>45852</v>
      </c>
      <c r="AG5316" s="80"/>
      <c r="AH5316" s="80"/>
      <c r="AI5316" s="147"/>
      <c r="AJ5316" s="80"/>
      <c r="AK5316" s="80"/>
      <c r="AL5316" s="86"/>
      <c r="AM5316" s="86"/>
      <c r="AN5316" s="86"/>
      <c r="AO5316" s="86"/>
      <c r="AP5316" s="86"/>
    </row>
    <row r="5317" spans="1:42" x14ac:dyDescent="0.2">
      <c r="A5317" s="74">
        <v>45643</v>
      </c>
      <c r="B5317" s="137" t="s">
        <v>37</v>
      </c>
      <c r="C5317" s="41" t="s">
        <v>118</v>
      </c>
      <c r="D5317" s="80" t="s">
        <v>36</v>
      </c>
      <c r="E5317" s="80" t="s">
        <v>119</v>
      </c>
      <c r="F5317" s="80" t="s">
        <v>9825</v>
      </c>
      <c r="G5317" s="26" t="s">
        <v>221</v>
      </c>
      <c r="H5317" s="80" t="s">
        <v>13807</v>
      </c>
      <c r="I5317" s="17">
        <f ca="1">IFERROR(__xludf.DUMMYFUNCTION("""COMPUTED_VALUE"""),45660)</f>
        <v>45660</v>
      </c>
      <c r="J5317" s="143" t="s">
        <v>14954</v>
      </c>
      <c r="K5317" s="80" t="s">
        <v>14955</v>
      </c>
      <c r="L5317" s="30">
        <v>963351400</v>
      </c>
      <c r="M5317" s="80" t="s">
        <v>5518</v>
      </c>
      <c r="N5317" s="80" t="s">
        <v>12477</v>
      </c>
      <c r="O5317" s="80" t="s">
        <v>14956</v>
      </c>
      <c r="P5317" s="144" t="s">
        <v>18314</v>
      </c>
      <c r="Q5317" s="20">
        <v>13968</v>
      </c>
      <c r="R5317" s="80" t="s">
        <v>36</v>
      </c>
      <c r="S5317" s="95">
        <f>2000+2000</f>
        <v>4000</v>
      </c>
      <c r="T5317" s="83" t="s">
        <v>12426</v>
      </c>
      <c r="U5317" s="95">
        <v>9968</v>
      </c>
      <c r="V5317" s="148">
        <v>45566</v>
      </c>
      <c r="W5317" s="85" t="s">
        <v>14957</v>
      </c>
      <c r="X5317" s="80"/>
      <c r="Y5317" s="22">
        <v>0</v>
      </c>
      <c r="Z5317" s="80" t="s">
        <v>50</v>
      </c>
      <c r="AA5317" s="96" t="s">
        <v>9905</v>
      </c>
      <c r="AB5317" s="80"/>
      <c r="AC5317" s="80" t="s">
        <v>53</v>
      </c>
      <c r="AD5317" s="80" t="s">
        <v>138</v>
      </c>
      <c r="AE5317" s="80" t="s">
        <v>10028</v>
      </c>
      <c r="AF5317" s="17">
        <v>45660</v>
      </c>
      <c r="AG5317" s="80"/>
      <c r="AH5317" s="80"/>
      <c r="AI5317" s="147"/>
      <c r="AJ5317" s="80"/>
      <c r="AK5317" s="80"/>
      <c r="AL5317" s="35"/>
      <c r="AM5317" s="35"/>
      <c r="AN5317" s="35"/>
      <c r="AO5317" s="35"/>
      <c r="AP5317" s="35"/>
    </row>
    <row r="5318" spans="1:42" x14ac:dyDescent="0.2">
      <c r="A5318" s="74">
        <v>45643</v>
      </c>
      <c r="B5318" s="137" t="s">
        <v>37</v>
      </c>
      <c r="C5318" s="41" t="s">
        <v>118</v>
      </c>
      <c r="D5318" s="80" t="s">
        <v>36</v>
      </c>
      <c r="E5318" s="80" t="s">
        <v>119</v>
      </c>
      <c r="F5318" s="80" t="s">
        <v>9825</v>
      </c>
      <c r="G5318" s="26" t="s">
        <v>221</v>
      </c>
      <c r="H5318" s="80" t="s">
        <v>13807</v>
      </c>
      <c r="I5318" s="17">
        <f ca="1">IFERROR(__xludf.DUMMYFUNCTION("""COMPUTED_VALUE"""),45660)</f>
        <v>45660</v>
      </c>
      <c r="J5318" s="143" t="s">
        <v>14861</v>
      </c>
      <c r="K5318" s="80" t="s">
        <v>18315</v>
      </c>
      <c r="L5318" s="30">
        <v>966289913</v>
      </c>
      <c r="M5318" s="80" t="s">
        <v>80</v>
      </c>
      <c r="N5318" s="80" t="s">
        <v>1073</v>
      </c>
      <c r="O5318" s="80" t="s">
        <v>14863</v>
      </c>
      <c r="P5318" s="80" t="s">
        <v>14864</v>
      </c>
      <c r="Q5318" s="20">
        <v>13968</v>
      </c>
      <c r="R5318" s="80" t="s">
        <v>36</v>
      </c>
      <c r="S5318" s="95">
        <f>200+3800</f>
        <v>4000</v>
      </c>
      <c r="T5318" s="83" t="s">
        <v>14865</v>
      </c>
      <c r="U5318" s="95">
        <v>9968</v>
      </c>
      <c r="V5318" s="148">
        <v>45575</v>
      </c>
      <c r="W5318" s="85" t="s">
        <v>14866</v>
      </c>
      <c r="X5318" s="80"/>
      <c r="Y5318" s="22">
        <v>0</v>
      </c>
      <c r="Z5318" s="80" t="s">
        <v>50</v>
      </c>
      <c r="AA5318" s="35" t="s">
        <v>9905</v>
      </c>
      <c r="AB5318" s="80"/>
      <c r="AC5318" s="80" t="s">
        <v>53</v>
      </c>
      <c r="AD5318" s="80" t="s">
        <v>54</v>
      </c>
      <c r="AE5318" s="80" t="s">
        <v>8541</v>
      </c>
      <c r="AF5318" s="17">
        <v>45660</v>
      </c>
      <c r="AG5318" s="80"/>
      <c r="AH5318" s="80"/>
      <c r="AI5318" s="147"/>
      <c r="AJ5318" s="80"/>
      <c r="AK5318" s="80"/>
      <c r="AL5318" s="35"/>
      <c r="AM5318" s="35"/>
      <c r="AN5318" s="35"/>
      <c r="AO5318" s="35"/>
      <c r="AP5318" s="35"/>
    </row>
    <row r="5319" spans="1:42" x14ac:dyDescent="0.2">
      <c r="A5319" s="74">
        <v>45643</v>
      </c>
      <c r="B5319" s="137" t="s">
        <v>37</v>
      </c>
      <c r="C5319" s="41" t="s">
        <v>118</v>
      </c>
      <c r="D5319" s="80" t="s">
        <v>36</v>
      </c>
      <c r="E5319" s="80" t="s">
        <v>119</v>
      </c>
      <c r="F5319" s="80" t="s">
        <v>9825</v>
      </c>
      <c r="G5319" s="26" t="s">
        <v>221</v>
      </c>
      <c r="H5319" s="80" t="s">
        <v>13807</v>
      </c>
      <c r="I5319" s="17">
        <f ca="1">IFERROR(__xludf.DUMMYFUNCTION("""COMPUTED_VALUE"""),45660)</f>
        <v>45660</v>
      </c>
      <c r="J5319" s="143" t="s">
        <v>12135</v>
      </c>
      <c r="K5319" s="80" t="s">
        <v>12136</v>
      </c>
      <c r="L5319" s="30">
        <v>912472155</v>
      </c>
      <c r="M5319" s="80" t="s">
        <v>5429</v>
      </c>
      <c r="N5319" s="80" t="s">
        <v>756</v>
      </c>
      <c r="O5319" s="80" t="s">
        <v>12137</v>
      </c>
      <c r="P5319" s="144" t="s">
        <v>18316</v>
      </c>
      <c r="Q5319" s="20">
        <v>13968</v>
      </c>
      <c r="R5319" s="80" t="s">
        <v>36</v>
      </c>
      <c r="S5319" s="95">
        <v>4000</v>
      </c>
      <c r="T5319" s="148">
        <v>45508</v>
      </c>
      <c r="U5319" s="95">
        <v>9968</v>
      </c>
      <c r="V5319" s="148">
        <v>45558</v>
      </c>
      <c r="W5319" s="85" t="s">
        <v>12139</v>
      </c>
      <c r="X5319" s="80">
        <v>0</v>
      </c>
      <c r="Y5319" s="22">
        <v>0</v>
      </c>
      <c r="Z5319" s="80" t="s">
        <v>50</v>
      </c>
      <c r="AA5319" s="96" t="s">
        <v>3291</v>
      </c>
      <c r="AB5319" s="80"/>
      <c r="AC5319" s="80" t="s">
        <v>53</v>
      </c>
      <c r="AD5319" s="80" t="s">
        <v>138</v>
      </c>
      <c r="AE5319" s="80" t="s">
        <v>9825</v>
      </c>
      <c r="AF5319" s="17">
        <v>45660</v>
      </c>
      <c r="AG5319" s="26"/>
      <c r="AH5319" s="80"/>
      <c r="AI5319" s="147">
        <v>4</v>
      </c>
      <c r="AJ5319" s="80"/>
      <c r="AK5319" s="80"/>
      <c r="AL5319" s="35"/>
      <c r="AM5319" s="35"/>
      <c r="AN5319" s="35"/>
      <c r="AO5319" s="35"/>
      <c r="AP5319" s="35"/>
    </row>
    <row r="5320" spans="1:42" x14ac:dyDescent="0.2">
      <c r="A5320" s="74">
        <v>45643</v>
      </c>
      <c r="B5320" s="137" t="s">
        <v>37</v>
      </c>
      <c r="C5320" s="41" t="s">
        <v>118</v>
      </c>
      <c r="D5320" s="26" t="s">
        <v>36</v>
      </c>
      <c r="E5320" s="26" t="s">
        <v>56</v>
      </c>
      <c r="F5320" s="26" t="s">
        <v>7355</v>
      </c>
      <c r="G5320" s="26" t="s">
        <v>221</v>
      </c>
      <c r="H5320" s="80" t="s">
        <v>13807</v>
      </c>
      <c r="I5320" s="17">
        <f ca="1">IFERROR(__xludf.DUMMYFUNCTION("""COMPUTED_VALUE"""),45660)</f>
        <v>45660</v>
      </c>
      <c r="J5320" s="29" t="s">
        <v>8260</v>
      </c>
      <c r="K5320" s="26" t="s">
        <v>8261</v>
      </c>
      <c r="L5320" s="30">
        <v>339759598</v>
      </c>
      <c r="M5320" s="26" t="s">
        <v>2755</v>
      </c>
      <c r="N5320" s="26" t="s">
        <v>2756</v>
      </c>
      <c r="O5320" s="26" t="s">
        <v>4503</v>
      </c>
      <c r="P5320" s="42" t="s">
        <v>18317</v>
      </c>
      <c r="Q5320" s="20">
        <v>9317</v>
      </c>
      <c r="R5320" s="26" t="s">
        <v>36</v>
      </c>
      <c r="S5320" s="31">
        <v>4000</v>
      </c>
      <c r="T5320" s="32">
        <v>45389</v>
      </c>
      <c r="U5320" s="31">
        <v>5317</v>
      </c>
      <c r="V5320" s="32">
        <v>45412</v>
      </c>
      <c r="W5320" s="33" t="s">
        <v>8262</v>
      </c>
      <c r="X5320" s="26"/>
      <c r="Y5320" s="22">
        <v>0</v>
      </c>
      <c r="Z5320" s="26" t="s">
        <v>118</v>
      </c>
      <c r="AA5320" s="19" t="s">
        <v>8102</v>
      </c>
      <c r="AB5320" s="26" t="s">
        <v>36</v>
      </c>
      <c r="AC5320" s="26" t="s">
        <v>53</v>
      </c>
      <c r="AD5320" s="19" t="s">
        <v>138</v>
      </c>
      <c r="AE5320" s="26" t="s">
        <v>7355</v>
      </c>
      <c r="AF5320" s="17">
        <v>45660</v>
      </c>
      <c r="AG5320" s="26"/>
      <c r="AH5320" s="26"/>
      <c r="AI5320" s="40"/>
      <c r="AJ5320" s="26"/>
      <c r="AK5320" s="26"/>
      <c r="AL5320" s="35"/>
      <c r="AM5320" s="35"/>
      <c r="AN5320" s="35"/>
      <c r="AO5320" s="35"/>
      <c r="AP5320" s="35"/>
    </row>
    <row r="5321" spans="1:42" x14ac:dyDescent="0.2">
      <c r="A5321" s="74">
        <v>45643</v>
      </c>
      <c r="B5321" s="137" t="s">
        <v>37</v>
      </c>
      <c r="C5321" s="41" t="s">
        <v>118</v>
      </c>
      <c r="D5321" s="80" t="s">
        <v>36</v>
      </c>
      <c r="E5321" s="80" t="s">
        <v>56</v>
      </c>
      <c r="F5321" s="80" t="s">
        <v>12700</v>
      </c>
      <c r="G5321" s="80" t="s">
        <v>108</v>
      </c>
      <c r="H5321" s="80" t="s">
        <v>14711</v>
      </c>
      <c r="I5321" s="17">
        <f ca="1">IFERROR(__xludf.DUMMYFUNCTION("""COMPUTED_VALUE"""),45678)</f>
        <v>45678</v>
      </c>
      <c r="J5321" s="143" t="s">
        <v>17794</v>
      </c>
      <c r="K5321" s="80" t="s">
        <v>18318</v>
      </c>
      <c r="L5321" s="30">
        <v>931768068</v>
      </c>
      <c r="M5321" s="80" t="s">
        <v>59</v>
      </c>
      <c r="N5321" s="80" t="s">
        <v>9301</v>
      </c>
      <c r="O5321" s="80" t="s">
        <v>17796</v>
      </c>
      <c r="P5321" s="80" t="s">
        <v>17797</v>
      </c>
      <c r="Q5321" s="20">
        <v>9317</v>
      </c>
      <c r="R5321" s="80" t="s">
        <v>36</v>
      </c>
      <c r="S5321" s="95">
        <v>2000</v>
      </c>
      <c r="T5321" s="148">
        <v>45598</v>
      </c>
      <c r="U5321" s="95">
        <v>7317</v>
      </c>
      <c r="V5321" s="148">
        <v>45622</v>
      </c>
      <c r="W5321" s="85" t="s">
        <v>17798</v>
      </c>
      <c r="X5321" s="80"/>
      <c r="Y5321" s="22">
        <v>0</v>
      </c>
      <c r="Z5321" s="80" t="s">
        <v>50</v>
      </c>
      <c r="AA5321" s="82" t="s">
        <v>14723</v>
      </c>
      <c r="AB5321" s="80"/>
      <c r="AC5321" s="80" t="s">
        <v>53</v>
      </c>
      <c r="AD5321" s="80" t="s">
        <v>54</v>
      </c>
      <c r="AE5321" s="80" t="s">
        <v>12700</v>
      </c>
      <c r="AF5321" s="17">
        <v>45646</v>
      </c>
      <c r="AG5321" s="80"/>
      <c r="AH5321" s="80"/>
      <c r="AI5321" s="147"/>
      <c r="AJ5321" s="80"/>
      <c r="AK5321" s="80"/>
      <c r="AL5321" s="35"/>
      <c r="AM5321" s="35"/>
      <c r="AN5321" s="35"/>
      <c r="AO5321" s="35"/>
      <c r="AP5321" s="35"/>
    </row>
    <row r="5322" spans="1:42" x14ac:dyDescent="0.2">
      <c r="A5322" s="74">
        <v>45643</v>
      </c>
      <c r="B5322" s="137" t="s">
        <v>37</v>
      </c>
      <c r="C5322" s="41" t="s">
        <v>118</v>
      </c>
      <c r="D5322" s="80" t="s">
        <v>36</v>
      </c>
      <c r="E5322" s="80" t="s">
        <v>139</v>
      </c>
      <c r="F5322" s="80" t="s">
        <v>12700</v>
      </c>
      <c r="G5322" s="80" t="s">
        <v>108</v>
      </c>
      <c r="H5322" s="80" t="s">
        <v>10033</v>
      </c>
      <c r="I5322" s="17">
        <f ca="1">IFERROR(__xludf.DUMMYFUNCTION("""COMPUTED_VALUE"""),45664)</f>
        <v>45664</v>
      </c>
      <c r="J5322" s="143" t="s">
        <v>17731</v>
      </c>
      <c r="K5322" s="80" t="s">
        <v>17732</v>
      </c>
      <c r="L5322" s="30">
        <v>327085552</v>
      </c>
      <c r="M5322" s="80" t="s">
        <v>45</v>
      </c>
      <c r="N5322" s="80" t="s">
        <v>5312</v>
      </c>
      <c r="O5322" s="85" t="s">
        <v>17733</v>
      </c>
      <c r="P5322" s="80" t="s">
        <v>17734</v>
      </c>
      <c r="Q5322" s="20">
        <v>15936</v>
      </c>
      <c r="R5322" s="80" t="s">
        <v>36</v>
      </c>
      <c r="S5322" s="95">
        <v>5736</v>
      </c>
      <c r="T5322" s="148">
        <v>45597</v>
      </c>
      <c r="U5322" s="95">
        <v>10200</v>
      </c>
      <c r="V5322" s="148">
        <v>45615</v>
      </c>
      <c r="W5322" s="85" t="s">
        <v>17735</v>
      </c>
      <c r="X5322" s="80"/>
      <c r="Y5322" s="22">
        <v>0</v>
      </c>
      <c r="Z5322" s="80" t="s">
        <v>50</v>
      </c>
      <c r="AA5322" s="86" t="s">
        <v>14723</v>
      </c>
      <c r="AB5322" s="80"/>
      <c r="AC5322" s="80" t="s">
        <v>53</v>
      </c>
      <c r="AD5322" s="80" t="s">
        <v>54</v>
      </c>
      <c r="AE5322" s="80" t="s">
        <v>12700</v>
      </c>
      <c r="AF5322" s="17">
        <v>45646</v>
      </c>
      <c r="AG5322" s="80"/>
      <c r="AH5322" s="80"/>
      <c r="AI5322" s="147"/>
      <c r="AJ5322" s="80"/>
      <c r="AK5322" s="80"/>
      <c r="AL5322" s="35"/>
      <c r="AM5322" s="35"/>
      <c r="AN5322" s="35"/>
      <c r="AO5322" s="35"/>
      <c r="AP5322" s="35"/>
    </row>
    <row r="5323" spans="1:42" x14ac:dyDescent="0.2">
      <c r="A5323" s="74">
        <v>45643</v>
      </c>
      <c r="B5323" s="137" t="s">
        <v>37</v>
      </c>
      <c r="C5323" s="41" t="s">
        <v>118</v>
      </c>
      <c r="D5323" s="26" t="s">
        <v>36</v>
      </c>
      <c r="E5323" s="26" t="s">
        <v>139</v>
      </c>
      <c r="F5323" s="26" t="s">
        <v>3439</v>
      </c>
      <c r="G5323" s="26" t="s">
        <v>221</v>
      </c>
      <c r="H5323" s="80" t="s">
        <v>13807</v>
      </c>
      <c r="I5323" s="17">
        <f ca="1">IFERROR(__xludf.DUMMYFUNCTION("""COMPUTED_VALUE"""),45660)</f>
        <v>45660</v>
      </c>
      <c r="J5323" s="29" t="s">
        <v>7166</v>
      </c>
      <c r="K5323" s="26" t="s">
        <v>7167</v>
      </c>
      <c r="L5323" s="30">
        <v>338547674</v>
      </c>
      <c r="M5323" s="26" t="s">
        <v>59</v>
      </c>
      <c r="N5323" s="26" t="s">
        <v>68</v>
      </c>
      <c r="O5323" s="26" t="s">
        <v>7168</v>
      </c>
      <c r="P5323" s="42" t="s">
        <v>18319</v>
      </c>
      <c r="Q5323" s="20">
        <v>15936</v>
      </c>
      <c r="R5323" s="26" t="s">
        <v>36</v>
      </c>
      <c r="S5323" s="31">
        <v>15963</v>
      </c>
      <c r="T5323" s="32">
        <v>45341</v>
      </c>
      <c r="U5323" s="31"/>
      <c r="V5323" s="32"/>
      <c r="W5323" s="33" t="s">
        <v>7170</v>
      </c>
      <c r="X5323" s="26"/>
      <c r="Y5323" s="22">
        <v>-27</v>
      </c>
      <c r="Z5323" s="98" t="s">
        <v>118</v>
      </c>
      <c r="AA5323" s="19" t="s">
        <v>7077</v>
      </c>
      <c r="AB5323" s="26" t="s">
        <v>36</v>
      </c>
      <c r="AC5323" s="26" t="s">
        <v>53</v>
      </c>
      <c r="AD5323" s="19" t="s">
        <v>138</v>
      </c>
      <c r="AE5323" s="26" t="s">
        <v>3439</v>
      </c>
      <c r="AF5323" s="17">
        <v>45660</v>
      </c>
      <c r="AG5323" s="26"/>
      <c r="AH5323" s="26"/>
      <c r="AI5323" s="40" t="s">
        <v>147</v>
      </c>
      <c r="AJ5323" s="26"/>
      <c r="AK5323" s="26"/>
      <c r="AL5323" s="35"/>
      <c r="AM5323" s="35"/>
      <c r="AN5323" s="35"/>
      <c r="AO5323" s="35"/>
      <c r="AP5323" s="35"/>
    </row>
    <row r="5324" spans="1:42" x14ac:dyDescent="0.2">
      <c r="A5324" s="74">
        <v>45643</v>
      </c>
      <c r="B5324" s="137" t="s">
        <v>37</v>
      </c>
      <c r="C5324" s="41" t="s">
        <v>118</v>
      </c>
      <c r="D5324" s="26" t="s">
        <v>36</v>
      </c>
      <c r="E5324" s="26" t="s">
        <v>56</v>
      </c>
      <c r="F5324" s="26" t="s">
        <v>3439</v>
      </c>
      <c r="G5324" s="26" t="s">
        <v>221</v>
      </c>
      <c r="H5324" s="80" t="s">
        <v>13807</v>
      </c>
      <c r="I5324" s="17">
        <f ca="1">IFERROR(__xludf.DUMMYFUNCTION("""COMPUTED_VALUE"""),45660)</f>
        <v>45660</v>
      </c>
      <c r="J5324" s="29" t="s">
        <v>7765</v>
      </c>
      <c r="K5324" s="26" t="s">
        <v>7766</v>
      </c>
      <c r="L5324" s="30">
        <v>342721583</v>
      </c>
      <c r="M5324" s="26" t="s">
        <v>59</v>
      </c>
      <c r="N5324" s="26" t="s">
        <v>68</v>
      </c>
      <c r="O5324" s="26" t="s">
        <v>7767</v>
      </c>
      <c r="P5324" s="42" t="s">
        <v>18320</v>
      </c>
      <c r="Q5324" s="20">
        <v>9317</v>
      </c>
      <c r="R5324" s="26" t="s">
        <v>36</v>
      </c>
      <c r="S5324" s="31">
        <v>9317</v>
      </c>
      <c r="T5324" s="32">
        <v>45359</v>
      </c>
      <c r="U5324" s="31"/>
      <c r="V5324" s="32"/>
      <c r="W5324" s="33" t="s">
        <v>7769</v>
      </c>
      <c r="X5324" s="26"/>
      <c r="Y5324" s="22">
        <v>0</v>
      </c>
      <c r="Z5324" s="98" t="s">
        <v>118</v>
      </c>
      <c r="AA5324" s="19" t="s">
        <v>7361</v>
      </c>
      <c r="AB5324" s="26" t="s">
        <v>36</v>
      </c>
      <c r="AC5324" s="26" t="s">
        <v>53</v>
      </c>
      <c r="AD5324" s="19" t="s">
        <v>138</v>
      </c>
      <c r="AE5324" s="26" t="s">
        <v>3439</v>
      </c>
      <c r="AF5324" s="17">
        <v>45660</v>
      </c>
      <c r="AG5324" s="26"/>
      <c r="AH5324" s="26"/>
      <c r="AI5324" s="40"/>
      <c r="AJ5324" s="26"/>
      <c r="AK5324" s="26"/>
      <c r="AL5324" s="35"/>
      <c r="AM5324" s="35"/>
      <c r="AN5324" s="35"/>
      <c r="AO5324" s="35"/>
      <c r="AP5324" s="35"/>
    </row>
    <row r="5325" spans="1:42" x14ac:dyDescent="0.2">
      <c r="A5325" s="74">
        <v>45644</v>
      </c>
      <c r="B5325" s="137" t="s">
        <v>37</v>
      </c>
      <c r="C5325" s="41" t="s">
        <v>118</v>
      </c>
      <c r="D5325" s="26" t="s">
        <v>36</v>
      </c>
      <c r="E5325" s="26" t="s">
        <v>139</v>
      </c>
      <c r="F5325" s="26" t="s">
        <v>6919</v>
      </c>
      <c r="G5325" s="26" t="s">
        <v>221</v>
      </c>
      <c r="H5325" s="80" t="s">
        <v>18321</v>
      </c>
      <c r="I5325" s="17">
        <f ca="1">IFERROR(__xludf.DUMMYFUNCTION("""COMPUTED_VALUE"""),45698)</f>
        <v>45698</v>
      </c>
      <c r="J5325" s="29" t="s">
        <v>10069</v>
      </c>
      <c r="K5325" s="26" t="s">
        <v>10070</v>
      </c>
      <c r="L5325" s="30">
        <v>968675852</v>
      </c>
      <c r="M5325" s="26" t="s">
        <v>80</v>
      </c>
      <c r="N5325" s="26" t="s">
        <v>1073</v>
      </c>
      <c r="O5325" s="26" t="s">
        <v>10071</v>
      </c>
      <c r="P5325" s="42" t="s">
        <v>10072</v>
      </c>
      <c r="Q5325" s="20">
        <v>15936</v>
      </c>
      <c r="R5325" s="26" t="s">
        <v>36</v>
      </c>
      <c r="S5325" s="95">
        <f>200+1800</f>
        <v>2000</v>
      </c>
      <c r="T5325" s="83" t="s">
        <v>10073</v>
      </c>
      <c r="U5325" s="95">
        <v>14000</v>
      </c>
      <c r="V5325" s="148">
        <v>45523</v>
      </c>
      <c r="W5325" s="33" t="s">
        <v>10074</v>
      </c>
      <c r="X5325" s="26">
        <v>0</v>
      </c>
      <c r="Y5325" s="22">
        <v>-64</v>
      </c>
      <c r="Z5325" s="26" t="s">
        <v>50</v>
      </c>
      <c r="AA5325" s="96"/>
      <c r="AB5325" s="26" t="s">
        <v>36</v>
      </c>
      <c r="AC5325" s="26" t="s">
        <v>53</v>
      </c>
      <c r="AD5325" s="26" t="s">
        <v>54</v>
      </c>
      <c r="AE5325" s="26" t="s">
        <v>6919</v>
      </c>
      <c r="AF5325" s="17">
        <v>45698</v>
      </c>
      <c r="AG5325" s="26"/>
      <c r="AH5325" s="26"/>
      <c r="AI5325" s="40"/>
      <c r="AJ5325" s="26"/>
      <c r="AK5325" s="26"/>
      <c r="AL5325" s="35"/>
      <c r="AM5325" s="35"/>
      <c r="AN5325" s="35"/>
      <c r="AO5325" s="35"/>
      <c r="AP5325" s="35"/>
    </row>
    <row r="5326" spans="1:42" x14ac:dyDescent="0.2">
      <c r="A5326" s="74">
        <v>45644</v>
      </c>
      <c r="B5326" s="137" t="s">
        <v>37</v>
      </c>
      <c r="C5326" s="41" t="s">
        <v>118</v>
      </c>
      <c r="D5326" s="80" t="s">
        <v>36</v>
      </c>
      <c r="E5326" s="80" t="s">
        <v>119</v>
      </c>
      <c r="F5326" s="80" t="s">
        <v>10028</v>
      </c>
      <c r="G5326" s="26" t="s">
        <v>221</v>
      </c>
      <c r="H5326" s="80" t="s">
        <v>18322</v>
      </c>
      <c r="I5326" s="17">
        <f ca="1">IFERROR(__xludf.DUMMYFUNCTION("""COMPUTED_VALUE"""),45699)</f>
        <v>45699</v>
      </c>
      <c r="J5326" s="143" t="s">
        <v>15593</v>
      </c>
      <c r="K5326" s="80" t="s">
        <v>1323</v>
      </c>
      <c r="L5326" s="30">
        <v>988159056</v>
      </c>
      <c r="M5326" s="80" t="s">
        <v>3728</v>
      </c>
      <c r="N5326" s="80" t="s">
        <v>5277</v>
      </c>
      <c r="O5326" s="80" t="s">
        <v>15594</v>
      </c>
      <c r="P5326" s="80" t="s">
        <v>11644</v>
      </c>
      <c r="Q5326" s="20">
        <v>13968</v>
      </c>
      <c r="R5326" s="80" t="s">
        <v>36</v>
      </c>
      <c r="S5326" s="95">
        <v>4000</v>
      </c>
      <c r="T5326" s="148">
        <v>45559</v>
      </c>
      <c r="U5326" s="95">
        <v>9968</v>
      </c>
      <c r="V5326" s="148">
        <v>45581</v>
      </c>
      <c r="W5326" s="85" t="s">
        <v>15595</v>
      </c>
      <c r="X5326" s="80"/>
      <c r="Y5326" s="22">
        <v>0</v>
      </c>
      <c r="Z5326" s="80" t="s">
        <v>50</v>
      </c>
      <c r="AA5326" s="35" t="s">
        <v>9905</v>
      </c>
      <c r="AB5326" s="80"/>
      <c r="AC5326" s="80" t="s">
        <v>53</v>
      </c>
      <c r="AD5326" s="80" t="s">
        <v>138</v>
      </c>
      <c r="AE5326" s="80" t="s">
        <v>10028</v>
      </c>
      <c r="AF5326" s="17">
        <v>45699</v>
      </c>
      <c r="AG5326" s="80"/>
      <c r="AH5326" s="80"/>
      <c r="AI5326" s="147"/>
      <c r="AJ5326" s="80"/>
      <c r="AK5326" s="80"/>
      <c r="AL5326" s="35"/>
      <c r="AM5326" s="35"/>
      <c r="AN5326" s="35"/>
      <c r="AO5326" s="35"/>
      <c r="AP5326" s="35"/>
    </row>
    <row r="5327" spans="1:42" x14ac:dyDescent="0.2">
      <c r="A5327" s="74">
        <v>45644</v>
      </c>
      <c r="B5327" s="137" t="s">
        <v>37</v>
      </c>
      <c r="C5327" s="41" t="s">
        <v>118</v>
      </c>
      <c r="D5327" s="26" t="s">
        <v>36</v>
      </c>
      <c r="E5327" s="26" t="s">
        <v>148</v>
      </c>
      <c r="F5327" s="26" t="s">
        <v>6250</v>
      </c>
      <c r="G5327" s="26" t="s">
        <v>221</v>
      </c>
      <c r="H5327" s="80" t="s">
        <v>18321</v>
      </c>
      <c r="I5327" s="17">
        <f ca="1">IFERROR(__xludf.DUMMYFUNCTION("""COMPUTED_VALUE"""),45698)</f>
        <v>45698</v>
      </c>
      <c r="J5327" s="29" t="s">
        <v>8837</v>
      </c>
      <c r="K5327" s="26" t="s">
        <v>8838</v>
      </c>
      <c r="L5327" s="140">
        <v>818845815</v>
      </c>
      <c r="M5327" s="26" t="s">
        <v>3288</v>
      </c>
      <c r="N5327" s="26" t="s">
        <v>200</v>
      </c>
      <c r="O5327" s="26" t="s">
        <v>8839</v>
      </c>
      <c r="P5327" s="26" t="s">
        <v>3117</v>
      </c>
      <c r="Q5327" s="20">
        <v>7349</v>
      </c>
      <c r="R5327" s="26" t="s">
        <v>36</v>
      </c>
      <c r="S5327" s="31">
        <v>7349</v>
      </c>
      <c r="T5327" s="32">
        <v>45106</v>
      </c>
      <c r="U5327" s="31"/>
      <c r="V5327" s="32"/>
      <c r="W5327" s="33" t="s">
        <v>8840</v>
      </c>
      <c r="X5327" s="26"/>
      <c r="Y5327" s="22">
        <v>0</v>
      </c>
      <c r="Z5327" s="26" t="s">
        <v>50</v>
      </c>
      <c r="AA5327" s="19" t="s">
        <v>8721</v>
      </c>
      <c r="AB5327" s="26"/>
      <c r="AC5327" s="26" t="s">
        <v>53</v>
      </c>
      <c r="AD5327" s="19" t="s">
        <v>138</v>
      </c>
      <c r="AE5327" s="26" t="s">
        <v>6250</v>
      </c>
      <c r="AF5327" s="17">
        <v>45698</v>
      </c>
      <c r="AG5327" s="26"/>
      <c r="AH5327" s="26"/>
      <c r="AI5327" s="40"/>
      <c r="AJ5327" s="26"/>
      <c r="AK5327" s="26"/>
      <c r="AL5327" s="35"/>
      <c r="AM5327" s="35"/>
      <c r="AN5327" s="35"/>
      <c r="AO5327" s="35"/>
      <c r="AP5327" s="35"/>
    </row>
    <row r="5328" spans="1:42" x14ac:dyDescent="0.2">
      <c r="A5328" s="74">
        <v>45644</v>
      </c>
      <c r="B5328" s="28" t="s">
        <v>37</v>
      </c>
      <c r="C5328" s="41" t="s">
        <v>118</v>
      </c>
      <c r="D5328" s="26" t="s">
        <v>36</v>
      </c>
      <c r="E5328" s="26" t="s">
        <v>139</v>
      </c>
      <c r="F5328" s="26" t="s">
        <v>7204</v>
      </c>
      <c r="G5328" s="26" t="s">
        <v>221</v>
      </c>
      <c r="H5328" s="26" t="s">
        <v>18290</v>
      </c>
      <c r="I5328" s="17">
        <f ca="1">IFERROR(__xludf.DUMMYFUNCTION("""COMPUTED_VALUE"""),45653)</f>
        <v>45653</v>
      </c>
      <c r="J5328" s="29" t="s">
        <v>10150</v>
      </c>
      <c r="K5328" s="26" t="s">
        <v>10151</v>
      </c>
      <c r="L5328" s="47">
        <v>392890467</v>
      </c>
      <c r="M5328" s="26" t="s">
        <v>80</v>
      </c>
      <c r="N5328" s="26" t="s">
        <v>466</v>
      </c>
      <c r="O5328" s="26" t="s">
        <v>10152</v>
      </c>
      <c r="P5328" s="42" t="s">
        <v>10153</v>
      </c>
      <c r="Q5328" s="20">
        <v>15936</v>
      </c>
      <c r="R5328" s="26" t="s">
        <v>36</v>
      </c>
      <c r="S5328" s="95">
        <f>200+1800</f>
        <v>2000</v>
      </c>
      <c r="T5328" s="83" t="s">
        <v>10154</v>
      </c>
      <c r="U5328" s="95">
        <v>13936</v>
      </c>
      <c r="V5328" s="148">
        <v>45532</v>
      </c>
      <c r="W5328" s="33" t="s">
        <v>10155</v>
      </c>
      <c r="X5328" s="26">
        <v>0</v>
      </c>
      <c r="Y5328" s="22">
        <v>0</v>
      </c>
      <c r="Z5328" s="26" t="s">
        <v>50</v>
      </c>
      <c r="AA5328" s="35"/>
      <c r="AB5328" s="26"/>
      <c r="AC5328" s="26" t="s">
        <v>53</v>
      </c>
      <c r="AD5328" s="26" t="s">
        <v>54</v>
      </c>
      <c r="AE5328" s="26" t="s">
        <v>7204</v>
      </c>
      <c r="AF5328" s="17">
        <v>45646</v>
      </c>
      <c r="AG5328" s="26"/>
      <c r="AH5328" s="26"/>
      <c r="AI5328" s="40"/>
      <c r="AJ5328" s="26"/>
      <c r="AK5328" s="26"/>
      <c r="AL5328" s="35"/>
      <c r="AM5328" s="35"/>
      <c r="AN5328" s="35"/>
      <c r="AO5328" s="35"/>
      <c r="AP5328" s="35"/>
    </row>
    <row r="5329" spans="1:42" x14ac:dyDescent="0.2">
      <c r="A5329" s="74">
        <v>45644</v>
      </c>
      <c r="B5329" s="137" t="s">
        <v>37</v>
      </c>
      <c r="C5329" s="41" t="s">
        <v>118</v>
      </c>
      <c r="D5329" s="80" t="s">
        <v>36</v>
      </c>
      <c r="E5329" s="80" t="s">
        <v>119</v>
      </c>
      <c r="F5329" s="80" t="s">
        <v>10028</v>
      </c>
      <c r="G5329" s="26" t="s">
        <v>221</v>
      </c>
      <c r="H5329" s="80" t="s">
        <v>18323</v>
      </c>
      <c r="I5329" s="17">
        <f ca="1">IFERROR(__xludf.DUMMYFUNCTION("""COMPUTED_VALUE"""),45698)</f>
        <v>45698</v>
      </c>
      <c r="J5329" s="143" t="s">
        <v>15443</v>
      </c>
      <c r="K5329" s="80" t="s">
        <v>18324</v>
      </c>
      <c r="L5329" s="30">
        <v>943926136</v>
      </c>
      <c r="M5329" s="80" t="s">
        <v>3728</v>
      </c>
      <c r="N5329" s="80" t="s">
        <v>5312</v>
      </c>
      <c r="O5329" s="80" t="s">
        <v>15445</v>
      </c>
      <c r="P5329" s="80" t="s">
        <v>6368</v>
      </c>
      <c r="Q5329" s="20">
        <v>13968</v>
      </c>
      <c r="R5329" s="80" t="s">
        <v>36</v>
      </c>
      <c r="S5329" s="95">
        <f t="shared" ref="S5329:S5330" si="133">200+3800</f>
        <v>4000</v>
      </c>
      <c r="T5329" s="83" t="s">
        <v>14571</v>
      </c>
      <c r="U5329" s="95">
        <v>9968</v>
      </c>
      <c r="V5329" s="148">
        <v>45596</v>
      </c>
      <c r="W5329" s="85" t="s">
        <v>15446</v>
      </c>
      <c r="X5329" s="80"/>
      <c r="Y5329" s="22">
        <v>0</v>
      </c>
      <c r="Z5329" s="80" t="s">
        <v>50</v>
      </c>
      <c r="AA5329" s="96" t="s">
        <v>9905</v>
      </c>
      <c r="AB5329" s="80"/>
      <c r="AC5329" s="80" t="s">
        <v>53</v>
      </c>
      <c r="AD5329" s="80" t="s">
        <v>138</v>
      </c>
      <c r="AE5329" s="80" t="s">
        <v>10028</v>
      </c>
      <c r="AF5329" s="17">
        <v>45698</v>
      </c>
      <c r="AG5329" s="80"/>
      <c r="AH5329" s="80"/>
      <c r="AI5329" s="147"/>
      <c r="AJ5329" s="80"/>
      <c r="AK5329" s="80"/>
      <c r="AL5329" s="35"/>
      <c r="AM5329" s="35"/>
      <c r="AN5329" s="35"/>
      <c r="AO5329" s="35"/>
      <c r="AP5329" s="35"/>
    </row>
    <row r="5330" spans="1:42" x14ac:dyDescent="0.2">
      <c r="A5330" s="74">
        <v>45644</v>
      </c>
      <c r="B5330" s="137" t="s">
        <v>37</v>
      </c>
      <c r="C5330" s="41" t="s">
        <v>118</v>
      </c>
      <c r="D5330" s="80" t="s">
        <v>36</v>
      </c>
      <c r="E5330" s="80" t="s">
        <v>119</v>
      </c>
      <c r="F5330" s="80" t="s">
        <v>10028</v>
      </c>
      <c r="G5330" s="26" t="s">
        <v>221</v>
      </c>
      <c r="H5330" s="80" t="s">
        <v>18323</v>
      </c>
      <c r="I5330" s="17">
        <f ca="1">IFERROR(__xludf.DUMMYFUNCTION("""COMPUTED_VALUE"""),45698)</f>
        <v>45698</v>
      </c>
      <c r="J5330" s="143" t="s">
        <v>15476</v>
      </c>
      <c r="K5330" s="80" t="s">
        <v>18325</v>
      </c>
      <c r="L5330" s="30">
        <v>834332006</v>
      </c>
      <c r="M5330" s="80" t="s">
        <v>12720</v>
      </c>
      <c r="N5330" s="80" t="s">
        <v>1073</v>
      </c>
      <c r="O5330" s="80" t="s">
        <v>15478</v>
      </c>
      <c r="P5330" s="80" t="s">
        <v>15479</v>
      </c>
      <c r="Q5330" s="20">
        <v>13968</v>
      </c>
      <c r="R5330" s="80" t="s">
        <v>36</v>
      </c>
      <c r="S5330" s="95">
        <f t="shared" si="133"/>
        <v>4000</v>
      </c>
      <c r="T5330" s="83" t="s">
        <v>14506</v>
      </c>
      <c r="U5330" s="95">
        <v>9968</v>
      </c>
      <c r="V5330" s="148">
        <v>45585</v>
      </c>
      <c r="W5330" s="85" t="s">
        <v>15480</v>
      </c>
      <c r="X5330" s="80"/>
      <c r="Y5330" s="22">
        <v>0</v>
      </c>
      <c r="Z5330" s="80" t="s">
        <v>50</v>
      </c>
      <c r="AA5330" s="35" t="s">
        <v>9905</v>
      </c>
      <c r="AB5330" s="80"/>
      <c r="AC5330" s="80" t="s">
        <v>53</v>
      </c>
      <c r="AD5330" s="80" t="s">
        <v>138</v>
      </c>
      <c r="AE5330" s="80" t="s">
        <v>10028</v>
      </c>
      <c r="AF5330" s="17">
        <v>45698</v>
      </c>
      <c r="AG5330" s="80"/>
      <c r="AH5330" s="80"/>
      <c r="AI5330" s="147"/>
      <c r="AJ5330" s="80"/>
      <c r="AK5330" s="80"/>
      <c r="AL5330" s="35"/>
      <c r="AM5330" s="35"/>
      <c r="AN5330" s="35"/>
      <c r="AO5330" s="35"/>
      <c r="AP5330" s="35"/>
    </row>
    <row r="5331" spans="1:42" x14ac:dyDescent="0.2">
      <c r="A5331" s="74">
        <v>45644</v>
      </c>
      <c r="B5331" s="137" t="s">
        <v>37</v>
      </c>
      <c r="C5331" s="41" t="s">
        <v>118</v>
      </c>
      <c r="D5331" s="80" t="s">
        <v>36</v>
      </c>
      <c r="E5331" s="80" t="s">
        <v>119</v>
      </c>
      <c r="F5331" s="80" t="s">
        <v>6919</v>
      </c>
      <c r="G5331" s="26" t="s">
        <v>221</v>
      </c>
      <c r="H5331" s="80" t="s">
        <v>18321</v>
      </c>
      <c r="I5331" s="17">
        <f ca="1">IFERROR(__xludf.DUMMYFUNCTION("""COMPUTED_VALUE"""),45698)</f>
        <v>45698</v>
      </c>
      <c r="J5331" s="143" t="s">
        <v>12989</v>
      </c>
      <c r="K5331" s="80" t="s">
        <v>12990</v>
      </c>
      <c r="L5331" s="30">
        <v>363231027</v>
      </c>
      <c r="M5331" s="80" t="s">
        <v>9422</v>
      </c>
      <c r="N5331" s="80" t="s">
        <v>12621</v>
      </c>
      <c r="O5331" s="80" t="s">
        <v>11607</v>
      </c>
      <c r="P5331" s="80" t="s">
        <v>11608</v>
      </c>
      <c r="Q5331" s="20">
        <v>13968</v>
      </c>
      <c r="R5331" s="80" t="s">
        <v>70</v>
      </c>
      <c r="S5331" s="95">
        <v>3768</v>
      </c>
      <c r="T5331" s="148">
        <v>45546</v>
      </c>
      <c r="U5331" s="95">
        <v>10200</v>
      </c>
      <c r="V5331" s="148">
        <v>45555</v>
      </c>
      <c r="W5331" s="85" t="s">
        <v>12991</v>
      </c>
      <c r="X5331" s="80">
        <v>100</v>
      </c>
      <c r="Y5331" s="22">
        <v>-100</v>
      </c>
      <c r="Z5331" s="80" t="s">
        <v>50</v>
      </c>
      <c r="AA5331" s="96" t="s">
        <v>3291</v>
      </c>
      <c r="AB5331" s="80"/>
      <c r="AC5331" s="80" t="s">
        <v>53</v>
      </c>
      <c r="AD5331" s="80" t="s">
        <v>138</v>
      </c>
      <c r="AE5331" s="80" t="s">
        <v>6919</v>
      </c>
      <c r="AF5331" s="17">
        <v>45698</v>
      </c>
      <c r="AG5331" s="26"/>
      <c r="AH5331" s="80"/>
      <c r="AI5331" s="147">
        <v>4</v>
      </c>
      <c r="AJ5331" s="80"/>
      <c r="AK5331" s="80"/>
      <c r="AL5331" s="35"/>
      <c r="AM5331" s="35"/>
      <c r="AN5331" s="35"/>
      <c r="AO5331" s="35"/>
      <c r="AP5331" s="35"/>
    </row>
    <row r="5332" spans="1:42" x14ac:dyDescent="0.2">
      <c r="A5332" s="74">
        <v>45644</v>
      </c>
      <c r="B5332" s="137" t="s">
        <v>37</v>
      </c>
      <c r="C5332" s="41" t="s">
        <v>118</v>
      </c>
      <c r="D5332" s="26" t="s">
        <v>36</v>
      </c>
      <c r="E5332" s="26" t="s">
        <v>119</v>
      </c>
      <c r="F5332" s="26" t="s">
        <v>6250</v>
      </c>
      <c r="G5332" s="26" t="s">
        <v>221</v>
      </c>
      <c r="H5332" s="80" t="s">
        <v>18321</v>
      </c>
      <c r="I5332" s="17">
        <f ca="1">IFERROR(__xludf.DUMMYFUNCTION("""COMPUTED_VALUE"""),45698)</f>
        <v>45698</v>
      </c>
      <c r="J5332" s="29" t="s">
        <v>10433</v>
      </c>
      <c r="K5332" s="26" t="s">
        <v>10434</v>
      </c>
      <c r="L5332" s="47">
        <v>367235311</v>
      </c>
      <c r="M5332" s="26" t="s">
        <v>80</v>
      </c>
      <c r="N5332" s="26" t="s">
        <v>466</v>
      </c>
      <c r="O5332" s="26" t="s">
        <v>10435</v>
      </c>
      <c r="P5332" s="26" t="s">
        <v>10436</v>
      </c>
      <c r="Q5332" s="20">
        <v>13968</v>
      </c>
      <c r="R5332" s="26" t="s">
        <v>36</v>
      </c>
      <c r="S5332" s="95">
        <f>200+3800</f>
        <v>4000</v>
      </c>
      <c r="T5332" s="83" t="s">
        <v>10437</v>
      </c>
      <c r="U5332" s="95">
        <v>9968</v>
      </c>
      <c r="V5332" s="148">
        <v>45512</v>
      </c>
      <c r="W5332" s="33" t="s">
        <v>10438</v>
      </c>
      <c r="X5332" s="26">
        <v>0</v>
      </c>
      <c r="Y5332" s="22">
        <v>0</v>
      </c>
      <c r="Z5332" s="26" t="s">
        <v>50</v>
      </c>
      <c r="AA5332" s="35" t="s">
        <v>10314</v>
      </c>
      <c r="AB5332" s="26"/>
      <c r="AC5332" s="26" t="s">
        <v>53</v>
      </c>
      <c r="AD5332" s="26" t="s">
        <v>138</v>
      </c>
      <c r="AE5332" s="26" t="s">
        <v>6250</v>
      </c>
      <c r="AF5332" s="17">
        <v>45698</v>
      </c>
      <c r="AG5332" s="26"/>
      <c r="AH5332" s="26"/>
      <c r="AI5332" s="40"/>
      <c r="AJ5332" s="26"/>
      <c r="AK5332" s="26"/>
      <c r="AL5332" s="35"/>
      <c r="AM5332" s="35"/>
      <c r="AN5332" s="35"/>
      <c r="AO5332" s="35"/>
      <c r="AP5332" s="35"/>
    </row>
    <row r="5333" spans="1:42" x14ac:dyDescent="0.2">
      <c r="A5333" s="74">
        <v>45644</v>
      </c>
      <c r="B5333" s="28" t="s">
        <v>37</v>
      </c>
      <c r="C5333" s="41" t="s">
        <v>118</v>
      </c>
      <c r="D5333" s="26" t="s">
        <v>36</v>
      </c>
      <c r="E5333" s="26" t="s">
        <v>139</v>
      </c>
      <c r="F5333" s="26" t="s">
        <v>7204</v>
      </c>
      <c r="G5333" s="26" t="s">
        <v>221</v>
      </c>
      <c r="H5333" s="26" t="s">
        <v>18290</v>
      </c>
      <c r="I5333" s="17">
        <f ca="1">IFERROR(__xludf.DUMMYFUNCTION("""COMPUTED_VALUE"""),45653)</f>
        <v>45653</v>
      </c>
      <c r="J5333" s="29" t="s">
        <v>10127</v>
      </c>
      <c r="K5333" s="26" t="s">
        <v>10128</v>
      </c>
      <c r="L5333" s="30">
        <v>372255172</v>
      </c>
      <c r="M5333" s="26" t="s">
        <v>80</v>
      </c>
      <c r="N5333" s="26" t="s">
        <v>1073</v>
      </c>
      <c r="O5333" s="26" t="s">
        <v>10129</v>
      </c>
      <c r="P5333" s="42" t="s">
        <v>10130</v>
      </c>
      <c r="Q5333" s="20">
        <v>15936</v>
      </c>
      <c r="R5333" s="26" t="s">
        <v>36</v>
      </c>
      <c r="S5333" s="95">
        <f>200+1800</f>
        <v>2000</v>
      </c>
      <c r="T5333" s="83" t="s">
        <v>10131</v>
      </c>
      <c r="U5333" s="95">
        <v>13936</v>
      </c>
      <c r="V5333" s="148">
        <v>45515</v>
      </c>
      <c r="W5333" s="33" t="s">
        <v>10132</v>
      </c>
      <c r="X5333" s="26">
        <v>0</v>
      </c>
      <c r="Y5333" s="22">
        <v>0</v>
      </c>
      <c r="Z5333" s="26" t="s">
        <v>50</v>
      </c>
      <c r="AA5333" s="96"/>
      <c r="AB5333" s="26"/>
      <c r="AC5333" s="26" t="s">
        <v>53</v>
      </c>
      <c r="AD5333" s="26" t="s">
        <v>54</v>
      </c>
      <c r="AE5333" s="26" t="s">
        <v>7204</v>
      </c>
      <c r="AF5333" s="17">
        <v>45646</v>
      </c>
      <c r="AG5333" s="26"/>
      <c r="AH5333" s="26"/>
      <c r="AI5333" s="40"/>
      <c r="AJ5333" s="26"/>
      <c r="AK5333" s="26"/>
      <c r="AL5333" s="35"/>
      <c r="AM5333" s="35"/>
      <c r="AN5333" s="35"/>
      <c r="AO5333" s="35"/>
      <c r="AP5333" s="35"/>
    </row>
    <row r="5334" spans="1:42" x14ac:dyDescent="0.2">
      <c r="A5334" s="74">
        <v>45644</v>
      </c>
      <c r="B5334" s="137" t="s">
        <v>37</v>
      </c>
      <c r="C5334" s="41" t="s">
        <v>118</v>
      </c>
      <c r="D5334" s="80" t="s">
        <v>36</v>
      </c>
      <c r="E5334" s="80" t="s">
        <v>139</v>
      </c>
      <c r="F5334" s="80" t="s">
        <v>13254</v>
      </c>
      <c r="G5334" s="80" t="s">
        <v>108</v>
      </c>
      <c r="H5334" s="80" t="s">
        <v>13798</v>
      </c>
      <c r="I5334" s="17">
        <f ca="1">IFERROR(__xludf.DUMMYFUNCTION("""COMPUTED_VALUE"""),45741)</f>
        <v>45741</v>
      </c>
      <c r="J5334" s="143" t="s">
        <v>15685</v>
      </c>
      <c r="K5334" s="80" t="s">
        <v>18326</v>
      </c>
      <c r="L5334" s="30">
        <v>987001377</v>
      </c>
      <c r="M5334" s="80" t="s">
        <v>5518</v>
      </c>
      <c r="N5334" s="80" t="s">
        <v>12380</v>
      </c>
      <c r="O5334" s="80" t="s">
        <v>15687</v>
      </c>
      <c r="P5334" s="144" t="s">
        <v>15688</v>
      </c>
      <c r="Q5334" s="20">
        <v>15936</v>
      </c>
      <c r="R5334" s="80" t="s">
        <v>36</v>
      </c>
      <c r="S5334" s="95">
        <v>2000</v>
      </c>
      <c r="T5334" s="148">
        <v>45561</v>
      </c>
      <c r="U5334" s="95">
        <v>13936</v>
      </c>
      <c r="V5334" s="148">
        <v>45584</v>
      </c>
      <c r="W5334" s="85" t="s">
        <v>15689</v>
      </c>
      <c r="X5334" s="80"/>
      <c r="Y5334" s="22">
        <v>0</v>
      </c>
      <c r="Z5334" s="80" t="s">
        <v>50</v>
      </c>
      <c r="AA5334" s="35" t="s">
        <v>9905</v>
      </c>
      <c r="AB5334" s="80"/>
      <c r="AC5334" s="80" t="s">
        <v>53</v>
      </c>
      <c r="AD5334" s="80" t="s">
        <v>54</v>
      </c>
      <c r="AE5334" s="80" t="s">
        <v>13254</v>
      </c>
      <c r="AF5334" s="17">
        <v>45653</v>
      </c>
      <c r="AG5334" s="80" t="s">
        <v>18327</v>
      </c>
      <c r="AH5334" s="80"/>
      <c r="AI5334" s="147"/>
      <c r="AJ5334" s="80"/>
      <c r="AK5334" s="80"/>
      <c r="AL5334" s="35"/>
      <c r="AM5334" s="35"/>
      <c r="AN5334" s="35"/>
      <c r="AO5334" s="35"/>
      <c r="AP5334" s="35"/>
    </row>
    <row r="5335" spans="1:42" x14ac:dyDescent="0.2">
      <c r="A5335" s="74">
        <v>45644</v>
      </c>
      <c r="B5335" s="137" t="s">
        <v>37</v>
      </c>
      <c r="C5335" s="41" t="s">
        <v>118</v>
      </c>
      <c r="D5335" s="80" t="s">
        <v>36</v>
      </c>
      <c r="E5335" s="80" t="s">
        <v>139</v>
      </c>
      <c r="F5335" s="80" t="s">
        <v>13143</v>
      </c>
      <c r="G5335" s="80" t="s">
        <v>108</v>
      </c>
      <c r="H5335" s="80" t="s">
        <v>18328</v>
      </c>
      <c r="I5335" s="17">
        <f ca="1">IFERROR(__xludf.DUMMYFUNCTION("""COMPUTED_VALUE"""),45653)</f>
        <v>45653</v>
      </c>
      <c r="J5335" s="143" t="s">
        <v>17400</v>
      </c>
      <c r="K5335" s="80" t="s">
        <v>17401</v>
      </c>
      <c r="L5335" s="30">
        <v>886896215</v>
      </c>
      <c r="M5335" s="80" t="s">
        <v>12720</v>
      </c>
      <c r="N5335" s="80" t="s">
        <v>1073</v>
      </c>
      <c r="O5335" s="80" t="s">
        <v>17402</v>
      </c>
      <c r="P5335" s="80" t="s">
        <v>14120</v>
      </c>
      <c r="Q5335" s="20">
        <v>15936</v>
      </c>
      <c r="R5335" s="80" t="s">
        <v>36</v>
      </c>
      <c r="S5335" s="95">
        <f>200+1800</f>
        <v>2000</v>
      </c>
      <c r="T5335" s="83" t="s">
        <v>17403</v>
      </c>
      <c r="U5335" s="95">
        <v>13936</v>
      </c>
      <c r="V5335" s="148">
        <v>45624</v>
      </c>
      <c r="W5335" s="85" t="s">
        <v>17404</v>
      </c>
      <c r="X5335" s="80"/>
      <c r="Y5335" s="22">
        <v>0</v>
      </c>
      <c r="Z5335" s="80" t="s">
        <v>50</v>
      </c>
      <c r="AA5335" s="86" t="s">
        <v>14723</v>
      </c>
      <c r="AB5335" s="80"/>
      <c r="AC5335" s="80" t="s">
        <v>53</v>
      </c>
      <c r="AD5335" s="80" t="s">
        <v>138</v>
      </c>
      <c r="AE5335" s="80" t="s">
        <v>13143</v>
      </c>
      <c r="AF5335" s="17">
        <v>45653</v>
      </c>
      <c r="AG5335" s="80" t="s">
        <v>18327</v>
      </c>
      <c r="AH5335" s="80"/>
      <c r="AI5335" s="147"/>
      <c r="AJ5335" s="80"/>
      <c r="AK5335" s="80"/>
      <c r="AL5335" s="35"/>
      <c r="AM5335" s="35"/>
      <c r="AN5335" s="35"/>
      <c r="AO5335" s="35"/>
      <c r="AP5335" s="35"/>
    </row>
    <row r="5336" spans="1:42" x14ac:dyDescent="0.2">
      <c r="A5336" s="74">
        <v>45644</v>
      </c>
      <c r="B5336" s="137" t="s">
        <v>37</v>
      </c>
      <c r="C5336" s="41" t="s">
        <v>118</v>
      </c>
      <c r="D5336" s="80" t="s">
        <v>36</v>
      </c>
      <c r="E5336" s="80" t="s">
        <v>139</v>
      </c>
      <c r="F5336" s="80" t="s">
        <v>13143</v>
      </c>
      <c r="G5336" s="80" t="s">
        <v>108</v>
      </c>
      <c r="H5336" s="80" t="s">
        <v>18328</v>
      </c>
      <c r="I5336" s="17">
        <f ca="1">IFERROR(__xludf.DUMMYFUNCTION("""COMPUTED_VALUE"""),45653)</f>
        <v>45653</v>
      </c>
      <c r="J5336" s="143" t="s">
        <v>17405</v>
      </c>
      <c r="K5336" s="80" t="s">
        <v>18329</v>
      </c>
      <c r="L5336" s="30">
        <v>353292027</v>
      </c>
      <c r="M5336" s="80" t="s">
        <v>5558</v>
      </c>
      <c r="N5336" s="80" t="s">
        <v>850</v>
      </c>
      <c r="O5336" s="80" t="s">
        <v>17407</v>
      </c>
      <c r="P5336" s="80" t="s">
        <v>17408</v>
      </c>
      <c r="Q5336" s="20">
        <v>15936</v>
      </c>
      <c r="R5336" s="80" t="s">
        <v>36</v>
      </c>
      <c r="S5336" s="95">
        <v>2000</v>
      </c>
      <c r="T5336" s="148">
        <v>45568</v>
      </c>
      <c r="U5336" s="95">
        <v>13936</v>
      </c>
      <c r="V5336" s="148">
        <v>45621</v>
      </c>
      <c r="W5336" s="85" t="s">
        <v>17409</v>
      </c>
      <c r="X5336" s="80"/>
      <c r="Y5336" s="22">
        <v>0</v>
      </c>
      <c r="Z5336" s="80" t="s">
        <v>50</v>
      </c>
      <c r="AA5336" s="86" t="s">
        <v>14723</v>
      </c>
      <c r="AB5336" s="80"/>
      <c r="AC5336" s="80" t="s">
        <v>53</v>
      </c>
      <c r="AD5336" s="80" t="s">
        <v>138</v>
      </c>
      <c r="AE5336" s="80" t="s">
        <v>13143</v>
      </c>
      <c r="AF5336" s="17">
        <v>45653</v>
      </c>
      <c r="AG5336" s="80" t="s">
        <v>18327</v>
      </c>
      <c r="AH5336" s="80"/>
      <c r="AI5336" s="147"/>
      <c r="AJ5336" s="80"/>
      <c r="AK5336" s="80"/>
      <c r="AL5336" s="35"/>
      <c r="AM5336" s="35"/>
      <c r="AN5336" s="35"/>
      <c r="AO5336" s="35"/>
      <c r="AP5336" s="35"/>
    </row>
    <row r="5337" spans="1:42" x14ac:dyDescent="0.2">
      <c r="A5337" s="74">
        <v>45644</v>
      </c>
      <c r="B5337" s="137" t="s">
        <v>37</v>
      </c>
      <c r="C5337" s="41" t="s">
        <v>118</v>
      </c>
      <c r="D5337" s="80" t="s">
        <v>36</v>
      </c>
      <c r="E5337" s="80" t="s">
        <v>39</v>
      </c>
      <c r="F5337" s="80" t="s">
        <v>13143</v>
      </c>
      <c r="G5337" s="80" t="s">
        <v>108</v>
      </c>
      <c r="H5337" s="80" t="s">
        <v>18328</v>
      </c>
      <c r="I5337" s="17">
        <f ca="1">IFERROR(__xludf.DUMMYFUNCTION("""COMPUTED_VALUE"""),45653)</f>
        <v>45653</v>
      </c>
      <c r="J5337" s="143" t="s">
        <v>17432</v>
      </c>
      <c r="K5337" s="80" t="s">
        <v>242</v>
      </c>
      <c r="L5337" s="30">
        <v>352743727</v>
      </c>
      <c r="M5337" s="80" t="s">
        <v>5558</v>
      </c>
      <c r="N5337" s="80" t="s">
        <v>850</v>
      </c>
      <c r="O5337" s="80" t="s">
        <v>4503</v>
      </c>
      <c r="P5337" s="80" t="s">
        <v>14107</v>
      </c>
      <c r="Q5337" s="20">
        <v>5736</v>
      </c>
      <c r="R5337" s="80" t="s">
        <v>36</v>
      </c>
      <c r="S5337" s="95">
        <v>2000</v>
      </c>
      <c r="T5337" s="148">
        <v>45573</v>
      </c>
      <c r="U5337" s="95">
        <v>3736</v>
      </c>
      <c r="V5337" s="148">
        <v>45615</v>
      </c>
      <c r="W5337" s="85" t="s">
        <v>17433</v>
      </c>
      <c r="X5337" s="80"/>
      <c r="Y5337" s="22">
        <v>0</v>
      </c>
      <c r="Z5337" s="80" t="s">
        <v>50</v>
      </c>
      <c r="AA5337" s="82" t="s">
        <v>14723</v>
      </c>
      <c r="AB5337" s="80"/>
      <c r="AC5337" s="80" t="s">
        <v>53</v>
      </c>
      <c r="AD5337" s="80" t="s">
        <v>138</v>
      </c>
      <c r="AE5337" s="80" t="s">
        <v>13143</v>
      </c>
      <c r="AF5337" s="17">
        <v>45653</v>
      </c>
      <c r="AG5337" s="80" t="s">
        <v>18327</v>
      </c>
      <c r="AH5337" s="80"/>
      <c r="AI5337" s="147"/>
      <c r="AJ5337" s="80"/>
      <c r="AK5337" s="80"/>
      <c r="AL5337" s="35"/>
      <c r="AM5337" s="35"/>
      <c r="AN5337" s="35"/>
      <c r="AO5337" s="35"/>
      <c r="AP5337" s="35"/>
    </row>
    <row r="5338" spans="1:42" x14ac:dyDescent="0.2">
      <c r="A5338" s="74">
        <v>45644</v>
      </c>
      <c r="B5338" s="137" t="s">
        <v>37</v>
      </c>
      <c r="C5338" s="41" t="s">
        <v>118</v>
      </c>
      <c r="D5338" s="80" t="s">
        <v>36</v>
      </c>
      <c r="E5338" s="80" t="s">
        <v>39</v>
      </c>
      <c r="F5338" s="80" t="s">
        <v>13143</v>
      </c>
      <c r="G5338" s="80" t="s">
        <v>108</v>
      </c>
      <c r="H5338" s="80" t="s">
        <v>18328</v>
      </c>
      <c r="I5338" s="17">
        <f ca="1">IFERROR(__xludf.DUMMYFUNCTION("""COMPUTED_VALUE"""),45653)</f>
        <v>45653</v>
      </c>
      <c r="J5338" s="143" t="s">
        <v>17448</v>
      </c>
      <c r="K5338" s="80" t="s">
        <v>17449</v>
      </c>
      <c r="L5338" s="30">
        <v>981109580</v>
      </c>
      <c r="M5338" s="80" t="s">
        <v>5558</v>
      </c>
      <c r="N5338" s="80" t="s">
        <v>5559</v>
      </c>
      <c r="O5338" s="80" t="s">
        <v>4503</v>
      </c>
      <c r="P5338" s="80" t="s">
        <v>17450</v>
      </c>
      <c r="Q5338" s="20">
        <v>5736</v>
      </c>
      <c r="R5338" s="80" t="s">
        <v>36</v>
      </c>
      <c r="S5338" s="95">
        <v>2000</v>
      </c>
      <c r="T5338" s="148">
        <v>45575</v>
      </c>
      <c r="U5338" s="95">
        <v>3736</v>
      </c>
      <c r="V5338" s="148">
        <v>45617</v>
      </c>
      <c r="W5338" s="85" t="s">
        <v>17451</v>
      </c>
      <c r="X5338" s="80"/>
      <c r="Y5338" s="22">
        <v>0</v>
      </c>
      <c r="Z5338" s="80" t="s">
        <v>50</v>
      </c>
      <c r="AA5338" s="86" t="s">
        <v>14723</v>
      </c>
      <c r="AB5338" s="80"/>
      <c r="AC5338" s="80" t="s">
        <v>53</v>
      </c>
      <c r="AD5338" s="80" t="s">
        <v>138</v>
      </c>
      <c r="AE5338" s="80" t="s">
        <v>13143</v>
      </c>
      <c r="AF5338" s="17">
        <v>45653</v>
      </c>
      <c r="AG5338" s="80" t="s">
        <v>7078</v>
      </c>
      <c r="AH5338" s="80"/>
      <c r="AI5338" s="147"/>
      <c r="AJ5338" s="80"/>
      <c r="AK5338" s="80"/>
      <c r="AL5338" s="35"/>
      <c r="AM5338" s="35"/>
      <c r="AN5338" s="35"/>
      <c r="AO5338" s="35"/>
      <c r="AP5338" s="35"/>
    </row>
    <row r="5339" spans="1:42" x14ac:dyDescent="0.2">
      <c r="A5339" s="74">
        <v>45644</v>
      </c>
      <c r="B5339" s="137" t="s">
        <v>37</v>
      </c>
      <c r="C5339" s="41" t="s">
        <v>118</v>
      </c>
      <c r="D5339" s="80" t="s">
        <v>36</v>
      </c>
      <c r="E5339" s="80" t="s">
        <v>139</v>
      </c>
      <c r="F5339" s="80" t="s">
        <v>13143</v>
      </c>
      <c r="G5339" s="80" t="s">
        <v>108</v>
      </c>
      <c r="H5339" s="80" t="s">
        <v>18328</v>
      </c>
      <c r="I5339" s="17">
        <f ca="1">IFERROR(__xludf.DUMMYFUNCTION("""COMPUTED_VALUE"""),45653)</f>
        <v>45653</v>
      </c>
      <c r="J5339" s="143" t="s">
        <v>17534</v>
      </c>
      <c r="K5339" s="80" t="s">
        <v>17535</v>
      </c>
      <c r="L5339" s="30">
        <v>968223076</v>
      </c>
      <c r="M5339" s="80" t="s">
        <v>12720</v>
      </c>
      <c r="N5339" s="80" t="s">
        <v>1073</v>
      </c>
      <c r="O5339" s="80" t="s">
        <v>17536</v>
      </c>
      <c r="P5339" s="80" t="s">
        <v>17537</v>
      </c>
      <c r="Q5339" s="20">
        <v>15936</v>
      </c>
      <c r="R5339" s="80" t="s">
        <v>36</v>
      </c>
      <c r="S5339" s="95">
        <f t="shared" ref="S5339:S5340" si="134">200+1800</f>
        <v>2000</v>
      </c>
      <c r="T5339" s="83" t="s">
        <v>17538</v>
      </c>
      <c r="U5339" s="95">
        <v>13936</v>
      </c>
      <c r="V5339" s="148">
        <v>45626</v>
      </c>
      <c r="W5339" s="85" t="s">
        <v>17539</v>
      </c>
      <c r="X5339" s="80"/>
      <c r="Y5339" s="22">
        <v>0</v>
      </c>
      <c r="Z5339" s="80" t="s">
        <v>50</v>
      </c>
      <c r="AA5339" s="82" t="s">
        <v>14723</v>
      </c>
      <c r="AB5339" s="80"/>
      <c r="AC5339" s="80" t="s">
        <v>53</v>
      </c>
      <c r="AD5339" s="80" t="s">
        <v>138</v>
      </c>
      <c r="AE5339" s="80" t="s">
        <v>13143</v>
      </c>
      <c r="AF5339" s="17">
        <v>45653</v>
      </c>
      <c r="AG5339" s="80" t="s">
        <v>18327</v>
      </c>
      <c r="AH5339" s="80"/>
      <c r="AI5339" s="147"/>
      <c r="AJ5339" s="80"/>
      <c r="AK5339" s="80"/>
      <c r="AL5339" s="35"/>
      <c r="AM5339" s="35"/>
      <c r="AN5339" s="35"/>
      <c r="AO5339" s="35"/>
      <c r="AP5339" s="35"/>
    </row>
    <row r="5340" spans="1:42" x14ac:dyDescent="0.2">
      <c r="A5340" s="74">
        <v>45644</v>
      </c>
      <c r="B5340" s="137" t="s">
        <v>37</v>
      </c>
      <c r="C5340" s="41" t="s">
        <v>118</v>
      </c>
      <c r="D5340" s="80" t="s">
        <v>36</v>
      </c>
      <c r="E5340" s="80" t="s">
        <v>139</v>
      </c>
      <c r="F5340" s="80" t="s">
        <v>13143</v>
      </c>
      <c r="G5340" s="80" t="s">
        <v>108</v>
      </c>
      <c r="H5340" s="80" t="s">
        <v>18328</v>
      </c>
      <c r="I5340" s="17">
        <f ca="1">IFERROR(__xludf.DUMMYFUNCTION("""COMPUTED_VALUE"""),45653)</f>
        <v>45653</v>
      </c>
      <c r="J5340" s="143" t="s">
        <v>17548</v>
      </c>
      <c r="K5340" s="80" t="s">
        <v>654</v>
      </c>
      <c r="L5340" s="30">
        <v>353669085</v>
      </c>
      <c r="M5340" s="80" t="s">
        <v>12720</v>
      </c>
      <c r="N5340" s="80" t="s">
        <v>1073</v>
      </c>
      <c r="O5340" s="80" t="s">
        <v>17550</v>
      </c>
      <c r="P5340" s="80" t="s">
        <v>5794</v>
      </c>
      <c r="Q5340" s="20">
        <v>15936</v>
      </c>
      <c r="R5340" s="80" t="s">
        <v>36</v>
      </c>
      <c r="S5340" s="95">
        <f t="shared" si="134"/>
        <v>2000</v>
      </c>
      <c r="T5340" s="83" t="s">
        <v>17551</v>
      </c>
      <c r="U5340" s="95">
        <v>13936</v>
      </c>
      <c r="V5340" s="148">
        <v>45622</v>
      </c>
      <c r="W5340" s="85" t="s">
        <v>17552</v>
      </c>
      <c r="X5340" s="80"/>
      <c r="Y5340" s="22">
        <v>0</v>
      </c>
      <c r="Z5340" s="80" t="s">
        <v>50</v>
      </c>
      <c r="AA5340" s="86" t="s">
        <v>14723</v>
      </c>
      <c r="AB5340" s="80"/>
      <c r="AC5340" s="80" t="s">
        <v>53</v>
      </c>
      <c r="AD5340" s="80" t="s">
        <v>138</v>
      </c>
      <c r="AE5340" s="80" t="s">
        <v>13143</v>
      </c>
      <c r="AF5340" s="17">
        <v>45653</v>
      </c>
      <c r="AG5340" s="80" t="s">
        <v>18327</v>
      </c>
      <c r="AH5340" s="80"/>
      <c r="AI5340" s="147"/>
      <c r="AJ5340" s="80"/>
      <c r="AK5340" s="80"/>
      <c r="AL5340" s="35"/>
      <c r="AM5340" s="35"/>
      <c r="AN5340" s="35"/>
      <c r="AO5340" s="35"/>
      <c r="AP5340" s="35"/>
    </row>
    <row r="5341" spans="1:42" x14ac:dyDescent="0.2">
      <c r="A5341" s="74">
        <v>45644</v>
      </c>
      <c r="B5341" s="137" t="s">
        <v>37</v>
      </c>
      <c r="C5341" s="41" t="s">
        <v>118</v>
      </c>
      <c r="D5341" s="80" t="s">
        <v>36</v>
      </c>
      <c r="E5341" s="80" t="s">
        <v>139</v>
      </c>
      <c r="F5341" s="80" t="s">
        <v>13143</v>
      </c>
      <c r="G5341" s="80" t="s">
        <v>108</v>
      </c>
      <c r="H5341" s="80" t="s">
        <v>18328</v>
      </c>
      <c r="I5341" s="17">
        <f ca="1">IFERROR(__xludf.DUMMYFUNCTION("""COMPUTED_VALUE"""),45653)</f>
        <v>45653</v>
      </c>
      <c r="J5341" s="143" t="s">
        <v>17655</v>
      </c>
      <c r="K5341" s="80" t="s">
        <v>17656</v>
      </c>
      <c r="L5341" s="30">
        <v>989905352</v>
      </c>
      <c r="M5341" s="80" t="s">
        <v>5429</v>
      </c>
      <c r="N5341" s="80" t="s">
        <v>1384</v>
      </c>
      <c r="O5341" s="80" t="s">
        <v>61</v>
      </c>
      <c r="P5341" s="80" t="s">
        <v>6368</v>
      </c>
      <c r="Q5341" s="20">
        <v>15936</v>
      </c>
      <c r="R5341" s="80" t="s">
        <v>36</v>
      </c>
      <c r="S5341" s="95">
        <v>2000</v>
      </c>
      <c r="T5341" s="148">
        <v>45589</v>
      </c>
      <c r="U5341" s="95">
        <v>13936</v>
      </c>
      <c r="V5341" s="148">
        <v>45619</v>
      </c>
      <c r="W5341" s="85" t="s">
        <v>17657</v>
      </c>
      <c r="X5341" s="80"/>
      <c r="Y5341" s="22">
        <v>0</v>
      </c>
      <c r="Z5341" s="80" t="s">
        <v>50</v>
      </c>
      <c r="AA5341" s="82" t="s">
        <v>14723</v>
      </c>
      <c r="AB5341" s="80"/>
      <c r="AC5341" s="80" t="s">
        <v>53</v>
      </c>
      <c r="AD5341" s="80" t="s">
        <v>138</v>
      </c>
      <c r="AE5341" s="80" t="s">
        <v>13143</v>
      </c>
      <c r="AF5341" s="17">
        <v>45653</v>
      </c>
      <c r="AG5341" s="80" t="s">
        <v>18327</v>
      </c>
      <c r="AH5341" s="80"/>
      <c r="AI5341" s="147"/>
      <c r="AJ5341" s="80"/>
      <c r="AK5341" s="80"/>
      <c r="AL5341" s="35"/>
      <c r="AM5341" s="35"/>
      <c r="AN5341" s="35"/>
      <c r="AO5341" s="35"/>
      <c r="AP5341" s="35"/>
    </row>
    <row r="5342" spans="1:42" x14ac:dyDescent="0.2">
      <c r="A5342" s="74">
        <v>45644</v>
      </c>
      <c r="B5342" s="137" t="s">
        <v>37</v>
      </c>
      <c r="C5342" s="41" t="s">
        <v>118</v>
      </c>
      <c r="D5342" s="80" t="s">
        <v>36</v>
      </c>
      <c r="E5342" s="80" t="s">
        <v>139</v>
      </c>
      <c r="F5342" s="80" t="s">
        <v>13143</v>
      </c>
      <c r="G5342" s="80" t="s">
        <v>108</v>
      </c>
      <c r="H5342" s="80" t="s">
        <v>18328</v>
      </c>
      <c r="I5342" s="17">
        <f ca="1">IFERROR(__xludf.DUMMYFUNCTION("""COMPUTED_VALUE"""),45653)</f>
        <v>45653</v>
      </c>
      <c r="J5342" s="143" t="s">
        <v>18330</v>
      </c>
      <c r="K5342" s="80" t="s">
        <v>18331</v>
      </c>
      <c r="L5342" s="30">
        <v>979709519</v>
      </c>
      <c r="M5342" s="80" t="s">
        <v>3288</v>
      </c>
      <c r="N5342" s="80" t="s">
        <v>18332</v>
      </c>
      <c r="O5342" s="80" t="s">
        <v>61</v>
      </c>
      <c r="P5342" s="80" t="s">
        <v>5462</v>
      </c>
      <c r="Q5342" s="20">
        <v>15936</v>
      </c>
      <c r="R5342" s="80" t="s">
        <v>36</v>
      </c>
      <c r="S5342" s="95">
        <f>500+1468</f>
        <v>1968</v>
      </c>
      <c r="T5342" s="83" t="s">
        <v>18333</v>
      </c>
      <c r="U5342" s="77">
        <v>13968</v>
      </c>
      <c r="V5342" s="78">
        <v>45629</v>
      </c>
      <c r="W5342" s="85" t="s">
        <v>18334</v>
      </c>
      <c r="X5342" s="80"/>
      <c r="Y5342" s="22">
        <v>0</v>
      </c>
      <c r="Z5342" s="80" t="s">
        <v>50</v>
      </c>
      <c r="AA5342" s="86"/>
      <c r="AB5342" s="80"/>
      <c r="AC5342" s="80" t="s">
        <v>53</v>
      </c>
      <c r="AD5342" s="80" t="s">
        <v>138</v>
      </c>
      <c r="AE5342" s="80" t="s">
        <v>13143</v>
      </c>
      <c r="AF5342" s="17">
        <v>45653</v>
      </c>
      <c r="AG5342" s="80" t="s">
        <v>18327</v>
      </c>
      <c r="AH5342" s="80"/>
      <c r="AI5342" s="147"/>
      <c r="AJ5342" s="80"/>
      <c r="AK5342" s="80"/>
      <c r="AL5342" s="35"/>
      <c r="AM5342" s="35"/>
      <c r="AN5342" s="35"/>
      <c r="AO5342" s="35"/>
      <c r="AP5342" s="35"/>
    </row>
    <row r="5343" spans="1:42" x14ac:dyDescent="0.2">
      <c r="A5343" s="74">
        <v>45644</v>
      </c>
      <c r="B5343" s="137" t="s">
        <v>37</v>
      </c>
      <c r="C5343" s="41" t="s">
        <v>118</v>
      </c>
      <c r="D5343" s="80" t="s">
        <v>36</v>
      </c>
      <c r="E5343" s="80" t="s">
        <v>56</v>
      </c>
      <c r="F5343" s="80" t="s">
        <v>13143</v>
      </c>
      <c r="G5343" s="80" t="s">
        <v>108</v>
      </c>
      <c r="H5343" s="80" t="s">
        <v>18328</v>
      </c>
      <c r="I5343" s="17">
        <f ca="1">IFERROR(__xludf.DUMMYFUNCTION("""COMPUTED_VALUE"""),45653)</f>
        <v>45653</v>
      </c>
      <c r="J5343" s="143" t="s">
        <v>17880</v>
      </c>
      <c r="K5343" s="80" t="s">
        <v>17881</v>
      </c>
      <c r="L5343" s="30">
        <v>329651386</v>
      </c>
      <c r="M5343" s="80" t="s">
        <v>5429</v>
      </c>
      <c r="N5343" s="80" t="s">
        <v>81</v>
      </c>
      <c r="O5343" s="80" t="s">
        <v>17882</v>
      </c>
      <c r="P5343" s="80" t="s">
        <v>6368</v>
      </c>
      <c r="Q5343" s="20">
        <v>9317</v>
      </c>
      <c r="R5343" s="80" t="s">
        <v>36</v>
      </c>
      <c r="S5343" s="95">
        <v>2000</v>
      </c>
      <c r="T5343" s="148">
        <v>45603</v>
      </c>
      <c r="U5343" s="95">
        <v>7317</v>
      </c>
      <c r="V5343" s="148">
        <v>45622</v>
      </c>
      <c r="W5343" s="85" t="s">
        <v>17883</v>
      </c>
      <c r="X5343" s="80"/>
      <c r="Y5343" s="22">
        <v>0</v>
      </c>
      <c r="Z5343" s="80" t="s">
        <v>50</v>
      </c>
      <c r="AA5343" s="86" t="s">
        <v>14723</v>
      </c>
      <c r="AB5343" s="80"/>
      <c r="AC5343" s="80" t="s">
        <v>53</v>
      </c>
      <c r="AD5343" s="80" t="s">
        <v>138</v>
      </c>
      <c r="AE5343" s="80" t="s">
        <v>13143</v>
      </c>
      <c r="AF5343" s="17">
        <v>45653</v>
      </c>
      <c r="AG5343" s="80" t="s">
        <v>18327</v>
      </c>
      <c r="AH5343" s="80"/>
      <c r="AI5343" s="147"/>
      <c r="AJ5343" s="80"/>
      <c r="AK5343" s="80"/>
      <c r="AL5343" s="35"/>
      <c r="AM5343" s="35"/>
      <c r="AN5343" s="35"/>
      <c r="AO5343" s="35"/>
      <c r="AP5343" s="35"/>
    </row>
    <row r="5344" spans="1:42" x14ac:dyDescent="0.2">
      <c r="A5344" s="74">
        <v>45644</v>
      </c>
      <c r="B5344" s="137" t="s">
        <v>37</v>
      </c>
      <c r="C5344" s="41" t="s">
        <v>118</v>
      </c>
      <c r="D5344" s="80" t="s">
        <v>36</v>
      </c>
      <c r="E5344" s="80" t="s">
        <v>139</v>
      </c>
      <c r="F5344" s="80" t="s">
        <v>13143</v>
      </c>
      <c r="G5344" s="80" t="s">
        <v>108</v>
      </c>
      <c r="H5344" s="80" t="s">
        <v>18328</v>
      </c>
      <c r="I5344" s="17">
        <f ca="1">IFERROR(__xludf.DUMMYFUNCTION("""COMPUTED_VALUE"""),45653)</f>
        <v>45653</v>
      </c>
      <c r="J5344" s="143" t="s">
        <v>13144</v>
      </c>
      <c r="K5344" s="80" t="s">
        <v>18335</v>
      </c>
      <c r="L5344" s="30">
        <v>353303631</v>
      </c>
      <c r="M5344" s="80" t="s">
        <v>45</v>
      </c>
      <c r="N5344" s="80" t="s">
        <v>5312</v>
      </c>
      <c r="O5344" s="80" t="s">
        <v>13146</v>
      </c>
      <c r="P5344" s="144" t="s">
        <v>13147</v>
      </c>
      <c r="Q5344" s="20">
        <v>15936</v>
      </c>
      <c r="R5344" s="80" t="s">
        <v>36</v>
      </c>
      <c r="S5344" s="95">
        <v>15936</v>
      </c>
      <c r="T5344" s="148">
        <v>45550</v>
      </c>
      <c r="U5344" s="77"/>
      <c r="V5344" s="78"/>
      <c r="W5344" s="85" t="s">
        <v>13148</v>
      </c>
      <c r="X5344" s="80">
        <v>0</v>
      </c>
      <c r="Y5344" s="22">
        <v>0</v>
      </c>
      <c r="Z5344" s="80" t="s">
        <v>50</v>
      </c>
      <c r="AA5344" s="35" t="s">
        <v>3291</v>
      </c>
      <c r="AB5344" s="80"/>
      <c r="AC5344" s="80" t="s">
        <v>53</v>
      </c>
      <c r="AD5344" s="80" t="s">
        <v>138</v>
      </c>
      <c r="AE5344" s="80" t="s">
        <v>13143</v>
      </c>
      <c r="AF5344" s="17">
        <v>45653</v>
      </c>
      <c r="AG5344" s="80" t="s">
        <v>18327</v>
      </c>
      <c r="AH5344" s="80"/>
      <c r="AI5344" s="147" t="s">
        <v>147</v>
      </c>
      <c r="AJ5344" s="80"/>
      <c r="AK5344" s="80"/>
      <c r="AL5344" s="35"/>
      <c r="AM5344" s="35"/>
      <c r="AN5344" s="35"/>
      <c r="AO5344" s="35"/>
      <c r="AP5344" s="35"/>
    </row>
    <row r="5345" spans="1:42" x14ac:dyDescent="0.2">
      <c r="A5345" s="74">
        <v>45644</v>
      </c>
      <c r="B5345" s="137" t="s">
        <v>37</v>
      </c>
      <c r="C5345" s="41" t="s">
        <v>118</v>
      </c>
      <c r="D5345" s="80" t="s">
        <v>36</v>
      </c>
      <c r="E5345" s="80" t="s">
        <v>139</v>
      </c>
      <c r="F5345" s="80" t="s">
        <v>13143</v>
      </c>
      <c r="G5345" s="80" t="s">
        <v>108</v>
      </c>
      <c r="H5345" s="80" t="s">
        <v>18328</v>
      </c>
      <c r="I5345" s="17">
        <f ca="1">IFERROR(__xludf.DUMMYFUNCTION("""COMPUTED_VALUE"""),45653)</f>
        <v>45653</v>
      </c>
      <c r="J5345" s="143" t="s">
        <v>18336</v>
      </c>
      <c r="K5345" s="80" t="s">
        <v>18337</v>
      </c>
      <c r="L5345" s="30">
        <v>965343654</v>
      </c>
      <c r="M5345" s="80" t="s">
        <v>12529</v>
      </c>
      <c r="N5345" s="80" t="s">
        <v>13566</v>
      </c>
      <c r="O5345" s="80" t="s">
        <v>18338</v>
      </c>
      <c r="P5345" s="80" t="s">
        <v>18339</v>
      </c>
      <c r="Q5345" s="20">
        <v>15936</v>
      </c>
      <c r="R5345" s="80" t="s">
        <v>36</v>
      </c>
      <c r="S5345" s="95">
        <f>200+1800</f>
        <v>2000</v>
      </c>
      <c r="T5345" s="83" t="s">
        <v>18340</v>
      </c>
      <c r="U5345" s="95">
        <v>13936</v>
      </c>
      <c r="V5345" s="148">
        <v>45624</v>
      </c>
      <c r="W5345" s="80" t="s">
        <v>18341</v>
      </c>
      <c r="X5345" s="80"/>
      <c r="Y5345" s="22">
        <v>0</v>
      </c>
      <c r="Z5345" s="80"/>
      <c r="AA5345" s="82"/>
      <c r="AB5345" s="80"/>
      <c r="AC5345" s="80" t="s">
        <v>53</v>
      </c>
      <c r="AD5345" s="80" t="s">
        <v>138</v>
      </c>
      <c r="AE5345" s="80" t="s">
        <v>13143</v>
      </c>
      <c r="AF5345" s="17">
        <v>45653</v>
      </c>
      <c r="AG5345" s="80" t="s">
        <v>18327</v>
      </c>
      <c r="AH5345" s="80"/>
      <c r="AI5345" s="147"/>
      <c r="AJ5345" s="80"/>
      <c r="AK5345" s="80"/>
      <c r="AL5345" s="35"/>
      <c r="AM5345" s="35"/>
      <c r="AN5345" s="35"/>
      <c r="AO5345" s="35"/>
      <c r="AP5345" s="35"/>
    </row>
    <row r="5346" spans="1:42" x14ac:dyDescent="0.2">
      <c r="A5346" s="74">
        <v>45644</v>
      </c>
      <c r="B5346" s="137" t="s">
        <v>37</v>
      </c>
      <c r="C5346" s="41" t="s">
        <v>118</v>
      </c>
      <c r="D5346" s="80" t="s">
        <v>36</v>
      </c>
      <c r="E5346" s="80" t="s">
        <v>56</v>
      </c>
      <c r="F5346" s="80" t="s">
        <v>13143</v>
      </c>
      <c r="G5346" s="80" t="s">
        <v>108</v>
      </c>
      <c r="H5346" s="80" t="s">
        <v>18328</v>
      </c>
      <c r="I5346" s="17">
        <f ca="1">IFERROR(__xludf.DUMMYFUNCTION("""COMPUTED_VALUE"""),45653)</f>
        <v>45653</v>
      </c>
      <c r="J5346" s="143" t="s">
        <v>17889</v>
      </c>
      <c r="K5346" s="80" t="s">
        <v>17890</v>
      </c>
      <c r="L5346" s="30">
        <v>865742951</v>
      </c>
      <c r="M5346" s="80" t="s">
        <v>9422</v>
      </c>
      <c r="N5346" s="80" t="s">
        <v>327</v>
      </c>
      <c r="O5346" s="80" t="s">
        <v>91</v>
      </c>
      <c r="P5346" s="80" t="s">
        <v>3117</v>
      </c>
      <c r="Q5346" s="20">
        <v>9317</v>
      </c>
      <c r="R5346" s="80" t="s">
        <v>36</v>
      </c>
      <c r="S5346" s="95">
        <f>500+1500</f>
        <v>2000</v>
      </c>
      <c r="T5346" s="83" t="s">
        <v>17891</v>
      </c>
      <c r="U5346" s="95">
        <v>7317</v>
      </c>
      <c r="V5346" s="148">
        <v>45614</v>
      </c>
      <c r="W5346" s="85" t="s">
        <v>17892</v>
      </c>
      <c r="X5346" s="80"/>
      <c r="Y5346" s="22">
        <v>0</v>
      </c>
      <c r="Z5346" s="80" t="s">
        <v>50</v>
      </c>
      <c r="AA5346" s="86" t="s">
        <v>14723</v>
      </c>
      <c r="AB5346" s="80"/>
      <c r="AC5346" s="80" t="s">
        <v>53</v>
      </c>
      <c r="AD5346" s="80" t="s">
        <v>138</v>
      </c>
      <c r="AE5346" s="80" t="s">
        <v>13143</v>
      </c>
      <c r="AF5346" s="17">
        <v>45653</v>
      </c>
      <c r="AG5346" s="80" t="s">
        <v>18327</v>
      </c>
      <c r="AH5346" s="80"/>
      <c r="AI5346" s="147"/>
      <c r="AJ5346" s="80"/>
      <c r="AK5346" s="80"/>
      <c r="AL5346" s="35"/>
      <c r="AM5346" s="35"/>
      <c r="AN5346" s="35"/>
      <c r="AO5346" s="35"/>
      <c r="AP5346" s="35"/>
    </row>
    <row r="5347" spans="1:42" x14ac:dyDescent="0.2">
      <c r="A5347" s="74">
        <v>45644</v>
      </c>
      <c r="B5347" s="137" t="s">
        <v>37</v>
      </c>
      <c r="C5347" s="41" t="s">
        <v>118</v>
      </c>
      <c r="D5347" s="80" t="s">
        <v>36</v>
      </c>
      <c r="E5347" s="80" t="s">
        <v>119</v>
      </c>
      <c r="F5347" s="80" t="s">
        <v>10028</v>
      </c>
      <c r="G5347" s="80" t="s">
        <v>221</v>
      </c>
      <c r="H5347" s="80" t="s">
        <v>18322</v>
      </c>
      <c r="I5347" s="17">
        <f ca="1">IFERROR(__xludf.DUMMYFUNCTION("""COMPUTED_VALUE"""),45699)</f>
        <v>45699</v>
      </c>
      <c r="J5347" s="143" t="s">
        <v>15502</v>
      </c>
      <c r="K5347" s="80" t="s">
        <v>15503</v>
      </c>
      <c r="L5347" s="30">
        <v>918181529</v>
      </c>
      <c r="M5347" s="80" t="s">
        <v>3728</v>
      </c>
      <c r="N5347" s="80" t="s">
        <v>5277</v>
      </c>
      <c r="O5347" s="80" t="s">
        <v>15504</v>
      </c>
      <c r="P5347" s="80" t="s">
        <v>11644</v>
      </c>
      <c r="Q5347" s="20">
        <v>13968</v>
      </c>
      <c r="R5347" s="80" t="s">
        <v>36</v>
      </c>
      <c r="S5347" s="95">
        <v>4000</v>
      </c>
      <c r="T5347" s="148">
        <v>45557</v>
      </c>
      <c r="U5347" s="95">
        <v>9968</v>
      </c>
      <c r="V5347" s="148">
        <v>45581</v>
      </c>
      <c r="W5347" s="85" t="s">
        <v>15505</v>
      </c>
      <c r="X5347" s="80"/>
      <c r="Y5347" s="22">
        <v>0</v>
      </c>
      <c r="Z5347" s="80" t="s">
        <v>50</v>
      </c>
      <c r="AA5347" s="96" t="s">
        <v>9905</v>
      </c>
      <c r="AB5347" s="80"/>
      <c r="AC5347" s="80" t="s">
        <v>53</v>
      </c>
      <c r="AD5347" s="80" t="s">
        <v>138</v>
      </c>
      <c r="AE5347" s="80" t="s">
        <v>10028</v>
      </c>
      <c r="AF5347" s="17">
        <v>45699</v>
      </c>
      <c r="AG5347" s="80"/>
      <c r="AH5347" s="80"/>
      <c r="AI5347" s="147"/>
      <c r="AJ5347" s="80"/>
      <c r="AK5347" s="80"/>
      <c r="AL5347" s="35"/>
      <c r="AM5347" s="35"/>
      <c r="AN5347" s="35"/>
      <c r="AO5347" s="35"/>
      <c r="AP5347" s="35"/>
    </row>
    <row r="5348" spans="1:42" x14ac:dyDescent="0.2">
      <c r="A5348" s="74">
        <v>45644</v>
      </c>
      <c r="B5348" s="137" t="s">
        <v>37</v>
      </c>
      <c r="C5348" s="41" t="s">
        <v>118</v>
      </c>
      <c r="D5348" s="80" t="s">
        <v>36</v>
      </c>
      <c r="E5348" s="80" t="s">
        <v>139</v>
      </c>
      <c r="F5348" s="80" t="s">
        <v>15451</v>
      </c>
      <c r="G5348" s="80" t="s">
        <v>108</v>
      </c>
      <c r="H5348" s="80" t="s">
        <v>18342</v>
      </c>
      <c r="I5348" s="17" t="str">
        <f ca="1">IFERROR(__xludf.DUMMYFUNCTION("""COMPUTED_VALUE""")," ")</f>
        <v xml:space="preserve"> </v>
      </c>
      <c r="J5348" s="143" t="s">
        <v>15452</v>
      </c>
      <c r="K5348" s="80" t="s">
        <v>18343</v>
      </c>
      <c r="L5348" s="30">
        <v>819987081</v>
      </c>
      <c r="M5348" s="80" t="s">
        <v>12644</v>
      </c>
      <c r="N5348" s="80" t="s">
        <v>8725</v>
      </c>
      <c r="O5348" s="80" t="s">
        <v>15454</v>
      </c>
      <c r="P5348" s="80" t="s">
        <v>14107</v>
      </c>
      <c r="Q5348" s="20">
        <v>15936</v>
      </c>
      <c r="R5348" s="80" t="s">
        <v>36</v>
      </c>
      <c r="S5348" s="95">
        <f>200+1800</f>
        <v>2000</v>
      </c>
      <c r="T5348" s="148" t="s">
        <v>15455</v>
      </c>
      <c r="U5348" s="95">
        <v>13936</v>
      </c>
      <c r="V5348" s="148">
        <v>45596</v>
      </c>
      <c r="W5348" s="85" t="s">
        <v>15456</v>
      </c>
      <c r="X5348" s="80"/>
      <c r="Y5348" s="22">
        <v>0</v>
      </c>
      <c r="Z5348" s="81" t="s">
        <v>50</v>
      </c>
      <c r="AA5348" s="86" t="s">
        <v>9905</v>
      </c>
      <c r="AB5348" s="80"/>
      <c r="AC5348" s="80" t="s">
        <v>53</v>
      </c>
      <c r="AD5348" s="80" t="s">
        <v>138</v>
      </c>
      <c r="AE5348" s="80" t="s">
        <v>15451</v>
      </c>
      <c r="AF5348" s="17">
        <v>45652</v>
      </c>
      <c r="AG5348" s="80" t="s">
        <v>18327</v>
      </c>
      <c r="AH5348" s="80"/>
      <c r="AI5348" s="147"/>
      <c r="AJ5348" s="80"/>
      <c r="AK5348" s="80"/>
      <c r="AL5348" s="86"/>
      <c r="AM5348" s="86"/>
      <c r="AN5348" s="86"/>
      <c r="AO5348" s="86"/>
      <c r="AP5348" s="35"/>
    </row>
    <row r="5349" spans="1:42" x14ac:dyDescent="0.2">
      <c r="A5349" s="74">
        <v>45644</v>
      </c>
      <c r="B5349" s="137" t="s">
        <v>37</v>
      </c>
      <c r="C5349" s="41" t="s">
        <v>118</v>
      </c>
      <c r="D5349" s="80" t="s">
        <v>36</v>
      </c>
      <c r="E5349" s="80" t="s">
        <v>56</v>
      </c>
      <c r="F5349" s="80" t="s">
        <v>15451</v>
      </c>
      <c r="G5349" s="80" t="s">
        <v>108</v>
      </c>
      <c r="H5349" s="80" t="s">
        <v>18344</v>
      </c>
      <c r="I5349" s="17">
        <f ca="1">IFERROR(__xludf.DUMMYFUNCTION("""COMPUTED_VALUE"""),45656)</f>
        <v>45656</v>
      </c>
      <c r="J5349" s="143" t="s">
        <v>16213</v>
      </c>
      <c r="K5349" s="80" t="s">
        <v>5210</v>
      </c>
      <c r="L5349" s="30">
        <v>329966093</v>
      </c>
      <c r="M5349" s="80" t="s">
        <v>59</v>
      </c>
      <c r="N5349" s="80" t="s">
        <v>7304</v>
      </c>
      <c r="O5349" s="80" t="s">
        <v>16214</v>
      </c>
      <c r="P5349" s="80" t="s">
        <v>16215</v>
      </c>
      <c r="Q5349" s="20">
        <v>9317</v>
      </c>
      <c r="R5349" s="80" t="s">
        <v>36</v>
      </c>
      <c r="S5349" s="95">
        <f>200+9117</f>
        <v>9317</v>
      </c>
      <c r="T5349" s="148" t="s">
        <v>16216</v>
      </c>
      <c r="U5349" s="77"/>
      <c r="V5349" s="78"/>
      <c r="W5349" s="85" t="s">
        <v>16217</v>
      </c>
      <c r="X5349" s="80"/>
      <c r="Y5349" s="22">
        <v>0</v>
      </c>
      <c r="Z5349" s="81" t="s">
        <v>50</v>
      </c>
      <c r="AA5349" s="82" t="s">
        <v>9905</v>
      </c>
      <c r="AB5349" s="80"/>
      <c r="AC5349" s="80" t="s">
        <v>53</v>
      </c>
      <c r="AD5349" s="80" t="s">
        <v>138</v>
      </c>
      <c r="AE5349" s="80" t="s">
        <v>15451</v>
      </c>
      <c r="AF5349" s="17">
        <v>45652</v>
      </c>
      <c r="AG5349" s="80" t="s">
        <v>18327</v>
      </c>
      <c r="AH5349" s="80"/>
      <c r="AI5349" s="147"/>
      <c r="AJ5349" s="80"/>
      <c r="AK5349" s="80"/>
      <c r="AL5349" s="86"/>
      <c r="AM5349" s="86"/>
      <c r="AN5349" s="86"/>
      <c r="AO5349" s="86"/>
      <c r="AP5349" s="35"/>
    </row>
    <row r="5350" spans="1:42" x14ac:dyDescent="0.2">
      <c r="A5350" s="74">
        <v>45644</v>
      </c>
      <c r="B5350" s="137" t="s">
        <v>37</v>
      </c>
      <c r="C5350" s="41" t="s">
        <v>118</v>
      </c>
      <c r="D5350" s="80" t="s">
        <v>36</v>
      </c>
      <c r="E5350" s="80" t="s">
        <v>39</v>
      </c>
      <c r="F5350" s="80" t="s">
        <v>15451</v>
      </c>
      <c r="G5350" s="80" t="s">
        <v>108</v>
      </c>
      <c r="H5350" s="80" t="s">
        <v>18344</v>
      </c>
      <c r="I5350" s="17">
        <f ca="1">IFERROR(__xludf.DUMMYFUNCTION("""COMPUTED_VALUE"""),45656)</f>
        <v>45656</v>
      </c>
      <c r="J5350" s="143" t="s">
        <v>16306</v>
      </c>
      <c r="K5350" s="80" t="s">
        <v>16307</v>
      </c>
      <c r="L5350" s="30">
        <v>865669001</v>
      </c>
      <c r="M5350" s="80" t="s">
        <v>59</v>
      </c>
      <c r="N5350" s="80" t="s">
        <v>7298</v>
      </c>
      <c r="O5350" s="80" t="s">
        <v>16308</v>
      </c>
      <c r="P5350" s="80" t="s">
        <v>16309</v>
      </c>
      <c r="Q5350" s="20">
        <v>5736</v>
      </c>
      <c r="R5350" s="80" t="s">
        <v>70</v>
      </c>
      <c r="S5350" s="95">
        <f t="shared" ref="S5350:S5351" si="135">200+5436</f>
        <v>5636</v>
      </c>
      <c r="T5350" s="148" t="s">
        <v>16310</v>
      </c>
      <c r="U5350" s="77"/>
      <c r="V5350" s="78"/>
      <c r="W5350" s="85" t="s">
        <v>16311</v>
      </c>
      <c r="X5350" s="80"/>
      <c r="Y5350" s="22">
        <v>100</v>
      </c>
      <c r="Z5350" s="81" t="s">
        <v>50</v>
      </c>
      <c r="AA5350" s="86" t="s">
        <v>9905</v>
      </c>
      <c r="AB5350" s="80"/>
      <c r="AC5350" s="80" t="s">
        <v>53</v>
      </c>
      <c r="AD5350" s="80" t="s">
        <v>138</v>
      </c>
      <c r="AE5350" s="80" t="s">
        <v>15451</v>
      </c>
      <c r="AF5350" s="17">
        <v>45652</v>
      </c>
      <c r="AG5350" s="80" t="s">
        <v>18327</v>
      </c>
      <c r="AH5350" s="80"/>
      <c r="AI5350" s="147"/>
      <c r="AJ5350" s="80"/>
      <c r="AK5350" s="80"/>
      <c r="AL5350" s="86"/>
      <c r="AM5350" s="86"/>
      <c r="AN5350" s="86"/>
      <c r="AO5350" s="86"/>
      <c r="AP5350" s="35"/>
    </row>
    <row r="5351" spans="1:42" x14ac:dyDescent="0.2">
      <c r="A5351" s="74">
        <v>45644</v>
      </c>
      <c r="B5351" s="137" t="s">
        <v>37</v>
      </c>
      <c r="C5351" s="41" t="s">
        <v>118</v>
      </c>
      <c r="D5351" s="80" t="s">
        <v>36</v>
      </c>
      <c r="E5351" s="80" t="s">
        <v>39</v>
      </c>
      <c r="F5351" s="80" t="s">
        <v>15451</v>
      </c>
      <c r="G5351" s="80" t="s">
        <v>108</v>
      </c>
      <c r="H5351" s="80" t="s">
        <v>18344</v>
      </c>
      <c r="I5351" s="17">
        <f ca="1">IFERROR(__xludf.DUMMYFUNCTION("""COMPUTED_VALUE"""),45656)</f>
        <v>45656</v>
      </c>
      <c r="J5351" s="143" t="s">
        <v>16313</v>
      </c>
      <c r="K5351" s="80" t="s">
        <v>16314</v>
      </c>
      <c r="L5351" s="30">
        <v>962758066</v>
      </c>
      <c r="M5351" s="80" t="s">
        <v>59</v>
      </c>
      <c r="N5351" s="80" t="s">
        <v>7304</v>
      </c>
      <c r="O5351" s="80" t="s">
        <v>16315</v>
      </c>
      <c r="P5351" s="80" t="s">
        <v>16316</v>
      </c>
      <c r="Q5351" s="20">
        <v>5736</v>
      </c>
      <c r="R5351" s="80" t="s">
        <v>70</v>
      </c>
      <c r="S5351" s="95">
        <f t="shared" si="135"/>
        <v>5636</v>
      </c>
      <c r="T5351" s="148" t="s">
        <v>16310</v>
      </c>
      <c r="U5351" s="77"/>
      <c r="V5351" s="78"/>
      <c r="W5351" s="85" t="s">
        <v>16317</v>
      </c>
      <c r="X5351" s="80"/>
      <c r="Y5351" s="22">
        <v>100</v>
      </c>
      <c r="Z5351" s="81" t="s">
        <v>50</v>
      </c>
      <c r="AA5351" s="82" t="s">
        <v>9905</v>
      </c>
      <c r="AB5351" s="80"/>
      <c r="AC5351" s="80" t="s">
        <v>53</v>
      </c>
      <c r="AD5351" s="80" t="s">
        <v>138</v>
      </c>
      <c r="AE5351" s="80" t="s">
        <v>15451</v>
      </c>
      <c r="AF5351" s="17">
        <v>45652</v>
      </c>
      <c r="AG5351" s="80" t="s">
        <v>18327</v>
      </c>
      <c r="AH5351" s="80"/>
      <c r="AI5351" s="147"/>
      <c r="AJ5351" s="80"/>
      <c r="AK5351" s="80"/>
      <c r="AL5351" s="86"/>
      <c r="AM5351" s="86"/>
      <c r="AN5351" s="86"/>
      <c r="AO5351" s="86"/>
      <c r="AP5351" s="35"/>
    </row>
    <row r="5352" spans="1:42" x14ac:dyDescent="0.2">
      <c r="A5352" s="74">
        <v>45644</v>
      </c>
      <c r="B5352" s="137" t="s">
        <v>37</v>
      </c>
      <c r="C5352" s="41" t="s">
        <v>118</v>
      </c>
      <c r="D5352" s="80" t="s">
        <v>36</v>
      </c>
      <c r="E5352" s="80" t="s">
        <v>56</v>
      </c>
      <c r="F5352" s="80" t="s">
        <v>15451</v>
      </c>
      <c r="G5352" s="80" t="s">
        <v>108</v>
      </c>
      <c r="H5352" s="80" t="s">
        <v>18344</v>
      </c>
      <c r="I5352" s="17">
        <f ca="1">IFERROR(__xludf.DUMMYFUNCTION("""COMPUTED_VALUE"""),45656)</f>
        <v>45656</v>
      </c>
      <c r="J5352" s="143" t="s">
        <v>16422</v>
      </c>
      <c r="K5352" s="80" t="s">
        <v>16423</v>
      </c>
      <c r="L5352" s="30">
        <v>354447639</v>
      </c>
      <c r="M5352" s="80" t="s">
        <v>9422</v>
      </c>
      <c r="N5352" s="80" t="s">
        <v>12670</v>
      </c>
      <c r="O5352" s="80" t="s">
        <v>16424</v>
      </c>
      <c r="P5352" s="80" t="s">
        <v>16425</v>
      </c>
      <c r="Q5352" s="20">
        <v>9317</v>
      </c>
      <c r="R5352" s="80" t="s">
        <v>70</v>
      </c>
      <c r="S5352" s="95">
        <v>2000</v>
      </c>
      <c r="T5352" s="148">
        <v>45584</v>
      </c>
      <c r="U5352" s="95">
        <v>7217</v>
      </c>
      <c r="V5352" s="148">
        <v>45587</v>
      </c>
      <c r="W5352" s="85" t="s">
        <v>16426</v>
      </c>
      <c r="X5352" s="80"/>
      <c r="Y5352" s="22">
        <v>100</v>
      </c>
      <c r="Z5352" s="81" t="s">
        <v>50</v>
      </c>
      <c r="AA5352" s="86" t="s">
        <v>9905</v>
      </c>
      <c r="AB5352" s="80"/>
      <c r="AC5352" s="80" t="s">
        <v>53</v>
      </c>
      <c r="AD5352" s="80" t="s">
        <v>138</v>
      </c>
      <c r="AE5352" s="80" t="s">
        <v>15451</v>
      </c>
      <c r="AF5352" s="17">
        <v>45652</v>
      </c>
      <c r="AG5352" s="80" t="s">
        <v>18327</v>
      </c>
      <c r="AH5352" s="80"/>
      <c r="AI5352" s="147"/>
      <c r="AJ5352" s="80"/>
      <c r="AK5352" s="80"/>
      <c r="AL5352" s="86"/>
      <c r="AM5352" s="86"/>
      <c r="AN5352" s="86"/>
      <c r="AO5352" s="86"/>
      <c r="AP5352" s="35"/>
    </row>
    <row r="5353" spans="1:42" x14ac:dyDescent="0.2">
      <c r="A5353" s="74">
        <v>45644</v>
      </c>
      <c r="B5353" s="137" t="s">
        <v>37</v>
      </c>
      <c r="C5353" s="41" t="s">
        <v>118</v>
      </c>
      <c r="D5353" s="80" t="s">
        <v>36</v>
      </c>
      <c r="E5353" s="80" t="s">
        <v>56</v>
      </c>
      <c r="F5353" s="80" t="s">
        <v>15451</v>
      </c>
      <c r="G5353" s="80" t="s">
        <v>108</v>
      </c>
      <c r="H5353" s="80" t="s">
        <v>18344</v>
      </c>
      <c r="I5353" s="17">
        <f ca="1">IFERROR(__xludf.DUMMYFUNCTION("""COMPUTED_VALUE"""),45656)</f>
        <v>45656</v>
      </c>
      <c r="J5353" s="143" t="s">
        <v>16427</v>
      </c>
      <c r="K5353" s="80" t="s">
        <v>16428</v>
      </c>
      <c r="L5353" s="30">
        <v>387333906</v>
      </c>
      <c r="M5353" s="80" t="s">
        <v>9422</v>
      </c>
      <c r="N5353" s="80" t="s">
        <v>12670</v>
      </c>
      <c r="O5353" s="80" t="s">
        <v>16429</v>
      </c>
      <c r="P5353" s="80" t="s">
        <v>3117</v>
      </c>
      <c r="Q5353" s="20">
        <v>9317</v>
      </c>
      <c r="R5353" s="80" t="s">
        <v>70</v>
      </c>
      <c r="S5353" s="95">
        <v>2000</v>
      </c>
      <c r="T5353" s="148">
        <v>45584</v>
      </c>
      <c r="U5353" s="95">
        <v>7217</v>
      </c>
      <c r="V5353" s="148">
        <v>45593</v>
      </c>
      <c r="W5353" s="85" t="s">
        <v>16430</v>
      </c>
      <c r="X5353" s="80"/>
      <c r="Y5353" s="22">
        <v>100</v>
      </c>
      <c r="Z5353" s="81" t="s">
        <v>50</v>
      </c>
      <c r="AA5353" s="82" t="s">
        <v>9905</v>
      </c>
      <c r="AB5353" s="80"/>
      <c r="AC5353" s="80" t="s">
        <v>53</v>
      </c>
      <c r="AD5353" s="80" t="s">
        <v>138</v>
      </c>
      <c r="AE5353" s="80" t="s">
        <v>15451</v>
      </c>
      <c r="AF5353" s="17">
        <v>45652</v>
      </c>
      <c r="AG5353" s="80" t="s">
        <v>18327</v>
      </c>
      <c r="AH5353" s="80"/>
      <c r="AI5353" s="147"/>
      <c r="AJ5353" s="80"/>
      <c r="AK5353" s="80"/>
      <c r="AL5353" s="86"/>
      <c r="AM5353" s="86"/>
      <c r="AN5353" s="86"/>
      <c r="AO5353" s="86"/>
      <c r="AP5353" s="35"/>
    </row>
    <row r="5354" spans="1:42" x14ac:dyDescent="0.2">
      <c r="A5354" s="74">
        <v>45644</v>
      </c>
      <c r="B5354" s="137" t="s">
        <v>37</v>
      </c>
      <c r="C5354" s="41" t="s">
        <v>118</v>
      </c>
      <c r="D5354" s="80" t="s">
        <v>36</v>
      </c>
      <c r="E5354" s="80" t="s">
        <v>56</v>
      </c>
      <c r="F5354" s="80" t="s">
        <v>15451</v>
      </c>
      <c r="G5354" s="80" t="s">
        <v>108</v>
      </c>
      <c r="H5354" s="80" t="s">
        <v>18344</v>
      </c>
      <c r="I5354" s="17">
        <f ca="1">IFERROR(__xludf.DUMMYFUNCTION("""COMPUTED_VALUE"""),45656)</f>
        <v>45656</v>
      </c>
      <c r="J5354" s="143" t="s">
        <v>16434</v>
      </c>
      <c r="K5354" s="80" t="s">
        <v>16435</v>
      </c>
      <c r="L5354" s="30">
        <v>358311672</v>
      </c>
      <c r="M5354" s="80" t="s">
        <v>9422</v>
      </c>
      <c r="N5354" s="80" t="s">
        <v>5574</v>
      </c>
      <c r="O5354" s="80" t="s">
        <v>91</v>
      </c>
      <c r="P5354" s="80" t="s">
        <v>3694</v>
      </c>
      <c r="Q5354" s="20">
        <v>9317</v>
      </c>
      <c r="R5354" s="80" t="s">
        <v>11421</v>
      </c>
      <c r="S5354" s="95">
        <v>9017</v>
      </c>
      <c r="T5354" s="148">
        <v>45586</v>
      </c>
      <c r="U5354" s="77"/>
      <c r="V5354" s="78"/>
      <c r="W5354" s="85" t="s">
        <v>16436</v>
      </c>
      <c r="X5354" s="80"/>
      <c r="Y5354" s="22">
        <v>300</v>
      </c>
      <c r="Z5354" s="81" t="s">
        <v>50</v>
      </c>
      <c r="AA5354" s="86" t="s">
        <v>9905</v>
      </c>
      <c r="AB5354" s="80"/>
      <c r="AC5354" s="80" t="s">
        <v>53</v>
      </c>
      <c r="AD5354" s="80" t="s">
        <v>138</v>
      </c>
      <c r="AE5354" s="80" t="s">
        <v>15451</v>
      </c>
      <c r="AF5354" s="17">
        <v>45652</v>
      </c>
      <c r="AG5354" s="80" t="s">
        <v>18327</v>
      </c>
      <c r="AH5354" s="80"/>
      <c r="AI5354" s="147"/>
      <c r="AJ5354" s="80"/>
      <c r="AK5354" s="80"/>
      <c r="AL5354" s="86"/>
      <c r="AM5354" s="86"/>
      <c r="AN5354" s="86"/>
      <c r="AO5354" s="86"/>
      <c r="AP5354" s="35"/>
    </row>
    <row r="5355" spans="1:42" x14ac:dyDescent="0.2">
      <c r="A5355" s="74">
        <v>45644</v>
      </c>
      <c r="B5355" s="137" t="s">
        <v>37</v>
      </c>
      <c r="C5355" s="41" t="s">
        <v>118</v>
      </c>
      <c r="D5355" s="80" t="s">
        <v>36</v>
      </c>
      <c r="E5355" s="80" t="s">
        <v>39</v>
      </c>
      <c r="F5355" s="80" t="s">
        <v>15451</v>
      </c>
      <c r="G5355" s="80" t="s">
        <v>108</v>
      </c>
      <c r="H5355" s="80" t="s">
        <v>18344</v>
      </c>
      <c r="I5355" s="17">
        <f ca="1">IFERROR(__xludf.DUMMYFUNCTION("""COMPUTED_VALUE"""),45656)</f>
        <v>45656</v>
      </c>
      <c r="J5355" s="143" t="s">
        <v>16547</v>
      </c>
      <c r="K5355" s="80" t="s">
        <v>16548</v>
      </c>
      <c r="L5355" s="30">
        <v>868214427</v>
      </c>
      <c r="M5355" s="80" t="s">
        <v>9422</v>
      </c>
      <c r="N5355" s="80" t="s">
        <v>12670</v>
      </c>
      <c r="O5355" s="80" t="s">
        <v>16549</v>
      </c>
      <c r="P5355" s="80" t="s">
        <v>16550</v>
      </c>
      <c r="Q5355" s="20">
        <v>5736</v>
      </c>
      <c r="R5355" s="80" t="s">
        <v>36</v>
      </c>
      <c r="S5355" s="95">
        <f>1000+4736</f>
        <v>5736</v>
      </c>
      <c r="T5355" s="148">
        <v>45591</v>
      </c>
      <c r="U5355" s="77"/>
      <c r="V5355" s="148">
        <v>45594</v>
      </c>
      <c r="W5355" s="85" t="s">
        <v>16551</v>
      </c>
      <c r="X5355" s="80"/>
      <c r="Y5355" s="22">
        <v>0</v>
      </c>
      <c r="Z5355" s="81" t="s">
        <v>50</v>
      </c>
      <c r="AA5355" s="82" t="s">
        <v>9905</v>
      </c>
      <c r="AB5355" s="80"/>
      <c r="AC5355" s="80" t="s">
        <v>53</v>
      </c>
      <c r="AD5355" s="80" t="s">
        <v>138</v>
      </c>
      <c r="AE5355" s="80" t="s">
        <v>15451</v>
      </c>
      <c r="AF5355" s="17">
        <v>45652</v>
      </c>
      <c r="AG5355" s="80" t="s">
        <v>7078</v>
      </c>
      <c r="AH5355" s="80"/>
      <c r="AI5355" s="147"/>
      <c r="AJ5355" s="80"/>
      <c r="AK5355" s="80"/>
      <c r="AL5355" s="86"/>
      <c r="AM5355" s="86"/>
      <c r="AN5355" s="86"/>
      <c r="AO5355" s="86"/>
      <c r="AP5355" s="35"/>
    </row>
    <row r="5356" spans="1:42" x14ac:dyDescent="0.2">
      <c r="A5356" s="74">
        <v>45644</v>
      </c>
      <c r="B5356" s="137" t="s">
        <v>37</v>
      </c>
      <c r="C5356" s="41" t="s">
        <v>118</v>
      </c>
      <c r="D5356" s="80" t="s">
        <v>36</v>
      </c>
      <c r="E5356" s="80" t="s">
        <v>39</v>
      </c>
      <c r="F5356" s="80" t="s">
        <v>15451</v>
      </c>
      <c r="G5356" s="80" t="s">
        <v>108</v>
      </c>
      <c r="H5356" s="80" t="s">
        <v>18344</v>
      </c>
      <c r="I5356" s="17">
        <f ca="1">IFERROR(__xludf.DUMMYFUNCTION("""COMPUTED_VALUE"""),45656)</f>
        <v>45656</v>
      </c>
      <c r="J5356" s="143" t="s">
        <v>16564</v>
      </c>
      <c r="K5356" s="80" t="s">
        <v>16565</v>
      </c>
      <c r="L5356" s="30">
        <v>384766982</v>
      </c>
      <c r="M5356" s="80" t="s">
        <v>59</v>
      </c>
      <c r="N5356" s="80" t="s">
        <v>68</v>
      </c>
      <c r="O5356" s="80" t="s">
        <v>16566</v>
      </c>
      <c r="P5356" s="80" t="s">
        <v>7743</v>
      </c>
      <c r="Q5356" s="20">
        <v>5736</v>
      </c>
      <c r="R5356" s="80" t="s">
        <v>36</v>
      </c>
      <c r="S5356" s="95">
        <f>200+5536</f>
        <v>5736</v>
      </c>
      <c r="T5356" s="148">
        <v>45593</v>
      </c>
      <c r="U5356" s="77"/>
      <c r="V5356" s="148">
        <v>45593</v>
      </c>
      <c r="W5356" s="80" t="s">
        <v>16567</v>
      </c>
      <c r="X5356" s="80"/>
      <c r="Y5356" s="22">
        <v>0</v>
      </c>
      <c r="Z5356" s="81" t="s">
        <v>50</v>
      </c>
      <c r="AA5356" s="86" t="s">
        <v>9905</v>
      </c>
      <c r="AB5356" s="80"/>
      <c r="AC5356" s="80" t="s">
        <v>53</v>
      </c>
      <c r="AD5356" s="80" t="s">
        <v>138</v>
      </c>
      <c r="AE5356" s="80" t="s">
        <v>15451</v>
      </c>
      <c r="AF5356" s="17">
        <v>45652</v>
      </c>
      <c r="AG5356" s="80" t="s">
        <v>18327</v>
      </c>
      <c r="AH5356" s="80"/>
      <c r="AI5356" s="147"/>
      <c r="AJ5356" s="80"/>
      <c r="AK5356" s="80"/>
      <c r="AL5356" s="86"/>
      <c r="AM5356" s="86"/>
      <c r="AN5356" s="86"/>
      <c r="AO5356" s="86"/>
      <c r="AP5356" s="35"/>
    </row>
    <row r="5357" spans="1:42" x14ac:dyDescent="0.2">
      <c r="A5357" s="74">
        <v>45644</v>
      </c>
      <c r="B5357" s="137" t="s">
        <v>37</v>
      </c>
      <c r="C5357" s="41" t="s">
        <v>118</v>
      </c>
      <c r="D5357" s="80" t="s">
        <v>36</v>
      </c>
      <c r="E5357" s="80" t="s">
        <v>139</v>
      </c>
      <c r="F5357" s="80" t="s">
        <v>15451</v>
      </c>
      <c r="G5357" s="80" t="s">
        <v>108</v>
      </c>
      <c r="H5357" s="80" t="s">
        <v>18344</v>
      </c>
      <c r="I5357" s="17">
        <f ca="1">IFERROR(__xludf.DUMMYFUNCTION("""COMPUTED_VALUE"""),45656)</f>
        <v>45656</v>
      </c>
      <c r="J5357" s="143" t="s">
        <v>17411</v>
      </c>
      <c r="K5357" s="80" t="s">
        <v>17412</v>
      </c>
      <c r="L5357" s="30">
        <v>378502736</v>
      </c>
      <c r="M5357" s="80" t="s">
        <v>15970</v>
      </c>
      <c r="N5357" s="80" t="s">
        <v>327</v>
      </c>
      <c r="O5357" s="80" t="s">
        <v>4503</v>
      </c>
      <c r="P5357" s="80" t="s">
        <v>3056</v>
      </c>
      <c r="Q5357" s="20">
        <v>15936</v>
      </c>
      <c r="R5357" s="80" t="s">
        <v>36</v>
      </c>
      <c r="S5357" s="95">
        <v>3000</v>
      </c>
      <c r="T5357" s="148">
        <v>45568</v>
      </c>
      <c r="U5357" s="95">
        <v>12936</v>
      </c>
      <c r="V5357" s="148">
        <v>45621</v>
      </c>
      <c r="W5357" s="85" t="s">
        <v>17413</v>
      </c>
      <c r="X5357" s="80"/>
      <c r="Y5357" s="22">
        <v>0</v>
      </c>
      <c r="Z5357" s="81" t="s">
        <v>50</v>
      </c>
      <c r="AA5357" s="82" t="s">
        <v>14723</v>
      </c>
      <c r="AB5357" s="80"/>
      <c r="AC5357" s="80" t="s">
        <v>53</v>
      </c>
      <c r="AD5357" s="80" t="s">
        <v>138</v>
      </c>
      <c r="AE5357" s="80" t="s">
        <v>15451</v>
      </c>
      <c r="AF5357" s="17">
        <v>45652</v>
      </c>
      <c r="AG5357" s="80" t="s">
        <v>18327</v>
      </c>
      <c r="AH5357" s="80"/>
      <c r="AI5357" s="147"/>
      <c r="AJ5357" s="80"/>
      <c r="AK5357" s="80"/>
      <c r="AL5357" s="86"/>
      <c r="AM5357" s="86"/>
      <c r="AN5357" s="86"/>
      <c r="AO5357" s="86"/>
      <c r="AP5357" s="35"/>
    </row>
    <row r="5358" spans="1:42" x14ac:dyDescent="0.2">
      <c r="A5358" s="74">
        <v>45644</v>
      </c>
      <c r="B5358" s="137" t="s">
        <v>37</v>
      </c>
      <c r="C5358" s="41" t="s">
        <v>118</v>
      </c>
      <c r="D5358" s="80" t="s">
        <v>36</v>
      </c>
      <c r="E5358" s="80" t="s">
        <v>139</v>
      </c>
      <c r="F5358" s="80" t="s">
        <v>15451</v>
      </c>
      <c r="G5358" s="80" t="s">
        <v>108</v>
      </c>
      <c r="H5358" s="80" t="s">
        <v>18344</v>
      </c>
      <c r="I5358" s="17">
        <f ca="1">IFERROR(__xludf.DUMMYFUNCTION("""COMPUTED_VALUE"""),45656)</f>
        <v>45656</v>
      </c>
      <c r="J5358" s="143" t="s">
        <v>17480</v>
      </c>
      <c r="K5358" s="80" t="s">
        <v>17481</v>
      </c>
      <c r="L5358" s="30">
        <v>967301445</v>
      </c>
      <c r="M5358" s="80" t="s">
        <v>5429</v>
      </c>
      <c r="N5358" s="80" t="s">
        <v>81</v>
      </c>
      <c r="O5358" s="80" t="s">
        <v>61</v>
      </c>
      <c r="P5358" s="80" t="s">
        <v>6368</v>
      </c>
      <c r="Q5358" s="20">
        <v>15936</v>
      </c>
      <c r="R5358" s="80" t="s">
        <v>36</v>
      </c>
      <c r="S5358" s="95">
        <f t="shared" ref="S5358:S5359" si="136">200+1800</f>
        <v>2000</v>
      </c>
      <c r="T5358" s="148" t="s">
        <v>17482</v>
      </c>
      <c r="U5358" s="95">
        <v>13936</v>
      </c>
      <c r="V5358" s="148">
        <v>45622</v>
      </c>
      <c r="W5358" s="85" t="s">
        <v>17483</v>
      </c>
      <c r="X5358" s="80"/>
      <c r="Y5358" s="22">
        <v>0</v>
      </c>
      <c r="Z5358" s="81" t="s">
        <v>50</v>
      </c>
      <c r="AA5358" s="86" t="s">
        <v>14723</v>
      </c>
      <c r="AB5358" s="80"/>
      <c r="AC5358" s="80" t="s">
        <v>53</v>
      </c>
      <c r="AD5358" s="80" t="s">
        <v>138</v>
      </c>
      <c r="AE5358" s="80" t="s">
        <v>15451</v>
      </c>
      <c r="AF5358" s="17">
        <v>45652</v>
      </c>
      <c r="AG5358" s="80" t="s">
        <v>18327</v>
      </c>
      <c r="AH5358" s="80"/>
      <c r="AI5358" s="147"/>
      <c r="AJ5358" s="80"/>
      <c r="AK5358" s="80"/>
      <c r="AL5358" s="86"/>
      <c r="AM5358" s="86"/>
      <c r="AN5358" s="86"/>
      <c r="AO5358" s="86"/>
      <c r="AP5358" s="35"/>
    </row>
    <row r="5359" spans="1:42" x14ac:dyDescent="0.2">
      <c r="A5359" s="74">
        <v>45644</v>
      </c>
      <c r="B5359" s="137" t="s">
        <v>37</v>
      </c>
      <c r="C5359" s="41" t="s">
        <v>118</v>
      </c>
      <c r="D5359" s="80" t="s">
        <v>36</v>
      </c>
      <c r="E5359" s="80" t="s">
        <v>139</v>
      </c>
      <c r="F5359" s="80" t="s">
        <v>15451</v>
      </c>
      <c r="G5359" s="80" t="s">
        <v>108</v>
      </c>
      <c r="H5359" s="80" t="s">
        <v>18344</v>
      </c>
      <c r="I5359" s="17">
        <f ca="1">IFERROR(__xludf.DUMMYFUNCTION("""COMPUTED_VALUE"""),45656)</f>
        <v>45656</v>
      </c>
      <c r="J5359" s="143" t="s">
        <v>17595</v>
      </c>
      <c r="K5359" s="80" t="s">
        <v>18345</v>
      </c>
      <c r="L5359" s="30">
        <v>876129286</v>
      </c>
      <c r="M5359" s="80" t="s">
        <v>12529</v>
      </c>
      <c r="N5359" s="80" t="s">
        <v>13566</v>
      </c>
      <c r="O5359" s="80" t="s">
        <v>17597</v>
      </c>
      <c r="P5359" s="80" t="s">
        <v>17598</v>
      </c>
      <c r="Q5359" s="20">
        <v>15936</v>
      </c>
      <c r="R5359" s="80" t="s">
        <v>36</v>
      </c>
      <c r="S5359" s="95">
        <f t="shared" si="136"/>
        <v>2000</v>
      </c>
      <c r="T5359" s="148" t="s">
        <v>17599</v>
      </c>
      <c r="U5359" s="95">
        <v>13936</v>
      </c>
      <c r="V5359" s="148">
        <v>45618</v>
      </c>
      <c r="W5359" s="85" t="s">
        <v>17600</v>
      </c>
      <c r="X5359" s="80"/>
      <c r="Y5359" s="22">
        <v>0</v>
      </c>
      <c r="Z5359" s="81" t="s">
        <v>50</v>
      </c>
      <c r="AA5359" s="82" t="s">
        <v>14723</v>
      </c>
      <c r="AB5359" s="80"/>
      <c r="AC5359" s="80" t="s">
        <v>53</v>
      </c>
      <c r="AD5359" s="80" t="s">
        <v>138</v>
      </c>
      <c r="AE5359" s="80" t="s">
        <v>15451</v>
      </c>
      <c r="AF5359" s="17">
        <v>45652</v>
      </c>
      <c r="AG5359" s="80" t="s">
        <v>18327</v>
      </c>
      <c r="AH5359" s="80"/>
      <c r="AI5359" s="147"/>
      <c r="AJ5359" s="80"/>
      <c r="AK5359" s="80"/>
      <c r="AL5359" s="86"/>
      <c r="AM5359" s="86"/>
      <c r="AN5359" s="86"/>
      <c r="AO5359" s="86"/>
      <c r="AP5359" s="35"/>
    </row>
    <row r="5360" spans="1:42" x14ac:dyDescent="0.2">
      <c r="A5360" s="74">
        <v>45644</v>
      </c>
      <c r="B5360" s="137" t="s">
        <v>37</v>
      </c>
      <c r="C5360" s="41" t="s">
        <v>118</v>
      </c>
      <c r="D5360" s="80" t="s">
        <v>36</v>
      </c>
      <c r="E5360" s="80" t="s">
        <v>39</v>
      </c>
      <c r="F5360" s="80" t="s">
        <v>15451</v>
      </c>
      <c r="G5360" s="80" t="s">
        <v>108</v>
      </c>
      <c r="H5360" s="80" t="s">
        <v>5946</v>
      </c>
      <c r="I5360" s="17">
        <f ca="1">IFERROR(__xludf.DUMMYFUNCTION("""COMPUTED_VALUE"""),45742)</f>
        <v>45742</v>
      </c>
      <c r="J5360" s="143" t="s">
        <v>17698</v>
      </c>
      <c r="K5360" s="80" t="s">
        <v>18346</v>
      </c>
      <c r="L5360" s="30">
        <v>372068205</v>
      </c>
      <c r="M5360" s="80" t="s">
        <v>5518</v>
      </c>
      <c r="N5360" s="80" t="s">
        <v>186</v>
      </c>
      <c r="O5360" s="80" t="s">
        <v>17700</v>
      </c>
      <c r="P5360" s="80" t="s">
        <v>5462</v>
      </c>
      <c r="Q5360" s="20">
        <v>5736</v>
      </c>
      <c r="R5360" s="80" t="s">
        <v>36</v>
      </c>
      <c r="S5360" s="95">
        <v>2000</v>
      </c>
      <c r="T5360" s="148">
        <v>45595</v>
      </c>
      <c r="U5360" s="95">
        <v>3736</v>
      </c>
      <c r="V5360" s="148">
        <v>45620</v>
      </c>
      <c r="W5360" s="85" t="s">
        <v>17701</v>
      </c>
      <c r="X5360" s="80"/>
      <c r="Y5360" s="22">
        <v>0</v>
      </c>
      <c r="Z5360" s="81" t="s">
        <v>50</v>
      </c>
      <c r="AA5360" s="86" t="s">
        <v>14723</v>
      </c>
      <c r="AB5360" s="80"/>
      <c r="AC5360" s="80" t="s">
        <v>53</v>
      </c>
      <c r="AD5360" s="80" t="s">
        <v>138</v>
      </c>
      <c r="AE5360" s="80" t="s">
        <v>15451</v>
      </c>
      <c r="AF5360" s="17">
        <v>45652</v>
      </c>
      <c r="AG5360" s="80" t="s">
        <v>18327</v>
      </c>
      <c r="AH5360" s="80"/>
      <c r="AI5360" s="147"/>
      <c r="AJ5360" s="80"/>
      <c r="AK5360" s="80"/>
      <c r="AL5360" s="86"/>
      <c r="AM5360" s="86"/>
      <c r="AN5360" s="86"/>
      <c r="AO5360" s="86"/>
      <c r="AP5360" s="35"/>
    </row>
    <row r="5361" spans="1:42" x14ac:dyDescent="0.2">
      <c r="A5361" s="74">
        <v>45644</v>
      </c>
      <c r="B5361" s="137" t="s">
        <v>37</v>
      </c>
      <c r="C5361" s="41" t="s">
        <v>118</v>
      </c>
      <c r="D5361" s="80" t="s">
        <v>36</v>
      </c>
      <c r="E5361" s="80" t="s">
        <v>56</v>
      </c>
      <c r="F5361" s="80" t="s">
        <v>15451</v>
      </c>
      <c r="G5361" s="80" t="s">
        <v>108</v>
      </c>
      <c r="H5361" s="80" t="s">
        <v>18344</v>
      </c>
      <c r="I5361" s="17">
        <f ca="1">IFERROR(__xludf.DUMMYFUNCTION("""COMPUTED_VALUE"""),45656)</f>
        <v>45656</v>
      </c>
      <c r="J5361" s="143" t="s">
        <v>17726</v>
      </c>
      <c r="K5361" s="80" t="s">
        <v>17727</v>
      </c>
      <c r="L5361" s="30">
        <v>396062136</v>
      </c>
      <c r="M5361" s="80" t="s">
        <v>45</v>
      </c>
      <c r="N5361" s="80" t="s">
        <v>17728</v>
      </c>
      <c r="O5361" s="80" t="s">
        <v>17729</v>
      </c>
      <c r="P5361" s="80" t="s">
        <v>7743</v>
      </c>
      <c r="Q5361" s="20">
        <v>9317</v>
      </c>
      <c r="R5361" s="80" t="s">
        <v>36</v>
      </c>
      <c r="S5361" s="95">
        <v>2000</v>
      </c>
      <c r="T5361" s="148">
        <v>45597</v>
      </c>
      <c r="U5361" s="95">
        <v>7317</v>
      </c>
      <c r="V5361" s="148">
        <v>45614</v>
      </c>
      <c r="W5361" s="85" t="s">
        <v>17730</v>
      </c>
      <c r="X5361" s="80"/>
      <c r="Y5361" s="22">
        <v>0</v>
      </c>
      <c r="Z5361" s="81" t="s">
        <v>50</v>
      </c>
      <c r="AA5361" s="82" t="s">
        <v>14723</v>
      </c>
      <c r="AB5361" s="80"/>
      <c r="AC5361" s="80" t="s">
        <v>53</v>
      </c>
      <c r="AD5361" s="80" t="s">
        <v>138</v>
      </c>
      <c r="AE5361" s="80" t="s">
        <v>15451</v>
      </c>
      <c r="AF5361" s="17">
        <v>45652</v>
      </c>
      <c r="AG5361" s="80" t="s">
        <v>18327</v>
      </c>
      <c r="AH5361" s="80"/>
      <c r="AI5361" s="147"/>
      <c r="AJ5361" s="80"/>
      <c r="AK5361" s="80"/>
      <c r="AL5361" s="86"/>
      <c r="AM5361" s="86"/>
      <c r="AN5361" s="86"/>
      <c r="AO5361" s="86"/>
      <c r="AP5361" s="35"/>
    </row>
    <row r="5362" spans="1:42" x14ac:dyDescent="0.2">
      <c r="A5362" s="74">
        <v>45644</v>
      </c>
      <c r="B5362" s="137" t="s">
        <v>37</v>
      </c>
      <c r="C5362" s="41" t="s">
        <v>118</v>
      </c>
      <c r="D5362" s="80" t="s">
        <v>36</v>
      </c>
      <c r="E5362" s="80" t="s">
        <v>139</v>
      </c>
      <c r="F5362" s="80" t="s">
        <v>15451</v>
      </c>
      <c r="G5362" s="80" t="s">
        <v>108</v>
      </c>
      <c r="H5362" s="80" t="s">
        <v>18344</v>
      </c>
      <c r="I5362" s="17">
        <f ca="1">IFERROR(__xludf.DUMMYFUNCTION("""COMPUTED_VALUE"""),45656)</f>
        <v>45656</v>
      </c>
      <c r="J5362" s="143" t="s">
        <v>17745</v>
      </c>
      <c r="K5362" s="80" t="s">
        <v>17746</v>
      </c>
      <c r="L5362" s="30">
        <v>385141006</v>
      </c>
      <c r="M5362" s="80" t="s">
        <v>16756</v>
      </c>
      <c r="N5362" s="80"/>
      <c r="O5362" s="80" t="s">
        <v>91</v>
      </c>
      <c r="P5362" s="80" t="s">
        <v>12578</v>
      </c>
      <c r="Q5362" s="20">
        <v>15936</v>
      </c>
      <c r="R5362" s="80" t="s">
        <v>36</v>
      </c>
      <c r="S5362" s="95">
        <v>2000</v>
      </c>
      <c r="T5362" s="148">
        <v>45597</v>
      </c>
      <c r="U5362" s="95">
        <v>13936</v>
      </c>
      <c r="V5362" s="148">
        <v>45618</v>
      </c>
      <c r="W5362" s="85" t="s">
        <v>17747</v>
      </c>
      <c r="X5362" s="80"/>
      <c r="Y5362" s="22">
        <v>0</v>
      </c>
      <c r="Z5362" s="81" t="s">
        <v>50</v>
      </c>
      <c r="AA5362" s="86" t="s">
        <v>14723</v>
      </c>
      <c r="AB5362" s="80"/>
      <c r="AC5362" s="80" t="s">
        <v>53</v>
      </c>
      <c r="AD5362" s="80" t="s">
        <v>138</v>
      </c>
      <c r="AE5362" s="80" t="s">
        <v>15451</v>
      </c>
      <c r="AF5362" s="17">
        <v>45652</v>
      </c>
      <c r="AG5362" s="80" t="s">
        <v>18327</v>
      </c>
      <c r="AH5362" s="80"/>
      <c r="AI5362" s="147"/>
      <c r="AJ5362" s="80"/>
      <c r="AK5362" s="80"/>
      <c r="AL5362" s="86"/>
      <c r="AM5362" s="86"/>
      <c r="AN5362" s="86"/>
      <c r="AO5362" s="86"/>
      <c r="AP5362" s="35"/>
    </row>
    <row r="5363" spans="1:42" x14ac:dyDescent="0.2">
      <c r="A5363" s="74">
        <v>45644</v>
      </c>
      <c r="B5363" s="137" t="s">
        <v>37</v>
      </c>
      <c r="C5363" s="41" t="s">
        <v>118</v>
      </c>
      <c r="D5363" s="80" t="s">
        <v>36</v>
      </c>
      <c r="E5363" s="80" t="s">
        <v>139</v>
      </c>
      <c r="F5363" s="80" t="s">
        <v>15451</v>
      </c>
      <c r="G5363" s="80" t="s">
        <v>108</v>
      </c>
      <c r="H5363" s="80" t="s">
        <v>18344</v>
      </c>
      <c r="I5363" s="17">
        <f ca="1">IFERROR(__xludf.DUMMYFUNCTION("""COMPUTED_VALUE"""),45656)</f>
        <v>45656</v>
      </c>
      <c r="J5363" s="143" t="s">
        <v>17757</v>
      </c>
      <c r="K5363" s="80" t="s">
        <v>17758</v>
      </c>
      <c r="L5363" s="30">
        <v>813242134</v>
      </c>
      <c r="M5363" s="80" t="s">
        <v>17759</v>
      </c>
      <c r="N5363" s="80" t="s">
        <v>2756</v>
      </c>
      <c r="O5363" s="80" t="s">
        <v>4503</v>
      </c>
      <c r="P5363" s="80" t="s">
        <v>17760</v>
      </c>
      <c r="Q5363" s="20">
        <v>15936</v>
      </c>
      <c r="R5363" s="80" t="s">
        <v>36</v>
      </c>
      <c r="S5363" s="95">
        <f>200+8000</f>
        <v>8200</v>
      </c>
      <c r="T5363" s="148" t="s">
        <v>17724</v>
      </c>
      <c r="U5363" s="95">
        <v>7736</v>
      </c>
      <c r="V5363" s="148">
        <v>45614</v>
      </c>
      <c r="W5363" s="85" t="s">
        <v>17761</v>
      </c>
      <c r="X5363" s="80"/>
      <c r="Y5363" s="22">
        <v>0</v>
      </c>
      <c r="Z5363" s="81" t="s">
        <v>50</v>
      </c>
      <c r="AA5363" s="82" t="s">
        <v>14723</v>
      </c>
      <c r="AB5363" s="80"/>
      <c r="AC5363" s="80" t="s">
        <v>53</v>
      </c>
      <c r="AD5363" s="80" t="s">
        <v>138</v>
      </c>
      <c r="AE5363" s="80" t="s">
        <v>15451</v>
      </c>
      <c r="AF5363" s="17">
        <v>45652</v>
      </c>
      <c r="AG5363" s="80" t="s">
        <v>18327</v>
      </c>
      <c r="AH5363" s="80"/>
      <c r="AI5363" s="147"/>
      <c r="AJ5363" s="80"/>
      <c r="AK5363" s="80"/>
      <c r="AL5363" s="86"/>
      <c r="AM5363" s="86"/>
      <c r="AN5363" s="86"/>
      <c r="AO5363" s="86"/>
      <c r="AP5363" s="35"/>
    </row>
    <row r="5364" spans="1:42" x14ac:dyDescent="0.2">
      <c r="A5364" s="74">
        <v>45644</v>
      </c>
      <c r="B5364" s="137" t="s">
        <v>37</v>
      </c>
      <c r="C5364" s="41" t="s">
        <v>118</v>
      </c>
      <c r="D5364" s="80" t="s">
        <v>36</v>
      </c>
      <c r="E5364" s="80" t="s">
        <v>56</v>
      </c>
      <c r="F5364" s="80" t="s">
        <v>15451</v>
      </c>
      <c r="G5364" s="80" t="s">
        <v>108</v>
      </c>
      <c r="H5364" s="80" t="s">
        <v>18344</v>
      </c>
      <c r="I5364" s="17">
        <f ca="1">IFERROR(__xludf.DUMMYFUNCTION("""COMPUTED_VALUE"""),45656)</f>
        <v>45656</v>
      </c>
      <c r="J5364" s="143" t="s">
        <v>17767</v>
      </c>
      <c r="K5364" s="80" t="s">
        <v>17768</v>
      </c>
      <c r="L5364" s="30">
        <v>867213341</v>
      </c>
      <c r="M5364" s="80" t="s">
        <v>59</v>
      </c>
      <c r="N5364" s="80" t="s">
        <v>7298</v>
      </c>
      <c r="O5364" s="80" t="s">
        <v>17769</v>
      </c>
      <c r="P5364" s="80" t="s">
        <v>17770</v>
      </c>
      <c r="Q5364" s="20">
        <v>9317</v>
      </c>
      <c r="R5364" s="80" t="s">
        <v>36</v>
      </c>
      <c r="S5364" s="95">
        <f>200+9117</f>
        <v>9317</v>
      </c>
      <c r="T5364" s="148">
        <v>45596</v>
      </c>
      <c r="U5364" s="77"/>
      <c r="V5364" s="148">
        <v>45597</v>
      </c>
      <c r="W5364" s="80" t="s">
        <v>17771</v>
      </c>
      <c r="X5364" s="80"/>
      <c r="Y5364" s="22">
        <v>0</v>
      </c>
      <c r="Z5364" s="81" t="s">
        <v>50</v>
      </c>
      <c r="AA5364" s="86" t="s">
        <v>14723</v>
      </c>
      <c r="AB5364" s="80"/>
      <c r="AC5364" s="80" t="s">
        <v>53</v>
      </c>
      <c r="AD5364" s="80" t="s">
        <v>138</v>
      </c>
      <c r="AE5364" s="80" t="s">
        <v>15451</v>
      </c>
      <c r="AF5364" s="17">
        <v>45652</v>
      </c>
      <c r="AG5364" s="80" t="s">
        <v>18327</v>
      </c>
      <c r="AH5364" s="80"/>
      <c r="AI5364" s="147"/>
      <c r="AJ5364" s="80"/>
      <c r="AK5364" s="80"/>
      <c r="AL5364" s="86"/>
      <c r="AM5364" s="86"/>
      <c r="AN5364" s="86"/>
      <c r="AO5364" s="86"/>
      <c r="AP5364" s="35"/>
    </row>
    <row r="5365" spans="1:42" x14ac:dyDescent="0.2">
      <c r="A5365" s="74">
        <v>45644</v>
      </c>
      <c r="B5365" s="137" t="s">
        <v>37</v>
      </c>
      <c r="C5365" s="41" t="s">
        <v>118</v>
      </c>
      <c r="D5365" s="80" t="s">
        <v>36</v>
      </c>
      <c r="E5365" s="80" t="s">
        <v>56</v>
      </c>
      <c r="F5365" s="80" t="s">
        <v>15451</v>
      </c>
      <c r="G5365" s="80" t="s">
        <v>108</v>
      </c>
      <c r="H5365" s="80" t="s">
        <v>18344</v>
      </c>
      <c r="I5365" s="17">
        <f ca="1">IFERROR(__xludf.DUMMYFUNCTION("""COMPUTED_VALUE"""),45656)</f>
        <v>45656</v>
      </c>
      <c r="J5365" s="143" t="s">
        <v>17870</v>
      </c>
      <c r="K5365" s="80" t="s">
        <v>17871</v>
      </c>
      <c r="L5365" s="30">
        <v>981632062</v>
      </c>
      <c r="M5365" s="80" t="s">
        <v>59</v>
      </c>
      <c r="N5365" s="80" t="s">
        <v>7298</v>
      </c>
      <c r="O5365" s="80" t="s">
        <v>17872</v>
      </c>
      <c r="P5365" s="80" t="s">
        <v>12687</v>
      </c>
      <c r="Q5365" s="20">
        <v>9317</v>
      </c>
      <c r="R5365" s="80" t="s">
        <v>36</v>
      </c>
      <c r="S5365" s="95">
        <v>9317</v>
      </c>
      <c r="T5365" s="148">
        <v>45602</v>
      </c>
      <c r="U5365" s="77"/>
      <c r="V5365" s="78"/>
      <c r="W5365" s="85" t="s">
        <v>17873</v>
      </c>
      <c r="X5365" s="80"/>
      <c r="Y5365" s="22">
        <v>0</v>
      </c>
      <c r="Z5365" s="81" t="s">
        <v>50</v>
      </c>
      <c r="AA5365" s="82" t="s">
        <v>14723</v>
      </c>
      <c r="AB5365" s="80"/>
      <c r="AC5365" s="80" t="s">
        <v>53</v>
      </c>
      <c r="AD5365" s="80" t="s">
        <v>138</v>
      </c>
      <c r="AE5365" s="80" t="s">
        <v>15451</v>
      </c>
      <c r="AF5365" s="17">
        <v>45652</v>
      </c>
      <c r="AG5365" s="80" t="s">
        <v>18327</v>
      </c>
      <c r="AH5365" s="80"/>
      <c r="AI5365" s="147"/>
      <c r="AJ5365" s="80"/>
      <c r="AK5365" s="80"/>
      <c r="AL5365" s="86"/>
      <c r="AM5365" s="86"/>
      <c r="AN5365" s="86"/>
      <c r="AO5365" s="86"/>
      <c r="AP5365" s="35"/>
    </row>
    <row r="5366" spans="1:42" x14ac:dyDescent="0.2">
      <c r="A5366" s="74">
        <v>45644</v>
      </c>
      <c r="B5366" s="137" t="s">
        <v>37</v>
      </c>
      <c r="C5366" s="41" t="s">
        <v>118</v>
      </c>
      <c r="D5366" s="80" t="s">
        <v>36</v>
      </c>
      <c r="E5366" s="80" t="s">
        <v>139</v>
      </c>
      <c r="F5366" s="80" t="s">
        <v>15451</v>
      </c>
      <c r="G5366" s="80" t="s">
        <v>108</v>
      </c>
      <c r="H5366" s="80" t="s">
        <v>18344</v>
      </c>
      <c r="I5366" s="17">
        <f ca="1">IFERROR(__xludf.DUMMYFUNCTION("""COMPUTED_VALUE"""),45656)</f>
        <v>45656</v>
      </c>
      <c r="J5366" s="143" t="s">
        <v>18347</v>
      </c>
      <c r="K5366" s="80" t="s">
        <v>18348</v>
      </c>
      <c r="L5366" s="30">
        <v>941167879</v>
      </c>
      <c r="M5366" s="80" t="s">
        <v>5429</v>
      </c>
      <c r="N5366" s="80" t="s">
        <v>81</v>
      </c>
      <c r="O5366" s="80" t="s">
        <v>61</v>
      </c>
      <c r="P5366" s="80" t="s">
        <v>6368</v>
      </c>
      <c r="Q5366" s="20">
        <v>15936</v>
      </c>
      <c r="R5366" s="80" t="s">
        <v>70</v>
      </c>
      <c r="S5366" s="95">
        <v>2000</v>
      </c>
      <c r="T5366" s="148">
        <v>45582</v>
      </c>
      <c r="U5366" s="95">
        <v>13836</v>
      </c>
      <c r="V5366" s="148">
        <v>45629</v>
      </c>
      <c r="W5366" s="85" t="s">
        <v>18349</v>
      </c>
      <c r="X5366" s="80"/>
      <c r="Y5366" s="22">
        <v>100</v>
      </c>
      <c r="Z5366" s="81" t="s">
        <v>50</v>
      </c>
      <c r="AA5366" s="86"/>
      <c r="AB5366" s="80"/>
      <c r="AC5366" s="80" t="s">
        <v>53</v>
      </c>
      <c r="AD5366" s="80" t="s">
        <v>138</v>
      </c>
      <c r="AE5366" s="80" t="s">
        <v>15451</v>
      </c>
      <c r="AF5366" s="17">
        <v>45652</v>
      </c>
      <c r="AG5366" s="80" t="s">
        <v>18327</v>
      </c>
      <c r="AH5366" s="80"/>
      <c r="AI5366" s="147"/>
      <c r="AJ5366" s="80"/>
      <c r="AK5366" s="80"/>
      <c r="AL5366" s="35"/>
      <c r="AM5366" s="35"/>
      <c r="AN5366" s="35"/>
      <c r="AO5366" s="35"/>
      <c r="AP5366" s="35"/>
    </row>
    <row r="5367" spans="1:42" x14ac:dyDescent="0.2">
      <c r="A5367" s="74">
        <v>45644</v>
      </c>
      <c r="B5367" s="28" t="s">
        <v>37</v>
      </c>
      <c r="C5367" s="41" t="s">
        <v>118</v>
      </c>
      <c r="D5367" s="80" t="s">
        <v>36</v>
      </c>
      <c r="E5367" s="80" t="s">
        <v>139</v>
      </c>
      <c r="F5367" s="80" t="s">
        <v>15451</v>
      </c>
      <c r="G5367" s="80" t="s">
        <v>108</v>
      </c>
      <c r="H5367" s="80" t="s">
        <v>16628</v>
      </c>
      <c r="I5367" s="17">
        <f ca="1">IFERROR(__xludf.DUMMYFUNCTION("""COMPUTED_VALUE"""),45758)</f>
        <v>45758</v>
      </c>
      <c r="J5367" s="143" t="s">
        <v>18350</v>
      </c>
      <c r="K5367" s="80" t="s">
        <v>18351</v>
      </c>
      <c r="L5367" s="30">
        <v>332322510</v>
      </c>
      <c r="M5367" s="80" t="s">
        <v>17779</v>
      </c>
      <c r="N5367" s="80" t="s">
        <v>7153</v>
      </c>
      <c r="O5367" s="80" t="s">
        <v>18352</v>
      </c>
      <c r="P5367" s="80" t="s">
        <v>18353</v>
      </c>
      <c r="Q5367" s="20">
        <v>15936</v>
      </c>
      <c r="R5367" s="80" t="s">
        <v>36</v>
      </c>
      <c r="S5367" s="95">
        <v>2000</v>
      </c>
      <c r="T5367" s="148">
        <v>45597</v>
      </c>
      <c r="U5367" s="95">
        <v>13936</v>
      </c>
      <c r="V5367" s="148">
        <v>45636</v>
      </c>
      <c r="W5367" s="85" t="s">
        <v>18354</v>
      </c>
      <c r="X5367" s="80"/>
      <c r="Y5367" s="22">
        <v>0</v>
      </c>
      <c r="Z5367" s="81" t="s">
        <v>50</v>
      </c>
      <c r="AA5367" s="82"/>
      <c r="AB5367" s="80"/>
      <c r="AC5367" s="80" t="s">
        <v>53</v>
      </c>
      <c r="AD5367" s="80" t="s">
        <v>138</v>
      </c>
      <c r="AE5367" s="80" t="s">
        <v>15451</v>
      </c>
      <c r="AF5367" s="17">
        <v>45755</v>
      </c>
      <c r="AG5367" s="80" t="s">
        <v>18355</v>
      </c>
      <c r="AH5367" s="80"/>
      <c r="AI5367" s="147"/>
      <c r="AJ5367" s="80"/>
      <c r="AK5367" s="80"/>
      <c r="AL5367" s="35"/>
      <c r="AM5367" s="35"/>
      <c r="AN5367" s="35"/>
      <c r="AO5367" s="35"/>
      <c r="AP5367" s="35"/>
    </row>
    <row r="5368" spans="1:42" x14ac:dyDescent="0.2">
      <c r="A5368" s="74">
        <v>45644</v>
      </c>
      <c r="B5368" s="137" t="s">
        <v>37</v>
      </c>
      <c r="C5368" s="41" t="s">
        <v>118</v>
      </c>
      <c r="D5368" s="80" t="s">
        <v>36</v>
      </c>
      <c r="E5368" s="80" t="s">
        <v>139</v>
      </c>
      <c r="F5368" s="80" t="s">
        <v>15451</v>
      </c>
      <c r="G5368" s="80" t="s">
        <v>108</v>
      </c>
      <c r="H5368" s="80" t="s">
        <v>18344</v>
      </c>
      <c r="I5368" s="17">
        <f ca="1">IFERROR(__xludf.DUMMYFUNCTION("""COMPUTED_VALUE"""),45656)</f>
        <v>45656</v>
      </c>
      <c r="J5368" s="143" t="s">
        <v>18356</v>
      </c>
      <c r="K5368" s="80" t="s">
        <v>18357</v>
      </c>
      <c r="L5368" s="30">
        <v>918053882</v>
      </c>
      <c r="M5368" s="80" t="s">
        <v>18358</v>
      </c>
      <c r="N5368" s="80" t="s">
        <v>2847</v>
      </c>
      <c r="O5368" s="80" t="s">
        <v>4503</v>
      </c>
      <c r="P5368" s="80" t="s">
        <v>3056</v>
      </c>
      <c r="Q5368" s="20">
        <v>15936</v>
      </c>
      <c r="R5368" s="80" t="s">
        <v>36</v>
      </c>
      <c r="S5368" s="95">
        <f>100+1868</f>
        <v>1968</v>
      </c>
      <c r="T5368" s="83" t="s">
        <v>17724</v>
      </c>
      <c r="U5368" s="77">
        <f>13930+38</f>
        <v>13968</v>
      </c>
      <c r="V5368" s="80" t="s">
        <v>18359</v>
      </c>
      <c r="W5368" s="85" t="s">
        <v>18360</v>
      </c>
      <c r="X5368" s="80"/>
      <c r="Y5368" s="22">
        <v>0</v>
      </c>
      <c r="Z5368" s="81" t="s">
        <v>50</v>
      </c>
      <c r="AA5368" s="86"/>
      <c r="AB5368" s="80"/>
      <c r="AC5368" s="80" t="s">
        <v>53</v>
      </c>
      <c r="AD5368" s="80" t="s">
        <v>138</v>
      </c>
      <c r="AE5368" s="80" t="s">
        <v>15451</v>
      </c>
      <c r="AF5368" s="17">
        <v>45652</v>
      </c>
      <c r="AG5368" s="80" t="s">
        <v>18327</v>
      </c>
      <c r="AH5368" s="80"/>
      <c r="AI5368" s="147"/>
      <c r="AJ5368" s="80"/>
      <c r="AK5368" s="80"/>
      <c r="AL5368" s="35"/>
      <c r="AM5368" s="35"/>
      <c r="AN5368" s="35"/>
      <c r="AO5368" s="35"/>
      <c r="AP5368" s="35"/>
    </row>
    <row r="5369" spans="1:42" x14ac:dyDescent="0.2">
      <c r="A5369" s="74">
        <v>45644</v>
      </c>
      <c r="B5369" s="137" t="s">
        <v>37</v>
      </c>
      <c r="C5369" s="41" t="s">
        <v>118</v>
      </c>
      <c r="D5369" s="80" t="s">
        <v>36</v>
      </c>
      <c r="E5369" s="80" t="s">
        <v>148</v>
      </c>
      <c r="F5369" s="80" t="s">
        <v>10028</v>
      </c>
      <c r="G5369" s="80" t="s">
        <v>221</v>
      </c>
      <c r="H5369" s="80" t="s">
        <v>18322</v>
      </c>
      <c r="I5369" s="17">
        <f ca="1">IFERROR(__xludf.DUMMYFUNCTION("""COMPUTED_VALUE"""),45699)</f>
        <v>45699</v>
      </c>
      <c r="J5369" s="143" t="s">
        <v>15672</v>
      </c>
      <c r="K5369" s="80" t="s">
        <v>15673</v>
      </c>
      <c r="L5369" s="30">
        <v>945994077</v>
      </c>
      <c r="M5369" s="80" t="s">
        <v>5429</v>
      </c>
      <c r="N5369" s="80" t="s">
        <v>756</v>
      </c>
      <c r="O5369" s="80" t="s">
        <v>61</v>
      </c>
      <c r="P5369" s="80" t="s">
        <v>6368</v>
      </c>
      <c r="Q5369" s="20">
        <v>7349</v>
      </c>
      <c r="R5369" s="80" t="s">
        <v>70</v>
      </c>
      <c r="S5369" s="95">
        <f>200+3800</f>
        <v>4000</v>
      </c>
      <c r="T5369" s="148">
        <v>45561</v>
      </c>
      <c r="U5369" s="95">
        <v>3349</v>
      </c>
      <c r="V5369" s="148">
        <v>45588</v>
      </c>
      <c r="W5369" s="85" t="s">
        <v>15674</v>
      </c>
      <c r="X5369" s="80"/>
      <c r="Y5369" s="22">
        <v>0</v>
      </c>
      <c r="Z5369" s="80" t="s">
        <v>50</v>
      </c>
      <c r="AA5369" s="96" t="s">
        <v>9905</v>
      </c>
      <c r="AB5369" s="80"/>
      <c r="AC5369" s="80" t="s">
        <v>53</v>
      </c>
      <c r="AD5369" s="80" t="s">
        <v>138</v>
      </c>
      <c r="AE5369" s="80" t="s">
        <v>10028</v>
      </c>
      <c r="AF5369" s="17">
        <v>45699</v>
      </c>
      <c r="AG5369" s="80" t="s">
        <v>7078</v>
      </c>
      <c r="AH5369" s="80"/>
      <c r="AI5369" s="147"/>
      <c r="AJ5369" s="80"/>
      <c r="AK5369" s="80"/>
      <c r="AL5369" s="35"/>
      <c r="AM5369" s="35"/>
      <c r="AN5369" s="35"/>
      <c r="AO5369" s="35"/>
      <c r="AP5369" s="35"/>
    </row>
    <row r="5370" spans="1:42" x14ac:dyDescent="0.2">
      <c r="A5370" s="74">
        <v>45644</v>
      </c>
      <c r="B5370" s="137" t="s">
        <v>37</v>
      </c>
      <c r="C5370" s="41" t="s">
        <v>118</v>
      </c>
      <c r="D5370" s="26" t="s">
        <v>36</v>
      </c>
      <c r="E5370" s="26" t="s">
        <v>139</v>
      </c>
      <c r="F5370" s="26" t="s">
        <v>2017</v>
      </c>
      <c r="G5370" s="26" t="s">
        <v>221</v>
      </c>
      <c r="H5370" s="26" t="s">
        <v>13682</v>
      </c>
      <c r="I5370" s="17">
        <f ca="1">IFERROR(__xludf.DUMMYFUNCTION("""COMPUTED_VALUE"""),45653)</f>
        <v>45653</v>
      </c>
      <c r="J5370" s="29" t="s">
        <v>3244</v>
      </c>
      <c r="K5370" s="26" t="s">
        <v>18361</v>
      </c>
      <c r="L5370" s="30">
        <v>989396608</v>
      </c>
      <c r="M5370" s="26" t="s">
        <v>1245</v>
      </c>
      <c r="N5370" s="26" t="s">
        <v>4957</v>
      </c>
      <c r="O5370" s="26" t="s">
        <v>3246</v>
      </c>
      <c r="P5370" s="42" t="s">
        <v>18362</v>
      </c>
      <c r="Q5370" s="20">
        <v>15936</v>
      </c>
      <c r="R5370" s="26" t="s">
        <v>36</v>
      </c>
      <c r="S5370" s="31">
        <v>200</v>
      </c>
      <c r="T5370" s="32">
        <v>45195</v>
      </c>
      <c r="U5370" s="31">
        <v>15763</v>
      </c>
      <c r="V5370" s="32">
        <v>45198</v>
      </c>
      <c r="W5370" s="33" t="s">
        <v>3248</v>
      </c>
      <c r="X5370" s="26"/>
      <c r="Y5370" s="22">
        <v>-27</v>
      </c>
      <c r="Z5370" s="26" t="s">
        <v>118</v>
      </c>
      <c r="AA5370" s="19" t="s">
        <v>2449</v>
      </c>
      <c r="AB5370" s="26" t="s">
        <v>36</v>
      </c>
      <c r="AC5370" s="26" t="s">
        <v>53</v>
      </c>
      <c r="AD5370" s="19" t="s">
        <v>138</v>
      </c>
      <c r="AE5370" s="26" t="s">
        <v>2017</v>
      </c>
      <c r="AF5370" s="17">
        <v>45646</v>
      </c>
      <c r="AG5370" s="26"/>
      <c r="AH5370" s="26"/>
      <c r="AI5370" s="40"/>
      <c r="AJ5370" s="26"/>
      <c r="AK5370" s="26"/>
      <c r="AL5370" s="35"/>
      <c r="AM5370" s="35"/>
      <c r="AN5370" s="35"/>
      <c r="AO5370" s="35"/>
      <c r="AP5370" s="35"/>
    </row>
    <row r="5371" spans="1:42" x14ac:dyDescent="0.2">
      <c r="A5371" s="74">
        <v>45644</v>
      </c>
      <c r="B5371" s="137" t="s">
        <v>37</v>
      </c>
      <c r="C5371" s="41" t="s">
        <v>118</v>
      </c>
      <c r="D5371" s="80" t="s">
        <v>36</v>
      </c>
      <c r="E5371" s="80" t="s">
        <v>119</v>
      </c>
      <c r="F5371" s="80" t="s">
        <v>6919</v>
      </c>
      <c r="G5371" s="80" t="s">
        <v>221</v>
      </c>
      <c r="H5371" s="80" t="s">
        <v>18322</v>
      </c>
      <c r="I5371" s="17">
        <f ca="1">IFERROR(__xludf.DUMMYFUNCTION("""COMPUTED_VALUE"""),45699)</f>
        <v>45699</v>
      </c>
      <c r="J5371" s="172" t="s">
        <v>14942</v>
      </c>
      <c r="K5371" s="80" t="s">
        <v>18363</v>
      </c>
      <c r="L5371" s="30">
        <v>396434141</v>
      </c>
      <c r="M5371" s="80" t="s">
        <v>5429</v>
      </c>
      <c r="N5371" s="80" t="s">
        <v>1594</v>
      </c>
      <c r="O5371" s="80" t="s">
        <v>14944</v>
      </c>
      <c r="P5371" s="80" t="s">
        <v>14945</v>
      </c>
      <c r="Q5371" s="20">
        <v>13968</v>
      </c>
      <c r="R5371" s="80" t="s">
        <v>36</v>
      </c>
      <c r="S5371" s="95">
        <f>200+3800</f>
        <v>4000</v>
      </c>
      <c r="T5371" s="83" t="s">
        <v>14946</v>
      </c>
      <c r="U5371" s="95">
        <v>9968</v>
      </c>
      <c r="V5371" s="148">
        <v>45567</v>
      </c>
      <c r="W5371" s="85" t="s">
        <v>14947</v>
      </c>
      <c r="X5371" s="80"/>
      <c r="Y5371" s="22">
        <v>0</v>
      </c>
      <c r="Z5371" s="80" t="s">
        <v>50</v>
      </c>
      <c r="AA5371" s="96" t="s">
        <v>9905</v>
      </c>
      <c r="AB5371" s="80"/>
      <c r="AC5371" s="80" t="s">
        <v>53</v>
      </c>
      <c r="AD5371" s="80" t="s">
        <v>138</v>
      </c>
      <c r="AE5371" s="80" t="s">
        <v>6919</v>
      </c>
      <c r="AF5371" s="17">
        <v>45699</v>
      </c>
      <c r="AG5371" s="80"/>
      <c r="AH5371" s="80"/>
      <c r="AI5371" s="147"/>
      <c r="AJ5371" s="80"/>
      <c r="AK5371" s="80"/>
      <c r="AL5371" s="35"/>
      <c r="AM5371" s="35"/>
      <c r="AN5371" s="35"/>
      <c r="AO5371" s="35"/>
      <c r="AP5371" s="35"/>
    </row>
    <row r="5372" spans="1:42" x14ac:dyDescent="0.2">
      <c r="A5372" s="74">
        <v>45644</v>
      </c>
      <c r="B5372" s="137" t="s">
        <v>37</v>
      </c>
      <c r="C5372" s="41" t="s">
        <v>118</v>
      </c>
      <c r="D5372" s="80" t="s">
        <v>36</v>
      </c>
      <c r="E5372" s="80" t="s">
        <v>139</v>
      </c>
      <c r="F5372" s="80" t="s">
        <v>9675</v>
      </c>
      <c r="G5372" s="80" t="s">
        <v>108</v>
      </c>
      <c r="H5372" s="80" t="s">
        <v>17059</v>
      </c>
      <c r="I5372" s="17">
        <f ca="1">IFERROR(__xludf.DUMMYFUNCTION("""COMPUTED_VALUE"""),45652)</f>
        <v>45652</v>
      </c>
      <c r="J5372" s="143" t="s">
        <v>11107</v>
      </c>
      <c r="K5372" s="80" t="s">
        <v>18364</v>
      </c>
      <c r="L5372" s="30">
        <v>976879010</v>
      </c>
      <c r="M5372" s="80" t="s">
        <v>80</v>
      </c>
      <c r="N5372" s="80" t="s">
        <v>1073</v>
      </c>
      <c r="O5372" s="80" t="s">
        <v>11109</v>
      </c>
      <c r="P5372" s="144" t="s">
        <v>11110</v>
      </c>
      <c r="Q5372" s="20">
        <v>15936</v>
      </c>
      <c r="R5372" s="80" t="s">
        <v>36</v>
      </c>
      <c r="S5372" s="95">
        <f>200+1800</f>
        <v>2000</v>
      </c>
      <c r="T5372" s="83" t="s">
        <v>11111</v>
      </c>
      <c r="U5372" s="95">
        <v>13836</v>
      </c>
      <c r="V5372" s="148">
        <v>45528</v>
      </c>
      <c r="W5372" s="85" t="s">
        <v>11112</v>
      </c>
      <c r="X5372" s="80">
        <v>0</v>
      </c>
      <c r="Y5372" s="22">
        <v>100</v>
      </c>
      <c r="Z5372" s="80" t="s">
        <v>50</v>
      </c>
      <c r="AA5372" s="35" t="s">
        <v>10314</v>
      </c>
      <c r="AB5372" s="80"/>
      <c r="AC5372" s="80" t="s">
        <v>53</v>
      </c>
      <c r="AD5372" s="80" t="s">
        <v>54</v>
      </c>
      <c r="AE5372" s="80" t="s">
        <v>9675</v>
      </c>
      <c r="AF5372" s="17">
        <v>45646</v>
      </c>
      <c r="AG5372" s="80"/>
      <c r="AH5372" s="80"/>
      <c r="AI5372" s="147"/>
      <c r="AJ5372" s="80"/>
      <c r="AK5372" s="80"/>
      <c r="AL5372" s="35"/>
      <c r="AM5372" s="35"/>
      <c r="AN5372" s="35"/>
      <c r="AO5372" s="35"/>
      <c r="AP5372" s="35"/>
    </row>
    <row r="5373" spans="1:42" x14ac:dyDescent="0.2">
      <c r="A5373" s="74">
        <v>45644</v>
      </c>
      <c r="B5373" s="137" t="s">
        <v>37</v>
      </c>
      <c r="C5373" s="41" t="s">
        <v>118</v>
      </c>
      <c r="D5373" s="80" t="s">
        <v>36</v>
      </c>
      <c r="E5373" s="80" t="s">
        <v>119</v>
      </c>
      <c r="F5373" s="80" t="s">
        <v>6919</v>
      </c>
      <c r="G5373" s="80" t="s">
        <v>221</v>
      </c>
      <c r="H5373" s="80" t="s">
        <v>18322</v>
      </c>
      <c r="I5373" s="17">
        <f ca="1">IFERROR(__xludf.DUMMYFUNCTION("""COMPUTED_VALUE"""),45699)</f>
        <v>45699</v>
      </c>
      <c r="J5373" s="143" t="s">
        <v>15161</v>
      </c>
      <c r="K5373" s="80" t="s">
        <v>15022</v>
      </c>
      <c r="L5373" s="30">
        <v>968697142</v>
      </c>
      <c r="M5373" s="80" t="s">
        <v>5429</v>
      </c>
      <c r="N5373" s="80" t="s">
        <v>3065</v>
      </c>
      <c r="O5373" s="80" t="s">
        <v>61</v>
      </c>
      <c r="P5373" s="80" t="s">
        <v>6368</v>
      </c>
      <c r="Q5373" s="20">
        <v>13968</v>
      </c>
      <c r="R5373" s="80" t="s">
        <v>36</v>
      </c>
      <c r="S5373" s="95">
        <v>4000</v>
      </c>
      <c r="T5373" s="148">
        <v>45546</v>
      </c>
      <c r="U5373" s="95">
        <v>9968</v>
      </c>
      <c r="V5373" s="148">
        <v>45569</v>
      </c>
      <c r="W5373" s="85" t="s">
        <v>15162</v>
      </c>
      <c r="X5373" s="80"/>
      <c r="Y5373" s="22">
        <v>0</v>
      </c>
      <c r="Z5373" s="80" t="s">
        <v>50</v>
      </c>
      <c r="AA5373" s="96" t="s">
        <v>9905</v>
      </c>
      <c r="AB5373" s="80"/>
      <c r="AC5373" s="80" t="s">
        <v>53</v>
      </c>
      <c r="AD5373" s="80" t="s">
        <v>138</v>
      </c>
      <c r="AE5373" s="80" t="s">
        <v>6919</v>
      </c>
      <c r="AF5373" s="17">
        <v>45699</v>
      </c>
      <c r="AG5373" s="26"/>
      <c r="AH5373" s="80"/>
      <c r="AI5373" s="147"/>
      <c r="AJ5373" s="80"/>
      <c r="AK5373" s="80"/>
      <c r="AL5373" s="35"/>
      <c r="AM5373" s="35"/>
      <c r="AN5373" s="35"/>
      <c r="AO5373" s="35"/>
      <c r="AP5373" s="35"/>
    </row>
    <row r="5374" spans="1:42" x14ac:dyDescent="0.2">
      <c r="A5374" s="74">
        <v>45644</v>
      </c>
      <c r="B5374" s="137" t="s">
        <v>37</v>
      </c>
      <c r="C5374" s="41" t="s">
        <v>118</v>
      </c>
      <c r="D5374" s="26" t="s">
        <v>36</v>
      </c>
      <c r="E5374" s="26" t="s">
        <v>119</v>
      </c>
      <c r="F5374" s="26" t="s">
        <v>6250</v>
      </c>
      <c r="G5374" s="80" t="s">
        <v>221</v>
      </c>
      <c r="H5374" s="80" t="s">
        <v>18321</v>
      </c>
      <c r="I5374" s="17">
        <f ca="1">IFERROR(__xludf.DUMMYFUNCTION("""COMPUTED_VALUE"""),45698)</f>
        <v>45698</v>
      </c>
      <c r="J5374" s="44" t="s">
        <v>6251</v>
      </c>
      <c r="K5374" s="26" t="s">
        <v>18365</v>
      </c>
      <c r="L5374" s="121">
        <v>912243305</v>
      </c>
      <c r="M5374" s="26" t="s">
        <v>80</v>
      </c>
      <c r="N5374" s="26" t="s">
        <v>1073</v>
      </c>
      <c r="O5374" s="26" t="s">
        <v>36</v>
      </c>
      <c r="P5374" s="42" t="s">
        <v>6253</v>
      </c>
      <c r="Q5374" s="20">
        <v>13968</v>
      </c>
      <c r="R5374" s="26" t="s">
        <v>70</v>
      </c>
      <c r="S5374" s="31">
        <v>200</v>
      </c>
      <c r="T5374" s="32">
        <v>45238</v>
      </c>
      <c r="U5374" s="31">
        <f>3800+9868</f>
        <v>13668</v>
      </c>
      <c r="V5374" s="26" t="s">
        <v>6247</v>
      </c>
      <c r="W5374" s="33" t="s">
        <v>6248</v>
      </c>
      <c r="X5374" s="26"/>
      <c r="Y5374" s="22">
        <v>100</v>
      </c>
      <c r="Z5374" s="26" t="s">
        <v>50</v>
      </c>
      <c r="AA5374" s="19" t="s">
        <v>5961</v>
      </c>
      <c r="AB5374" s="26" t="s">
        <v>104</v>
      </c>
      <c r="AC5374" s="26" t="s">
        <v>53</v>
      </c>
      <c r="AD5374" s="19" t="s">
        <v>138</v>
      </c>
      <c r="AE5374" s="26" t="s">
        <v>6250</v>
      </c>
      <c r="AF5374" s="17">
        <v>45698</v>
      </c>
      <c r="AG5374" s="26"/>
      <c r="AH5374" s="26">
        <v>1</v>
      </c>
      <c r="AI5374" s="40"/>
      <c r="AJ5374" s="26"/>
      <c r="AK5374" s="26"/>
      <c r="AL5374" s="35"/>
      <c r="AM5374" s="35"/>
      <c r="AN5374" s="35"/>
      <c r="AO5374" s="35"/>
      <c r="AP5374" s="35"/>
    </row>
    <row r="5375" spans="1:42" x14ac:dyDescent="0.2">
      <c r="A5375" s="74">
        <v>45645</v>
      </c>
      <c r="B5375" s="28" t="s">
        <v>37</v>
      </c>
      <c r="C5375" s="41" t="s">
        <v>118</v>
      </c>
      <c r="D5375" s="26" t="s">
        <v>36</v>
      </c>
      <c r="E5375" s="26" t="s">
        <v>139</v>
      </c>
      <c r="F5375" s="26" t="s">
        <v>8668</v>
      </c>
      <c r="G5375" s="26" t="s">
        <v>221</v>
      </c>
      <c r="H5375" s="26" t="s">
        <v>18290</v>
      </c>
      <c r="I5375" s="17">
        <f ca="1">IFERROR(__xludf.DUMMYFUNCTION("""COMPUTED_VALUE"""),45653)</f>
        <v>45653</v>
      </c>
      <c r="J5375" s="29" t="s">
        <v>8424</v>
      </c>
      <c r="K5375" s="26" t="s">
        <v>8425</v>
      </c>
      <c r="L5375" s="30">
        <v>967816135</v>
      </c>
      <c r="M5375" s="26" t="s">
        <v>80</v>
      </c>
      <c r="N5375" s="26" t="s">
        <v>1073</v>
      </c>
      <c r="O5375" s="26" t="s">
        <v>8426</v>
      </c>
      <c r="P5375" s="42" t="s">
        <v>8677</v>
      </c>
      <c r="Q5375" s="20">
        <v>15936</v>
      </c>
      <c r="R5375" s="26" t="s">
        <v>36</v>
      </c>
      <c r="S5375" s="31">
        <v>500</v>
      </c>
      <c r="T5375" s="32">
        <v>45349</v>
      </c>
      <c r="U5375" s="31">
        <f>3500+11936</f>
        <v>15436</v>
      </c>
      <c r="V5375" s="26" t="s">
        <v>8428</v>
      </c>
      <c r="W5375" s="26" t="s">
        <v>8429</v>
      </c>
      <c r="X5375" s="26"/>
      <c r="Y5375" s="22">
        <v>0</v>
      </c>
      <c r="Z5375" s="98" t="s">
        <v>118</v>
      </c>
      <c r="AA5375" s="19" t="s">
        <v>8410</v>
      </c>
      <c r="AB5375" s="26" t="s">
        <v>36</v>
      </c>
      <c r="AC5375" s="26" t="s">
        <v>53</v>
      </c>
      <c r="AD5375" s="19" t="s">
        <v>54</v>
      </c>
      <c r="AE5375" s="26" t="s">
        <v>8668</v>
      </c>
      <c r="AF5375" s="17">
        <v>45646</v>
      </c>
      <c r="AG5375" s="26"/>
      <c r="AH5375" s="26"/>
      <c r="AI5375" s="40"/>
      <c r="AJ5375" s="26"/>
      <c r="AK5375" s="26"/>
      <c r="AL5375" s="35"/>
      <c r="AM5375" s="35"/>
      <c r="AN5375" s="35"/>
      <c r="AO5375" s="35"/>
      <c r="AP5375" s="35"/>
    </row>
    <row r="5376" spans="1:42" x14ac:dyDescent="0.2">
      <c r="A5376" s="74">
        <v>45645</v>
      </c>
      <c r="B5376" s="137" t="s">
        <v>37</v>
      </c>
      <c r="C5376" s="41" t="s">
        <v>118</v>
      </c>
      <c r="D5376" s="80" t="s">
        <v>36</v>
      </c>
      <c r="E5376" s="80" t="s">
        <v>139</v>
      </c>
      <c r="F5376" s="80" t="s">
        <v>12444</v>
      </c>
      <c r="G5376" s="80" t="s">
        <v>108</v>
      </c>
      <c r="H5376" s="80" t="s">
        <v>18275</v>
      </c>
      <c r="I5376" s="17">
        <f ca="1">IFERROR(__xludf.DUMMYFUNCTION("""COMPUTED_VALUE"""),45667)</f>
        <v>45667</v>
      </c>
      <c r="J5376" s="143" t="s">
        <v>12445</v>
      </c>
      <c r="K5376" s="80" t="s">
        <v>18366</v>
      </c>
      <c r="L5376" s="30">
        <v>961668715</v>
      </c>
      <c r="M5376" s="80" t="s">
        <v>348</v>
      </c>
      <c r="N5376" s="80" t="s">
        <v>200</v>
      </c>
      <c r="O5376" s="80" t="s">
        <v>91</v>
      </c>
      <c r="P5376" s="80" t="s">
        <v>12447</v>
      </c>
      <c r="Q5376" s="20">
        <v>15936</v>
      </c>
      <c r="R5376" s="80" t="s">
        <v>36</v>
      </c>
      <c r="S5376" s="95">
        <v>2000</v>
      </c>
      <c r="T5376" s="148">
        <v>45530</v>
      </c>
      <c r="U5376" s="95">
        <v>13968</v>
      </c>
      <c r="V5376" s="148">
        <v>45536</v>
      </c>
      <c r="W5376" s="85" t="s">
        <v>12448</v>
      </c>
      <c r="X5376" s="80">
        <v>0</v>
      </c>
      <c r="Y5376" s="22">
        <v>-32</v>
      </c>
      <c r="Z5376" s="80" t="s">
        <v>50</v>
      </c>
      <c r="AA5376" s="35" t="s">
        <v>3291</v>
      </c>
      <c r="AB5376" s="80"/>
      <c r="AC5376" s="80" t="s">
        <v>53</v>
      </c>
      <c r="AD5376" s="80" t="s">
        <v>54</v>
      </c>
      <c r="AE5376" s="80" t="s">
        <v>12444</v>
      </c>
      <c r="AF5376" s="17">
        <v>45663</v>
      </c>
      <c r="AG5376" s="80"/>
      <c r="AH5376" s="80"/>
      <c r="AI5376" s="147" t="s">
        <v>147</v>
      </c>
      <c r="AJ5376" s="80"/>
      <c r="AK5376" s="80"/>
      <c r="AL5376" s="35"/>
      <c r="AM5376" s="35"/>
      <c r="AN5376" s="35"/>
      <c r="AO5376" s="35"/>
      <c r="AP5376" s="35"/>
    </row>
    <row r="5377" spans="1:42" x14ac:dyDescent="0.2">
      <c r="A5377" s="74">
        <v>45645</v>
      </c>
      <c r="B5377" s="137" t="s">
        <v>37</v>
      </c>
      <c r="C5377" s="41" t="s">
        <v>118</v>
      </c>
      <c r="D5377" s="80" t="s">
        <v>36</v>
      </c>
      <c r="E5377" s="80" t="s">
        <v>56</v>
      </c>
      <c r="F5377" s="80" t="s">
        <v>12444</v>
      </c>
      <c r="G5377" s="80" t="s">
        <v>108</v>
      </c>
      <c r="H5377" s="80" t="s">
        <v>18275</v>
      </c>
      <c r="I5377" s="17">
        <f ca="1">IFERROR(__xludf.DUMMYFUNCTION("""COMPUTED_VALUE"""),45667)</f>
        <v>45667</v>
      </c>
      <c r="J5377" s="143" t="s">
        <v>17507</v>
      </c>
      <c r="K5377" s="80" t="s">
        <v>18367</v>
      </c>
      <c r="L5377" s="30">
        <v>389860171</v>
      </c>
      <c r="M5377" s="80" t="s">
        <v>12720</v>
      </c>
      <c r="N5377" s="80" t="s">
        <v>1073</v>
      </c>
      <c r="O5377" s="80" t="s">
        <v>1492</v>
      </c>
      <c r="P5377" s="80" t="s">
        <v>18368</v>
      </c>
      <c r="Q5377" s="20">
        <v>9317</v>
      </c>
      <c r="R5377" s="80" t="s">
        <v>36</v>
      </c>
      <c r="S5377" s="95">
        <f t="shared" ref="S5377:S5378" si="137">200+1800</f>
        <v>2000</v>
      </c>
      <c r="T5377" s="83" t="s">
        <v>17510</v>
      </c>
      <c r="U5377" s="95">
        <v>7317</v>
      </c>
      <c r="V5377" s="148">
        <v>45611</v>
      </c>
      <c r="W5377" s="85" t="s">
        <v>17511</v>
      </c>
      <c r="X5377" s="80"/>
      <c r="Y5377" s="22">
        <v>0</v>
      </c>
      <c r="Z5377" s="80" t="s">
        <v>50</v>
      </c>
      <c r="AA5377" s="82" t="s">
        <v>14723</v>
      </c>
      <c r="AB5377" s="80"/>
      <c r="AC5377" s="80" t="s">
        <v>53</v>
      </c>
      <c r="AD5377" s="80" t="s">
        <v>54</v>
      </c>
      <c r="AE5377" s="80" t="s">
        <v>12444</v>
      </c>
      <c r="AF5377" s="17">
        <v>45663</v>
      </c>
      <c r="AG5377" s="80"/>
      <c r="AH5377" s="80"/>
      <c r="AI5377" s="147"/>
      <c r="AJ5377" s="80"/>
      <c r="AK5377" s="80"/>
      <c r="AL5377" s="35"/>
      <c r="AM5377" s="35"/>
      <c r="AN5377" s="35"/>
      <c r="AO5377" s="35"/>
      <c r="AP5377" s="35"/>
    </row>
    <row r="5378" spans="1:42" x14ac:dyDescent="0.2">
      <c r="A5378" s="74">
        <v>45645</v>
      </c>
      <c r="B5378" s="137" t="s">
        <v>37</v>
      </c>
      <c r="C5378" s="41" t="s">
        <v>118</v>
      </c>
      <c r="D5378" s="80" t="s">
        <v>36</v>
      </c>
      <c r="E5378" s="80" t="s">
        <v>139</v>
      </c>
      <c r="F5378" s="80" t="s">
        <v>12444</v>
      </c>
      <c r="G5378" s="80" t="s">
        <v>108</v>
      </c>
      <c r="H5378" s="80" t="s">
        <v>18275</v>
      </c>
      <c r="I5378" s="17">
        <f ca="1">IFERROR(__xludf.DUMMYFUNCTION("""COMPUTED_VALUE"""),45667)</f>
        <v>45667</v>
      </c>
      <c r="J5378" s="143" t="s">
        <v>17500</v>
      </c>
      <c r="K5378" s="80" t="s">
        <v>18369</v>
      </c>
      <c r="L5378" s="30">
        <v>328692314</v>
      </c>
      <c r="M5378" s="80" t="s">
        <v>12720</v>
      </c>
      <c r="N5378" s="80" t="s">
        <v>1073</v>
      </c>
      <c r="O5378" s="80" t="s">
        <v>17502</v>
      </c>
      <c r="P5378" s="144" t="s">
        <v>18370</v>
      </c>
      <c r="Q5378" s="20">
        <v>15936</v>
      </c>
      <c r="R5378" s="80" t="s">
        <v>36</v>
      </c>
      <c r="S5378" s="95">
        <f t="shared" si="137"/>
        <v>2000</v>
      </c>
      <c r="T5378" s="83" t="s">
        <v>17504</v>
      </c>
      <c r="U5378" s="95">
        <f>10000+3936</f>
        <v>13936</v>
      </c>
      <c r="V5378" s="83" t="s">
        <v>17505</v>
      </c>
      <c r="W5378" s="85" t="s">
        <v>17506</v>
      </c>
      <c r="X5378" s="80"/>
      <c r="Y5378" s="22">
        <v>0</v>
      </c>
      <c r="Z5378" s="80" t="s">
        <v>50</v>
      </c>
      <c r="AA5378" s="86" t="s">
        <v>14723</v>
      </c>
      <c r="AB5378" s="80"/>
      <c r="AC5378" s="80" t="s">
        <v>53</v>
      </c>
      <c r="AD5378" s="80" t="s">
        <v>54</v>
      </c>
      <c r="AE5378" s="80" t="s">
        <v>12444</v>
      </c>
      <c r="AF5378" s="17">
        <v>45663</v>
      </c>
      <c r="AG5378" s="80"/>
      <c r="AH5378" s="80"/>
      <c r="AI5378" s="147"/>
      <c r="AJ5378" s="80"/>
      <c r="AK5378" s="80"/>
      <c r="AL5378" s="35"/>
      <c r="AM5378" s="35"/>
      <c r="AN5378" s="35"/>
      <c r="AO5378" s="35"/>
      <c r="AP5378" s="35"/>
    </row>
    <row r="5379" spans="1:42" x14ac:dyDescent="0.2">
      <c r="A5379" s="74">
        <v>45645</v>
      </c>
      <c r="B5379" s="137" t="s">
        <v>37</v>
      </c>
      <c r="C5379" s="41" t="s">
        <v>118</v>
      </c>
      <c r="D5379" s="80" t="s">
        <v>36</v>
      </c>
      <c r="E5379" s="80" t="s">
        <v>139</v>
      </c>
      <c r="F5379" s="80" t="s">
        <v>12444</v>
      </c>
      <c r="G5379" s="80" t="s">
        <v>108</v>
      </c>
      <c r="H5379" s="80" t="s">
        <v>18275</v>
      </c>
      <c r="I5379" s="17">
        <f ca="1">IFERROR(__xludf.DUMMYFUNCTION("""COMPUTED_VALUE"""),45667)</f>
        <v>45667</v>
      </c>
      <c r="J5379" s="143" t="s">
        <v>17606</v>
      </c>
      <c r="K5379" s="80" t="s">
        <v>17607</v>
      </c>
      <c r="L5379" s="30">
        <v>348084283</v>
      </c>
      <c r="M5379" s="80" t="s">
        <v>12529</v>
      </c>
      <c r="N5379" s="80" t="s">
        <v>13566</v>
      </c>
      <c r="O5379" s="80" t="s">
        <v>17608</v>
      </c>
      <c r="P5379" s="80" t="s">
        <v>17609</v>
      </c>
      <c r="Q5379" s="20">
        <v>15936</v>
      </c>
      <c r="R5379" s="80" t="s">
        <v>36</v>
      </c>
      <c r="S5379" s="95">
        <v>2000</v>
      </c>
      <c r="T5379" s="148">
        <v>45586</v>
      </c>
      <c r="U5379" s="95">
        <v>13936</v>
      </c>
      <c r="V5379" s="148">
        <v>45619</v>
      </c>
      <c r="W5379" s="85" t="s">
        <v>17610</v>
      </c>
      <c r="X5379" s="80"/>
      <c r="Y5379" s="22">
        <v>0</v>
      </c>
      <c r="Z5379" s="80" t="s">
        <v>50</v>
      </c>
      <c r="AA5379" s="82" t="s">
        <v>14723</v>
      </c>
      <c r="AB5379" s="80"/>
      <c r="AC5379" s="80" t="s">
        <v>53</v>
      </c>
      <c r="AD5379" s="80" t="s">
        <v>54</v>
      </c>
      <c r="AE5379" s="80" t="s">
        <v>12444</v>
      </c>
      <c r="AF5379" s="17">
        <v>45663</v>
      </c>
      <c r="AG5379" s="80"/>
      <c r="AH5379" s="80"/>
      <c r="AI5379" s="147"/>
      <c r="AJ5379" s="80"/>
      <c r="AK5379" s="80"/>
      <c r="AL5379" s="35"/>
      <c r="AM5379" s="35"/>
      <c r="AN5379" s="35"/>
      <c r="AO5379" s="35"/>
      <c r="AP5379" s="35"/>
    </row>
    <row r="5380" spans="1:42" x14ac:dyDescent="0.2">
      <c r="A5380" s="74">
        <v>45645</v>
      </c>
      <c r="B5380" s="137" t="s">
        <v>37</v>
      </c>
      <c r="C5380" s="41" t="s">
        <v>118</v>
      </c>
      <c r="D5380" s="80" t="s">
        <v>36</v>
      </c>
      <c r="E5380" s="80" t="s">
        <v>119</v>
      </c>
      <c r="F5380" s="80" t="s">
        <v>10028</v>
      </c>
      <c r="G5380" s="26" t="s">
        <v>221</v>
      </c>
      <c r="H5380" s="26" t="s">
        <v>18322</v>
      </c>
      <c r="I5380" s="17">
        <f ca="1">IFERROR(__xludf.DUMMYFUNCTION("""COMPUTED_VALUE"""),45699)</f>
        <v>45699</v>
      </c>
      <c r="J5380" s="143" t="s">
        <v>15227</v>
      </c>
      <c r="K5380" s="80" t="s">
        <v>15228</v>
      </c>
      <c r="L5380" s="30">
        <v>837181832</v>
      </c>
      <c r="M5380" s="80" t="s">
        <v>5429</v>
      </c>
      <c r="N5380" s="80" t="s">
        <v>81</v>
      </c>
      <c r="O5380" s="80" t="s">
        <v>2819</v>
      </c>
      <c r="P5380" s="80" t="s">
        <v>12597</v>
      </c>
      <c r="Q5380" s="20">
        <v>13968</v>
      </c>
      <c r="R5380" s="80" t="s">
        <v>70</v>
      </c>
      <c r="S5380" s="95">
        <v>4000</v>
      </c>
      <c r="T5380" s="148">
        <v>45551</v>
      </c>
      <c r="U5380" s="95">
        <v>9868</v>
      </c>
      <c r="V5380" s="148">
        <v>45587</v>
      </c>
      <c r="W5380" s="85" t="s">
        <v>15229</v>
      </c>
      <c r="X5380" s="80"/>
      <c r="Y5380" s="22">
        <v>100</v>
      </c>
      <c r="Z5380" s="80" t="s">
        <v>50</v>
      </c>
      <c r="AA5380" s="35" t="s">
        <v>9905</v>
      </c>
      <c r="AB5380" s="80"/>
      <c r="AC5380" s="80" t="s">
        <v>53</v>
      </c>
      <c r="AD5380" s="80" t="s">
        <v>138</v>
      </c>
      <c r="AE5380" s="80" t="s">
        <v>10028</v>
      </c>
      <c r="AF5380" s="17">
        <v>45699</v>
      </c>
      <c r="AG5380" s="80"/>
      <c r="AH5380" s="80"/>
      <c r="AI5380" s="147"/>
      <c r="AJ5380" s="80"/>
      <c r="AK5380" s="80"/>
      <c r="AL5380" s="35"/>
      <c r="AM5380" s="35"/>
      <c r="AN5380" s="35"/>
      <c r="AO5380" s="35"/>
      <c r="AP5380" s="35"/>
    </row>
    <row r="5381" spans="1:42" x14ac:dyDescent="0.2">
      <c r="A5381" s="74">
        <v>45645</v>
      </c>
      <c r="B5381" s="137" t="s">
        <v>37</v>
      </c>
      <c r="C5381" s="41" t="s">
        <v>118</v>
      </c>
      <c r="D5381" s="26" t="s">
        <v>36</v>
      </c>
      <c r="E5381" s="26" t="s">
        <v>139</v>
      </c>
      <c r="F5381" s="26" t="s">
        <v>6250</v>
      </c>
      <c r="G5381" s="26" t="s">
        <v>221</v>
      </c>
      <c r="H5381" s="26" t="s">
        <v>13760</v>
      </c>
      <c r="I5381" s="17">
        <f ca="1">IFERROR(__xludf.DUMMYFUNCTION("""COMPUTED_VALUE"""),45810)</f>
        <v>45810</v>
      </c>
      <c r="J5381" s="29" t="s">
        <v>5407</v>
      </c>
      <c r="K5381" s="26" t="s">
        <v>18371</v>
      </c>
      <c r="L5381" s="30">
        <v>983990355</v>
      </c>
      <c r="M5381" s="26" t="s">
        <v>112</v>
      </c>
      <c r="N5381" s="26" t="s">
        <v>8859</v>
      </c>
      <c r="O5381" s="26" t="s">
        <v>2144</v>
      </c>
      <c r="P5381" s="42" t="s">
        <v>8860</v>
      </c>
      <c r="Q5381" s="20">
        <v>15936</v>
      </c>
      <c r="R5381" s="26" t="s">
        <v>70</v>
      </c>
      <c r="S5381" s="31">
        <v>3000</v>
      </c>
      <c r="T5381" s="32">
        <v>45221</v>
      </c>
      <c r="U5381" s="58">
        <v>12836</v>
      </c>
      <c r="V5381" s="59">
        <v>45245</v>
      </c>
      <c r="W5381" s="33" t="s">
        <v>5409</v>
      </c>
      <c r="X5381" s="26"/>
      <c r="Y5381" s="22">
        <v>100</v>
      </c>
      <c r="Z5381" s="26" t="s">
        <v>118</v>
      </c>
      <c r="AA5381" s="19" t="s">
        <v>5785</v>
      </c>
      <c r="AB5381" s="80" t="s">
        <v>36</v>
      </c>
      <c r="AC5381" s="26" t="s">
        <v>53</v>
      </c>
      <c r="AD5381" s="19" t="s">
        <v>138</v>
      </c>
      <c r="AE5381" s="26" t="s">
        <v>6250</v>
      </c>
      <c r="AF5381" s="17">
        <v>45698</v>
      </c>
      <c r="AG5381" s="26"/>
      <c r="AH5381" s="26"/>
      <c r="AI5381" s="40" t="s">
        <v>147</v>
      </c>
      <c r="AJ5381" s="26"/>
      <c r="AK5381" s="26"/>
      <c r="AL5381" s="35"/>
      <c r="AM5381" s="35"/>
      <c r="AN5381" s="35"/>
      <c r="AO5381" s="35"/>
      <c r="AP5381" s="35"/>
    </row>
    <row r="5382" spans="1:42" x14ac:dyDescent="0.2">
      <c r="A5382" s="74">
        <v>45645</v>
      </c>
      <c r="B5382" s="137" t="s">
        <v>37</v>
      </c>
      <c r="C5382" s="41" t="s">
        <v>118</v>
      </c>
      <c r="D5382" s="26" t="s">
        <v>36</v>
      </c>
      <c r="E5382" s="26" t="s">
        <v>56</v>
      </c>
      <c r="F5382" s="26" t="s">
        <v>7403</v>
      </c>
      <c r="G5382" s="26" t="s">
        <v>221</v>
      </c>
      <c r="H5382" s="26" t="s">
        <v>18322</v>
      </c>
      <c r="I5382" s="17">
        <f ca="1">IFERROR(__xludf.DUMMYFUNCTION("""COMPUTED_VALUE"""),45699)</f>
        <v>45699</v>
      </c>
      <c r="J5382" s="29" t="s">
        <v>5771</v>
      </c>
      <c r="K5382" s="26" t="s">
        <v>5772</v>
      </c>
      <c r="L5382" s="30">
        <v>325474825</v>
      </c>
      <c r="M5382" s="26" t="s">
        <v>59</v>
      </c>
      <c r="N5382" s="26" t="s">
        <v>68</v>
      </c>
      <c r="O5382" s="26" t="s">
        <v>5773</v>
      </c>
      <c r="P5382" s="26" t="s">
        <v>5774</v>
      </c>
      <c r="Q5382" s="20">
        <v>9317</v>
      </c>
      <c r="R5382" s="26" t="s">
        <v>36</v>
      </c>
      <c r="S5382" s="31">
        <v>9317</v>
      </c>
      <c r="T5382" s="32">
        <v>45257</v>
      </c>
      <c r="U5382" s="31"/>
      <c r="V5382" s="32"/>
      <c r="W5382" s="33" t="s">
        <v>5775</v>
      </c>
      <c r="X5382" s="26"/>
      <c r="Y5382" s="22">
        <v>0</v>
      </c>
      <c r="Z5382" s="98" t="s">
        <v>118</v>
      </c>
      <c r="AA5382" s="19" t="s">
        <v>5112</v>
      </c>
      <c r="AB5382" s="26" t="s">
        <v>104</v>
      </c>
      <c r="AC5382" s="26" t="s">
        <v>53</v>
      </c>
      <c r="AD5382" s="19" t="s">
        <v>138</v>
      </c>
      <c r="AE5382" s="26" t="s">
        <v>7403</v>
      </c>
      <c r="AF5382" s="17">
        <v>45699</v>
      </c>
      <c r="AG5382" s="26"/>
      <c r="AH5382" s="26"/>
      <c r="AI5382" s="40" t="s">
        <v>64</v>
      </c>
      <c r="AJ5382" s="26"/>
      <c r="AK5382" s="26"/>
      <c r="AL5382" s="35"/>
      <c r="AM5382" s="35"/>
      <c r="AN5382" s="35"/>
      <c r="AO5382" s="35"/>
      <c r="AP5382" s="35"/>
    </row>
    <row r="5383" spans="1:42" x14ac:dyDescent="0.2">
      <c r="A5383" s="74">
        <v>45645</v>
      </c>
      <c r="B5383" s="137" t="s">
        <v>37</v>
      </c>
      <c r="C5383" s="41" t="s">
        <v>118</v>
      </c>
      <c r="D5383" s="80" t="s">
        <v>36</v>
      </c>
      <c r="E5383" s="80" t="s">
        <v>119</v>
      </c>
      <c r="F5383" s="80" t="s">
        <v>10193</v>
      </c>
      <c r="G5383" s="80" t="s">
        <v>221</v>
      </c>
      <c r="H5383" s="80" t="s">
        <v>13682</v>
      </c>
      <c r="I5383" s="17">
        <f ca="1">IFERROR(__xludf.DUMMYFUNCTION("""COMPUTED_VALUE"""),45653)</f>
        <v>45653</v>
      </c>
      <c r="J5383" s="143" t="s">
        <v>15255</v>
      </c>
      <c r="K5383" s="80" t="s">
        <v>15256</v>
      </c>
      <c r="L5383" s="30">
        <v>352178928</v>
      </c>
      <c r="M5383" s="80" t="s">
        <v>9422</v>
      </c>
      <c r="N5383" s="80" t="s">
        <v>260</v>
      </c>
      <c r="O5383" s="80" t="s">
        <v>11607</v>
      </c>
      <c r="P5383" s="144" t="s">
        <v>18372</v>
      </c>
      <c r="Q5383" s="20">
        <v>13968</v>
      </c>
      <c r="R5383" s="80" t="s">
        <v>11421</v>
      </c>
      <c r="S5383" s="95">
        <v>4000</v>
      </c>
      <c r="T5383" s="148">
        <v>45551</v>
      </c>
      <c r="U5383" s="95">
        <v>9668</v>
      </c>
      <c r="V5383" s="148">
        <v>45575</v>
      </c>
      <c r="W5383" s="85" t="s">
        <v>15258</v>
      </c>
      <c r="X5383" s="80"/>
      <c r="Y5383" s="22">
        <v>300</v>
      </c>
      <c r="Z5383" s="80" t="s">
        <v>50</v>
      </c>
      <c r="AA5383" s="96" t="s">
        <v>9905</v>
      </c>
      <c r="AB5383" s="80" t="s">
        <v>36</v>
      </c>
      <c r="AC5383" s="80" t="s">
        <v>53</v>
      </c>
      <c r="AD5383" s="80" t="s">
        <v>54</v>
      </c>
      <c r="AE5383" s="80" t="s">
        <v>10193</v>
      </c>
      <c r="AF5383" s="17">
        <v>45646</v>
      </c>
      <c r="AG5383" s="80"/>
      <c r="AH5383" s="80"/>
      <c r="AI5383" s="147"/>
      <c r="AJ5383" s="80"/>
      <c r="AK5383" s="80"/>
      <c r="AL5383" s="35"/>
      <c r="AM5383" s="35"/>
      <c r="AN5383" s="35"/>
      <c r="AO5383" s="35"/>
      <c r="AP5383" s="35"/>
    </row>
    <row r="5384" spans="1:42" x14ac:dyDescent="0.2">
      <c r="A5384" s="74">
        <v>45645</v>
      </c>
      <c r="B5384" s="137" t="s">
        <v>37</v>
      </c>
      <c r="C5384" s="41" t="s">
        <v>118</v>
      </c>
      <c r="D5384" s="26" t="s">
        <v>36</v>
      </c>
      <c r="E5384" s="26" t="s">
        <v>139</v>
      </c>
      <c r="F5384" s="26" t="s">
        <v>6919</v>
      </c>
      <c r="G5384" s="80" t="s">
        <v>221</v>
      </c>
      <c r="H5384" s="80" t="s">
        <v>18321</v>
      </c>
      <c r="I5384" s="17">
        <f ca="1">IFERROR(__xludf.DUMMYFUNCTION("""COMPUTED_VALUE"""),45698)</f>
        <v>45698</v>
      </c>
      <c r="J5384" s="29" t="s">
        <v>10083</v>
      </c>
      <c r="K5384" s="26" t="s">
        <v>10084</v>
      </c>
      <c r="L5384" s="30">
        <v>394722006</v>
      </c>
      <c r="M5384" s="26" t="s">
        <v>80</v>
      </c>
      <c r="N5384" s="26" t="s">
        <v>1073</v>
      </c>
      <c r="O5384" s="26" t="s">
        <v>10085</v>
      </c>
      <c r="P5384" s="26" t="s">
        <v>18373</v>
      </c>
      <c r="Q5384" s="20">
        <v>15936</v>
      </c>
      <c r="R5384" s="26" t="s">
        <v>3825</v>
      </c>
      <c r="S5384" s="178">
        <f t="shared" ref="S5384:S5385" si="138">200+1800</f>
        <v>2000</v>
      </c>
      <c r="T5384" s="179" t="s">
        <v>10073</v>
      </c>
      <c r="U5384" s="95">
        <v>13736</v>
      </c>
      <c r="V5384" s="148">
        <v>45524</v>
      </c>
      <c r="W5384" s="33" t="s">
        <v>10087</v>
      </c>
      <c r="X5384" s="26">
        <v>200</v>
      </c>
      <c r="Y5384" s="22">
        <v>0</v>
      </c>
      <c r="Z5384" s="26" t="s">
        <v>50</v>
      </c>
      <c r="AA5384" s="35"/>
      <c r="AB5384" s="26" t="s">
        <v>36</v>
      </c>
      <c r="AC5384" s="26" t="s">
        <v>53</v>
      </c>
      <c r="AD5384" s="26" t="s">
        <v>54</v>
      </c>
      <c r="AE5384" s="26" t="s">
        <v>6919</v>
      </c>
      <c r="AF5384" s="17">
        <v>45698</v>
      </c>
      <c r="AG5384" s="26"/>
      <c r="AH5384" s="26"/>
      <c r="AI5384" s="40"/>
      <c r="AJ5384" s="26"/>
      <c r="AK5384" s="26"/>
      <c r="AL5384" s="35"/>
      <c r="AM5384" s="35"/>
      <c r="AN5384" s="35"/>
      <c r="AO5384" s="35"/>
      <c r="AP5384" s="35"/>
    </row>
    <row r="5385" spans="1:42" x14ac:dyDescent="0.2">
      <c r="A5385" s="74">
        <v>45645</v>
      </c>
      <c r="B5385" s="137" t="s">
        <v>37</v>
      </c>
      <c r="C5385" s="41" t="s">
        <v>118</v>
      </c>
      <c r="D5385" s="26" t="s">
        <v>36</v>
      </c>
      <c r="E5385" s="26" t="s">
        <v>139</v>
      </c>
      <c r="F5385" s="26" t="s">
        <v>10028</v>
      </c>
      <c r="G5385" s="26" t="s">
        <v>221</v>
      </c>
      <c r="H5385" s="26" t="s">
        <v>18374</v>
      </c>
      <c r="I5385" s="17">
        <f ca="1">IFERROR(__xludf.DUMMYFUNCTION("""COMPUTED_VALUE"""),45729)</f>
        <v>45729</v>
      </c>
      <c r="J5385" s="29" t="s">
        <v>10271</v>
      </c>
      <c r="K5385" s="26" t="s">
        <v>18375</v>
      </c>
      <c r="L5385" s="30">
        <v>333895210</v>
      </c>
      <c r="M5385" s="26" t="s">
        <v>3728</v>
      </c>
      <c r="N5385" s="26" t="s">
        <v>5312</v>
      </c>
      <c r="O5385" s="26" t="s">
        <v>10273</v>
      </c>
      <c r="P5385" s="26" t="s">
        <v>10274</v>
      </c>
      <c r="Q5385" s="20">
        <v>15936</v>
      </c>
      <c r="R5385" s="26" t="s">
        <v>36</v>
      </c>
      <c r="S5385" s="95">
        <f t="shared" si="138"/>
        <v>2000</v>
      </c>
      <c r="T5385" s="83" t="s">
        <v>10275</v>
      </c>
      <c r="U5385" s="95">
        <v>13936</v>
      </c>
      <c r="V5385" s="148">
        <v>45532</v>
      </c>
      <c r="W5385" s="33" t="s">
        <v>10276</v>
      </c>
      <c r="X5385" s="26">
        <v>0</v>
      </c>
      <c r="Y5385" s="22">
        <v>0</v>
      </c>
      <c r="Z5385" s="26" t="s">
        <v>50</v>
      </c>
      <c r="AA5385" s="96"/>
      <c r="AB5385" s="80" t="s">
        <v>36</v>
      </c>
      <c r="AC5385" s="26" t="s">
        <v>53</v>
      </c>
      <c r="AD5385" s="26" t="s">
        <v>54</v>
      </c>
      <c r="AE5385" s="26" t="s">
        <v>10028</v>
      </c>
      <c r="AF5385" s="17">
        <v>45722</v>
      </c>
      <c r="AG5385" s="26"/>
      <c r="AH5385" s="26"/>
      <c r="AI5385" s="40"/>
      <c r="AJ5385" s="26"/>
      <c r="AK5385" s="26"/>
      <c r="AL5385" s="35"/>
      <c r="AM5385" s="35"/>
      <c r="AN5385" s="35"/>
      <c r="AO5385" s="35"/>
      <c r="AP5385" s="35"/>
    </row>
    <row r="5386" spans="1:42" x14ac:dyDescent="0.2">
      <c r="A5386" s="99">
        <v>45026</v>
      </c>
      <c r="B5386" s="137" t="s">
        <v>37</v>
      </c>
      <c r="C5386" s="41" t="s">
        <v>118</v>
      </c>
      <c r="D5386" s="80" t="s">
        <v>36</v>
      </c>
      <c r="E5386" s="80" t="s">
        <v>77</v>
      </c>
      <c r="F5386" s="80" t="s">
        <v>18376</v>
      </c>
      <c r="G5386" s="153" t="s">
        <v>41</v>
      </c>
      <c r="H5386" s="80" t="s">
        <v>13089</v>
      </c>
      <c r="I5386" s="17">
        <f ca="1">IFERROR(__xludf.DUMMYFUNCTION("""COMPUTED_VALUE"""),45651)</f>
        <v>45651</v>
      </c>
      <c r="J5386" s="143" t="s">
        <v>18377</v>
      </c>
      <c r="K5386" s="80" t="s">
        <v>18378</v>
      </c>
      <c r="L5386" s="30">
        <v>941765615</v>
      </c>
      <c r="M5386" s="80" t="s">
        <v>749</v>
      </c>
      <c r="N5386" s="80" t="s">
        <v>885</v>
      </c>
      <c r="O5386" s="80" t="s">
        <v>2359</v>
      </c>
      <c r="P5386" s="144" t="s">
        <v>18379</v>
      </c>
      <c r="Q5386" s="20">
        <v>1968</v>
      </c>
      <c r="R5386" s="26" t="s">
        <v>36</v>
      </c>
      <c r="S5386" s="77">
        <v>2980</v>
      </c>
      <c r="T5386" s="78">
        <v>45024</v>
      </c>
      <c r="U5386" s="77"/>
      <c r="V5386" s="78"/>
      <c r="W5386" s="85" t="s">
        <v>18380</v>
      </c>
      <c r="X5386" s="80"/>
      <c r="Y5386" s="22">
        <v>0</v>
      </c>
      <c r="Z5386" s="142" t="s">
        <v>50</v>
      </c>
      <c r="AA5386" s="86"/>
      <c r="AB5386" s="80" t="s">
        <v>36</v>
      </c>
      <c r="AC5386" s="80" t="s">
        <v>53</v>
      </c>
      <c r="AD5386" s="26" t="s">
        <v>54</v>
      </c>
      <c r="AE5386" s="80" t="s">
        <v>18376</v>
      </c>
      <c r="AF5386" s="17">
        <v>45646</v>
      </c>
      <c r="AG5386" s="82"/>
      <c r="AH5386" s="185"/>
      <c r="AI5386" s="185"/>
      <c r="AJ5386" s="165">
        <v>45026.153612604168</v>
      </c>
      <c r="AK5386" s="82"/>
      <c r="AL5386" s="177" t="s">
        <v>18381</v>
      </c>
      <c r="AM5386" s="82"/>
      <c r="AN5386" s="82"/>
      <c r="AO5386" s="80"/>
      <c r="AP5386" s="35"/>
    </row>
    <row r="5387" spans="1:42" x14ac:dyDescent="0.2">
      <c r="A5387" s="38">
        <v>45646</v>
      </c>
      <c r="B5387" s="137" t="s">
        <v>37</v>
      </c>
      <c r="C5387" s="41" t="s">
        <v>118</v>
      </c>
      <c r="D5387" s="80" t="s">
        <v>36</v>
      </c>
      <c r="E5387" s="80" t="s">
        <v>915</v>
      </c>
      <c r="F5387" s="80" t="s">
        <v>36</v>
      </c>
      <c r="G5387" s="161" t="s">
        <v>221</v>
      </c>
      <c r="H5387" s="80" t="s">
        <v>18382</v>
      </c>
      <c r="I5387" s="17">
        <f ca="1">IFERROR(__xludf.DUMMYFUNCTION("""COMPUTED_VALUE"""),45835)</f>
        <v>45835</v>
      </c>
      <c r="J5387" s="44" t="s">
        <v>18383</v>
      </c>
      <c r="K5387" s="145" t="s">
        <v>18384</v>
      </c>
      <c r="L5387" s="30">
        <v>356083351</v>
      </c>
      <c r="M5387" s="80" t="s">
        <v>1245</v>
      </c>
      <c r="N5387" s="80" t="s">
        <v>11818</v>
      </c>
      <c r="O5387" s="80" t="s">
        <v>4626</v>
      </c>
      <c r="P5387" s="144" t="s">
        <v>18385</v>
      </c>
      <c r="Q5387" s="20">
        <v>13968</v>
      </c>
      <c r="R5387" s="80" t="s">
        <v>1106</v>
      </c>
      <c r="S5387" s="95">
        <v>4000</v>
      </c>
      <c r="T5387" s="148">
        <v>45551</v>
      </c>
      <c r="U5387" s="95">
        <v>9818</v>
      </c>
      <c r="V5387" s="148">
        <v>45595</v>
      </c>
      <c r="W5387" s="85" t="s">
        <v>15254</v>
      </c>
      <c r="X5387" s="80"/>
      <c r="Y5387" s="22">
        <v>150</v>
      </c>
      <c r="Z5387" s="81" t="s">
        <v>50</v>
      </c>
      <c r="AA5387" s="82" t="s">
        <v>9905</v>
      </c>
      <c r="AB5387" s="80"/>
      <c r="AC5387" s="80" t="s">
        <v>53</v>
      </c>
      <c r="AD5387" s="80" t="s">
        <v>138</v>
      </c>
      <c r="AE5387" s="83"/>
      <c r="AF5387" s="17">
        <v>45831</v>
      </c>
      <c r="AG5387" s="143" t="s">
        <v>15252</v>
      </c>
      <c r="AH5387" s="80"/>
      <c r="AI5387" s="147"/>
      <c r="AJ5387" s="80"/>
      <c r="AK5387" s="80"/>
      <c r="AL5387" s="86"/>
      <c r="AM5387" s="86"/>
      <c r="AN5387" s="86"/>
      <c r="AO5387" s="86"/>
      <c r="AP5387" s="86"/>
    </row>
    <row r="5388" spans="1:42" x14ac:dyDescent="0.2">
      <c r="A5388" s="38">
        <v>45646</v>
      </c>
      <c r="B5388" s="137" t="s">
        <v>37</v>
      </c>
      <c r="C5388" s="41" t="s">
        <v>118</v>
      </c>
      <c r="D5388" s="26" t="s">
        <v>36</v>
      </c>
      <c r="E5388" s="26" t="s">
        <v>139</v>
      </c>
      <c r="F5388" s="26" t="s">
        <v>9825</v>
      </c>
      <c r="G5388" s="26" t="s">
        <v>221</v>
      </c>
      <c r="H5388" s="26" t="s">
        <v>13807</v>
      </c>
      <c r="I5388" s="17">
        <f ca="1">IFERROR(__xludf.DUMMYFUNCTION("""COMPUTED_VALUE"""),45660)</f>
        <v>45660</v>
      </c>
      <c r="J5388" s="29" t="s">
        <v>9184</v>
      </c>
      <c r="K5388" s="26" t="s">
        <v>9947</v>
      </c>
      <c r="L5388" s="47">
        <v>931632144</v>
      </c>
      <c r="M5388" s="26" t="s">
        <v>5518</v>
      </c>
      <c r="N5388" s="26" t="s">
        <v>9186</v>
      </c>
      <c r="O5388" s="26" t="s">
        <v>9187</v>
      </c>
      <c r="P5388" s="42" t="s">
        <v>18386</v>
      </c>
      <c r="Q5388" s="20"/>
      <c r="R5388" s="26" t="s">
        <v>36</v>
      </c>
      <c r="S5388" s="95">
        <f>200+1800</f>
        <v>2000</v>
      </c>
      <c r="T5388" s="83" t="s">
        <v>9189</v>
      </c>
      <c r="U5388" s="95">
        <v>13936</v>
      </c>
      <c r="V5388" s="148">
        <v>45503</v>
      </c>
      <c r="W5388" s="33" t="s">
        <v>9190</v>
      </c>
      <c r="X5388" s="26"/>
      <c r="Y5388" s="22"/>
      <c r="Z5388" s="26" t="s">
        <v>118</v>
      </c>
      <c r="AA5388" s="70" t="s">
        <v>9070</v>
      </c>
      <c r="AB5388" s="26" t="s">
        <v>36</v>
      </c>
      <c r="AC5388" s="26" t="s">
        <v>53</v>
      </c>
      <c r="AD5388" s="26" t="s">
        <v>54</v>
      </c>
      <c r="AE5388" s="26" t="s">
        <v>9825</v>
      </c>
      <c r="AF5388" s="17">
        <v>45660</v>
      </c>
      <c r="AG5388" s="26"/>
      <c r="AH5388" s="26"/>
      <c r="AI5388" s="40"/>
      <c r="AJ5388" s="26"/>
      <c r="AK5388" s="26"/>
      <c r="AL5388" s="35"/>
      <c r="AM5388" s="35"/>
      <c r="AN5388" s="35"/>
      <c r="AO5388" s="35"/>
      <c r="AP5388" s="35"/>
    </row>
    <row r="5389" spans="1:42" x14ac:dyDescent="0.2">
      <c r="A5389" s="38">
        <v>45646</v>
      </c>
      <c r="B5389" s="137" t="s">
        <v>37</v>
      </c>
      <c r="C5389" s="41" t="s">
        <v>118</v>
      </c>
      <c r="D5389" s="80" t="s">
        <v>36</v>
      </c>
      <c r="E5389" s="80" t="s">
        <v>56</v>
      </c>
      <c r="F5389" s="80" t="s">
        <v>12444</v>
      </c>
      <c r="G5389" s="80" t="s">
        <v>108</v>
      </c>
      <c r="H5389" s="80" t="s">
        <v>18275</v>
      </c>
      <c r="I5389" s="17">
        <f ca="1">IFERROR(__xludf.DUMMYFUNCTION("""COMPUTED_VALUE"""),45667)</f>
        <v>45667</v>
      </c>
      <c r="J5389" s="143" t="s">
        <v>17622</v>
      </c>
      <c r="K5389" s="80" t="s">
        <v>17623</v>
      </c>
      <c r="L5389" s="30">
        <v>377336982</v>
      </c>
      <c r="M5389" s="80" t="s">
        <v>59</v>
      </c>
      <c r="N5389" s="80" t="s">
        <v>8342</v>
      </c>
      <c r="O5389" s="80" t="s">
        <v>17624</v>
      </c>
      <c r="P5389" s="80" t="s">
        <v>17625</v>
      </c>
      <c r="Q5389" s="20">
        <v>9317</v>
      </c>
      <c r="R5389" s="80" t="s">
        <v>36</v>
      </c>
      <c r="S5389" s="95">
        <v>2000</v>
      </c>
      <c r="T5389" s="148">
        <v>45587</v>
      </c>
      <c r="U5389" s="95">
        <v>7317</v>
      </c>
      <c r="V5389" s="148">
        <v>45622</v>
      </c>
      <c r="W5389" s="85" t="s">
        <v>17626</v>
      </c>
      <c r="X5389" s="80"/>
      <c r="Y5389" s="22">
        <v>0</v>
      </c>
      <c r="Z5389" s="80" t="s">
        <v>50</v>
      </c>
      <c r="AA5389" s="86" t="s">
        <v>14723</v>
      </c>
      <c r="AB5389" s="80"/>
      <c r="AC5389" s="80" t="s">
        <v>53</v>
      </c>
      <c r="AD5389" s="80" t="s">
        <v>54</v>
      </c>
      <c r="AE5389" s="80" t="s">
        <v>12444</v>
      </c>
      <c r="AF5389" s="17">
        <v>45663</v>
      </c>
      <c r="AG5389" s="80"/>
      <c r="AH5389" s="80"/>
      <c r="AI5389" s="147"/>
      <c r="AJ5389" s="80"/>
      <c r="AK5389" s="80"/>
      <c r="AL5389" s="35"/>
      <c r="AM5389" s="35"/>
      <c r="AN5389" s="35"/>
      <c r="AO5389" s="35"/>
      <c r="AP5389" s="35"/>
    </row>
    <row r="5390" spans="1:42" x14ac:dyDescent="0.2">
      <c r="A5390" s="38">
        <v>45646</v>
      </c>
      <c r="B5390" s="137" t="s">
        <v>37</v>
      </c>
      <c r="C5390" s="41" t="s">
        <v>118</v>
      </c>
      <c r="D5390" s="80" t="s">
        <v>36</v>
      </c>
      <c r="E5390" s="80" t="s">
        <v>56</v>
      </c>
      <c r="F5390" s="80" t="s">
        <v>11183</v>
      </c>
      <c r="G5390" s="80" t="s">
        <v>108</v>
      </c>
      <c r="H5390" s="80" t="s">
        <v>13902</v>
      </c>
      <c r="I5390" s="17">
        <f ca="1">IFERROR(__xludf.DUMMYFUNCTION("""COMPUTED_VALUE"""),45643)</f>
        <v>45643</v>
      </c>
      <c r="J5390" s="143" t="s">
        <v>15234</v>
      </c>
      <c r="K5390" s="145" t="s">
        <v>15235</v>
      </c>
      <c r="L5390" s="30">
        <v>369407924</v>
      </c>
      <c r="M5390" s="80" t="s">
        <v>123</v>
      </c>
      <c r="N5390" s="80" t="s">
        <v>2847</v>
      </c>
      <c r="O5390" s="80" t="s">
        <v>15236</v>
      </c>
      <c r="P5390" s="80" t="s">
        <v>5794</v>
      </c>
      <c r="Q5390" s="20">
        <v>9317</v>
      </c>
      <c r="R5390" s="80" t="s">
        <v>1106</v>
      </c>
      <c r="S5390" s="95">
        <v>3000</v>
      </c>
      <c r="T5390" s="148">
        <v>45550</v>
      </c>
      <c r="U5390" s="95">
        <v>6167</v>
      </c>
      <c r="V5390" s="148">
        <v>45590</v>
      </c>
      <c r="W5390" s="85" t="s">
        <v>15237</v>
      </c>
      <c r="X5390" s="80"/>
      <c r="Y5390" s="22">
        <v>150</v>
      </c>
      <c r="Z5390" s="80" t="s">
        <v>50</v>
      </c>
      <c r="AA5390" s="35" t="s">
        <v>9905</v>
      </c>
      <c r="AB5390" s="80"/>
      <c r="AC5390" s="80" t="s">
        <v>53</v>
      </c>
      <c r="AD5390" s="80" t="s">
        <v>138</v>
      </c>
      <c r="AE5390" s="80" t="s">
        <v>11183</v>
      </c>
      <c r="AF5390" s="17">
        <v>45650</v>
      </c>
      <c r="AG5390" s="80" t="s">
        <v>18387</v>
      </c>
      <c r="AH5390" s="80"/>
      <c r="AI5390" s="147"/>
      <c r="AJ5390" s="80"/>
      <c r="AK5390" s="80"/>
      <c r="AL5390" s="35"/>
      <c r="AM5390" s="35"/>
      <c r="AN5390" s="35"/>
      <c r="AO5390" s="35"/>
      <c r="AP5390" s="35"/>
    </row>
    <row r="5391" spans="1:42" x14ac:dyDescent="0.2">
      <c r="A5391" s="38">
        <v>45646</v>
      </c>
      <c r="B5391" s="137" t="s">
        <v>37</v>
      </c>
      <c r="C5391" s="41" t="s">
        <v>118</v>
      </c>
      <c r="D5391" s="80" t="s">
        <v>36</v>
      </c>
      <c r="E5391" s="80" t="s">
        <v>56</v>
      </c>
      <c r="F5391" s="80" t="s">
        <v>11183</v>
      </c>
      <c r="G5391" s="80" t="s">
        <v>108</v>
      </c>
      <c r="H5391" s="80" t="s">
        <v>13902</v>
      </c>
      <c r="I5391" s="17">
        <f ca="1">IFERROR(__xludf.DUMMYFUNCTION("""COMPUTED_VALUE"""),45643)</f>
        <v>45643</v>
      </c>
      <c r="J5391" s="143" t="s">
        <v>17203</v>
      </c>
      <c r="K5391" s="145" t="s">
        <v>17204</v>
      </c>
      <c r="L5391" s="30">
        <v>862558843</v>
      </c>
      <c r="M5391" s="80" t="s">
        <v>123</v>
      </c>
      <c r="N5391" s="80" t="s">
        <v>2847</v>
      </c>
      <c r="O5391" s="80" t="s">
        <v>4503</v>
      </c>
      <c r="P5391" s="80" t="s">
        <v>3056</v>
      </c>
      <c r="Q5391" s="20">
        <v>9317</v>
      </c>
      <c r="R5391" s="80" t="s">
        <v>1106</v>
      </c>
      <c r="S5391" s="95">
        <v>3000</v>
      </c>
      <c r="T5391" s="148">
        <v>45550</v>
      </c>
      <c r="U5391" s="95">
        <f>6067+100</f>
        <v>6167</v>
      </c>
      <c r="V5391" s="83" t="s">
        <v>17205</v>
      </c>
      <c r="W5391" s="85" t="s">
        <v>17206</v>
      </c>
      <c r="X5391" s="80"/>
      <c r="Y5391" s="22">
        <v>150</v>
      </c>
      <c r="Z5391" s="80" t="s">
        <v>50</v>
      </c>
      <c r="AA5391" s="86" t="s">
        <v>14723</v>
      </c>
      <c r="AB5391" s="80"/>
      <c r="AC5391" s="80" t="s">
        <v>53</v>
      </c>
      <c r="AD5391" s="80" t="s">
        <v>138</v>
      </c>
      <c r="AE5391" s="80" t="s">
        <v>11183</v>
      </c>
      <c r="AF5391" s="17">
        <v>45650</v>
      </c>
      <c r="AG5391" s="80" t="s">
        <v>18387</v>
      </c>
      <c r="AH5391" s="80"/>
      <c r="AI5391" s="147"/>
      <c r="AJ5391" s="80"/>
      <c r="AK5391" s="80"/>
      <c r="AL5391" s="35"/>
      <c r="AM5391" s="35"/>
      <c r="AN5391" s="35"/>
      <c r="AO5391" s="35"/>
      <c r="AP5391" s="35"/>
    </row>
    <row r="5392" spans="1:42" x14ac:dyDescent="0.2">
      <c r="A5392" s="38">
        <v>45646</v>
      </c>
      <c r="B5392" s="137" t="s">
        <v>37</v>
      </c>
      <c r="C5392" s="41" t="s">
        <v>118</v>
      </c>
      <c r="D5392" s="80" t="s">
        <v>36</v>
      </c>
      <c r="E5392" s="80" t="s">
        <v>77</v>
      </c>
      <c r="F5392" s="80" t="s">
        <v>40</v>
      </c>
      <c r="G5392" s="80" t="s">
        <v>41</v>
      </c>
      <c r="H5392" s="80" t="s">
        <v>16183</v>
      </c>
      <c r="I5392" s="17">
        <f ca="1">IFERROR(__xludf.DUMMYFUNCTION("""COMPUTED_VALUE"""),45657)</f>
        <v>45657</v>
      </c>
      <c r="J5392" s="143" t="s">
        <v>18388</v>
      </c>
      <c r="K5392" s="80" t="s">
        <v>18389</v>
      </c>
      <c r="L5392" s="30">
        <v>366258394</v>
      </c>
      <c r="M5392" s="80" t="s">
        <v>348</v>
      </c>
      <c r="N5392" s="80" t="s">
        <v>68</v>
      </c>
      <c r="O5392" s="80" t="s">
        <v>18390</v>
      </c>
      <c r="P5392" s="144" t="s">
        <v>18391</v>
      </c>
      <c r="Q5392" s="20">
        <v>1968</v>
      </c>
      <c r="R5392" s="80" t="s">
        <v>36</v>
      </c>
      <c r="S5392" s="95">
        <v>1968</v>
      </c>
      <c r="T5392" s="148">
        <v>45541</v>
      </c>
      <c r="U5392" s="77"/>
      <c r="V5392" s="78"/>
      <c r="W5392" s="85" t="s">
        <v>12829</v>
      </c>
      <c r="X5392" s="80">
        <v>0</v>
      </c>
      <c r="Y5392" s="22">
        <v>0</v>
      </c>
      <c r="Z5392" s="80" t="s">
        <v>50</v>
      </c>
      <c r="AA5392" s="35" t="s">
        <v>3291</v>
      </c>
      <c r="AB5392" s="80"/>
      <c r="AC5392" s="80" t="s">
        <v>53</v>
      </c>
      <c r="AD5392" s="80" t="s">
        <v>54</v>
      </c>
      <c r="AE5392" s="80"/>
      <c r="AF5392" s="17">
        <v>45650</v>
      </c>
      <c r="AG5392" s="80" t="s">
        <v>12830</v>
      </c>
      <c r="AH5392" s="143" t="s">
        <v>12825</v>
      </c>
      <c r="AI5392" s="147" t="s">
        <v>84</v>
      </c>
      <c r="AJ5392" s="80"/>
      <c r="AK5392" s="80"/>
      <c r="AL5392" s="35"/>
      <c r="AM5392" s="35"/>
      <c r="AN5392" s="35"/>
      <c r="AO5392" s="35"/>
      <c r="AP5392" s="35"/>
    </row>
    <row r="5393" spans="1:42" x14ac:dyDescent="0.2">
      <c r="A5393" s="38">
        <v>45649</v>
      </c>
      <c r="B5393" s="137" t="s">
        <v>37</v>
      </c>
      <c r="C5393" s="41" t="s">
        <v>118</v>
      </c>
      <c r="D5393" s="80" t="s">
        <v>36</v>
      </c>
      <c r="E5393" s="80" t="s">
        <v>139</v>
      </c>
      <c r="F5393" s="80" t="s">
        <v>12849</v>
      </c>
      <c r="G5393" s="80" t="s">
        <v>108</v>
      </c>
      <c r="H5393" s="80" t="s">
        <v>17059</v>
      </c>
      <c r="I5393" s="17">
        <f ca="1">IFERROR(__xludf.DUMMYFUNCTION("""COMPUTED_VALUE"""),45652)</f>
        <v>45652</v>
      </c>
      <c r="J5393" s="143" t="s">
        <v>15406</v>
      </c>
      <c r="K5393" s="80" t="s">
        <v>15407</v>
      </c>
      <c r="L5393" s="30">
        <v>368123190</v>
      </c>
      <c r="M5393" s="80" t="s">
        <v>12720</v>
      </c>
      <c r="N5393" s="80" t="s">
        <v>15408</v>
      </c>
      <c r="O5393" s="80" t="s">
        <v>15409</v>
      </c>
      <c r="P5393" s="144" t="s">
        <v>15410</v>
      </c>
      <c r="Q5393" s="20">
        <v>15936</v>
      </c>
      <c r="R5393" s="80" t="s">
        <v>36</v>
      </c>
      <c r="S5393" s="95">
        <f>200+1800</f>
        <v>2000</v>
      </c>
      <c r="T5393" s="83" t="s">
        <v>15377</v>
      </c>
      <c r="U5393" s="95">
        <v>13936</v>
      </c>
      <c r="V5393" s="148">
        <v>45582</v>
      </c>
      <c r="W5393" s="85" t="s">
        <v>15411</v>
      </c>
      <c r="X5393" s="80"/>
      <c r="Y5393" s="22">
        <v>0</v>
      </c>
      <c r="Z5393" s="80" t="s">
        <v>50</v>
      </c>
      <c r="AA5393" s="96" t="s">
        <v>9905</v>
      </c>
      <c r="AB5393" s="80"/>
      <c r="AC5393" s="80" t="s">
        <v>53</v>
      </c>
      <c r="AD5393" s="80" t="s">
        <v>54</v>
      </c>
      <c r="AE5393" s="80" t="s">
        <v>12849</v>
      </c>
      <c r="AF5393" s="17">
        <v>45649</v>
      </c>
      <c r="AG5393" s="80"/>
      <c r="AH5393" s="80"/>
      <c r="AI5393" s="147"/>
      <c r="AJ5393" s="80"/>
      <c r="AK5393" s="80"/>
      <c r="AL5393" s="35"/>
      <c r="AM5393" s="35"/>
      <c r="AN5393" s="35"/>
      <c r="AO5393" s="35"/>
      <c r="AP5393" s="35"/>
    </row>
    <row r="5394" spans="1:42" x14ac:dyDescent="0.2">
      <c r="A5394" s="38">
        <v>45649</v>
      </c>
      <c r="B5394" s="137" t="s">
        <v>37</v>
      </c>
      <c r="C5394" s="41" t="s">
        <v>118</v>
      </c>
      <c r="D5394" s="26" t="s">
        <v>36</v>
      </c>
      <c r="E5394" s="26" t="s">
        <v>56</v>
      </c>
      <c r="F5394" s="26" t="s">
        <v>6919</v>
      </c>
      <c r="G5394" s="26" t="s">
        <v>221</v>
      </c>
      <c r="H5394" s="26" t="s">
        <v>18321</v>
      </c>
      <c r="I5394" s="17">
        <f ca="1">IFERROR(__xludf.DUMMYFUNCTION("""COMPUTED_VALUE"""),45698)</f>
        <v>45698</v>
      </c>
      <c r="J5394" s="29" t="s">
        <v>9306</v>
      </c>
      <c r="K5394" s="26" t="s">
        <v>9307</v>
      </c>
      <c r="L5394" s="30">
        <v>964821455</v>
      </c>
      <c r="M5394" s="26" t="s">
        <v>59</v>
      </c>
      <c r="N5394" s="26" t="s">
        <v>68</v>
      </c>
      <c r="O5394" s="26" t="s">
        <v>9308</v>
      </c>
      <c r="P5394" s="26" t="s">
        <v>9309</v>
      </c>
      <c r="Q5394" s="20"/>
      <c r="R5394" s="26" t="s">
        <v>36</v>
      </c>
      <c r="S5394" s="95">
        <v>9317</v>
      </c>
      <c r="T5394" s="148">
        <v>45475</v>
      </c>
      <c r="U5394" s="31"/>
      <c r="V5394" s="32"/>
      <c r="W5394" s="33" t="s">
        <v>9310</v>
      </c>
      <c r="X5394" s="26"/>
      <c r="Y5394" s="22"/>
      <c r="Z5394" s="26" t="s">
        <v>50</v>
      </c>
      <c r="AA5394" s="70" t="s">
        <v>9070</v>
      </c>
      <c r="AB5394" s="26" t="s">
        <v>36</v>
      </c>
      <c r="AC5394" s="26" t="s">
        <v>53</v>
      </c>
      <c r="AD5394" s="26" t="s">
        <v>138</v>
      </c>
      <c r="AE5394" s="26" t="s">
        <v>6919</v>
      </c>
      <c r="AF5394" s="17">
        <v>45698</v>
      </c>
      <c r="AG5394" s="26"/>
      <c r="AH5394" s="26"/>
      <c r="AI5394" s="40"/>
      <c r="AJ5394" s="26"/>
      <c r="AK5394" s="26"/>
      <c r="AL5394" s="35"/>
      <c r="AM5394" s="35"/>
      <c r="AN5394" s="35"/>
      <c r="AO5394" s="35"/>
      <c r="AP5394" s="35"/>
    </row>
    <row r="5395" spans="1:42" x14ac:dyDescent="0.2">
      <c r="A5395" s="38">
        <v>45649</v>
      </c>
      <c r="B5395" s="137" t="s">
        <v>37</v>
      </c>
      <c r="C5395" s="41" t="s">
        <v>118</v>
      </c>
      <c r="D5395" s="80" t="s">
        <v>36</v>
      </c>
      <c r="E5395" s="80" t="s">
        <v>139</v>
      </c>
      <c r="F5395" s="80" t="s">
        <v>15199</v>
      </c>
      <c r="G5395" s="80" t="s">
        <v>108</v>
      </c>
      <c r="H5395" s="80" t="s">
        <v>18392</v>
      </c>
      <c r="I5395" s="17">
        <f ca="1">IFERROR(__xludf.DUMMYFUNCTION("""COMPUTED_VALUE"""),45698)</f>
        <v>45698</v>
      </c>
      <c r="J5395" s="143" t="s">
        <v>15900</v>
      </c>
      <c r="K5395" s="80" t="s">
        <v>15901</v>
      </c>
      <c r="L5395" s="30">
        <v>348596931</v>
      </c>
      <c r="M5395" s="80" t="s">
        <v>12529</v>
      </c>
      <c r="N5395" s="80" t="s">
        <v>15532</v>
      </c>
      <c r="O5395" s="80" t="s">
        <v>15902</v>
      </c>
      <c r="P5395" s="144" t="s">
        <v>15903</v>
      </c>
      <c r="Q5395" s="20">
        <v>15936</v>
      </c>
      <c r="R5395" s="80" t="s">
        <v>36</v>
      </c>
      <c r="S5395" s="95">
        <f>200+1800</f>
        <v>2000</v>
      </c>
      <c r="T5395" s="83" t="s">
        <v>15904</v>
      </c>
      <c r="U5395" s="95">
        <v>13936</v>
      </c>
      <c r="V5395" s="148">
        <v>45596</v>
      </c>
      <c r="W5395" s="85" t="s">
        <v>15905</v>
      </c>
      <c r="X5395" s="80"/>
      <c r="Y5395" s="22">
        <v>0</v>
      </c>
      <c r="Z5395" s="80" t="s">
        <v>50</v>
      </c>
      <c r="AA5395" s="96" t="s">
        <v>9905</v>
      </c>
      <c r="AB5395" s="80"/>
      <c r="AC5395" s="80" t="s">
        <v>53</v>
      </c>
      <c r="AD5395" s="80" t="s">
        <v>138</v>
      </c>
      <c r="AE5395" s="80" t="s">
        <v>15199</v>
      </c>
      <c r="AF5395" s="43">
        <v>45698</v>
      </c>
      <c r="AG5395" s="80"/>
      <c r="AH5395" s="80"/>
      <c r="AI5395" s="147"/>
      <c r="AJ5395" s="80"/>
      <c r="AK5395" s="80"/>
      <c r="AL5395" s="35"/>
      <c r="AM5395" s="35"/>
      <c r="AN5395" s="35"/>
      <c r="AO5395" s="35"/>
      <c r="AP5395" s="35"/>
    </row>
    <row r="5396" spans="1:42" x14ac:dyDescent="0.2">
      <c r="A5396" s="38">
        <v>45649</v>
      </c>
      <c r="B5396" s="137" t="s">
        <v>37</v>
      </c>
      <c r="C5396" s="41" t="s">
        <v>118</v>
      </c>
      <c r="D5396" s="26" t="s">
        <v>36</v>
      </c>
      <c r="E5396" s="26" t="s">
        <v>139</v>
      </c>
      <c r="F5396" s="26" t="s">
        <v>6919</v>
      </c>
      <c r="G5396" s="26" t="s">
        <v>221</v>
      </c>
      <c r="H5396" s="26" t="s">
        <v>18321</v>
      </c>
      <c r="I5396" s="17">
        <f ca="1">IFERROR(__xludf.DUMMYFUNCTION("""COMPUTED_VALUE"""),45698)</f>
        <v>45698</v>
      </c>
      <c r="J5396" s="44" t="s">
        <v>10095</v>
      </c>
      <c r="K5396" s="26" t="s">
        <v>9417</v>
      </c>
      <c r="L5396" s="30">
        <v>355021485</v>
      </c>
      <c r="M5396" s="26" t="s">
        <v>123</v>
      </c>
      <c r="N5396" s="26" t="s">
        <v>186</v>
      </c>
      <c r="O5396" s="26" t="s">
        <v>4503</v>
      </c>
      <c r="P5396" s="26" t="s">
        <v>10096</v>
      </c>
      <c r="Q5396" s="20"/>
      <c r="R5396" s="26" t="s">
        <v>36</v>
      </c>
      <c r="S5396" s="95">
        <f>200+15736</f>
        <v>15936</v>
      </c>
      <c r="T5396" s="148">
        <v>45485</v>
      </c>
      <c r="U5396" s="31"/>
      <c r="V5396" s="32"/>
      <c r="W5396" s="33" t="s">
        <v>9418</v>
      </c>
      <c r="X5396" s="26"/>
      <c r="Y5396" s="22"/>
      <c r="Z5396" s="26" t="s">
        <v>50</v>
      </c>
      <c r="AA5396" s="70" t="s">
        <v>9070</v>
      </c>
      <c r="AB5396" s="26" t="s">
        <v>36</v>
      </c>
      <c r="AC5396" s="26" t="s">
        <v>53</v>
      </c>
      <c r="AD5396" s="26" t="s">
        <v>138</v>
      </c>
      <c r="AE5396" s="26" t="s">
        <v>6919</v>
      </c>
      <c r="AF5396" s="17">
        <v>45698</v>
      </c>
      <c r="AG5396" s="26"/>
      <c r="AH5396" s="26"/>
      <c r="AI5396" s="40"/>
      <c r="AJ5396" s="26"/>
      <c r="AK5396" s="26"/>
      <c r="AL5396" s="35"/>
      <c r="AM5396" s="35"/>
      <c r="AN5396" s="35"/>
      <c r="AO5396" s="35"/>
      <c r="AP5396" s="35"/>
    </row>
    <row r="5397" spans="1:42" x14ac:dyDescent="0.2">
      <c r="A5397" s="38">
        <v>45650</v>
      </c>
      <c r="B5397" s="137" t="s">
        <v>37</v>
      </c>
      <c r="C5397" s="41" t="s">
        <v>118</v>
      </c>
      <c r="D5397" s="80" t="s">
        <v>36</v>
      </c>
      <c r="E5397" s="80" t="s">
        <v>39</v>
      </c>
      <c r="F5397" s="80" t="s">
        <v>13829</v>
      </c>
      <c r="G5397" s="80" t="s">
        <v>108</v>
      </c>
      <c r="H5397" s="80" t="s">
        <v>12982</v>
      </c>
      <c r="I5397" s="17">
        <f ca="1">IFERROR(__xludf.DUMMYFUNCTION("""COMPUTED_VALUE"""),45670)</f>
        <v>45670</v>
      </c>
      <c r="J5397" s="143" t="s">
        <v>16412</v>
      </c>
      <c r="K5397" s="80" t="s">
        <v>18393</v>
      </c>
      <c r="L5397" s="30">
        <v>984871282</v>
      </c>
      <c r="M5397" s="80" t="s">
        <v>9422</v>
      </c>
      <c r="N5397" s="80" t="s">
        <v>327</v>
      </c>
      <c r="O5397" s="80" t="s">
        <v>16414</v>
      </c>
      <c r="P5397" s="80" t="s">
        <v>16415</v>
      </c>
      <c r="Q5397" s="20">
        <v>5736</v>
      </c>
      <c r="R5397" s="80" t="s">
        <v>36</v>
      </c>
      <c r="S5397" s="95">
        <v>5736</v>
      </c>
      <c r="T5397" s="148">
        <v>45584</v>
      </c>
      <c r="U5397" s="77"/>
      <c r="V5397" s="78"/>
      <c r="W5397" s="79" t="s">
        <v>16416</v>
      </c>
      <c r="X5397" s="80"/>
      <c r="Y5397" s="22">
        <v>0</v>
      </c>
      <c r="Z5397" s="80" t="s">
        <v>50</v>
      </c>
      <c r="AA5397" s="96" t="s">
        <v>9905</v>
      </c>
      <c r="AB5397" s="80"/>
      <c r="AC5397" s="80" t="s">
        <v>53</v>
      </c>
      <c r="AD5397" s="80" t="s">
        <v>54</v>
      </c>
      <c r="AE5397" s="80" t="s">
        <v>13829</v>
      </c>
      <c r="AF5397" s="17">
        <v>45298</v>
      </c>
      <c r="AG5397" s="80"/>
      <c r="AH5397" s="80"/>
      <c r="AI5397" s="147"/>
      <c r="AJ5397" s="80"/>
      <c r="AK5397" s="80"/>
      <c r="AL5397" s="35"/>
      <c r="AM5397" s="35"/>
      <c r="AN5397" s="35"/>
      <c r="AO5397" s="35"/>
      <c r="AP5397" s="35"/>
    </row>
    <row r="5398" spans="1:42" x14ac:dyDescent="0.2">
      <c r="A5398" s="38">
        <v>45650</v>
      </c>
      <c r="B5398" s="137" t="s">
        <v>37</v>
      </c>
      <c r="C5398" s="41" t="s">
        <v>118</v>
      </c>
      <c r="D5398" s="80" t="s">
        <v>36</v>
      </c>
      <c r="E5398" s="80" t="s">
        <v>139</v>
      </c>
      <c r="F5398" s="80" t="s">
        <v>13829</v>
      </c>
      <c r="G5398" s="80" t="s">
        <v>108</v>
      </c>
      <c r="H5398" s="80" t="s">
        <v>12982</v>
      </c>
      <c r="I5398" s="17">
        <f ca="1">IFERROR(__xludf.DUMMYFUNCTION("""COMPUTED_VALUE"""),45670)</f>
        <v>45670</v>
      </c>
      <c r="J5398" s="143" t="s">
        <v>16529</v>
      </c>
      <c r="K5398" s="80" t="s">
        <v>4238</v>
      </c>
      <c r="L5398" s="30">
        <v>867913004</v>
      </c>
      <c r="M5398" s="80" t="s">
        <v>59</v>
      </c>
      <c r="N5398" s="80" t="s">
        <v>4299</v>
      </c>
      <c r="O5398" s="80" t="s">
        <v>16530</v>
      </c>
      <c r="P5398" s="80" t="s">
        <v>16531</v>
      </c>
      <c r="Q5398" s="20">
        <v>15936</v>
      </c>
      <c r="R5398" s="80" t="s">
        <v>36</v>
      </c>
      <c r="S5398" s="95">
        <f>200+15736</f>
        <v>15936</v>
      </c>
      <c r="T5398" s="148">
        <v>45590</v>
      </c>
      <c r="U5398" s="95"/>
      <c r="V5398" s="148">
        <v>45590</v>
      </c>
      <c r="W5398" s="80" t="s">
        <v>16532</v>
      </c>
      <c r="X5398" s="80"/>
      <c r="Y5398" s="22">
        <v>0</v>
      </c>
      <c r="Z5398" s="80" t="s">
        <v>50</v>
      </c>
      <c r="AA5398" s="35" t="s">
        <v>9905</v>
      </c>
      <c r="AB5398" s="80"/>
      <c r="AC5398" s="80" t="s">
        <v>53</v>
      </c>
      <c r="AD5398" s="80" t="s">
        <v>54</v>
      </c>
      <c r="AE5398" s="80" t="s">
        <v>13829</v>
      </c>
      <c r="AF5398" s="17">
        <v>45298</v>
      </c>
      <c r="AG5398" s="80" t="s">
        <v>2075</v>
      </c>
      <c r="AH5398" s="80"/>
      <c r="AI5398" s="147"/>
      <c r="AJ5398" s="80"/>
      <c r="AK5398" s="80"/>
      <c r="AL5398" s="35"/>
      <c r="AM5398" s="35"/>
      <c r="AN5398" s="35"/>
      <c r="AO5398" s="35"/>
      <c r="AP5398" s="35"/>
    </row>
    <row r="5399" spans="1:42" x14ac:dyDescent="0.2">
      <c r="A5399" s="38">
        <v>45650</v>
      </c>
      <c r="B5399" s="137" t="s">
        <v>37</v>
      </c>
      <c r="C5399" s="41" t="s">
        <v>118</v>
      </c>
      <c r="D5399" s="80" t="s">
        <v>36</v>
      </c>
      <c r="E5399" s="80" t="s">
        <v>56</v>
      </c>
      <c r="F5399" s="80" t="s">
        <v>13829</v>
      </c>
      <c r="G5399" s="80" t="s">
        <v>108</v>
      </c>
      <c r="H5399" s="80" t="s">
        <v>9970</v>
      </c>
      <c r="I5399" s="17">
        <f ca="1">IFERROR(__xludf.DUMMYFUNCTION("""COMPUTED_VALUE"""),45714)</f>
        <v>45714</v>
      </c>
      <c r="J5399" s="143" t="s">
        <v>17168</v>
      </c>
      <c r="K5399" s="80" t="s">
        <v>18394</v>
      </c>
      <c r="L5399" s="30">
        <v>859930355</v>
      </c>
      <c r="M5399" s="80" t="s">
        <v>59</v>
      </c>
      <c r="N5399" s="80" t="s">
        <v>68</v>
      </c>
      <c r="O5399" s="80" t="s">
        <v>17170</v>
      </c>
      <c r="P5399" s="80" t="s">
        <v>17171</v>
      </c>
      <c r="Q5399" s="20">
        <v>9317</v>
      </c>
      <c r="R5399" s="80" t="s">
        <v>70</v>
      </c>
      <c r="S5399" s="95">
        <f>200+2000</f>
        <v>2200</v>
      </c>
      <c r="T5399" s="83" t="s">
        <v>12705</v>
      </c>
      <c r="U5399" s="95">
        <v>7017</v>
      </c>
      <c r="V5399" s="148">
        <v>45607</v>
      </c>
      <c r="W5399" s="85" t="s">
        <v>17172</v>
      </c>
      <c r="X5399" s="80"/>
      <c r="Y5399" s="22">
        <v>100</v>
      </c>
      <c r="Z5399" s="80" t="s">
        <v>50</v>
      </c>
      <c r="AA5399" s="82" t="s">
        <v>14723</v>
      </c>
      <c r="AB5399" s="80"/>
      <c r="AC5399" s="80" t="s">
        <v>53</v>
      </c>
      <c r="AD5399" s="80" t="s">
        <v>54</v>
      </c>
      <c r="AE5399" s="80" t="s">
        <v>13829</v>
      </c>
      <c r="AF5399" s="17">
        <v>45708</v>
      </c>
      <c r="AG5399" s="80"/>
      <c r="AH5399" s="80"/>
      <c r="AI5399" s="147"/>
      <c r="AJ5399" s="80"/>
      <c r="AK5399" s="80"/>
      <c r="AL5399" s="35"/>
      <c r="AM5399" s="35"/>
      <c r="AN5399" s="35"/>
      <c r="AO5399" s="35"/>
      <c r="AP5399" s="35"/>
    </row>
    <row r="5400" spans="1:42" x14ac:dyDescent="0.2">
      <c r="A5400" s="38">
        <v>45650</v>
      </c>
      <c r="B5400" s="137" t="s">
        <v>37</v>
      </c>
      <c r="C5400" s="41" t="s">
        <v>118</v>
      </c>
      <c r="D5400" s="80" t="s">
        <v>36</v>
      </c>
      <c r="E5400" s="80" t="s">
        <v>56</v>
      </c>
      <c r="F5400" s="80" t="s">
        <v>13829</v>
      </c>
      <c r="G5400" s="80" t="s">
        <v>108</v>
      </c>
      <c r="H5400" s="80" t="s">
        <v>12982</v>
      </c>
      <c r="I5400" s="17">
        <f ca="1">IFERROR(__xludf.DUMMYFUNCTION("""COMPUTED_VALUE"""),45670)</f>
        <v>45670</v>
      </c>
      <c r="J5400" s="143" t="s">
        <v>16490</v>
      </c>
      <c r="K5400" s="80" t="s">
        <v>16491</v>
      </c>
      <c r="L5400" s="30">
        <v>343851069</v>
      </c>
      <c r="M5400" s="80" t="s">
        <v>9422</v>
      </c>
      <c r="N5400" s="80" t="s">
        <v>5574</v>
      </c>
      <c r="O5400" s="80" t="s">
        <v>16492</v>
      </c>
      <c r="P5400" s="80" t="s">
        <v>16493</v>
      </c>
      <c r="Q5400" s="20">
        <v>9317</v>
      </c>
      <c r="R5400" s="80" t="s">
        <v>11421</v>
      </c>
      <c r="S5400" s="95">
        <v>9017</v>
      </c>
      <c r="T5400" s="148">
        <v>45588</v>
      </c>
      <c r="U5400" s="77"/>
      <c r="V5400" s="78"/>
      <c r="W5400" s="85" t="s">
        <v>16494</v>
      </c>
      <c r="X5400" s="80"/>
      <c r="Y5400" s="22">
        <v>300</v>
      </c>
      <c r="Z5400" s="80" t="s">
        <v>50</v>
      </c>
      <c r="AA5400" s="35" t="s">
        <v>9905</v>
      </c>
      <c r="AB5400" s="80"/>
      <c r="AC5400" s="80" t="s">
        <v>53</v>
      </c>
      <c r="AD5400" s="80" t="s">
        <v>54</v>
      </c>
      <c r="AE5400" s="80" t="s">
        <v>13829</v>
      </c>
      <c r="AF5400" s="17">
        <v>45298</v>
      </c>
      <c r="AG5400" s="80"/>
      <c r="AH5400" s="80"/>
      <c r="AI5400" s="147"/>
      <c r="AJ5400" s="80"/>
      <c r="AK5400" s="80"/>
      <c r="AL5400" s="35"/>
      <c r="AM5400" s="35"/>
      <c r="AN5400" s="35"/>
      <c r="AO5400" s="35"/>
      <c r="AP5400" s="35"/>
    </row>
    <row r="5401" spans="1:42" x14ac:dyDescent="0.2">
      <c r="A5401" s="38">
        <v>45650</v>
      </c>
      <c r="B5401" s="137" t="s">
        <v>37</v>
      </c>
      <c r="C5401" s="41" t="s">
        <v>118</v>
      </c>
      <c r="D5401" s="26" t="s">
        <v>36</v>
      </c>
      <c r="E5401" s="26" t="s">
        <v>139</v>
      </c>
      <c r="F5401" s="26" t="s">
        <v>4633</v>
      </c>
      <c r="G5401" s="26" t="s">
        <v>221</v>
      </c>
      <c r="H5401" s="26" t="s">
        <v>18395</v>
      </c>
      <c r="I5401" s="17" t="str">
        <f ca="1">IFERROR(__xludf.DUMMYFUNCTION("""COMPUTED_VALUE""")," ")</f>
        <v xml:space="preserve"> </v>
      </c>
      <c r="J5401" s="29" t="s">
        <v>3817</v>
      </c>
      <c r="K5401" s="26" t="s">
        <v>18396</v>
      </c>
      <c r="L5401" s="30">
        <v>869888905</v>
      </c>
      <c r="M5401" s="26" t="s">
        <v>1245</v>
      </c>
      <c r="N5401" s="26" t="s">
        <v>4957</v>
      </c>
      <c r="O5401" s="26" t="s">
        <v>3819</v>
      </c>
      <c r="P5401" s="42" t="s">
        <v>18397</v>
      </c>
      <c r="Q5401" s="20">
        <v>15936</v>
      </c>
      <c r="R5401" s="26" t="s">
        <v>36</v>
      </c>
      <c r="S5401" s="31">
        <v>2000</v>
      </c>
      <c r="T5401" s="32">
        <v>45193</v>
      </c>
      <c r="U5401" s="31">
        <v>13936</v>
      </c>
      <c r="V5401" s="32">
        <v>45223</v>
      </c>
      <c r="W5401" s="33" t="s">
        <v>3821</v>
      </c>
      <c r="X5401" s="26"/>
      <c r="Y5401" s="22">
        <v>0</v>
      </c>
      <c r="Z5401" s="26" t="s">
        <v>118</v>
      </c>
      <c r="AA5401" s="19" t="s">
        <v>3454</v>
      </c>
      <c r="AB5401" s="26" t="s">
        <v>104</v>
      </c>
      <c r="AC5401" s="26" t="s">
        <v>53</v>
      </c>
      <c r="AD5401" s="19" t="s">
        <v>54</v>
      </c>
      <c r="AE5401" s="26" t="s">
        <v>4633</v>
      </c>
      <c r="AF5401" s="17">
        <v>45659</v>
      </c>
      <c r="AG5401" s="26"/>
      <c r="AH5401" s="26"/>
      <c r="AI5401" s="40"/>
      <c r="AJ5401" s="26"/>
      <c r="AK5401" s="26"/>
      <c r="AL5401" s="35"/>
      <c r="AM5401" s="35"/>
      <c r="AN5401" s="35"/>
      <c r="AO5401" s="35"/>
      <c r="AP5401" s="35"/>
    </row>
    <row r="5402" spans="1:42" x14ac:dyDescent="0.2">
      <c r="A5402" s="38">
        <v>45650</v>
      </c>
      <c r="B5402" s="137" t="s">
        <v>37</v>
      </c>
      <c r="C5402" s="41" t="s">
        <v>118</v>
      </c>
      <c r="D5402" s="80" t="s">
        <v>36</v>
      </c>
      <c r="E5402" s="80" t="s">
        <v>139</v>
      </c>
      <c r="F5402" s="80" t="s">
        <v>13143</v>
      </c>
      <c r="G5402" s="26" t="s">
        <v>108</v>
      </c>
      <c r="H5402" s="80" t="s">
        <v>16692</v>
      </c>
      <c r="I5402" s="17">
        <f ca="1">IFERROR(__xludf.DUMMYFUNCTION("""COMPUTED_VALUE"""),45757)</f>
        <v>45757</v>
      </c>
      <c r="J5402" s="143" t="s">
        <v>17824</v>
      </c>
      <c r="K5402" s="80" t="s">
        <v>18398</v>
      </c>
      <c r="L5402" s="30">
        <v>355994678</v>
      </c>
      <c r="M5402" s="80" t="s">
        <v>17779</v>
      </c>
      <c r="N5402" s="80" t="s">
        <v>186</v>
      </c>
      <c r="O5402" s="80" t="s">
        <v>17826</v>
      </c>
      <c r="P5402" s="144" t="s">
        <v>18399</v>
      </c>
      <c r="Q5402" s="20">
        <v>15936</v>
      </c>
      <c r="R5402" s="80" t="s">
        <v>36</v>
      </c>
      <c r="S5402" s="95">
        <v>8000</v>
      </c>
      <c r="T5402" s="148">
        <v>45600</v>
      </c>
      <c r="U5402" s="95">
        <v>7936</v>
      </c>
      <c r="V5402" s="148">
        <v>45624</v>
      </c>
      <c r="W5402" s="85" t="s">
        <v>17828</v>
      </c>
      <c r="X5402" s="80"/>
      <c r="Y5402" s="22">
        <v>0</v>
      </c>
      <c r="Z5402" s="80" t="s">
        <v>50</v>
      </c>
      <c r="AA5402" s="86" t="s">
        <v>14723</v>
      </c>
      <c r="AB5402" s="80"/>
      <c r="AC5402" s="80" t="s">
        <v>53</v>
      </c>
      <c r="AD5402" s="80" t="s">
        <v>138</v>
      </c>
      <c r="AE5402" s="80" t="s">
        <v>13143</v>
      </c>
      <c r="AF5402" s="17">
        <v>45761</v>
      </c>
      <c r="AG5402" s="80" t="s">
        <v>18400</v>
      </c>
      <c r="AH5402" s="80"/>
      <c r="AI5402" s="147"/>
      <c r="AJ5402" s="80"/>
      <c r="AK5402" s="80"/>
      <c r="AL5402" s="35"/>
      <c r="AM5402" s="35"/>
      <c r="AN5402" s="35"/>
      <c r="AO5402" s="35"/>
      <c r="AP5402" s="35"/>
    </row>
    <row r="5403" spans="1:42" x14ac:dyDescent="0.2">
      <c r="A5403" s="38">
        <v>45650</v>
      </c>
      <c r="B5403" s="137" t="s">
        <v>37</v>
      </c>
      <c r="C5403" s="41" t="s">
        <v>118</v>
      </c>
      <c r="D5403" s="80" t="s">
        <v>36</v>
      </c>
      <c r="E5403" s="80" t="s">
        <v>139</v>
      </c>
      <c r="F5403" s="80" t="s">
        <v>13143</v>
      </c>
      <c r="G5403" s="26" t="s">
        <v>108</v>
      </c>
      <c r="H5403" s="80" t="s">
        <v>18328</v>
      </c>
      <c r="I5403" s="17">
        <f ca="1">IFERROR(__xludf.DUMMYFUNCTION("""COMPUTED_VALUE"""),45653)</f>
        <v>45653</v>
      </c>
      <c r="J5403" s="143" t="s">
        <v>17720</v>
      </c>
      <c r="K5403" s="80" t="s">
        <v>18401</v>
      </c>
      <c r="L5403" s="30">
        <v>398762006</v>
      </c>
      <c r="M5403" s="80" t="s">
        <v>12529</v>
      </c>
      <c r="N5403" s="80" t="s">
        <v>13566</v>
      </c>
      <c r="O5403" s="80" t="s">
        <v>17722</v>
      </c>
      <c r="P5403" s="144" t="s">
        <v>18402</v>
      </c>
      <c r="Q5403" s="20">
        <v>15936</v>
      </c>
      <c r="R5403" s="80" t="s">
        <v>36</v>
      </c>
      <c r="S5403" s="95">
        <f>200+1800</f>
        <v>2000</v>
      </c>
      <c r="T5403" s="83" t="s">
        <v>17724</v>
      </c>
      <c r="U5403" s="95">
        <v>13936</v>
      </c>
      <c r="V5403" s="148">
        <v>45624</v>
      </c>
      <c r="W5403" s="85" t="s">
        <v>17725</v>
      </c>
      <c r="X5403" s="80"/>
      <c r="Y5403" s="22">
        <v>0</v>
      </c>
      <c r="Z5403" s="80" t="s">
        <v>50</v>
      </c>
      <c r="AA5403" s="86" t="s">
        <v>14723</v>
      </c>
      <c r="AB5403" s="80"/>
      <c r="AC5403" s="80" t="s">
        <v>53</v>
      </c>
      <c r="AD5403" s="80" t="s">
        <v>138</v>
      </c>
      <c r="AE5403" s="80" t="s">
        <v>13143</v>
      </c>
      <c r="AF5403" s="17">
        <v>45653</v>
      </c>
      <c r="AG5403" s="80" t="s">
        <v>18327</v>
      </c>
      <c r="AH5403" s="80"/>
      <c r="AI5403" s="147"/>
      <c r="AJ5403" s="80"/>
      <c r="AK5403" s="80"/>
      <c r="AL5403" s="35"/>
      <c r="AM5403" s="35"/>
      <c r="AN5403" s="35"/>
      <c r="AO5403" s="35"/>
      <c r="AP5403" s="35"/>
    </row>
    <row r="5404" spans="1:42" x14ac:dyDescent="0.2">
      <c r="A5404" s="38">
        <v>45650</v>
      </c>
      <c r="B5404" s="137" t="s">
        <v>37</v>
      </c>
      <c r="C5404" s="41" t="s">
        <v>118</v>
      </c>
      <c r="D5404" s="80" t="s">
        <v>36</v>
      </c>
      <c r="E5404" s="80" t="s">
        <v>139</v>
      </c>
      <c r="F5404" s="80" t="s">
        <v>13143</v>
      </c>
      <c r="G5404" s="26" t="s">
        <v>108</v>
      </c>
      <c r="H5404" s="80" t="s">
        <v>18328</v>
      </c>
      <c r="I5404" s="17">
        <f ca="1">IFERROR(__xludf.DUMMYFUNCTION("""COMPUTED_VALUE"""),45653)</f>
        <v>45653</v>
      </c>
      <c r="J5404" s="143" t="s">
        <v>17644</v>
      </c>
      <c r="K5404" s="80" t="s">
        <v>18403</v>
      </c>
      <c r="L5404" s="30">
        <v>348555806</v>
      </c>
      <c r="M5404" s="80" t="s">
        <v>5558</v>
      </c>
      <c r="N5404" s="80" t="s">
        <v>5277</v>
      </c>
      <c r="O5404" s="80" t="s">
        <v>4503</v>
      </c>
      <c r="P5404" s="80" t="s">
        <v>17646</v>
      </c>
      <c r="Q5404" s="20">
        <v>15936</v>
      </c>
      <c r="R5404" s="80" t="s">
        <v>36</v>
      </c>
      <c r="S5404" s="95">
        <f>2000+6968</f>
        <v>8968</v>
      </c>
      <c r="T5404" s="83" t="s">
        <v>17647</v>
      </c>
      <c r="U5404" s="95">
        <v>6968</v>
      </c>
      <c r="V5404" s="148">
        <v>45621</v>
      </c>
      <c r="W5404" s="85" t="s">
        <v>17648</v>
      </c>
      <c r="X5404" s="80"/>
      <c r="Y5404" s="22">
        <v>0</v>
      </c>
      <c r="Z5404" s="80" t="s">
        <v>50</v>
      </c>
      <c r="AA5404" s="86" t="s">
        <v>14723</v>
      </c>
      <c r="AB5404" s="80"/>
      <c r="AC5404" s="80" t="s">
        <v>53</v>
      </c>
      <c r="AD5404" s="80" t="s">
        <v>138</v>
      </c>
      <c r="AE5404" s="80" t="s">
        <v>13143</v>
      </c>
      <c r="AF5404" s="17">
        <v>45653</v>
      </c>
      <c r="AG5404" s="80" t="s">
        <v>18327</v>
      </c>
      <c r="AH5404" s="80"/>
      <c r="AI5404" s="147"/>
      <c r="AJ5404" s="80"/>
      <c r="AK5404" s="80"/>
      <c r="AL5404" s="35"/>
      <c r="AM5404" s="35"/>
      <c r="AN5404" s="35"/>
      <c r="AO5404" s="35"/>
      <c r="AP5404" s="35"/>
    </row>
    <row r="5405" spans="1:42" x14ac:dyDescent="0.2">
      <c r="A5405" s="38">
        <v>45650</v>
      </c>
      <c r="B5405" s="137" t="s">
        <v>37</v>
      </c>
      <c r="C5405" s="41" t="s">
        <v>118</v>
      </c>
      <c r="D5405" s="80" t="s">
        <v>36</v>
      </c>
      <c r="E5405" s="80" t="s">
        <v>39</v>
      </c>
      <c r="F5405" s="80" t="s">
        <v>13143</v>
      </c>
      <c r="G5405" s="26" t="s">
        <v>108</v>
      </c>
      <c r="H5405" s="80" t="s">
        <v>18392</v>
      </c>
      <c r="I5405" s="17">
        <f ca="1">IFERROR(__xludf.DUMMYFUNCTION("""COMPUTED_VALUE"""),45698)</f>
        <v>45698</v>
      </c>
      <c r="J5405" s="143" t="s">
        <v>17862</v>
      </c>
      <c r="K5405" s="80" t="s">
        <v>18404</v>
      </c>
      <c r="L5405" s="30">
        <v>353179293</v>
      </c>
      <c r="M5405" s="80" t="s">
        <v>17759</v>
      </c>
      <c r="N5405" s="80" t="s">
        <v>2756</v>
      </c>
      <c r="O5405" s="80" t="s">
        <v>8140</v>
      </c>
      <c r="P5405" s="80" t="s">
        <v>17864</v>
      </c>
      <c r="Q5405" s="20">
        <v>5736</v>
      </c>
      <c r="R5405" s="80" t="s">
        <v>36</v>
      </c>
      <c r="S5405" s="95">
        <v>2000</v>
      </c>
      <c r="T5405" s="148">
        <v>45602</v>
      </c>
      <c r="U5405" s="95">
        <v>3736</v>
      </c>
      <c r="V5405" s="148">
        <v>45619</v>
      </c>
      <c r="W5405" s="80" t="s">
        <v>17865</v>
      </c>
      <c r="X5405" s="80"/>
      <c r="Y5405" s="22">
        <v>0</v>
      </c>
      <c r="Z5405" s="80" t="s">
        <v>50</v>
      </c>
      <c r="AA5405" s="86" t="s">
        <v>14723</v>
      </c>
      <c r="AB5405" s="80"/>
      <c r="AC5405" s="80" t="s">
        <v>53</v>
      </c>
      <c r="AD5405" s="80" t="s">
        <v>138</v>
      </c>
      <c r="AE5405" s="80" t="s">
        <v>13143</v>
      </c>
      <c r="AF5405" s="17">
        <v>45653</v>
      </c>
      <c r="AG5405" s="80" t="s">
        <v>18327</v>
      </c>
      <c r="AH5405" s="80"/>
      <c r="AI5405" s="147"/>
      <c r="AJ5405" s="80"/>
      <c r="AK5405" s="80"/>
      <c r="AL5405" s="35"/>
      <c r="AM5405" s="35"/>
      <c r="AN5405" s="35"/>
      <c r="AO5405" s="35"/>
      <c r="AP5405" s="35"/>
    </row>
    <row r="5406" spans="1:42" x14ac:dyDescent="0.2">
      <c r="A5406" s="38">
        <v>45650</v>
      </c>
      <c r="B5406" s="137" t="s">
        <v>37</v>
      </c>
      <c r="C5406" s="41" t="s">
        <v>118</v>
      </c>
      <c r="D5406" s="26" t="s">
        <v>36</v>
      </c>
      <c r="E5406" s="26" t="s">
        <v>139</v>
      </c>
      <c r="F5406" s="26" t="s">
        <v>9906</v>
      </c>
      <c r="G5406" s="26" t="s">
        <v>108</v>
      </c>
      <c r="H5406" s="26" t="s">
        <v>12982</v>
      </c>
      <c r="I5406" s="17">
        <f ca="1">IFERROR(__xludf.DUMMYFUNCTION("""COMPUTED_VALUE"""),45670)</f>
        <v>45670</v>
      </c>
      <c r="J5406" s="29" t="s">
        <v>9924</v>
      </c>
      <c r="K5406" s="26" t="s">
        <v>18405</v>
      </c>
      <c r="L5406" s="30">
        <v>972550575</v>
      </c>
      <c r="M5406" s="26" t="s">
        <v>80</v>
      </c>
      <c r="N5406" s="26" t="s">
        <v>1073</v>
      </c>
      <c r="O5406" s="26" t="s">
        <v>9926</v>
      </c>
      <c r="P5406" s="42" t="s">
        <v>9927</v>
      </c>
      <c r="Q5406" s="20">
        <v>15936</v>
      </c>
      <c r="R5406" s="26" t="s">
        <v>36</v>
      </c>
      <c r="S5406" s="95">
        <f>200+1800</f>
        <v>2000</v>
      </c>
      <c r="T5406" s="83" t="s">
        <v>9928</v>
      </c>
      <c r="U5406" s="95">
        <v>13936</v>
      </c>
      <c r="V5406" s="148">
        <v>45511</v>
      </c>
      <c r="W5406" s="33" t="s">
        <v>9929</v>
      </c>
      <c r="X5406" s="26">
        <v>0</v>
      </c>
      <c r="Y5406" s="22">
        <v>0</v>
      </c>
      <c r="Z5406" s="98" t="s">
        <v>118</v>
      </c>
      <c r="AA5406" s="35"/>
      <c r="AB5406" s="26" t="s">
        <v>36</v>
      </c>
      <c r="AC5406" s="26" t="s">
        <v>53</v>
      </c>
      <c r="AD5406" s="26" t="s">
        <v>54</v>
      </c>
      <c r="AE5406" s="26" t="s">
        <v>9906</v>
      </c>
      <c r="AF5406" s="17">
        <v>45534</v>
      </c>
      <c r="AG5406" s="26"/>
      <c r="AH5406" s="26"/>
      <c r="AI5406" s="40"/>
      <c r="AJ5406" s="26"/>
      <c r="AK5406" s="26"/>
      <c r="AL5406" s="35"/>
      <c r="AM5406" s="35"/>
      <c r="AN5406" s="35"/>
      <c r="AO5406" s="35"/>
      <c r="AP5406" s="35"/>
    </row>
    <row r="5407" spans="1:42" x14ac:dyDescent="0.2">
      <c r="A5407" s="38">
        <v>45651</v>
      </c>
      <c r="B5407" s="137" t="s">
        <v>37</v>
      </c>
      <c r="C5407" s="41" t="s">
        <v>118</v>
      </c>
      <c r="D5407" s="80" t="s">
        <v>36</v>
      </c>
      <c r="E5407" s="80" t="s">
        <v>139</v>
      </c>
      <c r="F5407" s="80" t="s">
        <v>15199</v>
      </c>
      <c r="G5407" s="80" t="s">
        <v>108</v>
      </c>
      <c r="H5407" s="80" t="s">
        <v>18392</v>
      </c>
      <c r="I5407" s="17">
        <f ca="1">IFERROR(__xludf.DUMMYFUNCTION("""COMPUTED_VALUE"""),45698)</f>
        <v>45698</v>
      </c>
      <c r="J5407" s="143" t="s">
        <v>17315</v>
      </c>
      <c r="K5407" s="80" t="s">
        <v>17316</v>
      </c>
      <c r="L5407" s="30">
        <v>369589365</v>
      </c>
      <c r="M5407" s="80" t="s">
        <v>12529</v>
      </c>
      <c r="N5407" s="80" t="s">
        <v>466</v>
      </c>
      <c r="O5407" s="80" t="s">
        <v>17317</v>
      </c>
      <c r="P5407" s="80" t="s">
        <v>17318</v>
      </c>
      <c r="Q5407" s="20">
        <v>15936</v>
      </c>
      <c r="R5407" s="80" t="s">
        <v>36</v>
      </c>
      <c r="S5407" s="95">
        <f>100+1900</f>
        <v>2000</v>
      </c>
      <c r="T5407" s="83" t="s">
        <v>16739</v>
      </c>
      <c r="U5407" s="95">
        <v>13936</v>
      </c>
      <c r="V5407" s="148">
        <v>45599</v>
      </c>
      <c r="W5407" s="85" t="s">
        <v>17319</v>
      </c>
      <c r="X5407" s="80"/>
      <c r="Y5407" s="22">
        <v>0</v>
      </c>
      <c r="Z5407" s="80" t="s">
        <v>50</v>
      </c>
      <c r="AA5407" s="86" t="s">
        <v>14723</v>
      </c>
      <c r="AB5407" s="80"/>
      <c r="AC5407" s="80" t="s">
        <v>53</v>
      </c>
      <c r="AD5407" s="80" t="s">
        <v>138</v>
      </c>
      <c r="AE5407" s="80" t="s">
        <v>15199</v>
      </c>
      <c r="AF5407" s="43">
        <v>45698</v>
      </c>
      <c r="AG5407" s="80"/>
      <c r="AH5407" s="80"/>
      <c r="AI5407" s="147"/>
      <c r="AJ5407" s="80"/>
      <c r="AK5407" s="80"/>
      <c r="AL5407" s="35"/>
      <c r="AM5407" s="35"/>
      <c r="AN5407" s="35"/>
      <c r="AO5407" s="35"/>
      <c r="AP5407" s="35"/>
    </row>
    <row r="5408" spans="1:42" x14ac:dyDescent="0.2">
      <c r="A5408" s="38">
        <v>45651</v>
      </c>
      <c r="B5408" s="137" t="s">
        <v>37</v>
      </c>
      <c r="C5408" s="41" t="s">
        <v>118</v>
      </c>
      <c r="D5408" s="80" t="s">
        <v>36</v>
      </c>
      <c r="E5408" s="80" t="s">
        <v>139</v>
      </c>
      <c r="F5408" s="80" t="s">
        <v>15199</v>
      </c>
      <c r="G5408" s="80" t="s">
        <v>108</v>
      </c>
      <c r="H5408" s="80" t="s">
        <v>18392</v>
      </c>
      <c r="I5408" s="17">
        <f ca="1">IFERROR(__xludf.DUMMYFUNCTION("""COMPUTED_VALUE"""),45698)</f>
        <v>45698</v>
      </c>
      <c r="J5408" s="143" t="s">
        <v>15396</v>
      </c>
      <c r="K5408" s="80" t="s">
        <v>18406</v>
      </c>
      <c r="L5408" s="30">
        <v>342818603</v>
      </c>
      <c r="M5408" s="80" t="s">
        <v>12529</v>
      </c>
      <c r="N5408" s="80" t="s">
        <v>13566</v>
      </c>
      <c r="O5408" s="80" t="s">
        <v>15398</v>
      </c>
      <c r="P5408" s="144" t="s">
        <v>15903</v>
      </c>
      <c r="Q5408" s="20">
        <v>15936</v>
      </c>
      <c r="R5408" s="80" t="s">
        <v>36</v>
      </c>
      <c r="S5408" s="95">
        <v>2000</v>
      </c>
      <c r="T5408" s="148">
        <v>45555</v>
      </c>
      <c r="U5408" s="95">
        <v>13968</v>
      </c>
      <c r="V5408" s="148">
        <v>45596</v>
      </c>
      <c r="W5408" s="85" t="s">
        <v>15400</v>
      </c>
      <c r="X5408" s="80"/>
      <c r="Y5408" s="22">
        <v>-32</v>
      </c>
      <c r="Z5408" s="80" t="s">
        <v>50</v>
      </c>
      <c r="AA5408" s="35" t="s">
        <v>9905</v>
      </c>
      <c r="AB5408" s="80"/>
      <c r="AC5408" s="80" t="s">
        <v>53</v>
      </c>
      <c r="AD5408" s="80" t="s">
        <v>138</v>
      </c>
      <c r="AE5408" s="80" t="s">
        <v>15199</v>
      </c>
      <c r="AF5408" s="43">
        <v>45698</v>
      </c>
      <c r="AG5408" s="80"/>
      <c r="AH5408" s="80"/>
      <c r="AI5408" s="147"/>
      <c r="AJ5408" s="80"/>
      <c r="AK5408" s="80"/>
      <c r="AL5408" s="35"/>
      <c r="AM5408" s="35"/>
      <c r="AN5408" s="35"/>
      <c r="AO5408" s="35"/>
      <c r="AP5408" s="35"/>
    </row>
    <row r="5409" spans="1:42" x14ac:dyDescent="0.2">
      <c r="A5409" s="38">
        <v>45651</v>
      </c>
      <c r="B5409" s="137" t="s">
        <v>1703</v>
      </c>
      <c r="C5409" s="41" t="s">
        <v>118</v>
      </c>
      <c r="D5409" s="26" t="s">
        <v>36</v>
      </c>
      <c r="E5409" s="26" t="s">
        <v>139</v>
      </c>
      <c r="F5409" s="26" t="s">
        <v>10028</v>
      </c>
      <c r="G5409" s="26" t="s">
        <v>108</v>
      </c>
      <c r="H5409" s="26" t="s">
        <v>865</v>
      </c>
      <c r="I5409" s="17" t="str">
        <f ca="1">IFERROR(__xludf.DUMMYFUNCTION("""COMPUTED_VALUE""")," ")</f>
        <v xml:space="preserve"> </v>
      </c>
      <c r="J5409" s="29" t="s">
        <v>10057</v>
      </c>
      <c r="K5409" s="19" t="s">
        <v>18407</v>
      </c>
      <c r="L5409" s="30">
        <v>936655697</v>
      </c>
      <c r="M5409" s="26" t="s">
        <v>2755</v>
      </c>
      <c r="N5409" s="26" t="s">
        <v>2756</v>
      </c>
      <c r="O5409" s="26" t="s">
        <v>4503</v>
      </c>
      <c r="P5409" s="42" t="s">
        <v>10059</v>
      </c>
      <c r="Q5409" s="20">
        <v>15936</v>
      </c>
      <c r="R5409" s="26" t="s">
        <v>36</v>
      </c>
      <c r="S5409" s="95">
        <f>200+3800</f>
        <v>4000</v>
      </c>
      <c r="T5409" s="83" t="s">
        <v>10060</v>
      </c>
      <c r="U5409" s="95">
        <v>11936</v>
      </c>
      <c r="V5409" s="83" t="s">
        <v>10061</v>
      </c>
      <c r="W5409" s="33" t="s">
        <v>10062</v>
      </c>
      <c r="X5409" s="26">
        <v>0</v>
      </c>
      <c r="Y5409" s="22">
        <v>0</v>
      </c>
      <c r="Z5409" s="26" t="s">
        <v>50</v>
      </c>
      <c r="AA5409" s="96"/>
      <c r="AB5409" s="26"/>
      <c r="AC5409" s="26" t="s">
        <v>53</v>
      </c>
      <c r="AD5409" s="26" t="s">
        <v>54</v>
      </c>
      <c r="AE5409" s="26" t="s">
        <v>8635</v>
      </c>
      <c r="AF5409" s="17">
        <v>45562</v>
      </c>
      <c r="AG5409" s="26" t="s">
        <v>4279</v>
      </c>
      <c r="AH5409" s="26"/>
      <c r="AI5409" s="40"/>
      <c r="AJ5409" s="26"/>
      <c r="AK5409" s="26"/>
      <c r="AL5409" s="35"/>
      <c r="AM5409" s="35"/>
      <c r="AN5409" s="35"/>
      <c r="AO5409" s="35"/>
      <c r="AP5409" s="35"/>
    </row>
    <row r="5410" spans="1:42" x14ac:dyDescent="0.2">
      <c r="A5410" s="38">
        <v>45651</v>
      </c>
      <c r="B5410" s="137" t="s">
        <v>37</v>
      </c>
      <c r="C5410" s="41" t="s">
        <v>118</v>
      </c>
      <c r="D5410" s="80" t="s">
        <v>36</v>
      </c>
      <c r="E5410" s="80" t="s">
        <v>139</v>
      </c>
      <c r="F5410" s="80" t="s">
        <v>13143</v>
      </c>
      <c r="G5410" s="26" t="s">
        <v>108</v>
      </c>
      <c r="H5410" s="80" t="s">
        <v>18328</v>
      </c>
      <c r="I5410" s="17">
        <f ca="1">IFERROR(__xludf.DUMMYFUNCTION("""COMPUTED_VALUE"""),45653)</f>
        <v>45653</v>
      </c>
      <c r="J5410" s="143" t="s">
        <v>18408</v>
      </c>
      <c r="K5410" s="80" t="s">
        <v>18409</v>
      </c>
      <c r="L5410" s="30">
        <v>989279209</v>
      </c>
      <c r="M5410" s="80" t="s">
        <v>12529</v>
      </c>
      <c r="N5410" s="80" t="s">
        <v>466</v>
      </c>
      <c r="O5410" s="80" t="s">
        <v>18410</v>
      </c>
      <c r="P5410" s="80" t="s">
        <v>18411</v>
      </c>
      <c r="Q5410" s="20">
        <v>15936</v>
      </c>
      <c r="R5410" s="80" t="s">
        <v>70</v>
      </c>
      <c r="S5410" s="95">
        <f>200+1800</f>
        <v>2000</v>
      </c>
      <c r="T5410" s="83" t="s">
        <v>18412</v>
      </c>
      <c r="U5410" s="77">
        <v>13936</v>
      </c>
      <c r="V5410" s="78">
        <v>45650</v>
      </c>
      <c r="W5410" s="85" t="s">
        <v>18413</v>
      </c>
      <c r="X5410" s="80"/>
      <c r="Y5410" s="22">
        <v>0</v>
      </c>
      <c r="Z5410" s="80"/>
      <c r="AA5410" s="86"/>
      <c r="AB5410" s="80"/>
      <c r="AC5410" s="80" t="s">
        <v>53</v>
      </c>
      <c r="AD5410" s="80" t="s">
        <v>138</v>
      </c>
      <c r="AE5410" s="80" t="s">
        <v>13143</v>
      </c>
      <c r="AF5410" s="17">
        <v>45653</v>
      </c>
      <c r="AG5410" s="80" t="s">
        <v>18327</v>
      </c>
      <c r="AH5410" s="80"/>
      <c r="AI5410" s="147"/>
      <c r="AJ5410" s="80"/>
      <c r="AK5410" s="80"/>
      <c r="AL5410" s="35"/>
      <c r="AM5410" s="35"/>
      <c r="AN5410" s="35"/>
      <c r="AO5410" s="35"/>
      <c r="AP5410" s="35"/>
    </row>
    <row r="5411" spans="1:42" x14ac:dyDescent="0.2">
      <c r="A5411" s="38">
        <v>45651</v>
      </c>
      <c r="B5411" s="137"/>
      <c r="C5411" s="41" t="s">
        <v>118</v>
      </c>
      <c r="D5411" s="80" t="s">
        <v>36</v>
      </c>
      <c r="E5411" s="80" t="s">
        <v>139</v>
      </c>
      <c r="F5411" s="80" t="s">
        <v>13143</v>
      </c>
      <c r="G5411" s="26" t="s">
        <v>108</v>
      </c>
      <c r="H5411" s="80" t="s">
        <v>18414</v>
      </c>
      <c r="I5411" s="17" t="str">
        <f ca="1">IFERROR(__xludf.DUMMYFUNCTION("""COMPUTED_VALUE""")," ")</f>
        <v xml:space="preserve"> </v>
      </c>
      <c r="J5411" s="143" t="s">
        <v>18415</v>
      </c>
      <c r="K5411" s="80" t="s">
        <v>18416</v>
      </c>
      <c r="L5411" s="30">
        <v>399814962</v>
      </c>
      <c r="M5411" s="26" t="s">
        <v>3498</v>
      </c>
      <c r="N5411" s="80" t="s">
        <v>2756</v>
      </c>
      <c r="O5411" s="80" t="s">
        <v>4503</v>
      </c>
      <c r="P5411" s="80" t="s">
        <v>18417</v>
      </c>
      <c r="Q5411" s="20">
        <v>15936</v>
      </c>
      <c r="R5411" s="80" t="s">
        <v>36</v>
      </c>
      <c r="S5411" s="95">
        <f>200+3000</f>
        <v>3200</v>
      </c>
      <c r="T5411" s="83" t="s">
        <v>18418</v>
      </c>
      <c r="U5411" s="95">
        <v>12736</v>
      </c>
      <c r="V5411" s="83">
        <v>45629</v>
      </c>
      <c r="W5411" s="85" t="s">
        <v>18419</v>
      </c>
      <c r="X5411" s="80"/>
      <c r="Y5411" s="22">
        <v>0</v>
      </c>
      <c r="Z5411" s="80"/>
      <c r="AA5411" s="82"/>
      <c r="AB5411" s="80"/>
      <c r="AC5411" s="80" t="s">
        <v>53</v>
      </c>
      <c r="AD5411" s="80" t="s">
        <v>138</v>
      </c>
      <c r="AE5411" s="80" t="s">
        <v>13143</v>
      </c>
      <c r="AF5411" s="17">
        <v>45883</v>
      </c>
      <c r="AG5411" s="80"/>
      <c r="AH5411" s="80"/>
      <c r="AI5411" s="147"/>
      <c r="AJ5411" s="80"/>
      <c r="AK5411" s="80"/>
      <c r="AL5411" s="35"/>
      <c r="AM5411" s="35"/>
      <c r="AN5411" s="35"/>
      <c r="AO5411" s="35"/>
      <c r="AP5411" s="35"/>
    </row>
    <row r="5412" spans="1:42" x14ac:dyDescent="0.2">
      <c r="A5412" s="38">
        <v>45651</v>
      </c>
      <c r="B5412" s="137" t="s">
        <v>37</v>
      </c>
      <c r="C5412" s="41" t="s">
        <v>118</v>
      </c>
      <c r="D5412" s="80" t="s">
        <v>36</v>
      </c>
      <c r="E5412" s="80" t="s">
        <v>56</v>
      </c>
      <c r="F5412" s="80" t="s">
        <v>13143</v>
      </c>
      <c r="G5412" s="26" t="s">
        <v>108</v>
      </c>
      <c r="H5412" s="80" t="s">
        <v>18328</v>
      </c>
      <c r="I5412" s="17">
        <f ca="1">IFERROR(__xludf.DUMMYFUNCTION("""COMPUTED_VALUE"""),45653)</f>
        <v>45653</v>
      </c>
      <c r="J5412" s="143" t="s">
        <v>18420</v>
      </c>
      <c r="K5412" s="80" t="s">
        <v>18421</v>
      </c>
      <c r="L5412" s="30">
        <v>853082262</v>
      </c>
      <c r="M5412" s="26" t="s">
        <v>3498</v>
      </c>
      <c r="N5412" s="80" t="s">
        <v>4402</v>
      </c>
      <c r="O5412" s="80" t="s">
        <v>4503</v>
      </c>
      <c r="P5412" s="80" t="s">
        <v>3694</v>
      </c>
      <c r="Q5412" s="20">
        <v>9317</v>
      </c>
      <c r="R5412" s="80" t="s">
        <v>36</v>
      </c>
      <c r="S5412" s="95">
        <v>2000</v>
      </c>
      <c r="T5412" s="148">
        <v>45579</v>
      </c>
      <c r="U5412" s="95">
        <v>7317</v>
      </c>
      <c r="V5412" s="148">
        <v>45614</v>
      </c>
      <c r="W5412" s="85" t="s">
        <v>18422</v>
      </c>
      <c r="X5412" s="80"/>
      <c r="Y5412" s="22">
        <v>0</v>
      </c>
      <c r="Z5412" s="80"/>
      <c r="AA5412" s="86"/>
      <c r="AB5412" s="80"/>
      <c r="AC5412" s="80" t="s">
        <v>53</v>
      </c>
      <c r="AD5412" s="80" t="s">
        <v>138</v>
      </c>
      <c r="AE5412" s="80" t="s">
        <v>13143</v>
      </c>
      <c r="AF5412" s="17">
        <v>45653</v>
      </c>
      <c r="AG5412" s="80" t="s">
        <v>18327</v>
      </c>
      <c r="AH5412" s="80"/>
      <c r="AI5412" s="147"/>
      <c r="AJ5412" s="80"/>
      <c r="AK5412" s="80"/>
      <c r="AL5412" s="35"/>
      <c r="AM5412" s="35"/>
      <c r="AN5412" s="35"/>
      <c r="AO5412" s="35"/>
      <c r="AP5412" s="35"/>
    </row>
    <row r="5413" spans="1:42" x14ac:dyDescent="0.2">
      <c r="A5413" s="74">
        <v>45651</v>
      </c>
      <c r="B5413" s="28" t="s">
        <v>37</v>
      </c>
      <c r="C5413" s="41" t="s">
        <v>118</v>
      </c>
      <c r="D5413" s="26" t="s">
        <v>36</v>
      </c>
      <c r="E5413" s="26" t="s">
        <v>139</v>
      </c>
      <c r="F5413" s="26" t="s">
        <v>15199</v>
      </c>
      <c r="G5413" s="26" t="s">
        <v>108</v>
      </c>
      <c r="H5413" s="80" t="s">
        <v>18392</v>
      </c>
      <c r="I5413" s="17">
        <f ca="1">IFERROR(__xludf.DUMMYFUNCTION("""COMPUTED_VALUE"""),45698)</f>
        <v>45698</v>
      </c>
      <c r="J5413" s="44" t="s">
        <v>18423</v>
      </c>
      <c r="K5413" s="26" t="s">
        <v>18424</v>
      </c>
      <c r="L5413" s="30">
        <v>338219760</v>
      </c>
      <c r="M5413" s="26" t="s">
        <v>80</v>
      </c>
      <c r="N5413" s="26" t="s">
        <v>466</v>
      </c>
      <c r="O5413" s="26" t="s">
        <v>17090</v>
      </c>
      <c r="P5413" s="26" t="s">
        <v>17091</v>
      </c>
      <c r="Q5413" s="20">
        <v>15936</v>
      </c>
      <c r="R5413" s="26" t="s">
        <v>36</v>
      </c>
      <c r="S5413" s="95">
        <f>200+1800</f>
        <v>2000</v>
      </c>
      <c r="T5413" s="83" t="s">
        <v>17092</v>
      </c>
      <c r="U5413" s="95">
        <v>13936</v>
      </c>
      <c r="V5413" s="148">
        <v>45609</v>
      </c>
      <c r="W5413" s="33" t="s">
        <v>17093</v>
      </c>
      <c r="X5413" s="26"/>
      <c r="Y5413" s="22">
        <v>0</v>
      </c>
      <c r="Z5413" s="26" t="s">
        <v>50</v>
      </c>
      <c r="AA5413" s="82" t="s">
        <v>14723</v>
      </c>
      <c r="AB5413" s="26" t="s">
        <v>36</v>
      </c>
      <c r="AC5413" s="26" t="s">
        <v>53</v>
      </c>
      <c r="AD5413" s="26" t="s">
        <v>54</v>
      </c>
      <c r="AE5413" s="26" t="s">
        <v>15199</v>
      </c>
      <c r="AF5413" s="43">
        <v>45698</v>
      </c>
      <c r="AG5413" s="26"/>
      <c r="AH5413" s="26"/>
      <c r="AI5413" s="40"/>
      <c r="AJ5413" s="26"/>
      <c r="AK5413" s="26"/>
      <c r="AL5413" s="35"/>
      <c r="AM5413" s="35"/>
      <c r="AN5413" s="35"/>
      <c r="AO5413" s="35"/>
      <c r="AP5413" s="35"/>
    </row>
    <row r="5414" spans="1:42" x14ac:dyDescent="0.2">
      <c r="A5414" s="74">
        <v>45651</v>
      </c>
      <c r="B5414" s="28" t="s">
        <v>37</v>
      </c>
      <c r="C5414" s="41" t="s">
        <v>118</v>
      </c>
      <c r="D5414" s="80" t="s">
        <v>36</v>
      </c>
      <c r="E5414" s="80" t="s">
        <v>139</v>
      </c>
      <c r="F5414" s="26" t="s">
        <v>15199</v>
      </c>
      <c r="G5414" s="26" t="s">
        <v>108</v>
      </c>
      <c r="H5414" s="80" t="s">
        <v>18392</v>
      </c>
      <c r="I5414" s="17">
        <f ca="1">IFERROR(__xludf.DUMMYFUNCTION("""COMPUTED_VALUE"""),45698)</f>
        <v>45698</v>
      </c>
      <c r="J5414" s="143" t="s">
        <v>15200</v>
      </c>
      <c r="K5414" s="80" t="s">
        <v>18425</v>
      </c>
      <c r="L5414" s="30">
        <v>382850104</v>
      </c>
      <c r="M5414" s="80" t="s">
        <v>5429</v>
      </c>
      <c r="N5414" s="80" t="s">
        <v>11095</v>
      </c>
      <c r="O5414" s="80" t="s">
        <v>6822</v>
      </c>
      <c r="P5414" s="80" t="s">
        <v>7107</v>
      </c>
      <c r="Q5414" s="20">
        <v>15936</v>
      </c>
      <c r="R5414" s="80" t="s">
        <v>36</v>
      </c>
      <c r="S5414" s="95">
        <v>2000</v>
      </c>
      <c r="T5414" s="148">
        <v>45548</v>
      </c>
      <c r="U5414" s="95">
        <v>13936</v>
      </c>
      <c r="V5414" s="148">
        <v>45596</v>
      </c>
      <c r="W5414" s="85" t="s">
        <v>15202</v>
      </c>
      <c r="X5414" s="80"/>
      <c r="Y5414" s="22">
        <v>0</v>
      </c>
      <c r="Z5414" s="80" t="s">
        <v>50</v>
      </c>
      <c r="AA5414" s="35" t="s">
        <v>9905</v>
      </c>
      <c r="AB5414" s="80"/>
      <c r="AC5414" s="80" t="s">
        <v>53</v>
      </c>
      <c r="AD5414" s="80" t="s">
        <v>138</v>
      </c>
      <c r="AE5414" s="26" t="s">
        <v>15199</v>
      </c>
      <c r="AF5414" s="43">
        <v>45698</v>
      </c>
      <c r="AG5414" s="80"/>
      <c r="AH5414" s="80"/>
      <c r="AI5414" s="147"/>
      <c r="AJ5414" s="80"/>
      <c r="AK5414" s="80"/>
      <c r="AL5414" s="35"/>
      <c r="AM5414" s="35"/>
      <c r="AN5414" s="35"/>
      <c r="AO5414" s="35"/>
      <c r="AP5414" s="35"/>
    </row>
    <row r="5415" spans="1:42" x14ac:dyDescent="0.2">
      <c r="A5415" s="74">
        <v>45651</v>
      </c>
      <c r="B5415" s="137" t="s">
        <v>37</v>
      </c>
      <c r="C5415" s="41" t="s">
        <v>118</v>
      </c>
      <c r="D5415" s="80" t="s">
        <v>36</v>
      </c>
      <c r="E5415" s="80" t="s">
        <v>148</v>
      </c>
      <c r="F5415" s="86" t="s">
        <v>18426</v>
      </c>
      <c r="G5415" s="26" t="s">
        <v>108</v>
      </c>
      <c r="H5415" s="80" t="s">
        <v>18328</v>
      </c>
      <c r="I5415" s="17">
        <f ca="1">IFERROR(__xludf.DUMMYFUNCTION("""COMPUTED_VALUE"""),45653)</f>
        <v>45653</v>
      </c>
      <c r="J5415" s="143" t="s">
        <v>18427</v>
      </c>
      <c r="K5415" s="80" t="s">
        <v>18428</v>
      </c>
      <c r="L5415" s="30">
        <v>944627756</v>
      </c>
      <c r="M5415" s="80" t="s">
        <v>45</v>
      </c>
      <c r="N5415" s="80" t="s">
        <v>565</v>
      </c>
      <c r="O5415" s="80" t="s">
        <v>18429</v>
      </c>
      <c r="P5415" s="80" t="s">
        <v>18430</v>
      </c>
      <c r="Q5415" s="20">
        <v>16779</v>
      </c>
      <c r="R5415" s="80" t="s">
        <v>36</v>
      </c>
      <c r="S5415" s="77">
        <v>16779</v>
      </c>
      <c r="T5415" s="78">
        <v>45208</v>
      </c>
      <c r="U5415" s="77"/>
      <c r="V5415" s="78"/>
      <c r="W5415" s="85" t="s">
        <v>18431</v>
      </c>
      <c r="X5415" s="80">
        <v>0</v>
      </c>
      <c r="Y5415" s="22">
        <v>0</v>
      </c>
      <c r="Z5415" s="41" t="s">
        <v>118</v>
      </c>
      <c r="AA5415" s="82" t="s">
        <v>3454</v>
      </c>
      <c r="AB5415" s="80" t="s">
        <v>36</v>
      </c>
      <c r="AC5415" s="80" t="s">
        <v>53</v>
      </c>
      <c r="AD5415" s="80" t="s">
        <v>54</v>
      </c>
      <c r="AE5415" s="26" t="s">
        <v>18426</v>
      </c>
      <c r="AF5415" s="17">
        <v>45653</v>
      </c>
      <c r="AG5415" s="80" t="s">
        <v>18327</v>
      </c>
      <c r="AH5415" s="147"/>
      <c r="AI5415" s="147"/>
      <c r="AJ5415" s="80"/>
      <c r="AK5415" s="80"/>
      <c r="AL5415" s="80"/>
      <c r="AM5415" s="86"/>
      <c r="AN5415" s="86"/>
      <c r="AO5415" s="86"/>
      <c r="AP5415" s="35"/>
    </row>
    <row r="5416" spans="1:42" x14ac:dyDescent="0.2">
      <c r="A5416" s="74">
        <v>45651</v>
      </c>
      <c r="B5416" s="137" t="s">
        <v>37</v>
      </c>
      <c r="C5416" s="41" t="s">
        <v>118</v>
      </c>
      <c r="D5416" s="80" t="s">
        <v>36</v>
      </c>
      <c r="E5416" s="80" t="s">
        <v>139</v>
      </c>
      <c r="F5416" s="80" t="s">
        <v>13143</v>
      </c>
      <c r="G5416" s="26" t="s">
        <v>108</v>
      </c>
      <c r="H5416" s="80" t="s">
        <v>18328</v>
      </c>
      <c r="I5416" s="17">
        <f ca="1">IFERROR(__xludf.DUMMYFUNCTION("""COMPUTED_VALUE"""),45653)</f>
        <v>45653</v>
      </c>
      <c r="J5416" s="143" t="s">
        <v>17736</v>
      </c>
      <c r="K5416" s="80" t="s">
        <v>18432</v>
      </c>
      <c r="L5416" s="30">
        <v>378222042</v>
      </c>
      <c r="M5416" s="80" t="s">
        <v>5429</v>
      </c>
      <c r="N5416" s="80" t="s">
        <v>81</v>
      </c>
      <c r="O5416" s="80" t="s">
        <v>17737</v>
      </c>
      <c r="P5416" s="80" t="s">
        <v>6368</v>
      </c>
      <c r="Q5416" s="20">
        <v>15936</v>
      </c>
      <c r="R5416" s="80" t="s">
        <v>36</v>
      </c>
      <c r="S5416" s="95">
        <f>200+1800</f>
        <v>2000</v>
      </c>
      <c r="T5416" s="83" t="s">
        <v>17738</v>
      </c>
      <c r="U5416" s="95">
        <v>13936</v>
      </c>
      <c r="V5416" s="148">
        <v>45622</v>
      </c>
      <c r="W5416" s="85" t="s">
        <v>17739</v>
      </c>
      <c r="X5416" s="80"/>
      <c r="Y5416" s="22">
        <v>0</v>
      </c>
      <c r="Z5416" s="80" t="s">
        <v>50</v>
      </c>
      <c r="AA5416" s="86" t="s">
        <v>14723</v>
      </c>
      <c r="AB5416" s="80"/>
      <c r="AC5416" s="80" t="s">
        <v>53</v>
      </c>
      <c r="AD5416" s="80" t="s">
        <v>138</v>
      </c>
      <c r="AE5416" s="80" t="s">
        <v>13143</v>
      </c>
      <c r="AF5416" s="17">
        <v>45653</v>
      </c>
      <c r="AG5416" s="80" t="s">
        <v>18327</v>
      </c>
      <c r="AH5416" s="80"/>
      <c r="AI5416" s="147"/>
      <c r="AJ5416" s="80"/>
      <c r="AK5416" s="80"/>
      <c r="AL5416" s="35"/>
      <c r="AM5416" s="35"/>
      <c r="AN5416" s="35"/>
      <c r="AO5416" s="35"/>
      <c r="AP5416" s="35"/>
    </row>
    <row r="5417" spans="1:42" x14ac:dyDescent="0.2">
      <c r="A5417" s="74">
        <v>45651</v>
      </c>
      <c r="B5417" s="137" t="s">
        <v>37</v>
      </c>
      <c r="C5417" s="41" t="s">
        <v>118</v>
      </c>
      <c r="D5417" s="80" t="s">
        <v>36</v>
      </c>
      <c r="E5417" s="80" t="s">
        <v>39</v>
      </c>
      <c r="F5417" s="80" t="s">
        <v>11151</v>
      </c>
      <c r="G5417" s="80" t="s">
        <v>108</v>
      </c>
      <c r="H5417" s="80" t="s">
        <v>13943</v>
      </c>
      <c r="I5417" s="17">
        <f ca="1">IFERROR(__xludf.DUMMYFUNCTION("""COMPUTED_VALUE"""),45660)</f>
        <v>45660</v>
      </c>
      <c r="J5417" s="143" t="s">
        <v>18433</v>
      </c>
      <c r="K5417" s="80" t="s">
        <v>18434</v>
      </c>
      <c r="L5417" s="57">
        <v>333816280</v>
      </c>
      <c r="M5417" s="80" t="s">
        <v>45</v>
      </c>
      <c r="N5417" s="80" t="s">
        <v>3839</v>
      </c>
      <c r="O5417" s="80" t="s">
        <v>11154</v>
      </c>
      <c r="P5417" s="144" t="s">
        <v>18435</v>
      </c>
      <c r="Q5417" s="20">
        <v>5736</v>
      </c>
      <c r="R5417" s="80" t="s">
        <v>36</v>
      </c>
      <c r="S5417" s="95">
        <v>5736</v>
      </c>
      <c r="T5417" s="148">
        <v>45505</v>
      </c>
      <c r="U5417" s="77"/>
      <c r="V5417" s="78"/>
      <c r="W5417" s="85" t="s">
        <v>11156</v>
      </c>
      <c r="X5417" s="80">
        <v>0</v>
      </c>
      <c r="Y5417" s="22">
        <v>0</v>
      </c>
      <c r="Z5417" s="80" t="s">
        <v>50</v>
      </c>
      <c r="AA5417" s="96" t="s">
        <v>10314</v>
      </c>
      <c r="AB5417" s="80"/>
      <c r="AC5417" s="80" t="s">
        <v>53</v>
      </c>
      <c r="AD5417" s="80" t="s">
        <v>54</v>
      </c>
      <c r="AE5417" s="83" t="s">
        <v>11151</v>
      </c>
      <c r="AF5417" s="17">
        <v>45652</v>
      </c>
      <c r="AG5417" s="80"/>
      <c r="AH5417" s="80"/>
      <c r="AI5417" s="147"/>
      <c r="AJ5417" s="80"/>
      <c r="AK5417" s="80"/>
      <c r="AL5417" s="35"/>
      <c r="AM5417" s="35"/>
      <c r="AN5417" s="35"/>
      <c r="AO5417" s="35"/>
      <c r="AP5417" s="35"/>
    </row>
    <row r="5418" spans="1:42" x14ac:dyDescent="0.2">
      <c r="A5418" s="74">
        <v>45652</v>
      </c>
      <c r="B5418" s="137" t="s">
        <v>37</v>
      </c>
      <c r="C5418" s="41" t="s">
        <v>118</v>
      </c>
      <c r="D5418" s="26" t="s">
        <v>36</v>
      </c>
      <c r="E5418" s="26" t="s">
        <v>139</v>
      </c>
      <c r="F5418" s="26" t="s">
        <v>10038</v>
      </c>
      <c r="G5418" s="26" t="s">
        <v>221</v>
      </c>
      <c r="H5418" s="26" t="s">
        <v>13665</v>
      </c>
      <c r="I5418" s="17">
        <f ca="1">IFERROR(__xludf.DUMMYFUNCTION("""COMPUTED_VALUE"""),45665)</f>
        <v>45665</v>
      </c>
      <c r="J5418" s="29" t="s">
        <v>9449</v>
      </c>
      <c r="K5418" s="26" t="s">
        <v>9450</v>
      </c>
      <c r="L5418" s="30">
        <v>862655669</v>
      </c>
      <c r="M5418" s="26" t="s">
        <v>59</v>
      </c>
      <c r="N5418" s="26" t="s">
        <v>9287</v>
      </c>
      <c r="O5418" s="26" t="s">
        <v>9451</v>
      </c>
      <c r="P5418" s="42" t="s">
        <v>18436</v>
      </c>
      <c r="Q5418" s="20"/>
      <c r="R5418" s="26" t="s">
        <v>36</v>
      </c>
      <c r="S5418" s="95">
        <v>15936</v>
      </c>
      <c r="T5418" s="148">
        <v>45482</v>
      </c>
      <c r="U5418" s="31"/>
      <c r="V5418" s="32"/>
      <c r="W5418" s="33" t="s">
        <v>9453</v>
      </c>
      <c r="X5418" s="26"/>
      <c r="Y5418" s="22"/>
      <c r="Z5418" s="26" t="s">
        <v>50</v>
      </c>
      <c r="AA5418" s="70" t="s">
        <v>9070</v>
      </c>
      <c r="AB5418" s="26"/>
      <c r="AC5418" s="26" t="s">
        <v>53</v>
      </c>
      <c r="AD5418" s="26" t="s">
        <v>54</v>
      </c>
      <c r="AE5418" s="26" t="s">
        <v>10038</v>
      </c>
      <c r="AF5418" s="17">
        <v>45659</v>
      </c>
      <c r="AG5418" s="26"/>
      <c r="AH5418" s="26"/>
      <c r="AI5418" s="40"/>
      <c r="AJ5418" s="26"/>
      <c r="AK5418" s="26"/>
      <c r="AL5418" s="35"/>
      <c r="AM5418" s="35"/>
      <c r="AN5418" s="35"/>
      <c r="AO5418" s="35"/>
      <c r="AP5418" s="35"/>
    </row>
    <row r="5419" spans="1:42" x14ac:dyDescent="0.2">
      <c r="A5419" s="74">
        <v>45652</v>
      </c>
      <c r="B5419" s="137" t="s">
        <v>37</v>
      </c>
      <c r="C5419" s="41" t="s">
        <v>118</v>
      </c>
      <c r="D5419" s="80" t="s">
        <v>36</v>
      </c>
      <c r="E5419" s="80" t="s">
        <v>139</v>
      </c>
      <c r="F5419" s="80" t="s">
        <v>13850</v>
      </c>
      <c r="G5419" s="80" t="s">
        <v>108</v>
      </c>
      <c r="H5419" s="80" t="s">
        <v>10033</v>
      </c>
      <c r="I5419" s="17">
        <f ca="1">IFERROR(__xludf.DUMMYFUNCTION("""COMPUTED_VALUE"""),45664)</f>
        <v>45664</v>
      </c>
      <c r="J5419" s="143" t="s">
        <v>17358</v>
      </c>
      <c r="K5419" s="80" t="s">
        <v>18437</v>
      </c>
      <c r="L5419" s="30">
        <v>354303129</v>
      </c>
      <c r="M5419" s="80" t="s">
        <v>12529</v>
      </c>
      <c r="N5419" s="80" t="s">
        <v>13566</v>
      </c>
      <c r="O5419" s="80" t="s">
        <v>17360</v>
      </c>
      <c r="P5419" s="80" t="s">
        <v>17361</v>
      </c>
      <c r="Q5419" s="20">
        <v>15936</v>
      </c>
      <c r="R5419" s="80" t="s">
        <v>36</v>
      </c>
      <c r="S5419" s="95">
        <f>200+1800</f>
        <v>2000</v>
      </c>
      <c r="T5419" s="83" t="s">
        <v>15920</v>
      </c>
      <c r="U5419" s="95">
        <v>13936</v>
      </c>
      <c r="V5419" s="148">
        <v>45624</v>
      </c>
      <c r="W5419" s="85" t="s">
        <v>17362</v>
      </c>
      <c r="X5419" s="80"/>
      <c r="Y5419" s="22">
        <v>0</v>
      </c>
      <c r="Z5419" s="80" t="s">
        <v>50</v>
      </c>
      <c r="AA5419" s="82" t="s">
        <v>14723</v>
      </c>
      <c r="AB5419" s="80"/>
      <c r="AC5419" s="80" t="s">
        <v>53</v>
      </c>
      <c r="AD5419" s="80" t="s">
        <v>138</v>
      </c>
      <c r="AE5419" s="80" t="s">
        <v>13850</v>
      </c>
      <c r="AF5419" s="17">
        <v>45660</v>
      </c>
      <c r="AG5419" s="80" t="s">
        <v>2075</v>
      </c>
      <c r="AH5419" s="80"/>
      <c r="AI5419" s="147"/>
      <c r="AJ5419" s="80"/>
      <c r="AK5419" s="80"/>
      <c r="AL5419" s="35"/>
      <c r="AM5419" s="35"/>
      <c r="AN5419" s="35"/>
      <c r="AO5419" s="35"/>
      <c r="AP5419" s="35"/>
    </row>
    <row r="5420" spans="1:42" x14ac:dyDescent="0.2">
      <c r="A5420" s="74">
        <v>45652</v>
      </c>
      <c r="B5420" s="137" t="s">
        <v>37</v>
      </c>
      <c r="C5420" s="41" t="s">
        <v>118</v>
      </c>
      <c r="D5420" s="26" t="s">
        <v>36</v>
      </c>
      <c r="E5420" s="26" t="s">
        <v>56</v>
      </c>
      <c r="F5420" s="26" t="s">
        <v>10038</v>
      </c>
      <c r="G5420" s="26" t="s">
        <v>221</v>
      </c>
      <c r="H5420" s="26" t="s">
        <v>13665</v>
      </c>
      <c r="I5420" s="17">
        <f ca="1">IFERROR(__xludf.DUMMYFUNCTION("""COMPUTED_VALUE"""),45665)</f>
        <v>45665</v>
      </c>
      <c r="J5420" s="29" t="s">
        <v>10114</v>
      </c>
      <c r="K5420" s="26" t="s">
        <v>10115</v>
      </c>
      <c r="L5420" s="30">
        <v>344927238</v>
      </c>
      <c r="M5420" s="26" t="s">
        <v>94</v>
      </c>
      <c r="N5420" s="26" t="s">
        <v>9478</v>
      </c>
      <c r="O5420" s="26" t="s">
        <v>10116</v>
      </c>
      <c r="P5420" s="42" t="s">
        <v>10117</v>
      </c>
      <c r="Q5420" s="20">
        <v>9317</v>
      </c>
      <c r="R5420" s="26" t="s">
        <v>36</v>
      </c>
      <c r="S5420" s="95">
        <v>4700</v>
      </c>
      <c r="T5420" s="148">
        <v>45484</v>
      </c>
      <c r="U5420" s="31">
        <v>4617</v>
      </c>
      <c r="V5420" s="32">
        <v>45539</v>
      </c>
      <c r="W5420" s="33" t="s">
        <v>10118</v>
      </c>
      <c r="X5420" s="26">
        <v>0</v>
      </c>
      <c r="Y5420" s="22">
        <v>0</v>
      </c>
      <c r="Z5420" s="80" t="s">
        <v>50</v>
      </c>
      <c r="AA5420" s="35"/>
      <c r="AB5420" s="26" t="s">
        <v>8827</v>
      </c>
      <c r="AC5420" s="26" t="s">
        <v>53</v>
      </c>
      <c r="AD5420" s="26" t="s">
        <v>54</v>
      </c>
      <c r="AE5420" s="26" t="s">
        <v>10038</v>
      </c>
      <c r="AF5420" s="17">
        <v>45659</v>
      </c>
      <c r="AG5420" s="26"/>
      <c r="AH5420" s="26"/>
      <c r="AI5420" s="40"/>
      <c r="AJ5420" s="26"/>
      <c r="AK5420" s="26"/>
      <c r="AL5420" s="35"/>
      <c r="AM5420" s="35"/>
      <c r="AN5420" s="35"/>
      <c r="AO5420" s="35"/>
      <c r="AP5420" s="35"/>
    </row>
    <row r="5421" spans="1:42" x14ac:dyDescent="0.2">
      <c r="A5421" s="74">
        <v>45653</v>
      </c>
      <c r="B5421" s="68" t="s">
        <v>37</v>
      </c>
      <c r="C5421" s="41" t="s">
        <v>118</v>
      </c>
      <c r="D5421" s="26" t="s">
        <v>36</v>
      </c>
      <c r="E5421" s="26" t="s">
        <v>139</v>
      </c>
      <c r="F5421" s="26" t="s">
        <v>10014</v>
      </c>
      <c r="G5421" s="26" t="s">
        <v>108</v>
      </c>
      <c r="H5421" s="26" t="s">
        <v>13943</v>
      </c>
      <c r="I5421" s="17">
        <f ca="1">IFERROR(__xludf.DUMMYFUNCTION("""COMPUTED_VALUE"""),45660)</f>
        <v>45660</v>
      </c>
      <c r="J5421" s="29" t="s">
        <v>10180</v>
      </c>
      <c r="K5421" s="26" t="s">
        <v>18438</v>
      </c>
      <c r="L5421" s="30">
        <v>363489965</v>
      </c>
      <c r="M5421" s="26" t="s">
        <v>3728</v>
      </c>
      <c r="N5421" s="26" t="s">
        <v>8725</v>
      </c>
      <c r="O5421" s="26" t="s">
        <v>10182</v>
      </c>
      <c r="P5421" s="42" t="s">
        <v>10183</v>
      </c>
      <c r="Q5421" s="20">
        <v>15936</v>
      </c>
      <c r="R5421" s="26" t="s">
        <v>36</v>
      </c>
      <c r="S5421" s="95">
        <v>2000</v>
      </c>
      <c r="T5421" s="148">
        <v>45488</v>
      </c>
      <c r="U5421" s="95">
        <v>13936</v>
      </c>
      <c r="V5421" s="148">
        <v>45517</v>
      </c>
      <c r="W5421" s="33" t="s">
        <v>10184</v>
      </c>
      <c r="X5421" s="26">
        <v>0</v>
      </c>
      <c r="Y5421" s="22">
        <v>0</v>
      </c>
      <c r="Z5421" s="26" t="s">
        <v>50</v>
      </c>
      <c r="AA5421" s="96"/>
      <c r="AB5421" s="26"/>
      <c r="AC5421" s="26" t="s">
        <v>53</v>
      </c>
      <c r="AD5421" s="26" t="s">
        <v>54</v>
      </c>
      <c r="AE5421" s="26" t="s">
        <v>10014</v>
      </c>
      <c r="AF5421" s="17">
        <v>45547</v>
      </c>
      <c r="AG5421" s="26"/>
      <c r="AH5421" s="26"/>
      <c r="AI5421" s="40"/>
      <c r="AJ5421" s="26"/>
      <c r="AK5421" s="26"/>
      <c r="AL5421" s="35"/>
      <c r="AM5421" s="35"/>
      <c r="AN5421" s="35"/>
      <c r="AO5421" s="35"/>
      <c r="AP5421" s="35"/>
    </row>
    <row r="5422" spans="1:42" x14ac:dyDescent="0.2">
      <c r="A5422" s="74">
        <v>45655</v>
      </c>
      <c r="B5422" s="137" t="s">
        <v>37</v>
      </c>
      <c r="C5422" s="41" t="s">
        <v>118</v>
      </c>
      <c r="D5422" s="80" t="s">
        <v>36</v>
      </c>
      <c r="E5422" s="80" t="s">
        <v>56</v>
      </c>
      <c r="F5422" s="80" t="s">
        <v>13850</v>
      </c>
      <c r="G5422" s="80" t="s">
        <v>108</v>
      </c>
      <c r="H5422" s="80" t="s">
        <v>18392</v>
      </c>
      <c r="I5422" s="17">
        <f ca="1">IFERROR(__xludf.DUMMYFUNCTION("""COMPUTED_VALUE"""),45698)</f>
        <v>45698</v>
      </c>
      <c r="J5422" s="143" t="s">
        <v>17558</v>
      </c>
      <c r="K5422" s="80" t="s">
        <v>14315</v>
      </c>
      <c r="L5422" s="30">
        <v>332989802</v>
      </c>
      <c r="M5422" s="80" t="s">
        <v>12529</v>
      </c>
      <c r="N5422" s="80" t="s">
        <v>466</v>
      </c>
      <c r="O5422" s="80" t="s">
        <v>17560</v>
      </c>
      <c r="P5422" s="80" t="s">
        <v>18439</v>
      </c>
      <c r="Q5422" s="20">
        <v>9317</v>
      </c>
      <c r="R5422" s="80" t="s">
        <v>36</v>
      </c>
      <c r="S5422" s="95">
        <f>200+1800</f>
        <v>2000</v>
      </c>
      <c r="T5422" s="83" t="s">
        <v>17561</v>
      </c>
      <c r="U5422" s="95">
        <v>7317</v>
      </c>
      <c r="V5422" s="148">
        <v>45617</v>
      </c>
      <c r="W5422" s="85" t="s">
        <v>17562</v>
      </c>
      <c r="X5422" s="80"/>
      <c r="Y5422" s="22">
        <v>0</v>
      </c>
      <c r="Z5422" s="80" t="s">
        <v>50</v>
      </c>
      <c r="AA5422" s="86" t="s">
        <v>14723</v>
      </c>
      <c r="AB5422" s="80"/>
      <c r="AC5422" s="80" t="s">
        <v>53</v>
      </c>
      <c r="AD5422" s="80" t="s">
        <v>138</v>
      </c>
      <c r="AE5422" s="80" t="s">
        <v>13850</v>
      </c>
      <c r="AF5422" s="43">
        <v>45698</v>
      </c>
      <c r="AG5422" s="80" t="s">
        <v>7078</v>
      </c>
      <c r="AH5422" s="80"/>
      <c r="AI5422" s="147"/>
      <c r="AJ5422" s="80"/>
      <c r="AK5422" s="80"/>
      <c r="AL5422" s="35"/>
      <c r="AM5422" s="35"/>
      <c r="AN5422" s="35"/>
      <c r="AO5422" s="35"/>
      <c r="AP5422" s="35"/>
    </row>
    <row r="5423" spans="1:42" x14ac:dyDescent="0.2">
      <c r="A5423" s="74">
        <v>45655</v>
      </c>
      <c r="B5423" s="137" t="s">
        <v>37</v>
      </c>
      <c r="C5423" s="41" t="s">
        <v>118</v>
      </c>
      <c r="D5423" s="80" t="s">
        <v>36</v>
      </c>
      <c r="E5423" s="80" t="s">
        <v>56</v>
      </c>
      <c r="F5423" s="26" t="s">
        <v>10014</v>
      </c>
      <c r="G5423" s="26" t="s">
        <v>221</v>
      </c>
      <c r="H5423" s="26" t="s">
        <v>18321</v>
      </c>
      <c r="I5423" s="17">
        <f ca="1">IFERROR(__xludf.DUMMYFUNCTION("""COMPUTED_VALUE"""),45698)</f>
        <v>45698</v>
      </c>
      <c r="J5423" s="143" t="s">
        <v>9239</v>
      </c>
      <c r="K5423" s="80" t="s">
        <v>18440</v>
      </c>
      <c r="L5423" s="30">
        <v>901729457</v>
      </c>
      <c r="M5423" s="80" t="s">
        <v>6309</v>
      </c>
      <c r="N5423" s="80" t="s">
        <v>1400</v>
      </c>
      <c r="O5423" s="80" t="s">
        <v>8827</v>
      </c>
      <c r="P5423" s="144" t="s">
        <v>10082</v>
      </c>
      <c r="Q5423" s="20"/>
      <c r="R5423" s="80" t="s">
        <v>36</v>
      </c>
      <c r="S5423" s="95">
        <v>9317</v>
      </c>
      <c r="T5423" s="148">
        <v>45475</v>
      </c>
      <c r="U5423" s="77"/>
      <c r="V5423" s="78"/>
      <c r="W5423" s="85" t="s">
        <v>9240</v>
      </c>
      <c r="X5423" s="80"/>
      <c r="Y5423" s="22"/>
      <c r="Z5423" s="81" t="s">
        <v>50</v>
      </c>
      <c r="AA5423" s="82" t="s">
        <v>9070</v>
      </c>
      <c r="AB5423" s="80" t="s">
        <v>36</v>
      </c>
      <c r="AC5423" s="80" t="s">
        <v>53</v>
      </c>
      <c r="AD5423" s="80" t="s">
        <v>138</v>
      </c>
      <c r="AE5423" s="26" t="s">
        <v>10014</v>
      </c>
      <c r="AF5423" s="17">
        <v>45698</v>
      </c>
      <c r="AG5423" s="80"/>
      <c r="AH5423" s="80"/>
      <c r="AI5423" s="147"/>
      <c r="AJ5423" s="80"/>
      <c r="AK5423" s="80"/>
      <c r="AL5423" s="86"/>
      <c r="AM5423" s="86"/>
      <c r="AN5423" s="86"/>
      <c r="AO5423" s="86"/>
      <c r="AP5423" s="86"/>
    </row>
    <row r="5424" spans="1:42" x14ac:dyDescent="0.2">
      <c r="A5424" s="74">
        <v>45655</v>
      </c>
      <c r="B5424" s="137" t="s">
        <v>37</v>
      </c>
      <c r="C5424" s="41" t="s">
        <v>118</v>
      </c>
      <c r="D5424" s="26" t="s">
        <v>36</v>
      </c>
      <c r="E5424" s="26" t="s">
        <v>56</v>
      </c>
      <c r="F5424" s="26" t="s">
        <v>8935</v>
      </c>
      <c r="G5424" s="26" t="s">
        <v>221</v>
      </c>
      <c r="H5424" s="26" t="s">
        <v>13665</v>
      </c>
      <c r="I5424" s="17">
        <f ca="1">IFERROR(__xludf.DUMMYFUNCTION("""COMPUTED_VALUE"""),45665)</f>
        <v>45665</v>
      </c>
      <c r="J5424" s="29" t="s">
        <v>10265</v>
      </c>
      <c r="K5424" s="26" t="s">
        <v>10266</v>
      </c>
      <c r="L5424" s="30">
        <v>838403786</v>
      </c>
      <c r="M5424" s="26" t="s">
        <v>80</v>
      </c>
      <c r="N5424" s="26" t="s">
        <v>466</v>
      </c>
      <c r="O5424" s="26" t="s">
        <v>10267</v>
      </c>
      <c r="P5424" s="42" t="s">
        <v>10268</v>
      </c>
      <c r="Q5424" s="20">
        <v>9317</v>
      </c>
      <c r="R5424" s="26" t="s">
        <v>36</v>
      </c>
      <c r="S5424" s="95">
        <f>200+1800+7317</f>
        <v>9317</v>
      </c>
      <c r="T5424" s="83" t="s">
        <v>10269</v>
      </c>
      <c r="U5424" s="95"/>
      <c r="V5424" s="148"/>
      <c r="W5424" s="33" t="s">
        <v>10270</v>
      </c>
      <c r="X5424" s="26">
        <v>0</v>
      </c>
      <c r="Y5424" s="22">
        <v>0</v>
      </c>
      <c r="Z5424" s="26" t="s">
        <v>50</v>
      </c>
      <c r="AA5424" s="35"/>
      <c r="AB5424" s="26"/>
      <c r="AC5424" s="26" t="s">
        <v>53</v>
      </c>
      <c r="AD5424" s="26" t="s">
        <v>54</v>
      </c>
      <c r="AE5424" s="26" t="s">
        <v>8935</v>
      </c>
      <c r="AF5424" s="17">
        <v>45659</v>
      </c>
      <c r="AG5424" s="26" t="s">
        <v>7078</v>
      </c>
      <c r="AH5424" s="26"/>
      <c r="AI5424" s="40"/>
      <c r="AJ5424" s="26"/>
      <c r="AK5424" s="26"/>
      <c r="AL5424" s="35"/>
      <c r="AM5424" s="35"/>
      <c r="AN5424" s="35"/>
      <c r="AO5424" s="35"/>
      <c r="AP5424" s="35"/>
    </row>
    <row r="5425" spans="1:42" x14ac:dyDescent="0.2">
      <c r="A5425" s="74">
        <v>45656</v>
      </c>
      <c r="B5425" s="137" t="s">
        <v>37</v>
      </c>
      <c r="C5425" s="41" t="s">
        <v>118</v>
      </c>
      <c r="D5425" s="80" t="s">
        <v>36</v>
      </c>
      <c r="E5425" s="80" t="s">
        <v>139</v>
      </c>
      <c r="F5425" s="80" t="s">
        <v>12700</v>
      </c>
      <c r="G5425" s="80" t="s">
        <v>108</v>
      </c>
      <c r="H5425" s="80" t="s">
        <v>10033</v>
      </c>
      <c r="I5425" s="17">
        <f ca="1">IFERROR(__xludf.DUMMYFUNCTION("""COMPUTED_VALUE"""),45664)</f>
        <v>45664</v>
      </c>
      <c r="J5425" s="143" t="s">
        <v>17804</v>
      </c>
      <c r="K5425" s="80" t="s">
        <v>17805</v>
      </c>
      <c r="L5425" s="30">
        <v>329635559</v>
      </c>
      <c r="M5425" s="80" t="s">
        <v>15996</v>
      </c>
      <c r="N5425" s="80" t="s">
        <v>186</v>
      </c>
      <c r="O5425" s="80" t="s">
        <v>4503</v>
      </c>
      <c r="P5425" s="144" t="s">
        <v>18441</v>
      </c>
      <c r="Q5425" s="20">
        <v>15936</v>
      </c>
      <c r="R5425" s="80" t="s">
        <v>36</v>
      </c>
      <c r="S5425" s="95">
        <f>200+7800</f>
        <v>8000</v>
      </c>
      <c r="T5425" s="83" t="s">
        <v>17783</v>
      </c>
      <c r="U5425" s="95">
        <v>7936</v>
      </c>
      <c r="V5425" s="148">
        <v>45620</v>
      </c>
      <c r="W5425" s="85" t="s">
        <v>17807</v>
      </c>
      <c r="X5425" s="80"/>
      <c r="Y5425" s="22">
        <v>0</v>
      </c>
      <c r="Z5425" s="80" t="s">
        <v>50</v>
      </c>
      <c r="AA5425" s="82" t="s">
        <v>14723</v>
      </c>
      <c r="AB5425" s="80"/>
      <c r="AC5425" s="80" t="s">
        <v>53</v>
      </c>
      <c r="AD5425" s="80" t="s">
        <v>138</v>
      </c>
      <c r="AE5425" s="80" t="s">
        <v>12700</v>
      </c>
      <c r="AF5425" s="17">
        <v>45656</v>
      </c>
      <c r="AG5425" s="80"/>
      <c r="AH5425" s="80"/>
      <c r="AI5425" s="147"/>
      <c r="AJ5425" s="80"/>
      <c r="AK5425" s="80"/>
      <c r="AL5425" s="35"/>
      <c r="AM5425" s="35"/>
      <c r="AN5425" s="35"/>
      <c r="AO5425" s="35"/>
      <c r="AP5425" s="35"/>
    </row>
    <row r="5426" spans="1:42" x14ac:dyDescent="0.2">
      <c r="A5426" s="74">
        <v>45656</v>
      </c>
      <c r="B5426" s="137" t="s">
        <v>37</v>
      </c>
      <c r="C5426" s="41" t="s">
        <v>118</v>
      </c>
      <c r="D5426" s="80" t="s">
        <v>36</v>
      </c>
      <c r="E5426" s="80" t="s">
        <v>139</v>
      </c>
      <c r="F5426" s="80" t="s">
        <v>13384</v>
      </c>
      <c r="G5426" s="80" t="s">
        <v>108</v>
      </c>
      <c r="H5426" s="80" t="s">
        <v>13943</v>
      </c>
      <c r="I5426" s="17">
        <f ca="1">IFERROR(__xludf.DUMMYFUNCTION("""COMPUTED_VALUE"""),45660)</f>
        <v>45660</v>
      </c>
      <c r="J5426" s="143" t="s">
        <v>15527</v>
      </c>
      <c r="K5426" s="80" t="s">
        <v>18442</v>
      </c>
      <c r="L5426" s="30">
        <v>984933163</v>
      </c>
      <c r="M5426" s="80" t="s">
        <v>5429</v>
      </c>
      <c r="N5426" s="80" t="s">
        <v>9180</v>
      </c>
      <c r="O5426" s="80" t="s">
        <v>4626</v>
      </c>
      <c r="P5426" s="144" t="s">
        <v>18443</v>
      </c>
      <c r="Q5426" s="20">
        <v>15936</v>
      </c>
      <c r="R5426" s="80" t="s">
        <v>36</v>
      </c>
      <c r="S5426" s="95">
        <v>2000</v>
      </c>
      <c r="T5426" s="148">
        <v>45558</v>
      </c>
      <c r="U5426" s="95">
        <v>13936</v>
      </c>
      <c r="V5426" s="148">
        <v>45574</v>
      </c>
      <c r="W5426" s="85" t="s">
        <v>15529</v>
      </c>
      <c r="X5426" s="80"/>
      <c r="Y5426" s="22">
        <v>0</v>
      </c>
      <c r="Z5426" s="80" t="s">
        <v>50</v>
      </c>
      <c r="AA5426" s="35" t="s">
        <v>9905</v>
      </c>
      <c r="AB5426" s="80"/>
      <c r="AC5426" s="80" t="s">
        <v>53</v>
      </c>
      <c r="AD5426" s="80" t="s">
        <v>138</v>
      </c>
      <c r="AE5426" s="80" t="s">
        <v>13384</v>
      </c>
      <c r="AF5426" s="17">
        <v>45656</v>
      </c>
      <c r="AG5426" s="80"/>
      <c r="AH5426" s="80"/>
      <c r="AI5426" s="147"/>
      <c r="AJ5426" s="80"/>
      <c r="AK5426" s="80"/>
      <c r="AL5426" s="35"/>
      <c r="AM5426" s="35"/>
      <c r="AN5426" s="35"/>
      <c r="AO5426" s="35"/>
      <c r="AP5426" s="35"/>
    </row>
    <row r="5427" spans="1:42" x14ac:dyDescent="0.2">
      <c r="A5427" s="74">
        <v>45657</v>
      </c>
      <c r="B5427" s="137" t="s">
        <v>37</v>
      </c>
      <c r="C5427" s="41" t="s">
        <v>118</v>
      </c>
      <c r="D5427" s="80" t="s">
        <v>36</v>
      </c>
      <c r="E5427" s="80" t="s">
        <v>56</v>
      </c>
      <c r="F5427" s="80" t="s">
        <v>12937</v>
      </c>
      <c r="G5427" s="80" t="s">
        <v>108</v>
      </c>
      <c r="H5427" s="80" t="s">
        <v>18275</v>
      </c>
      <c r="I5427" s="17">
        <f ca="1">IFERROR(__xludf.DUMMYFUNCTION("""COMPUTED_VALUE"""),45667)</f>
        <v>45667</v>
      </c>
      <c r="J5427" s="143" t="s">
        <v>15153</v>
      </c>
      <c r="K5427" s="80" t="s">
        <v>18444</v>
      </c>
      <c r="L5427" s="30">
        <v>768763206</v>
      </c>
      <c r="M5427" s="80" t="s">
        <v>5558</v>
      </c>
      <c r="N5427" s="80" t="s">
        <v>5559</v>
      </c>
      <c r="O5427" s="80" t="s">
        <v>4503</v>
      </c>
      <c r="P5427" s="115" t="s">
        <v>15155</v>
      </c>
      <c r="Q5427" s="20">
        <v>9317</v>
      </c>
      <c r="R5427" s="80" t="s">
        <v>36</v>
      </c>
      <c r="S5427" s="95">
        <v>2000</v>
      </c>
      <c r="T5427" s="148">
        <v>45546</v>
      </c>
      <c r="U5427" s="95">
        <v>7317</v>
      </c>
      <c r="V5427" s="148">
        <v>45566</v>
      </c>
      <c r="W5427" s="85" t="s">
        <v>15156</v>
      </c>
      <c r="X5427" s="80"/>
      <c r="Y5427" s="22">
        <v>0</v>
      </c>
      <c r="Z5427" s="80" t="s">
        <v>50</v>
      </c>
      <c r="AA5427" s="96" t="s">
        <v>9905</v>
      </c>
      <c r="AB5427" s="80"/>
      <c r="AC5427" s="80" t="s">
        <v>53</v>
      </c>
      <c r="AD5427" s="80" t="s">
        <v>54</v>
      </c>
      <c r="AE5427" s="80" t="s">
        <v>12937</v>
      </c>
      <c r="AF5427" s="17">
        <v>45663</v>
      </c>
      <c r="AG5427" s="80"/>
      <c r="AH5427" s="80"/>
      <c r="AI5427" s="147"/>
      <c r="AJ5427" s="80"/>
      <c r="AK5427" s="80"/>
      <c r="AL5427" s="35"/>
      <c r="AM5427" s="35"/>
      <c r="AN5427" s="35"/>
      <c r="AO5427" s="35"/>
      <c r="AP5427" s="35"/>
    </row>
    <row r="5428" spans="1:42" x14ac:dyDescent="0.2">
      <c r="A5428" s="74">
        <v>45657</v>
      </c>
      <c r="B5428" s="137" t="s">
        <v>37</v>
      </c>
      <c r="C5428" s="41" t="s">
        <v>118</v>
      </c>
      <c r="D5428" s="26" t="s">
        <v>36</v>
      </c>
      <c r="E5428" s="26" t="s">
        <v>139</v>
      </c>
      <c r="F5428" s="26" t="s">
        <v>4959</v>
      </c>
      <c r="G5428" s="26" t="s">
        <v>1847</v>
      </c>
      <c r="H5428" s="80" t="s">
        <v>18445</v>
      </c>
      <c r="I5428" s="17">
        <f ca="1">IFERROR(__xludf.DUMMYFUNCTION("""COMPUTED_VALUE"""),45666)</f>
        <v>45666</v>
      </c>
      <c r="J5428" s="29" t="s">
        <v>5612</v>
      </c>
      <c r="K5428" s="19" t="s">
        <v>18440</v>
      </c>
      <c r="L5428" s="30">
        <v>919617050</v>
      </c>
      <c r="M5428" s="26" t="s">
        <v>3728</v>
      </c>
      <c r="N5428" s="26" t="s">
        <v>5377</v>
      </c>
      <c r="O5428" s="26" t="s">
        <v>5614</v>
      </c>
      <c r="P5428" s="42" t="s">
        <v>18446</v>
      </c>
      <c r="Q5428" s="20">
        <v>15936</v>
      </c>
      <c r="R5428" s="26" t="s">
        <v>36</v>
      </c>
      <c r="S5428" s="31">
        <v>200</v>
      </c>
      <c r="T5428" s="32">
        <v>45241</v>
      </c>
      <c r="U5428" s="31">
        <v>15736</v>
      </c>
      <c r="V5428" s="32">
        <v>45244</v>
      </c>
      <c r="W5428" s="33" t="s">
        <v>5616</v>
      </c>
      <c r="X5428" s="26"/>
      <c r="Y5428" s="22">
        <v>0</v>
      </c>
      <c r="Z5428" s="26" t="s">
        <v>118</v>
      </c>
      <c r="AA5428" s="19" t="s">
        <v>5112</v>
      </c>
      <c r="AB5428" s="26" t="s">
        <v>104</v>
      </c>
      <c r="AC5428" s="26" t="s">
        <v>53</v>
      </c>
      <c r="AD5428" s="19" t="s">
        <v>138</v>
      </c>
      <c r="AE5428" s="80" t="s">
        <v>8091</v>
      </c>
      <c r="AF5428" s="17">
        <v>45660</v>
      </c>
      <c r="AG5428" s="26"/>
      <c r="AH5428" s="26"/>
      <c r="AI5428" s="40" t="s">
        <v>147</v>
      </c>
      <c r="AJ5428" s="26"/>
      <c r="AK5428" s="26"/>
      <c r="AL5428" s="35"/>
      <c r="AM5428" s="35"/>
      <c r="AN5428" s="35"/>
      <c r="AO5428" s="35"/>
      <c r="AP5428" s="35"/>
    </row>
    <row r="5429" spans="1:42" x14ac:dyDescent="0.2">
      <c r="A5429" s="74">
        <v>45657</v>
      </c>
      <c r="B5429" s="137" t="s">
        <v>37</v>
      </c>
      <c r="C5429" s="41" t="s">
        <v>118</v>
      </c>
      <c r="D5429" s="80" t="s">
        <v>36</v>
      </c>
      <c r="E5429" s="80" t="s">
        <v>56</v>
      </c>
      <c r="F5429" s="80" t="s">
        <v>13206</v>
      </c>
      <c r="G5429" s="80" t="s">
        <v>108</v>
      </c>
      <c r="H5429" s="80" t="s">
        <v>18275</v>
      </c>
      <c r="I5429" s="17">
        <f ca="1">IFERROR(__xludf.DUMMYFUNCTION("""COMPUTED_VALUE"""),45667)</f>
        <v>45667</v>
      </c>
      <c r="J5429" s="143" t="s">
        <v>15259</v>
      </c>
      <c r="K5429" s="80" t="s">
        <v>15260</v>
      </c>
      <c r="L5429" s="30">
        <v>913722058</v>
      </c>
      <c r="M5429" s="80" t="s">
        <v>9422</v>
      </c>
      <c r="N5429" s="80" t="s">
        <v>68</v>
      </c>
      <c r="O5429" s="80" t="s">
        <v>11607</v>
      </c>
      <c r="P5429" s="80" t="s">
        <v>15261</v>
      </c>
      <c r="Q5429" s="20">
        <v>9317</v>
      </c>
      <c r="R5429" s="80" t="s">
        <v>36</v>
      </c>
      <c r="S5429" s="95">
        <f>500+1500</f>
        <v>2000</v>
      </c>
      <c r="T5429" s="83" t="s">
        <v>15262</v>
      </c>
      <c r="U5429" s="95">
        <v>7317</v>
      </c>
      <c r="V5429" s="148">
        <v>45577</v>
      </c>
      <c r="W5429" s="85" t="s">
        <v>15263</v>
      </c>
      <c r="X5429" s="80"/>
      <c r="Y5429" s="22">
        <v>0</v>
      </c>
      <c r="Z5429" s="80" t="s">
        <v>50</v>
      </c>
      <c r="AA5429" s="96" t="s">
        <v>9905</v>
      </c>
      <c r="AB5429" s="80"/>
      <c r="AC5429" s="80" t="s">
        <v>53</v>
      </c>
      <c r="AD5429" s="80" t="s">
        <v>54</v>
      </c>
      <c r="AE5429" s="80" t="s">
        <v>13206</v>
      </c>
      <c r="AF5429" s="17">
        <v>45660</v>
      </c>
      <c r="AG5429" s="80"/>
      <c r="AH5429" s="80"/>
      <c r="AI5429" s="147"/>
      <c r="AJ5429" s="80"/>
      <c r="AK5429" s="80"/>
      <c r="AL5429" s="35"/>
      <c r="AM5429" s="35"/>
      <c r="AN5429" s="35"/>
      <c r="AO5429" s="35"/>
      <c r="AP5429" s="35"/>
    </row>
    <row r="5430" spans="1:42" x14ac:dyDescent="0.2">
      <c r="A5430" s="74">
        <v>45657</v>
      </c>
      <c r="B5430" s="137" t="s">
        <v>37</v>
      </c>
      <c r="C5430" s="41" t="s">
        <v>118</v>
      </c>
      <c r="D5430" s="80" t="s">
        <v>36</v>
      </c>
      <c r="E5430" s="80" t="s">
        <v>119</v>
      </c>
      <c r="F5430" s="80" t="s">
        <v>10014</v>
      </c>
      <c r="G5430" s="80" t="s">
        <v>221</v>
      </c>
      <c r="H5430" s="80" t="s">
        <v>13665</v>
      </c>
      <c r="I5430" s="17">
        <f ca="1">IFERROR(__xludf.DUMMYFUNCTION("""COMPUTED_VALUE"""),45665)</f>
        <v>45665</v>
      </c>
      <c r="J5430" s="143" t="s">
        <v>15056</v>
      </c>
      <c r="K5430" s="80" t="s">
        <v>18447</v>
      </c>
      <c r="L5430" s="30">
        <v>397843654</v>
      </c>
      <c r="M5430" s="80" t="s">
        <v>5518</v>
      </c>
      <c r="N5430" s="80" t="s">
        <v>12310</v>
      </c>
      <c r="O5430" s="80" t="s">
        <v>15058</v>
      </c>
      <c r="P5430" s="80" t="s">
        <v>15059</v>
      </c>
      <c r="Q5430" s="20">
        <v>13968</v>
      </c>
      <c r="R5430" s="80" t="s">
        <v>36</v>
      </c>
      <c r="S5430" s="95">
        <f t="shared" ref="S5430:S5431" si="139">200+3800</f>
        <v>4000</v>
      </c>
      <c r="T5430" s="83" t="s">
        <v>15060</v>
      </c>
      <c r="U5430" s="95">
        <v>9968</v>
      </c>
      <c r="V5430" s="148">
        <v>45566</v>
      </c>
      <c r="W5430" s="85" t="s">
        <v>15061</v>
      </c>
      <c r="X5430" s="80"/>
      <c r="Y5430" s="22">
        <v>0</v>
      </c>
      <c r="Z5430" s="80" t="s">
        <v>50</v>
      </c>
      <c r="AA5430" s="35" t="s">
        <v>9905</v>
      </c>
      <c r="AB5430" s="80"/>
      <c r="AC5430" s="80" t="s">
        <v>53</v>
      </c>
      <c r="AD5430" s="80" t="s">
        <v>54</v>
      </c>
      <c r="AE5430" s="80" t="s">
        <v>10014</v>
      </c>
      <c r="AF5430" s="17">
        <v>45659</v>
      </c>
      <c r="AG5430" s="80"/>
      <c r="AH5430" s="80"/>
      <c r="AI5430" s="147"/>
      <c r="AJ5430" s="80"/>
      <c r="AK5430" s="80"/>
      <c r="AL5430" s="35"/>
      <c r="AM5430" s="35"/>
      <c r="AN5430" s="35"/>
      <c r="AO5430" s="35"/>
      <c r="AP5430" s="35"/>
    </row>
    <row r="5431" spans="1:42" x14ac:dyDescent="0.2">
      <c r="A5431" s="74">
        <v>45657</v>
      </c>
      <c r="B5431" s="137" t="s">
        <v>37</v>
      </c>
      <c r="C5431" s="41" t="s">
        <v>118</v>
      </c>
      <c r="D5431" s="80" t="s">
        <v>36</v>
      </c>
      <c r="E5431" s="80" t="s">
        <v>119</v>
      </c>
      <c r="F5431" s="80" t="s">
        <v>10028</v>
      </c>
      <c r="G5431" s="80" t="s">
        <v>221</v>
      </c>
      <c r="H5431" s="80" t="s">
        <v>18322</v>
      </c>
      <c r="I5431" s="17">
        <f ca="1">IFERROR(__xludf.DUMMYFUNCTION("""COMPUTED_VALUE"""),45699)</f>
        <v>45699</v>
      </c>
      <c r="J5431" s="143" t="s">
        <v>15434</v>
      </c>
      <c r="K5431" s="80" t="s">
        <v>15435</v>
      </c>
      <c r="L5431" s="30">
        <v>394803785</v>
      </c>
      <c r="M5431" s="80" t="s">
        <v>12720</v>
      </c>
      <c r="N5431" s="80" t="s">
        <v>15436</v>
      </c>
      <c r="O5431" s="80" t="s">
        <v>15437</v>
      </c>
      <c r="P5431" s="80" t="s">
        <v>14120</v>
      </c>
      <c r="Q5431" s="20">
        <v>13968</v>
      </c>
      <c r="R5431" s="80" t="s">
        <v>36</v>
      </c>
      <c r="S5431" s="95">
        <f t="shared" si="139"/>
        <v>4000</v>
      </c>
      <c r="T5431" s="83" t="s">
        <v>15438</v>
      </c>
      <c r="U5431" s="95">
        <v>9968</v>
      </c>
      <c r="V5431" s="148">
        <v>45584</v>
      </c>
      <c r="W5431" s="85" t="s">
        <v>15439</v>
      </c>
      <c r="X5431" s="80"/>
      <c r="Y5431" s="22">
        <v>0</v>
      </c>
      <c r="Z5431" s="80" t="s">
        <v>50</v>
      </c>
      <c r="AA5431" s="96" t="s">
        <v>9905</v>
      </c>
      <c r="AB5431" s="80"/>
      <c r="AC5431" s="80" t="s">
        <v>53</v>
      </c>
      <c r="AD5431" s="80" t="s">
        <v>138</v>
      </c>
      <c r="AE5431" s="80" t="s">
        <v>10028</v>
      </c>
      <c r="AF5431" s="17">
        <v>45699</v>
      </c>
      <c r="AG5431" s="80"/>
      <c r="AH5431" s="80"/>
      <c r="AI5431" s="147"/>
      <c r="AJ5431" s="80"/>
      <c r="AK5431" s="80"/>
      <c r="AL5431" s="35"/>
      <c r="AM5431" s="35"/>
      <c r="AN5431" s="35"/>
      <c r="AO5431" s="35"/>
      <c r="AP5431" s="35"/>
    </row>
    <row r="5432" spans="1:42" x14ac:dyDescent="0.2">
      <c r="A5432" s="74">
        <v>45657</v>
      </c>
      <c r="B5432" s="137" t="s">
        <v>37</v>
      </c>
      <c r="C5432" s="41" t="s">
        <v>118</v>
      </c>
      <c r="D5432" s="26" t="s">
        <v>36</v>
      </c>
      <c r="E5432" s="26" t="s">
        <v>139</v>
      </c>
      <c r="F5432" s="26" t="s">
        <v>6512</v>
      </c>
      <c r="G5432" s="26" t="s">
        <v>1847</v>
      </c>
      <c r="H5432" s="80" t="s">
        <v>18445</v>
      </c>
      <c r="I5432" s="17">
        <f ca="1">IFERROR(__xludf.DUMMYFUNCTION("""COMPUTED_VALUE"""),45666)</f>
        <v>45666</v>
      </c>
      <c r="J5432" s="29" t="s">
        <v>3657</v>
      </c>
      <c r="K5432" s="26" t="s">
        <v>18448</v>
      </c>
      <c r="L5432" s="30">
        <v>376549099</v>
      </c>
      <c r="M5432" s="26" t="s">
        <v>123</v>
      </c>
      <c r="N5432" s="26" t="s">
        <v>850</v>
      </c>
      <c r="O5432" s="26" t="s">
        <v>134</v>
      </c>
      <c r="P5432" s="42" t="s">
        <v>18449</v>
      </c>
      <c r="Q5432" s="20">
        <v>15936</v>
      </c>
      <c r="R5432" s="26" t="s">
        <v>36</v>
      </c>
      <c r="S5432" s="31">
        <v>100</v>
      </c>
      <c r="T5432" s="32">
        <v>45178</v>
      </c>
      <c r="U5432" s="31">
        <v>15836</v>
      </c>
      <c r="V5432" s="32">
        <v>45189</v>
      </c>
      <c r="W5432" s="33" t="s">
        <v>3660</v>
      </c>
      <c r="X5432" s="26"/>
      <c r="Y5432" s="22">
        <v>0</v>
      </c>
      <c r="Z5432" s="26" t="s">
        <v>118</v>
      </c>
      <c r="AA5432" s="19" t="s">
        <v>5785</v>
      </c>
      <c r="AB5432" s="26" t="s">
        <v>36</v>
      </c>
      <c r="AC5432" s="26" t="s">
        <v>53</v>
      </c>
      <c r="AD5432" s="19" t="s">
        <v>138</v>
      </c>
      <c r="AE5432" s="26" t="s">
        <v>6512</v>
      </c>
      <c r="AF5432" s="17">
        <v>45663</v>
      </c>
      <c r="AG5432" s="26"/>
      <c r="AH5432" s="26"/>
      <c r="AI5432" s="40" t="s">
        <v>147</v>
      </c>
      <c r="AJ5432" s="26"/>
      <c r="AK5432" s="26"/>
      <c r="AL5432" s="35"/>
      <c r="AM5432" s="35"/>
      <c r="AN5432" s="35"/>
      <c r="AO5432" s="35"/>
      <c r="AP5432" s="35"/>
    </row>
    <row r="5433" spans="1:42" x14ac:dyDescent="0.2">
      <c r="A5433" s="74">
        <v>45657</v>
      </c>
      <c r="B5433" s="137" t="s">
        <v>37</v>
      </c>
      <c r="C5433" s="41" t="s">
        <v>118</v>
      </c>
      <c r="D5433" s="26" t="s">
        <v>36</v>
      </c>
      <c r="E5433" s="26" t="s">
        <v>119</v>
      </c>
      <c r="F5433" s="26" t="s">
        <v>6519</v>
      </c>
      <c r="G5433" s="26" t="s">
        <v>1847</v>
      </c>
      <c r="H5433" s="80" t="s">
        <v>18445</v>
      </c>
      <c r="I5433" s="17">
        <f ca="1">IFERROR(__xludf.DUMMYFUNCTION("""COMPUTED_VALUE"""),45666)</f>
        <v>45666</v>
      </c>
      <c r="J5433" s="29" t="s">
        <v>3880</v>
      </c>
      <c r="K5433" s="19" t="s">
        <v>3881</v>
      </c>
      <c r="L5433" s="47">
        <v>358340212</v>
      </c>
      <c r="M5433" s="26" t="s">
        <v>80</v>
      </c>
      <c r="N5433" s="26" t="s">
        <v>186</v>
      </c>
      <c r="O5433" s="26" t="s">
        <v>1492</v>
      </c>
      <c r="P5433" s="42" t="s">
        <v>9013</v>
      </c>
      <c r="Q5433" s="20">
        <v>13968</v>
      </c>
      <c r="R5433" s="26" t="s">
        <v>36</v>
      </c>
      <c r="S5433" s="31">
        <v>4000</v>
      </c>
      <c r="T5433" s="32">
        <v>45196</v>
      </c>
      <c r="U5433" s="31">
        <v>9968</v>
      </c>
      <c r="V5433" s="32">
        <v>45217</v>
      </c>
      <c r="W5433" s="33" t="s">
        <v>3882</v>
      </c>
      <c r="X5433" s="26"/>
      <c r="Y5433" s="22">
        <v>0</v>
      </c>
      <c r="Z5433" s="109" t="s">
        <v>118</v>
      </c>
      <c r="AA5433" s="19" t="s">
        <v>3454</v>
      </c>
      <c r="AB5433" s="26" t="s">
        <v>36</v>
      </c>
      <c r="AC5433" s="26" t="s">
        <v>53</v>
      </c>
      <c r="AD5433" s="19" t="s">
        <v>138</v>
      </c>
      <c r="AE5433" s="26" t="s">
        <v>6519</v>
      </c>
      <c r="AF5433" s="17">
        <v>45660</v>
      </c>
      <c r="AG5433" s="26"/>
      <c r="AH5433" s="26"/>
      <c r="AI5433" s="40"/>
      <c r="AJ5433" s="26"/>
      <c r="AK5433" s="26"/>
      <c r="AL5433" s="35"/>
      <c r="AM5433" s="35"/>
      <c r="AN5433" s="35"/>
      <c r="AO5433" s="35"/>
      <c r="AP5433" s="35"/>
    </row>
    <row r="5434" spans="1:42" x14ac:dyDescent="0.2">
      <c r="A5434" s="74">
        <v>45657</v>
      </c>
      <c r="B5434" s="137" t="s">
        <v>37</v>
      </c>
      <c r="C5434" s="41" t="s">
        <v>118</v>
      </c>
      <c r="D5434" s="80" t="s">
        <v>36</v>
      </c>
      <c r="E5434" s="80" t="s">
        <v>119</v>
      </c>
      <c r="F5434" s="80" t="s">
        <v>6919</v>
      </c>
      <c r="G5434" s="26" t="s">
        <v>221</v>
      </c>
      <c r="H5434" s="80" t="s">
        <v>18322</v>
      </c>
      <c r="I5434" s="17">
        <f ca="1">IFERROR(__xludf.DUMMYFUNCTION("""COMPUTED_VALUE"""),45699)</f>
        <v>45699</v>
      </c>
      <c r="J5434" s="143" t="s">
        <v>15062</v>
      </c>
      <c r="K5434" s="80" t="s">
        <v>15063</v>
      </c>
      <c r="L5434" s="30">
        <v>398059568</v>
      </c>
      <c r="M5434" s="80" t="s">
        <v>5518</v>
      </c>
      <c r="N5434" s="80" t="s">
        <v>12380</v>
      </c>
      <c r="O5434" s="80" t="s">
        <v>15064</v>
      </c>
      <c r="P5434" s="80" t="s">
        <v>7743</v>
      </c>
      <c r="Q5434" s="20">
        <v>13968</v>
      </c>
      <c r="R5434" s="80" t="s">
        <v>36</v>
      </c>
      <c r="S5434" s="95">
        <f>500+3500</f>
        <v>4000</v>
      </c>
      <c r="T5434" s="83" t="s">
        <v>15060</v>
      </c>
      <c r="U5434" s="77">
        <v>9968</v>
      </c>
      <c r="V5434" s="148">
        <v>45569</v>
      </c>
      <c r="W5434" s="85" t="s">
        <v>15065</v>
      </c>
      <c r="X5434" s="80"/>
      <c r="Y5434" s="22">
        <v>0</v>
      </c>
      <c r="Z5434" s="80" t="s">
        <v>50</v>
      </c>
      <c r="AA5434" s="35" t="s">
        <v>9905</v>
      </c>
      <c r="AB5434" s="80"/>
      <c r="AC5434" s="80" t="s">
        <v>53</v>
      </c>
      <c r="AD5434" s="80" t="s">
        <v>138</v>
      </c>
      <c r="AE5434" s="80" t="s">
        <v>6919</v>
      </c>
      <c r="AF5434" s="17">
        <v>45699</v>
      </c>
      <c r="AG5434" s="26"/>
      <c r="AH5434" s="80"/>
      <c r="AI5434" s="147"/>
      <c r="AJ5434" s="80"/>
      <c r="AK5434" s="80"/>
      <c r="AL5434" s="35"/>
      <c r="AM5434" s="35"/>
      <c r="AN5434" s="35"/>
      <c r="AO5434" s="35"/>
      <c r="AP5434" s="35"/>
    </row>
    <row r="5435" spans="1:42" x14ac:dyDescent="0.2">
      <c r="A5435" s="74">
        <v>45657</v>
      </c>
      <c r="B5435" s="137" t="s">
        <v>37</v>
      </c>
      <c r="C5435" s="41" t="s">
        <v>118</v>
      </c>
      <c r="D5435" s="80" t="s">
        <v>36</v>
      </c>
      <c r="E5435" s="80" t="s">
        <v>39</v>
      </c>
      <c r="F5435" s="80" t="s">
        <v>12793</v>
      </c>
      <c r="G5435" s="80" t="s">
        <v>108</v>
      </c>
      <c r="H5435" s="80" t="s">
        <v>14711</v>
      </c>
      <c r="I5435" s="17">
        <f ca="1">IFERROR(__xludf.DUMMYFUNCTION("""COMPUTED_VALUE"""),45678)</f>
        <v>45678</v>
      </c>
      <c r="J5435" s="143" t="s">
        <v>13305</v>
      </c>
      <c r="K5435" s="80" t="s">
        <v>18450</v>
      </c>
      <c r="L5435" s="30">
        <v>383257036</v>
      </c>
      <c r="M5435" s="80" t="s">
        <v>45</v>
      </c>
      <c r="N5435" s="80" t="s">
        <v>12712</v>
      </c>
      <c r="O5435" s="80" t="s">
        <v>13307</v>
      </c>
      <c r="P5435" s="80" t="s">
        <v>13308</v>
      </c>
      <c r="Q5435" s="20">
        <v>5736</v>
      </c>
      <c r="R5435" s="80" t="s">
        <v>36</v>
      </c>
      <c r="S5435" s="95">
        <v>5736</v>
      </c>
      <c r="T5435" s="148">
        <v>45552</v>
      </c>
      <c r="U5435" s="77"/>
      <c r="V5435" s="78"/>
      <c r="W5435" s="85" t="s">
        <v>13309</v>
      </c>
      <c r="X5435" s="80">
        <v>0</v>
      </c>
      <c r="Y5435" s="22">
        <v>0</v>
      </c>
      <c r="Z5435" s="80" t="s">
        <v>50</v>
      </c>
      <c r="AA5435" s="96" t="s">
        <v>3291</v>
      </c>
      <c r="AB5435" s="80"/>
      <c r="AC5435" s="80" t="s">
        <v>53</v>
      </c>
      <c r="AD5435" s="80" t="s">
        <v>54</v>
      </c>
      <c r="AE5435" s="80" t="s">
        <v>12793</v>
      </c>
      <c r="AF5435" s="17">
        <v>45298</v>
      </c>
      <c r="AG5435" s="80"/>
      <c r="AH5435" s="80"/>
      <c r="AI5435" s="147" t="s">
        <v>55</v>
      </c>
      <c r="AJ5435" s="80"/>
      <c r="AK5435" s="80"/>
      <c r="AL5435" s="35"/>
      <c r="AM5435" s="35"/>
      <c r="AN5435" s="35"/>
      <c r="AO5435" s="35"/>
      <c r="AP5435" s="35"/>
    </row>
    <row r="5436" spans="1:42" x14ac:dyDescent="0.2">
      <c r="A5436" s="74">
        <v>45657</v>
      </c>
      <c r="B5436" s="137" t="s">
        <v>37</v>
      </c>
      <c r="C5436" s="41" t="s">
        <v>118</v>
      </c>
      <c r="D5436" s="80" t="s">
        <v>36</v>
      </c>
      <c r="E5436" s="80" t="s">
        <v>56</v>
      </c>
      <c r="F5436" s="80" t="s">
        <v>12766</v>
      </c>
      <c r="G5436" s="80" t="s">
        <v>108</v>
      </c>
      <c r="H5436" s="80" t="s">
        <v>14711</v>
      </c>
      <c r="I5436" s="17">
        <f ca="1">IFERROR(__xludf.DUMMYFUNCTION("""COMPUTED_VALUE"""),45678)</f>
        <v>45678</v>
      </c>
      <c r="J5436" s="143" t="s">
        <v>13085</v>
      </c>
      <c r="K5436" s="80" t="s">
        <v>13086</v>
      </c>
      <c r="L5436" s="30">
        <v>961693034</v>
      </c>
      <c r="M5436" s="80" t="s">
        <v>45</v>
      </c>
      <c r="N5436" s="80" t="s">
        <v>1472</v>
      </c>
      <c r="O5436" s="80" t="s">
        <v>13087</v>
      </c>
      <c r="P5436" s="80" t="s">
        <v>18451</v>
      </c>
      <c r="Q5436" s="20">
        <v>9317</v>
      </c>
      <c r="R5436" s="80" t="s">
        <v>36</v>
      </c>
      <c r="S5436" s="95">
        <v>9317</v>
      </c>
      <c r="T5436" s="148">
        <v>45544</v>
      </c>
      <c r="U5436" s="77"/>
      <c r="V5436" s="78"/>
      <c r="W5436" s="79" t="s">
        <v>13088</v>
      </c>
      <c r="X5436" s="80">
        <v>0</v>
      </c>
      <c r="Y5436" s="22">
        <v>0</v>
      </c>
      <c r="Z5436" s="80" t="s">
        <v>50</v>
      </c>
      <c r="AA5436" s="35" t="s">
        <v>3291</v>
      </c>
      <c r="AB5436" s="80"/>
      <c r="AC5436" s="80" t="s">
        <v>53</v>
      </c>
      <c r="AD5436" s="80" t="s">
        <v>138</v>
      </c>
      <c r="AE5436" s="80" t="s">
        <v>12766</v>
      </c>
      <c r="AF5436" s="17">
        <v>45298</v>
      </c>
      <c r="AG5436" s="80"/>
      <c r="AH5436" s="80"/>
      <c r="AI5436" s="147" t="s">
        <v>64</v>
      </c>
      <c r="AJ5436" s="80"/>
      <c r="AK5436" s="80"/>
      <c r="AL5436" s="35"/>
      <c r="AM5436" s="35"/>
      <c r="AN5436" s="35"/>
      <c r="AO5436" s="35"/>
      <c r="AP5436" s="35"/>
    </row>
    <row r="5437" spans="1:42" x14ac:dyDescent="0.2">
      <c r="A5437" s="74">
        <v>45657</v>
      </c>
      <c r="B5437" s="137" t="s">
        <v>37</v>
      </c>
      <c r="C5437" s="41" t="s">
        <v>118</v>
      </c>
      <c r="D5437" s="80" t="s">
        <v>36</v>
      </c>
      <c r="E5437" s="80" t="s">
        <v>139</v>
      </c>
      <c r="F5437" s="80" t="s">
        <v>13315</v>
      </c>
      <c r="G5437" s="80" t="s">
        <v>108</v>
      </c>
      <c r="H5437" s="80" t="s">
        <v>14711</v>
      </c>
      <c r="I5437" s="17">
        <f ca="1">IFERROR(__xludf.DUMMYFUNCTION("""COMPUTED_VALUE"""),45678)</f>
        <v>45678</v>
      </c>
      <c r="J5437" s="143" t="s">
        <v>13464</v>
      </c>
      <c r="K5437" s="80" t="s">
        <v>18452</v>
      </c>
      <c r="L5437" s="30">
        <v>774341368</v>
      </c>
      <c r="M5437" s="80" t="s">
        <v>348</v>
      </c>
      <c r="N5437" s="80" t="s">
        <v>200</v>
      </c>
      <c r="O5437" s="80" t="s">
        <v>91</v>
      </c>
      <c r="P5437" s="144" t="s">
        <v>18453</v>
      </c>
      <c r="Q5437" s="20">
        <v>15936</v>
      </c>
      <c r="R5437" s="80" t="s">
        <v>36</v>
      </c>
      <c r="S5437" s="95">
        <v>15936</v>
      </c>
      <c r="T5437" s="148">
        <v>45558</v>
      </c>
      <c r="U5437" s="77"/>
      <c r="V5437" s="78"/>
      <c r="W5437" s="85" t="s">
        <v>13467</v>
      </c>
      <c r="X5437" s="80">
        <v>0</v>
      </c>
      <c r="Y5437" s="22">
        <v>0</v>
      </c>
      <c r="Z5437" s="80" t="s">
        <v>50</v>
      </c>
      <c r="AA5437" s="96" t="s">
        <v>3291</v>
      </c>
      <c r="AB5437" s="80"/>
      <c r="AC5437" s="80" t="s">
        <v>53</v>
      </c>
      <c r="AD5437" s="80" t="s">
        <v>54</v>
      </c>
      <c r="AE5437" s="80" t="s">
        <v>13315</v>
      </c>
      <c r="AF5437" s="17">
        <v>45667</v>
      </c>
      <c r="AG5437" s="80"/>
      <c r="AH5437" s="80"/>
      <c r="AI5437" s="147" t="s">
        <v>147</v>
      </c>
      <c r="AJ5437" s="80"/>
      <c r="AK5437" s="80"/>
      <c r="AL5437" s="35"/>
      <c r="AM5437" s="35"/>
      <c r="AN5437" s="35"/>
      <c r="AO5437" s="35"/>
      <c r="AP5437" s="35"/>
    </row>
    <row r="5438" spans="1:42" x14ac:dyDescent="0.2">
      <c r="A5438" s="74">
        <v>45657</v>
      </c>
      <c r="B5438" s="137" t="s">
        <v>37</v>
      </c>
      <c r="C5438" s="41" t="s">
        <v>118</v>
      </c>
      <c r="D5438" s="80" t="s">
        <v>36</v>
      </c>
      <c r="E5438" s="80" t="s">
        <v>119</v>
      </c>
      <c r="F5438" s="80" t="s">
        <v>450</v>
      </c>
      <c r="G5438" s="80" t="s">
        <v>221</v>
      </c>
      <c r="H5438" s="80" t="s">
        <v>13665</v>
      </c>
      <c r="I5438" s="17">
        <f ca="1">IFERROR(__xludf.DUMMYFUNCTION("""COMPUTED_VALUE"""),45665)</f>
        <v>45665</v>
      </c>
      <c r="J5438" s="143" t="s">
        <v>12193</v>
      </c>
      <c r="K5438" s="80" t="s">
        <v>18454</v>
      </c>
      <c r="L5438" s="30">
        <v>398630233</v>
      </c>
      <c r="M5438" s="80" t="s">
        <v>80</v>
      </c>
      <c r="N5438" s="80" t="s">
        <v>466</v>
      </c>
      <c r="O5438" s="80" t="s">
        <v>12195</v>
      </c>
      <c r="P5438" s="144" t="s">
        <v>18455</v>
      </c>
      <c r="Q5438" s="20">
        <v>13968</v>
      </c>
      <c r="R5438" s="80" t="s">
        <v>36</v>
      </c>
      <c r="S5438" s="95">
        <f>200+3800</f>
        <v>4000</v>
      </c>
      <c r="T5438" s="83" t="s">
        <v>12197</v>
      </c>
      <c r="U5438" s="95">
        <v>9968</v>
      </c>
      <c r="V5438" s="148">
        <v>45546</v>
      </c>
      <c r="W5438" s="85" t="s">
        <v>12198</v>
      </c>
      <c r="X5438" s="80">
        <v>0</v>
      </c>
      <c r="Y5438" s="22">
        <v>0</v>
      </c>
      <c r="Z5438" s="80" t="s">
        <v>50</v>
      </c>
      <c r="AA5438" s="35" t="s">
        <v>3291</v>
      </c>
      <c r="AB5438" s="80"/>
      <c r="AC5438" s="80" t="s">
        <v>53</v>
      </c>
      <c r="AD5438" s="80" t="s">
        <v>54</v>
      </c>
      <c r="AE5438" s="80" t="s">
        <v>450</v>
      </c>
      <c r="AF5438" s="17">
        <v>45659</v>
      </c>
      <c r="AG5438" s="80"/>
      <c r="AH5438" s="80"/>
      <c r="AI5438" s="147">
        <v>4</v>
      </c>
      <c r="AJ5438" s="80"/>
      <c r="AK5438" s="80"/>
      <c r="AL5438" s="35"/>
      <c r="AM5438" s="35"/>
      <c r="AN5438" s="35"/>
      <c r="AO5438" s="35"/>
      <c r="AP5438" s="35"/>
    </row>
    <row r="5439" spans="1:42" x14ac:dyDescent="0.2">
      <c r="A5439" s="74">
        <v>45657</v>
      </c>
      <c r="B5439" s="137"/>
      <c r="C5439" s="41" t="s">
        <v>118</v>
      </c>
      <c r="D5439" s="80" t="s">
        <v>36</v>
      </c>
      <c r="E5439" s="80" t="s">
        <v>139</v>
      </c>
      <c r="F5439" s="80" t="s">
        <v>13206</v>
      </c>
      <c r="G5439" s="80" t="s">
        <v>108</v>
      </c>
      <c r="H5439" s="80" t="s">
        <v>18456</v>
      </c>
      <c r="I5439" s="17" t="str">
        <f ca="1">IFERROR(__xludf.DUMMYFUNCTION("""COMPUTED_VALUE""")," ")</f>
        <v xml:space="preserve"> </v>
      </c>
      <c r="J5439" s="172" t="s">
        <v>13207</v>
      </c>
      <c r="K5439" s="80" t="s">
        <v>18457</v>
      </c>
      <c r="L5439" s="30">
        <v>906091643</v>
      </c>
      <c r="M5439" s="80" t="s">
        <v>9422</v>
      </c>
      <c r="N5439" s="80" t="s">
        <v>13208</v>
      </c>
      <c r="O5439" s="80" t="s">
        <v>8827</v>
      </c>
      <c r="P5439" s="137" t="s">
        <v>18458</v>
      </c>
      <c r="Q5439" s="20">
        <v>15936</v>
      </c>
      <c r="R5439" s="80" t="s">
        <v>36</v>
      </c>
      <c r="S5439" s="95">
        <v>8000</v>
      </c>
      <c r="T5439" s="148">
        <v>45548</v>
      </c>
      <c r="U5439" s="95">
        <v>7936</v>
      </c>
      <c r="V5439" s="148">
        <v>45553</v>
      </c>
      <c r="W5439" s="85" t="s">
        <v>13210</v>
      </c>
      <c r="X5439" s="80">
        <v>0</v>
      </c>
      <c r="Y5439" s="22">
        <v>0</v>
      </c>
      <c r="Z5439" s="80" t="s">
        <v>50</v>
      </c>
      <c r="AA5439" s="96" t="s">
        <v>3291</v>
      </c>
      <c r="AB5439" s="80"/>
      <c r="AC5439" s="80" t="s">
        <v>53</v>
      </c>
      <c r="AD5439" s="80" t="s">
        <v>54</v>
      </c>
      <c r="AE5439" s="80" t="s">
        <v>13206</v>
      </c>
      <c r="AF5439" s="17">
        <v>45805</v>
      </c>
      <c r="AG5439" s="80" t="s">
        <v>18459</v>
      </c>
      <c r="AH5439" s="80"/>
      <c r="AI5439" s="147" t="s">
        <v>147</v>
      </c>
      <c r="AJ5439" s="80"/>
      <c r="AK5439" s="80"/>
      <c r="AL5439" s="35"/>
      <c r="AM5439" s="35"/>
      <c r="AN5439" s="35"/>
      <c r="AO5439" s="35"/>
      <c r="AP5439" s="35"/>
    </row>
    <row r="5440" spans="1:42" x14ac:dyDescent="0.2">
      <c r="A5440" s="74">
        <v>45657</v>
      </c>
      <c r="B5440" s="137" t="s">
        <v>37</v>
      </c>
      <c r="C5440" s="41" t="s">
        <v>118</v>
      </c>
      <c r="D5440" s="80" t="s">
        <v>36</v>
      </c>
      <c r="E5440" s="80" t="s">
        <v>139</v>
      </c>
      <c r="F5440" s="80" t="s">
        <v>13384</v>
      </c>
      <c r="G5440" s="80" t="s">
        <v>108</v>
      </c>
      <c r="H5440" s="80" t="s">
        <v>18392</v>
      </c>
      <c r="I5440" s="17">
        <f ca="1">IFERROR(__xludf.DUMMYFUNCTION("""COMPUTED_VALUE"""),45698)</f>
        <v>45698</v>
      </c>
      <c r="J5440" s="143" t="s">
        <v>15493</v>
      </c>
      <c r="K5440" s="80" t="s">
        <v>18460</v>
      </c>
      <c r="L5440" s="30">
        <v>763310836</v>
      </c>
      <c r="M5440" s="80" t="s">
        <v>5518</v>
      </c>
      <c r="N5440" s="80" t="s">
        <v>5252</v>
      </c>
      <c r="O5440" s="80" t="s">
        <v>15495</v>
      </c>
      <c r="P5440" s="80" t="s">
        <v>7743</v>
      </c>
      <c r="Q5440" s="20">
        <v>15936</v>
      </c>
      <c r="R5440" s="80" t="s">
        <v>70</v>
      </c>
      <c r="S5440" s="95">
        <v>2000</v>
      </c>
      <c r="T5440" s="148">
        <v>45557</v>
      </c>
      <c r="U5440" s="95">
        <v>13936</v>
      </c>
      <c r="V5440" s="148">
        <v>45589</v>
      </c>
      <c r="W5440" s="85" t="s">
        <v>15496</v>
      </c>
      <c r="X5440" s="80"/>
      <c r="Y5440" s="22">
        <v>0</v>
      </c>
      <c r="Z5440" s="80" t="s">
        <v>50</v>
      </c>
      <c r="AA5440" s="35" t="s">
        <v>9905</v>
      </c>
      <c r="AB5440" s="80"/>
      <c r="AC5440" s="80" t="s">
        <v>53</v>
      </c>
      <c r="AD5440" s="80" t="s">
        <v>138</v>
      </c>
      <c r="AE5440" s="80" t="s">
        <v>13384</v>
      </c>
      <c r="AF5440" s="43">
        <v>45698</v>
      </c>
      <c r="AG5440" s="80"/>
      <c r="AH5440" s="80"/>
      <c r="AI5440" s="147"/>
      <c r="AJ5440" s="80"/>
      <c r="AK5440" s="80"/>
      <c r="AL5440" s="35"/>
      <c r="AM5440" s="35"/>
      <c r="AN5440" s="35"/>
      <c r="AO5440" s="35"/>
      <c r="AP5440" s="35"/>
    </row>
    <row r="5441" spans="1:42" x14ac:dyDescent="0.2">
      <c r="A5441" s="74">
        <v>45657</v>
      </c>
      <c r="B5441" s="137" t="s">
        <v>37</v>
      </c>
      <c r="C5441" s="41" t="s">
        <v>118</v>
      </c>
      <c r="D5441" s="80" t="s">
        <v>36</v>
      </c>
      <c r="E5441" s="80" t="s">
        <v>139</v>
      </c>
      <c r="F5441" s="80" t="s">
        <v>13384</v>
      </c>
      <c r="G5441" s="80" t="s">
        <v>108</v>
      </c>
      <c r="H5441" s="80" t="s">
        <v>18392</v>
      </c>
      <c r="I5441" s="17">
        <f ca="1">IFERROR(__xludf.DUMMYFUNCTION("""COMPUTED_VALUE"""),45698)</f>
        <v>45698</v>
      </c>
      <c r="J5441" s="143" t="s">
        <v>15538</v>
      </c>
      <c r="K5441" s="80" t="s">
        <v>15539</v>
      </c>
      <c r="L5441" s="30">
        <v>333439014</v>
      </c>
      <c r="M5441" s="80" t="s">
        <v>5518</v>
      </c>
      <c r="N5441" s="80" t="s">
        <v>5252</v>
      </c>
      <c r="O5441" s="80" t="s">
        <v>15540</v>
      </c>
      <c r="P5441" s="80" t="s">
        <v>13408</v>
      </c>
      <c r="Q5441" s="20">
        <v>15936</v>
      </c>
      <c r="R5441" s="80" t="s">
        <v>36</v>
      </c>
      <c r="S5441" s="95">
        <f>200+800+1000</f>
        <v>2000</v>
      </c>
      <c r="T5441" s="83" t="s">
        <v>15524</v>
      </c>
      <c r="U5441" s="95">
        <v>13936</v>
      </c>
      <c r="V5441" s="148">
        <v>45588</v>
      </c>
      <c r="W5441" s="85" t="s">
        <v>15541</v>
      </c>
      <c r="X5441" s="80"/>
      <c r="Y5441" s="22">
        <v>0</v>
      </c>
      <c r="Z5441" s="80" t="s">
        <v>50</v>
      </c>
      <c r="AA5441" s="96" t="s">
        <v>9905</v>
      </c>
      <c r="AB5441" s="144" t="s">
        <v>15542</v>
      </c>
      <c r="AC5441" s="80" t="s">
        <v>53</v>
      </c>
      <c r="AD5441" s="80" t="s">
        <v>138</v>
      </c>
      <c r="AE5441" s="80" t="s">
        <v>13384</v>
      </c>
      <c r="AF5441" s="43">
        <v>45698</v>
      </c>
      <c r="AG5441" s="80"/>
      <c r="AH5441" s="80"/>
      <c r="AI5441" s="147"/>
      <c r="AJ5441" s="80"/>
      <c r="AK5441" s="80"/>
      <c r="AL5441" s="35"/>
      <c r="AM5441" s="35"/>
      <c r="AN5441" s="35"/>
      <c r="AO5441" s="35"/>
      <c r="AP5441" s="35"/>
    </row>
    <row r="5442" spans="1:42" x14ac:dyDescent="0.2">
      <c r="A5442" s="14">
        <v>45659</v>
      </c>
      <c r="B5442" s="137" t="s">
        <v>37</v>
      </c>
      <c r="C5442" s="41" t="s">
        <v>118</v>
      </c>
      <c r="D5442" s="26" t="s">
        <v>36</v>
      </c>
      <c r="E5442" s="26" t="s">
        <v>139</v>
      </c>
      <c r="F5442" s="26" t="s">
        <v>9032</v>
      </c>
      <c r="G5442" s="26" t="s">
        <v>1847</v>
      </c>
      <c r="H5442" s="26" t="s">
        <v>18445</v>
      </c>
      <c r="I5442" s="17">
        <f ca="1">IFERROR(__xludf.DUMMYFUNCTION("""COMPUTED_VALUE"""),45666)</f>
        <v>45666</v>
      </c>
      <c r="J5442" s="29" t="s">
        <v>8136</v>
      </c>
      <c r="K5442" s="26" t="s">
        <v>8137</v>
      </c>
      <c r="L5442" s="30">
        <v>902137724</v>
      </c>
      <c r="M5442" s="26" t="s">
        <v>123</v>
      </c>
      <c r="N5442" s="26" t="s">
        <v>186</v>
      </c>
      <c r="O5442" s="26" t="s">
        <v>4503</v>
      </c>
      <c r="P5442" s="42" t="s">
        <v>18461</v>
      </c>
      <c r="Q5442" s="20">
        <v>15936</v>
      </c>
      <c r="R5442" s="26" t="s">
        <v>36</v>
      </c>
      <c r="S5442" s="31">
        <v>200</v>
      </c>
      <c r="T5442" s="32">
        <v>45330</v>
      </c>
      <c r="U5442" s="31">
        <f>5000+10636+100</f>
        <v>15736</v>
      </c>
      <c r="V5442" s="26" t="s">
        <v>8138</v>
      </c>
      <c r="W5442" s="26" t="s">
        <v>8139</v>
      </c>
      <c r="X5442" s="26"/>
      <c r="Y5442" s="22">
        <v>0</v>
      </c>
      <c r="Z5442" s="26" t="s">
        <v>118</v>
      </c>
      <c r="AA5442" s="19" t="s">
        <v>8317</v>
      </c>
      <c r="AB5442" s="80" t="s">
        <v>36</v>
      </c>
      <c r="AC5442" s="26" t="s">
        <v>53</v>
      </c>
      <c r="AD5442" s="19" t="s">
        <v>138</v>
      </c>
      <c r="AE5442" s="26" t="s">
        <v>9032</v>
      </c>
      <c r="AF5442" s="17">
        <v>45660</v>
      </c>
      <c r="AG5442" s="26"/>
      <c r="AH5442" s="26"/>
      <c r="AI5442" s="40"/>
      <c r="AJ5442" s="26"/>
      <c r="AK5442" s="26"/>
      <c r="AL5442" s="35"/>
      <c r="AM5442" s="35"/>
      <c r="AN5442" s="35"/>
      <c r="AO5442" s="35"/>
      <c r="AP5442" s="35"/>
    </row>
    <row r="5443" spans="1:42" x14ac:dyDescent="0.2">
      <c r="A5443" s="14">
        <v>45659</v>
      </c>
      <c r="B5443" s="137" t="s">
        <v>37</v>
      </c>
      <c r="C5443" s="41" t="s">
        <v>118</v>
      </c>
      <c r="D5443" s="26" t="s">
        <v>36</v>
      </c>
      <c r="E5443" s="26" t="s">
        <v>139</v>
      </c>
      <c r="F5443" s="26" t="s">
        <v>9032</v>
      </c>
      <c r="G5443" s="26" t="s">
        <v>1847</v>
      </c>
      <c r="H5443" s="26" t="s">
        <v>18445</v>
      </c>
      <c r="I5443" s="17">
        <f ca="1">IFERROR(__xludf.DUMMYFUNCTION("""COMPUTED_VALUE"""),45666)</f>
        <v>45666</v>
      </c>
      <c r="J5443" s="29" t="s">
        <v>7687</v>
      </c>
      <c r="K5443" s="26" t="s">
        <v>7688</v>
      </c>
      <c r="L5443" s="30">
        <v>825946086</v>
      </c>
      <c r="M5443" s="26" t="s">
        <v>123</v>
      </c>
      <c r="N5443" s="26" t="s">
        <v>186</v>
      </c>
      <c r="O5443" s="26" t="s">
        <v>4503</v>
      </c>
      <c r="P5443" s="42" t="s">
        <v>18462</v>
      </c>
      <c r="Q5443" s="20">
        <v>15936</v>
      </c>
      <c r="R5443" s="26" t="s">
        <v>70</v>
      </c>
      <c r="S5443" s="31">
        <v>200</v>
      </c>
      <c r="T5443" s="32">
        <v>45330</v>
      </c>
      <c r="U5443" s="31">
        <f>5000+10736</f>
        <v>15736</v>
      </c>
      <c r="V5443" s="26" t="s">
        <v>7689</v>
      </c>
      <c r="W5443" s="26" t="s">
        <v>7690</v>
      </c>
      <c r="X5443" s="26"/>
      <c r="Y5443" s="22">
        <v>0</v>
      </c>
      <c r="Z5443" s="98" t="s">
        <v>118</v>
      </c>
      <c r="AA5443" s="19" t="s">
        <v>7361</v>
      </c>
      <c r="AB5443" s="80" t="s">
        <v>36</v>
      </c>
      <c r="AC5443" s="26" t="s">
        <v>53</v>
      </c>
      <c r="AD5443" s="19" t="s">
        <v>138</v>
      </c>
      <c r="AE5443" s="26" t="s">
        <v>9032</v>
      </c>
      <c r="AF5443" s="17">
        <v>45660</v>
      </c>
      <c r="AG5443" s="26"/>
      <c r="AH5443" s="26"/>
      <c r="AI5443" s="40"/>
      <c r="AJ5443" s="26"/>
      <c r="AK5443" s="26"/>
      <c r="AL5443" s="35"/>
      <c r="AM5443" s="35"/>
      <c r="AN5443" s="35"/>
      <c r="AO5443" s="35"/>
      <c r="AP5443" s="35"/>
    </row>
    <row r="5444" spans="1:42" x14ac:dyDescent="0.2">
      <c r="A5444" s="14">
        <v>45659</v>
      </c>
      <c r="B5444" s="137" t="s">
        <v>37</v>
      </c>
      <c r="C5444" s="41" t="s">
        <v>118</v>
      </c>
      <c r="D5444" s="80" t="s">
        <v>36</v>
      </c>
      <c r="E5444" s="80" t="s">
        <v>119</v>
      </c>
      <c r="F5444" s="80" t="s">
        <v>10028</v>
      </c>
      <c r="G5444" s="80" t="s">
        <v>221</v>
      </c>
      <c r="H5444" s="80" t="s">
        <v>13807</v>
      </c>
      <c r="I5444" s="17">
        <f ca="1">IFERROR(__xludf.DUMMYFUNCTION("""COMPUTED_VALUE"""),45660)</f>
        <v>45660</v>
      </c>
      <c r="J5444" s="143" t="s">
        <v>15349</v>
      </c>
      <c r="K5444" s="80" t="s">
        <v>15350</v>
      </c>
      <c r="L5444" s="30">
        <v>982227005</v>
      </c>
      <c r="M5444" s="80" t="s">
        <v>5518</v>
      </c>
      <c r="N5444" s="80" t="s">
        <v>12477</v>
      </c>
      <c r="O5444" s="80" t="s">
        <v>15351</v>
      </c>
      <c r="P5444" s="80" t="s">
        <v>3694</v>
      </c>
      <c r="Q5444" s="20">
        <v>13968</v>
      </c>
      <c r="R5444" s="80" t="s">
        <v>36</v>
      </c>
      <c r="S5444" s="95">
        <f>2000+2000</f>
        <v>4000</v>
      </c>
      <c r="T5444" s="83" t="s">
        <v>15352</v>
      </c>
      <c r="U5444" s="95">
        <v>9968</v>
      </c>
      <c r="V5444" s="148">
        <v>45581</v>
      </c>
      <c r="W5444" s="85" t="s">
        <v>15353</v>
      </c>
      <c r="X5444" s="80"/>
      <c r="Y5444" s="22">
        <v>0</v>
      </c>
      <c r="Z5444" s="80" t="s">
        <v>50</v>
      </c>
      <c r="AA5444" s="35" t="s">
        <v>9905</v>
      </c>
      <c r="AB5444" s="80"/>
      <c r="AC5444" s="80" t="s">
        <v>53</v>
      </c>
      <c r="AD5444" s="80" t="s">
        <v>138</v>
      </c>
      <c r="AE5444" s="80" t="s">
        <v>10028</v>
      </c>
      <c r="AF5444" s="17">
        <v>45660</v>
      </c>
      <c r="AG5444" s="80"/>
      <c r="AH5444" s="80"/>
      <c r="AI5444" s="147"/>
      <c r="AJ5444" s="80"/>
      <c r="AK5444" s="80"/>
      <c r="AL5444" s="35"/>
      <c r="AM5444" s="35"/>
      <c r="AN5444" s="35"/>
      <c r="AO5444" s="35"/>
      <c r="AP5444" s="35"/>
    </row>
    <row r="5445" spans="1:42" x14ac:dyDescent="0.2">
      <c r="A5445" s="14">
        <v>45659</v>
      </c>
      <c r="B5445" s="28" t="s">
        <v>37</v>
      </c>
      <c r="C5445" s="41" t="s">
        <v>118</v>
      </c>
      <c r="D5445" s="26" t="s">
        <v>36</v>
      </c>
      <c r="E5445" s="26" t="s">
        <v>2204</v>
      </c>
      <c r="F5445" s="26" t="s">
        <v>6993</v>
      </c>
      <c r="G5445" s="26" t="s">
        <v>1847</v>
      </c>
      <c r="H5445" s="26" t="s">
        <v>18445</v>
      </c>
      <c r="I5445" s="17">
        <f ca="1">IFERROR(__xludf.DUMMYFUNCTION("""COMPUTED_VALUE"""),45666)</f>
        <v>45666</v>
      </c>
      <c r="J5445" s="44" t="s">
        <v>7019</v>
      </c>
      <c r="K5445" s="26" t="s">
        <v>2206</v>
      </c>
      <c r="L5445" s="30">
        <v>377878055</v>
      </c>
      <c r="M5445" s="26" t="s">
        <v>112</v>
      </c>
      <c r="N5445" s="26" t="s">
        <v>3330</v>
      </c>
      <c r="O5445" s="26" t="s">
        <v>2144</v>
      </c>
      <c r="P5445" s="42" t="s">
        <v>18463</v>
      </c>
      <c r="Q5445" s="20">
        <v>15936</v>
      </c>
      <c r="R5445" s="26" t="s">
        <v>36</v>
      </c>
      <c r="S5445" s="77">
        <v>5000</v>
      </c>
      <c r="T5445" s="78">
        <v>44943</v>
      </c>
      <c r="U5445" s="77">
        <v>11779</v>
      </c>
      <c r="V5445" s="78">
        <v>44973</v>
      </c>
      <c r="W5445" s="85" t="s">
        <v>2210</v>
      </c>
      <c r="X5445" s="86"/>
      <c r="Y5445" s="22">
        <v>0</v>
      </c>
      <c r="Z5445" s="26" t="s">
        <v>118</v>
      </c>
      <c r="AA5445" s="19" t="s">
        <v>4541</v>
      </c>
      <c r="AB5445" s="26"/>
      <c r="AC5445" s="26" t="s">
        <v>53</v>
      </c>
      <c r="AD5445" s="19" t="s">
        <v>54</v>
      </c>
      <c r="AE5445" s="26" t="s">
        <v>6993</v>
      </c>
      <c r="AF5445" s="17">
        <v>45660</v>
      </c>
      <c r="AG5445" s="35" t="s">
        <v>2211</v>
      </c>
      <c r="AH5445" s="26" t="s">
        <v>4800</v>
      </c>
      <c r="AI5445" s="40"/>
      <c r="AJ5445" s="26"/>
      <c r="AK5445" s="26"/>
      <c r="AL5445" s="35"/>
      <c r="AM5445" s="35"/>
      <c r="AN5445" s="35"/>
      <c r="AO5445" s="35"/>
      <c r="AP5445" s="35"/>
    </row>
    <row r="5446" spans="1:42" x14ac:dyDescent="0.2">
      <c r="A5446" s="14">
        <v>45659</v>
      </c>
      <c r="B5446" s="28" t="s">
        <v>37</v>
      </c>
      <c r="C5446" s="41" t="s">
        <v>118</v>
      </c>
      <c r="D5446" s="26" t="s">
        <v>36</v>
      </c>
      <c r="E5446" s="26" t="s">
        <v>139</v>
      </c>
      <c r="F5446" s="26" t="s">
        <v>8915</v>
      </c>
      <c r="G5446" s="26" t="s">
        <v>1847</v>
      </c>
      <c r="H5446" s="26" t="s">
        <v>18445</v>
      </c>
      <c r="I5446" s="17">
        <f ca="1">IFERROR(__xludf.DUMMYFUNCTION("""COMPUTED_VALUE"""),45666)</f>
        <v>45666</v>
      </c>
      <c r="J5446" s="29" t="s">
        <v>18464</v>
      </c>
      <c r="K5446" s="26" t="s">
        <v>4038</v>
      </c>
      <c r="L5446" s="30">
        <v>878886183</v>
      </c>
      <c r="M5446" s="26" t="s">
        <v>910</v>
      </c>
      <c r="N5446" s="26" t="s">
        <v>3525</v>
      </c>
      <c r="O5446" s="26" t="s">
        <v>134</v>
      </c>
      <c r="P5446" s="42" t="s">
        <v>18465</v>
      </c>
      <c r="Q5446" s="20">
        <v>15936</v>
      </c>
      <c r="R5446" s="26" t="s">
        <v>70</v>
      </c>
      <c r="S5446" s="31">
        <v>2000</v>
      </c>
      <c r="T5446" s="32">
        <v>45202</v>
      </c>
      <c r="U5446" s="31">
        <v>13936</v>
      </c>
      <c r="V5446" s="32">
        <v>45223</v>
      </c>
      <c r="W5446" s="33" t="s">
        <v>4040</v>
      </c>
      <c r="X5446" s="26"/>
      <c r="Y5446" s="22">
        <v>0</v>
      </c>
      <c r="Z5446" s="26" t="s">
        <v>118</v>
      </c>
      <c r="AA5446" s="19" t="s">
        <v>5785</v>
      </c>
      <c r="AB5446" s="26" t="s">
        <v>36</v>
      </c>
      <c r="AC5446" s="26" t="s">
        <v>53</v>
      </c>
      <c r="AD5446" s="19" t="s">
        <v>54</v>
      </c>
      <c r="AE5446" s="26" t="s">
        <v>8915</v>
      </c>
      <c r="AF5446" s="17">
        <v>45660</v>
      </c>
      <c r="AG5446" s="26"/>
      <c r="AH5446" s="26"/>
      <c r="AI5446" s="40" t="s">
        <v>147</v>
      </c>
      <c r="AJ5446" s="26"/>
      <c r="AK5446" s="26"/>
      <c r="AL5446" s="35"/>
      <c r="AM5446" s="35"/>
      <c r="AN5446" s="35"/>
      <c r="AO5446" s="35"/>
      <c r="AP5446" s="35"/>
    </row>
    <row r="5447" spans="1:42" x14ac:dyDescent="0.2">
      <c r="A5447" s="14">
        <v>45659</v>
      </c>
      <c r="B5447" s="137" t="s">
        <v>37</v>
      </c>
      <c r="C5447" s="41" t="s">
        <v>118</v>
      </c>
      <c r="D5447" s="80" t="s">
        <v>36</v>
      </c>
      <c r="E5447" s="80" t="s">
        <v>139</v>
      </c>
      <c r="F5447" s="80" t="s">
        <v>9763</v>
      </c>
      <c r="G5447" s="80" t="s">
        <v>108</v>
      </c>
      <c r="H5447" s="80" t="s">
        <v>18466</v>
      </c>
      <c r="I5447" s="17" t="str">
        <f ca="1">IFERROR(__xludf.DUMMYFUNCTION("""COMPUTED_VALUE""")," ")</f>
        <v xml:space="preserve"> </v>
      </c>
      <c r="J5447" s="143" t="s">
        <v>11227</v>
      </c>
      <c r="K5447" s="80" t="s">
        <v>18467</v>
      </c>
      <c r="L5447" s="30">
        <v>352988238</v>
      </c>
      <c r="M5447" s="80" t="s">
        <v>45</v>
      </c>
      <c r="N5447" s="80" t="s">
        <v>2847</v>
      </c>
      <c r="O5447" s="80" t="s">
        <v>11229</v>
      </c>
      <c r="P5447" s="144" t="s">
        <v>18468</v>
      </c>
      <c r="Q5447" s="20">
        <v>15936</v>
      </c>
      <c r="R5447" s="80" t="s">
        <v>36</v>
      </c>
      <c r="S5447" s="95">
        <v>15936</v>
      </c>
      <c r="T5447" s="148">
        <v>45508</v>
      </c>
      <c r="U5447" s="77"/>
      <c r="V5447" s="78"/>
      <c r="W5447" s="85" t="s">
        <v>11231</v>
      </c>
      <c r="X5447" s="80">
        <v>0</v>
      </c>
      <c r="Y5447" s="22">
        <v>0</v>
      </c>
      <c r="Z5447" s="80" t="s">
        <v>50</v>
      </c>
      <c r="AA5447" s="96" t="s">
        <v>10314</v>
      </c>
      <c r="AB5447" s="80"/>
      <c r="AC5447" s="80" t="s">
        <v>53</v>
      </c>
      <c r="AD5447" s="80" t="s">
        <v>54</v>
      </c>
      <c r="AE5447" s="80" t="s">
        <v>9763</v>
      </c>
      <c r="AF5447" s="17">
        <v>45660</v>
      </c>
      <c r="AG5447" s="80"/>
      <c r="AH5447" s="80"/>
      <c r="AI5447" s="147"/>
      <c r="AJ5447" s="80"/>
      <c r="AK5447" s="80"/>
      <c r="AL5447" s="35"/>
      <c r="AM5447" s="35"/>
      <c r="AN5447" s="35"/>
      <c r="AO5447" s="35"/>
      <c r="AP5447" s="35"/>
    </row>
    <row r="5448" spans="1:42" x14ac:dyDescent="0.2">
      <c r="A5448" s="14">
        <v>45660</v>
      </c>
      <c r="B5448" s="137" t="s">
        <v>37</v>
      </c>
      <c r="C5448" s="41" t="s">
        <v>118</v>
      </c>
      <c r="D5448" s="26" t="s">
        <v>36</v>
      </c>
      <c r="E5448" s="26" t="s">
        <v>139</v>
      </c>
      <c r="F5448" s="26" t="s">
        <v>9896</v>
      </c>
      <c r="G5448" s="26" t="s">
        <v>221</v>
      </c>
      <c r="H5448" s="26" t="s">
        <v>13665</v>
      </c>
      <c r="I5448" s="17">
        <f ca="1">IFERROR(__xludf.DUMMYFUNCTION("""COMPUTED_VALUE"""),45665)</f>
        <v>45665</v>
      </c>
      <c r="J5448" s="29" t="s">
        <v>9959</v>
      </c>
      <c r="K5448" s="26" t="s">
        <v>18469</v>
      </c>
      <c r="L5448" s="30">
        <v>829210398</v>
      </c>
      <c r="M5448" s="26" t="s">
        <v>80</v>
      </c>
      <c r="N5448" s="26" t="s">
        <v>1073</v>
      </c>
      <c r="O5448" s="26" t="s">
        <v>9961</v>
      </c>
      <c r="P5448" s="42" t="s">
        <v>9962</v>
      </c>
      <c r="Q5448" s="20">
        <v>15936</v>
      </c>
      <c r="R5448" s="26" t="s">
        <v>36</v>
      </c>
      <c r="S5448" s="95">
        <f>200+1800</f>
        <v>2000</v>
      </c>
      <c r="T5448" s="83" t="s">
        <v>9124</v>
      </c>
      <c r="U5448" s="95">
        <v>13936</v>
      </c>
      <c r="V5448" s="148">
        <v>45510</v>
      </c>
      <c r="W5448" s="33" t="s">
        <v>9963</v>
      </c>
      <c r="X5448" s="26">
        <v>0</v>
      </c>
      <c r="Y5448" s="22">
        <v>0</v>
      </c>
      <c r="Z5448" s="26" t="s">
        <v>118</v>
      </c>
      <c r="AA5448" s="35"/>
      <c r="AB5448" s="26"/>
      <c r="AC5448" s="26" t="s">
        <v>53</v>
      </c>
      <c r="AD5448" s="26" t="s">
        <v>54</v>
      </c>
      <c r="AE5448" s="26" t="s">
        <v>9896</v>
      </c>
      <c r="AF5448" s="17">
        <v>45663</v>
      </c>
      <c r="AG5448" s="26"/>
      <c r="AH5448" s="26"/>
      <c r="AI5448" s="40"/>
      <c r="AJ5448" s="26"/>
      <c r="AK5448" s="26"/>
      <c r="AL5448" s="35"/>
      <c r="AM5448" s="35"/>
      <c r="AN5448" s="35"/>
      <c r="AO5448" s="35"/>
      <c r="AP5448" s="35"/>
    </row>
    <row r="5449" spans="1:42" x14ac:dyDescent="0.2">
      <c r="A5449" s="14">
        <v>45660</v>
      </c>
      <c r="B5449" s="28" t="s">
        <v>37</v>
      </c>
      <c r="C5449" s="41" t="s">
        <v>118</v>
      </c>
      <c r="D5449" s="26" t="s">
        <v>36</v>
      </c>
      <c r="E5449" s="26" t="s">
        <v>139</v>
      </c>
      <c r="F5449" s="26" t="s">
        <v>7944</v>
      </c>
      <c r="G5449" s="26" t="s">
        <v>1847</v>
      </c>
      <c r="H5449" s="26" t="s">
        <v>18445</v>
      </c>
      <c r="I5449" s="17">
        <f ca="1">IFERROR(__xludf.DUMMYFUNCTION("""COMPUTED_VALUE"""),45666)</f>
        <v>45666</v>
      </c>
      <c r="J5449" s="29" t="s">
        <v>3645</v>
      </c>
      <c r="K5449" s="26" t="s">
        <v>7950</v>
      </c>
      <c r="L5449" s="30">
        <v>325898466</v>
      </c>
      <c r="M5449" s="26" t="s">
        <v>123</v>
      </c>
      <c r="N5449" s="26" t="s">
        <v>2847</v>
      </c>
      <c r="O5449" s="26" t="s">
        <v>1226</v>
      </c>
      <c r="P5449" s="42" t="s">
        <v>7951</v>
      </c>
      <c r="Q5449" s="20">
        <v>15936</v>
      </c>
      <c r="R5449" s="26" t="s">
        <v>36</v>
      </c>
      <c r="S5449" s="31">
        <v>200</v>
      </c>
      <c r="T5449" s="32">
        <v>45176</v>
      </c>
      <c r="U5449" s="31">
        <f>1800+13936</f>
        <v>15736</v>
      </c>
      <c r="V5449" s="16" t="s">
        <v>3647</v>
      </c>
      <c r="W5449" s="33" t="s">
        <v>3648</v>
      </c>
      <c r="X5449" s="26"/>
      <c r="Y5449" s="22">
        <v>0</v>
      </c>
      <c r="Z5449" s="26" t="s">
        <v>118</v>
      </c>
      <c r="AA5449" s="19" t="s">
        <v>4541</v>
      </c>
      <c r="AB5449" s="26" t="s">
        <v>36</v>
      </c>
      <c r="AC5449" s="26" t="s">
        <v>53</v>
      </c>
      <c r="AD5449" s="19" t="s">
        <v>138</v>
      </c>
      <c r="AE5449" s="26" t="s">
        <v>7944</v>
      </c>
      <c r="AF5449" s="17">
        <v>45660</v>
      </c>
      <c r="AG5449" s="26"/>
      <c r="AH5449" s="26" t="s">
        <v>2652</v>
      </c>
      <c r="AI5449" s="40"/>
      <c r="AJ5449" s="26"/>
      <c r="AK5449" s="26"/>
      <c r="AL5449" s="35"/>
      <c r="AM5449" s="35"/>
      <c r="AN5449" s="35"/>
      <c r="AO5449" s="35"/>
      <c r="AP5449" s="35"/>
    </row>
    <row r="5450" spans="1:42" x14ac:dyDescent="0.2">
      <c r="A5450" s="14">
        <v>45660</v>
      </c>
      <c r="B5450" s="68" t="s">
        <v>1703</v>
      </c>
      <c r="C5450" s="41" t="s">
        <v>118</v>
      </c>
      <c r="D5450" s="26" t="s">
        <v>36</v>
      </c>
      <c r="E5450" s="80" t="s">
        <v>148</v>
      </c>
      <c r="F5450" s="182" t="s">
        <v>10028</v>
      </c>
      <c r="G5450" s="80" t="s">
        <v>221</v>
      </c>
      <c r="H5450" s="182" t="s">
        <v>18470</v>
      </c>
      <c r="I5450" s="17" t="str">
        <f ca="1">IFERROR(__xludf.DUMMYFUNCTION("""COMPUTED_VALUE""")," ")</f>
        <v xml:space="preserve"> </v>
      </c>
      <c r="J5450" s="29" t="s">
        <v>11791</v>
      </c>
      <c r="K5450" s="182" t="s">
        <v>11792</v>
      </c>
      <c r="L5450" s="30">
        <v>982920598</v>
      </c>
      <c r="M5450" s="26" t="s">
        <v>45</v>
      </c>
      <c r="N5450" s="26" t="s">
        <v>11793</v>
      </c>
      <c r="O5450" s="26" t="s">
        <v>11794</v>
      </c>
      <c r="P5450" s="42" t="s">
        <v>11795</v>
      </c>
      <c r="Q5450" s="20"/>
      <c r="R5450" s="26" t="s">
        <v>36</v>
      </c>
      <c r="S5450" s="95">
        <v>7350</v>
      </c>
      <c r="T5450" s="148">
        <v>45554</v>
      </c>
      <c r="U5450" s="77"/>
      <c r="V5450" s="78"/>
      <c r="W5450" s="33" t="s">
        <v>11796</v>
      </c>
      <c r="X5450" s="80"/>
      <c r="Y5450" s="22"/>
      <c r="Z5450" s="26" t="s">
        <v>118</v>
      </c>
      <c r="AA5450" s="35"/>
      <c r="AB5450" s="80"/>
      <c r="AC5450" s="26" t="s">
        <v>53</v>
      </c>
      <c r="AD5450" s="19" t="s">
        <v>138</v>
      </c>
      <c r="AE5450" s="182" t="s">
        <v>10028</v>
      </c>
      <c r="AF5450" s="17"/>
      <c r="AG5450" s="35" t="s">
        <v>11797</v>
      </c>
      <c r="AH5450" s="36" t="s">
        <v>11798</v>
      </c>
      <c r="AI5450" s="147"/>
      <c r="AJ5450" s="80"/>
      <c r="AK5450" s="80"/>
      <c r="AL5450" s="35"/>
      <c r="AM5450" s="35"/>
      <c r="AN5450" s="35"/>
      <c r="AO5450" s="35"/>
      <c r="AP5450" s="35"/>
    </row>
    <row r="5451" spans="1:42" x14ac:dyDescent="0.2">
      <c r="A5451" s="14">
        <v>45660</v>
      </c>
      <c r="B5451" s="68" t="s">
        <v>37</v>
      </c>
      <c r="C5451" s="41" t="s">
        <v>118</v>
      </c>
      <c r="D5451" s="80" t="s">
        <v>36</v>
      </c>
      <c r="E5451" s="80" t="s">
        <v>139</v>
      </c>
      <c r="F5451" s="80" t="s">
        <v>15199</v>
      </c>
      <c r="G5451" s="80" t="s">
        <v>108</v>
      </c>
      <c r="H5451" s="80" t="s">
        <v>18392</v>
      </c>
      <c r="I5451" s="17">
        <f ca="1">IFERROR(__xludf.DUMMYFUNCTION("""COMPUTED_VALUE"""),45698)</f>
        <v>45698</v>
      </c>
      <c r="J5451" s="143" t="s">
        <v>15711</v>
      </c>
      <c r="K5451" s="80" t="s">
        <v>15712</v>
      </c>
      <c r="L5451" s="30">
        <v>346578459</v>
      </c>
      <c r="M5451" s="80" t="s">
        <v>12720</v>
      </c>
      <c r="N5451" s="80" t="s">
        <v>1073</v>
      </c>
      <c r="O5451" s="80" t="s">
        <v>15713</v>
      </c>
      <c r="P5451" s="80" t="s">
        <v>14120</v>
      </c>
      <c r="Q5451" s="20">
        <v>15936</v>
      </c>
      <c r="R5451" s="80" t="s">
        <v>36</v>
      </c>
      <c r="S5451" s="95">
        <f>200+1800</f>
        <v>2000</v>
      </c>
      <c r="T5451" s="83" t="s">
        <v>15714</v>
      </c>
      <c r="U5451" s="95">
        <v>13936</v>
      </c>
      <c r="V5451" s="148">
        <v>45595</v>
      </c>
      <c r="W5451" s="85" t="s">
        <v>15715</v>
      </c>
      <c r="X5451" s="80"/>
      <c r="Y5451" s="22">
        <v>0</v>
      </c>
      <c r="Z5451" s="80" t="s">
        <v>50</v>
      </c>
      <c r="AA5451" s="96" t="s">
        <v>9905</v>
      </c>
      <c r="AB5451" s="80"/>
      <c r="AC5451" s="80" t="s">
        <v>53</v>
      </c>
      <c r="AD5451" s="80" t="s">
        <v>138</v>
      </c>
      <c r="AE5451" s="80" t="s">
        <v>15199</v>
      </c>
      <c r="AF5451" s="43">
        <v>45698</v>
      </c>
      <c r="AG5451" s="80"/>
      <c r="AH5451" s="80"/>
      <c r="AI5451" s="147"/>
      <c r="AJ5451" s="80"/>
      <c r="AK5451" s="80"/>
      <c r="AL5451" s="35"/>
      <c r="AM5451" s="35"/>
      <c r="AN5451" s="35"/>
      <c r="AO5451" s="35"/>
      <c r="AP5451" s="35"/>
    </row>
    <row r="5452" spans="1:42" x14ac:dyDescent="0.2">
      <c r="A5452" s="14">
        <v>45660</v>
      </c>
      <c r="B5452" s="68" t="s">
        <v>37</v>
      </c>
      <c r="C5452" s="41" t="s">
        <v>118</v>
      </c>
      <c r="D5452" s="80" t="s">
        <v>36</v>
      </c>
      <c r="E5452" s="80" t="s">
        <v>56</v>
      </c>
      <c r="F5452" s="80" t="s">
        <v>15166</v>
      </c>
      <c r="G5452" s="80" t="s">
        <v>108</v>
      </c>
      <c r="H5452" s="80" t="s">
        <v>14711</v>
      </c>
      <c r="I5452" s="17">
        <f ca="1">IFERROR(__xludf.DUMMYFUNCTION("""COMPUTED_VALUE"""),45678)</f>
        <v>45678</v>
      </c>
      <c r="J5452" s="143" t="s">
        <v>16318</v>
      </c>
      <c r="K5452" s="80" t="s">
        <v>16319</v>
      </c>
      <c r="L5452" s="30">
        <v>398172071</v>
      </c>
      <c r="M5452" s="80" t="s">
        <v>59</v>
      </c>
      <c r="N5452" s="80" t="s">
        <v>4299</v>
      </c>
      <c r="O5452" s="80" t="s">
        <v>16320</v>
      </c>
      <c r="P5452" s="144" t="s">
        <v>18471</v>
      </c>
      <c r="Q5452" s="20">
        <v>9317</v>
      </c>
      <c r="R5452" s="80" t="s">
        <v>36</v>
      </c>
      <c r="S5452" s="95">
        <f>200+4000</f>
        <v>4200</v>
      </c>
      <c r="T5452" s="83" t="s">
        <v>16321</v>
      </c>
      <c r="U5452" s="95">
        <v>5117</v>
      </c>
      <c r="V5452" s="148">
        <v>45588</v>
      </c>
      <c r="W5452" s="85" t="s">
        <v>16322</v>
      </c>
      <c r="X5452" s="80"/>
      <c r="Y5452" s="22">
        <v>0</v>
      </c>
      <c r="Z5452" s="80" t="s">
        <v>50</v>
      </c>
      <c r="AA5452" s="35" t="s">
        <v>9905</v>
      </c>
      <c r="AB5452" s="80"/>
      <c r="AC5452" s="80" t="s">
        <v>53</v>
      </c>
      <c r="AD5452" s="80" t="s">
        <v>138</v>
      </c>
      <c r="AE5452" s="80" t="s">
        <v>15166</v>
      </c>
      <c r="AF5452" s="17">
        <v>45298</v>
      </c>
      <c r="AG5452" s="80"/>
      <c r="AH5452" s="80"/>
      <c r="AI5452" s="147"/>
      <c r="AJ5452" s="80"/>
      <c r="AK5452" s="80"/>
      <c r="AL5452" s="35"/>
      <c r="AM5452" s="35"/>
      <c r="AN5452" s="35"/>
      <c r="AO5452" s="35"/>
      <c r="AP5452" s="35"/>
    </row>
    <row r="5453" spans="1:42" x14ac:dyDescent="0.2">
      <c r="A5453" s="14">
        <v>45663</v>
      </c>
      <c r="B5453" s="28" t="s">
        <v>37</v>
      </c>
      <c r="C5453" s="41" t="s">
        <v>118</v>
      </c>
      <c r="D5453" s="26" t="s">
        <v>36</v>
      </c>
      <c r="E5453" s="26" t="s">
        <v>139</v>
      </c>
      <c r="F5453" s="26" t="s">
        <v>9896</v>
      </c>
      <c r="G5453" s="26" t="s">
        <v>221</v>
      </c>
      <c r="H5453" s="26" t="s">
        <v>6935</v>
      </c>
      <c r="I5453" s="17">
        <f ca="1">IFERROR(__xludf.DUMMYFUNCTION("""COMPUTED_VALUE"""),45671)</f>
        <v>45671</v>
      </c>
      <c r="J5453" s="29" t="s">
        <v>9952</v>
      </c>
      <c r="K5453" s="26" t="s">
        <v>9953</v>
      </c>
      <c r="L5453" s="30">
        <v>839530644</v>
      </c>
      <c r="M5453" s="26" t="s">
        <v>80</v>
      </c>
      <c r="N5453" s="26" t="s">
        <v>1073</v>
      </c>
      <c r="O5453" s="26" t="s">
        <v>9954</v>
      </c>
      <c r="P5453" s="42" t="s">
        <v>18472</v>
      </c>
      <c r="Q5453" s="20">
        <v>15936</v>
      </c>
      <c r="R5453" s="26" t="s">
        <v>36</v>
      </c>
      <c r="S5453" s="95">
        <f>200+1800</f>
        <v>2000</v>
      </c>
      <c r="T5453" s="83" t="s">
        <v>9956</v>
      </c>
      <c r="U5453" s="95">
        <v>13936</v>
      </c>
      <c r="V5453" s="148">
        <v>45513</v>
      </c>
      <c r="W5453" s="33" t="s">
        <v>9957</v>
      </c>
      <c r="X5453" s="26">
        <v>0</v>
      </c>
      <c r="Y5453" s="22">
        <v>0</v>
      </c>
      <c r="Z5453" s="26" t="s">
        <v>118</v>
      </c>
      <c r="AA5453" s="96"/>
      <c r="AB5453" s="26"/>
      <c r="AC5453" s="26" t="s">
        <v>53</v>
      </c>
      <c r="AD5453" s="26" t="s">
        <v>54</v>
      </c>
      <c r="AE5453" s="26" t="s">
        <v>9896</v>
      </c>
      <c r="AF5453" s="17">
        <v>45298</v>
      </c>
      <c r="AG5453" s="26"/>
      <c r="AH5453" s="26"/>
      <c r="AI5453" s="40"/>
      <c r="AJ5453" s="26"/>
      <c r="AK5453" s="26"/>
      <c r="AL5453" s="35"/>
      <c r="AM5453" s="35"/>
      <c r="AN5453" s="35"/>
      <c r="AO5453" s="35"/>
      <c r="AP5453" s="35"/>
    </row>
    <row r="5454" spans="1:42" x14ac:dyDescent="0.2">
      <c r="A5454" s="14">
        <v>45663</v>
      </c>
      <c r="B5454" s="28" t="s">
        <v>37</v>
      </c>
      <c r="C5454" s="41" t="s">
        <v>118</v>
      </c>
      <c r="D5454" s="80" t="s">
        <v>36</v>
      </c>
      <c r="E5454" s="80" t="s">
        <v>119</v>
      </c>
      <c r="F5454" s="80" t="s">
        <v>11802</v>
      </c>
      <c r="G5454" s="26" t="s">
        <v>221</v>
      </c>
      <c r="H5454" s="26" t="s">
        <v>6935</v>
      </c>
      <c r="I5454" s="17">
        <f ca="1">IFERROR(__xludf.DUMMYFUNCTION("""COMPUTED_VALUE"""),45671)</f>
        <v>45671</v>
      </c>
      <c r="J5454" s="143" t="s">
        <v>13585</v>
      </c>
      <c r="K5454" s="80" t="s">
        <v>13586</v>
      </c>
      <c r="L5454" s="30">
        <v>775060350</v>
      </c>
      <c r="M5454" s="80" t="s">
        <v>45</v>
      </c>
      <c r="N5454" s="80" t="s">
        <v>1881</v>
      </c>
      <c r="O5454" s="80" t="s">
        <v>13587</v>
      </c>
      <c r="P5454" s="144" t="s">
        <v>18473</v>
      </c>
      <c r="Q5454" s="20">
        <v>13968</v>
      </c>
      <c r="R5454" s="80" t="s">
        <v>36</v>
      </c>
      <c r="S5454" s="95">
        <v>13968</v>
      </c>
      <c r="T5454" s="148">
        <v>45559</v>
      </c>
      <c r="U5454" s="77"/>
      <c r="V5454" s="78"/>
      <c r="W5454" s="85" t="s">
        <v>13588</v>
      </c>
      <c r="X5454" s="80">
        <v>0</v>
      </c>
      <c r="Y5454" s="22">
        <v>0</v>
      </c>
      <c r="Z5454" s="80" t="s">
        <v>50</v>
      </c>
      <c r="AA5454" s="35" t="s">
        <v>3291</v>
      </c>
      <c r="AB5454" s="80"/>
      <c r="AC5454" s="26" t="s">
        <v>53</v>
      </c>
      <c r="AD5454" s="80" t="s">
        <v>54</v>
      </c>
      <c r="AE5454" s="80" t="s">
        <v>11802</v>
      </c>
      <c r="AF5454" s="17">
        <v>45298</v>
      </c>
      <c r="AG5454" s="80"/>
      <c r="AH5454" s="80"/>
      <c r="AI5454" s="147">
        <v>4</v>
      </c>
      <c r="AJ5454" s="80"/>
      <c r="AK5454" s="80"/>
      <c r="AL5454" s="35"/>
      <c r="AM5454" s="35"/>
      <c r="AN5454" s="35"/>
      <c r="AO5454" s="35"/>
      <c r="AP5454" s="35"/>
    </row>
    <row r="5455" spans="1:42" x14ac:dyDescent="0.2">
      <c r="A5455" s="14">
        <v>45663</v>
      </c>
      <c r="B5455" s="28" t="s">
        <v>37</v>
      </c>
      <c r="C5455" s="41" t="s">
        <v>118</v>
      </c>
      <c r="D5455" s="80" t="s">
        <v>36</v>
      </c>
      <c r="E5455" s="80" t="s">
        <v>148</v>
      </c>
      <c r="F5455" s="80" t="s">
        <v>10038</v>
      </c>
      <c r="G5455" s="26" t="s">
        <v>221</v>
      </c>
      <c r="H5455" s="26" t="s">
        <v>6935</v>
      </c>
      <c r="I5455" s="17">
        <f ca="1">IFERROR(__xludf.DUMMYFUNCTION("""COMPUTED_VALUE"""),45671)</f>
        <v>45671</v>
      </c>
      <c r="J5455" s="143" t="s">
        <v>13096</v>
      </c>
      <c r="K5455" s="80" t="s">
        <v>18474</v>
      </c>
      <c r="L5455" s="30">
        <v>868380636</v>
      </c>
      <c r="M5455" s="80" t="s">
        <v>45</v>
      </c>
      <c r="N5455" s="80" t="s">
        <v>299</v>
      </c>
      <c r="O5455" s="80" t="s">
        <v>13098</v>
      </c>
      <c r="P5455" s="144" t="s">
        <v>13099</v>
      </c>
      <c r="Q5455" s="20">
        <v>7349</v>
      </c>
      <c r="R5455" s="80" t="s">
        <v>36</v>
      </c>
      <c r="S5455" s="95">
        <v>7349</v>
      </c>
      <c r="T5455" s="148">
        <v>45548</v>
      </c>
      <c r="U5455" s="77"/>
      <c r="V5455" s="78"/>
      <c r="W5455" s="85" t="s">
        <v>13100</v>
      </c>
      <c r="X5455" s="80">
        <v>0</v>
      </c>
      <c r="Y5455" s="22">
        <v>0</v>
      </c>
      <c r="Z5455" s="80" t="s">
        <v>50</v>
      </c>
      <c r="AA5455" s="96" t="s">
        <v>3291</v>
      </c>
      <c r="AB5455" s="80"/>
      <c r="AC5455" s="80" t="s">
        <v>53</v>
      </c>
      <c r="AD5455" s="80" t="s">
        <v>54</v>
      </c>
      <c r="AE5455" s="80" t="s">
        <v>10038</v>
      </c>
      <c r="AF5455" s="17">
        <v>45298</v>
      </c>
      <c r="AG5455" s="80"/>
      <c r="AH5455" s="80"/>
      <c r="AI5455" s="147">
        <v>2</v>
      </c>
      <c r="AJ5455" s="80"/>
      <c r="AK5455" s="80"/>
      <c r="AL5455" s="35"/>
      <c r="AM5455" s="35"/>
      <c r="AN5455" s="35"/>
      <c r="AO5455" s="35"/>
      <c r="AP5455" s="35"/>
    </row>
    <row r="5456" spans="1:42" x14ac:dyDescent="0.2">
      <c r="A5456" s="14">
        <v>45663</v>
      </c>
      <c r="B5456" s="28" t="s">
        <v>37</v>
      </c>
      <c r="C5456" s="41" t="s">
        <v>118</v>
      </c>
      <c r="D5456" s="26" t="s">
        <v>36</v>
      </c>
      <c r="E5456" s="26" t="s">
        <v>139</v>
      </c>
      <c r="F5456" s="26" t="s">
        <v>10014</v>
      </c>
      <c r="G5456" s="26" t="s">
        <v>221</v>
      </c>
      <c r="H5456" s="26" t="s">
        <v>6935</v>
      </c>
      <c r="I5456" s="17">
        <f ca="1">IFERROR(__xludf.DUMMYFUNCTION("""COMPUTED_VALUE"""),45671)</f>
        <v>45671</v>
      </c>
      <c r="J5456" s="44" t="s">
        <v>18475</v>
      </c>
      <c r="K5456" s="26" t="s">
        <v>10167</v>
      </c>
      <c r="L5456" s="30">
        <v>981962380</v>
      </c>
      <c r="M5456" s="26" t="s">
        <v>2755</v>
      </c>
      <c r="N5456" s="26" t="s">
        <v>4402</v>
      </c>
      <c r="O5456" s="26" t="s">
        <v>4503</v>
      </c>
      <c r="P5456" s="42" t="s">
        <v>18476</v>
      </c>
      <c r="Q5456" s="20">
        <v>15936</v>
      </c>
      <c r="R5456" s="26" t="s">
        <v>36</v>
      </c>
      <c r="S5456" s="95">
        <v>2000</v>
      </c>
      <c r="T5456" s="148">
        <v>45492</v>
      </c>
      <c r="U5456" s="95">
        <v>13936</v>
      </c>
      <c r="V5456" s="148">
        <v>45522</v>
      </c>
      <c r="W5456" s="26" t="s">
        <v>10169</v>
      </c>
      <c r="X5456" s="26">
        <v>0</v>
      </c>
      <c r="Y5456" s="22">
        <v>0</v>
      </c>
      <c r="Z5456" s="26" t="s">
        <v>50</v>
      </c>
      <c r="AA5456" s="35"/>
      <c r="AB5456" s="26"/>
      <c r="AC5456" s="26" t="s">
        <v>53</v>
      </c>
      <c r="AD5456" s="26" t="s">
        <v>54</v>
      </c>
      <c r="AE5456" s="26" t="s">
        <v>10014</v>
      </c>
      <c r="AF5456" s="17">
        <v>45298</v>
      </c>
      <c r="AG5456" s="26"/>
      <c r="AH5456" s="26"/>
      <c r="AI5456" s="40"/>
      <c r="AJ5456" s="26"/>
      <c r="AK5456" s="26"/>
      <c r="AL5456" s="35"/>
      <c r="AM5456" s="35"/>
      <c r="AN5456" s="35"/>
      <c r="AO5456" s="35"/>
      <c r="AP5456" s="35"/>
    </row>
    <row r="5457" spans="1:42" x14ac:dyDescent="0.2">
      <c r="A5457" s="14">
        <v>45663</v>
      </c>
      <c r="B5457" s="28" t="s">
        <v>37</v>
      </c>
      <c r="C5457" s="41" t="s">
        <v>118</v>
      </c>
      <c r="D5457" s="26" t="s">
        <v>36</v>
      </c>
      <c r="E5457" s="26" t="s">
        <v>139</v>
      </c>
      <c r="F5457" s="26" t="s">
        <v>8668</v>
      </c>
      <c r="G5457" s="26" t="s">
        <v>221</v>
      </c>
      <c r="H5457" s="26" t="s">
        <v>6935</v>
      </c>
      <c r="I5457" s="17">
        <f ca="1">IFERROR(__xludf.DUMMYFUNCTION("""COMPUTED_VALUE"""),45671)</f>
        <v>45671</v>
      </c>
      <c r="J5457" s="29" t="s">
        <v>8435</v>
      </c>
      <c r="K5457" s="26" t="s">
        <v>8436</v>
      </c>
      <c r="L5457" s="30">
        <v>862830807</v>
      </c>
      <c r="M5457" s="26" t="s">
        <v>123</v>
      </c>
      <c r="N5457" s="26" t="s">
        <v>186</v>
      </c>
      <c r="O5457" s="26" t="s">
        <v>4503</v>
      </c>
      <c r="P5457" s="42" t="s">
        <v>18477</v>
      </c>
      <c r="Q5457" s="20">
        <v>15936</v>
      </c>
      <c r="R5457" s="26" t="s">
        <v>36</v>
      </c>
      <c r="S5457" s="31">
        <f>2000+4000+9936</f>
        <v>15936</v>
      </c>
      <c r="T5457" s="26" t="s">
        <v>8438</v>
      </c>
      <c r="U5457" s="31"/>
      <c r="V5457" s="32"/>
      <c r="W5457" s="33" t="s">
        <v>8439</v>
      </c>
      <c r="X5457" s="26"/>
      <c r="Y5457" s="22">
        <v>0</v>
      </c>
      <c r="Z5457" s="98" t="s">
        <v>118</v>
      </c>
      <c r="AA5457" s="19" t="s">
        <v>8410</v>
      </c>
      <c r="AB5457" s="26" t="s">
        <v>36</v>
      </c>
      <c r="AC5457" s="26" t="s">
        <v>53</v>
      </c>
      <c r="AD5457" s="19" t="s">
        <v>54</v>
      </c>
      <c r="AE5457" s="26" t="s">
        <v>8668</v>
      </c>
      <c r="AF5457" s="17">
        <v>45298</v>
      </c>
      <c r="AG5457" s="26"/>
      <c r="AH5457" s="26"/>
      <c r="AI5457" s="40"/>
      <c r="AJ5457" s="26"/>
      <c r="AK5457" s="26"/>
      <c r="AL5457" s="35"/>
      <c r="AM5457" s="35"/>
      <c r="AN5457" s="35"/>
      <c r="AO5457" s="35"/>
      <c r="AP5457" s="35"/>
    </row>
    <row r="5458" spans="1:42" x14ac:dyDescent="0.2">
      <c r="A5458" s="14">
        <v>45663</v>
      </c>
      <c r="B5458" s="28" t="s">
        <v>37</v>
      </c>
      <c r="C5458" s="41" t="s">
        <v>118</v>
      </c>
      <c r="D5458" s="80" t="s">
        <v>36</v>
      </c>
      <c r="E5458" s="80" t="s">
        <v>148</v>
      </c>
      <c r="F5458" s="80" t="s">
        <v>11802</v>
      </c>
      <c r="G5458" s="26" t="s">
        <v>221</v>
      </c>
      <c r="H5458" s="26" t="s">
        <v>6935</v>
      </c>
      <c r="I5458" s="17">
        <f ca="1">IFERROR(__xludf.DUMMYFUNCTION("""COMPUTED_VALUE"""),45671)</f>
        <v>45671</v>
      </c>
      <c r="J5458" s="143" t="s">
        <v>15762</v>
      </c>
      <c r="K5458" s="80" t="s">
        <v>18478</v>
      </c>
      <c r="L5458" s="30">
        <v>789195055</v>
      </c>
      <c r="M5458" s="80" t="s">
        <v>12720</v>
      </c>
      <c r="N5458" s="80" t="s">
        <v>1073</v>
      </c>
      <c r="O5458" s="80" t="s">
        <v>15764</v>
      </c>
      <c r="P5458" s="144" t="s">
        <v>15765</v>
      </c>
      <c r="Q5458" s="20">
        <v>7349</v>
      </c>
      <c r="R5458" s="80" t="s">
        <v>36</v>
      </c>
      <c r="S5458" s="178">
        <f>200+3800</f>
        <v>4000</v>
      </c>
      <c r="T5458" s="83" t="s">
        <v>15745</v>
      </c>
      <c r="U5458" s="95">
        <v>3349</v>
      </c>
      <c r="V5458" s="148">
        <v>45591</v>
      </c>
      <c r="W5458" s="85" t="s">
        <v>15766</v>
      </c>
      <c r="X5458" s="80"/>
      <c r="Y5458" s="22">
        <v>0</v>
      </c>
      <c r="Z5458" s="80" t="s">
        <v>50</v>
      </c>
      <c r="AA5458" s="35" t="s">
        <v>9905</v>
      </c>
      <c r="AB5458" s="80"/>
      <c r="AC5458" s="80" t="s">
        <v>53</v>
      </c>
      <c r="AD5458" s="80" t="s">
        <v>54</v>
      </c>
      <c r="AE5458" s="80" t="s">
        <v>11802</v>
      </c>
      <c r="AF5458" s="17">
        <v>45298</v>
      </c>
      <c r="AG5458" s="80"/>
      <c r="AH5458" s="80"/>
      <c r="AI5458" s="147"/>
      <c r="AJ5458" s="80"/>
      <c r="AK5458" s="80"/>
      <c r="AL5458" s="35"/>
      <c r="AM5458" s="35"/>
      <c r="AN5458" s="35"/>
      <c r="AO5458" s="35"/>
      <c r="AP5458" s="35"/>
    </row>
    <row r="5459" spans="1:42" x14ac:dyDescent="0.2">
      <c r="A5459" s="14">
        <v>45663</v>
      </c>
      <c r="B5459" s="68" t="s">
        <v>37</v>
      </c>
      <c r="C5459" s="41" t="s">
        <v>118</v>
      </c>
      <c r="D5459" s="26" t="s">
        <v>36</v>
      </c>
      <c r="E5459" s="26" t="s">
        <v>119</v>
      </c>
      <c r="F5459" s="26" t="s">
        <v>8997</v>
      </c>
      <c r="G5459" s="26" t="s">
        <v>1705</v>
      </c>
      <c r="H5459" s="26" t="s">
        <v>9041</v>
      </c>
      <c r="I5459" s="17">
        <f ca="1">IFERROR(__xludf.DUMMYFUNCTION("""COMPUTED_VALUE"""),45699)</f>
        <v>45699</v>
      </c>
      <c r="J5459" s="29" t="s">
        <v>6670</v>
      </c>
      <c r="K5459" s="26" t="s">
        <v>6671</v>
      </c>
      <c r="L5459" s="30">
        <v>334709508</v>
      </c>
      <c r="M5459" s="26" t="s">
        <v>3728</v>
      </c>
      <c r="N5459" s="26" t="s">
        <v>5277</v>
      </c>
      <c r="O5459" s="26" t="s">
        <v>6672</v>
      </c>
      <c r="P5459" s="26" t="s">
        <v>4126</v>
      </c>
      <c r="Q5459" s="20">
        <v>13968</v>
      </c>
      <c r="R5459" s="26" t="s">
        <v>36</v>
      </c>
      <c r="S5459" s="31">
        <v>500</v>
      </c>
      <c r="T5459" s="32">
        <v>45225</v>
      </c>
      <c r="U5459" s="31">
        <f>3500+9968</f>
        <v>13468</v>
      </c>
      <c r="V5459" s="26" t="s">
        <v>6673</v>
      </c>
      <c r="W5459" s="33" t="s">
        <v>6674</v>
      </c>
      <c r="X5459" s="26">
        <v>0</v>
      </c>
      <c r="Y5459" s="22">
        <v>0</v>
      </c>
      <c r="Z5459" s="98" t="s">
        <v>118</v>
      </c>
      <c r="AA5459" s="19" t="s">
        <v>6079</v>
      </c>
      <c r="AB5459" s="26" t="s">
        <v>36</v>
      </c>
      <c r="AC5459" s="26" t="s">
        <v>53</v>
      </c>
      <c r="AD5459" s="19" t="s">
        <v>138</v>
      </c>
      <c r="AE5459" s="26" t="s">
        <v>8997</v>
      </c>
      <c r="AF5459" s="17">
        <v>45694</v>
      </c>
      <c r="AG5459" s="26"/>
      <c r="AH5459" s="26"/>
      <c r="AI5459" s="40">
        <v>4</v>
      </c>
      <c r="AJ5459" s="26"/>
      <c r="AK5459" s="26"/>
      <c r="AL5459" s="35"/>
      <c r="AM5459" s="35"/>
      <c r="AN5459" s="35"/>
      <c r="AO5459" s="35"/>
      <c r="AP5459" s="35"/>
    </row>
    <row r="5460" spans="1:42" x14ac:dyDescent="0.2">
      <c r="A5460" s="14">
        <v>45663</v>
      </c>
      <c r="B5460" s="68" t="s">
        <v>37</v>
      </c>
      <c r="C5460" s="41" t="s">
        <v>118</v>
      </c>
      <c r="D5460" s="26" t="s">
        <v>36</v>
      </c>
      <c r="E5460" s="26" t="s">
        <v>139</v>
      </c>
      <c r="F5460" s="26" t="s">
        <v>4869</v>
      </c>
      <c r="G5460" s="26" t="s">
        <v>221</v>
      </c>
      <c r="H5460" s="26" t="s">
        <v>18322</v>
      </c>
      <c r="I5460" s="17">
        <f ca="1">IFERROR(__xludf.DUMMYFUNCTION("""COMPUTED_VALUE"""),45699)</f>
        <v>45699</v>
      </c>
      <c r="J5460" s="29" t="s">
        <v>3894</v>
      </c>
      <c r="K5460" s="26" t="s">
        <v>4980</v>
      </c>
      <c r="L5460" s="30">
        <v>332054621</v>
      </c>
      <c r="M5460" s="26" t="s">
        <v>123</v>
      </c>
      <c r="N5460" s="26" t="s">
        <v>2397</v>
      </c>
      <c r="O5460" s="26" t="s">
        <v>1226</v>
      </c>
      <c r="P5460" s="42" t="s">
        <v>18479</v>
      </c>
      <c r="Q5460" s="20">
        <v>15936</v>
      </c>
      <c r="R5460" s="26" t="s">
        <v>36</v>
      </c>
      <c r="S5460" s="31">
        <v>200</v>
      </c>
      <c r="T5460" s="32">
        <v>45191</v>
      </c>
      <c r="U5460" s="31">
        <v>15736</v>
      </c>
      <c r="V5460" s="26" t="s">
        <v>3896</v>
      </c>
      <c r="W5460" s="55" t="s">
        <v>3897</v>
      </c>
      <c r="X5460" s="55" t="s">
        <v>3898</v>
      </c>
      <c r="Y5460" s="22" t="s">
        <v>2340</v>
      </c>
      <c r="Z5460" s="26" t="s">
        <v>118</v>
      </c>
      <c r="AA5460" s="19" t="s">
        <v>3454</v>
      </c>
      <c r="AB5460" s="26"/>
      <c r="AC5460" s="26" t="s">
        <v>53</v>
      </c>
      <c r="AD5460" s="19" t="s">
        <v>138</v>
      </c>
      <c r="AE5460" s="26" t="s">
        <v>4869</v>
      </c>
      <c r="AF5460" s="17">
        <v>45699</v>
      </c>
      <c r="AG5460" s="26"/>
      <c r="AH5460" s="26"/>
      <c r="AI5460" s="40"/>
      <c r="AJ5460" s="26"/>
      <c r="AK5460" s="26"/>
      <c r="AL5460" s="35"/>
      <c r="AM5460" s="35"/>
      <c r="AN5460" s="35"/>
      <c r="AO5460" s="35"/>
      <c r="AP5460" s="35"/>
    </row>
    <row r="5461" spans="1:42" x14ac:dyDescent="0.2">
      <c r="A5461" s="14">
        <v>45663</v>
      </c>
      <c r="B5461" s="28" t="s">
        <v>37</v>
      </c>
      <c r="C5461" s="41" t="s">
        <v>118</v>
      </c>
      <c r="D5461" s="26" t="s">
        <v>36</v>
      </c>
      <c r="E5461" s="26" t="s">
        <v>139</v>
      </c>
      <c r="F5461" s="26" t="s">
        <v>8581</v>
      </c>
      <c r="G5461" s="26" t="s">
        <v>1705</v>
      </c>
      <c r="H5461" s="26" t="s">
        <v>9041</v>
      </c>
      <c r="I5461" s="17">
        <f ca="1">IFERROR(__xludf.DUMMYFUNCTION("""COMPUTED_VALUE"""),45699)</f>
        <v>45699</v>
      </c>
      <c r="J5461" s="29" t="s">
        <v>6303</v>
      </c>
      <c r="K5461" s="26" t="s">
        <v>6304</v>
      </c>
      <c r="L5461" s="30">
        <v>763362688</v>
      </c>
      <c r="M5461" s="26" t="s">
        <v>123</v>
      </c>
      <c r="N5461" s="26" t="s">
        <v>310</v>
      </c>
      <c r="O5461" s="26" t="s">
        <v>4503</v>
      </c>
      <c r="P5461" s="42" t="s">
        <v>8654</v>
      </c>
      <c r="Q5461" s="20">
        <v>15936</v>
      </c>
      <c r="R5461" s="26" t="s">
        <v>70</v>
      </c>
      <c r="S5461" s="31">
        <v>4000</v>
      </c>
      <c r="T5461" s="32">
        <v>45256</v>
      </c>
      <c r="U5461" s="31">
        <v>11936</v>
      </c>
      <c r="V5461" s="32">
        <v>45281</v>
      </c>
      <c r="W5461" s="33" t="s">
        <v>6306</v>
      </c>
      <c r="X5461" s="26"/>
      <c r="Y5461" s="22">
        <v>0</v>
      </c>
      <c r="Z5461" s="26" t="s">
        <v>118</v>
      </c>
      <c r="AA5461" s="19" t="s">
        <v>5961</v>
      </c>
      <c r="AB5461" s="26"/>
      <c r="AC5461" s="26" t="s">
        <v>53</v>
      </c>
      <c r="AD5461" s="19" t="s">
        <v>54</v>
      </c>
      <c r="AE5461" s="26" t="s">
        <v>8581</v>
      </c>
      <c r="AF5461" s="17">
        <v>45694</v>
      </c>
      <c r="AG5461" s="26"/>
      <c r="AH5461" s="26">
        <v>1</v>
      </c>
      <c r="AI5461" s="40"/>
      <c r="AJ5461" s="26"/>
      <c r="AK5461" s="26"/>
      <c r="AL5461" s="35"/>
      <c r="AM5461" s="35"/>
      <c r="AN5461" s="35"/>
      <c r="AO5461" s="35"/>
      <c r="AP5461" s="35"/>
    </row>
    <row r="5462" spans="1:42" x14ac:dyDescent="0.2">
      <c r="A5462" s="14">
        <v>45663</v>
      </c>
      <c r="B5462" s="28" t="s">
        <v>37</v>
      </c>
      <c r="C5462" s="41" t="s">
        <v>118</v>
      </c>
      <c r="D5462" s="26" t="s">
        <v>36</v>
      </c>
      <c r="E5462" s="26" t="s">
        <v>915</v>
      </c>
      <c r="F5462" s="26" t="s">
        <v>6859</v>
      </c>
      <c r="G5462" s="26" t="s">
        <v>1705</v>
      </c>
      <c r="H5462" s="26" t="s">
        <v>9041</v>
      </c>
      <c r="I5462" s="17">
        <f ca="1">IFERROR(__xludf.DUMMYFUNCTION("""COMPUTED_VALUE"""),45699)</f>
        <v>45699</v>
      </c>
      <c r="J5462" s="29" t="s">
        <v>2957</v>
      </c>
      <c r="K5462" s="26" t="s">
        <v>7362</v>
      </c>
      <c r="L5462" s="30">
        <v>906190905</v>
      </c>
      <c r="M5462" s="26" t="s">
        <v>80</v>
      </c>
      <c r="N5462" s="26" t="s">
        <v>81</v>
      </c>
      <c r="O5462" s="26" t="s">
        <v>2959</v>
      </c>
      <c r="P5462" s="42" t="s">
        <v>2960</v>
      </c>
      <c r="Q5462" s="20">
        <v>10894</v>
      </c>
      <c r="R5462" s="26" t="s">
        <v>36</v>
      </c>
      <c r="S5462" s="31">
        <v>2000</v>
      </c>
      <c r="T5462" s="32">
        <v>45187</v>
      </c>
      <c r="U5462" s="31">
        <v>8894</v>
      </c>
      <c r="V5462" s="32">
        <v>45197</v>
      </c>
      <c r="W5462" s="33" t="s">
        <v>2961</v>
      </c>
      <c r="X5462" s="26"/>
      <c r="Y5462" s="22">
        <v>0</v>
      </c>
      <c r="Z5462" s="26" t="s">
        <v>118</v>
      </c>
      <c r="AA5462" s="19" t="s">
        <v>2449</v>
      </c>
      <c r="AB5462" s="26"/>
      <c r="AC5462" s="26" t="s">
        <v>53</v>
      </c>
      <c r="AD5462" s="19" t="s">
        <v>54</v>
      </c>
      <c r="AE5462" s="26" t="s">
        <v>6859</v>
      </c>
      <c r="AF5462" s="17">
        <v>45694</v>
      </c>
      <c r="AG5462" s="26"/>
      <c r="AH5462" s="26"/>
      <c r="AI5462" s="40"/>
      <c r="AJ5462" s="26"/>
      <c r="AK5462" s="26"/>
      <c r="AL5462" s="35"/>
      <c r="AM5462" s="35"/>
      <c r="AN5462" s="35"/>
      <c r="AO5462" s="35"/>
      <c r="AP5462" s="35"/>
    </row>
    <row r="5463" spans="1:42" x14ac:dyDescent="0.2">
      <c r="A5463" s="14">
        <v>45664</v>
      </c>
      <c r="B5463" s="68" t="s">
        <v>37</v>
      </c>
      <c r="C5463" s="41" t="s">
        <v>118</v>
      </c>
      <c r="D5463" s="26" t="s">
        <v>36</v>
      </c>
      <c r="E5463" s="26" t="s">
        <v>56</v>
      </c>
      <c r="F5463" s="26" t="s">
        <v>8935</v>
      </c>
      <c r="G5463" s="26" t="s">
        <v>221</v>
      </c>
      <c r="H5463" s="26" t="s">
        <v>6935</v>
      </c>
      <c r="I5463" s="17">
        <f ca="1">IFERROR(__xludf.DUMMYFUNCTION("""COMPUTED_VALUE"""),45671)</f>
        <v>45671</v>
      </c>
      <c r="J5463" s="29" t="s">
        <v>10239</v>
      </c>
      <c r="K5463" s="26" t="s">
        <v>10240</v>
      </c>
      <c r="L5463" s="30">
        <v>975829062</v>
      </c>
      <c r="M5463" s="26" t="s">
        <v>3728</v>
      </c>
      <c r="N5463" s="26" t="s">
        <v>5312</v>
      </c>
      <c r="O5463" s="26" t="s">
        <v>10241</v>
      </c>
      <c r="P5463" s="42" t="s">
        <v>10242</v>
      </c>
      <c r="Q5463" s="20">
        <v>9317</v>
      </c>
      <c r="R5463" s="26" t="s">
        <v>36</v>
      </c>
      <c r="S5463" s="95">
        <v>2000</v>
      </c>
      <c r="T5463" s="148">
        <v>45483</v>
      </c>
      <c r="U5463" s="95">
        <v>7317</v>
      </c>
      <c r="V5463" s="148" t="s">
        <v>10243</v>
      </c>
      <c r="W5463" s="33" t="s">
        <v>10244</v>
      </c>
      <c r="X5463" s="26">
        <v>0</v>
      </c>
      <c r="Y5463" s="22">
        <v>0</v>
      </c>
      <c r="Z5463" s="26" t="s">
        <v>50</v>
      </c>
      <c r="AA5463" s="96"/>
      <c r="AB5463" s="26"/>
      <c r="AC5463" s="26" t="s">
        <v>53</v>
      </c>
      <c r="AD5463" s="26" t="s">
        <v>54</v>
      </c>
      <c r="AE5463" s="26" t="s">
        <v>8935</v>
      </c>
      <c r="AF5463" s="17">
        <v>45298</v>
      </c>
      <c r="AG5463" s="26"/>
      <c r="AH5463" s="26"/>
      <c r="AI5463" s="40"/>
      <c r="AJ5463" s="26"/>
      <c r="AK5463" s="26"/>
      <c r="AL5463" s="35"/>
      <c r="AM5463" s="35"/>
      <c r="AN5463" s="35"/>
      <c r="AO5463" s="35"/>
      <c r="AP5463" s="35"/>
    </row>
    <row r="5464" spans="1:42" x14ac:dyDescent="0.2">
      <c r="A5464" s="14">
        <v>45664</v>
      </c>
      <c r="B5464" s="28" t="s">
        <v>37</v>
      </c>
      <c r="C5464" s="41" t="s">
        <v>118</v>
      </c>
      <c r="D5464" s="26" t="s">
        <v>36</v>
      </c>
      <c r="E5464" s="26" t="s">
        <v>139</v>
      </c>
      <c r="F5464" s="26" t="s">
        <v>9032</v>
      </c>
      <c r="G5464" s="26" t="s">
        <v>1705</v>
      </c>
      <c r="H5464" s="26" t="s">
        <v>9041</v>
      </c>
      <c r="I5464" s="17">
        <f ca="1">IFERROR(__xludf.DUMMYFUNCTION("""COMPUTED_VALUE"""),45699)</f>
        <v>45699</v>
      </c>
      <c r="J5464" s="29" t="s">
        <v>5220</v>
      </c>
      <c r="K5464" s="26" t="s">
        <v>5221</v>
      </c>
      <c r="L5464" s="30">
        <v>878982865</v>
      </c>
      <c r="M5464" s="26" t="s">
        <v>910</v>
      </c>
      <c r="N5464" s="26" t="s">
        <v>3525</v>
      </c>
      <c r="O5464" s="26" t="s">
        <v>3754</v>
      </c>
      <c r="P5464" s="42" t="s">
        <v>18480</v>
      </c>
      <c r="Q5464" s="20">
        <v>15936</v>
      </c>
      <c r="R5464" s="26" t="s">
        <v>70</v>
      </c>
      <c r="S5464" s="31">
        <v>2000</v>
      </c>
      <c r="T5464" s="32">
        <v>45202</v>
      </c>
      <c r="U5464" s="31">
        <v>13936</v>
      </c>
      <c r="V5464" s="32">
        <v>45246</v>
      </c>
      <c r="W5464" s="33" t="s">
        <v>5223</v>
      </c>
      <c r="X5464" s="26"/>
      <c r="Y5464" s="22">
        <v>0</v>
      </c>
      <c r="Z5464" s="26" t="s">
        <v>118</v>
      </c>
      <c r="AA5464" s="19" t="s">
        <v>5785</v>
      </c>
      <c r="AB5464" s="80"/>
      <c r="AC5464" s="26" t="s">
        <v>53</v>
      </c>
      <c r="AD5464" s="19" t="s">
        <v>138</v>
      </c>
      <c r="AE5464" s="26" t="s">
        <v>9032</v>
      </c>
      <c r="AF5464" s="17">
        <v>45694</v>
      </c>
      <c r="AG5464" s="26"/>
      <c r="AH5464" s="26"/>
      <c r="AI5464" s="40" t="s">
        <v>147</v>
      </c>
      <c r="AJ5464" s="26"/>
      <c r="AK5464" s="26"/>
      <c r="AL5464" s="35"/>
      <c r="AM5464" s="35"/>
      <c r="AN5464" s="35"/>
      <c r="AO5464" s="35"/>
      <c r="AP5464" s="35"/>
    </row>
    <row r="5465" spans="1:42" x14ac:dyDescent="0.2">
      <c r="A5465" s="14">
        <v>45665</v>
      </c>
      <c r="B5465" s="137" t="s">
        <v>37</v>
      </c>
      <c r="C5465" s="41" t="s">
        <v>118</v>
      </c>
      <c r="D5465" s="80" t="s">
        <v>36</v>
      </c>
      <c r="E5465" s="80" t="s">
        <v>139</v>
      </c>
      <c r="F5465" s="26" t="s">
        <v>13126</v>
      </c>
      <c r="G5465" s="26" t="s">
        <v>221</v>
      </c>
      <c r="H5465" s="26" t="s">
        <v>6935</v>
      </c>
      <c r="I5465" s="17">
        <f ca="1">IFERROR(__xludf.DUMMYFUNCTION("""COMPUTED_VALUE"""),45671)</f>
        <v>45671</v>
      </c>
      <c r="J5465" s="143" t="s">
        <v>11022</v>
      </c>
      <c r="K5465" s="80" t="s">
        <v>18481</v>
      </c>
      <c r="L5465" s="30">
        <v>917162006</v>
      </c>
      <c r="M5465" s="80" t="s">
        <v>80</v>
      </c>
      <c r="N5465" s="80" t="s">
        <v>1073</v>
      </c>
      <c r="O5465" s="80" t="s">
        <v>11024</v>
      </c>
      <c r="P5465" s="144" t="s">
        <v>13618</v>
      </c>
      <c r="Q5465" s="20">
        <v>15936</v>
      </c>
      <c r="R5465" s="80" t="s">
        <v>36</v>
      </c>
      <c r="S5465" s="95">
        <f>200+1800</f>
        <v>2000</v>
      </c>
      <c r="T5465" s="83" t="s">
        <v>11026</v>
      </c>
      <c r="U5465" s="95">
        <v>13968</v>
      </c>
      <c r="V5465" s="148">
        <v>45525</v>
      </c>
      <c r="W5465" s="85" t="s">
        <v>11027</v>
      </c>
      <c r="X5465" s="80">
        <v>0</v>
      </c>
      <c r="Y5465" s="22">
        <v>-32</v>
      </c>
      <c r="Z5465" s="80" t="s">
        <v>50</v>
      </c>
      <c r="AA5465" s="96" t="s">
        <v>10314</v>
      </c>
      <c r="AB5465" s="80"/>
      <c r="AC5465" s="80" t="s">
        <v>53</v>
      </c>
      <c r="AD5465" s="80" t="s">
        <v>54</v>
      </c>
      <c r="AE5465" s="26" t="s">
        <v>13126</v>
      </c>
      <c r="AF5465" s="17">
        <v>45665</v>
      </c>
      <c r="AG5465" s="80"/>
      <c r="AH5465" s="80"/>
      <c r="AI5465" s="147"/>
      <c r="AJ5465" s="80"/>
      <c r="AK5465" s="80"/>
      <c r="AL5465" s="35"/>
      <c r="AM5465" s="35"/>
      <c r="AN5465" s="35"/>
      <c r="AO5465" s="35"/>
      <c r="AP5465" s="35"/>
    </row>
    <row r="5466" spans="1:42" x14ac:dyDescent="0.2">
      <c r="A5466" s="14">
        <v>45666</v>
      </c>
      <c r="B5466" s="137" t="s">
        <v>37</v>
      </c>
      <c r="C5466" s="41" t="s">
        <v>118</v>
      </c>
      <c r="D5466" s="80" t="s">
        <v>36</v>
      </c>
      <c r="E5466" s="80" t="s">
        <v>119</v>
      </c>
      <c r="F5466" s="80" t="s">
        <v>11802</v>
      </c>
      <c r="G5466" s="26" t="s">
        <v>221</v>
      </c>
      <c r="H5466" s="26" t="s">
        <v>9944</v>
      </c>
      <c r="I5466" s="17">
        <f ca="1">IFERROR(__xludf.DUMMYFUNCTION("""COMPUTED_VALUE"""),45820)</f>
        <v>45820</v>
      </c>
      <c r="J5466" s="143" t="s">
        <v>15606</v>
      </c>
      <c r="K5466" s="80" t="s">
        <v>18482</v>
      </c>
      <c r="L5466" s="30">
        <v>346800209</v>
      </c>
      <c r="M5466" s="80" t="s">
        <v>5518</v>
      </c>
      <c r="N5466" s="80" t="s">
        <v>253</v>
      </c>
      <c r="O5466" s="80" t="s">
        <v>15608</v>
      </c>
      <c r="P5466" s="144" t="s">
        <v>18483</v>
      </c>
      <c r="Q5466" s="20">
        <v>13968</v>
      </c>
      <c r="R5466" s="80" t="s">
        <v>36</v>
      </c>
      <c r="S5466" s="95">
        <f>200+3800</f>
        <v>4000</v>
      </c>
      <c r="T5466" s="83" t="s">
        <v>15610</v>
      </c>
      <c r="U5466" s="95">
        <v>9968</v>
      </c>
      <c r="V5466" s="148">
        <v>45588</v>
      </c>
      <c r="W5466" s="85" t="s">
        <v>15611</v>
      </c>
      <c r="X5466" s="80"/>
      <c r="Y5466" s="22">
        <v>0</v>
      </c>
      <c r="Z5466" s="80" t="s">
        <v>50</v>
      </c>
      <c r="AA5466" s="35" t="s">
        <v>9905</v>
      </c>
      <c r="AB5466" s="80"/>
      <c r="AC5466" s="80" t="s">
        <v>53</v>
      </c>
      <c r="AD5466" s="80" t="s">
        <v>54</v>
      </c>
      <c r="AE5466" s="80" t="s">
        <v>11802</v>
      </c>
      <c r="AF5466" s="17">
        <v>45855</v>
      </c>
      <c r="AG5466" s="60" t="s">
        <v>18484</v>
      </c>
      <c r="AH5466" s="80"/>
      <c r="AI5466" s="147"/>
      <c r="AJ5466" s="80"/>
      <c r="AK5466" s="80"/>
      <c r="AL5466" s="35"/>
      <c r="AM5466" s="35"/>
      <c r="AN5466" s="35"/>
      <c r="AO5466" s="35"/>
      <c r="AP5466" s="35"/>
    </row>
    <row r="5467" spans="1:42" x14ac:dyDescent="0.2">
      <c r="A5467" s="14">
        <v>45666</v>
      </c>
      <c r="B5467" s="137" t="s">
        <v>37</v>
      </c>
      <c r="C5467" s="41" t="s">
        <v>118</v>
      </c>
      <c r="D5467" s="80" t="s">
        <v>36</v>
      </c>
      <c r="E5467" s="80" t="s">
        <v>119</v>
      </c>
      <c r="F5467" s="80" t="s">
        <v>11808</v>
      </c>
      <c r="G5467" s="80" t="s">
        <v>221</v>
      </c>
      <c r="H5467" s="80" t="s">
        <v>18323</v>
      </c>
      <c r="I5467" s="17">
        <f ca="1">IFERROR(__xludf.DUMMYFUNCTION("""COMPUTED_VALUE"""),45698)</f>
        <v>45698</v>
      </c>
      <c r="J5467" s="143" t="s">
        <v>15522</v>
      </c>
      <c r="K5467" s="80" t="s">
        <v>18485</v>
      </c>
      <c r="L5467" s="30">
        <v>395931655</v>
      </c>
      <c r="M5467" s="80" t="s">
        <v>5429</v>
      </c>
      <c r="N5467" s="80" t="s">
        <v>756</v>
      </c>
      <c r="O5467" s="80" t="s">
        <v>2819</v>
      </c>
      <c r="P5467" s="80" t="s">
        <v>7107</v>
      </c>
      <c r="Q5467" s="20">
        <v>13968</v>
      </c>
      <c r="R5467" s="80" t="s">
        <v>70</v>
      </c>
      <c r="S5467" s="95">
        <f>2000+2000</f>
        <v>4000</v>
      </c>
      <c r="T5467" s="83" t="s">
        <v>15524</v>
      </c>
      <c r="U5467" s="95">
        <v>9868</v>
      </c>
      <c r="V5467" s="148">
        <v>45595</v>
      </c>
      <c r="W5467" s="85" t="s">
        <v>15525</v>
      </c>
      <c r="X5467" s="80"/>
      <c r="Y5467" s="22">
        <v>100</v>
      </c>
      <c r="Z5467" s="80" t="s">
        <v>50</v>
      </c>
      <c r="AA5467" s="96" t="s">
        <v>9905</v>
      </c>
      <c r="AB5467" s="80"/>
      <c r="AC5467" s="80" t="s">
        <v>53</v>
      </c>
      <c r="AD5467" s="80" t="s">
        <v>138</v>
      </c>
      <c r="AE5467" s="80" t="s">
        <v>11808</v>
      </c>
      <c r="AF5467" s="17">
        <v>45698</v>
      </c>
      <c r="AG5467" s="80"/>
      <c r="AH5467" s="80"/>
      <c r="AI5467" s="147"/>
      <c r="AJ5467" s="80"/>
      <c r="AK5467" s="80"/>
      <c r="AL5467" s="35"/>
      <c r="AM5467" s="35"/>
      <c r="AN5467" s="35"/>
      <c r="AO5467" s="35"/>
      <c r="AP5467" s="35"/>
    </row>
    <row r="5468" spans="1:42" x14ac:dyDescent="0.2">
      <c r="A5468" s="14">
        <v>45666</v>
      </c>
      <c r="B5468" s="137" t="s">
        <v>37</v>
      </c>
      <c r="C5468" s="41" t="s">
        <v>118</v>
      </c>
      <c r="D5468" s="80" t="s">
        <v>36</v>
      </c>
      <c r="E5468" s="80" t="s">
        <v>119</v>
      </c>
      <c r="F5468" s="80" t="s">
        <v>11808</v>
      </c>
      <c r="G5468" s="80" t="s">
        <v>221</v>
      </c>
      <c r="H5468" s="80" t="s">
        <v>18323</v>
      </c>
      <c r="I5468" s="17">
        <f ca="1">IFERROR(__xludf.DUMMYFUNCTION("""COMPUTED_VALUE"""),45698)</f>
        <v>45698</v>
      </c>
      <c r="J5468" s="143" t="s">
        <v>15696</v>
      </c>
      <c r="K5468" s="80" t="s">
        <v>14353</v>
      </c>
      <c r="L5468" s="30">
        <v>917844045</v>
      </c>
      <c r="M5468" s="80" t="s">
        <v>5518</v>
      </c>
      <c r="N5468" s="80" t="s">
        <v>12380</v>
      </c>
      <c r="O5468" s="80" t="s">
        <v>15697</v>
      </c>
      <c r="P5468" s="80" t="s">
        <v>3694</v>
      </c>
      <c r="Q5468" s="20">
        <v>13968</v>
      </c>
      <c r="R5468" s="80" t="s">
        <v>36</v>
      </c>
      <c r="S5468" s="95">
        <f>200+13768</f>
        <v>13968</v>
      </c>
      <c r="T5468" s="83" t="s">
        <v>15698</v>
      </c>
      <c r="U5468" s="77"/>
      <c r="V5468" s="78"/>
      <c r="W5468" s="85" t="s">
        <v>15699</v>
      </c>
      <c r="X5468" s="80"/>
      <c r="Y5468" s="22">
        <v>0</v>
      </c>
      <c r="Z5468" s="80" t="s">
        <v>50</v>
      </c>
      <c r="AA5468" s="35" t="s">
        <v>9905</v>
      </c>
      <c r="AB5468" s="80"/>
      <c r="AC5468" s="80" t="s">
        <v>53</v>
      </c>
      <c r="AD5468" s="80" t="s">
        <v>138</v>
      </c>
      <c r="AE5468" s="80" t="s">
        <v>11808</v>
      </c>
      <c r="AF5468" s="17">
        <v>45698</v>
      </c>
      <c r="AG5468" s="80"/>
      <c r="AH5468" s="80"/>
      <c r="AI5468" s="147"/>
      <c r="AJ5468" s="80"/>
      <c r="AK5468" s="80"/>
      <c r="AL5468" s="35"/>
      <c r="AM5468" s="35"/>
      <c r="AN5468" s="35"/>
      <c r="AO5468" s="35"/>
      <c r="AP5468" s="35"/>
    </row>
    <row r="5469" spans="1:42" x14ac:dyDescent="0.2">
      <c r="A5469" s="14">
        <v>45666</v>
      </c>
      <c r="B5469" s="137" t="s">
        <v>37</v>
      </c>
      <c r="C5469" s="41" t="s">
        <v>118</v>
      </c>
      <c r="D5469" s="80" t="s">
        <v>36</v>
      </c>
      <c r="E5469" s="80" t="s">
        <v>119</v>
      </c>
      <c r="F5469" s="80" t="s">
        <v>11808</v>
      </c>
      <c r="G5469" s="80" t="s">
        <v>221</v>
      </c>
      <c r="H5469" s="80" t="s">
        <v>18323</v>
      </c>
      <c r="I5469" s="17">
        <f ca="1">IFERROR(__xludf.DUMMYFUNCTION("""COMPUTED_VALUE"""),45698)</f>
        <v>45698</v>
      </c>
      <c r="J5469" s="143" t="s">
        <v>15700</v>
      </c>
      <c r="K5469" s="80" t="s">
        <v>15701</v>
      </c>
      <c r="L5469" s="30">
        <v>359423568</v>
      </c>
      <c r="M5469" s="80" t="s">
        <v>5518</v>
      </c>
      <c r="N5469" s="80" t="s">
        <v>12380</v>
      </c>
      <c r="O5469" s="80" t="s">
        <v>15702</v>
      </c>
      <c r="P5469" s="80" t="s">
        <v>3694</v>
      </c>
      <c r="Q5469" s="20">
        <v>13968</v>
      </c>
      <c r="R5469" s="80" t="s">
        <v>70</v>
      </c>
      <c r="S5469" s="95">
        <f t="shared" ref="S5469:S5470" si="140">500+3500</f>
        <v>4000</v>
      </c>
      <c r="T5469" s="83" t="s">
        <v>15698</v>
      </c>
      <c r="U5469" s="95">
        <v>9868</v>
      </c>
      <c r="V5469" s="148">
        <v>45595</v>
      </c>
      <c r="W5469" s="85" t="s">
        <v>15703</v>
      </c>
      <c r="X5469" s="80"/>
      <c r="Y5469" s="22">
        <v>100</v>
      </c>
      <c r="Z5469" s="80" t="s">
        <v>50</v>
      </c>
      <c r="AA5469" s="96" t="s">
        <v>9905</v>
      </c>
      <c r="AB5469" s="80"/>
      <c r="AC5469" s="80" t="s">
        <v>53</v>
      </c>
      <c r="AD5469" s="80" t="s">
        <v>138</v>
      </c>
      <c r="AE5469" s="80" t="s">
        <v>11808</v>
      </c>
      <c r="AF5469" s="17">
        <v>45698</v>
      </c>
      <c r="AG5469" s="80"/>
      <c r="AH5469" s="80"/>
      <c r="AI5469" s="147"/>
      <c r="AJ5469" s="80"/>
      <c r="AK5469" s="80"/>
      <c r="AL5469" s="35"/>
      <c r="AM5469" s="35"/>
      <c r="AN5469" s="35"/>
      <c r="AO5469" s="35"/>
      <c r="AP5469" s="35"/>
    </row>
    <row r="5470" spans="1:42" x14ac:dyDescent="0.2">
      <c r="A5470" s="14">
        <v>45666</v>
      </c>
      <c r="B5470" s="137" t="s">
        <v>37</v>
      </c>
      <c r="C5470" s="41" t="s">
        <v>118</v>
      </c>
      <c r="D5470" s="80" t="s">
        <v>36</v>
      </c>
      <c r="E5470" s="80" t="s">
        <v>119</v>
      </c>
      <c r="F5470" s="80" t="s">
        <v>11808</v>
      </c>
      <c r="G5470" s="80" t="s">
        <v>221</v>
      </c>
      <c r="H5470" s="80" t="s">
        <v>18323</v>
      </c>
      <c r="I5470" s="17">
        <f ca="1">IFERROR(__xludf.DUMMYFUNCTION("""COMPUTED_VALUE"""),45698)</f>
        <v>45698</v>
      </c>
      <c r="J5470" s="143" t="s">
        <v>15704</v>
      </c>
      <c r="K5470" s="80" t="s">
        <v>15705</v>
      </c>
      <c r="L5470" s="30">
        <v>325478778</v>
      </c>
      <c r="M5470" s="80" t="s">
        <v>5518</v>
      </c>
      <c r="N5470" s="80" t="s">
        <v>12380</v>
      </c>
      <c r="O5470" s="80" t="s">
        <v>15706</v>
      </c>
      <c r="P5470" s="80" t="s">
        <v>3694</v>
      </c>
      <c r="Q5470" s="20">
        <v>13968</v>
      </c>
      <c r="R5470" s="80" t="s">
        <v>70</v>
      </c>
      <c r="S5470" s="95">
        <f t="shared" si="140"/>
        <v>4000</v>
      </c>
      <c r="T5470" s="83" t="s">
        <v>15698</v>
      </c>
      <c r="U5470" s="95">
        <v>9868</v>
      </c>
      <c r="V5470" s="148">
        <v>45595</v>
      </c>
      <c r="W5470" s="85" t="s">
        <v>15707</v>
      </c>
      <c r="X5470" s="80"/>
      <c r="Y5470" s="22">
        <v>100</v>
      </c>
      <c r="Z5470" s="80" t="s">
        <v>50</v>
      </c>
      <c r="AA5470" s="35" t="s">
        <v>9905</v>
      </c>
      <c r="AB5470" s="80"/>
      <c r="AC5470" s="80" t="s">
        <v>53</v>
      </c>
      <c r="AD5470" s="80" t="s">
        <v>138</v>
      </c>
      <c r="AE5470" s="80" t="s">
        <v>11808</v>
      </c>
      <c r="AF5470" s="17">
        <v>45698</v>
      </c>
      <c r="AG5470" s="80"/>
      <c r="AH5470" s="80"/>
      <c r="AI5470" s="147"/>
      <c r="AJ5470" s="80"/>
      <c r="AK5470" s="80"/>
      <c r="AL5470" s="35"/>
      <c r="AM5470" s="35"/>
      <c r="AN5470" s="35"/>
      <c r="AO5470" s="35"/>
      <c r="AP5470" s="35"/>
    </row>
    <row r="5471" spans="1:42" x14ac:dyDescent="0.2">
      <c r="A5471" s="14">
        <v>45666</v>
      </c>
      <c r="B5471" s="137" t="s">
        <v>37</v>
      </c>
      <c r="C5471" s="41" t="s">
        <v>118</v>
      </c>
      <c r="D5471" s="80" t="s">
        <v>36</v>
      </c>
      <c r="E5471" s="80" t="s">
        <v>148</v>
      </c>
      <c r="F5471" s="80" t="s">
        <v>11808</v>
      </c>
      <c r="G5471" s="80" t="s">
        <v>221</v>
      </c>
      <c r="H5471" s="80" t="s">
        <v>18323</v>
      </c>
      <c r="I5471" s="17">
        <f ca="1">IFERROR(__xludf.DUMMYFUNCTION("""COMPUTED_VALUE"""),45698)</f>
        <v>45698</v>
      </c>
      <c r="J5471" s="143" t="s">
        <v>15716</v>
      </c>
      <c r="K5471" s="80" t="s">
        <v>15717</v>
      </c>
      <c r="L5471" s="30">
        <v>387973209</v>
      </c>
      <c r="M5471" s="80" t="s">
        <v>5518</v>
      </c>
      <c r="N5471" s="80" t="s">
        <v>5524</v>
      </c>
      <c r="O5471" s="80" t="s">
        <v>7637</v>
      </c>
      <c r="P5471" s="80" t="s">
        <v>3694</v>
      </c>
      <c r="Q5471" s="20">
        <v>7349</v>
      </c>
      <c r="R5471" s="80" t="s">
        <v>36</v>
      </c>
      <c r="S5471" s="95">
        <v>4000</v>
      </c>
      <c r="T5471" s="148">
        <v>45561</v>
      </c>
      <c r="U5471" s="95">
        <v>3349</v>
      </c>
      <c r="V5471" s="148">
        <v>45596</v>
      </c>
      <c r="W5471" s="85" t="s">
        <v>15718</v>
      </c>
      <c r="X5471" s="80"/>
      <c r="Y5471" s="22">
        <v>0</v>
      </c>
      <c r="Z5471" s="80" t="s">
        <v>50</v>
      </c>
      <c r="AA5471" s="96" t="s">
        <v>9905</v>
      </c>
      <c r="AB5471" s="80"/>
      <c r="AC5471" s="80" t="s">
        <v>53</v>
      </c>
      <c r="AD5471" s="80" t="s">
        <v>138</v>
      </c>
      <c r="AE5471" s="80" t="s">
        <v>11808</v>
      </c>
      <c r="AF5471" s="17">
        <v>45698</v>
      </c>
      <c r="AG5471" s="80"/>
      <c r="AH5471" s="80"/>
      <c r="AI5471" s="147"/>
      <c r="AJ5471" s="80"/>
      <c r="AK5471" s="80"/>
      <c r="AL5471" s="35"/>
      <c r="AM5471" s="35"/>
      <c r="AN5471" s="35"/>
      <c r="AO5471" s="35"/>
      <c r="AP5471" s="35"/>
    </row>
    <row r="5472" spans="1:42" x14ac:dyDescent="0.2">
      <c r="A5472" s="14">
        <v>45666</v>
      </c>
      <c r="B5472" s="137" t="s">
        <v>37</v>
      </c>
      <c r="C5472" s="41" t="s">
        <v>118</v>
      </c>
      <c r="D5472" s="80" t="s">
        <v>36</v>
      </c>
      <c r="E5472" s="80" t="s">
        <v>119</v>
      </c>
      <c r="F5472" s="80" t="s">
        <v>11808</v>
      </c>
      <c r="G5472" s="80" t="s">
        <v>221</v>
      </c>
      <c r="H5472" s="80" t="s">
        <v>18323</v>
      </c>
      <c r="I5472" s="17">
        <f ca="1">IFERROR(__xludf.DUMMYFUNCTION("""COMPUTED_VALUE"""),45698)</f>
        <v>45698</v>
      </c>
      <c r="J5472" s="143" t="s">
        <v>15843</v>
      </c>
      <c r="K5472" s="80" t="s">
        <v>15844</v>
      </c>
      <c r="L5472" s="30">
        <v>367774041</v>
      </c>
      <c r="M5472" s="80" t="s">
        <v>5518</v>
      </c>
      <c r="N5472" s="80" t="s">
        <v>12380</v>
      </c>
      <c r="O5472" s="80" t="s">
        <v>15845</v>
      </c>
      <c r="P5472" s="80" t="s">
        <v>3694</v>
      </c>
      <c r="Q5472" s="20">
        <v>13968</v>
      </c>
      <c r="R5472" s="80" t="s">
        <v>36</v>
      </c>
      <c r="S5472" s="95">
        <v>4000</v>
      </c>
      <c r="T5472" s="148">
        <v>45563</v>
      </c>
      <c r="U5472" s="95">
        <v>9968</v>
      </c>
      <c r="V5472" s="148">
        <v>45596</v>
      </c>
      <c r="W5472" s="85" t="s">
        <v>15846</v>
      </c>
      <c r="X5472" s="80"/>
      <c r="Y5472" s="22">
        <v>0</v>
      </c>
      <c r="Z5472" s="80" t="s">
        <v>50</v>
      </c>
      <c r="AA5472" s="35" t="s">
        <v>9905</v>
      </c>
      <c r="AB5472" s="80"/>
      <c r="AC5472" s="80" t="s">
        <v>53</v>
      </c>
      <c r="AD5472" s="80" t="s">
        <v>138</v>
      </c>
      <c r="AE5472" s="80" t="s">
        <v>11808</v>
      </c>
      <c r="AF5472" s="17">
        <v>45698</v>
      </c>
      <c r="AG5472" s="80"/>
      <c r="AH5472" s="80"/>
      <c r="AI5472" s="147"/>
      <c r="AJ5472" s="80"/>
      <c r="AK5472" s="80"/>
      <c r="AL5472" s="35"/>
      <c r="AM5472" s="35"/>
      <c r="AN5472" s="35"/>
      <c r="AO5472" s="35"/>
      <c r="AP5472" s="35"/>
    </row>
    <row r="5473" spans="1:42" x14ac:dyDescent="0.2">
      <c r="A5473" s="14">
        <v>45666</v>
      </c>
      <c r="B5473" s="137" t="s">
        <v>37</v>
      </c>
      <c r="C5473" s="41" t="s">
        <v>118</v>
      </c>
      <c r="D5473" s="80" t="s">
        <v>36</v>
      </c>
      <c r="E5473" s="80" t="s">
        <v>119</v>
      </c>
      <c r="F5473" s="80" t="s">
        <v>11808</v>
      </c>
      <c r="G5473" s="80" t="s">
        <v>221</v>
      </c>
      <c r="H5473" s="80" t="s">
        <v>18323</v>
      </c>
      <c r="I5473" s="17">
        <f ca="1">IFERROR(__xludf.DUMMYFUNCTION("""COMPUTED_VALUE"""),45698)</f>
        <v>45698</v>
      </c>
      <c r="J5473" s="143" t="s">
        <v>17454</v>
      </c>
      <c r="K5473" s="80" t="s">
        <v>17455</v>
      </c>
      <c r="L5473" s="30">
        <v>988000871</v>
      </c>
      <c r="M5473" s="80" t="s">
        <v>12529</v>
      </c>
      <c r="N5473" s="80" t="s">
        <v>13566</v>
      </c>
      <c r="O5473" s="80" t="s">
        <v>17456</v>
      </c>
      <c r="P5473" s="80" t="s">
        <v>15693</v>
      </c>
      <c r="Q5473" s="20">
        <v>13968</v>
      </c>
      <c r="R5473" s="80" t="s">
        <v>70</v>
      </c>
      <c r="S5473" s="95">
        <f>200+9968</f>
        <v>10168</v>
      </c>
      <c r="T5473" s="83" t="s">
        <v>17457</v>
      </c>
      <c r="U5473" s="95">
        <v>3700</v>
      </c>
      <c r="V5473" s="148">
        <v>45575</v>
      </c>
      <c r="W5473" s="85" t="s">
        <v>17458</v>
      </c>
      <c r="X5473" s="80"/>
      <c r="Y5473" s="22">
        <v>100</v>
      </c>
      <c r="Z5473" s="80" t="s">
        <v>50</v>
      </c>
      <c r="AA5473" s="86" t="s">
        <v>14723</v>
      </c>
      <c r="AB5473" s="80"/>
      <c r="AC5473" s="80" t="s">
        <v>53</v>
      </c>
      <c r="AD5473" s="80" t="s">
        <v>138</v>
      </c>
      <c r="AE5473" s="80" t="s">
        <v>11808</v>
      </c>
      <c r="AF5473" s="17">
        <v>45698</v>
      </c>
      <c r="AG5473" s="80"/>
      <c r="AH5473" s="80"/>
      <c r="AI5473" s="147"/>
      <c r="AJ5473" s="80"/>
      <c r="AK5473" s="80"/>
      <c r="AL5473" s="35"/>
      <c r="AM5473" s="35"/>
      <c r="AN5473" s="35"/>
      <c r="AO5473" s="35"/>
      <c r="AP5473" s="35"/>
    </row>
    <row r="5474" spans="1:42" x14ac:dyDescent="0.2">
      <c r="A5474" s="14">
        <v>45666</v>
      </c>
      <c r="B5474" s="137" t="s">
        <v>37</v>
      </c>
      <c r="C5474" s="41" t="s">
        <v>118</v>
      </c>
      <c r="D5474" s="80" t="s">
        <v>36</v>
      </c>
      <c r="E5474" s="80" t="s">
        <v>119</v>
      </c>
      <c r="F5474" s="80" t="s">
        <v>11808</v>
      </c>
      <c r="G5474" s="80" t="s">
        <v>221</v>
      </c>
      <c r="H5474" s="80" t="s">
        <v>18323</v>
      </c>
      <c r="I5474" s="17">
        <f ca="1">IFERROR(__xludf.DUMMYFUNCTION("""COMPUTED_VALUE"""),45698)</f>
        <v>45698</v>
      </c>
      <c r="J5474" s="143" t="s">
        <v>17459</v>
      </c>
      <c r="K5474" s="80" t="s">
        <v>17460</v>
      </c>
      <c r="L5474" s="30">
        <v>356725248</v>
      </c>
      <c r="M5474" s="80" t="s">
        <v>12529</v>
      </c>
      <c r="N5474" s="80" t="s">
        <v>13566</v>
      </c>
      <c r="O5474" s="80" t="s">
        <v>17461</v>
      </c>
      <c r="P5474" s="80" t="s">
        <v>15693</v>
      </c>
      <c r="Q5474" s="20">
        <v>13968</v>
      </c>
      <c r="R5474" s="80" t="s">
        <v>36</v>
      </c>
      <c r="S5474" s="95">
        <f>200+3800</f>
        <v>4000</v>
      </c>
      <c r="T5474" s="83" t="s">
        <v>17462</v>
      </c>
      <c r="U5474" s="95">
        <v>9968</v>
      </c>
      <c r="V5474" s="148">
        <v>45601</v>
      </c>
      <c r="W5474" s="85" t="s">
        <v>17463</v>
      </c>
      <c r="X5474" s="80"/>
      <c r="Y5474" s="22">
        <v>0</v>
      </c>
      <c r="Z5474" s="80" t="s">
        <v>50</v>
      </c>
      <c r="AA5474" s="86" t="s">
        <v>14723</v>
      </c>
      <c r="AB5474" s="80"/>
      <c r="AC5474" s="80" t="s">
        <v>53</v>
      </c>
      <c r="AD5474" s="80" t="s">
        <v>138</v>
      </c>
      <c r="AE5474" s="80" t="s">
        <v>11808</v>
      </c>
      <c r="AF5474" s="17">
        <v>45698</v>
      </c>
      <c r="AG5474" s="80"/>
      <c r="AH5474" s="80"/>
      <c r="AI5474" s="147"/>
      <c r="AJ5474" s="80"/>
      <c r="AK5474" s="80"/>
      <c r="AL5474" s="35"/>
      <c r="AM5474" s="35"/>
      <c r="AN5474" s="35"/>
      <c r="AO5474" s="35"/>
      <c r="AP5474" s="35"/>
    </row>
    <row r="5475" spans="1:42" x14ac:dyDescent="0.2">
      <c r="A5475" s="14">
        <v>45666</v>
      </c>
      <c r="B5475" s="137" t="s">
        <v>37</v>
      </c>
      <c r="C5475" s="41" t="s">
        <v>118</v>
      </c>
      <c r="D5475" s="80" t="s">
        <v>36</v>
      </c>
      <c r="E5475" s="80" t="s">
        <v>139</v>
      </c>
      <c r="F5475" s="80" t="s">
        <v>11808</v>
      </c>
      <c r="G5475" s="80" t="s">
        <v>221</v>
      </c>
      <c r="H5475" s="80" t="s">
        <v>18323</v>
      </c>
      <c r="I5475" s="17">
        <f ca="1">IFERROR(__xludf.DUMMYFUNCTION("""COMPUTED_VALUE"""),45698)</f>
        <v>45698</v>
      </c>
      <c r="J5475" s="143" t="s">
        <v>11813</v>
      </c>
      <c r="K5475" s="80" t="s">
        <v>654</v>
      </c>
      <c r="L5475" s="30">
        <v>839000483</v>
      </c>
      <c r="M5475" s="80" t="s">
        <v>123</v>
      </c>
      <c r="N5475" s="80" t="s">
        <v>186</v>
      </c>
      <c r="O5475" s="80" t="s">
        <v>4503</v>
      </c>
      <c r="P5475" s="144" t="s">
        <v>11814</v>
      </c>
      <c r="Q5475" s="20">
        <v>15936</v>
      </c>
      <c r="R5475" s="80" t="s">
        <v>36</v>
      </c>
      <c r="S5475" s="77">
        <v>2000</v>
      </c>
      <c r="T5475" s="78">
        <v>45496</v>
      </c>
      <c r="U5475" s="77">
        <v>13936</v>
      </c>
      <c r="V5475" s="78">
        <v>45550</v>
      </c>
      <c r="W5475" s="80" t="s">
        <v>11815</v>
      </c>
      <c r="X5475" s="86">
        <v>0</v>
      </c>
      <c r="Y5475" s="22">
        <v>0</v>
      </c>
      <c r="Z5475" s="80" t="s">
        <v>50</v>
      </c>
      <c r="AA5475" s="82" t="s">
        <v>3291</v>
      </c>
      <c r="AB5475" s="80"/>
      <c r="AC5475" s="80" t="s">
        <v>53</v>
      </c>
      <c r="AD5475" s="80" t="s">
        <v>54</v>
      </c>
      <c r="AE5475" s="80" t="s">
        <v>11808</v>
      </c>
      <c r="AF5475" s="17">
        <v>45698</v>
      </c>
      <c r="AG5475" s="80"/>
      <c r="AH5475" s="80"/>
      <c r="AI5475" s="147" t="s">
        <v>147</v>
      </c>
      <c r="AJ5475" s="80"/>
      <c r="AK5475" s="80"/>
      <c r="AL5475" s="35"/>
      <c r="AM5475" s="35"/>
      <c r="AN5475" s="35"/>
      <c r="AO5475" s="35"/>
      <c r="AP5475" s="35"/>
    </row>
    <row r="5476" spans="1:42" x14ac:dyDescent="0.2">
      <c r="A5476" s="14">
        <v>45666</v>
      </c>
      <c r="B5476" s="137" t="s">
        <v>37</v>
      </c>
      <c r="C5476" s="41" t="s">
        <v>118</v>
      </c>
      <c r="D5476" s="26" t="s">
        <v>36</v>
      </c>
      <c r="E5476" s="26" t="s">
        <v>139</v>
      </c>
      <c r="F5476" s="80" t="s">
        <v>11808</v>
      </c>
      <c r="G5476" s="80" t="s">
        <v>221</v>
      </c>
      <c r="H5476" s="80" t="s">
        <v>18323</v>
      </c>
      <c r="I5476" s="17">
        <f ca="1">IFERROR(__xludf.DUMMYFUNCTION("""COMPUTED_VALUE"""),45698)</f>
        <v>45698</v>
      </c>
      <c r="J5476" s="29" t="s">
        <v>11989</v>
      </c>
      <c r="K5476" s="26" t="s">
        <v>11990</v>
      </c>
      <c r="L5476" s="30">
        <v>357014423</v>
      </c>
      <c r="M5476" s="26" t="s">
        <v>5558</v>
      </c>
      <c r="N5476" s="26" t="s">
        <v>5559</v>
      </c>
      <c r="O5476" s="26" t="s">
        <v>4503</v>
      </c>
      <c r="P5476" s="26" t="s">
        <v>11991</v>
      </c>
      <c r="Q5476" s="20">
        <v>15936</v>
      </c>
      <c r="R5476" s="26" t="s">
        <v>36</v>
      </c>
      <c r="S5476" s="95">
        <v>2000</v>
      </c>
      <c r="T5476" s="148">
        <v>45493</v>
      </c>
      <c r="U5476" s="95">
        <v>13936</v>
      </c>
      <c r="V5476" s="148">
        <v>45544</v>
      </c>
      <c r="W5476" s="33" t="s">
        <v>11992</v>
      </c>
      <c r="X5476" s="26">
        <v>0</v>
      </c>
      <c r="Y5476" s="22">
        <v>0</v>
      </c>
      <c r="Z5476" s="26" t="s">
        <v>50</v>
      </c>
      <c r="AA5476" s="35"/>
      <c r="AB5476" s="26"/>
      <c r="AC5476" s="26" t="s">
        <v>53</v>
      </c>
      <c r="AD5476" s="26" t="s">
        <v>138</v>
      </c>
      <c r="AE5476" s="80" t="s">
        <v>11808</v>
      </c>
      <c r="AF5476" s="17">
        <v>45698</v>
      </c>
      <c r="AG5476" s="26"/>
      <c r="AH5476" s="26"/>
      <c r="AI5476" s="40" t="s">
        <v>147</v>
      </c>
      <c r="AJ5476" s="26"/>
      <c r="AK5476" s="26"/>
      <c r="AL5476" s="35"/>
      <c r="AM5476" s="35"/>
      <c r="AN5476" s="35"/>
      <c r="AO5476" s="35"/>
      <c r="AP5476" s="35"/>
    </row>
    <row r="5477" spans="1:42" x14ac:dyDescent="0.2">
      <c r="A5477" s="14">
        <v>45666</v>
      </c>
      <c r="B5477" s="137" t="s">
        <v>1703</v>
      </c>
      <c r="C5477" s="41" t="s">
        <v>118</v>
      </c>
      <c r="D5477" s="26" t="s">
        <v>36</v>
      </c>
      <c r="E5477" s="26" t="s">
        <v>56</v>
      </c>
      <c r="F5477" s="80" t="s">
        <v>11808</v>
      </c>
      <c r="G5477" s="80" t="s">
        <v>221</v>
      </c>
      <c r="H5477" s="80" t="s">
        <v>865</v>
      </c>
      <c r="I5477" s="17" t="str">
        <f ca="1">IFERROR(__xludf.DUMMYFUNCTION("""COMPUTED_VALUE""")," ")</f>
        <v xml:space="preserve"> </v>
      </c>
      <c r="J5477" s="44" t="s">
        <v>13628</v>
      </c>
      <c r="K5477" s="19" t="s">
        <v>18486</v>
      </c>
      <c r="L5477" s="30">
        <v>373396072</v>
      </c>
      <c r="M5477" s="26" t="s">
        <v>9422</v>
      </c>
      <c r="N5477" s="26" t="s">
        <v>8785</v>
      </c>
      <c r="O5477" s="26" t="s">
        <v>10510</v>
      </c>
      <c r="P5477" s="26" t="s">
        <v>8819</v>
      </c>
      <c r="Q5477" s="20">
        <v>9317</v>
      </c>
      <c r="R5477" s="26" t="s">
        <v>36</v>
      </c>
      <c r="S5477" s="95">
        <v>1000</v>
      </c>
      <c r="T5477" s="148">
        <v>45477</v>
      </c>
      <c r="U5477" s="95">
        <v>8317</v>
      </c>
      <c r="V5477" s="148">
        <v>45508</v>
      </c>
      <c r="W5477" s="33" t="s">
        <v>10511</v>
      </c>
      <c r="X5477" s="26">
        <v>0</v>
      </c>
      <c r="Y5477" s="22">
        <v>0</v>
      </c>
      <c r="Z5477" s="26" t="s">
        <v>50</v>
      </c>
      <c r="AA5477" s="96" t="s">
        <v>10314</v>
      </c>
      <c r="AB5477" s="26"/>
      <c r="AC5477" s="26" t="s">
        <v>53</v>
      </c>
      <c r="AD5477" s="26" t="s">
        <v>138</v>
      </c>
      <c r="AE5477" s="80" t="s">
        <v>11808</v>
      </c>
      <c r="AF5477" s="17"/>
      <c r="AG5477" s="29" t="s">
        <v>10508</v>
      </c>
      <c r="AH5477" s="26"/>
      <c r="AI5477" s="40"/>
      <c r="AJ5477" s="26"/>
      <c r="AK5477" s="26"/>
      <c r="AL5477" s="35"/>
      <c r="AM5477" s="35"/>
      <c r="AN5477" s="35"/>
      <c r="AO5477" s="35"/>
      <c r="AP5477" s="35"/>
    </row>
    <row r="5478" spans="1:42" x14ac:dyDescent="0.2">
      <c r="A5478" s="14">
        <v>45666</v>
      </c>
      <c r="B5478" s="137" t="s">
        <v>37</v>
      </c>
      <c r="C5478" s="41" t="s">
        <v>118</v>
      </c>
      <c r="D5478" s="26" t="s">
        <v>36</v>
      </c>
      <c r="E5478" s="26" t="s">
        <v>139</v>
      </c>
      <c r="F5478" s="80" t="s">
        <v>11808</v>
      </c>
      <c r="G5478" s="80" t="s">
        <v>221</v>
      </c>
      <c r="H5478" s="80" t="s">
        <v>18323</v>
      </c>
      <c r="I5478" s="17">
        <f ca="1">IFERROR(__xludf.DUMMYFUNCTION("""COMPUTED_VALUE"""),45698)</f>
        <v>45698</v>
      </c>
      <c r="J5478" s="29" t="s">
        <v>8414</v>
      </c>
      <c r="K5478" s="26" t="s">
        <v>7838</v>
      </c>
      <c r="L5478" s="30">
        <v>329587671</v>
      </c>
      <c r="M5478" s="26" t="s">
        <v>123</v>
      </c>
      <c r="N5478" s="26" t="s">
        <v>186</v>
      </c>
      <c r="O5478" s="26" t="s">
        <v>4503</v>
      </c>
      <c r="P5478" s="42" t="s">
        <v>13643</v>
      </c>
      <c r="Q5478" s="20">
        <v>15936</v>
      </c>
      <c r="R5478" s="26" t="s">
        <v>36</v>
      </c>
      <c r="S5478" s="31">
        <v>200</v>
      </c>
      <c r="T5478" s="32">
        <v>45379</v>
      </c>
      <c r="U5478" s="31">
        <f>5000+10736</f>
        <v>15736</v>
      </c>
      <c r="V5478" s="26" t="s">
        <v>8416</v>
      </c>
      <c r="W5478" s="33" t="s">
        <v>8417</v>
      </c>
      <c r="X5478" s="26"/>
      <c r="Y5478" s="22">
        <v>0</v>
      </c>
      <c r="Z5478" s="26" t="s">
        <v>50</v>
      </c>
      <c r="AA5478" s="19" t="s">
        <v>8410</v>
      </c>
      <c r="AB5478" s="26" t="s">
        <v>4503</v>
      </c>
      <c r="AC5478" s="26" t="s">
        <v>53</v>
      </c>
      <c r="AD5478" s="19" t="s">
        <v>54</v>
      </c>
      <c r="AE5478" s="80" t="s">
        <v>11808</v>
      </c>
      <c r="AF5478" s="17">
        <v>45698</v>
      </c>
      <c r="AG5478" s="26"/>
      <c r="AH5478" s="26"/>
      <c r="AI5478" s="40"/>
      <c r="AJ5478" s="26"/>
      <c r="AK5478" s="26"/>
      <c r="AL5478" s="35"/>
      <c r="AM5478" s="35"/>
      <c r="AN5478" s="35"/>
      <c r="AO5478" s="35"/>
      <c r="AP5478" s="35"/>
    </row>
    <row r="5479" spans="1:42" x14ac:dyDescent="0.2">
      <c r="A5479" s="14">
        <v>45666</v>
      </c>
      <c r="B5479" s="137" t="s">
        <v>37</v>
      </c>
      <c r="C5479" s="41" t="s">
        <v>118</v>
      </c>
      <c r="D5479" s="26" t="s">
        <v>36</v>
      </c>
      <c r="E5479" s="26" t="s">
        <v>56</v>
      </c>
      <c r="F5479" s="80" t="s">
        <v>11808</v>
      </c>
      <c r="G5479" s="80" t="s">
        <v>221</v>
      </c>
      <c r="H5479" s="80" t="s">
        <v>18323</v>
      </c>
      <c r="I5479" s="17">
        <f ca="1">IFERROR(__xludf.DUMMYFUNCTION("""COMPUTED_VALUE"""),45698)</f>
        <v>45698</v>
      </c>
      <c r="J5479" s="29" t="s">
        <v>10309</v>
      </c>
      <c r="K5479" s="26" t="s">
        <v>10310</v>
      </c>
      <c r="L5479" s="30">
        <v>334068020</v>
      </c>
      <c r="M5479" s="26" t="s">
        <v>3728</v>
      </c>
      <c r="N5479" s="26" t="s">
        <v>5277</v>
      </c>
      <c r="O5479" s="26" t="s">
        <v>10311</v>
      </c>
      <c r="P5479" s="42" t="s">
        <v>13647</v>
      </c>
      <c r="Q5479" s="20">
        <v>9317</v>
      </c>
      <c r="R5479" s="26" t="s">
        <v>70</v>
      </c>
      <c r="S5479" s="95">
        <v>2000</v>
      </c>
      <c r="T5479" s="148">
        <v>45428</v>
      </c>
      <c r="U5479" s="95">
        <v>7317</v>
      </c>
      <c r="V5479" s="148">
        <v>45513</v>
      </c>
      <c r="W5479" s="33" t="s">
        <v>10313</v>
      </c>
      <c r="X5479" s="26">
        <v>100</v>
      </c>
      <c r="Y5479" s="22">
        <v>-100</v>
      </c>
      <c r="Z5479" s="26" t="s">
        <v>50</v>
      </c>
      <c r="AA5479" s="96" t="s">
        <v>10314</v>
      </c>
      <c r="AB5479" s="26"/>
      <c r="AC5479" s="26" t="s">
        <v>53</v>
      </c>
      <c r="AD5479" s="26" t="s">
        <v>138</v>
      </c>
      <c r="AE5479" s="80" t="s">
        <v>11808</v>
      </c>
      <c r="AF5479" s="17">
        <v>45698</v>
      </c>
      <c r="AG5479" s="26"/>
      <c r="AH5479" s="26"/>
      <c r="AI5479" s="40"/>
      <c r="AJ5479" s="26"/>
      <c r="AK5479" s="26"/>
      <c r="AL5479" s="35"/>
      <c r="AM5479" s="35"/>
      <c r="AN5479" s="35"/>
      <c r="AO5479" s="35"/>
      <c r="AP5479" s="35"/>
    </row>
    <row r="5480" spans="1:42" x14ac:dyDescent="0.2">
      <c r="A5480" s="14">
        <v>45666</v>
      </c>
      <c r="B5480" s="137" t="s">
        <v>37</v>
      </c>
      <c r="C5480" s="41" t="s">
        <v>118</v>
      </c>
      <c r="D5480" s="26" t="s">
        <v>36</v>
      </c>
      <c r="E5480" s="26" t="s">
        <v>139</v>
      </c>
      <c r="F5480" s="80" t="s">
        <v>11808</v>
      </c>
      <c r="G5480" s="80" t="s">
        <v>221</v>
      </c>
      <c r="H5480" s="80" t="s">
        <v>18323</v>
      </c>
      <c r="I5480" s="17">
        <f ca="1">IFERROR(__xludf.DUMMYFUNCTION("""COMPUTED_VALUE"""),45698)</f>
        <v>45698</v>
      </c>
      <c r="J5480" s="29" t="s">
        <v>11856</v>
      </c>
      <c r="K5480" s="26" t="s">
        <v>11857</v>
      </c>
      <c r="L5480" s="30">
        <v>349578053</v>
      </c>
      <c r="M5480" s="26" t="s">
        <v>3728</v>
      </c>
      <c r="N5480" s="26" t="s">
        <v>5277</v>
      </c>
      <c r="O5480" s="26" t="s">
        <v>11858</v>
      </c>
      <c r="P5480" s="42" t="s">
        <v>13648</v>
      </c>
      <c r="Q5480" s="20">
        <v>15936</v>
      </c>
      <c r="R5480" s="26" t="s">
        <v>36</v>
      </c>
      <c r="S5480" s="95">
        <v>2000</v>
      </c>
      <c r="T5480" s="148">
        <v>45428</v>
      </c>
      <c r="U5480" s="95">
        <v>13936</v>
      </c>
      <c r="V5480" s="148">
        <v>45539</v>
      </c>
      <c r="W5480" s="33" t="s">
        <v>11860</v>
      </c>
      <c r="X5480" s="26">
        <v>0</v>
      </c>
      <c r="Y5480" s="22">
        <v>0</v>
      </c>
      <c r="Z5480" s="26" t="s">
        <v>50</v>
      </c>
      <c r="AA5480" s="35"/>
      <c r="AB5480" s="26"/>
      <c r="AC5480" s="26" t="s">
        <v>53</v>
      </c>
      <c r="AD5480" s="26" t="s">
        <v>138</v>
      </c>
      <c r="AE5480" s="80" t="s">
        <v>11808</v>
      </c>
      <c r="AF5480" s="17">
        <v>45698</v>
      </c>
      <c r="AG5480" s="26"/>
      <c r="AH5480" s="26"/>
      <c r="AI5480" s="40" t="s">
        <v>147</v>
      </c>
      <c r="AJ5480" s="26"/>
      <c r="AK5480" s="26"/>
      <c r="AL5480" s="35"/>
      <c r="AM5480" s="35"/>
      <c r="AN5480" s="35"/>
      <c r="AO5480" s="35"/>
      <c r="AP5480" s="35"/>
    </row>
    <row r="5481" spans="1:42" x14ac:dyDescent="0.2">
      <c r="A5481" s="14">
        <v>45666</v>
      </c>
      <c r="B5481" s="137" t="s">
        <v>37</v>
      </c>
      <c r="C5481" s="41" t="s">
        <v>118</v>
      </c>
      <c r="D5481" s="26" t="s">
        <v>36</v>
      </c>
      <c r="E5481" s="26" t="s">
        <v>56</v>
      </c>
      <c r="F5481" s="80" t="s">
        <v>11808</v>
      </c>
      <c r="G5481" s="80" t="s">
        <v>221</v>
      </c>
      <c r="H5481" s="80" t="s">
        <v>18323</v>
      </c>
      <c r="I5481" s="17">
        <f ca="1">IFERROR(__xludf.DUMMYFUNCTION("""COMPUTED_VALUE"""),45698)</f>
        <v>45698</v>
      </c>
      <c r="J5481" s="29" t="s">
        <v>3350</v>
      </c>
      <c r="K5481" s="35" t="s">
        <v>7069</v>
      </c>
      <c r="L5481" s="83">
        <v>985247463</v>
      </c>
      <c r="M5481" s="26" t="s">
        <v>80</v>
      </c>
      <c r="N5481" s="26" t="s">
        <v>299</v>
      </c>
      <c r="O5481" s="26" t="s">
        <v>36</v>
      </c>
      <c r="P5481" s="42" t="s">
        <v>7070</v>
      </c>
      <c r="Q5481" s="20">
        <v>16779</v>
      </c>
      <c r="R5481" s="26" t="s">
        <v>36</v>
      </c>
      <c r="S5481" s="31">
        <v>4000</v>
      </c>
      <c r="T5481" s="32">
        <v>44991</v>
      </c>
      <c r="U5481" s="31">
        <v>12779</v>
      </c>
      <c r="V5481" s="32">
        <v>45008</v>
      </c>
      <c r="W5481" s="33" t="s">
        <v>7071</v>
      </c>
      <c r="X5481" s="26">
        <v>0</v>
      </c>
      <c r="Y5481" s="22">
        <v>0</v>
      </c>
      <c r="Z5481" s="26" t="s">
        <v>118</v>
      </c>
      <c r="AA5481" s="19"/>
      <c r="AB5481" s="26"/>
      <c r="AC5481" s="26" t="s">
        <v>53</v>
      </c>
      <c r="AD5481" s="19" t="s">
        <v>54</v>
      </c>
      <c r="AE5481" s="80" t="s">
        <v>11808</v>
      </c>
      <c r="AF5481" s="17">
        <v>45698</v>
      </c>
      <c r="AG5481" s="91"/>
      <c r="AH5481" s="26"/>
      <c r="AI5481" s="92"/>
      <c r="AJ5481" s="35"/>
      <c r="AK5481" s="35"/>
      <c r="AL5481" s="35"/>
      <c r="AM5481" s="35"/>
      <c r="AN5481" s="26"/>
      <c r="AO5481" s="26"/>
      <c r="AP5481" s="26"/>
    </row>
    <row r="5482" spans="1:42" x14ac:dyDescent="0.2">
      <c r="A5482" s="14">
        <v>45666</v>
      </c>
      <c r="B5482" s="137" t="s">
        <v>37</v>
      </c>
      <c r="C5482" s="41" t="s">
        <v>118</v>
      </c>
      <c r="D5482" s="26" t="s">
        <v>36</v>
      </c>
      <c r="E5482" s="26" t="s">
        <v>139</v>
      </c>
      <c r="F5482" s="80" t="s">
        <v>11808</v>
      </c>
      <c r="G5482" s="80" t="s">
        <v>221</v>
      </c>
      <c r="H5482" s="80" t="s">
        <v>18323</v>
      </c>
      <c r="I5482" s="17">
        <f ca="1">IFERROR(__xludf.DUMMYFUNCTION("""COMPUTED_VALUE"""),45698)</f>
        <v>45698</v>
      </c>
      <c r="J5482" s="29" t="s">
        <v>10344</v>
      </c>
      <c r="K5482" s="26" t="s">
        <v>10345</v>
      </c>
      <c r="L5482" s="30">
        <v>868130505</v>
      </c>
      <c r="M5482" s="26" t="s">
        <v>5429</v>
      </c>
      <c r="N5482" s="26" t="s">
        <v>9166</v>
      </c>
      <c r="O5482" s="26" t="s">
        <v>10346</v>
      </c>
      <c r="P5482" s="42" t="s">
        <v>13670</v>
      </c>
      <c r="Q5482" s="20">
        <v>15936</v>
      </c>
      <c r="R5482" s="26" t="s">
        <v>3825</v>
      </c>
      <c r="S5482" s="95">
        <f t="shared" ref="S5482:S5484" si="141">200+1800</f>
        <v>2000</v>
      </c>
      <c r="T5482" s="83" t="s">
        <v>10347</v>
      </c>
      <c r="U5482" s="95">
        <v>13736</v>
      </c>
      <c r="V5482" s="148">
        <v>45526</v>
      </c>
      <c r="W5482" s="33" t="s">
        <v>10348</v>
      </c>
      <c r="X5482" s="26">
        <v>200</v>
      </c>
      <c r="Y5482" s="22">
        <v>0</v>
      </c>
      <c r="Z5482" s="26" t="s">
        <v>50</v>
      </c>
      <c r="AA5482" s="35" t="s">
        <v>10314</v>
      </c>
      <c r="AB5482" s="26"/>
      <c r="AC5482" s="26" t="s">
        <v>53</v>
      </c>
      <c r="AD5482" s="26" t="s">
        <v>138</v>
      </c>
      <c r="AE5482" s="80" t="s">
        <v>11808</v>
      </c>
      <c r="AF5482" s="17">
        <v>45698</v>
      </c>
      <c r="AG5482" s="26"/>
      <c r="AH5482" s="26"/>
      <c r="AI5482" s="40"/>
      <c r="AJ5482" s="26"/>
      <c r="AK5482" s="26"/>
      <c r="AL5482" s="35"/>
      <c r="AM5482" s="35"/>
      <c r="AN5482" s="35"/>
      <c r="AO5482" s="35"/>
      <c r="AP5482" s="35"/>
    </row>
    <row r="5483" spans="1:42" x14ac:dyDescent="0.2">
      <c r="A5483" s="14">
        <v>45666</v>
      </c>
      <c r="B5483" s="137" t="s">
        <v>37</v>
      </c>
      <c r="C5483" s="41" t="s">
        <v>118</v>
      </c>
      <c r="D5483" s="80" t="s">
        <v>36</v>
      </c>
      <c r="E5483" s="80" t="s">
        <v>139</v>
      </c>
      <c r="F5483" s="80" t="s">
        <v>17752</v>
      </c>
      <c r="G5483" s="80" t="s">
        <v>108</v>
      </c>
      <c r="H5483" s="80" t="s">
        <v>18487</v>
      </c>
      <c r="I5483" s="17">
        <f ca="1">IFERROR(__xludf.DUMMYFUNCTION("""COMPUTED_VALUE"""),45671)</f>
        <v>45671</v>
      </c>
      <c r="J5483" s="143" t="s">
        <v>18488</v>
      </c>
      <c r="K5483" s="80" t="s">
        <v>18489</v>
      </c>
      <c r="L5483" s="30">
        <v>333515341</v>
      </c>
      <c r="M5483" s="80" t="s">
        <v>123</v>
      </c>
      <c r="N5483" s="80" t="s">
        <v>2847</v>
      </c>
      <c r="O5483" s="80" t="s">
        <v>4503</v>
      </c>
      <c r="P5483" s="80" t="s">
        <v>3694</v>
      </c>
      <c r="Q5483" s="20">
        <v>15936</v>
      </c>
      <c r="R5483" s="80" t="s">
        <v>36</v>
      </c>
      <c r="S5483" s="95">
        <f t="shared" si="141"/>
        <v>2000</v>
      </c>
      <c r="T5483" s="83" t="s">
        <v>18490</v>
      </c>
      <c r="U5483" s="95">
        <v>13936</v>
      </c>
      <c r="V5483" s="153">
        <v>45635</v>
      </c>
      <c r="W5483" s="85" t="s">
        <v>18491</v>
      </c>
      <c r="X5483" s="80"/>
      <c r="Y5483" s="22">
        <v>0</v>
      </c>
      <c r="Z5483" s="80" t="s">
        <v>50</v>
      </c>
      <c r="AA5483" s="82"/>
      <c r="AB5483" s="80"/>
      <c r="AC5483" s="80" t="s">
        <v>53</v>
      </c>
      <c r="AD5483" s="80" t="s">
        <v>138</v>
      </c>
      <c r="AE5483" s="80" t="s">
        <v>17752</v>
      </c>
      <c r="AF5483" s="17">
        <v>45671</v>
      </c>
      <c r="AG5483" s="80"/>
      <c r="AH5483" s="80"/>
      <c r="AI5483" s="147"/>
      <c r="AJ5483" s="80"/>
      <c r="AK5483" s="80"/>
      <c r="AL5483" s="35"/>
      <c r="AM5483" s="35"/>
      <c r="AN5483" s="35"/>
      <c r="AO5483" s="35"/>
      <c r="AP5483" s="35"/>
    </row>
    <row r="5484" spans="1:42" x14ac:dyDescent="0.2">
      <c r="A5484" s="14">
        <v>45666</v>
      </c>
      <c r="B5484" s="137" t="s">
        <v>37</v>
      </c>
      <c r="C5484" s="41" t="s">
        <v>118</v>
      </c>
      <c r="D5484" s="80" t="s">
        <v>36</v>
      </c>
      <c r="E5484" s="80" t="s">
        <v>139</v>
      </c>
      <c r="F5484" s="80" t="s">
        <v>17752</v>
      </c>
      <c r="G5484" s="80" t="s">
        <v>108</v>
      </c>
      <c r="H5484" s="80" t="s">
        <v>18487</v>
      </c>
      <c r="I5484" s="17">
        <f ca="1">IFERROR(__xludf.DUMMYFUNCTION("""COMPUTED_VALUE"""),45671)</f>
        <v>45671</v>
      </c>
      <c r="J5484" s="143" t="s">
        <v>18492</v>
      </c>
      <c r="K5484" s="80" t="s">
        <v>18493</v>
      </c>
      <c r="L5484" s="30">
        <v>972181606</v>
      </c>
      <c r="M5484" s="80" t="s">
        <v>11413</v>
      </c>
      <c r="N5484" s="80" t="s">
        <v>1246</v>
      </c>
      <c r="O5484" s="80" t="s">
        <v>18494</v>
      </c>
      <c r="P5484" s="80" t="s">
        <v>5462</v>
      </c>
      <c r="Q5484" s="20">
        <v>15936</v>
      </c>
      <c r="R5484" s="80" t="s">
        <v>36</v>
      </c>
      <c r="S5484" s="95">
        <f t="shared" si="141"/>
        <v>2000</v>
      </c>
      <c r="T5484" s="83" t="s">
        <v>18495</v>
      </c>
      <c r="U5484" s="95">
        <v>13936</v>
      </c>
      <c r="V5484" s="153">
        <v>45635</v>
      </c>
      <c r="W5484" s="85" t="s">
        <v>18496</v>
      </c>
      <c r="X5484" s="80"/>
      <c r="Y5484" s="22">
        <v>0</v>
      </c>
      <c r="Z5484" s="80" t="s">
        <v>50</v>
      </c>
      <c r="AA5484" s="86"/>
      <c r="AB5484" s="80"/>
      <c r="AC5484" s="80" t="s">
        <v>53</v>
      </c>
      <c r="AD5484" s="80" t="s">
        <v>138</v>
      </c>
      <c r="AE5484" s="80" t="s">
        <v>17752</v>
      </c>
      <c r="AF5484" s="17">
        <v>45671</v>
      </c>
      <c r="AG5484" s="80"/>
      <c r="AH5484" s="80"/>
      <c r="AI5484" s="147"/>
      <c r="AJ5484" s="80"/>
      <c r="AK5484" s="80"/>
      <c r="AL5484" s="35"/>
      <c r="AM5484" s="35"/>
      <c r="AN5484" s="35"/>
      <c r="AO5484" s="35"/>
      <c r="AP5484" s="35"/>
    </row>
    <row r="5485" spans="1:42" x14ac:dyDescent="0.2">
      <c r="A5485" s="14">
        <v>45666</v>
      </c>
      <c r="B5485" s="137" t="s">
        <v>37</v>
      </c>
      <c r="C5485" s="41" t="s">
        <v>118</v>
      </c>
      <c r="D5485" s="80" t="s">
        <v>36</v>
      </c>
      <c r="E5485" s="80" t="s">
        <v>139</v>
      </c>
      <c r="F5485" s="80" t="s">
        <v>17752</v>
      </c>
      <c r="G5485" s="80" t="s">
        <v>108</v>
      </c>
      <c r="H5485" s="80" t="s">
        <v>18487</v>
      </c>
      <c r="I5485" s="17">
        <f ca="1">IFERROR(__xludf.DUMMYFUNCTION("""COMPUTED_VALUE"""),45671)</f>
        <v>45671</v>
      </c>
      <c r="J5485" s="143" t="s">
        <v>18497</v>
      </c>
      <c r="K5485" s="80" t="s">
        <v>18498</v>
      </c>
      <c r="L5485" s="30">
        <v>384328982</v>
      </c>
      <c r="M5485" s="80" t="s">
        <v>11413</v>
      </c>
      <c r="N5485" s="80" t="s">
        <v>1246</v>
      </c>
      <c r="O5485" s="80" t="s">
        <v>18499</v>
      </c>
      <c r="P5485" s="80" t="s">
        <v>18500</v>
      </c>
      <c r="Q5485" s="20">
        <v>15936</v>
      </c>
      <c r="R5485" s="80" t="s">
        <v>70</v>
      </c>
      <c r="S5485" s="95">
        <v>2000</v>
      </c>
      <c r="T5485" s="148">
        <v>45593</v>
      </c>
      <c r="U5485" s="95">
        <v>13936</v>
      </c>
      <c r="V5485" s="153">
        <v>45636</v>
      </c>
      <c r="W5485" s="85" t="s">
        <v>18501</v>
      </c>
      <c r="X5485" s="80"/>
      <c r="Y5485" s="22">
        <v>0</v>
      </c>
      <c r="Z5485" s="80" t="s">
        <v>50</v>
      </c>
      <c r="AA5485" s="82"/>
      <c r="AB5485" s="80"/>
      <c r="AC5485" s="80" t="s">
        <v>53</v>
      </c>
      <c r="AD5485" s="80" t="s">
        <v>138</v>
      </c>
      <c r="AE5485" s="80" t="s">
        <v>17752</v>
      </c>
      <c r="AF5485" s="17">
        <v>45671</v>
      </c>
      <c r="AG5485" s="80"/>
      <c r="AH5485" s="80"/>
      <c r="AI5485" s="147"/>
      <c r="AJ5485" s="80"/>
      <c r="AK5485" s="80"/>
      <c r="AL5485" s="35"/>
      <c r="AM5485" s="35"/>
      <c r="AN5485" s="35"/>
      <c r="AO5485" s="35"/>
      <c r="AP5485" s="35"/>
    </row>
    <row r="5486" spans="1:42" x14ac:dyDescent="0.2">
      <c r="A5486" s="14">
        <v>45666</v>
      </c>
      <c r="B5486" s="137" t="s">
        <v>37</v>
      </c>
      <c r="C5486" s="41" t="s">
        <v>118</v>
      </c>
      <c r="D5486" s="80" t="s">
        <v>36</v>
      </c>
      <c r="E5486" s="80" t="s">
        <v>139</v>
      </c>
      <c r="F5486" s="80" t="s">
        <v>17752</v>
      </c>
      <c r="G5486" s="80" t="s">
        <v>108</v>
      </c>
      <c r="H5486" s="80" t="s">
        <v>18487</v>
      </c>
      <c r="I5486" s="17">
        <f ca="1">IFERROR(__xludf.DUMMYFUNCTION("""COMPUTED_VALUE"""),45671)</f>
        <v>45671</v>
      </c>
      <c r="J5486" s="143" t="s">
        <v>18502</v>
      </c>
      <c r="K5486" s="80" t="s">
        <v>18503</v>
      </c>
      <c r="L5486" s="30">
        <v>865227648</v>
      </c>
      <c r="M5486" s="80" t="s">
        <v>11413</v>
      </c>
      <c r="N5486" s="80" t="s">
        <v>1246</v>
      </c>
      <c r="O5486" s="80" t="s">
        <v>18499</v>
      </c>
      <c r="P5486" s="80" t="s">
        <v>18504</v>
      </c>
      <c r="Q5486" s="20">
        <v>15936</v>
      </c>
      <c r="R5486" s="80" t="s">
        <v>70</v>
      </c>
      <c r="S5486" s="95">
        <v>2000</v>
      </c>
      <c r="T5486" s="148">
        <v>45593</v>
      </c>
      <c r="U5486" s="95">
        <v>13936</v>
      </c>
      <c r="V5486" s="153">
        <v>45636</v>
      </c>
      <c r="W5486" s="85" t="s">
        <v>18505</v>
      </c>
      <c r="X5486" s="80"/>
      <c r="Y5486" s="22">
        <v>0</v>
      </c>
      <c r="Z5486" s="80" t="s">
        <v>50</v>
      </c>
      <c r="AA5486" s="86"/>
      <c r="AB5486" s="80"/>
      <c r="AC5486" s="80" t="s">
        <v>53</v>
      </c>
      <c r="AD5486" s="80" t="s">
        <v>138</v>
      </c>
      <c r="AE5486" s="80" t="s">
        <v>17752</v>
      </c>
      <c r="AF5486" s="17">
        <v>45671</v>
      </c>
      <c r="AG5486" s="80"/>
      <c r="AH5486" s="80"/>
      <c r="AI5486" s="147"/>
      <c r="AJ5486" s="80"/>
      <c r="AK5486" s="80"/>
      <c r="AL5486" s="35"/>
      <c r="AM5486" s="35"/>
      <c r="AN5486" s="35"/>
      <c r="AO5486" s="35"/>
      <c r="AP5486" s="35"/>
    </row>
    <row r="5487" spans="1:42" x14ac:dyDescent="0.2">
      <c r="A5487" s="14">
        <v>45666</v>
      </c>
      <c r="B5487" s="137" t="s">
        <v>37</v>
      </c>
      <c r="C5487" s="41" t="s">
        <v>118</v>
      </c>
      <c r="D5487" s="80" t="s">
        <v>36</v>
      </c>
      <c r="E5487" s="80" t="s">
        <v>139</v>
      </c>
      <c r="F5487" s="80" t="s">
        <v>17752</v>
      </c>
      <c r="G5487" s="80" t="s">
        <v>108</v>
      </c>
      <c r="H5487" s="80" t="s">
        <v>18487</v>
      </c>
      <c r="I5487" s="17">
        <f ca="1">IFERROR(__xludf.DUMMYFUNCTION("""COMPUTED_VALUE"""),45671)</f>
        <v>45671</v>
      </c>
      <c r="J5487" s="143" t="s">
        <v>18506</v>
      </c>
      <c r="K5487" s="80" t="s">
        <v>18507</v>
      </c>
      <c r="L5487" s="30">
        <v>985794302</v>
      </c>
      <c r="M5487" s="80" t="s">
        <v>15996</v>
      </c>
      <c r="N5487" s="80" t="s">
        <v>186</v>
      </c>
      <c r="O5487" s="80" t="s">
        <v>4503</v>
      </c>
      <c r="P5487" s="80" t="s">
        <v>3056</v>
      </c>
      <c r="Q5487" s="20">
        <v>15936</v>
      </c>
      <c r="R5487" s="80" t="s">
        <v>70</v>
      </c>
      <c r="S5487" s="95">
        <f t="shared" ref="S5487:S5488" si="142">200+5000</f>
        <v>5200</v>
      </c>
      <c r="T5487" s="83" t="s">
        <v>18508</v>
      </c>
      <c r="U5487" s="95">
        <v>10636</v>
      </c>
      <c r="V5487" s="148">
        <v>45643</v>
      </c>
      <c r="W5487" s="85" t="s">
        <v>18509</v>
      </c>
      <c r="X5487" s="80"/>
      <c r="Y5487" s="22">
        <v>100</v>
      </c>
      <c r="Z5487" s="80" t="s">
        <v>50</v>
      </c>
      <c r="AA5487" s="82"/>
      <c r="AB5487" s="80"/>
      <c r="AC5487" s="80" t="s">
        <v>53</v>
      </c>
      <c r="AD5487" s="80" t="s">
        <v>138</v>
      </c>
      <c r="AE5487" s="80" t="s">
        <v>17752</v>
      </c>
      <c r="AF5487" s="17">
        <v>45671</v>
      </c>
      <c r="AG5487" s="80"/>
      <c r="AH5487" s="80"/>
      <c r="AI5487" s="147"/>
      <c r="AJ5487" s="80"/>
      <c r="AK5487" s="80"/>
      <c r="AL5487" s="35"/>
      <c r="AM5487" s="35"/>
      <c r="AN5487" s="35"/>
      <c r="AO5487" s="35"/>
      <c r="AP5487" s="35"/>
    </row>
    <row r="5488" spans="1:42" x14ac:dyDescent="0.2">
      <c r="A5488" s="14">
        <v>45666</v>
      </c>
      <c r="B5488" s="137" t="s">
        <v>37</v>
      </c>
      <c r="C5488" s="41" t="s">
        <v>118</v>
      </c>
      <c r="D5488" s="80" t="s">
        <v>36</v>
      </c>
      <c r="E5488" s="80" t="s">
        <v>139</v>
      </c>
      <c r="F5488" s="80" t="s">
        <v>17752</v>
      </c>
      <c r="G5488" s="80" t="s">
        <v>108</v>
      </c>
      <c r="H5488" s="80" t="s">
        <v>18487</v>
      </c>
      <c r="I5488" s="17">
        <f ca="1">IFERROR(__xludf.DUMMYFUNCTION("""COMPUTED_VALUE"""),45671)</f>
        <v>45671</v>
      </c>
      <c r="J5488" s="143" t="s">
        <v>18510</v>
      </c>
      <c r="K5488" s="80" t="s">
        <v>18511</v>
      </c>
      <c r="L5488" s="30">
        <v>968854604</v>
      </c>
      <c r="M5488" s="80" t="s">
        <v>15996</v>
      </c>
      <c r="N5488" s="80" t="s">
        <v>186</v>
      </c>
      <c r="O5488" s="80" t="s">
        <v>4503</v>
      </c>
      <c r="P5488" s="80" t="s">
        <v>3056</v>
      </c>
      <c r="Q5488" s="20">
        <v>15936</v>
      </c>
      <c r="R5488" s="80" t="s">
        <v>70</v>
      </c>
      <c r="S5488" s="95">
        <f t="shared" si="142"/>
        <v>5200</v>
      </c>
      <c r="T5488" s="83" t="s">
        <v>18512</v>
      </c>
      <c r="U5488" s="95">
        <v>10636</v>
      </c>
      <c r="V5488" s="148">
        <v>45653</v>
      </c>
      <c r="W5488" s="85" t="s">
        <v>18513</v>
      </c>
      <c r="X5488" s="80"/>
      <c r="Y5488" s="22">
        <v>100</v>
      </c>
      <c r="Z5488" s="80" t="s">
        <v>50</v>
      </c>
      <c r="AA5488" s="86"/>
      <c r="AB5488" s="80"/>
      <c r="AC5488" s="80" t="s">
        <v>53</v>
      </c>
      <c r="AD5488" s="80" t="s">
        <v>138</v>
      </c>
      <c r="AE5488" s="80" t="s">
        <v>17752</v>
      </c>
      <c r="AF5488" s="17">
        <v>45671</v>
      </c>
      <c r="AG5488" s="80"/>
      <c r="AH5488" s="80"/>
      <c r="AI5488" s="147"/>
      <c r="AJ5488" s="80"/>
      <c r="AK5488" s="80"/>
      <c r="AL5488" s="35"/>
      <c r="AM5488" s="35"/>
      <c r="AN5488" s="35"/>
      <c r="AO5488" s="35"/>
      <c r="AP5488" s="35"/>
    </row>
    <row r="5489" spans="1:42" x14ac:dyDescent="0.2">
      <c r="A5489" s="14">
        <v>45666</v>
      </c>
      <c r="B5489" s="137" t="s">
        <v>37</v>
      </c>
      <c r="C5489" s="41" t="s">
        <v>118</v>
      </c>
      <c r="D5489" s="80" t="s">
        <v>36</v>
      </c>
      <c r="E5489" s="80" t="s">
        <v>39</v>
      </c>
      <c r="F5489" s="80" t="s">
        <v>17752</v>
      </c>
      <c r="G5489" s="80" t="s">
        <v>108</v>
      </c>
      <c r="H5489" s="80" t="s">
        <v>18487</v>
      </c>
      <c r="I5489" s="17">
        <f ca="1">IFERROR(__xludf.DUMMYFUNCTION("""COMPUTED_VALUE"""),45671)</f>
        <v>45671</v>
      </c>
      <c r="J5489" s="143" t="s">
        <v>18514</v>
      </c>
      <c r="K5489" s="80" t="s">
        <v>18515</v>
      </c>
      <c r="L5489" s="30">
        <v>396068881</v>
      </c>
      <c r="M5489" s="80" t="s">
        <v>15970</v>
      </c>
      <c r="N5489" s="80" t="s">
        <v>466</v>
      </c>
      <c r="O5489" s="80" t="s">
        <v>4503</v>
      </c>
      <c r="P5489" s="80" t="s">
        <v>3056</v>
      </c>
      <c r="Q5489" s="20">
        <v>5736</v>
      </c>
      <c r="R5489" s="80" t="s">
        <v>36</v>
      </c>
      <c r="S5489" s="95">
        <f>200+1768</f>
        <v>1968</v>
      </c>
      <c r="T5489" s="83" t="s">
        <v>18516</v>
      </c>
      <c r="U5489" s="95">
        <v>3768</v>
      </c>
      <c r="V5489" s="148">
        <v>45637</v>
      </c>
      <c r="W5489" s="85" t="s">
        <v>18517</v>
      </c>
      <c r="X5489" s="80"/>
      <c r="Y5489" s="22">
        <v>0</v>
      </c>
      <c r="Z5489" s="80" t="s">
        <v>50</v>
      </c>
      <c r="AA5489" s="82"/>
      <c r="AB5489" s="80"/>
      <c r="AC5489" s="80" t="s">
        <v>53</v>
      </c>
      <c r="AD5489" s="80" t="s">
        <v>138</v>
      </c>
      <c r="AE5489" s="80" t="s">
        <v>17752</v>
      </c>
      <c r="AF5489" s="17">
        <v>45671</v>
      </c>
      <c r="AG5489" s="80"/>
      <c r="AH5489" s="80"/>
      <c r="AI5489" s="147"/>
      <c r="AJ5489" s="80"/>
      <c r="AK5489" s="80"/>
      <c r="AL5489" s="35"/>
      <c r="AM5489" s="35"/>
      <c r="AN5489" s="35"/>
      <c r="AO5489" s="35"/>
      <c r="AP5489" s="35"/>
    </row>
    <row r="5490" spans="1:42" x14ac:dyDescent="0.2">
      <c r="A5490" s="14">
        <v>45666</v>
      </c>
      <c r="B5490" s="137" t="s">
        <v>37</v>
      </c>
      <c r="C5490" s="41" t="s">
        <v>118</v>
      </c>
      <c r="D5490" s="80" t="s">
        <v>36</v>
      </c>
      <c r="E5490" s="80" t="s">
        <v>139</v>
      </c>
      <c r="F5490" s="80" t="s">
        <v>17752</v>
      </c>
      <c r="G5490" s="80" t="s">
        <v>108</v>
      </c>
      <c r="H5490" s="80" t="s">
        <v>18518</v>
      </c>
      <c r="I5490" s="17" t="str">
        <f ca="1">IFERROR(__xludf.DUMMYFUNCTION("""COMPUTED_VALUE""")," ")</f>
        <v xml:space="preserve"> </v>
      </c>
      <c r="J5490" s="143" t="s">
        <v>18519</v>
      </c>
      <c r="K5490" s="80" t="s">
        <v>18520</v>
      </c>
      <c r="L5490" s="30">
        <v>981773514</v>
      </c>
      <c r="M5490" s="80" t="s">
        <v>18358</v>
      </c>
      <c r="N5490" s="80" t="s">
        <v>2847</v>
      </c>
      <c r="O5490" s="80" t="s">
        <v>4503</v>
      </c>
      <c r="P5490" s="144" t="s">
        <v>18521</v>
      </c>
      <c r="Q5490" s="20">
        <v>15936</v>
      </c>
      <c r="R5490" s="80" t="s">
        <v>36</v>
      </c>
      <c r="S5490" s="95">
        <f>200+5000</f>
        <v>5200</v>
      </c>
      <c r="T5490" s="83" t="s">
        <v>18522</v>
      </c>
      <c r="U5490" s="95">
        <v>10736</v>
      </c>
      <c r="V5490" s="148">
        <v>45641</v>
      </c>
      <c r="W5490" s="85" t="s">
        <v>18523</v>
      </c>
      <c r="X5490" s="80"/>
      <c r="Y5490" s="22">
        <v>0</v>
      </c>
      <c r="Z5490" s="80" t="s">
        <v>50</v>
      </c>
      <c r="AA5490" s="86"/>
      <c r="AB5490" s="80"/>
      <c r="AC5490" s="80" t="s">
        <v>53</v>
      </c>
      <c r="AD5490" s="80" t="s">
        <v>138</v>
      </c>
      <c r="AE5490" s="80" t="s">
        <v>17752</v>
      </c>
      <c r="AF5490" s="17">
        <v>45699</v>
      </c>
      <c r="AG5490" s="80"/>
      <c r="AH5490" s="80"/>
      <c r="AI5490" s="147"/>
      <c r="AJ5490" s="80"/>
      <c r="AK5490" s="80"/>
      <c r="AL5490" s="35"/>
      <c r="AM5490" s="35"/>
      <c r="AN5490" s="35"/>
      <c r="AO5490" s="35"/>
      <c r="AP5490" s="35"/>
    </row>
    <row r="5491" spans="1:42" x14ac:dyDescent="0.2">
      <c r="A5491" s="14">
        <v>45666</v>
      </c>
      <c r="B5491" s="137" t="s">
        <v>37</v>
      </c>
      <c r="C5491" s="41" t="s">
        <v>118</v>
      </c>
      <c r="D5491" s="80" t="s">
        <v>36</v>
      </c>
      <c r="E5491" s="80" t="s">
        <v>56</v>
      </c>
      <c r="F5491" s="80" t="s">
        <v>17752</v>
      </c>
      <c r="G5491" s="80" t="s">
        <v>108</v>
      </c>
      <c r="H5491" s="80" t="s">
        <v>18487</v>
      </c>
      <c r="I5491" s="17">
        <f ca="1">IFERROR(__xludf.DUMMYFUNCTION("""COMPUTED_VALUE"""),45671)</f>
        <v>45671</v>
      </c>
      <c r="J5491" s="143" t="s">
        <v>18524</v>
      </c>
      <c r="K5491" s="80" t="s">
        <v>17564</v>
      </c>
      <c r="L5491" s="30">
        <v>342835096</v>
      </c>
      <c r="M5491" s="80" t="s">
        <v>18358</v>
      </c>
      <c r="N5491" s="80" t="s">
        <v>2847</v>
      </c>
      <c r="O5491" s="80" t="s">
        <v>4503</v>
      </c>
      <c r="P5491" s="80" t="s">
        <v>3487</v>
      </c>
      <c r="Q5491" s="20">
        <v>9317</v>
      </c>
      <c r="R5491" s="80" t="s">
        <v>36</v>
      </c>
      <c r="S5491" s="95">
        <f>200+2000</f>
        <v>2200</v>
      </c>
      <c r="T5491" s="83" t="s">
        <v>18525</v>
      </c>
      <c r="U5491" s="95">
        <v>7117</v>
      </c>
      <c r="V5491" s="148">
        <v>45633</v>
      </c>
      <c r="W5491" s="85" t="s">
        <v>18526</v>
      </c>
      <c r="X5491" s="80"/>
      <c r="Y5491" s="22">
        <v>0</v>
      </c>
      <c r="Z5491" s="80" t="s">
        <v>50</v>
      </c>
      <c r="AA5491" s="82"/>
      <c r="AB5491" s="80"/>
      <c r="AC5491" s="80" t="s">
        <v>53</v>
      </c>
      <c r="AD5491" s="80" t="s">
        <v>138</v>
      </c>
      <c r="AE5491" s="80" t="s">
        <v>17752</v>
      </c>
      <c r="AF5491" s="17">
        <v>45671</v>
      </c>
      <c r="AG5491" s="80"/>
      <c r="AH5491" s="80"/>
      <c r="AI5491" s="147"/>
      <c r="AJ5491" s="80"/>
      <c r="AK5491" s="80"/>
      <c r="AL5491" s="35"/>
      <c r="AM5491" s="35"/>
      <c r="AN5491" s="35"/>
      <c r="AO5491" s="35"/>
      <c r="AP5491" s="35"/>
    </row>
    <row r="5492" spans="1:42" x14ac:dyDescent="0.2">
      <c r="A5492" s="14">
        <v>45666</v>
      </c>
      <c r="B5492" s="137" t="s">
        <v>37</v>
      </c>
      <c r="C5492" s="41" t="s">
        <v>118</v>
      </c>
      <c r="D5492" s="80" t="s">
        <v>36</v>
      </c>
      <c r="E5492" s="80" t="s">
        <v>139</v>
      </c>
      <c r="F5492" s="80" t="s">
        <v>17752</v>
      </c>
      <c r="G5492" s="80" t="s">
        <v>108</v>
      </c>
      <c r="H5492" s="80" t="s">
        <v>18487</v>
      </c>
      <c r="I5492" s="17">
        <f ca="1">IFERROR(__xludf.DUMMYFUNCTION("""COMPUTED_VALUE"""),45671)</f>
        <v>45671</v>
      </c>
      <c r="J5492" s="143" t="s">
        <v>18527</v>
      </c>
      <c r="K5492" s="80" t="s">
        <v>18528</v>
      </c>
      <c r="L5492" s="30">
        <v>936794681</v>
      </c>
      <c r="M5492" s="80" t="s">
        <v>15970</v>
      </c>
      <c r="N5492" s="80" t="s">
        <v>327</v>
      </c>
      <c r="O5492" s="80" t="s">
        <v>18529</v>
      </c>
      <c r="P5492" s="80" t="s">
        <v>3694</v>
      </c>
      <c r="Q5492" s="20">
        <v>15936</v>
      </c>
      <c r="R5492" s="80" t="s">
        <v>36</v>
      </c>
      <c r="S5492" s="95">
        <f>200+1800</f>
        <v>2000</v>
      </c>
      <c r="T5492" s="83" t="s">
        <v>18530</v>
      </c>
      <c r="U5492" s="95">
        <v>13936</v>
      </c>
      <c r="V5492" s="148">
        <v>45633</v>
      </c>
      <c r="W5492" s="85" t="s">
        <v>18531</v>
      </c>
      <c r="X5492" s="80"/>
      <c r="Y5492" s="22">
        <v>0</v>
      </c>
      <c r="Z5492" s="80" t="s">
        <v>50</v>
      </c>
      <c r="AA5492" s="86"/>
      <c r="AB5492" s="80"/>
      <c r="AC5492" s="80" t="s">
        <v>53</v>
      </c>
      <c r="AD5492" s="80" t="s">
        <v>138</v>
      </c>
      <c r="AE5492" s="80" t="s">
        <v>17752</v>
      </c>
      <c r="AF5492" s="17">
        <v>45671</v>
      </c>
      <c r="AG5492" s="80"/>
      <c r="AH5492" s="80"/>
      <c r="AI5492" s="147"/>
      <c r="AJ5492" s="80"/>
      <c r="AK5492" s="80"/>
      <c r="AL5492" s="35"/>
      <c r="AM5492" s="35"/>
      <c r="AN5492" s="35"/>
      <c r="AO5492" s="35"/>
      <c r="AP5492" s="35"/>
    </row>
    <row r="5493" spans="1:42" x14ac:dyDescent="0.2">
      <c r="A5493" s="14">
        <v>45666</v>
      </c>
      <c r="B5493" s="137" t="s">
        <v>37</v>
      </c>
      <c r="C5493" s="41" t="s">
        <v>118</v>
      </c>
      <c r="D5493" s="80" t="s">
        <v>36</v>
      </c>
      <c r="E5493" s="80" t="s">
        <v>139</v>
      </c>
      <c r="F5493" s="80" t="s">
        <v>17752</v>
      </c>
      <c r="G5493" s="80" t="s">
        <v>108</v>
      </c>
      <c r="H5493" s="80" t="s">
        <v>18487</v>
      </c>
      <c r="I5493" s="17">
        <f ca="1">IFERROR(__xludf.DUMMYFUNCTION("""COMPUTED_VALUE"""),45671)</f>
        <v>45671</v>
      </c>
      <c r="J5493" s="143" t="s">
        <v>18532</v>
      </c>
      <c r="K5493" s="80" t="s">
        <v>18533</v>
      </c>
      <c r="L5493" s="30">
        <v>972500615</v>
      </c>
      <c r="M5493" s="80" t="s">
        <v>15996</v>
      </c>
      <c r="N5493" s="80" t="s">
        <v>186</v>
      </c>
      <c r="O5493" s="80" t="s">
        <v>4503</v>
      </c>
      <c r="P5493" s="80" t="s">
        <v>3056</v>
      </c>
      <c r="Q5493" s="20">
        <v>15936</v>
      </c>
      <c r="R5493" s="80" t="s">
        <v>1106</v>
      </c>
      <c r="S5493" s="95">
        <f>200+3000</f>
        <v>3200</v>
      </c>
      <c r="T5493" s="83" t="s">
        <v>18534</v>
      </c>
      <c r="U5493" s="95">
        <v>12586</v>
      </c>
      <c r="V5493" s="148">
        <v>45646</v>
      </c>
      <c r="W5493" s="85" t="s">
        <v>18535</v>
      </c>
      <c r="X5493" s="80"/>
      <c r="Y5493" s="22">
        <v>150</v>
      </c>
      <c r="Z5493" s="80" t="s">
        <v>50</v>
      </c>
      <c r="AA5493" s="82"/>
      <c r="AB5493" s="80"/>
      <c r="AC5493" s="80" t="s">
        <v>53</v>
      </c>
      <c r="AD5493" s="80" t="s">
        <v>138</v>
      </c>
      <c r="AE5493" s="80" t="s">
        <v>17752</v>
      </c>
      <c r="AF5493" s="17">
        <v>45671</v>
      </c>
      <c r="AG5493" s="80"/>
      <c r="AH5493" s="80"/>
      <c r="AI5493" s="147"/>
      <c r="AJ5493" s="80"/>
      <c r="AK5493" s="80"/>
      <c r="AL5493" s="35"/>
      <c r="AM5493" s="35"/>
      <c r="AN5493" s="35"/>
      <c r="AO5493" s="35"/>
      <c r="AP5493" s="35"/>
    </row>
    <row r="5494" spans="1:42" x14ac:dyDescent="0.2">
      <c r="A5494" s="14">
        <v>45666</v>
      </c>
      <c r="B5494" s="137" t="s">
        <v>37</v>
      </c>
      <c r="C5494" s="41" t="s">
        <v>118</v>
      </c>
      <c r="D5494" s="80" t="s">
        <v>36</v>
      </c>
      <c r="E5494" s="80" t="s">
        <v>139</v>
      </c>
      <c r="F5494" s="80" t="s">
        <v>17752</v>
      </c>
      <c r="G5494" s="80" t="s">
        <v>108</v>
      </c>
      <c r="H5494" s="80" t="s">
        <v>18487</v>
      </c>
      <c r="I5494" s="17">
        <f ca="1">IFERROR(__xludf.DUMMYFUNCTION("""COMPUTED_VALUE"""),45671)</f>
        <v>45671</v>
      </c>
      <c r="J5494" s="143" t="s">
        <v>18536</v>
      </c>
      <c r="K5494" s="80" t="s">
        <v>18537</v>
      </c>
      <c r="L5494" s="30">
        <v>356607640</v>
      </c>
      <c r="M5494" s="80" t="s">
        <v>15996</v>
      </c>
      <c r="N5494" s="80" t="s">
        <v>186</v>
      </c>
      <c r="O5494" s="80" t="s">
        <v>4503</v>
      </c>
      <c r="P5494" s="80" t="s">
        <v>18538</v>
      </c>
      <c r="Q5494" s="20">
        <v>15936</v>
      </c>
      <c r="R5494" s="80" t="s">
        <v>1106</v>
      </c>
      <c r="S5494" s="95">
        <f>200+5000</f>
        <v>5200</v>
      </c>
      <c r="T5494" s="83" t="s">
        <v>18534</v>
      </c>
      <c r="U5494" s="95">
        <v>10586</v>
      </c>
      <c r="V5494" s="148">
        <v>45637</v>
      </c>
      <c r="W5494" s="85" t="s">
        <v>18539</v>
      </c>
      <c r="X5494" s="80"/>
      <c r="Y5494" s="22">
        <v>150</v>
      </c>
      <c r="Z5494" s="80" t="s">
        <v>50</v>
      </c>
      <c r="AA5494" s="86"/>
      <c r="AB5494" s="80"/>
      <c r="AC5494" s="80" t="s">
        <v>53</v>
      </c>
      <c r="AD5494" s="80" t="s">
        <v>138</v>
      </c>
      <c r="AE5494" s="80" t="s">
        <v>17752</v>
      </c>
      <c r="AF5494" s="17">
        <v>45671</v>
      </c>
      <c r="AG5494" s="80"/>
      <c r="AH5494" s="80"/>
      <c r="AI5494" s="147"/>
      <c r="AJ5494" s="80"/>
      <c r="AK5494" s="80"/>
      <c r="AL5494" s="35"/>
      <c r="AM5494" s="35"/>
      <c r="AN5494" s="35"/>
      <c r="AO5494" s="35"/>
      <c r="AP5494" s="35"/>
    </row>
    <row r="5495" spans="1:42" x14ac:dyDescent="0.2">
      <c r="A5495" s="14">
        <v>45666</v>
      </c>
      <c r="B5495" s="137" t="s">
        <v>37</v>
      </c>
      <c r="C5495" s="41" t="s">
        <v>118</v>
      </c>
      <c r="D5495" s="80" t="s">
        <v>36</v>
      </c>
      <c r="E5495" s="80" t="s">
        <v>56</v>
      </c>
      <c r="F5495" s="80" t="s">
        <v>17752</v>
      </c>
      <c r="G5495" s="80" t="s">
        <v>108</v>
      </c>
      <c r="H5495" s="80" t="s">
        <v>18487</v>
      </c>
      <c r="I5495" s="17">
        <f ca="1">IFERROR(__xludf.DUMMYFUNCTION("""COMPUTED_VALUE"""),45671)</f>
        <v>45671</v>
      </c>
      <c r="J5495" s="143" t="s">
        <v>17998</v>
      </c>
      <c r="K5495" s="80" t="s">
        <v>17999</v>
      </c>
      <c r="L5495" s="30">
        <v>862478409</v>
      </c>
      <c r="M5495" s="80" t="s">
        <v>59</v>
      </c>
      <c r="N5495" s="80" t="s">
        <v>17488</v>
      </c>
      <c r="O5495" s="80" t="s">
        <v>18000</v>
      </c>
      <c r="P5495" s="80" t="s">
        <v>12687</v>
      </c>
      <c r="Q5495" s="20">
        <v>9317</v>
      </c>
      <c r="R5495" s="80" t="s">
        <v>70</v>
      </c>
      <c r="S5495" s="95">
        <f t="shared" ref="S5495:S5496" si="143">200+9017</f>
        <v>9217</v>
      </c>
      <c r="T5495" s="148" t="s">
        <v>18001</v>
      </c>
      <c r="U5495" s="77"/>
      <c r="V5495" s="78"/>
      <c r="W5495" s="85" t="s">
        <v>18002</v>
      </c>
      <c r="X5495" s="80"/>
      <c r="Y5495" s="22">
        <v>100</v>
      </c>
      <c r="Z5495" s="81" t="s">
        <v>50</v>
      </c>
      <c r="AA5495" s="82" t="s">
        <v>14723</v>
      </c>
      <c r="AB5495" s="80"/>
      <c r="AC5495" s="80" t="s">
        <v>53</v>
      </c>
      <c r="AD5495" s="80" t="s">
        <v>138</v>
      </c>
      <c r="AE5495" s="80" t="s">
        <v>17752</v>
      </c>
      <c r="AF5495" s="17">
        <v>45671</v>
      </c>
      <c r="AG5495" s="80" t="s">
        <v>7078</v>
      </c>
      <c r="AH5495" s="80"/>
      <c r="AI5495" s="147"/>
      <c r="AJ5495" s="80"/>
      <c r="AK5495" s="80"/>
      <c r="AL5495" s="86"/>
      <c r="AM5495" s="86"/>
      <c r="AN5495" s="86"/>
      <c r="AO5495" s="86"/>
      <c r="AP5495" s="86"/>
    </row>
    <row r="5496" spans="1:42" x14ac:dyDescent="0.2">
      <c r="A5496" s="14">
        <v>45666</v>
      </c>
      <c r="B5496" s="137" t="s">
        <v>37</v>
      </c>
      <c r="C5496" s="41" t="s">
        <v>118</v>
      </c>
      <c r="D5496" s="80" t="s">
        <v>36</v>
      </c>
      <c r="E5496" s="80" t="s">
        <v>56</v>
      </c>
      <c r="F5496" s="80" t="s">
        <v>17752</v>
      </c>
      <c r="G5496" s="80" t="s">
        <v>108</v>
      </c>
      <c r="H5496" s="80" t="s">
        <v>18487</v>
      </c>
      <c r="I5496" s="17">
        <f ca="1">IFERROR(__xludf.DUMMYFUNCTION("""COMPUTED_VALUE"""),45671)</f>
        <v>45671</v>
      </c>
      <c r="J5496" s="143" t="s">
        <v>18003</v>
      </c>
      <c r="K5496" s="80" t="s">
        <v>18004</v>
      </c>
      <c r="L5496" s="30">
        <v>815908906</v>
      </c>
      <c r="M5496" s="80" t="s">
        <v>59</v>
      </c>
      <c r="N5496" s="80" t="s">
        <v>17488</v>
      </c>
      <c r="O5496" s="80" t="s">
        <v>18005</v>
      </c>
      <c r="P5496" s="80" t="s">
        <v>18006</v>
      </c>
      <c r="Q5496" s="20">
        <v>9317</v>
      </c>
      <c r="R5496" s="80" t="s">
        <v>70</v>
      </c>
      <c r="S5496" s="95">
        <f t="shared" si="143"/>
        <v>9217</v>
      </c>
      <c r="T5496" s="148" t="s">
        <v>18001</v>
      </c>
      <c r="U5496" s="77"/>
      <c r="V5496" s="78"/>
      <c r="W5496" s="85" t="s">
        <v>18007</v>
      </c>
      <c r="X5496" s="80"/>
      <c r="Y5496" s="22">
        <v>100</v>
      </c>
      <c r="Z5496" s="81" t="s">
        <v>50</v>
      </c>
      <c r="AA5496" s="86" t="s">
        <v>14723</v>
      </c>
      <c r="AB5496" s="80"/>
      <c r="AC5496" s="80" t="s">
        <v>53</v>
      </c>
      <c r="AD5496" s="80" t="s">
        <v>138</v>
      </c>
      <c r="AE5496" s="80" t="s">
        <v>17752</v>
      </c>
      <c r="AF5496" s="17">
        <v>45671</v>
      </c>
      <c r="AG5496" s="80" t="s">
        <v>7078</v>
      </c>
      <c r="AH5496" s="80"/>
      <c r="AI5496" s="147"/>
      <c r="AJ5496" s="80"/>
      <c r="AK5496" s="80"/>
      <c r="AL5496" s="86"/>
      <c r="AM5496" s="86"/>
      <c r="AN5496" s="86"/>
      <c r="AO5496" s="86"/>
      <c r="AP5496" s="86"/>
    </row>
    <row r="5497" spans="1:42" x14ac:dyDescent="0.2">
      <c r="A5497" s="14">
        <v>45666</v>
      </c>
      <c r="B5497" s="137" t="s">
        <v>37</v>
      </c>
      <c r="C5497" s="41" t="s">
        <v>118</v>
      </c>
      <c r="D5497" s="80" t="s">
        <v>36</v>
      </c>
      <c r="E5497" s="80" t="s">
        <v>139</v>
      </c>
      <c r="F5497" s="80" t="s">
        <v>11707</v>
      </c>
      <c r="G5497" s="80" t="s">
        <v>108</v>
      </c>
      <c r="H5497" s="80" t="s">
        <v>18487</v>
      </c>
      <c r="I5497" s="17">
        <f ca="1">IFERROR(__xludf.DUMMYFUNCTION("""COMPUTED_VALUE"""),45671)</f>
        <v>45671</v>
      </c>
      <c r="J5497" s="143" t="s">
        <v>15006</v>
      </c>
      <c r="K5497" s="80" t="s">
        <v>15007</v>
      </c>
      <c r="L5497" s="30">
        <v>379389746</v>
      </c>
      <c r="M5497" s="80" t="s">
        <v>123</v>
      </c>
      <c r="N5497" s="80" t="s">
        <v>327</v>
      </c>
      <c r="O5497" s="80" t="s">
        <v>4503</v>
      </c>
      <c r="P5497" s="80" t="s">
        <v>3487</v>
      </c>
      <c r="Q5497" s="20">
        <v>15936</v>
      </c>
      <c r="R5497" s="80" t="s">
        <v>70</v>
      </c>
      <c r="S5497" s="95">
        <f>200+1800</f>
        <v>2000</v>
      </c>
      <c r="T5497" s="83" t="s">
        <v>15008</v>
      </c>
      <c r="U5497" s="95">
        <f>13800+36</f>
        <v>13836</v>
      </c>
      <c r="V5497" s="83" t="s">
        <v>15009</v>
      </c>
      <c r="W5497" s="85" t="s">
        <v>15010</v>
      </c>
      <c r="X5497" s="80"/>
      <c r="Y5497" s="22">
        <v>100</v>
      </c>
      <c r="Z5497" s="80" t="s">
        <v>50</v>
      </c>
      <c r="AA5497" s="96" t="s">
        <v>9905</v>
      </c>
      <c r="AB5497" s="80"/>
      <c r="AC5497" s="80" t="s">
        <v>53</v>
      </c>
      <c r="AD5497" s="80" t="s">
        <v>138</v>
      </c>
      <c r="AE5497" s="80" t="s">
        <v>11707</v>
      </c>
      <c r="AF5497" s="17">
        <v>45671</v>
      </c>
      <c r="AG5497" s="80"/>
      <c r="AH5497" s="80"/>
      <c r="AI5497" s="147"/>
      <c r="AJ5497" s="80"/>
      <c r="AK5497" s="80"/>
      <c r="AL5497" s="35"/>
      <c r="AM5497" s="35"/>
      <c r="AN5497" s="35"/>
      <c r="AO5497" s="35"/>
      <c r="AP5497" s="35"/>
    </row>
    <row r="5498" spans="1:42" x14ac:dyDescent="0.2">
      <c r="A5498" s="14">
        <v>45666</v>
      </c>
      <c r="B5498" s="28" t="s">
        <v>37</v>
      </c>
      <c r="C5498" s="41" t="s">
        <v>118</v>
      </c>
      <c r="D5498" s="26" t="s">
        <v>36</v>
      </c>
      <c r="E5498" s="26" t="s">
        <v>915</v>
      </c>
      <c r="F5498" s="26" t="s">
        <v>8343</v>
      </c>
      <c r="G5498" s="26" t="s">
        <v>1705</v>
      </c>
      <c r="H5498" s="26" t="s">
        <v>9041</v>
      </c>
      <c r="I5498" s="17">
        <f ca="1">IFERROR(__xludf.DUMMYFUNCTION("""COMPUTED_VALUE"""),45699)</f>
        <v>45699</v>
      </c>
      <c r="J5498" s="29" t="s">
        <v>7587</v>
      </c>
      <c r="K5498" s="26" t="s">
        <v>7588</v>
      </c>
      <c r="L5498" s="30">
        <v>903474275</v>
      </c>
      <c r="M5498" s="26" t="s">
        <v>3728</v>
      </c>
      <c r="N5498" s="26" t="s">
        <v>5312</v>
      </c>
      <c r="O5498" s="26" t="s">
        <v>7589</v>
      </c>
      <c r="P5498" s="42" t="s">
        <v>11773</v>
      </c>
      <c r="Q5498" s="20">
        <v>10894</v>
      </c>
      <c r="R5498" s="26" t="s">
        <v>36</v>
      </c>
      <c r="S5498" s="31">
        <v>4000</v>
      </c>
      <c r="T5498" s="32">
        <v>45317</v>
      </c>
      <c r="U5498" s="31">
        <v>6894</v>
      </c>
      <c r="V5498" s="32">
        <v>45364</v>
      </c>
      <c r="W5498" s="33" t="s">
        <v>7591</v>
      </c>
      <c r="X5498" s="26"/>
      <c r="Y5498" s="22">
        <v>0</v>
      </c>
      <c r="Z5498" s="26" t="s">
        <v>50</v>
      </c>
      <c r="AA5498" s="19" t="s">
        <v>7361</v>
      </c>
      <c r="AB5498" s="26"/>
      <c r="AC5498" s="26" t="s">
        <v>53</v>
      </c>
      <c r="AD5498" s="19" t="s">
        <v>138</v>
      </c>
      <c r="AE5498" s="26" t="s">
        <v>8343</v>
      </c>
      <c r="AF5498" s="17">
        <v>45694</v>
      </c>
      <c r="AG5498" s="26"/>
      <c r="AH5498" s="26"/>
      <c r="AI5498" s="40"/>
      <c r="AJ5498" s="26"/>
      <c r="AK5498" s="26"/>
      <c r="AL5498" s="35"/>
      <c r="AM5498" s="35"/>
      <c r="AN5498" s="35"/>
      <c r="AO5498" s="35"/>
      <c r="AP5498" s="35"/>
    </row>
    <row r="5499" spans="1:42" x14ac:dyDescent="0.2">
      <c r="A5499" s="14">
        <v>45666</v>
      </c>
      <c r="B5499" s="28" t="s">
        <v>37</v>
      </c>
      <c r="C5499" s="41" t="s">
        <v>118</v>
      </c>
      <c r="D5499" s="26" t="s">
        <v>36</v>
      </c>
      <c r="E5499" s="26" t="s">
        <v>119</v>
      </c>
      <c r="F5499" s="26" t="s">
        <v>8403</v>
      </c>
      <c r="G5499" s="26" t="s">
        <v>1705</v>
      </c>
      <c r="H5499" s="26" t="s">
        <v>9041</v>
      </c>
      <c r="I5499" s="17">
        <f ca="1">IFERROR(__xludf.DUMMYFUNCTION("""COMPUTED_VALUE"""),45699)</f>
        <v>45699</v>
      </c>
      <c r="J5499" s="29" t="s">
        <v>6433</v>
      </c>
      <c r="K5499" s="26" t="s">
        <v>6434</v>
      </c>
      <c r="L5499" s="30">
        <v>836543689</v>
      </c>
      <c r="M5499" s="26" t="s">
        <v>292</v>
      </c>
      <c r="N5499" s="26" t="s">
        <v>1232</v>
      </c>
      <c r="O5499" s="67" t="s">
        <v>6435</v>
      </c>
      <c r="P5499" s="42" t="s">
        <v>18540</v>
      </c>
      <c r="Q5499" s="20">
        <v>13968</v>
      </c>
      <c r="R5499" s="26" t="s">
        <v>36</v>
      </c>
      <c r="S5499" s="31">
        <v>13968</v>
      </c>
      <c r="T5499" s="32">
        <v>45286</v>
      </c>
      <c r="U5499" s="31"/>
      <c r="V5499" s="32"/>
      <c r="W5499" s="33" t="s">
        <v>6437</v>
      </c>
      <c r="X5499" s="26"/>
      <c r="Y5499" s="22">
        <v>0</v>
      </c>
      <c r="Z5499" s="26" t="s">
        <v>118</v>
      </c>
      <c r="AA5499" s="19" t="s">
        <v>5961</v>
      </c>
      <c r="AB5499" s="26" t="s">
        <v>36</v>
      </c>
      <c r="AC5499" s="26" t="s">
        <v>53</v>
      </c>
      <c r="AD5499" s="19" t="s">
        <v>138</v>
      </c>
      <c r="AE5499" s="26" t="s">
        <v>8403</v>
      </c>
      <c r="AF5499" s="17">
        <v>45694</v>
      </c>
      <c r="AG5499" s="26"/>
      <c r="AH5499" s="26">
        <v>1</v>
      </c>
      <c r="AI5499" s="40"/>
      <c r="AJ5499" s="26"/>
      <c r="AK5499" s="26"/>
      <c r="AL5499" s="35"/>
      <c r="AM5499" s="35"/>
      <c r="AN5499" s="35"/>
      <c r="AO5499" s="35"/>
      <c r="AP5499" s="35"/>
    </row>
    <row r="5500" spans="1:42" x14ac:dyDescent="0.2">
      <c r="A5500" s="14">
        <v>45666</v>
      </c>
      <c r="B5500" s="137" t="s">
        <v>37</v>
      </c>
      <c r="C5500" s="41" t="s">
        <v>118</v>
      </c>
      <c r="D5500" s="80" t="s">
        <v>36</v>
      </c>
      <c r="E5500" s="80" t="s">
        <v>39</v>
      </c>
      <c r="F5500" s="80" t="s">
        <v>5666</v>
      </c>
      <c r="G5500" s="80" t="s">
        <v>108</v>
      </c>
      <c r="H5500" s="80" t="s">
        <v>14711</v>
      </c>
      <c r="I5500" s="17">
        <f ca="1">IFERROR(__xludf.DUMMYFUNCTION("""COMPUTED_VALUE"""),45678)</f>
        <v>45678</v>
      </c>
      <c r="J5500" s="143" t="s">
        <v>12636</v>
      </c>
      <c r="K5500" s="80" t="s">
        <v>12637</v>
      </c>
      <c r="L5500" s="30">
        <v>961080724</v>
      </c>
      <c r="M5500" s="80" t="s">
        <v>2755</v>
      </c>
      <c r="N5500" s="80" t="s">
        <v>2756</v>
      </c>
      <c r="O5500" s="80" t="s">
        <v>4503</v>
      </c>
      <c r="P5500" s="144" t="s">
        <v>18541</v>
      </c>
      <c r="Q5500" s="20">
        <v>5736</v>
      </c>
      <c r="R5500" s="80" t="s">
        <v>70</v>
      </c>
      <c r="S5500" s="95">
        <v>1968</v>
      </c>
      <c r="T5500" s="148">
        <v>45538</v>
      </c>
      <c r="U5500" s="95">
        <v>3768</v>
      </c>
      <c r="V5500" s="148">
        <v>45565</v>
      </c>
      <c r="W5500" s="80" t="s">
        <v>12638</v>
      </c>
      <c r="X5500" s="80">
        <v>100</v>
      </c>
      <c r="Y5500" s="22">
        <v>-100</v>
      </c>
      <c r="Z5500" s="80" t="s">
        <v>50</v>
      </c>
      <c r="AA5500" s="35" t="s">
        <v>3291</v>
      </c>
      <c r="AB5500" s="80"/>
      <c r="AC5500" s="80" t="s">
        <v>53</v>
      </c>
      <c r="AD5500" s="80" t="s">
        <v>54</v>
      </c>
      <c r="AE5500" s="80" t="s">
        <v>5666</v>
      </c>
      <c r="AF5500" s="17">
        <v>45667</v>
      </c>
      <c r="AG5500" s="26"/>
      <c r="AH5500" s="80"/>
      <c r="AI5500" s="147" t="s">
        <v>55</v>
      </c>
      <c r="AJ5500" s="80"/>
      <c r="AK5500" s="80"/>
      <c r="AL5500" s="35"/>
      <c r="AM5500" s="35"/>
      <c r="AN5500" s="35"/>
      <c r="AO5500" s="35"/>
      <c r="AP5500" s="35"/>
    </row>
    <row r="5501" spans="1:42" x14ac:dyDescent="0.2">
      <c r="A5501" s="14">
        <v>45666</v>
      </c>
      <c r="B5501" s="137" t="s">
        <v>37</v>
      </c>
      <c r="C5501" s="41" t="s">
        <v>118</v>
      </c>
      <c r="D5501" s="26" t="s">
        <v>36</v>
      </c>
      <c r="E5501" s="26" t="s">
        <v>119</v>
      </c>
      <c r="F5501" s="26" t="s">
        <v>9032</v>
      </c>
      <c r="G5501" s="26" t="s">
        <v>1847</v>
      </c>
      <c r="H5501" s="26" t="s">
        <v>14381</v>
      </c>
      <c r="I5501" s="17">
        <f ca="1">IFERROR(__xludf.DUMMYFUNCTION("""COMPUTED_VALUE"""),45699)</f>
        <v>45699</v>
      </c>
      <c r="J5501" s="29" t="s">
        <v>5310</v>
      </c>
      <c r="K5501" s="26" t="s">
        <v>18542</v>
      </c>
      <c r="L5501" s="30">
        <v>963718483</v>
      </c>
      <c r="M5501" s="26" t="s">
        <v>3728</v>
      </c>
      <c r="N5501" s="26" t="s">
        <v>5312</v>
      </c>
      <c r="O5501" s="26" t="s">
        <v>5313</v>
      </c>
      <c r="P5501" s="42" t="s">
        <v>18543</v>
      </c>
      <c r="Q5501" s="20">
        <v>13968</v>
      </c>
      <c r="R5501" s="26" t="s">
        <v>36</v>
      </c>
      <c r="S5501" s="31">
        <v>4000</v>
      </c>
      <c r="T5501" s="32">
        <v>45210</v>
      </c>
      <c r="U5501" s="31">
        <v>9968</v>
      </c>
      <c r="V5501" s="32">
        <v>45231</v>
      </c>
      <c r="W5501" s="33" t="s">
        <v>5315</v>
      </c>
      <c r="X5501" s="26"/>
      <c r="Y5501" s="22">
        <v>0</v>
      </c>
      <c r="Z5501" s="26" t="s">
        <v>118</v>
      </c>
      <c r="AA5501" s="19" t="s">
        <v>5112</v>
      </c>
      <c r="AB5501" s="80" t="s">
        <v>36</v>
      </c>
      <c r="AC5501" s="26" t="s">
        <v>53</v>
      </c>
      <c r="AD5501" s="19" t="s">
        <v>138</v>
      </c>
      <c r="AE5501" s="26" t="s">
        <v>9032</v>
      </c>
      <c r="AF5501" s="17">
        <v>45699</v>
      </c>
      <c r="AG5501" s="139"/>
      <c r="AH5501" s="26"/>
      <c r="AI5501" s="40">
        <v>4</v>
      </c>
      <c r="AJ5501" s="26"/>
      <c r="AK5501" s="26"/>
      <c r="AL5501" s="35"/>
      <c r="AM5501" s="35"/>
      <c r="AN5501" s="35"/>
      <c r="AO5501" s="35"/>
      <c r="AP5501" s="35"/>
    </row>
    <row r="5502" spans="1:42" x14ac:dyDescent="0.2">
      <c r="A5502" s="14">
        <v>45666</v>
      </c>
      <c r="B5502" s="137" t="s">
        <v>37</v>
      </c>
      <c r="C5502" s="41" t="s">
        <v>118</v>
      </c>
      <c r="D5502" s="26" t="s">
        <v>36</v>
      </c>
      <c r="E5502" s="26" t="s">
        <v>139</v>
      </c>
      <c r="F5502" s="26" t="s">
        <v>8905</v>
      </c>
      <c r="G5502" s="26" t="s">
        <v>1705</v>
      </c>
      <c r="H5502" s="26" t="s">
        <v>9041</v>
      </c>
      <c r="I5502" s="17">
        <f ca="1">IFERROR(__xludf.DUMMYFUNCTION("""COMPUTED_VALUE"""),45699)</f>
        <v>45699</v>
      </c>
      <c r="J5502" s="29" t="s">
        <v>4237</v>
      </c>
      <c r="K5502" s="26" t="s">
        <v>1792</v>
      </c>
      <c r="L5502" s="30">
        <v>385246721</v>
      </c>
      <c r="M5502" s="26" t="s">
        <v>59</v>
      </c>
      <c r="N5502" s="26" t="s">
        <v>260</v>
      </c>
      <c r="O5502" s="26" t="s">
        <v>4239</v>
      </c>
      <c r="P5502" s="42" t="s">
        <v>18544</v>
      </c>
      <c r="Q5502" s="20">
        <v>15936</v>
      </c>
      <c r="R5502" s="26" t="s">
        <v>1989</v>
      </c>
      <c r="S5502" s="31">
        <v>15968</v>
      </c>
      <c r="T5502" s="32">
        <v>45211</v>
      </c>
      <c r="U5502" s="31"/>
      <c r="V5502" s="32">
        <v>45211</v>
      </c>
      <c r="W5502" s="33" t="s">
        <v>4240</v>
      </c>
      <c r="X5502" s="26"/>
      <c r="Y5502" s="22">
        <v>-32</v>
      </c>
      <c r="Z5502" s="98" t="s">
        <v>118</v>
      </c>
      <c r="AA5502" s="19" t="s">
        <v>3454</v>
      </c>
      <c r="AB5502" s="80" t="s">
        <v>36</v>
      </c>
      <c r="AC5502" s="26" t="s">
        <v>53</v>
      </c>
      <c r="AD5502" s="19" t="s">
        <v>54</v>
      </c>
      <c r="AE5502" s="26" t="s">
        <v>8905</v>
      </c>
      <c r="AF5502" s="17">
        <v>45694</v>
      </c>
      <c r="AG5502" s="26"/>
      <c r="AH5502" s="26"/>
      <c r="AI5502" s="40"/>
      <c r="AJ5502" s="26"/>
      <c r="AK5502" s="26"/>
      <c r="AL5502" s="35"/>
      <c r="AM5502" s="35"/>
      <c r="AN5502" s="35"/>
      <c r="AO5502" s="35"/>
      <c r="AP5502" s="35"/>
    </row>
    <row r="5503" spans="1:42" x14ac:dyDescent="0.2">
      <c r="A5503" s="14">
        <v>45666</v>
      </c>
      <c r="B5503" s="137" t="s">
        <v>37</v>
      </c>
      <c r="C5503" s="41" t="s">
        <v>118</v>
      </c>
      <c r="D5503" s="80" t="s">
        <v>36</v>
      </c>
      <c r="E5503" s="80" t="s">
        <v>119</v>
      </c>
      <c r="F5503" s="80" t="s">
        <v>9825</v>
      </c>
      <c r="G5503" s="26" t="s">
        <v>1847</v>
      </c>
      <c r="H5503" s="26" t="s">
        <v>14381</v>
      </c>
      <c r="I5503" s="17">
        <f ca="1">IFERROR(__xludf.DUMMYFUNCTION("""COMPUTED_VALUE"""),45699)</f>
        <v>45699</v>
      </c>
      <c r="J5503" s="143" t="s">
        <v>15183</v>
      </c>
      <c r="K5503" s="80" t="s">
        <v>18545</v>
      </c>
      <c r="L5503" s="30">
        <v>862405899</v>
      </c>
      <c r="M5503" s="80" t="s">
        <v>12529</v>
      </c>
      <c r="N5503" s="80" t="s">
        <v>466</v>
      </c>
      <c r="O5503" s="80" t="s">
        <v>1492</v>
      </c>
      <c r="P5503" s="144" t="s">
        <v>18546</v>
      </c>
      <c r="Q5503" s="20">
        <v>13968</v>
      </c>
      <c r="R5503" s="80" t="s">
        <v>36</v>
      </c>
      <c r="S5503" s="95">
        <v>4000</v>
      </c>
      <c r="T5503" s="148">
        <v>45547</v>
      </c>
      <c r="U5503" s="95">
        <v>9968</v>
      </c>
      <c r="V5503" s="148">
        <v>45580</v>
      </c>
      <c r="W5503" s="85" t="s">
        <v>15186</v>
      </c>
      <c r="X5503" s="80"/>
      <c r="Y5503" s="22">
        <v>0</v>
      </c>
      <c r="Z5503" s="80" t="s">
        <v>50</v>
      </c>
      <c r="AA5503" s="96" t="s">
        <v>9905</v>
      </c>
      <c r="AB5503" s="80"/>
      <c r="AC5503" s="80" t="s">
        <v>53</v>
      </c>
      <c r="AD5503" s="80" t="s">
        <v>54</v>
      </c>
      <c r="AE5503" s="83">
        <v>805</v>
      </c>
      <c r="AF5503" s="17">
        <v>45699</v>
      </c>
      <c r="AG5503" s="80"/>
      <c r="AH5503" s="80"/>
      <c r="AI5503" s="147"/>
      <c r="AJ5503" s="80"/>
      <c r="AK5503" s="80"/>
      <c r="AL5503" s="35"/>
      <c r="AM5503" s="35"/>
      <c r="AN5503" s="35"/>
      <c r="AO5503" s="35"/>
      <c r="AP5503" s="35"/>
    </row>
    <row r="5504" spans="1:42" x14ac:dyDescent="0.2">
      <c r="A5504" s="14">
        <v>45666</v>
      </c>
      <c r="B5504" s="137" t="s">
        <v>37</v>
      </c>
      <c r="C5504" s="41" t="s">
        <v>118</v>
      </c>
      <c r="D5504" s="26" t="s">
        <v>36</v>
      </c>
      <c r="E5504" s="26" t="s">
        <v>119</v>
      </c>
      <c r="F5504" s="26" t="s">
        <v>4275</v>
      </c>
      <c r="G5504" s="26" t="s">
        <v>1847</v>
      </c>
      <c r="H5504" s="26" t="s">
        <v>18547</v>
      </c>
      <c r="I5504" s="17">
        <f ca="1">IFERROR(__xludf.DUMMYFUNCTION("""COMPUTED_VALUE"""),45725)</f>
        <v>45725</v>
      </c>
      <c r="J5504" s="44" t="s">
        <v>18548</v>
      </c>
      <c r="K5504" s="19" t="s">
        <v>3849</v>
      </c>
      <c r="L5504" s="47">
        <v>962021127</v>
      </c>
      <c r="M5504" s="26" t="s">
        <v>80</v>
      </c>
      <c r="N5504" s="26" t="s">
        <v>1073</v>
      </c>
      <c r="O5504" s="26" t="s">
        <v>3850</v>
      </c>
      <c r="P5504" s="42" t="s">
        <v>18549</v>
      </c>
      <c r="Q5504" s="20">
        <v>13968</v>
      </c>
      <c r="R5504" s="26" t="s">
        <v>36</v>
      </c>
      <c r="S5504" s="31">
        <v>300</v>
      </c>
      <c r="T5504" s="32">
        <v>45163</v>
      </c>
      <c r="U5504" s="31">
        <f>3700+9968</f>
        <v>13668</v>
      </c>
      <c r="V5504" s="26" t="s">
        <v>3851</v>
      </c>
      <c r="W5504" s="33" t="s">
        <v>3852</v>
      </c>
      <c r="X5504" s="26"/>
      <c r="Y5504" s="22">
        <v>0</v>
      </c>
      <c r="Z5504" s="26" t="s">
        <v>118</v>
      </c>
      <c r="AA5504" s="19" t="s">
        <v>3454</v>
      </c>
      <c r="AB5504" s="26" t="s">
        <v>104</v>
      </c>
      <c r="AC5504" s="26" t="s">
        <v>53</v>
      </c>
      <c r="AD5504" s="19" t="s">
        <v>138</v>
      </c>
      <c r="AE5504" s="26" t="s">
        <v>4275</v>
      </c>
      <c r="AF5504" s="17">
        <v>45722</v>
      </c>
      <c r="AG5504" s="26"/>
      <c r="AH5504" s="26"/>
      <c r="AI5504" s="40"/>
      <c r="AJ5504" s="26"/>
      <c r="AK5504" s="26"/>
      <c r="AL5504" s="35"/>
      <c r="AM5504" s="35"/>
      <c r="AN5504" s="35"/>
      <c r="AO5504" s="35"/>
      <c r="AP5504" s="35"/>
    </row>
    <row r="5505" spans="1:42" x14ac:dyDescent="0.2">
      <c r="A5505" s="14">
        <v>45666</v>
      </c>
      <c r="B5505" s="137" t="s">
        <v>37</v>
      </c>
      <c r="C5505" s="41" t="s">
        <v>118</v>
      </c>
      <c r="D5505" s="80" t="s">
        <v>36</v>
      </c>
      <c r="E5505" s="80" t="s">
        <v>119</v>
      </c>
      <c r="F5505" s="80" t="s">
        <v>6919</v>
      </c>
      <c r="G5505" s="26" t="s">
        <v>221</v>
      </c>
      <c r="H5505" s="80" t="s">
        <v>18321</v>
      </c>
      <c r="I5505" s="17">
        <f ca="1">IFERROR(__xludf.DUMMYFUNCTION("""COMPUTED_VALUE"""),45698)</f>
        <v>45698</v>
      </c>
      <c r="J5505" s="143" t="s">
        <v>15067</v>
      </c>
      <c r="K5505" s="80" t="s">
        <v>18550</v>
      </c>
      <c r="L5505" s="30">
        <v>978109638</v>
      </c>
      <c r="M5505" s="80" t="s">
        <v>12720</v>
      </c>
      <c r="N5505" s="80" t="s">
        <v>1073</v>
      </c>
      <c r="O5505" s="80" t="s">
        <v>15069</v>
      </c>
      <c r="P5505" s="80" t="s">
        <v>5794</v>
      </c>
      <c r="Q5505" s="20">
        <v>13968</v>
      </c>
      <c r="R5505" s="80" t="s">
        <v>36</v>
      </c>
      <c r="S5505" s="95">
        <f>200+3800</f>
        <v>4000</v>
      </c>
      <c r="T5505" s="83" t="s">
        <v>15070</v>
      </c>
      <c r="U5505" s="95">
        <v>9968</v>
      </c>
      <c r="V5505" s="148">
        <v>45569</v>
      </c>
      <c r="W5505" s="85" t="s">
        <v>15071</v>
      </c>
      <c r="X5505" s="80"/>
      <c r="Y5505" s="22">
        <v>0</v>
      </c>
      <c r="Z5505" s="80" t="s">
        <v>50</v>
      </c>
      <c r="AA5505" s="96" t="s">
        <v>9905</v>
      </c>
      <c r="AB5505" s="80"/>
      <c r="AC5505" s="80" t="s">
        <v>53</v>
      </c>
      <c r="AD5505" s="80" t="s">
        <v>138</v>
      </c>
      <c r="AE5505" s="80" t="s">
        <v>6919</v>
      </c>
      <c r="AF5505" s="17">
        <v>45698</v>
      </c>
      <c r="AG5505" s="26"/>
      <c r="AH5505" s="80"/>
      <c r="AI5505" s="147"/>
      <c r="AJ5505" s="80"/>
      <c r="AK5505" s="80"/>
      <c r="AL5505" s="35"/>
      <c r="AM5505" s="35"/>
      <c r="AN5505" s="35"/>
      <c r="AO5505" s="35"/>
      <c r="AP5505" s="35"/>
    </row>
    <row r="5506" spans="1:42" x14ac:dyDescent="0.2">
      <c r="A5506" s="14">
        <v>45667</v>
      </c>
      <c r="B5506" s="137" t="s">
        <v>37</v>
      </c>
      <c r="C5506" s="41" t="s">
        <v>118</v>
      </c>
      <c r="D5506" s="26" t="s">
        <v>36</v>
      </c>
      <c r="E5506" s="26" t="s">
        <v>56</v>
      </c>
      <c r="F5506" s="80" t="s">
        <v>6919</v>
      </c>
      <c r="G5506" s="26" t="s">
        <v>221</v>
      </c>
      <c r="H5506" s="80" t="s">
        <v>18321</v>
      </c>
      <c r="I5506" s="17">
        <f ca="1">IFERROR(__xludf.DUMMYFUNCTION("""COMPUTED_VALUE"""),45698)</f>
        <v>45698</v>
      </c>
      <c r="J5506" s="29" t="s">
        <v>9522</v>
      </c>
      <c r="K5506" s="26" t="s">
        <v>6399</v>
      </c>
      <c r="L5506" s="30">
        <v>787086202</v>
      </c>
      <c r="M5506" s="26" t="s">
        <v>59</v>
      </c>
      <c r="N5506" s="26" t="s">
        <v>68</v>
      </c>
      <c r="O5506" s="26" t="s">
        <v>9523</v>
      </c>
      <c r="P5506" s="42" t="s">
        <v>10080</v>
      </c>
      <c r="Q5506" s="20"/>
      <c r="R5506" s="26" t="s">
        <v>70</v>
      </c>
      <c r="S5506" s="95">
        <v>9217</v>
      </c>
      <c r="T5506" s="148">
        <v>45488</v>
      </c>
      <c r="U5506" s="31"/>
      <c r="V5506" s="32"/>
      <c r="W5506" s="33" t="s">
        <v>9524</v>
      </c>
      <c r="X5506" s="26"/>
      <c r="Y5506" s="22"/>
      <c r="Z5506" s="26" t="s">
        <v>50</v>
      </c>
      <c r="AA5506" s="70" t="s">
        <v>9070</v>
      </c>
      <c r="AB5506" s="26" t="s">
        <v>36</v>
      </c>
      <c r="AC5506" s="26" t="s">
        <v>53</v>
      </c>
      <c r="AD5506" s="26" t="s">
        <v>138</v>
      </c>
      <c r="AE5506" s="80" t="s">
        <v>6919</v>
      </c>
      <c r="AF5506" s="17">
        <v>45698</v>
      </c>
      <c r="AG5506" s="139"/>
      <c r="AH5506" s="26"/>
      <c r="AI5506" s="40"/>
      <c r="AJ5506" s="26"/>
      <c r="AK5506" s="26"/>
      <c r="AL5506" s="35"/>
      <c r="AM5506" s="35"/>
      <c r="AN5506" s="35"/>
      <c r="AO5506" s="35"/>
      <c r="AP5506" s="35"/>
    </row>
    <row r="5507" spans="1:42" x14ac:dyDescent="0.2">
      <c r="A5507" s="14">
        <v>45667</v>
      </c>
      <c r="B5507" s="137" t="s">
        <v>37</v>
      </c>
      <c r="C5507" s="41" t="s">
        <v>118</v>
      </c>
      <c r="D5507" s="80" t="s">
        <v>36</v>
      </c>
      <c r="E5507" s="80" t="s">
        <v>139</v>
      </c>
      <c r="F5507" s="80" t="s">
        <v>15199</v>
      </c>
      <c r="G5507" s="80" t="s">
        <v>108</v>
      </c>
      <c r="H5507" s="80" t="s">
        <v>18487</v>
      </c>
      <c r="I5507" s="17">
        <f ca="1">IFERROR(__xludf.DUMMYFUNCTION("""COMPUTED_VALUE"""),45671)</f>
        <v>45671</v>
      </c>
      <c r="J5507" s="143" t="s">
        <v>15719</v>
      </c>
      <c r="K5507" s="80" t="s">
        <v>15720</v>
      </c>
      <c r="L5507" s="30">
        <v>865004206</v>
      </c>
      <c r="M5507" s="80" t="s">
        <v>5518</v>
      </c>
      <c r="N5507" s="80" t="s">
        <v>12380</v>
      </c>
      <c r="O5507" s="80" t="s">
        <v>15721</v>
      </c>
      <c r="P5507" s="80" t="s">
        <v>3694</v>
      </c>
      <c r="Q5507" s="20">
        <v>15936</v>
      </c>
      <c r="R5507" s="80" t="s">
        <v>36</v>
      </c>
      <c r="S5507" s="95">
        <f>500+1500</f>
        <v>2000</v>
      </c>
      <c r="T5507" s="83" t="s">
        <v>15722</v>
      </c>
      <c r="U5507" s="95">
        <v>13936</v>
      </c>
      <c r="V5507" s="148">
        <v>45595</v>
      </c>
      <c r="W5507" s="85" t="s">
        <v>15723</v>
      </c>
      <c r="X5507" s="80"/>
      <c r="Y5507" s="22">
        <v>0</v>
      </c>
      <c r="Z5507" s="80" t="s">
        <v>50</v>
      </c>
      <c r="AA5507" s="96" t="s">
        <v>9905</v>
      </c>
      <c r="AB5507" s="80"/>
      <c r="AC5507" s="80" t="s">
        <v>53</v>
      </c>
      <c r="AD5507" s="80" t="s">
        <v>138</v>
      </c>
      <c r="AE5507" s="80" t="s">
        <v>15199</v>
      </c>
      <c r="AF5507" s="17">
        <v>45671</v>
      </c>
      <c r="AG5507" s="80"/>
      <c r="AH5507" s="80"/>
      <c r="AI5507" s="147"/>
      <c r="AJ5507" s="80"/>
      <c r="AK5507" s="80"/>
      <c r="AL5507" s="35"/>
      <c r="AM5507" s="35"/>
      <c r="AN5507" s="35"/>
      <c r="AO5507" s="35"/>
      <c r="AP5507" s="35"/>
    </row>
    <row r="5508" spans="1:42" x14ac:dyDescent="0.2">
      <c r="A5508" s="14">
        <v>45667</v>
      </c>
      <c r="B5508" s="137" t="s">
        <v>37</v>
      </c>
      <c r="C5508" s="41" t="s">
        <v>118</v>
      </c>
      <c r="D5508" s="80" t="s">
        <v>36</v>
      </c>
      <c r="E5508" s="80" t="s">
        <v>119</v>
      </c>
      <c r="F5508" s="80" t="s">
        <v>9825</v>
      </c>
      <c r="G5508" s="80" t="s">
        <v>1847</v>
      </c>
      <c r="H5508" s="80" t="s">
        <v>18551</v>
      </c>
      <c r="I5508" s="17" t="str">
        <f ca="1">IFERROR(__xludf.DUMMYFUNCTION("""COMPUTED_VALUE""")," ")</f>
        <v xml:space="preserve"> </v>
      </c>
      <c r="J5508" s="143" t="s">
        <v>15286</v>
      </c>
      <c r="K5508" s="80" t="s">
        <v>18552</v>
      </c>
      <c r="L5508" s="30">
        <v>397623099</v>
      </c>
      <c r="M5508" s="80" t="s">
        <v>5518</v>
      </c>
      <c r="N5508" s="80" t="s">
        <v>5524</v>
      </c>
      <c r="O5508" s="80" t="s">
        <v>15288</v>
      </c>
      <c r="P5508" s="80" t="s">
        <v>18553</v>
      </c>
      <c r="Q5508" s="20">
        <v>13968</v>
      </c>
      <c r="R5508" s="80" t="s">
        <v>36</v>
      </c>
      <c r="S5508" s="95">
        <v>4000</v>
      </c>
      <c r="T5508" s="148">
        <v>45552</v>
      </c>
      <c r="U5508" s="95">
        <v>9968</v>
      </c>
      <c r="V5508" s="148">
        <v>45567</v>
      </c>
      <c r="W5508" s="85" t="s">
        <v>15289</v>
      </c>
      <c r="X5508" s="80"/>
      <c r="Y5508" s="22">
        <v>0</v>
      </c>
      <c r="Z5508" s="80" t="s">
        <v>50</v>
      </c>
      <c r="AA5508" s="35" t="s">
        <v>9905</v>
      </c>
      <c r="AB5508" s="80"/>
      <c r="AC5508" s="80" t="s">
        <v>53</v>
      </c>
      <c r="AD5508" s="80" t="s">
        <v>54</v>
      </c>
      <c r="AE5508" s="80" t="s">
        <v>9825</v>
      </c>
      <c r="AF5508" s="17">
        <v>45699</v>
      </c>
      <c r="AG5508" s="80"/>
      <c r="AH5508" s="80"/>
      <c r="AI5508" s="147"/>
      <c r="AJ5508" s="80"/>
      <c r="AK5508" s="80"/>
      <c r="AL5508" s="35"/>
      <c r="AM5508" s="35"/>
      <c r="AN5508" s="35"/>
      <c r="AO5508" s="35"/>
      <c r="AP5508" s="35"/>
    </row>
    <row r="5509" spans="1:42" x14ac:dyDescent="0.2">
      <c r="A5509" s="14">
        <v>45667</v>
      </c>
      <c r="B5509" s="137" t="s">
        <v>37</v>
      </c>
      <c r="C5509" s="41" t="s">
        <v>118</v>
      </c>
      <c r="D5509" s="80" t="s">
        <v>36</v>
      </c>
      <c r="E5509" s="80" t="s">
        <v>139</v>
      </c>
      <c r="F5509" s="80" t="s">
        <v>11707</v>
      </c>
      <c r="G5509" s="80" t="s">
        <v>108</v>
      </c>
      <c r="H5509" s="80" t="s">
        <v>16632</v>
      </c>
      <c r="I5509" s="17">
        <f ca="1">IFERROR(__xludf.DUMMYFUNCTION("""COMPUTED_VALUE"""),45741)</f>
        <v>45741</v>
      </c>
      <c r="J5509" s="172" t="s">
        <v>15011</v>
      </c>
      <c r="K5509" s="80" t="s">
        <v>15012</v>
      </c>
      <c r="L5509" s="30">
        <v>966092786</v>
      </c>
      <c r="M5509" s="80" t="s">
        <v>123</v>
      </c>
      <c r="N5509" s="80" t="s">
        <v>327</v>
      </c>
      <c r="O5509" s="80" t="s">
        <v>4503</v>
      </c>
      <c r="P5509" s="80" t="s">
        <v>3487</v>
      </c>
      <c r="Q5509" s="20">
        <v>15936</v>
      </c>
      <c r="R5509" s="80" t="s">
        <v>70</v>
      </c>
      <c r="S5509" s="95">
        <f>200+1800</f>
        <v>2000</v>
      </c>
      <c r="T5509" s="83" t="s">
        <v>15008</v>
      </c>
      <c r="U5509" s="95">
        <v>13836</v>
      </c>
      <c r="V5509" s="148">
        <v>45569</v>
      </c>
      <c r="W5509" s="85" t="s">
        <v>15013</v>
      </c>
      <c r="X5509" s="80"/>
      <c r="Y5509" s="22">
        <v>100</v>
      </c>
      <c r="Z5509" s="80" t="s">
        <v>50</v>
      </c>
      <c r="AA5509" s="96" t="s">
        <v>9905</v>
      </c>
      <c r="AB5509" s="80"/>
      <c r="AC5509" s="80" t="s">
        <v>53</v>
      </c>
      <c r="AD5509" s="80" t="s">
        <v>138</v>
      </c>
      <c r="AE5509" s="80" t="s">
        <v>11707</v>
      </c>
      <c r="AF5509" s="17">
        <v>45671</v>
      </c>
      <c r="AG5509" s="26" t="s">
        <v>8366</v>
      </c>
      <c r="AH5509" s="80"/>
      <c r="AI5509" s="147"/>
      <c r="AJ5509" s="80"/>
      <c r="AK5509" s="80"/>
      <c r="AL5509" s="35"/>
      <c r="AM5509" s="35"/>
      <c r="AN5509" s="35"/>
      <c r="AO5509" s="35"/>
      <c r="AP5509" s="35"/>
    </row>
    <row r="5510" spans="1:42" x14ac:dyDescent="0.2">
      <c r="A5510" s="14">
        <v>45670</v>
      </c>
      <c r="B5510" s="28" t="s">
        <v>37</v>
      </c>
      <c r="C5510" s="41" t="s">
        <v>118</v>
      </c>
      <c r="D5510" s="26" t="s">
        <v>36</v>
      </c>
      <c r="E5510" s="26" t="s">
        <v>139</v>
      </c>
      <c r="F5510" s="26" t="s">
        <v>9021</v>
      </c>
      <c r="G5510" s="26" t="s">
        <v>1705</v>
      </c>
      <c r="H5510" s="26" t="s">
        <v>9041</v>
      </c>
      <c r="I5510" s="17">
        <f ca="1">IFERROR(__xludf.DUMMYFUNCTION("""COMPUTED_VALUE"""),45699)</f>
        <v>45699</v>
      </c>
      <c r="J5510" s="29" t="s">
        <v>3921</v>
      </c>
      <c r="K5510" s="26" t="s">
        <v>3922</v>
      </c>
      <c r="L5510" s="30">
        <v>865630283</v>
      </c>
      <c r="M5510" s="26" t="s">
        <v>1245</v>
      </c>
      <c r="N5510" s="26" t="s">
        <v>4957</v>
      </c>
      <c r="O5510" s="26" t="s">
        <v>1226</v>
      </c>
      <c r="P5510" s="42" t="s">
        <v>18554</v>
      </c>
      <c r="Q5510" s="20">
        <v>15936</v>
      </c>
      <c r="R5510" s="26" t="s">
        <v>36</v>
      </c>
      <c r="S5510" s="31">
        <v>7000</v>
      </c>
      <c r="T5510" s="32">
        <v>45197</v>
      </c>
      <c r="U5510" s="31">
        <v>8936</v>
      </c>
      <c r="V5510" s="32">
        <v>45223</v>
      </c>
      <c r="W5510" s="33" t="s">
        <v>3923</v>
      </c>
      <c r="X5510" s="26"/>
      <c r="Y5510" s="22">
        <v>0</v>
      </c>
      <c r="Z5510" s="26" t="s">
        <v>118</v>
      </c>
      <c r="AA5510" s="19" t="s">
        <v>3454</v>
      </c>
      <c r="AB5510" s="26" t="s">
        <v>36</v>
      </c>
      <c r="AC5510" s="26" t="s">
        <v>53</v>
      </c>
      <c r="AD5510" s="19" t="s">
        <v>138</v>
      </c>
      <c r="AE5510" s="26" t="s">
        <v>9021</v>
      </c>
      <c r="AF5510" s="17">
        <v>45694</v>
      </c>
      <c r="AG5510" s="26"/>
      <c r="AH5510" s="26"/>
      <c r="AI5510" s="40"/>
      <c r="AJ5510" s="26"/>
      <c r="AK5510" s="26"/>
      <c r="AL5510" s="35"/>
      <c r="AM5510" s="35"/>
      <c r="AN5510" s="35"/>
      <c r="AO5510" s="35"/>
      <c r="AP5510" s="35"/>
    </row>
    <row r="5511" spans="1:42" x14ac:dyDescent="0.2">
      <c r="A5511" s="14">
        <v>45670</v>
      </c>
      <c r="B5511" s="28" t="s">
        <v>37</v>
      </c>
      <c r="C5511" s="41" t="s">
        <v>118</v>
      </c>
      <c r="D5511" s="26" t="s">
        <v>36</v>
      </c>
      <c r="E5511" s="26" t="s">
        <v>139</v>
      </c>
      <c r="F5511" s="26" t="s">
        <v>8026</v>
      </c>
      <c r="G5511" s="80" t="s">
        <v>1847</v>
      </c>
      <c r="H5511" s="80" t="s">
        <v>14381</v>
      </c>
      <c r="I5511" s="17">
        <f ca="1">IFERROR(__xludf.DUMMYFUNCTION("""COMPUTED_VALUE"""),45699)</f>
        <v>45699</v>
      </c>
      <c r="J5511" s="29" t="s">
        <v>7109</v>
      </c>
      <c r="K5511" s="26" t="s">
        <v>206</v>
      </c>
      <c r="L5511" s="30">
        <v>398242362</v>
      </c>
      <c r="M5511" s="26" t="s">
        <v>5429</v>
      </c>
      <c r="N5511" s="26" t="s">
        <v>81</v>
      </c>
      <c r="O5511" s="26" t="s">
        <v>7110</v>
      </c>
      <c r="P5511" s="26" t="s">
        <v>6368</v>
      </c>
      <c r="Q5511" s="20">
        <v>15936</v>
      </c>
      <c r="R5511" s="26" t="s">
        <v>70</v>
      </c>
      <c r="S5511" s="31">
        <v>2000</v>
      </c>
      <c r="T5511" s="32">
        <v>45299</v>
      </c>
      <c r="U5511" s="31">
        <v>13236</v>
      </c>
      <c r="V5511" s="32">
        <v>45333</v>
      </c>
      <c r="W5511" s="33" t="s">
        <v>7111</v>
      </c>
      <c r="X5511" s="26"/>
      <c r="Y5511" s="22">
        <v>700</v>
      </c>
      <c r="Z5511" s="26" t="s">
        <v>118</v>
      </c>
      <c r="AA5511" s="19" t="s">
        <v>7348</v>
      </c>
      <c r="AB5511" s="26" t="s">
        <v>36</v>
      </c>
      <c r="AC5511" s="26" t="s">
        <v>53</v>
      </c>
      <c r="AD5511" s="19" t="s">
        <v>138</v>
      </c>
      <c r="AE5511" s="26" t="s">
        <v>8026</v>
      </c>
      <c r="AF5511" s="17">
        <v>45699</v>
      </c>
      <c r="AG5511" s="26"/>
      <c r="AH5511" s="26"/>
      <c r="AI5511" s="40" t="s">
        <v>147</v>
      </c>
      <c r="AJ5511" s="26"/>
      <c r="AK5511" s="26"/>
      <c r="AL5511" s="35"/>
      <c r="AM5511" s="35"/>
      <c r="AN5511" s="35"/>
      <c r="AO5511" s="35"/>
      <c r="AP5511" s="35"/>
    </row>
    <row r="5512" spans="1:42" x14ac:dyDescent="0.2">
      <c r="A5512" s="14">
        <v>45670</v>
      </c>
      <c r="B5512" s="28" t="s">
        <v>37</v>
      </c>
      <c r="C5512" s="41" t="s">
        <v>118</v>
      </c>
      <c r="D5512" s="26" t="s">
        <v>36</v>
      </c>
      <c r="E5512" s="26" t="s">
        <v>139</v>
      </c>
      <c r="F5512" s="26" t="s">
        <v>6519</v>
      </c>
      <c r="G5512" s="80" t="s">
        <v>1847</v>
      </c>
      <c r="H5512" s="80" t="s">
        <v>14381</v>
      </c>
      <c r="I5512" s="17">
        <f ca="1">IFERROR(__xludf.DUMMYFUNCTION("""COMPUTED_VALUE"""),45699)</f>
        <v>45699</v>
      </c>
      <c r="J5512" s="29" t="s">
        <v>3591</v>
      </c>
      <c r="K5512" s="26" t="s">
        <v>3592</v>
      </c>
      <c r="L5512" s="30">
        <v>858104695</v>
      </c>
      <c r="M5512" s="26" t="s">
        <v>910</v>
      </c>
      <c r="N5512" s="26" t="s">
        <v>2841</v>
      </c>
      <c r="O5512" s="26" t="s">
        <v>125</v>
      </c>
      <c r="P5512" s="42" t="s">
        <v>4967</v>
      </c>
      <c r="Q5512" s="20">
        <v>15936</v>
      </c>
      <c r="R5512" s="26" t="s">
        <v>36</v>
      </c>
      <c r="S5512" s="31">
        <v>2000</v>
      </c>
      <c r="T5512" s="32">
        <v>45184</v>
      </c>
      <c r="U5512" s="31">
        <v>13936</v>
      </c>
      <c r="V5512" s="32">
        <v>45213</v>
      </c>
      <c r="W5512" s="33" t="s">
        <v>3594</v>
      </c>
      <c r="X5512" s="26"/>
      <c r="Y5512" s="22">
        <v>0</v>
      </c>
      <c r="Z5512" s="26" t="s">
        <v>118</v>
      </c>
      <c r="AA5512" s="19" t="s">
        <v>4541</v>
      </c>
      <c r="AB5512" s="26" t="s">
        <v>36</v>
      </c>
      <c r="AC5512" s="26" t="s">
        <v>53</v>
      </c>
      <c r="AD5512" s="19" t="s">
        <v>138</v>
      </c>
      <c r="AE5512" s="26" t="s">
        <v>6519</v>
      </c>
      <c r="AF5512" s="17">
        <v>45699</v>
      </c>
      <c r="AG5512" s="26"/>
      <c r="AH5512" s="26"/>
      <c r="AI5512" s="40"/>
      <c r="AJ5512" s="26"/>
      <c r="AK5512" s="26"/>
      <c r="AL5512" s="35"/>
      <c r="AM5512" s="35"/>
      <c r="AN5512" s="35"/>
      <c r="AO5512" s="35"/>
      <c r="AP5512" s="35"/>
    </row>
    <row r="5513" spans="1:42" x14ac:dyDescent="0.2">
      <c r="A5513" s="14">
        <v>45671</v>
      </c>
      <c r="B5513" s="28" t="s">
        <v>37</v>
      </c>
      <c r="C5513" s="41" t="s">
        <v>118</v>
      </c>
      <c r="D5513" s="26" t="s">
        <v>36</v>
      </c>
      <c r="E5513" s="26" t="s">
        <v>139</v>
      </c>
      <c r="F5513" s="26" t="s">
        <v>8935</v>
      </c>
      <c r="G5513" s="26" t="s">
        <v>221</v>
      </c>
      <c r="H5513" s="26" t="s">
        <v>18555</v>
      </c>
      <c r="I5513" s="17">
        <f ca="1">IFERROR(__xludf.DUMMYFUNCTION("""COMPUTED_VALUE"""),45698)</f>
        <v>45698</v>
      </c>
      <c r="J5513" s="29" t="s">
        <v>10277</v>
      </c>
      <c r="K5513" s="26" t="s">
        <v>5133</v>
      </c>
      <c r="L5513" s="30">
        <v>987461910</v>
      </c>
      <c r="M5513" s="26" t="s">
        <v>5429</v>
      </c>
      <c r="N5513" s="26" t="s">
        <v>1594</v>
      </c>
      <c r="O5513" s="26" t="s">
        <v>10278</v>
      </c>
      <c r="P5513" s="42" t="s">
        <v>18556</v>
      </c>
      <c r="Q5513" s="20">
        <v>15936</v>
      </c>
      <c r="R5513" s="26" t="s">
        <v>36</v>
      </c>
      <c r="S5513" s="95">
        <f>2000+3936</f>
        <v>5936</v>
      </c>
      <c r="T5513" s="148">
        <v>45478</v>
      </c>
      <c r="U5513" s="95">
        <v>10000</v>
      </c>
      <c r="V5513" s="83" t="s">
        <v>10280</v>
      </c>
      <c r="W5513" s="33" t="s">
        <v>10281</v>
      </c>
      <c r="X5513" s="26">
        <v>0</v>
      </c>
      <c r="Y5513" s="22">
        <v>0</v>
      </c>
      <c r="Z5513" s="26" t="s">
        <v>50</v>
      </c>
      <c r="AA5513" s="96"/>
      <c r="AB5513" s="26"/>
      <c r="AC5513" s="26" t="s">
        <v>53</v>
      </c>
      <c r="AD5513" s="26" t="s">
        <v>54</v>
      </c>
      <c r="AE5513" s="26" t="s">
        <v>8935</v>
      </c>
      <c r="AF5513" s="17">
        <v>45693</v>
      </c>
      <c r="AG5513" s="26"/>
      <c r="AH5513" s="26"/>
      <c r="AI5513" s="40"/>
      <c r="AJ5513" s="26"/>
      <c r="AK5513" s="26"/>
      <c r="AL5513" s="35"/>
      <c r="AM5513" s="35"/>
      <c r="AN5513" s="35"/>
      <c r="AO5513" s="35"/>
      <c r="AP5513" s="35"/>
    </row>
    <row r="5514" spans="1:42" x14ac:dyDescent="0.2">
      <c r="A5514" s="14">
        <v>45671</v>
      </c>
      <c r="B5514" s="28" t="s">
        <v>37</v>
      </c>
      <c r="C5514" s="41" t="s">
        <v>118</v>
      </c>
      <c r="D5514" s="80" t="s">
        <v>36</v>
      </c>
      <c r="E5514" s="80" t="s">
        <v>119</v>
      </c>
      <c r="F5514" s="80" t="s">
        <v>10223</v>
      </c>
      <c r="G5514" s="80" t="s">
        <v>221</v>
      </c>
      <c r="H5514" s="80" t="s">
        <v>18321</v>
      </c>
      <c r="I5514" s="17">
        <f ca="1">IFERROR(__xludf.DUMMYFUNCTION("""COMPUTED_VALUE"""),45698)</f>
        <v>45698</v>
      </c>
      <c r="J5514" s="143" t="s">
        <v>15587</v>
      </c>
      <c r="K5514" s="80" t="s">
        <v>6216</v>
      </c>
      <c r="L5514" s="30">
        <v>353554089</v>
      </c>
      <c r="M5514" s="80" t="s">
        <v>12720</v>
      </c>
      <c r="N5514" s="80" t="s">
        <v>1073</v>
      </c>
      <c r="O5514" s="80" t="s">
        <v>15588</v>
      </c>
      <c r="P5514" s="80" t="s">
        <v>15589</v>
      </c>
      <c r="Q5514" s="20">
        <v>13968</v>
      </c>
      <c r="R5514" s="80" t="s">
        <v>70</v>
      </c>
      <c r="S5514" s="95">
        <f>200+3800</f>
        <v>4000</v>
      </c>
      <c r="T5514" s="83" t="s">
        <v>15590</v>
      </c>
      <c r="U5514" s="95">
        <v>9868</v>
      </c>
      <c r="V5514" s="148">
        <v>45592</v>
      </c>
      <c r="W5514" s="85" t="s">
        <v>15591</v>
      </c>
      <c r="X5514" s="80"/>
      <c r="Y5514" s="22">
        <v>100</v>
      </c>
      <c r="Z5514" s="80" t="s">
        <v>50</v>
      </c>
      <c r="AA5514" s="35" t="s">
        <v>9905</v>
      </c>
      <c r="AB5514" s="80"/>
      <c r="AC5514" s="80" t="s">
        <v>53</v>
      </c>
      <c r="AD5514" s="80" t="s">
        <v>138</v>
      </c>
      <c r="AE5514" s="80" t="s">
        <v>10223</v>
      </c>
      <c r="AF5514" s="17">
        <v>45698</v>
      </c>
      <c r="AG5514" s="80"/>
      <c r="AH5514" s="80"/>
      <c r="AI5514" s="147"/>
      <c r="AJ5514" s="80"/>
      <c r="AK5514" s="80"/>
      <c r="AL5514" s="35"/>
      <c r="AM5514" s="35"/>
      <c r="AN5514" s="35"/>
      <c r="AO5514" s="35"/>
      <c r="AP5514" s="35"/>
    </row>
    <row r="5515" spans="1:42" x14ac:dyDescent="0.2">
      <c r="A5515" s="14">
        <v>45671</v>
      </c>
      <c r="B5515" s="28" t="s">
        <v>37</v>
      </c>
      <c r="C5515" s="41" t="s">
        <v>118</v>
      </c>
      <c r="D5515" s="26" t="s">
        <v>36</v>
      </c>
      <c r="E5515" s="26" t="s">
        <v>56</v>
      </c>
      <c r="F5515" s="26" t="s">
        <v>10038</v>
      </c>
      <c r="G5515" s="26" t="s">
        <v>221</v>
      </c>
      <c r="H5515" s="26" t="s">
        <v>18555</v>
      </c>
      <c r="I5515" s="17">
        <f ca="1">IFERROR(__xludf.DUMMYFUNCTION("""COMPUTED_VALUE"""),45698)</f>
        <v>45698</v>
      </c>
      <c r="J5515" s="29" t="s">
        <v>10133</v>
      </c>
      <c r="K5515" s="26" t="s">
        <v>18557</v>
      </c>
      <c r="L5515" s="30">
        <v>912692515</v>
      </c>
      <c r="M5515" s="26" t="s">
        <v>3728</v>
      </c>
      <c r="N5515" s="26" t="s">
        <v>8725</v>
      </c>
      <c r="O5515" s="26" t="s">
        <v>10135</v>
      </c>
      <c r="P5515" s="42" t="s">
        <v>10136</v>
      </c>
      <c r="Q5515" s="20">
        <v>9317</v>
      </c>
      <c r="R5515" s="26" t="s">
        <v>36</v>
      </c>
      <c r="S5515" s="95">
        <f>200+1800</f>
        <v>2000</v>
      </c>
      <c r="T5515" s="83" t="s">
        <v>10137</v>
      </c>
      <c r="U5515" s="95">
        <v>7317</v>
      </c>
      <c r="V5515" s="148">
        <v>45515</v>
      </c>
      <c r="W5515" s="33" t="s">
        <v>10138</v>
      </c>
      <c r="X5515" s="26">
        <v>0</v>
      </c>
      <c r="Y5515" s="22">
        <v>0</v>
      </c>
      <c r="Z5515" s="26" t="s">
        <v>50</v>
      </c>
      <c r="AA5515" s="96"/>
      <c r="AB5515" s="26"/>
      <c r="AC5515" s="26" t="s">
        <v>53</v>
      </c>
      <c r="AD5515" s="26" t="s">
        <v>54</v>
      </c>
      <c r="AE5515" s="26" t="s">
        <v>10038</v>
      </c>
      <c r="AF5515" s="17">
        <v>45693</v>
      </c>
      <c r="AG5515" s="26"/>
      <c r="AH5515" s="26"/>
      <c r="AI5515" s="40"/>
      <c r="AJ5515" s="26"/>
      <c r="AK5515" s="26"/>
      <c r="AL5515" s="35"/>
      <c r="AM5515" s="35"/>
      <c r="AN5515" s="35"/>
      <c r="AO5515" s="35"/>
      <c r="AP5515" s="35"/>
    </row>
    <row r="5516" spans="1:42" x14ac:dyDescent="0.2">
      <c r="A5516" s="14">
        <v>45671</v>
      </c>
      <c r="B5516" s="28" t="s">
        <v>37</v>
      </c>
      <c r="C5516" s="41" t="s">
        <v>118</v>
      </c>
      <c r="D5516" s="26" t="s">
        <v>36</v>
      </c>
      <c r="E5516" s="26" t="s">
        <v>139</v>
      </c>
      <c r="F5516" s="26" t="s">
        <v>13652</v>
      </c>
      <c r="G5516" s="80" t="s">
        <v>1847</v>
      </c>
      <c r="H5516" s="80" t="s">
        <v>14381</v>
      </c>
      <c r="I5516" s="17">
        <f ca="1">IFERROR(__xludf.DUMMYFUNCTION("""COMPUTED_VALUE"""),45699)</f>
        <v>45699</v>
      </c>
      <c r="J5516" s="29" t="s">
        <v>3911</v>
      </c>
      <c r="K5516" s="26" t="s">
        <v>3912</v>
      </c>
      <c r="L5516" s="30">
        <v>378138205</v>
      </c>
      <c r="M5516" s="26" t="s">
        <v>910</v>
      </c>
      <c r="N5516" s="26" t="s">
        <v>3525</v>
      </c>
      <c r="O5516" s="26" t="s">
        <v>134</v>
      </c>
      <c r="P5516" s="42" t="s">
        <v>13662</v>
      </c>
      <c r="Q5516" s="20">
        <v>15936</v>
      </c>
      <c r="R5516" s="26" t="s">
        <v>36</v>
      </c>
      <c r="S5516" s="31">
        <v>2000</v>
      </c>
      <c r="T5516" s="32">
        <v>45197</v>
      </c>
      <c r="U5516" s="31">
        <v>13936</v>
      </c>
      <c r="V5516" s="32">
        <v>45226</v>
      </c>
      <c r="W5516" s="33" t="s">
        <v>3914</v>
      </c>
      <c r="X5516" s="26"/>
      <c r="Y5516" s="22">
        <v>0</v>
      </c>
      <c r="Z5516" s="26" t="s">
        <v>118</v>
      </c>
      <c r="AA5516" s="19" t="s">
        <v>5785</v>
      </c>
      <c r="AB5516" s="26" t="s">
        <v>104</v>
      </c>
      <c r="AC5516" s="26" t="s">
        <v>53</v>
      </c>
      <c r="AD5516" s="19" t="s">
        <v>138</v>
      </c>
      <c r="AE5516" s="26" t="s">
        <v>13652</v>
      </c>
      <c r="AF5516" s="17">
        <v>45699</v>
      </c>
      <c r="AG5516" s="26"/>
      <c r="AH5516" s="26"/>
      <c r="AI5516" s="40" t="s">
        <v>147</v>
      </c>
      <c r="AJ5516" s="26"/>
      <c r="AK5516" s="26"/>
      <c r="AL5516" s="35"/>
      <c r="AM5516" s="35"/>
      <c r="AN5516" s="35"/>
      <c r="AO5516" s="35"/>
      <c r="AP5516" s="35"/>
    </row>
    <row r="5517" spans="1:42" x14ac:dyDescent="0.2">
      <c r="A5517" s="14">
        <v>45671</v>
      </c>
      <c r="B5517" s="28" t="s">
        <v>37</v>
      </c>
      <c r="C5517" s="41" t="s">
        <v>118</v>
      </c>
      <c r="D5517" s="26" t="s">
        <v>36</v>
      </c>
      <c r="E5517" s="26" t="s">
        <v>119</v>
      </c>
      <c r="F5517" s="26" t="s">
        <v>13652</v>
      </c>
      <c r="G5517" s="80" t="s">
        <v>1847</v>
      </c>
      <c r="H5517" s="80" t="s">
        <v>14381</v>
      </c>
      <c r="I5517" s="17">
        <f ca="1">IFERROR(__xludf.DUMMYFUNCTION("""COMPUTED_VALUE"""),45699)</f>
        <v>45699</v>
      </c>
      <c r="J5517" s="29" t="s">
        <v>6682</v>
      </c>
      <c r="K5517" s="26" t="s">
        <v>13721</v>
      </c>
      <c r="L5517" s="30">
        <v>968591944</v>
      </c>
      <c r="M5517" s="26" t="s">
        <v>80</v>
      </c>
      <c r="N5517" s="26" t="s">
        <v>466</v>
      </c>
      <c r="O5517" s="26" t="s">
        <v>6684</v>
      </c>
      <c r="P5517" s="42" t="s">
        <v>8011</v>
      </c>
      <c r="Q5517" s="20">
        <v>13968</v>
      </c>
      <c r="R5517" s="26" t="s">
        <v>36</v>
      </c>
      <c r="S5517" s="31">
        <v>200</v>
      </c>
      <c r="T5517" s="32">
        <v>45250</v>
      </c>
      <c r="U5517" s="31">
        <f>3800 +9968</f>
        <v>13768</v>
      </c>
      <c r="V5517" s="26" t="s">
        <v>6686</v>
      </c>
      <c r="W5517" s="33" t="s">
        <v>6687</v>
      </c>
      <c r="X5517" s="26">
        <v>0</v>
      </c>
      <c r="Y5517" s="22">
        <v>0</v>
      </c>
      <c r="Z5517" s="26" t="s">
        <v>118</v>
      </c>
      <c r="AA5517" s="19" t="s">
        <v>6079</v>
      </c>
      <c r="AB5517" s="26" t="s">
        <v>36</v>
      </c>
      <c r="AC5517" s="26" t="s">
        <v>53</v>
      </c>
      <c r="AD5517" s="19" t="s">
        <v>138</v>
      </c>
      <c r="AE5517" s="26" t="s">
        <v>13652</v>
      </c>
      <c r="AF5517" s="17">
        <v>45699</v>
      </c>
      <c r="AG5517" s="26"/>
      <c r="AH5517" s="26"/>
      <c r="AI5517" s="40">
        <v>4</v>
      </c>
      <c r="AJ5517" s="26"/>
      <c r="AK5517" s="26"/>
      <c r="AL5517" s="35"/>
      <c r="AM5517" s="35"/>
      <c r="AN5517" s="35"/>
      <c r="AO5517" s="35"/>
      <c r="AP5517" s="35"/>
    </row>
    <row r="5518" spans="1:42" x14ac:dyDescent="0.2">
      <c r="A5518" s="14">
        <v>45671</v>
      </c>
      <c r="B5518" s="28" t="s">
        <v>37</v>
      </c>
      <c r="C5518" s="41" t="s">
        <v>118</v>
      </c>
      <c r="D5518" s="26" t="s">
        <v>36</v>
      </c>
      <c r="E5518" s="26" t="s">
        <v>139</v>
      </c>
      <c r="F5518" s="26" t="s">
        <v>8997</v>
      </c>
      <c r="G5518" s="80" t="s">
        <v>1847</v>
      </c>
      <c r="H5518" s="80" t="s">
        <v>18558</v>
      </c>
      <c r="I5518" s="17">
        <f ca="1">IFERROR(__xludf.DUMMYFUNCTION("""COMPUTED_VALUE"""),45845)</f>
        <v>45845</v>
      </c>
      <c r="J5518" s="29" t="s">
        <v>7691</v>
      </c>
      <c r="K5518" s="26" t="s">
        <v>18559</v>
      </c>
      <c r="L5518" s="30">
        <v>394525016</v>
      </c>
      <c r="M5518" s="26" t="s">
        <v>5429</v>
      </c>
      <c r="N5518" s="26" t="s">
        <v>81</v>
      </c>
      <c r="O5518" s="26" t="s">
        <v>61</v>
      </c>
      <c r="P5518" s="26" t="s">
        <v>7693</v>
      </c>
      <c r="Q5518" s="20">
        <v>15936</v>
      </c>
      <c r="R5518" s="26" t="s">
        <v>36</v>
      </c>
      <c r="S5518" s="31">
        <v>15936</v>
      </c>
      <c r="T5518" s="32">
        <v>45353</v>
      </c>
      <c r="U5518" s="31"/>
      <c r="V5518" s="32"/>
      <c r="W5518" s="33" t="s">
        <v>7694</v>
      </c>
      <c r="X5518" s="26"/>
      <c r="Y5518" s="22">
        <v>0</v>
      </c>
      <c r="Z5518" s="98" t="s">
        <v>118</v>
      </c>
      <c r="AA5518" s="19" t="s">
        <v>7361</v>
      </c>
      <c r="AB5518" s="26" t="s">
        <v>36</v>
      </c>
      <c r="AC5518" s="26" t="s">
        <v>53</v>
      </c>
      <c r="AD5518" s="19" t="s">
        <v>138</v>
      </c>
      <c r="AE5518" s="26" t="s">
        <v>8997</v>
      </c>
      <c r="AF5518" s="17">
        <v>45699</v>
      </c>
      <c r="AG5518" s="26"/>
      <c r="AH5518" s="26"/>
      <c r="AI5518" s="40"/>
      <c r="AJ5518" s="26"/>
      <c r="AK5518" s="26"/>
      <c r="AL5518" s="35"/>
      <c r="AM5518" s="35"/>
      <c r="AN5518" s="35"/>
      <c r="AO5518" s="35"/>
      <c r="AP5518" s="35"/>
    </row>
    <row r="5519" spans="1:42" x14ac:dyDescent="0.2">
      <c r="A5519" s="14">
        <v>45671</v>
      </c>
      <c r="B5519" s="28" t="s">
        <v>37</v>
      </c>
      <c r="C5519" s="41" t="s">
        <v>118</v>
      </c>
      <c r="D5519" s="26" t="s">
        <v>36</v>
      </c>
      <c r="E5519" s="26" t="s">
        <v>139</v>
      </c>
      <c r="F5519" s="26" t="s">
        <v>7524</v>
      </c>
      <c r="G5519" s="26" t="s">
        <v>221</v>
      </c>
      <c r="H5519" s="26" t="s">
        <v>18560</v>
      </c>
      <c r="I5519" s="17">
        <f ca="1">IFERROR(__xludf.DUMMYFUNCTION("""COMPUTED_VALUE"""),45987)</f>
        <v>45987</v>
      </c>
      <c r="J5519" s="29" t="s">
        <v>8956</v>
      </c>
      <c r="K5519" s="35" t="s">
        <v>18561</v>
      </c>
      <c r="L5519" s="30">
        <v>356894765</v>
      </c>
      <c r="M5519" s="26" t="s">
        <v>1245</v>
      </c>
      <c r="N5519" s="26" t="s">
        <v>1246</v>
      </c>
      <c r="O5519" s="26" t="s">
        <v>8958</v>
      </c>
      <c r="P5519" s="42" t="s">
        <v>8959</v>
      </c>
      <c r="Q5519" s="20">
        <v>15936</v>
      </c>
      <c r="R5519" s="26" t="s">
        <v>36</v>
      </c>
      <c r="S5519" s="95">
        <f>7349-3768+3455</f>
        <v>7036</v>
      </c>
      <c r="T5519" s="83" t="s">
        <v>8960</v>
      </c>
      <c r="U5519" s="159">
        <v>8900</v>
      </c>
      <c r="V5519" s="160">
        <v>45503</v>
      </c>
      <c r="W5519" s="33" t="s">
        <v>8961</v>
      </c>
      <c r="X5519" s="26">
        <v>0</v>
      </c>
      <c r="Y5519" s="22">
        <v>0</v>
      </c>
      <c r="Z5519" s="26" t="s">
        <v>118</v>
      </c>
      <c r="AA5519" s="62" t="s">
        <v>8962</v>
      </c>
      <c r="AB5519" s="26" t="s">
        <v>36</v>
      </c>
      <c r="AC5519" s="26" t="s">
        <v>53</v>
      </c>
      <c r="AD5519" s="26" t="s">
        <v>54</v>
      </c>
      <c r="AE5519" s="26" t="s">
        <v>7524</v>
      </c>
      <c r="AF5519" s="17">
        <v>45706</v>
      </c>
      <c r="AG5519" s="42" t="s">
        <v>8963</v>
      </c>
      <c r="AH5519" s="40"/>
      <c r="AI5519" s="40"/>
      <c r="AJ5519" s="26"/>
      <c r="AK5519" s="26"/>
      <c r="AL5519" s="26"/>
      <c r="AM5519" s="35"/>
      <c r="AN5519" s="35"/>
      <c r="AO5519" s="35"/>
      <c r="AP5519" s="35"/>
    </row>
    <row r="5520" spans="1:42" x14ac:dyDescent="0.2">
      <c r="A5520" s="126">
        <v>45691.363000671292</v>
      </c>
      <c r="B5520" s="137" t="s">
        <v>37</v>
      </c>
      <c r="C5520" s="41" t="s">
        <v>118</v>
      </c>
      <c r="D5520" s="80" t="s">
        <v>36</v>
      </c>
      <c r="E5520" s="80" t="s">
        <v>39</v>
      </c>
      <c r="F5520" s="80" t="s">
        <v>18562</v>
      </c>
      <c r="G5520" s="80" t="s">
        <v>41</v>
      </c>
      <c r="H5520" s="80" t="s">
        <v>16525</v>
      </c>
      <c r="I5520" s="17">
        <f ca="1">IFERROR(__xludf.DUMMYFUNCTION("""COMPUTED_VALUE"""),45708)</f>
        <v>45708</v>
      </c>
      <c r="J5520" s="143" t="s">
        <v>18563</v>
      </c>
      <c r="K5520" s="80" t="s">
        <v>18564</v>
      </c>
      <c r="L5520" s="30">
        <v>343819820</v>
      </c>
      <c r="M5520" s="80" t="s">
        <v>3288</v>
      </c>
      <c r="N5520" s="80" t="s">
        <v>5846</v>
      </c>
      <c r="O5520" s="80" t="s">
        <v>36</v>
      </c>
      <c r="P5520" s="80" t="s">
        <v>18565</v>
      </c>
      <c r="Q5520" s="20">
        <v>13083</v>
      </c>
      <c r="R5520" s="26" t="s">
        <v>36</v>
      </c>
      <c r="S5520" s="77">
        <v>2000</v>
      </c>
      <c r="T5520" s="78">
        <v>45454</v>
      </c>
      <c r="U5520" s="77">
        <v>11083</v>
      </c>
      <c r="V5520" s="78">
        <v>45486</v>
      </c>
      <c r="W5520" s="85" t="s">
        <v>18566</v>
      </c>
      <c r="X5520" s="80"/>
      <c r="Y5520" s="22">
        <v>0</v>
      </c>
      <c r="Z5520" s="81" t="s">
        <v>50</v>
      </c>
      <c r="AA5520" s="86" t="s">
        <v>9070</v>
      </c>
      <c r="AB5520" s="80" t="s">
        <v>3421</v>
      </c>
      <c r="AC5520" s="80" t="s">
        <v>53</v>
      </c>
      <c r="AD5520" s="80" t="s">
        <v>138</v>
      </c>
      <c r="AE5520" s="80" t="s">
        <v>18562</v>
      </c>
      <c r="AF5520" s="17">
        <v>45708</v>
      </c>
      <c r="AG5520" s="80" t="s">
        <v>18567</v>
      </c>
      <c r="AH5520" s="147"/>
      <c r="AI5520" s="147"/>
      <c r="AJ5520" s="80"/>
      <c r="AK5520" s="80"/>
      <c r="AL5520" s="80"/>
      <c r="AM5520" s="86"/>
      <c r="AN5520" s="86"/>
      <c r="AO5520" s="86"/>
      <c r="AP5520" s="86"/>
    </row>
    <row r="5521" spans="1:42" x14ac:dyDescent="0.2">
      <c r="A5521" s="38">
        <v>45672</v>
      </c>
      <c r="B5521" s="137" t="s">
        <v>37</v>
      </c>
      <c r="C5521" s="41" t="s">
        <v>118</v>
      </c>
      <c r="D5521" s="80" t="s">
        <v>36</v>
      </c>
      <c r="E5521" s="80" t="s">
        <v>56</v>
      </c>
      <c r="F5521" s="80" t="s">
        <v>13441</v>
      </c>
      <c r="G5521" s="80" t="s">
        <v>108</v>
      </c>
      <c r="H5521" s="80" t="s">
        <v>18568</v>
      </c>
      <c r="I5521" s="17">
        <f ca="1">IFERROR(__xludf.DUMMYFUNCTION("""COMPUTED_VALUE"""),45699)</f>
        <v>45699</v>
      </c>
      <c r="J5521" s="143" t="s">
        <v>16338</v>
      </c>
      <c r="K5521" s="145" t="s">
        <v>18569</v>
      </c>
      <c r="L5521" s="30">
        <v>987072757</v>
      </c>
      <c r="M5521" s="80" t="s">
        <v>2755</v>
      </c>
      <c r="N5521" s="80" t="s">
        <v>2756</v>
      </c>
      <c r="O5521" s="80" t="s">
        <v>4503</v>
      </c>
      <c r="P5521" s="80" t="s">
        <v>16340</v>
      </c>
      <c r="Q5521" s="20">
        <v>9317</v>
      </c>
      <c r="R5521" s="80" t="s">
        <v>36</v>
      </c>
      <c r="S5521" s="95">
        <v>9317</v>
      </c>
      <c r="T5521" s="148">
        <v>45579</v>
      </c>
      <c r="U5521" s="77"/>
      <c r="V5521" s="78"/>
      <c r="W5521" s="85" t="s">
        <v>16341</v>
      </c>
      <c r="X5521" s="80"/>
      <c r="Y5521" s="22">
        <v>0</v>
      </c>
      <c r="Z5521" s="81" t="s">
        <v>50</v>
      </c>
      <c r="AA5521" s="82" t="s">
        <v>9905</v>
      </c>
      <c r="AB5521" s="80"/>
      <c r="AC5521" s="80" t="s">
        <v>53</v>
      </c>
      <c r="AD5521" s="80" t="s">
        <v>54</v>
      </c>
      <c r="AE5521" s="80" t="s">
        <v>13441</v>
      </c>
      <c r="AF5521" s="17">
        <v>45699</v>
      </c>
      <c r="AG5521" s="80"/>
      <c r="AH5521" s="80"/>
      <c r="AI5521" s="147"/>
      <c r="AJ5521" s="80"/>
      <c r="AK5521" s="80"/>
      <c r="AL5521" s="86"/>
      <c r="AM5521" s="86"/>
      <c r="AN5521" s="86"/>
      <c r="AO5521" s="86"/>
      <c r="AP5521" s="86"/>
    </row>
    <row r="5522" spans="1:42" x14ac:dyDescent="0.2">
      <c r="A5522" s="38">
        <v>45672</v>
      </c>
      <c r="B5522" s="137" t="s">
        <v>37</v>
      </c>
      <c r="C5522" s="41" t="s">
        <v>118</v>
      </c>
      <c r="D5522" s="80" t="s">
        <v>36</v>
      </c>
      <c r="E5522" s="80" t="s">
        <v>139</v>
      </c>
      <c r="F5522" s="80" t="s">
        <v>13441</v>
      </c>
      <c r="G5522" s="80" t="s">
        <v>108</v>
      </c>
      <c r="H5522" s="80" t="s">
        <v>18568</v>
      </c>
      <c r="I5522" s="17">
        <f ca="1">IFERROR(__xludf.DUMMYFUNCTION("""COMPUTED_VALUE"""),45699)</f>
        <v>45699</v>
      </c>
      <c r="J5522" s="143" t="s">
        <v>16737</v>
      </c>
      <c r="K5522" s="145" t="s">
        <v>17372</v>
      </c>
      <c r="L5522" s="30">
        <v>333006562</v>
      </c>
      <c r="M5522" s="80" t="s">
        <v>15970</v>
      </c>
      <c r="N5522" s="80" t="s">
        <v>7210</v>
      </c>
      <c r="O5522" s="80" t="s">
        <v>4503</v>
      </c>
      <c r="P5522" s="80" t="s">
        <v>3056</v>
      </c>
      <c r="Q5522" s="20">
        <v>15936</v>
      </c>
      <c r="R5522" s="80" t="s">
        <v>36</v>
      </c>
      <c r="S5522" s="95">
        <f>200+2000</f>
        <v>2200</v>
      </c>
      <c r="T5522" s="148" t="s">
        <v>16739</v>
      </c>
      <c r="U5522" s="95">
        <v>13736</v>
      </c>
      <c r="V5522" s="148">
        <v>45612</v>
      </c>
      <c r="W5522" s="85" t="s">
        <v>16740</v>
      </c>
      <c r="X5522" s="80"/>
      <c r="Y5522" s="22">
        <v>0</v>
      </c>
      <c r="Z5522" s="80"/>
      <c r="AA5522" s="86"/>
      <c r="AB5522" s="80"/>
      <c r="AC5522" s="80" t="s">
        <v>53</v>
      </c>
      <c r="AD5522" s="80" t="s">
        <v>138</v>
      </c>
      <c r="AE5522" s="80" t="s">
        <v>13441</v>
      </c>
      <c r="AF5522" s="17">
        <v>45699</v>
      </c>
      <c r="AG5522" s="80"/>
      <c r="AH5522" s="80"/>
      <c r="AI5522" s="147"/>
      <c r="AJ5522" s="80"/>
      <c r="AK5522" s="80"/>
      <c r="AL5522" s="86"/>
      <c r="AM5522" s="86"/>
      <c r="AN5522" s="86"/>
      <c r="AO5522" s="86"/>
      <c r="AP5522" s="86"/>
    </row>
    <row r="5523" spans="1:42" x14ac:dyDescent="0.2">
      <c r="A5523" s="38">
        <v>45672</v>
      </c>
      <c r="B5523" s="137" t="s">
        <v>37</v>
      </c>
      <c r="C5523" s="41" t="s">
        <v>118</v>
      </c>
      <c r="D5523" s="80" t="s">
        <v>36</v>
      </c>
      <c r="E5523" s="80" t="s">
        <v>56</v>
      </c>
      <c r="F5523" s="80" t="s">
        <v>13441</v>
      </c>
      <c r="G5523" s="80" t="s">
        <v>108</v>
      </c>
      <c r="H5523" s="80" t="s">
        <v>13727</v>
      </c>
      <c r="I5523" s="17">
        <f ca="1">IFERROR(__xludf.DUMMYFUNCTION("""COMPUTED_VALUE"""),45705)</f>
        <v>45705</v>
      </c>
      <c r="J5523" s="143" t="s">
        <v>18022</v>
      </c>
      <c r="K5523" s="145" t="s">
        <v>18570</v>
      </c>
      <c r="L5523" s="30">
        <v>973867024</v>
      </c>
      <c r="M5523" s="80" t="s">
        <v>9422</v>
      </c>
      <c r="N5523" s="80" t="s">
        <v>7051</v>
      </c>
      <c r="O5523" s="80" t="s">
        <v>11607</v>
      </c>
      <c r="P5523" s="80" t="s">
        <v>18024</v>
      </c>
      <c r="Q5523" s="20">
        <v>9317</v>
      </c>
      <c r="R5523" s="80" t="s">
        <v>36</v>
      </c>
      <c r="S5523" s="95">
        <v>9317</v>
      </c>
      <c r="T5523" s="148">
        <v>45610</v>
      </c>
      <c r="U5523" s="77"/>
      <c r="V5523" s="78"/>
      <c r="W5523" s="85" t="s">
        <v>18025</v>
      </c>
      <c r="X5523" s="80"/>
      <c r="Y5523" s="22">
        <v>0</v>
      </c>
      <c r="Z5523" s="81" t="s">
        <v>50</v>
      </c>
      <c r="AA5523" s="82" t="s">
        <v>14723</v>
      </c>
      <c r="AB5523" s="80"/>
      <c r="AC5523" s="80" t="s">
        <v>53</v>
      </c>
      <c r="AD5523" s="80" t="s">
        <v>138</v>
      </c>
      <c r="AE5523" s="80" t="s">
        <v>13441</v>
      </c>
      <c r="AF5523" s="17">
        <v>45699</v>
      </c>
      <c r="AG5523" s="80"/>
      <c r="AH5523" s="80"/>
      <c r="AI5523" s="147"/>
      <c r="AJ5523" s="80"/>
      <c r="AK5523" s="80"/>
      <c r="AL5523" s="86"/>
      <c r="AM5523" s="86"/>
      <c r="AN5523" s="86"/>
      <c r="AO5523" s="86"/>
      <c r="AP5523" s="86"/>
    </row>
    <row r="5524" spans="1:42" x14ac:dyDescent="0.2">
      <c r="A5524" s="38">
        <v>45672</v>
      </c>
      <c r="B5524" s="137" t="s">
        <v>37</v>
      </c>
      <c r="C5524" s="41" t="s">
        <v>118</v>
      </c>
      <c r="D5524" s="80" t="s">
        <v>36</v>
      </c>
      <c r="E5524" s="80" t="s">
        <v>56</v>
      </c>
      <c r="F5524" s="80" t="s">
        <v>13441</v>
      </c>
      <c r="G5524" s="80" t="s">
        <v>108</v>
      </c>
      <c r="H5524" s="80" t="s">
        <v>18568</v>
      </c>
      <c r="I5524" s="17">
        <f ca="1">IFERROR(__xludf.DUMMYFUNCTION("""COMPUTED_VALUE"""),45699)</f>
        <v>45699</v>
      </c>
      <c r="J5524" s="143" t="s">
        <v>18162</v>
      </c>
      <c r="K5524" s="145" t="s">
        <v>18163</v>
      </c>
      <c r="L5524" s="30">
        <v>982945702</v>
      </c>
      <c r="M5524" s="80" t="s">
        <v>348</v>
      </c>
      <c r="N5524" s="80" t="s">
        <v>4299</v>
      </c>
      <c r="O5524" s="80" t="s">
        <v>18164</v>
      </c>
      <c r="P5524" s="80" t="s">
        <v>18165</v>
      </c>
      <c r="Q5524" s="20">
        <v>9317</v>
      </c>
      <c r="R5524" s="80" t="s">
        <v>36</v>
      </c>
      <c r="S5524" s="95">
        <v>9317</v>
      </c>
      <c r="T5524" s="148">
        <v>45620</v>
      </c>
      <c r="U5524" s="77"/>
      <c r="V5524" s="78"/>
      <c r="W5524" s="85" t="s">
        <v>18166</v>
      </c>
      <c r="X5524" s="80"/>
      <c r="Y5524" s="22">
        <v>0</v>
      </c>
      <c r="Z5524" s="81" t="s">
        <v>50</v>
      </c>
      <c r="AA5524" s="86" t="s">
        <v>14723</v>
      </c>
      <c r="AB5524" s="80"/>
      <c r="AC5524" s="80" t="s">
        <v>53</v>
      </c>
      <c r="AD5524" s="80" t="s">
        <v>138</v>
      </c>
      <c r="AE5524" s="80" t="s">
        <v>13441</v>
      </c>
      <c r="AF5524" s="17">
        <v>45699</v>
      </c>
      <c r="AG5524" s="80"/>
      <c r="AH5524" s="80"/>
      <c r="AI5524" s="147"/>
      <c r="AJ5524" s="80"/>
      <c r="AK5524" s="80"/>
      <c r="AL5524" s="86"/>
      <c r="AM5524" s="86"/>
      <c r="AN5524" s="86"/>
      <c r="AO5524" s="86"/>
      <c r="AP5524" s="86"/>
    </row>
    <row r="5525" spans="1:42" x14ac:dyDescent="0.2">
      <c r="A5525" s="38">
        <v>45672</v>
      </c>
      <c r="B5525" s="137" t="s">
        <v>37</v>
      </c>
      <c r="C5525" s="41" t="s">
        <v>118</v>
      </c>
      <c r="D5525" s="80" t="s">
        <v>36</v>
      </c>
      <c r="E5525" s="80" t="s">
        <v>139</v>
      </c>
      <c r="F5525" s="80" t="s">
        <v>13441</v>
      </c>
      <c r="G5525" s="80" t="s">
        <v>108</v>
      </c>
      <c r="H5525" s="80" t="s">
        <v>18568</v>
      </c>
      <c r="I5525" s="17">
        <f ca="1">IFERROR(__xludf.DUMMYFUNCTION("""COMPUTED_VALUE"""),45699)</f>
        <v>45699</v>
      </c>
      <c r="J5525" s="143" t="s">
        <v>18181</v>
      </c>
      <c r="K5525" s="145" t="s">
        <v>18571</v>
      </c>
      <c r="L5525" s="30">
        <v>878154318</v>
      </c>
      <c r="M5525" s="80" t="s">
        <v>59</v>
      </c>
      <c r="N5525" s="80" t="s">
        <v>11476</v>
      </c>
      <c r="O5525" s="80" t="s">
        <v>18183</v>
      </c>
      <c r="P5525" s="80" t="s">
        <v>12687</v>
      </c>
      <c r="Q5525" s="20">
        <v>15936</v>
      </c>
      <c r="R5525" s="80" t="s">
        <v>36</v>
      </c>
      <c r="S5525" s="95">
        <v>15936</v>
      </c>
      <c r="T5525" s="148">
        <v>45621</v>
      </c>
      <c r="U5525" s="77"/>
      <c r="V5525" s="78"/>
      <c r="W5525" s="85" t="s">
        <v>18184</v>
      </c>
      <c r="X5525" s="80"/>
      <c r="Y5525" s="22">
        <v>0</v>
      </c>
      <c r="Z5525" s="81" t="s">
        <v>50</v>
      </c>
      <c r="AA5525" s="82" t="s">
        <v>14723</v>
      </c>
      <c r="AB5525" s="80"/>
      <c r="AC5525" s="80" t="s">
        <v>53</v>
      </c>
      <c r="AD5525" s="80" t="s">
        <v>138</v>
      </c>
      <c r="AE5525" s="80" t="s">
        <v>13441</v>
      </c>
      <c r="AF5525" s="17">
        <v>45699</v>
      </c>
      <c r="AG5525" s="80"/>
      <c r="AH5525" s="80"/>
      <c r="AI5525" s="147"/>
      <c r="AJ5525" s="80"/>
      <c r="AK5525" s="80"/>
      <c r="AL5525" s="86"/>
      <c r="AM5525" s="86"/>
      <c r="AN5525" s="86"/>
      <c r="AO5525" s="86"/>
      <c r="AP5525" s="86"/>
    </row>
    <row r="5526" spans="1:42" x14ac:dyDescent="0.2">
      <c r="A5526" s="38">
        <v>45672</v>
      </c>
      <c r="B5526" s="137" t="s">
        <v>37</v>
      </c>
      <c r="C5526" s="41" t="s">
        <v>118</v>
      </c>
      <c r="D5526" s="80" t="s">
        <v>36</v>
      </c>
      <c r="E5526" s="80" t="s">
        <v>56</v>
      </c>
      <c r="F5526" s="80" t="s">
        <v>13441</v>
      </c>
      <c r="G5526" s="80" t="s">
        <v>108</v>
      </c>
      <c r="H5526" s="80" t="s">
        <v>18568</v>
      </c>
      <c r="I5526" s="17">
        <f ca="1">IFERROR(__xludf.DUMMYFUNCTION("""COMPUTED_VALUE"""),45699)</f>
        <v>45699</v>
      </c>
      <c r="J5526" s="143" t="s">
        <v>18200</v>
      </c>
      <c r="K5526" s="145" t="s">
        <v>18572</v>
      </c>
      <c r="L5526" s="30">
        <v>834005871</v>
      </c>
      <c r="M5526" s="80" t="s">
        <v>11413</v>
      </c>
      <c r="N5526" s="80" t="s">
        <v>1246</v>
      </c>
      <c r="O5526" s="80" t="s">
        <v>18202</v>
      </c>
      <c r="P5526" s="80" t="s">
        <v>18203</v>
      </c>
      <c r="Q5526" s="20">
        <v>9317</v>
      </c>
      <c r="R5526" s="80" t="s">
        <v>36</v>
      </c>
      <c r="S5526" s="95">
        <v>9317</v>
      </c>
      <c r="T5526" s="148">
        <v>45622</v>
      </c>
      <c r="U5526" s="77"/>
      <c r="V5526" s="78"/>
      <c r="W5526" s="85" t="s">
        <v>18204</v>
      </c>
      <c r="X5526" s="80"/>
      <c r="Y5526" s="22">
        <v>0</v>
      </c>
      <c r="Z5526" s="81" t="s">
        <v>50</v>
      </c>
      <c r="AA5526" s="86" t="s">
        <v>14723</v>
      </c>
      <c r="AB5526" s="80"/>
      <c r="AC5526" s="80" t="s">
        <v>53</v>
      </c>
      <c r="AD5526" s="80" t="s">
        <v>138</v>
      </c>
      <c r="AE5526" s="80" t="s">
        <v>13441</v>
      </c>
      <c r="AF5526" s="17">
        <v>45699</v>
      </c>
      <c r="AG5526" s="80"/>
      <c r="AH5526" s="80"/>
      <c r="AI5526" s="147"/>
      <c r="AJ5526" s="80"/>
      <c r="AK5526" s="80"/>
      <c r="AL5526" s="86"/>
      <c r="AM5526" s="86"/>
      <c r="AN5526" s="86"/>
      <c r="AO5526" s="86"/>
      <c r="AP5526" s="86"/>
    </row>
    <row r="5527" spans="1:42" x14ac:dyDescent="0.2">
      <c r="A5527" s="38">
        <v>45672</v>
      </c>
      <c r="B5527" s="137" t="s">
        <v>37</v>
      </c>
      <c r="C5527" s="41" t="s">
        <v>118</v>
      </c>
      <c r="D5527" s="80" t="s">
        <v>36</v>
      </c>
      <c r="E5527" s="80" t="s">
        <v>39</v>
      </c>
      <c r="F5527" s="80" t="s">
        <v>13441</v>
      </c>
      <c r="G5527" s="80" t="s">
        <v>108</v>
      </c>
      <c r="H5527" s="80" t="s">
        <v>13773</v>
      </c>
      <c r="I5527" s="17">
        <f ca="1">IFERROR(__xludf.DUMMYFUNCTION("""COMPUTED_VALUE"""),45699)</f>
        <v>45699</v>
      </c>
      <c r="J5527" s="143" t="s">
        <v>18220</v>
      </c>
      <c r="K5527" s="145" t="s">
        <v>18573</v>
      </c>
      <c r="L5527" s="30">
        <v>898996530</v>
      </c>
      <c r="M5527" s="80" t="s">
        <v>9422</v>
      </c>
      <c r="N5527" s="80" t="s">
        <v>7051</v>
      </c>
      <c r="O5527" s="80" t="s">
        <v>8827</v>
      </c>
      <c r="P5527" s="144" t="s">
        <v>18574</v>
      </c>
      <c r="Q5527" s="20">
        <v>5736</v>
      </c>
      <c r="R5527" s="80" t="s">
        <v>36</v>
      </c>
      <c r="S5527" s="95">
        <v>2000</v>
      </c>
      <c r="T5527" s="148">
        <v>45624</v>
      </c>
      <c r="U5527" s="95">
        <v>3736</v>
      </c>
      <c r="V5527" s="148">
        <v>45626</v>
      </c>
      <c r="W5527" s="85" t="s">
        <v>18222</v>
      </c>
      <c r="X5527" s="80"/>
      <c r="Y5527" s="22">
        <v>0</v>
      </c>
      <c r="Z5527" s="81" t="s">
        <v>50</v>
      </c>
      <c r="AA5527" s="82" t="s">
        <v>14723</v>
      </c>
      <c r="AB5527" s="80"/>
      <c r="AC5527" s="80" t="s">
        <v>53</v>
      </c>
      <c r="AD5527" s="80" t="s">
        <v>138</v>
      </c>
      <c r="AE5527" s="80" t="s">
        <v>13441</v>
      </c>
      <c r="AF5527" s="17">
        <v>45695</v>
      </c>
      <c r="AG5527" s="80"/>
      <c r="AH5527" s="80"/>
      <c r="AI5527" s="147"/>
      <c r="AJ5527" s="80"/>
      <c r="AK5527" s="80"/>
      <c r="AL5527" s="86"/>
      <c r="AM5527" s="86"/>
      <c r="AN5527" s="86"/>
      <c r="AO5527" s="86"/>
      <c r="AP5527" s="86"/>
    </row>
    <row r="5528" spans="1:42" x14ac:dyDescent="0.2">
      <c r="A5528" s="38">
        <v>45672</v>
      </c>
      <c r="B5528" s="137" t="s">
        <v>37</v>
      </c>
      <c r="C5528" s="41" t="s">
        <v>118</v>
      </c>
      <c r="D5528" s="80" t="s">
        <v>36</v>
      </c>
      <c r="E5528" s="80" t="s">
        <v>139</v>
      </c>
      <c r="F5528" s="80" t="s">
        <v>13441</v>
      </c>
      <c r="G5528" s="80" t="s">
        <v>108</v>
      </c>
      <c r="H5528" s="80" t="s">
        <v>9970</v>
      </c>
      <c r="I5528" s="17">
        <f ca="1">IFERROR(__xludf.DUMMYFUNCTION("""COMPUTED_VALUE"""),45714)</f>
        <v>45714</v>
      </c>
      <c r="J5528" s="143" t="s">
        <v>18575</v>
      </c>
      <c r="K5528" s="145" t="s">
        <v>18576</v>
      </c>
      <c r="L5528" s="30">
        <v>329423617</v>
      </c>
      <c r="M5528" s="80" t="s">
        <v>5429</v>
      </c>
      <c r="N5528" s="80" t="s">
        <v>81</v>
      </c>
      <c r="O5528" s="80" t="s">
        <v>18577</v>
      </c>
      <c r="P5528" s="80" t="s">
        <v>6368</v>
      </c>
      <c r="Q5528" s="20">
        <v>15936</v>
      </c>
      <c r="R5528" s="80" t="s">
        <v>36</v>
      </c>
      <c r="S5528" s="95">
        <v>2000</v>
      </c>
      <c r="T5528" s="148">
        <v>45602</v>
      </c>
      <c r="U5528" s="95">
        <v>13936</v>
      </c>
      <c r="V5528" s="148">
        <v>45644</v>
      </c>
      <c r="W5528" s="85" t="s">
        <v>18578</v>
      </c>
      <c r="X5528" s="80"/>
      <c r="Y5528" s="22">
        <v>0</v>
      </c>
      <c r="Z5528" s="80" t="s">
        <v>50</v>
      </c>
      <c r="AA5528" s="35" t="s">
        <v>18579</v>
      </c>
      <c r="AB5528" s="86"/>
      <c r="AC5528" s="80" t="s">
        <v>53</v>
      </c>
      <c r="AD5528" s="80" t="s">
        <v>138</v>
      </c>
      <c r="AE5528" s="80" t="s">
        <v>13441</v>
      </c>
      <c r="AF5528" s="17">
        <v>45699</v>
      </c>
      <c r="AG5528" s="80"/>
      <c r="AH5528" s="80"/>
      <c r="AI5528" s="147"/>
      <c r="AJ5528" s="80"/>
      <c r="AK5528" s="80"/>
      <c r="AL5528" s="35"/>
      <c r="AM5528" s="35"/>
      <c r="AN5528" s="35"/>
      <c r="AO5528" s="35"/>
      <c r="AP5528" s="35"/>
    </row>
    <row r="5529" spans="1:42" x14ac:dyDescent="0.2">
      <c r="A5529" s="38">
        <v>45672</v>
      </c>
      <c r="B5529" s="137" t="s">
        <v>37</v>
      </c>
      <c r="C5529" s="41" t="s">
        <v>118</v>
      </c>
      <c r="D5529" s="80" t="s">
        <v>36</v>
      </c>
      <c r="E5529" s="80" t="s">
        <v>56</v>
      </c>
      <c r="F5529" s="80" t="s">
        <v>13441</v>
      </c>
      <c r="G5529" s="80" t="s">
        <v>108</v>
      </c>
      <c r="H5529" s="80" t="s">
        <v>18568</v>
      </c>
      <c r="I5529" s="17">
        <f ca="1">IFERROR(__xludf.DUMMYFUNCTION("""COMPUTED_VALUE"""),45699)</f>
        <v>45699</v>
      </c>
      <c r="J5529" s="143" t="s">
        <v>18580</v>
      </c>
      <c r="K5529" s="80" t="s">
        <v>2255</v>
      </c>
      <c r="L5529" s="30">
        <v>914922626</v>
      </c>
      <c r="M5529" s="80" t="s">
        <v>15996</v>
      </c>
      <c r="N5529" s="80" t="s">
        <v>186</v>
      </c>
      <c r="O5529" s="80" t="s">
        <v>4503</v>
      </c>
      <c r="P5529" s="80" t="s">
        <v>3056</v>
      </c>
      <c r="Q5529" s="20">
        <v>9317</v>
      </c>
      <c r="R5529" s="80" t="s">
        <v>36</v>
      </c>
      <c r="S5529" s="95">
        <f>200+3000</f>
        <v>3200</v>
      </c>
      <c r="T5529" s="83" t="s">
        <v>18581</v>
      </c>
      <c r="U5529" s="95">
        <v>6117</v>
      </c>
      <c r="V5529" s="148">
        <v>45659</v>
      </c>
      <c r="W5529" s="85" t="s">
        <v>18582</v>
      </c>
      <c r="X5529" s="80"/>
      <c r="Y5529" s="22">
        <v>0</v>
      </c>
      <c r="Z5529" s="80" t="s">
        <v>50</v>
      </c>
      <c r="AA5529" s="82" t="s">
        <v>18583</v>
      </c>
      <c r="AB5529" s="82"/>
      <c r="AC5529" s="80" t="s">
        <v>53</v>
      </c>
      <c r="AD5529" s="80" t="s">
        <v>138</v>
      </c>
      <c r="AE5529" s="80" t="s">
        <v>13441</v>
      </c>
      <c r="AF5529" s="17">
        <v>45699</v>
      </c>
      <c r="AG5529" s="80" t="s">
        <v>7078</v>
      </c>
      <c r="AH5529" s="80"/>
      <c r="AI5529" s="147"/>
      <c r="AJ5529" s="80"/>
      <c r="AK5529" s="80"/>
      <c r="AL5529" s="35"/>
      <c r="AM5529" s="35"/>
      <c r="AN5529" s="35"/>
      <c r="AO5529" s="35"/>
      <c r="AP5529" s="35"/>
    </row>
    <row r="5530" spans="1:42" x14ac:dyDescent="0.2">
      <c r="A5530" s="126">
        <v>45477.489150081019</v>
      </c>
      <c r="B5530" s="28" t="s">
        <v>37</v>
      </c>
      <c r="C5530" s="41" t="s">
        <v>118</v>
      </c>
      <c r="D5530" s="26" t="s">
        <v>36</v>
      </c>
      <c r="E5530" s="26" t="s">
        <v>77</v>
      </c>
      <c r="F5530" s="26" t="s">
        <v>36</v>
      </c>
      <c r="G5530" s="26" t="s">
        <v>41</v>
      </c>
      <c r="H5530" s="26" t="s">
        <v>9163</v>
      </c>
      <c r="I5530" s="17">
        <f ca="1">IFERROR(__xludf.DUMMYFUNCTION("""COMPUTED_VALUE"""),45484)</f>
        <v>45484</v>
      </c>
      <c r="J5530" s="29" t="s">
        <v>18584</v>
      </c>
      <c r="K5530" s="26" t="s">
        <v>18585</v>
      </c>
      <c r="L5530" s="30">
        <v>356186562</v>
      </c>
      <c r="M5530" s="26" t="s">
        <v>3728</v>
      </c>
      <c r="N5530" s="26" t="s">
        <v>8725</v>
      </c>
      <c r="O5530" s="26" t="s">
        <v>18586</v>
      </c>
      <c r="P5530" s="26" t="s">
        <v>18587</v>
      </c>
      <c r="Q5530" s="20">
        <v>1968</v>
      </c>
      <c r="R5530" s="26" t="s">
        <v>36</v>
      </c>
      <c r="S5530" s="95">
        <f t="shared" ref="S5530:S5531" si="144">200+1800</f>
        <v>2000</v>
      </c>
      <c r="T5530" s="83" t="s">
        <v>18588</v>
      </c>
      <c r="U5530" s="31"/>
      <c r="V5530" s="32"/>
      <c r="W5530" s="33" t="s">
        <v>18589</v>
      </c>
      <c r="X5530" s="26"/>
      <c r="Y5530" s="22">
        <v>-32</v>
      </c>
      <c r="Z5530" s="26" t="s">
        <v>50</v>
      </c>
      <c r="AA5530" s="35" t="s">
        <v>18579</v>
      </c>
      <c r="AB5530" s="35"/>
      <c r="AC5530" s="26" t="s">
        <v>53</v>
      </c>
      <c r="AD5530" s="26" t="s">
        <v>54</v>
      </c>
      <c r="AE5530" s="26"/>
      <c r="AF5530" s="17">
        <v>45482</v>
      </c>
      <c r="AG5530" s="26"/>
      <c r="AH5530" s="26"/>
      <c r="AI5530" s="40"/>
      <c r="AJ5530" s="26"/>
      <c r="AK5530" s="26"/>
      <c r="AL5530" s="35"/>
      <c r="AM5530" s="35"/>
      <c r="AN5530" s="35"/>
      <c r="AO5530" s="35"/>
      <c r="AP5530" s="35"/>
    </row>
    <row r="5531" spans="1:42" x14ac:dyDescent="0.2">
      <c r="A5531" s="126">
        <v>45479.876082210649</v>
      </c>
      <c r="B5531" s="137" t="s">
        <v>37</v>
      </c>
      <c r="C5531" s="41" t="s">
        <v>118</v>
      </c>
      <c r="D5531" s="26" t="s">
        <v>36</v>
      </c>
      <c r="E5531" s="26" t="s">
        <v>139</v>
      </c>
      <c r="F5531" s="26" t="s">
        <v>36</v>
      </c>
      <c r="G5531" s="26" t="s">
        <v>41</v>
      </c>
      <c r="H5531" s="26" t="s">
        <v>13283</v>
      </c>
      <c r="I5531" s="17">
        <f ca="1">IFERROR(__xludf.DUMMYFUNCTION("""COMPUTED_VALUE"""),45631)</f>
        <v>45631</v>
      </c>
      <c r="J5531" s="29" t="s">
        <v>18590</v>
      </c>
      <c r="K5531" s="26" t="s">
        <v>18591</v>
      </c>
      <c r="L5531" s="30">
        <v>963699566</v>
      </c>
      <c r="M5531" s="26" t="s">
        <v>59</v>
      </c>
      <c r="N5531" s="26" t="s">
        <v>68</v>
      </c>
      <c r="O5531" s="26" t="s">
        <v>18592</v>
      </c>
      <c r="P5531" s="26" t="s">
        <v>18593</v>
      </c>
      <c r="Q5531" s="20">
        <v>15936</v>
      </c>
      <c r="R5531" s="26" t="s">
        <v>36</v>
      </c>
      <c r="S5531" s="95">
        <f t="shared" si="144"/>
        <v>2000</v>
      </c>
      <c r="T5531" s="83" t="s">
        <v>18594</v>
      </c>
      <c r="U5531" s="31">
        <v>13936</v>
      </c>
      <c r="V5531" s="32">
        <v>45657</v>
      </c>
      <c r="W5531" s="33" t="s">
        <v>18595</v>
      </c>
      <c r="X5531" s="26"/>
      <c r="Y5531" s="22">
        <v>0</v>
      </c>
      <c r="Z5531" s="26" t="s">
        <v>50</v>
      </c>
      <c r="AA5531" s="96" t="s">
        <v>18579</v>
      </c>
      <c r="AB5531" s="96"/>
      <c r="AC5531" s="26" t="s">
        <v>53</v>
      </c>
      <c r="AD5531" s="26" t="s">
        <v>54</v>
      </c>
      <c r="AE5531" s="26"/>
      <c r="AF5531" s="17">
        <v>45631</v>
      </c>
      <c r="AG5531" s="60" t="s">
        <v>18596</v>
      </c>
      <c r="AH5531" s="26"/>
      <c r="AI5531" s="40"/>
      <c r="AJ5531" s="26"/>
      <c r="AK5531" s="26"/>
      <c r="AL5531" s="35"/>
      <c r="AM5531" s="35"/>
      <c r="AN5531" s="35"/>
      <c r="AO5531" s="35"/>
      <c r="AP5531" s="35"/>
    </row>
    <row r="5532" spans="1:42" x14ac:dyDescent="0.2">
      <c r="A5532" s="126">
        <v>45483.871611493058</v>
      </c>
      <c r="B5532" s="28" t="s">
        <v>37</v>
      </c>
      <c r="C5532" s="41" t="s">
        <v>118</v>
      </c>
      <c r="D5532" s="26" t="s">
        <v>36</v>
      </c>
      <c r="E5532" s="26" t="s">
        <v>77</v>
      </c>
      <c r="F5532" s="26" t="s">
        <v>40</v>
      </c>
      <c r="G5532" s="26" t="s">
        <v>41</v>
      </c>
      <c r="H5532" s="26" t="s">
        <v>12766</v>
      </c>
      <c r="I5532" s="17">
        <f ca="1">IFERROR(__xludf.DUMMYFUNCTION("""COMPUTED_VALUE"""),45555)</f>
        <v>45555</v>
      </c>
      <c r="J5532" s="29" t="s">
        <v>18597</v>
      </c>
      <c r="K5532" s="26" t="s">
        <v>18598</v>
      </c>
      <c r="L5532" s="30">
        <v>374486841</v>
      </c>
      <c r="M5532" s="26" t="s">
        <v>5429</v>
      </c>
      <c r="N5532" s="26" t="s">
        <v>1384</v>
      </c>
      <c r="O5532" s="26" t="s">
        <v>18599</v>
      </c>
      <c r="P5532" s="26" t="s">
        <v>12597</v>
      </c>
      <c r="Q5532" s="20">
        <v>1968</v>
      </c>
      <c r="R5532" s="26" t="s">
        <v>36</v>
      </c>
      <c r="S5532" s="95">
        <f>500+1500</f>
        <v>2000</v>
      </c>
      <c r="T5532" s="83" t="s">
        <v>18600</v>
      </c>
      <c r="U5532" s="31"/>
      <c r="V5532" s="32"/>
      <c r="W5532" s="33" t="s">
        <v>18601</v>
      </c>
      <c r="X5532" s="26"/>
      <c r="Y5532" s="22">
        <v>-32</v>
      </c>
      <c r="Z5532" s="26" t="s">
        <v>50</v>
      </c>
      <c r="AA5532" s="35" t="s">
        <v>18579</v>
      </c>
      <c r="AB5532" s="35"/>
      <c r="AC5532" s="26" t="s">
        <v>53</v>
      </c>
      <c r="AD5532" s="26" t="s">
        <v>138</v>
      </c>
      <c r="AE5532" s="26" t="s">
        <v>430</v>
      </c>
      <c r="AF5532" s="17">
        <v>45551</v>
      </c>
      <c r="AG5532" s="26" t="s">
        <v>7078</v>
      </c>
      <c r="AH5532" s="26"/>
      <c r="AI5532" s="40"/>
      <c r="AJ5532" s="26"/>
      <c r="AK5532" s="26"/>
      <c r="AL5532" s="35"/>
      <c r="AM5532" s="35"/>
      <c r="AN5532" s="35"/>
      <c r="AO5532" s="35"/>
      <c r="AP5532" s="35"/>
    </row>
    <row r="5533" spans="1:42" x14ac:dyDescent="0.2">
      <c r="A5533" s="126">
        <v>45498.338875821762</v>
      </c>
      <c r="B5533" s="28" t="s">
        <v>37</v>
      </c>
      <c r="C5533" s="41" t="s">
        <v>118</v>
      </c>
      <c r="D5533" s="80" t="s">
        <v>36</v>
      </c>
      <c r="E5533" s="80" t="s">
        <v>77</v>
      </c>
      <c r="F5533" s="80" t="s">
        <v>36</v>
      </c>
      <c r="G5533" s="80" t="s">
        <v>41</v>
      </c>
      <c r="H5533" s="80" t="s">
        <v>10999</v>
      </c>
      <c r="I5533" s="17">
        <f ca="1">IFERROR(__xludf.DUMMYFUNCTION("""COMPUTED_VALUE"""),45506)</f>
        <v>45506</v>
      </c>
      <c r="J5533" s="143" t="s">
        <v>18602</v>
      </c>
      <c r="K5533" s="80" t="s">
        <v>18603</v>
      </c>
      <c r="L5533" s="30">
        <v>377418880</v>
      </c>
      <c r="M5533" s="80" t="s">
        <v>112</v>
      </c>
      <c r="N5533" s="80" t="s">
        <v>1673</v>
      </c>
      <c r="O5533" s="80" t="s">
        <v>18604</v>
      </c>
      <c r="P5533" s="144" t="s">
        <v>18605</v>
      </c>
      <c r="Q5533" s="20">
        <v>1968</v>
      </c>
      <c r="R5533" s="80" t="s">
        <v>36</v>
      </c>
      <c r="S5533" s="95">
        <v>2968</v>
      </c>
      <c r="T5533" s="148">
        <v>45497</v>
      </c>
      <c r="U5533" s="77"/>
      <c r="V5533" s="78"/>
      <c r="W5533" s="85" t="s">
        <v>18606</v>
      </c>
      <c r="X5533" s="80"/>
      <c r="Y5533" s="22">
        <v>-1000</v>
      </c>
      <c r="Z5533" s="80" t="s">
        <v>50</v>
      </c>
      <c r="AA5533" s="96" t="s">
        <v>18579</v>
      </c>
      <c r="AB5533" s="82"/>
      <c r="AC5533" s="80" t="s">
        <v>53</v>
      </c>
      <c r="AD5533" s="80" t="s">
        <v>54</v>
      </c>
      <c r="AE5533" s="83">
        <v>40</v>
      </c>
      <c r="AF5533" s="17">
        <v>45499</v>
      </c>
      <c r="AG5533" s="80" t="s">
        <v>7078</v>
      </c>
      <c r="AH5533" s="80"/>
      <c r="AI5533" s="147"/>
      <c r="AJ5533" s="80"/>
      <c r="AK5533" s="80"/>
      <c r="AL5533" s="35"/>
      <c r="AM5533" s="35"/>
      <c r="AN5533" s="35"/>
      <c r="AO5533" s="35"/>
      <c r="AP5533" s="35"/>
    </row>
    <row r="5534" spans="1:42" x14ac:dyDescent="0.2">
      <c r="A5534" s="126">
        <v>45519.874442395834</v>
      </c>
      <c r="B5534" s="137" t="s">
        <v>37</v>
      </c>
      <c r="C5534" s="41" t="s">
        <v>118</v>
      </c>
      <c r="D5534" s="80" t="s">
        <v>36</v>
      </c>
      <c r="E5534" s="80" t="s">
        <v>139</v>
      </c>
      <c r="F5534" s="80" t="s">
        <v>36</v>
      </c>
      <c r="G5534" s="80" t="s">
        <v>41</v>
      </c>
      <c r="H5534" s="80" t="s">
        <v>14051</v>
      </c>
      <c r="I5534" s="17">
        <f ca="1">IFERROR(__xludf.DUMMYFUNCTION("""COMPUTED_VALUE"""),45615)</f>
        <v>45615</v>
      </c>
      <c r="J5534" s="172" t="s">
        <v>18607</v>
      </c>
      <c r="K5534" s="80" t="s">
        <v>18608</v>
      </c>
      <c r="L5534" s="30">
        <v>386249855</v>
      </c>
      <c r="M5534" s="80" t="s">
        <v>59</v>
      </c>
      <c r="N5534" s="80" t="s">
        <v>68</v>
      </c>
      <c r="O5534" s="80" t="s">
        <v>18609</v>
      </c>
      <c r="P5534" s="80" t="s">
        <v>18610</v>
      </c>
      <c r="Q5534" s="20">
        <v>15936</v>
      </c>
      <c r="R5534" s="80" t="s">
        <v>36</v>
      </c>
      <c r="S5534" s="168">
        <f>200+2000</f>
        <v>2200</v>
      </c>
      <c r="T5534" s="83" t="s">
        <v>18611</v>
      </c>
      <c r="U5534" s="95">
        <v>13736</v>
      </c>
      <c r="V5534" s="148">
        <v>45629</v>
      </c>
      <c r="W5534" s="85" t="s">
        <v>18612</v>
      </c>
      <c r="X5534" s="80"/>
      <c r="Y5534" s="22">
        <v>0</v>
      </c>
      <c r="Z5534" s="80" t="s">
        <v>50</v>
      </c>
      <c r="AA5534" s="35" t="s">
        <v>18579</v>
      </c>
      <c r="AB5534" s="86"/>
      <c r="AC5534" s="80" t="s">
        <v>53</v>
      </c>
      <c r="AD5534" s="80" t="s">
        <v>138</v>
      </c>
      <c r="AE5534" s="80"/>
      <c r="AF5534" s="43">
        <v>45615</v>
      </c>
      <c r="AG5534" s="80"/>
      <c r="AH5534" s="80"/>
      <c r="AI5534" s="147"/>
      <c r="AJ5534" s="80"/>
      <c r="AK5534" s="80"/>
      <c r="AL5534" s="35"/>
      <c r="AM5534" s="35"/>
      <c r="AN5534" s="35"/>
      <c r="AO5534" s="35"/>
      <c r="AP5534" s="35"/>
    </row>
    <row r="5535" spans="1:42" x14ac:dyDescent="0.2">
      <c r="A5535" s="126">
        <v>45527.353217476848</v>
      </c>
      <c r="B5535" s="137" t="s">
        <v>37</v>
      </c>
      <c r="C5535" s="41" t="s">
        <v>118</v>
      </c>
      <c r="D5535" s="80" t="s">
        <v>36</v>
      </c>
      <c r="E5535" s="80" t="s">
        <v>139</v>
      </c>
      <c r="F5535" s="80" t="s">
        <v>36</v>
      </c>
      <c r="G5535" s="80" t="s">
        <v>41</v>
      </c>
      <c r="H5535" s="80" t="s">
        <v>17752</v>
      </c>
      <c r="I5535" s="17">
        <f ca="1">IFERROR(__xludf.DUMMYFUNCTION("""COMPUTED_VALUE"""),45618)</f>
        <v>45618</v>
      </c>
      <c r="J5535" s="143" t="s">
        <v>18488</v>
      </c>
      <c r="K5535" s="80" t="s">
        <v>18613</v>
      </c>
      <c r="L5535" s="30">
        <v>333515341</v>
      </c>
      <c r="M5535" s="80" t="s">
        <v>123</v>
      </c>
      <c r="N5535" s="80" t="s">
        <v>2847</v>
      </c>
      <c r="O5535" s="80" t="s">
        <v>4503</v>
      </c>
      <c r="P5535" s="80" t="s">
        <v>3694</v>
      </c>
      <c r="Q5535" s="20">
        <v>15936</v>
      </c>
      <c r="R5535" s="80" t="s">
        <v>36</v>
      </c>
      <c r="S5535" s="95">
        <f t="shared" ref="S5535:S5536" si="145">200+1800</f>
        <v>2000</v>
      </c>
      <c r="T5535" s="83" t="s">
        <v>18490</v>
      </c>
      <c r="U5535" s="95">
        <v>13936</v>
      </c>
      <c r="V5535" s="153">
        <v>45635</v>
      </c>
      <c r="W5535" s="85" t="s">
        <v>18491</v>
      </c>
      <c r="X5535" s="80"/>
      <c r="Y5535" s="22">
        <v>0</v>
      </c>
      <c r="Z5535" s="80" t="s">
        <v>50</v>
      </c>
      <c r="AA5535" s="96" t="s">
        <v>18579</v>
      </c>
      <c r="AB5535" s="82"/>
      <c r="AC5535" s="80" t="s">
        <v>53</v>
      </c>
      <c r="AD5535" s="80" t="s">
        <v>138</v>
      </c>
      <c r="AE5535" s="80"/>
      <c r="AF5535" s="43">
        <v>45618</v>
      </c>
      <c r="AG5535" s="80" t="s">
        <v>16677</v>
      </c>
      <c r="AH5535" s="80"/>
      <c r="AI5535" s="147"/>
      <c r="AJ5535" s="80"/>
      <c r="AK5535" s="80"/>
      <c r="AL5535" s="35"/>
      <c r="AM5535" s="35"/>
      <c r="AN5535" s="35"/>
      <c r="AO5535" s="35"/>
      <c r="AP5535" s="35"/>
    </row>
    <row r="5536" spans="1:42" x14ac:dyDescent="0.2">
      <c r="A5536" s="126">
        <v>45530.618312303239</v>
      </c>
      <c r="B5536" s="137" t="s">
        <v>37</v>
      </c>
      <c r="C5536" s="41" t="s">
        <v>118</v>
      </c>
      <c r="D5536" s="80" t="s">
        <v>36</v>
      </c>
      <c r="E5536" s="26" t="s">
        <v>77</v>
      </c>
      <c r="F5536" s="80" t="s">
        <v>40</v>
      </c>
      <c r="G5536" s="80" t="s">
        <v>41</v>
      </c>
      <c r="H5536" s="80" t="s">
        <v>11347</v>
      </c>
      <c r="I5536" s="17">
        <f ca="1">IFERROR(__xludf.DUMMYFUNCTION("""COMPUTED_VALUE"""),45551)</f>
        <v>45551</v>
      </c>
      <c r="J5536" s="143" t="s">
        <v>18614</v>
      </c>
      <c r="K5536" s="80" t="s">
        <v>18615</v>
      </c>
      <c r="L5536" s="30">
        <v>337161856</v>
      </c>
      <c r="M5536" s="80" t="s">
        <v>3728</v>
      </c>
      <c r="N5536" s="80" t="s">
        <v>260</v>
      </c>
      <c r="O5536" s="80" t="s">
        <v>18616</v>
      </c>
      <c r="P5536" s="80" t="s">
        <v>11644</v>
      </c>
      <c r="Q5536" s="20">
        <v>1968</v>
      </c>
      <c r="R5536" s="80" t="s">
        <v>1989</v>
      </c>
      <c r="S5536" s="95">
        <f t="shared" si="145"/>
        <v>2000</v>
      </c>
      <c r="T5536" s="83" t="s">
        <v>12458</v>
      </c>
      <c r="U5536" s="77"/>
      <c r="V5536" s="78"/>
      <c r="W5536" s="85" t="s">
        <v>18617</v>
      </c>
      <c r="X5536" s="80"/>
      <c r="Y5536" s="22">
        <v>-32</v>
      </c>
      <c r="Z5536" s="80" t="s">
        <v>50</v>
      </c>
      <c r="AA5536" s="35" t="s">
        <v>18579</v>
      </c>
      <c r="AB5536" s="86"/>
      <c r="AC5536" s="80" t="s">
        <v>53</v>
      </c>
      <c r="AD5536" s="80" t="s">
        <v>138</v>
      </c>
      <c r="AE5536" s="80"/>
      <c r="AF5536" s="17">
        <v>45551</v>
      </c>
      <c r="AG5536" s="80"/>
      <c r="AH5536" s="80"/>
      <c r="AI5536" s="147"/>
      <c r="AJ5536" s="80"/>
      <c r="AK5536" s="80"/>
      <c r="AL5536" s="35"/>
      <c r="AM5536" s="35"/>
      <c r="AN5536" s="35"/>
      <c r="AO5536" s="35"/>
      <c r="AP5536" s="35"/>
    </row>
    <row r="5537" spans="1:42" x14ac:dyDescent="0.2">
      <c r="A5537" s="126">
        <v>45531.003263043982</v>
      </c>
      <c r="B5537" s="137" t="s">
        <v>37</v>
      </c>
      <c r="C5537" s="41" t="s">
        <v>118</v>
      </c>
      <c r="D5537" s="80" t="s">
        <v>36</v>
      </c>
      <c r="E5537" s="80" t="s">
        <v>106</v>
      </c>
      <c r="F5537" s="26" t="s">
        <v>36</v>
      </c>
      <c r="G5537" s="26" t="s">
        <v>108</v>
      </c>
      <c r="H5537" s="80" t="s">
        <v>9825</v>
      </c>
      <c r="I5537" s="17">
        <f ca="1">IFERROR(__xludf.DUMMYFUNCTION("""COMPUTED_VALUE"""),45548)</f>
        <v>45548</v>
      </c>
      <c r="J5537" s="143" t="s">
        <v>18618</v>
      </c>
      <c r="K5537" s="80" t="s">
        <v>18619</v>
      </c>
      <c r="L5537" s="30">
        <v>865347204</v>
      </c>
      <c r="M5537" s="80" t="s">
        <v>5518</v>
      </c>
      <c r="N5537" s="80" t="s">
        <v>5252</v>
      </c>
      <c r="O5537" s="80" t="s">
        <v>18620</v>
      </c>
      <c r="P5537" s="80" t="s">
        <v>18621</v>
      </c>
      <c r="Q5537" s="20">
        <v>3768</v>
      </c>
      <c r="R5537" s="80" t="s">
        <v>36</v>
      </c>
      <c r="S5537" s="95">
        <f>200+4000</f>
        <v>4200</v>
      </c>
      <c r="T5537" s="83" t="s">
        <v>18622</v>
      </c>
      <c r="U5537" s="77"/>
      <c r="V5537" s="78"/>
      <c r="W5537" s="85" t="s">
        <v>18623</v>
      </c>
      <c r="X5537" s="80"/>
      <c r="Y5537" s="22">
        <v>-432</v>
      </c>
      <c r="Z5537" s="80" t="s">
        <v>50</v>
      </c>
      <c r="AA5537" s="96" t="s">
        <v>18579</v>
      </c>
      <c r="AB5537" s="82"/>
      <c r="AC5537" s="80" t="s">
        <v>53</v>
      </c>
      <c r="AD5537" s="80" t="s">
        <v>138</v>
      </c>
      <c r="AE5537" s="83">
        <v>500</v>
      </c>
      <c r="AF5537" s="17">
        <v>45548</v>
      </c>
      <c r="AG5537" s="26" t="s">
        <v>18624</v>
      </c>
      <c r="AH5537" s="80"/>
      <c r="AI5537" s="147"/>
      <c r="AJ5537" s="80"/>
      <c r="AK5537" s="80"/>
      <c r="AL5537" s="35"/>
      <c r="AM5537" s="35"/>
      <c r="AN5537" s="35"/>
      <c r="AO5537" s="35"/>
      <c r="AP5537" s="35"/>
    </row>
    <row r="5538" spans="1:42" x14ac:dyDescent="0.2">
      <c r="A5538" s="126">
        <v>45552.80348584491</v>
      </c>
      <c r="B5538" s="137" t="s">
        <v>37</v>
      </c>
      <c r="C5538" s="41" t="s">
        <v>118</v>
      </c>
      <c r="D5538" s="80" t="s">
        <v>36</v>
      </c>
      <c r="E5538" s="80" t="s">
        <v>77</v>
      </c>
      <c r="F5538" s="80" t="s">
        <v>36</v>
      </c>
      <c r="G5538" s="80" t="s">
        <v>41</v>
      </c>
      <c r="H5538" s="80" t="s">
        <v>18625</v>
      </c>
      <c r="I5538" s="17" t="str">
        <f ca="1">IFERROR(__xludf.DUMMYFUNCTION("""COMPUTED_VALUE""")," ")</f>
        <v xml:space="preserve"> </v>
      </c>
      <c r="J5538" s="143" t="s">
        <v>18626</v>
      </c>
      <c r="K5538" s="80" t="s">
        <v>18627</v>
      </c>
      <c r="L5538" s="30">
        <v>378729596</v>
      </c>
      <c r="M5538" s="80" t="s">
        <v>12529</v>
      </c>
      <c r="N5538" s="80" t="s">
        <v>466</v>
      </c>
      <c r="O5538" s="80" t="s">
        <v>3098</v>
      </c>
      <c r="P5538" s="80" t="s">
        <v>3178</v>
      </c>
      <c r="Q5538" s="20">
        <v>1968</v>
      </c>
      <c r="R5538" s="80" t="s">
        <v>36</v>
      </c>
      <c r="S5538" s="95">
        <f>200+1800</f>
        <v>2000</v>
      </c>
      <c r="T5538" s="83" t="s">
        <v>13271</v>
      </c>
      <c r="U5538" s="77"/>
      <c r="V5538" s="78"/>
      <c r="W5538" s="85" t="s">
        <v>18628</v>
      </c>
      <c r="X5538" s="80"/>
      <c r="Y5538" s="22">
        <v>-32</v>
      </c>
      <c r="Z5538" s="80" t="s">
        <v>50</v>
      </c>
      <c r="AA5538" s="35" t="s">
        <v>18579</v>
      </c>
      <c r="AB5538" s="86"/>
      <c r="AC5538" s="80" t="s">
        <v>53</v>
      </c>
      <c r="AD5538" s="80" t="s">
        <v>138</v>
      </c>
      <c r="AE5538" s="83">
        <v>0</v>
      </c>
      <c r="AF5538" s="17">
        <v>45297</v>
      </c>
      <c r="AG5538" s="80" t="s">
        <v>18629</v>
      </c>
      <c r="AH5538" s="80"/>
      <c r="AI5538" s="147"/>
      <c r="AJ5538" s="80"/>
      <c r="AK5538" s="80"/>
      <c r="AL5538" s="35"/>
      <c r="AM5538" s="35"/>
      <c r="AN5538" s="35"/>
      <c r="AO5538" s="35"/>
      <c r="AP5538" s="35"/>
    </row>
    <row r="5539" spans="1:42" x14ac:dyDescent="0.2">
      <c r="A5539" s="126">
        <v>45554.851528726853</v>
      </c>
      <c r="B5539" s="137" t="s">
        <v>37</v>
      </c>
      <c r="C5539" s="41" t="s">
        <v>118</v>
      </c>
      <c r="D5539" s="80" t="s">
        <v>36</v>
      </c>
      <c r="E5539" s="80" t="s">
        <v>119</v>
      </c>
      <c r="F5539" s="80" t="s">
        <v>36</v>
      </c>
      <c r="G5539" s="80" t="s">
        <v>108</v>
      </c>
      <c r="H5539" s="80" t="s">
        <v>14073</v>
      </c>
      <c r="I5539" s="17">
        <f ca="1">IFERROR(__xludf.DUMMYFUNCTION("""COMPUTED_VALUE"""),45615)</f>
        <v>45615</v>
      </c>
      <c r="J5539" s="143" t="s">
        <v>18630</v>
      </c>
      <c r="K5539" s="80" t="s">
        <v>18631</v>
      </c>
      <c r="L5539" s="30">
        <v>372091394</v>
      </c>
      <c r="M5539" s="80" t="s">
        <v>12644</v>
      </c>
      <c r="N5539" s="80" t="s">
        <v>8725</v>
      </c>
      <c r="O5539" s="80" t="s">
        <v>18632</v>
      </c>
      <c r="P5539" s="80" t="s">
        <v>18633</v>
      </c>
      <c r="Q5539" s="20">
        <v>13968</v>
      </c>
      <c r="R5539" s="80" t="s">
        <v>36</v>
      </c>
      <c r="S5539" s="95">
        <v>4000</v>
      </c>
      <c r="T5539" s="148">
        <v>45554</v>
      </c>
      <c r="U5539" s="95">
        <v>9968</v>
      </c>
      <c r="V5539" s="148">
        <v>45634</v>
      </c>
      <c r="W5539" s="85" t="s">
        <v>18634</v>
      </c>
      <c r="X5539" s="80"/>
      <c r="Y5539" s="22">
        <v>0</v>
      </c>
      <c r="Z5539" s="80" t="s">
        <v>50</v>
      </c>
      <c r="AA5539" s="96" t="s">
        <v>18579</v>
      </c>
      <c r="AB5539" s="82"/>
      <c r="AC5539" s="80" t="s">
        <v>53</v>
      </c>
      <c r="AD5539" s="80" t="s">
        <v>138</v>
      </c>
      <c r="AE5539" s="80" t="s">
        <v>18635</v>
      </c>
      <c r="AF5539" s="43">
        <v>45576</v>
      </c>
      <c r="AG5539" s="80" t="s">
        <v>12541</v>
      </c>
      <c r="AH5539" s="80"/>
      <c r="AI5539" s="147"/>
      <c r="AJ5539" s="80"/>
      <c r="AK5539" s="80"/>
      <c r="AL5539" s="35"/>
      <c r="AM5539" s="35"/>
      <c r="AN5539" s="35"/>
      <c r="AO5539" s="35"/>
      <c r="AP5539" s="35"/>
    </row>
    <row r="5540" spans="1:42" x14ac:dyDescent="0.2">
      <c r="A5540" s="126">
        <v>45556.764899699076</v>
      </c>
      <c r="B5540" s="137" t="s">
        <v>37</v>
      </c>
      <c r="C5540" s="41" t="s">
        <v>118</v>
      </c>
      <c r="D5540" s="80" t="s">
        <v>36</v>
      </c>
      <c r="E5540" s="80" t="s">
        <v>77</v>
      </c>
      <c r="F5540" s="80" t="s">
        <v>36</v>
      </c>
      <c r="G5540" s="80" t="s">
        <v>41</v>
      </c>
      <c r="H5540" s="80" t="s">
        <v>18110</v>
      </c>
      <c r="I5540" s="17">
        <f ca="1">IFERROR(__xludf.DUMMYFUNCTION("""COMPUTED_VALUE"""),45630)</f>
        <v>45630</v>
      </c>
      <c r="J5540" s="143" t="s">
        <v>18636</v>
      </c>
      <c r="K5540" s="80" t="s">
        <v>18637</v>
      </c>
      <c r="L5540" s="30">
        <v>964178498</v>
      </c>
      <c r="M5540" s="80" t="s">
        <v>910</v>
      </c>
      <c r="N5540" s="80" t="s">
        <v>3525</v>
      </c>
      <c r="O5540" s="80" t="s">
        <v>18638</v>
      </c>
      <c r="P5540" s="80" t="s">
        <v>18639</v>
      </c>
      <c r="Q5540" s="20">
        <v>1968</v>
      </c>
      <c r="R5540" s="80" t="s">
        <v>36</v>
      </c>
      <c r="S5540" s="95">
        <f t="shared" ref="S5540:S5541" si="146">200+1800</f>
        <v>2000</v>
      </c>
      <c r="T5540" s="83" t="s">
        <v>18640</v>
      </c>
      <c r="U5540" s="77"/>
      <c r="V5540" s="78"/>
      <c r="W5540" s="85" t="s">
        <v>18641</v>
      </c>
      <c r="X5540" s="80"/>
      <c r="Y5540" s="22">
        <v>-32</v>
      </c>
      <c r="Z5540" s="80" t="s">
        <v>50</v>
      </c>
      <c r="AA5540" s="35" t="s">
        <v>18579</v>
      </c>
      <c r="AB5540" s="86"/>
      <c r="AC5540" s="80" t="s">
        <v>53</v>
      </c>
      <c r="AD5540" s="80" t="s">
        <v>54</v>
      </c>
      <c r="AE5540" s="80"/>
      <c r="AF5540" s="17">
        <v>45628</v>
      </c>
      <c r="AG5540" s="80"/>
      <c r="AH5540" s="80"/>
      <c r="AI5540" s="147"/>
      <c r="AJ5540" s="80"/>
      <c r="AK5540" s="80"/>
      <c r="AL5540" s="35"/>
      <c r="AM5540" s="35"/>
      <c r="AN5540" s="35"/>
      <c r="AO5540" s="35"/>
      <c r="AP5540" s="35"/>
    </row>
    <row r="5541" spans="1:42" x14ac:dyDescent="0.2">
      <c r="A5541" s="126">
        <v>45556.855516030089</v>
      </c>
      <c r="B5541" s="137" t="s">
        <v>37</v>
      </c>
      <c r="C5541" s="41" t="s">
        <v>118</v>
      </c>
      <c r="D5541" s="80" t="s">
        <v>36</v>
      </c>
      <c r="E5541" s="80" t="s">
        <v>77</v>
      </c>
      <c r="F5541" s="80" t="s">
        <v>40</v>
      </c>
      <c r="G5541" s="80" t="s">
        <v>41</v>
      </c>
      <c r="H5541" s="80" t="s">
        <v>13301</v>
      </c>
      <c r="I5541" s="17">
        <f ca="1">IFERROR(__xludf.DUMMYFUNCTION("""COMPUTED_VALUE"""),45566)</f>
        <v>45566</v>
      </c>
      <c r="J5541" s="143" t="s">
        <v>18642</v>
      </c>
      <c r="K5541" s="80" t="s">
        <v>18643</v>
      </c>
      <c r="L5541" s="30">
        <v>889424558</v>
      </c>
      <c r="M5541" s="80" t="s">
        <v>12529</v>
      </c>
      <c r="N5541" s="80" t="s">
        <v>13566</v>
      </c>
      <c r="O5541" s="80" t="s">
        <v>18644</v>
      </c>
      <c r="P5541" s="80" t="s">
        <v>18645</v>
      </c>
      <c r="Q5541" s="20">
        <v>1968</v>
      </c>
      <c r="R5541" s="80" t="s">
        <v>36</v>
      </c>
      <c r="S5541" s="95">
        <f t="shared" si="146"/>
        <v>2000</v>
      </c>
      <c r="T5541" s="83" t="s">
        <v>18646</v>
      </c>
      <c r="U5541" s="77"/>
      <c r="V5541" s="78"/>
      <c r="W5541" s="85" t="s">
        <v>18647</v>
      </c>
      <c r="X5541" s="80"/>
      <c r="Y5541" s="22">
        <v>-32</v>
      </c>
      <c r="Z5541" s="80" t="s">
        <v>50</v>
      </c>
      <c r="AA5541" s="96" t="s">
        <v>18579</v>
      </c>
      <c r="AB5541" s="82"/>
      <c r="AC5541" s="80" t="s">
        <v>53</v>
      </c>
      <c r="AD5541" s="80" t="s">
        <v>138</v>
      </c>
      <c r="AE5541" s="80"/>
      <c r="AF5541" s="17">
        <v>45566</v>
      </c>
      <c r="AG5541" s="80" t="s">
        <v>7078</v>
      </c>
      <c r="AH5541" s="80"/>
      <c r="AI5541" s="147"/>
      <c r="AJ5541" s="80"/>
      <c r="AK5541" s="80"/>
      <c r="AL5541" s="35"/>
      <c r="AM5541" s="35"/>
      <c r="AN5541" s="35"/>
      <c r="AO5541" s="35"/>
      <c r="AP5541" s="35"/>
    </row>
    <row r="5542" spans="1:42" x14ac:dyDescent="0.2">
      <c r="A5542" s="126">
        <v>45557.458297939811</v>
      </c>
      <c r="B5542" s="137" t="s">
        <v>37</v>
      </c>
      <c r="C5542" s="41" t="s">
        <v>118</v>
      </c>
      <c r="D5542" s="80" t="s">
        <v>36</v>
      </c>
      <c r="E5542" s="80" t="s">
        <v>77</v>
      </c>
      <c r="F5542" s="80" t="s">
        <v>36</v>
      </c>
      <c r="G5542" s="80" t="s">
        <v>41</v>
      </c>
      <c r="H5542" s="80" t="s">
        <v>13186</v>
      </c>
      <c r="I5542" s="17">
        <f ca="1">IFERROR(__xludf.DUMMYFUNCTION("""COMPUTED_VALUE"""),45561)</f>
        <v>45561</v>
      </c>
      <c r="J5542" s="143" t="s">
        <v>18648</v>
      </c>
      <c r="K5542" s="80" t="s">
        <v>18649</v>
      </c>
      <c r="L5542" s="30">
        <v>356219783</v>
      </c>
      <c r="M5542" s="80" t="s">
        <v>12644</v>
      </c>
      <c r="N5542" s="80" t="s">
        <v>8725</v>
      </c>
      <c r="O5542" s="80" t="s">
        <v>18650</v>
      </c>
      <c r="P5542" s="80" t="s">
        <v>18651</v>
      </c>
      <c r="Q5542" s="20">
        <v>1968</v>
      </c>
      <c r="R5542" s="80" t="s">
        <v>36</v>
      </c>
      <c r="S5542" s="95">
        <v>2000</v>
      </c>
      <c r="T5542" s="148">
        <v>45557</v>
      </c>
      <c r="U5542" s="77"/>
      <c r="V5542" s="78"/>
      <c r="W5542" s="85" t="s">
        <v>18652</v>
      </c>
      <c r="X5542" s="80"/>
      <c r="Y5542" s="22">
        <v>-32</v>
      </c>
      <c r="Z5542" s="80" t="s">
        <v>50</v>
      </c>
      <c r="AA5542" s="35" t="s">
        <v>18579</v>
      </c>
      <c r="AB5542" s="86"/>
      <c r="AC5542" s="80" t="s">
        <v>53</v>
      </c>
      <c r="AD5542" s="80" t="s">
        <v>54</v>
      </c>
      <c r="AE5542" s="80"/>
      <c r="AF5542" s="17">
        <v>45558</v>
      </c>
      <c r="AG5542" s="80" t="s">
        <v>7078</v>
      </c>
      <c r="AH5542" s="80"/>
      <c r="AI5542" s="147"/>
      <c r="AJ5542" s="80"/>
      <c r="AK5542" s="80"/>
      <c r="AL5542" s="35"/>
      <c r="AM5542" s="35"/>
      <c r="AN5542" s="35"/>
      <c r="AO5542" s="35"/>
      <c r="AP5542" s="35"/>
    </row>
    <row r="5543" spans="1:42" x14ac:dyDescent="0.2">
      <c r="A5543" s="126">
        <v>45558.694076250002</v>
      </c>
      <c r="B5543" s="137" t="s">
        <v>37</v>
      </c>
      <c r="C5543" s="41" t="s">
        <v>118</v>
      </c>
      <c r="D5543" s="80" t="s">
        <v>36</v>
      </c>
      <c r="E5543" s="80" t="s">
        <v>77</v>
      </c>
      <c r="F5543" s="80" t="s">
        <v>36</v>
      </c>
      <c r="G5543" s="80" t="s">
        <v>41</v>
      </c>
      <c r="H5543" s="80" t="s">
        <v>13480</v>
      </c>
      <c r="I5543" s="17">
        <f ca="1">IFERROR(__xludf.DUMMYFUNCTION("""COMPUTED_VALUE"""),45564)</f>
        <v>45564</v>
      </c>
      <c r="J5543" s="143" t="s">
        <v>18653</v>
      </c>
      <c r="K5543" s="80" t="s">
        <v>18654</v>
      </c>
      <c r="L5543" s="30">
        <v>774679609</v>
      </c>
      <c r="M5543" s="80" t="s">
        <v>12529</v>
      </c>
      <c r="N5543" s="80" t="s">
        <v>466</v>
      </c>
      <c r="O5543" s="80" t="s">
        <v>18655</v>
      </c>
      <c r="P5543" s="80" t="s">
        <v>18656</v>
      </c>
      <c r="Q5543" s="20">
        <v>1968</v>
      </c>
      <c r="R5543" s="80" t="s">
        <v>36</v>
      </c>
      <c r="S5543" s="95">
        <f t="shared" ref="S5543:S5544" si="147">200+1800</f>
        <v>2000</v>
      </c>
      <c r="T5543" s="83" t="s">
        <v>15517</v>
      </c>
      <c r="U5543" s="77"/>
      <c r="V5543" s="78"/>
      <c r="W5543" s="85" t="s">
        <v>18657</v>
      </c>
      <c r="X5543" s="80"/>
      <c r="Y5543" s="22">
        <v>-32</v>
      </c>
      <c r="Z5543" s="80" t="s">
        <v>50</v>
      </c>
      <c r="AA5543" s="96" t="s">
        <v>18579</v>
      </c>
      <c r="AB5543" s="82"/>
      <c r="AC5543" s="80" t="s">
        <v>53</v>
      </c>
      <c r="AD5543" s="80" t="s">
        <v>54</v>
      </c>
      <c r="AE5543" s="80"/>
      <c r="AF5543" s="17">
        <v>45561</v>
      </c>
      <c r="AG5543" s="80" t="s">
        <v>7078</v>
      </c>
      <c r="AH5543" s="80"/>
      <c r="AI5543" s="147"/>
      <c r="AJ5543" s="80"/>
      <c r="AK5543" s="80"/>
      <c r="AL5543" s="35"/>
      <c r="AM5543" s="35"/>
      <c r="AN5543" s="35"/>
      <c r="AO5543" s="35"/>
      <c r="AP5543" s="35"/>
    </row>
    <row r="5544" spans="1:42" x14ac:dyDescent="0.2">
      <c r="A5544" s="126">
        <v>45560.507192025463</v>
      </c>
      <c r="B5544" s="137" t="s">
        <v>37</v>
      </c>
      <c r="C5544" s="41" t="s">
        <v>118</v>
      </c>
      <c r="D5544" s="80" t="s">
        <v>36</v>
      </c>
      <c r="E5544" s="80" t="s">
        <v>139</v>
      </c>
      <c r="F5544" s="80" t="s">
        <v>36</v>
      </c>
      <c r="G5544" s="80" t="s">
        <v>41</v>
      </c>
      <c r="H5544" s="80" t="s">
        <v>13143</v>
      </c>
      <c r="I5544" s="17">
        <f ca="1">IFERROR(__xludf.DUMMYFUNCTION("""COMPUTED_VALUE"""),45604)</f>
        <v>45604</v>
      </c>
      <c r="J5544" s="143" t="s">
        <v>18408</v>
      </c>
      <c r="K5544" s="80" t="s">
        <v>18658</v>
      </c>
      <c r="L5544" s="30">
        <v>989279209</v>
      </c>
      <c r="M5544" s="80" t="s">
        <v>12529</v>
      </c>
      <c r="N5544" s="80" t="s">
        <v>466</v>
      </c>
      <c r="O5544" s="80" t="s">
        <v>18410</v>
      </c>
      <c r="P5544" s="80" t="s">
        <v>18411</v>
      </c>
      <c r="Q5544" s="20">
        <v>15936</v>
      </c>
      <c r="R5544" s="80" t="s">
        <v>70</v>
      </c>
      <c r="S5544" s="95">
        <f t="shared" si="147"/>
        <v>2000</v>
      </c>
      <c r="T5544" s="83" t="s">
        <v>18412</v>
      </c>
      <c r="U5544" s="77">
        <v>13936</v>
      </c>
      <c r="V5544" s="78">
        <v>45650</v>
      </c>
      <c r="W5544" s="85" t="s">
        <v>18413</v>
      </c>
      <c r="X5544" s="80"/>
      <c r="Y5544" s="22">
        <v>0</v>
      </c>
      <c r="Z5544" s="80" t="s">
        <v>50</v>
      </c>
      <c r="AA5544" s="35" t="s">
        <v>18579</v>
      </c>
      <c r="AB5544" s="86"/>
      <c r="AC5544" s="80" t="s">
        <v>53</v>
      </c>
      <c r="AD5544" s="80" t="s">
        <v>138</v>
      </c>
      <c r="AE5544" s="80"/>
      <c r="AF5544" s="17">
        <v>45604</v>
      </c>
      <c r="AG5544" s="80"/>
      <c r="AH5544" s="80"/>
      <c r="AI5544" s="147"/>
      <c r="AJ5544" s="80"/>
      <c r="AK5544" s="80"/>
      <c r="AL5544" s="35"/>
      <c r="AM5544" s="35"/>
      <c r="AN5544" s="35"/>
      <c r="AO5544" s="35"/>
      <c r="AP5544" s="35"/>
    </row>
    <row r="5545" spans="1:42" x14ac:dyDescent="0.2">
      <c r="A5545" s="126">
        <v>45568.994553576384</v>
      </c>
      <c r="B5545" s="137" t="s">
        <v>37</v>
      </c>
      <c r="C5545" s="41" t="s">
        <v>118</v>
      </c>
      <c r="D5545" s="80" t="s">
        <v>36</v>
      </c>
      <c r="E5545" s="80" t="s">
        <v>77</v>
      </c>
      <c r="F5545" s="80" t="s">
        <v>36</v>
      </c>
      <c r="G5545" s="80" t="s">
        <v>41</v>
      </c>
      <c r="H5545" s="80" t="s">
        <v>15506</v>
      </c>
      <c r="I5545" s="17">
        <f ca="1">IFERROR(__xludf.DUMMYFUNCTION("""COMPUTED_VALUE"""),45573)</f>
        <v>45573</v>
      </c>
      <c r="J5545" s="143" t="s">
        <v>18659</v>
      </c>
      <c r="K5545" s="80" t="s">
        <v>18660</v>
      </c>
      <c r="L5545" s="30">
        <v>325948566</v>
      </c>
      <c r="M5545" s="80" t="s">
        <v>15996</v>
      </c>
      <c r="N5545" s="80" t="s">
        <v>207</v>
      </c>
      <c r="O5545" s="80" t="s">
        <v>4503</v>
      </c>
      <c r="P5545" s="80" t="s">
        <v>18661</v>
      </c>
      <c r="Q5545" s="20">
        <v>1968</v>
      </c>
      <c r="R5545" s="80" t="s">
        <v>36</v>
      </c>
      <c r="S5545" s="95">
        <f t="shared" ref="S5545:S5546" si="148">200+3000</f>
        <v>3200</v>
      </c>
      <c r="T5545" s="83" t="s">
        <v>18662</v>
      </c>
      <c r="U5545" s="77"/>
      <c r="V5545" s="78"/>
      <c r="W5545" s="85" t="s">
        <v>18663</v>
      </c>
      <c r="X5545" s="80"/>
      <c r="Y5545" s="22">
        <v>-1232</v>
      </c>
      <c r="Z5545" s="80" t="s">
        <v>50</v>
      </c>
      <c r="AA5545" s="96" t="s">
        <v>18579</v>
      </c>
      <c r="AB5545" s="82"/>
      <c r="AC5545" s="80" t="s">
        <v>53</v>
      </c>
      <c r="AD5545" s="80" t="s">
        <v>54</v>
      </c>
      <c r="AE5545" s="80"/>
      <c r="AF5545" s="17">
        <v>45572</v>
      </c>
      <c r="AG5545" s="80" t="s">
        <v>18664</v>
      </c>
      <c r="AH5545" s="80"/>
      <c r="AI5545" s="147"/>
      <c r="AJ5545" s="80"/>
      <c r="AK5545" s="80"/>
      <c r="AL5545" s="35"/>
      <c r="AM5545" s="35"/>
      <c r="AN5545" s="35"/>
      <c r="AO5545" s="35"/>
      <c r="AP5545" s="35"/>
    </row>
    <row r="5546" spans="1:42" x14ac:dyDescent="0.2">
      <c r="A5546" s="126">
        <v>45571.826165937498</v>
      </c>
      <c r="B5546" s="137" t="s">
        <v>37</v>
      </c>
      <c r="C5546" s="41" t="s">
        <v>118</v>
      </c>
      <c r="D5546" s="80" t="s">
        <v>36</v>
      </c>
      <c r="E5546" s="80" t="s">
        <v>139</v>
      </c>
      <c r="F5546" s="80" t="s">
        <v>36</v>
      </c>
      <c r="G5546" s="80" t="s">
        <v>41</v>
      </c>
      <c r="H5546" s="80" t="s">
        <v>13143</v>
      </c>
      <c r="I5546" s="17">
        <f ca="1">IFERROR(__xludf.DUMMYFUNCTION("""COMPUTED_VALUE"""),45604)</f>
        <v>45604</v>
      </c>
      <c r="J5546" s="143" t="s">
        <v>18415</v>
      </c>
      <c r="K5546" s="80" t="s">
        <v>18665</v>
      </c>
      <c r="L5546" s="30">
        <v>399814962</v>
      </c>
      <c r="M5546" s="26" t="s">
        <v>3498</v>
      </c>
      <c r="N5546" s="80" t="s">
        <v>2756</v>
      </c>
      <c r="O5546" s="80" t="s">
        <v>4503</v>
      </c>
      <c r="P5546" s="80" t="s">
        <v>18417</v>
      </c>
      <c r="Q5546" s="20">
        <v>15936</v>
      </c>
      <c r="R5546" s="80" t="s">
        <v>36</v>
      </c>
      <c r="S5546" s="95">
        <f t="shared" si="148"/>
        <v>3200</v>
      </c>
      <c r="T5546" s="83" t="s">
        <v>18418</v>
      </c>
      <c r="U5546" s="95">
        <v>12736</v>
      </c>
      <c r="V5546" s="170">
        <v>45629</v>
      </c>
      <c r="W5546" s="85" t="s">
        <v>18419</v>
      </c>
      <c r="X5546" s="80"/>
      <c r="Y5546" s="22">
        <v>0</v>
      </c>
      <c r="Z5546" s="80" t="s">
        <v>50</v>
      </c>
      <c r="AA5546" s="35" t="s">
        <v>18579</v>
      </c>
      <c r="AB5546" s="86"/>
      <c r="AC5546" s="80" t="s">
        <v>53</v>
      </c>
      <c r="AD5546" s="80" t="s">
        <v>138</v>
      </c>
      <c r="AE5546" s="80"/>
      <c r="AF5546" s="17">
        <v>45604</v>
      </c>
      <c r="AG5546" s="80"/>
      <c r="AH5546" s="80"/>
      <c r="AI5546" s="147"/>
      <c r="AJ5546" s="80"/>
      <c r="AK5546" s="80"/>
      <c r="AL5546" s="35"/>
      <c r="AM5546" s="35"/>
      <c r="AN5546" s="35"/>
      <c r="AO5546" s="35"/>
      <c r="AP5546" s="35"/>
    </row>
    <row r="5547" spans="1:42" x14ac:dyDescent="0.2">
      <c r="A5547" s="126">
        <v>45573.438435104166</v>
      </c>
      <c r="B5547" s="137" t="s">
        <v>37</v>
      </c>
      <c r="C5547" s="41" t="s">
        <v>118</v>
      </c>
      <c r="D5547" s="80" t="s">
        <v>36</v>
      </c>
      <c r="E5547" s="80" t="s">
        <v>139</v>
      </c>
      <c r="F5547" s="80" t="s">
        <v>36</v>
      </c>
      <c r="G5547" s="80" t="s">
        <v>41</v>
      </c>
      <c r="H5547" s="80" t="s">
        <v>17752</v>
      </c>
      <c r="I5547" s="17">
        <f ca="1">IFERROR(__xludf.DUMMYFUNCTION("""COMPUTED_VALUE"""),45618)</f>
        <v>45618</v>
      </c>
      <c r="J5547" s="143" t="s">
        <v>18492</v>
      </c>
      <c r="K5547" s="80" t="s">
        <v>18666</v>
      </c>
      <c r="L5547" s="30">
        <v>972181606</v>
      </c>
      <c r="M5547" s="80" t="s">
        <v>11413</v>
      </c>
      <c r="N5547" s="80" t="s">
        <v>1246</v>
      </c>
      <c r="O5547" s="80" t="s">
        <v>18494</v>
      </c>
      <c r="P5547" s="80" t="s">
        <v>5462</v>
      </c>
      <c r="Q5547" s="20">
        <v>15936</v>
      </c>
      <c r="R5547" s="80" t="s">
        <v>36</v>
      </c>
      <c r="S5547" s="95">
        <f>200+1800</f>
        <v>2000</v>
      </c>
      <c r="T5547" s="83" t="s">
        <v>18495</v>
      </c>
      <c r="U5547" s="95">
        <v>13936</v>
      </c>
      <c r="V5547" s="153">
        <v>45635</v>
      </c>
      <c r="W5547" s="85" t="s">
        <v>18496</v>
      </c>
      <c r="X5547" s="80"/>
      <c r="Y5547" s="22">
        <v>0</v>
      </c>
      <c r="Z5547" s="80" t="s">
        <v>50</v>
      </c>
      <c r="AA5547" s="96" t="s">
        <v>18579</v>
      </c>
      <c r="AB5547" s="82"/>
      <c r="AC5547" s="80" t="s">
        <v>53</v>
      </c>
      <c r="AD5547" s="80" t="s">
        <v>138</v>
      </c>
      <c r="AE5547" s="80"/>
      <c r="AF5547" s="43">
        <v>45618</v>
      </c>
      <c r="AG5547" s="80" t="s">
        <v>16677</v>
      </c>
      <c r="AH5547" s="80"/>
      <c r="AI5547" s="147"/>
      <c r="AJ5547" s="80"/>
      <c r="AK5547" s="80"/>
      <c r="AL5547" s="35"/>
      <c r="AM5547" s="35"/>
      <c r="AN5547" s="35"/>
      <c r="AO5547" s="35"/>
      <c r="AP5547" s="35"/>
    </row>
    <row r="5548" spans="1:42" x14ac:dyDescent="0.2">
      <c r="A5548" s="126">
        <v>45573.997050312501</v>
      </c>
      <c r="B5548" s="137" t="s">
        <v>37</v>
      </c>
      <c r="C5548" s="41" t="s">
        <v>118</v>
      </c>
      <c r="D5548" s="80" t="s">
        <v>36</v>
      </c>
      <c r="E5548" s="80" t="s">
        <v>119</v>
      </c>
      <c r="F5548" s="80" t="s">
        <v>36</v>
      </c>
      <c r="G5548" s="26" t="s">
        <v>108</v>
      </c>
      <c r="H5548" s="80" t="s">
        <v>8541</v>
      </c>
      <c r="I5548" s="17">
        <f ca="1">IFERROR(__xludf.DUMMYFUNCTION("""COMPUTED_VALUE"""),45595)</f>
        <v>45595</v>
      </c>
      <c r="J5548" s="143" t="s">
        <v>18667</v>
      </c>
      <c r="K5548" s="80" t="s">
        <v>18668</v>
      </c>
      <c r="L5548" s="30">
        <v>976087106</v>
      </c>
      <c r="M5548" s="80" t="s">
        <v>5558</v>
      </c>
      <c r="N5548" s="80" t="s">
        <v>5277</v>
      </c>
      <c r="O5548" s="80" t="s">
        <v>18669</v>
      </c>
      <c r="P5548" s="80" t="s">
        <v>18670</v>
      </c>
      <c r="Q5548" s="20">
        <v>13968</v>
      </c>
      <c r="R5548" s="80" t="s">
        <v>36</v>
      </c>
      <c r="S5548" s="95">
        <f>4000+1800-2000</f>
        <v>3800</v>
      </c>
      <c r="T5548" s="83" t="s">
        <v>18671</v>
      </c>
      <c r="U5548" s="95">
        <f>10000+168</f>
        <v>10168</v>
      </c>
      <c r="V5548" s="148">
        <v>45647</v>
      </c>
      <c r="W5548" s="85" t="s">
        <v>18672</v>
      </c>
      <c r="X5548" s="80"/>
      <c r="Y5548" s="22">
        <v>0</v>
      </c>
      <c r="Z5548" s="80" t="s">
        <v>50</v>
      </c>
      <c r="AA5548" s="35" t="s">
        <v>18579</v>
      </c>
      <c r="AB5548" s="86"/>
      <c r="AC5548" s="80" t="s">
        <v>53</v>
      </c>
      <c r="AD5548" s="80" t="s">
        <v>138</v>
      </c>
      <c r="AE5548" s="80">
        <v>520</v>
      </c>
      <c r="AF5548" s="17">
        <v>45595</v>
      </c>
      <c r="AG5548" s="80" t="s">
        <v>18673</v>
      </c>
      <c r="AH5548" s="80"/>
      <c r="AI5548" s="147"/>
      <c r="AJ5548" s="80"/>
      <c r="AK5548" s="80"/>
      <c r="AL5548" s="35"/>
      <c r="AM5548" s="35"/>
      <c r="AN5548" s="35"/>
      <c r="AO5548" s="35"/>
      <c r="AP5548" s="35"/>
    </row>
    <row r="5549" spans="1:42" x14ac:dyDescent="0.2">
      <c r="A5549" s="126">
        <v>45575.908089629629</v>
      </c>
      <c r="B5549" s="137" t="s">
        <v>37</v>
      </c>
      <c r="C5549" s="41" t="s">
        <v>118</v>
      </c>
      <c r="D5549" s="80" t="s">
        <v>36</v>
      </c>
      <c r="E5549" s="80" t="s">
        <v>77</v>
      </c>
      <c r="F5549" s="80" t="s">
        <v>36</v>
      </c>
      <c r="G5549" s="80" t="s">
        <v>41</v>
      </c>
      <c r="H5549" s="80" t="s">
        <v>16224</v>
      </c>
      <c r="I5549" s="17">
        <f ca="1">IFERROR(__xludf.DUMMYFUNCTION("""COMPUTED_VALUE"""),45580)</f>
        <v>45580</v>
      </c>
      <c r="J5549" s="143" t="s">
        <v>18674</v>
      </c>
      <c r="K5549" s="80" t="s">
        <v>18675</v>
      </c>
      <c r="L5549" s="30">
        <v>868104638</v>
      </c>
      <c r="M5549" s="80" t="s">
        <v>15996</v>
      </c>
      <c r="N5549" s="80" t="s">
        <v>186</v>
      </c>
      <c r="O5549" s="80" t="s">
        <v>4503</v>
      </c>
      <c r="P5549" s="115" t="s">
        <v>18676</v>
      </c>
      <c r="Q5549" s="20">
        <v>1968</v>
      </c>
      <c r="R5549" s="80" t="s">
        <v>36</v>
      </c>
      <c r="S5549" s="95">
        <v>1968</v>
      </c>
      <c r="T5549" s="148">
        <v>45575</v>
      </c>
      <c r="U5549" s="77"/>
      <c r="V5549" s="78"/>
      <c r="W5549" s="85" t="s">
        <v>18677</v>
      </c>
      <c r="X5549" s="80"/>
      <c r="Y5549" s="22">
        <v>0</v>
      </c>
      <c r="Z5549" s="80" t="s">
        <v>50</v>
      </c>
      <c r="AA5549" s="96" t="s">
        <v>18579</v>
      </c>
      <c r="AB5549" s="82"/>
      <c r="AC5549" s="80" t="s">
        <v>53</v>
      </c>
      <c r="AD5549" s="80" t="s">
        <v>54</v>
      </c>
      <c r="AE5549" s="80"/>
      <c r="AF5549" s="43">
        <v>45576</v>
      </c>
      <c r="AG5549" s="80" t="s">
        <v>7078</v>
      </c>
      <c r="AH5549" s="80"/>
      <c r="AI5549" s="147"/>
      <c r="AJ5549" s="80"/>
      <c r="AK5549" s="80"/>
      <c r="AL5549" s="35"/>
      <c r="AM5549" s="35"/>
      <c r="AN5549" s="35"/>
      <c r="AO5549" s="35"/>
      <c r="AP5549" s="35"/>
    </row>
    <row r="5550" spans="1:42" x14ac:dyDescent="0.2">
      <c r="A5550" s="126">
        <v>45579.849309560188</v>
      </c>
      <c r="B5550" s="137" t="s">
        <v>37</v>
      </c>
      <c r="C5550" s="41" t="s">
        <v>118</v>
      </c>
      <c r="D5550" s="80" t="s">
        <v>36</v>
      </c>
      <c r="E5550" s="80" t="s">
        <v>56</v>
      </c>
      <c r="F5550" s="80" t="s">
        <v>36</v>
      </c>
      <c r="G5550" s="80" t="s">
        <v>41</v>
      </c>
      <c r="H5550" s="80" t="s">
        <v>13143</v>
      </c>
      <c r="I5550" s="17">
        <f ca="1">IFERROR(__xludf.DUMMYFUNCTION("""COMPUTED_VALUE"""),45604)</f>
        <v>45604</v>
      </c>
      <c r="J5550" s="143" t="s">
        <v>18420</v>
      </c>
      <c r="K5550" s="80" t="s">
        <v>18678</v>
      </c>
      <c r="L5550" s="30">
        <v>853082262</v>
      </c>
      <c r="M5550" s="26" t="s">
        <v>3498</v>
      </c>
      <c r="N5550" s="80" t="s">
        <v>4402</v>
      </c>
      <c r="O5550" s="80" t="s">
        <v>4503</v>
      </c>
      <c r="P5550" s="80" t="s">
        <v>3694</v>
      </c>
      <c r="Q5550" s="20">
        <v>9317</v>
      </c>
      <c r="R5550" s="80" t="s">
        <v>36</v>
      </c>
      <c r="S5550" s="95">
        <v>2000</v>
      </c>
      <c r="T5550" s="148">
        <v>45579</v>
      </c>
      <c r="U5550" s="95">
        <v>7317</v>
      </c>
      <c r="V5550" s="148">
        <v>45614</v>
      </c>
      <c r="W5550" s="85" t="s">
        <v>18422</v>
      </c>
      <c r="X5550" s="80"/>
      <c r="Y5550" s="22">
        <v>0</v>
      </c>
      <c r="Z5550" s="80" t="s">
        <v>50</v>
      </c>
      <c r="AA5550" s="35" t="s">
        <v>18579</v>
      </c>
      <c r="AB5550" s="86"/>
      <c r="AC5550" s="80" t="s">
        <v>53</v>
      </c>
      <c r="AD5550" s="80" t="s">
        <v>138</v>
      </c>
      <c r="AE5550" s="80" t="s">
        <v>4503</v>
      </c>
      <c r="AF5550" s="17">
        <v>45604</v>
      </c>
      <c r="AG5550" s="80"/>
      <c r="AH5550" s="80"/>
      <c r="AI5550" s="147"/>
      <c r="AJ5550" s="80"/>
      <c r="AK5550" s="80"/>
      <c r="AL5550" s="35"/>
      <c r="AM5550" s="35"/>
      <c r="AN5550" s="35"/>
      <c r="AO5550" s="35"/>
      <c r="AP5550" s="35"/>
    </row>
    <row r="5551" spans="1:42" x14ac:dyDescent="0.2">
      <c r="A5551" s="126">
        <v>45581.344218819446</v>
      </c>
      <c r="B5551" s="137" t="s">
        <v>37</v>
      </c>
      <c r="C5551" s="41" t="s">
        <v>118</v>
      </c>
      <c r="D5551" s="80" t="s">
        <v>36</v>
      </c>
      <c r="E5551" s="80" t="s">
        <v>119</v>
      </c>
      <c r="F5551" s="80" t="s">
        <v>36</v>
      </c>
      <c r="G5551" s="80" t="s">
        <v>108</v>
      </c>
      <c r="H5551" s="80" t="s">
        <v>18679</v>
      </c>
      <c r="I5551" s="17">
        <f ca="1">IFERROR(__xludf.DUMMYFUNCTION("""COMPUTED_VALUE"""),45709)</f>
        <v>45709</v>
      </c>
      <c r="J5551" s="143" t="s">
        <v>13830</v>
      </c>
      <c r="K5551" s="80" t="s">
        <v>18680</v>
      </c>
      <c r="L5551" s="30">
        <v>815309006</v>
      </c>
      <c r="M5551" s="80" t="s">
        <v>12529</v>
      </c>
      <c r="N5551" s="80" t="s">
        <v>13566</v>
      </c>
      <c r="O5551" s="80" t="s">
        <v>18681</v>
      </c>
      <c r="P5551" s="80" t="s">
        <v>2641</v>
      </c>
      <c r="Q5551" s="20">
        <v>13968</v>
      </c>
      <c r="R5551" s="80" t="s">
        <v>36</v>
      </c>
      <c r="S5551" s="95">
        <f>13936+32</f>
        <v>13968</v>
      </c>
      <c r="T5551" s="83" t="s">
        <v>18682</v>
      </c>
      <c r="U5551" s="77"/>
      <c r="V5551" s="78"/>
      <c r="W5551" s="85" t="s">
        <v>18683</v>
      </c>
      <c r="X5551" s="80"/>
      <c r="Y5551" s="22">
        <v>0</v>
      </c>
      <c r="Z5551" s="80" t="s">
        <v>50</v>
      </c>
      <c r="AA5551" s="96" t="s">
        <v>18579</v>
      </c>
      <c r="AB5551" s="82"/>
      <c r="AC5551" s="80" t="s">
        <v>53</v>
      </c>
      <c r="AD5551" s="80" t="s">
        <v>54</v>
      </c>
      <c r="AE5551" s="83">
        <v>0</v>
      </c>
      <c r="AF5551" s="43">
        <v>45698</v>
      </c>
      <c r="AG5551" s="60" t="s">
        <v>18684</v>
      </c>
      <c r="AH5551" s="80"/>
      <c r="AI5551" s="147"/>
      <c r="AJ5551" s="80"/>
      <c r="AK5551" s="80"/>
      <c r="AL5551" s="35"/>
      <c r="AM5551" s="35"/>
      <c r="AN5551" s="35"/>
      <c r="AO5551" s="35"/>
      <c r="AP5551" s="35"/>
    </row>
    <row r="5552" spans="1:42" x14ac:dyDescent="0.2">
      <c r="A5552" s="126">
        <v>45581.602067638887</v>
      </c>
      <c r="B5552" s="137" t="s">
        <v>37</v>
      </c>
      <c r="C5552" s="41" t="s">
        <v>118</v>
      </c>
      <c r="D5552" s="80" t="s">
        <v>36</v>
      </c>
      <c r="E5552" s="80" t="s">
        <v>77</v>
      </c>
      <c r="F5552" s="80" t="s">
        <v>36</v>
      </c>
      <c r="G5552" s="80" t="s">
        <v>41</v>
      </c>
      <c r="H5552" s="80" t="s">
        <v>13441</v>
      </c>
      <c r="I5552" s="17">
        <f ca="1">IFERROR(__xludf.DUMMYFUNCTION("""COMPUTED_VALUE"""),45625)</f>
        <v>45625</v>
      </c>
      <c r="J5552" s="143" t="s">
        <v>18685</v>
      </c>
      <c r="K5552" s="80" t="s">
        <v>18686</v>
      </c>
      <c r="L5552" s="30">
        <v>964269859</v>
      </c>
      <c r="M5552" s="80" t="s">
        <v>12644</v>
      </c>
      <c r="N5552" s="80" t="s">
        <v>8725</v>
      </c>
      <c r="O5552" s="80" t="s">
        <v>18687</v>
      </c>
      <c r="P5552" s="80" t="s">
        <v>14107</v>
      </c>
      <c r="Q5552" s="20">
        <v>1968</v>
      </c>
      <c r="R5552" s="80" t="s">
        <v>70</v>
      </c>
      <c r="S5552" s="95">
        <f>200+1800</f>
        <v>2000</v>
      </c>
      <c r="T5552" s="83" t="s">
        <v>18688</v>
      </c>
      <c r="U5552" s="77"/>
      <c r="V5552" s="78"/>
      <c r="W5552" s="85" t="s">
        <v>18689</v>
      </c>
      <c r="X5552" s="80"/>
      <c r="Y5552" s="22">
        <v>-32</v>
      </c>
      <c r="Z5552" s="80" t="s">
        <v>50</v>
      </c>
      <c r="AA5552" s="35" t="s">
        <v>18579</v>
      </c>
      <c r="AB5552" s="86"/>
      <c r="AC5552" s="80" t="s">
        <v>53</v>
      </c>
      <c r="AD5552" s="80" t="s">
        <v>138</v>
      </c>
      <c r="AE5552" s="80"/>
      <c r="AF5552" s="43">
        <v>45625</v>
      </c>
      <c r="AG5552" s="26" t="s">
        <v>7078</v>
      </c>
      <c r="AH5552" s="80" t="s">
        <v>13446</v>
      </c>
      <c r="AI5552" s="147"/>
      <c r="AJ5552" s="80"/>
      <c r="AK5552" s="80"/>
      <c r="AL5552" s="35"/>
      <c r="AM5552" s="35"/>
      <c r="AN5552" s="35"/>
      <c r="AO5552" s="35"/>
      <c r="AP5552" s="35"/>
    </row>
    <row r="5553" spans="1:42" x14ac:dyDescent="0.2">
      <c r="A5553" s="126">
        <v>45582.338839282413</v>
      </c>
      <c r="B5553" s="137" t="s">
        <v>37</v>
      </c>
      <c r="C5553" s="41" t="s">
        <v>118</v>
      </c>
      <c r="D5553" s="80" t="s">
        <v>36</v>
      </c>
      <c r="E5553" s="80" t="s">
        <v>77</v>
      </c>
      <c r="F5553" s="80" t="s">
        <v>40</v>
      </c>
      <c r="G5553" s="80" t="s">
        <v>41</v>
      </c>
      <c r="H5553" s="80" t="s">
        <v>13829</v>
      </c>
      <c r="I5553" s="17">
        <f ca="1">IFERROR(__xludf.DUMMYFUNCTION("""COMPUTED_VALUE"""),45596)</f>
        <v>45596</v>
      </c>
      <c r="J5553" s="143" t="s">
        <v>18690</v>
      </c>
      <c r="K5553" s="145" t="s">
        <v>18691</v>
      </c>
      <c r="L5553" s="30">
        <v>967525298</v>
      </c>
      <c r="M5553" s="80" t="s">
        <v>15970</v>
      </c>
      <c r="N5553" s="80" t="s">
        <v>466</v>
      </c>
      <c r="O5553" s="80" t="s">
        <v>18692</v>
      </c>
      <c r="P5553" s="144" t="s">
        <v>18693</v>
      </c>
      <c r="Q5553" s="20">
        <v>1968</v>
      </c>
      <c r="R5553" s="80" t="s">
        <v>36</v>
      </c>
      <c r="S5553" s="95">
        <f>200+1768</f>
        <v>1968</v>
      </c>
      <c r="T5553" s="83" t="s">
        <v>18694</v>
      </c>
      <c r="U5553" s="77"/>
      <c r="V5553" s="78"/>
      <c r="W5553" s="85" t="s">
        <v>18695</v>
      </c>
      <c r="X5553" s="80"/>
      <c r="Y5553" s="22">
        <v>0</v>
      </c>
      <c r="Z5553" s="80" t="s">
        <v>50</v>
      </c>
      <c r="AA5553" s="96" t="s">
        <v>18579</v>
      </c>
      <c r="AB5553" s="82"/>
      <c r="AC5553" s="80" t="s">
        <v>53</v>
      </c>
      <c r="AD5553" s="80" t="s">
        <v>138</v>
      </c>
      <c r="AE5553" s="80"/>
      <c r="AF5553" s="43">
        <v>45590</v>
      </c>
      <c r="AG5553" s="80"/>
      <c r="AH5553" s="80"/>
      <c r="AI5553" s="147"/>
      <c r="AJ5553" s="80"/>
      <c r="AK5553" s="80"/>
      <c r="AL5553" s="35"/>
      <c r="AM5553" s="35"/>
      <c r="AN5553" s="35"/>
      <c r="AO5553" s="35"/>
      <c r="AP5553" s="35"/>
    </row>
    <row r="5554" spans="1:42" x14ac:dyDescent="0.2">
      <c r="A5554" s="126">
        <v>45582.826018935186</v>
      </c>
      <c r="B5554" s="137" t="s">
        <v>37</v>
      </c>
      <c r="C5554" s="41" t="s">
        <v>118</v>
      </c>
      <c r="D5554" s="80" t="s">
        <v>36</v>
      </c>
      <c r="E5554" s="80" t="s">
        <v>139</v>
      </c>
      <c r="F5554" s="80" t="s">
        <v>36</v>
      </c>
      <c r="G5554" s="80" t="s">
        <v>41</v>
      </c>
      <c r="H5554" s="80" t="s">
        <v>15451</v>
      </c>
      <c r="I5554" s="17">
        <f ca="1">IFERROR(__xludf.DUMMYFUNCTION("""COMPUTED_VALUE"""),45603)</f>
        <v>45603</v>
      </c>
      <c r="J5554" s="143" t="s">
        <v>18347</v>
      </c>
      <c r="K5554" s="80" t="s">
        <v>18348</v>
      </c>
      <c r="L5554" s="30">
        <v>941167879</v>
      </c>
      <c r="M5554" s="80" t="s">
        <v>5429</v>
      </c>
      <c r="N5554" s="80" t="s">
        <v>81</v>
      </c>
      <c r="O5554" s="80" t="s">
        <v>61</v>
      </c>
      <c r="P5554" s="80" t="s">
        <v>6368</v>
      </c>
      <c r="Q5554" s="20">
        <v>15936</v>
      </c>
      <c r="R5554" s="80" t="s">
        <v>70</v>
      </c>
      <c r="S5554" s="95">
        <v>2000</v>
      </c>
      <c r="T5554" s="148">
        <v>45582</v>
      </c>
      <c r="U5554" s="95">
        <v>13836</v>
      </c>
      <c r="V5554" s="148">
        <v>45629</v>
      </c>
      <c r="W5554" s="85" t="s">
        <v>18349</v>
      </c>
      <c r="X5554" s="80"/>
      <c r="Y5554" s="22">
        <v>100</v>
      </c>
      <c r="Z5554" s="80" t="s">
        <v>50</v>
      </c>
      <c r="AA5554" s="35" t="s">
        <v>18579</v>
      </c>
      <c r="AB5554" s="86"/>
      <c r="AC5554" s="80" t="s">
        <v>53</v>
      </c>
      <c r="AD5554" s="80" t="s">
        <v>138</v>
      </c>
      <c r="AE5554" s="80" t="s">
        <v>72</v>
      </c>
      <c r="AF5554" s="17">
        <v>45603</v>
      </c>
      <c r="AG5554" s="80"/>
      <c r="AH5554" s="80"/>
      <c r="AI5554" s="147"/>
      <c r="AJ5554" s="80"/>
      <c r="AK5554" s="80"/>
      <c r="AL5554" s="35"/>
      <c r="AM5554" s="35"/>
      <c r="AN5554" s="35"/>
      <c r="AO5554" s="35"/>
      <c r="AP5554" s="35"/>
    </row>
    <row r="5555" spans="1:42" x14ac:dyDescent="0.2">
      <c r="A5555" s="126">
        <v>45586.720586493058</v>
      </c>
      <c r="B5555" s="137" t="s">
        <v>37</v>
      </c>
      <c r="C5555" s="41" t="s">
        <v>118</v>
      </c>
      <c r="D5555" s="80" t="s">
        <v>36</v>
      </c>
      <c r="E5555" s="80" t="s">
        <v>77</v>
      </c>
      <c r="F5555" s="80" t="s">
        <v>40</v>
      </c>
      <c r="G5555" s="80" t="s">
        <v>41</v>
      </c>
      <c r="H5555" s="80" t="s">
        <v>18696</v>
      </c>
      <c r="I5555" s="17" t="str">
        <f ca="1">IFERROR(__xludf.DUMMYFUNCTION("""COMPUTED_VALUE""")," ")</f>
        <v xml:space="preserve"> </v>
      </c>
      <c r="J5555" s="143" t="s">
        <v>18697</v>
      </c>
      <c r="K5555" s="80" t="s">
        <v>18698</v>
      </c>
      <c r="L5555" s="30">
        <v>983609565</v>
      </c>
      <c r="M5555" s="80" t="s">
        <v>12529</v>
      </c>
      <c r="N5555" s="80" t="s">
        <v>13566</v>
      </c>
      <c r="O5555" s="80" t="s">
        <v>18699</v>
      </c>
      <c r="P5555" s="80" t="s">
        <v>15693</v>
      </c>
      <c r="Q5555" s="20">
        <v>1968</v>
      </c>
      <c r="R5555" s="80" t="s">
        <v>36</v>
      </c>
      <c r="S5555" s="95">
        <f>200+1800</f>
        <v>2000</v>
      </c>
      <c r="T5555" s="83" t="s">
        <v>18700</v>
      </c>
      <c r="U5555" s="77"/>
      <c r="V5555" s="78"/>
      <c r="W5555" s="85" t="s">
        <v>18701</v>
      </c>
      <c r="X5555" s="80"/>
      <c r="Y5555" s="22">
        <v>-32</v>
      </c>
      <c r="Z5555" s="80" t="s">
        <v>50</v>
      </c>
      <c r="AA5555" s="96" t="s">
        <v>18579</v>
      </c>
      <c r="AB5555" s="82"/>
      <c r="AC5555" s="80" t="s">
        <v>53</v>
      </c>
      <c r="AD5555" s="80" t="s">
        <v>138</v>
      </c>
      <c r="AE5555" s="80"/>
      <c r="AF5555" s="43">
        <v>45590</v>
      </c>
      <c r="AG5555" s="80" t="s">
        <v>18702</v>
      </c>
      <c r="AH5555" s="80"/>
      <c r="AI5555" s="147"/>
      <c r="AJ5555" s="80"/>
      <c r="AK5555" s="80"/>
      <c r="AL5555" s="35"/>
      <c r="AM5555" s="35"/>
      <c r="AN5555" s="35"/>
      <c r="AO5555" s="35"/>
      <c r="AP5555" s="35"/>
    </row>
    <row r="5556" spans="1:42" x14ac:dyDescent="0.2">
      <c r="A5556" s="126">
        <v>45590.398013055557</v>
      </c>
      <c r="B5556" s="137" t="s">
        <v>37</v>
      </c>
      <c r="C5556" s="41" t="s">
        <v>118</v>
      </c>
      <c r="D5556" s="80" t="s">
        <v>36</v>
      </c>
      <c r="E5556" s="80" t="s">
        <v>139</v>
      </c>
      <c r="F5556" s="80" t="s">
        <v>36</v>
      </c>
      <c r="G5556" s="80" t="s">
        <v>41</v>
      </c>
      <c r="H5556" s="80" t="s">
        <v>13143</v>
      </c>
      <c r="I5556" s="17">
        <f ca="1">IFERROR(__xludf.DUMMYFUNCTION("""COMPUTED_VALUE"""),45604)</f>
        <v>45604</v>
      </c>
      <c r="J5556" s="143" t="s">
        <v>18330</v>
      </c>
      <c r="K5556" s="80" t="s">
        <v>18331</v>
      </c>
      <c r="L5556" s="30">
        <v>979709519</v>
      </c>
      <c r="M5556" s="80" t="s">
        <v>3288</v>
      </c>
      <c r="N5556" s="80" t="s">
        <v>18332</v>
      </c>
      <c r="O5556" s="80" t="s">
        <v>61</v>
      </c>
      <c r="P5556" s="80" t="s">
        <v>5462</v>
      </c>
      <c r="Q5556" s="20">
        <v>15936</v>
      </c>
      <c r="R5556" s="80" t="s">
        <v>36</v>
      </c>
      <c r="S5556" s="95">
        <f>500+1468</f>
        <v>1968</v>
      </c>
      <c r="T5556" s="83" t="s">
        <v>18333</v>
      </c>
      <c r="U5556" s="77">
        <v>13968</v>
      </c>
      <c r="V5556" s="78">
        <v>45629</v>
      </c>
      <c r="W5556" s="85" t="s">
        <v>18334</v>
      </c>
      <c r="X5556" s="80"/>
      <c r="Y5556" s="22">
        <v>0</v>
      </c>
      <c r="Z5556" s="80" t="s">
        <v>50</v>
      </c>
      <c r="AA5556" s="35" t="s">
        <v>18579</v>
      </c>
      <c r="AB5556" s="86"/>
      <c r="AC5556" s="80" t="s">
        <v>53</v>
      </c>
      <c r="AD5556" s="80" t="s">
        <v>138</v>
      </c>
      <c r="AE5556" s="80"/>
      <c r="AF5556" s="17">
        <v>45604</v>
      </c>
      <c r="AG5556" s="80"/>
      <c r="AH5556" s="80"/>
      <c r="AI5556" s="147"/>
      <c r="AJ5556" s="80"/>
      <c r="AK5556" s="80"/>
      <c r="AL5556" s="35"/>
      <c r="AM5556" s="35"/>
      <c r="AN5556" s="35"/>
      <c r="AO5556" s="35"/>
      <c r="AP5556" s="35"/>
    </row>
    <row r="5557" spans="1:42" x14ac:dyDescent="0.2">
      <c r="A5557" s="126">
        <v>45590.853596261572</v>
      </c>
      <c r="B5557" s="137" t="s">
        <v>37</v>
      </c>
      <c r="C5557" s="41" t="s">
        <v>118</v>
      </c>
      <c r="D5557" s="80" t="s">
        <v>36</v>
      </c>
      <c r="E5557" s="80" t="s">
        <v>119</v>
      </c>
      <c r="F5557" s="80" t="s">
        <v>36</v>
      </c>
      <c r="G5557" s="80" t="s">
        <v>108</v>
      </c>
      <c r="H5557" s="80" t="s">
        <v>13913</v>
      </c>
      <c r="I5557" s="17">
        <f ca="1">IFERROR(__xludf.DUMMYFUNCTION("""COMPUTED_VALUE"""),45602)</f>
        <v>45602</v>
      </c>
      <c r="J5557" s="143" t="s">
        <v>18703</v>
      </c>
      <c r="K5557" s="80" t="s">
        <v>18704</v>
      </c>
      <c r="L5557" s="30">
        <v>362292684</v>
      </c>
      <c r="M5557" s="80" t="s">
        <v>12529</v>
      </c>
      <c r="N5557" s="80" t="s">
        <v>466</v>
      </c>
      <c r="O5557" s="80" t="s">
        <v>18705</v>
      </c>
      <c r="P5557" s="80" t="s">
        <v>18706</v>
      </c>
      <c r="Q5557" s="20">
        <v>13968</v>
      </c>
      <c r="R5557" s="80" t="s">
        <v>36</v>
      </c>
      <c r="S5557" s="95">
        <f>200+3800</f>
        <v>4000</v>
      </c>
      <c r="T5557" s="83" t="s">
        <v>18707</v>
      </c>
      <c r="U5557" s="95">
        <v>9968</v>
      </c>
      <c r="V5557" s="148">
        <v>45634</v>
      </c>
      <c r="W5557" s="85" t="s">
        <v>18708</v>
      </c>
      <c r="X5557" s="80"/>
      <c r="Y5557" s="22">
        <v>0</v>
      </c>
      <c r="Z5557" s="80" t="s">
        <v>50</v>
      </c>
      <c r="AA5557" s="96" t="s">
        <v>18579</v>
      </c>
      <c r="AB5557" s="82"/>
      <c r="AC5557" s="80" t="s">
        <v>2218</v>
      </c>
      <c r="AD5557" s="80" t="s">
        <v>138</v>
      </c>
      <c r="AE5557" s="83">
        <v>400</v>
      </c>
      <c r="AF5557" s="43">
        <v>45590</v>
      </c>
      <c r="AG5557" s="80" t="s">
        <v>12945</v>
      </c>
      <c r="AH5557" s="80"/>
      <c r="AI5557" s="147"/>
      <c r="AJ5557" s="80"/>
      <c r="AK5557" s="80"/>
      <c r="AL5557" s="35"/>
      <c r="AM5557" s="35"/>
      <c r="AN5557" s="35"/>
      <c r="AO5557" s="35"/>
      <c r="AP5557" s="35"/>
    </row>
    <row r="5558" spans="1:42" x14ac:dyDescent="0.2">
      <c r="A5558" s="126">
        <v>45593.59197248843</v>
      </c>
      <c r="B5558" s="137" t="s">
        <v>37</v>
      </c>
      <c r="C5558" s="41" t="s">
        <v>118</v>
      </c>
      <c r="D5558" s="80" t="s">
        <v>36</v>
      </c>
      <c r="E5558" s="80" t="s">
        <v>139</v>
      </c>
      <c r="F5558" s="80" t="s">
        <v>36</v>
      </c>
      <c r="G5558" s="80" t="s">
        <v>41</v>
      </c>
      <c r="H5558" s="80" t="s">
        <v>17752</v>
      </c>
      <c r="I5558" s="17">
        <f ca="1">IFERROR(__xludf.DUMMYFUNCTION("""COMPUTED_VALUE"""),45618)</f>
        <v>45618</v>
      </c>
      <c r="J5558" s="143" t="s">
        <v>18497</v>
      </c>
      <c r="K5558" s="80" t="s">
        <v>18709</v>
      </c>
      <c r="L5558" s="30">
        <v>384328982</v>
      </c>
      <c r="M5558" s="80" t="s">
        <v>11413</v>
      </c>
      <c r="N5558" s="80" t="s">
        <v>1246</v>
      </c>
      <c r="O5558" s="80" t="s">
        <v>18499</v>
      </c>
      <c r="P5558" s="80" t="s">
        <v>18500</v>
      </c>
      <c r="Q5558" s="20">
        <v>15936</v>
      </c>
      <c r="R5558" s="80" t="s">
        <v>70</v>
      </c>
      <c r="S5558" s="95">
        <v>2000</v>
      </c>
      <c r="T5558" s="148">
        <v>45593</v>
      </c>
      <c r="U5558" s="95">
        <v>13936</v>
      </c>
      <c r="V5558" s="153">
        <v>45636</v>
      </c>
      <c r="W5558" s="85" t="s">
        <v>18501</v>
      </c>
      <c r="X5558" s="80"/>
      <c r="Y5558" s="22">
        <v>0</v>
      </c>
      <c r="Z5558" s="80" t="s">
        <v>50</v>
      </c>
      <c r="AA5558" s="35" t="s">
        <v>18579</v>
      </c>
      <c r="AB5558" s="86"/>
      <c r="AC5558" s="80" t="s">
        <v>53</v>
      </c>
      <c r="AD5558" s="80" t="s">
        <v>138</v>
      </c>
      <c r="AE5558" s="80"/>
      <c r="AF5558" s="43">
        <v>45618</v>
      </c>
      <c r="AG5558" s="80" t="s">
        <v>16677</v>
      </c>
      <c r="AH5558" s="80"/>
      <c r="AI5558" s="147"/>
      <c r="AJ5558" s="80"/>
      <c r="AK5558" s="80"/>
      <c r="AL5558" s="35"/>
      <c r="AM5558" s="35"/>
      <c r="AN5558" s="35"/>
      <c r="AO5558" s="35"/>
      <c r="AP5558" s="35"/>
    </row>
    <row r="5559" spans="1:42" x14ac:dyDescent="0.2">
      <c r="A5559" s="126">
        <v>45593.593864583338</v>
      </c>
      <c r="B5559" s="137" t="s">
        <v>37</v>
      </c>
      <c r="C5559" s="41" t="s">
        <v>118</v>
      </c>
      <c r="D5559" s="80" t="s">
        <v>36</v>
      </c>
      <c r="E5559" s="80" t="s">
        <v>139</v>
      </c>
      <c r="F5559" s="80" t="s">
        <v>36</v>
      </c>
      <c r="G5559" s="80" t="s">
        <v>41</v>
      </c>
      <c r="H5559" s="80" t="s">
        <v>17752</v>
      </c>
      <c r="I5559" s="17">
        <f ca="1">IFERROR(__xludf.DUMMYFUNCTION("""COMPUTED_VALUE"""),45618)</f>
        <v>45618</v>
      </c>
      <c r="J5559" s="143" t="s">
        <v>18502</v>
      </c>
      <c r="K5559" s="80" t="s">
        <v>18710</v>
      </c>
      <c r="L5559" s="30">
        <v>865227648</v>
      </c>
      <c r="M5559" s="80" t="s">
        <v>11413</v>
      </c>
      <c r="N5559" s="80" t="s">
        <v>1246</v>
      </c>
      <c r="O5559" s="80" t="s">
        <v>18499</v>
      </c>
      <c r="P5559" s="80" t="s">
        <v>18504</v>
      </c>
      <c r="Q5559" s="20">
        <v>15936</v>
      </c>
      <c r="R5559" s="80" t="s">
        <v>70</v>
      </c>
      <c r="S5559" s="95">
        <v>2000</v>
      </c>
      <c r="T5559" s="148">
        <v>45593</v>
      </c>
      <c r="U5559" s="95">
        <v>13936</v>
      </c>
      <c r="V5559" s="153">
        <v>45636</v>
      </c>
      <c r="W5559" s="85" t="s">
        <v>18505</v>
      </c>
      <c r="X5559" s="80"/>
      <c r="Y5559" s="22">
        <v>0</v>
      </c>
      <c r="Z5559" s="80" t="s">
        <v>50</v>
      </c>
      <c r="AA5559" s="96" t="s">
        <v>18579</v>
      </c>
      <c r="AB5559" s="82"/>
      <c r="AC5559" s="80" t="s">
        <v>53</v>
      </c>
      <c r="AD5559" s="80" t="s">
        <v>138</v>
      </c>
      <c r="AE5559" s="80"/>
      <c r="AF5559" s="43">
        <v>45618</v>
      </c>
      <c r="AG5559" s="80" t="s">
        <v>16677</v>
      </c>
      <c r="AH5559" s="80"/>
      <c r="AI5559" s="147"/>
      <c r="AJ5559" s="80"/>
      <c r="AK5559" s="80"/>
      <c r="AL5559" s="35"/>
      <c r="AM5559" s="35"/>
      <c r="AN5559" s="35"/>
      <c r="AO5559" s="35"/>
      <c r="AP5559" s="35"/>
    </row>
    <row r="5560" spans="1:42" x14ac:dyDescent="0.2">
      <c r="A5560" s="126">
        <v>45594.673141921296</v>
      </c>
      <c r="B5560" s="137" t="s">
        <v>37</v>
      </c>
      <c r="C5560" s="41" t="s">
        <v>118</v>
      </c>
      <c r="D5560" s="80" t="s">
        <v>36</v>
      </c>
      <c r="E5560" s="80" t="s">
        <v>119</v>
      </c>
      <c r="F5560" s="80" t="s">
        <v>36</v>
      </c>
      <c r="G5560" s="80" t="s">
        <v>108</v>
      </c>
      <c r="H5560" s="80" t="s">
        <v>14465</v>
      </c>
      <c r="I5560" s="17">
        <f ca="1">IFERROR(__xludf.DUMMYFUNCTION("""COMPUTED_VALUE"""),45618)</f>
        <v>45618</v>
      </c>
      <c r="J5560" s="143" t="s">
        <v>18711</v>
      </c>
      <c r="K5560" s="80" t="s">
        <v>18712</v>
      </c>
      <c r="L5560" s="30">
        <v>836660280</v>
      </c>
      <c r="M5560" s="80" t="s">
        <v>12529</v>
      </c>
      <c r="N5560" s="80" t="s">
        <v>13566</v>
      </c>
      <c r="O5560" s="80" t="s">
        <v>18713</v>
      </c>
      <c r="P5560" s="80" t="s">
        <v>18714</v>
      </c>
      <c r="Q5560" s="20">
        <v>13968</v>
      </c>
      <c r="R5560" s="80" t="s">
        <v>36</v>
      </c>
      <c r="S5560" s="95">
        <f>200+3800</f>
        <v>4000</v>
      </c>
      <c r="T5560" s="83" t="s">
        <v>18715</v>
      </c>
      <c r="U5560" s="95">
        <v>9968</v>
      </c>
      <c r="V5560" s="148">
        <v>45639</v>
      </c>
      <c r="W5560" s="85" t="s">
        <v>18716</v>
      </c>
      <c r="X5560" s="80"/>
      <c r="Y5560" s="22">
        <v>0</v>
      </c>
      <c r="Z5560" s="80" t="s">
        <v>50</v>
      </c>
      <c r="AA5560" s="35" t="s">
        <v>18579</v>
      </c>
      <c r="AB5560" s="86"/>
      <c r="AC5560" s="80" t="s">
        <v>53</v>
      </c>
      <c r="AD5560" s="80" t="s">
        <v>54</v>
      </c>
      <c r="AE5560" s="83">
        <v>400</v>
      </c>
      <c r="AF5560" s="17">
        <v>45614</v>
      </c>
      <c r="AG5560" s="80"/>
      <c r="AH5560" s="80"/>
      <c r="AI5560" s="147"/>
      <c r="AJ5560" s="80"/>
      <c r="AK5560" s="80"/>
      <c r="AL5560" s="35"/>
      <c r="AM5560" s="35"/>
      <c r="AN5560" s="35"/>
      <c r="AO5560" s="35"/>
      <c r="AP5560" s="35"/>
    </row>
    <row r="5561" spans="1:42" x14ac:dyDescent="0.2">
      <c r="A5561" s="126">
        <v>45594.674883599539</v>
      </c>
      <c r="B5561" s="137" t="s">
        <v>37</v>
      </c>
      <c r="C5561" s="41" t="s">
        <v>118</v>
      </c>
      <c r="D5561" s="80" t="s">
        <v>36</v>
      </c>
      <c r="E5561" s="80" t="s">
        <v>119</v>
      </c>
      <c r="F5561" s="80" t="s">
        <v>40</v>
      </c>
      <c r="G5561" s="80" t="s">
        <v>108</v>
      </c>
      <c r="H5561" s="80" t="s">
        <v>8088</v>
      </c>
      <c r="I5561" s="17">
        <f ca="1">IFERROR(__xludf.DUMMYFUNCTION("""COMPUTED_VALUE"""),45611)</f>
        <v>45611</v>
      </c>
      <c r="J5561" s="143" t="s">
        <v>18717</v>
      </c>
      <c r="K5561" s="80" t="s">
        <v>18718</v>
      </c>
      <c r="L5561" s="30">
        <v>378786258</v>
      </c>
      <c r="M5561" s="80" t="s">
        <v>12529</v>
      </c>
      <c r="N5561" s="80" t="s">
        <v>13566</v>
      </c>
      <c r="O5561" s="80" t="s">
        <v>18719</v>
      </c>
      <c r="P5561" s="80" t="s">
        <v>12578</v>
      </c>
      <c r="Q5561" s="20">
        <v>13968</v>
      </c>
      <c r="R5561" s="80" t="s">
        <v>36</v>
      </c>
      <c r="S5561" s="95">
        <v>4000</v>
      </c>
      <c r="T5561" s="148">
        <v>45594</v>
      </c>
      <c r="U5561" s="77">
        <v>9968</v>
      </c>
      <c r="V5561" s="80" t="s">
        <v>18720</v>
      </c>
      <c r="W5561" s="80" t="s">
        <v>18721</v>
      </c>
      <c r="X5561" s="80"/>
      <c r="Y5561" s="22">
        <v>0</v>
      </c>
      <c r="Z5561" s="80" t="s">
        <v>50</v>
      </c>
      <c r="AA5561" s="96" t="s">
        <v>18579</v>
      </c>
      <c r="AB5561" s="82"/>
      <c r="AC5561" s="80" t="s">
        <v>2218</v>
      </c>
      <c r="AD5561" s="80" t="s">
        <v>54</v>
      </c>
      <c r="AE5561" s="83">
        <v>400</v>
      </c>
      <c r="AF5561" s="17">
        <v>45594</v>
      </c>
      <c r="AG5561" s="80" t="s">
        <v>17715</v>
      </c>
      <c r="AH5561" s="80"/>
      <c r="AI5561" s="147"/>
      <c r="AJ5561" s="80"/>
      <c r="AK5561" s="80"/>
      <c r="AL5561" s="35"/>
      <c r="AM5561" s="35"/>
      <c r="AN5561" s="35"/>
      <c r="AO5561" s="35"/>
      <c r="AP5561" s="35"/>
    </row>
    <row r="5562" spans="1:42" x14ac:dyDescent="0.2">
      <c r="A5562" s="126">
        <v>45594.800180196762</v>
      </c>
      <c r="B5562" s="137" t="s">
        <v>37</v>
      </c>
      <c r="C5562" s="41" t="s">
        <v>118</v>
      </c>
      <c r="D5562" s="80" t="s">
        <v>36</v>
      </c>
      <c r="E5562" s="80" t="s">
        <v>139</v>
      </c>
      <c r="F5562" s="80" t="s">
        <v>36</v>
      </c>
      <c r="G5562" s="80" t="s">
        <v>41</v>
      </c>
      <c r="H5562" s="80" t="s">
        <v>17752</v>
      </c>
      <c r="I5562" s="17">
        <f ca="1">IFERROR(__xludf.DUMMYFUNCTION("""COMPUTED_VALUE"""),45618)</f>
        <v>45618</v>
      </c>
      <c r="J5562" s="143" t="s">
        <v>18506</v>
      </c>
      <c r="K5562" s="80" t="s">
        <v>18507</v>
      </c>
      <c r="L5562" s="30">
        <v>985794302</v>
      </c>
      <c r="M5562" s="80" t="s">
        <v>15996</v>
      </c>
      <c r="N5562" s="80" t="s">
        <v>186</v>
      </c>
      <c r="O5562" s="80" t="s">
        <v>4503</v>
      </c>
      <c r="P5562" s="80" t="s">
        <v>3056</v>
      </c>
      <c r="Q5562" s="20">
        <v>15936</v>
      </c>
      <c r="R5562" s="80" t="s">
        <v>70</v>
      </c>
      <c r="S5562" s="95">
        <f t="shared" ref="S5562:S5563" si="149">200+5000</f>
        <v>5200</v>
      </c>
      <c r="T5562" s="83" t="s">
        <v>18508</v>
      </c>
      <c r="U5562" s="95">
        <v>10636</v>
      </c>
      <c r="V5562" s="148">
        <v>45643</v>
      </c>
      <c r="W5562" s="85" t="s">
        <v>18509</v>
      </c>
      <c r="X5562" s="80"/>
      <c r="Y5562" s="22">
        <v>100</v>
      </c>
      <c r="Z5562" s="80" t="s">
        <v>50</v>
      </c>
      <c r="AA5562" s="35" t="s">
        <v>18579</v>
      </c>
      <c r="AB5562" s="86"/>
      <c r="AC5562" s="80" t="s">
        <v>53</v>
      </c>
      <c r="AD5562" s="80" t="s">
        <v>138</v>
      </c>
      <c r="AE5562" s="80"/>
      <c r="AF5562" s="43">
        <v>45618</v>
      </c>
      <c r="AG5562" s="80" t="s">
        <v>16677</v>
      </c>
      <c r="AH5562" s="80"/>
      <c r="AI5562" s="147"/>
      <c r="AJ5562" s="80"/>
      <c r="AK5562" s="80"/>
      <c r="AL5562" s="35"/>
      <c r="AM5562" s="35"/>
      <c r="AN5562" s="35"/>
      <c r="AO5562" s="35"/>
      <c r="AP5562" s="35"/>
    </row>
    <row r="5563" spans="1:42" x14ac:dyDescent="0.2">
      <c r="A5563" s="126">
        <v>45594.801175300927</v>
      </c>
      <c r="B5563" s="137" t="s">
        <v>37</v>
      </c>
      <c r="C5563" s="41" t="s">
        <v>118</v>
      </c>
      <c r="D5563" s="80" t="s">
        <v>36</v>
      </c>
      <c r="E5563" s="80" t="s">
        <v>139</v>
      </c>
      <c r="F5563" s="80" t="s">
        <v>36</v>
      </c>
      <c r="G5563" s="80" t="s">
        <v>41</v>
      </c>
      <c r="H5563" s="80" t="s">
        <v>17752</v>
      </c>
      <c r="I5563" s="17">
        <f ca="1">IFERROR(__xludf.DUMMYFUNCTION("""COMPUTED_VALUE"""),45618)</f>
        <v>45618</v>
      </c>
      <c r="J5563" s="143" t="s">
        <v>18510</v>
      </c>
      <c r="K5563" s="80" t="s">
        <v>18511</v>
      </c>
      <c r="L5563" s="30">
        <v>968854604</v>
      </c>
      <c r="M5563" s="80" t="s">
        <v>15996</v>
      </c>
      <c r="N5563" s="80" t="s">
        <v>186</v>
      </c>
      <c r="O5563" s="80" t="s">
        <v>4503</v>
      </c>
      <c r="P5563" s="80" t="s">
        <v>3056</v>
      </c>
      <c r="Q5563" s="20">
        <v>15936</v>
      </c>
      <c r="R5563" s="80" t="s">
        <v>70</v>
      </c>
      <c r="S5563" s="95">
        <f t="shared" si="149"/>
        <v>5200</v>
      </c>
      <c r="T5563" s="83" t="s">
        <v>18512</v>
      </c>
      <c r="U5563" s="95">
        <v>10636</v>
      </c>
      <c r="V5563" s="148">
        <v>45653</v>
      </c>
      <c r="W5563" s="85" t="s">
        <v>18513</v>
      </c>
      <c r="X5563" s="80"/>
      <c r="Y5563" s="22">
        <v>100</v>
      </c>
      <c r="Z5563" s="80" t="s">
        <v>50</v>
      </c>
      <c r="AA5563" s="96" t="s">
        <v>18579</v>
      </c>
      <c r="AB5563" s="82"/>
      <c r="AC5563" s="80" t="s">
        <v>53</v>
      </c>
      <c r="AD5563" s="80" t="s">
        <v>138</v>
      </c>
      <c r="AE5563" s="80"/>
      <c r="AF5563" s="43">
        <v>45618</v>
      </c>
      <c r="AG5563" s="80" t="s">
        <v>16677</v>
      </c>
      <c r="AH5563" s="80"/>
      <c r="AI5563" s="147"/>
      <c r="AJ5563" s="80"/>
      <c r="AK5563" s="80"/>
      <c r="AL5563" s="35"/>
      <c r="AM5563" s="35"/>
      <c r="AN5563" s="35"/>
      <c r="AO5563" s="35"/>
      <c r="AP5563" s="35"/>
    </row>
    <row r="5564" spans="1:42" x14ac:dyDescent="0.2">
      <c r="A5564" s="126">
        <v>45596.669288888894</v>
      </c>
      <c r="B5564" s="137" t="s">
        <v>37</v>
      </c>
      <c r="C5564" s="41" t="s">
        <v>118</v>
      </c>
      <c r="D5564" s="80" t="s">
        <v>36</v>
      </c>
      <c r="E5564" s="80" t="s">
        <v>39</v>
      </c>
      <c r="F5564" s="80" t="s">
        <v>36</v>
      </c>
      <c r="G5564" s="80" t="s">
        <v>41</v>
      </c>
      <c r="H5564" s="80" t="s">
        <v>17752</v>
      </c>
      <c r="I5564" s="17">
        <f ca="1">IFERROR(__xludf.DUMMYFUNCTION("""COMPUTED_VALUE"""),45618)</f>
        <v>45618</v>
      </c>
      <c r="J5564" s="143" t="s">
        <v>18514</v>
      </c>
      <c r="K5564" s="80" t="s">
        <v>18515</v>
      </c>
      <c r="L5564" s="30">
        <v>396068881</v>
      </c>
      <c r="M5564" s="80" t="s">
        <v>15970</v>
      </c>
      <c r="N5564" s="80" t="s">
        <v>466</v>
      </c>
      <c r="O5564" s="80" t="s">
        <v>4503</v>
      </c>
      <c r="P5564" s="80" t="s">
        <v>3056</v>
      </c>
      <c r="Q5564" s="20">
        <v>5736</v>
      </c>
      <c r="R5564" s="80" t="s">
        <v>36</v>
      </c>
      <c r="S5564" s="95">
        <f>200+1768</f>
        <v>1968</v>
      </c>
      <c r="T5564" s="83" t="s">
        <v>18516</v>
      </c>
      <c r="U5564" s="95">
        <v>3768</v>
      </c>
      <c r="V5564" s="148">
        <v>45637</v>
      </c>
      <c r="W5564" s="85" t="s">
        <v>18517</v>
      </c>
      <c r="X5564" s="80"/>
      <c r="Y5564" s="22">
        <v>0</v>
      </c>
      <c r="Z5564" s="80" t="s">
        <v>50</v>
      </c>
      <c r="AA5564" s="35" t="s">
        <v>18579</v>
      </c>
      <c r="AB5564" s="86"/>
      <c r="AC5564" s="80" t="s">
        <v>53</v>
      </c>
      <c r="AD5564" s="80" t="s">
        <v>138</v>
      </c>
      <c r="AE5564" s="80"/>
      <c r="AF5564" s="43">
        <v>45618</v>
      </c>
      <c r="AG5564" s="80" t="s">
        <v>16677</v>
      </c>
      <c r="AH5564" s="80"/>
      <c r="AI5564" s="147"/>
      <c r="AJ5564" s="80"/>
      <c r="AK5564" s="80"/>
      <c r="AL5564" s="35"/>
      <c r="AM5564" s="35"/>
      <c r="AN5564" s="35"/>
      <c r="AO5564" s="35"/>
      <c r="AP5564" s="35"/>
    </row>
    <row r="5565" spans="1:42" x14ac:dyDescent="0.2">
      <c r="A5565" s="126">
        <v>45596.69370319444</v>
      </c>
      <c r="B5565" s="137" t="s">
        <v>37</v>
      </c>
      <c r="C5565" s="41" t="s">
        <v>118</v>
      </c>
      <c r="D5565" s="80" t="s">
        <v>36</v>
      </c>
      <c r="E5565" s="80" t="s">
        <v>139</v>
      </c>
      <c r="F5565" s="80" t="s">
        <v>36</v>
      </c>
      <c r="G5565" s="80" t="s">
        <v>41</v>
      </c>
      <c r="H5565" s="80" t="s">
        <v>14051</v>
      </c>
      <c r="I5565" s="17">
        <f ca="1">IFERROR(__xludf.DUMMYFUNCTION("""COMPUTED_VALUE"""),45615)</f>
        <v>45615</v>
      </c>
      <c r="J5565" s="143" t="s">
        <v>18722</v>
      </c>
      <c r="K5565" s="80" t="s">
        <v>18723</v>
      </c>
      <c r="L5565" s="30">
        <v>385794918</v>
      </c>
      <c r="M5565" s="26" t="s">
        <v>3498</v>
      </c>
      <c r="N5565" s="80" t="s">
        <v>4402</v>
      </c>
      <c r="O5565" s="80" t="s">
        <v>4503</v>
      </c>
      <c r="P5565" s="80" t="s">
        <v>3694</v>
      </c>
      <c r="Q5565" s="20">
        <v>15936</v>
      </c>
      <c r="R5565" s="80" t="s">
        <v>36</v>
      </c>
      <c r="S5565" s="95">
        <v>2000</v>
      </c>
      <c r="T5565" s="148">
        <v>45595</v>
      </c>
      <c r="U5565" s="95">
        <v>13936</v>
      </c>
      <c r="V5565" s="148">
        <v>45630</v>
      </c>
      <c r="W5565" s="80" t="s">
        <v>18724</v>
      </c>
      <c r="X5565" s="80"/>
      <c r="Y5565" s="22">
        <v>0</v>
      </c>
      <c r="Z5565" s="80" t="s">
        <v>50</v>
      </c>
      <c r="AA5565" s="96" t="s">
        <v>18579</v>
      </c>
      <c r="AB5565" s="82"/>
      <c r="AC5565" s="80" t="s">
        <v>53</v>
      </c>
      <c r="AD5565" s="80" t="s">
        <v>138</v>
      </c>
      <c r="AE5565" s="80"/>
      <c r="AF5565" s="43">
        <v>45615</v>
      </c>
      <c r="AG5565" s="80"/>
      <c r="AH5565" s="80"/>
      <c r="AI5565" s="147"/>
      <c r="AJ5565" s="80"/>
      <c r="AK5565" s="80"/>
      <c r="AL5565" s="35"/>
      <c r="AM5565" s="35"/>
      <c r="AN5565" s="35"/>
      <c r="AO5565" s="35"/>
      <c r="AP5565" s="35"/>
    </row>
    <row r="5566" spans="1:42" x14ac:dyDescent="0.2">
      <c r="A5566" s="126">
        <v>45597.335161990741</v>
      </c>
      <c r="B5566" s="137" t="s">
        <v>37</v>
      </c>
      <c r="C5566" s="41" t="s">
        <v>118</v>
      </c>
      <c r="D5566" s="80" t="s">
        <v>36</v>
      </c>
      <c r="E5566" s="80" t="s">
        <v>139</v>
      </c>
      <c r="F5566" s="80" t="s">
        <v>36</v>
      </c>
      <c r="G5566" s="80" t="s">
        <v>41</v>
      </c>
      <c r="H5566" s="80" t="s">
        <v>6523</v>
      </c>
      <c r="I5566" s="17">
        <f ca="1">IFERROR(__xludf.DUMMYFUNCTION("""COMPUTED_VALUE"""),45622)</f>
        <v>45622</v>
      </c>
      <c r="J5566" s="143" t="s">
        <v>18725</v>
      </c>
      <c r="K5566" s="80" t="s">
        <v>18726</v>
      </c>
      <c r="L5566" s="30">
        <v>918906665</v>
      </c>
      <c r="M5566" s="80" t="s">
        <v>15970</v>
      </c>
      <c r="N5566" s="80" t="s">
        <v>327</v>
      </c>
      <c r="O5566" s="80" t="s">
        <v>4503</v>
      </c>
      <c r="P5566" s="80" t="s">
        <v>3056</v>
      </c>
      <c r="Q5566" s="20">
        <v>15936</v>
      </c>
      <c r="R5566" s="80" t="s">
        <v>1106</v>
      </c>
      <c r="S5566" s="95">
        <f t="shared" ref="S5566:S5567" si="150">200+5000</f>
        <v>5200</v>
      </c>
      <c r="T5566" s="83" t="s">
        <v>18727</v>
      </c>
      <c r="U5566" s="95">
        <f>10536+50</f>
        <v>10586</v>
      </c>
      <c r="V5566" s="83" t="s">
        <v>18728</v>
      </c>
      <c r="W5566" s="85" t="s">
        <v>18729</v>
      </c>
      <c r="X5566" s="80"/>
      <c r="Y5566" s="22">
        <v>150</v>
      </c>
      <c r="Z5566" s="80" t="s">
        <v>50</v>
      </c>
      <c r="AA5566" s="35" t="s">
        <v>18579</v>
      </c>
      <c r="AB5566" s="86"/>
      <c r="AC5566" s="80" t="s">
        <v>53</v>
      </c>
      <c r="AD5566" s="80" t="s">
        <v>138</v>
      </c>
      <c r="AE5566" s="80"/>
      <c r="AF5566" s="17">
        <v>45618</v>
      </c>
      <c r="AG5566" s="80"/>
      <c r="AH5566" s="80"/>
      <c r="AI5566" s="147"/>
      <c r="AJ5566" s="80"/>
      <c r="AK5566" s="80"/>
      <c r="AL5566" s="35"/>
      <c r="AM5566" s="35"/>
      <c r="AN5566" s="35"/>
      <c r="AO5566" s="35"/>
      <c r="AP5566" s="35"/>
    </row>
    <row r="5567" spans="1:42" x14ac:dyDescent="0.2">
      <c r="A5567" s="126">
        <v>45597.347549375001</v>
      </c>
      <c r="B5567" s="137" t="s">
        <v>37</v>
      </c>
      <c r="C5567" s="41" t="s">
        <v>118</v>
      </c>
      <c r="D5567" s="80" t="s">
        <v>36</v>
      </c>
      <c r="E5567" s="80" t="s">
        <v>139</v>
      </c>
      <c r="F5567" s="80" t="s">
        <v>36</v>
      </c>
      <c r="G5567" s="80" t="s">
        <v>41</v>
      </c>
      <c r="H5567" s="80" t="s">
        <v>17752</v>
      </c>
      <c r="I5567" s="17">
        <f ca="1">IFERROR(__xludf.DUMMYFUNCTION("""COMPUTED_VALUE"""),45618)</f>
        <v>45618</v>
      </c>
      <c r="J5567" s="143" t="s">
        <v>18519</v>
      </c>
      <c r="K5567" s="80" t="s">
        <v>18730</v>
      </c>
      <c r="L5567" s="30">
        <v>981773514</v>
      </c>
      <c r="M5567" s="80" t="s">
        <v>18358</v>
      </c>
      <c r="N5567" s="80" t="s">
        <v>2847</v>
      </c>
      <c r="O5567" s="80" t="s">
        <v>4503</v>
      </c>
      <c r="P5567" s="80" t="s">
        <v>3056</v>
      </c>
      <c r="Q5567" s="20">
        <v>15936</v>
      </c>
      <c r="R5567" s="80" t="s">
        <v>36</v>
      </c>
      <c r="S5567" s="95">
        <f t="shared" si="150"/>
        <v>5200</v>
      </c>
      <c r="T5567" s="83" t="s">
        <v>18522</v>
      </c>
      <c r="U5567" s="95">
        <v>10736</v>
      </c>
      <c r="V5567" s="148">
        <v>45641</v>
      </c>
      <c r="W5567" s="85" t="s">
        <v>18523</v>
      </c>
      <c r="X5567" s="80"/>
      <c r="Y5567" s="22">
        <v>0</v>
      </c>
      <c r="Z5567" s="80" t="s">
        <v>50</v>
      </c>
      <c r="AA5567" s="96" t="s">
        <v>18579</v>
      </c>
      <c r="AB5567" s="82"/>
      <c r="AC5567" s="80" t="s">
        <v>53</v>
      </c>
      <c r="AD5567" s="80" t="s">
        <v>138</v>
      </c>
      <c r="AE5567" s="80"/>
      <c r="AF5567" s="43">
        <v>45618</v>
      </c>
      <c r="AG5567" s="80" t="s">
        <v>16677</v>
      </c>
      <c r="AH5567" s="80"/>
      <c r="AI5567" s="147"/>
      <c r="AJ5567" s="80"/>
      <c r="AK5567" s="80"/>
      <c r="AL5567" s="35"/>
      <c r="AM5567" s="35"/>
      <c r="AN5567" s="35"/>
      <c r="AO5567" s="35"/>
      <c r="AP5567" s="35"/>
    </row>
    <row r="5568" spans="1:42" x14ac:dyDescent="0.2">
      <c r="A5568" s="126">
        <v>45597.348806307869</v>
      </c>
      <c r="B5568" s="137" t="s">
        <v>37</v>
      </c>
      <c r="C5568" s="41" t="s">
        <v>118</v>
      </c>
      <c r="D5568" s="80" t="s">
        <v>36</v>
      </c>
      <c r="E5568" s="80" t="s">
        <v>139</v>
      </c>
      <c r="F5568" s="80" t="s">
        <v>36</v>
      </c>
      <c r="G5568" s="80" t="s">
        <v>41</v>
      </c>
      <c r="H5568" s="80" t="s">
        <v>15451</v>
      </c>
      <c r="I5568" s="17">
        <f ca="1">IFERROR(__xludf.DUMMYFUNCTION("""COMPUTED_VALUE"""),45603)</f>
        <v>45603</v>
      </c>
      <c r="J5568" s="143" t="s">
        <v>18356</v>
      </c>
      <c r="K5568" s="80" t="s">
        <v>18357</v>
      </c>
      <c r="L5568" s="30">
        <v>918053882</v>
      </c>
      <c r="M5568" s="80" t="s">
        <v>18358</v>
      </c>
      <c r="N5568" s="80" t="s">
        <v>2847</v>
      </c>
      <c r="O5568" s="80" t="s">
        <v>4503</v>
      </c>
      <c r="P5568" s="80" t="s">
        <v>3056</v>
      </c>
      <c r="Q5568" s="20">
        <v>15936</v>
      </c>
      <c r="R5568" s="80" t="s">
        <v>36</v>
      </c>
      <c r="S5568" s="95">
        <f>100+1868</f>
        <v>1968</v>
      </c>
      <c r="T5568" s="83" t="s">
        <v>17724</v>
      </c>
      <c r="U5568" s="77">
        <f>13930+38</f>
        <v>13968</v>
      </c>
      <c r="V5568" s="80" t="s">
        <v>18359</v>
      </c>
      <c r="W5568" s="85" t="s">
        <v>18360</v>
      </c>
      <c r="X5568" s="80"/>
      <c r="Y5568" s="22">
        <v>0</v>
      </c>
      <c r="Z5568" s="80" t="s">
        <v>50</v>
      </c>
      <c r="AA5568" s="35" t="s">
        <v>18579</v>
      </c>
      <c r="AB5568" s="86"/>
      <c r="AC5568" s="80" t="s">
        <v>53</v>
      </c>
      <c r="AD5568" s="80" t="s">
        <v>138</v>
      </c>
      <c r="AE5568" s="80"/>
      <c r="AF5568" s="17">
        <v>45603</v>
      </c>
      <c r="AG5568" s="80"/>
      <c r="AH5568" s="80"/>
      <c r="AI5568" s="147"/>
      <c r="AJ5568" s="80"/>
      <c r="AK5568" s="80"/>
      <c r="AL5568" s="35"/>
      <c r="AM5568" s="35"/>
      <c r="AN5568" s="35"/>
      <c r="AO5568" s="35"/>
      <c r="AP5568" s="35"/>
    </row>
    <row r="5569" spans="1:42" x14ac:dyDescent="0.2">
      <c r="A5569" s="126">
        <v>45597.383574652777</v>
      </c>
      <c r="B5569" s="137" t="s">
        <v>37</v>
      </c>
      <c r="C5569" s="41" t="s">
        <v>118</v>
      </c>
      <c r="D5569" s="80" t="s">
        <v>36</v>
      </c>
      <c r="E5569" s="80" t="s">
        <v>56</v>
      </c>
      <c r="F5569" s="80" t="s">
        <v>36</v>
      </c>
      <c r="G5569" s="80" t="s">
        <v>41</v>
      </c>
      <c r="H5569" s="80" t="s">
        <v>14051</v>
      </c>
      <c r="I5569" s="17">
        <f ca="1">IFERROR(__xludf.DUMMYFUNCTION("""COMPUTED_VALUE"""),45615)</f>
        <v>45615</v>
      </c>
      <c r="J5569" s="143" t="s">
        <v>18731</v>
      </c>
      <c r="K5569" s="80" t="s">
        <v>18732</v>
      </c>
      <c r="L5569" s="30">
        <v>931354423</v>
      </c>
      <c r="M5569" s="80" t="s">
        <v>15996</v>
      </c>
      <c r="N5569" s="80" t="s">
        <v>186</v>
      </c>
      <c r="O5569" s="80" t="s">
        <v>4503</v>
      </c>
      <c r="P5569" s="80" t="s">
        <v>3056</v>
      </c>
      <c r="Q5569" s="20">
        <v>9317</v>
      </c>
      <c r="R5569" s="80" t="s">
        <v>1106</v>
      </c>
      <c r="S5569" s="95">
        <f t="shared" ref="S5569:S5570" si="151">200+3000</f>
        <v>3200</v>
      </c>
      <c r="T5569" s="200">
        <v>45614</v>
      </c>
      <c r="U5569" s="95">
        <v>5967</v>
      </c>
      <c r="V5569" s="148">
        <v>45632</v>
      </c>
      <c r="W5569" s="85" t="s">
        <v>18733</v>
      </c>
      <c r="X5569" s="80"/>
      <c r="Y5569" s="22">
        <v>150</v>
      </c>
      <c r="Z5569" s="80" t="s">
        <v>50</v>
      </c>
      <c r="AA5569" s="96" t="s">
        <v>18579</v>
      </c>
      <c r="AB5569" s="82"/>
      <c r="AC5569" s="80" t="s">
        <v>53</v>
      </c>
      <c r="AD5569" s="80" t="s">
        <v>138</v>
      </c>
      <c r="AE5569" s="80"/>
      <c r="AF5569" s="43">
        <v>45615</v>
      </c>
      <c r="AG5569" s="80"/>
      <c r="AH5569" s="80"/>
      <c r="AI5569" s="147"/>
      <c r="AJ5569" s="80"/>
      <c r="AK5569" s="80"/>
      <c r="AL5569" s="35"/>
      <c r="AM5569" s="35"/>
      <c r="AN5569" s="35"/>
      <c r="AO5569" s="35"/>
      <c r="AP5569" s="35"/>
    </row>
    <row r="5570" spans="1:42" x14ac:dyDescent="0.2">
      <c r="A5570" s="126">
        <v>45597.384616469906</v>
      </c>
      <c r="B5570" s="137" t="s">
        <v>37</v>
      </c>
      <c r="C5570" s="41" t="s">
        <v>118</v>
      </c>
      <c r="D5570" s="80" t="s">
        <v>36</v>
      </c>
      <c r="E5570" s="80" t="s">
        <v>56</v>
      </c>
      <c r="F5570" s="80" t="s">
        <v>36</v>
      </c>
      <c r="G5570" s="80" t="s">
        <v>41</v>
      </c>
      <c r="H5570" s="80" t="s">
        <v>14051</v>
      </c>
      <c r="I5570" s="17">
        <f ca="1">IFERROR(__xludf.DUMMYFUNCTION("""COMPUTED_VALUE"""),45615)</f>
        <v>45615</v>
      </c>
      <c r="J5570" s="143" t="s">
        <v>18734</v>
      </c>
      <c r="K5570" s="80" t="s">
        <v>18735</v>
      </c>
      <c r="L5570" s="30">
        <v>967626371</v>
      </c>
      <c r="M5570" s="80" t="s">
        <v>15996</v>
      </c>
      <c r="N5570" s="80" t="s">
        <v>186</v>
      </c>
      <c r="O5570" s="80" t="s">
        <v>4503</v>
      </c>
      <c r="P5570" s="80" t="s">
        <v>3056</v>
      </c>
      <c r="Q5570" s="20">
        <v>9317</v>
      </c>
      <c r="R5570" s="80" t="s">
        <v>1106</v>
      </c>
      <c r="S5570" s="95">
        <f t="shared" si="151"/>
        <v>3200</v>
      </c>
      <c r="T5570" s="83" t="s">
        <v>18736</v>
      </c>
      <c r="U5570" s="95">
        <v>5967</v>
      </c>
      <c r="V5570" s="148">
        <v>45632</v>
      </c>
      <c r="W5570" s="85" t="s">
        <v>18737</v>
      </c>
      <c r="X5570" s="80"/>
      <c r="Y5570" s="22">
        <v>150</v>
      </c>
      <c r="Z5570" s="80" t="s">
        <v>50</v>
      </c>
      <c r="AA5570" s="35" t="s">
        <v>18579</v>
      </c>
      <c r="AB5570" s="86"/>
      <c r="AC5570" s="80" t="s">
        <v>53</v>
      </c>
      <c r="AD5570" s="80" t="s">
        <v>138</v>
      </c>
      <c r="AE5570" s="80"/>
      <c r="AF5570" s="43">
        <v>45615</v>
      </c>
      <c r="AG5570" s="80"/>
      <c r="AH5570" s="80"/>
      <c r="AI5570" s="147"/>
      <c r="AJ5570" s="80"/>
      <c r="AK5570" s="80"/>
      <c r="AL5570" s="35"/>
      <c r="AM5570" s="35"/>
      <c r="AN5570" s="35"/>
      <c r="AO5570" s="35"/>
      <c r="AP5570" s="35"/>
    </row>
    <row r="5571" spans="1:42" x14ac:dyDescent="0.2">
      <c r="A5571" s="126">
        <v>45597.940647280091</v>
      </c>
      <c r="B5571" s="137" t="s">
        <v>37</v>
      </c>
      <c r="C5571" s="41" t="s">
        <v>118</v>
      </c>
      <c r="D5571" s="80" t="s">
        <v>36</v>
      </c>
      <c r="E5571" s="80" t="s">
        <v>139</v>
      </c>
      <c r="F5571" s="80" t="s">
        <v>36</v>
      </c>
      <c r="G5571" s="26" t="s">
        <v>41</v>
      </c>
      <c r="H5571" s="80" t="s">
        <v>15451</v>
      </c>
      <c r="I5571" s="17">
        <f ca="1">IFERROR(__xludf.DUMMYFUNCTION("""COMPUTED_VALUE"""),45603)</f>
        <v>45603</v>
      </c>
      <c r="J5571" s="143" t="s">
        <v>18350</v>
      </c>
      <c r="K5571" s="80" t="s">
        <v>18738</v>
      </c>
      <c r="L5571" s="30">
        <v>332322510</v>
      </c>
      <c r="M5571" s="80" t="s">
        <v>17779</v>
      </c>
      <c r="N5571" s="80" t="s">
        <v>7153</v>
      </c>
      <c r="O5571" s="80" t="s">
        <v>18352</v>
      </c>
      <c r="P5571" s="80" t="s">
        <v>18353</v>
      </c>
      <c r="Q5571" s="20">
        <v>15936</v>
      </c>
      <c r="R5571" s="80" t="s">
        <v>36</v>
      </c>
      <c r="S5571" s="95">
        <v>2000</v>
      </c>
      <c r="T5571" s="148">
        <v>45597</v>
      </c>
      <c r="U5571" s="95">
        <v>13936</v>
      </c>
      <c r="V5571" s="148">
        <v>45636</v>
      </c>
      <c r="W5571" s="85" t="s">
        <v>18354</v>
      </c>
      <c r="X5571" s="80"/>
      <c r="Y5571" s="22">
        <v>0</v>
      </c>
      <c r="Z5571" s="80" t="s">
        <v>50</v>
      </c>
      <c r="AA5571" s="96" t="s">
        <v>18579</v>
      </c>
      <c r="AB5571" s="82"/>
      <c r="AC5571" s="80" t="s">
        <v>53</v>
      </c>
      <c r="AD5571" s="80" t="s">
        <v>138</v>
      </c>
      <c r="AE5571" s="80"/>
      <c r="AF5571" s="17">
        <v>45603</v>
      </c>
      <c r="AG5571" s="80"/>
      <c r="AH5571" s="80"/>
      <c r="AI5571" s="147"/>
      <c r="AJ5571" s="80"/>
      <c r="AK5571" s="80"/>
      <c r="AL5571" s="35"/>
      <c r="AM5571" s="35"/>
      <c r="AN5571" s="35"/>
      <c r="AO5571" s="35"/>
      <c r="AP5571" s="35"/>
    </row>
    <row r="5572" spans="1:42" x14ac:dyDescent="0.2">
      <c r="A5572" s="126">
        <v>45598.924230844903</v>
      </c>
      <c r="B5572" s="137" t="s">
        <v>37</v>
      </c>
      <c r="C5572" s="41" t="s">
        <v>118</v>
      </c>
      <c r="D5572" s="80" t="s">
        <v>36</v>
      </c>
      <c r="E5572" s="80" t="s">
        <v>119</v>
      </c>
      <c r="F5572" s="80" t="s">
        <v>36</v>
      </c>
      <c r="G5572" s="80" t="s">
        <v>108</v>
      </c>
      <c r="H5572" s="80" t="s">
        <v>14066</v>
      </c>
      <c r="I5572" s="17">
        <f ca="1">IFERROR(__xludf.DUMMYFUNCTION("""COMPUTED_VALUE"""),45604)</f>
        <v>45604</v>
      </c>
      <c r="J5572" s="143" t="s">
        <v>18739</v>
      </c>
      <c r="K5572" s="80" t="s">
        <v>18740</v>
      </c>
      <c r="L5572" s="30">
        <v>335269065</v>
      </c>
      <c r="M5572" s="80" t="s">
        <v>12644</v>
      </c>
      <c r="N5572" s="80" t="s">
        <v>8725</v>
      </c>
      <c r="O5572" s="80" t="s">
        <v>18741</v>
      </c>
      <c r="P5572" s="80" t="s">
        <v>18742</v>
      </c>
      <c r="Q5572" s="20">
        <v>13968</v>
      </c>
      <c r="R5572" s="80" t="s">
        <v>36</v>
      </c>
      <c r="S5572" s="95">
        <v>4000</v>
      </c>
      <c r="T5572" s="148">
        <v>45598</v>
      </c>
      <c r="U5572" s="95">
        <v>9968</v>
      </c>
      <c r="V5572" s="148">
        <v>45636</v>
      </c>
      <c r="W5572" s="85" t="s">
        <v>18743</v>
      </c>
      <c r="X5572" s="80"/>
      <c r="Y5572" s="22">
        <v>0</v>
      </c>
      <c r="Z5572" s="80" t="s">
        <v>50</v>
      </c>
      <c r="AA5572" s="35" t="s">
        <v>18579</v>
      </c>
      <c r="AB5572" s="86"/>
      <c r="AC5572" s="80" t="s">
        <v>53</v>
      </c>
      <c r="AD5572" s="80" t="s">
        <v>138</v>
      </c>
      <c r="AE5572" s="80" t="s">
        <v>18744</v>
      </c>
      <c r="AF5572" s="60" t="s">
        <v>14072</v>
      </c>
      <c r="AG5572" s="80"/>
      <c r="AH5572" s="80"/>
      <c r="AI5572" s="147"/>
      <c r="AJ5572" s="80"/>
      <c r="AK5572" s="80"/>
      <c r="AL5572" s="35"/>
      <c r="AM5572" s="35"/>
      <c r="AN5572" s="35"/>
      <c r="AO5572" s="35"/>
      <c r="AP5572" s="35"/>
    </row>
    <row r="5573" spans="1:42" x14ac:dyDescent="0.2">
      <c r="A5573" s="126">
        <v>45599.313698101847</v>
      </c>
      <c r="B5573" s="137" t="s">
        <v>37</v>
      </c>
      <c r="C5573" s="41" t="s">
        <v>118</v>
      </c>
      <c r="D5573" s="80" t="s">
        <v>36</v>
      </c>
      <c r="E5573" s="80" t="s">
        <v>119</v>
      </c>
      <c r="F5573" s="80" t="s">
        <v>36</v>
      </c>
      <c r="G5573" s="80" t="s">
        <v>108</v>
      </c>
      <c r="H5573" s="80" t="s">
        <v>14038</v>
      </c>
      <c r="I5573" s="17">
        <f ca="1">IFERROR(__xludf.DUMMYFUNCTION("""COMPUTED_VALUE"""),45621)</f>
        <v>45621</v>
      </c>
      <c r="J5573" s="143" t="s">
        <v>9566</v>
      </c>
      <c r="K5573" s="80" t="s">
        <v>18745</v>
      </c>
      <c r="L5573" s="30">
        <v>868191219</v>
      </c>
      <c r="M5573" s="80" t="s">
        <v>5558</v>
      </c>
      <c r="N5573" s="80" t="s">
        <v>5277</v>
      </c>
      <c r="O5573" s="80" t="s">
        <v>4503</v>
      </c>
      <c r="P5573" s="80" t="s">
        <v>14107</v>
      </c>
      <c r="Q5573" s="20">
        <v>13968</v>
      </c>
      <c r="R5573" s="80" t="s">
        <v>36</v>
      </c>
      <c r="S5573" s="95">
        <v>4000</v>
      </c>
      <c r="T5573" s="148">
        <v>45599</v>
      </c>
      <c r="U5573" s="95">
        <v>9968</v>
      </c>
      <c r="V5573" s="148">
        <v>45637</v>
      </c>
      <c r="W5573" s="85" t="s">
        <v>18746</v>
      </c>
      <c r="X5573" s="80"/>
      <c r="Y5573" s="22">
        <v>0</v>
      </c>
      <c r="Z5573" s="80" t="s">
        <v>50</v>
      </c>
      <c r="AA5573" s="96" t="s">
        <v>18579</v>
      </c>
      <c r="AB5573" s="82"/>
      <c r="AC5573" s="80" t="s">
        <v>53</v>
      </c>
      <c r="AD5573" s="80" t="s">
        <v>138</v>
      </c>
      <c r="AE5573" s="80"/>
      <c r="AF5573" s="17">
        <v>45603</v>
      </c>
      <c r="AG5573" s="80"/>
      <c r="AH5573" s="80"/>
      <c r="AI5573" s="147"/>
      <c r="AJ5573" s="80"/>
      <c r="AK5573" s="80"/>
      <c r="AL5573" s="35"/>
      <c r="AM5573" s="35"/>
      <c r="AN5573" s="35"/>
      <c r="AO5573" s="35"/>
      <c r="AP5573" s="35"/>
    </row>
    <row r="5574" spans="1:42" x14ac:dyDescent="0.2">
      <c r="A5574" s="126">
        <v>45599.596910960652</v>
      </c>
      <c r="B5574" s="137" t="s">
        <v>37</v>
      </c>
      <c r="C5574" s="41" t="s">
        <v>118</v>
      </c>
      <c r="D5574" s="80" t="s">
        <v>36</v>
      </c>
      <c r="E5574" s="80" t="s">
        <v>77</v>
      </c>
      <c r="F5574" s="80" t="s">
        <v>36</v>
      </c>
      <c r="G5574" s="80" t="s">
        <v>41</v>
      </c>
      <c r="H5574" s="80" t="s">
        <v>12700</v>
      </c>
      <c r="I5574" s="17">
        <f ca="1">IFERROR(__xludf.DUMMYFUNCTION("""COMPUTED_VALUE"""),45601)</f>
        <v>45601</v>
      </c>
      <c r="J5574" s="143" t="s">
        <v>18747</v>
      </c>
      <c r="K5574" s="80" t="s">
        <v>18748</v>
      </c>
      <c r="L5574" s="30">
        <v>384653289</v>
      </c>
      <c r="M5574" s="80" t="s">
        <v>18749</v>
      </c>
      <c r="N5574" s="80" t="s">
        <v>18750</v>
      </c>
      <c r="O5574" s="80" t="s">
        <v>4503</v>
      </c>
      <c r="P5574" s="144" t="s">
        <v>18751</v>
      </c>
      <c r="Q5574" s="20">
        <v>1968</v>
      </c>
      <c r="R5574" s="80" t="s">
        <v>36</v>
      </c>
      <c r="S5574" s="95">
        <v>2000</v>
      </c>
      <c r="T5574" s="148">
        <v>45599</v>
      </c>
      <c r="U5574" s="95"/>
      <c r="V5574" s="148"/>
      <c r="W5574" s="85" t="s">
        <v>18752</v>
      </c>
      <c r="X5574" s="80"/>
      <c r="Y5574" s="22">
        <v>-32</v>
      </c>
      <c r="Z5574" s="80" t="s">
        <v>50</v>
      </c>
      <c r="AA5574" s="35" t="s">
        <v>18579</v>
      </c>
      <c r="AB5574" s="86"/>
      <c r="AC5574" s="80" t="s">
        <v>53</v>
      </c>
      <c r="AD5574" s="80" t="s">
        <v>54</v>
      </c>
      <c r="AE5574" s="80"/>
      <c r="AF5574" s="17">
        <v>45600</v>
      </c>
      <c r="AG5574" s="80" t="s">
        <v>18664</v>
      </c>
      <c r="AH5574" s="80"/>
      <c r="AI5574" s="147"/>
      <c r="AJ5574" s="80"/>
      <c r="AK5574" s="80"/>
      <c r="AL5574" s="35"/>
      <c r="AM5574" s="35"/>
      <c r="AN5574" s="35"/>
      <c r="AO5574" s="35"/>
      <c r="AP5574" s="35"/>
    </row>
    <row r="5575" spans="1:42" x14ac:dyDescent="0.2">
      <c r="A5575" s="126">
        <v>45600.399382453703</v>
      </c>
      <c r="B5575" s="137" t="s">
        <v>37</v>
      </c>
      <c r="C5575" s="41" t="s">
        <v>118</v>
      </c>
      <c r="D5575" s="80" t="s">
        <v>36</v>
      </c>
      <c r="E5575" s="80" t="s">
        <v>139</v>
      </c>
      <c r="F5575" s="80" t="s">
        <v>36</v>
      </c>
      <c r="G5575" s="80" t="s">
        <v>41</v>
      </c>
      <c r="H5575" s="80" t="s">
        <v>14051</v>
      </c>
      <c r="I5575" s="17">
        <f ca="1">IFERROR(__xludf.DUMMYFUNCTION("""COMPUTED_VALUE"""),45615)</f>
        <v>45615</v>
      </c>
      <c r="J5575" s="143" t="s">
        <v>18753</v>
      </c>
      <c r="K5575" s="80" t="s">
        <v>13560</v>
      </c>
      <c r="L5575" s="30">
        <v>369947525</v>
      </c>
      <c r="M5575" s="80" t="s">
        <v>15996</v>
      </c>
      <c r="N5575" s="80" t="s">
        <v>186</v>
      </c>
      <c r="O5575" s="80" t="s">
        <v>4503</v>
      </c>
      <c r="P5575" s="80" t="s">
        <v>3056</v>
      </c>
      <c r="Q5575" s="20">
        <v>15936</v>
      </c>
      <c r="R5575" s="80" t="s">
        <v>1106</v>
      </c>
      <c r="S5575" s="95">
        <f>200+4800</f>
        <v>5000</v>
      </c>
      <c r="T5575" s="83" t="s">
        <v>18754</v>
      </c>
      <c r="U5575" s="95">
        <f>10768+18</f>
        <v>10786</v>
      </c>
      <c r="V5575" s="83" t="s">
        <v>18755</v>
      </c>
      <c r="W5575" s="85" t="s">
        <v>18756</v>
      </c>
      <c r="X5575" s="80"/>
      <c r="Y5575" s="22">
        <v>150</v>
      </c>
      <c r="Z5575" s="80" t="s">
        <v>50</v>
      </c>
      <c r="AA5575" s="96" t="s">
        <v>18579</v>
      </c>
      <c r="AB5575" s="82"/>
      <c r="AC5575" s="80" t="s">
        <v>53</v>
      </c>
      <c r="AD5575" s="80" t="s">
        <v>138</v>
      </c>
      <c r="AE5575" s="80"/>
      <c r="AF5575" s="43">
        <v>45615</v>
      </c>
      <c r="AG5575" s="80"/>
      <c r="AH5575" s="80"/>
      <c r="AI5575" s="147"/>
      <c r="AJ5575" s="80"/>
      <c r="AK5575" s="80"/>
      <c r="AL5575" s="35"/>
      <c r="AM5575" s="35"/>
      <c r="AN5575" s="35"/>
      <c r="AO5575" s="35"/>
      <c r="AP5575" s="35"/>
    </row>
    <row r="5576" spans="1:42" x14ac:dyDescent="0.2">
      <c r="A5576" s="126">
        <v>45600.966792175925</v>
      </c>
      <c r="B5576" s="137" t="s">
        <v>37</v>
      </c>
      <c r="C5576" s="41" t="s">
        <v>118</v>
      </c>
      <c r="D5576" s="80" t="s">
        <v>36</v>
      </c>
      <c r="E5576" s="80" t="s">
        <v>56</v>
      </c>
      <c r="F5576" s="80" t="s">
        <v>36</v>
      </c>
      <c r="G5576" s="80" t="s">
        <v>41</v>
      </c>
      <c r="H5576" s="80" t="s">
        <v>17752</v>
      </c>
      <c r="I5576" s="17">
        <f ca="1">IFERROR(__xludf.DUMMYFUNCTION("""COMPUTED_VALUE"""),45618)</f>
        <v>45618</v>
      </c>
      <c r="J5576" s="143" t="s">
        <v>18524</v>
      </c>
      <c r="K5576" s="80" t="s">
        <v>17564</v>
      </c>
      <c r="L5576" s="30">
        <v>342835096</v>
      </c>
      <c r="M5576" s="80" t="s">
        <v>18358</v>
      </c>
      <c r="N5576" s="80" t="s">
        <v>2847</v>
      </c>
      <c r="O5576" s="80" t="s">
        <v>4503</v>
      </c>
      <c r="P5576" s="80" t="s">
        <v>3487</v>
      </c>
      <c r="Q5576" s="20">
        <v>9317</v>
      </c>
      <c r="R5576" s="80" t="s">
        <v>36</v>
      </c>
      <c r="S5576" s="95">
        <f>200+2000</f>
        <v>2200</v>
      </c>
      <c r="T5576" s="83" t="s">
        <v>18525</v>
      </c>
      <c r="U5576" s="95">
        <v>7117</v>
      </c>
      <c r="V5576" s="148">
        <v>45633</v>
      </c>
      <c r="W5576" s="85" t="s">
        <v>18526</v>
      </c>
      <c r="X5576" s="80"/>
      <c r="Y5576" s="22">
        <v>0</v>
      </c>
      <c r="Z5576" s="80" t="s">
        <v>50</v>
      </c>
      <c r="AA5576" s="35" t="s">
        <v>18579</v>
      </c>
      <c r="AB5576" s="86"/>
      <c r="AC5576" s="80" t="s">
        <v>53</v>
      </c>
      <c r="AD5576" s="80" t="s">
        <v>138</v>
      </c>
      <c r="AE5576" s="80"/>
      <c r="AF5576" s="43">
        <v>45618</v>
      </c>
      <c r="AG5576" s="80" t="s">
        <v>16677</v>
      </c>
      <c r="AH5576" s="80"/>
      <c r="AI5576" s="147"/>
      <c r="AJ5576" s="80"/>
      <c r="AK5576" s="80"/>
      <c r="AL5576" s="35"/>
      <c r="AM5576" s="35"/>
      <c r="AN5576" s="35"/>
      <c r="AO5576" s="35"/>
      <c r="AP5576" s="35"/>
    </row>
    <row r="5577" spans="1:42" x14ac:dyDescent="0.2">
      <c r="A5577" s="126">
        <v>45600.97126612268</v>
      </c>
      <c r="B5577" s="137" t="s">
        <v>37</v>
      </c>
      <c r="C5577" s="41" t="s">
        <v>118</v>
      </c>
      <c r="D5577" s="80" t="s">
        <v>36</v>
      </c>
      <c r="E5577" s="80" t="s">
        <v>139</v>
      </c>
      <c r="F5577" s="80" t="s">
        <v>36</v>
      </c>
      <c r="G5577" s="80" t="s">
        <v>41</v>
      </c>
      <c r="H5577" s="80" t="s">
        <v>17752</v>
      </c>
      <c r="I5577" s="17">
        <f ca="1">IFERROR(__xludf.DUMMYFUNCTION("""COMPUTED_VALUE"""),45618)</f>
        <v>45618</v>
      </c>
      <c r="J5577" s="143" t="s">
        <v>18527</v>
      </c>
      <c r="K5577" s="80" t="s">
        <v>18528</v>
      </c>
      <c r="L5577" s="30">
        <v>936794681</v>
      </c>
      <c r="M5577" s="80" t="s">
        <v>15970</v>
      </c>
      <c r="N5577" s="80" t="s">
        <v>327</v>
      </c>
      <c r="O5577" s="80" t="s">
        <v>18529</v>
      </c>
      <c r="P5577" s="80" t="s">
        <v>3694</v>
      </c>
      <c r="Q5577" s="20">
        <v>15936</v>
      </c>
      <c r="R5577" s="80" t="s">
        <v>36</v>
      </c>
      <c r="S5577" s="95">
        <f t="shared" ref="S5577:S5578" si="152">200+1800</f>
        <v>2000</v>
      </c>
      <c r="T5577" s="83" t="s">
        <v>18530</v>
      </c>
      <c r="U5577" s="95">
        <v>13936</v>
      </c>
      <c r="V5577" s="148">
        <v>45633</v>
      </c>
      <c r="W5577" s="85" t="s">
        <v>18531</v>
      </c>
      <c r="X5577" s="80"/>
      <c r="Y5577" s="22">
        <v>0</v>
      </c>
      <c r="Z5577" s="80" t="s">
        <v>50</v>
      </c>
      <c r="AA5577" s="96" t="s">
        <v>18579</v>
      </c>
      <c r="AB5577" s="82"/>
      <c r="AC5577" s="80" t="s">
        <v>53</v>
      </c>
      <c r="AD5577" s="80" t="s">
        <v>138</v>
      </c>
      <c r="AE5577" s="80"/>
      <c r="AF5577" s="43">
        <v>45618</v>
      </c>
      <c r="AG5577" s="80" t="s">
        <v>16677</v>
      </c>
      <c r="AH5577" s="80"/>
      <c r="AI5577" s="147"/>
      <c r="AJ5577" s="80"/>
      <c r="AK5577" s="80"/>
      <c r="AL5577" s="35"/>
      <c r="AM5577" s="35"/>
      <c r="AN5577" s="35"/>
      <c r="AO5577" s="35"/>
      <c r="AP5577" s="35"/>
    </row>
    <row r="5578" spans="1:42" x14ac:dyDescent="0.2">
      <c r="A5578" s="126">
        <v>45601.513799201392</v>
      </c>
      <c r="B5578" s="137" t="s">
        <v>37</v>
      </c>
      <c r="C5578" s="41" t="s">
        <v>118</v>
      </c>
      <c r="D5578" s="80" t="s">
        <v>36</v>
      </c>
      <c r="E5578" s="80" t="s">
        <v>139</v>
      </c>
      <c r="F5578" s="80" t="s">
        <v>40</v>
      </c>
      <c r="G5578" s="80" t="s">
        <v>41</v>
      </c>
      <c r="H5578" s="80" t="s">
        <v>15290</v>
      </c>
      <c r="I5578" s="17">
        <f ca="1">IFERROR(__xludf.DUMMYFUNCTION("""COMPUTED_VALUE"""),45609)</f>
        <v>45609</v>
      </c>
      <c r="J5578" s="143" t="s">
        <v>18757</v>
      </c>
      <c r="K5578" s="80" t="s">
        <v>18758</v>
      </c>
      <c r="L5578" s="30">
        <v>389946548</v>
      </c>
      <c r="M5578" s="80" t="s">
        <v>18749</v>
      </c>
      <c r="N5578" s="80" t="s">
        <v>5559</v>
      </c>
      <c r="O5578" s="80" t="s">
        <v>4503</v>
      </c>
      <c r="P5578" s="80" t="s">
        <v>18759</v>
      </c>
      <c r="Q5578" s="20">
        <v>15936</v>
      </c>
      <c r="R5578" s="80" t="s">
        <v>36</v>
      </c>
      <c r="S5578" s="95">
        <f t="shared" si="152"/>
        <v>2000</v>
      </c>
      <c r="T5578" s="83" t="s">
        <v>18760</v>
      </c>
      <c r="U5578" s="95">
        <v>13936</v>
      </c>
      <c r="V5578" s="148">
        <v>45631</v>
      </c>
      <c r="W5578" s="85" t="s">
        <v>18761</v>
      </c>
      <c r="X5578" s="80"/>
      <c r="Y5578" s="22">
        <v>0</v>
      </c>
      <c r="Z5578" s="80" t="s">
        <v>50</v>
      </c>
      <c r="AA5578" s="35" t="s">
        <v>18579</v>
      </c>
      <c r="AB5578" s="86"/>
      <c r="AC5578" s="80" t="s">
        <v>53</v>
      </c>
      <c r="AD5578" s="80" t="s">
        <v>54</v>
      </c>
      <c r="AE5578" s="80" t="s">
        <v>4503</v>
      </c>
      <c r="AF5578" s="43">
        <v>45607</v>
      </c>
      <c r="AG5578" s="80"/>
      <c r="AH5578" s="80"/>
      <c r="AI5578" s="147"/>
      <c r="AJ5578" s="80"/>
      <c r="AK5578" s="80"/>
      <c r="AL5578" s="35"/>
      <c r="AM5578" s="35"/>
      <c r="AN5578" s="35"/>
      <c r="AO5578" s="35"/>
      <c r="AP5578" s="35"/>
    </row>
    <row r="5579" spans="1:42" x14ac:dyDescent="0.2">
      <c r="A5579" s="38">
        <v>45601</v>
      </c>
      <c r="B5579" s="137" t="s">
        <v>37</v>
      </c>
      <c r="C5579" s="41" t="s">
        <v>118</v>
      </c>
      <c r="D5579" s="80" t="s">
        <v>36</v>
      </c>
      <c r="E5579" s="80" t="s">
        <v>148</v>
      </c>
      <c r="F5579" s="80" t="s">
        <v>13178</v>
      </c>
      <c r="G5579" s="80" t="s">
        <v>108</v>
      </c>
      <c r="H5579" s="80" t="s">
        <v>14234</v>
      </c>
      <c r="I5579" s="17">
        <f ca="1">IFERROR(__xludf.DUMMYFUNCTION("""COMPUTED_VALUE"""),45642)</f>
        <v>45642</v>
      </c>
      <c r="J5579" s="143" t="s">
        <v>17220</v>
      </c>
      <c r="K5579" s="80" t="s">
        <v>18762</v>
      </c>
      <c r="L5579" s="30">
        <v>971817508</v>
      </c>
      <c r="M5579" s="80" t="s">
        <v>12529</v>
      </c>
      <c r="N5579" s="80" t="s">
        <v>466</v>
      </c>
      <c r="O5579" s="80" t="s">
        <v>17222</v>
      </c>
      <c r="P5579" s="80" t="s">
        <v>3178</v>
      </c>
      <c r="Q5579" s="20">
        <v>7349</v>
      </c>
      <c r="R5579" s="80" t="s">
        <v>36</v>
      </c>
      <c r="S5579" s="95">
        <v>4017</v>
      </c>
      <c r="T5579" s="148">
        <v>45609</v>
      </c>
      <c r="U5579" s="80">
        <f>1800+1500</f>
        <v>3300</v>
      </c>
      <c r="V5579" s="80" t="s">
        <v>18763</v>
      </c>
      <c r="W5579" s="85" t="s">
        <v>18764</v>
      </c>
      <c r="X5579" s="80"/>
      <c r="Y5579" s="22">
        <v>32</v>
      </c>
      <c r="Z5579" s="80" t="s">
        <v>50</v>
      </c>
      <c r="AA5579" s="96" t="s">
        <v>18579</v>
      </c>
      <c r="AB5579" s="82" t="s">
        <v>18765</v>
      </c>
      <c r="AC5579" s="80" t="s">
        <v>53</v>
      </c>
      <c r="AD5579" s="80" t="s">
        <v>138</v>
      </c>
      <c r="AE5579" s="80" t="s">
        <v>13178</v>
      </c>
      <c r="AF5579" s="17">
        <v>45642</v>
      </c>
      <c r="AG5579" s="80" t="s">
        <v>14199</v>
      </c>
      <c r="AH5579" s="80"/>
      <c r="AI5579" s="147"/>
      <c r="AJ5579" s="80"/>
      <c r="AK5579" s="80"/>
      <c r="AL5579" s="35"/>
      <c r="AM5579" s="35"/>
      <c r="AN5579" s="35"/>
      <c r="AO5579" s="35"/>
      <c r="AP5579" s="35"/>
    </row>
    <row r="5580" spans="1:42" x14ac:dyDescent="0.2">
      <c r="A5580" s="126">
        <v>45602.617850810188</v>
      </c>
      <c r="B5580" s="137" t="s">
        <v>37</v>
      </c>
      <c r="C5580" s="41" t="s">
        <v>118</v>
      </c>
      <c r="D5580" s="80" t="s">
        <v>36</v>
      </c>
      <c r="E5580" s="80" t="s">
        <v>139</v>
      </c>
      <c r="F5580" s="80" t="s">
        <v>36</v>
      </c>
      <c r="G5580" s="80" t="s">
        <v>41</v>
      </c>
      <c r="H5580" s="80" t="s">
        <v>13441</v>
      </c>
      <c r="I5580" s="17">
        <f ca="1">IFERROR(__xludf.DUMMYFUNCTION("""COMPUTED_VALUE"""),45625)</f>
        <v>45625</v>
      </c>
      <c r="J5580" s="143" t="s">
        <v>18575</v>
      </c>
      <c r="K5580" s="80" t="s">
        <v>18766</v>
      </c>
      <c r="L5580" s="30">
        <v>329423617</v>
      </c>
      <c r="M5580" s="80" t="s">
        <v>5429</v>
      </c>
      <c r="N5580" s="80" t="s">
        <v>81</v>
      </c>
      <c r="O5580" s="80" t="s">
        <v>18577</v>
      </c>
      <c r="P5580" s="80" t="s">
        <v>6368</v>
      </c>
      <c r="Q5580" s="20">
        <v>15936</v>
      </c>
      <c r="R5580" s="80" t="s">
        <v>36</v>
      </c>
      <c r="S5580" s="95">
        <v>2000</v>
      </c>
      <c r="T5580" s="148">
        <v>45602</v>
      </c>
      <c r="U5580" s="95">
        <v>13936</v>
      </c>
      <c r="V5580" s="148">
        <v>45644</v>
      </c>
      <c r="W5580" s="85" t="s">
        <v>18578</v>
      </c>
      <c r="X5580" s="80"/>
      <c r="Y5580" s="22">
        <v>0</v>
      </c>
      <c r="Z5580" s="80" t="s">
        <v>50</v>
      </c>
      <c r="AA5580" s="35" t="s">
        <v>18579</v>
      </c>
      <c r="AB5580" s="86"/>
      <c r="AC5580" s="80" t="s">
        <v>53</v>
      </c>
      <c r="AD5580" s="80"/>
      <c r="AE5580" s="80" t="s">
        <v>72</v>
      </c>
      <c r="AF5580" s="43">
        <v>45625</v>
      </c>
      <c r="AG5580" s="80" t="s">
        <v>13446</v>
      </c>
      <c r="AH5580" s="80"/>
      <c r="AI5580" s="147"/>
      <c r="AJ5580" s="80"/>
      <c r="AK5580" s="80"/>
      <c r="AL5580" s="35"/>
      <c r="AM5580" s="35"/>
      <c r="AN5580" s="35"/>
      <c r="AO5580" s="35"/>
      <c r="AP5580" s="35"/>
    </row>
    <row r="5581" spans="1:42" x14ac:dyDescent="0.2">
      <c r="A5581" s="126">
        <v>45604.006284178242</v>
      </c>
      <c r="B5581" s="137" t="s">
        <v>37</v>
      </c>
      <c r="C5581" s="41" t="s">
        <v>118</v>
      </c>
      <c r="D5581" s="80" t="s">
        <v>36</v>
      </c>
      <c r="E5581" s="80" t="s">
        <v>77</v>
      </c>
      <c r="F5581" s="80" t="s">
        <v>36</v>
      </c>
      <c r="G5581" s="80" t="s">
        <v>41</v>
      </c>
      <c r="H5581" s="80" t="s">
        <v>15290</v>
      </c>
      <c r="I5581" s="17">
        <f ca="1">IFERROR(__xludf.DUMMYFUNCTION("""COMPUTED_VALUE"""),45609)</f>
        <v>45609</v>
      </c>
      <c r="J5581" s="143" t="s">
        <v>18767</v>
      </c>
      <c r="K5581" s="80" t="s">
        <v>18768</v>
      </c>
      <c r="L5581" s="30">
        <v>815598880</v>
      </c>
      <c r="M5581" s="80" t="s">
        <v>15970</v>
      </c>
      <c r="N5581" s="80" t="s">
        <v>466</v>
      </c>
      <c r="O5581" s="80" t="s">
        <v>18769</v>
      </c>
      <c r="P5581" s="80" t="s">
        <v>18770</v>
      </c>
      <c r="Q5581" s="20">
        <v>1968</v>
      </c>
      <c r="R5581" s="80" t="s">
        <v>36</v>
      </c>
      <c r="S5581" s="95">
        <f>100+1868</f>
        <v>1968</v>
      </c>
      <c r="T5581" s="83" t="s">
        <v>18771</v>
      </c>
      <c r="U5581" s="77"/>
      <c r="V5581" s="78"/>
      <c r="W5581" s="85" t="s">
        <v>18772</v>
      </c>
      <c r="X5581" s="80"/>
      <c r="Y5581" s="22">
        <v>0</v>
      </c>
      <c r="Z5581" s="80" t="s">
        <v>50</v>
      </c>
      <c r="AA5581" s="96" t="s">
        <v>18579</v>
      </c>
      <c r="AB5581" s="82"/>
      <c r="AC5581" s="80" t="s">
        <v>53</v>
      </c>
      <c r="AD5581" s="80" t="s">
        <v>54</v>
      </c>
      <c r="AE5581" s="80"/>
      <c r="AF5581" s="17">
        <v>45609</v>
      </c>
      <c r="AG5581" s="80"/>
      <c r="AH5581" s="80"/>
      <c r="AI5581" s="147"/>
      <c r="AJ5581" s="80"/>
      <c r="AK5581" s="80"/>
      <c r="AL5581" s="35"/>
      <c r="AM5581" s="35"/>
      <c r="AN5581" s="35"/>
      <c r="AO5581" s="35"/>
      <c r="AP5581" s="35"/>
    </row>
    <row r="5582" spans="1:42" x14ac:dyDescent="0.2">
      <c r="A5582" s="126">
        <v>45604.320356921293</v>
      </c>
      <c r="B5582" s="137" t="s">
        <v>37</v>
      </c>
      <c r="C5582" s="41" t="s">
        <v>118</v>
      </c>
      <c r="D5582" s="80" t="s">
        <v>36</v>
      </c>
      <c r="E5582" s="80" t="s">
        <v>56</v>
      </c>
      <c r="F5582" s="80" t="s">
        <v>36</v>
      </c>
      <c r="G5582" s="80" t="s">
        <v>41</v>
      </c>
      <c r="H5582" s="80" t="s">
        <v>17906</v>
      </c>
      <c r="I5582" s="17">
        <f ca="1">IFERROR(__xludf.DUMMYFUNCTION("""COMPUTED_VALUE"""),45610)</f>
        <v>45610</v>
      </c>
      <c r="J5582" s="143" t="s">
        <v>18773</v>
      </c>
      <c r="K5582" s="80" t="s">
        <v>18774</v>
      </c>
      <c r="L5582" s="30">
        <v>977124959</v>
      </c>
      <c r="M5582" s="80" t="s">
        <v>17779</v>
      </c>
      <c r="N5582" s="80" t="s">
        <v>17780</v>
      </c>
      <c r="O5582" s="80" t="s">
        <v>18775</v>
      </c>
      <c r="P5582" s="80" t="s">
        <v>18776</v>
      </c>
      <c r="Q5582" s="20">
        <v>9317</v>
      </c>
      <c r="R5582" s="80" t="s">
        <v>70</v>
      </c>
      <c r="S5582" s="95">
        <f t="shared" ref="S5582:S5583" si="153">200+1800</f>
        <v>2000</v>
      </c>
      <c r="T5582" s="83" t="s">
        <v>18777</v>
      </c>
      <c r="U5582" s="95">
        <v>7217</v>
      </c>
      <c r="V5582" s="148">
        <v>45650</v>
      </c>
      <c r="W5582" s="85" t="s">
        <v>18778</v>
      </c>
      <c r="X5582" s="80"/>
      <c r="Y5582" s="22">
        <v>100</v>
      </c>
      <c r="Z5582" s="80" t="s">
        <v>50</v>
      </c>
      <c r="AA5582" s="35" t="s">
        <v>18579</v>
      </c>
      <c r="AB5582" s="175" t="s">
        <v>14402</v>
      </c>
      <c r="AC5582" s="80" t="s">
        <v>53</v>
      </c>
      <c r="AD5582" s="80" t="s">
        <v>54</v>
      </c>
      <c r="AE5582" s="80"/>
      <c r="AF5582" s="43">
        <v>45607</v>
      </c>
      <c r="AG5582" s="80"/>
      <c r="AH5582" s="80"/>
      <c r="AI5582" s="147"/>
      <c r="AJ5582" s="80"/>
      <c r="AK5582" s="80"/>
      <c r="AL5582" s="35"/>
      <c r="AM5582" s="35"/>
      <c r="AN5582" s="35"/>
      <c r="AO5582" s="35"/>
      <c r="AP5582" s="35"/>
    </row>
    <row r="5583" spans="1:42" x14ac:dyDescent="0.2">
      <c r="A5583" s="126">
        <v>45605.859776712961</v>
      </c>
      <c r="B5583" s="137" t="s">
        <v>37</v>
      </c>
      <c r="C5583" s="41" t="s">
        <v>118</v>
      </c>
      <c r="D5583" s="80" t="s">
        <v>36</v>
      </c>
      <c r="E5583" s="80" t="s">
        <v>56</v>
      </c>
      <c r="F5583" s="80" t="s">
        <v>40</v>
      </c>
      <c r="G5583" s="80" t="s">
        <v>41</v>
      </c>
      <c r="H5583" s="80" t="s">
        <v>17906</v>
      </c>
      <c r="I5583" s="17">
        <f ca="1">IFERROR(__xludf.DUMMYFUNCTION("""COMPUTED_VALUE"""),45610)</f>
        <v>45610</v>
      </c>
      <c r="J5583" s="143" t="s">
        <v>18779</v>
      </c>
      <c r="K5583" s="80" t="s">
        <v>18780</v>
      </c>
      <c r="L5583" s="30">
        <v>347022550</v>
      </c>
      <c r="M5583" s="80" t="s">
        <v>17779</v>
      </c>
      <c r="N5583" s="80" t="s">
        <v>17780</v>
      </c>
      <c r="O5583" s="80" t="s">
        <v>18781</v>
      </c>
      <c r="P5583" s="80" t="s">
        <v>18782</v>
      </c>
      <c r="Q5583" s="20">
        <v>9317</v>
      </c>
      <c r="R5583" s="80" t="s">
        <v>70</v>
      </c>
      <c r="S5583" s="95">
        <f t="shared" si="153"/>
        <v>2000</v>
      </c>
      <c r="T5583" s="83" t="s">
        <v>18783</v>
      </c>
      <c r="U5583" s="95">
        <v>7217</v>
      </c>
      <c r="V5583" s="148">
        <v>45650</v>
      </c>
      <c r="W5583" s="85" t="s">
        <v>18784</v>
      </c>
      <c r="X5583" s="80"/>
      <c r="Y5583" s="22">
        <v>100</v>
      </c>
      <c r="Z5583" s="80" t="s">
        <v>50</v>
      </c>
      <c r="AA5583" s="96" t="s">
        <v>18579</v>
      </c>
      <c r="AB5583" s="203" t="s">
        <v>14402</v>
      </c>
      <c r="AC5583" s="80" t="s">
        <v>53</v>
      </c>
      <c r="AD5583" s="80" t="s">
        <v>138</v>
      </c>
      <c r="AE5583" s="80"/>
      <c r="AF5583" s="43">
        <v>45607</v>
      </c>
      <c r="AG5583" s="80"/>
      <c r="AH5583" s="80"/>
      <c r="AI5583" s="147"/>
      <c r="AJ5583" s="80"/>
      <c r="AK5583" s="80"/>
      <c r="AL5583" s="35"/>
      <c r="AM5583" s="35"/>
      <c r="AN5583" s="35"/>
      <c r="AO5583" s="35"/>
      <c r="AP5583" s="35"/>
    </row>
    <row r="5584" spans="1:42" x14ac:dyDescent="0.2">
      <c r="A5584" s="126">
        <v>45607.327137928238</v>
      </c>
      <c r="B5584" s="137" t="s">
        <v>37</v>
      </c>
      <c r="C5584" s="41" t="s">
        <v>118</v>
      </c>
      <c r="D5584" s="80" t="s">
        <v>36</v>
      </c>
      <c r="E5584" s="80" t="s">
        <v>39</v>
      </c>
      <c r="F5584" s="80" t="s">
        <v>36</v>
      </c>
      <c r="G5584" s="80" t="s">
        <v>41</v>
      </c>
      <c r="H5584" s="80" t="s">
        <v>12324</v>
      </c>
      <c r="I5584" s="17">
        <f ca="1">IFERROR(__xludf.DUMMYFUNCTION("""COMPUTED_VALUE"""),45635)</f>
        <v>45635</v>
      </c>
      <c r="J5584" s="143" t="s">
        <v>18785</v>
      </c>
      <c r="K5584" s="80" t="s">
        <v>18786</v>
      </c>
      <c r="L5584" s="30">
        <v>941561395</v>
      </c>
      <c r="M5584" s="80" t="s">
        <v>15996</v>
      </c>
      <c r="N5584" s="80" t="s">
        <v>186</v>
      </c>
      <c r="O5584" s="80" t="s">
        <v>4503</v>
      </c>
      <c r="P5584" s="80" t="s">
        <v>3153</v>
      </c>
      <c r="Q5584" s="20">
        <v>5736</v>
      </c>
      <c r="R5584" s="80" t="s">
        <v>36</v>
      </c>
      <c r="S5584" s="95">
        <f>200+3000+2536</f>
        <v>5736</v>
      </c>
      <c r="T5584" s="83" t="s">
        <v>18787</v>
      </c>
      <c r="U5584" s="77"/>
      <c r="V5584" s="78"/>
      <c r="W5584" s="85" t="s">
        <v>18788</v>
      </c>
      <c r="X5584" s="80"/>
      <c r="Y5584" s="22">
        <v>0</v>
      </c>
      <c r="Z5584" s="80" t="s">
        <v>50</v>
      </c>
      <c r="AA5584" s="35" t="s">
        <v>18579</v>
      </c>
      <c r="AB5584" s="86"/>
      <c r="AC5584" s="80" t="s">
        <v>53</v>
      </c>
      <c r="AD5584" s="80" t="s">
        <v>138</v>
      </c>
      <c r="AE5584" s="80"/>
      <c r="AF5584" s="17">
        <v>45631</v>
      </c>
      <c r="AG5584" s="80" t="s">
        <v>7078</v>
      </c>
      <c r="AH5584" s="80"/>
      <c r="AI5584" s="147"/>
      <c r="AJ5584" s="80"/>
      <c r="AK5584" s="80"/>
      <c r="AL5584" s="35"/>
      <c r="AM5584" s="35"/>
      <c r="AN5584" s="35"/>
      <c r="AO5584" s="35"/>
      <c r="AP5584" s="35"/>
    </row>
    <row r="5585" spans="1:42" x14ac:dyDescent="0.2">
      <c r="A5585" s="126">
        <v>45607.444975324077</v>
      </c>
      <c r="B5585" s="137" t="s">
        <v>37</v>
      </c>
      <c r="C5585" s="41" t="s">
        <v>118</v>
      </c>
      <c r="D5585" s="80" t="s">
        <v>36</v>
      </c>
      <c r="E5585" s="80" t="s">
        <v>139</v>
      </c>
      <c r="F5585" s="80" t="s">
        <v>36</v>
      </c>
      <c r="G5585" s="80" t="s">
        <v>41</v>
      </c>
      <c r="H5585" s="80" t="s">
        <v>17906</v>
      </c>
      <c r="I5585" s="17">
        <f ca="1">IFERROR(__xludf.DUMMYFUNCTION("""COMPUTED_VALUE"""),45610)</f>
        <v>45610</v>
      </c>
      <c r="J5585" s="143" t="s">
        <v>18789</v>
      </c>
      <c r="K5585" s="80" t="s">
        <v>18790</v>
      </c>
      <c r="L5585" s="30">
        <v>385625524</v>
      </c>
      <c r="M5585" s="80" t="s">
        <v>5558</v>
      </c>
      <c r="N5585" s="80" t="s">
        <v>5277</v>
      </c>
      <c r="O5585" s="80" t="s">
        <v>4503</v>
      </c>
      <c r="P5585" s="80" t="s">
        <v>18791</v>
      </c>
      <c r="Q5585" s="20">
        <v>15936</v>
      </c>
      <c r="R5585" s="80" t="s">
        <v>36</v>
      </c>
      <c r="S5585" s="95">
        <v>2000</v>
      </c>
      <c r="T5585" s="148">
        <v>45607</v>
      </c>
      <c r="U5585" s="95">
        <v>13936</v>
      </c>
      <c r="V5585" s="148">
        <v>45650</v>
      </c>
      <c r="W5585" s="85" t="s">
        <v>18792</v>
      </c>
      <c r="X5585" s="80"/>
      <c r="Y5585" s="22">
        <v>0</v>
      </c>
      <c r="Z5585" s="80" t="s">
        <v>50</v>
      </c>
      <c r="AA5585" s="96" t="s">
        <v>18579</v>
      </c>
      <c r="AB5585" s="82"/>
      <c r="AC5585" s="80" t="s">
        <v>53</v>
      </c>
      <c r="AD5585" s="80" t="s">
        <v>54</v>
      </c>
      <c r="AE5585" s="80"/>
      <c r="AF5585" s="43">
        <v>45607</v>
      </c>
      <c r="AG5585" s="80"/>
      <c r="AH5585" s="80"/>
      <c r="AI5585" s="147"/>
      <c r="AJ5585" s="80"/>
      <c r="AK5585" s="80"/>
      <c r="AL5585" s="35"/>
      <c r="AM5585" s="35"/>
      <c r="AN5585" s="35"/>
      <c r="AO5585" s="35"/>
      <c r="AP5585" s="35"/>
    </row>
    <row r="5586" spans="1:42" x14ac:dyDescent="0.2">
      <c r="A5586" s="38">
        <v>45603</v>
      </c>
      <c r="B5586" s="137" t="s">
        <v>37</v>
      </c>
      <c r="C5586" s="41" t="s">
        <v>118</v>
      </c>
      <c r="D5586" s="80" t="s">
        <v>36</v>
      </c>
      <c r="E5586" s="80" t="s">
        <v>119</v>
      </c>
      <c r="F5586" s="80" t="s">
        <v>12737</v>
      </c>
      <c r="G5586" s="80" t="s">
        <v>108</v>
      </c>
      <c r="H5586" s="80" t="s">
        <v>14465</v>
      </c>
      <c r="I5586" s="17">
        <f ca="1">IFERROR(__xludf.DUMMYFUNCTION("""COMPUTED_VALUE"""),45618)</f>
        <v>45618</v>
      </c>
      <c r="J5586" s="143" t="s">
        <v>17225</v>
      </c>
      <c r="K5586" s="80" t="s">
        <v>18793</v>
      </c>
      <c r="L5586" s="30">
        <v>357852250</v>
      </c>
      <c r="M5586" s="80" t="s">
        <v>5558</v>
      </c>
      <c r="N5586" s="80" t="s">
        <v>5559</v>
      </c>
      <c r="O5586" s="80" t="s">
        <v>4503</v>
      </c>
      <c r="P5586" s="144" t="s">
        <v>18794</v>
      </c>
      <c r="Q5586" s="20">
        <v>13968</v>
      </c>
      <c r="R5586" s="80" t="s">
        <v>36</v>
      </c>
      <c r="S5586" s="95">
        <v>3032</v>
      </c>
      <c r="T5586" s="148">
        <v>45554</v>
      </c>
      <c r="U5586" s="77">
        <v>10936</v>
      </c>
      <c r="V5586" s="78">
        <v>45630</v>
      </c>
      <c r="W5586" s="80" t="s">
        <v>18795</v>
      </c>
      <c r="X5586" s="80"/>
      <c r="Y5586" s="22">
        <v>0</v>
      </c>
      <c r="Z5586" s="80" t="s">
        <v>50</v>
      </c>
      <c r="AA5586" s="35" t="s">
        <v>18579</v>
      </c>
      <c r="AB5586" s="175" t="s">
        <v>17979</v>
      </c>
      <c r="AC5586" s="80" t="s">
        <v>53</v>
      </c>
      <c r="AD5586" s="80" t="s">
        <v>54</v>
      </c>
      <c r="AE5586" s="80"/>
      <c r="AF5586" s="17">
        <v>45630</v>
      </c>
      <c r="AG5586" s="80"/>
      <c r="AH5586" s="80"/>
      <c r="AI5586" s="147"/>
      <c r="AJ5586" s="80"/>
      <c r="AK5586" s="80"/>
      <c r="AL5586" s="35"/>
      <c r="AM5586" s="35"/>
      <c r="AN5586" s="35"/>
      <c r="AO5586" s="35"/>
      <c r="AP5586" s="35"/>
    </row>
    <row r="5587" spans="1:42" x14ac:dyDescent="0.2">
      <c r="A5587" s="126">
        <v>45608.797764155097</v>
      </c>
      <c r="B5587" s="137" t="s">
        <v>37</v>
      </c>
      <c r="C5587" s="41" t="s">
        <v>118</v>
      </c>
      <c r="D5587" s="80" t="s">
        <v>77</v>
      </c>
      <c r="E5587" s="80" t="s">
        <v>119</v>
      </c>
      <c r="F5587" s="80" t="s">
        <v>9614</v>
      </c>
      <c r="G5587" s="80" t="s">
        <v>108</v>
      </c>
      <c r="H5587" s="80" t="s">
        <v>14210</v>
      </c>
      <c r="I5587" s="17">
        <f ca="1">IFERROR(__xludf.DUMMYFUNCTION("""COMPUTED_VALUE"""),45622)</f>
        <v>45622</v>
      </c>
      <c r="J5587" s="143" t="s">
        <v>13030</v>
      </c>
      <c r="K5587" s="80" t="s">
        <v>18796</v>
      </c>
      <c r="L5587" s="30">
        <v>981532981</v>
      </c>
      <c r="M5587" s="80" t="s">
        <v>5558</v>
      </c>
      <c r="N5587" s="80" t="s">
        <v>5277</v>
      </c>
      <c r="O5587" s="80" t="s">
        <v>4503</v>
      </c>
      <c r="P5587" s="80" t="s">
        <v>13032</v>
      </c>
      <c r="Q5587" s="20">
        <v>13968</v>
      </c>
      <c r="R5587" s="80" t="s">
        <v>36</v>
      </c>
      <c r="S5587" s="95">
        <v>4000</v>
      </c>
      <c r="T5587" s="148">
        <v>45608</v>
      </c>
      <c r="U5587" s="95">
        <v>9968</v>
      </c>
      <c r="V5587" s="148">
        <v>45640</v>
      </c>
      <c r="W5587" s="80" t="s">
        <v>18797</v>
      </c>
      <c r="X5587" s="80"/>
      <c r="Y5587" s="22">
        <v>0</v>
      </c>
      <c r="Z5587" s="80" t="s">
        <v>50</v>
      </c>
      <c r="AA5587" s="96" t="s">
        <v>18579</v>
      </c>
      <c r="AB5587" s="82"/>
      <c r="AC5587" s="80" t="s">
        <v>53</v>
      </c>
      <c r="AD5587" s="80" t="s">
        <v>54</v>
      </c>
      <c r="AE5587" s="80"/>
      <c r="AF5587" s="17">
        <v>45616</v>
      </c>
      <c r="AG5587" s="80"/>
      <c r="AH5587" s="80"/>
      <c r="AI5587" s="147"/>
      <c r="AJ5587" s="80"/>
      <c r="AK5587" s="80"/>
      <c r="AL5587" s="35"/>
      <c r="AM5587" s="35"/>
      <c r="AN5587" s="35"/>
      <c r="AO5587" s="35"/>
      <c r="AP5587" s="35"/>
    </row>
    <row r="5588" spans="1:42" x14ac:dyDescent="0.2">
      <c r="A5588" s="126">
        <v>45608.84739678241</v>
      </c>
      <c r="B5588" s="137" t="s">
        <v>37</v>
      </c>
      <c r="C5588" s="41" t="s">
        <v>118</v>
      </c>
      <c r="D5588" s="80" t="s">
        <v>36</v>
      </c>
      <c r="E5588" s="80" t="s">
        <v>77</v>
      </c>
      <c r="F5588" s="80" t="s">
        <v>36</v>
      </c>
      <c r="G5588" s="80" t="s">
        <v>41</v>
      </c>
      <c r="H5588" s="80" t="s">
        <v>18798</v>
      </c>
      <c r="I5588" s="17" t="str">
        <f ca="1">IFERROR(__xludf.DUMMYFUNCTION("""COMPUTED_VALUE""")," ")</f>
        <v xml:space="preserve"> </v>
      </c>
      <c r="J5588" s="143" t="s">
        <v>18799</v>
      </c>
      <c r="K5588" s="80" t="s">
        <v>18800</v>
      </c>
      <c r="L5588" s="30">
        <v>387319369</v>
      </c>
      <c r="M5588" s="80" t="s">
        <v>15970</v>
      </c>
      <c r="N5588" s="80" t="s">
        <v>7210</v>
      </c>
      <c r="O5588" s="80" t="s">
        <v>7833</v>
      </c>
      <c r="P5588" s="80" t="s">
        <v>18801</v>
      </c>
      <c r="Q5588" s="20">
        <v>1968</v>
      </c>
      <c r="R5588" s="80" t="s">
        <v>36</v>
      </c>
      <c r="S5588" s="95">
        <v>1968</v>
      </c>
      <c r="T5588" s="148">
        <v>45608</v>
      </c>
      <c r="U5588" s="77"/>
      <c r="V5588" s="78"/>
      <c r="W5588" s="85" t="s">
        <v>18802</v>
      </c>
      <c r="X5588" s="80"/>
      <c r="Y5588" s="22">
        <v>0</v>
      </c>
      <c r="Z5588" s="80" t="s">
        <v>50</v>
      </c>
      <c r="AA5588" s="35" t="s">
        <v>18579</v>
      </c>
      <c r="AB5588" s="86"/>
      <c r="AC5588" s="80" t="s">
        <v>53</v>
      </c>
      <c r="AD5588" s="80" t="s">
        <v>54</v>
      </c>
      <c r="AE5588" s="80"/>
      <c r="AF5588" s="17">
        <v>45609</v>
      </c>
      <c r="AG5588" s="80" t="s">
        <v>7078</v>
      </c>
      <c r="AH5588" s="80"/>
      <c r="AI5588" s="147"/>
      <c r="AJ5588" s="80"/>
      <c r="AK5588" s="80"/>
      <c r="AL5588" s="35"/>
      <c r="AM5588" s="35"/>
      <c r="AN5588" s="35"/>
      <c r="AO5588" s="35"/>
      <c r="AP5588" s="35"/>
    </row>
    <row r="5589" spans="1:42" x14ac:dyDescent="0.2">
      <c r="A5589" s="126">
        <v>45609.345742187499</v>
      </c>
      <c r="B5589" s="137" t="s">
        <v>37</v>
      </c>
      <c r="C5589" s="41" t="s">
        <v>118</v>
      </c>
      <c r="D5589" s="80" t="s">
        <v>36</v>
      </c>
      <c r="E5589" s="80" t="s">
        <v>139</v>
      </c>
      <c r="F5589" s="80" t="s">
        <v>36</v>
      </c>
      <c r="G5589" s="80" t="s">
        <v>41</v>
      </c>
      <c r="H5589" s="80" t="s">
        <v>14051</v>
      </c>
      <c r="I5589" s="17">
        <f ca="1">IFERROR(__xludf.DUMMYFUNCTION("""COMPUTED_VALUE"""),45615)</f>
        <v>45615</v>
      </c>
      <c r="J5589" s="143" t="s">
        <v>18803</v>
      </c>
      <c r="K5589" s="80" t="s">
        <v>18804</v>
      </c>
      <c r="L5589" s="30">
        <v>355245157</v>
      </c>
      <c r="M5589" s="26" t="s">
        <v>3498</v>
      </c>
      <c r="N5589" s="80" t="s">
        <v>3874</v>
      </c>
      <c r="O5589" s="80" t="s">
        <v>4503</v>
      </c>
      <c r="P5589" s="80" t="s">
        <v>6390</v>
      </c>
      <c r="Q5589" s="20">
        <v>15936</v>
      </c>
      <c r="R5589" s="80" t="s">
        <v>36</v>
      </c>
      <c r="S5589" s="95">
        <v>2000</v>
      </c>
      <c r="T5589" s="148">
        <v>45609</v>
      </c>
      <c r="U5589" s="95">
        <v>13936</v>
      </c>
      <c r="V5589" s="148">
        <v>45630</v>
      </c>
      <c r="W5589" s="85" t="s">
        <v>18805</v>
      </c>
      <c r="X5589" s="80"/>
      <c r="Y5589" s="22">
        <v>0</v>
      </c>
      <c r="Z5589" s="80" t="s">
        <v>50</v>
      </c>
      <c r="AA5589" s="96" t="s">
        <v>18579</v>
      </c>
      <c r="AB5589" s="82"/>
      <c r="AC5589" s="80" t="s">
        <v>53</v>
      </c>
      <c r="AD5589" s="80" t="s">
        <v>138</v>
      </c>
      <c r="AE5589" s="80" t="s">
        <v>17632</v>
      </c>
      <c r="AF5589" s="43">
        <v>45615</v>
      </c>
      <c r="AG5589" s="80" t="s">
        <v>7078</v>
      </c>
      <c r="AH5589" s="80"/>
      <c r="AI5589" s="147"/>
      <c r="AJ5589" s="80"/>
      <c r="AK5589" s="80"/>
      <c r="AL5589" s="35"/>
      <c r="AM5589" s="35"/>
      <c r="AN5589" s="35"/>
      <c r="AO5589" s="35"/>
      <c r="AP5589" s="35"/>
    </row>
    <row r="5590" spans="1:42" x14ac:dyDescent="0.2">
      <c r="A5590" s="126">
        <v>45609.476754976851</v>
      </c>
      <c r="B5590" s="137" t="s">
        <v>37</v>
      </c>
      <c r="C5590" s="41" t="s">
        <v>118</v>
      </c>
      <c r="D5590" s="80" t="s">
        <v>36</v>
      </c>
      <c r="E5590" s="80" t="s">
        <v>139</v>
      </c>
      <c r="F5590" s="80" t="s">
        <v>40</v>
      </c>
      <c r="G5590" s="80" t="s">
        <v>41</v>
      </c>
      <c r="H5590" s="80" t="s">
        <v>11640</v>
      </c>
      <c r="I5590" s="17">
        <f ca="1">IFERROR(__xludf.DUMMYFUNCTION("""COMPUTED_VALUE"""),45636)</f>
        <v>45636</v>
      </c>
      <c r="J5590" s="143" t="s">
        <v>18806</v>
      </c>
      <c r="K5590" s="80" t="s">
        <v>3582</v>
      </c>
      <c r="L5590" s="30">
        <v>866376962</v>
      </c>
      <c r="M5590" s="80" t="s">
        <v>45</v>
      </c>
      <c r="N5590" s="80" t="s">
        <v>1472</v>
      </c>
      <c r="O5590" s="80" t="s">
        <v>18807</v>
      </c>
      <c r="P5590" s="80" t="s">
        <v>7743</v>
      </c>
      <c r="Q5590" s="20">
        <v>15936</v>
      </c>
      <c r="R5590" s="80" t="s">
        <v>36</v>
      </c>
      <c r="S5590" s="95">
        <v>2000</v>
      </c>
      <c r="T5590" s="148">
        <v>45609</v>
      </c>
      <c r="U5590" s="95">
        <v>13936</v>
      </c>
      <c r="V5590" s="148">
        <v>45651</v>
      </c>
      <c r="W5590" s="85" t="s">
        <v>18808</v>
      </c>
      <c r="X5590" s="80"/>
      <c r="Y5590" s="22">
        <v>0</v>
      </c>
      <c r="Z5590" s="80" t="s">
        <v>50</v>
      </c>
      <c r="AA5590" s="35" t="s">
        <v>18579</v>
      </c>
      <c r="AB5590" s="86"/>
      <c r="AC5590" s="80" t="s">
        <v>53</v>
      </c>
      <c r="AD5590" s="80" t="s">
        <v>138</v>
      </c>
      <c r="AE5590" s="83"/>
      <c r="AF5590" s="43">
        <v>45636</v>
      </c>
      <c r="AG5590" s="80"/>
      <c r="AH5590" s="80"/>
      <c r="AI5590" s="147"/>
      <c r="AJ5590" s="80"/>
      <c r="AK5590" s="80"/>
      <c r="AL5590" s="35"/>
      <c r="AM5590" s="35"/>
      <c r="AN5590" s="35"/>
      <c r="AO5590" s="35"/>
      <c r="AP5590" s="35"/>
    </row>
    <row r="5591" spans="1:42" x14ac:dyDescent="0.2">
      <c r="A5591" s="126">
        <v>45609.63804056713</v>
      </c>
      <c r="B5591" s="137" t="s">
        <v>37</v>
      </c>
      <c r="C5591" s="41" t="s">
        <v>118</v>
      </c>
      <c r="D5591" s="80" t="s">
        <v>36</v>
      </c>
      <c r="E5591" s="80" t="s">
        <v>139</v>
      </c>
      <c r="F5591" s="80" t="s">
        <v>36</v>
      </c>
      <c r="G5591" s="80" t="s">
        <v>41</v>
      </c>
      <c r="H5591" s="80" t="s">
        <v>17752</v>
      </c>
      <c r="I5591" s="17">
        <f ca="1">IFERROR(__xludf.DUMMYFUNCTION("""COMPUTED_VALUE"""),45618)</f>
        <v>45618</v>
      </c>
      <c r="J5591" s="143" t="s">
        <v>18532</v>
      </c>
      <c r="K5591" s="80" t="s">
        <v>18533</v>
      </c>
      <c r="L5591" s="30">
        <v>972500615</v>
      </c>
      <c r="M5591" s="80" t="s">
        <v>15996</v>
      </c>
      <c r="N5591" s="80" t="s">
        <v>186</v>
      </c>
      <c r="O5591" s="80" t="s">
        <v>4503</v>
      </c>
      <c r="P5591" s="80" t="s">
        <v>3056</v>
      </c>
      <c r="Q5591" s="20">
        <v>15936</v>
      </c>
      <c r="R5591" s="80" t="s">
        <v>1106</v>
      </c>
      <c r="S5591" s="95">
        <f>200+3000</f>
        <v>3200</v>
      </c>
      <c r="T5591" s="83" t="s">
        <v>18534</v>
      </c>
      <c r="U5591" s="95">
        <v>12586</v>
      </c>
      <c r="V5591" s="148">
        <v>45646</v>
      </c>
      <c r="W5591" s="85" t="s">
        <v>18535</v>
      </c>
      <c r="X5591" s="80"/>
      <c r="Y5591" s="22">
        <v>150</v>
      </c>
      <c r="Z5591" s="80" t="s">
        <v>50</v>
      </c>
      <c r="AA5591" s="96" t="s">
        <v>18579</v>
      </c>
      <c r="AB5591" s="82"/>
      <c r="AC5591" s="80" t="s">
        <v>53</v>
      </c>
      <c r="AD5591" s="80" t="s">
        <v>138</v>
      </c>
      <c r="AE5591" s="80"/>
      <c r="AF5591" s="43">
        <v>45618</v>
      </c>
      <c r="AG5591" s="80" t="s">
        <v>16677</v>
      </c>
      <c r="AH5591" s="80"/>
      <c r="AI5591" s="147"/>
      <c r="AJ5591" s="80"/>
      <c r="AK5591" s="80"/>
      <c r="AL5591" s="35"/>
      <c r="AM5591" s="35"/>
      <c r="AN5591" s="35"/>
      <c r="AO5591" s="35"/>
      <c r="AP5591" s="35"/>
    </row>
    <row r="5592" spans="1:42" x14ac:dyDescent="0.2">
      <c r="A5592" s="126">
        <v>45610.674466226847</v>
      </c>
      <c r="B5592" s="137" t="s">
        <v>37</v>
      </c>
      <c r="C5592" s="41" t="s">
        <v>118</v>
      </c>
      <c r="D5592" s="80" t="s">
        <v>36</v>
      </c>
      <c r="E5592" s="80" t="s">
        <v>139</v>
      </c>
      <c r="F5592" s="80" t="s">
        <v>36</v>
      </c>
      <c r="G5592" s="80" t="s">
        <v>41</v>
      </c>
      <c r="H5592" s="80" t="s">
        <v>6523</v>
      </c>
      <c r="I5592" s="17">
        <f ca="1">IFERROR(__xludf.DUMMYFUNCTION("""COMPUTED_VALUE"""),45622)</f>
        <v>45622</v>
      </c>
      <c r="J5592" s="143" t="s">
        <v>18809</v>
      </c>
      <c r="K5592" s="80" t="s">
        <v>18810</v>
      </c>
      <c r="L5592" s="30">
        <v>393870146</v>
      </c>
      <c r="M5592" s="80" t="s">
        <v>5429</v>
      </c>
      <c r="N5592" s="80" t="s">
        <v>3065</v>
      </c>
      <c r="O5592" s="80" t="s">
        <v>2819</v>
      </c>
      <c r="P5592" s="144" t="s">
        <v>18811</v>
      </c>
      <c r="Q5592" s="20">
        <v>15936</v>
      </c>
      <c r="R5592" s="80" t="s">
        <v>36</v>
      </c>
      <c r="S5592" s="95">
        <v>2000</v>
      </c>
      <c r="T5592" s="148">
        <v>45610</v>
      </c>
      <c r="U5592" s="95">
        <v>13936</v>
      </c>
      <c r="V5592" s="148">
        <v>45642</v>
      </c>
      <c r="W5592" s="85" t="s">
        <v>18812</v>
      </c>
      <c r="X5592" s="80"/>
      <c r="Y5592" s="22">
        <v>0</v>
      </c>
      <c r="Z5592" s="80" t="s">
        <v>50</v>
      </c>
      <c r="AA5592" s="35" t="s">
        <v>18579</v>
      </c>
      <c r="AB5592" s="86"/>
      <c r="AC5592" s="80" t="s">
        <v>53</v>
      </c>
      <c r="AD5592" s="80" t="s">
        <v>138</v>
      </c>
      <c r="AE5592" s="80" t="s">
        <v>76</v>
      </c>
      <c r="AF5592" s="17">
        <v>45615</v>
      </c>
      <c r="AG5592" s="80"/>
      <c r="AH5592" s="80"/>
      <c r="AI5592" s="147"/>
      <c r="AJ5592" s="80"/>
      <c r="AK5592" s="80"/>
      <c r="AL5592" s="35"/>
      <c r="AM5592" s="35"/>
      <c r="AN5592" s="35"/>
      <c r="AO5592" s="35"/>
      <c r="AP5592" s="35"/>
    </row>
    <row r="5593" spans="1:42" x14ac:dyDescent="0.2">
      <c r="A5593" s="126">
        <v>45610.88462597222</v>
      </c>
      <c r="B5593" s="137" t="s">
        <v>37</v>
      </c>
      <c r="C5593" s="41" t="s">
        <v>118</v>
      </c>
      <c r="D5593" s="80" t="s">
        <v>36</v>
      </c>
      <c r="E5593" s="80" t="s">
        <v>139</v>
      </c>
      <c r="F5593" s="80" t="s">
        <v>36</v>
      </c>
      <c r="G5593" s="80" t="s">
        <v>41</v>
      </c>
      <c r="H5593" s="80" t="s">
        <v>14051</v>
      </c>
      <c r="I5593" s="17">
        <f ca="1">IFERROR(__xludf.DUMMYFUNCTION("""COMPUTED_VALUE"""),45615)</f>
        <v>45615</v>
      </c>
      <c r="J5593" s="143" t="s">
        <v>18813</v>
      </c>
      <c r="K5593" s="80" t="s">
        <v>18814</v>
      </c>
      <c r="L5593" s="30">
        <v>352808126</v>
      </c>
      <c r="M5593" s="80" t="s">
        <v>45</v>
      </c>
      <c r="N5593" s="80" t="s">
        <v>1472</v>
      </c>
      <c r="O5593" s="80" t="s">
        <v>18815</v>
      </c>
      <c r="P5593" s="80" t="s">
        <v>7743</v>
      </c>
      <c r="Q5593" s="20">
        <v>15936</v>
      </c>
      <c r="R5593" s="80" t="s">
        <v>36</v>
      </c>
      <c r="S5593" s="95">
        <f>200+5800</f>
        <v>6000</v>
      </c>
      <c r="T5593" s="83" t="s">
        <v>18816</v>
      </c>
      <c r="U5593" s="95">
        <v>9936</v>
      </c>
      <c r="V5593" s="148">
        <v>45644</v>
      </c>
      <c r="W5593" s="85" t="s">
        <v>18817</v>
      </c>
      <c r="X5593" s="80"/>
      <c r="Y5593" s="22">
        <v>0</v>
      </c>
      <c r="Z5593" s="80" t="s">
        <v>50</v>
      </c>
      <c r="AA5593" s="96" t="s">
        <v>18579</v>
      </c>
      <c r="AB5593" s="82"/>
      <c r="AC5593" s="80" t="s">
        <v>53</v>
      </c>
      <c r="AD5593" s="80" t="s">
        <v>138</v>
      </c>
      <c r="AE5593" s="83">
        <v>0</v>
      </c>
      <c r="AF5593" s="43">
        <v>45615</v>
      </c>
      <c r="AG5593" s="80"/>
      <c r="AH5593" s="80"/>
      <c r="AI5593" s="147"/>
      <c r="AJ5593" s="80"/>
      <c r="AK5593" s="80"/>
      <c r="AL5593" s="35"/>
      <c r="AM5593" s="35"/>
      <c r="AN5593" s="35"/>
      <c r="AO5593" s="35"/>
      <c r="AP5593" s="35"/>
    </row>
    <row r="5594" spans="1:42" x14ac:dyDescent="0.2">
      <c r="A5594" s="126">
        <v>45610.947758344904</v>
      </c>
      <c r="B5594" s="137" t="s">
        <v>37</v>
      </c>
      <c r="C5594" s="41" t="s">
        <v>118</v>
      </c>
      <c r="D5594" s="80" t="s">
        <v>36</v>
      </c>
      <c r="E5594" s="80" t="s">
        <v>139</v>
      </c>
      <c r="F5594" s="80" t="s">
        <v>36</v>
      </c>
      <c r="G5594" s="80" t="s">
        <v>41</v>
      </c>
      <c r="H5594" s="80" t="s">
        <v>6523</v>
      </c>
      <c r="I5594" s="17">
        <f ca="1">IFERROR(__xludf.DUMMYFUNCTION("""COMPUTED_VALUE"""),45622)</f>
        <v>45622</v>
      </c>
      <c r="J5594" s="143" t="s">
        <v>18818</v>
      </c>
      <c r="K5594" s="80" t="s">
        <v>18819</v>
      </c>
      <c r="L5594" s="30">
        <v>869868316</v>
      </c>
      <c r="M5594" s="80" t="s">
        <v>16756</v>
      </c>
      <c r="N5594" s="80" t="s">
        <v>3525</v>
      </c>
      <c r="O5594" s="80" t="s">
        <v>18820</v>
      </c>
      <c r="P5594" s="80" t="s">
        <v>18821</v>
      </c>
      <c r="Q5594" s="20">
        <v>15936</v>
      </c>
      <c r="R5594" s="80" t="s">
        <v>36</v>
      </c>
      <c r="S5594" s="95">
        <v>2000</v>
      </c>
      <c r="T5594" s="148">
        <v>45610</v>
      </c>
      <c r="U5594" s="95">
        <v>13936</v>
      </c>
      <c r="V5594" s="148">
        <v>45639</v>
      </c>
      <c r="W5594" s="85" t="s">
        <v>18822</v>
      </c>
      <c r="X5594" s="80"/>
      <c r="Y5594" s="22">
        <v>0</v>
      </c>
      <c r="Z5594" s="80" t="s">
        <v>50</v>
      </c>
      <c r="AA5594" s="35" t="s">
        <v>18579</v>
      </c>
      <c r="AB5594" s="86"/>
      <c r="AC5594" s="80" t="s">
        <v>53</v>
      </c>
      <c r="AD5594" s="80" t="s">
        <v>54</v>
      </c>
      <c r="AE5594" s="80"/>
      <c r="AF5594" s="17">
        <v>45615</v>
      </c>
      <c r="AG5594" s="80"/>
      <c r="AH5594" s="80"/>
      <c r="AI5594" s="147"/>
      <c r="AJ5594" s="80"/>
      <c r="AK5594" s="80"/>
      <c r="AL5594" s="35"/>
      <c r="AM5594" s="35"/>
      <c r="AN5594" s="35"/>
      <c r="AO5594" s="35"/>
      <c r="AP5594" s="35"/>
    </row>
    <row r="5595" spans="1:42" x14ac:dyDescent="0.2">
      <c r="A5595" s="126">
        <v>45611.337522500005</v>
      </c>
      <c r="B5595" s="137" t="s">
        <v>37</v>
      </c>
      <c r="C5595" s="41" t="s">
        <v>118</v>
      </c>
      <c r="D5595" s="80" t="s">
        <v>36</v>
      </c>
      <c r="E5595" s="80" t="s">
        <v>139</v>
      </c>
      <c r="F5595" s="80" t="s">
        <v>36</v>
      </c>
      <c r="G5595" s="80" t="s">
        <v>41</v>
      </c>
      <c r="H5595" s="80" t="s">
        <v>17752</v>
      </c>
      <c r="I5595" s="17">
        <f ca="1">IFERROR(__xludf.DUMMYFUNCTION("""COMPUTED_VALUE"""),45618)</f>
        <v>45618</v>
      </c>
      <c r="J5595" s="143" t="s">
        <v>18536</v>
      </c>
      <c r="K5595" s="80" t="s">
        <v>18537</v>
      </c>
      <c r="L5595" s="30">
        <v>356607640</v>
      </c>
      <c r="M5595" s="80" t="s">
        <v>15996</v>
      </c>
      <c r="N5595" s="80" t="s">
        <v>186</v>
      </c>
      <c r="O5595" s="80" t="s">
        <v>4503</v>
      </c>
      <c r="P5595" s="80" t="s">
        <v>18538</v>
      </c>
      <c r="Q5595" s="20">
        <v>15936</v>
      </c>
      <c r="R5595" s="80" t="s">
        <v>1106</v>
      </c>
      <c r="S5595" s="95">
        <f>200+5000</f>
        <v>5200</v>
      </c>
      <c r="T5595" s="83" t="s">
        <v>18534</v>
      </c>
      <c r="U5595" s="95">
        <v>10586</v>
      </c>
      <c r="V5595" s="148">
        <v>45637</v>
      </c>
      <c r="W5595" s="85" t="s">
        <v>18539</v>
      </c>
      <c r="X5595" s="80"/>
      <c r="Y5595" s="22">
        <v>150</v>
      </c>
      <c r="Z5595" s="80" t="s">
        <v>50</v>
      </c>
      <c r="AA5595" s="96" t="s">
        <v>18579</v>
      </c>
      <c r="AB5595" s="82"/>
      <c r="AC5595" s="80" t="s">
        <v>53</v>
      </c>
      <c r="AD5595" s="80" t="s">
        <v>138</v>
      </c>
      <c r="AE5595" s="80"/>
      <c r="AF5595" s="43">
        <v>45618</v>
      </c>
      <c r="AG5595" s="80" t="s">
        <v>16677</v>
      </c>
      <c r="AH5595" s="80"/>
      <c r="AI5595" s="147"/>
      <c r="AJ5595" s="80"/>
      <c r="AK5595" s="80"/>
      <c r="AL5595" s="35"/>
      <c r="AM5595" s="35"/>
      <c r="AN5595" s="35"/>
      <c r="AO5595" s="35"/>
      <c r="AP5595" s="35"/>
    </row>
    <row r="5596" spans="1:42" x14ac:dyDescent="0.2">
      <c r="A5596" s="126">
        <v>45611.926696817129</v>
      </c>
      <c r="B5596" s="137" t="s">
        <v>37</v>
      </c>
      <c r="C5596" s="41" t="s">
        <v>118</v>
      </c>
      <c r="D5596" s="80" t="s">
        <v>36</v>
      </c>
      <c r="E5596" s="80" t="s">
        <v>119</v>
      </c>
      <c r="F5596" s="80" t="s">
        <v>36</v>
      </c>
      <c r="G5596" s="80" t="s">
        <v>108</v>
      </c>
      <c r="H5596" s="80" t="s">
        <v>16656</v>
      </c>
      <c r="I5596" s="17">
        <f ca="1">IFERROR(__xludf.DUMMYFUNCTION("""COMPUTED_VALUE"""),45624)</f>
        <v>45624</v>
      </c>
      <c r="J5596" s="143" t="s">
        <v>18823</v>
      </c>
      <c r="K5596" s="80" t="s">
        <v>18824</v>
      </c>
      <c r="L5596" s="30">
        <v>982072721</v>
      </c>
      <c r="M5596" s="80" t="s">
        <v>5429</v>
      </c>
      <c r="N5596" s="80" t="s">
        <v>756</v>
      </c>
      <c r="O5596" s="80" t="s">
        <v>18825</v>
      </c>
      <c r="P5596" s="80" t="s">
        <v>18826</v>
      </c>
      <c r="Q5596" s="20">
        <v>13968</v>
      </c>
      <c r="R5596" s="80" t="s">
        <v>36</v>
      </c>
      <c r="S5596" s="95">
        <f>200+3800</f>
        <v>4000</v>
      </c>
      <c r="T5596" s="83" t="s">
        <v>18827</v>
      </c>
      <c r="U5596" s="95">
        <v>9968</v>
      </c>
      <c r="V5596" s="148">
        <v>45645</v>
      </c>
      <c r="W5596" s="85" t="s">
        <v>18828</v>
      </c>
      <c r="X5596" s="80"/>
      <c r="Y5596" s="22">
        <v>0</v>
      </c>
      <c r="Z5596" s="80" t="s">
        <v>50</v>
      </c>
      <c r="AA5596" s="35" t="s">
        <v>18579</v>
      </c>
      <c r="AB5596" s="86"/>
      <c r="AC5596" s="80" t="s">
        <v>53</v>
      </c>
      <c r="AD5596" s="80" t="s">
        <v>138</v>
      </c>
      <c r="AE5596" s="83">
        <v>450</v>
      </c>
      <c r="AF5596" s="43">
        <v>45624</v>
      </c>
      <c r="AG5596" s="80"/>
      <c r="AH5596" s="80"/>
      <c r="AI5596" s="147"/>
      <c r="AJ5596" s="80"/>
      <c r="AK5596" s="80"/>
      <c r="AL5596" s="193"/>
      <c r="AM5596" s="193"/>
      <c r="AN5596" s="193"/>
      <c r="AO5596" s="193"/>
      <c r="AP5596" s="193"/>
    </row>
    <row r="5597" spans="1:42" x14ac:dyDescent="0.2">
      <c r="A5597" s="126">
        <v>45614.369213923608</v>
      </c>
      <c r="B5597" s="137" t="s">
        <v>37</v>
      </c>
      <c r="C5597" s="41" t="s">
        <v>118</v>
      </c>
      <c r="D5597" s="80" t="s">
        <v>36</v>
      </c>
      <c r="E5597" s="80" t="s">
        <v>77</v>
      </c>
      <c r="F5597" s="80" t="s">
        <v>36</v>
      </c>
      <c r="G5597" s="80" t="s">
        <v>41</v>
      </c>
      <c r="H5597" s="80" t="s">
        <v>15282</v>
      </c>
      <c r="I5597" s="17">
        <f ca="1">IFERROR(__xludf.DUMMYFUNCTION("""COMPUTED_VALUE"""),45674)</f>
        <v>45674</v>
      </c>
      <c r="J5597" s="143" t="s">
        <v>18829</v>
      </c>
      <c r="K5597" s="80" t="s">
        <v>18830</v>
      </c>
      <c r="L5597" s="30">
        <v>349102834</v>
      </c>
      <c r="M5597" s="80" t="s">
        <v>9422</v>
      </c>
      <c r="N5597" s="80" t="s">
        <v>3760</v>
      </c>
      <c r="O5597" s="80" t="s">
        <v>18831</v>
      </c>
      <c r="P5597" s="80" t="s">
        <v>18832</v>
      </c>
      <c r="Q5597" s="20">
        <v>1968</v>
      </c>
      <c r="R5597" s="80" t="s">
        <v>36</v>
      </c>
      <c r="S5597" s="95">
        <f>500+1468</f>
        <v>1968</v>
      </c>
      <c r="T5597" s="148">
        <v>45593</v>
      </c>
      <c r="U5597" s="95"/>
      <c r="V5597" s="148">
        <v>45653</v>
      </c>
      <c r="W5597" s="85" t="s">
        <v>18833</v>
      </c>
      <c r="X5597" s="80"/>
      <c r="Y5597" s="22">
        <v>0</v>
      </c>
      <c r="Z5597" s="80" t="s">
        <v>50</v>
      </c>
      <c r="AA5597" s="96" t="s">
        <v>18579</v>
      </c>
      <c r="AB5597" s="82"/>
      <c r="AC5597" s="80" t="s">
        <v>53</v>
      </c>
      <c r="AD5597" s="80" t="s">
        <v>54</v>
      </c>
      <c r="AE5597" s="80"/>
      <c r="AF5597" s="43">
        <v>45653</v>
      </c>
      <c r="AG5597" s="80" t="s">
        <v>18834</v>
      </c>
      <c r="AH5597" s="80"/>
      <c r="AI5597" s="147"/>
      <c r="AJ5597" s="80"/>
      <c r="AK5597" s="80"/>
      <c r="AL5597" s="35"/>
      <c r="AM5597" s="35"/>
      <c r="AN5597" s="35"/>
      <c r="AO5597" s="35"/>
      <c r="AP5597" s="35"/>
    </row>
    <row r="5598" spans="1:42" x14ac:dyDescent="0.2">
      <c r="A5598" s="38">
        <v>45614</v>
      </c>
      <c r="B5598" s="137" t="s">
        <v>37</v>
      </c>
      <c r="C5598" s="41" t="s">
        <v>118</v>
      </c>
      <c r="D5598" s="80" t="s">
        <v>36</v>
      </c>
      <c r="E5598" s="80" t="s">
        <v>106</v>
      </c>
      <c r="F5598" s="80" t="s">
        <v>13186</v>
      </c>
      <c r="G5598" s="80" t="s">
        <v>108</v>
      </c>
      <c r="H5598" s="80" t="s">
        <v>16651</v>
      </c>
      <c r="I5598" s="17">
        <f ca="1">IFERROR(__xludf.DUMMYFUNCTION("""COMPUTED_VALUE"""),45628)</f>
        <v>45628</v>
      </c>
      <c r="J5598" s="143" t="s">
        <v>18648</v>
      </c>
      <c r="K5598" s="80" t="s">
        <v>6046</v>
      </c>
      <c r="L5598" s="30">
        <v>356219783</v>
      </c>
      <c r="M5598" s="80" t="s">
        <v>12644</v>
      </c>
      <c r="N5598" s="80" t="s">
        <v>8725</v>
      </c>
      <c r="O5598" s="80" t="s">
        <v>18650</v>
      </c>
      <c r="P5598" s="80" t="s">
        <v>18651</v>
      </c>
      <c r="Q5598" s="20">
        <v>3768</v>
      </c>
      <c r="R5598" s="80" t="s">
        <v>36</v>
      </c>
      <c r="S5598" s="95">
        <v>3768</v>
      </c>
      <c r="T5598" s="148">
        <v>45628</v>
      </c>
      <c r="U5598" s="77"/>
      <c r="V5598" s="78"/>
      <c r="W5598" s="79" t="s">
        <v>18835</v>
      </c>
      <c r="X5598" s="80"/>
      <c r="Y5598" s="22">
        <v>0</v>
      </c>
      <c r="Z5598" s="80" t="s">
        <v>50</v>
      </c>
      <c r="AA5598" s="35" t="s">
        <v>18579</v>
      </c>
      <c r="AB5598" s="86"/>
      <c r="AC5598" s="80" t="s">
        <v>53</v>
      </c>
      <c r="AD5598" s="80" t="s">
        <v>54</v>
      </c>
      <c r="AE5598" s="80"/>
      <c r="AF5598" s="17">
        <v>45629</v>
      </c>
      <c r="AG5598" s="80" t="s">
        <v>7078</v>
      </c>
      <c r="AH5598" s="80"/>
      <c r="AI5598" s="147"/>
      <c r="AJ5598" s="80"/>
      <c r="AK5598" s="80"/>
      <c r="AL5598" s="86"/>
      <c r="AM5598" s="86"/>
      <c r="AN5598" s="86"/>
      <c r="AO5598" s="86"/>
      <c r="AP5598" s="35"/>
    </row>
    <row r="5599" spans="1:42" x14ac:dyDescent="0.2">
      <c r="A5599" s="126">
        <v>45614.941340624995</v>
      </c>
      <c r="B5599" s="137" t="s">
        <v>37</v>
      </c>
      <c r="C5599" s="41" t="s">
        <v>118</v>
      </c>
      <c r="D5599" s="80" t="s">
        <v>36</v>
      </c>
      <c r="E5599" s="80" t="s">
        <v>139</v>
      </c>
      <c r="F5599" s="26" t="s">
        <v>36</v>
      </c>
      <c r="G5599" s="26" t="s">
        <v>41</v>
      </c>
      <c r="H5599" s="80" t="s">
        <v>13283</v>
      </c>
      <c r="I5599" s="17">
        <f ca="1">IFERROR(__xludf.DUMMYFUNCTION("""COMPUTED_VALUE"""),45631)</f>
        <v>45631</v>
      </c>
      <c r="J5599" s="143" t="s">
        <v>18836</v>
      </c>
      <c r="K5599" s="80" t="s">
        <v>18837</v>
      </c>
      <c r="L5599" s="30">
        <v>788209599</v>
      </c>
      <c r="M5599" s="80" t="s">
        <v>12529</v>
      </c>
      <c r="N5599" s="80" t="s">
        <v>15532</v>
      </c>
      <c r="O5599" s="80" t="s">
        <v>18838</v>
      </c>
      <c r="P5599" s="80" t="s">
        <v>18839</v>
      </c>
      <c r="Q5599" s="20">
        <v>15936</v>
      </c>
      <c r="R5599" s="80" t="s">
        <v>36</v>
      </c>
      <c r="S5599" s="95">
        <f>200+1800</f>
        <v>2000</v>
      </c>
      <c r="T5599" s="83" t="s">
        <v>18840</v>
      </c>
      <c r="U5599" s="95">
        <v>13936</v>
      </c>
      <c r="V5599" s="148">
        <v>45645</v>
      </c>
      <c r="W5599" s="85" t="s">
        <v>18841</v>
      </c>
      <c r="X5599" s="80"/>
      <c r="Y5599" s="22">
        <v>0</v>
      </c>
      <c r="Z5599" s="80" t="s">
        <v>50</v>
      </c>
      <c r="AA5599" s="96" t="s">
        <v>18579</v>
      </c>
      <c r="AB5599" s="82"/>
      <c r="AC5599" s="80" t="s">
        <v>53</v>
      </c>
      <c r="AD5599" s="80" t="s">
        <v>138</v>
      </c>
      <c r="AE5599" s="80"/>
      <c r="AF5599" s="17">
        <v>45631</v>
      </c>
      <c r="AG5599" s="80"/>
      <c r="AH5599" s="80"/>
      <c r="AI5599" s="147"/>
      <c r="AJ5599" s="80"/>
      <c r="AK5599" s="80"/>
      <c r="AL5599" s="35"/>
      <c r="AM5599" s="35"/>
      <c r="AN5599" s="35"/>
      <c r="AO5599" s="35"/>
      <c r="AP5599" s="35"/>
    </row>
    <row r="5600" spans="1:42" x14ac:dyDescent="0.2">
      <c r="A5600" s="126">
        <v>45615.495606643519</v>
      </c>
      <c r="B5600" s="137" t="s">
        <v>37</v>
      </c>
      <c r="C5600" s="41" t="s">
        <v>118</v>
      </c>
      <c r="D5600" s="80" t="s">
        <v>36</v>
      </c>
      <c r="E5600" s="80" t="s">
        <v>106</v>
      </c>
      <c r="F5600" s="80" t="s">
        <v>40</v>
      </c>
      <c r="G5600" s="80" t="s">
        <v>108</v>
      </c>
      <c r="H5600" s="80" t="s">
        <v>14409</v>
      </c>
      <c r="I5600" s="17">
        <f ca="1">IFERROR(__xludf.DUMMYFUNCTION("""COMPUTED_VALUE"""),45624)</f>
        <v>45624</v>
      </c>
      <c r="J5600" s="143" t="s">
        <v>7162</v>
      </c>
      <c r="K5600" s="80" t="s">
        <v>18842</v>
      </c>
      <c r="L5600" s="30">
        <v>847310705</v>
      </c>
      <c r="M5600" s="80" t="s">
        <v>15970</v>
      </c>
      <c r="N5600" s="80" t="s">
        <v>16291</v>
      </c>
      <c r="O5600" s="80" t="s">
        <v>17416</v>
      </c>
      <c r="P5600" s="80" t="s">
        <v>18843</v>
      </c>
      <c r="Q5600" s="20">
        <v>3768</v>
      </c>
      <c r="R5600" s="80" t="s">
        <v>36</v>
      </c>
      <c r="S5600" s="95">
        <f>200+3668</f>
        <v>3868</v>
      </c>
      <c r="T5600" s="83" t="s">
        <v>18844</v>
      </c>
      <c r="U5600" s="95"/>
      <c r="V5600" s="148"/>
      <c r="W5600" s="80" t="s">
        <v>18845</v>
      </c>
      <c r="X5600" s="80"/>
      <c r="Y5600" s="22">
        <v>-100</v>
      </c>
      <c r="Z5600" s="80" t="s">
        <v>50</v>
      </c>
      <c r="AA5600" s="35" t="s">
        <v>18579</v>
      </c>
      <c r="AB5600" s="86"/>
      <c r="AC5600" s="80" t="s">
        <v>53</v>
      </c>
      <c r="AD5600" s="80" t="s">
        <v>54</v>
      </c>
      <c r="AE5600" s="26" t="s">
        <v>6814</v>
      </c>
      <c r="AF5600" s="17">
        <v>45618</v>
      </c>
      <c r="AG5600" s="80"/>
      <c r="AH5600" s="80"/>
      <c r="AI5600" s="147"/>
      <c r="AJ5600" s="80"/>
      <c r="AK5600" s="80"/>
      <c r="AL5600" s="35"/>
      <c r="AM5600" s="35"/>
      <c r="AN5600" s="35"/>
      <c r="AO5600" s="35"/>
      <c r="AP5600" s="35"/>
    </row>
    <row r="5601" spans="1:42" x14ac:dyDescent="0.2">
      <c r="A5601" s="126">
        <v>45615.72570653935</v>
      </c>
      <c r="B5601" s="137" t="s">
        <v>37</v>
      </c>
      <c r="C5601" s="41" t="s">
        <v>118</v>
      </c>
      <c r="D5601" s="80" t="s">
        <v>36</v>
      </c>
      <c r="E5601" s="80" t="s">
        <v>39</v>
      </c>
      <c r="F5601" s="80" t="s">
        <v>40</v>
      </c>
      <c r="G5601" s="80" t="s">
        <v>41</v>
      </c>
      <c r="H5601" s="80" t="s">
        <v>16705</v>
      </c>
      <c r="I5601" s="17">
        <f ca="1">IFERROR(__xludf.DUMMYFUNCTION("""COMPUTED_VALUE"""),45621)</f>
        <v>45621</v>
      </c>
      <c r="J5601" s="143" t="s">
        <v>18846</v>
      </c>
      <c r="K5601" s="80" t="s">
        <v>18847</v>
      </c>
      <c r="L5601" s="30">
        <v>375289493</v>
      </c>
      <c r="M5601" s="80" t="s">
        <v>15970</v>
      </c>
      <c r="N5601" s="80" t="s">
        <v>18848</v>
      </c>
      <c r="O5601" s="80" t="s">
        <v>18849</v>
      </c>
      <c r="P5601" s="144" t="s">
        <v>18850</v>
      </c>
      <c r="Q5601" s="20">
        <v>5736</v>
      </c>
      <c r="R5601" s="80" t="s">
        <v>36</v>
      </c>
      <c r="S5601" s="95">
        <f>100+1868</f>
        <v>1968</v>
      </c>
      <c r="T5601" s="83" t="s">
        <v>18851</v>
      </c>
      <c r="U5601" s="95">
        <v>3768</v>
      </c>
      <c r="V5601" s="148">
        <v>45646</v>
      </c>
      <c r="W5601" s="85" t="s">
        <v>18852</v>
      </c>
      <c r="X5601" s="80"/>
      <c r="Y5601" s="22">
        <v>0</v>
      </c>
      <c r="Z5601" s="80" t="s">
        <v>50</v>
      </c>
      <c r="AA5601" s="96" t="s">
        <v>18579</v>
      </c>
      <c r="AB5601" s="82"/>
      <c r="AC5601" s="80" t="s">
        <v>53</v>
      </c>
      <c r="AD5601" s="80" t="s">
        <v>54</v>
      </c>
      <c r="AE5601" s="80"/>
      <c r="AF5601" s="43">
        <v>45621</v>
      </c>
      <c r="AG5601" s="80"/>
      <c r="AH5601" s="80"/>
      <c r="AI5601" s="147"/>
      <c r="AJ5601" s="80"/>
      <c r="AK5601" s="80"/>
      <c r="AL5601" s="35"/>
      <c r="AM5601" s="35"/>
      <c r="AN5601" s="35"/>
      <c r="AO5601" s="35"/>
      <c r="AP5601" s="35"/>
    </row>
    <row r="5602" spans="1:42" x14ac:dyDescent="0.2">
      <c r="A5602" s="126">
        <v>45616.359925104167</v>
      </c>
      <c r="B5602" s="137" t="s">
        <v>37</v>
      </c>
      <c r="C5602" s="41" t="s">
        <v>118</v>
      </c>
      <c r="D5602" s="80" t="s">
        <v>36</v>
      </c>
      <c r="E5602" s="80" t="s">
        <v>77</v>
      </c>
      <c r="F5602" s="26" t="s">
        <v>36</v>
      </c>
      <c r="G5602" s="26" t="s">
        <v>41</v>
      </c>
      <c r="H5602" s="80" t="s">
        <v>18110</v>
      </c>
      <c r="I5602" s="17">
        <f ca="1">IFERROR(__xludf.DUMMYFUNCTION("""COMPUTED_VALUE"""),45630)</f>
        <v>45630</v>
      </c>
      <c r="J5602" s="143" t="s">
        <v>18853</v>
      </c>
      <c r="K5602" s="80" t="s">
        <v>18854</v>
      </c>
      <c r="L5602" s="30">
        <v>346921766</v>
      </c>
      <c r="M5602" s="80" t="s">
        <v>11413</v>
      </c>
      <c r="N5602" s="80" t="s">
        <v>1246</v>
      </c>
      <c r="O5602" s="80" t="s">
        <v>18855</v>
      </c>
      <c r="P5602" s="80" t="s">
        <v>18856</v>
      </c>
      <c r="Q5602" s="20">
        <v>1968</v>
      </c>
      <c r="R5602" s="80" t="s">
        <v>70</v>
      </c>
      <c r="S5602" s="95">
        <f t="shared" ref="S5602:S5603" si="154">1000+968</f>
        <v>1968</v>
      </c>
      <c r="T5602" s="83" t="s">
        <v>18857</v>
      </c>
      <c r="U5602" s="77"/>
      <c r="V5602" s="78"/>
      <c r="W5602" s="85" t="s">
        <v>18858</v>
      </c>
      <c r="X5602" s="80"/>
      <c r="Y5602" s="22">
        <v>0</v>
      </c>
      <c r="Z5602" s="80" t="s">
        <v>50</v>
      </c>
      <c r="AA5602" s="35" t="s">
        <v>18579</v>
      </c>
      <c r="AB5602" s="86"/>
      <c r="AC5602" s="80" t="s">
        <v>53</v>
      </c>
      <c r="AD5602" s="80" t="s">
        <v>138</v>
      </c>
      <c r="AE5602" s="80"/>
      <c r="AF5602" s="17">
        <v>45631</v>
      </c>
      <c r="AG5602" s="80"/>
      <c r="AH5602" s="80"/>
      <c r="AI5602" s="147"/>
      <c r="AJ5602" s="80"/>
      <c r="AK5602" s="80"/>
      <c r="AL5602" s="35"/>
      <c r="AM5602" s="35"/>
      <c r="AN5602" s="35"/>
      <c r="AO5602" s="35"/>
      <c r="AP5602" s="35"/>
    </row>
    <row r="5603" spans="1:42" x14ac:dyDescent="0.2">
      <c r="A5603" s="126">
        <v>45616.377260787034</v>
      </c>
      <c r="B5603" s="137" t="s">
        <v>37</v>
      </c>
      <c r="C5603" s="41" t="s">
        <v>118</v>
      </c>
      <c r="D5603" s="80" t="s">
        <v>36</v>
      </c>
      <c r="E5603" s="80" t="s">
        <v>77</v>
      </c>
      <c r="F5603" s="26" t="s">
        <v>36</v>
      </c>
      <c r="G5603" s="26" t="s">
        <v>41</v>
      </c>
      <c r="H5603" s="80" t="s">
        <v>16183</v>
      </c>
      <c r="I5603" s="17">
        <f ca="1">IFERROR(__xludf.DUMMYFUNCTION("""COMPUTED_VALUE"""),45657)</f>
        <v>45657</v>
      </c>
      <c r="J5603" s="172" t="s">
        <v>18859</v>
      </c>
      <c r="K5603" s="80" t="s">
        <v>18860</v>
      </c>
      <c r="L5603" s="30">
        <v>393953394</v>
      </c>
      <c r="M5603" s="80" t="s">
        <v>11413</v>
      </c>
      <c r="N5603" s="80" t="s">
        <v>1246</v>
      </c>
      <c r="O5603" s="80" t="s">
        <v>18861</v>
      </c>
      <c r="P5603" s="80" t="s">
        <v>18862</v>
      </c>
      <c r="Q5603" s="20">
        <v>1968</v>
      </c>
      <c r="R5603" s="80" t="s">
        <v>70</v>
      </c>
      <c r="S5603" s="95">
        <f t="shared" si="154"/>
        <v>1968</v>
      </c>
      <c r="T5603" s="83" t="s">
        <v>18857</v>
      </c>
      <c r="U5603" s="77"/>
      <c r="V5603" s="78"/>
      <c r="W5603" s="85" t="s">
        <v>18863</v>
      </c>
      <c r="X5603" s="80"/>
      <c r="Y5603" s="22">
        <v>0</v>
      </c>
      <c r="Z5603" s="80" t="s">
        <v>50</v>
      </c>
      <c r="AA5603" s="96" t="s">
        <v>18579</v>
      </c>
      <c r="AB5603" s="82"/>
      <c r="AC5603" s="80" t="s">
        <v>53</v>
      </c>
      <c r="AD5603" s="80" t="s">
        <v>138</v>
      </c>
      <c r="AE5603" s="80"/>
      <c r="AF5603" s="17">
        <v>45631</v>
      </c>
      <c r="AG5603" s="80"/>
      <c r="AH5603" s="80"/>
      <c r="AI5603" s="147"/>
      <c r="AJ5603" s="80"/>
      <c r="AK5603" s="80"/>
      <c r="AL5603" s="35"/>
      <c r="AM5603" s="35"/>
      <c r="AN5603" s="35"/>
      <c r="AO5603" s="35"/>
      <c r="AP5603" s="35"/>
    </row>
    <row r="5604" spans="1:42" x14ac:dyDescent="0.2">
      <c r="A5604" s="126">
        <v>45617.399312824069</v>
      </c>
      <c r="B5604" s="137" t="s">
        <v>37</v>
      </c>
      <c r="C5604" s="41" t="s">
        <v>118</v>
      </c>
      <c r="D5604" s="80" t="s">
        <v>36</v>
      </c>
      <c r="E5604" s="80" t="s">
        <v>139</v>
      </c>
      <c r="F5604" s="26" t="s">
        <v>36</v>
      </c>
      <c r="G5604" s="26" t="s">
        <v>41</v>
      </c>
      <c r="H5604" s="80" t="s">
        <v>13283</v>
      </c>
      <c r="I5604" s="17">
        <f ca="1">IFERROR(__xludf.DUMMYFUNCTION("""COMPUTED_VALUE"""),45631)</f>
        <v>45631</v>
      </c>
      <c r="J5604" s="143" t="s">
        <v>18864</v>
      </c>
      <c r="K5604" s="80" t="s">
        <v>1792</v>
      </c>
      <c r="L5604" s="30">
        <v>333086277</v>
      </c>
      <c r="M5604" s="80" t="s">
        <v>18865</v>
      </c>
      <c r="N5604" s="80" t="s">
        <v>5277</v>
      </c>
      <c r="O5604" s="80" t="s">
        <v>18866</v>
      </c>
      <c r="P5604" s="80" t="s">
        <v>18867</v>
      </c>
      <c r="Q5604" s="20">
        <v>15936</v>
      </c>
      <c r="R5604" s="80" t="s">
        <v>36</v>
      </c>
      <c r="S5604" s="95">
        <v>2000</v>
      </c>
      <c r="T5604" s="148">
        <v>45617</v>
      </c>
      <c r="U5604" s="95">
        <v>13936</v>
      </c>
      <c r="V5604" s="148">
        <v>45644</v>
      </c>
      <c r="W5604" s="85" t="s">
        <v>18868</v>
      </c>
      <c r="X5604" s="80"/>
      <c r="Y5604" s="22">
        <v>0</v>
      </c>
      <c r="Z5604" s="80" t="s">
        <v>50</v>
      </c>
      <c r="AA5604" s="35" t="s">
        <v>18579</v>
      </c>
      <c r="AB5604" s="86"/>
      <c r="AC5604" s="80" t="s">
        <v>53</v>
      </c>
      <c r="AD5604" s="80" t="s">
        <v>138</v>
      </c>
      <c r="AE5604" s="80"/>
      <c r="AF5604" s="17">
        <v>45631</v>
      </c>
      <c r="AG5604" s="80"/>
      <c r="AH5604" s="80"/>
      <c r="AI5604" s="147"/>
      <c r="AJ5604" s="80"/>
      <c r="AK5604" s="80"/>
      <c r="AL5604" s="35"/>
      <c r="AM5604" s="35"/>
      <c r="AN5604" s="35"/>
      <c r="AO5604" s="35"/>
      <c r="AP5604" s="35"/>
    </row>
    <row r="5605" spans="1:42" x14ac:dyDescent="0.2">
      <c r="A5605" s="126">
        <v>45617.514605613425</v>
      </c>
      <c r="B5605" s="137" t="s">
        <v>37</v>
      </c>
      <c r="C5605" s="41" t="s">
        <v>118</v>
      </c>
      <c r="D5605" s="80" t="s">
        <v>36</v>
      </c>
      <c r="E5605" s="80" t="s">
        <v>119</v>
      </c>
      <c r="F5605" s="80" t="s">
        <v>36</v>
      </c>
      <c r="G5605" s="80" t="s">
        <v>7629</v>
      </c>
      <c r="H5605" s="80" t="s">
        <v>14429</v>
      </c>
      <c r="I5605" s="17">
        <f ca="1">IFERROR(__xludf.DUMMYFUNCTION("""COMPUTED_VALUE"""),45615)</f>
        <v>45615</v>
      </c>
      <c r="J5605" s="143" t="s">
        <v>18869</v>
      </c>
      <c r="K5605" s="80" t="s">
        <v>18870</v>
      </c>
      <c r="L5605" s="30">
        <v>388276011</v>
      </c>
      <c r="M5605" s="80" t="s">
        <v>12529</v>
      </c>
      <c r="N5605" s="80" t="s">
        <v>466</v>
      </c>
      <c r="O5605" s="80" t="s">
        <v>18871</v>
      </c>
      <c r="P5605" s="80" t="s">
        <v>15693</v>
      </c>
      <c r="Q5605" s="20">
        <v>13968</v>
      </c>
      <c r="R5605" s="80" t="s">
        <v>36</v>
      </c>
      <c r="S5605" s="95">
        <f>200+3800</f>
        <v>4000</v>
      </c>
      <c r="T5605" s="83" t="s">
        <v>18872</v>
      </c>
      <c r="U5605" s="95">
        <v>9968</v>
      </c>
      <c r="V5605" s="148">
        <v>45636</v>
      </c>
      <c r="W5605" s="80" t="s">
        <v>18873</v>
      </c>
      <c r="X5605" s="80"/>
      <c r="Y5605" s="22">
        <v>0</v>
      </c>
      <c r="Z5605" s="80" t="s">
        <v>50</v>
      </c>
      <c r="AA5605" s="96" t="s">
        <v>18579</v>
      </c>
      <c r="AB5605" s="82"/>
      <c r="AC5605" s="80" t="s">
        <v>2218</v>
      </c>
      <c r="AD5605" s="80" t="s">
        <v>138</v>
      </c>
      <c r="AE5605" s="83">
        <v>400</v>
      </c>
      <c r="AF5605" s="43">
        <v>45617</v>
      </c>
      <c r="AG5605" s="80" t="s">
        <v>17715</v>
      </c>
      <c r="AH5605" s="80"/>
      <c r="AI5605" s="147"/>
      <c r="AJ5605" s="80"/>
      <c r="AK5605" s="80"/>
      <c r="AL5605" s="35"/>
      <c r="AM5605" s="35"/>
      <c r="AN5605" s="35"/>
      <c r="AO5605" s="35"/>
      <c r="AP5605" s="35"/>
    </row>
    <row r="5606" spans="1:42" x14ac:dyDescent="0.2">
      <c r="A5606" s="126">
        <v>45617.904194131945</v>
      </c>
      <c r="B5606" s="137" t="s">
        <v>37</v>
      </c>
      <c r="C5606" s="41" t="s">
        <v>118</v>
      </c>
      <c r="D5606" s="80" t="s">
        <v>36</v>
      </c>
      <c r="E5606" s="80" t="s">
        <v>139</v>
      </c>
      <c r="F5606" s="80" t="s">
        <v>36</v>
      </c>
      <c r="G5606" s="80" t="s">
        <v>41</v>
      </c>
      <c r="H5606" s="80" t="s">
        <v>6523</v>
      </c>
      <c r="I5606" s="17">
        <f ca="1">IFERROR(__xludf.DUMMYFUNCTION("""COMPUTED_VALUE"""),45622)</f>
        <v>45622</v>
      </c>
      <c r="J5606" s="143" t="s">
        <v>18874</v>
      </c>
      <c r="K5606" s="80" t="s">
        <v>18875</v>
      </c>
      <c r="L5606" s="30">
        <v>988653966</v>
      </c>
      <c r="M5606" s="80" t="s">
        <v>12644</v>
      </c>
      <c r="N5606" s="80" t="s">
        <v>8725</v>
      </c>
      <c r="O5606" s="80" t="s">
        <v>18876</v>
      </c>
      <c r="P5606" s="80" t="s">
        <v>18877</v>
      </c>
      <c r="Q5606" s="20">
        <v>15936</v>
      </c>
      <c r="R5606" s="80" t="s">
        <v>36</v>
      </c>
      <c r="S5606" s="95">
        <v>2000</v>
      </c>
      <c r="T5606" s="148">
        <v>45617</v>
      </c>
      <c r="U5606" s="95">
        <v>13936</v>
      </c>
      <c r="V5606" s="148">
        <v>45648</v>
      </c>
      <c r="W5606" s="85" t="s">
        <v>18878</v>
      </c>
      <c r="X5606" s="80"/>
      <c r="Y5606" s="22">
        <v>0</v>
      </c>
      <c r="Z5606" s="80" t="s">
        <v>50</v>
      </c>
      <c r="AA5606" s="35" t="s">
        <v>18579</v>
      </c>
      <c r="AB5606" s="86"/>
      <c r="AC5606" s="80" t="s">
        <v>53</v>
      </c>
      <c r="AD5606" s="80" t="s">
        <v>54</v>
      </c>
      <c r="AE5606" s="80"/>
      <c r="AF5606" s="17">
        <v>45618</v>
      </c>
      <c r="AG5606" s="80"/>
      <c r="AH5606" s="80"/>
      <c r="AI5606" s="147"/>
      <c r="AJ5606" s="80"/>
      <c r="AK5606" s="80"/>
      <c r="AL5606" s="35"/>
      <c r="AM5606" s="35"/>
      <c r="AN5606" s="35"/>
      <c r="AO5606" s="35"/>
      <c r="AP5606" s="35"/>
    </row>
    <row r="5607" spans="1:42" x14ac:dyDescent="0.2">
      <c r="A5607" s="126">
        <v>45618.325048819446</v>
      </c>
      <c r="B5607" s="137" t="s">
        <v>37</v>
      </c>
      <c r="C5607" s="41" t="s">
        <v>118</v>
      </c>
      <c r="D5607" s="80" t="s">
        <v>36</v>
      </c>
      <c r="E5607" s="80" t="s">
        <v>119</v>
      </c>
      <c r="F5607" s="80" t="s">
        <v>36</v>
      </c>
      <c r="G5607" s="80" t="s">
        <v>108</v>
      </c>
      <c r="H5607" s="80" t="s">
        <v>14210</v>
      </c>
      <c r="I5607" s="17">
        <f ca="1">IFERROR(__xludf.DUMMYFUNCTION("""COMPUTED_VALUE"""),45622)</f>
        <v>45622</v>
      </c>
      <c r="J5607" s="143" t="s">
        <v>18879</v>
      </c>
      <c r="K5607" s="80" t="s">
        <v>18880</v>
      </c>
      <c r="L5607" s="30">
        <v>397234092</v>
      </c>
      <c r="M5607" s="80" t="s">
        <v>9422</v>
      </c>
      <c r="N5607" s="80" t="s">
        <v>1881</v>
      </c>
      <c r="O5607" s="80" t="s">
        <v>36</v>
      </c>
      <c r="P5607" s="80" t="s">
        <v>18881</v>
      </c>
      <c r="Q5607" s="20">
        <v>13968</v>
      </c>
      <c r="R5607" s="80" t="s">
        <v>11421</v>
      </c>
      <c r="S5607" s="95">
        <v>4000</v>
      </c>
      <c r="T5607" s="148">
        <v>45617</v>
      </c>
      <c r="U5607" s="95">
        <v>9668</v>
      </c>
      <c r="V5607" s="148">
        <v>45626</v>
      </c>
      <c r="W5607" s="85" t="s">
        <v>18882</v>
      </c>
      <c r="X5607" s="80"/>
      <c r="Y5607" s="22">
        <v>300</v>
      </c>
      <c r="Z5607" s="80" t="s">
        <v>50</v>
      </c>
      <c r="AA5607" s="96" t="s">
        <v>18579</v>
      </c>
      <c r="AB5607" s="82"/>
      <c r="AC5607" s="80" t="s">
        <v>53</v>
      </c>
      <c r="AD5607" s="80" t="s">
        <v>54</v>
      </c>
      <c r="AE5607" s="80"/>
      <c r="AF5607" s="17">
        <v>45618</v>
      </c>
      <c r="AG5607" s="80"/>
      <c r="AH5607" s="80"/>
      <c r="AI5607" s="147"/>
      <c r="AJ5607" s="80"/>
      <c r="AK5607" s="80"/>
      <c r="AL5607" s="35"/>
      <c r="AM5607" s="35"/>
      <c r="AN5607" s="35"/>
      <c r="AO5607" s="35"/>
      <c r="AP5607" s="35"/>
    </row>
    <row r="5608" spans="1:42" x14ac:dyDescent="0.2">
      <c r="A5608" s="126">
        <v>45619.987194247689</v>
      </c>
      <c r="B5608" s="137" t="s">
        <v>37</v>
      </c>
      <c r="C5608" s="41" t="s">
        <v>118</v>
      </c>
      <c r="D5608" s="80" t="s">
        <v>36</v>
      </c>
      <c r="E5608" s="80" t="s">
        <v>39</v>
      </c>
      <c r="F5608" s="80" t="s">
        <v>36</v>
      </c>
      <c r="G5608" s="80" t="s">
        <v>41</v>
      </c>
      <c r="H5608" s="80" t="s">
        <v>18110</v>
      </c>
      <c r="I5608" s="17">
        <f ca="1">IFERROR(__xludf.DUMMYFUNCTION("""COMPUTED_VALUE"""),45630)</f>
        <v>45630</v>
      </c>
      <c r="J5608" s="143" t="s">
        <v>18883</v>
      </c>
      <c r="K5608" s="80" t="s">
        <v>18884</v>
      </c>
      <c r="L5608" s="30">
        <v>387996804</v>
      </c>
      <c r="M5608" s="80" t="s">
        <v>15970</v>
      </c>
      <c r="N5608" s="80" t="s">
        <v>12530</v>
      </c>
      <c r="O5608" s="80" t="s">
        <v>18885</v>
      </c>
      <c r="P5608" s="80" t="s">
        <v>18886</v>
      </c>
      <c r="Q5608" s="20">
        <v>5736</v>
      </c>
      <c r="R5608" s="80" t="s">
        <v>36</v>
      </c>
      <c r="S5608" s="95">
        <f>100+1868</f>
        <v>1968</v>
      </c>
      <c r="T5608" s="83" t="s">
        <v>18887</v>
      </c>
      <c r="U5608" s="95">
        <v>3768</v>
      </c>
      <c r="V5608" s="148">
        <v>45648</v>
      </c>
      <c r="W5608" s="85" t="s">
        <v>18888</v>
      </c>
      <c r="X5608" s="80"/>
      <c r="Y5608" s="22">
        <v>0</v>
      </c>
      <c r="Z5608" s="80" t="s">
        <v>50</v>
      </c>
      <c r="AA5608" s="35" t="s">
        <v>18579</v>
      </c>
      <c r="AB5608" s="86"/>
      <c r="AC5608" s="80" t="s">
        <v>53</v>
      </c>
      <c r="AD5608" s="80" t="s">
        <v>54</v>
      </c>
      <c r="AE5608" s="80"/>
      <c r="AF5608" s="17">
        <v>45628</v>
      </c>
      <c r="AG5608" s="80"/>
      <c r="AH5608" s="80"/>
      <c r="AI5608" s="147"/>
      <c r="AJ5608" s="80"/>
      <c r="AK5608" s="80"/>
      <c r="AL5608" s="35"/>
      <c r="AM5608" s="35"/>
      <c r="AN5608" s="35"/>
      <c r="AO5608" s="35"/>
      <c r="AP5608" s="35"/>
    </row>
    <row r="5609" spans="1:42" x14ac:dyDescent="0.2">
      <c r="A5609" s="126">
        <v>45621.428141736113</v>
      </c>
      <c r="B5609" s="28" t="s">
        <v>37</v>
      </c>
      <c r="C5609" s="41" t="s">
        <v>118</v>
      </c>
      <c r="D5609" s="80" t="s">
        <v>36</v>
      </c>
      <c r="E5609" s="80" t="s">
        <v>139</v>
      </c>
      <c r="F5609" s="80" t="s">
        <v>36</v>
      </c>
      <c r="G5609" s="80" t="s">
        <v>41</v>
      </c>
      <c r="H5609" s="80" t="s">
        <v>18110</v>
      </c>
      <c r="I5609" s="17">
        <f ca="1">IFERROR(__xludf.DUMMYFUNCTION("""COMPUTED_VALUE"""),45630)</f>
        <v>45630</v>
      </c>
      <c r="J5609" s="143" t="s">
        <v>18889</v>
      </c>
      <c r="K5609" s="80" t="s">
        <v>18890</v>
      </c>
      <c r="L5609" s="30">
        <v>983101809</v>
      </c>
      <c r="M5609" s="80" t="s">
        <v>12720</v>
      </c>
      <c r="N5609" s="80" t="s">
        <v>1073</v>
      </c>
      <c r="O5609" s="80" t="s">
        <v>18891</v>
      </c>
      <c r="P5609" s="80" t="s">
        <v>18892</v>
      </c>
      <c r="Q5609" s="20">
        <v>15936</v>
      </c>
      <c r="R5609" s="80" t="s">
        <v>36</v>
      </c>
      <c r="S5609" s="95">
        <v>2000</v>
      </c>
      <c r="T5609" s="148">
        <v>45620</v>
      </c>
      <c r="U5609" s="95">
        <v>13936</v>
      </c>
      <c r="V5609" s="148">
        <v>45654</v>
      </c>
      <c r="W5609" s="85" t="s">
        <v>18893</v>
      </c>
      <c r="X5609" s="80"/>
      <c r="Y5609" s="22">
        <v>0</v>
      </c>
      <c r="Z5609" s="80" t="s">
        <v>50</v>
      </c>
      <c r="AA5609" s="96" t="s">
        <v>18579</v>
      </c>
      <c r="AB5609" s="82"/>
      <c r="AC5609" s="80" t="s">
        <v>53</v>
      </c>
      <c r="AD5609" s="80" t="s">
        <v>54</v>
      </c>
      <c r="AE5609" s="83">
        <v>0</v>
      </c>
      <c r="AF5609" s="43">
        <v>45623</v>
      </c>
      <c r="AG5609" s="80"/>
      <c r="AH5609" s="80"/>
      <c r="AI5609" s="147"/>
      <c r="AJ5609" s="80"/>
      <c r="AK5609" s="80"/>
      <c r="AL5609" s="35"/>
      <c r="AM5609" s="35"/>
      <c r="AN5609" s="35"/>
      <c r="AO5609" s="35"/>
      <c r="AP5609" s="35"/>
    </row>
    <row r="5610" spans="1:42" x14ac:dyDescent="0.2">
      <c r="A5610" s="38">
        <v>45628</v>
      </c>
      <c r="B5610" s="28" t="s">
        <v>37</v>
      </c>
      <c r="C5610" s="41" t="s">
        <v>118</v>
      </c>
      <c r="D5610" s="80" t="s">
        <v>36</v>
      </c>
      <c r="E5610" s="26" t="s">
        <v>219</v>
      </c>
      <c r="F5610" s="80" t="s">
        <v>8986</v>
      </c>
      <c r="G5610" s="26" t="s">
        <v>221</v>
      </c>
      <c r="H5610" s="182" t="s">
        <v>16773</v>
      </c>
      <c r="I5610" s="17">
        <f ca="1">IFERROR(__xludf.DUMMYFUNCTION("""COMPUTED_VALUE"""),45636)</f>
        <v>45636</v>
      </c>
      <c r="J5610" s="29" t="s">
        <v>9080</v>
      </c>
      <c r="K5610" s="19" t="s">
        <v>9081</v>
      </c>
      <c r="L5610" s="47">
        <v>975544305</v>
      </c>
      <c r="M5610" s="26" t="s">
        <v>12720</v>
      </c>
      <c r="N5610" s="26" t="s">
        <v>1073</v>
      </c>
      <c r="O5610" s="26"/>
      <c r="P5610" s="42" t="s">
        <v>9082</v>
      </c>
      <c r="Q5610" s="20">
        <v>3968</v>
      </c>
      <c r="R5610" s="80" t="s">
        <v>36</v>
      </c>
      <c r="S5610" s="95">
        <v>3968</v>
      </c>
      <c r="T5610" s="148">
        <v>45628</v>
      </c>
      <c r="U5610" s="31"/>
      <c r="V5610" s="32"/>
      <c r="W5610" s="55" t="s">
        <v>18894</v>
      </c>
      <c r="X5610" s="26"/>
      <c r="Y5610" s="22">
        <v>0</v>
      </c>
      <c r="Z5610" s="26" t="s">
        <v>50</v>
      </c>
      <c r="AA5610" s="35" t="s">
        <v>18579</v>
      </c>
      <c r="AB5610" s="35"/>
      <c r="AC5610" s="80" t="s">
        <v>53</v>
      </c>
      <c r="AD5610" s="80" t="s">
        <v>54</v>
      </c>
      <c r="AE5610" s="26"/>
      <c r="AF5610" s="17">
        <v>45628</v>
      </c>
      <c r="AG5610" s="26"/>
      <c r="AH5610" s="26"/>
      <c r="AI5610" s="40"/>
      <c r="AJ5610" s="26"/>
      <c r="AK5610" s="26"/>
      <c r="AL5610" s="35"/>
      <c r="AM5610" s="35"/>
      <c r="AN5610" s="35"/>
      <c r="AO5610" s="35"/>
      <c r="AP5610" s="35"/>
    </row>
    <row r="5611" spans="1:42" x14ac:dyDescent="0.2">
      <c r="A5611" s="126"/>
      <c r="B5611" s="137" t="s">
        <v>37</v>
      </c>
      <c r="C5611" s="41" t="s">
        <v>118</v>
      </c>
      <c r="D5611" s="80" t="s">
        <v>36</v>
      </c>
      <c r="E5611" s="80" t="s">
        <v>106</v>
      </c>
      <c r="F5611" s="80" t="s">
        <v>13178</v>
      </c>
      <c r="G5611" s="80" t="s">
        <v>108</v>
      </c>
      <c r="H5611" s="80" t="s">
        <v>16656</v>
      </c>
      <c r="I5611" s="17">
        <f ca="1">IFERROR(__xludf.DUMMYFUNCTION("""COMPUTED_VALUE"""),45624)</f>
        <v>45624</v>
      </c>
      <c r="J5611" s="143" t="s">
        <v>16031</v>
      </c>
      <c r="K5611" s="80" t="s">
        <v>18895</v>
      </c>
      <c r="L5611" s="30">
        <v>889805933</v>
      </c>
      <c r="M5611" s="26" t="s">
        <v>3498</v>
      </c>
      <c r="N5611" s="80" t="s">
        <v>4402</v>
      </c>
      <c r="O5611" s="80" t="s">
        <v>4503</v>
      </c>
      <c r="P5611" s="80" t="s">
        <v>6390</v>
      </c>
      <c r="Q5611" s="20">
        <v>3768</v>
      </c>
      <c r="R5611" s="80" t="s">
        <v>36</v>
      </c>
      <c r="S5611" s="95">
        <v>3768</v>
      </c>
      <c r="T5611" s="148">
        <v>45625</v>
      </c>
      <c r="U5611" s="77"/>
      <c r="V5611" s="78"/>
      <c r="W5611" s="85"/>
      <c r="X5611" s="80"/>
      <c r="Y5611" s="22">
        <v>0</v>
      </c>
      <c r="Z5611" s="80" t="s">
        <v>50</v>
      </c>
      <c r="AA5611" s="96" t="s">
        <v>18579</v>
      </c>
      <c r="AB5611" s="96"/>
      <c r="AC5611" s="80" t="s">
        <v>53</v>
      </c>
      <c r="AD5611" s="80" t="s">
        <v>138</v>
      </c>
      <c r="AE5611" s="80" t="s">
        <v>13178</v>
      </c>
      <c r="AF5611" s="43">
        <v>45624</v>
      </c>
      <c r="AG5611" s="80"/>
      <c r="AH5611" s="80"/>
      <c r="AI5611" s="147"/>
      <c r="AJ5611" s="80"/>
      <c r="AK5611" s="80"/>
      <c r="AL5611" s="35"/>
      <c r="AM5611" s="35"/>
      <c r="AN5611" s="35"/>
      <c r="AO5611" s="35"/>
      <c r="AP5611" s="35"/>
    </row>
    <row r="5612" spans="1:42" x14ac:dyDescent="0.2">
      <c r="A5612" s="126">
        <v>45623.802540439814</v>
      </c>
      <c r="B5612" s="28" t="s">
        <v>37</v>
      </c>
      <c r="C5612" s="41" t="s">
        <v>118</v>
      </c>
      <c r="D5612" s="80" t="s">
        <v>36</v>
      </c>
      <c r="E5612" s="80" t="s">
        <v>77</v>
      </c>
      <c r="F5612" s="80" t="s">
        <v>36</v>
      </c>
      <c r="G5612" s="80" t="s">
        <v>41</v>
      </c>
      <c r="H5612" s="80" t="s">
        <v>18896</v>
      </c>
      <c r="I5612" s="17">
        <f ca="1">IFERROR(__xludf.DUMMYFUNCTION("""COMPUTED_VALUE"""),45762)</f>
        <v>45762</v>
      </c>
      <c r="J5612" s="143" t="s">
        <v>18897</v>
      </c>
      <c r="K5612" s="80" t="s">
        <v>18898</v>
      </c>
      <c r="L5612" s="30">
        <v>369255026</v>
      </c>
      <c r="M5612" s="80" t="s">
        <v>3288</v>
      </c>
      <c r="N5612" s="80" t="s">
        <v>200</v>
      </c>
      <c r="O5612" s="80" t="s">
        <v>91</v>
      </c>
      <c r="P5612" s="80" t="s">
        <v>18899</v>
      </c>
      <c r="Q5612" s="20">
        <v>1968</v>
      </c>
      <c r="R5612" s="80" t="s">
        <v>36</v>
      </c>
      <c r="S5612" s="95">
        <f>200+300+1468</f>
        <v>1968</v>
      </c>
      <c r="T5612" s="83" t="s">
        <v>18900</v>
      </c>
      <c r="U5612" s="77"/>
      <c r="V5612" s="78"/>
      <c r="W5612" s="85" t="s">
        <v>18901</v>
      </c>
      <c r="X5612" s="80"/>
      <c r="Y5612" s="22">
        <v>0</v>
      </c>
      <c r="Z5612" s="80" t="s">
        <v>50</v>
      </c>
      <c r="AA5612" s="35" t="s">
        <v>18579</v>
      </c>
      <c r="AB5612" s="86"/>
      <c r="AC5612" s="80" t="s">
        <v>53</v>
      </c>
      <c r="AD5612" s="80" t="s">
        <v>54</v>
      </c>
      <c r="AE5612" s="80"/>
      <c r="AF5612" s="17">
        <v>45629</v>
      </c>
      <c r="AG5612" s="80" t="s">
        <v>7078</v>
      </c>
      <c r="AH5612" s="80"/>
      <c r="AI5612" s="147"/>
      <c r="AJ5612" s="80"/>
      <c r="AK5612" s="80"/>
      <c r="AL5612" s="35"/>
      <c r="AM5612" s="35"/>
      <c r="AN5612" s="35"/>
      <c r="AO5612" s="35"/>
      <c r="AP5612" s="35"/>
    </row>
    <row r="5613" spans="1:42" x14ac:dyDescent="0.2">
      <c r="A5613" s="126">
        <v>45623.96862590278</v>
      </c>
      <c r="B5613" s="137" t="s">
        <v>37</v>
      </c>
      <c r="C5613" s="41" t="s">
        <v>118</v>
      </c>
      <c r="D5613" s="80" t="s">
        <v>77</v>
      </c>
      <c r="E5613" s="80" t="s">
        <v>119</v>
      </c>
      <c r="F5613" s="80" t="s">
        <v>13178</v>
      </c>
      <c r="G5613" s="80" t="s">
        <v>108</v>
      </c>
      <c r="H5613" s="80" t="s">
        <v>16656</v>
      </c>
      <c r="I5613" s="17">
        <f ca="1">IFERROR(__xludf.DUMMYFUNCTION("""COMPUTED_VALUE"""),45624)</f>
        <v>45624</v>
      </c>
      <c r="J5613" s="143" t="s">
        <v>17235</v>
      </c>
      <c r="K5613" s="80" t="s">
        <v>17236</v>
      </c>
      <c r="L5613" s="30">
        <v>384463358</v>
      </c>
      <c r="M5613" s="80" t="s">
        <v>5429</v>
      </c>
      <c r="N5613" s="80" t="s">
        <v>1384</v>
      </c>
      <c r="O5613" s="80" t="s">
        <v>17237</v>
      </c>
      <c r="P5613" s="80" t="s">
        <v>6368</v>
      </c>
      <c r="Q5613" s="20">
        <v>13968</v>
      </c>
      <c r="R5613" s="80" t="s">
        <v>36</v>
      </c>
      <c r="S5613" s="95">
        <v>10000</v>
      </c>
      <c r="T5613" s="148">
        <v>45623</v>
      </c>
      <c r="U5613" s="95">
        <v>3968</v>
      </c>
      <c r="V5613" s="148">
        <v>45648</v>
      </c>
      <c r="W5613" s="85" t="s">
        <v>18902</v>
      </c>
      <c r="X5613" s="80"/>
      <c r="Y5613" s="22">
        <v>0</v>
      </c>
      <c r="Z5613" s="80" t="s">
        <v>50</v>
      </c>
      <c r="AA5613" s="96" t="s">
        <v>18579</v>
      </c>
      <c r="AB5613" s="82"/>
      <c r="AC5613" s="80" t="s">
        <v>53</v>
      </c>
      <c r="AD5613" s="80" t="s">
        <v>138</v>
      </c>
      <c r="AE5613" s="80" t="s">
        <v>13178</v>
      </c>
      <c r="AF5613" s="43">
        <v>45624</v>
      </c>
      <c r="AG5613" s="80"/>
      <c r="AH5613" s="80"/>
      <c r="AI5613" s="147"/>
      <c r="AJ5613" s="80"/>
      <c r="AK5613" s="80"/>
      <c r="AL5613" s="35"/>
      <c r="AM5613" s="35"/>
      <c r="AN5613" s="35"/>
      <c r="AO5613" s="35"/>
      <c r="AP5613" s="35"/>
    </row>
    <row r="5614" spans="1:42" x14ac:dyDescent="0.2">
      <c r="A5614" s="126">
        <v>45624.501526145832</v>
      </c>
      <c r="B5614" s="137" t="s">
        <v>37</v>
      </c>
      <c r="C5614" s="41" t="s">
        <v>118</v>
      </c>
      <c r="D5614" s="80" t="s">
        <v>36</v>
      </c>
      <c r="E5614" s="80" t="s">
        <v>119</v>
      </c>
      <c r="F5614" s="80" t="s">
        <v>36</v>
      </c>
      <c r="G5614" s="80" t="s">
        <v>108</v>
      </c>
      <c r="H5614" s="80" t="s">
        <v>16903</v>
      </c>
      <c r="I5614" s="17">
        <f ca="1">IFERROR(__xludf.DUMMYFUNCTION("""COMPUTED_VALUE"""),45635)</f>
        <v>45635</v>
      </c>
      <c r="J5614" s="143" t="s">
        <v>18903</v>
      </c>
      <c r="K5614" s="80" t="s">
        <v>18904</v>
      </c>
      <c r="L5614" s="30">
        <v>338001739</v>
      </c>
      <c r="M5614" s="80" t="s">
        <v>5429</v>
      </c>
      <c r="N5614" s="80" t="s">
        <v>1384</v>
      </c>
      <c r="O5614" s="80" t="s">
        <v>61</v>
      </c>
      <c r="P5614" s="80" t="s">
        <v>18905</v>
      </c>
      <c r="Q5614" s="20">
        <v>13968</v>
      </c>
      <c r="R5614" s="80" t="s">
        <v>70</v>
      </c>
      <c r="S5614" s="95">
        <f t="shared" ref="S5614:S5615" si="155">200+3800</f>
        <v>4000</v>
      </c>
      <c r="T5614" s="83" t="s">
        <v>18906</v>
      </c>
      <c r="U5614" s="95">
        <v>9868</v>
      </c>
      <c r="V5614" s="148">
        <v>45655</v>
      </c>
      <c r="W5614" s="85" t="s">
        <v>18907</v>
      </c>
      <c r="X5614" s="80"/>
      <c r="Y5614" s="22">
        <v>100</v>
      </c>
      <c r="Z5614" s="80" t="s">
        <v>50</v>
      </c>
      <c r="AA5614" s="35" t="s">
        <v>18579</v>
      </c>
      <c r="AB5614" s="86"/>
      <c r="AC5614" s="80" t="s">
        <v>53</v>
      </c>
      <c r="AD5614" s="80" t="s">
        <v>54</v>
      </c>
      <c r="AE5614" s="83">
        <v>380</v>
      </c>
      <c r="AF5614" s="17">
        <v>45633</v>
      </c>
      <c r="AG5614" s="80"/>
      <c r="AH5614" s="80"/>
      <c r="AI5614" s="147"/>
      <c r="AJ5614" s="80"/>
      <c r="AK5614" s="80"/>
      <c r="AL5614" s="35"/>
      <c r="AM5614" s="35"/>
      <c r="AN5614" s="35"/>
      <c r="AO5614" s="35"/>
      <c r="AP5614" s="35"/>
    </row>
    <row r="5615" spans="1:42" x14ac:dyDescent="0.2">
      <c r="A5615" s="126">
        <v>45624.503231863426</v>
      </c>
      <c r="B5615" s="137" t="s">
        <v>37</v>
      </c>
      <c r="C5615" s="41" t="s">
        <v>118</v>
      </c>
      <c r="D5615" s="80" t="s">
        <v>36</v>
      </c>
      <c r="E5615" s="80" t="s">
        <v>119</v>
      </c>
      <c r="F5615" s="80" t="s">
        <v>36</v>
      </c>
      <c r="G5615" s="80" t="s">
        <v>108</v>
      </c>
      <c r="H5615" s="80" t="s">
        <v>16903</v>
      </c>
      <c r="I5615" s="17">
        <f ca="1">IFERROR(__xludf.DUMMYFUNCTION("""COMPUTED_VALUE"""),45635)</f>
        <v>45635</v>
      </c>
      <c r="J5615" s="143" t="s">
        <v>18908</v>
      </c>
      <c r="K5615" s="80" t="s">
        <v>18909</v>
      </c>
      <c r="L5615" s="30">
        <v>976652787</v>
      </c>
      <c r="M5615" s="80" t="s">
        <v>5429</v>
      </c>
      <c r="N5615" s="80" t="s">
        <v>1384</v>
      </c>
      <c r="O5615" s="80" t="s">
        <v>61</v>
      </c>
      <c r="P5615" s="80" t="s">
        <v>18905</v>
      </c>
      <c r="Q5615" s="20">
        <v>13968</v>
      </c>
      <c r="R5615" s="80" t="s">
        <v>70</v>
      </c>
      <c r="S5615" s="95">
        <f t="shared" si="155"/>
        <v>4000</v>
      </c>
      <c r="T5615" s="83" t="s">
        <v>18910</v>
      </c>
      <c r="U5615" s="95">
        <v>9868</v>
      </c>
      <c r="V5615" s="148">
        <v>45656</v>
      </c>
      <c r="W5615" s="85" t="s">
        <v>18911</v>
      </c>
      <c r="X5615" s="80"/>
      <c r="Y5615" s="22">
        <v>100</v>
      </c>
      <c r="Z5615" s="80" t="s">
        <v>50</v>
      </c>
      <c r="AA5615" s="96" t="s">
        <v>18579</v>
      </c>
      <c r="AB5615" s="82"/>
      <c r="AC5615" s="80" t="s">
        <v>53</v>
      </c>
      <c r="AD5615" s="80" t="s">
        <v>54</v>
      </c>
      <c r="AE5615" s="83">
        <v>400</v>
      </c>
      <c r="AF5615" s="17">
        <v>45633</v>
      </c>
      <c r="AG5615" s="80"/>
      <c r="AH5615" s="80"/>
      <c r="AI5615" s="147"/>
      <c r="AJ5615" s="80"/>
      <c r="AK5615" s="80"/>
      <c r="AL5615" s="35"/>
      <c r="AM5615" s="35"/>
      <c r="AN5615" s="35"/>
      <c r="AO5615" s="35"/>
      <c r="AP5615" s="35"/>
    </row>
    <row r="5616" spans="1:42" x14ac:dyDescent="0.2">
      <c r="A5616" s="126">
        <v>45625.355649097226</v>
      </c>
      <c r="B5616" s="137" t="s">
        <v>37</v>
      </c>
      <c r="C5616" s="41" t="s">
        <v>118</v>
      </c>
      <c r="D5616" s="80" t="s">
        <v>36</v>
      </c>
      <c r="E5616" s="80" t="s">
        <v>139</v>
      </c>
      <c r="F5616" s="80" t="s">
        <v>36</v>
      </c>
      <c r="G5616" s="80" t="s">
        <v>41</v>
      </c>
      <c r="H5616" s="80" t="s">
        <v>12324</v>
      </c>
      <c r="I5616" s="17">
        <f ca="1">IFERROR(__xludf.DUMMYFUNCTION("""COMPUTED_VALUE"""),45635)</f>
        <v>45635</v>
      </c>
      <c r="J5616" s="143" t="s">
        <v>18912</v>
      </c>
      <c r="K5616" s="80" t="s">
        <v>18913</v>
      </c>
      <c r="L5616" s="30">
        <v>393778513</v>
      </c>
      <c r="M5616" s="80" t="s">
        <v>3288</v>
      </c>
      <c r="N5616" s="80" t="s">
        <v>200</v>
      </c>
      <c r="O5616" s="80" t="s">
        <v>36</v>
      </c>
      <c r="P5616" s="80" t="s">
        <v>18914</v>
      </c>
      <c r="Q5616" s="20">
        <v>15936</v>
      </c>
      <c r="R5616" s="80" t="s">
        <v>36</v>
      </c>
      <c r="S5616" s="95">
        <f>100+1900</f>
        <v>2000</v>
      </c>
      <c r="T5616" s="83" t="s">
        <v>18915</v>
      </c>
      <c r="U5616" s="95">
        <v>13936</v>
      </c>
      <c r="V5616" s="148">
        <v>45651</v>
      </c>
      <c r="W5616" s="85" t="s">
        <v>18916</v>
      </c>
      <c r="X5616" s="80"/>
      <c r="Y5616" s="22">
        <v>0</v>
      </c>
      <c r="Z5616" s="80" t="s">
        <v>50</v>
      </c>
      <c r="AA5616" s="35" t="s">
        <v>18579</v>
      </c>
      <c r="AB5616" s="86"/>
      <c r="AC5616" s="80" t="s">
        <v>53</v>
      </c>
      <c r="AD5616" s="80" t="s">
        <v>54</v>
      </c>
      <c r="AE5616" s="80"/>
      <c r="AF5616" s="17">
        <v>45629</v>
      </c>
      <c r="AG5616" s="80"/>
      <c r="AH5616" s="80"/>
      <c r="AI5616" s="147"/>
      <c r="AJ5616" s="80"/>
      <c r="AK5616" s="80"/>
      <c r="AL5616" s="35"/>
      <c r="AM5616" s="35"/>
      <c r="AN5616" s="35"/>
      <c r="AO5616" s="35"/>
      <c r="AP5616" s="35"/>
    </row>
    <row r="5617" spans="1:42" x14ac:dyDescent="0.2">
      <c r="A5617" s="126">
        <v>45625.518454259261</v>
      </c>
      <c r="B5617" s="137" t="s">
        <v>37</v>
      </c>
      <c r="C5617" s="41" t="s">
        <v>118</v>
      </c>
      <c r="D5617" s="80" t="s">
        <v>36</v>
      </c>
      <c r="E5617" s="80" t="s">
        <v>77</v>
      </c>
      <c r="F5617" s="80" t="s">
        <v>36</v>
      </c>
      <c r="G5617" s="80" t="s">
        <v>41</v>
      </c>
      <c r="H5617" s="80" t="s">
        <v>12324</v>
      </c>
      <c r="I5617" s="17">
        <f ca="1">IFERROR(__xludf.DUMMYFUNCTION("""COMPUTED_VALUE"""),45635)</f>
        <v>45635</v>
      </c>
      <c r="J5617" s="143" t="s">
        <v>18917</v>
      </c>
      <c r="K5617" s="80" t="s">
        <v>18918</v>
      </c>
      <c r="L5617" s="47">
        <v>378605365</v>
      </c>
      <c r="M5617" s="80" t="s">
        <v>15970</v>
      </c>
      <c r="N5617" s="80" t="s">
        <v>466</v>
      </c>
      <c r="O5617" s="80" t="s">
        <v>7833</v>
      </c>
      <c r="P5617" s="80" t="s">
        <v>18919</v>
      </c>
      <c r="Q5617" s="20">
        <v>1968</v>
      </c>
      <c r="R5617" s="80" t="s">
        <v>36</v>
      </c>
      <c r="S5617" s="95">
        <f>100+1868</f>
        <v>1968</v>
      </c>
      <c r="T5617" s="83" t="s">
        <v>18920</v>
      </c>
      <c r="U5617" s="77"/>
      <c r="V5617" s="78"/>
      <c r="W5617" s="85" t="s">
        <v>18921</v>
      </c>
      <c r="X5617" s="80"/>
      <c r="Y5617" s="22">
        <v>0</v>
      </c>
      <c r="Z5617" s="80" t="s">
        <v>50</v>
      </c>
      <c r="AA5617" s="96" t="s">
        <v>18579</v>
      </c>
      <c r="AB5617" s="82"/>
      <c r="AC5617" s="80" t="s">
        <v>53</v>
      </c>
      <c r="AD5617" s="80" t="s">
        <v>138</v>
      </c>
      <c r="AE5617" s="80"/>
      <c r="AF5617" s="17">
        <v>45633</v>
      </c>
      <c r="AG5617" s="80"/>
      <c r="AH5617" s="80"/>
      <c r="AI5617" s="147"/>
      <c r="AJ5617" s="80"/>
      <c r="AK5617" s="80"/>
      <c r="AL5617" s="35"/>
      <c r="AM5617" s="35"/>
      <c r="AN5617" s="35"/>
      <c r="AO5617" s="35"/>
      <c r="AP5617" s="35"/>
    </row>
    <row r="5618" spans="1:42" x14ac:dyDescent="0.2">
      <c r="A5618" s="126">
        <v>45625.573927662037</v>
      </c>
      <c r="B5618" s="137" t="s">
        <v>37</v>
      </c>
      <c r="C5618" s="41" t="s">
        <v>118</v>
      </c>
      <c r="D5618" s="80" t="s">
        <v>36</v>
      </c>
      <c r="E5618" s="80" t="s">
        <v>139</v>
      </c>
      <c r="F5618" s="26" t="s">
        <v>36</v>
      </c>
      <c r="G5618" s="26" t="s">
        <v>41</v>
      </c>
      <c r="H5618" s="80" t="s">
        <v>13283</v>
      </c>
      <c r="I5618" s="17">
        <f ca="1">IFERROR(__xludf.DUMMYFUNCTION("""COMPUTED_VALUE"""),45631)</f>
        <v>45631</v>
      </c>
      <c r="J5618" s="143" t="s">
        <v>18922</v>
      </c>
      <c r="K5618" s="80" t="s">
        <v>18923</v>
      </c>
      <c r="L5618" s="30">
        <v>946036680</v>
      </c>
      <c r="M5618" s="80" t="s">
        <v>15996</v>
      </c>
      <c r="N5618" s="80" t="s">
        <v>186</v>
      </c>
      <c r="O5618" s="80" t="s">
        <v>4503</v>
      </c>
      <c r="P5618" s="80" t="s">
        <v>3056</v>
      </c>
      <c r="Q5618" s="20">
        <v>15936</v>
      </c>
      <c r="R5618" s="80" t="s">
        <v>70</v>
      </c>
      <c r="S5618" s="95">
        <f>200+3000</f>
        <v>3200</v>
      </c>
      <c r="T5618" s="83" t="s">
        <v>18924</v>
      </c>
      <c r="U5618" s="95">
        <v>12736</v>
      </c>
      <c r="V5618" s="148">
        <v>45657</v>
      </c>
      <c r="W5618" s="85" t="s">
        <v>18925</v>
      </c>
      <c r="X5618" s="80"/>
      <c r="Y5618" s="22">
        <v>0</v>
      </c>
      <c r="Z5618" s="80" t="s">
        <v>50</v>
      </c>
      <c r="AA5618" s="35" t="s">
        <v>18579</v>
      </c>
      <c r="AB5618" s="86"/>
      <c r="AC5618" s="80" t="s">
        <v>53</v>
      </c>
      <c r="AD5618" s="80" t="s">
        <v>138</v>
      </c>
      <c r="AE5618" s="80"/>
      <c r="AF5618" s="17">
        <v>45631</v>
      </c>
      <c r="AG5618" s="80"/>
      <c r="AH5618" s="80"/>
      <c r="AI5618" s="147"/>
      <c r="AJ5618" s="80"/>
      <c r="AK5618" s="80"/>
      <c r="AL5618" s="35"/>
      <c r="AM5618" s="35"/>
      <c r="AN5618" s="35"/>
      <c r="AO5618" s="35"/>
      <c r="AP5618" s="35"/>
    </row>
    <row r="5619" spans="1:42" x14ac:dyDescent="0.2">
      <c r="A5619" s="126">
        <v>45625.574723124999</v>
      </c>
      <c r="B5619" s="137" t="s">
        <v>37</v>
      </c>
      <c r="C5619" s="41" t="s">
        <v>118</v>
      </c>
      <c r="D5619" s="80" t="s">
        <v>36</v>
      </c>
      <c r="E5619" s="80" t="s">
        <v>139</v>
      </c>
      <c r="F5619" s="80" t="s">
        <v>36</v>
      </c>
      <c r="G5619" s="80" t="s">
        <v>6516</v>
      </c>
      <c r="H5619" s="80" t="s">
        <v>13143</v>
      </c>
      <c r="I5619" s="17">
        <f ca="1">IFERROR(__xludf.DUMMYFUNCTION("""COMPUTED_VALUE"""),45604)</f>
        <v>45604</v>
      </c>
      <c r="J5619" s="143" t="s">
        <v>18336</v>
      </c>
      <c r="K5619" s="80" t="s">
        <v>18337</v>
      </c>
      <c r="L5619" s="30">
        <v>965343654</v>
      </c>
      <c r="M5619" s="80" t="s">
        <v>12529</v>
      </c>
      <c r="N5619" s="80" t="s">
        <v>13566</v>
      </c>
      <c r="O5619" s="80" t="s">
        <v>18338</v>
      </c>
      <c r="P5619" s="80" t="s">
        <v>18339</v>
      </c>
      <c r="Q5619" s="20">
        <v>15936</v>
      </c>
      <c r="R5619" s="80" t="s">
        <v>36</v>
      </c>
      <c r="S5619" s="95">
        <f>200+1800</f>
        <v>2000</v>
      </c>
      <c r="T5619" s="83" t="s">
        <v>18340</v>
      </c>
      <c r="U5619" s="95">
        <v>13936</v>
      </c>
      <c r="V5619" s="148">
        <v>45624</v>
      </c>
      <c r="W5619" s="80" t="s">
        <v>18341</v>
      </c>
      <c r="X5619" s="80"/>
      <c r="Y5619" s="22">
        <v>0</v>
      </c>
      <c r="Z5619" s="80" t="s">
        <v>50</v>
      </c>
      <c r="AA5619" s="96" t="s">
        <v>18579</v>
      </c>
      <c r="AB5619" s="82"/>
      <c r="AC5619" s="80" t="s">
        <v>53</v>
      </c>
      <c r="AD5619" s="80" t="s">
        <v>138</v>
      </c>
      <c r="AE5619" s="80"/>
      <c r="AF5619" s="17">
        <v>45604</v>
      </c>
      <c r="AG5619" s="80"/>
      <c r="AH5619" s="80"/>
      <c r="AI5619" s="147"/>
      <c r="AJ5619" s="80"/>
      <c r="AK5619" s="80"/>
      <c r="AL5619" s="35"/>
      <c r="AM5619" s="35"/>
      <c r="AN5619" s="35"/>
      <c r="AO5619" s="35"/>
      <c r="AP5619" s="35"/>
    </row>
    <row r="5620" spans="1:42" x14ac:dyDescent="0.2">
      <c r="A5620" s="126">
        <v>45625.577488877316</v>
      </c>
      <c r="B5620" s="137" t="s">
        <v>37</v>
      </c>
      <c r="C5620" s="41" t="s">
        <v>118</v>
      </c>
      <c r="D5620" s="80" t="s">
        <v>36</v>
      </c>
      <c r="E5620" s="80" t="s">
        <v>139</v>
      </c>
      <c r="F5620" s="26" t="s">
        <v>36</v>
      </c>
      <c r="G5620" s="26" t="s">
        <v>41</v>
      </c>
      <c r="H5620" s="80" t="s">
        <v>13283</v>
      </c>
      <c r="I5620" s="17">
        <f ca="1">IFERROR(__xludf.DUMMYFUNCTION("""COMPUTED_VALUE"""),45631)</f>
        <v>45631</v>
      </c>
      <c r="J5620" s="143" t="s">
        <v>18926</v>
      </c>
      <c r="K5620" s="80" t="s">
        <v>18927</v>
      </c>
      <c r="L5620" s="30">
        <v>974215340</v>
      </c>
      <c r="M5620" s="80" t="s">
        <v>18358</v>
      </c>
      <c r="N5620" s="80" t="s">
        <v>2847</v>
      </c>
      <c r="O5620" s="80" t="s">
        <v>4503</v>
      </c>
      <c r="P5620" s="80" t="s">
        <v>3056</v>
      </c>
      <c r="Q5620" s="20">
        <v>15936</v>
      </c>
      <c r="R5620" s="80" t="s">
        <v>36</v>
      </c>
      <c r="S5620" s="95">
        <f>200+4800</f>
        <v>5000</v>
      </c>
      <c r="T5620" s="83" t="s">
        <v>18928</v>
      </c>
      <c r="U5620" s="95">
        <v>10936</v>
      </c>
      <c r="V5620" s="148">
        <v>45649</v>
      </c>
      <c r="W5620" s="85" t="s">
        <v>18929</v>
      </c>
      <c r="X5620" s="80"/>
      <c r="Y5620" s="22">
        <v>0</v>
      </c>
      <c r="Z5620" s="80" t="s">
        <v>50</v>
      </c>
      <c r="AA5620" s="35" t="s">
        <v>18579</v>
      </c>
      <c r="AB5620" s="86"/>
      <c r="AC5620" s="80" t="s">
        <v>53</v>
      </c>
      <c r="AD5620" s="80" t="s">
        <v>138</v>
      </c>
      <c r="AE5620" s="80"/>
      <c r="AF5620" s="17">
        <v>45631</v>
      </c>
      <c r="AG5620" s="80"/>
      <c r="AH5620" s="80"/>
      <c r="AI5620" s="147"/>
      <c r="AJ5620" s="80"/>
      <c r="AK5620" s="80"/>
      <c r="AL5620" s="35"/>
      <c r="AM5620" s="35"/>
      <c r="AN5620" s="35"/>
      <c r="AO5620" s="35"/>
      <c r="AP5620" s="35"/>
    </row>
    <row r="5621" spans="1:42" x14ac:dyDescent="0.2">
      <c r="A5621" s="126">
        <v>45625.586757210651</v>
      </c>
      <c r="B5621" s="137" t="s">
        <v>37</v>
      </c>
      <c r="C5621" s="41" t="s">
        <v>118</v>
      </c>
      <c r="D5621" s="80" t="s">
        <v>36</v>
      </c>
      <c r="E5621" s="80" t="s">
        <v>77</v>
      </c>
      <c r="F5621" s="80" t="s">
        <v>40</v>
      </c>
      <c r="G5621" s="80" t="s">
        <v>41</v>
      </c>
      <c r="H5621" s="80" t="s">
        <v>16519</v>
      </c>
      <c r="I5621" s="17">
        <f ca="1">IFERROR(__xludf.DUMMYFUNCTION("""COMPUTED_VALUE"""),45707)</f>
        <v>45707</v>
      </c>
      <c r="J5621" s="143" t="s">
        <v>18930</v>
      </c>
      <c r="K5621" s="80" t="s">
        <v>18931</v>
      </c>
      <c r="L5621" s="30">
        <v>965157112</v>
      </c>
      <c r="M5621" s="80" t="s">
        <v>15970</v>
      </c>
      <c r="N5621" s="80" t="s">
        <v>16079</v>
      </c>
      <c r="O5621" s="80" t="s">
        <v>4503</v>
      </c>
      <c r="P5621" s="80" t="s">
        <v>3056</v>
      </c>
      <c r="Q5621" s="20">
        <v>1968</v>
      </c>
      <c r="R5621" s="80" t="s">
        <v>36</v>
      </c>
      <c r="S5621" s="95">
        <f>200+1768</f>
        <v>1968</v>
      </c>
      <c r="T5621" s="83" t="s">
        <v>18932</v>
      </c>
      <c r="U5621" s="77"/>
      <c r="V5621" s="78"/>
      <c r="W5621" s="85" t="s">
        <v>18933</v>
      </c>
      <c r="X5621" s="80"/>
      <c r="Y5621" s="22">
        <v>0</v>
      </c>
      <c r="Z5621" s="80" t="s">
        <v>50</v>
      </c>
      <c r="AA5621" s="96" t="s">
        <v>18579</v>
      </c>
      <c r="AB5621" s="82"/>
      <c r="AC5621" s="80" t="s">
        <v>53</v>
      </c>
      <c r="AD5621" s="80" t="s">
        <v>138</v>
      </c>
      <c r="AE5621" s="80"/>
      <c r="AF5621" s="17">
        <v>45707</v>
      </c>
      <c r="AG5621" s="80"/>
      <c r="AH5621" s="80"/>
      <c r="AI5621" s="147"/>
      <c r="AJ5621" s="80"/>
      <c r="AK5621" s="80"/>
      <c r="AL5621" s="35"/>
      <c r="AM5621" s="35"/>
      <c r="AN5621" s="35"/>
      <c r="AO5621" s="35"/>
      <c r="AP5621" s="35"/>
    </row>
    <row r="5622" spans="1:42" x14ac:dyDescent="0.2">
      <c r="A5622" s="126">
        <v>45626.010342835652</v>
      </c>
      <c r="B5622" s="137" t="s">
        <v>37</v>
      </c>
      <c r="C5622" s="41" t="s">
        <v>118</v>
      </c>
      <c r="D5622" s="80" t="s">
        <v>36</v>
      </c>
      <c r="E5622" s="80" t="s">
        <v>77</v>
      </c>
      <c r="F5622" s="80" t="s">
        <v>36</v>
      </c>
      <c r="G5622" s="80" t="s">
        <v>41</v>
      </c>
      <c r="H5622" s="80" t="s">
        <v>18110</v>
      </c>
      <c r="I5622" s="17">
        <f ca="1">IFERROR(__xludf.DUMMYFUNCTION("""COMPUTED_VALUE"""),45630)</f>
        <v>45630</v>
      </c>
      <c r="J5622" s="143" t="s">
        <v>18934</v>
      </c>
      <c r="K5622" s="80" t="s">
        <v>18935</v>
      </c>
      <c r="L5622" s="30">
        <v>947380353</v>
      </c>
      <c r="M5622" s="80" t="s">
        <v>45</v>
      </c>
      <c r="N5622" s="80" t="s">
        <v>1472</v>
      </c>
      <c r="O5622" s="80" t="s">
        <v>18936</v>
      </c>
      <c r="P5622" s="80" t="s">
        <v>18937</v>
      </c>
      <c r="Q5622" s="20">
        <v>1968</v>
      </c>
      <c r="R5622" s="80" t="s">
        <v>70</v>
      </c>
      <c r="S5622" s="95">
        <v>2000</v>
      </c>
      <c r="T5622" s="148">
        <v>45624</v>
      </c>
      <c r="U5622" s="77"/>
      <c r="V5622" s="78"/>
      <c r="W5622" s="85" t="s">
        <v>18938</v>
      </c>
      <c r="X5622" s="80"/>
      <c r="Y5622" s="22">
        <v>-32</v>
      </c>
      <c r="Z5622" s="80" t="s">
        <v>50</v>
      </c>
      <c r="AA5622" s="35" t="s">
        <v>18579</v>
      </c>
      <c r="AB5622" s="86"/>
      <c r="AC5622" s="80" t="s">
        <v>53</v>
      </c>
      <c r="AD5622" s="80" t="s">
        <v>54</v>
      </c>
      <c r="AE5622" s="83"/>
      <c r="AF5622" s="17">
        <v>45628</v>
      </c>
      <c r="AG5622" s="80" t="s">
        <v>7078</v>
      </c>
      <c r="AH5622" s="80"/>
      <c r="AI5622" s="147"/>
      <c r="AJ5622" s="80"/>
      <c r="AK5622" s="80"/>
      <c r="AL5622" s="35"/>
      <c r="AM5622" s="35"/>
      <c r="AN5622" s="35"/>
      <c r="AO5622" s="35"/>
      <c r="AP5622" s="35"/>
    </row>
    <row r="5623" spans="1:42" x14ac:dyDescent="0.2">
      <c r="A5623" s="126">
        <v>45626.011642881946</v>
      </c>
      <c r="B5623" s="137" t="s">
        <v>37</v>
      </c>
      <c r="C5623" s="41" t="s">
        <v>118</v>
      </c>
      <c r="D5623" s="80" t="s">
        <v>36</v>
      </c>
      <c r="E5623" s="80" t="s">
        <v>77</v>
      </c>
      <c r="F5623" s="80" t="s">
        <v>36</v>
      </c>
      <c r="G5623" s="80" t="s">
        <v>41</v>
      </c>
      <c r="H5623" s="80" t="s">
        <v>18110</v>
      </c>
      <c r="I5623" s="17">
        <f ca="1">IFERROR(__xludf.DUMMYFUNCTION("""COMPUTED_VALUE"""),45630)</f>
        <v>45630</v>
      </c>
      <c r="J5623" s="143" t="s">
        <v>18939</v>
      </c>
      <c r="K5623" s="80" t="s">
        <v>18940</v>
      </c>
      <c r="L5623" s="30">
        <v>328496906</v>
      </c>
      <c r="M5623" s="80" t="s">
        <v>45</v>
      </c>
      <c r="N5623" s="80" t="s">
        <v>1472</v>
      </c>
      <c r="O5623" s="80" t="s">
        <v>18941</v>
      </c>
      <c r="P5623" s="80" t="s">
        <v>18942</v>
      </c>
      <c r="Q5623" s="20">
        <v>1968</v>
      </c>
      <c r="R5623" s="80" t="s">
        <v>70</v>
      </c>
      <c r="S5623" s="95">
        <v>2000</v>
      </c>
      <c r="T5623" s="148">
        <v>45624</v>
      </c>
      <c r="U5623" s="77"/>
      <c r="V5623" s="78"/>
      <c r="W5623" s="85" t="s">
        <v>18943</v>
      </c>
      <c r="X5623" s="80"/>
      <c r="Y5623" s="22">
        <v>-32</v>
      </c>
      <c r="Z5623" s="80" t="s">
        <v>50</v>
      </c>
      <c r="AA5623" s="96" t="s">
        <v>18579</v>
      </c>
      <c r="AB5623" s="82"/>
      <c r="AC5623" s="80" t="s">
        <v>53</v>
      </c>
      <c r="AD5623" s="80" t="s">
        <v>54</v>
      </c>
      <c r="AE5623" s="83"/>
      <c r="AF5623" s="17">
        <v>45628</v>
      </c>
      <c r="AG5623" s="80" t="s">
        <v>7078</v>
      </c>
      <c r="AH5623" s="80"/>
      <c r="AI5623" s="147"/>
      <c r="AJ5623" s="80"/>
      <c r="AK5623" s="80"/>
      <c r="AL5623" s="35"/>
      <c r="AM5623" s="35"/>
      <c r="AN5623" s="35"/>
      <c r="AO5623" s="35"/>
      <c r="AP5623" s="35"/>
    </row>
    <row r="5624" spans="1:42" x14ac:dyDescent="0.2">
      <c r="A5624" s="126">
        <v>45626.012992187505</v>
      </c>
      <c r="B5624" s="28" t="s">
        <v>37</v>
      </c>
      <c r="C5624" s="41" t="s">
        <v>118</v>
      </c>
      <c r="D5624" s="80" t="s">
        <v>36</v>
      </c>
      <c r="E5624" s="80" t="s">
        <v>56</v>
      </c>
      <c r="F5624" s="80" t="s">
        <v>40</v>
      </c>
      <c r="G5624" s="80" t="s">
        <v>41</v>
      </c>
      <c r="H5624" s="80" t="s">
        <v>11640</v>
      </c>
      <c r="I5624" s="17">
        <f ca="1">IFERROR(__xludf.DUMMYFUNCTION("""COMPUTED_VALUE"""),45636)</f>
        <v>45636</v>
      </c>
      <c r="J5624" s="143" t="s">
        <v>18944</v>
      </c>
      <c r="K5624" s="80" t="s">
        <v>18945</v>
      </c>
      <c r="L5624" s="30">
        <v>396998736</v>
      </c>
      <c r="M5624" s="80" t="s">
        <v>45</v>
      </c>
      <c r="N5624" s="80" t="s">
        <v>1472</v>
      </c>
      <c r="O5624" s="80" t="s">
        <v>18946</v>
      </c>
      <c r="P5624" s="80" t="s">
        <v>7743</v>
      </c>
      <c r="Q5624" s="20">
        <v>9317</v>
      </c>
      <c r="R5624" s="80" t="s">
        <v>3825</v>
      </c>
      <c r="S5624" s="95">
        <f t="shared" ref="S5624:S5627" si="156">500+8617</f>
        <v>9117</v>
      </c>
      <c r="T5624" s="83" t="s">
        <v>18947</v>
      </c>
      <c r="U5624" s="77"/>
      <c r="V5624" s="78"/>
      <c r="W5624" s="85" t="s">
        <v>18948</v>
      </c>
      <c r="X5624" s="80"/>
      <c r="Y5624" s="22">
        <v>200</v>
      </c>
      <c r="Z5624" s="80" t="s">
        <v>50</v>
      </c>
      <c r="AA5624" s="35" t="s">
        <v>18579</v>
      </c>
      <c r="AB5624" s="86"/>
      <c r="AC5624" s="80" t="s">
        <v>53</v>
      </c>
      <c r="AD5624" s="80" t="s">
        <v>138</v>
      </c>
      <c r="AE5624" s="83"/>
      <c r="AF5624" s="43">
        <v>45636</v>
      </c>
      <c r="AG5624" s="80"/>
      <c r="AH5624" s="80"/>
      <c r="AI5624" s="147"/>
      <c r="AJ5624" s="80"/>
      <c r="AK5624" s="80"/>
      <c r="AL5624" s="35"/>
      <c r="AM5624" s="35"/>
      <c r="AN5624" s="35"/>
      <c r="AO5624" s="35"/>
      <c r="AP5624" s="35"/>
    </row>
    <row r="5625" spans="1:42" x14ac:dyDescent="0.2">
      <c r="A5625" s="126">
        <v>45626.014341261573</v>
      </c>
      <c r="B5625" s="28" t="s">
        <v>37</v>
      </c>
      <c r="C5625" s="41" t="s">
        <v>118</v>
      </c>
      <c r="D5625" s="80" t="s">
        <v>36</v>
      </c>
      <c r="E5625" s="80" t="s">
        <v>56</v>
      </c>
      <c r="F5625" s="80" t="s">
        <v>40</v>
      </c>
      <c r="G5625" s="80" t="s">
        <v>41</v>
      </c>
      <c r="H5625" s="80" t="s">
        <v>11640</v>
      </c>
      <c r="I5625" s="17">
        <f ca="1">IFERROR(__xludf.DUMMYFUNCTION("""COMPUTED_VALUE"""),45636)</f>
        <v>45636</v>
      </c>
      <c r="J5625" s="143" t="s">
        <v>18949</v>
      </c>
      <c r="K5625" s="80" t="s">
        <v>18950</v>
      </c>
      <c r="L5625" s="30">
        <v>378426659</v>
      </c>
      <c r="M5625" s="80" t="s">
        <v>45</v>
      </c>
      <c r="N5625" s="80" t="s">
        <v>1472</v>
      </c>
      <c r="O5625" s="80" t="s">
        <v>18951</v>
      </c>
      <c r="P5625" s="80" t="s">
        <v>3694</v>
      </c>
      <c r="Q5625" s="20">
        <v>9317</v>
      </c>
      <c r="R5625" s="80" t="s">
        <v>3825</v>
      </c>
      <c r="S5625" s="95">
        <f t="shared" si="156"/>
        <v>9117</v>
      </c>
      <c r="T5625" s="83" t="s">
        <v>18952</v>
      </c>
      <c r="U5625" s="77"/>
      <c r="V5625" s="78"/>
      <c r="W5625" s="85" t="s">
        <v>18953</v>
      </c>
      <c r="X5625" s="80"/>
      <c r="Y5625" s="22">
        <v>200</v>
      </c>
      <c r="Z5625" s="80" t="s">
        <v>50</v>
      </c>
      <c r="AA5625" s="96" t="s">
        <v>18579</v>
      </c>
      <c r="AB5625" s="82"/>
      <c r="AC5625" s="80" t="s">
        <v>53</v>
      </c>
      <c r="AD5625" s="80" t="s">
        <v>138</v>
      </c>
      <c r="AE5625" s="83"/>
      <c r="AF5625" s="43">
        <v>45636</v>
      </c>
      <c r="AG5625" s="80"/>
      <c r="AH5625" s="80"/>
      <c r="AI5625" s="147"/>
      <c r="AJ5625" s="80"/>
      <c r="AK5625" s="80"/>
      <c r="AL5625" s="35"/>
      <c r="AM5625" s="35"/>
      <c r="AN5625" s="35"/>
      <c r="AO5625" s="35"/>
      <c r="AP5625" s="35"/>
    </row>
    <row r="5626" spans="1:42" x14ac:dyDescent="0.2">
      <c r="A5626" s="126">
        <v>45626.015525671297</v>
      </c>
      <c r="B5626" s="137" t="s">
        <v>37</v>
      </c>
      <c r="C5626" s="41" t="s">
        <v>118</v>
      </c>
      <c r="D5626" s="80" t="s">
        <v>36</v>
      </c>
      <c r="E5626" s="80" t="s">
        <v>56</v>
      </c>
      <c r="F5626" s="80" t="s">
        <v>40</v>
      </c>
      <c r="G5626" s="80" t="s">
        <v>41</v>
      </c>
      <c r="H5626" s="80" t="s">
        <v>11640</v>
      </c>
      <c r="I5626" s="17">
        <f ca="1">IFERROR(__xludf.DUMMYFUNCTION("""COMPUTED_VALUE"""),45636)</f>
        <v>45636</v>
      </c>
      <c r="J5626" s="143" t="s">
        <v>18954</v>
      </c>
      <c r="K5626" s="80" t="s">
        <v>18955</v>
      </c>
      <c r="L5626" s="30">
        <v>787408225</v>
      </c>
      <c r="M5626" s="80" t="s">
        <v>45</v>
      </c>
      <c r="N5626" s="80" t="s">
        <v>1472</v>
      </c>
      <c r="O5626" s="80" t="s">
        <v>18956</v>
      </c>
      <c r="P5626" s="80" t="s">
        <v>7743</v>
      </c>
      <c r="Q5626" s="20">
        <v>9317</v>
      </c>
      <c r="R5626" s="80" t="s">
        <v>3825</v>
      </c>
      <c r="S5626" s="95">
        <f t="shared" si="156"/>
        <v>9117</v>
      </c>
      <c r="T5626" s="83" t="s">
        <v>18952</v>
      </c>
      <c r="U5626" s="77"/>
      <c r="V5626" s="78"/>
      <c r="W5626" s="85" t="s">
        <v>18957</v>
      </c>
      <c r="X5626" s="80"/>
      <c r="Y5626" s="22">
        <v>200</v>
      </c>
      <c r="Z5626" s="80" t="s">
        <v>50</v>
      </c>
      <c r="AA5626" s="35" t="s">
        <v>18579</v>
      </c>
      <c r="AB5626" s="86"/>
      <c r="AC5626" s="80" t="s">
        <v>53</v>
      </c>
      <c r="AD5626" s="80" t="s">
        <v>138</v>
      </c>
      <c r="AE5626" s="83"/>
      <c r="AF5626" s="43">
        <v>45636</v>
      </c>
      <c r="AG5626" s="80"/>
      <c r="AH5626" s="80"/>
      <c r="AI5626" s="147"/>
      <c r="AJ5626" s="80"/>
      <c r="AK5626" s="80"/>
      <c r="AL5626" s="35"/>
      <c r="AM5626" s="35"/>
      <c r="AN5626" s="35"/>
      <c r="AO5626" s="35"/>
      <c r="AP5626" s="35"/>
    </row>
    <row r="5627" spans="1:42" x14ac:dyDescent="0.2">
      <c r="A5627" s="126">
        <v>45626.016606377314</v>
      </c>
      <c r="B5627" s="28" t="s">
        <v>37</v>
      </c>
      <c r="C5627" s="41" t="s">
        <v>118</v>
      </c>
      <c r="D5627" s="80" t="s">
        <v>36</v>
      </c>
      <c r="E5627" s="80" t="s">
        <v>56</v>
      </c>
      <c r="F5627" s="80" t="s">
        <v>40</v>
      </c>
      <c r="G5627" s="80" t="s">
        <v>41</v>
      </c>
      <c r="H5627" s="80" t="s">
        <v>11640</v>
      </c>
      <c r="I5627" s="17">
        <f ca="1">IFERROR(__xludf.DUMMYFUNCTION("""COMPUTED_VALUE"""),45636)</f>
        <v>45636</v>
      </c>
      <c r="J5627" s="143" t="s">
        <v>18958</v>
      </c>
      <c r="K5627" s="80" t="s">
        <v>18959</v>
      </c>
      <c r="L5627" s="30">
        <v>386032006</v>
      </c>
      <c r="M5627" s="80" t="s">
        <v>45</v>
      </c>
      <c r="N5627" s="80" t="s">
        <v>1472</v>
      </c>
      <c r="O5627" s="80" t="s">
        <v>18960</v>
      </c>
      <c r="P5627" s="80" t="s">
        <v>3694</v>
      </c>
      <c r="Q5627" s="20">
        <v>9317</v>
      </c>
      <c r="R5627" s="80" t="s">
        <v>3825</v>
      </c>
      <c r="S5627" s="95">
        <f t="shared" si="156"/>
        <v>9117</v>
      </c>
      <c r="T5627" s="83" t="s">
        <v>18961</v>
      </c>
      <c r="U5627" s="77"/>
      <c r="V5627" s="78"/>
      <c r="W5627" s="85" t="s">
        <v>18962</v>
      </c>
      <c r="X5627" s="80"/>
      <c r="Y5627" s="22">
        <v>200</v>
      </c>
      <c r="Z5627" s="80" t="s">
        <v>50</v>
      </c>
      <c r="AA5627" s="96" t="s">
        <v>18579</v>
      </c>
      <c r="AB5627" s="82"/>
      <c r="AC5627" s="80" t="s">
        <v>53</v>
      </c>
      <c r="AD5627" s="80" t="s">
        <v>138</v>
      </c>
      <c r="AE5627" s="83"/>
      <c r="AF5627" s="43">
        <v>45636</v>
      </c>
      <c r="AG5627" s="80"/>
      <c r="AH5627" s="80"/>
      <c r="AI5627" s="147"/>
      <c r="AJ5627" s="80"/>
      <c r="AK5627" s="80"/>
      <c r="AL5627" s="35"/>
      <c r="AM5627" s="35"/>
      <c r="AN5627" s="35"/>
      <c r="AO5627" s="35"/>
      <c r="AP5627" s="35"/>
    </row>
    <row r="5628" spans="1:42" x14ac:dyDescent="0.2">
      <c r="A5628" s="126">
        <v>45626.638470092592</v>
      </c>
      <c r="B5628" s="137" t="s">
        <v>37</v>
      </c>
      <c r="C5628" s="41" t="s">
        <v>118</v>
      </c>
      <c r="D5628" s="80" t="s">
        <v>36</v>
      </c>
      <c r="E5628" s="80" t="s">
        <v>139</v>
      </c>
      <c r="F5628" s="26" t="s">
        <v>36</v>
      </c>
      <c r="G5628" s="26" t="s">
        <v>41</v>
      </c>
      <c r="H5628" s="80" t="s">
        <v>13283</v>
      </c>
      <c r="I5628" s="17">
        <f ca="1">IFERROR(__xludf.DUMMYFUNCTION("""COMPUTED_VALUE"""),45631)</f>
        <v>45631</v>
      </c>
      <c r="J5628" s="143" t="s">
        <v>18963</v>
      </c>
      <c r="K5628" s="80" t="s">
        <v>18964</v>
      </c>
      <c r="L5628" s="30">
        <v>358072830</v>
      </c>
      <c r="M5628" s="80" t="s">
        <v>18865</v>
      </c>
      <c r="N5628" s="80" t="s">
        <v>5277</v>
      </c>
      <c r="O5628" s="80" t="s">
        <v>18965</v>
      </c>
      <c r="P5628" s="80" t="s">
        <v>13226</v>
      </c>
      <c r="Q5628" s="20">
        <v>15936</v>
      </c>
      <c r="R5628" s="80" t="s">
        <v>36</v>
      </c>
      <c r="S5628" s="95">
        <v>2000</v>
      </c>
      <c r="T5628" s="148">
        <v>45626</v>
      </c>
      <c r="U5628" s="95">
        <v>13936</v>
      </c>
      <c r="V5628" s="148">
        <v>45652</v>
      </c>
      <c r="W5628" s="80" t="s">
        <v>18966</v>
      </c>
      <c r="X5628" s="80"/>
      <c r="Y5628" s="22">
        <v>0</v>
      </c>
      <c r="Z5628" s="80" t="s">
        <v>50</v>
      </c>
      <c r="AA5628" s="35" t="s">
        <v>18579</v>
      </c>
      <c r="AB5628" s="86"/>
      <c r="AC5628" s="80" t="s">
        <v>53</v>
      </c>
      <c r="AD5628" s="80" t="s">
        <v>54</v>
      </c>
      <c r="AE5628" s="80"/>
      <c r="AF5628" s="17">
        <v>45631</v>
      </c>
      <c r="AG5628" s="80"/>
      <c r="AH5628" s="80"/>
      <c r="AI5628" s="147"/>
      <c r="AJ5628" s="80"/>
      <c r="AK5628" s="80"/>
      <c r="AL5628" s="35"/>
      <c r="AM5628" s="35"/>
      <c r="AN5628" s="35"/>
      <c r="AO5628" s="35"/>
      <c r="AP5628" s="35"/>
    </row>
    <row r="5629" spans="1:42" x14ac:dyDescent="0.2">
      <c r="A5629" s="126">
        <v>45626.943879039347</v>
      </c>
      <c r="B5629" s="137" t="s">
        <v>37</v>
      </c>
      <c r="C5629" s="41" t="s">
        <v>118</v>
      </c>
      <c r="D5629" s="80" t="s">
        <v>36</v>
      </c>
      <c r="E5629" s="80" t="s">
        <v>56</v>
      </c>
      <c r="F5629" s="26" t="s">
        <v>36</v>
      </c>
      <c r="G5629" s="26" t="s">
        <v>41</v>
      </c>
      <c r="H5629" s="80" t="s">
        <v>13283</v>
      </c>
      <c r="I5629" s="17">
        <f ca="1">IFERROR(__xludf.DUMMYFUNCTION("""COMPUTED_VALUE"""),45631)</f>
        <v>45631</v>
      </c>
      <c r="J5629" s="143" t="s">
        <v>18967</v>
      </c>
      <c r="K5629" s="80" t="s">
        <v>18968</v>
      </c>
      <c r="L5629" s="30">
        <v>358787891</v>
      </c>
      <c r="M5629" s="80" t="s">
        <v>9422</v>
      </c>
      <c r="N5629" s="80" t="s">
        <v>5312</v>
      </c>
      <c r="O5629" s="80" t="s">
        <v>91</v>
      </c>
      <c r="P5629" s="80" t="s">
        <v>3117</v>
      </c>
      <c r="Q5629" s="20">
        <v>9317</v>
      </c>
      <c r="R5629" s="80" t="s">
        <v>36</v>
      </c>
      <c r="S5629" s="95">
        <v>2000</v>
      </c>
      <c r="T5629" s="148">
        <v>45626</v>
      </c>
      <c r="U5629" s="95">
        <v>7317</v>
      </c>
      <c r="V5629" s="148">
        <v>45652</v>
      </c>
      <c r="W5629" s="85" t="s">
        <v>18969</v>
      </c>
      <c r="X5629" s="80"/>
      <c r="Y5629" s="22">
        <v>0</v>
      </c>
      <c r="Z5629" s="80" t="s">
        <v>50</v>
      </c>
      <c r="AA5629" s="96" t="s">
        <v>18579</v>
      </c>
      <c r="AB5629" s="82"/>
      <c r="AC5629" s="80" t="s">
        <v>53</v>
      </c>
      <c r="AD5629" s="80" t="s">
        <v>138</v>
      </c>
      <c r="AE5629" s="80"/>
      <c r="AF5629" s="17">
        <v>45631</v>
      </c>
      <c r="AG5629" s="80"/>
      <c r="AH5629" s="80"/>
      <c r="AI5629" s="147"/>
      <c r="AJ5629" s="80"/>
      <c r="AK5629" s="80"/>
      <c r="AL5629" s="35"/>
      <c r="AM5629" s="35"/>
      <c r="AN5629" s="35"/>
      <c r="AO5629" s="35"/>
      <c r="AP5629" s="35"/>
    </row>
    <row r="5630" spans="1:42" x14ac:dyDescent="0.2">
      <c r="A5630" s="126">
        <v>45626.947675659721</v>
      </c>
      <c r="B5630" s="137" t="s">
        <v>37</v>
      </c>
      <c r="C5630" s="41" t="s">
        <v>118</v>
      </c>
      <c r="D5630" s="80" t="s">
        <v>36</v>
      </c>
      <c r="E5630" s="80" t="s">
        <v>77</v>
      </c>
      <c r="F5630" s="80" t="s">
        <v>40</v>
      </c>
      <c r="G5630" s="80" t="s">
        <v>41</v>
      </c>
      <c r="H5630" s="80" t="s">
        <v>12542</v>
      </c>
      <c r="I5630" s="17">
        <f ca="1">IFERROR(__xludf.DUMMYFUNCTION("""COMPUTED_VALUE"""),45636)</f>
        <v>45636</v>
      </c>
      <c r="J5630" s="143" t="s">
        <v>18970</v>
      </c>
      <c r="K5630" s="80" t="s">
        <v>18971</v>
      </c>
      <c r="L5630" s="30">
        <v>357776402</v>
      </c>
      <c r="M5630" s="80" t="s">
        <v>3288</v>
      </c>
      <c r="N5630" s="80" t="s">
        <v>200</v>
      </c>
      <c r="O5630" s="80" t="s">
        <v>91</v>
      </c>
      <c r="P5630" s="80" t="s">
        <v>18972</v>
      </c>
      <c r="Q5630" s="20">
        <v>1968</v>
      </c>
      <c r="R5630" s="80" t="s">
        <v>36</v>
      </c>
      <c r="S5630" s="95">
        <v>1968</v>
      </c>
      <c r="T5630" s="148">
        <v>45625</v>
      </c>
      <c r="U5630" s="77"/>
      <c r="V5630" s="78"/>
      <c r="W5630" s="85" t="s">
        <v>18973</v>
      </c>
      <c r="X5630" s="80"/>
      <c r="Y5630" s="22">
        <v>0</v>
      </c>
      <c r="Z5630" s="80" t="s">
        <v>50</v>
      </c>
      <c r="AA5630" s="35" t="s">
        <v>18579</v>
      </c>
      <c r="AB5630" s="86"/>
      <c r="AC5630" s="80" t="s">
        <v>53</v>
      </c>
      <c r="AD5630" s="80" t="s">
        <v>54</v>
      </c>
      <c r="AE5630" s="80"/>
      <c r="AF5630" s="17">
        <v>45630</v>
      </c>
      <c r="AG5630" s="80" t="s">
        <v>7078</v>
      </c>
      <c r="AH5630" s="80"/>
      <c r="AI5630" s="147"/>
      <c r="AJ5630" s="80"/>
      <c r="AK5630" s="80"/>
      <c r="AL5630" s="35"/>
      <c r="AM5630" s="35"/>
      <c r="AN5630" s="35"/>
      <c r="AO5630" s="35"/>
      <c r="AP5630" s="35"/>
    </row>
    <row r="5631" spans="1:42" x14ac:dyDescent="0.2">
      <c r="A5631" s="126">
        <v>45627.536418784723</v>
      </c>
      <c r="B5631" s="137" t="s">
        <v>37</v>
      </c>
      <c r="C5631" s="41" t="s">
        <v>118</v>
      </c>
      <c r="D5631" s="80" t="s">
        <v>36</v>
      </c>
      <c r="E5631" s="80" t="s">
        <v>148</v>
      </c>
      <c r="F5631" s="80" t="s">
        <v>40</v>
      </c>
      <c r="G5631" s="80" t="s">
        <v>108</v>
      </c>
      <c r="H5631" s="80" t="s">
        <v>16792</v>
      </c>
      <c r="I5631" s="17">
        <f ca="1">IFERROR(__xludf.DUMMYFUNCTION("""COMPUTED_VALUE"""),45632)</f>
        <v>45632</v>
      </c>
      <c r="J5631" s="143" t="s">
        <v>18974</v>
      </c>
      <c r="K5631" s="80" t="s">
        <v>18975</v>
      </c>
      <c r="L5631" s="30">
        <v>325366116</v>
      </c>
      <c r="M5631" s="80" t="s">
        <v>348</v>
      </c>
      <c r="N5631" s="80" t="s">
        <v>4299</v>
      </c>
      <c r="O5631" s="80" t="s">
        <v>18976</v>
      </c>
      <c r="P5631" s="80" t="s">
        <v>18977</v>
      </c>
      <c r="Q5631" s="20">
        <v>7349</v>
      </c>
      <c r="R5631" s="80" t="s">
        <v>36</v>
      </c>
      <c r="S5631" s="95">
        <f>200+7149</f>
        <v>7349</v>
      </c>
      <c r="T5631" s="83" t="s">
        <v>18978</v>
      </c>
      <c r="U5631" s="77"/>
      <c r="V5631" s="78"/>
      <c r="W5631" s="85" t="s">
        <v>18979</v>
      </c>
      <c r="X5631" s="80"/>
      <c r="Y5631" s="22">
        <v>0</v>
      </c>
      <c r="Z5631" s="80" t="s">
        <v>50</v>
      </c>
      <c r="AA5631" s="96" t="s">
        <v>18579</v>
      </c>
      <c r="AB5631" s="82"/>
      <c r="AC5631" s="80" t="s">
        <v>53</v>
      </c>
      <c r="AD5631" s="80" t="s">
        <v>54</v>
      </c>
      <c r="AE5631" s="80" t="s">
        <v>2752</v>
      </c>
      <c r="AF5631" s="17">
        <v>45628</v>
      </c>
      <c r="AG5631" s="80"/>
      <c r="AH5631" s="80"/>
      <c r="AI5631" s="147"/>
      <c r="AJ5631" s="80"/>
      <c r="AK5631" s="80"/>
      <c r="AL5631" s="35"/>
      <c r="AM5631" s="35"/>
      <c r="AN5631" s="35"/>
      <c r="AO5631" s="35"/>
      <c r="AP5631" s="35"/>
    </row>
    <row r="5632" spans="1:42" x14ac:dyDescent="0.2">
      <c r="A5632" s="126">
        <v>45627.538714236114</v>
      </c>
      <c r="B5632" s="137" t="s">
        <v>37</v>
      </c>
      <c r="C5632" s="41" t="s">
        <v>118</v>
      </c>
      <c r="D5632" s="80" t="s">
        <v>36</v>
      </c>
      <c r="E5632" s="80" t="s">
        <v>56</v>
      </c>
      <c r="F5632" s="80" t="s">
        <v>36</v>
      </c>
      <c r="G5632" s="80" t="s">
        <v>41</v>
      </c>
      <c r="H5632" s="80" t="s">
        <v>12324</v>
      </c>
      <c r="I5632" s="17">
        <f ca="1">IFERROR(__xludf.DUMMYFUNCTION("""COMPUTED_VALUE"""),45635)</f>
        <v>45635</v>
      </c>
      <c r="J5632" s="143" t="s">
        <v>18980</v>
      </c>
      <c r="K5632" s="80" t="s">
        <v>18981</v>
      </c>
      <c r="L5632" s="30">
        <v>393147934</v>
      </c>
      <c r="M5632" s="80" t="s">
        <v>348</v>
      </c>
      <c r="N5632" s="80" t="s">
        <v>4299</v>
      </c>
      <c r="O5632" s="80" t="s">
        <v>11399</v>
      </c>
      <c r="P5632" s="80" t="s">
        <v>18982</v>
      </c>
      <c r="Q5632" s="20">
        <v>9317</v>
      </c>
      <c r="R5632" s="80" t="s">
        <v>36</v>
      </c>
      <c r="S5632" s="95">
        <f>200+9117</f>
        <v>9317</v>
      </c>
      <c r="T5632" s="83" t="s">
        <v>18983</v>
      </c>
      <c r="U5632" s="77"/>
      <c r="V5632" s="78"/>
      <c r="W5632" s="79" t="s">
        <v>18984</v>
      </c>
      <c r="X5632" s="80"/>
      <c r="Y5632" s="22">
        <v>0</v>
      </c>
      <c r="Z5632" s="80" t="s">
        <v>50</v>
      </c>
      <c r="AA5632" s="35" t="s">
        <v>18579</v>
      </c>
      <c r="AB5632" s="86"/>
      <c r="AC5632" s="80" t="s">
        <v>53</v>
      </c>
      <c r="AD5632" s="80" t="s">
        <v>54</v>
      </c>
      <c r="AE5632" s="80"/>
      <c r="AF5632" s="17">
        <v>45629</v>
      </c>
      <c r="AG5632" s="80"/>
      <c r="AH5632" s="80"/>
      <c r="AI5632" s="147"/>
      <c r="AJ5632" s="80"/>
      <c r="AK5632" s="80"/>
      <c r="AL5632" s="35"/>
      <c r="AM5632" s="35"/>
      <c r="AN5632" s="35"/>
      <c r="AO5632" s="35"/>
      <c r="AP5632" s="35"/>
    </row>
    <row r="5633" spans="1:42" x14ac:dyDescent="0.2">
      <c r="A5633" s="126">
        <v>45627.642102789352</v>
      </c>
      <c r="B5633" s="137" t="s">
        <v>37</v>
      </c>
      <c r="C5633" s="41" t="s">
        <v>118</v>
      </c>
      <c r="D5633" s="80" t="s">
        <v>36</v>
      </c>
      <c r="E5633" s="80" t="s">
        <v>77</v>
      </c>
      <c r="F5633" s="80" t="s">
        <v>40</v>
      </c>
      <c r="G5633" s="80" t="s">
        <v>41</v>
      </c>
      <c r="H5633" s="80" t="s">
        <v>18110</v>
      </c>
      <c r="I5633" s="17">
        <f ca="1">IFERROR(__xludf.DUMMYFUNCTION("""COMPUTED_VALUE"""),45630)</f>
        <v>45630</v>
      </c>
      <c r="J5633" s="143" t="s">
        <v>18985</v>
      </c>
      <c r="K5633" s="80" t="s">
        <v>4515</v>
      </c>
      <c r="L5633" s="30">
        <v>332040173</v>
      </c>
      <c r="M5633" s="80" t="s">
        <v>348</v>
      </c>
      <c r="N5633" s="80" t="s">
        <v>68</v>
      </c>
      <c r="O5633" s="80" t="s">
        <v>18986</v>
      </c>
      <c r="P5633" s="80" t="s">
        <v>18987</v>
      </c>
      <c r="Q5633" s="20">
        <v>1968</v>
      </c>
      <c r="R5633" s="80" t="s">
        <v>36</v>
      </c>
      <c r="S5633" s="95">
        <v>1968</v>
      </c>
      <c r="T5633" s="148">
        <v>45627</v>
      </c>
      <c r="U5633" s="77"/>
      <c r="V5633" s="78"/>
      <c r="W5633" s="85" t="s">
        <v>18988</v>
      </c>
      <c r="X5633" s="80"/>
      <c r="Y5633" s="22">
        <v>0</v>
      </c>
      <c r="Z5633" s="80" t="s">
        <v>50</v>
      </c>
      <c r="AA5633" s="96" t="s">
        <v>18579</v>
      </c>
      <c r="AB5633" s="82"/>
      <c r="AC5633" s="80" t="s">
        <v>53</v>
      </c>
      <c r="AD5633" s="80" t="s">
        <v>54</v>
      </c>
      <c r="AE5633" s="80"/>
      <c r="AF5633" s="17">
        <v>45628</v>
      </c>
      <c r="AG5633" s="80"/>
      <c r="AH5633" s="80"/>
      <c r="AI5633" s="147"/>
      <c r="AJ5633" s="80"/>
      <c r="AK5633" s="80"/>
      <c r="AL5633" s="35"/>
      <c r="AM5633" s="35"/>
      <c r="AN5633" s="35"/>
      <c r="AO5633" s="35"/>
      <c r="AP5633" s="35"/>
    </row>
    <row r="5634" spans="1:42" x14ac:dyDescent="0.2">
      <c r="A5634" s="126">
        <v>45627.881571458332</v>
      </c>
      <c r="B5634" s="137" t="s">
        <v>37</v>
      </c>
      <c r="C5634" s="41" t="s">
        <v>118</v>
      </c>
      <c r="D5634" s="80" t="s">
        <v>36</v>
      </c>
      <c r="E5634" s="80" t="s">
        <v>77</v>
      </c>
      <c r="F5634" s="80" t="s">
        <v>40</v>
      </c>
      <c r="G5634" s="80" t="s">
        <v>41</v>
      </c>
      <c r="H5634" s="80" t="s">
        <v>12542</v>
      </c>
      <c r="I5634" s="17">
        <f ca="1">IFERROR(__xludf.DUMMYFUNCTION("""COMPUTED_VALUE"""),45636)</f>
        <v>45636</v>
      </c>
      <c r="J5634" s="143" t="s">
        <v>18989</v>
      </c>
      <c r="K5634" s="80" t="s">
        <v>18990</v>
      </c>
      <c r="L5634" s="30">
        <v>363405564</v>
      </c>
      <c r="M5634" s="80" t="s">
        <v>348</v>
      </c>
      <c r="N5634" s="80" t="s">
        <v>4299</v>
      </c>
      <c r="O5634" s="80" t="s">
        <v>18991</v>
      </c>
      <c r="P5634" s="80" t="s">
        <v>18992</v>
      </c>
      <c r="Q5634" s="20">
        <v>1968</v>
      </c>
      <c r="R5634" s="80" t="s">
        <v>36</v>
      </c>
      <c r="S5634" s="95">
        <v>1968</v>
      </c>
      <c r="T5634" s="148">
        <v>45627</v>
      </c>
      <c r="U5634" s="77"/>
      <c r="V5634" s="78"/>
      <c r="W5634" s="85" t="s">
        <v>18993</v>
      </c>
      <c r="X5634" s="80"/>
      <c r="Y5634" s="22">
        <v>0</v>
      </c>
      <c r="Z5634" s="80" t="s">
        <v>50</v>
      </c>
      <c r="AA5634" s="35" t="s">
        <v>18579</v>
      </c>
      <c r="AB5634" s="86"/>
      <c r="AC5634" s="80" t="s">
        <v>53</v>
      </c>
      <c r="AD5634" s="80" t="s">
        <v>54</v>
      </c>
      <c r="AE5634" s="80"/>
      <c r="AF5634" s="17">
        <v>45630</v>
      </c>
      <c r="AG5634" s="80"/>
      <c r="AH5634" s="80"/>
      <c r="AI5634" s="147"/>
      <c r="AJ5634" s="80"/>
      <c r="AK5634" s="80"/>
      <c r="AL5634" s="35"/>
      <c r="AM5634" s="35"/>
      <c r="AN5634" s="35"/>
      <c r="AO5634" s="35"/>
      <c r="AP5634" s="35"/>
    </row>
    <row r="5635" spans="1:42" x14ac:dyDescent="0.2">
      <c r="A5635" s="126">
        <v>45627.892949722227</v>
      </c>
      <c r="B5635" s="137" t="s">
        <v>37</v>
      </c>
      <c r="C5635" s="41" t="s">
        <v>118</v>
      </c>
      <c r="D5635" s="80" t="s">
        <v>36</v>
      </c>
      <c r="E5635" s="80" t="s">
        <v>77</v>
      </c>
      <c r="F5635" s="80" t="s">
        <v>40</v>
      </c>
      <c r="G5635" s="80" t="s">
        <v>41</v>
      </c>
      <c r="H5635" s="80" t="s">
        <v>18110</v>
      </c>
      <c r="I5635" s="17">
        <f ca="1">IFERROR(__xludf.DUMMYFUNCTION("""COMPUTED_VALUE"""),45630)</f>
        <v>45630</v>
      </c>
      <c r="J5635" s="143" t="s">
        <v>18994</v>
      </c>
      <c r="K5635" s="80" t="s">
        <v>18995</v>
      </c>
      <c r="L5635" s="30">
        <v>355890978</v>
      </c>
      <c r="M5635" s="80" t="s">
        <v>348</v>
      </c>
      <c r="N5635" s="80" t="s">
        <v>4299</v>
      </c>
      <c r="O5635" s="80" t="s">
        <v>18996</v>
      </c>
      <c r="P5635" s="80" t="s">
        <v>18997</v>
      </c>
      <c r="Q5635" s="20">
        <v>1968</v>
      </c>
      <c r="R5635" s="80" t="s">
        <v>36</v>
      </c>
      <c r="S5635" s="95">
        <v>1968</v>
      </c>
      <c r="T5635" s="148">
        <v>45627</v>
      </c>
      <c r="U5635" s="77"/>
      <c r="V5635" s="78"/>
      <c r="W5635" s="85" t="s">
        <v>18998</v>
      </c>
      <c r="X5635" s="80"/>
      <c r="Y5635" s="22">
        <v>0</v>
      </c>
      <c r="Z5635" s="80" t="s">
        <v>50</v>
      </c>
      <c r="AA5635" s="96" t="s">
        <v>18579</v>
      </c>
      <c r="AB5635" s="82"/>
      <c r="AC5635" s="80" t="s">
        <v>53</v>
      </c>
      <c r="AD5635" s="80" t="s">
        <v>54</v>
      </c>
      <c r="AE5635" s="80"/>
      <c r="AF5635" s="17">
        <v>45628</v>
      </c>
      <c r="AG5635" s="80"/>
      <c r="AH5635" s="80"/>
      <c r="AI5635" s="147"/>
      <c r="AJ5635" s="80"/>
      <c r="AK5635" s="80"/>
      <c r="AL5635" s="35"/>
      <c r="AM5635" s="35"/>
      <c r="AN5635" s="35"/>
      <c r="AO5635" s="35"/>
      <c r="AP5635" s="35"/>
    </row>
    <row r="5636" spans="1:42" x14ac:dyDescent="0.2">
      <c r="A5636" s="126">
        <v>45627.921435243057</v>
      </c>
      <c r="B5636" s="137" t="s">
        <v>37</v>
      </c>
      <c r="C5636" s="41" t="s">
        <v>118</v>
      </c>
      <c r="D5636" s="80" t="s">
        <v>36</v>
      </c>
      <c r="E5636" s="80" t="s">
        <v>56</v>
      </c>
      <c r="F5636" s="80" t="s">
        <v>40</v>
      </c>
      <c r="G5636" s="26" t="s">
        <v>41</v>
      </c>
      <c r="H5636" s="80" t="s">
        <v>13283</v>
      </c>
      <c r="I5636" s="17">
        <f ca="1">IFERROR(__xludf.DUMMYFUNCTION("""COMPUTED_VALUE"""),45631)</f>
        <v>45631</v>
      </c>
      <c r="J5636" s="143" t="s">
        <v>18999</v>
      </c>
      <c r="K5636" s="80" t="s">
        <v>19000</v>
      </c>
      <c r="L5636" s="30">
        <v>393312162</v>
      </c>
      <c r="M5636" s="80" t="s">
        <v>5518</v>
      </c>
      <c r="N5636" s="80" t="s">
        <v>12380</v>
      </c>
      <c r="O5636" s="80" t="s">
        <v>19001</v>
      </c>
      <c r="P5636" s="80" t="s">
        <v>3117</v>
      </c>
      <c r="Q5636" s="20">
        <v>9317</v>
      </c>
      <c r="R5636" s="80" t="s">
        <v>36</v>
      </c>
      <c r="S5636" s="95">
        <v>4000</v>
      </c>
      <c r="T5636" s="148">
        <v>45627</v>
      </c>
      <c r="U5636" s="95">
        <v>5317</v>
      </c>
      <c r="V5636" s="148">
        <v>45647</v>
      </c>
      <c r="W5636" s="85" t="s">
        <v>19002</v>
      </c>
      <c r="X5636" s="80"/>
      <c r="Y5636" s="22">
        <v>0</v>
      </c>
      <c r="Z5636" s="80" t="s">
        <v>50</v>
      </c>
      <c r="AA5636" s="35" t="s">
        <v>18579</v>
      </c>
      <c r="AB5636" s="86"/>
      <c r="AC5636" s="80" t="s">
        <v>53</v>
      </c>
      <c r="AD5636" s="80" t="s">
        <v>138</v>
      </c>
      <c r="AE5636" s="80"/>
      <c r="AF5636" s="17">
        <v>45631</v>
      </c>
      <c r="AG5636" s="80"/>
      <c r="AH5636" s="80"/>
      <c r="AI5636" s="147"/>
      <c r="AJ5636" s="80"/>
      <c r="AK5636" s="80"/>
      <c r="AL5636" s="35"/>
      <c r="AM5636" s="35"/>
      <c r="AN5636" s="35"/>
      <c r="AO5636" s="35"/>
      <c r="AP5636" s="35"/>
    </row>
    <row r="5637" spans="1:42" x14ac:dyDescent="0.2">
      <c r="A5637" s="126">
        <v>45627.935030127315</v>
      </c>
      <c r="B5637" s="137" t="s">
        <v>37</v>
      </c>
      <c r="C5637" s="41" t="s">
        <v>118</v>
      </c>
      <c r="D5637" s="80" t="s">
        <v>36</v>
      </c>
      <c r="E5637" s="80" t="s">
        <v>77</v>
      </c>
      <c r="F5637" s="80" t="s">
        <v>40</v>
      </c>
      <c r="G5637" s="80" t="s">
        <v>41</v>
      </c>
      <c r="H5637" s="80" t="s">
        <v>13441</v>
      </c>
      <c r="I5637" s="17">
        <f ca="1">IFERROR(__xludf.DUMMYFUNCTION("""COMPUTED_VALUE"""),45625)</f>
        <v>45625</v>
      </c>
      <c r="J5637" s="143" t="s">
        <v>19003</v>
      </c>
      <c r="K5637" s="80" t="s">
        <v>19004</v>
      </c>
      <c r="L5637" s="30">
        <v>859227377</v>
      </c>
      <c r="M5637" s="80" t="s">
        <v>12644</v>
      </c>
      <c r="N5637" s="80" t="s">
        <v>8725</v>
      </c>
      <c r="O5637" s="80" t="s">
        <v>19005</v>
      </c>
      <c r="P5637" s="80" t="s">
        <v>14107</v>
      </c>
      <c r="Q5637" s="20">
        <v>1968</v>
      </c>
      <c r="R5637" s="80" t="s">
        <v>70</v>
      </c>
      <c r="S5637" s="95">
        <v>2000</v>
      </c>
      <c r="T5637" s="148">
        <v>45627</v>
      </c>
      <c r="U5637" s="77"/>
      <c r="V5637" s="78"/>
      <c r="W5637" s="85" t="s">
        <v>19006</v>
      </c>
      <c r="X5637" s="80"/>
      <c r="Y5637" s="22">
        <v>-32</v>
      </c>
      <c r="Z5637" s="80" t="s">
        <v>50</v>
      </c>
      <c r="AA5637" s="96" t="s">
        <v>18579</v>
      </c>
      <c r="AB5637" s="82"/>
      <c r="AC5637" s="80" t="s">
        <v>53</v>
      </c>
      <c r="AD5637" s="80" t="s">
        <v>138</v>
      </c>
      <c r="AE5637" s="80"/>
      <c r="AF5637" s="17">
        <v>45628</v>
      </c>
      <c r="AG5637" s="26" t="s">
        <v>7078</v>
      </c>
      <c r="AH5637" s="80" t="s">
        <v>19007</v>
      </c>
      <c r="AI5637" s="147"/>
      <c r="AJ5637" s="80"/>
      <c r="AK5637" s="80"/>
      <c r="AL5637" s="35"/>
      <c r="AM5637" s="35"/>
      <c r="AN5637" s="35"/>
      <c r="AO5637" s="35"/>
      <c r="AP5637" s="35"/>
    </row>
    <row r="5638" spans="1:42" x14ac:dyDescent="0.2">
      <c r="A5638" s="126">
        <v>45628.389156666672</v>
      </c>
      <c r="B5638" s="137" t="s">
        <v>37</v>
      </c>
      <c r="C5638" s="41" t="s">
        <v>118</v>
      </c>
      <c r="D5638" s="80" t="s">
        <v>36</v>
      </c>
      <c r="E5638" s="80" t="s">
        <v>119</v>
      </c>
      <c r="F5638" s="80" t="s">
        <v>36</v>
      </c>
      <c r="G5638" s="80" t="s">
        <v>108</v>
      </c>
      <c r="H5638" s="80" t="s">
        <v>10098</v>
      </c>
      <c r="I5638" s="17">
        <f ca="1">IFERROR(__xludf.DUMMYFUNCTION("""COMPUTED_VALUE"""),45624)</f>
        <v>45624</v>
      </c>
      <c r="J5638" s="143" t="s">
        <v>19008</v>
      </c>
      <c r="K5638" s="80" t="s">
        <v>19009</v>
      </c>
      <c r="L5638" s="30">
        <v>975738266</v>
      </c>
      <c r="M5638" s="80" t="s">
        <v>15996</v>
      </c>
      <c r="N5638" s="80" t="s">
        <v>186</v>
      </c>
      <c r="O5638" s="80" t="s">
        <v>4503</v>
      </c>
      <c r="P5638" s="80" t="s">
        <v>3056</v>
      </c>
      <c r="Q5638" s="20">
        <v>13968</v>
      </c>
      <c r="R5638" s="80" t="s">
        <v>36</v>
      </c>
      <c r="S5638" s="95">
        <f>3000+768</f>
        <v>3768</v>
      </c>
      <c r="T5638" s="83" t="s">
        <v>19010</v>
      </c>
      <c r="U5638" s="95">
        <v>10200</v>
      </c>
      <c r="V5638" s="148">
        <v>45651</v>
      </c>
      <c r="W5638" s="85" t="s">
        <v>19011</v>
      </c>
      <c r="X5638" s="80"/>
      <c r="Y5638" s="22">
        <v>0</v>
      </c>
      <c r="Z5638" s="80" t="s">
        <v>50</v>
      </c>
      <c r="AA5638" s="35" t="s">
        <v>18579</v>
      </c>
      <c r="AB5638" s="86"/>
      <c r="AC5638" s="80" t="s">
        <v>53</v>
      </c>
      <c r="AD5638" s="80" t="s">
        <v>138</v>
      </c>
      <c r="AE5638" s="80"/>
      <c r="AF5638" s="17">
        <v>45624</v>
      </c>
      <c r="AG5638" s="80"/>
      <c r="AH5638" s="80"/>
      <c r="AI5638" s="147"/>
      <c r="AJ5638" s="80"/>
      <c r="AK5638" s="80"/>
      <c r="AL5638" s="35"/>
      <c r="AM5638" s="35"/>
      <c r="AN5638" s="35"/>
      <c r="AO5638" s="35"/>
      <c r="AP5638" s="35"/>
    </row>
    <row r="5639" spans="1:42" x14ac:dyDescent="0.2">
      <c r="A5639" s="126">
        <v>45628.747546967592</v>
      </c>
      <c r="B5639" s="137" t="s">
        <v>37</v>
      </c>
      <c r="C5639" s="41" t="s">
        <v>118</v>
      </c>
      <c r="D5639" s="80" t="s">
        <v>36</v>
      </c>
      <c r="E5639" s="80" t="s">
        <v>77</v>
      </c>
      <c r="F5639" s="80" t="s">
        <v>40</v>
      </c>
      <c r="G5639" s="26" t="s">
        <v>41</v>
      </c>
      <c r="H5639" s="80" t="s">
        <v>13283</v>
      </c>
      <c r="I5639" s="17">
        <f ca="1">IFERROR(__xludf.DUMMYFUNCTION("""COMPUTED_VALUE"""),45631)</f>
        <v>45631</v>
      </c>
      <c r="J5639" s="143" t="s">
        <v>19012</v>
      </c>
      <c r="K5639" s="80" t="s">
        <v>19013</v>
      </c>
      <c r="L5639" s="30">
        <v>839988938</v>
      </c>
      <c r="M5639" s="80" t="s">
        <v>348</v>
      </c>
      <c r="N5639" s="80" t="s">
        <v>68</v>
      </c>
      <c r="O5639" s="80" t="s">
        <v>15557</v>
      </c>
      <c r="P5639" s="80" t="s">
        <v>19014</v>
      </c>
      <c r="Q5639" s="20">
        <v>1968</v>
      </c>
      <c r="R5639" s="80" t="s">
        <v>36</v>
      </c>
      <c r="S5639" s="95">
        <v>1968</v>
      </c>
      <c r="T5639" s="148">
        <v>45628</v>
      </c>
      <c r="U5639" s="77"/>
      <c r="V5639" s="78"/>
      <c r="W5639" s="85" t="s">
        <v>19015</v>
      </c>
      <c r="X5639" s="80"/>
      <c r="Y5639" s="22">
        <v>0</v>
      </c>
      <c r="Z5639" s="80" t="s">
        <v>50</v>
      </c>
      <c r="AA5639" s="96" t="s">
        <v>18579</v>
      </c>
      <c r="AB5639" s="82"/>
      <c r="AC5639" s="80" t="s">
        <v>53</v>
      </c>
      <c r="AD5639" s="80" t="s">
        <v>138</v>
      </c>
      <c r="AE5639" s="80"/>
      <c r="AF5639" s="17">
        <v>45631</v>
      </c>
      <c r="AG5639" s="80"/>
      <c r="AH5639" s="80"/>
      <c r="AI5639" s="147"/>
      <c r="AJ5639" s="80"/>
      <c r="AK5639" s="80"/>
      <c r="AL5639" s="35"/>
      <c r="AM5639" s="35"/>
      <c r="AN5639" s="35"/>
      <c r="AO5639" s="35"/>
      <c r="AP5639" s="35"/>
    </row>
    <row r="5640" spans="1:42" x14ac:dyDescent="0.2">
      <c r="A5640" s="126">
        <v>45628.893374699073</v>
      </c>
      <c r="B5640" s="28" t="s">
        <v>37</v>
      </c>
      <c r="C5640" s="41" t="s">
        <v>118</v>
      </c>
      <c r="D5640" s="80" t="s">
        <v>36</v>
      </c>
      <c r="E5640" s="80" t="s">
        <v>77</v>
      </c>
      <c r="F5640" s="80" t="s">
        <v>40</v>
      </c>
      <c r="G5640" s="80" t="s">
        <v>41</v>
      </c>
      <c r="H5640" s="80" t="s">
        <v>11640</v>
      </c>
      <c r="I5640" s="17">
        <f ca="1">IFERROR(__xludf.DUMMYFUNCTION("""COMPUTED_VALUE"""),45636)</f>
        <v>45636</v>
      </c>
      <c r="J5640" s="143" t="s">
        <v>19016</v>
      </c>
      <c r="K5640" s="80" t="s">
        <v>19017</v>
      </c>
      <c r="L5640" s="30">
        <v>964761090</v>
      </c>
      <c r="M5640" s="80" t="s">
        <v>19018</v>
      </c>
      <c r="N5640" s="80" t="s">
        <v>19019</v>
      </c>
      <c r="O5640" s="80" t="s">
        <v>19020</v>
      </c>
      <c r="P5640" s="80" t="s">
        <v>18742</v>
      </c>
      <c r="Q5640" s="20">
        <v>1968</v>
      </c>
      <c r="R5640" s="80" t="s">
        <v>36</v>
      </c>
      <c r="S5640" s="95">
        <f>200+1800</f>
        <v>2000</v>
      </c>
      <c r="T5640" s="83" t="s">
        <v>19021</v>
      </c>
      <c r="U5640" s="77"/>
      <c r="V5640" s="78"/>
      <c r="W5640" s="85" t="s">
        <v>19022</v>
      </c>
      <c r="X5640" s="80"/>
      <c r="Y5640" s="22">
        <v>-32</v>
      </c>
      <c r="Z5640" s="80" t="s">
        <v>50</v>
      </c>
      <c r="AA5640" s="35" t="s">
        <v>18579</v>
      </c>
      <c r="AB5640" s="86"/>
      <c r="AC5640" s="80" t="s">
        <v>53</v>
      </c>
      <c r="AD5640" s="80" t="s">
        <v>138</v>
      </c>
      <c r="AE5640" s="80"/>
      <c r="AF5640" s="43">
        <v>45636</v>
      </c>
      <c r="AG5640" s="80"/>
      <c r="AH5640" s="80"/>
      <c r="AI5640" s="147"/>
      <c r="AJ5640" s="80"/>
      <c r="AK5640" s="80"/>
      <c r="AL5640" s="35"/>
      <c r="AM5640" s="35"/>
      <c r="AN5640" s="35"/>
      <c r="AO5640" s="35"/>
      <c r="AP5640" s="35"/>
    </row>
    <row r="5641" spans="1:42" x14ac:dyDescent="0.2">
      <c r="A5641" s="126">
        <v>45628.977766284719</v>
      </c>
      <c r="B5641" s="137" t="s">
        <v>37</v>
      </c>
      <c r="C5641" s="41" t="s">
        <v>118</v>
      </c>
      <c r="D5641" s="80" t="s">
        <v>36</v>
      </c>
      <c r="E5641" s="80" t="s">
        <v>139</v>
      </c>
      <c r="F5641" s="80" t="s">
        <v>40</v>
      </c>
      <c r="G5641" s="80" t="s">
        <v>41</v>
      </c>
      <c r="H5641" s="80" t="s">
        <v>12542</v>
      </c>
      <c r="I5641" s="17">
        <f ca="1">IFERROR(__xludf.DUMMYFUNCTION("""COMPUTED_VALUE"""),45636)</f>
        <v>45636</v>
      </c>
      <c r="J5641" s="143" t="s">
        <v>19023</v>
      </c>
      <c r="K5641" s="80" t="s">
        <v>19024</v>
      </c>
      <c r="L5641" s="30">
        <v>949932847</v>
      </c>
      <c r="M5641" s="80" t="s">
        <v>16756</v>
      </c>
      <c r="N5641" s="80" t="s">
        <v>3525</v>
      </c>
      <c r="O5641" s="80" t="s">
        <v>19025</v>
      </c>
      <c r="P5641" s="80" t="s">
        <v>19026</v>
      </c>
      <c r="Q5641" s="20">
        <v>15936</v>
      </c>
      <c r="R5641" s="80" t="s">
        <v>36</v>
      </c>
      <c r="S5641" s="95">
        <v>2000</v>
      </c>
      <c r="T5641" s="148">
        <v>45628</v>
      </c>
      <c r="U5641" s="95">
        <v>13936</v>
      </c>
      <c r="V5641" s="148">
        <v>45653</v>
      </c>
      <c r="W5641" s="85" t="s">
        <v>19027</v>
      </c>
      <c r="X5641" s="80"/>
      <c r="Y5641" s="22">
        <v>0</v>
      </c>
      <c r="Z5641" s="80" t="s">
        <v>50</v>
      </c>
      <c r="AA5641" s="96" t="s">
        <v>18579</v>
      </c>
      <c r="AB5641" s="82"/>
      <c r="AC5641" s="80" t="s">
        <v>53</v>
      </c>
      <c r="AD5641" s="80" t="s">
        <v>54</v>
      </c>
      <c r="AE5641" s="80"/>
      <c r="AF5641" s="17">
        <v>45630</v>
      </c>
      <c r="AG5641" s="80"/>
      <c r="AH5641" s="80"/>
      <c r="AI5641" s="147"/>
      <c r="AJ5641" s="80"/>
      <c r="AK5641" s="80"/>
      <c r="AL5641" s="35"/>
      <c r="AM5641" s="35"/>
      <c r="AN5641" s="35"/>
      <c r="AO5641" s="35"/>
      <c r="AP5641" s="35"/>
    </row>
    <row r="5642" spans="1:42" x14ac:dyDescent="0.2">
      <c r="A5642" s="126">
        <v>45629.420313136579</v>
      </c>
      <c r="B5642" s="28" t="s">
        <v>37</v>
      </c>
      <c r="C5642" s="41" t="s">
        <v>118</v>
      </c>
      <c r="D5642" s="80" t="s">
        <v>36</v>
      </c>
      <c r="E5642" s="80" t="s">
        <v>56</v>
      </c>
      <c r="F5642" s="80" t="s">
        <v>40</v>
      </c>
      <c r="G5642" s="80" t="s">
        <v>41</v>
      </c>
      <c r="H5642" s="80" t="s">
        <v>11640</v>
      </c>
      <c r="I5642" s="17">
        <f ca="1">IFERROR(__xludf.DUMMYFUNCTION("""COMPUTED_VALUE"""),45636)</f>
        <v>45636</v>
      </c>
      <c r="J5642" s="143" t="s">
        <v>19028</v>
      </c>
      <c r="K5642" s="80" t="s">
        <v>19029</v>
      </c>
      <c r="L5642" s="30">
        <v>359723371</v>
      </c>
      <c r="M5642" s="80" t="s">
        <v>59</v>
      </c>
      <c r="N5642" s="80" t="s">
        <v>11476</v>
      </c>
      <c r="O5642" s="80" t="s">
        <v>19030</v>
      </c>
      <c r="P5642" s="80" t="s">
        <v>19031</v>
      </c>
      <c r="Q5642" s="20">
        <v>9317</v>
      </c>
      <c r="R5642" s="80" t="s">
        <v>36</v>
      </c>
      <c r="S5642" s="95">
        <v>9317</v>
      </c>
      <c r="T5642" s="148">
        <v>45628</v>
      </c>
      <c r="U5642" s="77"/>
      <c r="V5642" s="78"/>
      <c r="W5642" s="85" t="s">
        <v>19032</v>
      </c>
      <c r="X5642" s="80"/>
      <c r="Y5642" s="22">
        <v>0</v>
      </c>
      <c r="Z5642" s="80" t="s">
        <v>50</v>
      </c>
      <c r="AA5642" s="35" t="s">
        <v>18579</v>
      </c>
      <c r="AB5642" s="86"/>
      <c r="AC5642" s="80" t="s">
        <v>53</v>
      </c>
      <c r="AD5642" s="80" t="s">
        <v>138</v>
      </c>
      <c r="AE5642" s="80"/>
      <c r="AF5642" s="43">
        <v>45642</v>
      </c>
      <c r="AG5642" s="80"/>
      <c r="AH5642" s="80"/>
      <c r="AI5642" s="147"/>
      <c r="AJ5642" s="80"/>
      <c r="AK5642" s="80"/>
      <c r="AL5642" s="35"/>
      <c r="AM5642" s="35"/>
      <c r="AN5642" s="35"/>
      <c r="AO5642" s="35"/>
      <c r="AP5642" s="35"/>
    </row>
    <row r="5643" spans="1:42" x14ac:dyDescent="0.2">
      <c r="A5643" s="126">
        <v>45629.521106400462</v>
      </c>
      <c r="B5643" s="137" t="s">
        <v>37</v>
      </c>
      <c r="C5643" s="41" t="s">
        <v>118</v>
      </c>
      <c r="D5643" s="80" t="s">
        <v>36</v>
      </c>
      <c r="E5643" s="80" t="s">
        <v>106</v>
      </c>
      <c r="F5643" s="80" t="s">
        <v>40</v>
      </c>
      <c r="G5643" s="80" t="s">
        <v>108</v>
      </c>
      <c r="H5643" s="80" t="s">
        <v>16792</v>
      </c>
      <c r="I5643" s="17">
        <f ca="1">IFERROR(__xludf.DUMMYFUNCTION("""COMPUTED_VALUE"""),45632)</f>
        <v>45632</v>
      </c>
      <c r="J5643" s="143" t="s">
        <v>19033</v>
      </c>
      <c r="K5643" s="80" t="s">
        <v>19034</v>
      </c>
      <c r="L5643" s="30">
        <v>344210333</v>
      </c>
      <c r="M5643" s="80" t="s">
        <v>348</v>
      </c>
      <c r="N5643" s="80" t="s">
        <v>4299</v>
      </c>
      <c r="O5643" s="80" t="s">
        <v>19035</v>
      </c>
      <c r="P5643" s="80" t="s">
        <v>19036</v>
      </c>
      <c r="Q5643" s="20">
        <v>3768</v>
      </c>
      <c r="R5643" s="80" t="s">
        <v>36</v>
      </c>
      <c r="S5643" s="95">
        <v>3768</v>
      </c>
      <c r="T5643" s="148">
        <v>45629</v>
      </c>
      <c r="U5643" s="77"/>
      <c r="V5643" s="78"/>
      <c r="W5643" s="85" t="s">
        <v>19037</v>
      </c>
      <c r="X5643" s="80"/>
      <c r="Y5643" s="22">
        <v>0</v>
      </c>
      <c r="Z5643" s="80" t="s">
        <v>50</v>
      </c>
      <c r="AA5643" s="96" t="s">
        <v>18579</v>
      </c>
      <c r="AB5643" s="82"/>
      <c r="AC5643" s="80" t="s">
        <v>53</v>
      </c>
      <c r="AD5643" s="80" t="s">
        <v>54</v>
      </c>
      <c r="AE5643" s="80"/>
      <c r="AF5643" s="17">
        <v>45629</v>
      </c>
      <c r="AG5643" s="80"/>
      <c r="AH5643" s="80"/>
      <c r="AI5643" s="147"/>
      <c r="AJ5643" s="80"/>
      <c r="AK5643" s="80"/>
      <c r="AL5643" s="35"/>
      <c r="AM5643" s="35"/>
      <c r="AN5643" s="35"/>
      <c r="AO5643" s="35"/>
      <c r="AP5643" s="35"/>
    </row>
    <row r="5644" spans="1:42" x14ac:dyDescent="0.2">
      <c r="A5644" s="126">
        <v>45629.729884675922</v>
      </c>
      <c r="B5644" s="28" t="s">
        <v>37</v>
      </c>
      <c r="C5644" s="41" t="s">
        <v>118</v>
      </c>
      <c r="D5644" s="80" t="s">
        <v>36</v>
      </c>
      <c r="E5644" s="80" t="s">
        <v>39</v>
      </c>
      <c r="F5644" s="80" t="s">
        <v>40</v>
      </c>
      <c r="G5644" s="80" t="s">
        <v>41</v>
      </c>
      <c r="H5644" s="80" t="s">
        <v>11640</v>
      </c>
      <c r="I5644" s="17">
        <f ca="1">IFERROR(__xludf.DUMMYFUNCTION("""COMPUTED_VALUE"""),45636)</f>
        <v>45636</v>
      </c>
      <c r="J5644" s="143" t="s">
        <v>19038</v>
      </c>
      <c r="K5644" s="80" t="s">
        <v>19039</v>
      </c>
      <c r="L5644" s="30">
        <v>913178103</v>
      </c>
      <c r="M5644" s="80" t="s">
        <v>15970</v>
      </c>
      <c r="N5644" s="80" t="s">
        <v>7210</v>
      </c>
      <c r="O5644" s="80" t="s">
        <v>7833</v>
      </c>
      <c r="P5644" s="80" t="s">
        <v>3178</v>
      </c>
      <c r="Q5644" s="20">
        <v>5736</v>
      </c>
      <c r="R5644" s="80" t="s">
        <v>36</v>
      </c>
      <c r="S5644" s="95">
        <f>200+5536</f>
        <v>5736</v>
      </c>
      <c r="T5644" s="83" t="s">
        <v>19040</v>
      </c>
      <c r="U5644" s="77"/>
      <c r="V5644" s="78"/>
      <c r="W5644" s="85" t="s">
        <v>19041</v>
      </c>
      <c r="X5644" s="80"/>
      <c r="Y5644" s="22">
        <v>0</v>
      </c>
      <c r="Z5644" s="80" t="s">
        <v>50</v>
      </c>
      <c r="AA5644" s="35" t="s">
        <v>18579</v>
      </c>
      <c r="AB5644" s="86"/>
      <c r="AC5644" s="80" t="s">
        <v>53</v>
      </c>
      <c r="AD5644" s="80" t="s">
        <v>138</v>
      </c>
      <c r="AE5644" s="80"/>
      <c r="AF5644" s="43">
        <v>45636</v>
      </c>
      <c r="AG5644" s="80"/>
      <c r="AH5644" s="80"/>
      <c r="AI5644" s="147"/>
      <c r="AJ5644" s="80"/>
      <c r="AK5644" s="80"/>
      <c r="AL5644" s="35"/>
      <c r="AM5644" s="35"/>
      <c r="AN5644" s="35"/>
      <c r="AO5644" s="35"/>
      <c r="AP5644" s="35"/>
    </row>
    <row r="5645" spans="1:42" x14ac:dyDescent="0.2">
      <c r="A5645" s="126">
        <v>45629.922077939817</v>
      </c>
      <c r="B5645" s="28" t="s">
        <v>37</v>
      </c>
      <c r="C5645" s="41" t="s">
        <v>118</v>
      </c>
      <c r="D5645" s="80" t="s">
        <v>36</v>
      </c>
      <c r="E5645" s="80" t="s">
        <v>56</v>
      </c>
      <c r="F5645" s="80" t="s">
        <v>40</v>
      </c>
      <c r="G5645" s="80" t="s">
        <v>41</v>
      </c>
      <c r="H5645" s="80" t="s">
        <v>11640</v>
      </c>
      <c r="I5645" s="17">
        <f ca="1">IFERROR(__xludf.DUMMYFUNCTION("""COMPUTED_VALUE"""),45636)</f>
        <v>45636</v>
      </c>
      <c r="J5645" s="143" t="s">
        <v>19042</v>
      </c>
      <c r="K5645" s="80" t="s">
        <v>19043</v>
      </c>
      <c r="L5645" s="30">
        <v>916909829</v>
      </c>
      <c r="M5645" s="80" t="s">
        <v>45</v>
      </c>
      <c r="N5645" s="80" t="s">
        <v>1472</v>
      </c>
      <c r="O5645" s="80" t="s">
        <v>19044</v>
      </c>
      <c r="P5645" s="80" t="s">
        <v>3694</v>
      </c>
      <c r="Q5645" s="20">
        <v>9317</v>
      </c>
      <c r="R5645" s="80" t="s">
        <v>36</v>
      </c>
      <c r="S5645" s="95">
        <v>2000</v>
      </c>
      <c r="T5645" s="148">
        <v>45621</v>
      </c>
      <c r="U5645" s="95">
        <v>7317</v>
      </c>
      <c r="V5645" s="148">
        <v>45649</v>
      </c>
      <c r="W5645" s="85" t="s">
        <v>19045</v>
      </c>
      <c r="X5645" s="80"/>
      <c r="Y5645" s="22">
        <v>0</v>
      </c>
      <c r="Z5645" s="80" t="s">
        <v>50</v>
      </c>
      <c r="AA5645" s="96" t="s">
        <v>18579</v>
      </c>
      <c r="AB5645" s="82"/>
      <c r="AC5645" s="80" t="s">
        <v>53</v>
      </c>
      <c r="AD5645" s="80" t="s">
        <v>138</v>
      </c>
      <c r="AE5645" s="83"/>
      <c r="AF5645" s="43">
        <v>45636</v>
      </c>
      <c r="AG5645" s="80"/>
      <c r="AH5645" s="80"/>
      <c r="AI5645" s="147"/>
      <c r="AJ5645" s="80"/>
      <c r="AK5645" s="80"/>
      <c r="AL5645" s="35"/>
      <c r="AM5645" s="35"/>
      <c r="AN5645" s="35"/>
      <c r="AO5645" s="35"/>
      <c r="AP5645" s="35"/>
    </row>
    <row r="5646" spans="1:42" x14ac:dyDescent="0.2">
      <c r="A5646" s="126">
        <v>45629.930951238421</v>
      </c>
      <c r="B5646" s="137" t="s">
        <v>37</v>
      </c>
      <c r="C5646" s="41" t="s">
        <v>118</v>
      </c>
      <c r="D5646" s="80" t="s">
        <v>36</v>
      </c>
      <c r="E5646" s="80" t="s">
        <v>139</v>
      </c>
      <c r="F5646" s="80" t="s">
        <v>40</v>
      </c>
      <c r="G5646" s="80" t="s">
        <v>41</v>
      </c>
      <c r="H5646" s="80" t="s">
        <v>12542</v>
      </c>
      <c r="I5646" s="17">
        <f ca="1">IFERROR(__xludf.DUMMYFUNCTION("""COMPUTED_VALUE"""),45636)</f>
        <v>45636</v>
      </c>
      <c r="J5646" s="143" t="s">
        <v>19046</v>
      </c>
      <c r="K5646" s="80" t="s">
        <v>19047</v>
      </c>
      <c r="L5646" s="30">
        <v>865319281</v>
      </c>
      <c r="M5646" s="80" t="s">
        <v>18749</v>
      </c>
      <c r="N5646" s="80" t="s">
        <v>6144</v>
      </c>
      <c r="O5646" s="80" t="s">
        <v>4503</v>
      </c>
      <c r="P5646" s="80" t="s">
        <v>19048</v>
      </c>
      <c r="Q5646" s="20">
        <v>15936</v>
      </c>
      <c r="R5646" s="80" t="s">
        <v>36</v>
      </c>
      <c r="S5646" s="95">
        <v>2000</v>
      </c>
      <c r="T5646" s="148">
        <v>45627</v>
      </c>
      <c r="U5646" s="95">
        <v>13936</v>
      </c>
      <c r="V5646" s="148">
        <v>45648</v>
      </c>
      <c r="W5646" s="85" t="s">
        <v>19049</v>
      </c>
      <c r="X5646" s="80"/>
      <c r="Y5646" s="22">
        <v>0</v>
      </c>
      <c r="Z5646" s="80" t="s">
        <v>50</v>
      </c>
      <c r="AA5646" s="35" t="s">
        <v>18579</v>
      </c>
      <c r="AB5646" s="86"/>
      <c r="AC5646" s="80" t="s">
        <v>53</v>
      </c>
      <c r="AD5646" s="80" t="s">
        <v>54</v>
      </c>
      <c r="AE5646" s="80"/>
      <c r="AF5646" s="17">
        <v>45630</v>
      </c>
      <c r="AG5646" s="80"/>
      <c r="AH5646" s="80"/>
      <c r="AI5646" s="147"/>
      <c r="AJ5646" s="80"/>
      <c r="AK5646" s="80"/>
      <c r="AL5646" s="35"/>
      <c r="AM5646" s="35"/>
      <c r="AN5646" s="35"/>
      <c r="AO5646" s="35"/>
      <c r="AP5646" s="35"/>
    </row>
    <row r="5647" spans="1:42" x14ac:dyDescent="0.2">
      <c r="A5647" s="126">
        <v>45629.932571134261</v>
      </c>
      <c r="B5647" s="137" t="s">
        <v>37</v>
      </c>
      <c r="C5647" s="41" t="s">
        <v>118</v>
      </c>
      <c r="D5647" s="80" t="s">
        <v>36</v>
      </c>
      <c r="E5647" s="80" t="s">
        <v>139</v>
      </c>
      <c r="F5647" s="80" t="s">
        <v>40</v>
      </c>
      <c r="G5647" s="80" t="s">
        <v>41</v>
      </c>
      <c r="H5647" s="80" t="s">
        <v>12324</v>
      </c>
      <c r="I5647" s="17">
        <f ca="1">IFERROR(__xludf.DUMMYFUNCTION("""COMPUTED_VALUE"""),45635)</f>
        <v>45635</v>
      </c>
      <c r="J5647" s="143" t="s">
        <v>19050</v>
      </c>
      <c r="K5647" s="80" t="s">
        <v>19051</v>
      </c>
      <c r="L5647" s="30">
        <v>336502515</v>
      </c>
      <c r="M5647" s="80" t="s">
        <v>18749</v>
      </c>
      <c r="N5647" s="80" t="s">
        <v>6144</v>
      </c>
      <c r="O5647" s="80" t="s">
        <v>4503</v>
      </c>
      <c r="P5647" s="80" t="s">
        <v>19052</v>
      </c>
      <c r="Q5647" s="20">
        <v>15936</v>
      </c>
      <c r="R5647" s="80" t="s">
        <v>36</v>
      </c>
      <c r="S5647" s="95">
        <f>200+1800</f>
        <v>2000</v>
      </c>
      <c r="T5647" s="83" t="s">
        <v>19053</v>
      </c>
      <c r="U5647" s="95">
        <v>13936</v>
      </c>
      <c r="V5647" s="148">
        <v>45651</v>
      </c>
      <c r="W5647" s="85" t="s">
        <v>19054</v>
      </c>
      <c r="X5647" s="80"/>
      <c r="Y5647" s="22">
        <v>0</v>
      </c>
      <c r="Z5647" s="80" t="s">
        <v>50</v>
      </c>
      <c r="AA5647" s="96" t="s">
        <v>18579</v>
      </c>
      <c r="AB5647" s="82"/>
      <c r="AC5647" s="80" t="s">
        <v>53</v>
      </c>
      <c r="AD5647" s="80" t="s">
        <v>54</v>
      </c>
      <c r="AE5647" s="80"/>
      <c r="AF5647" s="17">
        <v>45633</v>
      </c>
      <c r="AG5647" s="80"/>
      <c r="AH5647" s="80"/>
      <c r="AI5647" s="147"/>
      <c r="AJ5647" s="80"/>
      <c r="AK5647" s="80"/>
      <c r="AL5647" s="35"/>
      <c r="AM5647" s="35"/>
      <c r="AN5647" s="35"/>
      <c r="AO5647" s="35"/>
      <c r="AP5647" s="35"/>
    </row>
    <row r="5648" spans="1:42" x14ac:dyDescent="0.2">
      <c r="A5648" s="126">
        <v>45630.324900729167</v>
      </c>
      <c r="B5648" s="137" t="s">
        <v>37</v>
      </c>
      <c r="C5648" s="41" t="s">
        <v>118</v>
      </c>
      <c r="D5648" s="80" t="s">
        <v>36</v>
      </c>
      <c r="E5648" s="80" t="s">
        <v>148</v>
      </c>
      <c r="F5648" s="80" t="s">
        <v>15796</v>
      </c>
      <c r="G5648" s="80" t="s">
        <v>108</v>
      </c>
      <c r="H5648" s="80" t="s">
        <v>13902</v>
      </c>
      <c r="I5648" s="17">
        <f ca="1">IFERROR(__xludf.DUMMYFUNCTION("""COMPUTED_VALUE"""),45643)</f>
        <v>45643</v>
      </c>
      <c r="J5648" s="143" t="s">
        <v>16385</v>
      </c>
      <c r="K5648" s="145" t="s">
        <v>19055</v>
      </c>
      <c r="L5648" s="30">
        <v>382260206</v>
      </c>
      <c r="M5648" s="80" t="s">
        <v>11413</v>
      </c>
      <c r="N5648" s="80" t="s">
        <v>1246</v>
      </c>
      <c r="O5648" s="80" t="s">
        <v>16387</v>
      </c>
      <c r="P5648" s="80" t="s">
        <v>19056</v>
      </c>
      <c r="Q5648" s="20">
        <v>7349</v>
      </c>
      <c r="R5648" s="80" t="s">
        <v>36</v>
      </c>
      <c r="S5648" s="95">
        <v>7349</v>
      </c>
      <c r="T5648" s="148">
        <v>45629</v>
      </c>
      <c r="U5648" s="77"/>
      <c r="V5648" s="78"/>
      <c r="W5648" s="85" t="s">
        <v>19057</v>
      </c>
      <c r="X5648" s="80"/>
      <c r="Y5648" s="22">
        <v>0</v>
      </c>
      <c r="Z5648" s="80" t="s">
        <v>50</v>
      </c>
      <c r="AA5648" s="35" t="s">
        <v>18579</v>
      </c>
      <c r="AB5648" s="86"/>
      <c r="AC5648" s="80" t="s">
        <v>53</v>
      </c>
      <c r="AD5648" s="80" t="s">
        <v>138</v>
      </c>
      <c r="AE5648" s="80" t="s">
        <v>15796</v>
      </c>
      <c r="AF5648" s="43">
        <v>45643</v>
      </c>
      <c r="AG5648" s="80" t="s">
        <v>16677</v>
      </c>
      <c r="AH5648" s="80"/>
      <c r="AI5648" s="147"/>
      <c r="AJ5648" s="80"/>
      <c r="AK5648" s="80"/>
      <c r="AL5648" s="35"/>
      <c r="AM5648" s="35"/>
      <c r="AN5648" s="35"/>
      <c r="AO5648" s="35"/>
      <c r="AP5648" s="35"/>
    </row>
    <row r="5649" spans="1:42" x14ac:dyDescent="0.2">
      <c r="A5649" s="126">
        <v>45630.568776354165</v>
      </c>
      <c r="B5649" s="137" t="s">
        <v>37</v>
      </c>
      <c r="C5649" s="41" t="s">
        <v>118</v>
      </c>
      <c r="D5649" s="80" t="s">
        <v>36</v>
      </c>
      <c r="E5649" s="80" t="s">
        <v>139</v>
      </c>
      <c r="F5649" s="80" t="s">
        <v>40</v>
      </c>
      <c r="G5649" s="80" t="s">
        <v>41</v>
      </c>
      <c r="H5649" s="80" t="s">
        <v>12542</v>
      </c>
      <c r="I5649" s="17">
        <f ca="1">IFERROR(__xludf.DUMMYFUNCTION("""COMPUTED_VALUE"""),45636)</f>
        <v>45636</v>
      </c>
      <c r="J5649" s="143" t="s">
        <v>19058</v>
      </c>
      <c r="K5649" s="80" t="s">
        <v>19059</v>
      </c>
      <c r="L5649" s="30">
        <v>352354713</v>
      </c>
      <c r="M5649" s="80" t="s">
        <v>45</v>
      </c>
      <c r="N5649" s="80" t="s">
        <v>12712</v>
      </c>
      <c r="O5649" s="80" t="s">
        <v>19060</v>
      </c>
      <c r="P5649" s="80" t="s">
        <v>19061</v>
      </c>
      <c r="Q5649" s="20">
        <v>15936</v>
      </c>
      <c r="R5649" s="80" t="s">
        <v>36</v>
      </c>
      <c r="S5649" s="95">
        <f>500+15436</f>
        <v>15936</v>
      </c>
      <c r="T5649" s="83" t="s">
        <v>19062</v>
      </c>
      <c r="U5649" s="77"/>
      <c r="V5649" s="78"/>
      <c r="W5649" s="85" t="s">
        <v>19063</v>
      </c>
      <c r="X5649" s="80"/>
      <c r="Y5649" s="22">
        <v>0</v>
      </c>
      <c r="Z5649" s="80" t="s">
        <v>50</v>
      </c>
      <c r="AA5649" s="96" t="s">
        <v>18579</v>
      </c>
      <c r="AB5649" s="82"/>
      <c r="AC5649" s="80" t="s">
        <v>53</v>
      </c>
      <c r="AD5649" s="80" t="s">
        <v>54</v>
      </c>
      <c r="AE5649" s="83">
        <v>0</v>
      </c>
      <c r="AF5649" s="17">
        <v>45631</v>
      </c>
      <c r="AG5649" s="80"/>
      <c r="AH5649" s="80"/>
      <c r="AI5649" s="147"/>
      <c r="AJ5649" s="80"/>
      <c r="AK5649" s="80"/>
      <c r="AL5649" s="35"/>
      <c r="AM5649" s="35"/>
      <c r="AN5649" s="35"/>
      <c r="AO5649" s="35"/>
      <c r="AP5649" s="35"/>
    </row>
    <row r="5650" spans="1:42" x14ac:dyDescent="0.2">
      <c r="A5650" s="126">
        <v>45630.929901504627</v>
      </c>
      <c r="B5650" s="137" t="s">
        <v>37</v>
      </c>
      <c r="C5650" s="41" t="s">
        <v>118</v>
      </c>
      <c r="D5650" s="80" t="s">
        <v>36</v>
      </c>
      <c r="E5650" s="80" t="s">
        <v>77</v>
      </c>
      <c r="F5650" s="80" t="s">
        <v>40</v>
      </c>
      <c r="G5650" s="80" t="s">
        <v>41</v>
      </c>
      <c r="H5650" s="80" t="s">
        <v>11640</v>
      </c>
      <c r="I5650" s="17">
        <f ca="1">IFERROR(__xludf.DUMMYFUNCTION("""COMPUTED_VALUE"""),45636)</f>
        <v>45636</v>
      </c>
      <c r="J5650" s="143" t="s">
        <v>19064</v>
      </c>
      <c r="K5650" s="80" t="s">
        <v>19065</v>
      </c>
      <c r="L5650" s="30">
        <v>383829063</v>
      </c>
      <c r="M5650" s="80" t="s">
        <v>348</v>
      </c>
      <c r="N5650" s="80" t="s">
        <v>19066</v>
      </c>
      <c r="O5650" s="80" t="s">
        <v>19067</v>
      </c>
      <c r="P5650" s="80" t="s">
        <v>18241</v>
      </c>
      <c r="Q5650" s="20">
        <v>1968</v>
      </c>
      <c r="R5650" s="80" t="s">
        <v>36</v>
      </c>
      <c r="S5650" s="95">
        <f>200+1768</f>
        <v>1968</v>
      </c>
      <c r="T5650" s="83" t="s">
        <v>19062</v>
      </c>
      <c r="U5650" s="77"/>
      <c r="V5650" s="78"/>
      <c r="W5650" s="85" t="s">
        <v>19068</v>
      </c>
      <c r="X5650" s="80"/>
      <c r="Y5650" s="22">
        <v>0</v>
      </c>
      <c r="Z5650" s="80" t="s">
        <v>50</v>
      </c>
      <c r="AA5650" s="35" t="s">
        <v>18579</v>
      </c>
      <c r="AB5650" s="86"/>
      <c r="AC5650" s="80" t="s">
        <v>53</v>
      </c>
      <c r="AD5650" s="80" t="s">
        <v>138</v>
      </c>
      <c r="AE5650" s="80"/>
      <c r="AF5650" s="43">
        <v>45636</v>
      </c>
      <c r="AG5650" s="80"/>
      <c r="AH5650" s="80"/>
      <c r="AI5650" s="147"/>
      <c r="AJ5650" s="80"/>
      <c r="AK5650" s="80"/>
      <c r="AL5650" s="35"/>
      <c r="AM5650" s="35"/>
      <c r="AN5650" s="35"/>
      <c r="AO5650" s="35"/>
      <c r="AP5650" s="35"/>
    </row>
    <row r="5651" spans="1:42" x14ac:dyDescent="0.2">
      <c r="A5651" s="126">
        <v>45630.936109826391</v>
      </c>
      <c r="B5651" s="137" t="s">
        <v>37</v>
      </c>
      <c r="C5651" s="41" t="s">
        <v>118</v>
      </c>
      <c r="D5651" s="80" t="s">
        <v>36</v>
      </c>
      <c r="E5651" s="80" t="s">
        <v>39</v>
      </c>
      <c r="F5651" s="80" t="s">
        <v>40</v>
      </c>
      <c r="G5651" s="80" t="s">
        <v>41</v>
      </c>
      <c r="H5651" s="80" t="s">
        <v>12542</v>
      </c>
      <c r="I5651" s="17">
        <f ca="1">IFERROR(__xludf.DUMMYFUNCTION("""COMPUTED_VALUE"""),45636)</f>
        <v>45636</v>
      </c>
      <c r="J5651" s="143" t="s">
        <v>19069</v>
      </c>
      <c r="K5651" s="80" t="s">
        <v>19070</v>
      </c>
      <c r="L5651" s="30">
        <v>868833204</v>
      </c>
      <c r="M5651" s="80" t="s">
        <v>59</v>
      </c>
      <c r="N5651" s="80" t="s">
        <v>19071</v>
      </c>
      <c r="O5651" s="80" t="s">
        <v>19072</v>
      </c>
      <c r="P5651" s="80" t="s">
        <v>19073</v>
      </c>
      <c r="Q5651" s="20">
        <v>5736</v>
      </c>
      <c r="R5651" s="80" t="s">
        <v>36</v>
      </c>
      <c r="S5651" s="95">
        <v>5736</v>
      </c>
      <c r="T5651" s="148">
        <v>45630</v>
      </c>
      <c r="U5651" s="77"/>
      <c r="V5651" s="78"/>
      <c r="W5651" s="85" t="s">
        <v>19074</v>
      </c>
      <c r="X5651" s="80"/>
      <c r="Y5651" s="22">
        <v>0</v>
      </c>
      <c r="Z5651" s="80" t="s">
        <v>50</v>
      </c>
      <c r="AA5651" s="96" t="s">
        <v>18579</v>
      </c>
      <c r="AB5651" s="82"/>
      <c r="AC5651" s="80" t="s">
        <v>53</v>
      </c>
      <c r="AD5651" s="80" t="s">
        <v>138</v>
      </c>
      <c r="AE5651" s="80" t="s">
        <v>16312</v>
      </c>
      <c r="AF5651" s="17">
        <v>45631</v>
      </c>
      <c r="AG5651" s="80"/>
      <c r="AH5651" s="80"/>
      <c r="AI5651" s="147"/>
      <c r="AJ5651" s="80"/>
      <c r="AK5651" s="80"/>
      <c r="AL5651" s="35"/>
      <c r="AM5651" s="35"/>
      <c r="AN5651" s="35"/>
      <c r="AO5651" s="35"/>
      <c r="AP5651" s="35"/>
    </row>
    <row r="5652" spans="1:42" x14ac:dyDescent="0.2">
      <c r="A5652" s="126">
        <v>45631.381233356486</v>
      </c>
      <c r="B5652" s="137" t="s">
        <v>37</v>
      </c>
      <c r="C5652" s="41" t="s">
        <v>118</v>
      </c>
      <c r="D5652" s="80" t="s">
        <v>36</v>
      </c>
      <c r="E5652" s="80" t="s">
        <v>39</v>
      </c>
      <c r="F5652" s="26" t="s">
        <v>36</v>
      </c>
      <c r="G5652" s="80" t="s">
        <v>41</v>
      </c>
      <c r="H5652" s="80" t="s">
        <v>19075</v>
      </c>
      <c r="I5652" s="17">
        <f ca="1">IFERROR(__xludf.DUMMYFUNCTION("""COMPUTED_VALUE"""),45642)</f>
        <v>45642</v>
      </c>
      <c r="J5652" s="143" t="s">
        <v>19076</v>
      </c>
      <c r="K5652" s="80" t="s">
        <v>19077</v>
      </c>
      <c r="L5652" s="30">
        <v>969397529</v>
      </c>
      <c r="M5652" s="80" t="s">
        <v>45</v>
      </c>
      <c r="N5652" s="80" t="s">
        <v>12712</v>
      </c>
      <c r="O5652" s="80" t="s">
        <v>19078</v>
      </c>
      <c r="P5652" s="80" t="s">
        <v>19079</v>
      </c>
      <c r="Q5652" s="20">
        <v>5736</v>
      </c>
      <c r="R5652" s="80" t="s">
        <v>36</v>
      </c>
      <c r="S5652" s="95">
        <v>5736</v>
      </c>
      <c r="T5652" s="148">
        <v>45630</v>
      </c>
      <c r="U5652" s="77"/>
      <c r="V5652" s="78"/>
      <c r="W5652" s="85" t="s">
        <v>19080</v>
      </c>
      <c r="X5652" s="80"/>
      <c r="Y5652" s="22">
        <v>0</v>
      </c>
      <c r="Z5652" s="80" t="s">
        <v>50</v>
      </c>
      <c r="AA5652" s="35" t="s">
        <v>18579</v>
      </c>
      <c r="AB5652" s="86"/>
      <c r="AC5652" s="80" t="s">
        <v>53</v>
      </c>
      <c r="AD5652" s="80" t="s">
        <v>54</v>
      </c>
      <c r="AE5652" s="83"/>
      <c r="AF5652" s="17">
        <v>45635</v>
      </c>
      <c r="AG5652" s="80"/>
      <c r="AH5652" s="80"/>
      <c r="AI5652" s="147"/>
      <c r="AJ5652" s="80"/>
      <c r="AK5652" s="80"/>
      <c r="AL5652" s="35"/>
      <c r="AM5652" s="35"/>
      <c r="AN5652" s="35"/>
      <c r="AO5652" s="35"/>
      <c r="AP5652" s="35"/>
    </row>
    <row r="5653" spans="1:42" x14ac:dyDescent="0.2">
      <c r="A5653" s="126">
        <v>45631.407641018523</v>
      </c>
      <c r="B5653" s="137" t="s">
        <v>37</v>
      </c>
      <c r="C5653" s="41" t="s">
        <v>118</v>
      </c>
      <c r="D5653" s="80" t="s">
        <v>36</v>
      </c>
      <c r="E5653" s="80" t="s">
        <v>106</v>
      </c>
      <c r="F5653" s="80" t="s">
        <v>40</v>
      </c>
      <c r="G5653" s="80" t="s">
        <v>108</v>
      </c>
      <c r="H5653" s="80" t="s">
        <v>16792</v>
      </c>
      <c r="I5653" s="17">
        <f ca="1">IFERROR(__xludf.DUMMYFUNCTION("""COMPUTED_VALUE"""),45632)</f>
        <v>45632</v>
      </c>
      <c r="J5653" s="143" t="s">
        <v>19081</v>
      </c>
      <c r="K5653" s="80" t="s">
        <v>19082</v>
      </c>
      <c r="L5653" s="30">
        <v>787464755</v>
      </c>
      <c r="M5653" s="80" t="s">
        <v>348</v>
      </c>
      <c r="N5653" s="80" t="s">
        <v>200</v>
      </c>
      <c r="O5653" s="80" t="s">
        <v>91</v>
      </c>
      <c r="P5653" s="80" t="s">
        <v>19083</v>
      </c>
      <c r="Q5653" s="20">
        <v>3768</v>
      </c>
      <c r="R5653" s="80" t="s">
        <v>36</v>
      </c>
      <c r="S5653" s="95">
        <f>200+3568</f>
        <v>3768</v>
      </c>
      <c r="T5653" s="83" t="s">
        <v>19084</v>
      </c>
      <c r="U5653" s="77"/>
      <c r="V5653" s="78"/>
      <c r="W5653" s="85" t="s">
        <v>19085</v>
      </c>
      <c r="X5653" s="80"/>
      <c r="Y5653" s="22">
        <v>0</v>
      </c>
      <c r="Z5653" s="80" t="s">
        <v>50</v>
      </c>
      <c r="AA5653" s="96" t="s">
        <v>18579</v>
      </c>
      <c r="AB5653" s="82"/>
      <c r="AC5653" s="80" t="s">
        <v>53</v>
      </c>
      <c r="AD5653" s="80" t="s">
        <v>54</v>
      </c>
      <c r="AE5653" s="83">
        <v>440</v>
      </c>
      <c r="AF5653" s="17">
        <v>45637</v>
      </c>
      <c r="AG5653" s="80"/>
      <c r="AH5653" s="80"/>
      <c r="AI5653" s="147"/>
      <c r="AJ5653" s="80"/>
      <c r="AK5653" s="80"/>
      <c r="AL5653" s="35"/>
      <c r="AM5653" s="35"/>
      <c r="AN5653" s="35"/>
      <c r="AO5653" s="35"/>
      <c r="AP5653" s="35"/>
    </row>
    <row r="5654" spans="1:42" x14ac:dyDescent="0.2">
      <c r="A5654" s="126">
        <v>45632.014713506942</v>
      </c>
      <c r="B5654" s="137" t="s">
        <v>37</v>
      </c>
      <c r="C5654" s="41" t="s">
        <v>118</v>
      </c>
      <c r="D5654" s="80" t="s">
        <v>77</v>
      </c>
      <c r="E5654" s="80" t="s">
        <v>148</v>
      </c>
      <c r="F5654" s="80" t="s">
        <v>17906</v>
      </c>
      <c r="G5654" s="80" t="s">
        <v>108</v>
      </c>
      <c r="H5654" s="80" t="s">
        <v>19086</v>
      </c>
      <c r="I5654" s="17">
        <f ca="1">IFERROR(__xludf.DUMMYFUNCTION("""COMPUTED_VALUE"""),45694)</f>
        <v>45694</v>
      </c>
      <c r="J5654" s="143" t="s">
        <v>19087</v>
      </c>
      <c r="K5654" s="80" t="s">
        <v>17957</v>
      </c>
      <c r="L5654" s="30">
        <v>398558849</v>
      </c>
      <c r="M5654" s="80" t="s">
        <v>59</v>
      </c>
      <c r="N5654" s="80" t="s">
        <v>9301</v>
      </c>
      <c r="O5654" s="80" t="s">
        <v>19088</v>
      </c>
      <c r="P5654" s="80" t="s">
        <v>19089</v>
      </c>
      <c r="Q5654" s="20">
        <v>7349</v>
      </c>
      <c r="R5654" s="80" t="s">
        <v>36</v>
      </c>
      <c r="S5654" s="95">
        <v>7349</v>
      </c>
      <c r="T5654" s="148">
        <v>45631</v>
      </c>
      <c r="U5654" s="77"/>
      <c r="V5654" s="78"/>
      <c r="W5654" s="85" t="s">
        <v>19090</v>
      </c>
      <c r="X5654" s="80"/>
      <c r="Y5654" s="22">
        <v>0</v>
      </c>
      <c r="Z5654" s="80" t="s">
        <v>50</v>
      </c>
      <c r="AA5654" s="35" t="s">
        <v>18579</v>
      </c>
      <c r="AB5654" s="86"/>
      <c r="AC5654" s="80" t="s">
        <v>53</v>
      </c>
      <c r="AD5654" s="80" t="s">
        <v>54</v>
      </c>
      <c r="AE5654" s="80" t="s">
        <v>17906</v>
      </c>
      <c r="AF5654" s="17">
        <v>45693</v>
      </c>
      <c r="AG5654" s="80"/>
      <c r="AH5654" s="80"/>
      <c r="AI5654" s="147"/>
      <c r="AJ5654" s="80"/>
      <c r="AK5654" s="80"/>
      <c r="AL5654" s="35"/>
      <c r="AM5654" s="35"/>
      <c r="AN5654" s="35"/>
      <c r="AO5654" s="35"/>
      <c r="AP5654" s="35"/>
    </row>
    <row r="5655" spans="1:42" x14ac:dyDescent="0.2">
      <c r="A5655" s="126">
        <v>45632.01662490741</v>
      </c>
      <c r="B5655" s="137" t="s">
        <v>37</v>
      </c>
      <c r="C5655" s="41" t="s">
        <v>118</v>
      </c>
      <c r="D5655" s="80" t="s">
        <v>36</v>
      </c>
      <c r="E5655" s="80" t="s">
        <v>77</v>
      </c>
      <c r="F5655" s="26" t="s">
        <v>36</v>
      </c>
      <c r="G5655" s="80" t="s">
        <v>41</v>
      </c>
      <c r="H5655" s="80" t="s">
        <v>19075</v>
      </c>
      <c r="I5655" s="17">
        <f ca="1">IFERROR(__xludf.DUMMYFUNCTION("""COMPUTED_VALUE"""),45642)</f>
        <v>45642</v>
      </c>
      <c r="J5655" s="143" t="s">
        <v>19091</v>
      </c>
      <c r="K5655" s="80" t="s">
        <v>19092</v>
      </c>
      <c r="L5655" s="30">
        <v>337069230</v>
      </c>
      <c r="M5655" s="80" t="s">
        <v>348</v>
      </c>
      <c r="N5655" s="80" t="s">
        <v>68</v>
      </c>
      <c r="O5655" s="80" t="s">
        <v>19093</v>
      </c>
      <c r="P5655" s="80" t="s">
        <v>19094</v>
      </c>
      <c r="Q5655" s="20">
        <v>1968</v>
      </c>
      <c r="R5655" s="80" t="s">
        <v>36</v>
      </c>
      <c r="S5655" s="95">
        <v>1968</v>
      </c>
      <c r="T5655" s="148">
        <v>45631</v>
      </c>
      <c r="U5655" s="77"/>
      <c r="V5655" s="78"/>
      <c r="W5655" s="85" t="s">
        <v>19095</v>
      </c>
      <c r="X5655" s="80"/>
      <c r="Y5655" s="22">
        <v>0</v>
      </c>
      <c r="Z5655" s="80" t="s">
        <v>50</v>
      </c>
      <c r="AA5655" s="96" t="s">
        <v>18579</v>
      </c>
      <c r="AB5655" s="82"/>
      <c r="AC5655" s="80" t="s">
        <v>53</v>
      </c>
      <c r="AD5655" s="80" t="s">
        <v>54</v>
      </c>
      <c r="AE5655" s="80"/>
      <c r="AF5655" s="17">
        <v>45635</v>
      </c>
      <c r="AG5655" s="80"/>
      <c r="AH5655" s="80"/>
      <c r="AI5655" s="147"/>
      <c r="AJ5655" s="80"/>
      <c r="AK5655" s="80"/>
      <c r="AL5655" s="35"/>
      <c r="AM5655" s="35"/>
      <c r="AN5655" s="35"/>
      <c r="AO5655" s="35"/>
      <c r="AP5655" s="35"/>
    </row>
    <row r="5656" spans="1:42" x14ac:dyDescent="0.2">
      <c r="A5656" s="126">
        <v>45633.416329097221</v>
      </c>
      <c r="B5656" s="137" t="s">
        <v>37</v>
      </c>
      <c r="C5656" s="41" t="s">
        <v>118</v>
      </c>
      <c r="D5656" s="80" t="s">
        <v>36</v>
      </c>
      <c r="E5656" s="80" t="s">
        <v>77</v>
      </c>
      <c r="F5656" s="26" t="s">
        <v>36</v>
      </c>
      <c r="G5656" s="80" t="s">
        <v>41</v>
      </c>
      <c r="H5656" s="80" t="s">
        <v>19075</v>
      </c>
      <c r="I5656" s="17">
        <f ca="1">IFERROR(__xludf.DUMMYFUNCTION("""COMPUTED_VALUE"""),45642)</f>
        <v>45642</v>
      </c>
      <c r="J5656" s="143" t="s">
        <v>19096</v>
      </c>
      <c r="K5656" s="80" t="s">
        <v>19097</v>
      </c>
      <c r="L5656" s="30">
        <v>854011343</v>
      </c>
      <c r="M5656" s="80" t="s">
        <v>11413</v>
      </c>
      <c r="N5656" s="80" t="s">
        <v>1246</v>
      </c>
      <c r="O5656" s="80" t="s">
        <v>19098</v>
      </c>
      <c r="P5656" s="80" t="s">
        <v>19099</v>
      </c>
      <c r="Q5656" s="20">
        <v>1968</v>
      </c>
      <c r="R5656" s="80" t="s">
        <v>36</v>
      </c>
      <c r="S5656" s="95">
        <v>1968</v>
      </c>
      <c r="T5656" s="148">
        <v>45633</v>
      </c>
      <c r="U5656" s="77"/>
      <c r="V5656" s="78"/>
      <c r="W5656" s="85" t="s">
        <v>19100</v>
      </c>
      <c r="X5656" s="80"/>
      <c r="Y5656" s="22">
        <v>0</v>
      </c>
      <c r="Z5656" s="80" t="s">
        <v>50</v>
      </c>
      <c r="AA5656" s="35" t="s">
        <v>18579</v>
      </c>
      <c r="AB5656" s="86"/>
      <c r="AC5656" s="80" t="s">
        <v>53</v>
      </c>
      <c r="AD5656" s="80" t="s">
        <v>54</v>
      </c>
      <c r="AE5656" s="80"/>
      <c r="AF5656" s="17">
        <v>45635</v>
      </c>
      <c r="AG5656" s="80"/>
      <c r="AH5656" s="80"/>
      <c r="AI5656" s="147"/>
      <c r="AJ5656" s="80"/>
      <c r="AK5656" s="80"/>
      <c r="AL5656" s="35"/>
      <c r="AM5656" s="35"/>
      <c r="AN5656" s="35"/>
      <c r="AO5656" s="35"/>
      <c r="AP5656" s="35"/>
    </row>
    <row r="5657" spans="1:42" x14ac:dyDescent="0.2">
      <c r="A5657" s="126">
        <v>45634.016871087966</v>
      </c>
      <c r="B5657" s="137" t="s">
        <v>37</v>
      </c>
      <c r="C5657" s="41" t="s">
        <v>118</v>
      </c>
      <c r="D5657" s="80" t="s">
        <v>77</v>
      </c>
      <c r="E5657" s="80" t="s">
        <v>119</v>
      </c>
      <c r="F5657" s="80" t="s">
        <v>16288</v>
      </c>
      <c r="G5657" s="80" t="s">
        <v>108</v>
      </c>
      <c r="H5657" s="80" t="s">
        <v>19101</v>
      </c>
      <c r="I5657" s="17">
        <f ca="1">IFERROR(__xludf.DUMMYFUNCTION("""COMPUTED_VALUE"""),45929)</f>
        <v>45929</v>
      </c>
      <c r="J5657" s="143" t="s">
        <v>16484</v>
      </c>
      <c r="K5657" s="80" t="s">
        <v>19102</v>
      </c>
      <c r="L5657" s="30">
        <v>982506590</v>
      </c>
      <c r="M5657" s="80" t="s">
        <v>59</v>
      </c>
      <c r="N5657" s="80" t="s">
        <v>4299</v>
      </c>
      <c r="O5657" s="80" t="s">
        <v>19103</v>
      </c>
      <c r="P5657" s="137" t="s">
        <v>19104</v>
      </c>
      <c r="Q5657" s="20">
        <v>13968</v>
      </c>
      <c r="R5657" s="80" t="s">
        <v>36</v>
      </c>
      <c r="S5657" s="95">
        <v>13868</v>
      </c>
      <c r="T5657" s="148">
        <v>45633</v>
      </c>
      <c r="U5657" s="77"/>
      <c r="V5657" s="78"/>
      <c r="W5657" s="85" t="s">
        <v>19105</v>
      </c>
      <c r="X5657" s="80"/>
      <c r="Y5657" s="22">
        <v>100</v>
      </c>
      <c r="Z5657" s="80" t="s">
        <v>50</v>
      </c>
      <c r="AA5657" s="96" t="s">
        <v>18579</v>
      </c>
      <c r="AB5657" s="82"/>
      <c r="AC5657" s="80" t="s">
        <v>53</v>
      </c>
      <c r="AD5657" s="80" t="s">
        <v>54</v>
      </c>
      <c r="AE5657" s="80" t="s">
        <v>2752</v>
      </c>
      <c r="AF5657" s="17">
        <v>45699</v>
      </c>
      <c r="AG5657" s="80" t="s">
        <v>19106</v>
      </c>
      <c r="AH5657" s="80"/>
      <c r="AI5657" s="147"/>
      <c r="AJ5657" s="80"/>
      <c r="AK5657" s="80"/>
      <c r="AL5657" s="35"/>
      <c r="AM5657" s="35"/>
      <c r="AN5657" s="35"/>
      <c r="AO5657" s="35"/>
      <c r="AP5657" s="35"/>
    </row>
    <row r="5658" spans="1:42" x14ac:dyDescent="0.2">
      <c r="A5658" s="126">
        <v>45634.897817372686</v>
      </c>
      <c r="B5658" s="137" t="s">
        <v>37</v>
      </c>
      <c r="C5658" s="41" t="s">
        <v>118</v>
      </c>
      <c r="D5658" s="80" t="s">
        <v>36</v>
      </c>
      <c r="E5658" s="80" t="s">
        <v>77</v>
      </c>
      <c r="F5658" s="26" t="s">
        <v>36</v>
      </c>
      <c r="G5658" s="80" t="s">
        <v>41</v>
      </c>
      <c r="H5658" s="80" t="s">
        <v>19075</v>
      </c>
      <c r="I5658" s="17">
        <f ca="1">IFERROR(__xludf.DUMMYFUNCTION("""COMPUTED_VALUE"""),45642)</f>
        <v>45642</v>
      </c>
      <c r="J5658" s="143" t="s">
        <v>19107</v>
      </c>
      <c r="K5658" s="80" t="s">
        <v>19108</v>
      </c>
      <c r="L5658" s="30">
        <v>352362475</v>
      </c>
      <c r="M5658" s="80" t="s">
        <v>15970</v>
      </c>
      <c r="N5658" s="80" t="s">
        <v>466</v>
      </c>
      <c r="O5658" s="80" t="s">
        <v>19109</v>
      </c>
      <c r="P5658" s="80" t="s">
        <v>19110</v>
      </c>
      <c r="Q5658" s="20">
        <v>1968</v>
      </c>
      <c r="R5658" s="80" t="s">
        <v>36</v>
      </c>
      <c r="S5658" s="95">
        <f>100+1868</f>
        <v>1968</v>
      </c>
      <c r="T5658" s="83" t="s">
        <v>19111</v>
      </c>
      <c r="U5658" s="77"/>
      <c r="V5658" s="78"/>
      <c r="W5658" s="85" t="s">
        <v>19112</v>
      </c>
      <c r="X5658" s="80"/>
      <c r="Y5658" s="22">
        <v>0</v>
      </c>
      <c r="Z5658" s="80" t="s">
        <v>50</v>
      </c>
      <c r="AA5658" s="35" t="s">
        <v>18579</v>
      </c>
      <c r="AB5658" s="86"/>
      <c r="AC5658" s="80" t="s">
        <v>53</v>
      </c>
      <c r="AD5658" s="80" t="s">
        <v>54</v>
      </c>
      <c r="AE5658" s="80"/>
      <c r="AF5658" s="17">
        <v>45638</v>
      </c>
      <c r="AG5658" s="80"/>
      <c r="AH5658" s="80"/>
      <c r="AI5658" s="147"/>
      <c r="AJ5658" s="80"/>
      <c r="AK5658" s="80"/>
      <c r="AL5658" s="35"/>
      <c r="AM5658" s="35"/>
      <c r="AN5658" s="35"/>
      <c r="AO5658" s="35"/>
      <c r="AP5658" s="35"/>
    </row>
    <row r="5659" spans="1:42" x14ac:dyDescent="0.2">
      <c r="A5659" s="126">
        <v>45635.595871886573</v>
      </c>
      <c r="B5659" s="137" t="s">
        <v>37</v>
      </c>
      <c r="C5659" s="41" t="s">
        <v>118</v>
      </c>
      <c r="D5659" s="80" t="s">
        <v>36</v>
      </c>
      <c r="E5659" s="80" t="s">
        <v>139</v>
      </c>
      <c r="F5659" s="80" t="s">
        <v>40</v>
      </c>
      <c r="G5659" s="80" t="s">
        <v>41</v>
      </c>
      <c r="H5659" s="80" t="s">
        <v>11640</v>
      </c>
      <c r="I5659" s="17">
        <f ca="1">IFERROR(__xludf.DUMMYFUNCTION("""COMPUTED_VALUE"""),45636)</f>
        <v>45636</v>
      </c>
      <c r="J5659" s="143" t="s">
        <v>19113</v>
      </c>
      <c r="K5659" s="80" t="s">
        <v>19114</v>
      </c>
      <c r="L5659" s="30">
        <v>947441865</v>
      </c>
      <c r="M5659" s="80" t="s">
        <v>45</v>
      </c>
      <c r="N5659" s="80" t="s">
        <v>12712</v>
      </c>
      <c r="O5659" s="80" t="s">
        <v>19115</v>
      </c>
      <c r="P5659" s="80" t="s">
        <v>3694</v>
      </c>
      <c r="Q5659" s="20">
        <v>15936</v>
      </c>
      <c r="R5659" s="80" t="s">
        <v>36</v>
      </c>
      <c r="S5659" s="95">
        <v>3000</v>
      </c>
      <c r="T5659" s="148">
        <v>45635</v>
      </c>
      <c r="U5659" s="95">
        <v>12963</v>
      </c>
      <c r="V5659" s="148">
        <v>45654</v>
      </c>
      <c r="W5659" s="85" t="s">
        <v>19116</v>
      </c>
      <c r="X5659" s="80"/>
      <c r="Y5659" s="22">
        <v>-27</v>
      </c>
      <c r="Z5659" s="80" t="s">
        <v>50</v>
      </c>
      <c r="AA5659" s="96" t="s">
        <v>18579</v>
      </c>
      <c r="AB5659" s="82"/>
      <c r="AC5659" s="80" t="s">
        <v>53</v>
      </c>
      <c r="AD5659" s="80" t="s">
        <v>138</v>
      </c>
      <c r="AE5659" s="83"/>
      <c r="AF5659" s="43">
        <v>45636</v>
      </c>
      <c r="AG5659" s="80"/>
      <c r="AH5659" s="80"/>
      <c r="AI5659" s="147"/>
      <c r="AJ5659" s="80"/>
      <c r="AK5659" s="80"/>
      <c r="AL5659" s="35"/>
      <c r="AM5659" s="35"/>
      <c r="AN5659" s="35"/>
      <c r="AO5659" s="35"/>
      <c r="AP5659" s="35"/>
    </row>
    <row r="5660" spans="1:42" x14ac:dyDescent="0.2">
      <c r="A5660" s="126">
        <v>45636.959487233791</v>
      </c>
      <c r="B5660" s="137" t="s">
        <v>37</v>
      </c>
      <c r="C5660" s="41" t="s">
        <v>118</v>
      </c>
      <c r="D5660" s="80" t="s">
        <v>36</v>
      </c>
      <c r="E5660" s="80" t="s">
        <v>77</v>
      </c>
      <c r="F5660" s="80" t="s">
        <v>36</v>
      </c>
      <c r="G5660" s="80" t="s">
        <v>41</v>
      </c>
      <c r="H5660" s="80" t="s">
        <v>13089</v>
      </c>
      <c r="I5660" s="17">
        <f ca="1">IFERROR(__xludf.DUMMYFUNCTION("""COMPUTED_VALUE"""),45651)</f>
        <v>45651</v>
      </c>
      <c r="J5660" s="143" t="s">
        <v>19117</v>
      </c>
      <c r="K5660" s="80" t="s">
        <v>19118</v>
      </c>
      <c r="L5660" s="30">
        <v>942439587</v>
      </c>
      <c r="M5660" s="80" t="s">
        <v>16756</v>
      </c>
      <c r="N5660" s="80" t="s">
        <v>3525</v>
      </c>
      <c r="O5660" s="80" t="s">
        <v>4911</v>
      </c>
      <c r="P5660" s="144" t="s">
        <v>19119</v>
      </c>
      <c r="Q5660" s="20">
        <v>1968</v>
      </c>
      <c r="R5660" s="80" t="s">
        <v>36</v>
      </c>
      <c r="S5660" s="95">
        <v>2000</v>
      </c>
      <c r="T5660" s="148">
        <v>45636</v>
      </c>
      <c r="U5660" s="77"/>
      <c r="V5660" s="78"/>
      <c r="W5660" s="85" t="s">
        <v>19120</v>
      </c>
      <c r="X5660" s="80"/>
      <c r="Y5660" s="22">
        <v>-32</v>
      </c>
      <c r="Z5660" s="80" t="s">
        <v>50</v>
      </c>
      <c r="AA5660" s="35" t="s">
        <v>18579</v>
      </c>
      <c r="AB5660" s="86"/>
      <c r="AC5660" s="80" t="s">
        <v>53</v>
      </c>
      <c r="AD5660" s="80" t="s">
        <v>54</v>
      </c>
      <c r="AE5660" s="80"/>
      <c r="AF5660" s="43">
        <v>45644</v>
      </c>
      <c r="AG5660" s="80" t="s">
        <v>7078</v>
      </c>
      <c r="AH5660" s="80"/>
      <c r="AI5660" s="147"/>
      <c r="AJ5660" s="80"/>
      <c r="AK5660" s="80"/>
      <c r="AL5660" s="35"/>
      <c r="AM5660" s="35"/>
      <c r="AN5660" s="35"/>
      <c r="AO5660" s="35"/>
      <c r="AP5660" s="35"/>
    </row>
    <row r="5661" spans="1:42" x14ac:dyDescent="0.2">
      <c r="A5661" s="126">
        <v>45637.369837326391</v>
      </c>
      <c r="B5661" s="137" t="s">
        <v>37</v>
      </c>
      <c r="C5661" s="41" t="s">
        <v>118</v>
      </c>
      <c r="D5661" s="80" t="s">
        <v>36</v>
      </c>
      <c r="E5661" s="80" t="s">
        <v>56</v>
      </c>
      <c r="F5661" s="80" t="s">
        <v>36</v>
      </c>
      <c r="G5661" s="80" t="s">
        <v>41</v>
      </c>
      <c r="H5661" s="80" t="s">
        <v>19121</v>
      </c>
      <c r="I5661" s="17">
        <f ca="1">IFERROR(__xludf.DUMMYFUNCTION("""COMPUTED_VALUE"""),45659)</f>
        <v>45659</v>
      </c>
      <c r="J5661" s="143" t="s">
        <v>19122</v>
      </c>
      <c r="K5661" s="80" t="s">
        <v>19123</v>
      </c>
      <c r="L5661" s="30">
        <v>393850981</v>
      </c>
      <c r="M5661" s="80" t="s">
        <v>45</v>
      </c>
      <c r="N5661" s="80" t="s">
        <v>87</v>
      </c>
      <c r="O5661" s="80" t="s">
        <v>19124</v>
      </c>
      <c r="P5661" s="80" t="s">
        <v>3694</v>
      </c>
      <c r="Q5661" s="20">
        <v>9317</v>
      </c>
      <c r="R5661" s="80" t="s">
        <v>36</v>
      </c>
      <c r="S5661" s="95">
        <f>1000+8317</f>
        <v>9317</v>
      </c>
      <c r="T5661" s="83" t="s">
        <v>19125</v>
      </c>
      <c r="U5661" s="77"/>
      <c r="V5661" s="78"/>
      <c r="W5661" s="85" t="s">
        <v>19126</v>
      </c>
      <c r="X5661" s="80"/>
      <c r="Y5661" s="22">
        <v>0</v>
      </c>
      <c r="Z5661" s="80" t="s">
        <v>50</v>
      </c>
      <c r="AA5661" s="96" t="s">
        <v>18579</v>
      </c>
      <c r="AB5661" s="82"/>
      <c r="AC5661" s="80" t="s">
        <v>53</v>
      </c>
      <c r="AD5661" s="80" t="s">
        <v>138</v>
      </c>
      <c r="AE5661" s="83">
        <v>0</v>
      </c>
      <c r="AF5661" s="43">
        <v>45645</v>
      </c>
      <c r="AG5661" s="80" t="s">
        <v>2075</v>
      </c>
      <c r="AH5661" s="80"/>
      <c r="AI5661" s="147"/>
      <c r="AJ5661" s="80"/>
      <c r="AK5661" s="80"/>
      <c r="AL5661" s="35"/>
      <c r="AM5661" s="35"/>
      <c r="AN5661" s="35"/>
      <c r="AO5661" s="35"/>
      <c r="AP5661" s="35"/>
    </row>
    <row r="5662" spans="1:42" x14ac:dyDescent="0.2">
      <c r="A5662" s="126">
        <v>45637.885435729171</v>
      </c>
      <c r="B5662" s="137" t="s">
        <v>37</v>
      </c>
      <c r="C5662" s="41" t="s">
        <v>118</v>
      </c>
      <c r="D5662" s="80" t="s">
        <v>36</v>
      </c>
      <c r="E5662" s="80" t="s">
        <v>77</v>
      </c>
      <c r="F5662" s="80" t="s">
        <v>36</v>
      </c>
      <c r="G5662" s="80" t="s">
        <v>41</v>
      </c>
      <c r="H5662" s="80" t="s">
        <v>13089</v>
      </c>
      <c r="I5662" s="17">
        <f ca="1">IFERROR(__xludf.DUMMYFUNCTION("""COMPUTED_VALUE"""),45651)</f>
        <v>45651</v>
      </c>
      <c r="J5662" s="143" t="s">
        <v>19127</v>
      </c>
      <c r="K5662" s="80" t="s">
        <v>19128</v>
      </c>
      <c r="L5662" s="30">
        <v>961297036</v>
      </c>
      <c r="M5662" s="80" t="s">
        <v>5429</v>
      </c>
      <c r="N5662" s="80" t="s">
        <v>81</v>
      </c>
      <c r="O5662" s="80" t="s">
        <v>19129</v>
      </c>
      <c r="P5662" s="80" t="s">
        <v>19130</v>
      </c>
      <c r="Q5662" s="20">
        <v>1968</v>
      </c>
      <c r="R5662" s="80" t="s">
        <v>36</v>
      </c>
      <c r="S5662" s="95">
        <v>2000</v>
      </c>
      <c r="T5662" s="148">
        <v>45637</v>
      </c>
      <c r="U5662" s="77"/>
      <c r="V5662" s="78"/>
      <c r="W5662" s="85" t="s">
        <v>19131</v>
      </c>
      <c r="X5662" s="80"/>
      <c r="Y5662" s="22">
        <v>-32</v>
      </c>
      <c r="Z5662" s="80" t="s">
        <v>50</v>
      </c>
      <c r="AA5662" s="35" t="s">
        <v>18579</v>
      </c>
      <c r="AB5662" s="86"/>
      <c r="AC5662" s="80" t="s">
        <v>53</v>
      </c>
      <c r="AD5662" s="80" t="s">
        <v>54</v>
      </c>
      <c r="AE5662" s="80" t="s">
        <v>72</v>
      </c>
      <c r="AF5662" s="43">
        <v>45644</v>
      </c>
      <c r="AG5662" s="80"/>
      <c r="AH5662" s="80"/>
      <c r="AI5662" s="147"/>
      <c r="AJ5662" s="80"/>
      <c r="AK5662" s="80"/>
      <c r="AL5662" s="35"/>
      <c r="AM5662" s="35"/>
      <c r="AN5662" s="35"/>
      <c r="AO5662" s="35"/>
      <c r="AP5662" s="35"/>
    </row>
    <row r="5663" spans="1:42" x14ac:dyDescent="0.2">
      <c r="A5663" s="126">
        <v>45638.33053324074</v>
      </c>
      <c r="B5663" s="137" t="s">
        <v>37</v>
      </c>
      <c r="C5663" s="41" t="s">
        <v>118</v>
      </c>
      <c r="D5663" s="80" t="s">
        <v>36</v>
      </c>
      <c r="E5663" s="80" t="s">
        <v>139</v>
      </c>
      <c r="F5663" s="26" t="s">
        <v>36</v>
      </c>
      <c r="G5663" s="80" t="s">
        <v>41</v>
      </c>
      <c r="H5663" s="80" t="s">
        <v>19075</v>
      </c>
      <c r="I5663" s="17">
        <f ca="1">IFERROR(__xludf.DUMMYFUNCTION("""COMPUTED_VALUE"""),45642)</f>
        <v>45642</v>
      </c>
      <c r="J5663" s="143" t="s">
        <v>19132</v>
      </c>
      <c r="K5663" s="80" t="s">
        <v>19133</v>
      </c>
      <c r="L5663" s="30">
        <v>979006090</v>
      </c>
      <c r="M5663" s="80" t="s">
        <v>15996</v>
      </c>
      <c r="N5663" s="80" t="s">
        <v>186</v>
      </c>
      <c r="O5663" s="80" t="s">
        <v>4503</v>
      </c>
      <c r="P5663" s="80" t="s">
        <v>19134</v>
      </c>
      <c r="Q5663" s="20">
        <v>15936</v>
      </c>
      <c r="R5663" s="80" t="s">
        <v>36</v>
      </c>
      <c r="S5663" s="95">
        <f>200+15736</f>
        <v>15936</v>
      </c>
      <c r="T5663" s="83" t="s">
        <v>19135</v>
      </c>
      <c r="U5663" s="77"/>
      <c r="V5663" s="78"/>
      <c r="W5663" s="85" t="s">
        <v>19136</v>
      </c>
      <c r="X5663" s="80"/>
      <c r="Y5663" s="22">
        <v>0</v>
      </c>
      <c r="Z5663" s="80" t="s">
        <v>50</v>
      </c>
      <c r="AA5663" s="96" t="s">
        <v>18579</v>
      </c>
      <c r="AB5663" s="82"/>
      <c r="AC5663" s="80" t="s">
        <v>53</v>
      </c>
      <c r="AD5663" s="80" t="s">
        <v>138</v>
      </c>
      <c r="AE5663" s="80"/>
      <c r="AF5663" s="17">
        <v>45642</v>
      </c>
      <c r="AG5663" s="80"/>
      <c r="AH5663" s="80"/>
      <c r="AI5663" s="147"/>
      <c r="AJ5663" s="80"/>
      <c r="AK5663" s="80"/>
      <c r="AL5663" s="35"/>
      <c r="AM5663" s="35"/>
      <c r="AN5663" s="35"/>
      <c r="AO5663" s="35"/>
      <c r="AP5663" s="35"/>
    </row>
    <row r="5664" spans="1:42" x14ac:dyDescent="0.2">
      <c r="A5664" s="126">
        <v>45638.382902453704</v>
      </c>
      <c r="B5664" s="137" t="s">
        <v>37</v>
      </c>
      <c r="C5664" s="41" t="s">
        <v>118</v>
      </c>
      <c r="D5664" s="80" t="s">
        <v>36</v>
      </c>
      <c r="E5664" s="80" t="s">
        <v>219</v>
      </c>
      <c r="F5664" s="80" t="s">
        <v>91</v>
      </c>
      <c r="G5664" s="80" t="s">
        <v>221</v>
      </c>
      <c r="H5664" s="80" t="s">
        <v>7481</v>
      </c>
      <c r="I5664" s="17">
        <f ca="1">IFERROR(__xludf.DUMMYFUNCTION("""COMPUTED_VALUE"""),45646)</f>
        <v>45646</v>
      </c>
      <c r="J5664" s="143" t="s">
        <v>19137</v>
      </c>
      <c r="K5664" s="80" t="s">
        <v>19138</v>
      </c>
      <c r="L5664" s="30">
        <v>969705315</v>
      </c>
      <c r="M5664" s="80" t="s">
        <v>3288</v>
      </c>
      <c r="N5664" s="80" t="s">
        <v>200</v>
      </c>
      <c r="O5664" s="80" t="s">
        <v>91</v>
      </c>
      <c r="P5664" s="80" t="s">
        <v>19139</v>
      </c>
      <c r="Q5664" s="20">
        <v>3968</v>
      </c>
      <c r="R5664" s="80" t="s">
        <v>36</v>
      </c>
      <c r="S5664" s="95">
        <v>3968</v>
      </c>
      <c r="T5664" s="148">
        <v>45637</v>
      </c>
      <c r="U5664" s="77"/>
      <c r="V5664" s="78"/>
      <c r="W5664" s="85" t="s">
        <v>19140</v>
      </c>
      <c r="X5664" s="80"/>
      <c r="Y5664" s="22">
        <v>0</v>
      </c>
      <c r="Z5664" s="80" t="s">
        <v>50</v>
      </c>
      <c r="AA5664" s="35" t="s">
        <v>18579</v>
      </c>
      <c r="AB5664" s="86"/>
      <c r="AC5664" s="80" t="s">
        <v>53</v>
      </c>
      <c r="AD5664" s="80" t="s">
        <v>54</v>
      </c>
      <c r="AE5664" s="80" t="s">
        <v>91</v>
      </c>
      <c r="AF5664" s="17">
        <v>45638</v>
      </c>
      <c r="AG5664" s="80"/>
      <c r="AH5664" s="80"/>
      <c r="AI5664" s="147"/>
      <c r="AJ5664" s="80"/>
      <c r="AK5664" s="80"/>
      <c r="AL5664" s="35"/>
      <c r="AM5664" s="35"/>
      <c r="AN5664" s="35"/>
      <c r="AO5664" s="35"/>
      <c r="AP5664" s="35"/>
    </row>
    <row r="5665" spans="1:42" x14ac:dyDescent="0.2">
      <c r="A5665" s="126">
        <v>45638.392602546301</v>
      </c>
      <c r="B5665" s="137" t="s">
        <v>37</v>
      </c>
      <c r="C5665" s="41" t="s">
        <v>118</v>
      </c>
      <c r="D5665" s="80" t="s">
        <v>36</v>
      </c>
      <c r="E5665" s="80" t="s">
        <v>219</v>
      </c>
      <c r="F5665" s="80" t="s">
        <v>36</v>
      </c>
      <c r="G5665" s="26" t="s">
        <v>221</v>
      </c>
      <c r="H5665" s="80" t="s">
        <v>18322</v>
      </c>
      <c r="I5665" s="17">
        <f ca="1">IFERROR(__xludf.DUMMYFUNCTION("""COMPUTED_VALUE"""),45699)</f>
        <v>45699</v>
      </c>
      <c r="J5665" s="143" t="s">
        <v>13288</v>
      </c>
      <c r="K5665" s="80" t="s">
        <v>19141</v>
      </c>
      <c r="L5665" s="30">
        <v>983921085</v>
      </c>
      <c r="M5665" s="80" t="s">
        <v>3288</v>
      </c>
      <c r="N5665" s="80" t="s">
        <v>200</v>
      </c>
      <c r="O5665" s="80" t="s">
        <v>91</v>
      </c>
      <c r="P5665" s="80" t="s">
        <v>3117</v>
      </c>
      <c r="Q5665" s="20">
        <v>3968</v>
      </c>
      <c r="R5665" s="80" t="s">
        <v>36</v>
      </c>
      <c r="S5665" s="95">
        <v>3968</v>
      </c>
      <c r="T5665" s="148">
        <v>45637</v>
      </c>
      <c r="U5665" s="77"/>
      <c r="V5665" s="78"/>
      <c r="W5665" s="85" t="s">
        <v>19142</v>
      </c>
      <c r="X5665" s="80"/>
      <c r="Y5665" s="22">
        <v>0</v>
      </c>
      <c r="Z5665" s="80" t="s">
        <v>50</v>
      </c>
      <c r="AA5665" s="96" t="s">
        <v>18579</v>
      </c>
      <c r="AB5665" s="82"/>
      <c r="AC5665" s="80" t="s">
        <v>53</v>
      </c>
      <c r="AD5665" s="80" t="s">
        <v>138</v>
      </c>
      <c r="AE5665" s="80" t="s">
        <v>19143</v>
      </c>
      <c r="AF5665" s="17">
        <v>45699</v>
      </c>
      <c r="AG5665" s="80"/>
      <c r="AH5665" s="80"/>
      <c r="AI5665" s="147"/>
      <c r="AJ5665" s="80"/>
      <c r="AK5665" s="80"/>
      <c r="AL5665" s="35"/>
      <c r="AM5665" s="35"/>
      <c r="AN5665" s="35"/>
      <c r="AO5665" s="35"/>
      <c r="AP5665" s="35"/>
    </row>
    <row r="5666" spans="1:42" x14ac:dyDescent="0.2">
      <c r="A5666" s="126">
        <v>45639.331775578699</v>
      </c>
      <c r="B5666" s="137" t="s">
        <v>37</v>
      </c>
      <c r="C5666" s="41" t="s">
        <v>118</v>
      </c>
      <c r="D5666" s="80" t="s">
        <v>36</v>
      </c>
      <c r="E5666" s="80" t="s">
        <v>77</v>
      </c>
      <c r="F5666" s="80" t="s">
        <v>40</v>
      </c>
      <c r="G5666" s="80" t="s">
        <v>41</v>
      </c>
      <c r="H5666" s="80" t="s">
        <v>19121</v>
      </c>
      <c r="I5666" s="17">
        <f ca="1">IFERROR(__xludf.DUMMYFUNCTION("""COMPUTED_VALUE"""),45659)</f>
        <v>45659</v>
      </c>
      <c r="J5666" s="143" t="s">
        <v>19144</v>
      </c>
      <c r="K5666" s="80" t="s">
        <v>19145</v>
      </c>
      <c r="L5666" s="30"/>
      <c r="M5666" s="80" t="s">
        <v>348</v>
      </c>
      <c r="N5666" s="80" t="s">
        <v>4299</v>
      </c>
      <c r="O5666" s="80" t="s">
        <v>11399</v>
      </c>
      <c r="P5666" s="80" t="s">
        <v>12687</v>
      </c>
      <c r="Q5666" s="20">
        <v>1968</v>
      </c>
      <c r="R5666" s="80" t="s">
        <v>36</v>
      </c>
      <c r="S5666" s="95">
        <v>1968</v>
      </c>
      <c r="T5666" s="148">
        <v>45638</v>
      </c>
      <c r="U5666" s="77"/>
      <c r="V5666" s="78"/>
      <c r="W5666" s="85" t="s">
        <v>19146</v>
      </c>
      <c r="X5666" s="80"/>
      <c r="Y5666" s="22">
        <v>0</v>
      </c>
      <c r="Z5666" s="80" t="s">
        <v>50</v>
      </c>
      <c r="AA5666" s="35" t="s">
        <v>18579</v>
      </c>
      <c r="AB5666" s="86"/>
      <c r="AC5666" s="80" t="s">
        <v>53</v>
      </c>
      <c r="AD5666" s="80" t="s">
        <v>138</v>
      </c>
      <c r="AE5666" s="80" t="s">
        <v>72</v>
      </c>
      <c r="AF5666" s="17">
        <v>45659</v>
      </c>
      <c r="AG5666" s="80"/>
      <c r="AH5666" s="80"/>
      <c r="AI5666" s="147"/>
      <c r="AJ5666" s="80"/>
      <c r="AK5666" s="80"/>
      <c r="AL5666" s="35"/>
      <c r="AM5666" s="35"/>
      <c r="AN5666" s="35"/>
      <c r="AO5666" s="35"/>
      <c r="AP5666" s="35"/>
    </row>
    <row r="5667" spans="1:42" x14ac:dyDescent="0.2">
      <c r="A5667" s="74">
        <v>45643</v>
      </c>
      <c r="B5667" s="137" t="s">
        <v>37</v>
      </c>
      <c r="C5667" s="41" t="s">
        <v>118</v>
      </c>
      <c r="D5667" s="80" t="s">
        <v>36</v>
      </c>
      <c r="E5667" s="80" t="s">
        <v>148</v>
      </c>
      <c r="F5667" s="80" t="s">
        <v>15796</v>
      </c>
      <c r="G5667" s="80" t="s">
        <v>108</v>
      </c>
      <c r="H5667" s="80" t="s">
        <v>13902</v>
      </c>
      <c r="I5667" s="17">
        <f ca="1">IFERROR(__xludf.DUMMYFUNCTION("""COMPUTED_VALUE"""),45643)</f>
        <v>45643</v>
      </c>
      <c r="J5667" s="143" t="s">
        <v>16390</v>
      </c>
      <c r="K5667" s="145" t="s">
        <v>16391</v>
      </c>
      <c r="L5667" s="30">
        <v>369514003</v>
      </c>
      <c r="M5667" s="80" t="s">
        <v>123</v>
      </c>
      <c r="N5667" s="80" t="s">
        <v>19147</v>
      </c>
      <c r="O5667" s="80" t="s">
        <v>16393</v>
      </c>
      <c r="P5667" s="80" t="s">
        <v>16394</v>
      </c>
      <c r="Q5667" s="20">
        <v>7349</v>
      </c>
      <c r="R5667" s="80" t="s">
        <v>36</v>
      </c>
      <c r="S5667" s="95">
        <v>7349</v>
      </c>
      <c r="T5667" s="148">
        <v>45652</v>
      </c>
      <c r="U5667" s="77"/>
      <c r="V5667" s="144"/>
      <c r="W5667" s="85" t="s">
        <v>19148</v>
      </c>
      <c r="X5667" s="80"/>
      <c r="Y5667" s="22">
        <v>0</v>
      </c>
      <c r="Z5667" s="80" t="s">
        <v>50</v>
      </c>
      <c r="AA5667" s="96" t="s">
        <v>18579</v>
      </c>
      <c r="AB5667" s="96"/>
      <c r="AC5667" s="80" t="s">
        <v>53</v>
      </c>
      <c r="AD5667" s="80" t="s">
        <v>138</v>
      </c>
      <c r="AE5667" s="80" t="s">
        <v>15796</v>
      </c>
      <c r="AF5667" s="43">
        <v>45643</v>
      </c>
      <c r="AG5667" s="80" t="s">
        <v>16677</v>
      </c>
      <c r="AH5667" s="80"/>
      <c r="AI5667" s="147"/>
      <c r="AJ5667" s="80"/>
      <c r="AK5667" s="80"/>
      <c r="AL5667" s="35"/>
      <c r="AM5667" s="35"/>
      <c r="AN5667" s="35"/>
      <c r="AO5667" s="35"/>
      <c r="AP5667" s="35"/>
    </row>
    <row r="5668" spans="1:42" x14ac:dyDescent="0.2">
      <c r="A5668" s="126">
        <v>45641.442497974538</v>
      </c>
      <c r="B5668" s="137" t="s">
        <v>37</v>
      </c>
      <c r="C5668" s="41" t="s">
        <v>118</v>
      </c>
      <c r="D5668" s="80" t="s">
        <v>36</v>
      </c>
      <c r="E5668" s="80" t="s">
        <v>1704</v>
      </c>
      <c r="F5668" s="80" t="s">
        <v>36</v>
      </c>
      <c r="G5668" s="80" t="s">
        <v>1705</v>
      </c>
      <c r="H5668" s="80" t="s">
        <v>16959</v>
      </c>
      <c r="I5668" s="17">
        <f ca="1">IFERROR(__xludf.DUMMYFUNCTION("""COMPUTED_VALUE"""),45643)</f>
        <v>45643</v>
      </c>
      <c r="J5668" s="143" t="s">
        <v>19149</v>
      </c>
      <c r="K5668" s="80" t="s">
        <v>3220</v>
      </c>
      <c r="L5668" s="30">
        <v>343005409</v>
      </c>
      <c r="M5668" s="80" t="s">
        <v>9422</v>
      </c>
      <c r="N5668" s="80" t="s">
        <v>19150</v>
      </c>
      <c r="O5668" s="80" t="s">
        <v>8827</v>
      </c>
      <c r="P5668" s="80" t="s">
        <v>19151</v>
      </c>
      <c r="Q5668" s="20">
        <v>7729</v>
      </c>
      <c r="R5668" s="80" t="s">
        <v>70</v>
      </c>
      <c r="S5668" s="95">
        <v>7729</v>
      </c>
      <c r="T5668" s="148">
        <v>45639</v>
      </c>
      <c r="U5668" s="77"/>
      <c r="V5668" s="78"/>
      <c r="W5668" s="85" t="s">
        <v>19152</v>
      </c>
      <c r="X5668" s="80"/>
      <c r="Y5668" s="22">
        <v>0</v>
      </c>
      <c r="Z5668" s="80" t="s">
        <v>50</v>
      </c>
      <c r="AA5668" s="35" t="s">
        <v>18579</v>
      </c>
      <c r="AB5668" s="86"/>
      <c r="AC5668" s="80" t="s">
        <v>53</v>
      </c>
      <c r="AD5668" s="80" t="s">
        <v>54</v>
      </c>
      <c r="AE5668" s="83">
        <v>860</v>
      </c>
      <c r="AF5668" s="43">
        <v>45642</v>
      </c>
      <c r="AG5668" s="80" t="s">
        <v>2075</v>
      </c>
      <c r="AH5668" s="80"/>
      <c r="AI5668" s="147"/>
      <c r="AJ5668" s="80"/>
      <c r="AK5668" s="80"/>
      <c r="AL5668" s="35"/>
      <c r="AM5668" s="35"/>
      <c r="AN5668" s="35"/>
      <c r="AO5668" s="35"/>
      <c r="AP5668" s="35"/>
    </row>
    <row r="5669" spans="1:42" x14ac:dyDescent="0.2">
      <c r="A5669" s="74">
        <v>45642</v>
      </c>
      <c r="B5669" s="137" t="s">
        <v>37</v>
      </c>
      <c r="C5669" s="41" t="s">
        <v>118</v>
      </c>
      <c r="D5669" s="80" t="s">
        <v>36</v>
      </c>
      <c r="E5669" s="80" t="s">
        <v>106</v>
      </c>
      <c r="F5669" s="80" t="s">
        <v>13254</v>
      </c>
      <c r="G5669" s="80" t="s">
        <v>108</v>
      </c>
      <c r="H5669" s="80" t="s">
        <v>17059</v>
      </c>
      <c r="I5669" s="17">
        <f ca="1">IFERROR(__xludf.DUMMYFUNCTION("""COMPUTED_VALUE"""),45652)</f>
        <v>45652</v>
      </c>
      <c r="J5669" s="143" t="s">
        <v>15910</v>
      </c>
      <c r="K5669" s="80" t="s">
        <v>19153</v>
      </c>
      <c r="L5669" s="30">
        <v>398771800</v>
      </c>
      <c r="M5669" s="80" t="s">
        <v>910</v>
      </c>
      <c r="N5669" s="80" t="s">
        <v>15912</v>
      </c>
      <c r="O5669" s="80" t="s">
        <v>91</v>
      </c>
      <c r="P5669" s="144" t="s">
        <v>15913</v>
      </c>
      <c r="Q5669" s="20">
        <v>3768</v>
      </c>
      <c r="R5669" s="80" t="s">
        <v>36</v>
      </c>
      <c r="S5669" s="95">
        <v>3768</v>
      </c>
      <c r="T5669" s="200">
        <v>45651</v>
      </c>
      <c r="U5669" s="77"/>
      <c r="V5669" s="78"/>
      <c r="W5669" s="85" t="s">
        <v>19154</v>
      </c>
      <c r="X5669" s="80"/>
      <c r="Y5669" s="22">
        <v>0</v>
      </c>
      <c r="Z5669" s="80" t="s">
        <v>50</v>
      </c>
      <c r="AA5669" s="96" t="s">
        <v>18579</v>
      </c>
      <c r="AB5669" s="96"/>
      <c r="AC5669" s="80" t="s">
        <v>53</v>
      </c>
      <c r="AD5669" s="80" t="s">
        <v>54</v>
      </c>
      <c r="AE5669" s="80" t="s">
        <v>13254</v>
      </c>
      <c r="AF5669" s="17">
        <v>45652</v>
      </c>
      <c r="AG5669" s="80"/>
      <c r="AH5669" s="80"/>
      <c r="AI5669" s="147"/>
      <c r="AJ5669" s="80"/>
      <c r="AK5669" s="80"/>
      <c r="AL5669" s="35"/>
      <c r="AM5669" s="35"/>
      <c r="AN5669" s="35"/>
      <c r="AO5669" s="35"/>
      <c r="AP5669" s="35"/>
    </row>
    <row r="5670" spans="1:42" x14ac:dyDescent="0.2">
      <c r="A5670" s="126">
        <v>45642.367757974542</v>
      </c>
      <c r="B5670" s="137" t="s">
        <v>37</v>
      </c>
      <c r="C5670" s="41" t="s">
        <v>118</v>
      </c>
      <c r="D5670" s="80" t="s">
        <v>77</v>
      </c>
      <c r="E5670" s="80" t="s">
        <v>119</v>
      </c>
      <c r="F5670" s="80" t="s">
        <v>11589</v>
      </c>
      <c r="G5670" s="80" t="s">
        <v>108</v>
      </c>
      <c r="H5670" s="80" t="s">
        <v>17059</v>
      </c>
      <c r="I5670" s="17">
        <f ca="1">IFERROR(__xludf.DUMMYFUNCTION("""COMPUTED_VALUE"""),45652)</f>
        <v>45652</v>
      </c>
      <c r="J5670" s="143" t="s">
        <v>11590</v>
      </c>
      <c r="K5670" s="80" t="s">
        <v>19155</v>
      </c>
      <c r="L5670" s="30">
        <v>777919663</v>
      </c>
      <c r="M5670" s="80" t="s">
        <v>11413</v>
      </c>
      <c r="N5670" s="80" t="s">
        <v>1246</v>
      </c>
      <c r="O5670" s="80" t="s">
        <v>11592</v>
      </c>
      <c r="P5670" s="80" t="s">
        <v>19156</v>
      </c>
      <c r="Q5670" s="20">
        <v>13968</v>
      </c>
      <c r="R5670" s="80" t="s">
        <v>36</v>
      </c>
      <c r="S5670" s="95">
        <v>13968</v>
      </c>
      <c r="T5670" s="148">
        <v>45642</v>
      </c>
      <c r="U5670" s="77"/>
      <c r="V5670" s="78"/>
      <c r="W5670" s="85" t="s">
        <v>19157</v>
      </c>
      <c r="X5670" s="80"/>
      <c r="Y5670" s="22">
        <v>0</v>
      </c>
      <c r="Z5670" s="80" t="s">
        <v>50</v>
      </c>
      <c r="AA5670" s="35" t="s">
        <v>18579</v>
      </c>
      <c r="AB5670" s="86"/>
      <c r="AC5670" s="80" t="s">
        <v>53</v>
      </c>
      <c r="AD5670" s="80" t="s">
        <v>54</v>
      </c>
      <c r="AE5670" s="80" t="s">
        <v>11589</v>
      </c>
      <c r="AF5670" s="43">
        <v>45644</v>
      </c>
      <c r="AG5670" s="80"/>
      <c r="AH5670" s="80"/>
      <c r="AI5670" s="147"/>
      <c r="AJ5670" s="80"/>
      <c r="AK5670" s="80"/>
      <c r="AL5670" s="35"/>
      <c r="AM5670" s="35"/>
      <c r="AN5670" s="35"/>
      <c r="AO5670" s="35"/>
      <c r="AP5670" s="35"/>
    </row>
    <row r="5671" spans="1:42" x14ac:dyDescent="0.2">
      <c r="A5671" s="126">
        <v>45642.391580821757</v>
      </c>
      <c r="B5671" s="137" t="s">
        <v>37</v>
      </c>
      <c r="C5671" s="41" t="s">
        <v>118</v>
      </c>
      <c r="D5671" s="80" t="s">
        <v>36</v>
      </c>
      <c r="E5671" s="80" t="s">
        <v>77</v>
      </c>
      <c r="F5671" s="80" t="s">
        <v>40</v>
      </c>
      <c r="G5671" s="80" t="s">
        <v>41</v>
      </c>
      <c r="H5671" s="80" t="s">
        <v>19121</v>
      </c>
      <c r="I5671" s="17">
        <f ca="1">IFERROR(__xludf.DUMMYFUNCTION("""COMPUTED_VALUE"""),45659)</f>
        <v>45659</v>
      </c>
      <c r="J5671" s="143" t="s">
        <v>19158</v>
      </c>
      <c r="K5671" s="80" t="s">
        <v>19159</v>
      </c>
      <c r="L5671" s="30">
        <v>362600324</v>
      </c>
      <c r="M5671" s="80" t="s">
        <v>11413</v>
      </c>
      <c r="N5671" s="80" t="s">
        <v>1246</v>
      </c>
      <c r="O5671" s="80" t="s">
        <v>19160</v>
      </c>
      <c r="P5671" s="80" t="s">
        <v>19161</v>
      </c>
      <c r="Q5671" s="20">
        <v>1968</v>
      </c>
      <c r="R5671" s="80" t="s">
        <v>36</v>
      </c>
      <c r="S5671" s="95">
        <v>1968</v>
      </c>
      <c r="T5671" s="148">
        <v>45639</v>
      </c>
      <c r="U5671" s="77"/>
      <c r="V5671" s="78"/>
      <c r="W5671" s="85" t="s">
        <v>19162</v>
      </c>
      <c r="X5671" s="80"/>
      <c r="Y5671" s="22">
        <v>0</v>
      </c>
      <c r="Z5671" s="80" t="s">
        <v>50</v>
      </c>
      <c r="AA5671" s="96" t="s">
        <v>18579</v>
      </c>
      <c r="AB5671" s="82"/>
      <c r="AC5671" s="80" t="s">
        <v>53</v>
      </c>
      <c r="AD5671" s="80" t="s">
        <v>138</v>
      </c>
      <c r="AE5671" s="80"/>
      <c r="AF5671" s="17">
        <v>45659</v>
      </c>
      <c r="AG5671" s="80"/>
      <c r="AH5671" s="80"/>
      <c r="AI5671" s="147"/>
      <c r="AJ5671" s="80"/>
      <c r="AK5671" s="80"/>
      <c r="AL5671" s="35"/>
      <c r="AM5671" s="35"/>
      <c r="AN5671" s="35"/>
      <c r="AO5671" s="35"/>
      <c r="AP5671" s="35"/>
    </row>
    <row r="5672" spans="1:42" x14ac:dyDescent="0.2">
      <c r="A5672" s="74">
        <v>45643</v>
      </c>
      <c r="B5672" s="137" t="s">
        <v>37</v>
      </c>
      <c r="C5672" s="41" t="s">
        <v>118</v>
      </c>
      <c r="D5672" s="80" t="s">
        <v>36</v>
      </c>
      <c r="E5672" s="80" t="s">
        <v>106</v>
      </c>
      <c r="F5672" s="80" t="s">
        <v>12474</v>
      </c>
      <c r="G5672" s="26" t="s">
        <v>108</v>
      </c>
      <c r="H5672" s="80" t="s">
        <v>14234</v>
      </c>
      <c r="I5672" s="17">
        <f ca="1">IFERROR(__xludf.DUMMYFUNCTION("""COMPUTED_VALUE"""),45642)</f>
        <v>45642</v>
      </c>
      <c r="J5672" s="143" t="s">
        <v>12777</v>
      </c>
      <c r="K5672" s="80" t="s">
        <v>19163</v>
      </c>
      <c r="L5672" s="30">
        <v>832352684</v>
      </c>
      <c r="M5672" s="80" t="s">
        <v>348</v>
      </c>
      <c r="N5672" s="80" t="s">
        <v>68</v>
      </c>
      <c r="O5672" s="80" t="s">
        <v>12779</v>
      </c>
      <c r="P5672" s="80" t="s">
        <v>7743</v>
      </c>
      <c r="Q5672" s="20">
        <v>3768</v>
      </c>
      <c r="R5672" s="80" t="s">
        <v>36</v>
      </c>
      <c r="S5672" s="95">
        <v>3768</v>
      </c>
      <c r="T5672" s="200">
        <v>45643</v>
      </c>
      <c r="U5672" s="77"/>
      <c r="V5672" s="78"/>
      <c r="W5672" s="85"/>
      <c r="X5672" s="80">
        <v>0</v>
      </c>
      <c r="Y5672" s="22">
        <v>0</v>
      </c>
      <c r="Z5672" s="80" t="s">
        <v>50</v>
      </c>
      <c r="AA5672" s="35" t="s">
        <v>18579</v>
      </c>
      <c r="AB5672" s="35"/>
      <c r="AC5672" s="80" t="s">
        <v>53</v>
      </c>
      <c r="AD5672" s="80" t="s">
        <v>138</v>
      </c>
      <c r="AE5672" s="80" t="s">
        <v>12474</v>
      </c>
      <c r="AF5672" s="17">
        <v>45643</v>
      </c>
      <c r="AG5672" s="80" t="s">
        <v>18289</v>
      </c>
      <c r="AH5672" s="80"/>
      <c r="AI5672" s="147" t="s">
        <v>84</v>
      </c>
      <c r="AJ5672" s="80"/>
      <c r="AK5672" s="80"/>
      <c r="AL5672" s="35"/>
      <c r="AM5672" s="35"/>
      <c r="AN5672" s="35"/>
      <c r="AO5672" s="35"/>
      <c r="AP5672" s="35"/>
    </row>
    <row r="5673" spans="1:42" x14ac:dyDescent="0.2">
      <c r="A5673" s="126">
        <v>45642.982820925929</v>
      </c>
      <c r="B5673" s="28" t="s">
        <v>37</v>
      </c>
      <c r="C5673" s="41" t="s">
        <v>118</v>
      </c>
      <c r="D5673" s="80" t="s">
        <v>77</v>
      </c>
      <c r="E5673" s="80" t="s">
        <v>148</v>
      </c>
      <c r="F5673" s="80" t="s">
        <v>40</v>
      </c>
      <c r="G5673" s="80" t="s">
        <v>108</v>
      </c>
      <c r="H5673" s="80" t="s">
        <v>14088</v>
      </c>
      <c r="I5673" s="17">
        <f ca="1">IFERROR(__xludf.DUMMYFUNCTION("""COMPUTED_VALUE"""),45699)</f>
        <v>45699</v>
      </c>
      <c r="J5673" s="143" t="s">
        <v>17633</v>
      </c>
      <c r="K5673" s="145" t="s">
        <v>19164</v>
      </c>
      <c r="L5673" s="30">
        <v>969260943</v>
      </c>
      <c r="M5673" s="80" t="s">
        <v>59</v>
      </c>
      <c r="N5673" s="80" t="s">
        <v>68</v>
      </c>
      <c r="O5673" s="80" t="s">
        <v>19165</v>
      </c>
      <c r="P5673" s="80" t="s">
        <v>12687</v>
      </c>
      <c r="Q5673" s="20">
        <v>7349</v>
      </c>
      <c r="R5673" s="80" t="s">
        <v>36</v>
      </c>
      <c r="S5673" s="95">
        <f t="shared" ref="S5673:S5674" si="157">500+6749</f>
        <v>7249</v>
      </c>
      <c r="T5673" s="83" t="s">
        <v>19166</v>
      </c>
      <c r="U5673" s="77"/>
      <c r="V5673" s="78"/>
      <c r="W5673" s="85" t="s">
        <v>19167</v>
      </c>
      <c r="X5673" s="80"/>
      <c r="Y5673" s="22">
        <v>100</v>
      </c>
      <c r="Z5673" s="80" t="s">
        <v>50</v>
      </c>
      <c r="AA5673" s="96" t="s">
        <v>18579</v>
      </c>
      <c r="AB5673" s="82"/>
      <c r="AC5673" s="80" t="s">
        <v>53</v>
      </c>
      <c r="AD5673" s="80" t="s">
        <v>138</v>
      </c>
      <c r="AE5673" s="80" t="s">
        <v>2752</v>
      </c>
      <c r="AF5673" s="17">
        <v>45699</v>
      </c>
      <c r="AG5673" s="80"/>
      <c r="AH5673" s="80"/>
      <c r="AI5673" s="147"/>
      <c r="AJ5673" s="80"/>
      <c r="AK5673" s="80"/>
      <c r="AL5673" s="35"/>
      <c r="AM5673" s="35"/>
      <c r="AN5673" s="35"/>
      <c r="AO5673" s="35"/>
      <c r="AP5673" s="35"/>
    </row>
    <row r="5674" spans="1:42" x14ac:dyDescent="0.2">
      <c r="A5674" s="126">
        <v>45642.984110659723</v>
      </c>
      <c r="B5674" s="28" t="s">
        <v>37</v>
      </c>
      <c r="C5674" s="41" t="s">
        <v>118</v>
      </c>
      <c r="D5674" s="80" t="s">
        <v>77</v>
      </c>
      <c r="E5674" s="80" t="s">
        <v>148</v>
      </c>
      <c r="F5674" s="80" t="s">
        <v>40</v>
      </c>
      <c r="G5674" s="80" t="s">
        <v>108</v>
      </c>
      <c r="H5674" s="80" t="s">
        <v>14088</v>
      </c>
      <c r="I5674" s="17">
        <f ca="1">IFERROR(__xludf.DUMMYFUNCTION("""COMPUTED_VALUE"""),45699)</f>
        <v>45699</v>
      </c>
      <c r="J5674" s="143" t="s">
        <v>17639</v>
      </c>
      <c r="K5674" s="145" t="s">
        <v>17640</v>
      </c>
      <c r="L5674" s="30">
        <v>914894139</v>
      </c>
      <c r="M5674" s="80" t="s">
        <v>59</v>
      </c>
      <c r="N5674" s="80" t="s">
        <v>4299</v>
      </c>
      <c r="O5674" s="80" t="s">
        <v>19168</v>
      </c>
      <c r="P5674" s="80" t="s">
        <v>16383</v>
      </c>
      <c r="Q5674" s="20">
        <v>7349</v>
      </c>
      <c r="R5674" s="80" t="s">
        <v>36</v>
      </c>
      <c r="S5674" s="95">
        <f t="shared" si="157"/>
        <v>7249</v>
      </c>
      <c r="T5674" s="83" t="s">
        <v>19166</v>
      </c>
      <c r="U5674" s="77"/>
      <c r="V5674" s="78"/>
      <c r="W5674" s="85" t="s">
        <v>19169</v>
      </c>
      <c r="X5674" s="80"/>
      <c r="Y5674" s="22">
        <v>100</v>
      </c>
      <c r="Z5674" s="80" t="s">
        <v>50</v>
      </c>
      <c r="AA5674" s="35" t="s">
        <v>18579</v>
      </c>
      <c r="AB5674" s="86"/>
      <c r="AC5674" s="80" t="s">
        <v>53</v>
      </c>
      <c r="AD5674" s="80" t="s">
        <v>138</v>
      </c>
      <c r="AE5674" s="80" t="s">
        <v>2752</v>
      </c>
      <c r="AF5674" s="17">
        <v>45699</v>
      </c>
      <c r="AG5674" s="80"/>
      <c r="AH5674" s="80"/>
      <c r="AI5674" s="147"/>
      <c r="AJ5674" s="80"/>
      <c r="AK5674" s="80"/>
      <c r="AL5674" s="35"/>
      <c r="AM5674" s="35"/>
      <c r="AN5674" s="35"/>
      <c r="AO5674" s="35"/>
      <c r="AP5674" s="35"/>
    </row>
    <row r="5675" spans="1:42" x14ac:dyDescent="0.2">
      <c r="A5675" s="74">
        <v>45643</v>
      </c>
      <c r="B5675" s="137" t="s">
        <v>37</v>
      </c>
      <c r="C5675" s="41" t="s">
        <v>118</v>
      </c>
      <c r="D5675" s="80" t="s">
        <v>36</v>
      </c>
      <c r="E5675" s="80" t="s">
        <v>219</v>
      </c>
      <c r="F5675" s="80" t="s">
        <v>9825</v>
      </c>
      <c r="G5675" s="26" t="s">
        <v>221</v>
      </c>
      <c r="H5675" s="80" t="s">
        <v>13807</v>
      </c>
      <c r="I5675" s="17">
        <f ca="1">IFERROR(__xludf.DUMMYFUNCTION("""COMPUTED_VALUE"""),45660)</f>
        <v>45660</v>
      </c>
      <c r="J5675" s="143" t="s">
        <v>18618</v>
      </c>
      <c r="K5675" s="80" t="s">
        <v>19170</v>
      </c>
      <c r="L5675" s="30">
        <v>865347204</v>
      </c>
      <c r="M5675" s="80" t="s">
        <v>5518</v>
      </c>
      <c r="N5675" s="80" t="s">
        <v>5252</v>
      </c>
      <c r="O5675" s="80" t="s">
        <v>18620</v>
      </c>
      <c r="P5675" s="80" t="s">
        <v>18621</v>
      </c>
      <c r="Q5675" s="20">
        <v>3968</v>
      </c>
      <c r="R5675" s="80" t="s">
        <v>36</v>
      </c>
      <c r="S5675" s="95">
        <f>432+3536</f>
        <v>3968</v>
      </c>
      <c r="T5675" s="83" t="s">
        <v>19171</v>
      </c>
      <c r="U5675" s="77"/>
      <c r="V5675" s="78"/>
      <c r="W5675" s="85" t="s">
        <v>19172</v>
      </c>
      <c r="X5675" s="80"/>
      <c r="Y5675" s="22">
        <v>0</v>
      </c>
      <c r="Z5675" s="80" t="s">
        <v>50</v>
      </c>
      <c r="AA5675" s="96" t="s">
        <v>18579</v>
      </c>
      <c r="AB5675" s="203" t="s">
        <v>19173</v>
      </c>
      <c r="AC5675" s="80" t="s">
        <v>53</v>
      </c>
      <c r="AD5675" s="80" t="s">
        <v>138</v>
      </c>
      <c r="AE5675" s="80" t="s">
        <v>9825</v>
      </c>
      <c r="AF5675" s="17">
        <v>45660</v>
      </c>
      <c r="AG5675" s="26" t="s">
        <v>18624</v>
      </c>
      <c r="AH5675" s="80"/>
      <c r="AI5675" s="147"/>
      <c r="AJ5675" s="80"/>
      <c r="AK5675" s="80"/>
      <c r="AL5675" s="35"/>
      <c r="AM5675" s="35"/>
      <c r="AN5675" s="35"/>
      <c r="AO5675" s="35"/>
      <c r="AP5675" s="35"/>
    </row>
    <row r="5676" spans="1:42" x14ac:dyDescent="0.2">
      <c r="A5676" s="126">
        <v>45652.914144525465</v>
      </c>
      <c r="B5676" s="137"/>
      <c r="C5676" s="41" t="s">
        <v>118</v>
      </c>
      <c r="D5676" s="80" t="s">
        <v>36</v>
      </c>
      <c r="E5676" s="80" t="s">
        <v>106</v>
      </c>
      <c r="F5676" s="80" t="s">
        <v>13143</v>
      </c>
      <c r="G5676" s="80" t="s">
        <v>108</v>
      </c>
      <c r="H5676" s="80" t="s">
        <v>19174</v>
      </c>
      <c r="I5676" s="17">
        <f ca="1">IFERROR(__xludf.DUMMYFUNCTION("""COMPUTED_VALUE"""),45733)</f>
        <v>45733</v>
      </c>
      <c r="J5676" s="143" t="s">
        <v>17521</v>
      </c>
      <c r="K5676" s="80" t="s">
        <v>19175</v>
      </c>
      <c r="L5676" s="30">
        <v>369323406</v>
      </c>
      <c r="M5676" s="80" t="s">
        <v>3288</v>
      </c>
      <c r="N5676" s="80" t="s">
        <v>200</v>
      </c>
      <c r="O5676" s="80" t="s">
        <v>91</v>
      </c>
      <c r="P5676" s="80" t="s">
        <v>17523</v>
      </c>
      <c r="Q5676" s="20">
        <v>3768</v>
      </c>
      <c r="R5676" s="80" t="s">
        <v>36</v>
      </c>
      <c r="S5676" s="95">
        <v>3668</v>
      </c>
      <c r="T5676" s="148">
        <v>45652</v>
      </c>
      <c r="U5676" s="77"/>
      <c r="V5676" s="78"/>
      <c r="W5676" s="85" t="s">
        <v>19176</v>
      </c>
      <c r="X5676" s="80"/>
      <c r="Y5676" s="83">
        <v>100</v>
      </c>
      <c r="Z5676" s="80" t="s">
        <v>50</v>
      </c>
      <c r="AA5676" s="35" t="s">
        <v>18579</v>
      </c>
      <c r="AB5676" s="86"/>
      <c r="AC5676" s="80" t="s">
        <v>53</v>
      </c>
      <c r="AD5676" s="80" t="s">
        <v>138</v>
      </c>
      <c r="AE5676" s="80" t="s">
        <v>13143</v>
      </c>
      <c r="AF5676" s="17">
        <v>45785</v>
      </c>
      <c r="AG5676" s="80" t="s">
        <v>19177</v>
      </c>
      <c r="AH5676" s="80"/>
      <c r="AI5676" s="147"/>
      <c r="AJ5676" s="80"/>
      <c r="AK5676" s="80"/>
      <c r="AL5676" s="35"/>
      <c r="AM5676" s="35"/>
      <c r="AN5676" s="35"/>
      <c r="AO5676" s="35"/>
      <c r="AP5676" s="35"/>
    </row>
    <row r="5677" spans="1:42" x14ac:dyDescent="0.2">
      <c r="A5677" s="126">
        <v>45644.582372523146</v>
      </c>
      <c r="B5677" s="137" t="s">
        <v>37</v>
      </c>
      <c r="C5677" s="41" t="s">
        <v>118</v>
      </c>
      <c r="D5677" s="80" t="s">
        <v>39</v>
      </c>
      <c r="E5677" s="80" t="s">
        <v>219</v>
      </c>
      <c r="F5677" s="80" t="s">
        <v>9163</v>
      </c>
      <c r="G5677" s="80" t="s">
        <v>221</v>
      </c>
      <c r="H5677" s="80" t="s">
        <v>18290</v>
      </c>
      <c r="I5677" s="17">
        <f ca="1">IFERROR(__xludf.DUMMYFUNCTION("""COMPUTED_VALUE"""),45653)</f>
        <v>45653</v>
      </c>
      <c r="J5677" s="143" t="s">
        <v>11900</v>
      </c>
      <c r="K5677" s="80" t="s">
        <v>19178</v>
      </c>
      <c r="L5677" s="30">
        <v>386577427</v>
      </c>
      <c r="M5677" s="80" t="s">
        <v>12529</v>
      </c>
      <c r="N5677" s="80" t="s">
        <v>13566</v>
      </c>
      <c r="O5677" s="80" t="s">
        <v>19179</v>
      </c>
      <c r="P5677" s="144" t="s">
        <v>19180</v>
      </c>
      <c r="Q5677" s="20">
        <v>3968</v>
      </c>
      <c r="R5677" s="80" t="s">
        <v>36</v>
      </c>
      <c r="S5677" s="95">
        <v>3968</v>
      </c>
      <c r="T5677" s="148">
        <v>45644</v>
      </c>
      <c r="U5677" s="77"/>
      <c r="V5677" s="78"/>
      <c r="W5677" s="85" t="s">
        <v>19181</v>
      </c>
      <c r="X5677" s="80"/>
      <c r="Y5677" s="22">
        <v>0</v>
      </c>
      <c r="Z5677" s="80" t="s">
        <v>50</v>
      </c>
      <c r="AA5677" s="96" t="s">
        <v>18579</v>
      </c>
      <c r="AB5677" s="82"/>
      <c r="AC5677" s="80" t="s">
        <v>53</v>
      </c>
      <c r="AD5677" s="80" t="s">
        <v>54</v>
      </c>
      <c r="AE5677" s="80">
        <v>500</v>
      </c>
      <c r="AF5677" s="43">
        <v>45649</v>
      </c>
      <c r="AG5677" s="80"/>
      <c r="AH5677" s="80"/>
      <c r="AI5677" s="147"/>
      <c r="AJ5677" s="80"/>
      <c r="AK5677" s="80"/>
      <c r="AL5677" s="35"/>
      <c r="AM5677" s="35"/>
      <c r="AN5677" s="35"/>
      <c r="AO5677" s="35"/>
      <c r="AP5677" s="35"/>
    </row>
    <row r="5678" spans="1:42" x14ac:dyDescent="0.2">
      <c r="A5678" s="126">
        <v>45644.854354131945</v>
      </c>
      <c r="B5678" s="137" t="s">
        <v>37</v>
      </c>
      <c r="C5678" s="41" t="s">
        <v>118</v>
      </c>
      <c r="D5678" s="80" t="s">
        <v>36</v>
      </c>
      <c r="E5678" s="80" t="s">
        <v>219</v>
      </c>
      <c r="F5678" s="80" t="s">
        <v>36</v>
      </c>
      <c r="G5678" s="26" t="s">
        <v>221</v>
      </c>
      <c r="H5678" s="80" t="s">
        <v>13807</v>
      </c>
      <c r="I5678" s="17">
        <f ca="1">IFERROR(__xludf.DUMMYFUNCTION("""COMPUTED_VALUE"""),45660)</f>
        <v>45660</v>
      </c>
      <c r="J5678" s="143" t="s">
        <v>19182</v>
      </c>
      <c r="K5678" s="80" t="s">
        <v>19183</v>
      </c>
      <c r="L5678" s="30">
        <v>971179647</v>
      </c>
      <c r="M5678" s="80" t="s">
        <v>9422</v>
      </c>
      <c r="N5678" s="80" t="s">
        <v>19184</v>
      </c>
      <c r="O5678" s="80" t="s">
        <v>8827</v>
      </c>
      <c r="P5678" s="80" t="s">
        <v>8827</v>
      </c>
      <c r="Q5678" s="20">
        <v>3968</v>
      </c>
      <c r="R5678" s="80" t="s">
        <v>36</v>
      </c>
      <c r="S5678" s="95">
        <f>500+3468</f>
        <v>3968</v>
      </c>
      <c r="T5678" s="83" t="s">
        <v>19185</v>
      </c>
      <c r="U5678" s="95"/>
      <c r="V5678" s="148"/>
      <c r="W5678" s="80" t="s">
        <v>19186</v>
      </c>
      <c r="X5678" s="80"/>
      <c r="Y5678" s="22">
        <v>0</v>
      </c>
      <c r="Z5678" s="80" t="s">
        <v>50</v>
      </c>
      <c r="AA5678" s="35" t="s">
        <v>18579</v>
      </c>
      <c r="AB5678" s="86"/>
      <c r="AC5678" s="80" t="s">
        <v>2218</v>
      </c>
      <c r="AD5678" s="80" t="s">
        <v>138</v>
      </c>
      <c r="AE5678" s="83">
        <v>560</v>
      </c>
      <c r="AF5678" s="17">
        <v>45644</v>
      </c>
      <c r="AG5678" s="80" t="s">
        <v>19187</v>
      </c>
      <c r="AH5678" s="80"/>
      <c r="AI5678" s="147"/>
      <c r="AJ5678" s="80"/>
      <c r="AK5678" s="80"/>
      <c r="AL5678" s="35"/>
      <c r="AM5678" s="35"/>
      <c r="AN5678" s="35"/>
      <c r="AO5678" s="35"/>
      <c r="AP5678" s="35"/>
    </row>
    <row r="5679" spans="1:42" x14ac:dyDescent="0.2">
      <c r="A5679" s="126">
        <v>45645.335153784719</v>
      </c>
      <c r="B5679" s="137" t="s">
        <v>37</v>
      </c>
      <c r="C5679" s="41" t="s">
        <v>118</v>
      </c>
      <c r="D5679" s="80" t="s">
        <v>36</v>
      </c>
      <c r="E5679" s="80" t="s">
        <v>56</v>
      </c>
      <c r="F5679" s="80" t="s">
        <v>36</v>
      </c>
      <c r="G5679" s="80" t="s">
        <v>41</v>
      </c>
      <c r="H5679" s="80" t="s">
        <v>13089</v>
      </c>
      <c r="I5679" s="17">
        <f ca="1">IFERROR(__xludf.DUMMYFUNCTION("""COMPUTED_VALUE"""),45651)</f>
        <v>45651</v>
      </c>
      <c r="J5679" s="143" t="s">
        <v>19188</v>
      </c>
      <c r="K5679" s="80" t="s">
        <v>19189</v>
      </c>
      <c r="L5679" s="30">
        <v>362462291</v>
      </c>
      <c r="M5679" s="80" t="s">
        <v>9422</v>
      </c>
      <c r="N5679" s="80" t="s">
        <v>7509</v>
      </c>
      <c r="O5679" s="80" t="s">
        <v>19190</v>
      </c>
      <c r="P5679" s="80" t="s">
        <v>19191</v>
      </c>
      <c r="Q5679" s="20">
        <v>9317</v>
      </c>
      <c r="R5679" s="80" t="s">
        <v>36</v>
      </c>
      <c r="S5679" s="95">
        <v>9317</v>
      </c>
      <c r="T5679" s="148">
        <v>45644</v>
      </c>
      <c r="U5679" s="77"/>
      <c r="V5679" s="78"/>
      <c r="W5679" s="85" t="s">
        <v>19192</v>
      </c>
      <c r="X5679" s="80"/>
      <c r="Y5679" s="22">
        <v>0</v>
      </c>
      <c r="Z5679" s="80" t="s">
        <v>50</v>
      </c>
      <c r="AA5679" s="96" t="s">
        <v>18579</v>
      </c>
      <c r="AB5679" s="82"/>
      <c r="AC5679" s="80" t="s">
        <v>53</v>
      </c>
      <c r="AD5679" s="80" t="s">
        <v>54</v>
      </c>
      <c r="AE5679" s="80"/>
      <c r="AF5679" s="43">
        <v>45645</v>
      </c>
      <c r="AG5679" s="80"/>
      <c r="AH5679" s="80"/>
      <c r="AI5679" s="147"/>
      <c r="AJ5679" s="80"/>
      <c r="AK5679" s="80"/>
      <c r="AL5679" s="35"/>
      <c r="AM5679" s="35"/>
      <c r="AN5679" s="35"/>
      <c r="AO5679" s="35"/>
      <c r="AP5679" s="35"/>
    </row>
    <row r="5680" spans="1:42" x14ac:dyDescent="0.2">
      <c r="A5680" s="126">
        <v>45652.426002905093</v>
      </c>
      <c r="B5680" s="137" t="s">
        <v>37</v>
      </c>
      <c r="C5680" s="41" t="s">
        <v>118</v>
      </c>
      <c r="D5680" s="80" t="s">
        <v>36</v>
      </c>
      <c r="E5680" s="80" t="s">
        <v>915</v>
      </c>
      <c r="F5680" s="80" t="s">
        <v>9825</v>
      </c>
      <c r="G5680" s="26" t="s">
        <v>221</v>
      </c>
      <c r="H5680" s="80" t="s">
        <v>13807</v>
      </c>
      <c r="I5680" s="17">
        <f ca="1">IFERROR(__xludf.DUMMYFUNCTION("""COMPUTED_VALUE"""),45660)</f>
        <v>45660</v>
      </c>
      <c r="J5680" s="143" t="s">
        <v>14897</v>
      </c>
      <c r="K5680" s="80" t="s">
        <v>5259</v>
      </c>
      <c r="L5680" s="30">
        <v>985166982</v>
      </c>
      <c r="M5680" s="80" t="s">
        <v>12720</v>
      </c>
      <c r="N5680" s="80" t="s">
        <v>1073</v>
      </c>
      <c r="O5680" s="80" t="s">
        <v>14899</v>
      </c>
      <c r="P5680" s="80" t="s">
        <v>14900</v>
      </c>
      <c r="Q5680" s="20">
        <v>10894</v>
      </c>
      <c r="R5680" s="80" t="s">
        <v>36</v>
      </c>
      <c r="S5680" s="95">
        <f>232+10662</f>
        <v>10894</v>
      </c>
      <c r="T5680" s="83" t="s">
        <v>14884</v>
      </c>
      <c r="U5680" s="77"/>
      <c r="V5680" s="78">
        <v>45652</v>
      </c>
      <c r="W5680" s="85" t="s">
        <v>19193</v>
      </c>
      <c r="X5680" s="26"/>
      <c r="Y5680" s="22">
        <v>0</v>
      </c>
      <c r="Z5680" s="26" t="s">
        <v>50</v>
      </c>
      <c r="AA5680" s="35" t="s">
        <v>18579</v>
      </c>
      <c r="AB5680" s="175" t="s">
        <v>19194</v>
      </c>
      <c r="AC5680" s="80" t="s">
        <v>53</v>
      </c>
      <c r="AD5680" s="80" t="s">
        <v>138</v>
      </c>
      <c r="AE5680" s="26" t="s">
        <v>9825</v>
      </c>
      <c r="AF5680" s="17">
        <v>45660</v>
      </c>
      <c r="AG5680" s="26" t="s">
        <v>18664</v>
      </c>
      <c r="AH5680" s="26"/>
      <c r="AI5680" s="40"/>
      <c r="AJ5680" s="26"/>
      <c r="AK5680" s="26"/>
      <c r="AL5680" s="35"/>
      <c r="AM5680" s="35"/>
      <c r="AN5680" s="35"/>
      <c r="AO5680" s="35"/>
      <c r="AP5680" s="35"/>
    </row>
    <row r="5681" spans="1:42" x14ac:dyDescent="0.2">
      <c r="A5681" s="126">
        <v>45646.678354583331</v>
      </c>
      <c r="B5681" s="137" t="s">
        <v>37</v>
      </c>
      <c r="C5681" s="41" t="s">
        <v>118</v>
      </c>
      <c r="D5681" s="80" t="s">
        <v>36</v>
      </c>
      <c r="E5681" s="80" t="s">
        <v>106</v>
      </c>
      <c r="F5681" s="80" t="s">
        <v>36</v>
      </c>
      <c r="G5681" s="80" t="s">
        <v>108</v>
      </c>
      <c r="H5681" s="80" t="s">
        <v>13773</v>
      </c>
      <c r="I5681" s="17">
        <f ca="1">IFERROR(__xludf.DUMMYFUNCTION("""COMPUTED_VALUE"""),45699)</f>
        <v>45699</v>
      </c>
      <c r="J5681" s="143" t="s">
        <v>19195</v>
      </c>
      <c r="K5681" s="80" t="s">
        <v>19196</v>
      </c>
      <c r="L5681" s="30">
        <v>356083351</v>
      </c>
      <c r="M5681" s="80" t="s">
        <v>11413</v>
      </c>
      <c r="N5681" s="80" t="s">
        <v>1246</v>
      </c>
      <c r="O5681" s="80" t="s">
        <v>19197</v>
      </c>
      <c r="P5681" s="80" t="s">
        <v>18385</v>
      </c>
      <c r="Q5681" s="20">
        <v>3768</v>
      </c>
      <c r="R5681" s="80" t="s">
        <v>36</v>
      </c>
      <c r="S5681" s="95">
        <v>3768</v>
      </c>
      <c r="T5681" s="148">
        <v>45635</v>
      </c>
      <c r="U5681" s="77"/>
      <c r="V5681" s="78"/>
      <c r="W5681" s="85" t="s">
        <v>19198</v>
      </c>
      <c r="X5681" s="80"/>
      <c r="Y5681" s="22">
        <v>0</v>
      </c>
      <c r="Z5681" s="80" t="s">
        <v>50</v>
      </c>
      <c r="AA5681" s="96" t="s">
        <v>18579</v>
      </c>
      <c r="AB5681" s="82"/>
      <c r="AC5681" s="80" t="s">
        <v>53</v>
      </c>
      <c r="AD5681" s="80" t="s">
        <v>138</v>
      </c>
      <c r="AE5681" s="83">
        <v>450</v>
      </c>
      <c r="AF5681" s="17">
        <v>45701</v>
      </c>
      <c r="AG5681" s="60" t="s">
        <v>19199</v>
      </c>
      <c r="AH5681" s="80"/>
      <c r="AI5681" s="147"/>
      <c r="AJ5681" s="80"/>
      <c r="AK5681" s="80"/>
      <c r="AL5681" s="35"/>
      <c r="AM5681" s="35"/>
      <c r="AN5681" s="35"/>
      <c r="AO5681" s="35"/>
      <c r="AP5681" s="35"/>
    </row>
    <row r="5682" spans="1:42" x14ac:dyDescent="0.2">
      <c r="A5682" s="74">
        <v>45648</v>
      </c>
      <c r="B5682" s="137" t="s">
        <v>37</v>
      </c>
      <c r="C5682" s="41" t="s">
        <v>118</v>
      </c>
      <c r="D5682" s="80" t="s">
        <v>36</v>
      </c>
      <c r="E5682" s="80" t="s">
        <v>106</v>
      </c>
      <c r="F5682" s="80" t="s">
        <v>13143</v>
      </c>
      <c r="G5682" s="80" t="s">
        <v>108</v>
      </c>
      <c r="H5682" s="80" t="s">
        <v>18328</v>
      </c>
      <c r="I5682" s="17">
        <f ca="1">IFERROR(__xludf.DUMMYFUNCTION("""COMPUTED_VALUE"""),45653)</f>
        <v>45653</v>
      </c>
      <c r="J5682" s="143" t="s">
        <v>17337</v>
      </c>
      <c r="K5682" s="80" t="s">
        <v>19200</v>
      </c>
      <c r="L5682" s="30">
        <v>968980585</v>
      </c>
      <c r="M5682" s="80" t="s">
        <v>12529</v>
      </c>
      <c r="N5682" s="80" t="s">
        <v>466</v>
      </c>
      <c r="O5682" s="80" t="s">
        <v>17339</v>
      </c>
      <c r="P5682" s="80" t="s">
        <v>5462</v>
      </c>
      <c r="Q5682" s="20">
        <v>3768</v>
      </c>
      <c r="R5682" s="80" t="s">
        <v>36</v>
      </c>
      <c r="S5682" s="95">
        <f>3736+32</f>
        <v>3768</v>
      </c>
      <c r="T5682" s="200">
        <v>45652</v>
      </c>
      <c r="U5682" s="77"/>
      <c r="V5682" s="78"/>
      <c r="W5682" s="79" t="s">
        <v>19201</v>
      </c>
      <c r="X5682" s="80"/>
      <c r="Y5682" s="22">
        <v>0</v>
      </c>
      <c r="Z5682" s="80" t="s">
        <v>50</v>
      </c>
      <c r="AA5682" s="35" t="s">
        <v>18579</v>
      </c>
      <c r="AB5682" s="204" t="s">
        <v>19202</v>
      </c>
      <c r="AC5682" s="80" t="s">
        <v>53</v>
      </c>
      <c r="AD5682" s="80" t="s">
        <v>138</v>
      </c>
      <c r="AE5682" s="80" t="s">
        <v>13143</v>
      </c>
      <c r="AF5682" s="17">
        <v>45653</v>
      </c>
      <c r="AG5682" s="80" t="s">
        <v>18327</v>
      </c>
      <c r="AH5682" s="80"/>
      <c r="AI5682" s="147"/>
      <c r="AJ5682" s="80"/>
      <c r="AK5682" s="80"/>
      <c r="AL5682" s="35"/>
      <c r="AM5682" s="35"/>
      <c r="AN5682" s="35"/>
      <c r="AO5682" s="35"/>
      <c r="AP5682" s="35"/>
    </row>
    <row r="5683" spans="1:42" x14ac:dyDescent="0.2">
      <c r="A5683" s="126">
        <v>45646.833199826389</v>
      </c>
      <c r="B5683" s="137" t="s">
        <v>37</v>
      </c>
      <c r="C5683" s="41" t="s">
        <v>118</v>
      </c>
      <c r="D5683" s="80" t="s">
        <v>36</v>
      </c>
      <c r="E5683" s="80" t="s">
        <v>139</v>
      </c>
      <c r="F5683" s="80" t="s">
        <v>36</v>
      </c>
      <c r="G5683" s="80" t="s">
        <v>41</v>
      </c>
      <c r="H5683" s="80" t="s">
        <v>13089</v>
      </c>
      <c r="I5683" s="17">
        <f ca="1">IFERROR(__xludf.DUMMYFUNCTION("""COMPUTED_VALUE"""),45651)</f>
        <v>45651</v>
      </c>
      <c r="J5683" s="143" t="s">
        <v>19203</v>
      </c>
      <c r="K5683" s="80" t="s">
        <v>19204</v>
      </c>
      <c r="L5683" s="30">
        <v>384245223</v>
      </c>
      <c r="M5683" s="80" t="s">
        <v>17779</v>
      </c>
      <c r="N5683" s="80" t="s">
        <v>4402</v>
      </c>
      <c r="O5683" s="80" t="s">
        <v>4503</v>
      </c>
      <c r="P5683" s="80" t="s">
        <v>19205</v>
      </c>
      <c r="Q5683" s="20">
        <v>15936</v>
      </c>
      <c r="R5683" s="80" t="s">
        <v>70</v>
      </c>
      <c r="S5683" s="95">
        <f>15636+200</f>
        <v>15836</v>
      </c>
      <c r="T5683" s="83" t="s">
        <v>19206</v>
      </c>
      <c r="U5683" s="77"/>
      <c r="V5683" s="78"/>
      <c r="W5683" s="80" t="s">
        <v>19207</v>
      </c>
      <c r="X5683" s="80"/>
      <c r="Y5683" s="22">
        <v>100</v>
      </c>
      <c r="Z5683" s="80" t="s">
        <v>50</v>
      </c>
      <c r="AA5683" s="96" t="s">
        <v>18579</v>
      </c>
      <c r="AB5683" s="82"/>
      <c r="AC5683" s="80" t="s">
        <v>53</v>
      </c>
      <c r="AD5683" s="80" t="s">
        <v>138</v>
      </c>
      <c r="AE5683" s="80"/>
      <c r="AF5683" s="43">
        <v>45649</v>
      </c>
      <c r="AG5683" s="80"/>
      <c r="AH5683" s="80"/>
      <c r="AI5683" s="147"/>
      <c r="AJ5683" s="80"/>
      <c r="AK5683" s="80"/>
      <c r="AL5683" s="35"/>
      <c r="AM5683" s="35"/>
      <c r="AN5683" s="35"/>
      <c r="AO5683" s="35"/>
      <c r="AP5683" s="35"/>
    </row>
    <row r="5684" spans="1:42" x14ac:dyDescent="0.2">
      <c r="A5684" s="126">
        <v>45646.919413032403</v>
      </c>
      <c r="B5684" s="28" t="s">
        <v>37</v>
      </c>
      <c r="C5684" s="41" t="s">
        <v>118</v>
      </c>
      <c r="D5684" s="80" t="s">
        <v>77</v>
      </c>
      <c r="E5684" s="80" t="s">
        <v>106</v>
      </c>
      <c r="F5684" s="80" t="s">
        <v>6516</v>
      </c>
      <c r="G5684" s="80" t="s">
        <v>108</v>
      </c>
      <c r="H5684" s="80" t="s">
        <v>14088</v>
      </c>
      <c r="I5684" s="17">
        <f ca="1">IFERROR(__xludf.DUMMYFUNCTION("""COMPUTED_VALUE"""),45699)</f>
        <v>45699</v>
      </c>
      <c r="J5684" s="143" t="s">
        <v>18081</v>
      </c>
      <c r="K5684" s="145" t="s">
        <v>4721</v>
      </c>
      <c r="L5684" s="30">
        <v>868126823</v>
      </c>
      <c r="M5684" s="80" t="s">
        <v>59</v>
      </c>
      <c r="N5684" s="80" t="s">
        <v>4299</v>
      </c>
      <c r="O5684" s="80" t="s">
        <v>19208</v>
      </c>
      <c r="P5684" s="80" t="s">
        <v>7743</v>
      </c>
      <c r="Q5684" s="20">
        <v>3768</v>
      </c>
      <c r="R5684" s="80" t="s">
        <v>36</v>
      </c>
      <c r="S5684" s="95">
        <v>3668</v>
      </c>
      <c r="T5684" s="148">
        <v>45646</v>
      </c>
      <c r="U5684" s="77"/>
      <c r="V5684" s="78"/>
      <c r="W5684" s="85" t="s">
        <v>19209</v>
      </c>
      <c r="X5684" s="80"/>
      <c r="Y5684" s="22">
        <v>100</v>
      </c>
      <c r="Z5684" s="80" t="s">
        <v>50</v>
      </c>
      <c r="AA5684" s="35" t="s">
        <v>18579</v>
      </c>
      <c r="AB5684" s="86"/>
      <c r="AC5684" s="80" t="s">
        <v>53</v>
      </c>
      <c r="AD5684" s="80" t="s">
        <v>138</v>
      </c>
      <c r="AE5684" s="80" t="s">
        <v>2752</v>
      </c>
      <c r="AF5684" s="17">
        <v>45699</v>
      </c>
      <c r="AG5684" s="80"/>
      <c r="AH5684" s="80"/>
      <c r="AI5684" s="147"/>
      <c r="AJ5684" s="80"/>
      <c r="AK5684" s="80"/>
      <c r="AL5684" s="35"/>
      <c r="AM5684" s="35"/>
      <c r="AN5684" s="35"/>
      <c r="AO5684" s="35"/>
      <c r="AP5684" s="35"/>
    </row>
    <row r="5685" spans="1:42" x14ac:dyDescent="0.2">
      <c r="A5685" s="126">
        <v>45646.939608645829</v>
      </c>
      <c r="B5685" s="137" t="s">
        <v>37</v>
      </c>
      <c r="C5685" s="41" t="s">
        <v>118</v>
      </c>
      <c r="D5685" s="80" t="s">
        <v>77</v>
      </c>
      <c r="E5685" s="80" t="s">
        <v>119</v>
      </c>
      <c r="F5685" s="80" t="s">
        <v>6516</v>
      </c>
      <c r="G5685" s="80" t="s">
        <v>108</v>
      </c>
      <c r="H5685" s="80" t="s">
        <v>18487</v>
      </c>
      <c r="I5685" s="17">
        <f ca="1">IFERROR(__xludf.DUMMYFUNCTION("""COMPUTED_VALUE"""),45671)</f>
        <v>45671</v>
      </c>
      <c r="J5685" s="143" t="s">
        <v>18031</v>
      </c>
      <c r="K5685" s="80" t="s">
        <v>19210</v>
      </c>
      <c r="L5685" s="30">
        <v>338919006</v>
      </c>
      <c r="M5685" s="80" t="s">
        <v>59</v>
      </c>
      <c r="N5685" s="80" t="s">
        <v>4299</v>
      </c>
      <c r="O5685" s="80" t="s">
        <v>19211</v>
      </c>
      <c r="P5685" s="80" t="s">
        <v>18034</v>
      </c>
      <c r="Q5685" s="20">
        <v>13968</v>
      </c>
      <c r="R5685" s="80" t="s">
        <v>36</v>
      </c>
      <c r="S5685" s="95">
        <v>13868</v>
      </c>
      <c r="T5685" s="148">
        <v>45646</v>
      </c>
      <c r="U5685" s="77"/>
      <c r="V5685" s="78"/>
      <c r="W5685" s="85" t="s">
        <v>19212</v>
      </c>
      <c r="X5685" s="80"/>
      <c r="Y5685" s="22">
        <v>100</v>
      </c>
      <c r="Z5685" s="80" t="s">
        <v>50</v>
      </c>
      <c r="AA5685" s="96" t="s">
        <v>18579</v>
      </c>
      <c r="AB5685" s="82"/>
      <c r="AC5685" s="80" t="s">
        <v>53</v>
      </c>
      <c r="AD5685" s="80" t="s">
        <v>138</v>
      </c>
      <c r="AE5685" s="80" t="s">
        <v>17752</v>
      </c>
      <c r="AF5685" s="17">
        <v>45671</v>
      </c>
      <c r="AG5685" s="80"/>
      <c r="AH5685" s="80"/>
      <c r="AI5685" s="147"/>
      <c r="AJ5685" s="80"/>
      <c r="AK5685" s="80"/>
      <c r="AL5685" s="35"/>
      <c r="AM5685" s="35"/>
      <c r="AN5685" s="35"/>
      <c r="AO5685" s="35"/>
      <c r="AP5685" s="35"/>
    </row>
    <row r="5686" spans="1:42" x14ac:dyDescent="0.2">
      <c r="A5686" s="126">
        <v>45647.953548240737</v>
      </c>
      <c r="B5686" s="137" t="s">
        <v>37</v>
      </c>
      <c r="C5686" s="41" t="s">
        <v>118</v>
      </c>
      <c r="D5686" s="80" t="s">
        <v>36</v>
      </c>
      <c r="E5686" s="80" t="s">
        <v>119</v>
      </c>
      <c r="F5686" s="80" t="s">
        <v>36</v>
      </c>
      <c r="G5686" s="80" t="s">
        <v>108</v>
      </c>
      <c r="H5686" s="80" t="s">
        <v>17059</v>
      </c>
      <c r="I5686" s="17">
        <f ca="1">IFERROR(__xludf.DUMMYFUNCTION("""COMPUTED_VALUE"""),45652)</f>
        <v>45652</v>
      </c>
      <c r="J5686" s="143" t="s">
        <v>19213</v>
      </c>
      <c r="K5686" s="80" t="s">
        <v>19214</v>
      </c>
      <c r="L5686" s="30">
        <v>911385241</v>
      </c>
      <c r="M5686" s="80" t="s">
        <v>45</v>
      </c>
      <c r="N5686" s="80" t="s">
        <v>12712</v>
      </c>
      <c r="O5686" s="80" t="s">
        <v>19215</v>
      </c>
      <c r="P5686" s="80" t="s">
        <v>19216</v>
      </c>
      <c r="Q5686" s="20">
        <v>13968</v>
      </c>
      <c r="R5686" s="80" t="s">
        <v>36</v>
      </c>
      <c r="S5686" s="95">
        <f>1000+12968</f>
        <v>13968</v>
      </c>
      <c r="T5686" s="83" t="s">
        <v>19217</v>
      </c>
      <c r="U5686" s="77"/>
      <c r="V5686" s="78"/>
      <c r="W5686" s="85" t="s">
        <v>19218</v>
      </c>
      <c r="X5686" s="80"/>
      <c r="Y5686" s="22">
        <v>0</v>
      </c>
      <c r="Z5686" s="80" t="s">
        <v>50</v>
      </c>
      <c r="AA5686" s="35" t="s">
        <v>18579</v>
      </c>
      <c r="AB5686" s="86"/>
      <c r="AC5686" s="80" t="s">
        <v>53</v>
      </c>
      <c r="AD5686" s="80" t="s">
        <v>54</v>
      </c>
      <c r="AE5686" s="83">
        <v>400</v>
      </c>
      <c r="AF5686" s="43">
        <v>45649</v>
      </c>
      <c r="AG5686" s="80"/>
      <c r="AH5686" s="80"/>
      <c r="AI5686" s="147"/>
      <c r="AJ5686" s="80"/>
      <c r="AK5686" s="80"/>
      <c r="AL5686" s="35"/>
      <c r="AM5686" s="35"/>
      <c r="AN5686" s="35"/>
      <c r="AO5686" s="35"/>
      <c r="AP5686" s="35"/>
    </row>
    <row r="5687" spans="1:42" x14ac:dyDescent="0.2">
      <c r="A5687" s="126">
        <v>45648.876526574073</v>
      </c>
      <c r="B5687" s="137" t="s">
        <v>37</v>
      </c>
      <c r="C5687" s="41" t="s">
        <v>118</v>
      </c>
      <c r="D5687" s="80" t="s">
        <v>148</v>
      </c>
      <c r="E5687" s="80" t="s">
        <v>1704</v>
      </c>
      <c r="F5687" s="80" t="s">
        <v>18322</v>
      </c>
      <c r="G5687" s="80" t="s">
        <v>1705</v>
      </c>
      <c r="H5687" s="80" t="s">
        <v>19219</v>
      </c>
      <c r="I5687" s="17">
        <f ca="1">IFERROR(__xludf.DUMMYFUNCTION("""COMPUTED_VALUE"""),45904)</f>
        <v>45904</v>
      </c>
      <c r="J5687" s="143" t="s">
        <v>15672</v>
      </c>
      <c r="K5687" s="145" t="s">
        <v>19220</v>
      </c>
      <c r="L5687" s="30">
        <v>945994077</v>
      </c>
      <c r="M5687" s="80" t="s">
        <v>5429</v>
      </c>
      <c r="N5687" s="80" t="s">
        <v>756</v>
      </c>
      <c r="O5687" s="80" t="s">
        <v>61</v>
      </c>
      <c r="P5687" s="80" t="s">
        <v>6368</v>
      </c>
      <c r="Q5687" s="20">
        <v>7729</v>
      </c>
      <c r="R5687" s="80" t="s">
        <v>70</v>
      </c>
      <c r="S5687" s="95">
        <v>7729</v>
      </c>
      <c r="T5687" s="148">
        <v>45648</v>
      </c>
      <c r="U5687" s="77"/>
      <c r="V5687" s="78"/>
      <c r="W5687" s="85" t="s">
        <v>19221</v>
      </c>
      <c r="X5687" s="80"/>
      <c r="Y5687" s="22">
        <v>0</v>
      </c>
      <c r="Z5687" s="80" t="s">
        <v>50</v>
      </c>
      <c r="AA5687" s="96" t="s">
        <v>18579</v>
      </c>
      <c r="AB5687" s="82"/>
      <c r="AC5687" s="80" t="s">
        <v>53</v>
      </c>
      <c r="AD5687" s="80" t="s">
        <v>138</v>
      </c>
      <c r="AE5687" s="80"/>
      <c r="AF5687" s="17">
        <v>45904</v>
      </c>
      <c r="AG5687" s="80"/>
      <c r="AH5687" s="80"/>
      <c r="AI5687" s="147"/>
      <c r="AJ5687" s="80"/>
      <c r="AK5687" s="80"/>
      <c r="AL5687" s="35"/>
      <c r="AM5687" s="35"/>
      <c r="AN5687" s="35"/>
      <c r="AO5687" s="35"/>
      <c r="AP5687" s="35"/>
    </row>
    <row r="5688" spans="1:42" x14ac:dyDescent="0.2">
      <c r="A5688" s="126">
        <v>45648.90995961806</v>
      </c>
      <c r="B5688" s="137" t="s">
        <v>37</v>
      </c>
      <c r="C5688" s="41" t="s">
        <v>118</v>
      </c>
      <c r="D5688" s="80" t="s">
        <v>77</v>
      </c>
      <c r="E5688" s="80" t="s">
        <v>106</v>
      </c>
      <c r="F5688" s="80" t="s">
        <v>36</v>
      </c>
      <c r="G5688" s="80" t="s">
        <v>108</v>
      </c>
      <c r="H5688" s="80" t="s">
        <v>13902</v>
      </c>
      <c r="I5688" s="17">
        <f ca="1">IFERROR(__xludf.DUMMYFUNCTION("""COMPUTED_VALUE"""),45643)</f>
        <v>45643</v>
      </c>
      <c r="J5688" s="143" t="s">
        <v>19222</v>
      </c>
      <c r="K5688" s="145" t="s">
        <v>13212</v>
      </c>
      <c r="L5688" s="30">
        <v>388111256</v>
      </c>
      <c r="M5688" s="80" t="s">
        <v>15996</v>
      </c>
      <c r="N5688" s="80" t="s">
        <v>186</v>
      </c>
      <c r="O5688" s="80" t="s">
        <v>4503</v>
      </c>
      <c r="P5688" s="80" t="s">
        <v>3056</v>
      </c>
      <c r="Q5688" s="20">
        <v>3768</v>
      </c>
      <c r="R5688" s="80" t="s">
        <v>36</v>
      </c>
      <c r="S5688" s="95">
        <v>3668</v>
      </c>
      <c r="T5688" s="148">
        <v>45648</v>
      </c>
      <c r="U5688" s="77"/>
      <c r="V5688" s="78"/>
      <c r="W5688" s="85" t="s">
        <v>19223</v>
      </c>
      <c r="X5688" s="80"/>
      <c r="Y5688" s="22">
        <v>100</v>
      </c>
      <c r="Z5688" s="80" t="s">
        <v>50</v>
      </c>
      <c r="AA5688" s="35" t="s">
        <v>18579</v>
      </c>
      <c r="AB5688" s="86"/>
      <c r="AC5688" s="80" t="s">
        <v>53</v>
      </c>
      <c r="AD5688" s="80" t="s">
        <v>138</v>
      </c>
      <c r="AE5688" s="80"/>
      <c r="AF5688" s="17">
        <v>45650</v>
      </c>
      <c r="AG5688" s="80" t="s">
        <v>18387</v>
      </c>
      <c r="AH5688" s="80"/>
      <c r="AI5688" s="147"/>
      <c r="AJ5688" s="80"/>
      <c r="AK5688" s="80"/>
      <c r="AL5688" s="35"/>
      <c r="AM5688" s="35"/>
      <c r="AN5688" s="35"/>
      <c r="AO5688" s="35"/>
      <c r="AP5688" s="35"/>
    </row>
    <row r="5689" spans="1:42" x14ac:dyDescent="0.2">
      <c r="A5689" s="126">
        <v>45648.971998831017</v>
      </c>
      <c r="B5689" s="137" t="s">
        <v>37</v>
      </c>
      <c r="C5689" s="41" t="s">
        <v>118</v>
      </c>
      <c r="D5689" s="80" t="s">
        <v>36</v>
      </c>
      <c r="E5689" s="80" t="s">
        <v>77</v>
      </c>
      <c r="F5689" s="80" t="s">
        <v>40</v>
      </c>
      <c r="G5689" s="80" t="s">
        <v>41</v>
      </c>
      <c r="H5689" s="80" t="s">
        <v>19121</v>
      </c>
      <c r="I5689" s="17">
        <f ca="1">IFERROR(__xludf.DUMMYFUNCTION("""COMPUTED_VALUE"""),45659)</f>
        <v>45659</v>
      </c>
      <c r="J5689" s="143" t="s">
        <v>19224</v>
      </c>
      <c r="K5689" s="80" t="s">
        <v>19225</v>
      </c>
      <c r="L5689" s="30">
        <v>867400561</v>
      </c>
      <c r="M5689" s="80" t="s">
        <v>348</v>
      </c>
      <c r="N5689" s="80" t="s">
        <v>4299</v>
      </c>
      <c r="O5689" s="80" t="s">
        <v>19226</v>
      </c>
      <c r="P5689" s="80" t="s">
        <v>19227</v>
      </c>
      <c r="Q5689" s="20">
        <v>1968</v>
      </c>
      <c r="R5689" s="80" t="s">
        <v>36</v>
      </c>
      <c r="S5689" s="95">
        <v>1968</v>
      </c>
      <c r="T5689" s="148">
        <v>45648</v>
      </c>
      <c r="U5689" s="77"/>
      <c r="V5689" s="78"/>
      <c r="W5689" s="85" t="s">
        <v>19228</v>
      </c>
      <c r="X5689" s="80"/>
      <c r="Y5689" s="22">
        <v>0</v>
      </c>
      <c r="Z5689" s="80" t="s">
        <v>50</v>
      </c>
      <c r="AA5689" s="96" t="s">
        <v>18579</v>
      </c>
      <c r="AB5689" s="82"/>
      <c r="AC5689" s="80" t="s">
        <v>53</v>
      </c>
      <c r="AD5689" s="80" t="s">
        <v>138</v>
      </c>
      <c r="AE5689" s="80" t="s">
        <v>16305</v>
      </c>
      <c r="AF5689" s="17">
        <v>45659</v>
      </c>
      <c r="AG5689" s="80"/>
      <c r="AH5689" s="80"/>
      <c r="AI5689" s="147"/>
      <c r="AJ5689" s="80"/>
      <c r="AK5689" s="80"/>
      <c r="AL5689" s="35"/>
      <c r="AM5689" s="35"/>
      <c r="AN5689" s="35"/>
      <c r="AO5689" s="35"/>
      <c r="AP5689" s="35"/>
    </row>
    <row r="5690" spans="1:42" x14ac:dyDescent="0.2">
      <c r="A5690" s="126">
        <v>45648.973580798614</v>
      </c>
      <c r="B5690" s="137" t="s">
        <v>37</v>
      </c>
      <c r="C5690" s="41" t="s">
        <v>118</v>
      </c>
      <c r="D5690" s="80" t="s">
        <v>36</v>
      </c>
      <c r="E5690" s="80" t="s">
        <v>77</v>
      </c>
      <c r="F5690" s="80" t="s">
        <v>40</v>
      </c>
      <c r="G5690" s="80" t="s">
        <v>41</v>
      </c>
      <c r="H5690" s="80" t="s">
        <v>19121</v>
      </c>
      <c r="I5690" s="17">
        <f ca="1">IFERROR(__xludf.DUMMYFUNCTION("""COMPUTED_VALUE"""),45659)</f>
        <v>45659</v>
      </c>
      <c r="J5690" s="143" t="s">
        <v>19229</v>
      </c>
      <c r="K5690" s="80" t="s">
        <v>19230</v>
      </c>
      <c r="L5690" s="30">
        <v>325539978</v>
      </c>
      <c r="M5690" s="80" t="s">
        <v>348</v>
      </c>
      <c r="N5690" s="80" t="s">
        <v>4299</v>
      </c>
      <c r="O5690" s="80" t="s">
        <v>19231</v>
      </c>
      <c r="P5690" s="80" t="s">
        <v>19232</v>
      </c>
      <c r="Q5690" s="20">
        <v>1968</v>
      </c>
      <c r="R5690" s="80" t="s">
        <v>36</v>
      </c>
      <c r="S5690" s="95">
        <v>1968</v>
      </c>
      <c r="T5690" s="148">
        <v>45648</v>
      </c>
      <c r="U5690" s="77"/>
      <c r="V5690" s="78"/>
      <c r="W5690" s="85" t="s">
        <v>19233</v>
      </c>
      <c r="X5690" s="80"/>
      <c r="Y5690" s="22">
        <v>0</v>
      </c>
      <c r="Z5690" s="80" t="s">
        <v>50</v>
      </c>
      <c r="AA5690" s="35" t="s">
        <v>18579</v>
      </c>
      <c r="AB5690" s="86"/>
      <c r="AC5690" s="80" t="s">
        <v>53</v>
      </c>
      <c r="AD5690" s="80" t="s">
        <v>138</v>
      </c>
      <c r="AE5690" s="80" t="s">
        <v>16305</v>
      </c>
      <c r="AF5690" s="17">
        <v>45659</v>
      </c>
      <c r="AG5690" s="80"/>
      <c r="AH5690" s="80"/>
      <c r="AI5690" s="147"/>
      <c r="AJ5690" s="80"/>
      <c r="AK5690" s="80"/>
      <c r="AL5690" s="35"/>
      <c r="AM5690" s="35"/>
      <c r="AN5690" s="35"/>
      <c r="AO5690" s="35"/>
      <c r="AP5690" s="35"/>
    </row>
    <row r="5691" spans="1:42" x14ac:dyDescent="0.2">
      <c r="A5691" s="126">
        <v>45648.977637986114</v>
      </c>
      <c r="B5691" s="137" t="s">
        <v>37</v>
      </c>
      <c r="C5691" s="41" t="s">
        <v>118</v>
      </c>
      <c r="D5691" s="80" t="s">
        <v>36</v>
      </c>
      <c r="E5691" s="80" t="s">
        <v>77</v>
      </c>
      <c r="F5691" s="80" t="s">
        <v>40</v>
      </c>
      <c r="G5691" s="80" t="s">
        <v>41</v>
      </c>
      <c r="H5691" s="80" t="s">
        <v>19121</v>
      </c>
      <c r="I5691" s="17">
        <f ca="1">IFERROR(__xludf.DUMMYFUNCTION("""COMPUTED_VALUE"""),45659)</f>
        <v>45659</v>
      </c>
      <c r="J5691" s="143" t="s">
        <v>19234</v>
      </c>
      <c r="K5691" s="80" t="s">
        <v>19235</v>
      </c>
      <c r="L5691" s="30">
        <v>396487789</v>
      </c>
      <c r="M5691" s="80" t="s">
        <v>348</v>
      </c>
      <c r="N5691" s="80" t="s">
        <v>68</v>
      </c>
      <c r="O5691" s="80" t="s">
        <v>19236</v>
      </c>
      <c r="P5691" s="80" t="s">
        <v>19237</v>
      </c>
      <c r="Q5691" s="20">
        <v>1968</v>
      </c>
      <c r="R5691" s="80" t="s">
        <v>36</v>
      </c>
      <c r="S5691" s="95">
        <v>1968</v>
      </c>
      <c r="T5691" s="148">
        <v>45648</v>
      </c>
      <c r="U5691" s="77"/>
      <c r="V5691" s="78"/>
      <c r="W5691" s="85" t="s">
        <v>19238</v>
      </c>
      <c r="X5691" s="80"/>
      <c r="Y5691" s="22">
        <v>0</v>
      </c>
      <c r="Z5691" s="80" t="s">
        <v>50</v>
      </c>
      <c r="AA5691" s="96" t="s">
        <v>18579</v>
      </c>
      <c r="AB5691" s="82"/>
      <c r="AC5691" s="80" t="s">
        <v>53</v>
      </c>
      <c r="AD5691" s="80" t="s">
        <v>138</v>
      </c>
      <c r="AE5691" s="80" t="s">
        <v>16305</v>
      </c>
      <c r="AF5691" s="17">
        <v>45659</v>
      </c>
      <c r="AG5691" s="80"/>
      <c r="AH5691" s="80"/>
      <c r="AI5691" s="147"/>
      <c r="AJ5691" s="80"/>
      <c r="AK5691" s="80"/>
      <c r="AL5691" s="35"/>
      <c r="AM5691" s="35"/>
      <c r="AN5691" s="35"/>
      <c r="AO5691" s="35"/>
      <c r="AP5691" s="35"/>
    </row>
    <row r="5692" spans="1:42" x14ac:dyDescent="0.2">
      <c r="A5692" s="126">
        <v>45648.980283935191</v>
      </c>
      <c r="B5692" s="137" t="s">
        <v>37</v>
      </c>
      <c r="C5692" s="41" t="s">
        <v>118</v>
      </c>
      <c r="D5692" s="80" t="s">
        <v>36</v>
      </c>
      <c r="E5692" s="80" t="s">
        <v>77</v>
      </c>
      <c r="F5692" s="80" t="s">
        <v>40</v>
      </c>
      <c r="G5692" s="80" t="s">
        <v>41</v>
      </c>
      <c r="H5692" s="80" t="s">
        <v>19121</v>
      </c>
      <c r="I5692" s="17">
        <f ca="1">IFERROR(__xludf.DUMMYFUNCTION("""COMPUTED_VALUE"""),45659)</f>
        <v>45659</v>
      </c>
      <c r="J5692" s="143" t="s">
        <v>19239</v>
      </c>
      <c r="K5692" s="80" t="s">
        <v>19240</v>
      </c>
      <c r="L5692" s="30">
        <v>343702826</v>
      </c>
      <c r="M5692" s="80" t="s">
        <v>348</v>
      </c>
      <c r="N5692" s="80" t="s">
        <v>4299</v>
      </c>
      <c r="O5692" s="80" t="s">
        <v>19241</v>
      </c>
      <c r="P5692" s="80" t="s">
        <v>7743</v>
      </c>
      <c r="Q5692" s="20">
        <v>1968</v>
      </c>
      <c r="R5692" s="80" t="s">
        <v>36</v>
      </c>
      <c r="S5692" s="95">
        <v>1968</v>
      </c>
      <c r="T5692" s="148">
        <v>45648</v>
      </c>
      <c r="U5692" s="77"/>
      <c r="V5692" s="78"/>
      <c r="W5692" s="85" t="s">
        <v>19242</v>
      </c>
      <c r="X5692" s="80"/>
      <c r="Y5692" s="22">
        <v>0</v>
      </c>
      <c r="Z5692" s="80" t="s">
        <v>50</v>
      </c>
      <c r="AA5692" s="35" t="s">
        <v>18579</v>
      </c>
      <c r="AB5692" s="86"/>
      <c r="AC5692" s="80" t="s">
        <v>53</v>
      </c>
      <c r="AD5692" s="80" t="s">
        <v>138</v>
      </c>
      <c r="AE5692" s="80" t="s">
        <v>16305</v>
      </c>
      <c r="AF5692" s="17">
        <v>45659</v>
      </c>
      <c r="AG5692" s="80"/>
      <c r="AH5692" s="80"/>
      <c r="AI5692" s="147"/>
      <c r="AJ5692" s="80"/>
      <c r="AK5692" s="80"/>
      <c r="AL5692" s="35"/>
      <c r="AM5692" s="35"/>
      <c r="AN5692" s="35"/>
      <c r="AO5692" s="35"/>
      <c r="AP5692" s="35"/>
    </row>
    <row r="5693" spans="1:42" x14ac:dyDescent="0.2">
      <c r="A5693" s="126">
        <v>45648.986878263888</v>
      </c>
      <c r="B5693" s="137" t="s">
        <v>37</v>
      </c>
      <c r="C5693" s="41" t="s">
        <v>118</v>
      </c>
      <c r="D5693" s="80" t="s">
        <v>36</v>
      </c>
      <c r="E5693" s="80" t="s">
        <v>77</v>
      </c>
      <c r="F5693" s="80" t="s">
        <v>40</v>
      </c>
      <c r="G5693" s="80" t="s">
        <v>41</v>
      </c>
      <c r="H5693" s="80" t="s">
        <v>19121</v>
      </c>
      <c r="I5693" s="17">
        <f ca="1">IFERROR(__xludf.DUMMYFUNCTION("""COMPUTED_VALUE"""),45659)</f>
        <v>45659</v>
      </c>
      <c r="J5693" s="143" t="s">
        <v>19243</v>
      </c>
      <c r="K5693" s="80" t="s">
        <v>19244</v>
      </c>
      <c r="L5693" s="30">
        <v>986156325</v>
      </c>
      <c r="M5693" s="80" t="s">
        <v>348</v>
      </c>
      <c r="N5693" s="80" t="s">
        <v>4299</v>
      </c>
      <c r="O5693" s="80" t="s">
        <v>19245</v>
      </c>
      <c r="P5693" s="80" t="s">
        <v>18241</v>
      </c>
      <c r="Q5693" s="20">
        <v>1968</v>
      </c>
      <c r="R5693" s="80" t="s">
        <v>36</v>
      </c>
      <c r="S5693" s="95">
        <v>1968</v>
      </c>
      <c r="T5693" s="148">
        <v>45648</v>
      </c>
      <c r="U5693" s="77"/>
      <c r="V5693" s="78"/>
      <c r="W5693" s="85" t="s">
        <v>19246</v>
      </c>
      <c r="X5693" s="80"/>
      <c r="Y5693" s="22">
        <v>0</v>
      </c>
      <c r="Z5693" s="80" t="s">
        <v>50</v>
      </c>
      <c r="AA5693" s="96" t="s">
        <v>18579</v>
      </c>
      <c r="AB5693" s="82"/>
      <c r="AC5693" s="80" t="s">
        <v>53</v>
      </c>
      <c r="AD5693" s="80" t="s">
        <v>138</v>
      </c>
      <c r="AE5693" s="80" t="s">
        <v>17479</v>
      </c>
      <c r="AF5693" s="17">
        <v>45659</v>
      </c>
      <c r="AG5693" s="80"/>
      <c r="AH5693" s="80"/>
      <c r="AI5693" s="147"/>
      <c r="AJ5693" s="80"/>
      <c r="AK5693" s="80"/>
      <c r="AL5693" s="35"/>
      <c r="AM5693" s="35"/>
      <c r="AN5693" s="35"/>
      <c r="AO5693" s="35"/>
      <c r="AP5693" s="35"/>
    </row>
    <row r="5694" spans="1:42" x14ac:dyDescent="0.2">
      <c r="A5694" s="126">
        <v>45649.34982826389</v>
      </c>
      <c r="B5694" s="137" t="s">
        <v>37</v>
      </c>
      <c r="C5694" s="41" t="s">
        <v>118</v>
      </c>
      <c r="D5694" s="80" t="s">
        <v>36</v>
      </c>
      <c r="E5694" s="80" t="s">
        <v>915</v>
      </c>
      <c r="F5694" s="80" t="s">
        <v>14495</v>
      </c>
      <c r="G5694" s="161" t="s">
        <v>221</v>
      </c>
      <c r="H5694" s="80" t="s">
        <v>19247</v>
      </c>
      <c r="I5694" s="17">
        <f ca="1">IFERROR(__xludf.DUMMYFUNCTION("""COMPUTED_VALUE"""),45783)</f>
        <v>45783</v>
      </c>
      <c r="J5694" s="172" t="s">
        <v>19248</v>
      </c>
      <c r="K5694" s="80" t="s">
        <v>19249</v>
      </c>
      <c r="L5694" s="30">
        <v>913203900</v>
      </c>
      <c r="M5694" s="80" t="s">
        <v>3288</v>
      </c>
      <c r="N5694" s="80" t="s">
        <v>200</v>
      </c>
      <c r="O5694" s="80" t="s">
        <v>91</v>
      </c>
      <c r="P5694" s="80" t="s">
        <v>19250</v>
      </c>
      <c r="Q5694" s="20">
        <v>10894</v>
      </c>
      <c r="R5694" s="80" t="s">
        <v>36</v>
      </c>
      <c r="S5694" s="95">
        <v>10200</v>
      </c>
      <c r="T5694" s="148">
        <v>45647</v>
      </c>
      <c r="U5694" s="77"/>
      <c r="V5694" s="78"/>
      <c r="W5694" s="85" t="s">
        <v>19251</v>
      </c>
      <c r="X5694" s="80"/>
      <c r="Y5694" s="22">
        <v>694</v>
      </c>
      <c r="Z5694" s="80" t="s">
        <v>50</v>
      </c>
      <c r="AA5694" s="35" t="s">
        <v>18579</v>
      </c>
      <c r="AB5694" s="86"/>
      <c r="AC5694" s="80" t="s">
        <v>53</v>
      </c>
      <c r="AD5694" s="80" t="s">
        <v>138</v>
      </c>
      <c r="AE5694" s="80" t="s">
        <v>14495</v>
      </c>
      <c r="AF5694" s="17">
        <v>45783</v>
      </c>
      <c r="AG5694" s="80"/>
      <c r="AH5694" s="80"/>
      <c r="AI5694" s="147"/>
      <c r="AJ5694" s="80"/>
      <c r="AK5694" s="80"/>
      <c r="AL5694" s="35"/>
      <c r="AM5694" s="35"/>
      <c r="AN5694" s="35"/>
      <c r="AO5694" s="35"/>
      <c r="AP5694" s="35"/>
    </row>
    <row r="5695" spans="1:42" x14ac:dyDescent="0.2">
      <c r="A5695" s="126">
        <v>45649.961586284728</v>
      </c>
      <c r="B5695" s="137" t="s">
        <v>37</v>
      </c>
      <c r="C5695" s="41" t="s">
        <v>118</v>
      </c>
      <c r="D5695" s="80" t="s">
        <v>36</v>
      </c>
      <c r="E5695" s="80" t="s">
        <v>77</v>
      </c>
      <c r="F5695" s="80" t="s">
        <v>36</v>
      </c>
      <c r="G5695" s="80" t="s">
        <v>41</v>
      </c>
      <c r="H5695" s="80" t="s">
        <v>16183</v>
      </c>
      <c r="I5695" s="17">
        <f ca="1">IFERROR(__xludf.DUMMYFUNCTION("""COMPUTED_VALUE"""),45657)</f>
        <v>45657</v>
      </c>
      <c r="J5695" s="143" t="s">
        <v>19252</v>
      </c>
      <c r="K5695" s="80" t="s">
        <v>19253</v>
      </c>
      <c r="L5695" s="30">
        <v>869614117</v>
      </c>
      <c r="M5695" s="80" t="s">
        <v>16756</v>
      </c>
      <c r="N5695" s="80" t="s">
        <v>3525</v>
      </c>
      <c r="O5695" s="80" t="s">
        <v>19254</v>
      </c>
      <c r="P5695" s="80" t="s">
        <v>19255</v>
      </c>
      <c r="Q5695" s="20">
        <v>1968</v>
      </c>
      <c r="R5695" s="80" t="s">
        <v>36</v>
      </c>
      <c r="S5695" s="95">
        <v>1968</v>
      </c>
      <c r="T5695" s="148">
        <v>46014</v>
      </c>
      <c r="U5695" s="77"/>
      <c r="V5695" s="78"/>
      <c r="W5695" s="85" t="s">
        <v>19256</v>
      </c>
      <c r="X5695" s="80"/>
      <c r="Y5695" s="22">
        <v>0</v>
      </c>
      <c r="Z5695" s="80" t="s">
        <v>50</v>
      </c>
      <c r="AA5695" s="96" t="s">
        <v>18579</v>
      </c>
      <c r="AB5695" s="82"/>
      <c r="AC5695" s="80" t="s">
        <v>53</v>
      </c>
      <c r="AD5695" s="80" t="s">
        <v>54</v>
      </c>
      <c r="AE5695" s="80"/>
      <c r="AF5695" s="17">
        <v>45650</v>
      </c>
      <c r="AG5695" s="80"/>
      <c r="AH5695" s="80"/>
      <c r="AI5695" s="147"/>
      <c r="AJ5695" s="80"/>
      <c r="AK5695" s="80"/>
      <c r="AL5695" s="35"/>
      <c r="AM5695" s="35"/>
      <c r="AN5695" s="35"/>
      <c r="AO5695" s="35"/>
      <c r="AP5695" s="35"/>
    </row>
    <row r="5696" spans="1:42" x14ac:dyDescent="0.2">
      <c r="A5696" s="126">
        <v>45650.319845474536</v>
      </c>
      <c r="B5696" s="137" t="s">
        <v>37</v>
      </c>
      <c r="C5696" s="41" t="s">
        <v>118</v>
      </c>
      <c r="D5696" s="80" t="s">
        <v>36</v>
      </c>
      <c r="E5696" s="80" t="s">
        <v>119</v>
      </c>
      <c r="F5696" s="80" t="s">
        <v>36</v>
      </c>
      <c r="G5696" s="80" t="s">
        <v>108</v>
      </c>
      <c r="H5696" s="80" t="s">
        <v>10033</v>
      </c>
      <c r="I5696" s="17">
        <f ca="1">IFERROR(__xludf.DUMMYFUNCTION("""COMPUTED_VALUE"""),45664)</f>
        <v>45664</v>
      </c>
      <c r="J5696" s="143" t="s">
        <v>19257</v>
      </c>
      <c r="K5696" s="80" t="s">
        <v>19258</v>
      </c>
      <c r="L5696" s="30">
        <v>335105206</v>
      </c>
      <c r="M5696" s="80" t="s">
        <v>15996</v>
      </c>
      <c r="N5696" s="80" t="s">
        <v>186</v>
      </c>
      <c r="O5696" s="80" t="s">
        <v>4503</v>
      </c>
      <c r="P5696" s="144" t="s">
        <v>19259</v>
      </c>
      <c r="Q5696" s="20">
        <v>13968</v>
      </c>
      <c r="R5696" s="80" t="s">
        <v>70</v>
      </c>
      <c r="S5696" s="95">
        <f>200+13768</f>
        <v>13968</v>
      </c>
      <c r="T5696" s="83" t="s">
        <v>19260</v>
      </c>
      <c r="U5696" s="77"/>
      <c r="V5696" s="78"/>
      <c r="W5696" s="85" t="s">
        <v>19261</v>
      </c>
      <c r="X5696" s="80"/>
      <c r="Y5696" s="22">
        <v>0</v>
      </c>
      <c r="Z5696" s="80" t="s">
        <v>50</v>
      </c>
      <c r="AA5696" s="35" t="s">
        <v>18579</v>
      </c>
      <c r="AB5696" s="86"/>
      <c r="AC5696" s="80" t="s">
        <v>53</v>
      </c>
      <c r="AD5696" s="80" t="s">
        <v>54</v>
      </c>
      <c r="AE5696" s="80"/>
      <c r="AF5696" s="17">
        <v>45293</v>
      </c>
      <c r="AG5696" s="80"/>
      <c r="AH5696" s="80"/>
      <c r="AI5696" s="147"/>
      <c r="AJ5696" s="80"/>
      <c r="AK5696" s="80"/>
      <c r="AL5696" s="35"/>
      <c r="AM5696" s="35"/>
      <c r="AN5696" s="35"/>
      <c r="AO5696" s="35"/>
      <c r="AP5696" s="35"/>
    </row>
    <row r="5697" spans="1:42" x14ac:dyDescent="0.2">
      <c r="A5697" s="126">
        <v>45650.387325937496</v>
      </c>
      <c r="B5697" s="137" t="s">
        <v>37</v>
      </c>
      <c r="C5697" s="41" t="s">
        <v>118</v>
      </c>
      <c r="D5697" s="80" t="s">
        <v>36</v>
      </c>
      <c r="E5697" s="80" t="s">
        <v>106</v>
      </c>
      <c r="F5697" s="80" t="s">
        <v>36</v>
      </c>
      <c r="G5697" s="80" t="s">
        <v>108</v>
      </c>
      <c r="H5697" s="80" t="s">
        <v>18344</v>
      </c>
      <c r="I5697" s="17">
        <f ca="1">IFERROR(__xludf.DUMMYFUNCTION("""COMPUTED_VALUE"""),45656)</f>
        <v>45656</v>
      </c>
      <c r="J5697" s="143" t="s">
        <v>19262</v>
      </c>
      <c r="K5697" s="80" t="s">
        <v>19263</v>
      </c>
      <c r="L5697" s="30">
        <v>823322988</v>
      </c>
      <c r="M5697" s="80" t="s">
        <v>45</v>
      </c>
      <c r="N5697" s="80" t="s">
        <v>17728</v>
      </c>
      <c r="O5697" s="80" t="s">
        <v>19264</v>
      </c>
      <c r="P5697" s="80" t="s">
        <v>3694</v>
      </c>
      <c r="Q5697" s="20">
        <v>3768</v>
      </c>
      <c r="R5697" s="80" t="s">
        <v>36</v>
      </c>
      <c r="S5697" s="95">
        <v>3768</v>
      </c>
      <c r="T5697" s="148">
        <v>45650</v>
      </c>
      <c r="U5697" s="77"/>
      <c r="V5697" s="78"/>
      <c r="W5697" s="80"/>
      <c r="X5697" s="80"/>
      <c r="Y5697" s="22">
        <v>0</v>
      </c>
      <c r="Z5697" s="80" t="s">
        <v>50</v>
      </c>
      <c r="AA5697" s="96" t="s">
        <v>18579</v>
      </c>
      <c r="AB5697" s="82"/>
      <c r="AC5697" s="80" t="s">
        <v>53</v>
      </c>
      <c r="AD5697" s="80" t="s">
        <v>138</v>
      </c>
      <c r="AE5697" s="83">
        <v>350</v>
      </c>
      <c r="AF5697" s="17">
        <v>45652</v>
      </c>
      <c r="AG5697" s="80" t="s">
        <v>18327</v>
      </c>
      <c r="AH5697" s="80"/>
      <c r="AI5697" s="147"/>
      <c r="AJ5697" s="80"/>
      <c r="AK5697" s="80"/>
      <c r="AL5697" s="35"/>
      <c r="AM5697" s="35"/>
      <c r="AN5697" s="35"/>
      <c r="AO5697" s="35"/>
      <c r="AP5697" s="35"/>
    </row>
    <row r="5698" spans="1:42" x14ac:dyDescent="0.2">
      <c r="A5698" s="126">
        <v>45650.928584687499</v>
      </c>
      <c r="B5698" s="137" t="s">
        <v>37</v>
      </c>
      <c r="C5698" s="41" t="s">
        <v>118</v>
      </c>
      <c r="D5698" s="80" t="s">
        <v>77</v>
      </c>
      <c r="E5698" s="80" t="s">
        <v>106</v>
      </c>
      <c r="F5698" s="80" t="s">
        <v>17906</v>
      </c>
      <c r="G5698" s="80" t="s">
        <v>108</v>
      </c>
      <c r="H5698" s="80" t="s">
        <v>19086</v>
      </c>
      <c r="I5698" s="17">
        <f ca="1">IFERROR(__xludf.DUMMYFUNCTION("""COMPUTED_VALUE"""),45694)</f>
        <v>45694</v>
      </c>
      <c r="J5698" s="143" t="s">
        <v>19265</v>
      </c>
      <c r="K5698" s="80" t="s">
        <v>19266</v>
      </c>
      <c r="L5698" s="30">
        <v>393427787</v>
      </c>
      <c r="M5698" s="80" t="s">
        <v>18749</v>
      </c>
      <c r="N5698" s="80" t="s">
        <v>5277</v>
      </c>
      <c r="O5698" s="80" t="s">
        <v>17909</v>
      </c>
      <c r="P5698" s="144" t="s">
        <v>19267</v>
      </c>
      <c r="Q5698" s="20">
        <v>3768</v>
      </c>
      <c r="R5698" s="80" t="s">
        <v>36</v>
      </c>
      <c r="S5698" s="95">
        <v>3136</v>
      </c>
      <c r="T5698" s="148">
        <v>45641</v>
      </c>
      <c r="U5698" s="77">
        <v>532</v>
      </c>
      <c r="V5698" s="148">
        <v>45605</v>
      </c>
      <c r="W5698" s="80" t="s">
        <v>19268</v>
      </c>
      <c r="X5698" s="80"/>
      <c r="Y5698" s="22">
        <v>100</v>
      </c>
      <c r="Z5698" s="80" t="s">
        <v>50</v>
      </c>
      <c r="AA5698" s="35" t="s">
        <v>18579</v>
      </c>
      <c r="AB5698" s="175" t="s">
        <v>19269</v>
      </c>
      <c r="AC5698" s="80" t="s">
        <v>53</v>
      </c>
      <c r="AD5698" s="80" t="s">
        <v>54</v>
      </c>
      <c r="AE5698" s="80" t="s">
        <v>17906</v>
      </c>
      <c r="AF5698" s="17">
        <v>45693</v>
      </c>
      <c r="AG5698" s="80"/>
      <c r="AH5698" s="80"/>
      <c r="AI5698" s="147"/>
      <c r="AJ5698" s="80"/>
      <c r="AK5698" s="80"/>
      <c r="AL5698" s="35"/>
      <c r="AM5698" s="35"/>
      <c r="AN5698" s="35"/>
      <c r="AO5698" s="35"/>
      <c r="AP5698" s="35"/>
    </row>
    <row r="5699" spans="1:42" x14ac:dyDescent="0.2">
      <c r="A5699" s="126">
        <v>45651.644577291663</v>
      </c>
      <c r="B5699" s="137" t="s">
        <v>37</v>
      </c>
      <c r="C5699" s="41" t="s">
        <v>118</v>
      </c>
      <c r="D5699" s="80" t="s">
        <v>77</v>
      </c>
      <c r="E5699" s="80" t="s">
        <v>106</v>
      </c>
      <c r="F5699" s="80" t="s">
        <v>16705</v>
      </c>
      <c r="G5699" s="80" t="s">
        <v>108</v>
      </c>
      <c r="H5699" s="80" t="s">
        <v>14131</v>
      </c>
      <c r="I5699" s="17">
        <f ca="1">IFERROR(__xludf.DUMMYFUNCTION("""COMPUTED_VALUE"""),45705)</f>
        <v>45705</v>
      </c>
      <c r="J5699" s="143" t="s">
        <v>18145</v>
      </c>
      <c r="K5699" s="80" t="s">
        <v>18146</v>
      </c>
      <c r="L5699" s="30">
        <v>936873697</v>
      </c>
      <c r="M5699" s="80" t="s">
        <v>59</v>
      </c>
      <c r="N5699" s="80" t="s">
        <v>4299</v>
      </c>
      <c r="O5699" s="80" t="s">
        <v>18147</v>
      </c>
      <c r="P5699" s="205" t="s">
        <v>19270</v>
      </c>
      <c r="Q5699" s="20">
        <v>3768</v>
      </c>
      <c r="R5699" s="80" t="s">
        <v>36</v>
      </c>
      <c r="S5699" s="95">
        <v>3668</v>
      </c>
      <c r="T5699" s="148">
        <v>45650</v>
      </c>
      <c r="U5699" s="77"/>
      <c r="V5699" s="78"/>
      <c r="W5699" s="85" t="s">
        <v>19271</v>
      </c>
      <c r="X5699" s="80"/>
      <c r="Y5699" s="22">
        <v>100</v>
      </c>
      <c r="Z5699" s="80" t="s">
        <v>50</v>
      </c>
      <c r="AA5699" s="96" t="s">
        <v>18579</v>
      </c>
      <c r="AB5699" s="82"/>
      <c r="AC5699" s="80" t="s">
        <v>53</v>
      </c>
      <c r="AD5699" s="80" t="s">
        <v>54</v>
      </c>
      <c r="AE5699" s="80" t="s">
        <v>2752</v>
      </c>
      <c r="AF5699" s="17">
        <v>45699</v>
      </c>
      <c r="AG5699" s="80"/>
      <c r="AH5699" s="80"/>
      <c r="AI5699" s="147"/>
      <c r="AJ5699" s="80"/>
      <c r="AK5699" s="80"/>
      <c r="AL5699" s="35"/>
      <c r="AM5699" s="35"/>
      <c r="AN5699" s="35"/>
      <c r="AO5699" s="35"/>
      <c r="AP5699" s="35"/>
    </row>
    <row r="5700" spans="1:42" x14ac:dyDescent="0.2">
      <c r="A5700" s="126">
        <v>45651.646179953706</v>
      </c>
      <c r="B5700" s="137" t="s">
        <v>37</v>
      </c>
      <c r="C5700" s="41" t="s">
        <v>118</v>
      </c>
      <c r="D5700" s="80" t="s">
        <v>77</v>
      </c>
      <c r="E5700" s="80" t="s">
        <v>106</v>
      </c>
      <c r="F5700" s="80" t="s">
        <v>16705</v>
      </c>
      <c r="G5700" s="80" t="s">
        <v>108</v>
      </c>
      <c r="H5700" s="80" t="s">
        <v>14131</v>
      </c>
      <c r="I5700" s="17">
        <f ca="1">IFERROR(__xludf.DUMMYFUNCTION("""COMPUTED_VALUE"""),45705)</f>
        <v>45705</v>
      </c>
      <c r="J5700" s="143" t="s">
        <v>18153</v>
      </c>
      <c r="K5700" s="80" t="s">
        <v>19272</v>
      </c>
      <c r="L5700" s="30">
        <v>975159328</v>
      </c>
      <c r="M5700" s="80" t="s">
        <v>59</v>
      </c>
      <c r="N5700" s="80" t="s">
        <v>4299</v>
      </c>
      <c r="O5700" s="80" t="s">
        <v>18155</v>
      </c>
      <c r="P5700" s="205" t="s">
        <v>19270</v>
      </c>
      <c r="Q5700" s="20">
        <v>3768</v>
      </c>
      <c r="R5700" s="80" t="s">
        <v>36</v>
      </c>
      <c r="S5700" s="95">
        <v>3668</v>
      </c>
      <c r="T5700" s="148">
        <v>45650</v>
      </c>
      <c r="U5700" s="77"/>
      <c r="V5700" s="78"/>
      <c r="W5700" s="85" t="s">
        <v>19273</v>
      </c>
      <c r="X5700" s="80"/>
      <c r="Y5700" s="22">
        <v>100</v>
      </c>
      <c r="Z5700" s="80" t="s">
        <v>50</v>
      </c>
      <c r="AA5700" s="35" t="s">
        <v>18579</v>
      </c>
      <c r="AB5700" s="86"/>
      <c r="AC5700" s="80" t="s">
        <v>53</v>
      </c>
      <c r="AD5700" s="80" t="s">
        <v>54</v>
      </c>
      <c r="AE5700" s="80" t="s">
        <v>2752</v>
      </c>
      <c r="AF5700" s="17">
        <v>45699</v>
      </c>
      <c r="AG5700" s="80"/>
      <c r="AH5700" s="80"/>
      <c r="AI5700" s="147"/>
      <c r="AJ5700" s="80"/>
      <c r="AK5700" s="80"/>
      <c r="AL5700" s="35"/>
      <c r="AM5700" s="35"/>
      <c r="AN5700" s="35"/>
      <c r="AO5700" s="35"/>
      <c r="AP5700" s="35"/>
    </row>
    <row r="5701" spans="1:42" x14ac:dyDescent="0.2">
      <c r="A5701" s="126">
        <v>45651.651117002315</v>
      </c>
      <c r="B5701" s="137" t="s">
        <v>37</v>
      </c>
      <c r="C5701" s="41" t="s">
        <v>118</v>
      </c>
      <c r="D5701" s="80" t="s">
        <v>77</v>
      </c>
      <c r="E5701" s="80" t="s">
        <v>106</v>
      </c>
      <c r="F5701" s="80" t="s">
        <v>17906</v>
      </c>
      <c r="G5701" s="80" t="s">
        <v>108</v>
      </c>
      <c r="H5701" s="80" t="s">
        <v>19086</v>
      </c>
      <c r="I5701" s="17">
        <f ca="1">IFERROR(__xludf.DUMMYFUNCTION("""COMPUTED_VALUE"""),45694)</f>
        <v>45694</v>
      </c>
      <c r="J5701" s="143" t="s">
        <v>17946</v>
      </c>
      <c r="K5701" s="80" t="s">
        <v>19274</v>
      </c>
      <c r="L5701" s="30">
        <v>962574633</v>
      </c>
      <c r="M5701" s="80" t="s">
        <v>59</v>
      </c>
      <c r="N5701" s="80" t="s">
        <v>4299</v>
      </c>
      <c r="O5701" s="80" t="s">
        <v>19275</v>
      </c>
      <c r="P5701" s="80" t="s">
        <v>17949</v>
      </c>
      <c r="Q5701" s="20">
        <v>3768</v>
      </c>
      <c r="R5701" s="80" t="s">
        <v>36</v>
      </c>
      <c r="S5701" s="95">
        <v>3668</v>
      </c>
      <c r="T5701" s="148">
        <v>45650</v>
      </c>
      <c r="U5701" s="77"/>
      <c r="V5701" s="78"/>
      <c r="W5701" s="85" t="s">
        <v>19276</v>
      </c>
      <c r="X5701" s="80"/>
      <c r="Y5701" s="22">
        <v>100</v>
      </c>
      <c r="Z5701" s="80" t="s">
        <v>50</v>
      </c>
      <c r="AA5701" s="96" t="s">
        <v>18579</v>
      </c>
      <c r="AB5701" s="82"/>
      <c r="AC5701" s="80" t="s">
        <v>53</v>
      </c>
      <c r="AD5701" s="80" t="s">
        <v>54</v>
      </c>
      <c r="AE5701" s="80" t="s">
        <v>17906</v>
      </c>
      <c r="AF5701" s="17">
        <v>45693</v>
      </c>
      <c r="AG5701" s="80"/>
      <c r="AH5701" s="80"/>
      <c r="AI5701" s="147"/>
      <c r="AJ5701" s="80"/>
      <c r="AK5701" s="80"/>
      <c r="AL5701" s="35"/>
      <c r="AM5701" s="35"/>
      <c r="AN5701" s="35"/>
      <c r="AO5701" s="35"/>
      <c r="AP5701" s="35"/>
    </row>
    <row r="5702" spans="1:42" x14ac:dyDescent="0.2">
      <c r="A5702" s="126">
        <v>45651.663792581021</v>
      </c>
      <c r="B5702" s="137" t="s">
        <v>37</v>
      </c>
      <c r="C5702" s="41" t="s">
        <v>118</v>
      </c>
      <c r="D5702" s="80" t="s">
        <v>36</v>
      </c>
      <c r="E5702" s="80" t="s">
        <v>106</v>
      </c>
      <c r="F5702" s="80" t="s">
        <v>36</v>
      </c>
      <c r="G5702" s="80" t="s">
        <v>108</v>
      </c>
      <c r="H5702" s="80" t="s">
        <v>13943</v>
      </c>
      <c r="I5702" s="17">
        <f ca="1">IFERROR(__xludf.DUMMYFUNCTION("""COMPUTED_VALUE"""),45660)</f>
        <v>45660</v>
      </c>
      <c r="J5702" s="143" t="s">
        <v>19277</v>
      </c>
      <c r="K5702" s="80" t="s">
        <v>19278</v>
      </c>
      <c r="L5702" s="30">
        <v>968580907</v>
      </c>
      <c r="M5702" s="80" t="s">
        <v>9422</v>
      </c>
      <c r="N5702" s="80" t="s">
        <v>327</v>
      </c>
      <c r="O5702" s="80" t="s">
        <v>91</v>
      </c>
      <c r="P5702" s="80" t="s">
        <v>19279</v>
      </c>
      <c r="Q5702" s="20">
        <v>3768</v>
      </c>
      <c r="R5702" s="80" t="s">
        <v>36</v>
      </c>
      <c r="S5702" s="95">
        <v>3768</v>
      </c>
      <c r="T5702" s="148">
        <v>45651</v>
      </c>
      <c r="U5702" s="77"/>
      <c r="V5702" s="78"/>
      <c r="W5702" s="85" t="s">
        <v>19280</v>
      </c>
      <c r="X5702" s="80"/>
      <c r="Y5702" s="22">
        <v>0</v>
      </c>
      <c r="Z5702" s="80" t="s">
        <v>50</v>
      </c>
      <c r="AA5702" s="35" t="s">
        <v>18579</v>
      </c>
      <c r="AB5702" s="86"/>
      <c r="AC5702" s="80" t="s">
        <v>53</v>
      </c>
      <c r="AD5702" s="80" t="s">
        <v>54</v>
      </c>
      <c r="AE5702" s="83">
        <v>380</v>
      </c>
      <c r="AF5702" s="17">
        <v>45653</v>
      </c>
      <c r="AG5702" s="80"/>
      <c r="AH5702" s="80"/>
      <c r="AI5702" s="147"/>
      <c r="AJ5702" s="80"/>
      <c r="AK5702" s="80"/>
      <c r="AL5702" s="35"/>
      <c r="AM5702" s="35"/>
      <c r="AN5702" s="35"/>
      <c r="AO5702" s="35"/>
      <c r="AP5702" s="35"/>
    </row>
    <row r="5703" spans="1:42" x14ac:dyDescent="0.2">
      <c r="A5703" s="126">
        <v>45652.027251921296</v>
      </c>
      <c r="B5703" s="137" t="s">
        <v>37</v>
      </c>
      <c r="C5703" s="41" t="s">
        <v>118</v>
      </c>
      <c r="D5703" s="80" t="s">
        <v>36</v>
      </c>
      <c r="E5703" s="80" t="s">
        <v>77</v>
      </c>
      <c r="F5703" s="80" t="s">
        <v>40</v>
      </c>
      <c r="G5703" s="80" t="s">
        <v>41</v>
      </c>
      <c r="H5703" s="80" t="s">
        <v>16183</v>
      </c>
      <c r="I5703" s="17">
        <f ca="1">IFERROR(__xludf.DUMMYFUNCTION("""COMPUTED_VALUE"""),45657)</f>
        <v>45657</v>
      </c>
      <c r="J5703" s="143" t="s">
        <v>19281</v>
      </c>
      <c r="K5703" s="80" t="s">
        <v>19282</v>
      </c>
      <c r="L5703" s="30">
        <v>345446880</v>
      </c>
      <c r="M5703" s="80" t="s">
        <v>348</v>
      </c>
      <c r="N5703" s="80" t="s">
        <v>4299</v>
      </c>
      <c r="O5703" s="80" t="s">
        <v>19283</v>
      </c>
      <c r="P5703" s="144" t="s">
        <v>19284</v>
      </c>
      <c r="Q5703" s="20">
        <v>1968</v>
      </c>
      <c r="R5703" s="80" t="s">
        <v>36</v>
      </c>
      <c r="S5703" s="95">
        <v>1968</v>
      </c>
      <c r="T5703" s="148">
        <v>45651</v>
      </c>
      <c r="U5703" s="77"/>
      <c r="V5703" s="78"/>
      <c r="W5703" s="85" t="s">
        <v>19285</v>
      </c>
      <c r="X5703" s="80"/>
      <c r="Y5703" s="22">
        <v>0</v>
      </c>
      <c r="Z5703" s="80" t="s">
        <v>50</v>
      </c>
      <c r="AA5703" s="96" t="s">
        <v>18579</v>
      </c>
      <c r="AB5703" s="82"/>
      <c r="AC5703" s="80" t="s">
        <v>53</v>
      </c>
      <c r="AD5703" s="80" t="s">
        <v>54</v>
      </c>
      <c r="AE5703" s="80" t="s">
        <v>16312</v>
      </c>
      <c r="AF5703" s="17">
        <v>45652</v>
      </c>
      <c r="AG5703" s="80"/>
      <c r="AH5703" s="80"/>
      <c r="AI5703" s="147"/>
      <c r="AJ5703" s="80"/>
      <c r="AK5703" s="80"/>
      <c r="AL5703" s="35"/>
      <c r="AM5703" s="35"/>
      <c r="AN5703" s="35"/>
      <c r="AO5703" s="35"/>
      <c r="AP5703" s="35"/>
    </row>
    <row r="5704" spans="1:42" x14ac:dyDescent="0.2">
      <c r="A5704" s="126">
        <v>45652.032724548611</v>
      </c>
      <c r="B5704" s="137" t="s">
        <v>37</v>
      </c>
      <c r="C5704" s="41" t="s">
        <v>105</v>
      </c>
      <c r="D5704" s="80" t="s">
        <v>77</v>
      </c>
      <c r="E5704" s="80" t="s">
        <v>106</v>
      </c>
      <c r="F5704" s="80" t="s">
        <v>13283</v>
      </c>
      <c r="G5704" s="80" t="s">
        <v>108</v>
      </c>
      <c r="H5704" s="80" t="s">
        <v>14471</v>
      </c>
      <c r="I5704" s="17">
        <f ca="1">IFERROR(__xludf.DUMMYFUNCTION("""COMPUTED_VALUE"""),45701)</f>
        <v>45701</v>
      </c>
      <c r="J5704" s="143" t="s">
        <v>18138</v>
      </c>
      <c r="K5704" s="80" t="s">
        <v>19286</v>
      </c>
      <c r="L5704" s="30">
        <v>358639830</v>
      </c>
      <c r="M5704" s="80" t="s">
        <v>59</v>
      </c>
      <c r="N5704" s="80" t="s">
        <v>4299</v>
      </c>
      <c r="O5704" s="80" t="s">
        <v>18139</v>
      </c>
      <c r="P5704" s="80" t="s">
        <v>19287</v>
      </c>
      <c r="Q5704" s="20">
        <v>3768</v>
      </c>
      <c r="R5704" s="80" t="s">
        <v>36</v>
      </c>
      <c r="S5704" s="95">
        <v>3668</v>
      </c>
      <c r="T5704" s="148">
        <v>45651</v>
      </c>
      <c r="U5704" s="77"/>
      <c r="V5704" s="78"/>
      <c r="W5704" s="85" t="s">
        <v>19288</v>
      </c>
      <c r="X5704" s="80"/>
      <c r="Y5704" s="22">
        <v>100</v>
      </c>
      <c r="Z5704" s="80" t="s">
        <v>50</v>
      </c>
      <c r="AA5704" s="35" t="s">
        <v>18579</v>
      </c>
      <c r="AB5704" s="86"/>
      <c r="AC5704" s="80" t="s">
        <v>53</v>
      </c>
      <c r="AD5704" s="80" t="s">
        <v>54</v>
      </c>
      <c r="AE5704" s="80" t="s">
        <v>2752</v>
      </c>
      <c r="AF5704" s="17">
        <v>45695</v>
      </c>
      <c r="AG5704" s="80"/>
      <c r="AH5704" s="80"/>
      <c r="AI5704" s="147"/>
      <c r="AJ5704" s="80"/>
      <c r="AK5704" s="80"/>
      <c r="AL5704" s="35"/>
      <c r="AM5704" s="35"/>
      <c r="AN5704" s="35"/>
      <c r="AO5704" s="35"/>
      <c r="AP5704" s="35"/>
    </row>
    <row r="5705" spans="1:42" x14ac:dyDescent="0.2">
      <c r="A5705" s="126">
        <v>45652.035540138888</v>
      </c>
      <c r="B5705" s="137" t="s">
        <v>37</v>
      </c>
      <c r="C5705" s="41" t="s">
        <v>118</v>
      </c>
      <c r="D5705" s="80" t="s">
        <v>77</v>
      </c>
      <c r="E5705" s="80" t="s">
        <v>148</v>
      </c>
      <c r="F5705" s="80" t="s">
        <v>12849</v>
      </c>
      <c r="G5705" s="80" t="s">
        <v>108</v>
      </c>
      <c r="H5705" s="80" t="s">
        <v>14711</v>
      </c>
      <c r="I5705" s="17">
        <f ca="1">IFERROR(__xludf.DUMMYFUNCTION("""COMPUTED_VALUE"""),45678)</f>
        <v>45678</v>
      </c>
      <c r="J5705" s="143" t="s">
        <v>19289</v>
      </c>
      <c r="K5705" s="80" t="s">
        <v>19290</v>
      </c>
      <c r="L5705" s="30">
        <v>862515790</v>
      </c>
      <c r="M5705" s="80" t="s">
        <v>59</v>
      </c>
      <c r="N5705" s="80" t="s">
        <v>9301</v>
      </c>
      <c r="O5705" s="80" t="s">
        <v>19291</v>
      </c>
      <c r="P5705" s="80" t="s">
        <v>19292</v>
      </c>
      <c r="Q5705" s="20">
        <v>7349</v>
      </c>
      <c r="R5705" s="80" t="s">
        <v>36</v>
      </c>
      <c r="S5705" s="95">
        <v>7250</v>
      </c>
      <c r="T5705" s="148">
        <v>45651</v>
      </c>
      <c r="U5705" s="77"/>
      <c r="V5705" s="78"/>
      <c r="W5705" s="85" t="s">
        <v>19293</v>
      </c>
      <c r="X5705" s="80"/>
      <c r="Y5705" s="22">
        <v>99</v>
      </c>
      <c r="Z5705" s="80" t="s">
        <v>50</v>
      </c>
      <c r="AA5705" s="96" t="s">
        <v>18579</v>
      </c>
      <c r="AB5705" s="82"/>
      <c r="AC5705" s="80" t="s">
        <v>53</v>
      </c>
      <c r="AD5705" s="80" t="s">
        <v>54</v>
      </c>
      <c r="AE5705" s="80" t="s">
        <v>2752</v>
      </c>
      <c r="AF5705" s="17">
        <v>45672</v>
      </c>
      <c r="AG5705" s="80"/>
      <c r="AH5705" s="80"/>
      <c r="AI5705" s="147"/>
      <c r="AJ5705" s="80"/>
      <c r="AK5705" s="80"/>
      <c r="AL5705" s="35"/>
      <c r="AM5705" s="35"/>
      <c r="AN5705" s="35"/>
      <c r="AO5705" s="35"/>
      <c r="AP5705" s="35"/>
    </row>
    <row r="5706" spans="1:42" x14ac:dyDescent="0.2">
      <c r="A5706" s="126">
        <v>45653.321168923612</v>
      </c>
      <c r="B5706" s="137" t="s">
        <v>37</v>
      </c>
      <c r="C5706" s="41" t="s">
        <v>118</v>
      </c>
      <c r="D5706" s="80" t="s">
        <v>36</v>
      </c>
      <c r="E5706" s="80" t="s">
        <v>148</v>
      </c>
      <c r="F5706" s="80" t="s">
        <v>11640</v>
      </c>
      <c r="G5706" s="80" t="s">
        <v>108</v>
      </c>
      <c r="H5706" s="80" t="s">
        <v>19294</v>
      </c>
      <c r="I5706" s="17">
        <f ca="1">IFERROR(__xludf.DUMMYFUNCTION("""COMPUTED_VALUE"""),45709)</f>
        <v>45709</v>
      </c>
      <c r="J5706" s="172" t="s">
        <v>19295</v>
      </c>
      <c r="K5706" s="145" t="s">
        <v>19296</v>
      </c>
      <c r="L5706" s="30">
        <v>389156850</v>
      </c>
      <c r="M5706" s="80" t="s">
        <v>45</v>
      </c>
      <c r="N5706" s="80" t="s">
        <v>1472</v>
      </c>
      <c r="O5706" s="80" t="s">
        <v>17899</v>
      </c>
      <c r="P5706" s="80" t="s">
        <v>3694</v>
      </c>
      <c r="Q5706" s="20">
        <v>7349</v>
      </c>
      <c r="R5706" s="80" t="s">
        <v>36</v>
      </c>
      <c r="S5706" s="95">
        <v>7317</v>
      </c>
      <c r="T5706" s="148">
        <v>45653</v>
      </c>
      <c r="U5706" s="77"/>
      <c r="V5706" s="78"/>
      <c r="W5706" s="85" t="s">
        <v>19297</v>
      </c>
      <c r="X5706" s="80"/>
      <c r="Y5706" s="22">
        <v>32</v>
      </c>
      <c r="Z5706" s="80" t="s">
        <v>50</v>
      </c>
      <c r="AA5706" s="35" t="s">
        <v>18579</v>
      </c>
      <c r="AB5706" s="86"/>
      <c r="AC5706" s="80" t="s">
        <v>53</v>
      </c>
      <c r="AD5706" s="80" t="s">
        <v>138</v>
      </c>
      <c r="AE5706" s="83">
        <v>350</v>
      </c>
      <c r="AF5706" s="17">
        <v>45709</v>
      </c>
      <c r="AG5706" s="80"/>
      <c r="AH5706" s="80"/>
      <c r="AI5706" s="147"/>
      <c r="AJ5706" s="80"/>
      <c r="AK5706" s="80"/>
      <c r="AL5706" s="35"/>
      <c r="AM5706" s="35"/>
      <c r="AN5706" s="35"/>
      <c r="AO5706" s="35"/>
      <c r="AP5706" s="35"/>
    </row>
    <row r="5707" spans="1:42" x14ac:dyDescent="0.2">
      <c r="A5707" s="126">
        <v>45653.456973900466</v>
      </c>
      <c r="B5707" s="137" t="s">
        <v>37</v>
      </c>
      <c r="C5707" s="41" t="s">
        <v>118</v>
      </c>
      <c r="D5707" s="80" t="s">
        <v>36</v>
      </c>
      <c r="E5707" s="80" t="s">
        <v>56</v>
      </c>
      <c r="F5707" s="80" t="s">
        <v>36</v>
      </c>
      <c r="G5707" s="80" t="s">
        <v>41</v>
      </c>
      <c r="H5707" s="80" t="s">
        <v>16519</v>
      </c>
      <c r="I5707" s="17">
        <f ca="1">IFERROR(__xludf.DUMMYFUNCTION("""COMPUTED_VALUE"""),45707)</f>
        <v>45707</v>
      </c>
      <c r="J5707" s="143" t="s">
        <v>19298</v>
      </c>
      <c r="K5707" s="80" t="s">
        <v>19299</v>
      </c>
      <c r="L5707" s="30">
        <v>339939481</v>
      </c>
      <c r="M5707" s="80" t="s">
        <v>45</v>
      </c>
      <c r="N5707" s="80" t="s">
        <v>16349</v>
      </c>
      <c r="O5707" s="80" t="s">
        <v>4503</v>
      </c>
      <c r="P5707" s="80" t="s">
        <v>3694</v>
      </c>
      <c r="Q5707" s="20">
        <v>9317</v>
      </c>
      <c r="R5707" s="80" t="s">
        <v>36</v>
      </c>
      <c r="S5707" s="95">
        <v>9317</v>
      </c>
      <c r="T5707" s="148">
        <v>45653</v>
      </c>
      <c r="U5707" s="77"/>
      <c r="V5707" s="78"/>
      <c r="W5707" s="85" t="s">
        <v>19300</v>
      </c>
      <c r="X5707" s="80"/>
      <c r="Y5707" s="22">
        <v>0</v>
      </c>
      <c r="Z5707" s="80" t="s">
        <v>50</v>
      </c>
      <c r="AA5707" s="96" t="s">
        <v>18579</v>
      </c>
      <c r="AB5707" s="82"/>
      <c r="AC5707" s="80" t="s">
        <v>53</v>
      </c>
      <c r="AD5707" s="80" t="s">
        <v>138</v>
      </c>
      <c r="AE5707" s="83"/>
      <c r="AF5707" s="17">
        <v>45707</v>
      </c>
      <c r="AG5707" s="80"/>
      <c r="AH5707" s="80"/>
      <c r="AI5707" s="147"/>
      <c r="AJ5707" s="80"/>
      <c r="AK5707" s="80"/>
      <c r="AL5707" s="35"/>
      <c r="AM5707" s="35"/>
      <c r="AN5707" s="35"/>
      <c r="AO5707" s="35"/>
      <c r="AP5707" s="35"/>
    </row>
    <row r="5708" spans="1:42" x14ac:dyDescent="0.2">
      <c r="A5708" s="126">
        <v>45653.585286238427</v>
      </c>
      <c r="B5708" s="137" t="s">
        <v>37</v>
      </c>
      <c r="C5708" s="41" t="s">
        <v>118</v>
      </c>
      <c r="D5708" s="80" t="s">
        <v>36</v>
      </c>
      <c r="E5708" s="80" t="s">
        <v>139</v>
      </c>
      <c r="F5708" s="80" t="s">
        <v>36</v>
      </c>
      <c r="G5708" s="80" t="s">
        <v>41</v>
      </c>
      <c r="H5708" s="80" t="s">
        <v>19301</v>
      </c>
      <c r="I5708" s="17">
        <f ca="1">IFERROR(__xludf.DUMMYFUNCTION("""COMPUTED_VALUE"""),45712)</f>
        <v>45712</v>
      </c>
      <c r="J5708" s="143" t="s">
        <v>19302</v>
      </c>
      <c r="K5708" s="80" t="s">
        <v>19303</v>
      </c>
      <c r="L5708" s="30">
        <v>963367296</v>
      </c>
      <c r="M5708" s="80" t="s">
        <v>45</v>
      </c>
      <c r="N5708" s="80" t="s">
        <v>299</v>
      </c>
      <c r="O5708" s="80" t="s">
        <v>19304</v>
      </c>
      <c r="P5708" s="80" t="s">
        <v>19305</v>
      </c>
      <c r="Q5708" s="20">
        <v>15936</v>
      </c>
      <c r="R5708" s="80" t="s">
        <v>36</v>
      </c>
      <c r="S5708" s="95">
        <v>9317</v>
      </c>
      <c r="T5708" s="148">
        <v>45648</v>
      </c>
      <c r="U5708" s="95">
        <v>6619</v>
      </c>
      <c r="V5708" s="148">
        <v>45655</v>
      </c>
      <c r="W5708" s="85" t="s">
        <v>19306</v>
      </c>
      <c r="X5708" s="80"/>
      <c r="Y5708" s="22">
        <v>0</v>
      </c>
      <c r="Z5708" s="80" t="s">
        <v>50</v>
      </c>
      <c r="AA5708" s="35" t="s">
        <v>18579</v>
      </c>
      <c r="AB5708" s="86"/>
      <c r="AC5708" s="80" t="s">
        <v>53</v>
      </c>
      <c r="AD5708" s="80" t="s">
        <v>138</v>
      </c>
      <c r="AE5708" s="83">
        <v>0</v>
      </c>
      <c r="AF5708" s="17">
        <v>45656</v>
      </c>
      <c r="AG5708" s="80" t="s">
        <v>19307</v>
      </c>
      <c r="AH5708" s="80"/>
      <c r="AI5708" s="147"/>
      <c r="AJ5708" s="80"/>
      <c r="AK5708" s="80"/>
      <c r="AL5708" s="35"/>
      <c r="AM5708" s="35"/>
      <c r="AN5708" s="35"/>
      <c r="AO5708" s="35"/>
      <c r="AP5708" s="35"/>
    </row>
    <row r="5709" spans="1:42" x14ac:dyDescent="0.2">
      <c r="A5709" s="126">
        <v>45653.903100555559</v>
      </c>
      <c r="B5709" s="137" t="s">
        <v>37</v>
      </c>
      <c r="C5709" s="41" t="s">
        <v>118</v>
      </c>
      <c r="D5709" s="80" t="s">
        <v>36</v>
      </c>
      <c r="E5709" s="80" t="s">
        <v>77</v>
      </c>
      <c r="F5709" s="80" t="s">
        <v>40</v>
      </c>
      <c r="G5709" s="80" t="s">
        <v>41</v>
      </c>
      <c r="H5709" s="80" t="s">
        <v>19308</v>
      </c>
      <c r="I5709" s="17">
        <f ca="1">IFERROR(__xludf.DUMMYFUNCTION("""COMPUTED_VALUE"""),45709)</f>
        <v>45709</v>
      </c>
      <c r="J5709" s="143" t="s">
        <v>19309</v>
      </c>
      <c r="K5709" s="80" t="s">
        <v>19310</v>
      </c>
      <c r="L5709" s="30">
        <v>896677508</v>
      </c>
      <c r="M5709" s="80" t="s">
        <v>9422</v>
      </c>
      <c r="N5709" s="80" t="s">
        <v>19311</v>
      </c>
      <c r="O5709" s="80" t="s">
        <v>91</v>
      </c>
      <c r="P5709" s="80" t="s">
        <v>19312</v>
      </c>
      <c r="Q5709" s="20">
        <v>1968</v>
      </c>
      <c r="R5709" s="80" t="s">
        <v>36</v>
      </c>
      <c r="S5709" s="95">
        <f>1000+968</f>
        <v>1968</v>
      </c>
      <c r="T5709" s="148">
        <v>45639</v>
      </c>
      <c r="U5709" s="95"/>
      <c r="V5709" s="148">
        <v>45653</v>
      </c>
      <c r="W5709" s="80" t="s">
        <v>19313</v>
      </c>
      <c r="X5709" s="80"/>
      <c r="Y5709" s="22">
        <v>0</v>
      </c>
      <c r="Z5709" s="80" t="s">
        <v>50</v>
      </c>
      <c r="AA5709" s="96" t="s">
        <v>18579</v>
      </c>
      <c r="AB5709" s="82"/>
      <c r="AC5709" s="80" t="s">
        <v>53</v>
      </c>
      <c r="AD5709" s="80" t="s">
        <v>54</v>
      </c>
      <c r="AE5709" s="80"/>
      <c r="AF5709" s="17">
        <v>45712</v>
      </c>
      <c r="AG5709" s="80"/>
      <c r="AH5709" s="80"/>
      <c r="AI5709" s="147"/>
      <c r="AJ5709" s="80"/>
      <c r="AK5709" s="80"/>
      <c r="AL5709" s="35"/>
      <c r="AM5709" s="35"/>
      <c r="AN5709" s="35"/>
      <c r="AO5709" s="35"/>
      <c r="AP5709" s="35"/>
    </row>
    <row r="5710" spans="1:42" x14ac:dyDescent="0.2">
      <c r="A5710" s="126">
        <v>45655.936780370372</v>
      </c>
      <c r="B5710" s="137" t="s">
        <v>37</v>
      </c>
      <c r="C5710" s="41" t="s">
        <v>118</v>
      </c>
      <c r="D5710" s="80" t="s">
        <v>36</v>
      </c>
      <c r="E5710" s="80" t="s">
        <v>148</v>
      </c>
      <c r="F5710" s="80" t="s">
        <v>36</v>
      </c>
      <c r="G5710" s="80" t="s">
        <v>7629</v>
      </c>
      <c r="H5710" s="80" t="s">
        <v>5764</v>
      </c>
      <c r="I5710" s="17" t="str">
        <f ca="1">IFERROR(__xludf.DUMMYFUNCTION("""COMPUTED_VALUE""")," ")</f>
        <v xml:space="preserve"> </v>
      </c>
      <c r="J5710" s="143" t="s">
        <v>19314</v>
      </c>
      <c r="K5710" s="80" t="s">
        <v>19315</v>
      </c>
      <c r="L5710" s="30">
        <v>838065116</v>
      </c>
      <c r="M5710" s="80" t="s">
        <v>16756</v>
      </c>
      <c r="N5710" s="80" t="s">
        <v>3525</v>
      </c>
      <c r="O5710" s="80" t="s">
        <v>19316</v>
      </c>
      <c r="P5710" s="80" t="s">
        <v>12578</v>
      </c>
      <c r="Q5710" s="20">
        <v>7349</v>
      </c>
      <c r="R5710" s="80" t="s">
        <v>70</v>
      </c>
      <c r="S5710" s="95">
        <v>7249</v>
      </c>
      <c r="T5710" s="148">
        <v>45655</v>
      </c>
      <c r="U5710" s="77"/>
      <c r="V5710" s="78"/>
      <c r="W5710" s="85" t="s">
        <v>19317</v>
      </c>
      <c r="X5710" s="80"/>
      <c r="Y5710" s="22">
        <v>100</v>
      </c>
      <c r="Z5710" s="80" t="s">
        <v>50</v>
      </c>
      <c r="AA5710" s="35" t="s">
        <v>18579</v>
      </c>
      <c r="AB5710" s="86"/>
      <c r="AC5710" s="80" t="s">
        <v>53</v>
      </c>
      <c r="AD5710" s="80" t="s">
        <v>138</v>
      </c>
      <c r="AE5710" s="83">
        <v>530</v>
      </c>
      <c r="AF5710" s="60" t="s">
        <v>1829</v>
      </c>
      <c r="AG5710" s="80"/>
      <c r="AH5710" s="80"/>
      <c r="AI5710" s="147"/>
      <c r="AJ5710" s="80"/>
      <c r="AK5710" s="80"/>
      <c r="AL5710" s="35"/>
      <c r="AM5710" s="35"/>
      <c r="AN5710" s="35"/>
      <c r="AO5710" s="35"/>
      <c r="AP5710" s="35"/>
    </row>
    <row r="5711" spans="1:42" x14ac:dyDescent="0.2">
      <c r="A5711" s="38">
        <v>45668</v>
      </c>
      <c r="B5711" s="137" t="s">
        <v>37</v>
      </c>
      <c r="C5711" s="41" t="s">
        <v>118</v>
      </c>
      <c r="D5711" s="80" t="s">
        <v>36</v>
      </c>
      <c r="E5711" s="80" t="s">
        <v>148</v>
      </c>
      <c r="F5711" s="80" t="s">
        <v>36</v>
      </c>
      <c r="G5711" s="80" t="s">
        <v>108</v>
      </c>
      <c r="H5711" s="80" t="s">
        <v>12982</v>
      </c>
      <c r="I5711" s="17">
        <f ca="1">IFERROR(__xludf.DUMMYFUNCTION("""COMPUTED_VALUE"""),45670)</f>
        <v>45670</v>
      </c>
      <c r="J5711" s="172" t="s">
        <v>19318</v>
      </c>
      <c r="K5711" s="80" t="s">
        <v>19319</v>
      </c>
      <c r="L5711" s="30">
        <v>967255489</v>
      </c>
      <c r="M5711" s="80" t="s">
        <v>16756</v>
      </c>
      <c r="N5711" s="80" t="s">
        <v>3525</v>
      </c>
      <c r="O5711" s="80"/>
      <c r="P5711" s="80" t="s">
        <v>4176</v>
      </c>
      <c r="Q5711" s="20">
        <v>7349</v>
      </c>
      <c r="R5711" s="80" t="s">
        <v>70</v>
      </c>
      <c r="S5711" s="95">
        <v>7249</v>
      </c>
      <c r="T5711" s="148">
        <v>45655</v>
      </c>
      <c r="U5711" s="77"/>
      <c r="V5711" s="78"/>
      <c r="W5711" s="85" t="s">
        <v>19317</v>
      </c>
      <c r="X5711" s="80"/>
      <c r="Y5711" s="22">
        <v>100</v>
      </c>
      <c r="Z5711" s="80" t="s">
        <v>50</v>
      </c>
      <c r="AA5711" s="96" t="s">
        <v>18579</v>
      </c>
      <c r="AB5711" s="82"/>
      <c r="AC5711" s="80" t="s">
        <v>53</v>
      </c>
      <c r="AD5711" s="80" t="s">
        <v>138</v>
      </c>
      <c r="AE5711" s="83"/>
      <c r="AF5711" s="60" t="s">
        <v>1829</v>
      </c>
      <c r="AG5711" s="80"/>
      <c r="AH5711" s="80"/>
      <c r="AI5711" s="147"/>
      <c r="AJ5711" s="80"/>
      <c r="AK5711" s="80"/>
      <c r="AL5711" s="35"/>
      <c r="AM5711" s="35"/>
      <c r="AN5711" s="35"/>
      <c r="AO5711" s="35"/>
      <c r="AP5711" s="35"/>
    </row>
    <row r="5712" spans="1:42" x14ac:dyDescent="0.2">
      <c r="A5712" s="126">
        <v>45655.995950590281</v>
      </c>
      <c r="B5712" s="137" t="s">
        <v>37</v>
      </c>
      <c r="C5712" s="41" t="s">
        <v>118</v>
      </c>
      <c r="D5712" s="80" t="s">
        <v>77</v>
      </c>
      <c r="E5712" s="80" t="s">
        <v>106</v>
      </c>
      <c r="F5712" s="80" t="s">
        <v>17906</v>
      </c>
      <c r="G5712" s="80" t="s">
        <v>108</v>
      </c>
      <c r="H5712" s="80" t="s">
        <v>19086</v>
      </c>
      <c r="I5712" s="17">
        <f ca="1">IFERROR(__xludf.DUMMYFUNCTION("""COMPUTED_VALUE"""),45694)</f>
        <v>45694</v>
      </c>
      <c r="J5712" s="143" t="s">
        <v>17920</v>
      </c>
      <c r="K5712" s="80" t="s">
        <v>19320</v>
      </c>
      <c r="L5712" s="30">
        <v>344207433</v>
      </c>
      <c r="M5712" s="80" t="s">
        <v>59</v>
      </c>
      <c r="N5712" s="80" t="s">
        <v>4299</v>
      </c>
      <c r="O5712" s="80" t="s">
        <v>19321</v>
      </c>
      <c r="P5712" s="80" t="s">
        <v>17923</v>
      </c>
      <c r="Q5712" s="20">
        <v>3768</v>
      </c>
      <c r="R5712" s="80" t="s">
        <v>36</v>
      </c>
      <c r="S5712" s="95">
        <f>500+3168</f>
        <v>3668</v>
      </c>
      <c r="T5712" s="148">
        <v>45648</v>
      </c>
      <c r="U5712" s="95"/>
      <c r="V5712" s="148">
        <v>45655</v>
      </c>
      <c r="W5712" s="80" t="s">
        <v>19322</v>
      </c>
      <c r="X5712" s="80"/>
      <c r="Y5712" s="22">
        <v>100</v>
      </c>
      <c r="Z5712" s="80" t="s">
        <v>50</v>
      </c>
      <c r="AA5712" s="35" t="s">
        <v>18579</v>
      </c>
      <c r="AB5712" s="86"/>
      <c r="AC5712" s="80" t="s">
        <v>53</v>
      </c>
      <c r="AD5712" s="80" t="s">
        <v>54</v>
      </c>
      <c r="AE5712" s="80" t="s">
        <v>17906</v>
      </c>
      <c r="AF5712" s="17">
        <v>45693</v>
      </c>
      <c r="AG5712" s="80"/>
      <c r="AH5712" s="80"/>
      <c r="AI5712" s="147"/>
      <c r="AJ5712" s="80"/>
      <c r="AK5712" s="80"/>
      <c r="AL5712" s="35"/>
      <c r="AM5712" s="35"/>
      <c r="AN5712" s="35"/>
      <c r="AO5712" s="35"/>
      <c r="AP5712" s="35"/>
    </row>
    <row r="5713" spans="1:42" x14ac:dyDescent="0.2">
      <c r="A5713" s="126">
        <v>45656.006348460651</v>
      </c>
      <c r="B5713" s="28" t="s">
        <v>37</v>
      </c>
      <c r="C5713" s="41" t="s">
        <v>118</v>
      </c>
      <c r="D5713" s="80" t="s">
        <v>77</v>
      </c>
      <c r="E5713" s="80" t="s">
        <v>148</v>
      </c>
      <c r="F5713" s="80" t="s">
        <v>12542</v>
      </c>
      <c r="G5713" s="80" t="s">
        <v>108</v>
      </c>
      <c r="H5713" s="80" t="s">
        <v>14114</v>
      </c>
      <c r="I5713" s="17">
        <f ca="1">IFERROR(__xludf.DUMMYFUNCTION("""COMPUTED_VALUE"""),45750)</f>
        <v>45750</v>
      </c>
      <c r="J5713" s="143" t="s">
        <v>18239</v>
      </c>
      <c r="K5713" s="80" t="s">
        <v>19323</v>
      </c>
      <c r="L5713" s="30">
        <v>969844806</v>
      </c>
      <c r="M5713" s="80" t="s">
        <v>59</v>
      </c>
      <c r="N5713" s="80" t="s">
        <v>4299</v>
      </c>
      <c r="O5713" s="80" t="s">
        <v>7310</v>
      </c>
      <c r="P5713" s="80" t="s">
        <v>7743</v>
      </c>
      <c r="Q5713" s="20">
        <v>7349</v>
      </c>
      <c r="R5713" s="80" t="s">
        <v>36</v>
      </c>
      <c r="S5713" s="95">
        <v>7249</v>
      </c>
      <c r="T5713" s="148">
        <v>45655</v>
      </c>
      <c r="U5713" s="77"/>
      <c r="V5713" s="78"/>
      <c r="W5713" s="85" t="s">
        <v>19324</v>
      </c>
      <c r="X5713" s="80"/>
      <c r="Y5713" s="22">
        <v>100</v>
      </c>
      <c r="Z5713" s="80" t="s">
        <v>50</v>
      </c>
      <c r="AA5713" s="96" t="s">
        <v>18579</v>
      </c>
      <c r="AB5713" s="82"/>
      <c r="AC5713" s="80" t="s">
        <v>53</v>
      </c>
      <c r="AD5713" s="80" t="s">
        <v>54</v>
      </c>
      <c r="AE5713" s="80" t="s">
        <v>2752</v>
      </c>
      <c r="AF5713" s="17">
        <v>45706</v>
      </c>
      <c r="AG5713" s="80"/>
      <c r="AH5713" s="80"/>
      <c r="AI5713" s="147"/>
      <c r="AJ5713" s="80"/>
      <c r="AK5713" s="80"/>
      <c r="AL5713" s="35"/>
      <c r="AM5713" s="35"/>
      <c r="AN5713" s="35"/>
      <c r="AO5713" s="35"/>
      <c r="AP5713" s="35"/>
    </row>
    <row r="5714" spans="1:42" x14ac:dyDescent="0.2">
      <c r="A5714" s="126">
        <v>45656.008845949073</v>
      </c>
      <c r="B5714" s="28" t="s">
        <v>37</v>
      </c>
      <c r="C5714" s="41" t="s">
        <v>118</v>
      </c>
      <c r="D5714" s="80" t="s">
        <v>77</v>
      </c>
      <c r="E5714" s="80" t="s">
        <v>148</v>
      </c>
      <c r="F5714" s="80" t="s">
        <v>12542</v>
      </c>
      <c r="G5714" s="80" t="s">
        <v>108</v>
      </c>
      <c r="H5714" s="80" t="s">
        <v>2945</v>
      </c>
      <c r="I5714" s="17">
        <f ca="1">IFERROR(__xludf.DUMMYFUNCTION("""COMPUTED_VALUE"""),45706)</f>
        <v>45706</v>
      </c>
      <c r="J5714" s="143" t="s">
        <v>18989</v>
      </c>
      <c r="K5714" s="80" t="s">
        <v>19325</v>
      </c>
      <c r="L5714" s="30">
        <v>363405564</v>
      </c>
      <c r="M5714" s="80" t="s">
        <v>59</v>
      </c>
      <c r="N5714" s="80" t="s">
        <v>4299</v>
      </c>
      <c r="O5714" s="80" t="s">
        <v>19326</v>
      </c>
      <c r="P5714" s="80" t="s">
        <v>18992</v>
      </c>
      <c r="Q5714" s="20">
        <v>7349</v>
      </c>
      <c r="R5714" s="80" t="s">
        <v>36</v>
      </c>
      <c r="S5714" s="95">
        <v>7249</v>
      </c>
      <c r="T5714" s="148">
        <v>45655</v>
      </c>
      <c r="U5714" s="77"/>
      <c r="V5714" s="78"/>
      <c r="W5714" s="85" t="s">
        <v>19327</v>
      </c>
      <c r="X5714" s="80"/>
      <c r="Y5714" s="22">
        <v>100</v>
      </c>
      <c r="Z5714" s="80" t="s">
        <v>50</v>
      </c>
      <c r="AA5714" s="35" t="s">
        <v>18579</v>
      </c>
      <c r="AB5714" s="86"/>
      <c r="AC5714" s="80" t="s">
        <v>53</v>
      </c>
      <c r="AD5714" s="80" t="s">
        <v>138</v>
      </c>
      <c r="AE5714" s="80" t="s">
        <v>2752</v>
      </c>
      <c r="AF5714" s="17">
        <v>45706</v>
      </c>
      <c r="AG5714" s="80"/>
      <c r="AH5714" s="80"/>
      <c r="AI5714" s="147"/>
      <c r="AJ5714" s="80"/>
      <c r="AK5714" s="80"/>
      <c r="AL5714" s="35"/>
      <c r="AM5714" s="35"/>
      <c r="AN5714" s="35"/>
      <c r="AO5714" s="35"/>
      <c r="AP5714" s="35"/>
    </row>
    <row r="5715" spans="1:42" x14ac:dyDescent="0.2">
      <c r="A5715" s="126">
        <v>45657.422519340282</v>
      </c>
      <c r="B5715" s="137" t="s">
        <v>37</v>
      </c>
      <c r="C5715" s="41" t="s">
        <v>118</v>
      </c>
      <c r="D5715" s="80" t="s">
        <v>36</v>
      </c>
      <c r="E5715" s="80" t="s">
        <v>148</v>
      </c>
      <c r="F5715" s="80" t="s">
        <v>40</v>
      </c>
      <c r="G5715" s="80" t="s">
        <v>108</v>
      </c>
      <c r="H5715" s="80" t="s">
        <v>10033</v>
      </c>
      <c r="I5715" s="17">
        <f ca="1">IFERROR(__xludf.DUMMYFUNCTION("""COMPUTED_VALUE"""),45664)</f>
        <v>45664</v>
      </c>
      <c r="J5715" s="143" t="s">
        <v>19328</v>
      </c>
      <c r="K5715" s="80" t="s">
        <v>19329</v>
      </c>
      <c r="L5715" s="30">
        <v>862621585</v>
      </c>
      <c r="M5715" s="80" t="s">
        <v>59</v>
      </c>
      <c r="N5715" s="80" t="s">
        <v>9660</v>
      </c>
      <c r="O5715" s="80" t="s">
        <v>19330</v>
      </c>
      <c r="P5715" s="80" t="s">
        <v>19331</v>
      </c>
      <c r="Q5715" s="20">
        <v>7349</v>
      </c>
      <c r="R5715" s="80" t="s">
        <v>36</v>
      </c>
      <c r="S5715" s="95">
        <v>7349</v>
      </c>
      <c r="T5715" s="148">
        <v>45656</v>
      </c>
      <c r="U5715" s="77"/>
      <c r="V5715" s="78"/>
      <c r="W5715" s="85" t="s">
        <v>19332</v>
      </c>
      <c r="X5715" s="80"/>
      <c r="Y5715" s="22">
        <v>0</v>
      </c>
      <c r="Z5715" s="80" t="s">
        <v>50</v>
      </c>
      <c r="AA5715" s="96" t="s">
        <v>18579</v>
      </c>
      <c r="AB5715" s="82"/>
      <c r="AC5715" s="80" t="s">
        <v>53</v>
      </c>
      <c r="AD5715" s="80" t="s">
        <v>54</v>
      </c>
      <c r="AE5715" s="80" t="s">
        <v>2752</v>
      </c>
      <c r="AF5715" s="17">
        <v>45293</v>
      </c>
      <c r="AG5715" s="80"/>
      <c r="AH5715" s="80"/>
      <c r="AI5715" s="147"/>
      <c r="AJ5715" s="80"/>
      <c r="AK5715" s="80"/>
      <c r="AL5715" s="35"/>
      <c r="AM5715" s="35"/>
      <c r="AN5715" s="35"/>
      <c r="AO5715" s="35"/>
      <c r="AP5715" s="35"/>
    </row>
    <row r="5716" spans="1:42" x14ac:dyDescent="0.2">
      <c r="A5716" s="126">
        <v>45657.482244803236</v>
      </c>
      <c r="B5716" s="137" t="s">
        <v>37</v>
      </c>
      <c r="C5716" s="41" t="s">
        <v>118</v>
      </c>
      <c r="D5716" s="80" t="s">
        <v>36</v>
      </c>
      <c r="E5716" s="80" t="s">
        <v>139</v>
      </c>
      <c r="F5716" s="80" t="s">
        <v>40</v>
      </c>
      <c r="G5716" s="80" t="s">
        <v>41</v>
      </c>
      <c r="H5716" s="80" t="s">
        <v>19121</v>
      </c>
      <c r="I5716" s="17">
        <f ca="1">IFERROR(__xludf.DUMMYFUNCTION("""COMPUTED_VALUE"""),45659)</f>
        <v>45659</v>
      </c>
      <c r="J5716" s="143" t="s">
        <v>19333</v>
      </c>
      <c r="K5716" s="80" t="s">
        <v>19334</v>
      </c>
      <c r="L5716" s="30">
        <v>374591628</v>
      </c>
      <c r="M5716" s="80" t="s">
        <v>12720</v>
      </c>
      <c r="N5716" s="80" t="s">
        <v>46</v>
      </c>
      <c r="O5716" s="80" t="s">
        <v>19335</v>
      </c>
      <c r="P5716" s="80" t="s">
        <v>19336</v>
      </c>
      <c r="Q5716" s="20">
        <v>15936</v>
      </c>
      <c r="R5716" s="80" t="s">
        <v>36</v>
      </c>
      <c r="S5716" s="95">
        <v>15936</v>
      </c>
      <c r="T5716" s="148">
        <v>45656</v>
      </c>
      <c r="U5716" s="77"/>
      <c r="V5716" s="78"/>
      <c r="W5716" s="85" t="s">
        <v>19337</v>
      </c>
      <c r="X5716" s="80"/>
      <c r="Y5716" s="22">
        <v>0</v>
      </c>
      <c r="Z5716" s="80" t="s">
        <v>50</v>
      </c>
      <c r="AA5716" s="35" t="s">
        <v>18579</v>
      </c>
      <c r="AB5716" s="86"/>
      <c r="AC5716" s="80" t="s">
        <v>53</v>
      </c>
      <c r="AD5716" s="80" t="s">
        <v>138</v>
      </c>
      <c r="AE5716" s="83">
        <v>0</v>
      </c>
      <c r="AF5716" s="17">
        <v>45659</v>
      </c>
      <c r="AG5716" s="80"/>
      <c r="AH5716" s="80"/>
      <c r="AI5716" s="147"/>
      <c r="AJ5716" s="80"/>
      <c r="AK5716" s="80"/>
      <c r="AL5716" s="35"/>
      <c r="AM5716" s="35"/>
      <c r="AN5716" s="35"/>
      <c r="AO5716" s="35"/>
      <c r="AP5716" s="35"/>
    </row>
    <row r="5717" spans="1:42" x14ac:dyDescent="0.2">
      <c r="A5717" s="126">
        <v>45657.485329629628</v>
      </c>
      <c r="B5717" s="137" t="s">
        <v>37</v>
      </c>
      <c r="C5717" s="41" t="s">
        <v>118</v>
      </c>
      <c r="D5717" s="80" t="s">
        <v>36</v>
      </c>
      <c r="E5717" s="80" t="s">
        <v>106</v>
      </c>
      <c r="F5717" s="80" t="s">
        <v>40</v>
      </c>
      <c r="G5717" s="80" t="s">
        <v>108</v>
      </c>
      <c r="H5717" s="80" t="s">
        <v>18275</v>
      </c>
      <c r="I5717" s="17">
        <f ca="1">IFERROR(__xludf.DUMMYFUNCTION("""COMPUTED_VALUE"""),45667)</f>
        <v>45667</v>
      </c>
      <c r="J5717" s="143" t="s">
        <v>19338</v>
      </c>
      <c r="K5717" s="80" t="s">
        <v>19339</v>
      </c>
      <c r="L5717" s="30">
        <v>862315585</v>
      </c>
      <c r="M5717" s="80" t="s">
        <v>12720</v>
      </c>
      <c r="N5717" s="80" t="s">
        <v>46</v>
      </c>
      <c r="O5717" s="80" t="s">
        <v>19340</v>
      </c>
      <c r="P5717" s="80" t="s">
        <v>19341</v>
      </c>
      <c r="Q5717" s="20">
        <v>3768</v>
      </c>
      <c r="R5717" s="80" t="s">
        <v>36</v>
      </c>
      <c r="S5717" s="95">
        <v>3768</v>
      </c>
      <c r="T5717" s="148">
        <v>45656</v>
      </c>
      <c r="U5717" s="77"/>
      <c r="V5717" s="78"/>
      <c r="W5717" s="85" t="s">
        <v>19342</v>
      </c>
      <c r="X5717" s="80"/>
      <c r="Y5717" s="22">
        <v>0</v>
      </c>
      <c r="Z5717" s="80" t="s">
        <v>50</v>
      </c>
      <c r="AA5717" s="96" t="s">
        <v>18579</v>
      </c>
      <c r="AB5717" s="82"/>
      <c r="AC5717" s="80" t="s">
        <v>53</v>
      </c>
      <c r="AD5717" s="80" t="s">
        <v>54</v>
      </c>
      <c r="AE5717" s="83">
        <v>400</v>
      </c>
      <c r="AF5717" s="17">
        <v>45663</v>
      </c>
      <c r="AG5717" s="80"/>
      <c r="AH5717" s="80"/>
      <c r="AI5717" s="147"/>
      <c r="AJ5717" s="80"/>
      <c r="AK5717" s="80"/>
      <c r="AL5717" s="35"/>
      <c r="AM5717" s="35"/>
      <c r="AN5717" s="35"/>
      <c r="AO5717" s="35"/>
      <c r="AP5717" s="35"/>
    </row>
    <row r="5718" spans="1:42" x14ac:dyDescent="0.2">
      <c r="A5718" s="126">
        <v>45657.869372118061</v>
      </c>
      <c r="B5718" s="137" t="s">
        <v>37</v>
      </c>
      <c r="C5718" s="41" t="s">
        <v>118</v>
      </c>
      <c r="D5718" s="80" t="s">
        <v>36</v>
      </c>
      <c r="E5718" s="80" t="s">
        <v>148</v>
      </c>
      <c r="F5718" s="80" t="s">
        <v>40</v>
      </c>
      <c r="G5718" s="80" t="s">
        <v>7629</v>
      </c>
      <c r="H5718" s="80" t="s">
        <v>5764</v>
      </c>
      <c r="I5718" s="17" t="str">
        <f ca="1">IFERROR(__xludf.DUMMYFUNCTION("""COMPUTED_VALUE""")," ")</f>
        <v xml:space="preserve"> </v>
      </c>
      <c r="J5718" s="143" t="s">
        <v>19343</v>
      </c>
      <c r="K5718" s="80" t="s">
        <v>19344</v>
      </c>
      <c r="L5718" s="30">
        <v>329980113</v>
      </c>
      <c r="M5718" s="80" t="s">
        <v>16756</v>
      </c>
      <c r="N5718" s="80" t="s">
        <v>3525</v>
      </c>
      <c r="O5718" s="80" t="s">
        <v>19345</v>
      </c>
      <c r="P5718" s="80" t="s">
        <v>12578</v>
      </c>
      <c r="Q5718" s="20">
        <v>7349</v>
      </c>
      <c r="R5718" s="80" t="s">
        <v>70</v>
      </c>
      <c r="S5718" s="95">
        <v>7249</v>
      </c>
      <c r="T5718" s="148">
        <v>45655</v>
      </c>
      <c r="U5718" s="77"/>
      <c r="V5718" s="78"/>
      <c r="W5718" s="85" t="s">
        <v>19346</v>
      </c>
      <c r="X5718" s="80"/>
      <c r="Y5718" s="22">
        <v>100</v>
      </c>
      <c r="Z5718" s="80" t="s">
        <v>50</v>
      </c>
      <c r="AA5718" s="35" t="s">
        <v>18579</v>
      </c>
      <c r="AB5718" s="86"/>
      <c r="AC5718" s="80" t="s">
        <v>53</v>
      </c>
      <c r="AD5718" s="80" t="s">
        <v>138</v>
      </c>
      <c r="AE5718" s="83">
        <v>530</v>
      </c>
      <c r="AF5718" s="60" t="s">
        <v>1829</v>
      </c>
      <c r="AG5718" s="80"/>
      <c r="AH5718" s="80"/>
      <c r="AI5718" s="147"/>
      <c r="AJ5718" s="80"/>
      <c r="AK5718" s="80"/>
      <c r="AL5718" s="35"/>
      <c r="AM5718" s="35"/>
      <c r="AN5718" s="35"/>
      <c r="AO5718" s="35"/>
      <c r="AP5718" s="35"/>
    </row>
    <row r="5719" spans="1:42" x14ac:dyDescent="0.2">
      <c r="A5719" s="126">
        <v>45657.95221048611</v>
      </c>
      <c r="B5719" s="137" t="s">
        <v>37</v>
      </c>
      <c r="C5719" s="41" t="s">
        <v>118</v>
      </c>
      <c r="D5719" s="80" t="s">
        <v>36</v>
      </c>
      <c r="E5719" s="80" t="s">
        <v>77</v>
      </c>
      <c r="F5719" s="80" t="s">
        <v>40</v>
      </c>
      <c r="G5719" s="80" t="s">
        <v>41</v>
      </c>
      <c r="H5719" s="80" t="s">
        <v>16519</v>
      </c>
      <c r="I5719" s="17">
        <f ca="1">IFERROR(__xludf.DUMMYFUNCTION("""COMPUTED_VALUE"""),45707)</f>
        <v>45707</v>
      </c>
      <c r="J5719" s="143" t="s">
        <v>19347</v>
      </c>
      <c r="K5719" s="80" t="s">
        <v>19348</v>
      </c>
      <c r="L5719" s="30">
        <v>354094509</v>
      </c>
      <c r="M5719" s="80" t="s">
        <v>59</v>
      </c>
      <c r="N5719" s="80" t="s">
        <v>17488</v>
      </c>
      <c r="O5719" s="80" t="s">
        <v>19349</v>
      </c>
      <c r="P5719" s="80" t="s">
        <v>18241</v>
      </c>
      <c r="Q5719" s="20">
        <v>1968</v>
      </c>
      <c r="R5719" s="80" t="s">
        <v>70</v>
      </c>
      <c r="S5719" s="95">
        <v>1968</v>
      </c>
      <c r="T5719" s="148">
        <v>45657</v>
      </c>
      <c r="U5719" s="77"/>
      <c r="V5719" s="78"/>
      <c r="W5719" s="85" t="s">
        <v>19350</v>
      </c>
      <c r="X5719" s="80"/>
      <c r="Y5719" s="22">
        <v>0</v>
      </c>
      <c r="Z5719" s="80" t="s">
        <v>50</v>
      </c>
      <c r="AA5719" s="96" t="s">
        <v>18579</v>
      </c>
      <c r="AB5719" s="82"/>
      <c r="AC5719" s="80" t="s">
        <v>53</v>
      </c>
      <c r="AD5719" s="80" t="s">
        <v>138</v>
      </c>
      <c r="AE5719" s="80"/>
      <c r="AF5719" s="17">
        <v>45707</v>
      </c>
      <c r="AG5719" s="80"/>
      <c r="AH5719" s="80"/>
      <c r="AI5719" s="147"/>
      <c r="AJ5719" s="80"/>
      <c r="AK5719" s="80"/>
      <c r="AL5719" s="35"/>
      <c r="AM5719" s="35"/>
      <c r="AN5719" s="35"/>
      <c r="AO5719" s="35"/>
      <c r="AP5719" s="35"/>
    </row>
    <row r="5720" spans="1:42" x14ac:dyDescent="0.2">
      <c r="A5720" s="126">
        <v>45657.954422175928</v>
      </c>
      <c r="B5720" s="137" t="s">
        <v>37</v>
      </c>
      <c r="C5720" s="41" t="s">
        <v>118</v>
      </c>
      <c r="D5720" s="80" t="s">
        <v>36</v>
      </c>
      <c r="E5720" s="80" t="s">
        <v>77</v>
      </c>
      <c r="F5720" s="80" t="s">
        <v>40</v>
      </c>
      <c r="G5720" s="80" t="s">
        <v>41</v>
      </c>
      <c r="H5720" s="80" t="s">
        <v>16519</v>
      </c>
      <c r="I5720" s="17">
        <f ca="1">IFERROR(__xludf.DUMMYFUNCTION("""COMPUTED_VALUE"""),45707)</f>
        <v>45707</v>
      </c>
      <c r="J5720" s="172" t="s">
        <v>19351</v>
      </c>
      <c r="K5720" s="80" t="s">
        <v>19352</v>
      </c>
      <c r="L5720" s="30">
        <v>386387926</v>
      </c>
      <c r="M5720" s="80" t="s">
        <v>59</v>
      </c>
      <c r="N5720" s="80" t="s">
        <v>17488</v>
      </c>
      <c r="O5720" s="80" t="s">
        <v>19353</v>
      </c>
      <c r="P5720" s="80" t="s">
        <v>12687</v>
      </c>
      <c r="Q5720" s="20">
        <v>1968</v>
      </c>
      <c r="R5720" s="80" t="s">
        <v>70</v>
      </c>
      <c r="S5720" s="95">
        <v>1968</v>
      </c>
      <c r="T5720" s="148">
        <v>45656</v>
      </c>
      <c r="U5720" s="77"/>
      <c r="V5720" s="78"/>
      <c r="W5720" s="85" t="s">
        <v>19354</v>
      </c>
      <c r="X5720" s="80"/>
      <c r="Y5720" s="22">
        <v>0</v>
      </c>
      <c r="Z5720" s="80" t="s">
        <v>50</v>
      </c>
      <c r="AA5720" s="35" t="s">
        <v>18579</v>
      </c>
      <c r="AB5720" s="86"/>
      <c r="AC5720" s="80" t="s">
        <v>53</v>
      </c>
      <c r="AD5720" s="80" t="s">
        <v>138</v>
      </c>
      <c r="AE5720" s="80"/>
      <c r="AF5720" s="17">
        <v>45707</v>
      </c>
      <c r="AG5720" s="80"/>
      <c r="AH5720" s="80"/>
      <c r="AI5720" s="147"/>
      <c r="AJ5720" s="80"/>
      <c r="AK5720" s="80"/>
      <c r="AL5720" s="35"/>
      <c r="AM5720" s="35"/>
      <c r="AN5720" s="35"/>
      <c r="AO5720" s="35"/>
      <c r="AP5720" s="35"/>
    </row>
    <row r="5721" spans="1:42" x14ac:dyDescent="0.2">
      <c r="A5721" s="126">
        <v>45657.956884618055</v>
      </c>
      <c r="B5721" s="137" t="s">
        <v>37</v>
      </c>
      <c r="C5721" s="41" t="s">
        <v>118</v>
      </c>
      <c r="D5721" s="80" t="s">
        <v>36</v>
      </c>
      <c r="E5721" s="80" t="s">
        <v>139</v>
      </c>
      <c r="F5721" s="80" t="s">
        <v>40</v>
      </c>
      <c r="G5721" s="80" t="s">
        <v>41</v>
      </c>
      <c r="H5721" s="80" t="s">
        <v>15282</v>
      </c>
      <c r="I5721" s="17">
        <f ca="1">IFERROR(__xludf.DUMMYFUNCTION("""COMPUTED_VALUE"""),45674)</f>
        <v>45674</v>
      </c>
      <c r="J5721" s="143" t="s">
        <v>19355</v>
      </c>
      <c r="K5721" s="80" t="s">
        <v>19356</v>
      </c>
      <c r="L5721" s="30">
        <v>886330019</v>
      </c>
      <c r="M5721" s="80" t="s">
        <v>348</v>
      </c>
      <c r="N5721" s="80" t="s">
        <v>4299</v>
      </c>
      <c r="O5721" s="80" t="s">
        <v>19357</v>
      </c>
      <c r="P5721" s="80" t="s">
        <v>19358</v>
      </c>
      <c r="Q5721" s="20">
        <v>15936</v>
      </c>
      <c r="R5721" s="80" t="s">
        <v>36</v>
      </c>
      <c r="S5721" s="95">
        <v>15936</v>
      </c>
      <c r="T5721" s="148">
        <v>45657</v>
      </c>
      <c r="U5721" s="77"/>
      <c r="V5721" s="78"/>
      <c r="W5721" s="85" t="s">
        <v>19359</v>
      </c>
      <c r="X5721" s="80"/>
      <c r="Y5721" s="22">
        <v>0</v>
      </c>
      <c r="Z5721" s="80" t="s">
        <v>50</v>
      </c>
      <c r="AA5721" s="96" t="s">
        <v>18579</v>
      </c>
      <c r="AB5721" s="82"/>
      <c r="AC5721" s="80" t="s">
        <v>53</v>
      </c>
      <c r="AD5721" s="80" t="s">
        <v>54</v>
      </c>
      <c r="AE5721" s="80" t="s">
        <v>16305</v>
      </c>
      <c r="AF5721" s="17">
        <v>45293</v>
      </c>
      <c r="AG5721" s="80"/>
      <c r="AH5721" s="80"/>
      <c r="AI5721" s="147"/>
      <c r="AJ5721" s="80"/>
      <c r="AK5721" s="80"/>
      <c r="AL5721" s="35"/>
      <c r="AM5721" s="35"/>
      <c r="AN5721" s="35"/>
      <c r="AO5721" s="35"/>
      <c r="AP5721" s="35"/>
    </row>
    <row r="5722" spans="1:42" x14ac:dyDescent="0.2">
      <c r="A5722" s="38">
        <v>45673</v>
      </c>
      <c r="B5722" s="28" t="s">
        <v>37</v>
      </c>
      <c r="C5722" s="41" t="s">
        <v>118</v>
      </c>
      <c r="D5722" s="26" t="s">
        <v>36</v>
      </c>
      <c r="E5722" s="26" t="s">
        <v>139</v>
      </c>
      <c r="F5722" s="26" t="s">
        <v>6919</v>
      </c>
      <c r="G5722" s="26" t="s">
        <v>221</v>
      </c>
      <c r="H5722" s="26" t="s">
        <v>18321</v>
      </c>
      <c r="I5722" s="17">
        <f ca="1">IFERROR(__xludf.DUMMYFUNCTION("""COMPUTED_VALUE"""),45698)</f>
        <v>45698</v>
      </c>
      <c r="J5722" s="29" t="s">
        <v>10053</v>
      </c>
      <c r="K5722" s="26" t="s">
        <v>10054</v>
      </c>
      <c r="L5722" s="47">
        <v>989570294</v>
      </c>
      <c r="M5722" s="26" t="s">
        <v>2755</v>
      </c>
      <c r="N5722" s="26" t="s">
        <v>2756</v>
      </c>
      <c r="O5722" s="26" t="s">
        <v>4503</v>
      </c>
      <c r="P5722" s="42" t="s">
        <v>19360</v>
      </c>
      <c r="Q5722" s="20">
        <v>15936</v>
      </c>
      <c r="R5722" s="26" t="s">
        <v>36</v>
      </c>
      <c r="S5722" s="77">
        <v>2000</v>
      </c>
      <c r="T5722" s="78">
        <v>45474</v>
      </c>
      <c r="U5722" s="77">
        <v>13936</v>
      </c>
      <c r="V5722" s="78">
        <v>45540</v>
      </c>
      <c r="W5722" s="79" t="s">
        <v>10056</v>
      </c>
      <c r="X5722" s="86">
        <v>0</v>
      </c>
      <c r="Y5722" s="22">
        <v>0</v>
      </c>
      <c r="Z5722" s="80" t="s">
        <v>50</v>
      </c>
      <c r="AA5722" s="86" t="s">
        <v>3291</v>
      </c>
      <c r="AB5722" s="26" t="s">
        <v>36</v>
      </c>
      <c r="AC5722" s="26" t="s">
        <v>53</v>
      </c>
      <c r="AD5722" s="26" t="s">
        <v>138</v>
      </c>
      <c r="AE5722" s="26" t="s">
        <v>6919</v>
      </c>
      <c r="AF5722" s="17">
        <v>45698</v>
      </c>
      <c r="AG5722" s="26"/>
      <c r="AH5722" s="26"/>
      <c r="AI5722" s="40"/>
      <c r="AJ5722" s="26"/>
      <c r="AK5722" s="26"/>
      <c r="AL5722" s="35"/>
      <c r="AM5722" s="35"/>
      <c r="AN5722" s="35"/>
      <c r="AO5722" s="35"/>
      <c r="AP5722" s="35"/>
    </row>
    <row r="5723" spans="1:42" x14ac:dyDescent="0.2">
      <c r="A5723" s="38">
        <v>45673</v>
      </c>
      <c r="B5723" s="28" t="s">
        <v>37</v>
      </c>
      <c r="C5723" s="41" t="s">
        <v>118</v>
      </c>
      <c r="D5723" s="26" t="s">
        <v>36</v>
      </c>
      <c r="E5723" s="26" t="s">
        <v>139</v>
      </c>
      <c r="F5723" s="26" t="s">
        <v>6919</v>
      </c>
      <c r="G5723" s="26" t="s">
        <v>221</v>
      </c>
      <c r="H5723" s="26" t="s">
        <v>18321</v>
      </c>
      <c r="I5723" s="17">
        <f ca="1">IFERROR(__xludf.DUMMYFUNCTION("""COMPUTED_VALUE"""),45698)</f>
        <v>45698</v>
      </c>
      <c r="J5723" s="29" t="s">
        <v>6532</v>
      </c>
      <c r="K5723" s="26" t="s">
        <v>6533</v>
      </c>
      <c r="L5723" s="30">
        <v>368197813</v>
      </c>
      <c r="M5723" s="26" t="s">
        <v>80</v>
      </c>
      <c r="N5723" s="26" t="s">
        <v>81</v>
      </c>
      <c r="O5723" s="26" t="s">
        <v>6534</v>
      </c>
      <c r="P5723" s="42" t="s">
        <v>19361</v>
      </c>
      <c r="Q5723" s="20">
        <v>15936</v>
      </c>
      <c r="R5723" s="26" t="s">
        <v>36</v>
      </c>
      <c r="S5723" s="31">
        <v>2000</v>
      </c>
      <c r="T5723" s="32">
        <v>45223</v>
      </c>
      <c r="U5723" s="31">
        <v>13936</v>
      </c>
      <c r="V5723" s="32">
        <v>45261</v>
      </c>
      <c r="W5723" s="33" t="s">
        <v>6536</v>
      </c>
      <c r="X5723" s="26"/>
      <c r="Y5723" s="22">
        <v>0</v>
      </c>
      <c r="Z5723" s="26" t="s">
        <v>50</v>
      </c>
      <c r="AA5723" s="19" t="s">
        <v>5961</v>
      </c>
      <c r="AB5723" s="26" t="s">
        <v>104</v>
      </c>
      <c r="AC5723" s="26" t="s">
        <v>53</v>
      </c>
      <c r="AD5723" s="19" t="s">
        <v>54</v>
      </c>
      <c r="AE5723" s="26" t="s">
        <v>6919</v>
      </c>
      <c r="AF5723" s="17">
        <v>45698</v>
      </c>
      <c r="AG5723" s="26"/>
      <c r="AH5723" s="26">
        <v>1</v>
      </c>
      <c r="AI5723" s="40" t="s">
        <v>147</v>
      </c>
      <c r="AJ5723" s="26"/>
      <c r="AK5723" s="26"/>
      <c r="AL5723" s="35"/>
      <c r="AM5723" s="35"/>
      <c r="AN5723" s="35"/>
      <c r="AO5723" s="35"/>
      <c r="AP5723" s="35"/>
    </row>
    <row r="5724" spans="1:42" x14ac:dyDescent="0.2">
      <c r="A5724" s="38">
        <v>45673</v>
      </c>
      <c r="B5724" s="28" t="s">
        <v>37</v>
      </c>
      <c r="C5724" s="41" t="s">
        <v>118</v>
      </c>
      <c r="D5724" s="80" t="s">
        <v>36</v>
      </c>
      <c r="E5724" s="80" t="s">
        <v>139</v>
      </c>
      <c r="F5724" s="80" t="s">
        <v>16705</v>
      </c>
      <c r="G5724" s="80" t="s">
        <v>108</v>
      </c>
      <c r="H5724" s="80" t="s">
        <v>19362</v>
      </c>
      <c r="I5724" s="17" t="str">
        <f ca="1">IFERROR(__xludf.DUMMYFUNCTION("""COMPUTED_VALUE""")," ")</f>
        <v xml:space="preserve"> </v>
      </c>
      <c r="J5724" s="143" t="s">
        <v>18037</v>
      </c>
      <c r="K5724" s="80" t="s">
        <v>18038</v>
      </c>
      <c r="L5724" s="30">
        <v>902028671</v>
      </c>
      <c r="M5724" s="80" t="s">
        <v>5558</v>
      </c>
      <c r="N5724" s="80" t="s">
        <v>5277</v>
      </c>
      <c r="O5724" s="80" t="s">
        <v>4503</v>
      </c>
      <c r="P5724" s="80" t="s">
        <v>18039</v>
      </c>
      <c r="Q5724" s="20">
        <v>15936</v>
      </c>
      <c r="R5724" s="80" t="s">
        <v>36</v>
      </c>
      <c r="S5724" s="95">
        <f>200+15236</f>
        <v>15436</v>
      </c>
      <c r="T5724" s="83" t="s">
        <v>18040</v>
      </c>
      <c r="U5724" s="95"/>
      <c r="V5724" s="148"/>
      <c r="W5724" s="80" t="s">
        <v>18041</v>
      </c>
      <c r="X5724" s="80"/>
      <c r="Y5724" s="22">
        <v>500</v>
      </c>
      <c r="Z5724" s="80" t="s">
        <v>50</v>
      </c>
      <c r="AA5724" s="86" t="s">
        <v>14723</v>
      </c>
      <c r="AB5724" s="80" t="s">
        <v>18042</v>
      </c>
      <c r="AC5724" s="80" t="s">
        <v>1828</v>
      </c>
      <c r="AD5724" s="80" t="s">
        <v>54</v>
      </c>
      <c r="AE5724" s="80" t="s">
        <v>16705</v>
      </c>
      <c r="AF5724" s="60" t="s">
        <v>1829</v>
      </c>
      <c r="AG5724" s="80"/>
      <c r="AH5724" s="80"/>
      <c r="AI5724" s="147"/>
      <c r="AJ5724" s="80"/>
      <c r="AK5724" s="80"/>
      <c r="AL5724" s="35"/>
      <c r="AM5724" s="35"/>
      <c r="AN5724" s="35"/>
      <c r="AO5724" s="35"/>
      <c r="AP5724" s="35"/>
    </row>
    <row r="5725" spans="1:42" x14ac:dyDescent="0.2">
      <c r="A5725" s="38">
        <v>45673</v>
      </c>
      <c r="B5725" s="28" t="s">
        <v>37</v>
      </c>
      <c r="C5725" s="41" t="s">
        <v>118</v>
      </c>
      <c r="D5725" s="26" t="s">
        <v>36</v>
      </c>
      <c r="E5725" s="26" t="s">
        <v>119</v>
      </c>
      <c r="F5725" s="26" t="s">
        <v>6989</v>
      </c>
      <c r="G5725" s="26" t="s">
        <v>1847</v>
      </c>
      <c r="H5725" s="26" t="s">
        <v>14381</v>
      </c>
      <c r="I5725" s="17">
        <f ca="1">IFERROR(__xludf.DUMMYFUNCTION("""COMPUTED_VALUE"""),45699)</f>
        <v>45699</v>
      </c>
      <c r="J5725" s="29" t="s">
        <v>4899</v>
      </c>
      <c r="K5725" s="26" t="s">
        <v>19363</v>
      </c>
      <c r="L5725" s="30">
        <v>869510201</v>
      </c>
      <c r="M5725" s="26" t="s">
        <v>112</v>
      </c>
      <c r="N5725" s="26" t="s">
        <v>379</v>
      </c>
      <c r="O5725" s="26" t="s">
        <v>4901</v>
      </c>
      <c r="P5725" s="26" t="s">
        <v>19364</v>
      </c>
      <c r="Q5725" s="20">
        <v>13968</v>
      </c>
      <c r="R5725" s="26" t="s">
        <v>36</v>
      </c>
      <c r="S5725" s="31">
        <v>4000</v>
      </c>
      <c r="T5725" s="32">
        <v>45116</v>
      </c>
      <c r="U5725" s="31">
        <v>9968</v>
      </c>
      <c r="V5725" s="32" t="s">
        <v>929</v>
      </c>
      <c r="W5725" s="33" t="s">
        <v>930</v>
      </c>
      <c r="X5725" s="26"/>
      <c r="Y5725" s="22">
        <v>0</v>
      </c>
      <c r="Z5725" s="26" t="s">
        <v>118</v>
      </c>
      <c r="AA5725" s="19" t="s">
        <v>4541</v>
      </c>
      <c r="AB5725" s="26" t="s">
        <v>104</v>
      </c>
      <c r="AC5725" s="26" t="s">
        <v>53</v>
      </c>
      <c r="AD5725" s="19" t="s">
        <v>54</v>
      </c>
      <c r="AE5725" s="26" t="s">
        <v>6989</v>
      </c>
      <c r="AF5725" s="17">
        <v>45699</v>
      </c>
      <c r="AG5725" s="26"/>
      <c r="AH5725" s="26"/>
      <c r="AI5725" s="40"/>
      <c r="AJ5725" s="26"/>
      <c r="AK5725" s="26"/>
      <c r="AL5725" s="35"/>
      <c r="AM5725" s="35"/>
      <c r="AN5725" s="35"/>
      <c r="AO5725" s="35"/>
      <c r="AP5725" s="35"/>
    </row>
    <row r="5726" spans="1:42" x14ac:dyDescent="0.2">
      <c r="A5726" s="38">
        <v>45673</v>
      </c>
      <c r="B5726" s="137" t="s">
        <v>37</v>
      </c>
      <c r="C5726" s="41" t="s">
        <v>118</v>
      </c>
      <c r="D5726" s="80" t="s">
        <v>36</v>
      </c>
      <c r="E5726" s="80" t="s">
        <v>139</v>
      </c>
      <c r="F5726" s="80" t="s">
        <v>11183</v>
      </c>
      <c r="G5726" s="80" t="s">
        <v>108</v>
      </c>
      <c r="H5726" s="80" t="s">
        <v>18568</v>
      </c>
      <c r="I5726" s="17">
        <f ca="1">IFERROR(__xludf.DUMMYFUNCTION("""COMPUTED_VALUE"""),45699)</f>
        <v>45699</v>
      </c>
      <c r="J5726" s="143" t="s">
        <v>17140</v>
      </c>
      <c r="K5726" s="80" t="s">
        <v>17141</v>
      </c>
      <c r="L5726" s="30">
        <v>823323006</v>
      </c>
      <c r="M5726" s="80" t="s">
        <v>123</v>
      </c>
      <c r="N5726" s="80" t="s">
        <v>186</v>
      </c>
      <c r="O5726" s="80" t="s">
        <v>4503</v>
      </c>
      <c r="P5726" s="80" t="s">
        <v>17142</v>
      </c>
      <c r="Q5726" s="20">
        <v>15936</v>
      </c>
      <c r="R5726" s="80" t="s">
        <v>36</v>
      </c>
      <c r="S5726" s="95">
        <f t="shared" ref="S5726:S5727" si="158">200+1800</f>
        <v>2000</v>
      </c>
      <c r="T5726" s="83" t="s">
        <v>14021</v>
      </c>
      <c r="U5726" s="95">
        <f>13900+36</f>
        <v>13936</v>
      </c>
      <c r="V5726" s="83" t="s">
        <v>17143</v>
      </c>
      <c r="W5726" s="85" t="s">
        <v>17144</v>
      </c>
      <c r="X5726" s="80"/>
      <c r="Y5726" s="22">
        <v>0</v>
      </c>
      <c r="Z5726" s="80" t="s">
        <v>50</v>
      </c>
      <c r="AA5726" s="86" t="s">
        <v>14723</v>
      </c>
      <c r="AB5726" s="80"/>
      <c r="AC5726" s="80" t="s">
        <v>53</v>
      </c>
      <c r="AD5726" s="80" t="s">
        <v>138</v>
      </c>
      <c r="AE5726" s="80" t="s">
        <v>11183</v>
      </c>
      <c r="AF5726" s="17">
        <v>45699</v>
      </c>
      <c r="AG5726" s="80"/>
      <c r="AH5726" s="80"/>
      <c r="AI5726" s="147"/>
      <c r="AJ5726" s="80"/>
      <c r="AK5726" s="80"/>
      <c r="AL5726" s="35"/>
      <c r="AM5726" s="35"/>
      <c r="AN5726" s="35"/>
      <c r="AO5726" s="35"/>
      <c r="AP5726" s="35"/>
    </row>
    <row r="5727" spans="1:42" x14ac:dyDescent="0.2">
      <c r="A5727" s="38">
        <v>45673</v>
      </c>
      <c r="B5727" s="28" t="s">
        <v>37</v>
      </c>
      <c r="C5727" s="41" t="s">
        <v>118</v>
      </c>
      <c r="D5727" s="80" t="s">
        <v>36</v>
      </c>
      <c r="E5727" s="80" t="s">
        <v>139</v>
      </c>
      <c r="F5727" s="80" t="s">
        <v>11707</v>
      </c>
      <c r="G5727" s="80" t="s">
        <v>108</v>
      </c>
      <c r="H5727" s="80" t="s">
        <v>13941</v>
      </c>
      <c r="I5727" s="17">
        <f ca="1">IFERROR(__xludf.DUMMYFUNCTION("""COMPUTED_VALUE"""),45802)</f>
        <v>45802</v>
      </c>
      <c r="J5727" s="143" t="s">
        <v>14835</v>
      </c>
      <c r="K5727" s="80" t="s">
        <v>19365</v>
      </c>
      <c r="L5727" s="30">
        <v>339650501</v>
      </c>
      <c r="M5727" s="80" t="s">
        <v>123</v>
      </c>
      <c r="N5727" s="80" t="s">
        <v>2847</v>
      </c>
      <c r="O5727" s="80" t="s">
        <v>4503</v>
      </c>
      <c r="P5727" s="80" t="s">
        <v>5462</v>
      </c>
      <c r="Q5727" s="20">
        <v>15936</v>
      </c>
      <c r="R5727" s="80" t="s">
        <v>36</v>
      </c>
      <c r="S5727" s="95">
        <f t="shared" si="158"/>
        <v>2000</v>
      </c>
      <c r="T5727" s="83" t="s">
        <v>14837</v>
      </c>
      <c r="U5727" s="95">
        <v>13936</v>
      </c>
      <c r="V5727" s="148">
        <v>45569</v>
      </c>
      <c r="W5727" s="85" t="s">
        <v>14838</v>
      </c>
      <c r="X5727" s="80"/>
      <c r="Y5727" s="22">
        <v>0</v>
      </c>
      <c r="Z5727" s="80" t="s">
        <v>50</v>
      </c>
      <c r="AA5727" s="96" t="s">
        <v>9905</v>
      </c>
      <c r="AB5727" s="80"/>
      <c r="AC5727" s="80" t="s">
        <v>53</v>
      </c>
      <c r="AD5727" s="80" t="s">
        <v>138</v>
      </c>
      <c r="AE5727" s="80" t="s">
        <v>11707</v>
      </c>
      <c r="AF5727" s="17">
        <v>45699</v>
      </c>
      <c r="AG5727" s="80"/>
      <c r="AH5727" s="80"/>
      <c r="AI5727" s="147"/>
      <c r="AJ5727" s="80"/>
      <c r="AK5727" s="80"/>
      <c r="AL5727" s="35"/>
      <c r="AM5727" s="35"/>
      <c r="AN5727" s="35"/>
      <c r="AO5727" s="35"/>
      <c r="AP5727" s="35"/>
    </row>
    <row r="5728" spans="1:42" x14ac:dyDescent="0.2">
      <c r="A5728" s="38">
        <v>45673</v>
      </c>
      <c r="B5728" s="28" t="s">
        <v>37</v>
      </c>
      <c r="C5728" s="41" t="s">
        <v>118</v>
      </c>
      <c r="D5728" s="80" t="s">
        <v>36</v>
      </c>
      <c r="E5728" s="80" t="s">
        <v>139</v>
      </c>
      <c r="F5728" s="80" t="s">
        <v>13178</v>
      </c>
      <c r="G5728" s="80" t="s">
        <v>41</v>
      </c>
      <c r="H5728" s="80" t="s">
        <v>19366</v>
      </c>
      <c r="I5728" s="17">
        <f ca="1">IFERROR(__xludf.DUMMYFUNCTION("""COMPUTED_VALUE"""),45712)</f>
        <v>45712</v>
      </c>
      <c r="J5728" s="143" t="s">
        <v>16022</v>
      </c>
      <c r="K5728" s="80" t="s">
        <v>19367</v>
      </c>
      <c r="L5728" s="30">
        <v>843053899</v>
      </c>
      <c r="M5728" s="80" t="s">
        <v>3728</v>
      </c>
      <c r="N5728" s="80" t="s">
        <v>5277</v>
      </c>
      <c r="O5728" s="80" t="s">
        <v>16024</v>
      </c>
      <c r="P5728" s="80" t="s">
        <v>11644</v>
      </c>
      <c r="Q5728" s="20">
        <v>15936</v>
      </c>
      <c r="R5728" s="80" t="s">
        <v>36</v>
      </c>
      <c r="S5728" s="95">
        <v>2000</v>
      </c>
      <c r="T5728" s="148">
        <v>45568</v>
      </c>
      <c r="U5728" s="95">
        <v>13936</v>
      </c>
      <c r="V5728" s="148">
        <v>45594</v>
      </c>
      <c r="W5728" s="85" t="s">
        <v>16025</v>
      </c>
      <c r="X5728" s="80"/>
      <c r="Y5728" s="22">
        <v>0</v>
      </c>
      <c r="Z5728" s="80" t="s">
        <v>50</v>
      </c>
      <c r="AA5728" s="35" t="s">
        <v>9905</v>
      </c>
      <c r="AB5728" s="80"/>
      <c r="AC5728" s="80" t="s">
        <v>53</v>
      </c>
      <c r="AD5728" s="80" t="s">
        <v>138</v>
      </c>
      <c r="AE5728" s="80" t="s">
        <v>13178</v>
      </c>
      <c r="AF5728" s="17">
        <v>45712</v>
      </c>
      <c r="AG5728" s="80"/>
      <c r="AH5728" s="80"/>
      <c r="AI5728" s="147"/>
      <c r="AJ5728" s="80"/>
      <c r="AK5728" s="80"/>
      <c r="AL5728" s="35"/>
      <c r="AM5728" s="35"/>
      <c r="AN5728" s="35"/>
      <c r="AO5728" s="35"/>
      <c r="AP5728" s="35"/>
    </row>
    <row r="5729" spans="1:42" x14ac:dyDescent="0.2">
      <c r="A5729" s="38">
        <v>45673</v>
      </c>
      <c r="B5729" s="28" t="s">
        <v>37</v>
      </c>
      <c r="C5729" s="41" t="s">
        <v>118</v>
      </c>
      <c r="D5729" s="80" t="s">
        <v>36</v>
      </c>
      <c r="E5729" s="80" t="s">
        <v>139</v>
      </c>
      <c r="F5729" s="80" t="s">
        <v>16224</v>
      </c>
      <c r="G5729" s="80" t="s">
        <v>108</v>
      </c>
      <c r="H5729" s="80" t="s">
        <v>14471</v>
      </c>
      <c r="I5729" s="17">
        <f ca="1">IFERROR(__xludf.DUMMYFUNCTION("""COMPUTED_VALUE"""),45701)</f>
        <v>45701</v>
      </c>
      <c r="J5729" s="143" t="s">
        <v>16323</v>
      </c>
      <c r="K5729" s="80" t="s">
        <v>16324</v>
      </c>
      <c r="L5729" s="30">
        <v>979353898</v>
      </c>
      <c r="M5729" s="80" t="s">
        <v>348</v>
      </c>
      <c r="N5729" s="80" t="s">
        <v>200</v>
      </c>
      <c r="O5729" s="80" t="s">
        <v>91</v>
      </c>
      <c r="P5729" s="80" t="s">
        <v>16325</v>
      </c>
      <c r="Q5729" s="20">
        <v>15936</v>
      </c>
      <c r="R5729" s="80" t="s">
        <v>36</v>
      </c>
      <c r="S5729" s="95">
        <v>1968</v>
      </c>
      <c r="T5729" s="148">
        <v>45578</v>
      </c>
      <c r="U5729" s="95">
        <v>13968</v>
      </c>
      <c r="V5729" s="148">
        <v>45583</v>
      </c>
      <c r="W5729" s="85" t="s">
        <v>16326</v>
      </c>
      <c r="X5729" s="80"/>
      <c r="Y5729" s="22">
        <v>0</v>
      </c>
      <c r="Z5729" s="80" t="s">
        <v>50</v>
      </c>
      <c r="AA5729" s="96" t="s">
        <v>9905</v>
      </c>
      <c r="AB5729" s="80"/>
      <c r="AC5729" s="80" t="s">
        <v>53</v>
      </c>
      <c r="AD5729" s="80" t="s">
        <v>54</v>
      </c>
      <c r="AE5729" s="80" t="s">
        <v>16224</v>
      </c>
      <c r="AF5729" s="17">
        <v>45695</v>
      </c>
      <c r="AG5729" s="80"/>
      <c r="AH5729" s="80"/>
      <c r="AI5729" s="147"/>
      <c r="AJ5729" s="80"/>
      <c r="AK5729" s="80"/>
      <c r="AL5729" s="35"/>
      <c r="AM5729" s="35"/>
      <c r="AN5729" s="35"/>
      <c r="AO5729" s="35"/>
      <c r="AP5729" s="35"/>
    </row>
    <row r="5730" spans="1:42" x14ac:dyDescent="0.2">
      <c r="A5730" s="38">
        <v>45673</v>
      </c>
      <c r="B5730" s="28" t="s">
        <v>37</v>
      </c>
      <c r="C5730" s="41" t="s">
        <v>118</v>
      </c>
      <c r="D5730" s="26" t="s">
        <v>36</v>
      </c>
      <c r="E5730" s="26" t="s">
        <v>119</v>
      </c>
      <c r="F5730" s="26" t="s">
        <v>13605</v>
      </c>
      <c r="G5730" s="26" t="s">
        <v>1705</v>
      </c>
      <c r="H5730" s="26" t="s">
        <v>8912</v>
      </c>
      <c r="I5730" s="17"/>
      <c r="J5730" s="29" t="s">
        <v>9226</v>
      </c>
      <c r="K5730" s="26" t="s">
        <v>19368</v>
      </c>
      <c r="L5730" s="47">
        <v>325520965</v>
      </c>
      <c r="M5730" s="26" t="s">
        <v>5518</v>
      </c>
      <c r="N5730" s="26" t="s">
        <v>9186</v>
      </c>
      <c r="O5730" s="26" t="s">
        <v>9228</v>
      </c>
      <c r="P5730" s="42" t="s">
        <v>19369</v>
      </c>
      <c r="Q5730" s="20"/>
      <c r="R5730" s="26" t="s">
        <v>36</v>
      </c>
      <c r="S5730" s="95">
        <f t="shared" ref="S5730:S5731" si="159">200+3800</f>
        <v>4000</v>
      </c>
      <c r="T5730" s="83" t="s">
        <v>9230</v>
      </c>
      <c r="U5730" s="95">
        <v>9968</v>
      </c>
      <c r="V5730" s="148">
        <v>45499</v>
      </c>
      <c r="W5730" s="33" t="s">
        <v>9231</v>
      </c>
      <c r="X5730" s="26"/>
      <c r="Y5730" s="22"/>
      <c r="Z5730" s="26" t="s">
        <v>50</v>
      </c>
      <c r="AA5730" s="70" t="s">
        <v>9070</v>
      </c>
      <c r="AB5730" s="26" t="s">
        <v>9232</v>
      </c>
      <c r="AC5730" s="26" t="s">
        <v>53</v>
      </c>
      <c r="AD5730" s="26" t="s">
        <v>54</v>
      </c>
      <c r="AE5730" s="26" t="s">
        <v>13605</v>
      </c>
      <c r="AF5730" s="17">
        <v>45693</v>
      </c>
      <c r="AG5730" s="26"/>
      <c r="AH5730" s="26"/>
      <c r="AI5730" s="40"/>
      <c r="AJ5730" s="26"/>
      <c r="AK5730" s="26"/>
      <c r="AL5730" s="35"/>
      <c r="AM5730" s="35"/>
      <c r="AN5730" s="35"/>
      <c r="AO5730" s="35"/>
      <c r="AP5730" s="35"/>
    </row>
    <row r="5731" spans="1:42" x14ac:dyDescent="0.2">
      <c r="A5731" s="38">
        <v>45673</v>
      </c>
      <c r="B5731" s="28" t="s">
        <v>37</v>
      </c>
      <c r="C5731" s="41" t="s">
        <v>118</v>
      </c>
      <c r="D5731" s="80" t="s">
        <v>36</v>
      </c>
      <c r="E5731" s="80" t="s">
        <v>119</v>
      </c>
      <c r="F5731" s="80" t="s">
        <v>9900</v>
      </c>
      <c r="G5731" s="80" t="s">
        <v>221</v>
      </c>
      <c r="H5731" s="80" t="s">
        <v>18555</v>
      </c>
      <c r="I5731" s="17">
        <f ca="1">IFERROR(__xludf.DUMMYFUNCTION("""COMPUTED_VALUE"""),45698)</f>
        <v>45698</v>
      </c>
      <c r="J5731" s="143" t="s">
        <v>15944</v>
      </c>
      <c r="K5731" s="80" t="s">
        <v>17264</v>
      </c>
      <c r="L5731" s="30">
        <v>983235575</v>
      </c>
      <c r="M5731" s="80" t="s">
        <v>12720</v>
      </c>
      <c r="N5731" s="80" t="s">
        <v>1073</v>
      </c>
      <c r="O5731" s="80" t="s">
        <v>15946</v>
      </c>
      <c r="P5731" s="80" t="s">
        <v>15947</v>
      </c>
      <c r="Q5731" s="20">
        <v>13968</v>
      </c>
      <c r="R5731" s="80" t="s">
        <v>70</v>
      </c>
      <c r="S5731" s="95">
        <f t="shared" si="159"/>
        <v>4000</v>
      </c>
      <c r="T5731" s="83" t="s">
        <v>15948</v>
      </c>
      <c r="U5731" s="95">
        <v>9868</v>
      </c>
      <c r="V5731" s="169">
        <v>45594</v>
      </c>
      <c r="W5731" s="85" t="s">
        <v>15949</v>
      </c>
      <c r="X5731" s="80"/>
      <c r="Y5731" s="22">
        <v>100</v>
      </c>
      <c r="Z5731" s="80" t="s">
        <v>50</v>
      </c>
      <c r="AA5731" s="96" t="s">
        <v>9905</v>
      </c>
      <c r="AB5731" s="80"/>
      <c r="AC5731" s="80" t="s">
        <v>53</v>
      </c>
      <c r="AD5731" s="80" t="s">
        <v>54</v>
      </c>
      <c r="AE5731" s="80" t="s">
        <v>9900</v>
      </c>
      <c r="AF5731" s="17">
        <v>45693</v>
      </c>
      <c r="AG5731" s="80"/>
      <c r="AH5731" s="80"/>
      <c r="AI5731" s="147"/>
      <c r="AJ5731" s="80"/>
      <c r="AK5731" s="80"/>
      <c r="AL5731" s="35"/>
      <c r="AM5731" s="35"/>
      <c r="AN5731" s="35"/>
      <c r="AO5731" s="35"/>
      <c r="AP5731" s="35"/>
    </row>
    <row r="5732" spans="1:42" x14ac:dyDescent="0.2">
      <c r="A5732" s="38">
        <v>45673</v>
      </c>
      <c r="B5732" s="137" t="s">
        <v>37</v>
      </c>
      <c r="C5732" s="41" t="s">
        <v>118</v>
      </c>
      <c r="D5732" s="80" t="s">
        <v>36</v>
      </c>
      <c r="E5732" s="80" t="s">
        <v>139</v>
      </c>
      <c r="F5732" s="80" t="s">
        <v>13480</v>
      </c>
      <c r="G5732" s="80" t="s">
        <v>108</v>
      </c>
      <c r="H5732" s="80" t="s">
        <v>13999</v>
      </c>
      <c r="I5732" s="17">
        <f ca="1">IFERROR(__xludf.DUMMYFUNCTION("""COMPUTED_VALUE"""),45698)</f>
        <v>45698</v>
      </c>
      <c r="J5732" s="143" t="s">
        <v>15642</v>
      </c>
      <c r="K5732" s="80" t="s">
        <v>15643</v>
      </c>
      <c r="L5732" s="30">
        <v>963390822</v>
      </c>
      <c r="M5732" s="80" t="s">
        <v>59</v>
      </c>
      <c r="N5732" s="80" t="s">
        <v>10947</v>
      </c>
      <c r="O5732" s="80" t="s">
        <v>15644</v>
      </c>
      <c r="P5732" s="80" t="s">
        <v>15645</v>
      </c>
      <c r="Q5732" s="20">
        <v>15936</v>
      </c>
      <c r="R5732" s="80" t="s">
        <v>36</v>
      </c>
      <c r="S5732" s="95">
        <v>2000</v>
      </c>
      <c r="T5732" s="148">
        <v>45560</v>
      </c>
      <c r="U5732" s="95">
        <v>13963</v>
      </c>
      <c r="V5732" s="148">
        <v>45589</v>
      </c>
      <c r="W5732" s="85" t="s">
        <v>15646</v>
      </c>
      <c r="X5732" s="80"/>
      <c r="Y5732" s="22">
        <v>-27</v>
      </c>
      <c r="Z5732" s="80" t="s">
        <v>50</v>
      </c>
      <c r="AA5732" s="35" t="s">
        <v>9905</v>
      </c>
      <c r="AB5732" s="80"/>
      <c r="AC5732" s="80" t="s">
        <v>53</v>
      </c>
      <c r="AD5732" s="80" t="s">
        <v>54</v>
      </c>
      <c r="AE5732" s="80" t="s">
        <v>13480</v>
      </c>
      <c r="AF5732" s="17">
        <v>45693</v>
      </c>
      <c r="AG5732" s="80"/>
      <c r="AH5732" s="80"/>
      <c r="AI5732" s="147"/>
      <c r="AJ5732" s="80"/>
      <c r="AK5732" s="80"/>
      <c r="AL5732" s="35"/>
      <c r="AM5732" s="35"/>
      <c r="AN5732" s="35"/>
      <c r="AO5732" s="35"/>
      <c r="AP5732" s="35"/>
    </row>
    <row r="5733" spans="1:42" x14ac:dyDescent="0.2">
      <c r="A5733" s="38">
        <v>45673</v>
      </c>
      <c r="B5733" s="28" t="s">
        <v>37</v>
      </c>
      <c r="C5733" s="41" t="s">
        <v>118</v>
      </c>
      <c r="D5733" s="80" t="s">
        <v>36</v>
      </c>
      <c r="E5733" s="80" t="s">
        <v>139</v>
      </c>
      <c r="F5733" s="80" t="s">
        <v>13384</v>
      </c>
      <c r="G5733" s="80" t="s">
        <v>108</v>
      </c>
      <c r="H5733" s="80" t="s">
        <v>14471</v>
      </c>
      <c r="I5733" s="17">
        <f ca="1">IFERROR(__xludf.DUMMYFUNCTION("""COMPUTED_VALUE"""),45701)</f>
        <v>45701</v>
      </c>
      <c r="J5733" s="172" t="s">
        <v>15471</v>
      </c>
      <c r="K5733" s="80" t="s">
        <v>19370</v>
      </c>
      <c r="L5733" s="30">
        <v>961560618</v>
      </c>
      <c r="M5733" s="80" t="s">
        <v>12720</v>
      </c>
      <c r="N5733" s="80" t="s">
        <v>10121</v>
      </c>
      <c r="O5733" s="80" t="s">
        <v>15473</v>
      </c>
      <c r="P5733" s="144" t="s">
        <v>19371</v>
      </c>
      <c r="Q5733" s="20">
        <v>15936</v>
      </c>
      <c r="R5733" s="80" t="s">
        <v>36</v>
      </c>
      <c r="S5733" s="95">
        <f>200+1800</f>
        <v>2000</v>
      </c>
      <c r="T5733" s="83" t="s">
        <v>15438</v>
      </c>
      <c r="U5733" s="95">
        <v>13936</v>
      </c>
      <c r="V5733" s="148">
        <v>45593</v>
      </c>
      <c r="W5733" s="85" t="s">
        <v>15475</v>
      </c>
      <c r="X5733" s="80"/>
      <c r="Y5733" s="22">
        <v>0</v>
      </c>
      <c r="Z5733" s="80" t="s">
        <v>50</v>
      </c>
      <c r="AA5733" s="96" t="s">
        <v>9905</v>
      </c>
      <c r="AB5733" s="80"/>
      <c r="AC5733" s="80" t="s">
        <v>53</v>
      </c>
      <c r="AD5733" s="80" t="s">
        <v>138</v>
      </c>
      <c r="AE5733" s="80" t="s">
        <v>13384</v>
      </c>
      <c r="AF5733" s="17">
        <v>45695</v>
      </c>
      <c r="AG5733" s="80"/>
      <c r="AH5733" s="80"/>
      <c r="AI5733" s="147"/>
      <c r="AJ5733" s="80"/>
      <c r="AK5733" s="80"/>
      <c r="AL5733" s="35"/>
      <c r="AM5733" s="35"/>
      <c r="AN5733" s="35"/>
      <c r="AO5733" s="35"/>
      <c r="AP5733" s="35"/>
    </row>
    <row r="5734" spans="1:42" x14ac:dyDescent="0.2">
      <c r="A5734" s="38">
        <v>45673</v>
      </c>
      <c r="B5734" s="28" t="s">
        <v>37</v>
      </c>
      <c r="C5734" s="41" t="s">
        <v>118</v>
      </c>
      <c r="D5734" s="80" t="s">
        <v>36</v>
      </c>
      <c r="E5734" s="80" t="s">
        <v>56</v>
      </c>
      <c r="F5734" s="80" t="s">
        <v>12849</v>
      </c>
      <c r="G5734" s="80" t="s">
        <v>108</v>
      </c>
      <c r="H5734" s="80" t="s">
        <v>19294</v>
      </c>
      <c r="I5734" s="17">
        <f ca="1">IFERROR(__xludf.DUMMYFUNCTION("""COMPUTED_VALUE"""),45709)</f>
        <v>45709</v>
      </c>
      <c r="J5734" s="143" t="s">
        <v>15757</v>
      </c>
      <c r="K5734" s="145" t="s">
        <v>19372</v>
      </c>
      <c r="L5734" s="30">
        <v>849606698</v>
      </c>
      <c r="M5734" s="80" t="s">
        <v>2755</v>
      </c>
      <c r="N5734" s="80" t="s">
        <v>4402</v>
      </c>
      <c r="O5734" s="80" t="s">
        <v>4503</v>
      </c>
      <c r="P5734" s="80" t="s">
        <v>15759</v>
      </c>
      <c r="Q5734" s="20">
        <v>9317</v>
      </c>
      <c r="R5734" s="80" t="s">
        <v>36</v>
      </c>
      <c r="S5734" s="95">
        <f>300+1700</f>
        <v>2000</v>
      </c>
      <c r="T5734" s="83" t="s">
        <v>15760</v>
      </c>
      <c r="U5734" s="95">
        <v>7317</v>
      </c>
      <c r="V5734" s="169">
        <v>45594</v>
      </c>
      <c r="W5734" s="85" t="s">
        <v>15761</v>
      </c>
      <c r="X5734" s="80"/>
      <c r="Y5734" s="22">
        <v>0</v>
      </c>
      <c r="Z5734" s="80" t="s">
        <v>50</v>
      </c>
      <c r="AA5734" s="35" t="s">
        <v>9905</v>
      </c>
      <c r="AB5734" s="80"/>
      <c r="AC5734" s="80" t="s">
        <v>53</v>
      </c>
      <c r="AD5734" s="80" t="s">
        <v>54</v>
      </c>
      <c r="AE5734" s="80" t="s">
        <v>12849</v>
      </c>
      <c r="AF5734" s="17">
        <v>45709</v>
      </c>
      <c r="AG5734" s="80"/>
      <c r="AH5734" s="80"/>
      <c r="AI5734" s="147"/>
      <c r="AJ5734" s="80"/>
      <c r="AK5734" s="80"/>
      <c r="AL5734" s="35"/>
      <c r="AM5734" s="35"/>
      <c r="AN5734" s="35"/>
      <c r="AO5734" s="35"/>
      <c r="AP5734" s="35"/>
    </row>
    <row r="5735" spans="1:42" x14ac:dyDescent="0.2">
      <c r="A5735" s="38">
        <v>45673</v>
      </c>
      <c r="B5735" s="137" t="s">
        <v>37</v>
      </c>
      <c r="C5735" s="41" t="s">
        <v>118</v>
      </c>
      <c r="D5735" s="80" t="s">
        <v>36</v>
      </c>
      <c r="E5735" s="80" t="s">
        <v>39</v>
      </c>
      <c r="F5735" s="80" t="s">
        <v>11707</v>
      </c>
      <c r="G5735" s="80" t="s">
        <v>108</v>
      </c>
      <c r="H5735" s="80" t="s">
        <v>18568</v>
      </c>
      <c r="I5735" s="17">
        <f ca="1">IFERROR(__xludf.DUMMYFUNCTION("""COMPUTED_VALUE"""),45699)</f>
        <v>45699</v>
      </c>
      <c r="J5735" s="143" t="s">
        <v>15230</v>
      </c>
      <c r="K5735" s="80" t="s">
        <v>15231</v>
      </c>
      <c r="L5735" s="30">
        <v>969592331</v>
      </c>
      <c r="M5735" s="80" t="s">
        <v>123</v>
      </c>
      <c r="N5735" s="80" t="s">
        <v>2847</v>
      </c>
      <c r="O5735" s="80" t="s">
        <v>4503</v>
      </c>
      <c r="P5735" s="80" t="s">
        <v>3056</v>
      </c>
      <c r="Q5735" s="20">
        <v>5736</v>
      </c>
      <c r="R5735" s="80" t="s">
        <v>70</v>
      </c>
      <c r="S5735" s="95">
        <v>3000</v>
      </c>
      <c r="T5735" s="148">
        <v>45551</v>
      </c>
      <c r="U5735" s="95">
        <v>2636</v>
      </c>
      <c r="V5735" s="148">
        <v>45585</v>
      </c>
      <c r="W5735" s="85" t="s">
        <v>15232</v>
      </c>
      <c r="X5735" s="80"/>
      <c r="Y5735" s="22">
        <v>100</v>
      </c>
      <c r="Z5735" s="80" t="s">
        <v>50</v>
      </c>
      <c r="AA5735" s="96" t="s">
        <v>9905</v>
      </c>
      <c r="AB5735" s="80"/>
      <c r="AC5735" s="80" t="s">
        <v>53</v>
      </c>
      <c r="AD5735" s="80" t="s">
        <v>138</v>
      </c>
      <c r="AE5735" s="80" t="s">
        <v>11707</v>
      </c>
      <c r="AF5735" s="17">
        <v>45699</v>
      </c>
      <c r="AG5735" s="80"/>
      <c r="AH5735" s="80"/>
      <c r="AI5735" s="147"/>
      <c r="AJ5735" s="80"/>
      <c r="AK5735" s="80"/>
      <c r="AL5735" s="35"/>
      <c r="AM5735" s="35"/>
      <c r="AN5735" s="35"/>
      <c r="AO5735" s="35"/>
      <c r="AP5735" s="35"/>
    </row>
    <row r="5736" spans="1:42" x14ac:dyDescent="0.2">
      <c r="A5736" s="38">
        <v>45673</v>
      </c>
      <c r="B5736" s="28" t="s">
        <v>37</v>
      </c>
      <c r="C5736" s="41" t="s">
        <v>118</v>
      </c>
      <c r="D5736" s="26" t="s">
        <v>36</v>
      </c>
      <c r="E5736" s="26" t="s">
        <v>139</v>
      </c>
      <c r="F5736" s="26" t="s">
        <v>8830</v>
      </c>
      <c r="G5736" s="26" t="s">
        <v>108</v>
      </c>
      <c r="H5736" s="26" t="s">
        <v>19373</v>
      </c>
      <c r="I5736" s="17">
        <f ca="1">IFERROR(__xludf.DUMMYFUNCTION("""COMPUTED_VALUE"""),46118)</f>
        <v>46118</v>
      </c>
      <c r="J5736" s="29" t="s">
        <v>14764</v>
      </c>
      <c r="K5736" s="19" t="s">
        <v>19374</v>
      </c>
      <c r="L5736" s="47">
        <v>345580946</v>
      </c>
      <c r="M5736" s="19" t="s">
        <v>910</v>
      </c>
      <c r="N5736" s="19" t="s">
        <v>3525</v>
      </c>
      <c r="O5736" s="26" t="s">
        <v>14766</v>
      </c>
      <c r="P5736" s="26" t="s">
        <v>14767</v>
      </c>
      <c r="Q5736" s="20">
        <v>15936</v>
      </c>
      <c r="R5736" s="26" t="s">
        <v>36</v>
      </c>
      <c r="S5736" s="95">
        <f>100+1868+5000</f>
        <v>6968</v>
      </c>
      <c r="T5736" s="83" t="s">
        <v>14768</v>
      </c>
      <c r="U5736" s="95">
        <f>4000+4968</f>
        <v>8968</v>
      </c>
      <c r="V5736" s="83" t="s">
        <v>14769</v>
      </c>
      <c r="W5736" s="79" t="s">
        <v>14770</v>
      </c>
      <c r="X5736" s="26"/>
      <c r="Y5736" s="22">
        <v>0</v>
      </c>
      <c r="Z5736" s="26" t="s">
        <v>50</v>
      </c>
      <c r="AA5736" s="35" t="s">
        <v>9905</v>
      </c>
      <c r="AB5736" s="26" t="s">
        <v>36</v>
      </c>
      <c r="AC5736" s="26" t="s">
        <v>53</v>
      </c>
      <c r="AD5736" s="26" t="s">
        <v>54</v>
      </c>
      <c r="AE5736" s="26" t="s">
        <v>8830</v>
      </c>
      <c r="AF5736" s="17">
        <v>45695</v>
      </c>
      <c r="AG5736" s="26"/>
      <c r="AH5736" s="26"/>
      <c r="AI5736" s="40"/>
      <c r="AJ5736" s="26"/>
      <c r="AK5736" s="26"/>
      <c r="AL5736" s="35"/>
      <c r="AM5736" s="35"/>
      <c r="AN5736" s="35"/>
      <c r="AO5736" s="35"/>
      <c r="AP5736" s="35"/>
    </row>
    <row r="5737" spans="1:42" x14ac:dyDescent="0.2">
      <c r="A5737" s="38">
        <v>45673</v>
      </c>
      <c r="B5737" s="28" t="s">
        <v>37</v>
      </c>
      <c r="C5737" s="41" t="s">
        <v>118</v>
      </c>
      <c r="D5737" s="80" t="s">
        <v>36</v>
      </c>
      <c r="E5737" s="80" t="s">
        <v>915</v>
      </c>
      <c r="F5737" s="80" t="s">
        <v>9032</v>
      </c>
      <c r="G5737" s="80" t="s">
        <v>1847</v>
      </c>
      <c r="H5737" s="80" t="s">
        <v>14381</v>
      </c>
      <c r="I5737" s="17">
        <f ca="1">IFERROR(__xludf.DUMMYFUNCTION("""COMPUTED_VALUE"""),45699)</f>
        <v>45699</v>
      </c>
      <c r="J5737" s="143" t="s">
        <v>12971</v>
      </c>
      <c r="K5737" s="80" t="s">
        <v>12972</v>
      </c>
      <c r="L5737" s="30">
        <v>898294689</v>
      </c>
      <c r="M5737" s="80" t="s">
        <v>3728</v>
      </c>
      <c r="N5737" s="80" t="s">
        <v>5312</v>
      </c>
      <c r="O5737" s="80" t="s">
        <v>12973</v>
      </c>
      <c r="P5737" s="80" t="s">
        <v>12974</v>
      </c>
      <c r="Q5737" s="20">
        <v>10894</v>
      </c>
      <c r="R5737" s="80" t="s">
        <v>36</v>
      </c>
      <c r="S5737" s="95">
        <f>200+10694</f>
        <v>10894</v>
      </c>
      <c r="T5737" s="83" t="s">
        <v>12975</v>
      </c>
      <c r="U5737" s="77"/>
      <c r="V5737" s="78"/>
      <c r="W5737" s="85" t="s">
        <v>12976</v>
      </c>
      <c r="X5737" s="80">
        <v>0</v>
      </c>
      <c r="Y5737" s="22">
        <v>0</v>
      </c>
      <c r="Z5737" s="80" t="s">
        <v>50</v>
      </c>
      <c r="AA5737" s="96" t="s">
        <v>3291</v>
      </c>
      <c r="AB5737" s="80"/>
      <c r="AC5737" s="80" t="s">
        <v>53</v>
      </c>
      <c r="AD5737" s="80" t="s">
        <v>138</v>
      </c>
      <c r="AE5737" s="80" t="s">
        <v>9032</v>
      </c>
      <c r="AF5737" s="17">
        <v>45699</v>
      </c>
      <c r="AG5737" s="26"/>
      <c r="AH5737" s="80"/>
      <c r="AI5737" s="147">
        <v>3</v>
      </c>
      <c r="AJ5737" s="80"/>
      <c r="AK5737" s="80"/>
      <c r="AL5737" s="35"/>
      <c r="AM5737" s="35"/>
      <c r="AN5737" s="35"/>
      <c r="AO5737" s="35"/>
      <c r="AP5737" s="35"/>
    </row>
    <row r="5738" spans="1:42" x14ac:dyDescent="0.2">
      <c r="A5738" s="38">
        <v>45673</v>
      </c>
      <c r="B5738" s="28" t="s">
        <v>37</v>
      </c>
      <c r="C5738" s="41" t="s">
        <v>118</v>
      </c>
      <c r="D5738" s="80" t="s">
        <v>36</v>
      </c>
      <c r="E5738" s="80" t="s">
        <v>148</v>
      </c>
      <c r="F5738" s="80" t="s">
        <v>9856</v>
      </c>
      <c r="G5738" s="80" t="s">
        <v>221</v>
      </c>
      <c r="H5738" s="80" t="s">
        <v>19375</v>
      </c>
      <c r="I5738" s="17">
        <f ca="1">IFERROR(__xludf.DUMMYFUNCTION("""COMPUTED_VALUE"""),45699)</f>
        <v>45699</v>
      </c>
      <c r="J5738" s="143" t="s">
        <v>12469</v>
      </c>
      <c r="K5738" s="145" t="s">
        <v>18308</v>
      </c>
      <c r="L5738" s="30">
        <v>394401225</v>
      </c>
      <c r="M5738" s="80" t="s">
        <v>5518</v>
      </c>
      <c r="N5738" s="80" t="s">
        <v>253</v>
      </c>
      <c r="O5738" s="80" t="s">
        <v>12471</v>
      </c>
      <c r="P5738" s="144" t="s">
        <v>19376</v>
      </c>
      <c r="Q5738" s="20">
        <v>7349</v>
      </c>
      <c r="R5738" s="80" t="s">
        <v>36</v>
      </c>
      <c r="S5738" s="95">
        <v>4000</v>
      </c>
      <c r="T5738" s="148">
        <v>45530</v>
      </c>
      <c r="U5738" s="95">
        <v>3349</v>
      </c>
      <c r="V5738" s="148">
        <v>45546</v>
      </c>
      <c r="W5738" s="85" t="s">
        <v>12473</v>
      </c>
      <c r="X5738" s="80">
        <v>0</v>
      </c>
      <c r="Y5738" s="22">
        <v>0</v>
      </c>
      <c r="Z5738" s="80" t="s">
        <v>50</v>
      </c>
      <c r="AA5738" s="35" t="s">
        <v>3291</v>
      </c>
      <c r="AB5738" s="80"/>
      <c r="AC5738" s="80" t="s">
        <v>53</v>
      </c>
      <c r="AD5738" s="80" t="s">
        <v>54</v>
      </c>
      <c r="AE5738" s="80" t="s">
        <v>9856</v>
      </c>
      <c r="AF5738" s="17">
        <v>45694</v>
      </c>
      <c r="AG5738" s="80"/>
      <c r="AH5738" s="80"/>
      <c r="AI5738" s="147">
        <v>2</v>
      </c>
      <c r="AJ5738" s="80"/>
      <c r="AK5738" s="80"/>
      <c r="AL5738" s="35"/>
      <c r="AM5738" s="35"/>
      <c r="AN5738" s="35"/>
      <c r="AO5738" s="35"/>
      <c r="AP5738" s="35"/>
    </row>
    <row r="5739" spans="1:42" x14ac:dyDescent="0.2">
      <c r="A5739" s="38">
        <v>45673</v>
      </c>
      <c r="B5739" s="28" t="s">
        <v>37</v>
      </c>
      <c r="C5739" s="41" t="s">
        <v>118</v>
      </c>
      <c r="D5739" s="80" t="s">
        <v>36</v>
      </c>
      <c r="E5739" s="80" t="s">
        <v>39</v>
      </c>
      <c r="F5739" s="80" t="s">
        <v>13301</v>
      </c>
      <c r="G5739" s="26" t="s">
        <v>108</v>
      </c>
      <c r="H5739" s="26" t="s">
        <v>14471</v>
      </c>
      <c r="I5739" s="17">
        <f ca="1">IFERROR(__xludf.DUMMYFUNCTION("""COMPUTED_VALUE"""),45701)</f>
        <v>45701</v>
      </c>
      <c r="J5739" s="143" t="s">
        <v>15959</v>
      </c>
      <c r="K5739" s="80" t="s">
        <v>15960</v>
      </c>
      <c r="L5739" s="30">
        <v>968019227</v>
      </c>
      <c r="M5739" s="80" t="s">
        <v>3728</v>
      </c>
      <c r="N5739" s="80" t="s">
        <v>5312</v>
      </c>
      <c r="O5739" s="80" t="s">
        <v>15961</v>
      </c>
      <c r="P5739" s="80" t="s">
        <v>19377</v>
      </c>
      <c r="Q5739" s="20">
        <v>5736</v>
      </c>
      <c r="R5739" s="80" t="s">
        <v>36</v>
      </c>
      <c r="S5739" s="95">
        <v>2000</v>
      </c>
      <c r="T5739" s="148">
        <v>45551</v>
      </c>
      <c r="U5739" s="95">
        <v>3736</v>
      </c>
      <c r="V5739" s="148">
        <v>45586</v>
      </c>
      <c r="W5739" s="80" t="s">
        <v>15962</v>
      </c>
      <c r="X5739" s="80"/>
      <c r="Y5739" s="22">
        <v>0</v>
      </c>
      <c r="Z5739" s="80" t="s">
        <v>50</v>
      </c>
      <c r="AA5739" s="96" t="s">
        <v>9905</v>
      </c>
      <c r="AB5739" s="80"/>
      <c r="AC5739" s="80" t="s">
        <v>53</v>
      </c>
      <c r="AD5739" s="80" t="s">
        <v>138</v>
      </c>
      <c r="AE5739" s="80" t="s">
        <v>13301</v>
      </c>
      <c r="AF5739" s="17">
        <v>45695</v>
      </c>
      <c r="AG5739" s="80"/>
      <c r="AH5739" s="80"/>
      <c r="AI5739" s="147"/>
      <c r="AJ5739" s="80"/>
      <c r="AK5739" s="80"/>
      <c r="AL5739" s="35"/>
      <c r="AM5739" s="35"/>
      <c r="AN5739" s="35"/>
      <c r="AO5739" s="35"/>
      <c r="AP5739" s="35"/>
    </row>
    <row r="5740" spans="1:42" x14ac:dyDescent="0.2">
      <c r="A5740" s="38">
        <v>45673</v>
      </c>
      <c r="B5740" s="137" t="s">
        <v>37</v>
      </c>
      <c r="C5740" s="41" t="s">
        <v>118</v>
      </c>
      <c r="D5740" s="80" t="s">
        <v>36</v>
      </c>
      <c r="E5740" s="80" t="s">
        <v>119</v>
      </c>
      <c r="F5740" s="80" t="s">
        <v>10193</v>
      </c>
      <c r="G5740" s="80" t="s">
        <v>221</v>
      </c>
      <c r="H5740" s="80" t="s">
        <v>19378</v>
      </c>
      <c r="I5740" s="17">
        <f ca="1">IFERROR(__xludf.DUMMYFUNCTION("""COMPUTED_VALUE"""),45793)</f>
        <v>45793</v>
      </c>
      <c r="J5740" s="143" t="s">
        <v>13052</v>
      </c>
      <c r="K5740" s="80" t="s">
        <v>19379</v>
      </c>
      <c r="L5740" s="30">
        <v>397119568</v>
      </c>
      <c r="M5740" s="80" t="s">
        <v>9422</v>
      </c>
      <c r="N5740" s="80" t="s">
        <v>186</v>
      </c>
      <c r="O5740" s="80" t="s">
        <v>8827</v>
      </c>
      <c r="P5740" s="80" t="s">
        <v>13054</v>
      </c>
      <c r="Q5740" s="20">
        <v>13968</v>
      </c>
      <c r="R5740" s="80" t="s">
        <v>11421</v>
      </c>
      <c r="S5740" s="95">
        <v>3768</v>
      </c>
      <c r="T5740" s="148">
        <v>45547</v>
      </c>
      <c r="U5740" s="178">
        <v>9900</v>
      </c>
      <c r="V5740" s="169">
        <v>45563</v>
      </c>
      <c r="W5740" s="79" t="s">
        <v>13055</v>
      </c>
      <c r="X5740" s="80">
        <v>300</v>
      </c>
      <c r="Y5740" s="22">
        <v>0</v>
      </c>
      <c r="Z5740" s="80" t="s">
        <v>50</v>
      </c>
      <c r="AA5740" s="35" t="s">
        <v>3291</v>
      </c>
      <c r="AB5740" s="80"/>
      <c r="AC5740" s="80" t="s">
        <v>53</v>
      </c>
      <c r="AD5740" s="80" t="s">
        <v>54</v>
      </c>
      <c r="AE5740" s="80" t="s">
        <v>10193</v>
      </c>
      <c r="AF5740" s="17">
        <v>45693</v>
      </c>
      <c r="AG5740" s="80"/>
      <c r="AH5740" s="80"/>
      <c r="AI5740" s="147">
        <v>4</v>
      </c>
      <c r="AJ5740" s="80"/>
      <c r="AK5740" s="80"/>
      <c r="AL5740" s="35"/>
      <c r="AM5740" s="35"/>
      <c r="AN5740" s="35"/>
      <c r="AO5740" s="35"/>
      <c r="AP5740" s="35"/>
    </row>
    <row r="5741" spans="1:42" x14ac:dyDescent="0.2">
      <c r="A5741" s="38">
        <v>45674</v>
      </c>
      <c r="B5741" s="28" t="s">
        <v>37</v>
      </c>
      <c r="C5741" s="41" t="s">
        <v>118</v>
      </c>
      <c r="D5741" s="80" t="s">
        <v>36</v>
      </c>
      <c r="E5741" s="80" t="s">
        <v>139</v>
      </c>
      <c r="F5741" s="80" t="s">
        <v>14051</v>
      </c>
      <c r="G5741" s="80" t="s">
        <v>108</v>
      </c>
      <c r="H5741" s="80" t="s">
        <v>14088</v>
      </c>
      <c r="I5741" s="17">
        <f ca="1">IFERROR(__xludf.DUMMYFUNCTION("""COMPUTED_VALUE"""),45699)</f>
        <v>45699</v>
      </c>
      <c r="J5741" s="143" t="s">
        <v>16275</v>
      </c>
      <c r="K5741" s="145" t="s">
        <v>16276</v>
      </c>
      <c r="L5741" s="145">
        <v>352783765</v>
      </c>
      <c r="M5741" s="80" t="s">
        <v>3728</v>
      </c>
      <c r="N5741" s="80" t="s">
        <v>5277</v>
      </c>
      <c r="O5741" s="80" t="s">
        <v>16277</v>
      </c>
      <c r="P5741" s="80" t="s">
        <v>11644</v>
      </c>
      <c r="Q5741" s="20">
        <v>15936</v>
      </c>
      <c r="R5741" s="80" t="s">
        <v>36</v>
      </c>
      <c r="S5741" s="95">
        <v>15936</v>
      </c>
      <c r="T5741" s="148">
        <v>45576</v>
      </c>
      <c r="U5741" s="77"/>
      <c r="V5741" s="78"/>
      <c r="W5741" s="80" t="s">
        <v>16278</v>
      </c>
      <c r="X5741" s="80"/>
      <c r="Y5741" s="22">
        <v>0</v>
      </c>
      <c r="Z5741" s="81" t="s">
        <v>50</v>
      </c>
      <c r="AA5741" s="82" t="s">
        <v>9905</v>
      </c>
      <c r="AB5741" s="80"/>
      <c r="AC5741" s="80" t="s">
        <v>53</v>
      </c>
      <c r="AD5741" s="80" t="s">
        <v>138</v>
      </c>
      <c r="AE5741" s="80" t="s">
        <v>14051</v>
      </c>
      <c r="AF5741" s="17">
        <v>45699</v>
      </c>
      <c r="AG5741" s="80"/>
      <c r="AH5741" s="80"/>
      <c r="AI5741" s="147"/>
      <c r="AJ5741" s="80"/>
      <c r="AK5741" s="80"/>
      <c r="AL5741" s="86"/>
      <c r="AM5741" s="86"/>
      <c r="AN5741" s="86"/>
      <c r="AO5741" s="86"/>
      <c r="AP5741" s="86"/>
    </row>
    <row r="5742" spans="1:42" x14ac:dyDescent="0.2">
      <c r="A5742" s="38">
        <v>45674</v>
      </c>
      <c r="B5742" s="28" t="s">
        <v>37</v>
      </c>
      <c r="C5742" s="41" t="s">
        <v>118</v>
      </c>
      <c r="D5742" s="80" t="s">
        <v>36</v>
      </c>
      <c r="E5742" s="80" t="s">
        <v>139</v>
      </c>
      <c r="F5742" s="80" t="s">
        <v>14051</v>
      </c>
      <c r="G5742" s="80" t="s">
        <v>108</v>
      </c>
      <c r="H5742" s="80" t="s">
        <v>14088</v>
      </c>
      <c r="I5742" s="17">
        <f ca="1">IFERROR(__xludf.DUMMYFUNCTION("""COMPUTED_VALUE"""),45699)</f>
        <v>45699</v>
      </c>
      <c r="J5742" s="143" t="s">
        <v>15189</v>
      </c>
      <c r="K5742" s="145" t="s">
        <v>19380</v>
      </c>
      <c r="L5742" s="30">
        <v>847562969</v>
      </c>
      <c r="M5742" s="80" t="s">
        <v>2755</v>
      </c>
      <c r="N5742" s="80" t="s">
        <v>2756</v>
      </c>
      <c r="O5742" s="80" t="s">
        <v>4503</v>
      </c>
      <c r="P5742" s="80" t="s">
        <v>7649</v>
      </c>
      <c r="Q5742" s="20">
        <v>15936</v>
      </c>
      <c r="R5742" s="80" t="s">
        <v>36</v>
      </c>
      <c r="S5742" s="95">
        <v>2200</v>
      </c>
      <c r="T5742" s="148">
        <v>45548</v>
      </c>
      <c r="U5742" s="178">
        <v>13736</v>
      </c>
      <c r="V5742" s="169">
        <v>45573</v>
      </c>
      <c r="W5742" s="79" t="s">
        <v>15191</v>
      </c>
      <c r="X5742" s="80"/>
      <c r="Y5742" s="22">
        <v>0</v>
      </c>
      <c r="Z5742" s="81" t="s">
        <v>50</v>
      </c>
      <c r="AA5742" s="86" t="s">
        <v>9905</v>
      </c>
      <c r="AB5742" s="80"/>
      <c r="AC5742" s="80" t="s">
        <v>53</v>
      </c>
      <c r="AD5742" s="80" t="s">
        <v>138</v>
      </c>
      <c r="AE5742" s="80" t="s">
        <v>14051</v>
      </c>
      <c r="AF5742" s="17">
        <v>45699</v>
      </c>
      <c r="AG5742" s="80"/>
      <c r="AH5742" s="80"/>
      <c r="AI5742" s="147"/>
      <c r="AJ5742" s="80"/>
      <c r="AK5742" s="80"/>
      <c r="AL5742" s="86"/>
      <c r="AM5742" s="86"/>
      <c r="AN5742" s="86"/>
      <c r="AO5742" s="86"/>
      <c r="AP5742" s="86"/>
    </row>
    <row r="5743" spans="1:42" x14ac:dyDescent="0.2">
      <c r="A5743" s="38">
        <v>45674</v>
      </c>
      <c r="B5743" s="28" t="s">
        <v>37</v>
      </c>
      <c r="C5743" s="41" t="s">
        <v>118</v>
      </c>
      <c r="D5743" s="80" t="s">
        <v>36</v>
      </c>
      <c r="E5743" s="80" t="s">
        <v>56</v>
      </c>
      <c r="F5743" s="80" t="s">
        <v>14051</v>
      </c>
      <c r="G5743" s="80" t="s">
        <v>108</v>
      </c>
      <c r="H5743" s="80" t="s">
        <v>14088</v>
      </c>
      <c r="I5743" s="17">
        <f ca="1">IFERROR(__xludf.DUMMYFUNCTION("""COMPUTED_VALUE"""),45699)</f>
        <v>45699</v>
      </c>
      <c r="J5743" s="143" t="s">
        <v>17716</v>
      </c>
      <c r="K5743" s="145" t="s">
        <v>17717</v>
      </c>
      <c r="L5743" s="30">
        <v>352666430</v>
      </c>
      <c r="M5743" s="80" t="s">
        <v>3728</v>
      </c>
      <c r="N5743" s="80" t="s">
        <v>299</v>
      </c>
      <c r="O5743" s="80" t="s">
        <v>17718</v>
      </c>
      <c r="P5743" s="80" t="s">
        <v>11644</v>
      </c>
      <c r="Q5743" s="20">
        <v>9317</v>
      </c>
      <c r="R5743" s="80" t="s">
        <v>36</v>
      </c>
      <c r="S5743" s="95">
        <v>2000</v>
      </c>
      <c r="T5743" s="148">
        <v>45596</v>
      </c>
      <c r="U5743" s="95">
        <v>7317</v>
      </c>
      <c r="V5743" s="148">
        <v>45626</v>
      </c>
      <c r="W5743" s="85" t="s">
        <v>17719</v>
      </c>
      <c r="X5743" s="80"/>
      <c r="Y5743" s="22">
        <v>0</v>
      </c>
      <c r="Z5743" s="81" t="s">
        <v>50</v>
      </c>
      <c r="AA5743" s="82" t="s">
        <v>14723</v>
      </c>
      <c r="AB5743" s="80"/>
      <c r="AC5743" s="80" t="s">
        <v>53</v>
      </c>
      <c r="AD5743" s="80" t="s">
        <v>138</v>
      </c>
      <c r="AE5743" s="80" t="s">
        <v>14051</v>
      </c>
      <c r="AF5743" s="17">
        <v>45699</v>
      </c>
      <c r="AG5743" s="80"/>
      <c r="AH5743" s="80"/>
      <c r="AI5743" s="147"/>
      <c r="AJ5743" s="80"/>
      <c r="AK5743" s="80"/>
      <c r="AL5743" s="86"/>
      <c r="AM5743" s="86"/>
      <c r="AN5743" s="86"/>
      <c r="AO5743" s="86"/>
      <c r="AP5743" s="86"/>
    </row>
    <row r="5744" spans="1:42" x14ac:dyDescent="0.2">
      <c r="A5744" s="38">
        <v>45674</v>
      </c>
      <c r="B5744" s="28" t="s">
        <v>37</v>
      </c>
      <c r="C5744" s="41" t="s">
        <v>118</v>
      </c>
      <c r="D5744" s="80" t="s">
        <v>36</v>
      </c>
      <c r="E5744" s="80" t="s">
        <v>139</v>
      </c>
      <c r="F5744" s="80" t="s">
        <v>14051</v>
      </c>
      <c r="G5744" s="80" t="s">
        <v>108</v>
      </c>
      <c r="H5744" s="80" t="s">
        <v>14088</v>
      </c>
      <c r="I5744" s="17">
        <f ca="1">IFERROR(__xludf.DUMMYFUNCTION("""COMPUTED_VALUE"""),45699)</f>
        <v>45699</v>
      </c>
      <c r="J5744" s="143" t="s">
        <v>17799</v>
      </c>
      <c r="K5744" s="145" t="s">
        <v>17800</v>
      </c>
      <c r="L5744" s="30">
        <v>972028917</v>
      </c>
      <c r="M5744" s="80" t="s">
        <v>59</v>
      </c>
      <c r="N5744" s="80" t="s">
        <v>17801</v>
      </c>
      <c r="O5744" s="80" t="s">
        <v>17802</v>
      </c>
      <c r="P5744" s="80" t="s">
        <v>3694</v>
      </c>
      <c r="Q5744" s="20">
        <v>15936</v>
      </c>
      <c r="R5744" s="80" t="s">
        <v>36</v>
      </c>
      <c r="S5744" s="95">
        <v>2000</v>
      </c>
      <c r="T5744" s="148">
        <v>45598</v>
      </c>
      <c r="U5744" s="95">
        <v>13963</v>
      </c>
      <c r="V5744" s="148">
        <v>45623</v>
      </c>
      <c r="W5744" s="85" t="s">
        <v>17803</v>
      </c>
      <c r="X5744" s="80"/>
      <c r="Y5744" s="22">
        <v>-27</v>
      </c>
      <c r="Z5744" s="81" t="s">
        <v>50</v>
      </c>
      <c r="AA5744" s="86" t="s">
        <v>14723</v>
      </c>
      <c r="AB5744" s="80"/>
      <c r="AC5744" s="80" t="s">
        <v>53</v>
      </c>
      <c r="AD5744" s="80" t="s">
        <v>138</v>
      </c>
      <c r="AE5744" s="80" t="s">
        <v>14051</v>
      </c>
      <c r="AF5744" s="17">
        <v>45699</v>
      </c>
      <c r="AG5744" s="80"/>
      <c r="AH5744" s="80"/>
      <c r="AI5744" s="147"/>
      <c r="AJ5744" s="80"/>
      <c r="AK5744" s="80"/>
      <c r="AL5744" s="86"/>
      <c r="AM5744" s="86"/>
      <c r="AN5744" s="86"/>
      <c r="AO5744" s="86"/>
      <c r="AP5744" s="86"/>
    </row>
    <row r="5745" spans="1:42" x14ac:dyDescent="0.2">
      <c r="A5745" s="38">
        <v>45674</v>
      </c>
      <c r="B5745" s="28" t="s">
        <v>37</v>
      </c>
      <c r="C5745" s="41" t="s">
        <v>118</v>
      </c>
      <c r="D5745" s="80" t="s">
        <v>36</v>
      </c>
      <c r="E5745" s="80" t="s">
        <v>56</v>
      </c>
      <c r="F5745" s="80" t="s">
        <v>14051</v>
      </c>
      <c r="G5745" s="80" t="s">
        <v>108</v>
      </c>
      <c r="H5745" s="80" t="s">
        <v>14088</v>
      </c>
      <c r="I5745" s="17">
        <f ca="1">IFERROR(__xludf.DUMMYFUNCTION("""COMPUTED_VALUE"""),45699)</f>
        <v>45699</v>
      </c>
      <c r="J5745" s="143" t="s">
        <v>17980</v>
      </c>
      <c r="K5745" s="206" t="s">
        <v>17981</v>
      </c>
      <c r="L5745" s="30">
        <v>965784013</v>
      </c>
      <c r="M5745" s="80" t="s">
        <v>59</v>
      </c>
      <c r="N5745" s="80" t="s">
        <v>17488</v>
      </c>
      <c r="O5745" s="80" t="s">
        <v>17982</v>
      </c>
      <c r="P5745" s="80" t="s">
        <v>7743</v>
      </c>
      <c r="Q5745" s="20">
        <v>9317</v>
      </c>
      <c r="R5745" s="80" t="s">
        <v>36</v>
      </c>
      <c r="S5745" s="95">
        <v>7349</v>
      </c>
      <c r="T5745" s="200">
        <v>45608</v>
      </c>
      <c r="U5745" s="178">
        <f>1000+968</f>
        <v>1968</v>
      </c>
      <c r="V5745" s="148">
        <v>45626</v>
      </c>
      <c r="W5745" s="85" t="s">
        <v>17983</v>
      </c>
      <c r="X5745" s="80"/>
      <c r="Y5745" s="22">
        <v>0</v>
      </c>
      <c r="Z5745" s="81" t="s">
        <v>50</v>
      </c>
      <c r="AA5745" s="82" t="s">
        <v>14723</v>
      </c>
      <c r="AB5745" s="80"/>
      <c r="AC5745" s="80" t="s">
        <v>53</v>
      </c>
      <c r="AD5745" s="80" t="s">
        <v>138</v>
      </c>
      <c r="AE5745" s="80" t="s">
        <v>14051</v>
      </c>
      <c r="AF5745" s="17">
        <v>45699</v>
      </c>
      <c r="AG5745" s="80"/>
      <c r="AH5745" s="80"/>
      <c r="AI5745" s="147"/>
      <c r="AJ5745" s="80"/>
      <c r="AK5745" s="80"/>
      <c r="AL5745" s="86"/>
      <c r="AM5745" s="86"/>
      <c r="AN5745" s="86"/>
      <c r="AO5745" s="86"/>
      <c r="AP5745" s="86"/>
    </row>
    <row r="5746" spans="1:42" x14ac:dyDescent="0.2">
      <c r="A5746" s="38">
        <v>45674</v>
      </c>
      <c r="B5746" s="28" t="s">
        <v>37</v>
      </c>
      <c r="C5746" s="41" t="s">
        <v>118</v>
      </c>
      <c r="D5746" s="80" t="s">
        <v>36</v>
      </c>
      <c r="E5746" s="80" t="s">
        <v>139</v>
      </c>
      <c r="F5746" s="80" t="s">
        <v>14051</v>
      </c>
      <c r="G5746" s="80" t="s">
        <v>108</v>
      </c>
      <c r="H5746" s="80" t="s">
        <v>14088</v>
      </c>
      <c r="I5746" s="17">
        <f ca="1">IFERROR(__xludf.DUMMYFUNCTION("""COMPUTED_VALUE"""),45699)</f>
        <v>45699</v>
      </c>
      <c r="J5746" s="143" t="s">
        <v>18607</v>
      </c>
      <c r="K5746" s="145" t="s">
        <v>19381</v>
      </c>
      <c r="L5746" s="30">
        <v>386249855</v>
      </c>
      <c r="M5746" s="80" t="s">
        <v>59</v>
      </c>
      <c r="N5746" s="80" t="s">
        <v>68</v>
      </c>
      <c r="O5746" s="80" t="s">
        <v>18609</v>
      </c>
      <c r="P5746" s="80" t="s">
        <v>18610</v>
      </c>
      <c r="Q5746" s="20">
        <v>15936</v>
      </c>
      <c r="R5746" s="80" t="s">
        <v>36</v>
      </c>
      <c r="S5746" s="168">
        <f>200+2000</f>
        <v>2200</v>
      </c>
      <c r="T5746" s="148" t="s">
        <v>18611</v>
      </c>
      <c r="U5746" s="95">
        <v>13736</v>
      </c>
      <c r="V5746" s="148">
        <v>45629</v>
      </c>
      <c r="W5746" s="85" t="s">
        <v>18612</v>
      </c>
      <c r="X5746" s="80"/>
      <c r="Y5746" s="22">
        <v>0</v>
      </c>
      <c r="Z5746" s="81" t="s">
        <v>50</v>
      </c>
      <c r="AA5746" s="86" t="s">
        <v>18579</v>
      </c>
      <c r="AB5746" s="86"/>
      <c r="AC5746" s="80" t="s">
        <v>53</v>
      </c>
      <c r="AD5746" s="80" t="s">
        <v>138</v>
      </c>
      <c r="AE5746" s="80" t="s">
        <v>14051</v>
      </c>
      <c r="AF5746" s="17">
        <v>45699</v>
      </c>
      <c r="AG5746" s="80"/>
      <c r="AH5746" s="80"/>
      <c r="AI5746" s="147"/>
      <c r="AJ5746" s="80"/>
      <c r="AK5746" s="80"/>
      <c r="AL5746" s="86"/>
      <c r="AM5746" s="86"/>
      <c r="AN5746" s="86"/>
      <c r="AO5746" s="86"/>
      <c r="AP5746" s="86"/>
    </row>
    <row r="5747" spans="1:42" x14ac:dyDescent="0.2">
      <c r="A5747" s="38">
        <v>45674</v>
      </c>
      <c r="B5747" s="28" t="s">
        <v>37</v>
      </c>
      <c r="C5747" s="41" t="s">
        <v>118</v>
      </c>
      <c r="D5747" s="80" t="s">
        <v>36</v>
      </c>
      <c r="E5747" s="80" t="s">
        <v>139</v>
      </c>
      <c r="F5747" s="80" t="s">
        <v>14051</v>
      </c>
      <c r="G5747" s="80" t="s">
        <v>108</v>
      </c>
      <c r="H5747" s="80" t="s">
        <v>14088</v>
      </c>
      <c r="I5747" s="17">
        <f ca="1">IFERROR(__xludf.DUMMYFUNCTION("""COMPUTED_VALUE"""),45699)</f>
        <v>45699</v>
      </c>
      <c r="J5747" s="143" t="s">
        <v>18722</v>
      </c>
      <c r="K5747" s="145" t="s">
        <v>18723</v>
      </c>
      <c r="L5747" s="30">
        <v>385794918</v>
      </c>
      <c r="M5747" s="80" t="s">
        <v>3498</v>
      </c>
      <c r="N5747" s="80" t="s">
        <v>4402</v>
      </c>
      <c r="O5747" s="80" t="s">
        <v>4503</v>
      </c>
      <c r="P5747" s="80" t="s">
        <v>3694</v>
      </c>
      <c r="Q5747" s="20">
        <v>15936</v>
      </c>
      <c r="R5747" s="80" t="s">
        <v>36</v>
      </c>
      <c r="S5747" s="95">
        <v>2000</v>
      </c>
      <c r="T5747" s="148">
        <v>45595</v>
      </c>
      <c r="U5747" s="95">
        <v>13936</v>
      </c>
      <c r="V5747" s="148">
        <v>45630</v>
      </c>
      <c r="W5747" s="80" t="s">
        <v>18724</v>
      </c>
      <c r="X5747" s="80"/>
      <c r="Y5747" s="22">
        <v>0</v>
      </c>
      <c r="Z5747" s="81" t="s">
        <v>50</v>
      </c>
      <c r="AA5747" s="82" t="s">
        <v>18579</v>
      </c>
      <c r="AB5747" s="82"/>
      <c r="AC5747" s="80" t="s">
        <v>53</v>
      </c>
      <c r="AD5747" s="80" t="s">
        <v>138</v>
      </c>
      <c r="AE5747" s="80" t="s">
        <v>14051</v>
      </c>
      <c r="AF5747" s="17">
        <v>45699</v>
      </c>
      <c r="AG5747" s="80"/>
      <c r="AH5747" s="80"/>
      <c r="AI5747" s="147"/>
      <c r="AJ5747" s="80"/>
      <c r="AK5747" s="80"/>
      <c r="AL5747" s="86"/>
      <c r="AM5747" s="86"/>
      <c r="AN5747" s="86"/>
      <c r="AO5747" s="86"/>
      <c r="AP5747" s="86"/>
    </row>
    <row r="5748" spans="1:42" x14ac:dyDescent="0.2">
      <c r="A5748" s="38">
        <v>45674</v>
      </c>
      <c r="B5748" s="28" t="s">
        <v>37</v>
      </c>
      <c r="C5748" s="41" t="s">
        <v>118</v>
      </c>
      <c r="D5748" s="80" t="s">
        <v>36</v>
      </c>
      <c r="E5748" s="80" t="s">
        <v>56</v>
      </c>
      <c r="F5748" s="80" t="s">
        <v>14051</v>
      </c>
      <c r="G5748" s="80" t="s">
        <v>108</v>
      </c>
      <c r="H5748" s="80" t="s">
        <v>14088</v>
      </c>
      <c r="I5748" s="17">
        <f ca="1">IFERROR(__xludf.DUMMYFUNCTION("""COMPUTED_VALUE"""),45699)</f>
        <v>45699</v>
      </c>
      <c r="J5748" s="143" t="s">
        <v>18731</v>
      </c>
      <c r="K5748" s="145" t="s">
        <v>18732</v>
      </c>
      <c r="L5748" s="30">
        <v>931354423</v>
      </c>
      <c r="M5748" s="80" t="s">
        <v>15996</v>
      </c>
      <c r="N5748" s="80" t="s">
        <v>186</v>
      </c>
      <c r="O5748" s="80" t="s">
        <v>4503</v>
      </c>
      <c r="P5748" s="80" t="s">
        <v>3056</v>
      </c>
      <c r="Q5748" s="20">
        <v>9317</v>
      </c>
      <c r="R5748" s="80" t="s">
        <v>1106</v>
      </c>
      <c r="S5748" s="95">
        <f t="shared" ref="S5748:S5749" si="160">200+3000</f>
        <v>3200</v>
      </c>
      <c r="T5748" s="200">
        <v>45614</v>
      </c>
      <c r="U5748" s="95">
        <v>5967</v>
      </c>
      <c r="V5748" s="148">
        <v>45632</v>
      </c>
      <c r="W5748" s="85" t="s">
        <v>18733</v>
      </c>
      <c r="X5748" s="80"/>
      <c r="Y5748" s="22">
        <v>150</v>
      </c>
      <c r="Z5748" s="81" t="s">
        <v>50</v>
      </c>
      <c r="AA5748" s="86" t="s">
        <v>18579</v>
      </c>
      <c r="AB5748" s="86"/>
      <c r="AC5748" s="80" t="s">
        <v>53</v>
      </c>
      <c r="AD5748" s="80" t="s">
        <v>138</v>
      </c>
      <c r="AE5748" s="80" t="s">
        <v>14051</v>
      </c>
      <c r="AF5748" s="17">
        <v>45699</v>
      </c>
      <c r="AG5748" s="80"/>
      <c r="AH5748" s="80"/>
      <c r="AI5748" s="147"/>
      <c r="AJ5748" s="80"/>
      <c r="AK5748" s="80"/>
      <c r="AL5748" s="86"/>
      <c r="AM5748" s="86"/>
      <c r="AN5748" s="86"/>
      <c r="AO5748" s="86"/>
      <c r="AP5748" s="86"/>
    </row>
    <row r="5749" spans="1:42" x14ac:dyDescent="0.2">
      <c r="A5749" s="38">
        <v>45674</v>
      </c>
      <c r="B5749" s="28" t="s">
        <v>37</v>
      </c>
      <c r="C5749" s="41" t="s">
        <v>118</v>
      </c>
      <c r="D5749" s="80" t="s">
        <v>36</v>
      </c>
      <c r="E5749" s="80" t="s">
        <v>56</v>
      </c>
      <c r="F5749" s="80" t="s">
        <v>14051</v>
      </c>
      <c r="G5749" s="80" t="s">
        <v>108</v>
      </c>
      <c r="H5749" s="80" t="s">
        <v>14088</v>
      </c>
      <c r="I5749" s="17">
        <f ca="1">IFERROR(__xludf.DUMMYFUNCTION("""COMPUTED_VALUE"""),45699)</f>
        <v>45699</v>
      </c>
      <c r="J5749" s="143" t="s">
        <v>18734</v>
      </c>
      <c r="K5749" s="145" t="s">
        <v>18735</v>
      </c>
      <c r="L5749" s="30">
        <v>967626371</v>
      </c>
      <c r="M5749" s="80" t="s">
        <v>15996</v>
      </c>
      <c r="N5749" s="80" t="s">
        <v>186</v>
      </c>
      <c r="O5749" s="80" t="s">
        <v>4503</v>
      </c>
      <c r="P5749" s="80" t="s">
        <v>3056</v>
      </c>
      <c r="Q5749" s="20">
        <v>9317</v>
      </c>
      <c r="R5749" s="80" t="s">
        <v>1106</v>
      </c>
      <c r="S5749" s="95">
        <f t="shared" si="160"/>
        <v>3200</v>
      </c>
      <c r="T5749" s="148" t="s">
        <v>18736</v>
      </c>
      <c r="U5749" s="95">
        <v>5967</v>
      </c>
      <c r="V5749" s="148">
        <v>45632</v>
      </c>
      <c r="W5749" s="85" t="s">
        <v>18737</v>
      </c>
      <c r="X5749" s="80"/>
      <c r="Y5749" s="22">
        <v>150</v>
      </c>
      <c r="Z5749" s="81" t="s">
        <v>50</v>
      </c>
      <c r="AA5749" s="82" t="s">
        <v>18579</v>
      </c>
      <c r="AB5749" s="82"/>
      <c r="AC5749" s="80" t="s">
        <v>53</v>
      </c>
      <c r="AD5749" s="80" t="s">
        <v>138</v>
      </c>
      <c r="AE5749" s="80" t="s">
        <v>14051</v>
      </c>
      <c r="AF5749" s="17">
        <v>45699</v>
      </c>
      <c r="AG5749" s="80"/>
      <c r="AH5749" s="80"/>
      <c r="AI5749" s="147"/>
      <c r="AJ5749" s="80"/>
      <c r="AK5749" s="80"/>
      <c r="AL5749" s="86"/>
      <c r="AM5749" s="86"/>
      <c r="AN5749" s="86"/>
      <c r="AO5749" s="86"/>
      <c r="AP5749" s="86"/>
    </row>
    <row r="5750" spans="1:42" x14ac:dyDescent="0.2">
      <c r="A5750" s="38">
        <v>45674</v>
      </c>
      <c r="B5750" s="28" t="s">
        <v>37</v>
      </c>
      <c r="C5750" s="41" t="s">
        <v>118</v>
      </c>
      <c r="D5750" s="80" t="s">
        <v>36</v>
      </c>
      <c r="E5750" s="80" t="s">
        <v>139</v>
      </c>
      <c r="F5750" s="80" t="s">
        <v>14051</v>
      </c>
      <c r="G5750" s="80" t="s">
        <v>108</v>
      </c>
      <c r="H5750" s="80" t="s">
        <v>14088</v>
      </c>
      <c r="I5750" s="17">
        <f ca="1">IFERROR(__xludf.DUMMYFUNCTION("""COMPUTED_VALUE"""),45699)</f>
        <v>45699</v>
      </c>
      <c r="J5750" s="143" t="s">
        <v>18753</v>
      </c>
      <c r="K5750" s="145" t="s">
        <v>13560</v>
      </c>
      <c r="L5750" s="30">
        <v>369947525</v>
      </c>
      <c r="M5750" s="80" t="s">
        <v>15996</v>
      </c>
      <c r="N5750" s="80" t="s">
        <v>186</v>
      </c>
      <c r="O5750" s="80" t="s">
        <v>4503</v>
      </c>
      <c r="P5750" s="80" t="s">
        <v>3056</v>
      </c>
      <c r="Q5750" s="20">
        <v>15936</v>
      </c>
      <c r="R5750" s="80" t="s">
        <v>1106</v>
      </c>
      <c r="S5750" s="95">
        <f>200+4800</f>
        <v>5000</v>
      </c>
      <c r="T5750" s="148" t="s">
        <v>18754</v>
      </c>
      <c r="U5750" s="95">
        <f>10768+18</f>
        <v>10786</v>
      </c>
      <c r="V5750" s="148" t="s">
        <v>18755</v>
      </c>
      <c r="W5750" s="85" t="s">
        <v>18756</v>
      </c>
      <c r="X5750" s="80"/>
      <c r="Y5750" s="22">
        <v>150</v>
      </c>
      <c r="Z5750" s="81" t="s">
        <v>50</v>
      </c>
      <c r="AA5750" s="86" t="s">
        <v>18579</v>
      </c>
      <c r="AB5750" s="86"/>
      <c r="AC5750" s="80" t="s">
        <v>53</v>
      </c>
      <c r="AD5750" s="80" t="s">
        <v>138</v>
      </c>
      <c r="AE5750" s="80" t="s">
        <v>14051</v>
      </c>
      <c r="AF5750" s="17">
        <v>45699</v>
      </c>
      <c r="AG5750" s="80"/>
      <c r="AH5750" s="80"/>
      <c r="AI5750" s="147"/>
      <c r="AJ5750" s="80"/>
      <c r="AK5750" s="80"/>
      <c r="AL5750" s="86"/>
      <c r="AM5750" s="86"/>
      <c r="AN5750" s="86"/>
      <c r="AO5750" s="86"/>
      <c r="AP5750" s="86"/>
    </row>
    <row r="5751" spans="1:42" x14ac:dyDescent="0.2">
      <c r="A5751" s="38">
        <v>45674</v>
      </c>
      <c r="B5751" s="28" t="s">
        <v>37</v>
      </c>
      <c r="C5751" s="41" t="s">
        <v>118</v>
      </c>
      <c r="D5751" s="80" t="s">
        <v>36</v>
      </c>
      <c r="E5751" s="80" t="s">
        <v>139</v>
      </c>
      <c r="F5751" s="80" t="s">
        <v>14051</v>
      </c>
      <c r="G5751" s="80" t="s">
        <v>108</v>
      </c>
      <c r="H5751" s="80" t="s">
        <v>14088</v>
      </c>
      <c r="I5751" s="17">
        <f ca="1">IFERROR(__xludf.DUMMYFUNCTION("""COMPUTED_VALUE"""),45699)</f>
        <v>45699</v>
      </c>
      <c r="J5751" s="143" t="s">
        <v>18803</v>
      </c>
      <c r="K5751" s="145" t="s">
        <v>18804</v>
      </c>
      <c r="L5751" s="30">
        <v>355245157</v>
      </c>
      <c r="M5751" s="80" t="s">
        <v>3498</v>
      </c>
      <c r="N5751" s="80" t="s">
        <v>3874</v>
      </c>
      <c r="O5751" s="80" t="s">
        <v>4503</v>
      </c>
      <c r="P5751" s="80" t="s">
        <v>6390</v>
      </c>
      <c r="Q5751" s="20">
        <v>15936</v>
      </c>
      <c r="R5751" s="80" t="s">
        <v>36</v>
      </c>
      <c r="S5751" s="95">
        <v>2000</v>
      </c>
      <c r="T5751" s="148">
        <v>45609</v>
      </c>
      <c r="U5751" s="95">
        <v>13936</v>
      </c>
      <c r="V5751" s="148">
        <v>45630</v>
      </c>
      <c r="W5751" s="85" t="s">
        <v>18805</v>
      </c>
      <c r="X5751" s="80"/>
      <c r="Y5751" s="22">
        <v>0</v>
      </c>
      <c r="Z5751" s="81" t="s">
        <v>50</v>
      </c>
      <c r="AA5751" s="82" t="s">
        <v>18579</v>
      </c>
      <c r="AB5751" s="82"/>
      <c r="AC5751" s="80" t="s">
        <v>53</v>
      </c>
      <c r="AD5751" s="80" t="s">
        <v>138</v>
      </c>
      <c r="AE5751" s="80" t="s">
        <v>14051</v>
      </c>
      <c r="AF5751" s="17">
        <v>45699</v>
      </c>
      <c r="AG5751" s="80" t="s">
        <v>7078</v>
      </c>
      <c r="AH5751" s="80"/>
      <c r="AI5751" s="147"/>
      <c r="AJ5751" s="80"/>
      <c r="AK5751" s="80"/>
      <c r="AL5751" s="86"/>
      <c r="AM5751" s="86"/>
      <c r="AN5751" s="86"/>
      <c r="AO5751" s="86"/>
      <c r="AP5751" s="86"/>
    </row>
    <row r="5752" spans="1:42" x14ac:dyDescent="0.2">
      <c r="A5752" s="38">
        <v>45674</v>
      </c>
      <c r="B5752" s="28" t="s">
        <v>37</v>
      </c>
      <c r="C5752" s="41" t="s">
        <v>118</v>
      </c>
      <c r="D5752" s="80" t="s">
        <v>36</v>
      </c>
      <c r="E5752" s="80" t="s">
        <v>139</v>
      </c>
      <c r="F5752" s="80" t="s">
        <v>14051</v>
      </c>
      <c r="G5752" s="80" t="s">
        <v>108</v>
      </c>
      <c r="H5752" s="80" t="s">
        <v>14088</v>
      </c>
      <c r="I5752" s="17">
        <f ca="1">IFERROR(__xludf.DUMMYFUNCTION("""COMPUTED_VALUE"""),45699)</f>
        <v>45699</v>
      </c>
      <c r="J5752" s="143" t="s">
        <v>18813</v>
      </c>
      <c r="K5752" s="145" t="s">
        <v>18814</v>
      </c>
      <c r="L5752" s="30">
        <v>352808126</v>
      </c>
      <c r="M5752" s="80" t="s">
        <v>45</v>
      </c>
      <c r="N5752" s="80" t="s">
        <v>1472</v>
      </c>
      <c r="O5752" s="80" t="s">
        <v>18815</v>
      </c>
      <c r="P5752" s="80" t="s">
        <v>7743</v>
      </c>
      <c r="Q5752" s="20">
        <v>15936</v>
      </c>
      <c r="R5752" s="80" t="s">
        <v>36</v>
      </c>
      <c r="S5752" s="95">
        <f>200+5800</f>
        <v>6000</v>
      </c>
      <c r="T5752" s="148" t="s">
        <v>18816</v>
      </c>
      <c r="U5752" s="95">
        <v>9936</v>
      </c>
      <c r="V5752" s="148">
        <v>45644</v>
      </c>
      <c r="W5752" s="85" t="s">
        <v>18817</v>
      </c>
      <c r="X5752" s="80"/>
      <c r="Y5752" s="22">
        <v>0</v>
      </c>
      <c r="Z5752" s="81" t="s">
        <v>50</v>
      </c>
      <c r="AA5752" s="86" t="s">
        <v>18579</v>
      </c>
      <c r="AB5752" s="86"/>
      <c r="AC5752" s="80" t="s">
        <v>53</v>
      </c>
      <c r="AD5752" s="80" t="s">
        <v>138</v>
      </c>
      <c r="AE5752" s="80" t="s">
        <v>14051</v>
      </c>
      <c r="AF5752" s="17">
        <v>45699</v>
      </c>
      <c r="AG5752" s="80"/>
      <c r="AH5752" s="80"/>
      <c r="AI5752" s="147"/>
      <c r="AJ5752" s="80"/>
      <c r="AK5752" s="80"/>
      <c r="AL5752" s="86"/>
      <c r="AM5752" s="86"/>
      <c r="AN5752" s="86"/>
      <c r="AO5752" s="86"/>
      <c r="AP5752" s="86"/>
    </row>
    <row r="5753" spans="1:42" x14ac:dyDescent="0.2">
      <c r="A5753" s="38">
        <v>45674</v>
      </c>
      <c r="B5753" s="137" t="s">
        <v>37</v>
      </c>
      <c r="C5753" s="41" t="s">
        <v>118</v>
      </c>
      <c r="D5753" s="80" t="s">
        <v>36</v>
      </c>
      <c r="E5753" s="80" t="s">
        <v>139</v>
      </c>
      <c r="F5753" s="80" t="s">
        <v>10282</v>
      </c>
      <c r="G5753" s="161" t="s">
        <v>221</v>
      </c>
      <c r="H5753" s="80" t="s">
        <v>16646</v>
      </c>
      <c r="I5753" s="17">
        <f ca="1">IFERROR(__xludf.DUMMYFUNCTION("""COMPUTED_VALUE"""),45700)</f>
        <v>45700</v>
      </c>
      <c r="J5753" s="143" t="s">
        <v>10283</v>
      </c>
      <c r="K5753" s="145" t="s">
        <v>10284</v>
      </c>
      <c r="L5753" s="30">
        <v>343630805</v>
      </c>
      <c r="M5753" s="80" t="s">
        <v>80</v>
      </c>
      <c r="N5753" s="80" t="s">
        <v>1073</v>
      </c>
      <c r="O5753" s="80" t="s">
        <v>10285</v>
      </c>
      <c r="P5753" s="144" t="s">
        <v>10286</v>
      </c>
      <c r="Q5753" s="20">
        <v>15936</v>
      </c>
      <c r="R5753" s="80" t="s">
        <v>70</v>
      </c>
      <c r="S5753" s="95">
        <f t="shared" ref="S5753:S5754" si="161">1000+3000</f>
        <v>4000</v>
      </c>
      <c r="T5753" s="148" t="s">
        <v>10287</v>
      </c>
      <c r="U5753" s="95">
        <v>11863</v>
      </c>
      <c r="V5753" s="170">
        <v>45506</v>
      </c>
      <c r="W5753" s="85" t="s">
        <v>10288</v>
      </c>
      <c r="X5753" s="80">
        <v>100</v>
      </c>
      <c r="Y5753" s="22">
        <v>-27</v>
      </c>
      <c r="Z5753" s="81" t="s">
        <v>50</v>
      </c>
      <c r="AA5753" s="82"/>
      <c r="AB5753" s="80"/>
      <c r="AC5753" s="80" t="s">
        <v>53</v>
      </c>
      <c r="AD5753" s="80" t="s">
        <v>54</v>
      </c>
      <c r="AE5753" s="80" t="s">
        <v>10282</v>
      </c>
      <c r="AF5753" s="17">
        <v>45695</v>
      </c>
      <c r="AG5753" s="80"/>
      <c r="AH5753" s="80"/>
      <c r="AI5753" s="147"/>
      <c r="AJ5753" s="80"/>
      <c r="AK5753" s="80"/>
      <c r="AL5753" s="86"/>
      <c r="AM5753" s="86"/>
      <c r="AN5753" s="86"/>
      <c r="AO5753" s="86"/>
      <c r="AP5753" s="86"/>
    </row>
    <row r="5754" spans="1:42" x14ac:dyDescent="0.2">
      <c r="A5754" s="38">
        <v>45674</v>
      </c>
      <c r="B5754" s="28" t="s">
        <v>37</v>
      </c>
      <c r="C5754" s="41" t="s">
        <v>118</v>
      </c>
      <c r="D5754" s="80" t="s">
        <v>36</v>
      </c>
      <c r="E5754" s="80" t="s">
        <v>139</v>
      </c>
      <c r="F5754" s="80" t="s">
        <v>10282</v>
      </c>
      <c r="G5754" s="161" t="s">
        <v>221</v>
      </c>
      <c r="H5754" s="80" t="s">
        <v>18072</v>
      </c>
      <c r="I5754" s="17">
        <f ca="1">IFERROR(__xludf.DUMMYFUNCTION("""COMPUTED_VALUE"""),45804)</f>
        <v>45804</v>
      </c>
      <c r="J5754" s="143" t="s">
        <v>10289</v>
      </c>
      <c r="K5754" s="145" t="s">
        <v>19382</v>
      </c>
      <c r="L5754" s="57">
        <v>339292125</v>
      </c>
      <c r="M5754" s="80" t="s">
        <v>348</v>
      </c>
      <c r="N5754" s="80" t="s">
        <v>68</v>
      </c>
      <c r="O5754" s="80" t="s">
        <v>10291</v>
      </c>
      <c r="P5754" s="144" t="s">
        <v>10292</v>
      </c>
      <c r="Q5754" s="20">
        <v>15936</v>
      </c>
      <c r="R5754" s="80" t="s">
        <v>70</v>
      </c>
      <c r="S5754" s="95">
        <f t="shared" si="161"/>
        <v>4000</v>
      </c>
      <c r="T5754" s="148" t="s">
        <v>10287</v>
      </c>
      <c r="U5754" s="95">
        <v>11863</v>
      </c>
      <c r="V5754" s="148">
        <v>45506</v>
      </c>
      <c r="W5754" s="85" t="s">
        <v>10293</v>
      </c>
      <c r="X5754" s="80">
        <v>100</v>
      </c>
      <c r="Y5754" s="22">
        <v>-27</v>
      </c>
      <c r="Z5754" s="81" t="s">
        <v>50</v>
      </c>
      <c r="AA5754" s="86"/>
      <c r="AB5754" s="80"/>
      <c r="AC5754" s="80" t="s">
        <v>53</v>
      </c>
      <c r="AD5754" s="80" t="s">
        <v>54</v>
      </c>
      <c r="AE5754" s="80" t="s">
        <v>10282</v>
      </c>
      <c r="AF5754" s="17">
        <v>45695</v>
      </c>
      <c r="AG5754" s="80"/>
      <c r="AH5754" s="80"/>
      <c r="AI5754" s="147"/>
      <c r="AJ5754" s="80"/>
      <c r="AK5754" s="80"/>
      <c r="AL5754" s="86"/>
      <c r="AM5754" s="86"/>
      <c r="AN5754" s="86"/>
      <c r="AO5754" s="86"/>
      <c r="AP5754" s="86"/>
    </row>
    <row r="5755" spans="1:42" x14ac:dyDescent="0.2">
      <c r="A5755" s="38">
        <v>45674</v>
      </c>
      <c r="B5755" s="137" t="s">
        <v>37</v>
      </c>
      <c r="C5755" s="41" t="s">
        <v>118</v>
      </c>
      <c r="D5755" s="80" t="s">
        <v>36</v>
      </c>
      <c r="E5755" s="80" t="s">
        <v>139</v>
      </c>
      <c r="F5755" s="80" t="s">
        <v>10282</v>
      </c>
      <c r="G5755" s="161" t="s">
        <v>221</v>
      </c>
      <c r="H5755" s="80" t="s">
        <v>19383</v>
      </c>
      <c r="I5755" s="17">
        <f ca="1">IFERROR(__xludf.DUMMYFUNCTION("""COMPUTED_VALUE"""),45827)</f>
        <v>45827</v>
      </c>
      <c r="J5755" s="143" t="s">
        <v>9164</v>
      </c>
      <c r="K5755" s="145" t="s">
        <v>19384</v>
      </c>
      <c r="L5755" s="30">
        <v>828621914</v>
      </c>
      <c r="M5755" s="80" t="s">
        <v>5429</v>
      </c>
      <c r="N5755" s="80" t="s">
        <v>9166</v>
      </c>
      <c r="O5755" s="80" t="s">
        <v>9167</v>
      </c>
      <c r="P5755" s="144" t="s">
        <v>19385</v>
      </c>
      <c r="Q5755" s="20"/>
      <c r="R5755" s="80" t="s">
        <v>36</v>
      </c>
      <c r="S5755" s="95">
        <f>200+1800</f>
        <v>2000</v>
      </c>
      <c r="T5755" s="148" t="s">
        <v>9169</v>
      </c>
      <c r="U5755" s="95">
        <v>13936</v>
      </c>
      <c r="V5755" s="148">
        <v>45500</v>
      </c>
      <c r="W5755" s="80" t="s">
        <v>9170</v>
      </c>
      <c r="X5755" s="80"/>
      <c r="Y5755" s="22"/>
      <c r="Z5755" s="81" t="s">
        <v>50</v>
      </c>
      <c r="AA5755" s="82" t="s">
        <v>9070</v>
      </c>
      <c r="AB5755" s="80"/>
      <c r="AC5755" s="80" t="s">
        <v>53</v>
      </c>
      <c r="AD5755" s="80" t="s">
        <v>54</v>
      </c>
      <c r="AE5755" s="80" t="s">
        <v>10282</v>
      </c>
      <c r="AF5755" s="17">
        <v>45695</v>
      </c>
      <c r="AG5755" s="80"/>
      <c r="AH5755" s="80"/>
      <c r="AI5755" s="147"/>
      <c r="AJ5755" s="80"/>
      <c r="AK5755" s="80"/>
      <c r="AL5755" s="86"/>
      <c r="AM5755" s="86"/>
      <c r="AN5755" s="86"/>
      <c r="AO5755" s="86"/>
      <c r="AP5755" s="86"/>
    </row>
    <row r="5756" spans="1:42" x14ac:dyDescent="0.2">
      <c r="A5756" s="38">
        <v>45674</v>
      </c>
      <c r="B5756" s="137" t="s">
        <v>37</v>
      </c>
      <c r="C5756" s="41" t="s">
        <v>118</v>
      </c>
      <c r="D5756" s="80" t="s">
        <v>36</v>
      </c>
      <c r="E5756" s="80" t="s">
        <v>139</v>
      </c>
      <c r="F5756" s="80" t="s">
        <v>10282</v>
      </c>
      <c r="G5756" s="161" t="s">
        <v>221</v>
      </c>
      <c r="H5756" s="80" t="s">
        <v>16646</v>
      </c>
      <c r="I5756" s="17">
        <f ca="1">IFERROR(__xludf.DUMMYFUNCTION("""COMPUTED_VALUE"""),45700)</f>
        <v>45700</v>
      </c>
      <c r="J5756" s="143" t="s">
        <v>10305</v>
      </c>
      <c r="K5756" s="145" t="s">
        <v>19386</v>
      </c>
      <c r="L5756" s="30">
        <v>961870730</v>
      </c>
      <c r="M5756" s="80" t="s">
        <v>123</v>
      </c>
      <c r="N5756" s="80" t="s">
        <v>186</v>
      </c>
      <c r="O5756" s="80" t="s">
        <v>4503</v>
      </c>
      <c r="P5756" s="144" t="s">
        <v>10307</v>
      </c>
      <c r="Q5756" s="20">
        <v>15936</v>
      </c>
      <c r="R5756" s="80" t="s">
        <v>36</v>
      </c>
      <c r="S5756" s="95">
        <f>2000+6500</f>
        <v>8500</v>
      </c>
      <c r="T5756" s="148">
        <v>45127</v>
      </c>
      <c r="U5756" s="95">
        <v>7468</v>
      </c>
      <c r="V5756" s="148">
        <v>45518</v>
      </c>
      <c r="W5756" s="85" t="s">
        <v>10308</v>
      </c>
      <c r="X5756" s="80">
        <v>0</v>
      </c>
      <c r="Y5756" s="22">
        <v>-32</v>
      </c>
      <c r="Z5756" s="81" t="s">
        <v>50</v>
      </c>
      <c r="AA5756" s="86"/>
      <c r="AB5756" s="80"/>
      <c r="AC5756" s="80" t="s">
        <v>53</v>
      </c>
      <c r="AD5756" s="80" t="s">
        <v>54</v>
      </c>
      <c r="AE5756" s="80" t="s">
        <v>10282</v>
      </c>
      <c r="AF5756" s="17">
        <v>45695</v>
      </c>
      <c r="AG5756" s="80"/>
      <c r="AH5756" s="80"/>
      <c r="AI5756" s="147"/>
      <c r="AJ5756" s="80"/>
      <c r="AK5756" s="80"/>
      <c r="AL5756" s="86"/>
      <c r="AM5756" s="86"/>
      <c r="AN5756" s="86"/>
      <c r="AO5756" s="86"/>
      <c r="AP5756" s="86"/>
    </row>
    <row r="5757" spans="1:42" x14ac:dyDescent="0.2">
      <c r="A5757" s="38">
        <v>45674</v>
      </c>
      <c r="B5757" s="137" t="s">
        <v>37</v>
      </c>
      <c r="C5757" s="41" t="s">
        <v>118</v>
      </c>
      <c r="D5757" s="80" t="s">
        <v>36</v>
      </c>
      <c r="E5757" s="80" t="s">
        <v>139</v>
      </c>
      <c r="F5757" s="80" t="s">
        <v>10282</v>
      </c>
      <c r="G5757" s="161" t="s">
        <v>221</v>
      </c>
      <c r="H5757" s="80" t="s">
        <v>16646</v>
      </c>
      <c r="I5757" s="17">
        <f ca="1">IFERROR(__xludf.DUMMYFUNCTION("""COMPUTED_VALUE"""),45700)</f>
        <v>45700</v>
      </c>
      <c r="J5757" s="143" t="s">
        <v>10404</v>
      </c>
      <c r="K5757" s="145" t="s">
        <v>11780</v>
      </c>
      <c r="L5757" s="57">
        <v>852364361</v>
      </c>
      <c r="M5757" s="80" t="s">
        <v>80</v>
      </c>
      <c r="N5757" s="80" t="s">
        <v>466</v>
      </c>
      <c r="O5757" s="80" t="s">
        <v>10406</v>
      </c>
      <c r="P5757" s="80" t="s">
        <v>10407</v>
      </c>
      <c r="Q5757" s="20">
        <v>15936</v>
      </c>
      <c r="R5757" s="80" t="s">
        <v>36</v>
      </c>
      <c r="S5757" s="95">
        <f>100+1900</f>
        <v>2000</v>
      </c>
      <c r="T5757" s="148" t="s">
        <v>9223</v>
      </c>
      <c r="U5757" s="95">
        <v>13936</v>
      </c>
      <c r="V5757" s="148">
        <v>45512</v>
      </c>
      <c r="W5757" s="85" t="s">
        <v>10408</v>
      </c>
      <c r="X5757" s="80">
        <v>0</v>
      </c>
      <c r="Y5757" s="22">
        <v>0</v>
      </c>
      <c r="Z5757" s="81" t="s">
        <v>50</v>
      </c>
      <c r="AA5757" s="82" t="s">
        <v>10314</v>
      </c>
      <c r="AB5757" s="80"/>
      <c r="AC5757" s="80" t="s">
        <v>53</v>
      </c>
      <c r="AD5757" s="80" t="s">
        <v>54</v>
      </c>
      <c r="AE5757" s="80" t="s">
        <v>10282</v>
      </c>
      <c r="AF5757" s="17">
        <v>45695</v>
      </c>
      <c r="AG5757" s="80"/>
      <c r="AH5757" s="80"/>
      <c r="AI5757" s="147"/>
      <c r="AJ5757" s="80"/>
      <c r="AK5757" s="80"/>
      <c r="AL5757" s="86"/>
      <c r="AM5757" s="86"/>
      <c r="AN5757" s="86"/>
      <c r="AO5757" s="86"/>
      <c r="AP5757" s="86"/>
    </row>
    <row r="5758" spans="1:42" x14ac:dyDescent="0.2">
      <c r="A5758" s="38">
        <v>45674</v>
      </c>
      <c r="B5758" s="28" t="s">
        <v>37</v>
      </c>
      <c r="C5758" s="41" t="s">
        <v>118</v>
      </c>
      <c r="D5758" s="80" t="s">
        <v>36</v>
      </c>
      <c r="E5758" s="80" t="s">
        <v>139</v>
      </c>
      <c r="F5758" s="80" t="s">
        <v>10282</v>
      </c>
      <c r="G5758" s="161" t="s">
        <v>221</v>
      </c>
      <c r="H5758" s="80" t="s">
        <v>19387</v>
      </c>
      <c r="I5758" s="17">
        <f ca="1">IFERROR(__xludf.DUMMYFUNCTION("""COMPUTED_VALUE"""),45800)</f>
        <v>45800</v>
      </c>
      <c r="J5758" s="143" t="s">
        <v>11081</v>
      </c>
      <c r="K5758" s="145" t="s">
        <v>19388</v>
      </c>
      <c r="L5758" s="30">
        <v>329465472</v>
      </c>
      <c r="M5758" s="80" t="s">
        <v>80</v>
      </c>
      <c r="N5758" s="80" t="s">
        <v>466</v>
      </c>
      <c r="O5758" s="80" t="s">
        <v>11083</v>
      </c>
      <c r="P5758" s="144" t="s">
        <v>11812</v>
      </c>
      <c r="Q5758" s="20">
        <v>15936</v>
      </c>
      <c r="R5758" s="80" t="s">
        <v>36</v>
      </c>
      <c r="S5758" s="95">
        <f>200+1800</f>
        <v>2000</v>
      </c>
      <c r="T5758" s="148" t="s">
        <v>11085</v>
      </c>
      <c r="U5758" s="95">
        <v>13936</v>
      </c>
      <c r="V5758" s="148">
        <v>45524</v>
      </c>
      <c r="W5758" s="85" t="s">
        <v>11086</v>
      </c>
      <c r="X5758" s="83">
        <v>0</v>
      </c>
      <c r="Y5758" s="22">
        <v>0</v>
      </c>
      <c r="Z5758" s="81" t="s">
        <v>50</v>
      </c>
      <c r="AA5758" s="86" t="s">
        <v>10314</v>
      </c>
      <c r="AB5758" s="80"/>
      <c r="AC5758" s="80" t="s">
        <v>53</v>
      </c>
      <c r="AD5758" s="80" t="s">
        <v>54</v>
      </c>
      <c r="AE5758" s="80" t="s">
        <v>10282</v>
      </c>
      <c r="AF5758" s="17">
        <v>45695</v>
      </c>
      <c r="AG5758" s="80"/>
      <c r="AH5758" s="80"/>
      <c r="AI5758" s="147"/>
      <c r="AJ5758" s="80"/>
      <c r="AK5758" s="80"/>
      <c r="AL5758" s="86"/>
      <c r="AM5758" s="86"/>
      <c r="AN5758" s="86"/>
      <c r="AO5758" s="86"/>
      <c r="AP5758" s="86"/>
    </row>
    <row r="5759" spans="1:42" x14ac:dyDescent="0.2">
      <c r="A5759" s="38">
        <v>45674</v>
      </c>
      <c r="B5759" s="137" t="s">
        <v>37</v>
      </c>
      <c r="C5759" s="41" t="s">
        <v>118</v>
      </c>
      <c r="D5759" s="80" t="s">
        <v>36</v>
      </c>
      <c r="E5759" s="80" t="s">
        <v>119</v>
      </c>
      <c r="F5759" s="80" t="s">
        <v>10282</v>
      </c>
      <c r="G5759" s="161" t="s">
        <v>221</v>
      </c>
      <c r="H5759" s="80" t="s">
        <v>16646</v>
      </c>
      <c r="I5759" s="17">
        <f ca="1">IFERROR(__xludf.DUMMYFUNCTION("""COMPUTED_VALUE"""),45700)</f>
        <v>45700</v>
      </c>
      <c r="J5759" s="143" t="s">
        <v>15383</v>
      </c>
      <c r="K5759" s="145" t="s">
        <v>15384</v>
      </c>
      <c r="L5759" s="30">
        <v>396250936</v>
      </c>
      <c r="M5759" s="80" t="s">
        <v>12720</v>
      </c>
      <c r="N5759" s="80" t="s">
        <v>15385</v>
      </c>
      <c r="O5759" s="80" t="s">
        <v>15386</v>
      </c>
      <c r="P5759" s="80" t="s">
        <v>15387</v>
      </c>
      <c r="Q5759" s="20">
        <v>13968</v>
      </c>
      <c r="R5759" s="80" t="s">
        <v>36</v>
      </c>
      <c r="S5759" s="95">
        <f>200+3800</f>
        <v>4000</v>
      </c>
      <c r="T5759" s="148" t="s">
        <v>15388</v>
      </c>
      <c r="U5759" s="95">
        <v>9968</v>
      </c>
      <c r="V5759" s="148">
        <v>45584</v>
      </c>
      <c r="W5759" s="85" t="s">
        <v>15389</v>
      </c>
      <c r="X5759" s="80"/>
      <c r="Y5759" s="22">
        <v>0</v>
      </c>
      <c r="Z5759" s="81" t="s">
        <v>50</v>
      </c>
      <c r="AA5759" s="82" t="s">
        <v>9905</v>
      </c>
      <c r="AB5759" s="80"/>
      <c r="AC5759" s="80" t="s">
        <v>53</v>
      </c>
      <c r="AD5759" s="80" t="s">
        <v>54</v>
      </c>
      <c r="AE5759" s="80" t="s">
        <v>10282</v>
      </c>
      <c r="AF5759" s="17">
        <v>45695</v>
      </c>
      <c r="AG5759" s="80"/>
      <c r="AH5759" s="80"/>
      <c r="AI5759" s="147"/>
      <c r="AJ5759" s="80"/>
      <c r="AK5759" s="80"/>
      <c r="AL5759" s="86"/>
      <c r="AM5759" s="86"/>
      <c r="AN5759" s="86"/>
      <c r="AO5759" s="86"/>
      <c r="AP5759" s="86"/>
    </row>
    <row r="5760" spans="1:42" x14ac:dyDescent="0.2">
      <c r="A5760" s="38">
        <v>45674</v>
      </c>
      <c r="B5760" s="28" t="s">
        <v>37</v>
      </c>
      <c r="C5760" s="41" t="s">
        <v>118</v>
      </c>
      <c r="D5760" s="80" t="s">
        <v>36</v>
      </c>
      <c r="E5760" s="80" t="s">
        <v>139</v>
      </c>
      <c r="F5760" s="80" t="s">
        <v>13283</v>
      </c>
      <c r="G5760" s="80" t="s">
        <v>108</v>
      </c>
      <c r="H5760" s="80" t="s">
        <v>16849</v>
      </c>
      <c r="I5760" s="17">
        <f ca="1">IFERROR(__xludf.DUMMYFUNCTION("""COMPUTED_VALUE"""),45705)</f>
        <v>45705</v>
      </c>
      <c r="J5760" s="143" t="s">
        <v>13284</v>
      </c>
      <c r="K5760" s="145" t="s">
        <v>19389</v>
      </c>
      <c r="L5760" s="30">
        <v>965222127</v>
      </c>
      <c r="M5760" s="80" t="s">
        <v>348</v>
      </c>
      <c r="N5760" s="80" t="s">
        <v>200</v>
      </c>
      <c r="O5760" s="80" t="s">
        <v>91</v>
      </c>
      <c r="P5760" s="80" t="s">
        <v>3117</v>
      </c>
      <c r="Q5760" s="20">
        <v>15936</v>
      </c>
      <c r="R5760" s="80" t="s">
        <v>36</v>
      </c>
      <c r="S5760" s="95">
        <v>1000</v>
      </c>
      <c r="T5760" s="148">
        <v>45539</v>
      </c>
      <c r="U5760" s="95">
        <v>14936</v>
      </c>
      <c r="V5760" s="148">
        <v>45551</v>
      </c>
      <c r="W5760" s="85" t="s">
        <v>13286</v>
      </c>
      <c r="X5760" s="83">
        <v>0</v>
      </c>
      <c r="Y5760" s="22">
        <v>0</v>
      </c>
      <c r="Z5760" s="81" t="s">
        <v>50</v>
      </c>
      <c r="AA5760" s="86" t="s">
        <v>3291</v>
      </c>
      <c r="AB5760" s="80"/>
      <c r="AC5760" s="80" t="s">
        <v>53</v>
      </c>
      <c r="AD5760" s="80" t="s">
        <v>138</v>
      </c>
      <c r="AE5760" s="80" t="s">
        <v>13283</v>
      </c>
      <c r="AF5760" s="17">
        <v>45705</v>
      </c>
      <c r="AG5760" s="80"/>
      <c r="AH5760" s="80"/>
      <c r="AI5760" s="147" t="s">
        <v>147</v>
      </c>
      <c r="AJ5760" s="80"/>
      <c r="AK5760" s="80"/>
      <c r="AL5760" s="86"/>
      <c r="AM5760" s="86"/>
      <c r="AN5760" s="86"/>
      <c r="AO5760" s="86"/>
      <c r="AP5760" s="86"/>
    </row>
    <row r="5761" spans="1:42" x14ac:dyDescent="0.2">
      <c r="A5761" s="38">
        <v>45674</v>
      </c>
      <c r="B5761" s="28" t="s">
        <v>37</v>
      </c>
      <c r="C5761" s="41" t="s">
        <v>118</v>
      </c>
      <c r="D5761" s="80" t="s">
        <v>36</v>
      </c>
      <c r="E5761" s="80" t="s">
        <v>139</v>
      </c>
      <c r="F5761" s="80" t="s">
        <v>13283</v>
      </c>
      <c r="G5761" s="80" t="s">
        <v>108</v>
      </c>
      <c r="H5761" s="80" t="s">
        <v>16849</v>
      </c>
      <c r="I5761" s="17">
        <f ca="1">IFERROR(__xludf.DUMMYFUNCTION("""COMPUTED_VALUE"""),45705)</f>
        <v>45705</v>
      </c>
      <c r="J5761" s="143" t="s">
        <v>13447</v>
      </c>
      <c r="K5761" s="145" t="s">
        <v>19390</v>
      </c>
      <c r="L5761" s="30">
        <v>347087362</v>
      </c>
      <c r="M5761" s="80" t="s">
        <v>3288</v>
      </c>
      <c r="N5761" s="80" t="s">
        <v>200</v>
      </c>
      <c r="O5761" s="80" t="s">
        <v>91</v>
      </c>
      <c r="P5761" s="80" t="s">
        <v>3117</v>
      </c>
      <c r="Q5761" s="20">
        <v>15936</v>
      </c>
      <c r="R5761" s="80" t="s">
        <v>36</v>
      </c>
      <c r="S5761" s="95">
        <v>1000</v>
      </c>
      <c r="T5761" s="148">
        <v>45541</v>
      </c>
      <c r="U5761" s="95">
        <v>14936</v>
      </c>
      <c r="V5761" s="148">
        <v>45565</v>
      </c>
      <c r="W5761" s="85" t="s">
        <v>13449</v>
      </c>
      <c r="X5761" s="83">
        <v>0</v>
      </c>
      <c r="Y5761" s="22">
        <v>0</v>
      </c>
      <c r="Z5761" s="81" t="s">
        <v>50</v>
      </c>
      <c r="AA5761" s="82" t="s">
        <v>3291</v>
      </c>
      <c r="AB5761" s="80"/>
      <c r="AC5761" s="80" t="s">
        <v>53</v>
      </c>
      <c r="AD5761" s="80" t="s">
        <v>138</v>
      </c>
      <c r="AE5761" s="80" t="s">
        <v>13283</v>
      </c>
      <c r="AF5761" s="17">
        <v>45705</v>
      </c>
      <c r="AG5761" s="80"/>
      <c r="AH5761" s="80"/>
      <c r="AI5761" s="147" t="s">
        <v>147</v>
      </c>
      <c r="AJ5761" s="80"/>
      <c r="AK5761" s="80"/>
      <c r="AL5761" s="86"/>
      <c r="AM5761" s="86"/>
      <c r="AN5761" s="86"/>
      <c r="AO5761" s="86"/>
      <c r="AP5761" s="86"/>
    </row>
    <row r="5762" spans="1:42" x14ac:dyDescent="0.2">
      <c r="A5762" s="38">
        <v>45674</v>
      </c>
      <c r="B5762" s="28" t="s">
        <v>37</v>
      </c>
      <c r="C5762" s="41" t="s">
        <v>118</v>
      </c>
      <c r="D5762" s="80" t="s">
        <v>36</v>
      </c>
      <c r="E5762" s="80" t="s">
        <v>39</v>
      </c>
      <c r="F5762" s="80" t="s">
        <v>13283</v>
      </c>
      <c r="G5762" s="80" t="s">
        <v>108</v>
      </c>
      <c r="H5762" s="80" t="s">
        <v>16849</v>
      </c>
      <c r="I5762" s="17">
        <f ca="1">IFERROR(__xludf.DUMMYFUNCTION("""COMPUTED_VALUE"""),45705)</f>
        <v>45705</v>
      </c>
      <c r="J5762" s="143" t="s">
        <v>13589</v>
      </c>
      <c r="K5762" s="145" t="s">
        <v>19391</v>
      </c>
      <c r="L5762" s="30">
        <v>968159369</v>
      </c>
      <c r="M5762" s="80" t="s">
        <v>45</v>
      </c>
      <c r="N5762" s="80" t="s">
        <v>12712</v>
      </c>
      <c r="O5762" s="80" t="s">
        <v>13591</v>
      </c>
      <c r="P5762" s="80" t="s">
        <v>7743</v>
      </c>
      <c r="Q5762" s="20">
        <v>5736</v>
      </c>
      <c r="R5762" s="80" t="s">
        <v>36</v>
      </c>
      <c r="S5762" s="95">
        <v>5736</v>
      </c>
      <c r="T5762" s="148">
        <v>45562</v>
      </c>
      <c r="U5762" s="77"/>
      <c r="V5762" s="78"/>
      <c r="W5762" s="85" t="s">
        <v>13592</v>
      </c>
      <c r="X5762" s="83">
        <v>0</v>
      </c>
      <c r="Y5762" s="22">
        <v>0</v>
      </c>
      <c r="Z5762" s="81" t="s">
        <v>50</v>
      </c>
      <c r="AA5762" s="86" t="s">
        <v>3291</v>
      </c>
      <c r="AB5762" s="80"/>
      <c r="AC5762" s="80" t="s">
        <v>53</v>
      </c>
      <c r="AD5762" s="80" t="s">
        <v>138</v>
      </c>
      <c r="AE5762" s="80" t="s">
        <v>13283</v>
      </c>
      <c r="AF5762" s="17">
        <v>45705</v>
      </c>
      <c r="AG5762" s="80"/>
      <c r="AH5762" s="80"/>
      <c r="AI5762" s="147" t="s">
        <v>55</v>
      </c>
      <c r="AJ5762" s="80"/>
      <c r="AK5762" s="80"/>
      <c r="AL5762" s="86"/>
      <c r="AM5762" s="86"/>
      <c r="AN5762" s="86"/>
      <c r="AO5762" s="86"/>
      <c r="AP5762" s="86"/>
    </row>
    <row r="5763" spans="1:42" x14ac:dyDescent="0.2">
      <c r="A5763" s="38">
        <v>45674</v>
      </c>
      <c r="B5763" s="28" t="s">
        <v>37</v>
      </c>
      <c r="C5763" s="41" t="s">
        <v>118</v>
      </c>
      <c r="D5763" s="80" t="s">
        <v>36</v>
      </c>
      <c r="E5763" s="80" t="s">
        <v>56</v>
      </c>
      <c r="F5763" s="80" t="s">
        <v>13283</v>
      </c>
      <c r="G5763" s="80" t="s">
        <v>108</v>
      </c>
      <c r="H5763" s="80" t="s">
        <v>16849</v>
      </c>
      <c r="I5763" s="17">
        <f ca="1">IFERROR(__xludf.DUMMYFUNCTION("""COMPUTED_VALUE"""),45705)</f>
        <v>45705</v>
      </c>
      <c r="J5763" s="143" t="s">
        <v>18008</v>
      </c>
      <c r="K5763" s="145" t="s">
        <v>5126</v>
      </c>
      <c r="L5763" s="30">
        <v>838180902</v>
      </c>
      <c r="M5763" s="80" t="s">
        <v>5558</v>
      </c>
      <c r="N5763" s="80" t="s">
        <v>5277</v>
      </c>
      <c r="O5763" s="80" t="s">
        <v>4503</v>
      </c>
      <c r="P5763" s="80" t="s">
        <v>18009</v>
      </c>
      <c r="Q5763" s="20">
        <v>9317</v>
      </c>
      <c r="R5763" s="80" t="s">
        <v>36</v>
      </c>
      <c r="S5763" s="95">
        <f>200+9117</f>
        <v>9317</v>
      </c>
      <c r="T5763" s="148" t="s">
        <v>18010</v>
      </c>
      <c r="U5763" s="77"/>
      <c r="V5763" s="78"/>
      <c r="W5763" s="80" t="s">
        <v>18011</v>
      </c>
      <c r="X5763" s="80"/>
      <c r="Y5763" s="22">
        <v>0</v>
      </c>
      <c r="Z5763" s="81" t="s">
        <v>50</v>
      </c>
      <c r="AA5763" s="82" t="s">
        <v>14723</v>
      </c>
      <c r="AB5763" s="80"/>
      <c r="AC5763" s="80" t="s">
        <v>53</v>
      </c>
      <c r="AD5763" s="80" t="s">
        <v>138</v>
      </c>
      <c r="AE5763" s="80" t="s">
        <v>13283</v>
      </c>
      <c r="AF5763" s="17">
        <v>45705</v>
      </c>
      <c r="AG5763" s="80"/>
      <c r="AH5763" s="80"/>
      <c r="AI5763" s="147"/>
      <c r="AJ5763" s="80"/>
      <c r="AK5763" s="80"/>
      <c r="AL5763" s="86"/>
      <c r="AM5763" s="86"/>
      <c r="AN5763" s="86"/>
      <c r="AO5763" s="86"/>
      <c r="AP5763" s="86"/>
    </row>
    <row r="5764" spans="1:42" x14ac:dyDescent="0.2">
      <c r="A5764" s="38">
        <v>45674</v>
      </c>
      <c r="B5764" s="28" t="s">
        <v>37</v>
      </c>
      <c r="C5764" s="41" t="s">
        <v>118</v>
      </c>
      <c r="D5764" s="80" t="s">
        <v>36</v>
      </c>
      <c r="E5764" s="80" t="s">
        <v>39</v>
      </c>
      <c r="F5764" s="80" t="s">
        <v>13283</v>
      </c>
      <c r="G5764" s="80" t="s">
        <v>108</v>
      </c>
      <c r="H5764" s="80" t="s">
        <v>16849</v>
      </c>
      <c r="I5764" s="17">
        <f ca="1">IFERROR(__xludf.DUMMYFUNCTION("""COMPUTED_VALUE"""),45705)</f>
        <v>45705</v>
      </c>
      <c r="J5764" s="143" t="s">
        <v>18095</v>
      </c>
      <c r="K5764" s="145" t="s">
        <v>18096</v>
      </c>
      <c r="L5764" s="30">
        <v>967388003</v>
      </c>
      <c r="M5764" s="80" t="s">
        <v>9422</v>
      </c>
      <c r="N5764" s="80" t="s">
        <v>2157</v>
      </c>
      <c r="O5764" s="80" t="s">
        <v>8827</v>
      </c>
      <c r="P5764" s="80" t="s">
        <v>18097</v>
      </c>
      <c r="Q5764" s="20">
        <v>5736</v>
      </c>
      <c r="R5764" s="80" t="s">
        <v>36</v>
      </c>
      <c r="S5764" s="95">
        <v>5736</v>
      </c>
      <c r="T5764" s="148">
        <v>45616</v>
      </c>
      <c r="U5764" s="77"/>
      <c r="V5764" s="78"/>
      <c r="W5764" s="85" t="s">
        <v>18098</v>
      </c>
      <c r="X5764" s="80"/>
      <c r="Y5764" s="22">
        <v>0</v>
      </c>
      <c r="Z5764" s="81" t="s">
        <v>50</v>
      </c>
      <c r="AA5764" s="86" t="s">
        <v>14723</v>
      </c>
      <c r="AB5764" s="80"/>
      <c r="AC5764" s="80" t="s">
        <v>53</v>
      </c>
      <c r="AD5764" s="80" t="s">
        <v>138</v>
      </c>
      <c r="AE5764" s="80" t="s">
        <v>13283</v>
      </c>
      <c r="AF5764" s="17">
        <v>45705</v>
      </c>
      <c r="AG5764" s="80"/>
      <c r="AH5764" s="80"/>
      <c r="AI5764" s="147"/>
      <c r="AJ5764" s="80"/>
      <c r="AK5764" s="80"/>
      <c r="AL5764" s="86"/>
      <c r="AM5764" s="86"/>
      <c r="AN5764" s="86"/>
      <c r="AO5764" s="86"/>
      <c r="AP5764" s="86"/>
    </row>
    <row r="5765" spans="1:42" x14ac:dyDescent="0.2">
      <c r="A5765" s="38">
        <v>45674</v>
      </c>
      <c r="B5765" s="28" t="s">
        <v>37</v>
      </c>
      <c r="C5765" s="41" t="s">
        <v>118</v>
      </c>
      <c r="D5765" s="80" t="s">
        <v>36</v>
      </c>
      <c r="E5765" s="80" t="s">
        <v>56</v>
      </c>
      <c r="F5765" s="80" t="s">
        <v>13283</v>
      </c>
      <c r="G5765" s="80" t="s">
        <v>108</v>
      </c>
      <c r="H5765" s="80" t="s">
        <v>16849</v>
      </c>
      <c r="I5765" s="17">
        <f ca="1">IFERROR(__xludf.DUMMYFUNCTION("""COMPUTED_VALUE"""),45705)</f>
        <v>45705</v>
      </c>
      <c r="J5765" s="143" t="s">
        <v>18125</v>
      </c>
      <c r="K5765" s="145" t="s">
        <v>18126</v>
      </c>
      <c r="L5765" s="30">
        <v>944068162</v>
      </c>
      <c r="M5765" s="80" t="s">
        <v>9422</v>
      </c>
      <c r="N5765" s="80" t="s">
        <v>12670</v>
      </c>
      <c r="O5765" s="80" t="s">
        <v>4503</v>
      </c>
      <c r="P5765" s="80" t="s">
        <v>3694</v>
      </c>
      <c r="Q5765" s="20">
        <v>9317</v>
      </c>
      <c r="R5765" s="80" t="s">
        <v>36</v>
      </c>
      <c r="S5765" s="95">
        <v>9317</v>
      </c>
      <c r="T5765" s="148">
        <v>45617</v>
      </c>
      <c r="U5765" s="77"/>
      <c r="V5765" s="78"/>
      <c r="W5765" s="85" t="s">
        <v>18127</v>
      </c>
      <c r="X5765" s="80"/>
      <c r="Y5765" s="22">
        <v>0</v>
      </c>
      <c r="Z5765" s="81" t="s">
        <v>50</v>
      </c>
      <c r="AA5765" s="82" t="s">
        <v>14723</v>
      </c>
      <c r="AB5765" s="80"/>
      <c r="AC5765" s="80" t="s">
        <v>53</v>
      </c>
      <c r="AD5765" s="80" t="s">
        <v>138</v>
      </c>
      <c r="AE5765" s="80" t="s">
        <v>13283</v>
      </c>
      <c r="AF5765" s="17">
        <v>45705</v>
      </c>
      <c r="AG5765" s="80"/>
      <c r="AH5765" s="80"/>
      <c r="AI5765" s="147"/>
      <c r="AJ5765" s="80"/>
      <c r="AK5765" s="80"/>
      <c r="AL5765" s="86"/>
      <c r="AM5765" s="86"/>
      <c r="AN5765" s="86"/>
      <c r="AO5765" s="86"/>
      <c r="AP5765" s="86"/>
    </row>
    <row r="5766" spans="1:42" x14ac:dyDescent="0.2">
      <c r="A5766" s="38">
        <v>45674</v>
      </c>
      <c r="B5766" s="28" t="s">
        <v>37</v>
      </c>
      <c r="C5766" s="41" t="s">
        <v>118</v>
      </c>
      <c r="D5766" s="80" t="s">
        <v>36</v>
      </c>
      <c r="E5766" s="80" t="s">
        <v>139</v>
      </c>
      <c r="F5766" s="80" t="s">
        <v>13283</v>
      </c>
      <c r="G5766" s="80" t="s">
        <v>108</v>
      </c>
      <c r="H5766" s="80" t="s">
        <v>16849</v>
      </c>
      <c r="I5766" s="17">
        <f ca="1">IFERROR(__xludf.DUMMYFUNCTION("""COMPUTED_VALUE"""),45705)</f>
        <v>45705</v>
      </c>
      <c r="J5766" s="143" t="s">
        <v>18590</v>
      </c>
      <c r="K5766" s="145" t="s">
        <v>19392</v>
      </c>
      <c r="L5766" s="30">
        <v>963699566</v>
      </c>
      <c r="M5766" s="80" t="s">
        <v>59</v>
      </c>
      <c r="N5766" s="80" t="s">
        <v>68</v>
      </c>
      <c r="O5766" s="80" t="s">
        <v>18592</v>
      </c>
      <c r="P5766" s="80" t="s">
        <v>18593</v>
      </c>
      <c r="Q5766" s="20">
        <v>15936</v>
      </c>
      <c r="R5766" s="80" t="s">
        <v>36</v>
      </c>
      <c r="S5766" s="95">
        <f t="shared" ref="S5766:S5767" si="162">200+1800</f>
        <v>2000</v>
      </c>
      <c r="T5766" s="148" t="s">
        <v>18594</v>
      </c>
      <c r="U5766" s="77">
        <v>13936</v>
      </c>
      <c r="V5766" s="78">
        <v>45657</v>
      </c>
      <c r="W5766" s="85" t="s">
        <v>18595</v>
      </c>
      <c r="X5766" s="80"/>
      <c r="Y5766" s="22">
        <v>0</v>
      </c>
      <c r="Z5766" s="81" t="s">
        <v>50</v>
      </c>
      <c r="AA5766" s="86" t="s">
        <v>18579</v>
      </c>
      <c r="AB5766" s="86"/>
      <c r="AC5766" s="80" t="s">
        <v>53</v>
      </c>
      <c r="AD5766" s="80" t="s">
        <v>54</v>
      </c>
      <c r="AE5766" s="80" t="s">
        <v>13283</v>
      </c>
      <c r="AF5766" s="17">
        <v>45705</v>
      </c>
      <c r="AG5766" s="60"/>
      <c r="AH5766" s="80"/>
      <c r="AI5766" s="147"/>
      <c r="AJ5766" s="80"/>
      <c r="AK5766" s="80"/>
      <c r="AL5766" s="86"/>
      <c r="AM5766" s="86"/>
      <c r="AN5766" s="86"/>
      <c r="AO5766" s="86"/>
      <c r="AP5766" s="86"/>
    </row>
    <row r="5767" spans="1:42" x14ac:dyDescent="0.2">
      <c r="A5767" s="38">
        <v>45674</v>
      </c>
      <c r="B5767" s="28" t="s">
        <v>37</v>
      </c>
      <c r="C5767" s="41" t="s">
        <v>118</v>
      </c>
      <c r="D5767" s="80" t="s">
        <v>36</v>
      </c>
      <c r="E5767" s="80" t="s">
        <v>139</v>
      </c>
      <c r="F5767" s="80" t="s">
        <v>13283</v>
      </c>
      <c r="G5767" s="80" t="s">
        <v>108</v>
      </c>
      <c r="H5767" s="80" t="s">
        <v>16849</v>
      </c>
      <c r="I5767" s="17">
        <f ca="1">IFERROR(__xludf.DUMMYFUNCTION("""COMPUTED_VALUE"""),45705)</f>
        <v>45705</v>
      </c>
      <c r="J5767" s="143" t="s">
        <v>18836</v>
      </c>
      <c r="K5767" s="145" t="s">
        <v>18837</v>
      </c>
      <c r="L5767" s="30">
        <v>788209599</v>
      </c>
      <c r="M5767" s="80" t="s">
        <v>12529</v>
      </c>
      <c r="N5767" s="80" t="s">
        <v>15532</v>
      </c>
      <c r="O5767" s="80" t="s">
        <v>18838</v>
      </c>
      <c r="P5767" s="80" t="s">
        <v>18839</v>
      </c>
      <c r="Q5767" s="20">
        <v>15936</v>
      </c>
      <c r="R5767" s="80" t="s">
        <v>36</v>
      </c>
      <c r="S5767" s="95">
        <f t="shared" si="162"/>
        <v>2000</v>
      </c>
      <c r="T5767" s="148" t="s">
        <v>18840</v>
      </c>
      <c r="U5767" s="95">
        <v>13936</v>
      </c>
      <c r="V5767" s="148">
        <v>45645</v>
      </c>
      <c r="W5767" s="85" t="s">
        <v>18841</v>
      </c>
      <c r="X5767" s="80"/>
      <c r="Y5767" s="22">
        <v>0</v>
      </c>
      <c r="Z5767" s="81" t="s">
        <v>50</v>
      </c>
      <c r="AA5767" s="82" t="s">
        <v>18579</v>
      </c>
      <c r="AB5767" s="82"/>
      <c r="AC5767" s="80" t="s">
        <v>53</v>
      </c>
      <c r="AD5767" s="80" t="s">
        <v>138</v>
      </c>
      <c r="AE5767" s="80" t="s">
        <v>13283</v>
      </c>
      <c r="AF5767" s="17">
        <v>45705</v>
      </c>
      <c r="AG5767" s="80"/>
      <c r="AH5767" s="80"/>
      <c r="AI5767" s="147"/>
      <c r="AJ5767" s="80"/>
      <c r="AK5767" s="80"/>
      <c r="AL5767" s="86"/>
      <c r="AM5767" s="86"/>
      <c r="AN5767" s="86"/>
      <c r="AO5767" s="86"/>
      <c r="AP5767" s="86"/>
    </row>
    <row r="5768" spans="1:42" x14ac:dyDescent="0.2">
      <c r="A5768" s="38">
        <v>45674</v>
      </c>
      <c r="B5768" s="28" t="s">
        <v>37</v>
      </c>
      <c r="C5768" s="41" t="s">
        <v>118</v>
      </c>
      <c r="D5768" s="80" t="s">
        <v>36</v>
      </c>
      <c r="E5768" s="80" t="s">
        <v>139</v>
      </c>
      <c r="F5768" s="80" t="s">
        <v>13283</v>
      </c>
      <c r="G5768" s="80" t="s">
        <v>108</v>
      </c>
      <c r="H5768" s="80" t="s">
        <v>16849</v>
      </c>
      <c r="I5768" s="17">
        <f ca="1">IFERROR(__xludf.DUMMYFUNCTION("""COMPUTED_VALUE"""),45705)</f>
        <v>45705</v>
      </c>
      <c r="J5768" s="143" t="s">
        <v>18864</v>
      </c>
      <c r="K5768" s="145" t="s">
        <v>1792</v>
      </c>
      <c r="L5768" s="30">
        <v>333086277</v>
      </c>
      <c r="M5768" s="80" t="s">
        <v>18865</v>
      </c>
      <c r="N5768" s="80" t="s">
        <v>5277</v>
      </c>
      <c r="O5768" s="80" t="s">
        <v>18866</v>
      </c>
      <c r="P5768" s="80" t="s">
        <v>18867</v>
      </c>
      <c r="Q5768" s="20">
        <v>15936</v>
      </c>
      <c r="R5768" s="80" t="s">
        <v>36</v>
      </c>
      <c r="S5768" s="95">
        <v>2000</v>
      </c>
      <c r="T5768" s="148">
        <v>45617</v>
      </c>
      <c r="U5768" s="95">
        <v>13936</v>
      </c>
      <c r="V5768" s="148">
        <v>45644</v>
      </c>
      <c r="W5768" s="85" t="s">
        <v>18868</v>
      </c>
      <c r="X5768" s="80"/>
      <c r="Y5768" s="22">
        <v>0</v>
      </c>
      <c r="Z5768" s="81" t="s">
        <v>50</v>
      </c>
      <c r="AA5768" s="86" t="s">
        <v>18579</v>
      </c>
      <c r="AB5768" s="86"/>
      <c r="AC5768" s="80" t="s">
        <v>53</v>
      </c>
      <c r="AD5768" s="80" t="s">
        <v>138</v>
      </c>
      <c r="AE5768" s="80" t="s">
        <v>13283</v>
      </c>
      <c r="AF5768" s="17">
        <v>45705</v>
      </c>
      <c r="AG5768" s="80"/>
      <c r="AH5768" s="80"/>
      <c r="AI5768" s="147"/>
      <c r="AJ5768" s="80"/>
      <c r="AK5768" s="80"/>
      <c r="AL5768" s="86"/>
      <c r="AM5768" s="86"/>
      <c r="AN5768" s="86"/>
      <c r="AO5768" s="86"/>
      <c r="AP5768" s="86"/>
    </row>
    <row r="5769" spans="1:42" x14ac:dyDescent="0.2">
      <c r="A5769" s="38">
        <v>45674</v>
      </c>
      <c r="B5769" s="28" t="s">
        <v>37</v>
      </c>
      <c r="C5769" s="41" t="s">
        <v>118</v>
      </c>
      <c r="D5769" s="80" t="s">
        <v>36</v>
      </c>
      <c r="E5769" s="80" t="s">
        <v>139</v>
      </c>
      <c r="F5769" s="145" t="s">
        <v>13283</v>
      </c>
      <c r="G5769" s="166" t="s">
        <v>108</v>
      </c>
      <c r="H5769" s="80" t="s">
        <v>19393</v>
      </c>
      <c r="I5769" s="17">
        <f ca="1">IFERROR(__xludf.DUMMYFUNCTION("""COMPUTED_VALUE"""),45911)</f>
        <v>45911</v>
      </c>
      <c r="J5769" s="143" t="s">
        <v>18922</v>
      </c>
      <c r="K5769" s="145" t="s">
        <v>19394</v>
      </c>
      <c r="L5769" s="30">
        <v>946036680</v>
      </c>
      <c r="M5769" s="80" t="s">
        <v>15996</v>
      </c>
      <c r="N5769" s="80" t="s">
        <v>186</v>
      </c>
      <c r="O5769" s="80" t="s">
        <v>4503</v>
      </c>
      <c r="P5769" s="144" t="s">
        <v>19395</v>
      </c>
      <c r="Q5769" s="20">
        <v>15936</v>
      </c>
      <c r="R5769" s="80" t="s">
        <v>70</v>
      </c>
      <c r="S5769" s="95">
        <f>200+3000</f>
        <v>3200</v>
      </c>
      <c r="T5769" s="148" t="s">
        <v>18924</v>
      </c>
      <c r="U5769" s="95">
        <v>12736</v>
      </c>
      <c r="V5769" s="148">
        <v>45657</v>
      </c>
      <c r="W5769" s="85" t="s">
        <v>18925</v>
      </c>
      <c r="X5769" s="80"/>
      <c r="Y5769" s="22">
        <v>0</v>
      </c>
      <c r="Z5769" s="81" t="s">
        <v>50</v>
      </c>
      <c r="AA5769" s="82" t="s">
        <v>18579</v>
      </c>
      <c r="AB5769" s="82"/>
      <c r="AC5769" s="80" t="s">
        <v>53</v>
      </c>
      <c r="AD5769" s="80" t="s">
        <v>138</v>
      </c>
      <c r="AE5769" s="80" t="s">
        <v>13283</v>
      </c>
      <c r="AF5769" s="17">
        <v>45915</v>
      </c>
      <c r="AG5769" s="80"/>
      <c r="AH5769" s="80"/>
      <c r="AI5769" s="147"/>
      <c r="AJ5769" s="80"/>
      <c r="AK5769" s="80"/>
      <c r="AL5769" s="86"/>
      <c r="AM5769" s="86"/>
      <c r="AN5769" s="86"/>
      <c r="AO5769" s="86"/>
      <c r="AP5769" s="86"/>
    </row>
    <row r="5770" spans="1:42" x14ac:dyDescent="0.2">
      <c r="A5770" s="38">
        <v>45674</v>
      </c>
      <c r="B5770" s="28" t="s">
        <v>37</v>
      </c>
      <c r="C5770" s="41" t="s">
        <v>118</v>
      </c>
      <c r="D5770" s="80" t="s">
        <v>36</v>
      </c>
      <c r="E5770" s="80" t="s">
        <v>139</v>
      </c>
      <c r="F5770" s="80" t="s">
        <v>13283</v>
      </c>
      <c r="G5770" s="80" t="s">
        <v>108</v>
      </c>
      <c r="H5770" s="80" t="s">
        <v>16849</v>
      </c>
      <c r="I5770" s="17">
        <f ca="1">IFERROR(__xludf.DUMMYFUNCTION("""COMPUTED_VALUE"""),45705)</f>
        <v>45705</v>
      </c>
      <c r="J5770" s="143" t="s">
        <v>18926</v>
      </c>
      <c r="K5770" s="145" t="s">
        <v>18927</v>
      </c>
      <c r="L5770" s="30">
        <v>974215340</v>
      </c>
      <c r="M5770" s="80" t="s">
        <v>18358</v>
      </c>
      <c r="N5770" s="80" t="s">
        <v>2847</v>
      </c>
      <c r="O5770" s="80" t="s">
        <v>4503</v>
      </c>
      <c r="P5770" s="80" t="s">
        <v>3056</v>
      </c>
      <c r="Q5770" s="20">
        <v>15936</v>
      </c>
      <c r="R5770" s="80" t="s">
        <v>36</v>
      </c>
      <c r="S5770" s="95">
        <f>200+4800</f>
        <v>5000</v>
      </c>
      <c r="T5770" s="148" t="s">
        <v>18928</v>
      </c>
      <c r="U5770" s="95">
        <v>10936</v>
      </c>
      <c r="V5770" s="148">
        <v>45649</v>
      </c>
      <c r="W5770" s="85" t="s">
        <v>18929</v>
      </c>
      <c r="X5770" s="80"/>
      <c r="Y5770" s="22">
        <v>0</v>
      </c>
      <c r="Z5770" s="81" t="s">
        <v>50</v>
      </c>
      <c r="AA5770" s="86" t="s">
        <v>18579</v>
      </c>
      <c r="AB5770" s="86"/>
      <c r="AC5770" s="80" t="s">
        <v>53</v>
      </c>
      <c r="AD5770" s="80" t="s">
        <v>138</v>
      </c>
      <c r="AE5770" s="80" t="s">
        <v>13283</v>
      </c>
      <c r="AF5770" s="17">
        <v>45705</v>
      </c>
      <c r="AG5770" s="80"/>
      <c r="AH5770" s="80"/>
      <c r="AI5770" s="147"/>
      <c r="AJ5770" s="80"/>
      <c r="AK5770" s="80"/>
      <c r="AL5770" s="86"/>
      <c r="AM5770" s="86"/>
      <c r="AN5770" s="86"/>
      <c r="AO5770" s="86"/>
      <c r="AP5770" s="86"/>
    </row>
    <row r="5771" spans="1:42" x14ac:dyDescent="0.2">
      <c r="A5771" s="38">
        <v>45674</v>
      </c>
      <c r="B5771" s="28" t="s">
        <v>37</v>
      </c>
      <c r="C5771" s="41" t="s">
        <v>118</v>
      </c>
      <c r="D5771" s="80" t="s">
        <v>36</v>
      </c>
      <c r="E5771" s="80" t="s">
        <v>139</v>
      </c>
      <c r="F5771" s="80" t="s">
        <v>13283</v>
      </c>
      <c r="G5771" s="80" t="s">
        <v>108</v>
      </c>
      <c r="H5771" s="80" t="s">
        <v>16849</v>
      </c>
      <c r="I5771" s="17">
        <f ca="1">IFERROR(__xludf.DUMMYFUNCTION("""COMPUTED_VALUE"""),45705)</f>
        <v>45705</v>
      </c>
      <c r="J5771" s="143" t="s">
        <v>18963</v>
      </c>
      <c r="K5771" s="145" t="s">
        <v>18964</v>
      </c>
      <c r="L5771" s="30">
        <v>358072830</v>
      </c>
      <c r="M5771" s="80" t="s">
        <v>18865</v>
      </c>
      <c r="N5771" s="80" t="s">
        <v>5277</v>
      </c>
      <c r="O5771" s="80" t="s">
        <v>18965</v>
      </c>
      <c r="P5771" s="80" t="s">
        <v>13226</v>
      </c>
      <c r="Q5771" s="20">
        <v>15936</v>
      </c>
      <c r="R5771" s="80" t="s">
        <v>36</v>
      </c>
      <c r="S5771" s="95">
        <v>2000</v>
      </c>
      <c r="T5771" s="148">
        <v>45626</v>
      </c>
      <c r="U5771" s="95">
        <v>13936</v>
      </c>
      <c r="V5771" s="148">
        <v>45652</v>
      </c>
      <c r="W5771" s="80" t="s">
        <v>18966</v>
      </c>
      <c r="X5771" s="80"/>
      <c r="Y5771" s="22">
        <v>0</v>
      </c>
      <c r="Z5771" s="81" t="s">
        <v>50</v>
      </c>
      <c r="AA5771" s="82" t="s">
        <v>18579</v>
      </c>
      <c r="AB5771" s="82"/>
      <c r="AC5771" s="80" t="s">
        <v>53</v>
      </c>
      <c r="AD5771" s="80" t="s">
        <v>54</v>
      </c>
      <c r="AE5771" s="80" t="s">
        <v>13283</v>
      </c>
      <c r="AF5771" s="17">
        <v>45705</v>
      </c>
      <c r="AG5771" s="80"/>
      <c r="AH5771" s="80"/>
      <c r="AI5771" s="147"/>
      <c r="AJ5771" s="80"/>
      <c r="AK5771" s="80"/>
      <c r="AL5771" s="86"/>
      <c r="AM5771" s="86"/>
      <c r="AN5771" s="86"/>
      <c r="AO5771" s="86"/>
      <c r="AP5771" s="86"/>
    </row>
    <row r="5772" spans="1:42" x14ac:dyDescent="0.2">
      <c r="A5772" s="38">
        <v>45674</v>
      </c>
      <c r="B5772" s="28" t="s">
        <v>37</v>
      </c>
      <c r="C5772" s="41" t="s">
        <v>118</v>
      </c>
      <c r="D5772" s="80" t="s">
        <v>36</v>
      </c>
      <c r="E5772" s="80" t="s">
        <v>56</v>
      </c>
      <c r="F5772" s="80" t="s">
        <v>13283</v>
      </c>
      <c r="G5772" s="80" t="s">
        <v>108</v>
      </c>
      <c r="H5772" s="80" t="s">
        <v>16849</v>
      </c>
      <c r="I5772" s="17">
        <f ca="1">IFERROR(__xludf.DUMMYFUNCTION("""COMPUTED_VALUE"""),45705)</f>
        <v>45705</v>
      </c>
      <c r="J5772" s="143" t="s">
        <v>18967</v>
      </c>
      <c r="K5772" s="145" t="s">
        <v>18968</v>
      </c>
      <c r="L5772" s="30">
        <v>358787891</v>
      </c>
      <c r="M5772" s="80" t="s">
        <v>9422</v>
      </c>
      <c r="N5772" s="80" t="s">
        <v>5312</v>
      </c>
      <c r="O5772" s="80" t="s">
        <v>91</v>
      </c>
      <c r="P5772" s="80" t="s">
        <v>3117</v>
      </c>
      <c r="Q5772" s="20">
        <v>9317</v>
      </c>
      <c r="R5772" s="80" t="s">
        <v>36</v>
      </c>
      <c r="S5772" s="95">
        <v>2000</v>
      </c>
      <c r="T5772" s="148">
        <v>45626</v>
      </c>
      <c r="U5772" s="95">
        <v>7317</v>
      </c>
      <c r="V5772" s="148">
        <v>45652</v>
      </c>
      <c r="W5772" s="85" t="s">
        <v>18969</v>
      </c>
      <c r="X5772" s="80"/>
      <c r="Y5772" s="22">
        <v>0</v>
      </c>
      <c r="Z5772" s="81" t="s">
        <v>50</v>
      </c>
      <c r="AA5772" s="86" t="s">
        <v>18579</v>
      </c>
      <c r="AB5772" s="86"/>
      <c r="AC5772" s="80" t="s">
        <v>53</v>
      </c>
      <c r="AD5772" s="80" t="s">
        <v>138</v>
      </c>
      <c r="AE5772" s="80" t="s">
        <v>13283</v>
      </c>
      <c r="AF5772" s="17">
        <v>45705</v>
      </c>
      <c r="AG5772" s="80"/>
      <c r="AH5772" s="80"/>
      <c r="AI5772" s="147"/>
      <c r="AJ5772" s="80"/>
      <c r="AK5772" s="80"/>
      <c r="AL5772" s="86"/>
      <c r="AM5772" s="86"/>
      <c r="AN5772" s="86"/>
      <c r="AO5772" s="86"/>
      <c r="AP5772" s="86"/>
    </row>
    <row r="5773" spans="1:42" x14ac:dyDescent="0.2">
      <c r="A5773" s="38">
        <v>45674</v>
      </c>
      <c r="B5773" s="28" t="s">
        <v>37</v>
      </c>
      <c r="C5773" s="41" t="s">
        <v>118</v>
      </c>
      <c r="D5773" s="80" t="s">
        <v>36</v>
      </c>
      <c r="E5773" s="80" t="s">
        <v>56</v>
      </c>
      <c r="F5773" s="80" t="s">
        <v>13283</v>
      </c>
      <c r="G5773" s="80" t="s">
        <v>108</v>
      </c>
      <c r="H5773" s="80" t="s">
        <v>16849</v>
      </c>
      <c r="I5773" s="17">
        <f ca="1">IFERROR(__xludf.DUMMYFUNCTION("""COMPUTED_VALUE"""),45705)</f>
        <v>45705</v>
      </c>
      <c r="J5773" s="143" t="s">
        <v>18999</v>
      </c>
      <c r="K5773" s="145" t="s">
        <v>19000</v>
      </c>
      <c r="L5773" s="30">
        <v>393312162</v>
      </c>
      <c r="M5773" s="80" t="s">
        <v>5518</v>
      </c>
      <c r="N5773" s="80" t="s">
        <v>12380</v>
      </c>
      <c r="O5773" s="80" t="s">
        <v>19001</v>
      </c>
      <c r="P5773" s="80" t="s">
        <v>3117</v>
      </c>
      <c r="Q5773" s="20">
        <v>9317</v>
      </c>
      <c r="R5773" s="80" t="s">
        <v>36</v>
      </c>
      <c r="S5773" s="95">
        <v>4000</v>
      </c>
      <c r="T5773" s="148">
        <v>45627</v>
      </c>
      <c r="U5773" s="95">
        <v>5317</v>
      </c>
      <c r="V5773" s="148">
        <v>45647</v>
      </c>
      <c r="W5773" s="85" t="s">
        <v>19002</v>
      </c>
      <c r="X5773" s="80"/>
      <c r="Y5773" s="22">
        <v>0</v>
      </c>
      <c r="Z5773" s="81" t="s">
        <v>50</v>
      </c>
      <c r="AA5773" s="82" t="s">
        <v>18579</v>
      </c>
      <c r="AB5773" s="82"/>
      <c r="AC5773" s="80" t="s">
        <v>53</v>
      </c>
      <c r="AD5773" s="80" t="s">
        <v>138</v>
      </c>
      <c r="AE5773" s="80" t="s">
        <v>13283</v>
      </c>
      <c r="AF5773" s="17">
        <v>45705</v>
      </c>
      <c r="AG5773" s="80"/>
      <c r="AH5773" s="80"/>
      <c r="AI5773" s="147"/>
      <c r="AJ5773" s="80"/>
      <c r="AK5773" s="80"/>
      <c r="AL5773" s="86"/>
      <c r="AM5773" s="86"/>
      <c r="AN5773" s="86"/>
      <c r="AO5773" s="86"/>
      <c r="AP5773" s="86"/>
    </row>
    <row r="5774" spans="1:42" x14ac:dyDescent="0.2">
      <c r="A5774" s="38">
        <v>45674</v>
      </c>
      <c r="B5774" s="28" t="s">
        <v>37</v>
      </c>
      <c r="C5774" s="41" t="s">
        <v>118</v>
      </c>
      <c r="D5774" s="26" t="s">
        <v>36</v>
      </c>
      <c r="E5774" s="26" t="s">
        <v>139</v>
      </c>
      <c r="F5774" s="26" t="s">
        <v>8917</v>
      </c>
      <c r="G5774" s="26" t="s">
        <v>1705</v>
      </c>
      <c r="H5774" s="26" t="s">
        <v>8912</v>
      </c>
      <c r="I5774" s="17"/>
      <c r="J5774" s="29" t="s">
        <v>3717</v>
      </c>
      <c r="K5774" s="26" t="s">
        <v>3718</v>
      </c>
      <c r="L5774" s="30">
        <v>334077376</v>
      </c>
      <c r="M5774" s="26" t="s">
        <v>123</v>
      </c>
      <c r="N5774" s="26" t="s">
        <v>327</v>
      </c>
      <c r="O5774" s="26" t="s">
        <v>134</v>
      </c>
      <c r="P5774" s="42" t="s">
        <v>8918</v>
      </c>
      <c r="Q5774" s="20">
        <v>15936</v>
      </c>
      <c r="R5774" s="26" t="s">
        <v>36</v>
      </c>
      <c r="S5774" s="31">
        <v>200</v>
      </c>
      <c r="T5774" s="32">
        <v>45188</v>
      </c>
      <c r="U5774" s="31">
        <f>1768+13968</f>
        <v>15736</v>
      </c>
      <c r="V5774" s="16" t="s">
        <v>3719</v>
      </c>
      <c r="W5774" s="33" t="s">
        <v>3720</v>
      </c>
      <c r="X5774" s="26"/>
      <c r="Y5774" s="22">
        <v>0</v>
      </c>
      <c r="Z5774" s="26" t="s">
        <v>118</v>
      </c>
      <c r="AA5774" s="19" t="s">
        <v>5785</v>
      </c>
      <c r="AB5774" s="86"/>
      <c r="AC5774" s="26" t="s">
        <v>53</v>
      </c>
      <c r="AD5774" s="19" t="s">
        <v>138</v>
      </c>
      <c r="AE5774" s="26" t="s">
        <v>8917</v>
      </c>
      <c r="AF5774" s="17">
        <v>45693</v>
      </c>
      <c r="AG5774" s="26"/>
      <c r="AH5774" s="26"/>
      <c r="AI5774" s="40" t="s">
        <v>147</v>
      </c>
      <c r="AJ5774" s="26"/>
      <c r="AK5774" s="26"/>
      <c r="AL5774" s="35"/>
      <c r="AM5774" s="35"/>
      <c r="AN5774" s="35"/>
      <c r="AO5774" s="35"/>
      <c r="AP5774" s="35"/>
    </row>
    <row r="5775" spans="1:42" x14ac:dyDescent="0.2">
      <c r="A5775" s="38">
        <v>45674</v>
      </c>
      <c r="B5775" s="28" t="s">
        <v>37</v>
      </c>
      <c r="C5775" s="41" t="s">
        <v>118</v>
      </c>
      <c r="D5775" s="26" t="s">
        <v>36</v>
      </c>
      <c r="E5775" s="26" t="s">
        <v>119</v>
      </c>
      <c r="F5775" s="26" t="s">
        <v>13605</v>
      </c>
      <c r="G5775" s="26" t="s">
        <v>1705</v>
      </c>
      <c r="H5775" s="26" t="s">
        <v>8912</v>
      </c>
      <c r="I5775" s="17"/>
      <c r="J5775" s="29" t="s">
        <v>9233</v>
      </c>
      <c r="K5775" s="26" t="s">
        <v>9234</v>
      </c>
      <c r="L5775" s="47">
        <v>382863576</v>
      </c>
      <c r="M5775" s="26" t="s">
        <v>45</v>
      </c>
      <c r="N5775" s="26" t="s">
        <v>571</v>
      </c>
      <c r="O5775" s="26" t="s">
        <v>9235</v>
      </c>
      <c r="P5775" s="42" t="s">
        <v>19396</v>
      </c>
      <c r="Q5775" s="20"/>
      <c r="R5775" s="26" t="s">
        <v>36</v>
      </c>
      <c r="S5775" s="95">
        <v>13968</v>
      </c>
      <c r="T5775" s="148">
        <v>45474</v>
      </c>
      <c r="U5775" s="31"/>
      <c r="V5775" s="32"/>
      <c r="W5775" s="33" t="s">
        <v>9237</v>
      </c>
      <c r="X5775" s="26"/>
      <c r="Y5775" s="22"/>
      <c r="Z5775" s="26" t="s">
        <v>50</v>
      </c>
      <c r="AA5775" s="70" t="s">
        <v>9070</v>
      </c>
      <c r="AB5775" s="26"/>
      <c r="AC5775" s="26" t="s">
        <v>53</v>
      </c>
      <c r="AD5775" s="26" t="s">
        <v>54</v>
      </c>
      <c r="AE5775" s="26" t="s">
        <v>13605</v>
      </c>
      <c r="AF5775" s="17">
        <v>45693</v>
      </c>
      <c r="AG5775" s="26"/>
      <c r="AH5775" s="26"/>
      <c r="AI5775" s="40"/>
      <c r="AJ5775" s="26"/>
      <c r="AK5775" s="26"/>
      <c r="AL5775" s="35"/>
      <c r="AM5775" s="35"/>
      <c r="AN5775" s="35"/>
      <c r="AO5775" s="35"/>
      <c r="AP5775" s="35"/>
    </row>
    <row r="5776" spans="1:42" x14ac:dyDescent="0.2">
      <c r="A5776" s="38">
        <v>45674</v>
      </c>
      <c r="B5776" s="28" t="s">
        <v>37</v>
      </c>
      <c r="C5776" s="41" t="s">
        <v>118</v>
      </c>
      <c r="D5776" s="26" t="s">
        <v>36</v>
      </c>
      <c r="E5776" s="26" t="s">
        <v>139</v>
      </c>
      <c r="F5776" s="26" t="s">
        <v>8935</v>
      </c>
      <c r="G5776" s="26" t="s">
        <v>221</v>
      </c>
      <c r="H5776" s="26" t="s">
        <v>19375</v>
      </c>
      <c r="I5776" s="17">
        <f ca="1">IFERROR(__xludf.DUMMYFUNCTION("""COMPUTED_VALUE"""),45699)</f>
        <v>45699</v>
      </c>
      <c r="J5776" s="29" t="s">
        <v>9274</v>
      </c>
      <c r="K5776" s="26" t="s">
        <v>19397</v>
      </c>
      <c r="L5776" s="30">
        <v>376312780</v>
      </c>
      <c r="M5776" s="26" t="s">
        <v>80</v>
      </c>
      <c r="N5776" s="26" t="s">
        <v>466</v>
      </c>
      <c r="O5776" s="26" t="s">
        <v>9276</v>
      </c>
      <c r="P5776" s="42" t="s">
        <v>19398</v>
      </c>
      <c r="Q5776" s="20"/>
      <c r="R5776" s="26" t="s">
        <v>70</v>
      </c>
      <c r="S5776" s="95">
        <f>200+1800</f>
        <v>2000</v>
      </c>
      <c r="T5776" s="83" t="s">
        <v>9271</v>
      </c>
      <c r="U5776" s="95">
        <v>13936</v>
      </c>
      <c r="V5776" s="148">
        <v>45503</v>
      </c>
      <c r="W5776" s="33" t="s">
        <v>9278</v>
      </c>
      <c r="X5776" s="26"/>
      <c r="Y5776" s="22"/>
      <c r="Z5776" s="26" t="s">
        <v>118</v>
      </c>
      <c r="AA5776" s="70" t="s">
        <v>9070</v>
      </c>
      <c r="AB5776" s="80" t="s">
        <v>36</v>
      </c>
      <c r="AC5776" s="26" t="s">
        <v>53</v>
      </c>
      <c r="AD5776" s="26" t="s">
        <v>54</v>
      </c>
      <c r="AE5776" s="26" t="s">
        <v>8935</v>
      </c>
      <c r="AF5776" s="17">
        <v>45694</v>
      </c>
      <c r="AG5776" s="26"/>
      <c r="AH5776" s="26"/>
      <c r="AI5776" s="40"/>
      <c r="AJ5776" s="26"/>
      <c r="AK5776" s="26"/>
      <c r="AL5776" s="35"/>
      <c r="AM5776" s="35"/>
      <c r="AN5776" s="35"/>
      <c r="AO5776" s="35"/>
      <c r="AP5776" s="35"/>
    </row>
    <row r="5777" spans="1:42" x14ac:dyDescent="0.2">
      <c r="A5777" s="38">
        <v>45674</v>
      </c>
      <c r="B5777" s="28" t="s">
        <v>37</v>
      </c>
      <c r="C5777" s="41" t="s">
        <v>118</v>
      </c>
      <c r="D5777" s="26" t="s">
        <v>36</v>
      </c>
      <c r="E5777" s="26" t="s">
        <v>139</v>
      </c>
      <c r="F5777" s="26" t="s">
        <v>6057</v>
      </c>
      <c r="G5777" s="26" t="s">
        <v>1705</v>
      </c>
      <c r="H5777" s="26" t="s">
        <v>8912</v>
      </c>
      <c r="I5777" s="17"/>
      <c r="J5777" s="29" t="s">
        <v>1071</v>
      </c>
      <c r="K5777" s="26" t="s">
        <v>4734</v>
      </c>
      <c r="L5777" s="30">
        <v>395183401</v>
      </c>
      <c r="M5777" s="26" t="s">
        <v>80</v>
      </c>
      <c r="N5777" s="26" t="s">
        <v>1073</v>
      </c>
      <c r="O5777" s="26" t="s">
        <v>91</v>
      </c>
      <c r="P5777" s="42" t="s">
        <v>19399</v>
      </c>
      <c r="Q5777" s="20">
        <v>15936</v>
      </c>
      <c r="R5777" s="26" t="s">
        <v>36</v>
      </c>
      <c r="S5777" s="31">
        <v>4000</v>
      </c>
      <c r="T5777" s="32">
        <v>45126</v>
      </c>
      <c r="U5777" s="31">
        <v>11936</v>
      </c>
      <c r="V5777" s="32">
        <v>45151</v>
      </c>
      <c r="W5777" s="33" t="s">
        <v>1076</v>
      </c>
      <c r="X5777" s="26">
        <v>0</v>
      </c>
      <c r="Y5777" s="22">
        <v>0</v>
      </c>
      <c r="Z5777" s="26" t="s">
        <v>118</v>
      </c>
      <c r="AA5777" s="19" t="s">
        <v>4541</v>
      </c>
      <c r="AB5777" s="26" t="s">
        <v>104</v>
      </c>
      <c r="AC5777" s="26" t="s">
        <v>53</v>
      </c>
      <c r="AD5777" s="19" t="s">
        <v>54</v>
      </c>
      <c r="AE5777" s="26" t="s">
        <v>6057</v>
      </c>
      <c r="AF5777" s="17">
        <v>45693</v>
      </c>
      <c r="AG5777" s="26"/>
      <c r="AH5777" s="26"/>
      <c r="AI5777" s="40"/>
      <c r="AJ5777" s="26"/>
      <c r="AK5777" s="26"/>
      <c r="AL5777" s="35"/>
      <c r="AM5777" s="35"/>
      <c r="AN5777" s="35"/>
      <c r="AO5777" s="35"/>
      <c r="AP5777" s="35"/>
    </row>
    <row r="5778" spans="1:42" x14ac:dyDescent="0.2">
      <c r="A5778" s="38">
        <v>45674</v>
      </c>
      <c r="B5778" s="28" t="s">
        <v>37</v>
      </c>
      <c r="C5778" s="41" t="s">
        <v>118</v>
      </c>
      <c r="D5778" s="26" t="s">
        <v>36</v>
      </c>
      <c r="E5778" s="26" t="s">
        <v>119</v>
      </c>
      <c r="F5778" s="26" t="s">
        <v>8403</v>
      </c>
      <c r="G5778" s="26" t="s">
        <v>1705</v>
      </c>
      <c r="H5778" s="26" t="s">
        <v>8998</v>
      </c>
      <c r="I5778" s="17">
        <f ca="1">IFERROR(__xludf.DUMMYFUNCTION("""COMPUTED_VALUE"""),45714)</f>
        <v>45714</v>
      </c>
      <c r="J5778" s="29" t="s">
        <v>2909</v>
      </c>
      <c r="K5778" s="26" t="s">
        <v>2910</v>
      </c>
      <c r="L5778" s="30">
        <v>964714862</v>
      </c>
      <c r="M5778" s="26" t="s">
        <v>80</v>
      </c>
      <c r="N5778" s="26" t="s">
        <v>299</v>
      </c>
      <c r="O5778" s="26" t="s">
        <v>2911</v>
      </c>
      <c r="P5778" s="42" t="s">
        <v>6130</v>
      </c>
      <c r="Q5778" s="20">
        <v>13968</v>
      </c>
      <c r="R5778" s="26" t="s">
        <v>36</v>
      </c>
      <c r="S5778" s="31">
        <v>4000</v>
      </c>
      <c r="T5778" s="32">
        <v>45186</v>
      </c>
      <c r="U5778" s="31">
        <v>9968</v>
      </c>
      <c r="V5778" s="32">
        <v>45197</v>
      </c>
      <c r="W5778" s="33" t="s">
        <v>2913</v>
      </c>
      <c r="X5778" s="26"/>
      <c r="Y5778" s="22">
        <v>0</v>
      </c>
      <c r="Z5778" s="26" t="s">
        <v>118</v>
      </c>
      <c r="AA5778" s="19" t="s">
        <v>2449</v>
      </c>
      <c r="AB5778" s="26" t="s">
        <v>36</v>
      </c>
      <c r="AC5778" s="26" t="s">
        <v>53</v>
      </c>
      <c r="AD5778" s="19" t="s">
        <v>138</v>
      </c>
      <c r="AE5778" s="26" t="s">
        <v>8403</v>
      </c>
      <c r="AF5778" s="17">
        <v>45714</v>
      </c>
      <c r="AG5778" s="26"/>
      <c r="AH5778" s="26"/>
      <c r="AI5778" s="40"/>
      <c r="AJ5778" s="26"/>
      <c r="AK5778" s="26"/>
      <c r="AL5778" s="35"/>
      <c r="AM5778" s="35"/>
      <c r="AN5778" s="35"/>
      <c r="AO5778" s="35"/>
      <c r="AP5778" s="35"/>
    </row>
    <row r="5779" spans="1:42" x14ac:dyDescent="0.2">
      <c r="A5779" s="38">
        <v>45674</v>
      </c>
      <c r="B5779" s="28" t="s">
        <v>37</v>
      </c>
      <c r="C5779" s="41" t="s">
        <v>118</v>
      </c>
      <c r="D5779" s="80" t="s">
        <v>36</v>
      </c>
      <c r="E5779" s="80" t="s">
        <v>56</v>
      </c>
      <c r="F5779" s="80" t="s">
        <v>9865</v>
      </c>
      <c r="G5779" s="26" t="s">
        <v>221</v>
      </c>
      <c r="H5779" s="26" t="s">
        <v>19375</v>
      </c>
      <c r="I5779" s="17">
        <f ca="1">IFERROR(__xludf.DUMMYFUNCTION("""COMPUTED_VALUE"""),45699)</f>
        <v>45699</v>
      </c>
      <c r="J5779" s="143" t="s">
        <v>9285</v>
      </c>
      <c r="K5779" s="80" t="s">
        <v>9286</v>
      </c>
      <c r="L5779" s="30">
        <v>376200206</v>
      </c>
      <c r="M5779" s="80" t="s">
        <v>59</v>
      </c>
      <c r="N5779" s="80" t="s">
        <v>9287</v>
      </c>
      <c r="O5779" s="80" t="s">
        <v>9288</v>
      </c>
      <c r="P5779" s="144" t="s">
        <v>19400</v>
      </c>
      <c r="Q5779" s="20"/>
      <c r="R5779" s="80" t="s">
        <v>36</v>
      </c>
      <c r="S5779" s="95">
        <f>1968+7249</f>
        <v>9217</v>
      </c>
      <c r="T5779" s="148" t="s">
        <v>9290</v>
      </c>
      <c r="U5779" s="77"/>
      <c r="V5779" s="78"/>
      <c r="W5779" s="85" t="s">
        <v>9291</v>
      </c>
      <c r="X5779" s="80"/>
      <c r="Y5779" s="22"/>
      <c r="Z5779" s="41" t="s">
        <v>118</v>
      </c>
      <c r="AA5779" s="82" t="s">
        <v>9070</v>
      </c>
      <c r="AB5779" s="80" t="s">
        <v>36</v>
      </c>
      <c r="AC5779" s="80" t="s">
        <v>53</v>
      </c>
      <c r="AD5779" s="80" t="s">
        <v>54</v>
      </c>
      <c r="AE5779" s="80" t="s">
        <v>9865</v>
      </c>
      <c r="AF5779" s="17">
        <v>45694</v>
      </c>
      <c r="AG5779" s="80"/>
      <c r="AH5779" s="80"/>
      <c r="AI5779" s="147"/>
      <c r="AJ5779" s="80"/>
      <c r="AK5779" s="80"/>
      <c r="AL5779" s="86"/>
      <c r="AM5779" s="86"/>
      <c r="AN5779" s="86"/>
      <c r="AO5779" s="86"/>
      <c r="AP5779" s="86"/>
    </row>
    <row r="5780" spans="1:42" x14ac:dyDescent="0.2">
      <c r="A5780" s="38">
        <v>45674</v>
      </c>
      <c r="B5780" s="28" t="s">
        <v>37</v>
      </c>
      <c r="C5780" s="41" t="s">
        <v>118</v>
      </c>
      <c r="D5780" s="80" t="s">
        <v>36</v>
      </c>
      <c r="E5780" s="80" t="s">
        <v>139</v>
      </c>
      <c r="F5780" s="80" t="s">
        <v>11610</v>
      </c>
      <c r="G5780" s="26" t="s">
        <v>108</v>
      </c>
      <c r="H5780" s="80" t="s">
        <v>14088</v>
      </c>
      <c r="I5780" s="17">
        <f ca="1">IFERROR(__xludf.DUMMYFUNCTION("""COMPUTED_VALUE"""),45699)</f>
        <v>45699</v>
      </c>
      <c r="J5780" s="143" t="s">
        <v>12405</v>
      </c>
      <c r="K5780" s="80" t="s">
        <v>12406</v>
      </c>
      <c r="L5780" s="30">
        <v>855723658</v>
      </c>
      <c r="M5780" s="80" t="s">
        <v>910</v>
      </c>
      <c r="N5780" s="80" t="s">
        <v>3525</v>
      </c>
      <c r="O5780" s="80" t="s">
        <v>91</v>
      </c>
      <c r="P5780" s="80" t="s">
        <v>12407</v>
      </c>
      <c r="Q5780" s="20">
        <v>15936</v>
      </c>
      <c r="R5780" s="80" t="s">
        <v>36</v>
      </c>
      <c r="S5780" s="95">
        <v>7000</v>
      </c>
      <c r="T5780" s="148">
        <v>45528</v>
      </c>
      <c r="U5780" s="95">
        <v>8936</v>
      </c>
      <c r="V5780" s="148">
        <v>45559</v>
      </c>
      <c r="W5780" s="85" t="s">
        <v>12408</v>
      </c>
      <c r="X5780" s="80">
        <v>0</v>
      </c>
      <c r="Y5780" s="22">
        <v>0</v>
      </c>
      <c r="Z5780" s="80" t="s">
        <v>50</v>
      </c>
      <c r="AA5780" s="35" t="s">
        <v>3291</v>
      </c>
      <c r="AB5780" s="80"/>
      <c r="AC5780" s="80" t="s">
        <v>53</v>
      </c>
      <c r="AD5780" s="80" t="s">
        <v>138</v>
      </c>
      <c r="AE5780" s="80" t="s">
        <v>11610</v>
      </c>
      <c r="AF5780" s="17">
        <v>45699</v>
      </c>
      <c r="AG5780" s="80"/>
      <c r="AH5780" s="80"/>
      <c r="AI5780" s="147" t="s">
        <v>147</v>
      </c>
      <c r="AJ5780" s="80"/>
      <c r="AK5780" s="80"/>
      <c r="AL5780" s="35"/>
      <c r="AM5780" s="35"/>
      <c r="AN5780" s="35"/>
      <c r="AO5780" s="35"/>
      <c r="AP5780" s="35"/>
    </row>
    <row r="5781" spans="1:42" x14ac:dyDescent="0.2">
      <c r="A5781" s="38">
        <v>45674</v>
      </c>
      <c r="B5781" s="28" t="s">
        <v>37</v>
      </c>
      <c r="C5781" s="41" t="s">
        <v>118</v>
      </c>
      <c r="D5781" s="80" t="s">
        <v>36</v>
      </c>
      <c r="E5781" s="80" t="s">
        <v>139</v>
      </c>
      <c r="F5781" s="80" t="s">
        <v>11610</v>
      </c>
      <c r="G5781" s="26" t="s">
        <v>108</v>
      </c>
      <c r="H5781" s="80" t="s">
        <v>14088</v>
      </c>
      <c r="I5781" s="17">
        <f ca="1">IFERROR(__xludf.DUMMYFUNCTION("""COMPUTED_VALUE"""),45699)</f>
        <v>45699</v>
      </c>
      <c r="J5781" s="143" t="s">
        <v>12914</v>
      </c>
      <c r="K5781" s="80" t="s">
        <v>12915</v>
      </c>
      <c r="L5781" s="30">
        <v>365585633</v>
      </c>
      <c r="M5781" s="80" t="s">
        <v>910</v>
      </c>
      <c r="N5781" s="80" t="s">
        <v>3525</v>
      </c>
      <c r="O5781" s="80" t="s">
        <v>91</v>
      </c>
      <c r="P5781" s="80" t="s">
        <v>12578</v>
      </c>
      <c r="Q5781" s="20">
        <v>15936</v>
      </c>
      <c r="R5781" s="80" t="s">
        <v>36</v>
      </c>
      <c r="S5781" s="95">
        <v>2000</v>
      </c>
      <c r="T5781" s="148">
        <v>45544</v>
      </c>
      <c r="U5781" s="95">
        <v>13936</v>
      </c>
      <c r="V5781" s="148">
        <v>45565</v>
      </c>
      <c r="W5781" s="85" t="s">
        <v>12916</v>
      </c>
      <c r="X5781" s="80">
        <v>0</v>
      </c>
      <c r="Y5781" s="22">
        <v>0</v>
      </c>
      <c r="Z5781" s="80" t="s">
        <v>50</v>
      </c>
      <c r="AA5781" s="96" t="s">
        <v>3291</v>
      </c>
      <c r="AB5781" s="80"/>
      <c r="AC5781" s="80" t="s">
        <v>53</v>
      </c>
      <c r="AD5781" s="80" t="s">
        <v>138</v>
      </c>
      <c r="AE5781" s="80" t="s">
        <v>11610</v>
      </c>
      <c r="AF5781" s="17">
        <v>45699</v>
      </c>
      <c r="AG5781" s="80"/>
      <c r="AH5781" s="80"/>
      <c r="AI5781" s="147" t="s">
        <v>147</v>
      </c>
      <c r="AJ5781" s="80"/>
      <c r="AK5781" s="80"/>
      <c r="AL5781" s="35"/>
      <c r="AM5781" s="35"/>
      <c r="AN5781" s="35"/>
      <c r="AO5781" s="35"/>
      <c r="AP5781" s="35"/>
    </row>
    <row r="5782" spans="1:42" x14ac:dyDescent="0.2">
      <c r="A5782" s="38">
        <v>45674</v>
      </c>
      <c r="B5782" s="28" t="s">
        <v>37</v>
      </c>
      <c r="C5782" s="41" t="s">
        <v>118</v>
      </c>
      <c r="D5782" s="26" t="s">
        <v>36</v>
      </c>
      <c r="E5782" s="26" t="s">
        <v>119</v>
      </c>
      <c r="F5782" s="26" t="s">
        <v>6250</v>
      </c>
      <c r="G5782" s="26" t="s">
        <v>221</v>
      </c>
      <c r="H5782" s="26" t="s">
        <v>18321</v>
      </c>
      <c r="I5782" s="17">
        <f ca="1">IFERROR(__xludf.DUMMYFUNCTION("""COMPUTED_VALUE"""),45698)</f>
        <v>45698</v>
      </c>
      <c r="J5782" s="29" t="s">
        <v>9576</v>
      </c>
      <c r="K5782" s="26" t="s">
        <v>9577</v>
      </c>
      <c r="L5782" s="30">
        <v>345138600</v>
      </c>
      <c r="M5782" s="26" t="s">
        <v>59</v>
      </c>
      <c r="N5782" s="26" t="s">
        <v>68</v>
      </c>
      <c r="O5782" s="26" t="s">
        <v>9578</v>
      </c>
      <c r="P5782" s="26" t="s">
        <v>9579</v>
      </c>
      <c r="Q5782" s="20"/>
      <c r="R5782" s="26" t="s">
        <v>36</v>
      </c>
      <c r="S5782" s="95">
        <v>13968</v>
      </c>
      <c r="T5782" s="148">
        <v>45494</v>
      </c>
      <c r="U5782" s="31"/>
      <c r="V5782" s="32"/>
      <c r="W5782" s="33" t="s">
        <v>9580</v>
      </c>
      <c r="X5782" s="26"/>
      <c r="Y5782" s="22"/>
      <c r="Z5782" s="26" t="s">
        <v>50</v>
      </c>
      <c r="AA5782" s="70" t="s">
        <v>9070</v>
      </c>
      <c r="AB5782" s="26"/>
      <c r="AC5782" s="26" t="s">
        <v>53</v>
      </c>
      <c r="AD5782" s="26" t="s">
        <v>138</v>
      </c>
      <c r="AE5782" s="26" t="s">
        <v>6250</v>
      </c>
      <c r="AF5782" s="17">
        <v>45698</v>
      </c>
      <c r="AG5782" s="26"/>
      <c r="AH5782" s="26"/>
      <c r="AI5782" s="40"/>
      <c r="AJ5782" s="26"/>
      <c r="AK5782" s="26"/>
      <c r="AL5782" s="35"/>
      <c r="AM5782" s="35"/>
      <c r="AN5782" s="35"/>
      <c r="AO5782" s="35"/>
      <c r="AP5782" s="35"/>
    </row>
    <row r="5783" spans="1:42" x14ac:dyDescent="0.2">
      <c r="A5783" s="38">
        <v>45674</v>
      </c>
      <c r="B5783" s="28" t="s">
        <v>37</v>
      </c>
      <c r="C5783" s="41" t="s">
        <v>118</v>
      </c>
      <c r="D5783" s="80" t="s">
        <v>36</v>
      </c>
      <c r="E5783" s="80" t="s">
        <v>39</v>
      </c>
      <c r="F5783" s="80" t="s">
        <v>12766</v>
      </c>
      <c r="G5783" s="26" t="s">
        <v>108</v>
      </c>
      <c r="H5783" s="80" t="s">
        <v>14088</v>
      </c>
      <c r="I5783" s="17">
        <f ca="1">IFERROR(__xludf.DUMMYFUNCTION("""COMPUTED_VALUE"""),45699)</f>
        <v>45699</v>
      </c>
      <c r="J5783" s="143" t="s">
        <v>13135</v>
      </c>
      <c r="K5783" s="80" t="s">
        <v>13136</v>
      </c>
      <c r="L5783" s="30">
        <v>962643085</v>
      </c>
      <c r="M5783" s="80" t="s">
        <v>9422</v>
      </c>
      <c r="N5783" s="80" t="s">
        <v>327</v>
      </c>
      <c r="O5783" s="80" t="s">
        <v>307</v>
      </c>
      <c r="P5783" s="80" t="s">
        <v>138</v>
      </c>
      <c r="Q5783" s="20">
        <v>5736</v>
      </c>
      <c r="R5783" s="80" t="s">
        <v>11421</v>
      </c>
      <c r="S5783" s="95">
        <v>5436</v>
      </c>
      <c r="T5783" s="148">
        <v>45550</v>
      </c>
      <c r="U5783" s="77"/>
      <c r="V5783" s="78"/>
      <c r="W5783" s="85" t="s">
        <v>13137</v>
      </c>
      <c r="X5783" s="80">
        <v>300</v>
      </c>
      <c r="Y5783" s="22">
        <v>0</v>
      </c>
      <c r="Z5783" s="80" t="s">
        <v>50</v>
      </c>
      <c r="AA5783" s="96" t="s">
        <v>3291</v>
      </c>
      <c r="AB5783" s="80"/>
      <c r="AC5783" s="80" t="s">
        <v>53</v>
      </c>
      <c r="AD5783" s="80" t="s">
        <v>138</v>
      </c>
      <c r="AE5783" s="80" t="s">
        <v>12766</v>
      </c>
      <c r="AF5783" s="17">
        <v>45699</v>
      </c>
      <c r="AG5783" s="80"/>
      <c r="AH5783" s="80"/>
      <c r="AI5783" s="147" t="s">
        <v>55</v>
      </c>
      <c r="AJ5783" s="80"/>
      <c r="AK5783" s="80"/>
      <c r="AL5783" s="35"/>
      <c r="AM5783" s="35"/>
      <c r="AN5783" s="35"/>
      <c r="AO5783" s="35"/>
      <c r="AP5783" s="35"/>
    </row>
    <row r="5784" spans="1:42" x14ac:dyDescent="0.2">
      <c r="A5784" s="38">
        <v>45674</v>
      </c>
      <c r="B5784" s="28" t="s">
        <v>37</v>
      </c>
      <c r="C5784" s="41" t="s">
        <v>118</v>
      </c>
      <c r="D5784" s="80" t="s">
        <v>36</v>
      </c>
      <c r="E5784" s="80" t="s">
        <v>139</v>
      </c>
      <c r="F5784" s="80" t="s">
        <v>13829</v>
      </c>
      <c r="G5784" s="26" t="s">
        <v>108</v>
      </c>
      <c r="H5784" s="80" t="s">
        <v>14088</v>
      </c>
      <c r="I5784" s="17">
        <f ca="1">IFERROR(__xludf.DUMMYFUNCTION("""COMPUTED_VALUE"""),45699)</f>
        <v>45699</v>
      </c>
      <c r="J5784" s="143" t="s">
        <v>15043</v>
      </c>
      <c r="K5784" s="80" t="s">
        <v>19401</v>
      </c>
      <c r="L5784" s="30">
        <v>962795435</v>
      </c>
      <c r="M5784" s="80" t="s">
        <v>12644</v>
      </c>
      <c r="N5784" s="80" t="s">
        <v>5377</v>
      </c>
      <c r="O5784" s="80" t="s">
        <v>15045</v>
      </c>
      <c r="P5784" s="80" t="s">
        <v>15046</v>
      </c>
      <c r="Q5784" s="20">
        <v>15936</v>
      </c>
      <c r="R5784" s="80" t="s">
        <v>36</v>
      </c>
      <c r="S5784" s="178">
        <v>2000</v>
      </c>
      <c r="T5784" s="169">
        <v>45539</v>
      </c>
      <c r="U5784" s="95">
        <v>13936</v>
      </c>
      <c r="V5784" s="148">
        <v>45568</v>
      </c>
      <c r="W5784" s="85" t="s">
        <v>15047</v>
      </c>
      <c r="X5784" s="80"/>
      <c r="Y5784" s="22">
        <v>0</v>
      </c>
      <c r="Z5784" s="80" t="s">
        <v>50</v>
      </c>
      <c r="AA5784" s="35" t="s">
        <v>9905</v>
      </c>
      <c r="AB5784" s="80"/>
      <c r="AC5784" s="80" t="s">
        <v>53</v>
      </c>
      <c r="AD5784" s="80" t="s">
        <v>138</v>
      </c>
      <c r="AE5784" s="80" t="s">
        <v>13829</v>
      </c>
      <c r="AF5784" s="17">
        <v>45699</v>
      </c>
      <c r="AG5784" s="80"/>
      <c r="AH5784" s="80"/>
      <c r="AI5784" s="147"/>
      <c r="AJ5784" s="80"/>
      <c r="AK5784" s="80"/>
      <c r="AL5784" s="35"/>
      <c r="AM5784" s="35"/>
      <c r="AN5784" s="35"/>
      <c r="AO5784" s="35"/>
      <c r="AP5784" s="35"/>
    </row>
    <row r="5785" spans="1:42" x14ac:dyDescent="0.2">
      <c r="A5785" s="38">
        <v>45674</v>
      </c>
      <c r="B5785" s="137" t="s">
        <v>37</v>
      </c>
      <c r="C5785" s="41" t="s">
        <v>118</v>
      </c>
      <c r="D5785" s="26" t="s">
        <v>36</v>
      </c>
      <c r="E5785" s="26" t="s">
        <v>39</v>
      </c>
      <c r="F5785" s="26" t="s">
        <v>9581</v>
      </c>
      <c r="G5785" s="26" t="s">
        <v>108</v>
      </c>
      <c r="H5785" s="26" t="s">
        <v>13999</v>
      </c>
      <c r="I5785" s="17">
        <f ca="1">IFERROR(__xludf.DUMMYFUNCTION("""COMPUTED_VALUE"""),45698)</f>
        <v>45698</v>
      </c>
      <c r="J5785" s="29" t="s">
        <v>9587</v>
      </c>
      <c r="K5785" s="26" t="s">
        <v>19402</v>
      </c>
      <c r="L5785" s="30">
        <v>944845795</v>
      </c>
      <c r="M5785" s="26" t="s">
        <v>3728</v>
      </c>
      <c r="N5785" s="26" t="s">
        <v>8725</v>
      </c>
      <c r="O5785" s="26" t="s">
        <v>9589</v>
      </c>
      <c r="P5785" s="42" t="s">
        <v>19403</v>
      </c>
      <c r="Q5785" s="20"/>
      <c r="R5785" s="26" t="s">
        <v>36</v>
      </c>
      <c r="S5785" s="95">
        <v>5736</v>
      </c>
      <c r="T5785" s="148">
        <v>45494</v>
      </c>
      <c r="U5785" s="31"/>
      <c r="V5785" s="32"/>
      <c r="W5785" s="33" t="s">
        <v>9591</v>
      </c>
      <c r="X5785" s="26"/>
      <c r="Y5785" s="22"/>
      <c r="Z5785" s="26" t="s">
        <v>50</v>
      </c>
      <c r="AA5785" s="70" t="s">
        <v>9070</v>
      </c>
      <c r="AB5785" s="26"/>
      <c r="AC5785" s="26" t="s">
        <v>53</v>
      </c>
      <c r="AD5785" s="26" t="s">
        <v>54</v>
      </c>
      <c r="AE5785" s="26" t="s">
        <v>9581</v>
      </c>
      <c r="AF5785" s="17">
        <v>45693</v>
      </c>
      <c r="AG5785" s="26"/>
      <c r="AH5785" s="26"/>
      <c r="AI5785" s="40"/>
      <c r="AJ5785" s="26"/>
      <c r="AK5785" s="26"/>
      <c r="AL5785" s="35"/>
      <c r="AM5785" s="35"/>
      <c r="AN5785" s="35"/>
      <c r="AO5785" s="35"/>
      <c r="AP5785" s="35"/>
    </row>
    <row r="5786" spans="1:42" x14ac:dyDescent="0.2">
      <c r="A5786" s="38">
        <v>45674</v>
      </c>
      <c r="B5786" s="137" t="s">
        <v>37</v>
      </c>
      <c r="C5786" s="41" t="s">
        <v>118</v>
      </c>
      <c r="D5786" s="26" t="s">
        <v>36</v>
      </c>
      <c r="E5786" s="26" t="s">
        <v>148</v>
      </c>
      <c r="F5786" s="26" t="s">
        <v>8668</v>
      </c>
      <c r="G5786" s="26" t="s">
        <v>221</v>
      </c>
      <c r="H5786" s="26" t="s">
        <v>19404</v>
      </c>
      <c r="I5786" s="17" t="str">
        <f ca="1">IFERROR(__xludf.DUMMYFUNCTION("""COMPUTED_VALUE""")," ")</f>
        <v xml:space="preserve"> </v>
      </c>
      <c r="J5786" s="29" t="s">
        <v>10466</v>
      </c>
      <c r="K5786" s="26" t="s">
        <v>10467</v>
      </c>
      <c r="L5786" s="30">
        <v>378770519</v>
      </c>
      <c r="M5786" s="26" t="s">
        <v>3728</v>
      </c>
      <c r="N5786" s="26" t="s">
        <v>5312</v>
      </c>
      <c r="O5786" s="26" t="s">
        <v>10468</v>
      </c>
      <c r="P5786" s="26" t="s">
        <v>19405</v>
      </c>
      <c r="Q5786" s="20">
        <v>7349</v>
      </c>
      <c r="R5786" s="26" t="s">
        <v>36</v>
      </c>
      <c r="S5786" s="95">
        <f>200+4000</f>
        <v>4200</v>
      </c>
      <c r="T5786" s="83" t="s">
        <v>10470</v>
      </c>
      <c r="U5786" s="95">
        <v>3349</v>
      </c>
      <c r="V5786" s="148">
        <v>45519</v>
      </c>
      <c r="W5786" s="33" t="s">
        <v>10471</v>
      </c>
      <c r="X5786" s="26">
        <v>0</v>
      </c>
      <c r="Y5786" s="22">
        <v>-200</v>
      </c>
      <c r="Z5786" s="26" t="s">
        <v>50</v>
      </c>
      <c r="AA5786" s="35" t="s">
        <v>10314</v>
      </c>
      <c r="AB5786" s="26"/>
      <c r="AC5786" s="26" t="s">
        <v>53</v>
      </c>
      <c r="AD5786" s="26" t="s">
        <v>54</v>
      </c>
      <c r="AE5786" s="26" t="s">
        <v>8668</v>
      </c>
      <c r="AF5786" s="17">
        <v>45695</v>
      </c>
      <c r="AG5786" s="26"/>
      <c r="AH5786" s="26"/>
      <c r="AI5786" s="40"/>
      <c r="AJ5786" s="26"/>
      <c r="AK5786" s="26"/>
      <c r="AL5786" s="35"/>
      <c r="AM5786" s="35"/>
      <c r="AN5786" s="35"/>
      <c r="AO5786" s="35"/>
      <c r="AP5786" s="35"/>
    </row>
    <row r="5787" spans="1:42" x14ac:dyDescent="0.2">
      <c r="A5787" s="38">
        <v>45674</v>
      </c>
      <c r="B5787" s="28" t="s">
        <v>37</v>
      </c>
      <c r="C5787" s="41" t="s">
        <v>118</v>
      </c>
      <c r="D5787" s="80" t="s">
        <v>36</v>
      </c>
      <c r="E5787" s="80" t="s">
        <v>139</v>
      </c>
      <c r="F5787" s="80" t="s">
        <v>13126</v>
      </c>
      <c r="G5787" s="161" t="s">
        <v>221</v>
      </c>
      <c r="H5787" s="80" t="s">
        <v>19375</v>
      </c>
      <c r="I5787" s="17">
        <f ca="1">IFERROR(__xludf.DUMMYFUNCTION("""COMPUTED_VALUE"""),45699)</f>
        <v>45699</v>
      </c>
      <c r="J5787" s="143" t="s">
        <v>11113</v>
      </c>
      <c r="K5787" s="80" t="s">
        <v>7846</v>
      </c>
      <c r="L5787" s="30">
        <v>337340260</v>
      </c>
      <c r="M5787" s="80" t="s">
        <v>123</v>
      </c>
      <c r="N5787" s="80" t="s">
        <v>327</v>
      </c>
      <c r="O5787" s="80" t="s">
        <v>4503</v>
      </c>
      <c r="P5787" s="144" t="s">
        <v>11115</v>
      </c>
      <c r="Q5787" s="20">
        <v>15936</v>
      </c>
      <c r="R5787" s="80" t="s">
        <v>36</v>
      </c>
      <c r="S5787" s="95">
        <f>100+1900</f>
        <v>2000</v>
      </c>
      <c r="T5787" s="148" t="s">
        <v>11116</v>
      </c>
      <c r="U5787" s="95">
        <v>13936</v>
      </c>
      <c r="V5787" s="148">
        <v>45525</v>
      </c>
      <c r="W5787" s="80" t="s">
        <v>11117</v>
      </c>
      <c r="X5787" s="83">
        <v>0</v>
      </c>
      <c r="Y5787" s="22">
        <v>0</v>
      </c>
      <c r="Z5787" s="81" t="s">
        <v>50</v>
      </c>
      <c r="AA5787" s="82" t="s">
        <v>10314</v>
      </c>
      <c r="AB5787" s="80"/>
      <c r="AC5787" s="80" t="s">
        <v>53</v>
      </c>
      <c r="AD5787" s="80" t="s">
        <v>54</v>
      </c>
      <c r="AE5787" s="80" t="s">
        <v>13126</v>
      </c>
      <c r="AF5787" s="17">
        <v>45694</v>
      </c>
      <c r="AG5787" s="80"/>
      <c r="AH5787" s="80"/>
      <c r="AI5787" s="147"/>
      <c r="AJ5787" s="80"/>
      <c r="AK5787" s="80"/>
      <c r="AL5787" s="86"/>
      <c r="AM5787" s="86"/>
      <c r="AN5787" s="86"/>
      <c r="AO5787" s="86"/>
      <c r="AP5787" s="86"/>
    </row>
    <row r="5788" spans="1:42" x14ac:dyDescent="0.2">
      <c r="A5788" s="38">
        <v>45674</v>
      </c>
      <c r="B5788" s="28" t="s">
        <v>37</v>
      </c>
      <c r="C5788" s="41" t="s">
        <v>118</v>
      </c>
      <c r="D5788" s="80" t="s">
        <v>36</v>
      </c>
      <c r="E5788" s="80" t="s">
        <v>56</v>
      </c>
      <c r="F5788" s="80" t="s">
        <v>11747</v>
      </c>
      <c r="G5788" s="80" t="s">
        <v>108</v>
      </c>
      <c r="H5788" s="80" t="s">
        <v>19406</v>
      </c>
      <c r="I5788" s="17">
        <f ca="1">IFERROR(__xludf.DUMMYFUNCTION("""COMPUTED_VALUE"""),45723)</f>
        <v>45723</v>
      </c>
      <c r="J5788" s="143" t="s">
        <v>15485</v>
      </c>
      <c r="K5788" s="80" t="s">
        <v>15486</v>
      </c>
      <c r="L5788" s="30">
        <v>912889325</v>
      </c>
      <c r="M5788" s="80" t="s">
        <v>123</v>
      </c>
      <c r="N5788" s="80" t="s">
        <v>2847</v>
      </c>
      <c r="O5788" s="80" t="s">
        <v>4503</v>
      </c>
      <c r="P5788" s="80" t="s">
        <v>15487</v>
      </c>
      <c r="Q5788" s="20">
        <v>9317</v>
      </c>
      <c r="R5788" s="80" t="s">
        <v>36</v>
      </c>
      <c r="S5788" s="95">
        <v>2000</v>
      </c>
      <c r="T5788" s="148">
        <v>45556</v>
      </c>
      <c r="U5788" s="95">
        <v>7317</v>
      </c>
      <c r="V5788" s="148">
        <v>45573</v>
      </c>
      <c r="W5788" s="85" t="s">
        <v>15488</v>
      </c>
      <c r="X5788" s="80"/>
      <c r="Y5788" s="22">
        <v>0</v>
      </c>
      <c r="Z5788" s="80" t="s">
        <v>50</v>
      </c>
      <c r="AA5788" s="35" t="s">
        <v>9905</v>
      </c>
      <c r="AB5788" s="80"/>
      <c r="AC5788" s="80" t="s">
        <v>53</v>
      </c>
      <c r="AD5788" s="80" t="s">
        <v>138</v>
      </c>
      <c r="AE5788" s="80" t="s">
        <v>11747</v>
      </c>
      <c r="AF5788" s="17">
        <v>45720</v>
      </c>
      <c r="AG5788" s="80"/>
      <c r="AH5788" s="80"/>
      <c r="AI5788" s="147"/>
      <c r="AJ5788" s="80"/>
      <c r="AK5788" s="80"/>
      <c r="AL5788" s="35"/>
      <c r="AM5788" s="35"/>
      <c r="AN5788" s="35"/>
      <c r="AO5788" s="35"/>
      <c r="AP5788" s="35"/>
    </row>
    <row r="5789" spans="1:42" x14ac:dyDescent="0.2">
      <c r="A5789" s="38">
        <v>45674</v>
      </c>
      <c r="B5789" s="28" t="s">
        <v>37</v>
      </c>
      <c r="C5789" s="41" t="s">
        <v>118</v>
      </c>
      <c r="D5789" s="80" t="s">
        <v>36</v>
      </c>
      <c r="E5789" s="80" t="s">
        <v>139</v>
      </c>
      <c r="F5789" s="80" t="s">
        <v>15199</v>
      </c>
      <c r="G5789" s="80" t="s">
        <v>108</v>
      </c>
      <c r="H5789" s="80" t="s">
        <v>2945</v>
      </c>
      <c r="I5789" s="17">
        <f ca="1">IFERROR(__xludf.DUMMYFUNCTION("""COMPUTED_VALUE"""),45706)</f>
        <v>45706</v>
      </c>
      <c r="J5789" s="143" t="s">
        <v>17257</v>
      </c>
      <c r="K5789" s="80" t="s">
        <v>17258</v>
      </c>
      <c r="L5789" s="30">
        <v>944740906</v>
      </c>
      <c r="M5789" s="80" t="s">
        <v>12720</v>
      </c>
      <c r="N5789" s="80" t="s">
        <v>11095</v>
      </c>
      <c r="O5789" s="80" t="s">
        <v>17259</v>
      </c>
      <c r="P5789" s="80" t="s">
        <v>17260</v>
      </c>
      <c r="Q5789" s="20">
        <v>15936</v>
      </c>
      <c r="R5789" s="80" t="s">
        <v>70</v>
      </c>
      <c r="S5789" s="95">
        <f>200+1800</f>
        <v>2000</v>
      </c>
      <c r="T5789" s="83" t="s">
        <v>17261</v>
      </c>
      <c r="U5789" s="95">
        <v>13836</v>
      </c>
      <c r="V5789" s="148">
        <v>45597</v>
      </c>
      <c r="W5789" s="85" t="s">
        <v>17262</v>
      </c>
      <c r="X5789" s="80"/>
      <c r="Y5789" s="22">
        <v>100</v>
      </c>
      <c r="Z5789" s="80" t="s">
        <v>50</v>
      </c>
      <c r="AA5789" s="86" t="s">
        <v>14723</v>
      </c>
      <c r="AB5789" s="80"/>
      <c r="AC5789" s="80" t="s">
        <v>53</v>
      </c>
      <c r="AD5789" s="80" t="s">
        <v>138</v>
      </c>
      <c r="AE5789" s="80" t="s">
        <v>15199</v>
      </c>
      <c r="AF5789" s="17">
        <v>45706</v>
      </c>
      <c r="AG5789" s="80"/>
      <c r="AH5789" s="80"/>
      <c r="AI5789" s="147"/>
      <c r="AJ5789" s="80"/>
      <c r="AK5789" s="80"/>
      <c r="AL5789" s="35"/>
      <c r="AM5789" s="35"/>
      <c r="AN5789" s="35"/>
      <c r="AO5789" s="35"/>
      <c r="AP5789" s="35"/>
    </row>
    <row r="5790" spans="1:42" x14ac:dyDescent="0.2">
      <c r="A5790" s="38">
        <v>45674</v>
      </c>
      <c r="B5790" s="28" t="s">
        <v>37</v>
      </c>
      <c r="C5790" s="41" t="s">
        <v>118</v>
      </c>
      <c r="D5790" s="26" t="s">
        <v>36</v>
      </c>
      <c r="E5790" s="26" t="s">
        <v>139</v>
      </c>
      <c r="F5790" s="80" t="s">
        <v>9897</v>
      </c>
      <c r="G5790" s="161" t="s">
        <v>221</v>
      </c>
      <c r="H5790" s="80" t="s">
        <v>19375</v>
      </c>
      <c r="I5790" s="17">
        <f ca="1">IFERROR(__xludf.DUMMYFUNCTION("""COMPUTED_VALUE"""),45699)</f>
        <v>45699</v>
      </c>
      <c r="J5790" s="44" t="s">
        <v>11767</v>
      </c>
      <c r="K5790" s="26" t="s">
        <v>11768</v>
      </c>
      <c r="L5790" s="30">
        <v>326715309</v>
      </c>
      <c r="M5790" s="26" t="s">
        <v>5518</v>
      </c>
      <c r="N5790" s="26" t="s">
        <v>186</v>
      </c>
      <c r="O5790" s="26" t="s">
        <v>10535</v>
      </c>
      <c r="P5790" s="42" t="s">
        <v>10536</v>
      </c>
      <c r="Q5790" s="20">
        <v>15936</v>
      </c>
      <c r="R5790" s="26" t="s">
        <v>36</v>
      </c>
      <c r="S5790" s="95">
        <v>2000</v>
      </c>
      <c r="T5790" s="148">
        <v>45478</v>
      </c>
      <c r="U5790" s="95">
        <f>9936+4000</f>
        <v>13936</v>
      </c>
      <c r="V5790" s="83" t="s">
        <v>10537</v>
      </c>
      <c r="W5790" s="33" t="s">
        <v>10538</v>
      </c>
      <c r="X5790" s="26">
        <v>0</v>
      </c>
      <c r="Y5790" s="22">
        <v>0</v>
      </c>
      <c r="Z5790" s="26" t="s">
        <v>50</v>
      </c>
      <c r="AA5790" s="35" t="s">
        <v>10314</v>
      </c>
      <c r="AB5790" s="26"/>
      <c r="AC5790" s="26" t="s">
        <v>53</v>
      </c>
      <c r="AD5790" s="26" t="s">
        <v>54</v>
      </c>
      <c r="AE5790" s="80" t="s">
        <v>9897</v>
      </c>
      <c r="AF5790" s="17">
        <v>45694</v>
      </c>
      <c r="AG5790" s="26"/>
      <c r="AH5790" s="26"/>
      <c r="AI5790" s="40"/>
      <c r="AJ5790" s="26"/>
      <c r="AK5790" s="26"/>
      <c r="AL5790" s="35"/>
      <c r="AM5790" s="35"/>
      <c r="AN5790" s="35"/>
      <c r="AO5790" s="35"/>
      <c r="AP5790" s="35"/>
    </row>
    <row r="5791" spans="1:42" x14ac:dyDescent="0.2">
      <c r="A5791" s="38">
        <v>45674</v>
      </c>
      <c r="B5791" s="28" t="s">
        <v>37</v>
      </c>
      <c r="C5791" s="41" t="s">
        <v>118</v>
      </c>
      <c r="D5791" s="26" t="s">
        <v>36</v>
      </c>
      <c r="E5791" s="26" t="s">
        <v>139</v>
      </c>
      <c r="F5791" s="80" t="s">
        <v>9897</v>
      </c>
      <c r="G5791" s="161" t="s">
        <v>221</v>
      </c>
      <c r="H5791" s="80" t="s">
        <v>19375</v>
      </c>
      <c r="I5791" s="17">
        <f ca="1">IFERROR(__xludf.DUMMYFUNCTION("""COMPUTED_VALUE"""),45699)</f>
        <v>45699</v>
      </c>
      <c r="J5791" s="29" t="s">
        <v>10731</v>
      </c>
      <c r="K5791" s="26" t="s">
        <v>11771</v>
      </c>
      <c r="L5791" s="30">
        <v>978741402</v>
      </c>
      <c r="M5791" s="26" t="s">
        <v>5518</v>
      </c>
      <c r="N5791" s="26" t="s">
        <v>186</v>
      </c>
      <c r="O5791" s="26" t="s">
        <v>10733</v>
      </c>
      <c r="P5791" s="42" t="s">
        <v>11772</v>
      </c>
      <c r="Q5791" s="20">
        <v>15936</v>
      </c>
      <c r="R5791" s="26" t="s">
        <v>36</v>
      </c>
      <c r="S5791" s="95">
        <v>2000</v>
      </c>
      <c r="T5791" s="148">
        <v>45486</v>
      </c>
      <c r="U5791" s="95">
        <v>13936</v>
      </c>
      <c r="V5791" s="148">
        <v>45517</v>
      </c>
      <c r="W5791" s="55" t="s">
        <v>10735</v>
      </c>
      <c r="X5791" s="26">
        <v>0</v>
      </c>
      <c r="Y5791" s="22">
        <v>0</v>
      </c>
      <c r="Z5791" s="26" t="s">
        <v>50</v>
      </c>
      <c r="AA5791" s="96" t="s">
        <v>10314</v>
      </c>
      <c r="AB5791" s="26"/>
      <c r="AC5791" s="26" t="s">
        <v>53</v>
      </c>
      <c r="AD5791" s="26" t="s">
        <v>54</v>
      </c>
      <c r="AE5791" s="80" t="s">
        <v>9897</v>
      </c>
      <c r="AF5791" s="17">
        <v>45694</v>
      </c>
      <c r="AG5791" s="26"/>
      <c r="AH5791" s="26"/>
      <c r="AI5791" s="40"/>
      <c r="AJ5791" s="26"/>
      <c r="AK5791" s="26"/>
      <c r="AL5791" s="35"/>
      <c r="AM5791" s="35"/>
      <c r="AN5791" s="35"/>
      <c r="AO5791" s="35"/>
      <c r="AP5791" s="35"/>
    </row>
    <row r="5792" spans="1:42" x14ac:dyDescent="0.2">
      <c r="A5792" s="38">
        <v>45674</v>
      </c>
      <c r="B5792" s="137" t="s">
        <v>37</v>
      </c>
      <c r="C5792" s="41" t="s">
        <v>118</v>
      </c>
      <c r="D5792" s="80" t="s">
        <v>36</v>
      </c>
      <c r="E5792" s="80" t="s">
        <v>139</v>
      </c>
      <c r="F5792" s="26" t="s">
        <v>815</v>
      </c>
      <c r="G5792" s="161" t="s">
        <v>221</v>
      </c>
      <c r="H5792" s="80" t="s">
        <v>12804</v>
      </c>
      <c r="I5792" s="17">
        <f ca="1">IFERROR(__xludf.DUMMYFUNCTION("""COMPUTED_VALUE"""),45736)</f>
        <v>45736</v>
      </c>
      <c r="J5792" s="143" t="s">
        <v>12028</v>
      </c>
      <c r="K5792" s="80" t="s">
        <v>19407</v>
      </c>
      <c r="L5792" s="30">
        <v>868298336</v>
      </c>
      <c r="M5792" s="80" t="s">
        <v>5518</v>
      </c>
      <c r="N5792" s="80" t="s">
        <v>10698</v>
      </c>
      <c r="O5792" s="80" t="s">
        <v>12030</v>
      </c>
      <c r="P5792" s="144" t="s">
        <v>13614</v>
      </c>
      <c r="Q5792" s="20">
        <v>15936</v>
      </c>
      <c r="R5792" s="80" t="s">
        <v>36</v>
      </c>
      <c r="S5792" s="95">
        <v>2000</v>
      </c>
      <c r="T5792" s="148">
        <v>45498</v>
      </c>
      <c r="U5792" s="77">
        <v>13936</v>
      </c>
      <c r="V5792" s="78">
        <v>45537</v>
      </c>
      <c r="W5792" s="85" t="s">
        <v>12032</v>
      </c>
      <c r="X5792" s="80">
        <v>0</v>
      </c>
      <c r="Y5792" s="22">
        <v>0</v>
      </c>
      <c r="Z5792" s="80" t="s">
        <v>50</v>
      </c>
      <c r="AA5792" s="86"/>
      <c r="AB5792" s="80"/>
      <c r="AC5792" s="80" t="s">
        <v>53</v>
      </c>
      <c r="AD5792" s="80" t="s">
        <v>54</v>
      </c>
      <c r="AE5792" s="26" t="s">
        <v>815</v>
      </c>
      <c r="AF5792" s="17">
        <v>45736</v>
      </c>
      <c r="AG5792" s="80"/>
      <c r="AH5792" s="80"/>
      <c r="AI5792" s="147" t="s">
        <v>147</v>
      </c>
      <c r="AJ5792" s="80"/>
      <c r="AK5792" s="80"/>
      <c r="AL5792" s="35"/>
      <c r="AM5792" s="35"/>
      <c r="AN5792" s="35"/>
      <c r="AO5792" s="35"/>
      <c r="AP5792" s="35"/>
    </row>
    <row r="5793" spans="1:42" x14ac:dyDescent="0.2">
      <c r="A5793" s="38">
        <v>45674</v>
      </c>
      <c r="B5793" s="28" t="s">
        <v>37</v>
      </c>
      <c r="C5793" s="41" t="s">
        <v>118</v>
      </c>
      <c r="D5793" s="26" t="s">
        <v>36</v>
      </c>
      <c r="E5793" s="26" t="s">
        <v>56</v>
      </c>
      <c r="F5793" s="26" t="s">
        <v>9896</v>
      </c>
      <c r="G5793" s="161" t="s">
        <v>221</v>
      </c>
      <c r="H5793" s="80" t="s">
        <v>19375</v>
      </c>
      <c r="I5793" s="17">
        <f ca="1">IFERROR(__xludf.DUMMYFUNCTION("""COMPUTED_VALUE"""),45699)</f>
        <v>45699</v>
      </c>
      <c r="J5793" s="29" t="s">
        <v>8831</v>
      </c>
      <c r="K5793" s="26" t="s">
        <v>8832</v>
      </c>
      <c r="L5793" s="30">
        <v>343782726</v>
      </c>
      <c r="M5793" s="26" t="s">
        <v>94</v>
      </c>
      <c r="N5793" s="26" t="s">
        <v>8833</v>
      </c>
      <c r="O5793" s="26" t="s">
        <v>91</v>
      </c>
      <c r="P5793" s="54" t="s">
        <v>8834</v>
      </c>
      <c r="Q5793" s="20">
        <v>9317</v>
      </c>
      <c r="R5793" s="26" t="s">
        <v>36</v>
      </c>
      <c r="S5793" s="31">
        <v>9317</v>
      </c>
      <c r="T5793" s="32">
        <v>45469</v>
      </c>
      <c r="U5793" s="31"/>
      <c r="V5793" s="32"/>
      <c r="W5793" s="33" t="s">
        <v>8835</v>
      </c>
      <c r="X5793" s="26"/>
      <c r="Y5793" s="22">
        <v>0</v>
      </c>
      <c r="Z5793" s="26" t="s">
        <v>118</v>
      </c>
      <c r="AA5793" s="19" t="s">
        <v>8721</v>
      </c>
      <c r="AB5793" s="26" t="s">
        <v>36</v>
      </c>
      <c r="AC5793" s="26" t="s">
        <v>53</v>
      </c>
      <c r="AD5793" s="19" t="s">
        <v>54</v>
      </c>
      <c r="AE5793" s="26" t="s">
        <v>9896</v>
      </c>
      <c r="AF5793" s="17">
        <v>45694</v>
      </c>
      <c r="AG5793" s="26"/>
      <c r="AH5793" s="26"/>
      <c r="AI5793" s="40"/>
      <c r="AJ5793" s="26"/>
      <c r="AK5793" s="26"/>
      <c r="AL5793" s="35"/>
      <c r="AM5793" s="35"/>
      <c r="AN5793" s="35"/>
      <c r="AO5793" s="35"/>
      <c r="AP5793" s="35"/>
    </row>
    <row r="5794" spans="1:42" x14ac:dyDescent="0.2">
      <c r="A5794" s="38">
        <v>45674</v>
      </c>
      <c r="B5794" s="137" t="s">
        <v>37</v>
      </c>
      <c r="C5794" s="41" t="s">
        <v>118</v>
      </c>
      <c r="D5794" s="26" t="s">
        <v>36</v>
      </c>
      <c r="E5794" s="26" t="s">
        <v>39</v>
      </c>
      <c r="F5794" s="26" t="s">
        <v>9177</v>
      </c>
      <c r="G5794" s="26" t="s">
        <v>108</v>
      </c>
      <c r="H5794" s="26" t="s">
        <v>13999</v>
      </c>
      <c r="I5794" s="17">
        <f ca="1">IFERROR(__xludf.DUMMYFUNCTION("""COMPUTED_VALUE"""),45698)</f>
        <v>45698</v>
      </c>
      <c r="J5794" s="29" t="s">
        <v>9342</v>
      </c>
      <c r="K5794" s="26" t="s">
        <v>19408</v>
      </c>
      <c r="L5794" s="30">
        <v>349283598</v>
      </c>
      <c r="M5794" s="26" t="s">
        <v>6309</v>
      </c>
      <c r="N5794" s="26" t="s">
        <v>9344</v>
      </c>
      <c r="O5794" s="26" t="s">
        <v>8827</v>
      </c>
      <c r="P5794" s="42" t="s">
        <v>19409</v>
      </c>
      <c r="Q5794" s="20"/>
      <c r="R5794" s="26" t="s">
        <v>36</v>
      </c>
      <c r="S5794" s="95">
        <v>5736</v>
      </c>
      <c r="T5794" s="148">
        <v>45477</v>
      </c>
      <c r="U5794" s="31"/>
      <c r="V5794" s="32"/>
      <c r="W5794" s="33" t="s">
        <v>9346</v>
      </c>
      <c r="X5794" s="26"/>
      <c r="Y5794" s="22"/>
      <c r="Z5794" s="26" t="s">
        <v>50</v>
      </c>
      <c r="AA5794" s="70" t="s">
        <v>9070</v>
      </c>
      <c r="AB5794" s="26"/>
      <c r="AC5794" s="26" t="s">
        <v>53</v>
      </c>
      <c r="AD5794" s="26" t="s">
        <v>54</v>
      </c>
      <c r="AE5794" s="26" t="s">
        <v>9177</v>
      </c>
      <c r="AF5794" s="17">
        <v>45693</v>
      </c>
      <c r="AG5794" s="26"/>
      <c r="AH5794" s="26"/>
      <c r="AI5794" s="40"/>
      <c r="AJ5794" s="26"/>
      <c r="AK5794" s="26"/>
      <c r="AL5794" s="35"/>
      <c r="AM5794" s="35"/>
      <c r="AN5794" s="35"/>
      <c r="AO5794" s="35"/>
      <c r="AP5794" s="35"/>
    </row>
    <row r="5795" spans="1:42" x14ac:dyDescent="0.2">
      <c r="A5795" s="38">
        <v>45674</v>
      </c>
      <c r="B5795" s="28" t="s">
        <v>37</v>
      </c>
      <c r="C5795" s="41" t="s">
        <v>118</v>
      </c>
      <c r="D5795" s="80" t="s">
        <v>36</v>
      </c>
      <c r="E5795" s="80" t="s">
        <v>119</v>
      </c>
      <c r="F5795" s="80" t="s">
        <v>815</v>
      </c>
      <c r="G5795" s="80" t="s">
        <v>221</v>
      </c>
      <c r="H5795" s="80" t="s">
        <v>18555</v>
      </c>
      <c r="I5795" s="17">
        <f ca="1">IFERROR(__xludf.DUMMYFUNCTION("""COMPUTED_VALUE"""),45698)</f>
        <v>45698</v>
      </c>
      <c r="J5795" s="143" t="s">
        <v>16167</v>
      </c>
      <c r="K5795" s="80" t="s">
        <v>19410</v>
      </c>
      <c r="L5795" s="30">
        <v>989245206</v>
      </c>
      <c r="M5795" s="80" t="s">
        <v>3728</v>
      </c>
      <c r="N5795" s="80" t="s">
        <v>5277</v>
      </c>
      <c r="O5795" s="80" t="s">
        <v>16169</v>
      </c>
      <c r="P5795" s="144" t="s">
        <v>16170</v>
      </c>
      <c r="Q5795" s="20">
        <v>13968</v>
      </c>
      <c r="R5795" s="80" t="s">
        <v>70</v>
      </c>
      <c r="S5795" s="95">
        <f>500+3500</f>
        <v>4000</v>
      </c>
      <c r="T5795" s="83" t="s">
        <v>16171</v>
      </c>
      <c r="U5795" s="95">
        <v>9968</v>
      </c>
      <c r="V5795" s="148">
        <v>45596</v>
      </c>
      <c r="W5795" s="85" t="s">
        <v>16172</v>
      </c>
      <c r="X5795" s="80"/>
      <c r="Y5795" s="22">
        <v>0</v>
      </c>
      <c r="Z5795" s="80" t="s">
        <v>50</v>
      </c>
      <c r="AA5795" s="96" t="s">
        <v>9905</v>
      </c>
      <c r="AB5795" s="80"/>
      <c r="AC5795" s="80" t="s">
        <v>53</v>
      </c>
      <c r="AD5795" s="80" t="s">
        <v>54</v>
      </c>
      <c r="AE5795" s="80" t="s">
        <v>815</v>
      </c>
      <c r="AF5795" s="17">
        <v>45694</v>
      </c>
      <c r="AG5795" s="80"/>
      <c r="AH5795" s="80"/>
      <c r="AI5795" s="147"/>
      <c r="AJ5795" s="80"/>
      <c r="AK5795" s="80"/>
      <c r="AL5795" s="35"/>
      <c r="AM5795" s="35"/>
      <c r="AN5795" s="35"/>
      <c r="AO5795" s="35"/>
      <c r="AP5795" s="35"/>
    </row>
    <row r="5796" spans="1:42" x14ac:dyDescent="0.2">
      <c r="A5796" s="38">
        <v>45677</v>
      </c>
      <c r="B5796" s="28" t="s">
        <v>37</v>
      </c>
      <c r="C5796" s="41" t="s">
        <v>118</v>
      </c>
      <c r="D5796" s="80" t="s">
        <v>36</v>
      </c>
      <c r="E5796" s="80" t="s">
        <v>148</v>
      </c>
      <c r="F5796" s="80" t="s">
        <v>9896</v>
      </c>
      <c r="G5796" s="80" t="s">
        <v>221</v>
      </c>
      <c r="H5796" s="80" t="s">
        <v>19375</v>
      </c>
      <c r="I5796" s="17">
        <f ca="1">IFERROR(__xludf.DUMMYFUNCTION("""COMPUTED_VALUE"""),45699)</f>
        <v>45699</v>
      </c>
      <c r="J5796" s="143" t="s">
        <v>11753</v>
      </c>
      <c r="K5796" s="80" t="s">
        <v>11754</v>
      </c>
      <c r="L5796" s="30">
        <v>862401358</v>
      </c>
      <c r="M5796" s="80" t="s">
        <v>59</v>
      </c>
      <c r="N5796" s="80" t="s">
        <v>9301</v>
      </c>
      <c r="O5796" s="80" t="s">
        <v>11755</v>
      </c>
      <c r="P5796" s="144" t="s">
        <v>19411</v>
      </c>
      <c r="Q5796" s="20">
        <v>7349</v>
      </c>
      <c r="R5796" s="80" t="s">
        <v>36</v>
      </c>
      <c r="S5796" s="95">
        <v>7349</v>
      </c>
      <c r="T5796" s="148">
        <v>45534</v>
      </c>
      <c r="U5796" s="77"/>
      <c r="V5796" s="78"/>
      <c r="W5796" s="85" t="s">
        <v>11757</v>
      </c>
      <c r="X5796" s="80">
        <v>0</v>
      </c>
      <c r="Y5796" s="22">
        <v>0</v>
      </c>
      <c r="Z5796" s="80" t="s">
        <v>50</v>
      </c>
      <c r="AA5796" s="35" t="s">
        <v>10314</v>
      </c>
      <c r="AB5796" s="80"/>
      <c r="AC5796" s="80" t="s">
        <v>53</v>
      </c>
      <c r="AD5796" s="80" t="s">
        <v>54</v>
      </c>
      <c r="AE5796" s="80" t="s">
        <v>9896</v>
      </c>
      <c r="AF5796" s="17">
        <v>45694</v>
      </c>
      <c r="AG5796" s="80"/>
      <c r="AH5796" s="80"/>
      <c r="AI5796" s="147"/>
      <c r="AJ5796" s="80"/>
      <c r="AK5796" s="80"/>
      <c r="AL5796" s="35"/>
      <c r="AM5796" s="35"/>
      <c r="AN5796" s="35"/>
      <c r="AO5796" s="35"/>
      <c r="AP5796" s="35"/>
    </row>
    <row r="5797" spans="1:42" x14ac:dyDescent="0.2">
      <c r="A5797" s="38">
        <v>45677</v>
      </c>
      <c r="B5797" s="28" t="s">
        <v>37</v>
      </c>
      <c r="C5797" s="41" t="s">
        <v>118</v>
      </c>
      <c r="D5797" s="26" t="s">
        <v>36</v>
      </c>
      <c r="E5797" s="26" t="s">
        <v>139</v>
      </c>
      <c r="F5797" s="26" t="s">
        <v>6623</v>
      </c>
      <c r="G5797" s="26" t="s">
        <v>1705</v>
      </c>
      <c r="H5797" s="26" t="s">
        <v>8998</v>
      </c>
      <c r="I5797" s="17">
        <f ca="1">IFERROR(__xludf.DUMMYFUNCTION("""COMPUTED_VALUE"""),45714)</f>
        <v>45714</v>
      </c>
      <c r="J5797" s="29" t="s">
        <v>2470</v>
      </c>
      <c r="K5797" s="26" t="s">
        <v>3277</v>
      </c>
      <c r="L5797" s="30">
        <v>846864818</v>
      </c>
      <c r="M5797" s="26" t="s">
        <v>123</v>
      </c>
      <c r="N5797" s="26" t="s">
        <v>2472</v>
      </c>
      <c r="O5797" s="26" t="s">
        <v>1226</v>
      </c>
      <c r="P5797" s="42" t="s">
        <v>3278</v>
      </c>
      <c r="Q5797" s="20">
        <v>15936</v>
      </c>
      <c r="R5797" s="26" t="s">
        <v>36</v>
      </c>
      <c r="S5797" s="31">
        <v>2000</v>
      </c>
      <c r="T5797" s="32">
        <v>45149</v>
      </c>
      <c r="U5797" s="31">
        <v>13936</v>
      </c>
      <c r="V5797" s="32">
        <v>45174</v>
      </c>
      <c r="W5797" s="33" t="s">
        <v>2474</v>
      </c>
      <c r="X5797" s="26"/>
      <c r="Y5797" s="22">
        <v>0</v>
      </c>
      <c r="Z5797" s="26" t="s">
        <v>118</v>
      </c>
      <c r="AA5797" s="19" t="s">
        <v>2449</v>
      </c>
      <c r="AB5797" s="26" t="s">
        <v>36</v>
      </c>
      <c r="AC5797" s="26" t="s">
        <v>53</v>
      </c>
      <c r="AD5797" s="19" t="s">
        <v>54</v>
      </c>
      <c r="AE5797" s="26" t="s">
        <v>6623</v>
      </c>
      <c r="AF5797" s="17">
        <v>45714</v>
      </c>
      <c r="AG5797" s="26"/>
      <c r="AH5797" s="26"/>
      <c r="AI5797" s="40"/>
      <c r="AJ5797" s="26"/>
      <c r="AK5797" s="26"/>
      <c r="AL5797" s="35"/>
      <c r="AM5797" s="35"/>
      <c r="AN5797" s="35"/>
      <c r="AO5797" s="35"/>
      <c r="AP5797" s="35"/>
    </row>
    <row r="5798" spans="1:42" x14ac:dyDescent="0.2">
      <c r="A5798" s="38">
        <v>45677</v>
      </c>
      <c r="B5798" s="28" t="s">
        <v>37</v>
      </c>
      <c r="C5798" s="41" t="s">
        <v>118</v>
      </c>
      <c r="D5798" s="80" t="s">
        <v>36</v>
      </c>
      <c r="E5798" s="80" t="s">
        <v>139</v>
      </c>
      <c r="F5798" s="80" t="s">
        <v>9614</v>
      </c>
      <c r="G5798" s="80" t="s">
        <v>108</v>
      </c>
      <c r="H5798" s="80" t="s">
        <v>14471</v>
      </c>
      <c r="I5798" s="17">
        <f ca="1">IFERROR(__xludf.DUMMYFUNCTION("""COMPUTED_VALUE"""),45701)</f>
        <v>45701</v>
      </c>
      <c r="J5798" s="143" t="s">
        <v>9722</v>
      </c>
      <c r="K5798" s="80" t="s">
        <v>19412</v>
      </c>
      <c r="L5798" s="30">
        <v>948454895</v>
      </c>
      <c r="M5798" s="80" t="s">
        <v>59</v>
      </c>
      <c r="N5798" s="80" t="s">
        <v>9660</v>
      </c>
      <c r="O5798" s="80" t="s">
        <v>9724</v>
      </c>
      <c r="P5798" s="144" t="s">
        <v>9725</v>
      </c>
      <c r="Q5798" s="20"/>
      <c r="R5798" s="80" t="s">
        <v>36</v>
      </c>
      <c r="S5798" s="95">
        <v>15963</v>
      </c>
      <c r="T5798" s="148">
        <v>45500</v>
      </c>
      <c r="U5798" s="77"/>
      <c r="V5798" s="78"/>
      <c r="W5798" s="80" t="s">
        <v>9726</v>
      </c>
      <c r="X5798" s="80"/>
      <c r="Y5798" s="22"/>
      <c r="Z5798" s="80" t="s">
        <v>50</v>
      </c>
      <c r="AA5798" s="70" t="s">
        <v>9070</v>
      </c>
      <c r="AB5798" s="80"/>
      <c r="AC5798" s="80" t="s">
        <v>53</v>
      </c>
      <c r="AD5798" s="80" t="s">
        <v>54</v>
      </c>
      <c r="AE5798" s="80" t="s">
        <v>9614</v>
      </c>
      <c r="AF5798" s="17">
        <v>45695</v>
      </c>
      <c r="AG5798" s="26"/>
      <c r="AH5798" s="80"/>
      <c r="AI5798" s="147"/>
      <c r="AJ5798" s="80"/>
      <c r="AK5798" s="80"/>
      <c r="AL5798" s="35"/>
      <c r="AM5798" s="35"/>
      <c r="AN5798" s="35"/>
      <c r="AO5798" s="35"/>
      <c r="AP5798" s="35"/>
    </row>
    <row r="5799" spans="1:42" x14ac:dyDescent="0.2">
      <c r="A5799" s="38">
        <v>45678</v>
      </c>
      <c r="B5799" s="28" t="s">
        <v>37</v>
      </c>
      <c r="C5799" s="41" t="s">
        <v>118</v>
      </c>
      <c r="D5799" s="80" t="s">
        <v>36</v>
      </c>
      <c r="E5799" s="80" t="s">
        <v>2335</v>
      </c>
      <c r="F5799" s="80" t="s">
        <v>8935</v>
      </c>
      <c r="G5799" s="80" t="s">
        <v>221</v>
      </c>
      <c r="H5799" s="80" t="s">
        <v>19375</v>
      </c>
      <c r="I5799" s="17">
        <f ca="1">IFERROR(__xludf.DUMMYFUNCTION("""COMPUTED_VALUE"""),45699)</f>
        <v>45699</v>
      </c>
      <c r="J5799" s="143" t="s">
        <v>8936</v>
      </c>
      <c r="K5799" s="80" t="s">
        <v>19413</v>
      </c>
      <c r="L5799" s="30">
        <v>987235145</v>
      </c>
      <c r="M5799" s="80" t="s">
        <v>3288</v>
      </c>
      <c r="N5799" s="80" t="s">
        <v>200</v>
      </c>
      <c r="O5799" s="80" t="s">
        <v>8938</v>
      </c>
      <c r="P5799" s="144" t="s">
        <v>19414</v>
      </c>
      <c r="Q5799" s="20">
        <v>16779</v>
      </c>
      <c r="R5799" s="80" t="s">
        <v>36</v>
      </c>
      <c r="S5799" s="77">
        <v>16779</v>
      </c>
      <c r="T5799" s="78">
        <v>44992</v>
      </c>
      <c r="U5799" s="77"/>
      <c r="V5799" s="80"/>
      <c r="W5799" s="85" t="s">
        <v>8940</v>
      </c>
      <c r="X5799" s="80">
        <v>0</v>
      </c>
      <c r="Y5799" s="22">
        <v>0</v>
      </c>
      <c r="Z5799" s="41" t="s">
        <v>118</v>
      </c>
      <c r="AA5799" s="145" t="s">
        <v>7348</v>
      </c>
      <c r="AB5799" s="26" t="s">
        <v>36</v>
      </c>
      <c r="AC5799" s="80" t="s">
        <v>53</v>
      </c>
      <c r="AD5799" s="153" t="s">
        <v>54</v>
      </c>
      <c r="AE5799" s="80" t="s">
        <v>8935</v>
      </c>
      <c r="AF5799" s="17">
        <v>45694</v>
      </c>
      <c r="AG5799" s="147"/>
      <c r="AH5799" s="147">
        <v>5</v>
      </c>
      <c r="AI5799" s="154"/>
      <c r="AJ5799" s="80"/>
      <c r="AK5799" s="80"/>
      <c r="AL5799" s="80"/>
      <c r="AM5799" s="86"/>
      <c r="AN5799" s="86"/>
      <c r="AO5799" s="86"/>
      <c r="AP5799" s="86"/>
    </row>
    <row r="5800" spans="1:42" x14ac:dyDescent="0.2">
      <c r="A5800" s="38">
        <v>45678</v>
      </c>
      <c r="B5800" s="28" t="s">
        <v>37</v>
      </c>
      <c r="C5800" s="41" t="s">
        <v>118</v>
      </c>
      <c r="D5800" s="26" t="s">
        <v>36</v>
      </c>
      <c r="E5800" s="26" t="s">
        <v>139</v>
      </c>
      <c r="F5800" s="26" t="s">
        <v>1565</v>
      </c>
      <c r="G5800" s="71" t="s">
        <v>221</v>
      </c>
      <c r="H5800" s="26" t="s">
        <v>18322</v>
      </c>
      <c r="I5800" s="17">
        <f ca="1">IFERROR(__xludf.DUMMYFUNCTION("""COMPUTED_VALUE"""),45699)</f>
        <v>45699</v>
      </c>
      <c r="J5800" s="29" t="s">
        <v>8123</v>
      </c>
      <c r="K5800" s="26" t="s">
        <v>8652</v>
      </c>
      <c r="L5800" s="30">
        <v>382308920</v>
      </c>
      <c r="M5800" s="26" t="s">
        <v>910</v>
      </c>
      <c r="N5800" s="26" t="s">
        <v>3525</v>
      </c>
      <c r="O5800" s="26" t="s">
        <v>3754</v>
      </c>
      <c r="P5800" s="42" t="s">
        <v>19415</v>
      </c>
      <c r="Q5800" s="20">
        <v>15936</v>
      </c>
      <c r="R5800" s="26" t="s">
        <v>70</v>
      </c>
      <c r="S5800" s="31">
        <v>2000</v>
      </c>
      <c r="T5800" s="32">
        <v>45310</v>
      </c>
      <c r="U5800" s="31">
        <v>13936</v>
      </c>
      <c r="V5800" s="32">
        <v>45405</v>
      </c>
      <c r="W5800" s="33" t="s">
        <v>8125</v>
      </c>
      <c r="X5800" s="26"/>
      <c r="Y5800" s="22">
        <v>0</v>
      </c>
      <c r="Z5800" s="26" t="s">
        <v>118</v>
      </c>
      <c r="AA5800" s="19" t="s">
        <v>8102</v>
      </c>
      <c r="AB5800" s="26" t="s">
        <v>36</v>
      </c>
      <c r="AC5800" s="26" t="s">
        <v>53</v>
      </c>
      <c r="AD5800" s="19" t="s">
        <v>138</v>
      </c>
      <c r="AE5800" s="26" t="s">
        <v>1565</v>
      </c>
      <c r="AF5800" s="17">
        <v>45699</v>
      </c>
      <c r="AG5800" s="26"/>
      <c r="AH5800" s="26"/>
      <c r="AI5800" s="40"/>
      <c r="AJ5800" s="26"/>
      <c r="AK5800" s="26"/>
      <c r="AL5800" s="35"/>
      <c r="AM5800" s="35"/>
      <c r="AN5800" s="35"/>
      <c r="AO5800" s="35"/>
      <c r="AP5800" s="35"/>
    </row>
    <row r="5801" spans="1:42" x14ac:dyDescent="0.2">
      <c r="A5801" s="38">
        <v>45678</v>
      </c>
      <c r="B5801" s="28" t="s">
        <v>37</v>
      </c>
      <c r="C5801" s="41" t="s">
        <v>118</v>
      </c>
      <c r="D5801" s="26" t="s">
        <v>36</v>
      </c>
      <c r="E5801" s="26" t="s">
        <v>139</v>
      </c>
      <c r="F5801" s="26" t="s">
        <v>1565</v>
      </c>
      <c r="G5801" s="71" t="s">
        <v>221</v>
      </c>
      <c r="H5801" s="26" t="s">
        <v>18322</v>
      </c>
      <c r="I5801" s="17">
        <f ca="1">IFERROR(__xludf.DUMMYFUNCTION("""COMPUTED_VALUE"""),45699)</f>
        <v>45699</v>
      </c>
      <c r="J5801" s="29" t="s">
        <v>8117</v>
      </c>
      <c r="K5801" s="26" t="s">
        <v>8632</v>
      </c>
      <c r="L5801" s="30">
        <v>983674865</v>
      </c>
      <c r="M5801" s="26" t="s">
        <v>910</v>
      </c>
      <c r="N5801" s="26" t="s">
        <v>3525</v>
      </c>
      <c r="O5801" s="26" t="s">
        <v>8119</v>
      </c>
      <c r="P5801" s="42" t="s">
        <v>8633</v>
      </c>
      <c r="Q5801" s="20">
        <v>15936</v>
      </c>
      <c r="R5801" s="26" t="s">
        <v>3825</v>
      </c>
      <c r="S5801" s="31">
        <v>100</v>
      </c>
      <c r="T5801" s="32">
        <v>45310</v>
      </c>
      <c r="U5801" s="31">
        <f>2000+5000+8836</f>
        <v>15836</v>
      </c>
      <c r="V5801" s="26" t="s">
        <v>8121</v>
      </c>
      <c r="W5801" s="33" t="s">
        <v>8122</v>
      </c>
      <c r="X5801" s="26"/>
      <c r="Y5801" s="22">
        <v>0</v>
      </c>
      <c r="Z5801" s="26" t="s">
        <v>118</v>
      </c>
      <c r="AA5801" s="19" t="s">
        <v>8102</v>
      </c>
      <c r="AB5801" s="26" t="s">
        <v>36</v>
      </c>
      <c r="AC5801" s="26" t="s">
        <v>53</v>
      </c>
      <c r="AD5801" s="19" t="s">
        <v>138</v>
      </c>
      <c r="AE5801" s="26" t="s">
        <v>1565</v>
      </c>
      <c r="AF5801" s="17">
        <v>45699</v>
      </c>
      <c r="AG5801" s="26"/>
      <c r="AH5801" s="26"/>
      <c r="AI5801" s="40"/>
      <c r="AJ5801" s="26"/>
      <c r="AK5801" s="26"/>
      <c r="AL5801" s="35"/>
      <c r="AM5801" s="35"/>
      <c r="AN5801" s="35"/>
      <c r="AO5801" s="35"/>
      <c r="AP5801" s="35"/>
    </row>
    <row r="5802" spans="1:42" x14ac:dyDescent="0.2">
      <c r="A5802" s="38">
        <v>45678</v>
      </c>
      <c r="B5802" s="28" t="s">
        <v>37</v>
      </c>
      <c r="C5802" s="41" t="s">
        <v>118</v>
      </c>
      <c r="D5802" s="26" t="s">
        <v>36</v>
      </c>
      <c r="E5802" s="26" t="s">
        <v>39</v>
      </c>
      <c r="F5802" s="26" t="s">
        <v>4087</v>
      </c>
      <c r="G5802" s="26" t="s">
        <v>108</v>
      </c>
      <c r="H5802" s="26" t="s">
        <v>2945</v>
      </c>
      <c r="I5802" s="17">
        <f ca="1">IFERROR(__xludf.DUMMYFUNCTION("""COMPUTED_VALUE"""),45706)</f>
        <v>45706</v>
      </c>
      <c r="J5802" s="29" t="s">
        <v>7648</v>
      </c>
      <c r="K5802" s="26" t="s">
        <v>2249</v>
      </c>
      <c r="L5802" s="30">
        <v>773362690</v>
      </c>
      <c r="M5802" s="26" t="s">
        <v>3498</v>
      </c>
      <c r="N5802" s="26" t="s">
        <v>2756</v>
      </c>
      <c r="O5802" s="26" t="s">
        <v>4503</v>
      </c>
      <c r="P5802" s="26" t="s">
        <v>7649</v>
      </c>
      <c r="Q5802" s="20">
        <v>5736</v>
      </c>
      <c r="R5802" s="26" t="s">
        <v>36</v>
      </c>
      <c r="S5802" s="31">
        <v>200</v>
      </c>
      <c r="T5802" s="32">
        <v>45330</v>
      </c>
      <c r="U5802" s="31">
        <v>5536</v>
      </c>
      <c r="V5802" s="32">
        <v>45354</v>
      </c>
      <c r="W5802" s="33" t="s">
        <v>7650</v>
      </c>
      <c r="X5802" s="26"/>
      <c r="Y5802" s="22">
        <v>0</v>
      </c>
      <c r="Z5802" s="26" t="s">
        <v>50</v>
      </c>
      <c r="AA5802" s="19" t="s">
        <v>7361</v>
      </c>
      <c r="AB5802" s="26"/>
      <c r="AC5802" s="26" t="s">
        <v>53</v>
      </c>
      <c r="AD5802" s="19" t="s">
        <v>138</v>
      </c>
      <c r="AE5802" s="26" t="s">
        <v>4087</v>
      </c>
      <c r="AF5802" s="17">
        <v>45706</v>
      </c>
      <c r="AG5802" s="26"/>
      <c r="AH5802" s="26"/>
      <c r="AI5802" s="40"/>
      <c r="AJ5802" s="26"/>
      <c r="AK5802" s="26"/>
      <c r="AL5802" s="35"/>
      <c r="AM5802" s="35"/>
      <c r="AN5802" s="35"/>
      <c r="AO5802" s="35"/>
      <c r="AP5802" s="35"/>
    </row>
    <row r="5803" spans="1:42" x14ac:dyDescent="0.2">
      <c r="A5803" s="38">
        <v>45678</v>
      </c>
      <c r="B5803" s="28" t="s">
        <v>37</v>
      </c>
      <c r="C5803" s="41" t="s">
        <v>118</v>
      </c>
      <c r="D5803" s="26" t="s">
        <v>36</v>
      </c>
      <c r="E5803" s="26" t="s">
        <v>56</v>
      </c>
      <c r="F5803" s="26" t="s">
        <v>4087</v>
      </c>
      <c r="G5803" s="26" t="s">
        <v>108</v>
      </c>
      <c r="H5803" s="26" t="s">
        <v>2945</v>
      </c>
      <c r="I5803" s="17">
        <f ca="1">IFERROR(__xludf.DUMMYFUNCTION("""COMPUTED_VALUE"""),45706)</f>
        <v>45706</v>
      </c>
      <c r="J5803" s="29" t="s">
        <v>7159</v>
      </c>
      <c r="K5803" s="26" t="s">
        <v>7160</v>
      </c>
      <c r="L5803" s="30">
        <v>364828366</v>
      </c>
      <c r="M5803" s="26" t="s">
        <v>3498</v>
      </c>
      <c r="N5803" s="26" t="s">
        <v>2756</v>
      </c>
      <c r="O5803" s="26" t="s">
        <v>4503</v>
      </c>
      <c r="P5803" s="26" t="s">
        <v>3117</v>
      </c>
      <c r="Q5803" s="20">
        <v>9317</v>
      </c>
      <c r="R5803" s="26" t="s">
        <v>36</v>
      </c>
      <c r="S5803" s="31">
        <v>200</v>
      </c>
      <c r="T5803" s="32">
        <v>45325</v>
      </c>
      <c r="U5803" s="31">
        <v>9117</v>
      </c>
      <c r="V5803" s="32">
        <v>45351</v>
      </c>
      <c r="W5803" s="33" t="s">
        <v>7161</v>
      </c>
      <c r="X5803" s="26"/>
      <c r="Y5803" s="22">
        <v>0</v>
      </c>
      <c r="Z5803" s="26" t="s">
        <v>50</v>
      </c>
      <c r="AA5803" s="19" t="s">
        <v>7077</v>
      </c>
      <c r="AB5803" s="26" t="s">
        <v>104</v>
      </c>
      <c r="AC5803" s="26" t="s">
        <v>53</v>
      </c>
      <c r="AD5803" s="19" t="s">
        <v>138</v>
      </c>
      <c r="AE5803" s="26" t="s">
        <v>4087</v>
      </c>
      <c r="AF5803" s="17">
        <v>45706</v>
      </c>
      <c r="AG5803" s="26"/>
      <c r="AH5803" s="26"/>
      <c r="AI5803" s="40" t="s">
        <v>64</v>
      </c>
      <c r="AJ5803" s="26"/>
      <c r="AK5803" s="26"/>
      <c r="AL5803" s="35"/>
      <c r="AM5803" s="35"/>
      <c r="AN5803" s="35"/>
      <c r="AO5803" s="35"/>
      <c r="AP5803" s="35"/>
    </row>
    <row r="5804" spans="1:42" x14ac:dyDescent="0.2">
      <c r="A5804" s="38">
        <v>45678</v>
      </c>
      <c r="B5804" s="28" t="s">
        <v>37</v>
      </c>
      <c r="C5804" s="41" t="s">
        <v>118</v>
      </c>
      <c r="D5804" s="80" t="s">
        <v>36</v>
      </c>
      <c r="E5804" s="80" t="s">
        <v>139</v>
      </c>
      <c r="F5804" s="80" t="s">
        <v>11183</v>
      </c>
      <c r="G5804" s="80" t="s">
        <v>108</v>
      </c>
      <c r="H5804" s="80" t="s">
        <v>18568</v>
      </c>
      <c r="I5804" s="17">
        <f ca="1">IFERROR(__xludf.DUMMYFUNCTION("""COMPUTED_VALUE"""),45699)</f>
        <v>45699</v>
      </c>
      <c r="J5804" s="143" t="s">
        <v>15137</v>
      </c>
      <c r="K5804" s="80" t="s">
        <v>15138</v>
      </c>
      <c r="L5804" s="30">
        <v>867779483</v>
      </c>
      <c r="M5804" s="80" t="s">
        <v>2755</v>
      </c>
      <c r="N5804" s="80" t="s">
        <v>2756</v>
      </c>
      <c r="O5804" s="80" t="s">
        <v>4503</v>
      </c>
      <c r="P5804" s="80" t="s">
        <v>15139</v>
      </c>
      <c r="Q5804" s="20">
        <v>15936</v>
      </c>
      <c r="R5804" s="80" t="s">
        <v>36</v>
      </c>
      <c r="S5804" s="95">
        <v>2000</v>
      </c>
      <c r="T5804" s="148">
        <v>45523</v>
      </c>
      <c r="U5804" s="178">
        <v>13936</v>
      </c>
      <c r="V5804" s="169">
        <v>45572</v>
      </c>
      <c r="W5804" s="85" t="s">
        <v>15140</v>
      </c>
      <c r="X5804" s="80"/>
      <c r="Y5804" s="22">
        <v>0</v>
      </c>
      <c r="Z5804" s="80" t="s">
        <v>50</v>
      </c>
      <c r="AA5804" s="35" t="s">
        <v>9905</v>
      </c>
      <c r="AB5804" s="80"/>
      <c r="AC5804" s="80" t="s">
        <v>53</v>
      </c>
      <c r="AD5804" s="80" t="s">
        <v>138</v>
      </c>
      <c r="AE5804" s="80" t="s">
        <v>11183</v>
      </c>
      <c r="AF5804" s="17">
        <v>45699</v>
      </c>
      <c r="AG5804" s="80"/>
      <c r="AH5804" s="80"/>
      <c r="AI5804" s="147"/>
      <c r="AJ5804" s="80"/>
      <c r="AK5804" s="80"/>
      <c r="AL5804" s="35"/>
      <c r="AM5804" s="35"/>
      <c r="AN5804" s="35"/>
      <c r="AO5804" s="35"/>
      <c r="AP5804" s="35"/>
    </row>
    <row r="5805" spans="1:42" x14ac:dyDescent="0.2">
      <c r="A5805" s="38">
        <v>45678</v>
      </c>
      <c r="B5805" s="28" t="s">
        <v>37</v>
      </c>
      <c r="C5805" s="41" t="s">
        <v>118</v>
      </c>
      <c r="D5805" s="80" t="s">
        <v>36</v>
      </c>
      <c r="E5805" s="80" t="s">
        <v>139</v>
      </c>
      <c r="F5805" s="80" t="s">
        <v>6523</v>
      </c>
      <c r="G5805" s="80" t="s">
        <v>108</v>
      </c>
      <c r="H5805" s="80" t="s">
        <v>13999</v>
      </c>
      <c r="I5805" s="17">
        <f ca="1">IFERROR(__xludf.DUMMYFUNCTION("""COMPUTED_VALUE"""),45698)</f>
        <v>45698</v>
      </c>
      <c r="J5805" s="143" t="s">
        <v>18874</v>
      </c>
      <c r="K5805" s="80" t="s">
        <v>18875</v>
      </c>
      <c r="L5805" s="30">
        <v>988653966</v>
      </c>
      <c r="M5805" s="80" t="s">
        <v>12644</v>
      </c>
      <c r="N5805" s="80" t="s">
        <v>8725</v>
      </c>
      <c r="O5805" s="80" t="s">
        <v>18876</v>
      </c>
      <c r="P5805" s="144" t="s">
        <v>19416</v>
      </c>
      <c r="Q5805" s="20">
        <v>15936</v>
      </c>
      <c r="R5805" s="80" t="s">
        <v>36</v>
      </c>
      <c r="S5805" s="95">
        <v>2000</v>
      </c>
      <c r="T5805" s="148">
        <v>45617</v>
      </c>
      <c r="U5805" s="95">
        <v>13936</v>
      </c>
      <c r="V5805" s="148">
        <v>45648</v>
      </c>
      <c r="W5805" s="85" t="s">
        <v>18878</v>
      </c>
      <c r="X5805" s="80"/>
      <c r="Y5805" s="22">
        <v>0</v>
      </c>
      <c r="Z5805" s="80" t="s">
        <v>50</v>
      </c>
      <c r="AA5805" s="96" t="s">
        <v>18579</v>
      </c>
      <c r="AB5805" s="86"/>
      <c r="AC5805" s="80" t="s">
        <v>53</v>
      </c>
      <c r="AD5805" s="80" t="s">
        <v>54</v>
      </c>
      <c r="AE5805" s="80" t="s">
        <v>6523</v>
      </c>
      <c r="AF5805" s="17">
        <v>45693</v>
      </c>
      <c r="AG5805" s="80"/>
      <c r="AH5805" s="80"/>
      <c r="AI5805" s="147"/>
      <c r="AJ5805" s="80"/>
      <c r="AK5805" s="80"/>
      <c r="AL5805" s="35"/>
      <c r="AM5805" s="35"/>
      <c r="AN5805" s="35"/>
      <c r="AO5805" s="35"/>
      <c r="AP5805" s="35"/>
    </row>
    <row r="5806" spans="1:42" x14ac:dyDescent="0.2">
      <c r="A5806" s="38">
        <v>45678</v>
      </c>
      <c r="B5806" s="28" t="s">
        <v>37</v>
      </c>
      <c r="C5806" s="41" t="s">
        <v>118</v>
      </c>
      <c r="D5806" s="26" t="s">
        <v>36</v>
      </c>
      <c r="E5806" s="26" t="s">
        <v>56</v>
      </c>
      <c r="F5806" s="26" t="s">
        <v>6919</v>
      </c>
      <c r="G5806" s="26" t="s">
        <v>221</v>
      </c>
      <c r="H5806" s="26" t="s">
        <v>18321</v>
      </c>
      <c r="I5806" s="17">
        <f ca="1">IFERROR(__xludf.DUMMYFUNCTION("""COMPUTED_VALUE"""),45698)</f>
        <v>45698</v>
      </c>
      <c r="J5806" s="29" t="s">
        <v>9525</v>
      </c>
      <c r="K5806" s="26" t="s">
        <v>9526</v>
      </c>
      <c r="L5806" s="30">
        <v>817282123</v>
      </c>
      <c r="M5806" s="26" t="s">
        <v>59</v>
      </c>
      <c r="N5806" s="26" t="s">
        <v>68</v>
      </c>
      <c r="O5806" s="26" t="s">
        <v>9527</v>
      </c>
      <c r="P5806" s="26" t="s">
        <v>9528</v>
      </c>
      <c r="Q5806" s="20"/>
      <c r="R5806" s="26" t="s">
        <v>70</v>
      </c>
      <c r="S5806" s="95">
        <v>9217</v>
      </c>
      <c r="T5806" s="148">
        <v>45488</v>
      </c>
      <c r="U5806" s="31"/>
      <c r="V5806" s="32"/>
      <c r="W5806" s="33" t="s">
        <v>9529</v>
      </c>
      <c r="X5806" s="26"/>
      <c r="Y5806" s="22"/>
      <c r="Z5806" s="26" t="s">
        <v>50</v>
      </c>
      <c r="AA5806" s="70" t="s">
        <v>9070</v>
      </c>
      <c r="AB5806" s="26" t="s">
        <v>36</v>
      </c>
      <c r="AC5806" s="26" t="s">
        <v>2218</v>
      </c>
      <c r="AD5806" s="26" t="s">
        <v>138</v>
      </c>
      <c r="AE5806" s="26" t="s">
        <v>6919</v>
      </c>
      <c r="AF5806" s="17">
        <v>45698</v>
      </c>
      <c r="AG5806" s="26"/>
      <c r="AH5806" s="26"/>
      <c r="AI5806" s="40"/>
      <c r="AJ5806" s="26"/>
      <c r="AK5806" s="26"/>
      <c r="AL5806" s="35"/>
      <c r="AM5806" s="35"/>
      <c r="AN5806" s="35"/>
      <c r="AO5806" s="35"/>
      <c r="AP5806" s="35"/>
    </row>
    <row r="5807" spans="1:42" x14ac:dyDescent="0.2">
      <c r="A5807" s="38">
        <v>45679</v>
      </c>
      <c r="B5807" s="137" t="s">
        <v>90</v>
      </c>
      <c r="C5807" s="41" t="s">
        <v>118</v>
      </c>
      <c r="D5807" s="80" t="s">
        <v>36</v>
      </c>
      <c r="E5807" s="80" t="s">
        <v>56</v>
      </c>
      <c r="F5807" s="80" t="s">
        <v>17906</v>
      </c>
      <c r="G5807" s="80" t="s">
        <v>108</v>
      </c>
      <c r="H5807" s="80" t="s">
        <v>19086</v>
      </c>
      <c r="I5807" s="17">
        <f ca="1">IFERROR(__xludf.DUMMYFUNCTION("""COMPUTED_VALUE"""),45694)</f>
        <v>45694</v>
      </c>
      <c r="J5807" s="143" t="s">
        <v>18773</v>
      </c>
      <c r="K5807" s="80" t="s">
        <v>19417</v>
      </c>
      <c r="L5807" s="30">
        <v>977124959</v>
      </c>
      <c r="M5807" s="80" t="s">
        <v>17779</v>
      </c>
      <c r="N5807" s="80" t="s">
        <v>17780</v>
      </c>
      <c r="O5807" s="80" t="s">
        <v>18775</v>
      </c>
      <c r="P5807" s="80" t="s">
        <v>18776</v>
      </c>
      <c r="Q5807" s="20">
        <v>9317</v>
      </c>
      <c r="R5807" s="80" t="s">
        <v>70</v>
      </c>
      <c r="S5807" s="95">
        <f t="shared" ref="S5807:S5808" si="163">200+1800</f>
        <v>2000</v>
      </c>
      <c r="T5807" s="148" t="s">
        <v>18777</v>
      </c>
      <c r="U5807" s="95">
        <v>7217</v>
      </c>
      <c r="V5807" s="148">
        <v>45650</v>
      </c>
      <c r="W5807" s="85" t="s">
        <v>18778</v>
      </c>
      <c r="X5807" s="80"/>
      <c r="Y5807" s="22">
        <v>100</v>
      </c>
      <c r="Z5807" s="81" t="s">
        <v>50</v>
      </c>
      <c r="AA5807" s="82" t="s">
        <v>18579</v>
      </c>
      <c r="AB5807" s="175" t="s">
        <v>14402</v>
      </c>
      <c r="AC5807" s="80" t="s">
        <v>53</v>
      </c>
      <c r="AD5807" s="80" t="s">
        <v>54</v>
      </c>
      <c r="AE5807" s="80" t="s">
        <v>17906</v>
      </c>
      <c r="AF5807" s="17">
        <v>45693</v>
      </c>
      <c r="AG5807" s="80"/>
      <c r="AH5807" s="80"/>
      <c r="AI5807" s="147"/>
      <c r="AJ5807" s="80"/>
      <c r="AK5807" s="80"/>
      <c r="AL5807" s="86"/>
      <c r="AM5807" s="86"/>
      <c r="AN5807" s="86"/>
      <c r="AO5807" s="86"/>
      <c r="AP5807" s="86"/>
    </row>
    <row r="5808" spans="1:42" x14ac:dyDescent="0.2">
      <c r="A5808" s="38">
        <v>45679</v>
      </c>
      <c r="B5808" s="137" t="s">
        <v>37</v>
      </c>
      <c r="C5808" s="41" t="s">
        <v>118</v>
      </c>
      <c r="D5808" s="80" t="s">
        <v>36</v>
      </c>
      <c r="E5808" s="80" t="s">
        <v>56</v>
      </c>
      <c r="F5808" s="80" t="s">
        <v>17906</v>
      </c>
      <c r="G5808" s="80" t="s">
        <v>108</v>
      </c>
      <c r="H5808" s="80" t="s">
        <v>19086</v>
      </c>
      <c r="I5808" s="17">
        <f ca="1">IFERROR(__xludf.DUMMYFUNCTION("""COMPUTED_VALUE"""),45694)</f>
        <v>45694</v>
      </c>
      <c r="J5808" s="172" t="s">
        <v>19418</v>
      </c>
      <c r="K5808" s="80" t="s">
        <v>18780</v>
      </c>
      <c r="L5808" s="30">
        <v>347022550</v>
      </c>
      <c r="M5808" s="80" t="s">
        <v>17779</v>
      </c>
      <c r="N5808" s="80" t="s">
        <v>17780</v>
      </c>
      <c r="O5808" s="80" t="s">
        <v>18781</v>
      </c>
      <c r="P5808" s="80" t="s">
        <v>18782</v>
      </c>
      <c r="Q5808" s="20">
        <v>9317</v>
      </c>
      <c r="R5808" s="80" t="s">
        <v>70</v>
      </c>
      <c r="S5808" s="95">
        <f t="shared" si="163"/>
        <v>2000</v>
      </c>
      <c r="T5808" s="148" t="s">
        <v>18783</v>
      </c>
      <c r="U5808" s="95">
        <v>7217</v>
      </c>
      <c r="V5808" s="148">
        <v>45650</v>
      </c>
      <c r="W5808" s="85" t="s">
        <v>18784</v>
      </c>
      <c r="X5808" s="80"/>
      <c r="Y5808" s="22">
        <v>100</v>
      </c>
      <c r="Z5808" s="81" t="s">
        <v>50</v>
      </c>
      <c r="AA5808" s="86" t="s">
        <v>18579</v>
      </c>
      <c r="AB5808" s="203" t="s">
        <v>14402</v>
      </c>
      <c r="AC5808" s="80" t="s">
        <v>53</v>
      </c>
      <c r="AD5808" s="80" t="s">
        <v>138</v>
      </c>
      <c r="AE5808" s="80" t="s">
        <v>17906</v>
      </c>
      <c r="AF5808" s="17">
        <v>45693</v>
      </c>
      <c r="AG5808" s="80"/>
      <c r="AH5808" s="80"/>
      <c r="AI5808" s="147"/>
      <c r="AJ5808" s="80"/>
      <c r="AK5808" s="80"/>
      <c r="AL5808" s="86"/>
      <c r="AM5808" s="86"/>
      <c r="AN5808" s="86"/>
      <c r="AO5808" s="86"/>
      <c r="AP5808" s="86"/>
    </row>
    <row r="5809" spans="1:42" x14ac:dyDescent="0.2">
      <c r="A5809" s="38">
        <v>45679</v>
      </c>
      <c r="B5809" s="137" t="s">
        <v>37</v>
      </c>
      <c r="C5809" s="41" t="s">
        <v>118</v>
      </c>
      <c r="D5809" s="80" t="s">
        <v>36</v>
      </c>
      <c r="E5809" s="80" t="s">
        <v>139</v>
      </c>
      <c r="F5809" s="80" t="s">
        <v>17906</v>
      </c>
      <c r="G5809" s="80" t="s">
        <v>108</v>
      </c>
      <c r="H5809" s="80" t="s">
        <v>19086</v>
      </c>
      <c r="I5809" s="17">
        <f ca="1">IFERROR(__xludf.DUMMYFUNCTION("""COMPUTED_VALUE"""),45694)</f>
        <v>45694</v>
      </c>
      <c r="J5809" s="143" t="s">
        <v>18789</v>
      </c>
      <c r="K5809" s="80" t="s">
        <v>19419</v>
      </c>
      <c r="L5809" s="30">
        <v>385625524</v>
      </c>
      <c r="M5809" s="80" t="s">
        <v>5558</v>
      </c>
      <c r="N5809" s="80" t="s">
        <v>5277</v>
      </c>
      <c r="O5809" s="80" t="s">
        <v>4503</v>
      </c>
      <c r="P5809" s="144" t="s">
        <v>19420</v>
      </c>
      <c r="Q5809" s="20">
        <v>15936</v>
      </c>
      <c r="R5809" s="80" t="s">
        <v>36</v>
      </c>
      <c r="S5809" s="95">
        <v>2000</v>
      </c>
      <c r="T5809" s="148">
        <v>45607</v>
      </c>
      <c r="U5809" s="95">
        <v>13936</v>
      </c>
      <c r="V5809" s="148">
        <v>45650</v>
      </c>
      <c r="W5809" s="85" t="s">
        <v>18792</v>
      </c>
      <c r="X5809" s="80"/>
      <c r="Y5809" s="22">
        <v>0</v>
      </c>
      <c r="Z5809" s="81" t="s">
        <v>50</v>
      </c>
      <c r="AA5809" s="82" t="s">
        <v>18579</v>
      </c>
      <c r="AB5809" s="86"/>
      <c r="AC5809" s="80" t="s">
        <v>53</v>
      </c>
      <c r="AD5809" s="80" t="s">
        <v>54</v>
      </c>
      <c r="AE5809" s="80" t="s">
        <v>17906</v>
      </c>
      <c r="AF5809" s="17">
        <v>45693</v>
      </c>
      <c r="AG5809" s="80"/>
      <c r="AH5809" s="80"/>
      <c r="AI5809" s="147"/>
      <c r="AJ5809" s="80"/>
      <c r="AK5809" s="80"/>
      <c r="AL5809" s="86"/>
      <c r="AM5809" s="86"/>
      <c r="AN5809" s="86"/>
      <c r="AO5809" s="86"/>
      <c r="AP5809" s="86"/>
    </row>
    <row r="5810" spans="1:42" x14ac:dyDescent="0.2">
      <c r="A5810" s="38">
        <v>45679</v>
      </c>
      <c r="B5810" s="137" t="s">
        <v>37</v>
      </c>
      <c r="C5810" s="41" t="s">
        <v>118</v>
      </c>
      <c r="D5810" s="80" t="s">
        <v>36</v>
      </c>
      <c r="E5810" s="80" t="s">
        <v>39</v>
      </c>
      <c r="F5810" s="80" t="s">
        <v>17906</v>
      </c>
      <c r="G5810" s="80" t="s">
        <v>108</v>
      </c>
      <c r="H5810" s="80" t="s">
        <v>19086</v>
      </c>
      <c r="I5810" s="17">
        <f ca="1">IFERROR(__xludf.DUMMYFUNCTION("""COMPUTED_VALUE"""),45694)</f>
        <v>45694</v>
      </c>
      <c r="J5810" s="143" t="s">
        <v>17937</v>
      </c>
      <c r="K5810" s="80" t="s">
        <v>10188</v>
      </c>
      <c r="L5810" s="30">
        <v>349159733</v>
      </c>
      <c r="M5810" s="80" t="s">
        <v>45</v>
      </c>
      <c r="N5810" s="80" t="s">
        <v>1472</v>
      </c>
      <c r="O5810" s="80" t="s">
        <v>17938</v>
      </c>
      <c r="P5810" s="80" t="s">
        <v>17939</v>
      </c>
      <c r="Q5810" s="20">
        <v>5736</v>
      </c>
      <c r="R5810" s="80" t="s">
        <v>36</v>
      </c>
      <c r="S5810" s="95">
        <v>5736</v>
      </c>
      <c r="T5810" s="148">
        <v>45607</v>
      </c>
      <c r="U5810" s="77"/>
      <c r="V5810" s="78"/>
      <c r="W5810" s="80" t="s">
        <v>17940</v>
      </c>
      <c r="X5810" s="80"/>
      <c r="Y5810" s="22">
        <v>0</v>
      </c>
      <c r="Z5810" s="81" t="s">
        <v>50</v>
      </c>
      <c r="AA5810" s="86" t="s">
        <v>14723</v>
      </c>
      <c r="AB5810" s="80"/>
      <c r="AC5810" s="80" t="s">
        <v>53</v>
      </c>
      <c r="AD5810" s="80" t="s">
        <v>54</v>
      </c>
      <c r="AE5810" s="80" t="s">
        <v>17906</v>
      </c>
      <c r="AF5810" s="17">
        <v>45693</v>
      </c>
      <c r="AG5810" s="80"/>
      <c r="AH5810" s="80"/>
      <c r="AI5810" s="147"/>
      <c r="AJ5810" s="80"/>
      <c r="AK5810" s="80"/>
      <c r="AL5810" s="86"/>
      <c r="AM5810" s="86"/>
      <c r="AN5810" s="86"/>
      <c r="AO5810" s="86"/>
      <c r="AP5810" s="86"/>
    </row>
    <row r="5811" spans="1:42" x14ac:dyDescent="0.2">
      <c r="A5811" s="38">
        <v>45680</v>
      </c>
      <c r="B5811" s="68" t="s">
        <v>37</v>
      </c>
      <c r="C5811" s="41" t="s">
        <v>118</v>
      </c>
      <c r="D5811" s="26" t="s">
        <v>36</v>
      </c>
      <c r="E5811" s="26" t="s">
        <v>139</v>
      </c>
      <c r="F5811" s="26" t="s">
        <v>4633</v>
      </c>
      <c r="G5811" s="71" t="s">
        <v>221</v>
      </c>
      <c r="H5811" s="26" t="s">
        <v>19421</v>
      </c>
      <c r="I5811" s="17" t="str">
        <f ca="1">IFERROR(__xludf.DUMMYFUNCTION("""COMPUTED_VALUE""")," ")</f>
        <v xml:space="preserve"> </v>
      </c>
      <c r="J5811" s="29" t="s">
        <v>5267</v>
      </c>
      <c r="K5811" s="26" t="s">
        <v>19422</v>
      </c>
      <c r="L5811" s="30">
        <v>961017134</v>
      </c>
      <c r="M5811" s="26" t="s">
        <v>123</v>
      </c>
      <c r="N5811" s="26" t="s">
        <v>186</v>
      </c>
      <c r="O5811" s="26" t="s">
        <v>1226</v>
      </c>
      <c r="P5811" s="42" t="s">
        <v>6573</v>
      </c>
      <c r="Q5811" s="20">
        <v>15936</v>
      </c>
      <c r="R5811" s="26" t="s">
        <v>36</v>
      </c>
      <c r="S5811" s="31">
        <v>2000</v>
      </c>
      <c r="T5811" s="32">
        <v>45205</v>
      </c>
      <c r="U5811" s="31">
        <v>13936</v>
      </c>
      <c r="V5811" s="32">
        <v>45231</v>
      </c>
      <c r="W5811" s="33" t="s">
        <v>5270</v>
      </c>
      <c r="X5811" s="26"/>
      <c r="Y5811" s="22">
        <v>0</v>
      </c>
      <c r="Z5811" s="98" t="s">
        <v>118</v>
      </c>
      <c r="AA5811" s="19" t="s">
        <v>5112</v>
      </c>
      <c r="AB5811" s="26" t="s">
        <v>104</v>
      </c>
      <c r="AC5811" s="26" t="s">
        <v>53</v>
      </c>
      <c r="AD5811" s="19" t="s">
        <v>54</v>
      </c>
      <c r="AE5811" s="26" t="s">
        <v>4633</v>
      </c>
      <c r="AF5811" s="17">
        <v>45695</v>
      </c>
      <c r="AG5811" s="26"/>
      <c r="AH5811" s="26"/>
      <c r="AI5811" s="40" t="s">
        <v>147</v>
      </c>
      <c r="AJ5811" s="26"/>
      <c r="AK5811" s="26"/>
      <c r="AL5811" s="35"/>
      <c r="AM5811" s="35"/>
      <c r="AN5811" s="35"/>
      <c r="AO5811" s="35"/>
      <c r="AP5811" s="35"/>
    </row>
    <row r="5812" spans="1:42" x14ac:dyDescent="0.2">
      <c r="A5812" s="38">
        <v>45680</v>
      </c>
      <c r="B5812" s="68" t="s">
        <v>37</v>
      </c>
      <c r="C5812" s="41" t="s">
        <v>118</v>
      </c>
      <c r="D5812" s="26" t="s">
        <v>36</v>
      </c>
      <c r="E5812" s="26" t="s">
        <v>56</v>
      </c>
      <c r="F5812" s="26" t="s">
        <v>11802</v>
      </c>
      <c r="G5812" s="71" t="s">
        <v>221</v>
      </c>
      <c r="H5812" s="26" t="s">
        <v>9036</v>
      </c>
      <c r="I5812" s="17">
        <f ca="1">IFERROR(__xludf.DUMMYFUNCTION("""COMPUTED_VALUE"""),45701)</f>
        <v>45701</v>
      </c>
      <c r="J5812" s="44" t="s">
        <v>10956</v>
      </c>
      <c r="K5812" s="26" t="s">
        <v>7138</v>
      </c>
      <c r="L5812" s="30">
        <v>328839190</v>
      </c>
      <c r="M5812" s="26" t="s">
        <v>80</v>
      </c>
      <c r="N5812" s="26" t="s">
        <v>1073</v>
      </c>
      <c r="O5812" s="26" t="s">
        <v>10958</v>
      </c>
      <c r="P5812" s="42" t="s">
        <v>19423</v>
      </c>
      <c r="Q5812" s="20">
        <v>9317</v>
      </c>
      <c r="R5812" s="26" t="s">
        <v>36</v>
      </c>
      <c r="S5812" s="95">
        <f>200+1800</f>
        <v>2000</v>
      </c>
      <c r="T5812" s="83" t="s">
        <v>10960</v>
      </c>
      <c r="U5812" s="95">
        <v>7317</v>
      </c>
      <c r="V5812" s="148">
        <v>45527</v>
      </c>
      <c r="W5812" s="33" t="s">
        <v>10961</v>
      </c>
      <c r="X5812" s="26">
        <v>0</v>
      </c>
      <c r="Y5812" s="22">
        <v>0</v>
      </c>
      <c r="Z5812" s="26" t="s">
        <v>50</v>
      </c>
      <c r="AA5812" s="35" t="s">
        <v>10314</v>
      </c>
      <c r="AB5812" s="26"/>
      <c r="AC5812" s="26" t="s">
        <v>53</v>
      </c>
      <c r="AD5812" s="26" t="s">
        <v>54</v>
      </c>
      <c r="AE5812" s="26" t="s">
        <v>11802</v>
      </c>
      <c r="AF5812" s="17">
        <v>45695</v>
      </c>
      <c r="AG5812" s="26"/>
      <c r="AH5812" s="26"/>
      <c r="AI5812" s="40"/>
      <c r="AJ5812" s="26"/>
      <c r="AK5812" s="26"/>
      <c r="AL5812" s="35"/>
      <c r="AM5812" s="35"/>
      <c r="AN5812" s="35"/>
      <c r="AO5812" s="35"/>
      <c r="AP5812" s="35"/>
    </row>
    <row r="5813" spans="1:42" x14ac:dyDescent="0.2">
      <c r="A5813" s="38">
        <v>45680</v>
      </c>
      <c r="B5813" s="68" t="s">
        <v>37</v>
      </c>
      <c r="C5813" s="41" t="s">
        <v>118</v>
      </c>
      <c r="D5813" s="26" t="s">
        <v>36</v>
      </c>
      <c r="E5813" s="26" t="s">
        <v>139</v>
      </c>
      <c r="F5813" s="26" t="s">
        <v>4362</v>
      </c>
      <c r="G5813" s="71" t="s">
        <v>221</v>
      </c>
      <c r="H5813" s="26" t="s">
        <v>9036</v>
      </c>
      <c r="I5813" s="17">
        <f ca="1">IFERROR(__xludf.DUMMYFUNCTION("""COMPUTED_VALUE"""),45701)</f>
        <v>45701</v>
      </c>
      <c r="J5813" s="44" t="s">
        <v>19424</v>
      </c>
      <c r="K5813" s="26" t="s">
        <v>3884</v>
      </c>
      <c r="L5813" s="30">
        <v>866796610</v>
      </c>
      <c r="M5813" s="26" t="s">
        <v>112</v>
      </c>
      <c r="N5813" s="26" t="s">
        <v>3330</v>
      </c>
      <c r="O5813" s="26" t="s">
        <v>3885</v>
      </c>
      <c r="P5813" s="26" t="s">
        <v>19425</v>
      </c>
      <c r="Q5813" s="20">
        <v>15936</v>
      </c>
      <c r="R5813" s="26" t="s">
        <v>36</v>
      </c>
      <c r="S5813" s="31">
        <v>2000</v>
      </c>
      <c r="T5813" s="32">
        <v>45196</v>
      </c>
      <c r="U5813" s="31">
        <v>13836</v>
      </c>
      <c r="V5813" s="32">
        <v>45225</v>
      </c>
      <c r="W5813" s="26"/>
      <c r="X5813" s="26"/>
      <c r="Y5813" s="22">
        <v>100</v>
      </c>
      <c r="Z5813" s="26" t="s">
        <v>118</v>
      </c>
      <c r="AA5813" s="19" t="s">
        <v>5785</v>
      </c>
      <c r="AB5813" s="26" t="s">
        <v>137</v>
      </c>
      <c r="AC5813" s="26" t="s">
        <v>53</v>
      </c>
      <c r="AD5813" s="19" t="s">
        <v>138</v>
      </c>
      <c r="AE5813" s="26" t="s">
        <v>4362</v>
      </c>
      <c r="AF5813" s="17">
        <v>45695</v>
      </c>
      <c r="AG5813" s="26"/>
      <c r="AH5813" s="26"/>
      <c r="AI5813" s="40" t="s">
        <v>147</v>
      </c>
      <c r="AJ5813" s="26"/>
      <c r="AK5813" s="26"/>
      <c r="AL5813" s="35"/>
      <c r="AM5813" s="35"/>
      <c r="AN5813" s="35"/>
      <c r="AO5813" s="35"/>
      <c r="AP5813" s="35"/>
    </row>
    <row r="5814" spans="1:42" x14ac:dyDescent="0.2">
      <c r="A5814" s="38">
        <v>45680</v>
      </c>
      <c r="B5814" s="68" t="s">
        <v>37</v>
      </c>
      <c r="C5814" s="41" t="s">
        <v>118</v>
      </c>
      <c r="D5814" s="26" t="s">
        <v>36</v>
      </c>
      <c r="E5814" s="26" t="s">
        <v>119</v>
      </c>
      <c r="F5814" s="26" t="s">
        <v>4275</v>
      </c>
      <c r="G5814" s="26" t="s">
        <v>1705</v>
      </c>
      <c r="H5814" s="26" t="s">
        <v>8998</v>
      </c>
      <c r="I5814" s="17">
        <f ca="1">IFERROR(__xludf.DUMMYFUNCTION("""COMPUTED_VALUE"""),45714)</f>
        <v>45714</v>
      </c>
      <c r="J5814" s="29" t="s">
        <v>3843</v>
      </c>
      <c r="K5814" s="19" t="s">
        <v>3844</v>
      </c>
      <c r="L5814" s="47">
        <v>327718648</v>
      </c>
      <c r="M5814" s="26" t="s">
        <v>80</v>
      </c>
      <c r="N5814" s="26" t="s">
        <v>81</v>
      </c>
      <c r="O5814" s="26" t="s">
        <v>3845</v>
      </c>
      <c r="P5814" s="42" t="s">
        <v>19426</v>
      </c>
      <c r="Q5814" s="20">
        <v>13968</v>
      </c>
      <c r="R5814" s="26" t="s">
        <v>36</v>
      </c>
      <c r="S5814" s="31">
        <v>4000</v>
      </c>
      <c r="T5814" s="32">
        <v>45194</v>
      </c>
      <c r="U5814" s="31">
        <v>9968</v>
      </c>
      <c r="V5814" s="32">
        <v>45222</v>
      </c>
      <c r="W5814" s="33" t="s">
        <v>3847</v>
      </c>
      <c r="X5814" s="26"/>
      <c r="Y5814" s="22">
        <v>0</v>
      </c>
      <c r="Z5814" s="109" t="s">
        <v>118</v>
      </c>
      <c r="AA5814" s="19" t="s">
        <v>3454</v>
      </c>
      <c r="AB5814" s="26" t="s">
        <v>104</v>
      </c>
      <c r="AC5814" s="26" t="s">
        <v>53</v>
      </c>
      <c r="AD5814" s="19" t="s">
        <v>138</v>
      </c>
      <c r="AE5814" s="26" t="s">
        <v>4275</v>
      </c>
      <c r="AF5814" s="17">
        <v>45714</v>
      </c>
      <c r="AG5814" s="26"/>
      <c r="AH5814" s="26"/>
      <c r="AI5814" s="40"/>
      <c r="AJ5814" s="26"/>
      <c r="AK5814" s="26"/>
      <c r="AL5814" s="35"/>
      <c r="AM5814" s="35"/>
      <c r="AN5814" s="35"/>
      <c r="AO5814" s="35"/>
      <c r="AP5814" s="35"/>
    </row>
    <row r="5815" spans="1:42" x14ac:dyDescent="0.2">
      <c r="A5815" s="38">
        <v>45680</v>
      </c>
      <c r="B5815" s="68" t="s">
        <v>37</v>
      </c>
      <c r="C5815" s="41" t="s">
        <v>118</v>
      </c>
      <c r="D5815" s="80" t="s">
        <v>36</v>
      </c>
      <c r="E5815" s="80" t="s">
        <v>119</v>
      </c>
      <c r="F5815" s="80" t="s">
        <v>7519</v>
      </c>
      <c r="G5815" s="80" t="s">
        <v>221</v>
      </c>
      <c r="H5815" s="80" t="s">
        <v>18555</v>
      </c>
      <c r="I5815" s="17">
        <f ca="1">IFERROR(__xludf.DUMMYFUNCTION("""COMPUTED_VALUE"""),45698)</f>
        <v>45698</v>
      </c>
      <c r="J5815" s="143" t="s">
        <v>12619</v>
      </c>
      <c r="K5815" s="80" t="s">
        <v>12620</v>
      </c>
      <c r="L5815" s="30">
        <v>355759444</v>
      </c>
      <c r="M5815" s="80" t="s">
        <v>9422</v>
      </c>
      <c r="N5815" s="80" t="s">
        <v>12621</v>
      </c>
      <c r="O5815" s="80" t="s">
        <v>3754</v>
      </c>
      <c r="P5815" s="80" t="s">
        <v>12622</v>
      </c>
      <c r="Q5815" s="20">
        <v>13968</v>
      </c>
      <c r="R5815" s="80" t="s">
        <v>70</v>
      </c>
      <c r="S5815" s="95">
        <v>13968</v>
      </c>
      <c r="T5815" s="148">
        <v>45538</v>
      </c>
      <c r="U5815" s="77"/>
      <c r="V5815" s="78"/>
      <c r="W5815" s="85" t="s">
        <v>12623</v>
      </c>
      <c r="X5815" s="80">
        <v>100</v>
      </c>
      <c r="Y5815" s="22">
        <v>-100</v>
      </c>
      <c r="Z5815" s="80" t="s">
        <v>50</v>
      </c>
      <c r="AA5815" s="96" t="s">
        <v>3291</v>
      </c>
      <c r="AB5815" s="80"/>
      <c r="AC5815" s="80" t="s">
        <v>53</v>
      </c>
      <c r="AD5815" s="80" t="s">
        <v>54</v>
      </c>
      <c r="AE5815" s="80" t="s">
        <v>7519</v>
      </c>
      <c r="AF5815" s="17">
        <v>45693</v>
      </c>
      <c r="AG5815" s="80"/>
      <c r="AH5815" s="80"/>
      <c r="AI5815" s="147">
        <v>4</v>
      </c>
      <c r="AJ5815" s="80"/>
      <c r="AK5815" s="80"/>
      <c r="AL5815" s="35"/>
      <c r="AM5815" s="35"/>
      <c r="AN5815" s="35"/>
      <c r="AO5815" s="35"/>
      <c r="AP5815" s="35"/>
    </row>
    <row r="5816" spans="1:42" x14ac:dyDescent="0.2">
      <c r="A5816" s="38">
        <v>45680</v>
      </c>
      <c r="B5816" s="137" t="s">
        <v>37</v>
      </c>
      <c r="C5816" s="41" t="s">
        <v>118</v>
      </c>
      <c r="D5816" s="80" t="s">
        <v>36</v>
      </c>
      <c r="E5816" s="80" t="s">
        <v>39</v>
      </c>
      <c r="F5816" s="80" t="s">
        <v>11747</v>
      </c>
      <c r="G5816" s="80" t="s">
        <v>108</v>
      </c>
      <c r="H5816" s="80" t="s">
        <v>18568</v>
      </c>
      <c r="I5816" s="17">
        <f ca="1">IFERROR(__xludf.DUMMYFUNCTION("""COMPUTED_VALUE"""),45699)</f>
        <v>45699</v>
      </c>
      <c r="J5816" s="143" t="s">
        <v>15333</v>
      </c>
      <c r="K5816" s="80" t="s">
        <v>15334</v>
      </c>
      <c r="L5816" s="30">
        <v>819301908</v>
      </c>
      <c r="M5816" s="80" t="s">
        <v>123</v>
      </c>
      <c r="N5816" s="80" t="s">
        <v>2847</v>
      </c>
      <c r="O5816" s="80" t="s">
        <v>4503</v>
      </c>
      <c r="P5816" s="144" t="s">
        <v>15335</v>
      </c>
      <c r="Q5816" s="20">
        <v>5736</v>
      </c>
      <c r="R5816" s="80" t="s">
        <v>36</v>
      </c>
      <c r="S5816" s="95">
        <f>200+3736</f>
        <v>3936</v>
      </c>
      <c r="T5816" s="83" t="s">
        <v>15336</v>
      </c>
      <c r="U5816" s="95">
        <v>1800</v>
      </c>
      <c r="V5816" s="169">
        <v>45559</v>
      </c>
      <c r="W5816" s="85" t="s">
        <v>15337</v>
      </c>
      <c r="X5816" s="80"/>
      <c r="Y5816" s="22">
        <v>0</v>
      </c>
      <c r="Z5816" s="80" t="s">
        <v>50</v>
      </c>
      <c r="AA5816" s="35" t="s">
        <v>9905</v>
      </c>
      <c r="AB5816" s="80"/>
      <c r="AC5816" s="80" t="s">
        <v>53</v>
      </c>
      <c r="AD5816" s="80" t="s">
        <v>138</v>
      </c>
      <c r="AE5816" s="80" t="s">
        <v>11747</v>
      </c>
      <c r="AF5816" s="17">
        <v>45699</v>
      </c>
      <c r="AG5816" s="80"/>
      <c r="AH5816" s="80"/>
      <c r="AI5816" s="147"/>
      <c r="AJ5816" s="80"/>
      <c r="AK5816" s="80"/>
      <c r="AL5816" s="35"/>
      <c r="AM5816" s="35"/>
      <c r="AN5816" s="35"/>
      <c r="AO5816" s="35"/>
      <c r="AP5816" s="35"/>
    </row>
    <row r="5817" spans="1:42" x14ac:dyDescent="0.2">
      <c r="A5817" s="38">
        <v>45687</v>
      </c>
      <c r="B5817" s="68" t="s">
        <v>37</v>
      </c>
      <c r="C5817" s="41" t="s">
        <v>118</v>
      </c>
      <c r="D5817" s="26" t="s">
        <v>36</v>
      </c>
      <c r="E5817" s="26" t="s">
        <v>139</v>
      </c>
      <c r="F5817" s="26" t="s">
        <v>9973</v>
      </c>
      <c r="G5817" s="80" t="s">
        <v>221</v>
      </c>
      <c r="H5817" s="80" t="s">
        <v>19427</v>
      </c>
      <c r="I5817" s="17">
        <f ca="1">IFERROR(__xludf.DUMMYFUNCTION("""COMPUTED_VALUE"""),45699)</f>
        <v>45699</v>
      </c>
      <c r="J5817" s="29" t="s">
        <v>9207</v>
      </c>
      <c r="K5817" s="26" t="s">
        <v>9989</v>
      </c>
      <c r="L5817" s="30">
        <v>346998711</v>
      </c>
      <c r="M5817" s="26" t="s">
        <v>80</v>
      </c>
      <c r="N5817" s="26" t="s">
        <v>1073</v>
      </c>
      <c r="O5817" s="26" t="s">
        <v>9209</v>
      </c>
      <c r="P5817" s="42" t="s">
        <v>9210</v>
      </c>
      <c r="Q5817" s="20"/>
      <c r="R5817" s="26" t="s">
        <v>36</v>
      </c>
      <c r="S5817" s="95">
        <f>200+1800</f>
        <v>2000</v>
      </c>
      <c r="T5817" s="83" t="s">
        <v>9211</v>
      </c>
      <c r="U5817" s="95">
        <v>13936</v>
      </c>
      <c r="V5817" s="148">
        <v>45504</v>
      </c>
      <c r="W5817" s="33" t="s">
        <v>9212</v>
      </c>
      <c r="X5817" s="26"/>
      <c r="Y5817" s="22"/>
      <c r="Z5817" s="98" t="s">
        <v>118</v>
      </c>
      <c r="AA5817" s="70" t="s">
        <v>9070</v>
      </c>
      <c r="AB5817" s="26"/>
      <c r="AC5817" s="26" t="s">
        <v>53</v>
      </c>
      <c r="AD5817" s="26" t="s">
        <v>54</v>
      </c>
      <c r="AE5817" s="26" t="s">
        <v>9973</v>
      </c>
      <c r="AF5817" s="17">
        <v>45694</v>
      </c>
      <c r="AG5817" s="26"/>
      <c r="AH5817" s="26"/>
      <c r="AI5817" s="40"/>
      <c r="AJ5817" s="26"/>
      <c r="AK5817" s="26"/>
      <c r="AL5817" s="35"/>
      <c r="AM5817" s="35"/>
      <c r="AN5817" s="35"/>
      <c r="AO5817" s="35"/>
      <c r="AP5817" s="35"/>
    </row>
    <row r="5818" spans="1:42" x14ac:dyDescent="0.2">
      <c r="A5818" s="38">
        <v>45687</v>
      </c>
      <c r="B5818" s="28" t="s">
        <v>37</v>
      </c>
      <c r="C5818" s="41" t="s">
        <v>118</v>
      </c>
      <c r="D5818" s="80" t="s">
        <v>36</v>
      </c>
      <c r="E5818" s="80" t="s">
        <v>915</v>
      </c>
      <c r="F5818" s="80" t="s">
        <v>8650</v>
      </c>
      <c r="G5818" s="26" t="s">
        <v>1705</v>
      </c>
      <c r="H5818" s="26" t="s">
        <v>8912</v>
      </c>
      <c r="I5818" s="17"/>
      <c r="J5818" s="143" t="s">
        <v>7137</v>
      </c>
      <c r="K5818" s="80" t="s">
        <v>8690</v>
      </c>
      <c r="L5818" s="30">
        <v>362772271</v>
      </c>
      <c r="M5818" s="80" t="s">
        <v>112</v>
      </c>
      <c r="N5818" s="80" t="s">
        <v>113</v>
      </c>
      <c r="O5818" s="80" t="s">
        <v>36</v>
      </c>
      <c r="P5818" s="144" t="s">
        <v>7139</v>
      </c>
      <c r="Q5818" s="20">
        <v>10894</v>
      </c>
      <c r="R5818" s="80" t="s">
        <v>36</v>
      </c>
      <c r="S5818" s="77">
        <v>10499</v>
      </c>
      <c r="T5818" s="78">
        <v>45333</v>
      </c>
      <c r="U5818" s="77"/>
      <c r="V5818" s="78"/>
      <c r="W5818" s="85" t="s">
        <v>7140</v>
      </c>
      <c r="X5818" s="80"/>
      <c r="Y5818" s="22">
        <v>395</v>
      </c>
      <c r="Z5818" s="41" t="s">
        <v>118</v>
      </c>
      <c r="AA5818" s="86" t="s">
        <v>7077</v>
      </c>
      <c r="AB5818" s="80" t="s">
        <v>36</v>
      </c>
      <c r="AC5818" s="80" t="s">
        <v>53</v>
      </c>
      <c r="AD5818" s="86" t="s">
        <v>54</v>
      </c>
      <c r="AE5818" s="80" t="s">
        <v>8650</v>
      </c>
      <c r="AF5818" s="17">
        <v>45693</v>
      </c>
      <c r="AG5818" s="80"/>
      <c r="AH5818" s="80"/>
      <c r="AI5818" s="147">
        <v>3</v>
      </c>
      <c r="AJ5818" s="80"/>
      <c r="AK5818" s="80"/>
      <c r="AL5818" s="86"/>
      <c r="AM5818" s="86"/>
      <c r="AN5818" s="86"/>
      <c r="AO5818" s="86"/>
      <c r="AP5818" s="86"/>
    </row>
    <row r="5819" spans="1:42" x14ac:dyDescent="0.2">
      <c r="A5819" s="38">
        <v>45687</v>
      </c>
      <c r="B5819" s="68" t="s">
        <v>37</v>
      </c>
      <c r="C5819" s="41" t="s">
        <v>118</v>
      </c>
      <c r="D5819" s="26" t="s">
        <v>36</v>
      </c>
      <c r="E5819" s="26" t="s">
        <v>139</v>
      </c>
      <c r="F5819" s="26" t="s">
        <v>9906</v>
      </c>
      <c r="G5819" s="80" t="s">
        <v>221</v>
      </c>
      <c r="H5819" s="80" t="s">
        <v>9036</v>
      </c>
      <c r="I5819" s="17">
        <f ca="1">IFERROR(__xludf.DUMMYFUNCTION("""COMPUTED_VALUE"""),45701)</f>
        <v>45701</v>
      </c>
      <c r="J5819" s="29" t="s">
        <v>9935</v>
      </c>
      <c r="K5819" s="26" t="s">
        <v>9936</v>
      </c>
      <c r="L5819" s="30">
        <v>846219678</v>
      </c>
      <c r="M5819" s="26" t="s">
        <v>910</v>
      </c>
      <c r="N5819" s="26" t="s">
        <v>3525</v>
      </c>
      <c r="O5819" s="26" t="s">
        <v>9937</v>
      </c>
      <c r="P5819" s="42" t="s">
        <v>9938</v>
      </c>
      <c r="Q5819" s="20">
        <v>15936</v>
      </c>
      <c r="R5819" s="26" t="s">
        <v>36</v>
      </c>
      <c r="S5819" s="95">
        <f>100+1900</f>
        <v>2000</v>
      </c>
      <c r="T5819" s="83" t="s">
        <v>9155</v>
      </c>
      <c r="U5819" s="95">
        <v>13936</v>
      </c>
      <c r="V5819" s="148">
        <v>45515</v>
      </c>
      <c r="W5819" s="33" t="s">
        <v>9939</v>
      </c>
      <c r="X5819" s="26">
        <v>0</v>
      </c>
      <c r="Y5819" s="22">
        <v>0</v>
      </c>
      <c r="Z5819" s="98" t="s">
        <v>118</v>
      </c>
      <c r="AA5819" s="96"/>
      <c r="AB5819" s="26" t="s">
        <v>36</v>
      </c>
      <c r="AC5819" s="26" t="s">
        <v>53</v>
      </c>
      <c r="AD5819" s="26" t="s">
        <v>54</v>
      </c>
      <c r="AE5819" s="26" t="s">
        <v>9906</v>
      </c>
      <c r="AF5819" s="17">
        <v>45695</v>
      </c>
      <c r="AG5819" s="26"/>
      <c r="AH5819" s="26"/>
      <c r="AI5819" s="40"/>
      <c r="AJ5819" s="26"/>
      <c r="AK5819" s="26"/>
      <c r="AL5819" s="35"/>
      <c r="AM5819" s="35"/>
      <c r="AN5819" s="35"/>
      <c r="AO5819" s="35"/>
      <c r="AP5819" s="35"/>
    </row>
    <row r="5820" spans="1:42" x14ac:dyDescent="0.2">
      <c r="A5820" s="38">
        <v>45687</v>
      </c>
      <c r="B5820" s="68" t="s">
        <v>37</v>
      </c>
      <c r="C5820" s="41" t="s">
        <v>118</v>
      </c>
      <c r="D5820" s="80" t="s">
        <v>36</v>
      </c>
      <c r="E5820" s="80" t="s">
        <v>119</v>
      </c>
      <c r="F5820" s="80" t="s">
        <v>9973</v>
      </c>
      <c r="G5820" s="80" t="s">
        <v>221</v>
      </c>
      <c r="H5820" s="80" t="s">
        <v>19427</v>
      </c>
      <c r="I5820" s="17">
        <f ca="1">IFERROR(__xludf.DUMMYFUNCTION("""COMPUTED_VALUE"""),45699)</f>
        <v>45699</v>
      </c>
      <c r="J5820" s="143" t="s">
        <v>12600</v>
      </c>
      <c r="K5820" s="80" t="s">
        <v>12601</v>
      </c>
      <c r="L5820" s="30">
        <v>926569111</v>
      </c>
      <c r="M5820" s="80" t="s">
        <v>9422</v>
      </c>
      <c r="N5820" s="80" t="s">
        <v>12602</v>
      </c>
      <c r="O5820" s="80" t="s">
        <v>12603</v>
      </c>
      <c r="P5820" s="80" t="s">
        <v>12604</v>
      </c>
      <c r="Q5820" s="20">
        <v>13968</v>
      </c>
      <c r="R5820" s="80" t="s">
        <v>36</v>
      </c>
      <c r="S5820" s="95">
        <v>14000</v>
      </c>
      <c r="T5820" s="148">
        <v>45536</v>
      </c>
      <c r="U5820" s="77"/>
      <c r="V5820" s="78"/>
      <c r="W5820" s="85" t="s">
        <v>12605</v>
      </c>
      <c r="X5820" s="80">
        <v>0</v>
      </c>
      <c r="Y5820" s="22">
        <v>-32</v>
      </c>
      <c r="Z5820" s="80" t="s">
        <v>50</v>
      </c>
      <c r="AA5820" s="35" t="s">
        <v>3291</v>
      </c>
      <c r="AB5820" s="80"/>
      <c r="AC5820" s="80" t="s">
        <v>53</v>
      </c>
      <c r="AD5820" s="80" t="s">
        <v>54</v>
      </c>
      <c r="AE5820" s="80" t="s">
        <v>9973</v>
      </c>
      <c r="AF5820" s="17">
        <v>45694</v>
      </c>
      <c r="AG5820" s="80"/>
      <c r="AH5820" s="80"/>
      <c r="AI5820" s="147">
        <v>4</v>
      </c>
      <c r="AJ5820" s="80"/>
      <c r="AK5820" s="80"/>
      <c r="AL5820" s="35"/>
      <c r="AM5820" s="35"/>
      <c r="AN5820" s="35"/>
      <c r="AO5820" s="35"/>
      <c r="AP5820" s="35"/>
    </row>
    <row r="5821" spans="1:42" x14ac:dyDescent="0.2">
      <c r="A5821" s="38">
        <v>45687</v>
      </c>
      <c r="B5821" s="68" t="s">
        <v>37</v>
      </c>
      <c r="C5821" s="41" t="s">
        <v>118</v>
      </c>
      <c r="D5821" s="80" t="s">
        <v>36</v>
      </c>
      <c r="E5821" s="80" t="s">
        <v>119</v>
      </c>
      <c r="F5821" s="80" t="s">
        <v>9856</v>
      </c>
      <c r="G5821" s="80" t="s">
        <v>221</v>
      </c>
      <c r="H5821" s="80" t="s">
        <v>9036</v>
      </c>
      <c r="I5821" s="17">
        <f ca="1">IFERROR(__xludf.DUMMYFUNCTION("""COMPUTED_VALUE"""),45701)</f>
        <v>45701</v>
      </c>
      <c r="J5821" s="143" t="s">
        <v>12279</v>
      </c>
      <c r="K5821" s="145" t="s">
        <v>19428</v>
      </c>
      <c r="L5821" s="30">
        <v>395945508</v>
      </c>
      <c r="M5821" s="80" t="s">
        <v>80</v>
      </c>
      <c r="N5821" s="80" t="s">
        <v>466</v>
      </c>
      <c r="O5821" s="80" t="s">
        <v>12281</v>
      </c>
      <c r="P5821" s="80" t="s">
        <v>12282</v>
      </c>
      <c r="Q5821" s="20">
        <v>13968</v>
      </c>
      <c r="R5821" s="80" t="s">
        <v>36</v>
      </c>
      <c r="S5821" s="95">
        <f>200+3800</f>
        <v>4000</v>
      </c>
      <c r="T5821" s="83" t="s">
        <v>12283</v>
      </c>
      <c r="U5821" s="95">
        <v>9968</v>
      </c>
      <c r="V5821" s="148">
        <v>45562</v>
      </c>
      <c r="W5821" s="85" t="s">
        <v>12284</v>
      </c>
      <c r="X5821" s="26">
        <v>0</v>
      </c>
      <c r="Y5821" s="22">
        <v>0</v>
      </c>
      <c r="Z5821" s="26" t="s">
        <v>50</v>
      </c>
      <c r="AA5821" s="96" t="s">
        <v>3291</v>
      </c>
      <c r="AB5821" s="26"/>
      <c r="AC5821" s="26" t="s">
        <v>53</v>
      </c>
      <c r="AD5821" s="26" t="s">
        <v>54</v>
      </c>
      <c r="AE5821" s="80" t="s">
        <v>9856</v>
      </c>
      <c r="AF5821" s="17">
        <v>45695</v>
      </c>
      <c r="AG5821" s="26"/>
      <c r="AH5821" s="26"/>
      <c r="AI5821" s="40">
        <v>4</v>
      </c>
      <c r="AJ5821" s="26"/>
      <c r="AK5821" s="26"/>
      <c r="AL5821" s="35"/>
      <c r="AM5821" s="35"/>
      <c r="AN5821" s="35"/>
      <c r="AO5821" s="35"/>
      <c r="AP5821" s="35"/>
    </row>
    <row r="5822" spans="1:42" x14ac:dyDescent="0.2">
      <c r="A5822" s="38">
        <v>45687</v>
      </c>
      <c r="B5822" s="68" t="s">
        <v>37</v>
      </c>
      <c r="C5822" s="41" t="s">
        <v>118</v>
      </c>
      <c r="D5822" s="26" t="s">
        <v>36</v>
      </c>
      <c r="E5822" s="26" t="s">
        <v>139</v>
      </c>
      <c r="F5822" s="26" t="s">
        <v>9906</v>
      </c>
      <c r="G5822" s="26" t="s">
        <v>221</v>
      </c>
      <c r="H5822" s="26" t="s">
        <v>18555</v>
      </c>
      <c r="I5822" s="17">
        <f ca="1">IFERROR(__xludf.DUMMYFUNCTION("""COMPUTED_VALUE"""),45698)</f>
        <v>45698</v>
      </c>
      <c r="J5822" s="29" t="s">
        <v>9913</v>
      </c>
      <c r="K5822" s="26" t="s">
        <v>9914</v>
      </c>
      <c r="L5822" s="47">
        <v>797779618</v>
      </c>
      <c r="M5822" s="26" t="s">
        <v>5429</v>
      </c>
      <c r="N5822" s="26" t="s">
        <v>9166</v>
      </c>
      <c r="O5822" s="26" t="s">
        <v>9915</v>
      </c>
      <c r="P5822" s="42" t="s">
        <v>9916</v>
      </c>
      <c r="Q5822" s="20">
        <v>15936</v>
      </c>
      <c r="R5822" s="26" t="s">
        <v>36</v>
      </c>
      <c r="S5822" s="95">
        <f>200+1800+2000</f>
        <v>4000</v>
      </c>
      <c r="T5822" s="83" t="s">
        <v>9917</v>
      </c>
      <c r="U5822" s="95">
        <v>11936</v>
      </c>
      <c r="V5822" s="148">
        <v>45516</v>
      </c>
      <c r="W5822" s="33" t="s">
        <v>9918</v>
      </c>
      <c r="X5822" s="26">
        <v>0</v>
      </c>
      <c r="Y5822" s="22">
        <v>0</v>
      </c>
      <c r="Z5822" s="98" t="s">
        <v>118</v>
      </c>
      <c r="AA5822" s="35"/>
      <c r="AB5822" s="26" t="s">
        <v>36</v>
      </c>
      <c r="AC5822" s="26" t="s">
        <v>53</v>
      </c>
      <c r="AD5822" s="26" t="s">
        <v>54</v>
      </c>
      <c r="AE5822" s="26" t="s">
        <v>9906</v>
      </c>
      <c r="AF5822" s="17">
        <v>45693</v>
      </c>
      <c r="AG5822" s="26"/>
      <c r="AH5822" s="26"/>
      <c r="AI5822" s="40"/>
      <c r="AJ5822" s="26"/>
      <c r="AK5822" s="26"/>
      <c r="AL5822" s="35"/>
      <c r="AM5822" s="35"/>
      <c r="AN5822" s="35"/>
      <c r="AO5822" s="35"/>
      <c r="AP5822" s="35"/>
    </row>
    <row r="5823" spans="1:42" x14ac:dyDescent="0.2">
      <c r="A5823" s="38">
        <v>45687</v>
      </c>
      <c r="B5823" s="137" t="s">
        <v>37</v>
      </c>
      <c r="C5823" s="41" t="s">
        <v>118</v>
      </c>
      <c r="D5823" s="80" t="s">
        <v>36</v>
      </c>
      <c r="E5823" s="80" t="s">
        <v>119</v>
      </c>
      <c r="F5823" s="80" t="s">
        <v>10223</v>
      </c>
      <c r="G5823" s="80" t="s">
        <v>221</v>
      </c>
      <c r="H5823" s="80" t="s">
        <v>18323</v>
      </c>
      <c r="I5823" s="17">
        <f ca="1">IFERROR(__xludf.DUMMYFUNCTION("""COMPUTED_VALUE"""),45698)</f>
        <v>45698</v>
      </c>
      <c r="J5823" s="143" t="s">
        <v>15786</v>
      </c>
      <c r="K5823" s="80" t="s">
        <v>15787</v>
      </c>
      <c r="L5823" s="30">
        <v>396484206</v>
      </c>
      <c r="M5823" s="80" t="s">
        <v>5429</v>
      </c>
      <c r="N5823" s="80" t="s">
        <v>756</v>
      </c>
      <c r="O5823" s="80" t="s">
        <v>15788</v>
      </c>
      <c r="P5823" s="80" t="s">
        <v>6368</v>
      </c>
      <c r="Q5823" s="20">
        <v>13968</v>
      </c>
      <c r="R5823" s="80" t="s">
        <v>36</v>
      </c>
      <c r="S5823" s="95">
        <f t="shared" ref="S5823:S5825" si="164">200+3800</f>
        <v>4000</v>
      </c>
      <c r="T5823" s="83" t="s">
        <v>15789</v>
      </c>
      <c r="U5823" s="95">
        <v>9968</v>
      </c>
      <c r="V5823" s="169">
        <v>45594</v>
      </c>
      <c r="W5823" s="85" t="s">
        <v>15790</v>
      </c>
      <c r="X5823" s="80"/>
      <c r="Y5823" s="22">
        <v>0</v>
      </c>
      <c r="Z5823" s="80" t="s">
        <v>50</v>
      </c>
      <c r="AA5823" s="96" t="s">
        <v>9905</v>
      </c>
      <c r="AB5823" s="80"/>
      <c r="AC5823" s="80" t="s">
        <v>53</v>
      </c>
      <c r="AD5823" s="80" t="s">
        <v>138</v>
      </c>
      <c r="AE5823" s="80" t="s">
        <v>10223</v>
      </c>
      <c r="AF5823" s="17">
        <v>45698</v>
      </c>
      <c r="AG5823" s="80"/>
      <c r="AH5823" s="80"/>
      <c r="AI5823" s="147"/>
      <c r="AJ5823" s="80"/>
      <c r="AK5823" s="80"/>
      <c r="AL5823" s="35"/>
      <c r="AM5823" s="35"/>
      <c r="AN5823" s="35"/>
      <c r="AO5823" s="35"/>
      <c r="AP5823" s="35"/>
    </row>
    <row r="5824" spans="1:42" x14ac:dyDescent="0.2">
      <c r="A5824" s="38">
        <v>45687</v>
      </c>
      <c r="B5824" s="137" t="s">
        <v>37</v>
      </c>
      <c r="C5824" s="41" t="s">
        <v>118</v>
      </c>
      <c r="D5824" s="80" t="s">
        <v>36</v>
      </c>
      <c r="E5824" s="80" t="s">
        <v>119</v>
      </c>
      <c r="F5824" s="80" t="s">
        <v>10223</v>
      </c>
      <c r="G5824" s="80" t="s">
        <v>221</v>
      </c>
      <c r="H5824" s="80" t="s">
        <v>18323</v>
      </c>
      <c r="I5824" s="17">
        <f ca="1">IFERROR(__xludf.DUMMYFUNCTION("""COMPUTED_VALUE"""),45698)</f>
        <v>45698</v>
      </c>
      <c r="J5824" s="143" t="s">
        <v>15891</v>
      </c>
      <c r="K5824" s="80" t="s">
        <v>15892</v>
      </c>
      <c r="L5824" s="30">
        <v>984657538</v>
      </c>
      <c r="M5824" s="80" t="s">
        <v>5429</v>
      </c>
      <c r="N5824" s="80" t="s">
        <v>756</v>
      </c>
      <c r="O5824" s="80" t="s">
        <v>15893</v>
      </c>
      <c r="P5824" s="80" t="s">
        <v>6368</v>
      </c>
      <c r="Q5824" s="20">
        <v>13968</v>
      </c>
      <c r="R5824" s="80" t="s">
        <v>36</v>
      </c>
      <c r="S5824" s="95">
        <f t="shared" si="164"/>
        <v>4000</v>
      </c>
      <c r="T5824" s="83" t="s">
        <v>15894</v>
      </c>
      <c r="U5824" s="95">
        <v>10000</v>
      </c>
      <c r="V5824" s="169">
        <v>45594</v>
      </c>
      <c r="W5824" s="85" t="s">
        <v>15895</v>
      </c>
      <c r="X5824" s="80"/>
      <c r="Y5824" s="22">
        <v>-32</v>
      </c>
      <c r="Z5824" s="80" t="s">
        <v>50</v>
      </c>
      <c r="AA5824" s="35" t="s">
        <v>9905</v>
      </c>
      <c r="AB5824" s="80"/>
      <c r="AC5824" s="80" t="s">
        <v>53</v>
      </c>
      <c r="AD5824" s="80" t="s">
        <v>138</v>
      </c>
      <c r="AE5824" s="80" t="s">
        <v>10223</v>
      </c>
      <c r="AF5824" s="17">
        <v>45698</v>
      </c>
      <c r="AG5824" s="80"/>
      <c r="AH5824" s="80"/>
      <c r="AI5824" s="147"/>
      <c r="AJ5824" s="80"/>
      <c r="AK5824" s="80"/>
      <c r="AL5824" s="35"/>
      <c r="AM5824" s="35"/>
      <c r="AN5824" s="35"/>
      <c r="AO5824" s="35"/>
      <c r="AP5824" s="35"/>
    </row>
    <row r="5825" spans="1:42" x14ac:dyDescent="0.2">
      <c r="A5825" s="38">
        <v>45687</v>
      </c>
      <c r="B5825" s="137" t="s">
        <v>37</v>
      </c>
      <c r="C5825" s="41" t="s">
        <v>118</v>
      </c>
      <c r="D5825" s="80" t="s">
        <v>36</v>
      </c>
      <c r="E5825" s="80" t="s">
        <v>119</v>
      </c>
      <c r="F5825" s="80" t="s">
        <v>10223</v>
      </c>
      <c r="G5825" s="80" t="s">
        <v>221</v>
      </c>
      <c r="H5825" s="80" t="s">
        <v>18323</v>
      </c>
      <c r="I5825" s="17">
        <f ca="1">IFERROR(__xludf.DUMMYFUNCTION("""COMPUTED_VALUE"""),45698)</f>
        <v>45698</v>
      </c>
      <c r="J5825" s="143" t="s">
        <v>15768</v>
      </c>
      <c r="K5825" s="80" t="s">
        <v>15769</v>
      </c>
      <c r="L5825" s="30">
        <v>367572422</v>
      </c>
      <c r="M5825" s="80" t="s">
        <v>5429</v>
      </c>
      <c r="N5825" s="80" t="s">
        <v>756</v>
      </c>
      <c r="O5825" s="80" t="s">
        <v>15770</v>
      </c>
      <c r="P5825" s="80" t="s">
        <v>6368</v>
      </c>
      <c r="Q5825" s="20">
        <v>13968</v>
      </c>
      <c r="R5825" s="80" t="s">
        <v>36</v>
      </c>
      <c r="S5825" s="95">
        <f t="shared" si="164"/>
        <v>4000</v>
      </c>
      <c r="T5825" s="83" t="s">
        <v>15771</v>
      </c>
      <c r="U5825" s="95">
        <v>9968</v>
      </c>
      <c r="V5825" s="169">
        <v>45594</v>
      </c>
      <c r="W5825" s="85" t="s">
        <v>15772</v>
      </c>
      <c r="X5825" s="80"/>
      <c r="Y5825" s="22">
        <v>0</v>
      </c>
      <c r="Z5825" s="80" t="s">
        <v>50</v>
      </c>
      <c r="AA5825" s="96" t="s">
        <v>9905</v>
      </c>
      <c r="AB5825" s="80"/>
      <c r="AC5825" s="80" t="s">
        <v>53</v>
      </c>
      <c r="AD5825" s="80" t="s">
        <v>138</v>
      </c>
      <c r="AE5825" s="80" t="s">
        <v>10223</v>
      </c>
      <c r="AF5825" s="17">
        <v>45698</v>
      </c>
      <c r="AG5825" s="80"/>
      <c r="AH5825" s="80"/>
      <c r="AI5825" s="147"/>
      <c r="AJ5825" s="80"/>
      <c r="AK5825" s="80"/>
      <c r="AL5825" s="35"/>
      <c r="AM5825" s="35"/>
      <c r="AN5825" s="35"/>
      <c r="AO5825" s="35"/>
      <c r="AP5825" s="35"/>
    </row>
    <row r="5826" spans="1:42" x14ac:dyDescent="0.2">
      <c r="A5826" s="38">
        <v>45687</v>
      </c>
      <c r="B5826" s="137" t="s">
        <v>37</v>
      </c>
      <c r="C5826" s="41" t="s">
        <v>118</v>
      </c>
      <c r="D5826" s="80" t="s">
        <v>36</v>
      </c>
      <c r="E5826" s="80" t="s">
        <v>119</v>
      </c>
      <c r="F5826" s="80" t="s">
        <v>10223</v>
      </c>
      <c r="G5826" s="80" t="s">
        <v>221</v>
      </c>
      <c r="H5826" s="80" t="s">
        <v>18323</v>
      </c>
      <c r="I5826" s="17">
        <f ca="1">IFERROR(__xludf.DUMMYFUNCTION("""COMPUTED_VALUE"""),45698)</f>
        <v>45698</v>
      </c>
      <c r="J5826" s="143" t="s">
        <v>16143</v>
      </c>
      <c r="K5826" s="80" t="s">
        <v>5899</v>
      </c>
      <c r="L5826" s="30">
        <v>396718416</v>
      </c>
      <c r="M5826" s="80" t="s">
        <v>2755</v>
      </c>
      <c r="N5826" s="80" t="s">
        <v>2756</v>
      </c>
      <c r="O5826" s="80" t="s">
        <v>4503</v>
      </c>
      <c r="P5826" s="80" t="s">
        <v>16144</v>
      </c>
      <c r="Q5826" s="20">
        <v>13968</v>
      </c>
      <c r="R5826" s="80" t="s">
        <v>36</v>
      </c>
      <c r="S5826" s="95">
        <v>5000</v>
      </c>
      <c r="T5826" s="148">
        <v>45571</v>
      </c>
      <c r="U5826" s="95">
        <v>8968</v>
      </c>
      <c r="V5826" s="148">
        <v>45582</v>
      </c>
      <c r="W5826" s="85" t="s">
        <v>16145</v>
      </c>
      <c r="X5826" s="80"/>
      <c r="Y5826" s="22">
        <v>0</v>
      </c>
      <c r="Z5826" s="80" t="s">
        <v>50</v>
      </c>
      <c r="AA5826" s="35" t="s">
        <v>9905</v>
      </c>
      <c r="AB5826" s="80"/>
      <c r="AC5826" s="80" t="s">
        <v>53</v>
      </c>
      <c r="AD5826" s="80" t="s">
        <v>138</v>
      </c>
      <c r="AE5826" s="80" t="s">
        <v>10223</v>
      </c>
      <c r="AF5826" s="17">
        <v>45698</v>
      </c>
      <c r="AG5826" s="80"/>
      <c r="AH5826" s="80"/>
      <c r="AI5826" s="147"/>
      <c r="AJ5826" s="80"/>
      <c r="AK5826" s="80"/>
      <c r="AL5826" s="35"/>
      <c r="AM5826" s="35"/>
      <c r="AN5826" s="35"/>
      <c r="AO5826" s="35"/>
      <c r="AP5826" s="35"/>
    </row>
    <row r="5827" spans="1:42" x14ac:dyDescent="0.2">
      <c r="A5827" s="38">
        <v>45687</v>
      </c>
      <c r="B5827" s="68" t="s">
        <v>37</v>
      </c>
      <c r="C5827" s="41" t="s">
        <v>118</v>
      </c>
      <c r="D5827" s="80" t="s">
        <v>36</v>
      </c>
      <c r="E5827" s="80" t="s">
        <v>139</v>
      </c>
      <c r="F5827" s="80" t="s">
        <v>10992</v>
      </c>
      <c r="G5827" s="80" t="s">
        <v>108</v>
      </c>
      <c r="H5827" s="80" t="s">
        <v>13773</v>
      </c>
      <c r="I5827" s="17">
        <f ca="1">IFERROR(__xludf.DUMMYFUNCTION("""COMPUTED_VALUE"""),45699)</f>
        <v>45699</v>
      </c>
      <c r="J5827" s="143" t="s">
        <v>15782</v>
      </c>
      <c r="K5827" s="80" t="s">
        <v>19429</v>
      </c>
      <c r="L5827" s="30">
        <v>799088836</v>
      </c>
      <c r="M5827" s="80" t="s">
        <v>5558</v>
      </c>
      <c r="N5827" s="80" t="s">
        <v>850</v>
      </c>
      <c r="O5827" s="80" t="s">
        <v>4503</v>
      </c>
      <c r="P5827" s="144" t="s">
        <v>15784</v>
      </c>
      <c r="Q5827" s="20">
        <v>15936</v>
      </c>
      <c r="R5827" s="80" t="s">
        <v>36</v>
      </c>
      <c r="S5827" s="95">
        <v>2000</v>
      </c>
      <c r="T5827" s="148">
        <v>45562</v>
      </c>
      <c r="U5827" s="95">
        <v>13936</v>
      </c>
      <c r="V5827" s="148">
        <v>45586</v>
      </c>
      <c r="W5827" s="85" t="s">
        <v>15785</v>
      </c>
      <c r="X5827" s="80"/>
      <c r="Y5827" s="22">
        <v>0</v>
      </c>
      <c r="Z5827" s="80" t="s">
        <v>50</v>
      </c>
      <c r="AA5827" s="96" t="s">
        <v>9905</v>
      </c>
      <c r="AB5827" s="80"/>
      <c r="AC5827" s="80" t="s">
        <v>53</v>
      </c>
      <c r="AD5827" s="80" t="s">
        <v>54</v>
      </c>
      <c r="AE5827" s="80" t="s">
        <v>10992</v>
      </c>
      <c r="AF5827" s="17">
        <v>45694</v>
      </c>
      <c r="AG5827" s="80"/>
      <c r="AH5827" s="80"/>
      <c r="AI5827" s="147"/>
      <c r="AJ5827" s="80"/>
      <c r="AK5827" s="80"/>
      <c r="AL5827" s="35"/>
      <c r="AM5827" s="35"/>
      <c r="AN5827" s="35"/>
      <c r="AO5827" s="35"/>
      <c r="AP5827" s="35"/>
    </row>
    <row r="5828" spans="1:42" x14ac:dyDescent="0.2">
      <c r="A5828" s="38">
        <v>45691</v>
      </c>
      <c r="B5828" s="68" t="s">
        <v>37</v>
      </c>
      <c r="C5828" s="41" t="s">
        <v>118</v>
      </c>
      <c r="D5828" s="80" t="s">
        <v>36</v>
      </c>
      <c r="E5828" s="80" t="s">
        <v>139</v>
      </c>
      <c r="F5828" s="80" t="s">
        <v>14934</v>
      </c>
      <c r="G5828" s="80" t="s">
        <v>108</v>
      </c>
      <c r="H5828" s="80" t="s">
        <v>18568</v>
      </c>
      <c r="I5828" s="17">
        <f ca="1">IFERROR(__xludf.DUMMYFUNCTION("""COMPUTED_VALUE"""),45699)</f>
        <v>45699</v>
      </c>
      <c r="J5828" s="143" t="s">
        <v>14935</v>
      </c>
      <c r="K5828" s="80" t="s">
        <v>19430</v>
      </c>
      <c r="L5828" s="30">
        <v>366805330</v>
      </c>
      <c r="M5828" s="80" t="s">
        <v>5429</v>
      </c>
      <c r="N5828" s="80" t="s">
        <v>7051</v>
      </c>
      <c r="O5828" s="80" t="s">
        <v>14937</v>
      </c>
      <c r="P5828" s="80" t="s">
        <v>7107</v>
      </c>
      <c r="Q5828" s="20">
        <v>15936</v>
      </c>
      <c r="R5828" s="80" t="s">
        <v>36</v>
      </c>
      <c r="S5828" s="95">
        <f>200+1800</f>
        <v>2000</v>
      </c>
      <c r="T5828" s="83" t="s">
        <v>14938</v>
      </c>
      <c r="U5828" s="95">
        <v>13936</v>
      </c>
      <c r="V5828" s="148">
        <v>45590</v>
      </c>
      <c r="W5828" s="85" t="s">
        <v>14939</v>
      </c>
      <c r="X5828" s="80"/>
      <c r="Y5828" s="22">
        <v>0</v>
      </c>
      <c r="Z5828" s="80" t="s">
        <v>50</v>
      </c>
      <c r="AA5828" s="35" t="s">
        <v>9905</v>
      </c>
      <c r="AB5828" s="80"/>
      <c r="AC5828" s="80" t="s">
        <v>53</v>
      </c>
      <c r="AD5828" s="80" t="s">
        <v>138</v>
      </c>
      <c r="AE5828" s="80" t="s">
        <v>14934</v>
      </c>
      <c r="AF5828" s="17">
        <v>45699</v>
      </c>
      <c r="AG5828" s="80"/>
      <c r="AH5828" s="80"/>
      <c r="AI5828" s="147"/>
      <c r="AJ5828" s="80"/>
      <c r="AK5828" s="80"/>
      <c r="AL5828" s="35"/>
      <c r="AM5828" s="35"/>
      <c r="AN5828" s="35"/>
      <c r="AO5828" s="35"/>
      <c r="AP5828" s="35"/>
    </row>
    <row r="5829" spans="1:42" x14ac:dyDescent="0.2">
      <c r="A5829" s="38">
        <v>45691</v>
      </c>
      <c r="B5829" s="68" t="s">
        <v>37</v>
      </c>
      <c r="C5829" s="41" t="s">
        <v>118</v>
      </c>
      <c r="D5829" s="26" t="s">
        <v>36</v>
      </c>
      <c r="E5829" s="26" t="s">
        <v>148</v>
      </c>
      <c r="F5829" s="26" t="s">
        <v>4869</v>
      </c>
      <c r="G5829" s="26" t="s">
        <v>221</v>
      </c>
      <c r="H5829" s="26" t="s">
        <v>19427</v>
      </c>
      <c r="I5829" s="17">
        <f ca="1">IFERROR(__xludf.DUMMYFUNCTION("""COMPUTED_VALUE"""),45699)</f>
        <v>45699</v>
      </c>
      <c r="J5829" s="29" t="s">
        <v>6366</v>
      </c>
      <c r="K5829" s="26" t="s">
        <v>6367</v>
      </c>
      <c r="L5829" s="30">
        <v>368306812</v>
      </c>
      <c r="M5829" s="26" t="s">
        <v>5429</v>
      </c>
      <c r="N5829" s="26" t="s">
        <v>81</v>
      </c>
      <c r="O5829" s="26" t="s">
        <v>2981</v>
      </c>
      <c r="P5829" s="42" t="s">
        <v>19431</v>
      </c>
      <c r="Q5829" s="20">
        <v>7349</v>
      </c>
      <c r="R5829" s="26" t="s">
        <v>36</v>
      </c>
      <c r="S5829" s="31">
        <v>7349</v>
      </c>
      <c r="T5829" s="32">
        <v>45274</v>
      </c>
      <c r="U5829" s="31"/>
      <c r="V5829" s="32"/>
      <c r="W5829" s="33" t="s">
        <v>6369</v>
      </c>
      <c r="X5829" s="26"/>
      <c r="Y5829" s="22">
        <v>0</v>
      </c>
      <c r="Z5829" s="26" t="s">
        <v>50</v>
      </c>
      <c r="AA5829" s="19" t="s">
        <v>5961</v>
      </c>
      <c r="AB5829" s="26"/>
      <c r="AC5829" s="26" t="s">
        <v>53</v>
      </c>
      <c r="AD5829" s="19" t="s">
        <v>138</v>
      </c>
      <c r="AE5829" s="26" t="s">
        <v>4869</v>
      </c>
      <c r="AF5829" s="17">
        <v>45694</v>
      </c>
      <c r="AG5829" s="26"/>
      <c r="AH5829" s="26">
        <v>2</v>
      </c>
      <c r="AI5829" s="40"/>
      <c r="AJ5829" s="26"/>
      <c r="AK5829" s="26"/>
      <c r="AL5829" s="35"/>
      <c r="AM5829" s="35"/>
      <c r="AN5829" s="35"/>
      <c r="AO5829" s="35"/>
      <c r="AP5829" s="35"/>
    </row>
    <row r="5830" spans="1:42" x14ac:dyDescent="0.2">
      <c r="A5830" s="38">
        <v>45691</v>
      </c>
      <c r="B5830" s="68" t="s">
        <v>37</v>
      </c>
      <c r="C5830" s="41" t="s">
        <v>118</v>
      </c>
      <c r="D5830" s="26" t="s">
        <v>36</v>
      </c>
      <c r="E5830" s="26" t="s">
        <v>119</v>
      </c>
      <c r="F5830" s="26" t="s">
        <v>8997</v>
      </c>
      <c r="G5830" s="26" t="s">
        <v>1705</v>
      </c>
      <c r="H5830" s="26" t="s">
        <v>8998</v>
      </c>
      <c r="I5830" s="17">
        <f ca="1">IFERROR(__xludf.DUMMYFUNCTION("""COMPUTED_VALUE"""),45714)</f>
        <v>45714</v>
      </c>
      <c r="J5830" s="29" t="s">
        <v>8199</v>
      </c>
      <c r="K5830" s="26" t="s">
        <v>1645</v>
      </c>
      <c r="L5830" s="30">
        <v>563352876</v>
      </c>
      <c r="M5830" s="26" t="s">
        <v>5429</v>
      </c>
      <c r="N5830" s="26" t="s">
        <v>81</v>
      </c>
      <c r="O5830" s="26" t="s">
        <v>8200</v>
      </c>
      <c r="P5830" s="42" t="s">
        <v>19432</v>
      </c>
      <c r="Q5830" s="20">
        <v>13968</v>
      </c>
      <c r="R5830" s="26" t="s">
        <v>36</v>
      </c>
      <c r="S5830" s="31">
        <v>4000</v>
      </c>
      <c r="T5830" s="32">
        <v>45381</v>
      </c>
      <c r="U5830" s="31">
        <v>10000</v>
      </c>
      <c r="V5830" s="32">
        <v>45393</v>
      </c>
      <c r="W5830" s="33" t="s">
        <v>8202</v>
      </c>
      <c r="X5830" s="26"/>
      <c r="Y5830" s="22">
        <v>-32</v>
      </c>
      <c r="Z5830" s="98" t="s">
        <v>118</v>
      </c>
      <c r="AA5830" s="19" t="s">
        <v>8102</v>
      </c>
      <c r="AB5830" s="26" t="s">
        <v>36</v>
      </c>
      <c r="AC5830" s="26" t="s">
        <v>53</v>
      </c>
      <c r="AD5830" s="19" t="s">
        <v>138</v>
      </c>
      <c r="AE5830" s="26" t="s">
        <v>8997</v>
      </c>
      <c r="AF5830" s="17">
        <v>45714</v>
      </c>
      <c r="AG5830" s="26"/>
      <c r="AH5830" s="26"/>
      <c r="AI5830" s="40"/>
      <c r="AJ5830" s="26"/>
      <c r="AK5830" s="26"/>
      <c r="AL5830" s="35"/>
      <c r="AM5830" s="35"/>
      <c r="AN5830" s="35"/>
      <c r="AO5830" s="35"/>
      <c r="AP5830" s="35"/>
    </row>
    <row r="5831" spans="1:42" x14ac:dyDescent="0.2">
      <c r="A5831" s="38">
        <v>45691</v>
      </c>
      <c r="B5831" s="68" t="s">
        <v>37</v>
      </c>
      <c r="C5831" s="41" t="s">
        <v>118</v>
      </c>
      <c r="D5831" s="26" t="s">
        <v>36</v>
      </c>
      <c r="E5831" s="26" t="s">
        <v>139</v>
      </c>
      <c r="F5831" s="26" t="s">
        <v>9973</v>
      </c>
      <c r="G5831" s="26" t="s">
        <v>221</v>
      </c>
      <c r="H5831" s="26" t="s">
        <v>19427</v>
      </c>
      <c r="I5831" s="17">
        <f ca="1">IFERROR(__xludf.DUMMYFUNCTION("""COMPUTED_VALUE"""),45699)</f>
        <v>45699</v>
      </c>
      <c r="J5831" s="29" t="s">
        <v>9146</v>
      </c>
      <c r="K5831" s="26" t="s">
        <v>9987</v>
      </c>
      <c r="L5831" s="30">
        <v>395678117</v>
      </c>
      <c r="M5831" s="26" t="s">
        <v>80</v>
      </c>
      <c r="N5831" s="26" t="s">
        <v>1073</v>
      </c>
      <c r="O5831" s="26" t="s">
        <v>9148</v>
      </c>
      <c r="P5831" s="42" t="s">
        <v>9988</v>
      </c>
      <c r="Q5831" s="20"/>
      <c r="R5831" s="26" t="s">
        <v>36</v>
      </c>
      <c r="S5831" s="95">
        <v>2000</v>
      </c>
      <c r="T5831" s="148">
        <v>45473</v>
      </c>
      <c r="U5831" s="95">
        <v>13936</v>
      </c>
      <c r="V5831" s="148">
        <v>45504</v>
      </c>
      <c r="W5831" s="33" t="s">
        <v>9150</v>
      </c>
      <c r="X5831" s="26"/>
      <c r="Y5831" s="22"/>
      <c r="Z5831" s="98" t="s">
        <v>118</v>
      </c>
      <c r="AA5831" s="70" t="s">
        <v>9070</v>
      </c>
      <c r="AB5831" s="26"/>
      <c r="AC5831" s="26" t="s">
        <v>53</v>
      </c>
      <c r="AD5831" s="26" t="s">
        <v>54</v>
      </c>
      <c r="AE5831" s="26" t="s">
        <v>9973</v>
      </c>
      <c r="AF5831" s="17">
        <v>45694</v>
      </c>
      <c r="AG5831" s="26"/>
      <c r="AH5831" s="26"/>
      <c r="AI5831" s="40"/>
      <c r="AJ5831" s="26"/>
      <c r="AK5831" s="26"/>
      <c r="AL5831" s="35"/>
      <c r="AM5831" s="35"/>
      <c r="AN5831" s="35"/>
      <c r="AO5831" s="35"/>
      <c r="AP5831" s="35"/>
    </row>
    <row r="5832" spans="1:42" x14ac:dyDescent="0.2">
      <c r="A5832" s="38">
        <v>45691</v>
      </c>
      <c r="B5832" s="68" t="s">
        <v>37</v>
      </c>
      <c r="C5832" s="41" t="s">
        <v>118</v>
      </c>
      <c r="D5832" s="26" t="s">
        <v>36</v>
      </c>
      <c r="E5832" s="26" t="s">
        <v>139</v>
      </c>
      <c r="F5832" s="26" t="s">
        <v>9973</v>
      </c>
      <c r="G5832" s="26" t="s">
        <v>221</v>
      </c>
      <c r="H5832" s="26" t="s">
        <v>19427</v>
      </c>
      <c r="I5832" s="17">
        <f ca="1">IFERROR(__xludf.DUMMYFUNCTION("""COMPUTED_VALUE"""),45699)</f>
        <v>45699</v>
      </c>
      <c r="J5832" s="44" t="s">
        <v>19433</v>
      </c>
      <c r="K5832" s="26" t="s">
        <v>9990</v>
      </c>
      <c r="L5832" s="30">
        <v>386962306</v>
      </c>
      <c r="M5832" s="26" t="s">
        <v>80</v>
      </c>
      <c r="N5832" s="26" t="s">
        <v>466</v>
      </c>
      <c r="O5832" s="26" t="s">
        <v>9256</v>
      </c>
      <c r="P5832" s="115" t="s">
        <v>19434</v>
      </c>
      <c r="Q5832" s="20"/>
      <c r="R5832" s="26" t="s">
        <v>36</v>
      </c>
      <c r="S5832" s="95">
        <v>2000</v>
      </c>
      <c r="T5832" s="148">
        <v>45475</v>
      </c>
      <c r="U5832" s="95">
        <v>13936</v>
      </c>
      <c r="V5832" s="148">
        <v>45501</v>
      </c>
      <c r="W5832" s="33" t="s">
        <v>9258</v>
      </c>
      <c r="X5832" s="26"/>
      <c r="Y5832" s="22"/>
      <c r="Z5832" s="98" t="s">
        <v>118</v>
      </c>
      <c r="AA5832" s="70" t="s">
        <v>9070</v>
      </c>
      <c r="AB5832" s="26"/>
      <c r="AC5832" s="26" t="s">
        <v>53</v>
      </c>
      <c r="AD5832" s="26" t="s">
        <v>54</v>
      </c>
      <c r="AE5832" s="26" t="s">
        <v>9973</v>
      </c>
      <c r="AF5832" s="17">
        <v>45694</v>
      </c>
      <c r="AG5832" s="26"/>
      <c r="AH5832" s="26"/>
      <c r="AI5832" s="40"/>
      <c r="AJ5832" s="26"/>
      <c r="AK5832" s="26"/>
      <c r="AL5832" s="35"/>
      <c r="AM5832" s="35"/>
      <c r="AN5832" s="35"/>
      <c r="AO5832" s="35"/>
      <c r="AP5832" s="35"/>
    </row>
    <row r="5833" spans="1:42" x14ac:dyDescent="0.2">
      <c r="A5833" s="38">
        <v>45691</v>
      </c>
      <c r="B5833" s="68" t="s">
        <v>37</v>
      </c>
      <c r="C5833" s="41" t="s">
        <v>118</v>
      </c>
      <c r="D5833" s="26" t="s">
        <v>36</v>
      </c>
      <c r="E5833" s="26" t="s">
        <v>139</v>
      </c>
      <c r="F5833" s="26" t="s">
        <v>9973</v>
      </c>
      <c r="G5833" s="26" t="s">
        <v>221</v>
      </c>
      <c r="H5833" s="26" t="s">
        <v>19427</v>
      </c>
      <c r="I5833" s="17">
        <f ca="1">IFERROR(__xludf.DUMMYFUNCTION("""COMPUTED_VALUE"""),45699)</f>
        <v>45699</v>
      </c>
      <c r="J5833" s="29" t="s">
        <v>9192</v>
      </c>
      <c r="K5833" s="26" t="s">
        <v>9984</v>
      </c>
      <c r="L5833" s="47">
        <v>397784298</v>
      </c>
      <c r="M5833" s="26" t="s">
        <v>80</v>
      </c>
      <c r="N5833" s="26" t="s">
        <v>466</v>
      </c>
      <c r="O5833" s="26" t="s">
        <v>9194</v>
      </c>
      <c r="P5833" s="42" t="s">
        <v>9985</v>
      </c>
      <c r="Q5833" s="20"/>
      <c r="R5833" s="26" t="s">
        <v>36</v>
      </c>
      <c r="S5833" s="95">
        <v>2000</v>
      </c>
      <c r="T5833" s="148">
        <v>45474</v>
      </c>
      <c r="U5833" s="95">
        <v>13936</v>
      </c>
      <c r="V5833" s="148">
        <v>45497</v>
      </c>
      <c r="W5833" s="33" t="s">
        <v>9196</v>
      </c>
      <c r="X5833" s="26"/>
      <c r="Y5833" s="22"/>
      <c r="Z5833" s="98" t="s">
        <v>118</v>
      </c>
      <c r="AA5833" s="70" t="s">
        <v>9070</v>
      </c>
      <c r="AB5833" s="26" t="s">
        <v>36</v>
      </c>
      <c r="AC5833" s="26" t="s">
        <v>53</v>
      </c>
      <c r="AD5833" s="26" t="s">
        <v>54</v>
      </c>
      <c r="AE5833" s="26" t="s">
        <v>9973</v>
      </c>
      <c r="AF5833" s="17">
        <v>45694</v>
      </c>
      <c r="AG5833" s="26"/>
      <c r="AH5833" s="26"/>
      <c r="AI5833" s="40"/>
      <c r="AJ5833" s="26"/>
      <c r="AK5833" s="26"/>
      <c r="AL5833" s="35"/>
      <c r="AM5833" s="35"/>
      <c r="AN5833" s="35"/>
      <c r="AO5833" s="35"/>
      <c r="AP5833" s="35"/>
    </row>
    <row r="5834" spans="1:42" x14ac:dyDescent="0.2">
      <c r="A5834" s="38">
        <v>45691</v>
      </c>
      <c r="B5834" s="137" t="s">
        <v>37</v>
      </c>
      <c r="C5834" s="41" t="s">
        <v>118</v>
      </c>
      <c r="D5834" s="80" t="s">
        <v>36</v>
      </c>
      <c r="E5834" s="80" t="s">
        <v>139</v>
      </c>
      <c r="F5834" s="80" t="s">
        <v>14387</v>
      </c>
      <c r="G5834" s="80" t="s">
        <v>221</v>
      </c>
      <c r="H5834" s="80" t="s">
        <v>19435</v>
      </c>
      <c r="I5834" s="17">
        <f ca="1">IFERROR(__xludf.DUMMYFUNCTION("""COMPUTED_VALUE"""),45733)</f>
        <v>45733</v>
      </c>
      <c r="J5834" s="172" t="s">
        <v>19436</v>
      </c>
      <c r="K5834" s="80" t="s">
        <v>19437</v>
      </c>
      <c r="L5834" s="30">
        <v>364792721</v>
      </c>
      <c r="M5834" s="80" t="s">
        <v>910</v>
      </c>
      <c r="N5834" s="80" t="s">
        <v>355</v>
      </c>
      <c r="O5834" s="80" t="s">
        <v>91</v>
      </c>
      <c r="P5834" s="80" t="s">
        <v>14734</v>
      </c>
      <c r="Q5834" s="20">
        <v>15936</v>
      </c>
      <c r="R5834" s="80" t="s">
        <v>36</v>
      </c>
      <c r="S5834" s="95">
        <v>2000</v>
      </c>
      <c r="T5834" s="148">
        <v>45541</v>
      </c>
      <c r="U5834" s="95">
        <v>13936</v>
      </c>
      <c r="V5834" s="148">
        <v>45580</v>
      </c>
      <c r="W5834" s="85" t="s">
        <v>14735</v>
      </c>
      <c r="X5834" s="80"/>
      <c r="Y5834" s="22">
        <v>0</v>
      </c>
      <c r="Z5834" s="80" t="s">
        <v>50</v>
      </c>
      <c r="AA5834" s="86"/>
      <c r="AB5834" s="80"/>
      <c r="AC5834" s="80" t="s">
        <v>53</v>
      </c>
      <c r="AD5834" s="80" t="s">
        <v>138</v>
      </c>
      <c r="AE5834" s="80" t="s">
        <v>14387</v>
      </c>
      <c r="AF5834" s="17">
        <v>45728</v>
      </c>
      <c r="AG5834" s="80"/>
      <c r="AH5834" s="80"/>
      <c r="AI5834" s="147"/>
      <c r="AJ5834" s="80"/>
      <c r="AK5834" s="80"/>
      <c r="AL5834" s="35"/>
      <c r="AM5834" s="35"/>
      <c r="AN5834" s="35"/>
      <c r="AO5834" s="35"/>
      <c r="AP5834" s="35"/>
    </row>
    <row r="5835" spans="1:42" x14ac:dyDescent="0.2">
      <c r="A5835" s="38">
        <v>45691</v>
      </c>
      <c r="B5835" s="68" t="s">
        <v>37</v>
      </c>
      <c r="C5835" s="41" t="s">
        <v>118</v>
      </c>
      <c r="D5835" s="26" t="s">
        <v>36</v>
      </c>
      <c r="E5835" s="26" t="s">
        <v>139</v>
      </c>
      <c r="F5835" s="26" t="s">
        <v>9973</v>
      </c>
      <c r="G5835" s="26" t="s">
        <v>221</v>
      </c>
      <c r="H5835" s="26" t="s">
        <v>19427</v>
      </c>
      <c r="I5835" s="17">
        <f ca="1">IFERROR(__xludf.DUMMYFUNCTION("""COMPUTED_VALUE"""),45699)</f>
        <v>45699</v>
      </c>
      <c r="J5835" s="29" t="s">
        <v>10001</v>
      </c>
      <c r="K5835" s="26" t="s">
        <v>10002</v>
      </c>
      <c r="L5835" s="30">
        <v>337902369</v>
      </c>
      <c r="M5835" s="26" t="s">
        <v>3728</v>
      </c>
      <c r="N5835" s="26" t="s">
        <v>8725</v>
      </c>
      <c r="O5835" s="26" t="s">
        <v>10003</v>
      </c>
      <c r="P5835" s="42" t="s">
        <v>10004</v>
      </c>
      <c r="Q5835" s="20">
        <v>15936</v>
      </c>
      <c r="R5835" s="26" t="s">
        <v>36</v>
      </c>
      <c r="S5835" s="95">
        <f>200+1800</f>
        <v>2000</v>
      </c>
      <c r="T5835" s="83" t="s">
        <v>10005</v>
      </c>
      <c r="U5835" s="95">
        <v>13936</v>
      </c>
      <c r="V5835" s="148">
        <v>45534</v>
      </c>
      <c r="W5835" s="33" t="s">
        <v>10006</v>
      </c>
      <c r="X5835" s="26">
        <v>0</v>
      </c>
      <c r="Y5835" s="22">
        <v>0</v>
      </c>
      <c r="Z5835" s="98" t="s">
        <v>118</v>
      </c>
      <c r="AA5835" s="96"/>
      <c r="AB5835" s="26"/>
      <c r="AC5835" s="26" t="s">
        <v>53</v>
      </c>
      <c r="AD5835" s="26" t="s">
        <v>54</v>
      </c>
      <c r="AE5835" s="26" t="s">
        <v>9973</v>
      </c>
      <c r="AF5835" s="17">
        <v>45694</v>
      </c>
      <c r="AG5835" s="26"/>
      <c r="AH5835" s="26"/>
      <c r="AI5835" s="40"/>
      <c r="AJ5835" s="26"/>
      <c r="AK5835" s="26"/>
      <c r="AL5835" s="35"/>
      <c r="AM5835" s="35"/>
      <c r="AN5835" s="35"/>
      <c r="AO5835" s="35"/>
      <c r="AP5835" s="35"/>
    </row>
    <row r="5836" spans="1:42" x14ac:dyDescent="0.2">
      <c r="A5836" s="38">
        <v>45691</v>
      </c>
      <c r="B5836" s="68" t="s">
        <v>37</v>
      </c>
      <c r="C5836" s="41" t="s">
        <v>118</v>
      </c>
      <c r="D5836" s="26" t="s">
        <v>36</v>
      </c>
      <c r="E5836" s="26" t="s">
        <v>139</v>
      </c>
      <c r="F5836" s="26" t="s">
        <v>8997</v>
      </c>
      <c r="G5836" s="26" t="s">
        <v>1705</v>
      </c>
      <c r="H5836" s="26" t="s">
        <v>8998</v>
      </c>
      <c r="I5836" s="17">
        <f ca="1">IFERROR(__xludf.DUMMYFUNCTION("""COMPUTED_VALUE"""),45714)</f>
        <v>45714</v>
      </c>
      <c r="J5836" s="29" t="s">
        <v>6793</v>
      </c>
      <c r="K5836" s="26" t="s">
        <v>19438</v>
      </c>
      <c r="L5836" s="30">
        <v>373857615</v>
      </c>
      <c r="M5836" s="26" t="s">
        <v>292</v>
      </c>
      <c r="N5836" s="26" t="s">
        <v>1232</v>
      </c>
      <c r="O5836" s="67" t="s">
        <v>6795</v>
      </c>
      <c r="P5836" s="26" t="s">
        <v>6796</v>
      </c>
      <c r="Q5836" s="20">
        <v>15936</v>
      </c>
      <c r="R5836" s="26" t="s">
        <v>36</v>
      </c>
      <c r="S5836" s="31">
        <v>15936</v>
      </c>
      <c r="T5836" s="32">
        <v>45302</v>
      </c>
      <c r="U5836" s="31"/>
      <c r="V5836" s="32"/>
      <c r="W5836" s="33" t="s">
        <v>6797</v>
      </c>
      <c r="X5836" s="26">
        <v>0</v>
      </c>
      <c r="Y5836" s="22">
        <v>0</v>
      </c>
      <c r="Z5836" s="26" t="s">
        <v>118</v>
      </c>
      <c r="AA5836" s="19" t="s">
        <v>7030</v>
      </c>
      <c r="AB5836" s="26"/>
      <c r="AC5836" s="26" t="s">
        <v>53</v>
      </c>
      <c r="AD5836" s="19" t="s">
        <v>138</v>
      </c>
      <c r="AE5836" s="26" t="s">
        <v>8997</v>
      </c>
      <c r="AF5836" s="17">
        <v>45714</v>
      </c>
      <c r="AG5836" s="26"/>
      <c r="AH5836" s="26"/>
      <c r="AI5836" s="40" t="s">
        <v>147</v>
      </c>
      <c r="AJ5836" s="26"/>
      <c r="AK5836" s="26"/>
      <c r="AL5836" s="35"/>
      <c r="AM5836" s="35"/>
      <c r="AN5836" s="35"/>
      <c r="AO5836" s="35"/>
      <c r="AP5836" s="35"/>
    </row>
    <row r="5837" spans="1:42" x14ac:dyDescent="0.2">
      <c r="A5837" s="38">
        <v>45691</v>
      </c>
      <c r="B5837" s="68" t="s">
        <v>37</v>
      </c>
      <c r="C5837" s="41" t="s">
        <v>118</v>
      </c>
      <c r="D5837" s="26" t="s">
        <v>36</v>
      </c>
      <c r="E5837" s="26" t="s">
        <v>139</v>
      </c>
      <c r="F5837" s="26" t="s">
        <v>9897</v>
      </c>
      <c r="G5837" s="26" t="s">
        <v>221</v>
      </c>
      <c r="H5837" s="26" t="s">
        <v>9036</v>
      </c>
      <c r="I5837" s="17">
        <f ca="1">IFERROR(__xludf.DUMMYFUNCTION("""COMPUTED_VALUE"""),45701)</f>
        <v>45701</v>
      </c>
      <c r="J5837" s="29" t="s">
        <v>9178</v>
      </c>
      <c r="K5837" s="26" t="s">
        <v>19439</v>
      </c>
      <c r="L5837" s="47">
        <v>392571109</v>
      </c>
      <c r="M5837" s="26" t="s">
        <v>5429</v>
      </c>
      <c r="N5837" s="26" t="s">
        <v>9180</v>
      </c>
      <c r="O5837" s="67" t="s">
        <v>9181</v>
      </c>
      <c r="P5837" s="42" t="s">
        <v>9182</v>
      </c>
      <c r="Q5837" s="20"/>
      <c r="R5837" s="26" t="s">
        <v>36</v>
      </c>
      <c r="S5837" s="95">
        <v>2000</v>
      </c>
      <c r="T5837" s="148">
        <v>45474</v>
      </c>
      <c r="U5837" s="31">
        <v>13936</v>
      </c>
      <c r="V5837" s="32">
        <v>45496</v>
      </c>
      <c r="W5837" s="33" t="s">
        <v>9183</v>
      </c>
      <c r="X5837" s="26"/>
      <c r="Y5837" s="22"/>
      <c r="Z5837" s="26" t="s">
        <v>118</v>
      </c>
      <c r="AA5837" s="70" t="s">
        <v>9070</v>
      </c>
      <c r="AB5837" s="26" t="s">
        <v>36</v>
      </c>
      <c r="AC5837" s="26" t="s">
        <v>53</v>
      </c>
      <c r="AD5837" s="26" t="s">
        <v>54</v>
      </c>
      <c r="AE5837" s="26" t="s">
        <v>9897</v>
      </c>
      <c r="AF5837" s="17">
        <v>45695</v>
      </c>
      <c r="AG5837" s="26"/>
      <c r="AH5837" s="26"/>
      <c r="AI5837" s="40"/>
      <c r="AJ5837" s="26"/>
      <c r="AK5837" s="26"/>
      <c r="AL5837" s="35"/>
      <c r="AM5837" s="35"/>
      <c r="AN5837" s="35"/>
      <c r="AO5837" s="35"/>
      <c r="AP5837" s="35"/>
    </row>
    <row r="5838" spans="1:42" x14ac:dyDescent="0.2">
      <c r="A5838" s="38">
        <v>45692</v>
      </c>
      <c r="B5838" s="68" t="s">
        <v>37</v>
      </c>
      <c r="C5838" s="41" t="s">
        <v>118</v>
      </c>
      <c r="D5838" s="26" t="s">
        <v>36</v>
      </c>
      <c r="E5838" s="26" t="s">
        <v>139</v>
      </c>
      <c r="F5838" s="26" t="s">
        <v>6919</v>
      </c>
      <c r="G5838" s="26" t="s">
        <v>221</v>
      </c>
      <c r="H5838" s="26" t="s">
        <v>18321</v>
      </c>
      <c r="I5838" s="17">
        <f ca="1">IFERROR(__xludf.DUMMYFUNCTION("""COMPUTED_VALUE"""),45698)</f>
        <v>45698</v>
      </c>
      <c r="J5838" s="29" t="s">
        <v>10063</v>
      </c>
      <c r="K5838" s="26" t="s">
        <v>10064</v>
      </c>
      <c r="L5838" s="30">
        <v>789892589</v>
      </c>
      <c r="M5838" s="26" t="s">
        <v>80</v>
      </c>
      <c r="N5838" s="26" t="s">
        <v>1073</v>
      </c>
      <c r="O5838" s="33" t="s">
        <v>10065</v>
      </c>
      <c r="P5838" s="42" t="s">
        <v>10066</v>
      </c>
      <c r="Q5838" s="20">
        <v>15936</v>
      </c>
      <c r="R5838" s="26" t="s">
        <v>3825</v>
      </c>
      <c r="S5838" s="95">
        <f>200+1800</f>
        <v>2000</v>
      </c>
      <c r="T5838" s="83" t="s">
        <v>10067</v>
      </c>
      <c r="U5838" s="95">
        <v>13736</v>
      </c>
      <c r="V5838" s="148">
        <v>45530</v>
      </c>
      <c r="W5838" s="33" t="s">
        <v>10068</v>
      </c>
      <c r="X5838" s="26">
        <v>200</v>
      </c>
      <c r="Y5838" s="22">
        <v>0</v>
      </c>
      <c r="Z5838" s="26" t="s">
        <v>50</v>
      </c>
      <c r="AA5838" s="35"/>
      <c r="AB5838" s="26" t="s">
        <v>36</v>
      </c>
      <c r="AC5838" s="26" t="s">
        <v>53</v>
      </c>
      <c r="AD5838" s="26" t="s">
        <v>138</v>
      </c>
      <c r="AE5838" s="26" t="s">
        <v>6919</v>
      </c>
      <c r="AF5838" s="17">
        <v>45698</v>
      </c>
      <c r="AG5838" s="26"/>
      <c r="AH5838" s="26"/>
      <c r="AI5838" s="40"/>
      <c r="AJ5838" s="26"/>
      <c r="AK5838" s="26"/>
      <c r="AL5838" s="35"/>
      <c r="AM5838" s="35"/>
      <c r="AN5838" s="35"/>
      <c r="AO5838" s="35"/>
      <c r="AP5838" s="35"/>
    </row>
    <row r="5839" spans="1:42" x14ac:dyDescent="0.2">
      <c r="A5839" s="38">
        <v>45692</v>
      </c>
      <c r="B5839" s="68" t="s">
        <v>37</v>
      </c>
      <c r="C5839" s="41" t="s">
        <v>118</v>
      </c>
      <c r="D5839" s="26" t="s">
        <v>36</v>
      </c>
      <c r="E5839" s="26" t="s">
        <v>139</v>
      </c>
      <c r="F5839" s="26" t="s">
        <v>2088</v>
      </c>
      <c r="G5839" s="26" t="s">
        <v>221</v>
      </c>
      <c r="H5839" s="26" t="s">
        <v>9036</v>
      </c>
      <c r="I5839" s="17">
        <f ca="1">IFERROR(__xludf.DUMMYFUNCTION("""COMPUTED_VALUE"""),45701)</f>
        <v>45701</v>
      </c>
      <c r="J5839" s="29" t="s">
        <v>1507</v>
      </c>
      <c r="K5839" s="26" t="s">
        <v>4858</v>
      </c>
      <c r="L5839" s="30">
        <v>833505129</v>
      </c>
      <c r="M5839" s="26" t="s">
        <v>112</v>
      </c>
      <c r="N5839" s="26" t="s">
        <v>3330</v>
      </c>
      <c r="O5839" s="26" t="s">
        <v>1509</v>
      </c>
      <c r="P5839" s="42" t="s">
        <v>19440</v>
      </c>
      <c r="Q5839" s="20">
        <v>15936</v>
      </c>
      <c r="R5839" s="26" t="s">
        <v>36</v>
      </c>
      <c r="S5839" s="31">
        <v>15936</v>
      </c>
      <c r="T5839" s="32">
        <v>45152</v>
      </c>
      <c r="U5839" s="31"/>
      <c r="V5839" s="26"/>
      <c r="W5839" s="33" t="s">
        <v>1511</v>
      </c>
      <c r="X5839" s="26"/>
      <c r="Y5839" s="22">
        <v>0</v>
      </c>
      <c r="Z5839" s="26" t="s">
        <v>118</v>
      </c>
      <c r="AA5839" s="19" t="s">
        <v>4541</v>
      </c>
      <c r="AB5839" s="26" t="s">
        <v>154</v>
      </c>
      <c r="AC5839" s="26" t="s">
        <v>53</v>
      </c>
      <c r="AD5839" s="19" t="s">
        <v>54</v>
      </c>
      <c r="AE5839" s="26" t="s">
        <v>2088</v>
      </c>
      <c r="AF5839" s="17">
        <v>45695</v>
      </c>
      <c r="AG5839" s="26"/>
      <c r="AH5839" s="26"/>
      <c r="AI5839" s="40"/>
      <c r="AJ5839" s="26"/>
      <c r="AK5839" s="26"/>
      <c r="AL5839" s="35"/>
      <c r="AM5839" s="35"/>
      <c r="AN5839" s="35"/>
      <c r="AO5839" s="35"/>
      <c r="AP5839" s="35"/>
    </row>
    <row r="5840" spans="1:42" x14ac:dyDescent="0.2">
      <c r="A5840" s="38">
        <v>45692</v>
      </c>
      <c r="B5840" s="68" t="s">
        <v>37</v>
      </c>
      <c r="C5840" s="41" t="s">
        <v>118</v>
      </c>
      <c r="D5840" s="26" t="s">
        <v>36</v>
      </c>
      <c r="E5840" s="26" t="s">
        <v>139</v>
      </c>
      <c r="F5840" s="26" t="s">
        <v>10014</v>
      </c>
      <c r="G5840" s="26" t="s">
        <v>221</v>
      </c>
      <c r="H5840" s="26" t="s">
        <v>9036</v>
      </c>
      <c r="I5840" s="17">
        <f ca="1">IFERROR(__xludf.DUMMYFUNCTION("""COMPUTED_VALUE"""),45701)</f>
        <v>45701</v>
      </c>
      <c r="J5840" s="29" t="s">
        <v>9361</v>
      </c>
      <c r="K5840" s="26" t="s">
        <v>10015</v>
      </c>
      <c r="L5840" s="30">
        <v>867449475</v>
      </c>
      <c r="M5840" s="26" t="s">
        <v>80</v>
      </c>
      <c r="N5840" s="26" t="s">
        <v>466</v>
      </c>
      <c r="O5840" s="26" t="s">
        <v>9363</v>
      </c>
      <c r="P5840" s="42" t="s">
        <v>10016</v>
      </c>
      <c r="Q5840" s="20"/>
      <c r="R5840" s="26" t="s">
        <v>36</v>
      </c>
      <c r="S5840" s="95">
        <f t="shared" ref="S5840:S5841" si="165">200+1800</f>
        <v>2000</v>
      </c>
      <c r="T5840" s="83" t="s">
        <v>9365</v>
      </c>
      <c r="U5840" s="95">
        <v>13936</v>
      </c>
      <c r="V5840" s="148">
        <v>45503</v>
      </c>
      <c r="W5840" s="33" t="s">
        <v>9366</v>
      </c>
      <c r="X5840" s="26"/>
      <c r="Y5840" s="22"/>
      <c r="Z5840" s="41" t="s">
        <v>118</v>
      </c>
      <c r="AA5840" s="70" t="s">
        <v>9070</v>
      </c>
      <c r="AB5840" s="26"/>
      <c r="AC5840" s="26" t="s">
        <v>53</v>
      </c>
      <c r="AD5840" s="26" t="s">
        <v>54</v>
      </c>
      <c r="AE5840" s="26" t="s">
        <v>10014</v>
      </c>
      <c r="AF5840" s="17">
        <v>45695</v>
      </c>
      <c r="AG5840" s="26"/>
      <c r="AH5840" s="26"/>
      <c r="AI5840" s="40"/>
      <c r="AJ5840" s="26"/>
      <c r="AK5840" s="26"/>
      <c r="AL5840" s="35"/>
      <c r="AM5840" s="35"/>
      <c r="AN5840" s="35"/>
      <c r="AO5840" s="35"/>
      <c r="AP5840" s="35"/>
    </row>
    <row r="5841" spans="1:42" x14ac:dyDescent="0.2">
      <c r="A5841" s="38">
        <v>45692</v>
      </c>
      <c r="B5841" s="68" t="s">
        <v>37</v>
      </c>
      <c r="C5841" s="41" t="s">
        <v>118</v>
      </c>
      <c r="D5841" s="26" t="s">
        <v>36</v>
      </c>
      <c r="E5841" s="26" t="s">
        <v>139</v>
      </c>
      <c r="F5841" s="26" t="s">
        <v>9906</v>
      </c>
      <c r="G5841" s="26" t="s">
        <v>221</v>
      </c>
      <c r="H5841" s="26" t="s">
        <v>19441</v>
      </c>
      <c r="I5841" s="17" t="str">
        <f ca="1">IFERROR(__xludf.DUMMYFUNCTION("""COMPUTED_VALUE""")," ")</f>
        <v xml:space="preserve"> </v>
      </c>
      <c r="J5841" s="29" t="s">
        <v>9907</v>
      </c>
      <c r="K5841" s="26" t="s">
        <v>1305</v>
      </c>
      <c r="L5841" s="30">
        <v>978956383</v>
      </c>
      <c r="M5841" s="26" t="s">
        <v>80</v>
      </c>
      <c r="N5841" s="26" t="s">
        <v>1073</v>
      </c>
      <c r="O5841" s="26" t="s">
        <v>9908</v>
      </c>
      <c r="P5841" s="42" t="s">
        <v>9909</v>
      </c>
      <c r="Q5841" s="20">
        <v>15936</v>
      </c>
      <c r="R5841" s="26" t="s">
        <v>36</v>
      </c>
      <c r="S5841" s="95">
        <f t="shared" si="165"/>
        <v>2000</v>
      </c>
      <c r="T5841" s="83" t="s">
        <v>9910</v>
      </c>
      <c r="U5841" s="95">
        <v>13936</v>
      </c>
      <c r="V5841" s="148">
        <v>45514</v>
      </c>
      <c r="W5841" s="33" t="s">
        <v>9911</v>
      </c>
      <c r="X5841" s="26">
        <v>0</v>
      </c>
      <c r="Y5841" s="22">
        <v>0</v>
      </c>
      <c r="Z5841" s="98" t="s">
        <v>118</v>
      </c>
      <c r="AA5841" s="96"/>
      <c r="AB5841" s="26" t="s">
        <v>36</v>
      </c>
      <c r="AC5841" s="26" t="s">
        <v>53</v>
      </c>
      <c r="AD5841" s="26" t="s">
        <v>54</v>
      </c>
      <c r="AE5841" s="26" t="s">
        <v>9906</v>
      </c>
      <c r="AF5841" s="17">
        <v>45695</v>
      </c>
      <c r="AG5841" s="26"/>
      <c r="AH5841" s="26"/>
      <c r="AI5841" s="40"/>
      <c r="AJ5841" s="26"/>
      <c r="AK5841" s="26"/>
      <c r="AL5841" s="35"/>
      <c r="AM5841" s="35"/>
      <c r="AN5841" s="35"/>
      <c r="AO5841" s="35"/>
      <c r="AP5841" s="35"/>
    </row>
    <row r="5842" spans="1:42" x14ac:dyDescent="0.2">
      <c r="A5842" s="38">
        <v>45692</v>
      </c>
      <c r="B5842" s="68" t="s">
        <v>37</v>
      </c>
      <c r="C5842" s="41" t="s">
        <v>118</v>
      </c>
      <c r="D5842" s="26" t="s">
        <v>36</v>
      </c>
      <c r="E5842" s="26" t="s">
        <v>119</v>
      </c>
      <c r="F5842" s="26" t="s">
        <v>13605</v>
      </c>
      <c r="G5842" s="26" t="s">
        <v>1847</v>
      </c>
      <c r="H5842" s="26" t="s">
        <v>14381</v>
      </c>
      <c r="I5842" s="17">
        <f ca="1">IFERROR(__xludf.DUMMYFUNCTION("""COMPUTED_VALUE"""),45699)</f>
        <v>45699</v>
      </c>
      <c r="J5842" s="29" t="s">
        <v>9072</v>
      </c>
      <c r="K5842" s="26" t="s">
        <v>9073</v>
      </c>
      <c r="L5842" s="30">
        <v>379376684</v>
      </c>
      <c r="M5842" s="26" t="s">
        <v>80</v>
      </c>
      <c r="N5842" s="26" t="s">
        <v>1073</v>
      </c>
      <c r="O5842" s="26" t="s">
        <v>9074</v>
      </c>
      <c r="P5842" s="42" t="s">
        <v>19442</v>
      </c>
      <c r="Q5842" s="20"/>
      <c r="R5842" s="26" t="s">
        <v>36</v>
      </c>
      <c r="S5842" s="95">
        <f>200+3800</f>
        <v>4000</v>
      </c>
      <c r="T5842" s="83" t="s">
        <v>9076</v>
      </c>
      <c r="U5842" s="31">
        <v>9968</v>
      </c>
      <c r="V5842" s="32">
        <v>45488</v>
      </c>
      <c r="W5842" s="26" t="s">
        <v>9077</v>
      </c>
      <c r="X5842" s="26"/>
      <c r="Y5842" s="22"/>
      <c r="Z5842" s="26" t="s">
        <v>50</v>
      </c>
      <c r="AA5842" s="70" t="s">
        <v>9070</v>
      </c>
      <c r="AB5842" s="26" t="s">
        <v>36</v>
      </c>
      <c r="AC5842" s="26" t="s">
        <v>53</v>
      </c>
      <c r="AD5842" s="26" t="s">
        <v>54</v>
      </c>
      <c r="AE5842" s="26" t="s">
        <v>13605</v>
      </c>
      <c r="AF5842" s="17">
        <v>45699</v>
      </c>
      <c r="AG5842" s="26"/>
      <c r="AH5842" s="26"/>
      <c r="AI5842" s="40"/>
      <c r="AJ5842" s="26"/>
      <c r="AK5842" s="26"/>
      <c r="AL5842" s="35"/>
      <c r="AM5842" s="35"/>
      <c r="AN5842" s="35"/>
      <c r="AO5842" s="35"/>
      <c r="AP5842" s="35"/>
    </row>
    <row r="5843" spans="1:42" x14ac:dyDescent="0.2">
      <c r="A5843" s="38">
        <v>45692</v>
      </c>
      <c r="B5843" s="137" t="s">
        <v>37</v>
      </c>
      <c r="C5843" s="41" t="s">
        <v>118</v>
      </c>
      <c r="D5843" s="80" t="s">
        <v>36</v>
      </c>
      <c r="E5843" s="80" t="s">
        <v>148</v>
      </c>
      <c r="F5843" s="80" t="s">
        <v>11802</v>
      </c>
      <c r="G5843" s="80" t="s">
        <v>221</v>
      </c>
      <c r="H5843" s="80" t="s">
        <v>19427</v>
      </c>
      <c r="I5843" s="17">
        <f ca="1">IFERROR(__xludf.DUMMYFUNCTION("""COMPUTED_VALUE"""),45699)</f>
        <v>45699</v>
      </c>
      <c r="J5843" s="143" t="s">
        <v>13524</v>
      </c>
      <c r="K5843" s="80" t="s">
        <v>13525</v>
      </c>
      <c r="L5843" s="30">
        <v>914837328</v>
      </c>
      <c r="M5843" s="80" t="s">
        <v>9422</v>
      </c>
      <c r="N5843" s="80" t="s">
        <v>327</v>
      </c>
      <c r="O5843" s="83">
        <v>914837328</v>
      </c>
      <c r="P5843" s="80" t="s">
        <v>91</v>
      </c>
      <c r="Q5843" s="20">
        <v>7349</v>
      </c>
      <c r="R5843" s="80" t="s">
        <v>36</v>
      </c>
      <c r="S5843" s="95">
        <v>3768</v>
      </c>
      <c r="T5843" s="148">
        <v>45556</v>
      </c>
      <c r="U5843" s="95">
        <v>3581</v>
      </c>
      <c r="V5843" s="148">
        <v>45565</v>
      </c>
      <c r="W5843" s="85" t="s">
        <v>13526</v>
      </c>
      <c r="X5843" s="80">
        <v>0</v>
      </c>
      <c r="Y5843" s="22">
        <v>0</v>
      </c>
      <c r="Z5843" s="80" t="s">
        <v>50</v>
      </c>
      <c r="AA5843" s="96" t="s">
        <v>3291</v>
      </c>
      <c r="AB5843" s="80"/>
      <c r="AC5843" s="80" t="s">
        <v>1828</v>
      </c>
      <c r="AD5843" s="80" t="s">
        <v>54</v>
      </c>
      <c r="AE5843" s="80" t="s">
        <v>11802</v>
      </c>
      <c r="AF5843" s="60" t="s">
        <v>1829</v>
      </c>
      <c r="AG5843" s="80" t="s">
        <v>5888</v>
      </c>
      <c r="AH5843" s="80"/>
      <c r="AI5843" s="147">
        <v>2</v>
      </c>
      <c r="AJ5843" s="80"/>
      <c r="AK5843" s="80"/>
      <c r="AL5843" s="35"/>
      <c r="AM5843" s="35"/>
      <c r="AN5843" s="35"/>
      <c r="AO5843" s="35"/>
      <c r="AP5843" s="35"/>
    </row>
    <row r="5844" spans="1:42" x14ac:dyDescent="0.2">
      <c r="A5844" s="38">
        <v>45692</v>
      </c>
      <c r="B5844" s="137" t="s">
        <v>37</v>
      </c>
      <c r="C5844" s="41" t="s">
        <v>118</v>
      </c>
      <c r="D5844" s="26" t="s">
        <v>36</v>
      </c>
      <c r="E5844" s="26" t="s">
        <v>119</v>
      </c>
      <c r="F5844" s="26" t="s">
        <v>8343</v>
      </c>
      <c r="G5844" s="26" t="s">
        <v>1705</v>
      </c>
      <c r="H5844" s="26" t="s">
        <v>8912</v>
      </c>
      <c r="I5844" s="17"/>
      <c r="J5844" s="29" t="s">
        <v>2746</v>
      </c>
      <c r="K5844" s="26" t="s">
        <v>2747</v>
      </c>
      <c r="L5844" s="30">
        <v>833782005</v>
      </c>
      <c r="M5844" s="26" t="s">
        <v>80</v>
      </c>
      <c r="N5844" s="26" t="s">
        <v>299</v>
      </c>
      <c r="O5844" s="26" t="s">
        <v>1492</v>
      </c>
      <c r="P5844" s="42" t="s">
        <v>19443</v>
      </c>
      <c r="Q5844" s="20">
        <v>13968</v>
      </c>
      <c r="R5844" s="26" t="s">
        <v>36</v>
      </c>
      <c r="S5844" s="31">
        <v>13968</v>
      </c>
      <c r="T5844" s="32">
        <v>45179</v>
      </c>
      <c r="U5844" s="31"/>
      <c r="V5844" s="26"/>
      <c r="W5844" s="33" t="s">
        <v>2748</v>
      </c>
      <c r="X5844" s="26"/>
      <c r="Y5844" s="22">
        <v>0</v>
      </c>
      <c r="Z5844" s="26" t="s">
        <v>118</v>
      </c>
      <c r="AA5844" s="19" t="s">
        <v>2449</v>
      </c>
      <c r="AB5844" s="26" t="s">
        <v>104</v>
      </c>
      <c r="AC5844" s="26" t="s">
        <v>53</v>
      </c>
      <c r="AD5844" s="19" t="s">
        <v>138</v>
      </c>
      <c r="AE5844" s="26" t="s">
        <v>8343</v>
      </c>
      <c r="AF5844" s="17">
        <v>45694</v>
      </c>
      <c r="AG5844" s="26"/>
      <c r="AH5844" s="26"/>
      <c r="AI5844" s="40"/>
      <c r="AJ5844" s="26"/>
      <c r="AK5844" s="26"/>
      <c r="AL5844" s="35"/>
      <c r="AM5844" s="35"/>
      <c r="AN5844" s="35"/>
      <c r="AO5844" s="35"/>
      <c r="AP5844" s="35"/>
    </row>
    <row r="5845" spans="1:42" x14ac:dyDescent="0.2">
      <c r="A5845" s="38">
        <v>45693</v>
      </c>
      <c r="B5845" s="137" t="s">
        <v>37</v>
      </c>
      <c r="C5845" s="41" t="s">
        <v>118</v>
      </c>
      <c r="D5845" s="26" t="s">
        <v>36</v>
      </c>
      <c r="E5845" s="26" t="s">
        <v>119</v>
      </c>
      <c r="F5845" s="26" t="s">
        <v>6519</v>
      </c>
      <c r="G5845" s="26" t="s">
        <v>1847</v>
      </c>
      <c r="H5845" s="26" t="s">
        <v>14381</v>
      </c>
      <c r="I5845" s="17">
        <f ca="1">IFERROR(__xludf.DUMMYFUNCTION("""COMPUTED_VALUE"""),45699)</f>
        <v>45699</v>
      </c>
      <c r="J5845" s="29" t="s">
        <v>3215</v>
      </c>
      <c r="K5845" s="19" t="s">
        <v>3216</v>
      </c>
      <c r="L5845" s="47">
        <v>327372263</v>
      </c>
      <c r="M5845" s="26" t="s">
        <v>80</v>
      </c>
      <c r="N5845" s="26" t="s">
        <v>186</v>
      </c>
      <c r="O5845" s="26" t="s">
        <v>3217</v>
      </c>
      <c r="P5845" s="42" t="s">
        <v>8942</v>
      </c>
      <c r="Q5845" s="20">
        <v>13968</v>
      </c>
      <c r="R5845" s="26" t="s">
        <v>70</v>
      </c>
      <c r="S5845" s="31">
        <v>500</v>
      </c>
      <c r="T5845" s="32">
        <v>45197</v>
      </c>
      <c r="U5845" s="31">
        <v>13368</v>
      </c>
      <c r="V5845" s="32">
        <v>45198</v>
      </c>
      <c r="W5845" s="33" t="s">
        <v>3218</v>
      </c>
      <c r="X5845" s="26"/>
      <c r="Y5845" s="22">
        <v>100</v>
      </c>
      <c r="Z5845" s="26" t="s">
        <v>118</v>
      </c>
      <c r="AA5845" s="19" t="s">
        <v>2449</v>
      </c>
      <c r="AB5845" s="26" t="s">
        <v>36</v>
      </c>
      <c r="AC5845" s="26" t="s">
        <v>53</v>
      </c>
      <c r="AD5845" s="19" t="s">
        <v>138</v>
      </c>
      <c r="AE5845" s="26" t="s">
        <v>6519</v>
      </c>
      <c r="AF5845" s="17">
        <v>45699</v>
      </c>
      <c r="AG5845" s="26"/>
      <c r="AH5845" s="26"/>
      <c r="AI5845" s="40"/>
      <c r="AJ5845" s="26"/>
      <c r="AK5845" s="26"/>
      <c r="AL5845" s="35"/>
      <c r="AM5845" s="35"/>
      <c r="AN5845" s="35"/>
      <c r="AO5845" s="35"/>
      <c r="AP5845" s="35"/>
    </row>
    <row r="5846" spans="1:42" x14ac:dyDescent="0.2">
      <c r="A5846" s="38">
        <v>45695</v>
      </c>
      <c r="B5846" s="137" t="s">
        <v>37</v>
      </c>
      <c r="C5846" s="41" t="s">
        <v>118</v>
      </c>
      <c r="D5846" s="80" t="s">
        <v>36</v>
      </c>
      <c r="E5846" s="80" t="s">
        <v>139</v>
      </c>
      <c r="F5846" s="80" t="s">
        <v>16288</v>
      </c>
      <c r="G5846" s="80" t="s">
        <v>108</v>
      </c>
      <c r="H5846" s="80" t="s">
        <v>19444</v>
      </c>
      <c r="I5846" s="17" t="str">
        <f ca="1">IFERROR(__xludf.DUMMYFUNCTION("""COMPUTED_VALUE""")," ")</f>
        <v xml:space="preserve"> </v>
      </c>
      <c r="J5846" s="143" t="s">
        <v>17492</v>
      </c>
      <c r="K5846" s="80" t="s">
        <v>19445</v>
      </c>
      <c r="L5846" s="30">
        <v>965825127</v>
      </c>
      <c r="M5846" s="80" t="s">
        <v>5558</v>
      </c>
      <c r="N5846" s="80" t="s">
        <v>5277</v>
      </c>
      <c r="O5846" s="80" t="s">
        <v>4503</v>
      </c>
      <c r="P5846" s="80" t="s">
        <v>19446</v>
      </c>
      <c r="Q5846" s="20">
        <v>15936</v>
      </c>
      <c r="R5846" s="80" t="s">
        <v>36</v>
      </c>
      <c r="S5846" s="95">
        <v>3000</v>
      </c>
      <c r="T5846" s="148">
        <v>45579</v>
      </c>
      <c r="U5846" s="95">
        <v>12936</v>
      </c>
      <c r="V5846" s="148">
        <v>45626</v>
      </c>
      <c r="W5846" s="85" t="s">
        <v>17495</v>
      </c>
      <c r="X5846" s="80"/>
      <c r="Y5846" s="22">
        <v>0</v>
      </c>
      <c r="Z5846" s="80" t="s">
        <v>50</v>
      </c>
      <c r="AA5846" s="86" t="s">
        <v>14723</v>
      </c>
      <c r="AB5846" s="80"/>
      <c r="AC5846" s="80" t="s">
        <v>53</v>
      </c>
      <c r="AD5846" s="80" t="s">
        <v>54</v>
      </c>
      <c r="AE5846" s="80" t="s">
        <v>16288</v>
      </c>
      <c r="AF5846" s="17">
        <v>45699</v>
      </c>
      <c r="AG5846" s="80"/>
      <c r="AH5846" s="80"/>
      <c r="AI5846" s="147"/>
      <c r="AJ5846" s="80"/>
      <c r="AK5846" s="80"/>
      <c r="AL5846" s="35"/>
      <c r="AM5846" s="35"/>
      <c r="AN5846" s="35"/>
      <c r="AO5846" s="35"/>
      <c r="AP5846" s="35"/>
    </row>
    <row r="5847" spans="1:42" x14ac:dyDescent="0.2">
      <c r="A5847" s="38">
        <v>45695</v>
      </c>
      <c r="B5847" s="137" t="s">
        <v>37</v>
      </c>
      <c r="C5847" s="41" t="s">
        <v>118</v>
      </c>
      <c r="D5847" s="80" t="s">
        <v>36</v>
      </c>
      <c r="E5847" s="80" t="s">
        <v>56</v>
      </c>
      <c r="F5847" s="80" t="s">
        <v>13877</v>
      </c>
      <c r="G5847" s="161" t="s">
        <v>221</v>
      </c>
      <c r="H5847" s="80" t="s">
        <v>19447</v>
      </c>
      <c r="I5847" s="17">
        <f ca="1">IFERROR(__xludf.DUMMYFUNCTION("""COMPUTED_VALUE"""),45709)</f>
        <v>45709</v>
      </c>
      <c r="J5847" s="143" t="s">
        <v>12875</v>
      </c>
      <c r="K5847" s="145" t="s">
        <v>5210</v>
      </c>
      <c r="L5847" s="30">
        <v>971278816</v>
      </c>
      <c r="M5847" s="80" t="s">
        <v>112</v>
      </c>
      <c r="N5847" s="80" t="s">
        <v>438</v>
      </c>
      <c r="O5847" s="80" t="s">
        <v>12876</v>
      </c>
      <c r="P5847" s="80" t="s">
        <v>12877</v>
      </c>
      <c r="Q5847" s="20">
        <v>9317</v>
      </c>
      <c r="R5847" s="80" t="s">
        <v>36</v>
      </c>
      <c r="S5847" s="95">
        <v>9317</v>
      </c>
      <c r="T5847" s="148">
        <v>45544</v>
      </c>
      <c r="U5847" s="77"/>
      <c r="V5847" s="78"/>
      <c r="W5847" s="85" t="s">
        <v>12878</v>
      </c>
      <c r="X5847" s="83">
        <v>0</v>
      </c>
      <c r="Y5847" s="22">
        <v>0</v>
      </c>
      <c r="Z5847" s="81" t="s">
        <v>50</v>
      </c>
      <c r="AA5847" s="82" t="s">
        <v>3291</v>
      </c>
      <c r="AB5847" s="80"/>
      <c r="AC5847" s="80" t="s">
        <v>53</v>
      </c>
      <c r="AD5847" s="80" t="s">
        <v>54</v>
      </c>
      <c r="AE5847" s="80" t="s">
        <v>13877</v>
      </c>
      <c r="AF5847" s="17">
        <v>45706</v>
      </c>
      <c r="AG5847" s="80"/>
      <c r="AH5847" s="80"/>
      <c r="AI5847" s="147" t="s">
        <v>64</v>
      </c>
      <c r="AJ5847" s="80"/>
      <c r="AK5847" s="80"/>
      <c r="AL5847" s="86"/>
      <c r="AM5847" s="86"/>
      <c r="AN5847" s="86"/>
      <c r="AO5847" s="86"/>
      <c r="AP5847" s="86"/>
    </row>
    <row r="5848" spans="1:42" x14ac:dyDescent="0.2">
      <c r="A5848" s="38">
        <v>45695</v>
      </c>
      <c r="B5848" s="137" t="s">
        <v>1703</v>
      </c>
      <c r="C5848" s="41" t="s">
        <v>118</v>
      </c>
      <c r="D5848" s="80" t="s">
        <v>36</v>
      </c>
      <c r="E5848" s="80" t="s">
        <v>139</v>
      </c>
      <c r="F5848" s="80" t="s">
        <v>13877</v>
      </c>
      <c r="G5848" s="161" t="s">
        <v>221</v>
      </c>
      <c r="H5848" s="80" t="s">
        <v>865</v>
      </c>
      <c r="I5848" s="17" t="str">
        <f ca="1">IFERROR(__xludf.DUMMYFUNCTION("""COMPUTED_VALUE""")," ")</f>
        <v xml:space="preserve"> </v>
      </c>
      <c r="J5848" s="143" t="s">
        <v>11429</v>
      </c>
      <c r="K5848" s="145" t="s">
        <v>4515</v>
      </c>
      <c r="L5848" s="30">
        <v>353486229</v>
      </c>
      <c r="M5848" s="80" t="s">
        <v>45</v>
      </c>
      <c r="N5848" s="80" t="s">
        <v>7814</v>
      </c>
      <c r="O5848" s="80" t="s">
        <v>11430</v>
      </c>
      <c r="P5848" s="144" t="s">
        <v>13898</v>
      </c>
      <c r="Q5848" s="20">
        <v>15936</v>
      </c>
      <c r="R5848" s="80" t="s">
        <v>36</v>
      </c>
      <c r="S5848" s="95">
        <v>10000</v>
      </c>
      <c r="T5848" s="148">
        <v>45517</v>
      </c>
      <c r="U5848" s="95">
        <v>5936</v>
      </c>
      <c r="V5848" s="148">
        <v>45535</v>
      </c>
      <c r="W5848" s="85" t="s">
        <v>11432</v>
      </c>
      <c r="X5848" s="83">
        <v>0</v>
      </c>
      <c r="Y5848" s="22">
        <v>0</v>
      </c>
      <c r="Z5848" s="81" t="s">
        <v>50</v>
      </c>
      <c r="AA5848" s="86" t="s">
        <v>10314</v>
      </c>
      <c r="AB5848" s="80"/>
      <c r="AC5848" s="80" t="s">
        <v>53</v>
      </c>
      <c r="AD5848" s="80" t="s">
        <v>54</v>
      </c>
      <c r="AE5848" s="80" t="s">
        <v>13877</v>
      </c>
      <c r="AF5848" s="17"/>
      <c r="AG5848" s="80"/>
      <c r="AH5848" s="80"/>
      <c r="AI5848" s="147"/>
      <c r="AJ5848" s="80"/>
      <c r="AK5848" s="80"/>
      <c r="AL5848" s="86"/>
      <c r="AM5848" s="86"/>
      <c r="AN5848" s="86"/>
      <c r="AO5848" s="86"/>
      <c r="AP5848" s="86"/>
    </row>
    <row r="5849" spans="1:42" x14ac:dyDescent="0.2">
      <c r="A5849" s="38">
        <v>45695</v>
      </c>
      <c r="B5849" s="137" t="s">
        <v>37</v>
      </c>
      <c r="C5849" s="41" t="s">
        <v>118</v>
      </c>
      <c r="D5849" s="80" t="s">
        <v>36</v>
      </c>
      <c r="E5849" s="80" t="s">
        <v>139</v>
      </c>
      <c r="F5849" s="80" t="s">
        <v>13877</v>
      </c>
      <c r="G5849" s="80" t="s">
        <v>221</v>
      </c>
      <c r="H5849" s="80" t="s">
        <v>19448</v>
      </c>
      <c r="I5849" s="17">
        <f ca="1">IFERROR(__xludf.DUMMYFUNCTION("""COMPUTED_VALUE"""),45715)</f>
        <v>45715</v>
      </c>
      <c r="J5849" s="143" t="s">
        <v>12585</v>
      </c>
      <c r="K5849" s="80" t="s">
        <v>19449</v>
      </c>
      <c r="L5849" s="30">
        <v>886624106</v>
      </c>
      <c r="M5849" s="80" t="s">
        <v>2755</v>
      </c>
      <c r="N5849" s="80" t="s">
        <v>4402</v>
      </c>
      <c r="O5849" s="80" t="s">
        <v>4503</v>
      </c>
      <c r="P5849" s="144" t="s">
        <v>19450</v>
      </c>
      <c r="Q5849" s="20">
        <v>15936</v>
      </c>
      <c r="R5849" s="80" t="s">
        <v>36</v>
      </c>
      <c r="S5849" s="95">
        <v>5000</v>
      </c>
      <c r="T5849" s="148">
        <v>45535</v>
      </c>
      <c r="U5849" s="95">
        <v>10936</v>
      </c>
      <c r="V5849" s="148" t="s">
        <v>12588</v>
      </c>
      <c r="W5849" s="80" t="s">
        <v>12589</v>
      </c>
      <c r="X5849" s="83">
        <v>0</v>
      </c>
      <c r="Y5849" s="22">
        <v>0</v>
      </c>
      <c r="Z5849" s="81" t="s">
        <v>50</v>
      </c>
      <c r="AA5849" s="82" t="s">
        <v>3291</v>
      </c>
      <c r="AB5849" s="80"/>
      <c r="AC5849" s="80" t="s">
        <v>53</v>
      </c>
      <c r="AD5849" s="80" t="s">
        <v>54</v>
      </c>
      <c r="AE5849" s="80" t="s">
        <v>13877</v>
      </c>
      <c r="AF5849" s="17">
        <v>45713</v>
      </c>
      <c r="AG5849" s="80"/>
      <c r="AH5849" s="80"/>
      <c r="AI5849" s="147" t="s">
        <v>147</v>
      </c>
      <c r="AJ5849" s="80"/>
      <c r="AK5849" s="80"/>
      <c r="AL5849" s="86"/>
      <c r="AM5849" s="86"/>
      <c r="AN5849" s="86"/>
      <c r="AO5849" s="86"/>
      <c r="AP5849" s="86"/>
    </row>
    <row r="5850" spans="1:42" x14ac:dyDescent="0.2">
      <c r="A5850" s="38">
        <v>45695</v>
      </c>
      <c r="B5850" s="137" t="s">
        <v>37</v>
      </c>
      <c r="C5850" s="41" t="s">
        <v>118</v>
      </c>
      <c r="D5850" s="80" t="s">
        <v>36</v>
      </c>
      <c r="E5850" s="80" t="s">
        <v>139</v>
      </c>
      <c r="F5850" s="80" t="s">
        <v>13877</v>
      </c>
      <c r="G5850" s="161" t="s">
        <v>221</v>
      </c>
      <c r="H5850" s="80" t="s">
        <v>19447</v>
      </c>
      <c r="I5850" s="17">
        <f ca="1">IFERROR(__xludf.DUMMYFUNCTION("""COMPUTED_VALUE"""),45709)</f>
        <v>45709</v>
      </c>
      <c r="J5850" s="143" t="s">
        <v>12521</v>
      </c>
      <c r="K5850" s="145" t="s">
        <v>13624</v>
      </c>
      <c r="L5850" s="30">
        <v>339463843</v>
      </c>
      <c r="M5850" s="80" t="s">
        <v>5518</v>
      </c>
      <c r="N5850" s="80" t="s">
        <v>253</v>
      </c>
      <c r="O5850" s="80" t="s">
        <v>12523</v>
      </c>
      <c r="P5850" s="115" t="s">
        <v>13912</v>
      </c>
      <c r="Q5850" s="20">
        <v>15936</v>
      </c>
      <c r="R5850" s="80" t="s">
        <v>36</v>
      </c>
      <c r="S5850" s="95">
        <f>2000+3000</f>
        <v>5000</v>
      </c>
      <c r="T5850" s="148" t="s">
        <v>12525</v>
      </c>
      <c r="U5850" s="95">
        <v>10936</v>
      </c>
      <c r="V5850" s="148">
        <v>45557</v>
      </c>
      <c r="W5850" s="85" t="s">
        <v>12526</v>
      </c>
      <c r="X5850" s="83">
        <v>0</v>
      </c>
      <c r="Y5850" s="22">
        <v>0</v>
      </c>
      <c r="Z5850" s="81" t="s">
        <v>50</v>
      </c>
      <c r="AA5850" s="86" t="s">
        <v>3291</v>
      </c>
      <c r="AB5850" s="80"/>
      <c r="AC5850" s="80" t="s">
        <v>53</v>
      </c>
      <c r="AD5850" s="80" t="s">
        <v>54</v>
      </c>
      <c r="AE5850" s="80" t="s">
        <v>13877</v>
      </c>
      <c r="AF5850" s="17">
        <v>45706</v>
      </c>
      <c r="AG5850" s="80"/>
      <c r="AH5850" s="80"/>
      <c r="AI5850" s="147" t="s">
        <v>147</v>
      </c>
      <c r="AJ5850" s="80"/>
      <c r="AK5850" s="80"/>
      <c r="AL5850" s="86"/>
      <c r="AM5850" s="86"/>
      <c r="AN5850" s="86"/>
      <c r="AO5850" s="86"/>
      <c r="AP5850" s="86"/>
    </row>
    <row r="5851" spans="1:42" x14ac:dyDescent="0.2">
      <c r="A5851" s="38">
        <v>45695</v>
      </c>
      <c r="B5851" s="137" t="s">
        <v>37</v>
      </c>
      <c r="C5851" s="41" t="s">
        <v>118</v>
      </c>
      <c r="D5851" s="80" t="s">
        <v>36</v>
      </c>
      <c r="E5851" s="80" t="s">
        <v>119</v>
      </c>
      <c r="F5851" s="80" t="s">
        <v>13877</v>
      </c>
      <c r="G5851" s="161" t="s">
        <v>221</v>
      </c>
      <c r="H5851" s="80" t="s">
        <v>19447</v>
      </c>
      <c r="I5851" s="17">
        <f ca="1">IFERROR(__xludf.DUMMYFUNCTION("""COMPUTED_VALUE"""),45709)</f>
        <v>45709</v>
      </c>
      <c r="J5851" s="143" t="s">
        <v>16441</v>
      </c>
      <c r="K5851" s="145" t="s">
        <v>16442</v>
      </c>
      <c r="L5851" s="30">
        <v>944477604</v>
      </c>
      <c r="M5851" s="80" t="s">
        <v>3498</v>
      </c>
      <c r="N5851" s="80" t="s">
        <v>4402</v>
      </c>
      <c r="O5851" s="80" t="s">
        <v>4503</v>
      </c>
      <c r="P5851" s="144" t="s">
        <v>19451</v>
      </c>
      <c r="Q5851" s="20">
        <v>13968</v>
      </c>
      <c r="R5851" s="80" t="s">
        <v>36</v>
      </c>
      <c r="S5851" s="95">
        <v>13968</v>
      </c>
      <c r="T5851" s="148">
        <v>45587</v>
      </c>
      <c r="U5851" s="77"/>
      <c r="V5851" s="78"/>
      <c r="W5851" s="85" t="s">
        <v>16444</v>
      </c>
      <c r="X5851" s="80"/>
      <c r="Y5851" s="22">
        <v>0</v>
      </c>
      <c r="Z5851" s="81" t="s">
        <v>50</v>
      </c>
      <c r="AA5851" s="82" t="s">
        <v>9905</v>
      </c>
      <c r="AB5851" s="80"/>
      <c r="AC5851" s="80" t="s">
        <v>53</v>
      </c>
      <c r="AD5851" s="80" t="s">
        <v>54</v>
      </c>
      <c r="AE5851" s="80" t="s">
        <v>13877</v>
      </c>
      <c r="AF5851" s="17">
        <v>45706</v>
      </c>
      <c r="AG5851" s="80"/>
      <c r="AH5851" s="80"/>
      <c r="AI5851" s="147"/>
      <c r="AJ5851" s="80"/>
      <c r="AK5851" s="80"/>
      <c r="AL5851" s="86"/>
      <c r="AM5851" s="86"/>
      <c r="AN5851" s="86"/>
      <c r="AO5851" s="86"/>
      <c r="AP5851" s="86"/>
    </row>
    <row r="5852" spans="1:42" x14ac:dyDescent="0.2">
      <c r="A5852" s="38">
        <v>45695</v>
      </c>
      <c r="B5852" s="137" t="s">
        <v>37</v>
      </c>
      <c r="C5852" s="41" t="s">
        <v>118</v>
      </c>
      <c r="D5852" s="80" t="s">
        <v>36</v>
      </c>
      <c r="E5852" s="80" t="s">
        <v>119</v>
      </c>
      <c r="F5852" s="80" t="s">
        <v>13877</v>
      </c>
      <c r="G5852" s="161" t="s">
        <v>221</v>
      </c>
      <c r="H5852" s="80" t="s">
        <v>19447</v>
      </c>
      <c r="I5852" s="17">
        <f ca="1">IFERROR(__xludf.DUMMYFUNCTION("""COMPUTED_VALUE"""),45709)</f>
        <v>45709</v>
      </c>
      <c r="J5852" s="143" t="s">
        <v>17589</v>
      </c>
      <c r="K5852" s="145" t="s">
        <v>19452</v>
      </c>
      <c r="L5852" s="30">
        <v>778375389</v>
      </c>
      <c r="M5852" s="80" t="s">
        <v>12529</v>
      </c>
      <c r="N5852" s="80" t="s">
        <v>13566</v>
      </c>
      <c r="O5852" s="80" t="s">
        <v>17591</v>
      </c>
      <c r="P5852" s="144" t="s">
        <v>19453</v>
      </c>
      <c r="Q5852" s="20">
        <v>13968</v>
      </c>
      <c r="R5852" s="80" t="s">
        <v>36</v>
      </c>
      <c r="S5852" s="95">
        <f>200+3800</f>
        <v>4000</v>
      </c>
      <c r="T5852" s="148" t="s">
        <v>17592</v>
      </c>
      <c r="U5852" s="95">
        <v>9968</v>
      </c>
      <c r="V5852" s="148">
        <v>45618</v>
      </c>
      <c r="W5852" s="85" t="s">
        <v>17593</v>
      </c>
      <c r="X5852" s="80"/>
      <c r="Y5852" s="22">
        <v>0</v>
      </c>
      <c r="Z5852" s="81" t="s">
        <v>50</v>
      </c>
      <c r="AA5852" s="86" t="s">
        <v>14723</v>
      </c>
      <c r="AB5852" s="80"/>
      <c r="AC5852" s="80" t="s">
        <v>53</v>
      </c>
      <c r="AD5852" s="80" t="s">
        <v>138</v>
      </c>
      <c r="AE5852" s="80" t="s">
        <v>13877</v>
      </c>
      <c r="AF5852" s="17">
        <v>45706</v>
      </c>
      <c r="AG5852" s="80"/>
      <c r="AH5852" s="80"/>
      <c r="AI5852" s="147"/>
      <c r="AJ5852" s="80"/>
      <c r="AK5852" s="80"/>
      <c r="AL5852" s="86"/>
      <c r="AM5852" s="86"/>
      <c r="AN5852" s="86"/>
      <c r="AO5852" s="86"/>
      <c r="AP5852" s="86"/>
    </row>
    <row r="5853" spans="1:42" x14ac:dyDescent="0.2">
      <c r="A5853" s="38">
        <v>45695</v>
      </c>
      <c r="B5853" s="137"/>
      <c r="C5853" s="41" t="s">
        <v>118</v>
      </c>
      <c r="D5853" s="26" t="s">
        <v>36</v>
      </c>
      <c r="E5853" s="26" t="s">
        <v>56</v>
      </c>
      <c r="F5853" s="80" t="s">
        <v>9171</v>
      </c>
      <c r="G5853" s="161" t="s">
        <v>221</v>
      </c>
      <c r="H5853" s="80" t="s">
        <v>19454</v>
      </c>
      <c r="I5853" s="17" t="str">
        <f ca="1">IFERROR(__xludf.DUMMYFUNCTION("""COMPUTED_VALUE""")," ")</f>
        <v xml:space="preserve"> </v>
      </c>
      <c r="J5853" s="29" t="s">
        <v>10962</v>
      </c>
      <c r="K5853" s="26" t="s">
        <v>19455</v>
      </c>
      <c r="L5853" s="30">
        <v>346307213</v>
      </c>
      <c r="M5853" s="26" t="s">
        <v>5429</v>
      </c>
      <c r="N5853" s="26" t="s">
        <v>756</v>
      </c>
      <c r="O5853" s="26" t="s">
        <v>10964</v>
      </c>
      <c r="P5853" s="42" t="s">
        <v>13646</v>
      </c>
      <c r="Q5853" s="20">
        <v>9317</v>
      </c>
      <c r="R5853" s="26" t="s">
        <v>36</v>
      </c>
      <c r="S5853" s="95">
        <v>2000</v>
      </c>
      <c r="T5853" s="148">
        <v>45495</v>
      </c>
      <c r="U5853" s="95">
        <v>7317</v>
      </c>
      <c r="V5853" s="148">
        <v>45528</v>
      </c>
      <c r="W5853" s="33" t="s">
        <v>10966</v>
      </c>
      <c r="X5853" s="26">
        <v>0</v>
      </c>
      <c r="Y5853" s="22">
        <v>0</v>
      </c>
      <c r="Z5853" s="26" t="s">
        <v>50</v>
      </c>
      <c r="AA5853" s="96" t="s">
        <v>10314</v>
      </c>
      <c r="AB5853" s="26"/>
      <c r="AC5853" s="26" t="s">
        <v>53</v>
      </c>
      <c r="AD5853" s="26" t="s">
        <v>54</v>
      </c>
      <c r="AE5853" s="80" t="s">
        <v>9171</v>
      </c>
      <c r="AF5853" s="17">
        <v>45706</v>
      </c>
      <c r="AG5853" s="26"/>
      <c r="AH5853" s="26"/>
      <c r="AI5853" s="40"/>
      <c r="AJ5853" s="26"/>
      <c r="AK5853" s="26"/>
      <c r="AL5853" s="35"/>
      <c r="AM5853" s="35"/>
      <c r="AN5853" s="35"/>
      <c r="AO5853" s="35"/>
      <c r="AP5853" s="35"/>
    </row>
    <row r="5854" spans="1:42" x14ac:dyDescent="0.2">
      <c r="A5854" s="38">
        <v>45695</v>
      </c>
      <c r="B5854" s="137" t="s">
        <v>37</v>
      </c>
      <c r="C5854" s="41" t="s">
        <v>118</v>
      </c>
      <c r="D5854" s="80" t="s">
        <v>36</v>
      </c>
      <c r="E5854" s="80" t="s">
        <v>139</v>
      </c>
      <c r="F5854" s="80" t="s">
        <v>6523</v>
      </c>
      <c r="G5854" s="80" t="s">
        <v>108</v>
      </c>
      <c r="H5854" s="80" t="s">
        <v>13999</v>
      </c>
      <c r="I5854" s="17">
        <f ca="1">IFERROR(__xludf.DUMMYFUNCTION("""COMPUTED_VALUE"""),45698)</f>
        <v>45698</v>
      </c>
      <c r="J5854" s="143" t="s">
        <v>18062</v>
      </c>
      <c r="K5854" s="80" t="s">
        <v>19456</v>
      </c>
      <c r="L5854" s="30">
        <v>375948128</v>
      </c>
      <c r="M5854" s="80" t="s">
        <v>9422</v>
      </c>
      <c r="N5854" s="80" t="s">
        <v>12670</v>
      </c>
      <c r="O5854" s="80" t="s">
        <v>18064</v>
      </c>
      <c r="P5854" s="80" t="s">
        <v>18065</v>
      </c>
      <c r="Q5854" s="20">
        <v>15936</v>
      </c>
      <c r="R5854" s="80" t="s">
        <v>36</v>
      </c>
      <c r="S5854" s="95">
        <v>16000</v>
      </c>
      <c r="T5854" s="148">
        <v>45613</v>
      </c>
      <c r="U5854" s="77"/>
      <c r="V5854" s="78"/>
      <c r="W5854" s="85" t="s">
        <v>18066</v>
      </c>
      <c r="X5854" s="80"/>
      <c r="Y5854" s="22">
        <v>-64</v>
      </c>
      <c r="Z5854" s="80" t="s">
        <v>50</v>
      </c>
      <c r="AA5854" s="86" t="s">
        <v>14723</v>
      </c>
      <c r="AB5854" s="80"/>
      <c r="AC5854" s="80" t="s">
        <v>53</v>
      </c>
      <c r="AD5854" s="80" t="s">
        <v>54</v>
      </c>
      <c r="AE5854" s="80" t="s">
        <v>6523</v>
      </c>
      <c r="AF5854" s="17">
        <v>45695</v>
      </c>
      <c r="AG5854" s="80"/>
      <c r="AH5854" s="80"/>
      <c r="AI5854" s="147"/>
      <c r="AJ5854" s="80"/>
      <c r="AK5854" s="80"/>
      <c r="AL5854" s="35"/>
      <c r="AM5854" s="35"/>
      <c r="AN5854" s="35"/>
      <c r="AO5854" s="35"/>
      <c r="AP5854" s="35"/>
    </row>
    <row r="5855" spans="1:42" x14ac:dyDescent="0.2">
      <c r="A5855" s="38">
        <v>45695</v>
      </c>
      <c r="B5855" s="137" t="s">
        <v>37</v>
      </c>
      <c r="C5855" s="41" t="s">
        <v>118</v>
      </c>
      <c r="D5855" s="26" t="s">
        <v>36</v>
      </c>
      <c r="E5855" s="26" t="s">
        <v>139</v>
      </c>
      <c r="F5855" s="26" t="s">
        <v>9171</v>
      </c>
      <c r="G5855" s="26" t="s">
        <v>221</v>
      </c>
      <c r="H5855" s="80" t="s">
        <v>19447</v>
      </c>
      <c r="I5855" s="17">
        <f ca="1">IFERROR(__xludf.DUMMYFUNCTION("""COMPUTED_VALUE"""),45709)</f>
        <v>45709</v>
      </c>
      <c r="J5855" s="29" t="s">
        <v>10261</v>
      </c>
      <c r="K5855" s="26" t="s">
        <v>19457</v>
      </c>
      <c r="L5855" s="47">
        <v>962474038</v>
      </c>
      <c r="M5855" s="26" t="s">
        <v>2755</v>
      </c>
      <c r="N5855" s="26" t="s">
        <v>2756</v>
      </c>
      <c r="O5855" s="26" t="s">
        <v>4503</v>
      </c>
      <c r="P5855" s="42" t="s">
        <v>19458</v>
      </c>
      <c r="Q5855" s="20">
        <v>15936</v>
      </c>
      <c r="R5855" s="26" t="s">
        <v>36</v>
      </c>
      <c r="S5855" s="95">
        <v>2000</v>
      </c>
      <c r="T5855" s="148">
        <v>45485</v>
      </c>
      <c r="U5855" s="95">
        <v>13936</v>
      </c>
      <c r="V5855" s="148">
        <v>45517</v>
      </c>
      <c r="W5855" s="33" t="s">
        <v>10264</v>
      </c>
      <c r="X5855" s="26">
        <v>0</v>
      </c>
      <c r="Y5855" s="22">
        <v>0</v>
      </c>
      <c r="Z5855" s="26" t="s">
        <v>50</v>
      </c>
      <c r="AA5855" s="96"/>
      <c r="AB5855" s="26"/>
      <c r="AC5855" s="26" t="s">
        <v>53</v>
      </c>
      <c r="AD5855" s="26" t="s">
        <v>54</v>
      </c>
      <c r="AE5855" s="26" t="s">
        <v>9171</v>
      </c>
      <c r="AF5855" s="17">
        <v>45706</v>
      </c>
      <c r="AG5855" s="26"/>
      <c r="AH5855" s="26"/>
      <c r="AI5855" s="40"/>
      <c r="AJ5855" s="26"/>
      <c r="AK5855" s="26"/>
      <c r="AL5855" s="35"/>
      <c r="AM5855" s="35"/>
      <c r="AN5855" s="35"/>
      <c r="AO5855" s="35"/>
      <c r="AP5855" s="35"/>
    </row>
    <row r="5856" spans="1:42" x14ac:dyDescent="0.2">
      <c r="A5856" s="38">
        <v>45695</v>
      </c>
      <c r="B5856" s="28" t="s">
        <v>37</v>
      </c>
      <c r="C5856" s="41" t="s">
        <v>118</v>
      </c>
      <c r="D5856" s="26" t="s">
        <v>36</v>
      </c>
      <c r="E5856" s="26" t="s">
        <v>139</v>
      </c>
      <c r="F5856" s="26" t="s">
        <v>10038</v>
      </c>
      <c r="G5856" s="26" t="s">
        <v>221</v>
      </c>
      <c r="H5856" s="80" t="s">
        <v>18560</v>
      </c>
      <c r="I5856" s="17">
        <f ca="1">IFERROR(__xludf.DUMMYFUNCTION("""COMPUTED_VALUE"""),45987)</f>
        <v>45987</v>
      </c>
      <c r="J5856" s="44" t="s">
        <v>19459</v>
      </c>
      <c r="K5856" s="26" t="s">
        <v>19460</v>
      </c>
      <c r="L5856" s="30">
        <v>348974098</v>
      </c>
      <c r="M5856" s="26" t="s">
        <v>3498</v>
      </c>
      <c r="N5856" s="26" t="s">
        <v>2756</v>
      </c>
      <c r="O5856" s="26" t="s">
        <v>4503</v>
      </c>
      <c r="P5856" s="42" t="s">
        <v>19461</v>
      </c>
      <c r="Q5856" s="20">
        <v>15936</v>
      </c>
      <c r="R5856" s="26" t="s">
        <v>36</v>
      </c>
      <c r="S5856" s="95">
        <f>200+4000</f>
        <v>4200</v>
      </c>
      <c r="T5856" s="83" t="s">
        <v>10215</v>
      </c>
      <c r="U5856" s="95">
        <v>11736</v>
      </c>
      <c r="V5856" s="148">
        <v>45513</v>
      </c>
      <c r="W5856" s="33" t="s">
        <v>10216</v>
      </c>
      <c r="X5856" s="26">
        <v>0</v>
      </c>
      <c r="Y5856" s="22">
        <v>0</v>
      </c>
      <c r="Z5856" s="26" t="s">
        <v>50</v>
      </c>
      <c r="AA5856" s="35"/>
      <c r="AB5856" s="26"/>
      <c r="AC5856" s="26" t="s">
        <v>53</v>
      </c>
      <c r="AD5856" s="26" t="s">
        <v>54</v>
      </c>
      <c r="AE5856" s="26" t="s">
        <v>10038</v>
      </c>
      <c r="AF5856" s="17">
        <v>45994</v>
      </c>
      <c r="AG5856" s="26" t="s">
        <v>19462</v>
      </c>
      <c r="AH5856" s="26" t="s">
        <v>19463</v>
      </c>
      <c r="AI5856" s="40"/>
      <c r="AJ5856" s="26"/>
      <c r="AK5856" s="26"/>
      <c r="AL5856" s="35"/>
      <c r="AM5856" s="35"/>
      <c r="AN5856" s="35"/>
      <c r="AO5856" s="35"/>
      <c r="AP5856" s="35"/>
    </row>
    <row r="5857" spans="1:42" x14ac:dyDescent="0.2">
      <c r="A5857" s="38">
        <v>45695</v>
      </c>
      <c r="B5857" s="137" t="s">
        <v>37</v>
      </c>
      <c r="C5857" s="41" t="s">
        <v>118</v>
      </c>
      <c r="D5857" s="80" t="s">
        <v>36</v>
      </c>
      <c r="E5857" s="80" t="s">
        <v>119</v>
      </c>
      <c r="F5857" s="80" t="s">
        <v>13745</v>
      </c>
      <c r="G5857" s="80" t="s">
        <v>1705</v>
      </c>
      <c r="H5857" s="80" t="s">
        <v>8998</v>
      </c>
      <c r="I5857" s="17">
        <f ca="1">IFERROR(__xludf.DUMMYFUNCTION("""COMPUTED_VALUE"""),45714)</f>
        <v>45714</v>
      </c>
      <c r="J5857" s="172" t="s">
        <v>19464</v>
      </c>
      <c r="K5857" s="80" t="s">
        <v>19465</v>
      </c>
      <c r="L5857" s="30">
        <v>981470106</v>
      </c>
      <c r="M5857" s="80" t="s">
        <v>80</v>
      </c>
      <c r="N5857" s="80" t="s">
        <v>466</v>
      </c>
      <c r="O5857" s="80" t="s">
        <v>11089</v>
      </c>
      <c r="P5857" s="144" t="s">
        <v>13828</v>
      </c>
      <c r="Q5857" s="20">
        <v>13968</v>
      </c>
      <c r="R5857" s="80" t="s">
        <v>36</v>
      </c>
      <c r="S5857" s="95">
        <f t="shared" ref="S5857:S5858" si="166">200+3600</f>
        <v>3800</v>
      </c>
      <c r="T5857" s="83" t="s">
        <v>11091</v>
      </c>
      <c r="U5857" s="95">
        <v>10168</v>
      </c>
      <c r="V5857" s="148">
        <v>45532</v>
      </c>
      <c r="W5857" s="85" t="s">
        <v>11092</v>
      </c>
      <c r="X5857" s="80">
        <v>0</v>
      </c>
      <c r="Y5857" s="22">
        <v>0</v>
      </c>
      <c r="Z5857" s="80" t="s">
        <v>50</v>
      </c>
      <c r="AA5857" s="96" t="s">
        <v>10314</v>
      </c>
      <c r="AB5857" s="80"/>
      <c r="AC5857" s="80" t="s">
        <v>53</v>
      </c>
      <c r="AD5857" s="80" t="s">
        <v>54</v>
      </c>
      <c r="AE5857" s="80" t="s">
        <v>13745</v>
      </c>
      <c r="AF5857" s="17">
        <v>45714</v>
      </c>
      <c r="AG5857" s="80"/>
      <c r="AH5857" s="80"/>
      <c r="AI5857" s="147"/>
      <c r="AJ5857" s="80"/>
      <c r="AK5857" s="80"/>
      <c r="AL5857" s="35"/>
      <c r="AM5857" s="35"/>
      <c r="AN5857" s="35"/>
      <c r="AO5857" s="35"/>
      <c r="AP5857" s="35"/>
    </row>
    <row r="5858" spans="1:42" x14ac:dyDescent="0.2">
      <c r="A5858" s="38">
        <v>45695</v>
      </c>
      <c r="B5858" s="137" t="s">
        <v>37</v>
      </c>
      <c r="C5858" s="41" t="s">
        <v>118</v>
      </c>
      <c r="D5858" s="80" t="s">
        <v>36</v>
      </c>
      <c r="E5858" s="80" t="s">
        <v>119</v>
      </c>
      <c r="F5858" s="80" t="s">
        <v>8998</v>
      </c>
      <c r="G5858" s="80" t="s">
        <v>1847</v>
      </c>
      <c r="H5858" s="80" t="s">
        <v>14381</v>
      </c>
      <c r="I5858" s="17">
        <f ca="1">IFERROR(__xludf.DUMMYFUNCTION("""COMPUTED_VALUE"""),45699)</f>
        <v>45699</v>
      </c>
      <c r="J5858" s="172" t="s">
        <v>13826</v>
      </c>
      <c r="K5858" s="80" t="s">
        <v>19466</v>
      </c>
      <c r="L5858" s="30">
        <v>981470106</v>
      </c>
      <c r="M5858" s="80" t="s">
        <v>80</v>
      </c>
      <c r="N5858" s="80" t="s">
        <v>466</v>
      </c>
      <c r="O5858" s="80" t="s">
        <v>11089</v>
      </c>
      <c r="P5858" s="144" t="s">
        <v>13828</v>
      </c>
      <c r="Q5858" s="20">
        <v>13968</v>
      </c>
      <c r="R5858" s="80" t="s">
        <v>36</v>
      </c>
      <c r="S5858" s="95">
        <f t="shared" si="166"/>
        <v>3800</v>
      </c>
      <c r="T5858" s="83" t="s">
        <v>11091</v>
      </c>
      <c r="U5858" s="95">
        <v>10168</v>
      </c>
      <c r="V5858" s="148">
        <v>45532</v>
      </c>
      <c r="W5858" s="85" t="s">
        <v>11092</v>
      </c>
      <c r="X5858" s="80">
        <v>0</v>
      </c>
      <c r="Y5858" s="22">
        <v>0</v>
      </c>
      <c r="Z5858" s="80" t="s">
        <v>50</v>
      </c>
      <c r="AA5858" s="35" t="s">
        <v>10314</v>
      </c>
      <c r="AB5858" s="80"/>
      <c r="AC5858" s="80" t="s">
        <v>53</v>
      </c>
      <c r="AD5858" s="80" t="s">
        <v>54</v>
      </c>
      <c r="AE5858" s="80" t="s">
        <v>13745</v>
      </c>
      <c r="AF5858" s="17">
        <v>45699</v>
      </c>
      <c r="AG5858" s="80"/>
      <c r="AH5858" s="80"/>
      <c r="AI5858" s="147"/>
      <c r="AJ5858" s="80"/>
      <c r="AK5858" s="80"/>
      <c r="AL5858" s="35"/>
      <c r="AM5858" s="35"/>
      <c r="AN5858" s="35"/>
      <c r="AO5858" s="35"/>
      <c r="AP5858" s="35"/>
    </row>
    <row r="5859" spans="1:42" x14ac:dyDescent="0.2">
      <c r="A5859" s="38">
        <v>45695</v>
      </c>
      <c r="B5859" s="137" t="s">
        <v>37</v>
      </c>
      <c r="C5859" s="41" t="s">
        <v>118</v>
      </c>
      <c r="D5859" s="80" t="s">
        <v>36</v>
      </c>
      <c r="E5859" s="80" t="s">
        <v>39</v>
      </c>
      <c r="F5859" s="80" t="s">
        <v>19075</v>
      </c>
      <c r="G5859" s="80" t="s">
        <v>108</v>
      </c>
      <c r="H5859" s="80" t="s">
        <v>14131</v>
      </c>
      <c r="I5859" s="17">
        <f ca="1">IFERROR(__xludf.DUMMYFUNCTION("""COMPUTED_VALUE"""),45705)</f>
        <v>45705</v>
      </c>
      <c r="J5859" s="143" t="s">
        <v>19076</v>
      </c>
      <c r="K5859" s="80" t="s">
        <v>19467</v>
      </c>
      <c r="L5859" s="30">
        <v>969397529</v>
      </c>
      <c r="M5859" s="80" t="s">
        <v>45</v>
      </c>
      <c r="N5859" s="80" t="s">
        <v>12712</v>
      </c>
      <c r="O5859" s="80" t="s">
        <v>19078</v>
      </c>
      <c r="P5859" s="144" t="s">
        <v>19079</v>
      </c>
      <c r="Q5859" s="20">
        <v>5736</v>
      </c>
      <c r="R5859" s="80" t="s">
        <v>36</v>
      </c>
      <c r="S5859" s="95">
        <v>5736</v>
      </c>
      <c r="T5859" s="148">
        <v>45630</v>
      </c>
      <c r="U5859" s="77"/>
      <c r="V5859" s="78"/>
      <c r="W5859" s="85" t="s">
        <v>19080</v>
      </c>
      <c r="X5859" s="80"/>
      <c r="Y5859" s="22">
        <v>0</v>
      </c>
      <c r="Z5859" s="80" t="s">
        <v>50</v>
      </c>
      <c r="AA5859" s="96" t="s">
        <v>18579</v>
      </c>
      <c r="AB5859" s="86"/>
      <c r="AC5859" s="80" t="s">
        <v>53</v>
      </c>
      <c r="AD5859" s="80" t="s">
        <v>54</v>
      </c>
      <c r="AE5859" s="80" t="s">
        <v>19075</v>
      </c>
      <c r="AF5859" s="17">
        <v>45699</v>
      </c>
      <c r="AG5859" s="80"/>
      <c r="AH5859" s="80"/>
      <c r="AI5859" s="147"/>
      <c r="AJ5859" s="80"/>
      <c r="AK5859" s="80"/>
      <c r="AL5859" s="35"/>
      <c r="AM5859" s="35"/>
      <c r="AN5859" s="35"/>
      <c r="AO5859" s="35"/>
      <c r="AP5859" s="35"/>
    </row>
    <row r="5860" spans="1:42" x14ac:dyDescent="0.2">
      <c r="A5860" s="38">
        <v>45695</v>
      </c>
      <c r="B5860" s="137" t="s">
        <v>37</v>
      </c>
      <c r="C5860" s="41" t="s">
        <v>118</v>
      </c>
      <c r="D5860" s="80" t="s">
        <v>36</v>
      </c>
      <c r="E5860" s="80" t="s">
        <v>56</v>
      </c>
      <c r="F5860" s="80" t="s">
        <v>19075</v>
      </c>
      <c r="G5860" s="80" t="s">
        <v>108</v>
      </c>
      <c r="H5860" s="80" t="s">
        <v>14131</v>
      </c>
      <c r="I5860" s="17">
        <f ca="1">IFERROR(__xludf.DUMMYFUNCTION("""COMPUTED_VALUE"""),45705)</f>
        <v>45705</v>
      </c>
      <c r="J5860" s="143" t="s">
        <v>19468</v>
      </c>
      <c r="K5860" s="80" t="s">
        <v>19469</v>
      </c>
      <c r="L5860" s="30">
        <v>943273836</v>
      </c>
      <c r="M5860" s="80" t="s">
        <v>15970</v>
      </c>
      <c r="N5860" s="80" t="s">
        <v>327</v>
      </c>
      <c r="O5860" s="80" t="s">
        <v>19470</v>
      </c>
      <c r="P5860" s="144" t="s">
        <v>19471</v>
      </c>
      <c r="Q5860" s="20">
        <v>9317</v>
      </c>
      <c r="R5860" s="80" t="s">
        <v>36</v>
      </c>
      <c r="S5860" s="95">
        <v>2000</v>
      </c>
      <c r="T5860" s="148">
        <v>45629</v>
      </c>
      <c r="U5860" s="95">
        <v>7317</v>
      </c>
      <c r="V5860" s="148">
        <v>45658</v>
      </c>
      <c r="W5860" s="85" t="s">
        <v>19472</v>
      </c>
      <c r="X5860" s="80"/>
      <c r="Y5860" s="22">
        <v>0</v>
      </c>
      <c r="Z5860" s="80" t="s">
        <v>50</v>
      </c>
      <c r="AA5860" s="86"/>
      <c r="AB5860" s="82"/>
      <c r="AC5860" s="80" t="s">
        <v>53</v>
      </c>
      <c r="AD5860" s="80" t="s">
        <v>54</v>
      </c>
      <c r="AE5860" s="80" t="s">
        <v>19075</v>
      </c>
      <c r="AF5860" s="17">
        <v>45699</v>
      </c>
      <c r="AG5860" s="80"/>
      <c r="AH5860" s="80"/>
      <c r="AI5860" s="147"/>
      <c r="AJ5860" s="80"/>
      <c r="AK5860" s="80"/>
      <c r="AL5860" s="35"/>
      <c r="AM5860" s="35"/>
      <c r="AN5860" s="35"/>
      <c r="AO5860" s="35"/>
      <c r="AP5860" s="35"/>
    </row>
    <row r="5861" spans="1:42" x14ac:dyDescent="0.2">
      <c r="A5861" s="38">
        <v>45695</v>
      </c>
      <c r="B5861" s="137" t="s">
        <v>37</v>
      </c>
      <c r="C5861" s="41" t="s">
        <v>118</v>
      </c>
      <c r="D5861" s="80" t="s">
        <v>36</v>
      </c>
      <c r="E5861" s="80" t="s">
        <v>139</v>
      </c>
      <c r="F5861" s="80" t="s">
        <v>6523</v>
      </c>
      <c r="G5861" s="80" t="s">
        <v>108</v>
      </c>
      <c r="H5861" s="80" t="s">
        <v>13773</v>
      </c>
      <c r="I5861" s="17">
        <f ca="1">IFERROR(__xludf.DUMMYFUNCTION("""COMPUTED_VALUE"""),45699)</f>
        <v>45699</v>
      </c>
      <c r="J5861" s="143" t="s">
        <v>18818</v>
      </c>
      <c r="K5861" s="80" t="s">
        <v>18819</v>
      </c>
      <c r="L5861" s="30">
        <v>869868316</v>
      </c>
      <c r="M5861" s="80" t="s">
        <v>16756</v>
      </c>
      <c r="N5861" s="80" t="s">
        <v>3525</v>
      </c>
      <c r="O5861" s="80" t="s">
        <v>18820</v>
      </c>
      <c r="P5861" s="144" t="s">
        <v>19473</v>
      </c>
      <c r="Q5861" s="20">
        <v>15936</v>
      </c>
      <c r="R5861" s="80" t="s">
        <v>36</v>
      </c>
      <c r="S5861" s="95">
        <v>2000</v>
      </c>
      <c r="T5861" s="148">
        <v>45610</v>
      </c>
      <c r="U5861" s="95">
        <v>13936</v>
      </c>
      <c r="V5861" s="148">
        <v>45639</v>
      </c>
      <c r="W5861" s="85" t="s">
        <v>18822</v>
      </c>
      <c r="X5861" s="80"/>
      <c r="Y5861" s="22">
        <v>0</v>
      </c>
      <c r="Z5861" s="80" t="s">
        <v>50</v>
      </c>
      <c r="AA5861" s="96" t="s">
        <v>18579</v>
      </c>
      <c r="AB5861" s="86"/>
      <c r="AC5861" s="80" t="s">
        <v>53</v>
      </c>
      <c r="AD5861" s="80" t="s">
        <v>54</v>
      </c>
      <c r="AE5861" s="80" t="s">
        <v>6523</v>
      </c>
      <c r="AF5861" s="17">
        <v>45698</v>
      </c>
      <c r="AG5861" s="80"/>
      <c r="AH5861" s="80"/>
      <c r="AI5861" s="147"/>
      <c r="AJ5861" s="80"/>
      <c r="AK5861" s="80"/>
      <c r="AL5861" s="35"/>
      <c r="AM5861" s="35"/>
      <c r="AN5861" s="35"/>
      <c r="AO5861" s="35"/>
      <c r="AP5861" s="35"/>
    </row>
    <row r="5862" spans="1:42" x14ac:dyDescent="0.2">
      <c r="A5862" s="38">
        <v>45695</v>
      </c>
      <c r="B5862" s="137" t="s">
        <v>37</v>
      </c>
      <c r="C5862" s="41" t="s">
        <v>118</v>
      </c>
      <c r="D5862" s="26" t="s">
        <v>36</v>
      </c>
      <c r="E5862" s="26" t="s">
        <v>139</v>
      </c>
      <c r="F5862" s="26" t="s">
        <v>10014</v>
      </c>
      <c r="G5862" s="26" t="s">
        <v>221</v>
      </c>
      <c r="H5862" s="26" t="s">
        <v>19447</v>
      </c>
      <c r="I5862" s="17">
        <f ca="1">IFERROR(__xludf.DUMMYFUNCTION("""COMPUTED_VALUE"""),45709)</f>
        <v>45709</v>
      </c>
      <c r="J5862" s="29" t="s">
        <v>10047</v>
      </c>
      <c r="K5862" s="26" t="s">
        <v>10593</v>
      </c>
      <c r="L5862" s="30">
        <v>365321558</v>
      </c>
      <c r="M5862" s="26" t="s">
        <v>45</v>
      </c>
      <c r="N5862" s="26" t="s">
        <v>565</v>
      </c>
      <c r="O5862" s="26" t="s">
        <v>10049</v>
      </c>
      <c r="P5862" s="42" t="s">
        <v>19474</v>
      </c>
      <c r="Q5862" s="20">
        <v>15936</v>
      </c>
      <c r="R5862" s="26" t="s">
        <v>36</v>
      </c>
      <c r="S5862" s="95">
        <f>2000+5000</f>
        <v>7000</v>
      </c>
      <c r="T5862" s="83" t="s">
        <v>10051</v>
      </c>
      <c r="U5862" s="95">
        <v>8936</v>
      </c>
      <c r="V5862" s="148">
        <v>45524</v>
      </c>
      <c r="W5862" s="33" t="s">
        <v>10052</v>
      </c>
      <c r="X5862" s="26">
        <v>0</v>
      </c>
      <c r="Y5862" s="22">
        <v>0</v>
      </c>
      <c r="Z5862" s="26" t="s">
        <v>118</v>
      </c>
      <c r="AA5862" s="35"/>
      <c r="AB5862" s="26"/>
      <c r="AC5862" s="26" t="s">
        <v>53</v>
      </c>
      <c r="AD5862" s="26" t="s">
        <v>54</v>
      </c>
      <c r="AE5862" s="26" t="s">
        <v>10014</v>
      </c>
      <c r="AF5862" s="17">
        <v>45706</v>
      </c>
      <c r="AG5862" s="26"/>
      <c r="AH5862" s="26"/>
      <c r="AI5862" s="40"/>
      <c r="AJ5862" s="26"/>
      <c r="AK5862" s="26"/>
      <c r="AL5862" s="35"/>
      <c r="AM5862" s="35"/>
      <c r="AN5862" s="35"/>
      <c r="AO5862" s="35"/>
      <c r="AP5862" s="35"/>
    </row>
    <row r="5863" spans="1:42" x14ac:dyDescent="0.2">
      <c r="A5863" s="38">
        <v>45695</v>
      </c>
      <c r="B5863" s="137" t="s">
        <v>37</v>
      </c>
      <c r="C5863" s="41" t="s">
        <v>118</v>
      </c>
      <c r="D5863" s="80" t="s">
        <v>36</v>
      </c>
      <c r="E5863" s="80" t="s">
        <v>148</v>
      </c>
      <c r="F5863" s="80" t="s">
        <v>10223</v>
      </c>
      <c r="G5863" s="80" t="s">
        <v>221</v>
      </c>
      <c r="H5863" s="80" t="s">
        <v>18322</v>
      </c>
      <c r="I5863" s="17">
        <f ca="1">IFERROR(__xludf.DUMMYFUNCTION("""COMPUTED_VALUE"""),45699)</f>
        <v>45699</v>
      </c>
      <c r="J5863" s="143" t="s">
        <v>17364</v>
      </c>
      <c r="K5863" s="80" t="s">
        <v>7549</v>
      </c>
      <c r="L5863" s="30">
        <v>377351873</v>
      </c>
      <c r="M5863" s="80" t="s">
        <v>15970</v>
      </c>
      <c r="N5863" s="80" t="s">
        <v>15991</v>
      </c>
      <c r="O5863" s="80" t="s">
        <v>4503</v>
      </c>
      <c r="P5863" s="80" t="s">
        <v>3056</v>
      </c>
      <c r="Q5863" s="20">
        <v>7349</v>
      </c>
      <c r="R5863" s="80" t="s">
        <v>36</v>
      </c>
      <c r="S5863" s="95">
        <f>200+3800</f>
        <v>4000</v>
      </c>
      <c r="T5863" s="83" t="s">
        <v>15965</v>
      </c>
      <c r="U5863" s="95">
        <v>3349</v>
      </c>
      <c r="V5863" s="148">
        <v>45600</v>
      </c>
      <c r="W5863" s="85" t="s">
        <v>17365</v>
      </c>
      <c r="X5863" s="80"/>
      <c r="Y5863" s="22">
        <v>0</v>
      </c>
      <c r="Z5863" s="80" t="s">
        <v>50</v>
      </c>
      <c r="AA5863" s="82" t="s">
        <v>14723</v>
      </c>
      <c r="AB5863" s="80"/>
      <c r="AC5863" s="80" t="s">
        <v>53</v>
      </c>
      <c r="AD5863" s="80" t="s">
        <v>138</v>
      </c>
      <c r="AE5863" s="80" t="s">
        <v>10223</v>
      </c>
      <c r="AF5863" s="17">
        <v>45699</v>
      </c>
      <c r="AG5863" s="80"/>
      <c r="AH5863" s="80"/>
      <c r="AI5863" s="147"/>
      <c r="AJ5863" s="80"/>
      <c r="AK5863" s="80"/>
      <c r="AL5863" s="35"/>
      <c r="AM5863" s="35"/>
      <c r="AN5863" s="35"/>
      <c r="AO5863" s="35"/>
      <c r="AP5863" s="35"/>
    </row>
    <row r="5864" spans="1:42" x14ac:dyDescent="0.2">
      <c r="A5864" s="38">
        <v>45695</v>
      </c>
      <c r="B5864" s="137" t="s">
        <v>37</v>
      </c>
      <c r="C5864" s="41" t="s">
        <v>118</v>
      </c>
      <c r="D5864" s="80" t="s">
        <v>36</v>
      </c>
      <c r="E5864" s="80" t="s">
        <v>139</v>
      </c>
      <c r="F5864" s="80" t="s">
        <v>19075</v>
      </c>
      <c r="G5864" s="26" t="s">
        <v>108</v>
      </c>
      <c r="H5864" s="80" t="s">
        <v>14227</v>
      </c>
      <c r="I5864" s="17">
        <f ca="1">IFERROR(__xludf.DUMMYFUNCTION("""COMPUTED_VALUE"""),45811)</f>
        <v>45811</v>
      </c>
      <c r="J5864" s="172" t="s">
        <v>19475</v>
      </c>
      <c r="K5864" s="80" t="s">
        <v>19476</v>
      </c>
      <c r="L5864" s="30">
        <v>364680506</v>
      </c>
      <c r="M5864" s="80" t="s">
        <v>15996</v>
      </c>
      <c r="N5864" s="80" t="s">
        <v>186</v>
      </c>
      <c r="O5864" s="80" t="s">
        <v>4503</v>
      </c>
      <c r="P5864" s="144" t="s">
        <v>19477</v>
      </c>
      <c r="Q5864" s="20">
        <v>15936</v>
      </c>
      <c r="R5864" s="80" t="s">
        <v>70</v>
      </c>
      <c r="S5864" s="95">
        <f>200+3000</f>
        <v>3200</v>
      </c>
      <c r="T5864" s="83" t="s">
        <v>19478</v>
      </c>
      <c r="U5864" s="95">
        <v>12736</v>
      </c>
      <c r="V5864" s="148">
        <v>45726</v>
      </c>
      <c r="W5864" s="85" t="s">
        <v>19479</v>
      </c>
      <c r="X5864" s="80"/>
      <c r="Y5864" s="22">
        <v>0</v>
      </c>
      <c r="Z5864" s="80" t="s">
        <v>50</v>
      </c>
      <c r="AA5864" s="35" t="s">
        <v>19480</v>
      </c>
      <c r="AB5864" s="82"/>
      <c r="AC5864" s="80" t="s">
        <v>53</v>
      </c>
      <c r="AD5864" s="80" t="s">
        <v>138</v>
      </c>
      <c r="AE5864" s="80" t="s">
        <v>19075</v>
      </c>
      <c r="AF5864" s="17">
        <v>45699</v>
      </c>
      <c r="AG5864" s="80" t="s">
        <v>19481</v>
      </c>
      <c r="AH5864" s="80"/>
      <c r="AI5864" s="147"/>
      <c r="AJ5864" s="80"/>
      <c r="AK5864" s="80"/>
      <c r="AL5864" s="35"/>
      <c r="AM5864" s="35"/>
      <c r="AN5864" s="35"/>
      <c r="AO5864" s="35"/>
      <c r="AP5864" s="35"/>
    </row>
    <row r="5865" spans="1:42" x14ac:dyDescent="0.2">
      <c r="A5865" s="38">
        <v>45695</v>
      </c>
      <c r="B5865" s="137" t="s">
        <v>37</v>
      </c>
      <c r="C5865" s="41" t="s">
        <v>118</v>
      </c>
      <c r="D5865" s="80" t="s">
        <v>77</v>
      </c>
      <c r="E5865" s="80" t="s">
        <v>139</v>
      </c>
      <c r="F5865" s="80" t="s">
        <v>19075</v>
      </c>
      <c r="G5865" s="26" t="s">
        <v>108</v>
      </c>
      <c r="H5865" s="80" t="s">
        <v>14131</v>
      </c>
      <c r="I5865" s="17">
        <f ca="1">IFERROR(__xludf.DUMMYFUNCTION("""COMPUTED_VALUE"""),45705)</f>
        <v>45705</v>
      </c>
      <c r="J5865" s="172" t="s">
        <v>19482</v>
      </c>
      <c r="K5865" s="80" t="s">
        <v>19483</v>
      </c>
      <c r="L5865" s="30">
        <v>977104046</v>
      </c>
      <c r="M5865" s="80" t="s">
        <v>5518</v>
      </c>
      <c r="N5865" s="80" t="s">
        <v>12380</v>
      </c>
      <c r="O5865" s="80" t="s">
        <v>19484</v>
      </c>
      <c r="P5865" s="144" t="s">
        <v>19485</v>
      </c>
      <c r="Q5865" s="20">
        <v>15936</v>
      </c>
      <c r="R5865" s="80" t="s">
        <v>36</v>
      </c>
      <c r="S5865" s="95">
        <f>500+1500</f>
        <v>2000</v>
      </c>
      <c r="T5865" s="83" t="s">
        <v>19486</v>
      </c>
      <c r="U5865" s="95">
        <v>13936</v>
      </c>
      <c r="V5865" s="148">
        <v>45659</v>
      </c>
      <c r="W5865" s="85" t="s">
        <v>19487</v>
      </c>
      <c r="X5865" s="80"/>
      <c r="Y5865" s="22">
        <v>0</v>
      </c>
      <c r="Z5865" s="80" t="s">
        <v>50</v>
      </c>
      <c r="AA5865" s="82"/>
      <c r="AB5865" s="86"/>
      <c r="AC5865" s="80" t="s">
        <v>53</v>
      </c>
      <c r="AD5865" s="80" t="s">
        <v>54</v>
      </c>
      <c r="AE5865" s="80" t="s">
        <v>19075</v>
      </c>
      <c r="AF5865" s="17">
        <v>45699</v>
      </c>
      <c r="AG5865" s="80"/>
      <c r="AH5865" s="80"/>
      <c r="AI5865" s="147"/>
      <c r="AJ5865" s="80"/>
      <c r="AK5865" s="80"/>
      <c r="AL5865" s="35"/>
      <c r="AM5865" s="35"/>
      <c r="AN5865" s="35"/>
      <c r="AO5865" s="35"/>
      <c r="AP5865" s="35"/>
    </row>
    <row r="5866" spans="1:42" x14ac:dyDescent="0.2">
      <c r="A5866" s="38">
        <v>45695</v>
      </c>
      <c r="B5866" s="137" t="s">
        <v>37</v>
      </c>
      <c r="C5866" s="41" t="s">
        <v>118</v>
      </c>
      <c r="D5866" s="80" t="s">
        <v>36</v>
      </c>
      <c r="E5866" s="80" t="s">
        <v>56</v>
      </c>
      <c r="F5866" s="80" t="s">
        <v>13480</v>
      </c>
      <c r="G5866" s="26" t="s">
        <v>108</v>
      </c>
      <c r="H5866" s="80" t="s">
        <v>19488</v>
      </c>
      <c r="I5866" s="17">
        <f ca="1">IFERROR(__xludf.DUMMYFUNCTION("""COMPUTED_VALUE"""),45939)</f>
        <v>45939</v>
      </c>
      <c r="J5866" s="143" t="s">
        <v>17250</v>
      </c>
      <c r="K5866" s="80" t="s">
        <v>19489</v>
      </c>
      <c r="L5866" s="30">
        <v>337905543</v>
      </c>
      <c r="M5866" s="80" t="s">
        <v>12720</v>
      </c>
      <c r="N5866" s="80" t="s">
        <v>15408</v>
      </c>
      <c r="O5866" s="80" t="s">
        <v>17252</v>
      </c>
      <c r="P5866" s="144" t="s">
        <v>19490</v>
      </c>
      <c r="Q5866" s="20">
        <v>9317</v>
      </c>
      <c r="R5866" s="80" t="s">
        <v>70</v>
      </c>
      <c r="S5866" s="95">
        <f>100+100+1800</f>
        <v>2000</v>
      </c>
      <c r="T5866" s="83" t="s">
        <v>17254</v>
      </c>
      <c r="U5866" s="95">
        <f>7000+317</f>
        <v>7317</v>
      </c>
      <c r="V5866" s="83" t="s">
        <v>17255</v>
      </c>
      <c r="W5866" s="85" t="s">
        <v>17256</v>
      </c>
      <c r="X5866" s="80"/>
      <c r="Y5866" s="22">
        <v>0</v>
      </c>
      <c r="Z5866" s="80" t="s">
        <v>50</v>
      </c>
      <c r="AA5866" s="86" t="s">
        <v>14723</v>
      </c>
      <c r="AB5866" s="80"/>
      <c r="AC5866" s="80" t="s">
        <v>53</v>
      </c>
      <c r="AD5866" s="80" t="s">
        <v>54</v>
      </c>
      <c r="AE5866" s="80" t="s">
        <v>13480</v>
      </c>
      <c r="AF5866" s="17">
        <v>45699</v>
      </c>
      <c r="AG5866" s="80"/>
      <c r="AH5866" s="80"/>
      <c r="AI5866" s="147"/>
      <c r="AJ5866" s="80"/>
      <c r="AK5866" s="80"/>
      <c r="AL5866" s="35"/>
      <c r="AM5866" s="35"/>
      <c r="AN5866" s="35"/>
      <c r="AO5866" s="35"/>
      <c r="AP5866" s="35"/>
    </row>
    <row r="5867" spans="1:42" x14ac:dyDescent="0.2">
      <c r="A5867" s="38">
        <v>45695</v>
      </c>
      <c r="B5867" s="137" t="s">
        <v>37</v>
      </c>
      <c r="C5867" s="41" t="s">
        <v>118</v>
      </c>
      <c r="D5867" s="80" t="s">
        <v>36</v>
      </c>
      <c r="E5867" s="80" t="s">
        <v>139</v>
      </c>
      <c r="F5867" s="80" t="s">
        <v>12542</v>
      </c>
      <c r="G5867" s="26" t="s">
        <v>108</v>
      </c>
      <c r="H5867" s="80" t="s">
        <v>18679</v>
      </c>
      <c r="I5867" s="17">
        <f ca="1">IFERROR(__xludf.DUMMYFUNCTION("""COMPUTED_VALUE"""),45709)</f>
        <v>45709</v>
      </c>
      <c r="J5867" s="143" t="s">
        <v>19046</v>
      </c>
      <c r="K5867" s="80" t="s">
        <v>19491</v>
      </c>
      <c r="L5867" s="30">
        <v>865319281</v>
      </c>
      <c r="M5867" s="80" t="s">
        <v>18749</v>
      </c>
      <c r="N5867" s="80" t="s">
        <v>6144</v>
      </c>
      <c r="O5867" s="80" t="s">
        <v>4503</v>
      </c>
      <c r="P5867" s="80" t="s">
        <v>19048</v>
      </c>
      <c r="Q5867" s="20">
        <v>15936</v>
      </c>
      <c r="R5867" s="80" t="s">
        <v>36</v>
      </c>
      <c r="S5867" s="95">
        <v>2000</v>
      </c>
      <c r="T5867" s="148">
        <v>45627</v>
      </c>
      <c r="U5867" s="95">
        <v>13936</v>
      </c>
      <c r="V5867" s="148">
        <v>45648</v>
      </c>
      <c r="W5867" s="85" t="s">
        <v>19049</v>
      </c>
      <c r="X5867" s="80"/>
      <c r="Y5867" s="22">
        <v>0</v>
      </c>
      <c r="Z5867" s="81" t="s">
        <v>50</v>
      </c>
      <c r="AA5867" s="82" t="s">
        <v>18579</v>
      </c>
      <c r="AB5867" s="82"/>
      <c r="AC5867" s="80" t="s">
        <v>53</v>
      </c>
      <c r="AD5867" s="80" t="s">
        <v>54</v>
      </c>
      <c r="AE5867" s="80" t="s">
        <v>12542</v>
      </c>
      <c r="AF5867" s="17">
        <v>45705</v>
      </c>
      <c r="AG5867" s="80"/>
      <c r="AH5867" s="80"/>
      <c r="AI5867" s="147"/>
      <c r="AJ5867" s="80"/>
      <c r="AK5867" s="80"/>
      <c r="AL5867" s="86"/>
      <c r="AM5867" s="86"/>
      <c r="AN5867" s="86"/>
      <c r="AO5867" s="86"/>
      <c r="AP5867" s="86"/>
    </row>
    <row r="5868" spans="1:42" x14ac:dyDescent="0.2">
      <c r="A5868" s="38">
        <v>45695</v>
      </c>
      <c r="B5868" s="137" t="s">
        <v>37</v>
      </c>
      <c r="C5868" s="41" t="s">
        <v>118</v>
      </c>
      <c r="D5868" s="80" t="s">
        <v>36</v>
      </c>
      <c r="E5868" s="80" t="s">
        <v>139</v>
      </c>
      <c r="F5868" s="80" t="s">
        <v>16692</v>
      </c>
      <c r="G5868" s="26" t="s">
        <v>108</v>
      </c>
      <c r="H5868" s="80" t="s">
        <v>19492</v>
      </c>
      <c r="I5868" s="17">
        <f ca="1">IFERROR(__xludf.DUMMYFUNCTION("""COMPUTED_VALUE"""),46002)</f>
        <v>46002</v>
      </c>
      <c r="J5868" s="143" t="s">
        <v>19058</v>
      </c>
      <c r="K5868" s="145" t="s">
        <v>19493</v>
      </c>
      <c r="L5868" s="30">
        <v>352354713</v>
      </c>
      <c r="M5868" s="80" t="s">
        <v>45</v>
      </c>
      <c r="N5868" s="80" t="s">
        <v>12712</v>
      </c>
      <c r="O5868" s="80" t="s">
        <v>19060</v>
      </c>
      <c r="P5868" s="80" t="s">
        <v>19061</v>
      </c>
      <c r="Q5868" s="20">
        <v>15936</v>
      </c>
      <c r="R5868" s="80" t="s">
        <v>36</v>
      </c>
      <c r="S5868" s="95">
        <f>500+15436</f>
        <v>15936</v>
      </c>
      <c r="T5868" s="148" t="s">
        <v>19062</v>
      </c>
      <c r="U5868" s="77"/>
      <c r="V5868" s="78"/>
      <c r="W5868" s="85" t="s">
        <v>19063</v>
      </c>
      <c r="X5868" s="80"/>
      <c r="Y5868" s="22">
        <v>0</v>
      </c>
      <c r="Z5868" s="81" t="s">
        <v>50</v>
      </c>
      <c r="AA5868" s="86" t="s">
        <v>18579</v>
      </c>
      <c r="AB5868" s="86"/>
      <c r="AC5868" s="80" t="s">
        <v>53</v>
      </c>
      <c r="AD5868" s="80" t="s">
        <v>54</v>
      </c>
      <c r="AE5868" s="80" t="s">
        <v>12542</v>
      </c>
      <c r="AF5868" s="17">
        <v>45750</v>
      </c>
      <c r="AG5868" s="80"/>
      <c r="AH5868" s="80"/>
      <c r="AI5868" s="147"/>
      <c r="AJ5868" s="80"/>
      <c r="AK5868" s="80"/>
      <c r="AL5868" s="86"/>
      <c r="AM5868" s="86"/>
      <c r="AN5868" s="86"/>
      <c r="AO5868" s="86"/>
      <c r="AP5868" s="86"/>
    </row>
    <row r="5869" spans="1:42" x14ac:dyDescent="0.2">
      <c r="A5869" s="38">
        <v>45695</v>
      </c>
      <c r="B5869" s="137" t="s">
        <v>37</v>
      </c>
      <c r="C5869" s="41" t="s">
        <v>118</v>
      </c>
      <c r="D5869" s="80" t="s">
        <v>36</v>
      </c>
      <c r="E5869" s="80" t="s">
        <v>39</v>
      </c>
      <c r="F5869" s="80" t="s">
        <v>12542</v>
      </c>
      <c r="G5869" s="26" t="s">
        <v>108</v>
      </c>
      <c r="H5869" s="80" t="s">
        <v>18679</v>
      </c>
      <c r="I5869" s="17">
        <f ca="1">IFERROR(__xludf.DUMMYFUNCTION("""COMPUTED_VALUE"""),45709)</f>
        <v>45709</v>
      </c>
      <c r="J5869" s="143" t="s">
        <v>19069</v>
      </c>
      <c r="K5869" s="80" t="s">
        <v>19070</v>
      </c>
      <c r="L5869" s="30">
        <v>868833204</v>
      </c>
      <c r="M5869" s="80" t="s">
        <v>59</v>
      </c>
      <c r="N5869" s="80" t="s">
        <v>19071</v>
      </c>
      <c r="O5869" s="80" t="s">
        <v>19072</v>
      </c>
      <c r="P5869" s="80" t="s">
        <v>19073</v>
      </c>
      <c r="Q5869" s="20">
        <v>5736</v>
      </c>
      <c r="R5869" s="80" t="s">
        <v>36</v>
      </c>
      <c r="S5869" s="95">
        <v>5736</v>
      </c>
      <c r="T5869" s="148">
        <v>45630</v>
      </c>
      <c r="U5869" s="77"/>
      <c r="V5869" s="78"/>
      <c r="W5869" s="85" t="s">
        <v>19074</v>
      </c>
      <c r="X5869" s="80"/>
      <c r="Y5869" s="22">
        <v>0</v>
      </c>
      <c r="Z5869" s="81" t="s">
        <v>50</v>
      </c>
      <c r="AA5869" s="82" t="s">
        <v>18579</v>
      </c>
      <c r="AB5869" s="82"/>
      <c r="AC5869" s="80" t="s">
        <v>53</v>
      </c>
      <c r="AD5869" s="80" t="s">
        <v>138</v>
      </c>
      <c r="AE5869" s="80" t="s">
        <v>12542</v>
      </c>
      <c r="AF5869" s="17">
        <v>45705</v>
      </c>
      <c r="AG5869" s="80"/>
      <c r="AH5869" s="80"/>
      <c r="AI5869" s="147"/>
      <c r="AJ5869" s="80"/>
      <c r="AK5869" s="80"/>
      <c r="AL5869" s="86"/>
      <c r="AM5869" s="86"/>
      <c r="AN5869" s="86"/>
      <c r="AO5869" s="86"/>
      <c r="AP5869" s="86"/>
    </row>
    <row r="5870" spans="1:42" x14ac:dyDescent="0.2">
      <c r="A5870" s="38">
        <v>45696</v>
      </c>
      <c r="B5870" s="137" t="s">
        <v>37</v>
      </c>
      <c r="C5870" s="41" t="s">
        <v>118</v>
      </c>
      <c r="D5870" s="80" t="s">
        <v>36</v>
      </c>
      <c r="E5870" s="80" t="s">
        <v>119</v>
      </c>
      <c r="F5870" s="80" t="s">
        <v>10028</v>
      </c>
      <c r="G5870" s="80" t="s">
        <v>221</v>
      </c>
      <c r="H5870" s="80" t="s">
        <v>18322</v>
      </c>
      <c r="I5870" s="17">
        <f ca="1">IFERROR(__xludf.DUMMYFUNCTION("""COMPUTED_VALUE"""),45699)</f>
        <v>45699</v>
      </c>
      <c r="J5870" s="143" t="s">
        <v>15708</v>
      </c>
      <c r="K5870" s="80" t="s">
        <v>15709</v>
      </c>
      <c r="L5870" s="30">
        <v>337438958</v>
      </c>
      <c r="M5870" s="80" t="s">
        <v>5429</v>
      </c>
      <c r="N5870" s="80" t="s">
        <v>756</v>
      </c>
      <c r="O5870" s="80" t="s">
        <v>61</v>
      </c>
      <c r="P5870" s="80" t="s">
        <v>19494</v>
      </c>
      <c r="Q5870" s="20">
        <v>13968</v>
      </c>
      <c r="R5870" s="80" t="s">
        <v>36</v>
      </c>
      <c r="S5870" s="95">
        <v>4000</v>
      </c>
      <c r="T5870" s="148">
        <v>45561</v>
      </c>
      <c r="U5870" s="95">
        <v>9968</v>
      </c>
      <c r="V5870" s="148">
        <v>45573</v>
      </c>
      <c r="W5870" s="85" t="s">
        <v>15710</v>
      </c>
      <c r="X5870" s="80"/>
      <c r="Y5870" s="22">
        <v>0</v>
      </c>
      <c r="Z5870" s="80" t="s">
        <v>50</v>
      </c>
      <c r="AA5870" s="35" t="s">
        <v>9905</v>
      </c>
      <c r="AB5870" s="80"/>
      <c r="AC5870" s="80" t="s">
        <v>53</v>
      </c>
      <c r="AD5870" s="80" t="s">
        <v>138</v>
      </c>
      <c r="AE5870" s="80" t="s">
        <v>10028</v>
      </c>
      <c r="AF5870" s="17">
        <v>45699</v>
      </c>
      <c r="AG5870" s="80"/>
      <c r="AH5870" s="80"/>
      <c r="AI5870" s="147"/>
      <c r="AJ5870" s="80"/>
      <c r="AK5870" s="80"/>
      <c r="AL5870" s="35"/>
      <c r="AM5870" s="35"/>
      <c r="AN5870" s="35"/>
      <c r="AO5870" s="35"/>
      <c r="AP5870" s="35"/>
    </row>
    <row r="5871" spans="1:42" x14ac:dyDescent="0.2">
      <c r="A5871" s="38">
        <v>45696</v>
      </c>
      <c r="B5871" s="137" t="s">
        <v>37</v>
      </c>
      <c r="C5871" s="41" t="s">
        <v>118</v>
      </c>
      <c r="D5871" s="80" t="s">
        <v>36</v>
      </c>
      <c r="E5871" s="80" t="s">
        <v>139</v>
      </c>
      <c r="F5871" s="80" t="s">
        <v>6523</v>
      </c>
      <c r="G5871" s="80" t="s">
        <v>108</v>
      </c>
      <c r="H5871" s="80" t="s">
        <v>13727</v>
      </c>
      <c r="I5871" s="17">
        <f ca="1">IFERROR(__xludf.DUMMYFUNCTION("""COMPUTED_VALUE"""),45705)</f>
        <v>45705</v>
      </c>
      <c r="J5871" s="143" t="s">
        <v>17689</v>
      </c>
      <c r="K5871" s="80" t="s">
        <v>19495</v>
      </c>
      <c r="L5871" s="30">
        <v>368340181</v>
      </c>
      <c r="M5871" s="80" t="s">
        <v>910</v>
      </c>
      <c r="N5871" s="80" t="s">
        <v>3525</v>
      </c>
      <c r="O5871" s="80" t="s">
        <v>91</v>
      </c>
      <c r="P5871" s="144" t="s">
        <v>19496</v>
      </c>
      <c r="Q5871" s="20">
        <v>15936</v>
      </c>
      <c r="R5871" s="80" t="s">
        <v>36</v>
      </c>
      <c r="S5871" s="95">
        <f>200+15736</f>
        <v>15936</v>
      </c>
      <c r="T5871" s="83" t="s">
        <v>17692</v>
      </c>
      <c r="U5871" s="77"/>
      <c r="V5871" s="78"/>
      <c r="W5871" s="85" t="s">
        <v>17693</v>
      </c>
      <c r="X5871" s="80"/>
      <c r="Y5871" s="22">
        <v>0</v>
      </c>
      <c r="Z5871" s="80" t="s">
        <v>50</v>
      </c>
      <c r="AA5871" s="82" t="s">
        <v>14723</v>
      </c>
      <c r="AB5871" s="80"/>
      <c r="AC5871" s="80" t="s">
        <v>53</v>
      </c>
      <c r="AD5871" s="80" t="s">
        <v>138</v>
      </c>
      <c r="AE5871" s="80" t="s">
        <v>6523</v>
      </c>
      <c r="AF5871" s="17">
        <v>45699</v>
      </c>
      <c r="AG5871" s="80"/>
      <c r="AH5871" s="80"/>
      <c r="AI5871" s="147"/>
      <c r="AJ5871" s="80"/>
      <c r="AK5871" s="80"/>
      <c r="AL5871" s="35"/>
      <c r="AM5871" s="35"/>
      <c r="AN5871" s="35"/>
      <c r="AO5871" s="35"/>
      <c r="AP5871" s="35"/>
    </row>
    <row r="5872" spans="1:42" x14ac:dyDescent="0.2">
      <c r="A5872" s="38">
        <v>45696</v>
      </c>
      <c r="B5872" s="137" t="s">
        <v>37</v>
      </c>
      <c r="C5872" s="41" t="s">
        <v>118</v>
      </c>
      <c r="D5872" s="80" t="s">
        <v>36</v>
      </c>
      <c r="E5872" s="80" t="s">
        <v>39</v>
      </c>
      <c r="F5872" s="80" t="s">
        <v>19075</v>
      </c>
      <c r="G5872" s="80" t="s">
        <v>108</v>
      </c>
      <c r="H5872" s="80" t="s">
        <v>16692</v>
      </c>
      <c r="I5872" s="17">
        <f ca="1">IFERROR(__xludf.DUMMYFUNCTION("""COMPUTED_VALUE"""),45757)</f>
        <v>45757</v>
      </c>
      <c r="J5872" s="143" t="s">
        <v>19497</v>
      </c>
      <c r="K5872" s="80" t="s">
        <v>19498</v>
      </c>
      <c r="L5872" s="30">
        <v>365844426</v>
      </c>
      <c r="M5872" s="80" t="s">
        <v>15970</v>
      </c>
      <c r="N5872" s="80" t="s">
        <v>466</v>
      </c>
      <c r="O5872" s="80" t="s">
        <v>19499</v>
      </c>
      <c r="P5872" s="144" t="s">
        <v>19500</v>
      </c>
      <c r="Q5872" s="20">
        <v>5736</v>
      </c>
      <c r="R5872" s="80" t="s">
        <v>36</v>
      </c>
      <c r="S5872" s="95">
        <f>100+1868</f>
        <v>1968</v>
      </c>
      <c r="T5872" s="83" t="s">
        <v>19501</v>
      </c>
      <c r="U5872" s="95">
        <v>3768</v>
      </c>
      <c r="V5872" s="148">
        <v>45658</v>
      </c>
      <c r="W5872" s="85" t="s">
        <v>19502</v>
      </c>
      <c r="X5872" s="80"/>
      <c r="Y5872" s="22">
        <v>0</v>
      </c>
      <c r="Z5872" s="80" t="s">
        <v>50</v>
      </c>
      <c r="AA5872" s="86"/>
      <c r="AB5872" s="82"/>
      <c r="AC5872" s="80" t="s">
        <v>53</v>
      </c>
      <c r="AD5872" s="80" t="s">
        <v>54</v>
      </c>
      <c r="AE5872" s="80" t="s">
        <v>19075</v>
      </c>
      <c r="AF5872" s="17">
        <v>45699</v>
      </c>
      <c r="AG5872" s="80"/>
      <c r="AH5872" s="80"/>
      <c r="AI5872" s="147"/>
      <c r="AJ5872" s="80"/>
      <c r="AK5872" s="80"/>
      <c r="AL5872" s="35"/>
      <c r="AM5872" s="35"/>
      <c r="AN5872" s="35"/>
      <c r="AO5872" s="35"/>
      <c r="AP5872" s="35"/>
    </row>
    <row r="5873" spans="1:42" x14ac:dyDescent="0.2">
      <c r="A5873" s="38">
        <v>45696</v>
      </c>
      <c r="B5873" s="137" t="s">
        <v>37</v>
      </c>
      <c r="C5873" s="41" t="s">
        <v>118</v>
      </c>
      <c r="D5873" s="80" t="s">
        <v>36</v>
      </c>
      <c r="E5873" s="80" t="s">
        <v>139</v>
      </c>
      <c r="F5873" s="80" t="s">
        <v>12542</v>
      </c>
      <c r="G5873" s="80" t="s">
        <v>108</v>
      </c>
      <c r="H5873" s="80" t="s">
        <v>13727</v>
      </c>
      <c r="I5873" s="17">
        <f ca="1">IFERROR(__xludf.DUMMYFUNCTION("""COMPUTED_VALUE"""),45705)</f>
        <v>45705</v>
      </c>
      <c r="J5873" s="143" t="s">
        <v>19023</v>
      </c>
      <c r="K5873" s="80" t="s">
        <v>19503</v>
      </c>
      <c r="L5873" s="30">
        <v>949932847</v>
      </c>
      <c r="M5873" s="80" t="s">
        <v>16756</v>
      </c>
      <c r="N5873" s="80" t="s">
        <v>3525</v>
      </c>
      <c r="O5873" s="80" t="s">
        <v>19025</v>
      </c>
      <c r="P5873" s="144" t="s">
        <v>19504</v>
      </c>
      <c r="Q5873" s="20">
        <v>15936</v>
      </c>
      <c r="R5873" s="80" t="s">
        <v>36</v>
      </c>
      <c r="S5873" s="95">
        <v>2000</v>
      </c>
      <c r="T5873" s="148">
        <v>45628</v>
      </c>
      <c r="U5873" s="95">
        <v>13936</v>
      </c>
      <c r="V5873" s="148">
        <v>45653</v>
      </c>
      <c r="W5873" s="85" t="s">
        <v>19027</v>
      </c>
      <c r="X5873" s="80"/>
      <c r="Y5873" s="22">
        <v>0</v>
      </c>
      <c r="Z5873" s="80" t="s">
        <v>50</v>
      </c>
      <c r="AA5873" s="96" t="s">
        <v>18579</v>
      </c>
      <c r="AB5873" s="82"/>
      <c r="AC5873" s="80" t="s">
        <v>53</v>
      </c>
      <c r="AD5873" s="80" t="s">
        <v>54</v>
      </c>
      <c r="AE5873" s="80" t="s">
        <v>12542</v>
      </c>
      <c r="AF5873" s="17">
        <v>45699</v>
      </c>
      <c r="AG5873" s="80"/>
      <c r="AH5873" s="80"/>
      <c r="AI5873" s="147"/>
      <c r="AJ5873" s="80"/>
      <c r="AK5873" s="80"/>
      <c r="AL5873" s="35"/>
      <c r="AM5873" s="35"/>
      <c r="AN5873" s="35"/>
      <c r="AO5873" s="35"/>
      <c r="AP5873" s="35"/>
    </row>
    <row r="5874" spans="1:42" x14ac:dyDescent="0.2">
      <c r="A5874" s="38">
        <v>45697</v>
      </c>
      <c r="B5874" s="137" t="s">
        <v>37</v>
      </c>
      <c r="C5874" s="41" t="s">
        <v>118</v>
      </c>
      <c r="D5874" s="80" t="s">
        <v>36</v>
      </c>
      <c r="E5874" s="80" t="s">
        <v>119</v>
      </c>
      <c r="F5874" s="80" t="s">
        <v>10223</v>
      </c>
      <c r="G5874" s="80" t="s">
        <v>221</v>
      </c>
      <c r="H5874" s="80" t="s">
        <v>18323</v>
      </c>
      <c r="I5874" s="17">
        <f ca="1">IFERROR(__xludf.DUMMYFUNCTION("""COMPUTED_VALUE"""),45698)</f>
        <v>45698</v>
      </c>
      <c r="J5874" s="143" t="s">
        <v>15839</v>
      </c>
      <c r="K5874" s="80" t="s">
        <v>15840</v>
      </c>
      <c r="L5874" s="30">
        <v>814306328</v>
      </c>
      <c r="M5874" s="80" t="s">
        <v>5429</v>
      </c>
      <c r="N5874" s="80" t="s">
        <v>9251</v>
      </c>
      <c r="O5874" s="80" t="s">
        <v>4626</v>
      </c>
      <c r="P5874" s="80" t="s">
        <v>12597</v>
      </c>
      <c r="Q5874" s="20">
        <v>13968</v>
      </c>
      <c r="R5874" s="80" t="s">
        <v>36</v>
      </c>
      <c r="S5874" s="95">
        <f>200+3800</f>
        <v>4000</v>
      </c>
      <c r="T5874" s="83" t="s">
        <v>15841</v>
      </c>
      <c r="U5874" s="95">
        <v>9968</v>
      </c>
      <c r="V5874" s="169">
        <v>45594</v>
      </c>
      <c r="W5874" s="85" t="s">
        <v>15842</v>
      </c>
      <c r="X5874" s="80"/>
      <c r="Y5874" s="22">
        <v>0</v>
      </c>
      <c r="Z5874" s="80" t="s">
        <v>50</v>
      </c>
      <c r="AA5874" s="35" t="s">
        <v>9905</v>
      </c>
      <c r="AB5874" s="80"/>
      <c r="AC5874" s="80" t="s">
        <v>53</v>
      </c>
      <c r="AD5874" s="80" t="s">
        <v>138</v>
      </c>
      <c r="AE5874" s="80" t="s">
        <v>10223</v>
      </c>
      <c r="AF5874" s="17">
        <v>45698</v>
      </c>
      <c r="AG5874" s="80"/>
      <c r="AH5874" s="80"/>
      <c r="AI5874" s="147"/>
      <c r="AJ5874" s="80"/>
      <c r="AK5874" s="80"/>
      <c r="AL5874" s="35"/>
      <c r="AM5874" s="35"/>
      <c r="AN5874" s="35"/>
      <c r="AO5874" s="35"/>
      <c r="AP5874" s="35"/>
    </row>
    <row r="5875" spans="1:42" x14ac:dyDescent="0.2">
      <c r="A5875" s="38">
        <v>45697</v>
      </c>
      <c r="B5875" s="137" t="s">
        <v>37</v>
      </c>
      <c r="C5875" s="41" t="s">
        <v>118</v>
      </c>
      <c r="D5875" s="26" t="s">
        <v>36</v>
      </c>
      <c r="E5875" s="26" t="s">
        <v>139</v>
      </c>
      <c r="F5875" s="26" t="s">
        <v>9032</v>
      </c>
      <c r="G5875" s="26" t="s">
        <v>221</v>
      </c>
      <c r="H5875" s="26" t="s">
        <v>18322</v>
      </c>
      <c r="I5875" s="17">
        <f ca="1">IFERROR(__xludf.DUMMYFUNCTION("""COMPUTED_VALUE"""),45699)</f>
        <v>45699</v>
      </c>
      <c r="J5875" s="29" t="s">
        <v>5340</v>
      </c>
      <c r="K5875" s="26" t="s">
        <v>19505</v>
      </c>
      <c r="L5875" s="30">
        <v>865683198</v>
      </c>
      <c r="M5875" s="26" t="s">
        <v>1245</v>
      </c>
      <c r="N5875" s="26" t="s">
        <v>4957</v>
      </c>
      <c r="O5875" s="26" t="s">
        <v>2737</v>
      </c>
      <c r="P5875" s="42" t="s">
        <v>19506</v>
      </c>
      <c r="Q5875" s="20">
        <v>15936</v>
      </c>
      <c r="R5875" s="26" t="s">
        <v>36</v>
      </c>
      <c r="S5875" s="31">
        <v>200</v>
      </c>
      <c r="T5875" s="32">
        <v>45211</v>
      </c>
      <c r="U5875" s="58">
        <f>10000+3736+2000</f>
        <v>15736</v>
      </c>
      <c r="V5875" s="35" t="s">
        <v>5342</v>
      </c>
      <c r="W5875" s="33" t="s">
        <v>5343</v>
      </c>
      <c r="X5875" s="26"/>
      <c r="Y5875" s="22">
        <v>0</v>
      </c>
      <c r="Z5875" s="26" t="s">
        <v>118</v>
      </c>
      <c r="AA5875" s="19" t="s">
        <v>5785</v>
      </c>
      <c r="AB5875" s="80" t="s">
        <v>36</v>
      </c>
      <c r="AC5875" s="26" t="s">
        <v>53</v>
      </c>
      <c r="AD5875" s="19" t="s">
        <v>138</v>
      </c>
      <c r="AE5875" s="26" t="s">
        <v>9032</v>
      </c>
      <c r="AF5875" s="17">
        <v>45548</v>
      </c>
      <c r="AG5875" s="26" t="s">
        <v>19507</v>
      </c>
      <c r="AH5875" s="26"/>
      <c r="AI5875" s="40" t="s">
        <v>147</v>
      </c>
      <c r="AJ5875" s="26"/>
      <c r="AK5875" s="26"/>
      <c r="AL5875" s="35"/>
      <c r="AM5875" s="35"/>
      <c r="AN5875" s="35"/>
      <c r="AO5875" s="35"/>
      <c r="AP5875" s="35"/>
    </row>
    <row r="5876" spans="1:42" x14ac:dyDescent="0.2">
      <c r="A5876" s="38">
        <v>45697</v>
      </c>
      <c r="B5876" s="137" t="s">
        <v>37</v>
      </c>
      <c r="C5876" s="41" t="s">
        <v>118</v>
      </c>
      <c r="D5876" s="26" t="s">
        <v>36</v>
      </c>
      <c r="E5876" s="26" t="s">
        <v>139</v>
      </c>
      <c r="F5876" s="26" t="s">
        <v>9032</v>
      </c>
      <c r="G5876" s="26" t="s">
        <v>221</v>
      </c>
      <c r="H5876" s="26" t="s">
        <v>18322</v>
      </c>
      <c r="I5876" s="17">
        <f ca="1">IFERROR(__xludf.DUMMYFUNCTION("""COMPUTED_VALUE"""),45699)</f>
        <v>45699</v>
      </c>
      <c r="J5876" s="29" t="s">
        <v>4506</v>
      </c>
      <c r="K5876" s="26" t="s">
        <v>19508</v>
      </c>
      <c r="L5876" s="30">
        <v>964298654</v>
      </c>
      <c r="M5876" s="26" t="s">
        <v>1245</v>
      </c>
      <c r="N5876" s="26" t="s">
        <v>4957</v>
      </c>
      <c r="O5876" s="26" t="s">
        <v>4503</v>
      </c>
      <c r="P5876" s="42" t="s">
        <v>19509</v>
      </c>
      <c r="Q5876" s="20">
        <v>15936</v>
      </c>
      <c r="R5876" s="26" t="s">
        <v>36</v>
      </c>
      <c r="S5876" s="31">
        <v>15936</v>
      </c>
      <c r="T5876" s="32">
        <v>45228</v>
      </c>
      <c r="U5876" s="31"/>
      <c r="V5876" s="26"/>
      <c r="W5876" s="33" t="s">
        <v>4509</v>
      </c>
      <c r="X5876" s="26"/>
      <c r="Y5876" s="22">
        <v>0</v>
      </c>
      <c r="Z5876" s="26" t="s">
        <v>118</v>
      </c>
      <c r="AA5876" s="19" t="s">
        <v>3454</v>
      </c>
      <c r="AB5876" s="80" t="s">
        <v>36</v>
      </c>
      <c r="AC5876" s="26" t="s">
        <v>53</v>
      </c>
      <c r="AD5876" s="19" t="s">
        <v>138</v>
      </c>
      <c r="AE5876" s="26" t="s">
        <v>9032</v>
      </c>
      <c r="AF5876" s="17">
        <v>45548</v>
      </c>
      <c r="AG5876" s="26" t="s">
        <v>19507</v>
      </c>
      <c r="AH5876" s="26"/>
      <c r="AI5876" s="40"/>
      <c r="AJ5876" s="26"/>
      <c r="AK5876" s="26"/>
      <c r="AL5876" s="35"/>
      <c r="AM5876" s="35"/>
      <c r="AN5876" s="35"/>
      <c r="AO5876" s="35"/>
      <c r="AP5876" s="35"/>
    </row>
    <row r="5877" spans="1:42" x14ac:dyDescent="0.2">
      <c r="A5877" s="38">
        <v>45697</v>
      </c>
      <c r="B5877" s="28" t="s">
        <v>37</v>
      </c>
      <c r="C5877" s="41" t="s">
        <v>118</v>
      </c>
      <c r="D5877" s="80" t="s">
        <v>36</v>
      </c>
      <c r="E5877" s="80" t="s">
        <v>139</v>
      </c>
      <c r="F5877" s="80" t="s">
        <v>13850</v>
      </c>
      <c r="G5877" s="80" t="s">
        <v>108</v>
      </c>
      <c r="H5877" s="80" t="s">
        <v>16849</v>
      </c>
      <c r="I5877" s="17">
        <f ca="1">IFERROR(__xludf.DUMMYFUNCTION("""COMPUTED_VALUE"""),45705)</f>
        <v>45705</v>
      </c>
      <c r="J5877" s="143" t="s">
        <v>17434</v>
      </c>
      <c r="K5877" s="80" t="s">
        <v>19510</v>
      </c>
      <c r="L5877" s="30">
        <v>399380227</v>
      </c>
      <c r="M5877" s="80" t="s">
        <v>12720</v>
      </c>
      <c r="N5877" s="80" t="s">
        <v>1073</v>
      </c>
      <c r="O5877" s="80" t="s">
        <v>17436</v>
      </c>
      <c r="P5877" s="80" t="s">
        <v>17437</v>
      </c>
      <c r="Q5877" s="20">
        <v>15936</v>
      </c>
      <c r="R5877" s="80" t="s">
        <v>36</v>
      </c>
      <c r="S5877" s="95">
        <v>2000</v>
      </c>
      <c r="T5877" s="148">
        <v>45573</v>
      </c>
      <c r="U5877" s="95">
        <v>13936</v>
      </c>
      <c r="V5877" s="148">
        <v>45626</v>
      </c>
      <c r="W5877" s="85" t="s">
        <v>17438</v>
      </c>
      <c r="X5877" s="80"/>
      <c r="Y5877" s="22">
        <v>0</v>
      </c>
      <c r="Z5877" s="80" t="s">
        <v>50</v>
      </c>
      <c r="AA5877" s="86" t="s">
        <v>14723</v>
      </c>
      <c r="AB5877" s="80"/>
      <c r="AC5877" s="80" t="s">
        <v>53</v>
      </c>
      <c r="AD5877" s="80" t="s">
        <v>138</v>
      </c>
      <c r="AE5877" s="80" t="s">
        <v>13850</v>
      </c>
      <c r="AF5877" s="17">
        <v>45705</v>
      </c>
      <c r="AG5877" s="80"/>
      <c r="AH5877" s="80"/>
      <c r="AI5877" s="147"/>
      <c r="AJ5877" s="80"/>
      <c r="AK5877" s="80"/>
      <c r="AL5877" s="35"/>
      <c r="AM5877" s="35"/>
      <c r="AN5877" s="35"/>
      <c r="AO5877" s="35"/>
      <c r="AP5877" s="35"/>
    </row>
    <row r="5878" spans="1:42" x14ac:dyDescent="0.2">
      <c r="A5878" s="38">
        <v>45697</v>
      </c>
      <c r="B5878" s="28" t="s">
        <v>37</v>
      </c>
      <c r="C5878" s="41" t="s">
        <v>118</v>
      </c>
      <c r="D5878" s="80" t="s">
        <v>36</v>
      </c>
      <c r="E5878" s="80" t="s">
        <v>139</v>
      </c>
      <c r="F5878" s="80" t="s">
        <v>13850</v>
      </c>
      <c r="G5878" s="80" t="s">
        <v>108</v>
      </c>
      <c r="H5878" s="80" t="s">
        <v>16849</v>
      </c>
      <c r="I5878" s="17">
        <f ca="1">IFERROR(__xludf.DUMMYFUNCTION("""COMPUTED_VALUE"""),45705)</f>
        <v>45705</v>
      </c>
      <c r="J5878" s="172" t="s">
        <v>17553</v>
      </c>
      <c r="K5878" s="80" t="s">
        <v>7577</v>
      </c>
      <c r="L5878" s="30">
        <v>865759980</v>
      </c>
      <c r="M5878" s="80" t="s">
        <v>12720</v>
      </c>
      <c r="N5878" s="80" t="s">
        <v>1073</v>
      </c>
      <c r="O5878" s="80" t="s">
        <v>17555</v>
      </c>
      <c r="P5878" s="80" t="s">
        <v>3178</v>
      </c>
      <c r="Q5878" s="20">
        <v>15936</v>
      </c>
      <c r="R5878" s="80" t="s">
        <v>36</v>
      </c>
      <c r="S5878" s="95">
        <f>200+1800</f>
        <v>2000</v>
      </c>
      <c r="T5878" s="83" t="s">
        <v>17556</v>
      </c>
      <c r="U5878" s="95">
        <v>13936</v>
      </c>
      <c r="V5878" s="148">
        <v>45616</v>
      </c>
      <c r="W5878" s="85" t="s">
        <v>17557</v>
      </c>
      <c r="X5878" s="80"/>
      <c r="Y5878" s="22">
        <v>0</v>
      </c>
      <c r="Z5878" s="80" t="s">
        <v>50</v>
      </c>
      <c r="AA5878" s="86" t="s">
        <v>14723</v>
      </c>
      <c r="AB5878" s="80"/>
      <c r="AC5878" s="80" t="s">
        <v>53</v>
      </c>
      <c r="AD5878" s="80" t="s">
        <v>138</v>
      </c>
      <c r="AE5878" s="80" t="s">
        <v>13850</v>
      </c>
      <c r="AF5878" s="17">
        <v>45705</v>
      </c>
      <c r="AG5878" s="80"/>
      <c r="AH5878" s="80"/>
      <c r="AI5878" s="147"/>
      <c r="AJ5878" s="80"/>
      <c r="AK5878" s="80"/>
      <c r="AL5878" s="35"/>
      <c r="AM5878" s="35"/>
      <c r="AN5878" s="35"/>
      <c r="AO5878" s="35"/>
      <c r="AP5878" s="35"/>
    </row>
    <row r="5879" spans="1:42" x14ac:dyDescent="0.2">
      <c r="A5879" s="38">
        <v>45697</v>
      </c>
      <c r="B5879" s="28" t="s">
        <v>37</v>
      </c>
      <c r="C5879" s="41" t="s">
        <v>118</v>
      </c>
      <c r="D5879" s="80" t="s">
        <v>36</v>
      </c>
      <c r="E5879" s="80" t="s">
        <v>39</v>
      </c>
      <c r="F5879" s="80" t="s">
        <v>13384</v>
      </c>
      <c r="G5879" s="80" t="s">
        <v>108</v>
      </c>
      <c r="H5879" s="80" t="s">
        <v>16849</v>
      </c>
      <c r="I5879" s="17">
        <f ca="1">IFERROR(__xludf.DUMMYFUNCTION("""COMPUTED_VALUE"""),45705)</f>
        <v>45705</v>
      </c>
      <c r="J5879" s="143" t="s">
        <v>15730</v>
      </c>
      <c r="K5879" s="80" t="s">
        <v>15731</v>
      </c>
      <c r="L5879" s="30">
        <v>344535069</v>
      </c>
      <c r="M5879" s="80" t="s">
        <v>59</v>
      </c>
      <c r="N5879" s="80" t="s">
        <v>7298</v>
      </c>
      <c r="O5879" s="80" t="s">
        <v>15732</v>
      </c>
      <c r="P5879" s="80" t="s">
        <v>15733</v>
      </c>
      <c r="Q5879" s="20">
        <v>5736</v>
      </c>
      <c r="R5879" s="80" t="s">
        <v>70</v>
      </c>
      <c r="S5879" s="95">
        <f>200+5436</f>
        <v>5636</v>
      </c>
      <c r="T5879" s="83" t="s">
        <v>15698</v>
      </c>
      <c r="U5879" s="77"/>
      <c r="V5879" s="78"/>
      <c r="W5879" s="85" t="s">
        <v>15734</v>
      </c>
      <c r="X5879" s="80"/>
      <c r="Y5879" s="22">
        <v>100</v>
      </c>
      <c r="Z5879" s="80" t="s">
        <v>50</v>
      </c>
      <c r="AA5879" s="96" t="s">
        <v>9905</v>
      </c>
      <c r="AB5879" s="80"/>
      <c r="AC5879" s="80" t="s">
        <v>53</v>
      </c>
      <c r="AD5879" s="80" t="s">
        <v>138</v>
      </c>
      <c r="AE5879" s="80" t="s">
        <v>13384</v>
      </c>
      <c r="AF5879" s="17">
        <v>45705</v>
      </c>
      <c r="AG5879" s="80"/>
      <c r="AH5879" s="80"/>
      <c r="AI5879" s="147"/>
      <c r="AJ5879" s="80"/>
      <c r="AK5879" s="80"/>
      <c r="AL5879" s="35"/>
      <c r="AM5879" s="35"/>
      <c r="AN5879" s="35"/>
      <c r="AO5879" s="35"/>
      <c r="AP5879" s="35"/>
    </row>
    <row r="5880" spans="1:42" x14ac:dyDescent="0.2">
      <c r="A5880" s="38">
        <v>45697</v>
      </c>
      <c r="B5880" s="137" t="s">
        <v>37</v>
      </c>
      <c r="C5880" s="41" t="s">
        <v>118</v>
      </c>
      <c r="D5880" s="26" t="s">
        <v>36</v>
      </c>
      <c r="E5880" s="26" t="s">
        <v>139</v>
      </c>
      <c r="F5880" s="80" t="s">
        <v>11777</v>
      </c>
      <c r="G5880" s="26" t="s">
        <v>108</v>
      </c>
      <c r="H5880" s="80" t="s">
        <v>13773</v>
      </c>
      <c r="I5880" s="17">
        <f ca="1">IFERROR(__xludf.DUMMYFUNCTION("""COMPUTED_VALUE"""),45699)</f>
        <v>45699</v>
      </c>
      <c r="J5880" s="29" t="s">
        <v>10472</v>
      </c>
      <c r="K5880" s="26" t="s">
        <v>19511</v>
      </c>
      <c r="L5880" s="30">
        <v>961099542</v>
      </c>
      <c r="M5880" s="26" t="s">
        <v>5558</v>
      </c>
      <c r="N5880" s="26" t="s">
        <v>5559</v>
      </c>
      <c r="O5880" s="26" t="s">
        <v>4503</v>
      </c>
      <c r="P5880" s="42" t="s">
        <v>13739</v>
      </c>
      <c r="Q5880" s="20">
        <v>15936</v>
      </c>
      <c r="R5880" s="26" t="s">
        <v>36</v>
      </c>
      <c r="S5880" s="95">
        <f>2000+9000</f>
        <v>11000</v>
      </c>
      <c r="T5880" s="148">
        <v>45476</v>
      </c>
      <c r="U5880" s="95">
        <v>4936</v>
      </c>
      <c r="V5880" s="148">
        <v>45511</v>
      </c>
      <c r="W5880" s="33" t="s">
        <v>10475</v>
      </c>
      <c r="X5880" s="26">
        <v>0</v>
      </c>
      <c r="Y5880" s="22">
        <v>0</v>
      </c>
      <c r="Z5880" s="26" t="s">
        <v>50</v>
      </c>
      <c r="AA5880" s="35" t="s">
        <v>10314</v>
      </c>
      <c r="AB5880" s="26"/>
      <c r="AC5880" s="26" t="s">
        <v>53</v>
      </c>
      <c r="AD5880" s="26" t="s">
        <v>54</v>
      </c>
      <c r="AE5880" s="80" t="s">
        <v>11777</v>
      </c>
      <c r="AF5880" s="17">
        <v>45583</v>
      </c>
      <c r="AG5880" s="26" t="s">
        <v>19507</v>
      </c>
      <c r="AH5880" s="26"/>
      <c r="AI5880" s="40"/>
      <c r="AJ5880" s="26"/>
      <c r="AK5880" s="26"/>
      <c r="AL5880" s="35"/>
      <c r="AM5880" s="35"/>
      <c r="AN5880" s="35"/>
      <c r="AO5880" s="35"/>
      <c r="AP5880" s="35"/>
    </row>
    <row r="5881" spans="1:42" x14ac:dyDescent="0.2">
      <c r="A5881" s="38">
        <v>45697</v>
      </c>
      <c r="B5881" s="137" t="s">
        <v>37</v>
      </c>
      <c r="C5881" s="41" t="s">
        <v>118</v>
      </c>
      <c r="D5881" s="26" t="s">
        <v>36</v>
      </c>
      <c r="E5881" s="26" t="s">
        <v>139</v>
      </c>
      <c r="F5881" s="26" t="s">
        <v>10223</v>
      </c>
      <c r="G5881" s="26" t="s">
        <v>221</v>
      </c>
      <c r="H5881" s="26" t="s">
        <v>18322</v>
      </c>
      <c r="I5881" s="17">
        <f ca="1">IFERROR(__xludf.DUMMYFUNCTION("""COMPUTED_VALUE"""),45699)</f>
        <v>45699</v>
      </c>
      <c r="J5881" s="29" t="s">
        <v>10909</v>
      </c>
      <c r="K5881" s="26" t="s">
        <v>11789</v>
      </c>
      <c r="L5881" s="30">
        <v>962617450</v>
      </c>
      <c r="M5881" s="26" t="s">
        <v>5518</v>
      </c>
      <c r="N5881" s="26" t="s">
        <v>10698</v>
      </c>
      <c r="O5881" s="26" t="s">
        <v>10911</v>
      </c>
      <c r="P5881" s="42" t="s">
        <v>10912</v>
      </c>
      <c r="Q5881" s="20">
        <v>15936</v>
      </c>
      <c r="R5881" s="26" t="s">
        <v>36</v>
      </c>
      <c r="S5881" s="95">
        <v>2000</v>
      </c>
      <c r="T5881" s="148">
        <v>45493</v>
      </c>
      <c r="U5881" s="95">
        <v>13936</v>
      </c>
      <c r="V5881" s="148">
        <v>45525</v>
      </c>
      <c r="W5881" s="33" t="s">
        <v>10913</v>
      </c>
      <c r="X5881" s="26">
        <v>0</v>
      </c>
      <c r="Y5881" s="22">
        <v>0</v>
      </c>
      <c r="Z5881" s="26" t="s">
        <v>50</v>
      </c>
      <c r="AA5881" s="96" t="s">
        <v>10314</v>
      </c>
      <c r="AB5881" s="26"/>
      <c r="AC5881" s="26" t="s">
        <v>53</v>
      </c>
      <c r="AD5881" s="26" t="s">
        <v>54</v>
      </c>
      <c r="AE5881" s="26" t="s">
        <v>10223</v>
      </c>
      <c r="AF5881" s="17">
        <v>45699</v>
      </c>
      <c r="AG5881" s="26"/>
      <c r="AH5881" s="26"/>
      <c r="AI5881" s="40"/>
      <c r="AJ5881" s="26"/>
      <c r="AK5881" s="26"/>
      <c r="AL5881" s="35"/>
      <c r="AM5881" s="35"/>
      <c r="AN5881" s="35"/>
      <c r="AO5881" s="35"/>
      <c r="AP5881" s="35"/>
    </row>
    <row r="5882" spans="1:42" x14ac:dyDescent="0.2">
      <c r="A5882" s="38">
        <v>45698</v>
      </c>
      <c r="B5882" s="28"/>
      <c r="C5882" s="41" t="s">
        <v>118</v>
      </c>
      <c r="D5882" s="80" t="s">
        <v>36</v>
      </c>
      <c r="E5882" s="80" t="s">
        <v>139</v>
      </c>
      <c r="F5882" s="80" t="s">
        <v>15199</v>
      </c>
      <c r="G5882" s="80" t="s">
        <v>108</v>
      </c>
      <c r="H5882" s="80" t="s">
        <v>19512</v>
      </c>
      <c r="I5882" s="17">
        <f ca="1">IFERROR(__xludf.DUMMYFUNCTION("""COMPUTED_VALUE"""),45923)</f>
        <v>45923</v>
      </c>
      <c r="J5882" s="143" t="s">
        <v>17273</v>
      </c>
      <c r="K5882" s="80" t="s">
        <v>19513</v>
      </c>
      <c r="L5882" s="30">
        <v>355138471</v>
      </c>
      <c r="M5882" s="80" t="s">
        <v>12720</v>
      </c>
      <c r="N5882" s="80" t="s">
        <v>1073</v>
      </c>
      <c r="O5882" s="80" t="s">
        <v>17275</v>
      </c>
      <c r="P5882" s="80" t="s">
        <v>17276</v>
      </c>
      <c r="Q5882" s="20">
        <v>15936</v>
      </c>
      <c r="R5882" s="80" t="s">
        <v>70</v>
      </c>
      <c r="S5882" s="95">
        <f>200+1800</f>
        <v>2000</v>
      </c>
      <c r="T5882" s="83" t="s">
        <v>15582</v>
      </c>
      <c r="U5882" s="95">
        <v>13836</v>
      </c>
      <c r="V5882" s="148">
        <v>45609</v>
      </c>
      <c r="W5882" s="85" t="s">
        <v>17277</v>
      </c>
      <c r="X5882" s="80"/>
      <c r="Y5882" s="22">
        <v>100</v>
      </c>
      <c r="Z5882" s="80" t="s">
        <v>50</v>
      </c>
      <c r="AA5882" s="86" t="s">
        <v>14723</v>
      </c>
      <c r="AB5882" s="80"/>
      <c r="AC5882" s="80" t="s">
        <v>53</v>
      </c>
      <c r="AD5882" s="80" t="s">
        <v>138</v>
      </c>
      <c r="AE5882" s="80" t="s">
        <v>15199</v>
      </c>
      <c r="AF5882" s="17">
        <v>45706</v>
      </c>
      <c r="AG5882" s="80"/>
      <c r="AH5882" s="80"/>
      <c r="AI5882" s="147"/>
      <c r="AJ5882" s="80"/>
      <c r="AK5882" s="80"/>
      <c r="AL5882" s="35"/>
      <c r="AM5882" s="35"/>
      <c r="AN5882" s="35"/>
      <c r="AO5882" s="35"/>
      <c r="AP5882" s="35"/>
    </row>
    <row r="5883" spans="1:42" x14ac:dyDescent="0.2">
      <c r="A5883" s="38">
        <v>45698</v>
      </c>
      <c r="B5883" s="137" t="s">
        <v>37</v>
      </c>
      <c r="C5883" s="41" t="s">
        <v>118</v>
      </c>
      <c r="D5883" s="26" t="s">
        <v>36</v>
      </c>
      <c r="E5883" s="26" t="s">
        <v>139</v>
      </c>
      <c r="F5883" s="26" t="s">
        <v>4362</v>
      </c>
      <c r="G5883" s="26" t="s">
        <v>221</v>
      </c>
      <c r="H5883" s="26" t="s">
        <v>19514</v>
      </c>
      <c r="I5883" s="17">
        <f ca="1">IFERROR(__xludf.DUMMYFUNCTION("""COMPUTED_VALUE"""),45709)</f>
        <v>45709</v>
      </c>
      <c r="J5883" s="44" t="s">
        <v>19515</v>
      </c>
      <c r="K5883" s="26" t="s">
        <v>5899</v>
      </c>
      <c r="L5883" s="30">
        <v>398502015</v>
      </c>
      <c r="M5883" s="26" t="s">
        <v>112</v>
      </c>
      <c r="N5883" s="26" t="s">
        <v>3330</v>
      </c>
      <c r="O5883" s="26" t="s">
        <v>3906</v>
      </c>
      <c r="P5883" s="42" t="s">
        <v>19516</v>
      </c>
      <c r="Q5883" s="20">
        <v>15936</v>
      </c>
      <c r="R5883" s="26" t="s">
        <v>36</v>
      </c>
      <c r="S5883" s="31">
        <v>500</v>
      </c>
      <c r="T5883" s="32">
        <v>45197</v>
      </c>
      <c r="U5883" s="31">
        <v>15436</v>
      </c>
      <c r="V5883" s="32">
        <v>45204</v>
      </c>
      <c r="W5883" s="26"/>
      <c r="X5883" s="26"/>
      <c r="Y5883" s="22">
        <v>0</v>
      </c>
      <c r="Z5883" s="26" t="s">
        <v>118</v>
      </c>
      <c r="AA5883" s="19" t="s">
        <v>5785</v>
      </c>
      <c r="AB5883" s="26"/>
      <c r="AC5883" s="26" t="s">
        <v>53</v>
      </c>
      <c r="AD5883" s="19" t="s">
        <v>138</v>
      </c>
      <c r="AE5883" s="26" t="s">
        <v>4362</v>
      </c>
      <c r="AF5883" s="17">
        <v>45706</v>
      </c>
      <c r="AG5883" s="26"/>
      <c r="AH5883" s="26"/>
      <c r="AI5883" s="40" t="s">
        <v>147</v>
      </c>
      <c r="AJ5883" s="26"/>
      <c r="AK5883" s="26"/>
      <c r="AL5883" s="35"/>
      <c r="AM5883" s="35"/>
      <c r="AN5883" s="35"/>
      <c r="AO5883" s="35"/>
      <c r="AP5883" s="35"/>
    </row>
    <row r="5884" spans="1:42" x14ac:dyDescent="0.2">
      <c r="A5884" s="38">
        <v>45698</v>
      </c>
      <c r="B5884" s="137" t="s">
        <v>37</v>
      </c>
      <c r="C5884" s="41" t="s">
        <v>118</v>
      </c>
      <c r="D5884" s="80" t="s">
        <v>36</v>
      </c>
      <c r="E5884" s="80" t="s">
        <v>139</v>
      </c>
      <c r="F5884" s="80" t="s">
        <v>10144</v>
      </c>
      <c r="G5884" s="161" t="s">
        <v>221</v>
      </c>
      <c r="H5884" s="80" t="s">
        <v>9005</v>
      </c>
      <c r="I5884" s="17">
        <f ca="1">IFERROR(__xludf.DUMMYFUNCTION("""COMPUTED_VALUE"""),45712)</f>
        <v>45712</v>
      </c>
      <c r="J5884" s="143" t="s">
        <v>10145</v>
      </c>
      <c r="K5884" s="145" t="s">
        <v>19517</v>
      </c>
      <c r="L5884" s="30">
        <v>342259147</v>
      </c>
      <c r="M5884" s="80" t="s">
        <v>5429</v>
      </c>
      <c r="N5884" s="80" t="s">
        <v>9180</v>
      </c>
      <c r="O5884" s="80" t="s">
        <v>10147</v>
      </c>
      <c r="P5884" s="144" t="s">
        <v>10148</v>
      </c>
      <c r="Q5884" s="20">
        <v>15936</v>
      </c>
      <c r="R5884" s="80" t="s">
        <v>36</v>
      </c>
      <c r="S5884" s="95">
        <v>2000</v>
      </c>
      <c r="T5884" s="148">
        <v>45483</v>
      </c>
      <c r="U5884" s="95">
        <v>13936</v>
      </c>
      <c r="V5884" s="148">
        <v>45513</v>
      </c>
      <c r="W5884" s="85" t="s">
        <v>10149</v>
      </c>
      <c r="X5884" s="80">
        <v>0</v>
      </c>
      <c r="Y5884" s="22">
        <v>0</v>
      </c>
      <c r="Z5884" s="81" t="s">
        <v>50</v>
      </c>
      <c r="AA5884" s="86"/>
      <c r="AB5884" s="80"/>
      <c r="AC5884" s="80" t="s">
        <v>53</v>
      </c>
      <c r="AD5884" s="80" t="s">
        <v>54</v>
      </c>
      <c r="AE5884" s="80" t="s">
        <v>10144</v>
      </c>
      <c r="AF5884" s="17">
        <v>45712</v>
      </c>
      <c r="AG5884" s="80"/>
      <c r="AH5884" s="80"/>
      <c r="AI5884" s="147"/>
      <c r="AJ5884" s="80"/>
      <c r="AK5884" s="80"/>
      <c r="AL5884" s="86"/>
      <c r="AM5884" s="86"/>
      <c r="AN5884" s="86"/>
      <c r="AO5884" s="86"/>
      <c r="AP5884" s="86"/>
    </row>
    <row r="5885" spans="1:42" x14ac:dyDescent="0.2">
      <c r="A5885" s="38">
        <v>45698</v>
      </c>
      <c r="B5885" s="137" t="s">
        <v>37</v>
      </c>
      <c r="C5885" s="41" t="s">
        <v>118</v>
      </c>
      <c r="D5885" s="80" t="s">
        <v>36</v>
      </c>
      <c r="E5885" s="80" t="s">
        <v>139</v>
      </c>
      <c r="F5885" s="80" t="s">
        <v>10144</v>
      </c>
      <c r="G5885" s="161" t="s">
        <v>221</v>
      </c>
      <c r="H5885" s="80" t="s">
        <v>9005</v>
      </c>
      <c r="I5885" s="17">
        <f ca="1">IFERROR(__xludf.DUMMYFUNCTION("""COMPUTED_VALUE"""),45712)</f>
        <v>45712</v>
      </c>
      <c r="J5885" s="143" t="s">
        <v>12264</v>
      </c>
      <c r="K5885" s="145" t="s">
        <v>12265</v>
      </c>
      <c r="L5885" s="30">
        <v>355930816</v>
      </c>
      <c r="M5885" s="80" t="s">
        <v>5429</v>
      </c>
      <c r="N5885" s="80" t="s">
        <v>756</v>
      </c>
      <c r="O5885" s="80" t="s">
        <v>61</v>
      </c>
      <c r="P5885" s="144" t="s">
        <v>13791</v>
      </c>
      <c r="Q5885" s="20">
        <v>15936</v>
      </c>
      <c r="R5885" s="80" t="s">
        <v>36</v>
      </c>
      <c r="S5885" s="95">
        <v>2000</v>
      </c>
      <c r="T5885" s="148">
        <v>45518</v>
      </c>
      <c r="U5885" s="95">
        <v>13936</v>
      </c>
      <c r="V5885" s="148">
        <v>45554</v>
      </c>
      <c r="W5885" s="85" t="s">
        <v>12266</v>
      </c>
      <c r="X5885" s="83">
        <v>0</v>
      </c>
      <c r="Y5885" s="22">
        <v>0</v>
      </c>
      <c r="Z5885" s="81" t="s">
        <v>50</v>
      </c>
      <c r="AA5885" s="82" t="s">
        <v>3291</v>
      </c>
      <c r="AB5885" s="80"/>
      <c r="AC5885" s="80" t="s">
        <v>53</v>
      </c>
      <c r="AD5885" s="80" t="s">
        <v>138</v>
      </c>
      <c r="AE5885" s="80" t="s">
        <v>10144</v>
      </c>
      <c r="AF5885" s="17">
        <v>45712</v>
      </c>
      <c r="AG5885" s="80"/>
      <c r="AH5885" s="80"/>
      <c r="AI5885" s="147" t="s">
        <v>147</v>
      </c>
      <c r="AJ5885" s="80"/>
      <c r="AK5885" s="80"/>
      <c r="AL5885" s="86"/>
      <c r="AM5885" s="86"/>
      <c r="AN5885" s="86"/>
      <c r="AO5885" s="86"/>
      <c r="AP5885" s="86"/>
    </row>
    <row r="5886" spans="1:42" x14ac:dyDescent="0.2">
      <c r="A5886" s="38">
        <v>45698</v>
      </c>
      <c r="B5886" s="137" t="s">
        <v>37</v>
      </c>
      <c r="C5886" s="41" t="s">
        <v>118</v>
      </c>
      <c r="D5886" s="80" t="s">
        <v>36</v>
      </c>
      <c r="E5886" s="80" t="s">
        <v>139</v>
      </c>
      <c r="F5886" s="80" t="s">
        <v>10144</v>
      </c>
      <c r="G5886" s="161" t="s">
        <v>221</v>
      </c>
      <c r="H5886" s="80" t="s">
        <v>9005</v>
      </c>
      <c r="I5886" s="17">
        <f ca="1">IFERROR(__xludf.DUMMYFUNCTION("""COMPUTED_VALUE"""),45712)</f>
        <v>45712</v>
      </c>
      <c r="J5886" s="143" t="s">
        <v>12239</v>
      </c>
      <c r="K5886" s="145" t="s">
        <v>13792</v>
      </c>
      <c r="L5886" s="30">
        <v>389757283</v>
      </c>
      <c r="M5886" s="80" t="s">
        <v>5518</v>
      </c>
      <c r="N5886" s="80" t="s">
        <v>12240</v>
      </c>
      <c r="O5886" s="80" t="s">
        <v>12241</v>
      </c>
      <c r="P5886" s="144" t="s">
        <v>13793</v>
      </c>
      <c r="Q5886" s="20">
        <v>15936</v>
      </c>
      <c r="R5886" s="80" t="s">
        <v>36</v>
      </c>
      <c r="S5886" s="95">
        <v>2000</v>
      </c>
      <c r="T5886" s="148">
        <v>45516</v>
      </c>
      <c r="U5886" s="178">
        <v>13936</v>
      </c>
      <c r="V5886" s="148">
        <v>45555</v>
      </c>
      <c r="W5886" s="85" t="s">
        <v>12242</v>
      </c>
      <c r="X5886" s="83">
        <v>0</v>
      </c>
      <c r="Y5886" s="22">
        <v>0</v>
      </c>
      <c r="Z5886" s="81" t="s">
        <v>50</v>
      </c>
      <c r="AA5886" s="86" t="s">
        <v>3291</v>
      </c>
      <c r="AB5886" s="80"/>
      <c r="AC5886" s="80" t="s">
        <v>53</v>
      </c>
      <c r="AD5886" s="80" t="s">
        <v>138</v>
      </c>
      <c r="AE5886" s="80" t="s">
        <v>10144</v>
      </c>
      <c r="AF5886" s="17">
        <v>45712</v>
      </c>
      <c r="AG5886" s="80"/>
      <c r="AH5886" s="80"/>
      <c r="AI5886" s="147" t="s">
        <v>147</v>
      </c>
      <c r="AJ5886" s="80"/>
      <c r="AK5886" s="80"/>
      <c r="AL5886" s="86"/>
      <c r="AM5886" s="86"/>
      <c r="AN5886" s="86"/>
      <c r="AO5886" s="86"/>
      <c r="AP5886" s="86"/>
    </row>
    <row r="5887" spans="1:42" x14ac:dyDescent="0.2">
      <c r="A5887" s="38">
        <v>45698</v>
      </c>
      <c r="B5887" s="137" t="s">
        <v>37</v>
      </c>
      <c r="C5887" s="41" t="s">
        <v>118</v>
      </c>
      <c r="D5887" s="80" t="s">
        <v>36</v>
      </c>
      <c r="E5887" s="80" t="s">
        <v>139</v>
      </c>
      <c r="F5887" s="80" t="s">
        <v>10144</v>
      </c>
      <c r="G5887" s="161" t="s">
        <v>221</v>
      </c>
      <c r="H5887" s="80" t="s">
        <v>9005</v>
      </c>
      <c r="I5887" s="17">
        <f ca="1">IFERROR(__xludf.DUMMYFUNCTION("""COMPUTED_VALUE"""),45712)</f>
        <v>45712</v>
      </c>
      <c r="J5887" s="172" t="s">
        <v>19518</v>
      </c>
      <c r="K5887" s="145" t="s">
        <v>11958</v>
      </c>
      <c r="L5887" s="30">
        <v>766360938</v>
      </c>
      <c r="M5887" s="80" t="s">
        <v>3728</v>
      </c>
      <c r="N5887" s="80" t="s">
        <v>5277</v>
      </c>
      <c r="O5887" s="80" t="s">
        <v>11959</v>
      </c>
      <c r="P5887" s="144" t="s">
        <v>13794</v>
      </c>
      <c r="Q5887" s="20">
        <v>15936</v>
      </c>
      <c r="R5887" s="80" t="s">
        <v>36</v>
      </c>
      <c r="S5887" s="95">
        <f>500+1500</f>
        <v>2000</v>
      </c>
      <c r="T5887" s="148" t="s">
        <v>11961</v>
      </c>
      <c r="U5887" s="95">
        <v>13936</v>
      </c>
      <c r="V5887" s="148">
        <v>45552</v>
      </c>
      <c r="W5887" s="85" t="s">
        <v>11962</v>
      </c>
      <c r="X5887" s="80">
        <v>0</v>
      </c>
      <c r="Y5887" s="22">
        <v>0</v>
      </c>
      <c r="Z5887" s="81" t="s">
        <v>50</v>
      </c>
      <c r="AA5887" s="82" t="s">
        <v>3291</v>
      </c>
      <c r="AB5887" s="80"/>
      <c r="AC5887" s="80" t="s">
        <v>53</v>
      </c>
      <c r="AD5887" s="80" t="s">
        <v>138</v>
      </c>
      <c r="AE5887" s="80" t="s">
        <v>10144</v>
      </c>
      <c r="AF5887" s="17">
        <v>45712</v>
      </c>
      <c r="AG5887" s="80"/>
      <c r="AH5887" s="80"/>
      <c r="AI5887" s="147" t="s">
        <v>147</v>
      </c>
      <c r="AJ5887" s="80"/>
      <c r="AK5887" s="80"/>
      <c r="AL5887" s="86"/>
      <c r="AM5887" s="86"/>
      <c r="AN5887" s="86"/>
      <c r="AO5887" s="86"/>
      <c r="AP5887" s="86"/>
    </row>
    <row r="5888" spans="1:42" x14ac:dyDescent="0.2">
      <c r="A5888" s="38">
        <v>45698</v>
      </c>
      <c r="B5888" s="137" t="s">
        <v>37</v>
      </c>
      <c r="C5888" s="41" t="s">
        <v>118</v>
      </c>
      <c r="D5888" s="80" t="s">
        <v>36</v>
      </c>
      <c r="E5888" s="80" t="s">
        <v>139</v>
      </c>
      <c r="F5888" s="80" t="s">
        <v>10144</v>
      </c>
      <c r="G5888" s="161" t="s">
        <v>221</v>
      </c>
      <c r="H5888" s="80" t="s">
        <v>9005</v>
      </c>
      <c r="I5888" s="17">
        <f ca="1">IFERROR(__xludf.DUMMYFUNCTION("""COMPUTED_VALUE"""),45712)</f>
        <v>45712</v>
      </c>
      <c r="J5888" s="143" t="s">
        <v>9670</v>
      </c>
      <c r="K5888" s="145" t="s">
        <v>9671</v>
      </c>
      <c r="L5888" s="30">
        <v>372790883</v>
      </c>
      <c r="M5888" s="80" t="s">
        <v>59</v>
      </c>
      <c r="N5888" s="80" t="s">
        <v>68</v>
      </c>
      <c r="O5888" s="80" t="s">
        <v>9672</v>
      </c>
      <c r="P5888" s="144" t="s">
        <v>13795</v>
      </c>
      <c r="Q5888" s="20"/>
      <c r="R5888" s="80" t="s">
        <v>36</v>
      </c>
      <c r="S5888" s="95">
        <v>15963</v>
      </c>
      <c r="T5888" s="148">
        <v>45498</v>
      </c>
      <c r="U5888" s="77"/>
      <c r="V5888" s="78"/>
      <c r="W5888" s="85" t="s">
        <v>9674</v>
      </c>
      <c r="X5888" s="80"/>
      <c r="Y5888" s="22"/>
      <c r="Z5888" s="81" t="s">
        <v>50</v>
      </c>
      <c r="AA5888" s="86" t="s">
        <v>9070</v>
      </c>
      <c r="AB5888" s="80"/>
      <c r="AC5888" s="80" t="s">
        <v>53</v>
      </c>
      <c r="AD5888" s="80" t="s">
        <v>138</v>
      </c>
      <c r="AE5888" s="80" t="s">
        <v>10144</v>
      </c>
      <c r="AF5888" s="17">
        <v>45712</v>
      </c>
      <c r="AG5888" s="80"/>
      <c r="AH5888" s="80"/>
      <c r="AI5888" s="147"/>
      <c r="AJ5888" s="80"/>
      <c r="AK5888" s="80"/>
      <c r="AL5888" s="86"/>
      <c r="AM5888" s="86"/>
      <c r="AN5888" s="86"/>
      <c r="AO5888" s="86"/>
      <c r="AP5888" s="86"/>
    </row>
    <row r="5889" spans="1:42" x14ac:dyDescent="0.2">
      <c r="A5889" s="38">
        <v>45698</v>
      </c>
      <c r="B5889" s="137" t="s">
        <v>37</v>
      </c>
      <c r="C5889" s="41" t="s">
        <v>118</v>
      </c>
      <c r="D5889" s="80" t="s">
        <v>36</v>
      </c>
      <c r="E5889" s="80" t="s">
        <v>139</v>
      </c>
      <c r="F5889" s="80" t="s">
        <v>10144</v>
      </c>
      <c r="G5889" s="161" t="s">
        <v>221</v>
      </c>
      <c r="H5889" s="80" t="s">
        <v>19519</v>
      </c>
      <c r="I5889" s="17">
        <f ca="1">IFERROR(__xludf.DUMMYFUNCTION("""COMPUTED_VALUE"""),45852)</f>
        <v>45852</v>
      </c>
      <c r="J5889" s="143" t="s">
        <v>12152</v>
      </c>
      <c r="K5889" s="145" t="s">
        <v>19520</v>
      </c>
      <c r="L5889" s="30">
        <v>818045206</v>
      </c>
      <c r="M5889" s="80" t="s">
        <v>5429</v>
      </c>
      <c r="N5889" s="80" t="s">
        <v>3065</v>
      </c>
      <c r="O5889" s="80" t="s">
        <v>12154</v>
      </c>
      <c r="P5889" s="144" t="s">
        <v>13796</v>
      </c>
      <c r="Q5889" s="20">
        <v>15936</v>
      </c>
      <c r="R5889" s="80" t="s">
        <v>36</v>
      </c>
      <c r="S5889" s="95">
        <v>2000</v>
      </c>
      <c r="T5889" s="148">
        <v>45510</v>
      </c>
      <c r="U5889" s="95">
        <v>13936</v>
      </c>
      <c r="V5889" s="148">
        <v>45558</v>
      </c>
      <c r="W5889" s="85" t="s">
        <v>12156</v>
      </c>
      <c r="X5889" s="83">
        <v>0</v>
      </c>
      <c r="Y5889" s="22">
        <v>0</v>
      </c>
      <c r="Z5889" s="81" t="s">
        <v>50</v>
      </c>
      <c r="AA5889" s="82" t="s">
        <v>3291</v>
      </c>
      <c r="AB5889" s="80"/>
      <c r="AC5889" s="80" t="s">
        <v>53</v>
      </c>
      <c r="AD5889" s="80" t="s">
        <v>138</v>
      </c>
      <c r="AE5889" s="80" t="s">
        <v>10144</v>
      </c>
      <c r="AF5889" s="17">
        <v>45846</v>
      </c>
      <c r="AG5889" s="80"/>
      <c r="AH5889" s="80"/>
      <c r="AI5889" s="147" t="s">
        <v>147</v>
      </c>
      <c r="AJ5889" s="80"/>
      <c r="AK5889" s="80"/>
      <c r="AL5889" s="86"/>
      <c r="AM5889" s="86"/>
      <c r="AN5889" s="86"/>
      <c r="AO5889" s="86"/>
      <c r="AP5889" s="86"/>
    </row>
    <row r="5890" spans="1:42" x14ac:dyDescent="0.2">
      <c r="A5890" s="38">
        <v>45698</v>
      </c>
      <c r="B5890" s="137" t="s">
        <v>37</v>
      </c>
      <c r="C5890" s="41" t="s">
        <v>118</v>
      </c>
      <c r="D5890" s="80" t="s">
        <v>36</v>
      </c>
      <c r="E5890" s="80" t="s">
        <v>139</v>
      </c>
      <c r="F5890" s="80" t="s">
        <v>10144</v>
      </c>
      <c r="G5890" s="161" t="s">
        <v>221</v>
      </c>
      <c r="H5890" s="80" t="s">
        <v>18135</v>
      </c>
      <c r="I5890" s="17">
        <f ca="1">IFERROR(__xludf.DUMMYFUNCTION("""COMPUTED_VALUE"""),45729)</f>
        <v>45729</v>
      </c>
      <c r="J5890" s="143" t="s">
        <v>12335</v>
      </c>
      <c r="K5890" s="145" t="s">
        <v>19521</v>
      </c>
      <c r="L5890" s="30">
        <v>327371930</v>
      </c>
      <c r="M5890" s="80" t="s">
        <v>5429</v>
      </c>
      <c r="N5890" s="80" t="s">
        <v>11095</v>
      </c>
      <c r="O5890" s="80" t="s">
        <v>12337</v>
      </c>
      <c r="P5890" s="144" t="s">
        <v>13803</v>
      </c>
      <c r="Q5890" s="20">
        <v>15936</v>
      </c>
      <c r="R5890" s="80" t="s">
        <v>70</v>
      </c>
      <c r="S5890" s="95">
        <f t="shared" ref="S5890:S5891" si="167">200+1800</f>
        <v>2000</v>
      </c>
      <c r="T5890" s="148" t="s">
        <v>12338</v>
      </c>
      <c r="U5890" s="95">
        <v>13836</v>
      </c>
      <c r="V5890" s="148">
        <v>45565</v>
      </c>
      <c r="W5890" s="85" t="s">
        <v>12339</v>
      </c>
      <c r="X5890" s="83">
        <v>100</v>
      </c>
      <c r="Y5890" s="22">
        <v>0</v>
      </c>
      <c r="Z5890" s="81" t="s">
        <v>50</v>
      </c>
      <c r="AA5890" s="86" t="s">
        <v>3291</v>
      </c>
      <c r="AB5890" s="80"/>
      <c r="AC5890" s="80" t="s">
        <v>53</v>
      </c>
      <c r="AD5890" s="80" t="s">
        <v>138</v>
      </c>
      <c r="AE5890" s="80" t="s">
        <v>10144</v>
      </c>
      <c r="AF5890" s="17">
        <v>45729</v>
      </c>
      <c r="AG5890" s="80"/>
      <c r="AH5890" s="80"/>
      <c r="AI5890" s="147" t="s">
        <v>147</v>
      </c>
      <c r="AJ5890" s="80"/>
      <c r="AK5890" s="80"/>
      <c r="AL5890" s="86"/>
      <c r="AM5890" s="86"/>
      <c r="AN5890" s="86"/>
      <c r="AO5890" s="86"/>
      <c r="AP5890" s="86"/>
    </row>
    <row r="5891" spans="1:42" x14ac:dyDescent="0.2">
      <c r="A5891" s="38">
        <v>45698</v>
      </c>
      <c r="B5891" s="137" t="s">
        <v>37</v>
      </c>
      <c r="C5891" s="41" t="s">
        <v>118</v>
      </c>
      <c r="D5891" s="80" t="s">
        <v>36</v>
      </c>
      <c r="E5891" s="80" t="s">
        <v>139</v>
      </c>
      <c r="F5891" s="80" t="s">
        <v>10144</v>
      </c>
      <c r="G5891" s="161" t="s">
        <v>221</v>
      </c>
      <c r="H5891" s="80" t="s">
        <v>19522</v>
      </c>
      <c r="I5891" s="17">
        <f ca="1">IFERROR(__xludf.DUMMYFUNCTION("""COMPUTED_VALUE"""),45903)</f>
        <v>45903</v>
      </c>
      <c r="J5891" s="143" t="s">
        <v>12119</v>
      </c>
      <c r="K5891" s="145" t="s">
        <v>19523</v>
      </c>
      <c r="L5891" s="30">
        <v>983016332</v>
      </c>
      <c r="M5891" s="80" t="s">
        <v>5429</v>
      </c>
      <c r="N5891" s="80" t="s">
        <v>1384</v>
      </c>
      <c r="O5891" s="80" t="s">
        <v>12121</v>
      </c>
      <c r="P5891" s="144" t="s">
        <v>13804</v>
      </c>
      <c r="Q5891" s="20">
        <v>15936</v>
      </c>
      <c r="R5891" s="80" t="s">
        <v>70</v>
      </c>
      <c r="S5891" s="95">
        <f t="shared" si="167"/>
        <v>2000</v>
      </c>
      <c r="T5891" s="148" t="s">
        <v>12123</v>
      </c>
      <c r="U5891" s="95">
        <v>13836</v>
      </c>
      <c r="V5891" s="148">
        <v>45553</v>
      </c>
      <c r="W5891" s="85" t="s">
        <v>12124</v>
      </c>
      <c r="X5891" s="83">
        <v>100</v>
      </c>
      <c r="Y5891" s="22">
        <v>0</v>
      </c>
      <c r="Z5891" s="81" t="s">
        <v>50</v>
      </c>
      <c r="AA5891" s="82" t="s">
        <v>3291</v>
      </c>
      <c r="AB5891" s="80"/>
      <c r="AC5891" s="80" t="s">
        <v>53</v>
      </c>
      <c r="AD5891" s="80" t="s">
        <v>138</v>
      </c>
      <c r="AE5891" s="80" t="s">
        <v>10144</v>
      </c>
      <c r="AF5891" s="17">
        <v>45729</v>
      </c>
      <c r="AG5891" s="80" t="s">
        <v>8366</v>
      </c>
      <c r="AH5891" s="80"/>
      <c r="AI5891" s="147" t="s">
        <v>147</v>
      </c>
      <c r="AJ5891" s="80"/>
      <c r="AK5891" s="80"/>
      <c r="AL5891" s="86"/>
      <c r="AM5891" s="86"/>
      <c r="AN5891" s="86"/>
      <c r="AO5891" s="86"/>
      <c r="AP5891" s="86"/>
    </row>
    <row r="5892" spans="1:42" x14ac:dyDescent="0.2">
      <c r="A5892" s="38">
        <v>45698</v>
      </c>
      <c r="B5892" s="137" t="s">
        <v>37</v>
      </c>
      <c r="C5892" s="41" t="s">
        <v>118</v>
      </c>
      <c r="D5892" s="80" t="s">
        <v>36</v>
      </c>
      <c r="E5892" s="80" t="s">
        <v>56</v>
      </c>
      <c r="F5892" s="80" t="s">
        <v>10144</v>
      </c>
      <c r="G5892" s="161" t="s">
        <v>221</v>
      </c>
      <c r="H5892" s="80" t="s">
        <v>9005</v>
      </c>
      <c r="I5892" s="17">
        <f ca="1">IFERROR(__xludf.DUMMYFUNCTION("""COMPUTED_VALUE"""),45712)</f>
        <v>45712</v>
      </c>
      <c r="J5892" s="143" t="s">
        <v>12115</v>
      </c>
      <c r="K5892" s="145" t="s">
        <v>12116</v>
      </c>
      <c r="L5892" s="30">
        <v>946720996</v>
      </c>
      <c r="M5892" s="80" t="s">
        <v>5558</v>
      </c>
      <c r="N5892" s="80" t="s">
        <v>5559</v>
      </c>
      <c r="O5892" s="80" t="s">
        <v>4503</v>
      </c>
      <c r="P5892" s="144" t="s">
        <v>12117</v>
      </c>
      <c r="Q5892" s="20">
        <v>9317</v>
      </c>
      <c r="R5892" s="80" t="s">
        <v>36</v>
      </c>
      <c r="S5892" s="95">
        <v>2000</v>
      </c>
      <c r="T5892" s="148">
        <v>45507</v>
      </c>
      <c r="U5892" s="95">
        <v>7317</v>
      </c>
      <c r="V5892" s="148">
        <v>45562</v>
      </c>
      <c r="W5892" s="85" t="s">
        <v>12118</v>
      </c>
      <c r="X5892" s="83">
        <v>0</v>
      </c>
      <c r="Y5892" s="22">
        <v>0</v>
      </c>
      <c r="Z5892" s="81" t="s">
        <v>50</v>
      </c>
      <c r="AA5892" s="86" t="s">
        <v>3291</v>
      </c>
      <c r="AB5892" s="80"/>
      <c r="AC5892" s="80" t="s">
        <v>53</v>
      </c>
      <c r="AD5892" s="80" t="s">
        <v>138</v>
      </c>
      <c r="AE5892" s="80" t="s">
        <v>10144</v>
      </c>
      <c r="AF5892" s="17">
        <v>45712</v>
      </c>
      <c r="AG5892" s="80"/>
      <c r="AH5892" s="80"/>
      <c r="AI5892" s="147" t="s">
        <v>64</v>
      </c>
      <c r="AJ5892" s="80"/>
      <c r="AK5892" s="80"/>
      <c r="AL5892" s="86"/>
      <c r="AM5892" s="86"/>
      <c r="AN5892" s="86"/>
      <c r="AO5892" s="86"/>
      <c r="AP5892" s="86"/>
    </row>
    <row r="5893" spans="1:42" x14ac:dyDescent="0.2">
      <c r="A5893" s="38">
        <v>45698</v>
      </c>
      <c r="B5893" s="137" t="s">
        <v>37</v>
      </c>
      <c r="C5893" s="41" t="s">
        <v>118</v>
      </c>
      <c r="D5893" s="80" t="s">
        <v>36</v>
      </c>
      <c r="E5893" s="80" t="s">
        <v>139</v>
      </c>
      <c r="F5893" s="80" t="s">
        <v>10144</v>
      </c>
      <c r="G5893" s="161" t="s">
        <v>221</v>
      </c>
      <c r="H5893" s="80" t="s">
        <v>9005</v>
      </c>
      <c r="I5893" s="17">
        <f ca="1">IFERROR(__xludf.DUMMYFUNCTION("""COMPUTED_VALUE"""),45712)</f>
        <v>45712</v>
      </c>
      <c r="J5893" s="143" t="s">
        <v>12148</v>
      </c>
      <c r="K5893" s="145" t="s">
        <v>12149</v>
      </c>
      <c r="L5893" s="30">
        <v>869690466</v>
      </c>
      <c r="M5893" s="80" t="s">
        <v>5429</v>
      </c>
      <c r="N5893" s="80" t="s">
        <v>81</v>
      </c>
      <c r="O5893" s="80" t="s">
        <v>12150</v>
      </c>
      <c r="P5893" s="144" t="s">
        <v>13813</v>
      </c>
      <c r="Q5893" s="20">
        <v>15936</v>
      </c>
      <c r="R5893" s="80" t="s">
        <v>36</v>
      </c>
      <c r="S5893" s="95">
        <v>2000</v>
      </c>
      <c r="T5893" s="148">
        <v>45510</v>
      </c>
      <c r="U5893" s="178">
        <v>13936</v>
      </c>
      <c r="V5893" s="169">
        <v>45564</v>
      </c>
      <c r="W5893" s="85" t="s">
        <v>12151</v>
      </c>
      <c r="X5893" s="83">
        <v>0</v>
      </c>
      <c r="Y5893" s="22">
        <v>0</v>
      </c>
      <c r="Z5893" s="81" t="s">
        <v>50</v>
      </c>
      <c r="AA5893" s="82" t="s">
        <v>3291</v>
      </c>
      <c r="AB5893" s="80"/>
      <c r="AC5893" s="80" t="s">
        <v>53</v>
      </c>
      <c r="AD5893" s="80" t="s">
        <v>138</v>
      </c>
      <c r="AE5893" s="80" t="s">
        <v>10144</v>
      </c>
      <c r="AF5893" s="17">
        <v>45712</v>
      </c>
      <c r="AG5893" s="80"/>
      <c r="AH5893" s="80"/>
      <c r="AI5893" s="147" t="s">
        <v>147</v>
      </c>
      <c r="AJ5893" s="80"/>
      <c r="AK5893" s="80"/>
      <c r="AL5893" s="86"/>
      <c r="AM5893" s="86"/>
      <c r="AN5893" s="86"/>
      <c r="AO5893" s="86"/>
      <c r="AP5893" s="86"/>
    </row>
    <row r="5894" spans="1:42" x14ac:dyDescent="0.2">
      <c r="A5894" s="38">
        <v>45698</v>
      </c>
      <c r="B5894" s="137" t="s">
        <v>37</v>
      </c>
      <c r="C5894" s="41" t="s">
        <v>118</v>
      </c>
      <c r="D5894" s="80" t="s">
        <v>36</v>
      </c>
      <c r="E5894" s="80" t="s">
        <v>139</v>
      </c>
      <c r="F5894" s="80" t="s">
        <v>10144</v>
      </c>
      <c r="G5894" s="161" t="s">
        <v>221</v>
      </c>
      <c r="H5894" s="80" t="s">
        <v>9005</v>
      </c>
      <c r="I5894" s="17">
        <f ca="1">IFERROR(__xludf.DUMMYFUNCTION("""COMPUTED_VALUE"""),45712)</f>
        <v>45712</v>
      </c>
      <c r="J5894" s="143" t="s">
        <v>12161</v>
      </c>
      <c r="K5894" s="145" t="s">
        <v>8778</v>
      </c>
      <c r="L5894" s="30">
        <v>815835598</v>
      </c>
      <c r="M5894" s="80" t="s">
        <v>3728</v>
      </c>
      <c r="N5894" s="80" t="s">
        <v>5312</v>
      </c>
      <c r="O5894" s="80" t="s">
        <v>12163</v>
      </c>
      <c r="P5894" s="144" t="s">
        <v>13814</v>
      </c>
      <c r="Q5894" s="20">
        <v>15936</v>
      </c>
      <c r="R5894" s="80" t="s">
        <v>36</v>
      </c>
      <c r="S5894" s="95">
        <f>200+1800</f>
        <v>2000</v>
      </c>
      <c r="T5894" s="148" t="s">
        <v>12165</v>
      </c>
      <c r="U5894" s="95">
        <v>13936</v>
      </c>
      <c r="V5894" s="148">
        <v>45551</v>
      </c>
      <c r="W5894" s="85" t="s">
        <v>12166</v>
      </c>
      <c r="X5894" s="83">
        <v>0</v>
      </c>
      <c r="Y5894" s="22">
        <v>0</v>
      </c>
      <c r="Z5894" s="81" t="s">
        <v>50</v>
      </c>
      <c r="AA5894" s="86" t="s">
        <v>3291</v>
      </c>
      <c r="AB5894" s="80"/>
      <c r="AC5894" s="80" t="s">
        <v>53</v>
      </c>
      <c r="AD5894" s="80" t="s">
        <v>54</v>
      </c>
      <c r="AE5894" s="80" t="s">
        <v>10144</v>
      </c>
      <c r="AF5894" s="17">
        <v>45712</v>
      </c>
      <c r="AG5894" s="80"/>
      <c r="AH5894" s="80"/>
      <c r="AI5894" s="147" t="s">
        <v>147</v>
      </c>
      <c r="AJ5894" s="80"/>
      <c r="AK5894" s="80"/>
      <c r="AL5894" s="86"/>
      <c r="AM5894" s="86"/>
      <c r="AN5894" s="86"/>
      <c r="AO5894" s="86"/>
      <c r="AP5894" s="86"/>
    </row>
    <row r="5895" spans="1:42" x14ac:dyDescent="0.2">
      <c r="A5895" s="38">
        <v>45698</v>
      </c>
      <c r="B5895" s="137" t="s">
        <v>37</v>
      </c>
      <c r="C5895" s="41" t="s">
        <v>118</v>
      </c>
      <c r="D5895" s="80" t="s">
        <v>36</v>
      </c>
      <c r="E5895" s="80" t="s">
        <v>56</v>
      </c>
      <c r="F5895" s="80" t="s">
        <v>10144</v>
      </c>
      <c r="G5895" s="161" t="s">
        <v>221</v>
      </c>
      <c r="H5895" s="80" t="s">
        <v>9005</v>
      </c>
      <c r="I5895" s="17">
        <f ca="1">IFERROR(__xludf.DUMMYFUNCTION("""COMPUTED_VALUE"""),45712)</f>
        <v>45712</v>
      </c>
      <c r="J5895" s="143" t="s">
        <v>5667</v>
      </c>
      <c r="K5895" s="145" t="s">
        <v>12268</v>
      </c>
      <c r="L5895" s="30">
        <v>868434205</v>
      </c>
      <c r="M5895" s="80" t="s">
        <v>59</v>
      </c>
      <c r="N5895" s="80" t="s">
        <v>260</v>
      </c>
      <c r="O5895" s="80" t="s">
        <v>5669</v>
      </c>
      <c r="P5895" s="144" t="s">
        <v>5670</v>
      </c>
      <c r="Q5895" s="20">
        <v>9317</v>
      </c>
      <c r="R5895" s="80" t="s">
        <v>36</v>
      </c>
      <c r="S5895" s="77">
        <v>9317</v>
      </c>
      <c r="T5895" s="78">
        <v>45243</v>
      </c>
      <c r="U5895" s="77"/>
      <c r="V5895" s="78"/>
      <c r="W5895" s="85" t="s">
        <v>5671</v>
      </c>
      <c r="X5895" s="80"/>
      <c r="Y5895" s="22">
        <v>0</v>
      </c>
      <c r="Z5895" s="81" t="s">
        <v>50</v>
      </c>
      <c r="AA5895" s="82" t="s">
        <v>5112</v>
      </c>
      <c r="AB5895" s="80" t="s">
        <v>137</v>
      </c>
      <c r="AC5895" s="80" t="s">
        <v>53</v>
      </c>
      <c r="AD5895" s="86" t="s">
        <v>138</v>
      </c>
      <c r="AE5895" s="80" t="s">
        <v>10144</v>
      </c>
      <c r="AF5895" s="17">
        <v>45712</v>
      </c>
      <c r="AG5895" s="80"/>
      <c r="AH5895" s="80"/>
      <c r="AI5895" s="147" t="s">
        <v>64</v>
      </c>
      <c r="AJ5895" s="80"/>
      <c r="AK5895" s="80"/>
      <c r="AL5895" s="86"/>
      <c r="AM5895" s="86"/>
      <c r="AN5895" s="86"/>
      <c r="AO5895" s="86"/>
      <c r="AP5895" s="86"/>
    </row>
    <row r="5896" spans="1:42" x14ac:dyDescent="0.2">
      <c r="A5896" s="38">
        <v>45698</v>
      </c>
      <c r="B5896" s="137" t="s">
        <v>37</v>
      </c>
      <c r="C5896" s="41" t="s">
        <v>118</v>
      </c>
      <c r="D5896" s="80" t="s">
        <v>36</v>
      </c>
      <c r="E5896" s="80" t="s">
        <v>139</v>
      </c>
      <c r="F5896" s="80" t="s">
        <v>10144</v>
      </c>
      <c r="G5896" s="161" t="s">
        <v>221</v>
      </c>
      <c r="H5896" s="80" t="s">
        <v>9005</v>
      </c>
      <c r="I5896" s="17">
        <f ca="1">IFERROR(__xludf.DUMMYFUNCTION("""COMPUTED_VALUE"""),45712)</f>
        <v>45712</v>
      </c>
      <c r="J5896" s="143" t="s">
        <v>13820</v>
      </c>
      <c r="K5896" s="145" t="s">
        <v>13821</v>
      </c>
      <c r="L5896" s="30">
        <v>583787786</v>
      </c>
      <c r="M5896" s="80" t="s">
        <v>80</v>
      </c>
      <c r="N5896" s="80" t="s">
        <v>466</v>
      </c>
      <c r="O5896" s="80" t="s">
        <v>13822</v>
      </c>
      <c r="P5896" s="144" t="s">
        <v>13823</v>
      </c>
      <c r="Q5896" s="20">
        <v>15936</v>
      </c>
      <c r="R5896" s="80" t="s">
        <v>36</v>
      </c>
      <c r="S5896" s="95">
        <f>200+1800</f>
        <v>2000</v>
      </c>
      <c r="T5896" s="148" t="s">
        <v>13824</v>
      </c>
      <c r="U5896" s="95">
        <v>13936</v>
      </c>
      <c r="V5896" s="148">
        <v>45567</v>
      </c>
      <c r="W5896" s="85" t="s">
        <v>13825</v>
      </c>
      <c r="X5896" s="80"/>
      <c r="Y5896" s="22">
        <v>0</v>
      </c>
      <c r="Z5896" s="41" t="s">
        <v>118</v>
      </c>
      <c r="AA5896" s="86"/>
      <c r="AB5896" s="80"/>
      <c r="AC5896" s="80" t="s">
        <v>53</v>
      </c>
      <c r="AD5896" s="80" t="s">
        <v>54</v>
      </c>
      <c r="AE5896" s="80" t="s">
        <v>10144</v>
      </c>
      <c r="AF5896" s="17">
        <v>45712</v>
      </c>
      <c r="AG5896" s="80"/>
      <c r="AH5896" s="80"/>
      <c r="AI5896" s="147"/>
      <c r="AJ5896" s="80"/>
      <c r="AK5896" s="80"/>
      <c r="AL5896" s="86"/>
      <c r="AM5896" s="86"/>
      <c r="AN5896" s="86"/>
      <c r="AO5896" s="86"/>
      <c r="AP5896" s="86"/>
    </row>
    <row r="5897" spans="1:42" x14ac:dyDescent="0.2">
      <c r="A5897" s="38">
        <v>45698</v>
      </c>
      <c r="B5897" s="137" t="s">
        <v>37</v>
      </c>
      <c r="C5897" s="41" t="s">
        <v>118</v>
      </c>
      <c r="D5897" s="80" t="s">
        <v>36</v>
      </c>
      <c r="E5897" s="80" t="s">
        <v>139</v>
      </c>
      <c r="F5897" s="80" t="s">
        <v>10144</v>
      </c>
      <c r="G5897" s="161" t="s">
        <v>221</v>
      </c>
      <c r="H5897" s="80" t="s">
        <v>9005</v>
      </c>
      <c r="I5897" s="17">
        <f ca="1">IFERROR(__xludf.DUMMYFUNCTION("""COMPUTED_VALUE"""),45712)</f>
        <v>45712</v>
      </c>
      <c r="J5897" s="143" t="s">
        <v>9219</v>
      </c>
      <c r="K5897" s="145" t="s">
        <v>9220</v>
      </c>
      <c r="L5897" s="57">
        <v>384781170</v>
      </c>
      <c r="M5897" s="80" t="s">
        <v>292</v>
      </c>
      <c r="N5897" s="80" t="s">
        <v>1232</v>
      </c>
      <c r="O5897" s="80" t="s">
        <v>9221</v>
      </c>
      <c r="P5897" s="144" t="s">
        <v>13833</v>
      </c>
      <c r="Q5897" s="20"/>
      <c r="R5897" s="80" t="s">
        <v>36</v>
      </c>
      <c r="S5897" s="95">
        <f>1000+11000</f>
        <v>12000</v>
      </c>
      <c r="T5897" s="148" t="s">
        <v>9223</v>
      </c>
      <c r="U5897" s="95">
        <v>3936</v>
      </c>
      <c r="V5897" s="148">
        <v>45503</v>
      </c>
      <c r="W5897" s="85" t="s">
        <v>9224</v>
      </c>
      <c r="X5897" s="80"/>
      <c r="Y5897" s="22"/>
      <c r="Z5897" s="81" t="s">
        <v>50</v>
      </c>
      <c r="AA5897" s="82" t="s">
        <v>9070</v>
      </c>
      <c r="AB5897" s="80"/>
      <c r="AC5897" s="80" t="s">
        <v>53</v>
      </c>
      <c r="AD5897" s="80" t="s">
        <v>54</v>
      </c>
      <c r="AE5897" s="80" t="s">
        <v>10144</v>
      </c>
      <c r="AF5897" s="17">
        <v>45712</v>
      </c>
      <c r="AG5897" s="80"/>
      <c r="AH5897" s="80"/>
      <c r="AI5897" s="147"/>
      <c r="AJ5897" s="80"/>
      <c r="AK5897" s="80"/>
      <c r="AL5897" s="86"/>
      <c r="AM5897" s="86"/>
      <c r="AN5897" s="86"/>
      <c r="AO5897" s="86"/>
      <c r="AP5897" s="86"/>
    </row>
    <row r="5898" spans="1:42" x14ac:dyDescent="0.2">
      <c r="A5898" s="38">
        <v>45698</v>
      </c>
      <c r="B5898" s="137" t="s">
        <v>37</v>
      </c>
      <c r="C5898" s="41" t="s">
        <v>118</v>
      </c>
      <c r="D5898" s="80" t="s">
        <v>36</v>
      </c>
      <c r="E5898" s="80" t="s">
        <v>119</v>
      </c>
      <c r="F5898" s="80" t="s">
        <v>10144</v>
      </c>
      <c r="G5898" s="161" t="s">
        <v>221</v>
      </c>
      <c r="H5898" s="80" t="s">
        <v>9005</v>
      </c>
      <c r="I5898" s="17">
        <f ca="1">IFERROR(__xludf.DUMMYFUNCTION("""COMPUTED_VALUE"""),45712)</f>
        <v>45712</v>
      </c>
      <c r="J5898" s="143" t="s">
        <v>16371</v>
      </c>
      <c r="K5898" s="145" t="s">
        <v>16372</v>
      </c>
      <c r="L5898" s="30">
        <v>985458396</v>
      </c>
      <c r="M5898" s="80" t="s">
        <v>45</v>
      </c>
      <c r="N5898" s="80" t="s">
        <v>11476</v>
      </c>
      <c r="O5898" s="80" t="s">
        <v>16373</v>
      </c>
      <c r="P5898" s="80" t="s">
        <v>7743</v>
      </c>
      <c r="Q5898" s="20">
        <v>13968</v>
      </c>
      <c r="R5898" s="80" t="s">
        <v>36</v>
      </c>
      <c r="S5898" s="95">
        <f>1000+12968</f>
        <v>13968</v>
      </c>
      <c r="T5898" s="148" t="s">
        <v>16374</v>
      </c>
      <c r="U5898" s="77"/>
      <c r="V5898" s="78"/>
      <c r="W5898" s="85" t="s">
        <v>16375</v>
      </c>
      <c r="X5898" s="80"/>
      <c r="Y5898" s="22">
        <v>0</v>
      </c>
      <c r="Z5898" s="81" t="s">
        <v>50</v>
      </c>
      <c r="AA5898" s="86" t="s">
        <v>9905</v>
      </c>
      <c r="AB5898" s="80"/>
      <c r="AC5898" s="80" t="s">
        <v>53</v>
      </c>
      <c r="AD5898" s="80" t="s">
        <v>138</v>
      </c>
      <c r="AE5898" s="80" t="s">
        <v>10144</v>
      </c>
      <c r="AF5898" s="17">
        <v>45712</v>
      </c>
      <c r="AG5898" s="80"/>
      <c r="AH5898" s="80"/>
      <c r="AI5898" s="147"/>
      <c r="AJ5898" s="80"/>
      <c r="AK5898" s="80"/>
      <c r="AL5898" s="86"/>
      <c r="AM5898" s="86"/>
      <c r="AN5898" s="86"/>
      <c r="AO5898" s="86"/>
      <c r="AP5898" s="86"/>
    </row>
    <row r="5899" spans="1:42" x14ac:dyDescent="0.2">
      <c r="A5899" s="38">
        <v>45698</v>
      </c>
      <c r="B5899" s="137" t="s">
        <v>90</v>
      </c>
      <c r="C5899" s="41" t="s">
        <v>118</v>
      </c>
      <c r="D5899" s="80" t="s">
        <v>36</v>
      </c>
      <c r="E5899" s="80" t="s">
        <v>119</v>
      </c>
      <c r="F5899" s="80" t="s">
        <v>10144</v>
      </c>
      <c r="G5899" s="161" t="s">
        <v>221</v>
      </c>
      <c r="H5899" s="80" t="s">
        <v>9005</v>
      </c>
      <c r="I5899" s="17">
        <f ca="1">IFERROR(__xludf.DUMMYFUNCTION("""COMPUTED_VALUE"""),45712)</f>
        <v>45712</v>
      </c>
      <c r="J5899" s="143" t="s">
        <v>17300</v>
      </c>
      <c r="K5899" s="145" t="s">
        <v>19524</v>
      </c>
      <c r="L5899" s="30">
        <v>866027918</v>
      </c>
      <c r="M5899" s="80" t="s">
        <v>12529</v>
      </c>
      <c r="N5899" s="80" t="s">
        <v>9750</v>
      </c>
      <c r="O5899" s="80" t="s">
        <v>17302</v>
      </c>
      <c r="P5899" s="80" t="s">
        <v>17303</v>
      </c>
      <c r="Q5899" s="20">
        <v>13968</v>
      </c>
      <c r="R5899" s="80" t="s">
        <v>36</v>
      </c>
      <c r="S5899" s="95">
        <f>200+3800</f>
        <v>4000</v>
      </c>
      <c r="T5899" s="148" t="s">
        <v>17304</v>
      </c>
      <c r="U5899" s="95">
        <v>9968</v>
      </c>
      <c r="V5899" s="148">
        <v>45614</v>
      </c>
      <c r="W5899" s="85" t="s">
        <v>17305</v>
      </c>
      <c r="X5899" s="80"/>
      <c r="Y5899" s="22">
        <v>0</v>
      </c>
      <c r="Z5899" s="81" t="s">
        <v>50</v>
      </c>
      <c r="AA5899" s="82" t="s">
        <v>14723</v>
      </c>
      <c r="AB5899" s="80"/>
      <c r="AC5899" s="80" t="s">
        <v>53</v>
      </c>
      <c r="AD5899" s="80" t="s">
        <v>138</v>
      </c>
      <c r="AE5899" s="80" t="s">
        <v>10144</v>
      </c>
      <c r="AF5899" s="17">
        <v>45712</v>
      </c>
      <c r="AG5899" s="80"/>
      <c r="AH5899" s="80"/>
      <c r="AI5899" s="147"/>
      <c r="AJ5899" s="80"/>
      <c r="AK5899" s="80"/>
      <c r="AL5899" s="86"/>
      <c r="AM5899" s="86"/>
      <c r="AN5899" s="86"/>
      <c r="AO5899" s="86"/>
      <c r="AP5899" s="86"/>
    </row>
    <row r="5900" spans="1:42" x14ac:dyDescent="0.2">
      <c r="A5900" s="38">
        <v>45698</v>
      </c>
      <c r="B5900" s="137" t="s">
        <v>37</v>
      </c>
      <c r="C5900" s="41" t="s">
        <v>118</v>
      </c>
      <c r="D5900" s="80" t="s">
        <v>36</v>
      </c>
      <c r="E5900" s="80" t="s">
        <v>119</v>
      </c>
      <c r="F5900" s="80" t="s">
        <v>10144</v>
      </c>
      <c r="G5900" s="161" t="s">
        <v>221</v>
      </c>
      <c r="H5900" s="80" t="s">
        <v>9005</v>
      </c>
      <c r="I5900" s="17">
        <f ca="1">IFERROR(__xludf.DUMMYFUNCTION("""COMPUTED_VALUE"""),45712)</f>
        <v>45712</v>
      </c>
      <c r="J5900" s="143" t="s">
        <v>17567</v>
      </c>
      <c r="K5900" s="145" t="s">
        <v>7979</v>
      </c>
      <c r="L5900" s="30">
        <v>399642933</v>
      </c>
      <c r="M5900" s="80" t="s">
        <v>5518</v>
      </c>
      <c r="N5900" s="80" t="s">
        <v>12380</v>
      </c>
      <c r="O5900" s="80" t="s">
        <v>17569</v>
      </c>
      <c r="P5900" s="80" t="s">
        <v>3694</v>
      </c>
      <c r="Q5900" s="20">
        <v>13968</v>
      </c>
      <c r="R5900" s="80" t="s">
        <v>36</v>
      </c>
      <c r="S5900" s="95">
        <v>4000</v>
      </c>
      <c r="T5900" s="148">
        <v>45583</v>
      </c>
      <c r="U5900" s="95">
        <v>9968</v>
      </c>
      <c r="V5900" s="148">
        <v>45610</v>
      </c>
      <c r="W5900" s="85" t="s">
        <v>17570</v>
      </c>
      <c r="X5900" s="80"/>
      <c r="Y5900" s="22">
        <v>0</v>
      </c>
      <c r="Z5900" s="81" t="s">
        <v>50</v>
      </c>
      <c r="AA5900" s="86" t="s">
        <v>14723</v>
      </c>
      <c r="AB5900" s="80"/>
      <c r="AC5900" s="80" t="s">
        <v>53</v>
      </c>
      <c r="AD5900" s="80" t="s">
        <v>138</v>
      </c>
      <c r="AE5900" s="80" t="s">
        <v>10144</v>
      </c>
      <c r="AF5900" s="17">
        <v>45712</v>
      </c>
      <c r="AG5900" s="80"/>
      <c r="AH5900" s="80"/>
      <c r="AI5900" s="147"/>
      <c r="AJ5900" s="80"/>
      <c r="AK5900" s="80"/>
      <c r="AL5900" s="86"/>
      <c r="AM5900" s="86"/>
      <c r="AN5900" s="86"/>
      <c r="AO5900" s="86"/>
      <c r="AP5900" s="86"/>
    </row>
    <row r="5901" spans="1:42" x14ac:dyDescent="0.2">
      <c r="A5901" s="38">
        <v>45698</v>
      </c>
      <c r="B5901" s="137" t="s">
        <v>37</v>
      </c>
      <c r="C5901" s="41" t="s">
        <v>118</v>
      </c>
      <c r="D5901" s="80" t="s">
        <v>36</v>
      </c>
      <c r="E5901" s="80" t="s">
        <v>56</v>
      </c>
      <c r="F5901" s="80" t="s">
        <v>11777</v>
      </c>
      <c r="G5901" s="26" t="s">
        <v>221</v>
      </c>
      <c r="H5901" s="80" t="s">
        <v>19514</v>
      </c>
      <c r="I5901" s="17">
        <f ca="1">IFERROR(__xludf.DUMMYFUNCTION("""COMPUTED_VALUE"""),45709)</f>
        <v>45709</v>
      </c>
      <c r="J5901" s="143" t="s">
        <v>11691</v>
      </c>
      <c r="K5901" s="80" t="s">
        <v>13731</v>
      </c>
      <c r="L5901" s="30">
        <v>923048325</v>
      </c>
      <c r="M5901" s="80" t="s">
        <v>5558</v>
      </c>
      <c r="N5901" s="80" t="s">
        <v>5559</v>
      </c>
      <c r="O5901" s="80" t="s">
        <v>4503</v>
      </c>
      <c r="P5901" s="144" t="s">
        <v>11693</v>
      </c>
      <c r="Q5901" s="20">
        <v>9317</v>
      </c>
      <c r="R5901" s="80" t="s">
        <v>36</v>
      </c>
      <c r="S5901" s="95">
        <f>200+9117</f>
        <v>9317</v>
      </c>
      <c r="T5901" s="148">
        <v>45530</v>
      </c>
      <c r="U5901" s="95"/>
      <c r="V5901" s="148">
        <v>45531</v>
      </c>
      <c r="W5901" s="80" t="s">
        <v>11694</v>
      </c>
      <c r="X5901" s="80">
        <v>0</v>
      </c>
      <c r="Y5901" s="22">
        <v>0</v>
      </c>
      <c r="Z5901" s="80" t="s">
        <v>50</v>
      </c>
      <c r="AA5901" s="96" t="s">
        <v>10314</v>
      </c>
      <c r="AB5901" s="80"/>
      <c r="AC5901" s="80" t="s">
        <v>53</v>
      </c>
      <c r="AD5901" s="80" t="s">
        <v>54</v>
      </c>
      <c r="AE5901" s="80" t="s">
        <v>11777</v>
      </c>
      <c r="AF5901" s="17">
        <v>45706</v>
      </c>
      <c r="AG5901" s="80"/>
      <c r="AH5901" s="80"/>
      <c r="AI5901" s="147"/>
      <c r="AJ5901" s="80"/>
      <c r="AK5901" s="80"/>
      <c r="AL5901" s="35"/>
      <c r="AM5901" s="35"/>
      <c r="AN5901" s="35"/>
      <c r="AO5901" s="35"/>
      <c r="AP5901" s="35"/>
    </row>
    <row r="5902" spans="1:42" x14ac:dyDescent="0.2">
      <c r="A5902" s="38">
        <v>45698</v>
      </c>
      <c r="B5902" s="137" t="s">
        <v>37</v>
      </c>
      <c r="C5902" s="41" t="s">
        <v>118</v>
      </c>
      <c r="D5902" s="26" t="s">
        <v>36</v>
      </c>
      <c r="E5902" s="26" t="s">
        <v>139</v>
      </c>
      <c r="F5902" s="26" t="s">
        <v>6250</v>
      </c>
      <c r="G5902" s="161" t="s">
        <v>221</v>
      </c>
      <c r="H5902" s="80" t="s">
        <v>9005</v>
      </c>
      <c r="I5902" s="17">
        <f ca="1">IFERROR(__xludf.DUMMYFUNCTION("""COMPUTED_VALUE"""),45712)</f>
        <v>45712</v>
      </c>
      <c r="J5902" s="49" t="s">
        <v>7091</v>
      </c>
      <c r="K5902" s="19" t="s">
        <v>18172</v>
      </c>
      <c r="L5902" s="47">
        <v>965849002</v>
      </c>
      <c r="M5902" s="19" t="s">
        <v>123</v>
      </c>
      <c r="N5902" s="19" t="s">
        <v>186</v>
      </c>
      <c r="O5902" s="26" t="s">
        <v>4503</v>
      </c>
      <c r="P5902" s="26" t="s">
        <v>19525</v>
      </c>
      <c r="Q5902" s="20">
        <v>15936</v>
      </c>
      <c r="R5902" s="26" t="s">
        <v>36</v>
      </c>
      <c r="S5902" s="31">
        <f>200+5000+10236</f>
        <v>15436</v>
      </c>
      <c r="T5902" s="26" t="s">
        <v>7093</v>
      </c>
      <c r="U5902" s="31"/>
      <c r="V5902" s="32"/>
      <c r="W5902" s="33" t="s">
        <v>7094</v>
      </c>
      <c r="X5902" s="26"/>
      <c r="Y5902" s="22">
        <v>500</v>
      </c>
      <c r="Z5902" s="98" t="s">
        <v>118</v>
      </c>
      <c r="AA5902" s="19" t="s">
        <v>7077</v>
      </c>
      <c r="AB5902" s="26" t="s">
        <v>104</v>
      </c>
      <c r="AC5902" s="26" t="s">
        <v>53</v>
      </c>
      <c r="AD5902" s="19" t="s">
        <v>138</v>
      </c>
      <c r="AE5902" s="26" t="s">
        <v>6250</v>
      </c>
      <c r="AF5902" s="17">
        <v>45712</v>
      </c>
      <c r="AG5902" s="26"/>
      <c r="AH5902" s="26"/>
      <c r="AI5902" s="40" t="s">
        <v>147</v>
      </c>
      <c r="AJ5902" s="26"/>
      <c r="AK5902" s="26"/>
      <c r="AL5902" s="35"/>
      <c r="AM5902" s="35"/>
      <c r="AN5902" s="35"/>
      <c r="AO5902" s="35"/>
      <c r="AP5902" s="35"/>
    </row>
    <row r="5903" spans="1:42" x14ac:dyDescent="0.2">
      <c r="A5903" s="38">
        <v>45698</v>
      </c>
      <c r="B5903" s="137" t="s">
        <v>37</v>
      </c>
      <c r="C5903" s="41" t="s">
        <v>118</v>
      </c>
      <c r="D5903" s="26" t="s">
        <v>36</v>
      </c>
      <c r="E5903" s="26" t="s">
        <v>139</v>
      </c>
      <c r="F5903" s="26" t="s">
        <v>9768</v>
      </c>
      <c r="G5903" s="161" t="s">
        <v>221</v>
      </c>
      <c r="H5903" s="80" t="s">
        <v>19526</v>
      </c>
      <c r="I5903" s="17">
        <f ca="1">IFERROR(__xludf.DUMMYFUNCTION("""COMPUTED_VALUE"""),45804)</f>
        <v>45804</v>
      </c>
      <c r="J5903" s="29" t="s">
        <v>9437</v>
      </c>
      <c r="K5903" s="26" t="s">
        <v>19527</v>
      </c>
      <c r="L5903" s="30">
        <v>978324263</v>
      </c>
      <c r="M5903" s="26" t="s">
        <v>9422</v>
      </c>
      <c r="N5903" s="26" t="s">
        <v>5574</v>
      </c>
      <c r="O5903" s="26" t="s">
        <v>9439</v>
      </c>
      <c r="P5903" s="42" t="s">
        <v>10089</v>
      </c>
      <c r="Q5903" s="20"/>
      <c r="R5903" s="26" t="s">
        <v>36</v>
      </c>
      <c r="S5903" s="95">
        <v>15936</v>
      </c>
      <c r="T5903" s="148">
        <v>45482</v>
      </c>
      <c r="U5903" s="31"/>
      <c r="V5903" s="32"/>
      <c r="W5903" s="33" t="s">
        <v>9441</v>
      </c>
      <c r="X5903" s="26"/>
      <c r="Y5903" s="22"/>
      <c r="Z5903" s="26" t="s">
        <v>50</v>
      </c>
      <c r="AA5903" s="70" t="s">
        <v>9070</v>
      </c>
      <c r="AB5903" s="26"/>
      <c r="AC5903" s="26" t="s">
        <v>53</v>
      </c>
      <c r="AD5903" s="26" t="s">
        <v>54</v>
      </c>
      <c r="AE5903" s="26" t="s">
        <v>9768</v>
      </c>
      <c r="AF5903" s="17">
        <v>45712</v>
      </c>
      <c r="AG5903" s="80"/>
      <c r="AH5903" s="26"/>
      <c r="AI5903" s="40"/>
      <c r="AJ5903" s="26"/>
      <c r="AK5903" s="26"/>
      <c r="AL5903" s="35"/>
      <c r="AM5903" s="35"/>
      <c r="AN5903" s="35"/>
      <c r="AO5903" s="35"/>
      <c r="AP5903" s="35"/>
    </row>
    <row r="5904" spans="1:42" x14ac:dyDescent="0.2">
      <c r="A5904" s="38">
        <v>45698</v>
      </c>
      <c r="B5904" s="137" t="s">
        <v>37</v>
      </c>
      <c r="C5904" s="41" t="s">
        <v>118</v>
      </c>
      <c r="D5904" s="26" t="s">
        <v>36</v>
      </c>
      <c r="E5904" s="26" t="s">
        <v>139</v>
      </c>
      <c r="F5904" s="26" t="s">
        <v>10223</v>
      </c>
      <c r="G5904" s="161" t="s">
        <v>221</v>
      </c>
      <c r="H5904" s="80" t="s">
        <v>9005</v>
      </c>
      <c r="I5904" s="17">
        <f ca="1">IFERROR(__xludf.DUMMYFUNCTION("""COMPUTED_VALUE"""),45712)</f>
        <v>45712</v>
      </c>
      <c r="J5904" s="29" t="s">
        <v>10224</v>
      </c>
      <c r="K5904" s="26" t="s">
        <v>17264</v>
      </c>
      <c r="L5904" s="30">
        <v>966767506</v>
      </c>
      <c r="M5904" s="26" t="s">
        <v>3728</v>
      </c>
      <c r="N5904" s="26" t="s">
        <v>5277</v>
      </c>
      <c r="O5904" s="26" t="s">
        <v>10226</v>
      </c>
      <c r="P5904" s="42" t="s">
        <v>10227</v>
      </c>
      <c r="Q5904" s="20">
        <v>15936</v>
      </c>
      <c r="R5904" s="26" t="s">
        <v>36</v>
      </c>
      <c r="S5904" s="95">
        <v>2000</v>
      </c>
      <c r="T5904" s="148">
        <v>45492</v>
      </c>
      <c r="U5904" s="95">
        <v>13936</v>
      </c>
      <c r="V5904" s="148">
        <v>45545</v>
      </c>
      <c r="W5904" s="33" t="s">
        <v>10228</v>
      </c>
      <c r="X5904" s="26">
        <v>0</v>
      </c>
      <c r="Y5904" s="22">
        <v>0</v>
      </c>
      <c r="Z5904" s="26" t="s">
        <v>50</v>
      </c>
      <c r="AA5904" s="35"/>
      <c r="AB5904" s="26"/>
      <c r="AC5904" s="26" t="s">
        <v>53</v>
      </c>
      <c r="AD5904" s="26" t="s">
        <v>54</v>
      </c>
      <c r="AE5904" s="26" t="s">
        <v>10223</v>
      </c>
      <c r="AF5904" s="17">
        <v>45712</v>
      </c>
      <c r="AG5904" s="26"/>
      <c r="AH5904" s="26"/>
      <c r="AI5904" s="40"/>
      <c r="AJ5904" s="26"/>
      <c r="AK5904" s="26"/>
      <c r="AL5904" s="35"/>
      <c r="AM5904" s="35"/>
      <c r="AN5904" s="35"/>
      <c r="AO5904" s="35"/>
      <c r="AP5904" s="35"/>
    </row>
    <row r="5905" spans="1:42" x14ac:dyDescent="0.2">
      <c r="A5905" s="38">
        <v>45698</v>
      </c>
      <c r="B5905" s="137" t="s">
        <v>37</v>
      </c>
      <c r="C5905" s="41" t="s">
        <v>118</v>
      </c>
      <c r="D5905" s="80" t="s">
        <v>36</v>
      </c>
      <c r="E5905" s="80" t="s">
        <v>139</v>
      </c>
      <c r="F5905" s="80" t="s">
        <v>11545</v>
      </c>
      <c r="G5905" s="80" t="s">
        <v>108</v>
      </c>
      <c r="H5905" s="80" t="s">
        <v>19528</v>
      </c>
      <c r="I5905" s="17">
        <f ca="1">IFERROR(__xludf.DUMMYFUNCTION("""COMPUTED_VALUE"""),45874)</f>
        <v>45874</v>
      </c>
      <c r="J5905" s="143" t="s">
        <v>12340</v>
      </c>
      <c r="K5905" s="80" t="s">
        <v>19529</v>
      </c>
      <c r="L5905" s="30">
        <v>337155725</v>
      </c>
      <c r="M5905" s="80" t="s">
        <v>123</v>
      </c>
      <c r="N5905" s="80" t="s">
        <v>327</v>
      </c>
      <c r="O5905" s="80" t="s">
        <v>4503</v>
      </c>
      <c r="P5905" s="80" t="s">
        <v>19530</v>
      </c>
      <c r="Q5905" s="20">
        <v>15936</v>
      </c>
      <c r="R5905" s="80" t="s">
        <v>36</v>
      </c>
      <c r="S5905" s="95">
        <v>2000</v>
      </c>
      <c r="T5905" s="148" t="s">
        <v>12343</v>
      </c>
      <c r="U5905" s="178">
        <v>13936</v>
      </c>
      <c r="V5905" s="169">
        <v>45553</v>
      </c>
      <c r="W5905" s="85" t="s">
        <v>12344</v>
      </c>
      <c r="X5905" s="80">
        <v>0</v>
      </c>
      <c r="Y5905" s="22">
        <v>0</v>
      </c>
      <c r="Z5905" s="80" t="s">
        <v>50</v>
      </c>
      <c r="AA5905" s="96" t="s">
        <v>3291</v>
      </c>
      <c r="AB5905" s="80"/>
      <c r="AC5905" s="80" t="s">
        <v>53</v>
      </c>
      <c r="AD5905" s="80" t="s">
        <v>54</v>
      </c>
      <c r="AE5905" s="80" t="s">
        <v>11545</v>
      </c>
      <c r="AF5905" s="17">
        <v>45699</v>
      </c>
      <c r="AG5905" s="80"/>
      <c r="AH5905" s="80"/>
      <c r="AI5905" s="147" t="s">
        <v>147</v>
      </c>
      <c r="AJ5905" s="80"/>
      <c r="AK5905" s="80"/>
      <c r="AL5905" s="35"/>
      <c r="AM5905" s="35"/>
      <c r="AN5905" s="35"/>
      <c r="AO5905" s="35"/>
      <c r="AP5905" s="35"/>
    </row>
    <row r="5906" spans="1:42" x14ac:dyDescent="0.2">
      <c r="A5906" s="38">
        <v>45698</v>
      </c>
      <c r="B5906" s="137" t="s">
        <v>37</v>
      </c>
      <c r="C5906" s="41" t="s">
        <v>118</v>
      </c>
      <c r="D5906" s="80" t="s">
        <v>36</v>
      </c>
      <c r="E5906" s="80" t="s">
        <v>139</v>
      </c>
      <c r="F5906" s="80" t="s">
        <v>13480</v>
      </c>
      <c r="G5906" s="80" t="s">
        <v>108</v>
      </c>
      <c r="H5906" s="80" t="s">
        <v>18679</v>
      </c>
      <c r="I5906" s="17">
        <f ca="1">IFERROR(__xludf.DUMMYFUNCTION("""COMPUTED_VALUE"""),45709)</f>
        <v>45709</v>
      </c>
      <c r="J5906" s="143" t="s">
        <v>15675</v>
      </c>
      <c r="K5906" s="80" t="s">
        <v>15676</v>
      </c>
      <c r="L5906" s="30">
        <v>372783682</v>
      </c>
      <c r="M5906" s="80" t="s">
        <v>45</v>
      </c>
      <c r="N5906" s="80" t="s">
        <v>8420</v>
      </c>
      <c r="O5906" s="80" t="s">
        <v>15677</v>
      </c>
      <c r="P5906" s="80" t="s">
        <v>19531</v>
      </c>
      <c r="Q5906" s="20">
        <v>15936</v>
      </c>
      <c r="R5906" s="80" t="s">
        <v>70</v>
      </c>
      <c r="S5906" s="95">
        <v>1000</v>
      </c>
      <c r="T5906" s="148">
        <v>45561</v>
      </c>
      <c r="U5906" s="95">
        <v>14836</v>
      </c>
      <c r="V5906" s="148">
        <v>45566</v>
      </c>
      <c r="W5906" s="85" t="s">
        <v>15679</v>
      </c>
      <c r="X5906" s="80"/>
      <c r="Y5906" s="22">
        <v>100</v>
      </c>
      <c r="Z5906" s="80" t="s">
        <v>50</v>
      </c>
      <c r="AA5906" s="35" t="s">
        <v>9905</v>
      </c>
      <c r="AB5906" s="80"/>
      <c r="AC5906" s="80" t="s">
        <v>53</v>
      </c>
      <c r="AD5906" s="80" t="s">
        <v>54</v>
      </c>
      <c r="AE5906" s="80" t="s">
        <v>13480</v>
      </c>
      <c r="AF5906" s="17">
        <v>45705</v>
      </c>
      <c r="AG5906" s="80"/>
      <c r="AH5906" s="80"/>
      <c r="AI5906" s="147"/>
      <c r="AJ5906" s="80"/>
      <c r="AK5906" s="80"/>
      <c r="AL5906" s="35"/>
      <c r="AM5906" s="35"/>
      <c r="AN5906" s="35"/>
      <c r="AO5906" s="35"/>
      <c r="AP5906" s="35"/>
    </row>
    <row r="5907" spans="1:42" x14ac:dyDescent="0.2">
      <c r="A5907" s="38">
        <v>45698</v>
      </c>
      <c r="B5907" s="137" t="s">
        <v>37</v>
      </c>
      <c r="C5907" s="41" t="s">
        <v>118</v>
      </c>
      <c r="D5907" s="80" t="s">
        <v>36</v>
      </c>
      <c r="E5907" s="80" t="s">
        <v>915</v>
      </c>
      <c r="F5907" s="80" t="s">
        <v>7024</v>
      </c>
      <c r="G5907" s="26" t="s">
        <v>1847</v>
      </c>
      <c r="H5907" s="80" t="s">
        <v>14381</v>
      </c>
      <c r="I5907" s="17">
        <f ca="1">IFERROR(__xludf.DUMMYFUNCTION("""COMPUTED_VALUE"""),45699)</f>
        <v>45699</v>
      </c>
      <c r="J5907" s="143" t="s">
        <v>15222</v>
      </c>
      <c r="K5907" s="80" t="s">
        <v>19532</v>
      </c>
      <c r="L5907" s="30">
        <v>976057421</v>
      </c>
      <c r="M5907" s="80" t="s">
        <v>5429</v>
      </c>
      <c r="N5907" s="80" t="s">
        <v>9180</v>
      </c>
      <c r="O5907" s="80" t="s">
        <v>15224</v>
      </c>
      <c r="P5907" s="80" t="s">
        <v>15225</v>
      </c>
      <c r="Q5907" s="20">
        <v>10894</v>
      </c>
      <c r="R5907" s="80" t="s">
        <v>36</v>
      </c>
      <c r="S5907" s="95">
        <v>4000</v>
      </c>
      <c r="T5907" s="148">
        <v>45550</v>
      </c>
      <c r="U5907" s="95">
        <v>6894</v>
      </c>
      <c r="V5907" s="148">
        <v>45572</v>
      </c>
      <c r="W5907" s="85" t="s">
        <v>15226</v>
      </c>
      <c r="X5907" s="80"/>
      <c r="Y5907" s="22">
        <v>0</v>
      </c>
      <c r="Z5907" s="80" t="s">
        <v>50</v>
      </c>
      <c r="AA5907" s="96" t="s">
        <v>9905</v>
      </c>
      <c r="AB5907" s="80"/>
      <c r="AC5907" s="80" t="s">
        <v>53</v>
      </c>
      <c r="AD5907" s="80" t="s">
        <v>138</v>
      </c>
      <c r="AE5907" s="80" t="s">
        <v>7024</v>
      </c>
      <c r="AF5907" s="17">
        <v>45699</v>
      </c>
      <c r="AG5907" s="80"/>
      <c r="AH5907" s="80"/>
      <c r="AI5907" s="147"/>
      <c r="AJ5907" s="80"/>
      <c r="AK5907" s="80"/>
      <c r="AL5907" s="35"/>
      <c r="AM5907" s="35"/>
      <c r="AN5907" s="35"/>
      <c r="AO5907" s="35"/>
      <c r="AP5907" s="35"/>
    </row>
    <row r="5908" spans="1:42" x14ac:dyDescent="0.2">
      <c r="A5908" s="38">
        <v>45698</v>
      </c>
      <c r="B5908" s="137"/>
      <c r="C5908" s="41" t="s">
        <v>118</v>
      </c>
      <c r="D5908" s="80" t="s">
        <v>36</v>
      </c>
      <c r="E5908" s="80" t="s">
        <v>139</v>
      </c>
      <c r="F5908" s="80" t="s">
        <v>15290</v>
      </c>
      <c r="G5908" s="80" t="s">
        <v>108</v>
      </c>
      <c r="H5908" s="80" t="s">
        <v>19533</v>
      </c>
      <c r="I5908" s="17" t="str">
        <f ca="1">IFERROR(__xludf.DUMMYFUNCTION("""COMPUTED_VALUE""")," ")</f>
        <v xml:space="preserve"> </v>
      </c>
      <c r="J5908" s="143" t="s">
        <v>15291</v>
      </c>
      <c r="K5908" s="80" t="s">
        <v>19534</v>
      </c>
      <c r="L5908" s="30">
        <v>388271726</v>
      </c>
      <c r="M5908" s="80" t="s">
        <v>5558</v>
      </c>
      <c r="N5908" s="80" t="s">
        <v>5559</v>
      </c>
      <c r="O5908" s="80" t="s">
        <v>4503</v>
      </c>
      <c r="P5908" s="144" t="s">
        <v>15293</v>
      </c>
      <c r="Q5908" s="20">
        <v>15936</v>
      </c>
      <c r="R5908" s="80" t="s">
        <v>36</v>
      </c>
      <c r="S5908" s="95">
        <v>2000</v>
      </c>
      <c r="T5908" s="148">
        <v>45552</v>
      </c>
      <c r="U5908" s="95">
        <v>14236</v>
      </c>
      <c r="V5908" s="148">
        <v>45570</v>
      </c>
      <c r="W5908" s="85" t="s">
        <v>15294</v>
      </c>
      <c r="X5908" s="80"/>
      <c r="Y5908" s="22">
        <v>-300</v>
      </c>
      <c r="Z5908" s="80" t="s">
        <v>50</v>
      </c>
      <c r="AA5908" s="35" t="s">
        <v>9905</v>
      </c>
      <c r="AB5908" s="80"/>
      <c r="AC5908" s="80" t="s">
        <v>53</v>
      </c>
      <c r="AD5908" s="80" t="s">
        <v>54</v>
      </c>
      <c r="AE5908" s="80" t="s">
        <v>15290</v>
      </c>
      <c r="AF5908" s="17">
        <v>45708</v>
      </c>
      <c r="AG5908" s="80"/>
      <c r="AH5908" s="80"/>
      <c r="AI5908" s="147"/>
      <c r="AJ5908" s="80"/>
      <c r="AK5908" s="80"/>
      <c r="AL5908" s="35"/>
      <c r="AM5908" s="35"/>
      <c r="AN5908" s="35"/>
      <c r="AO5908" s="35"/>
      <c r="AP5908" s="35"/>
    </row>
    <row r="5909" spans="1:42" x14ac:dyDescent="0.2">
      <c r="A5909" s="38">
        <v>45698</v>
      </c>
      <c r="B5909" s="137" t="s">
        <v>37</v>
      </c>
      <c r="C5909" s="41" t="s">
        <v>118</v>
      </c>
      <c r="D5909" s="80" t="s">
        <v>36</v>
      </c>
      <c r="E5909" s="80" t="s">
        <v>139</v>
      </c>
      <c r="F5909" s="80" t="s">
        <v>8844</v>
      </c>
      <c r="G5909" s="80" t="s">
        <v>221</v>
      </c>
      <c r="H5909" s="80" t="s">
        <v>9005</v>
      </c>
      <c r="I5909" s="17">
        <f ca="1">IFERROR(__xludf.DUMMYFUNCTION("""COMPUTED_VALUE"""),45712)</f>
        <v>45712</v>
      </c>
      <c r="J5909" s="143" t="s">
        <v>11093</v>
      </c>
      <c r="K5909" s="80" t="s">
        <v>19535</v>
      </c>
      <c r="L5909" s="30">
        <v>986432032</v>
      </c>
      <c r="M5909" s="80" t="s">
        <v>5429</v>
      </c>
      <c r="N5909" s="80" t="s">
        <v>11095</v>
      </c>
      <c r="O5909" s="80" t="s">
        <v>4626</v>
      </c>
      <c r="P5909" s="144" t="s">
        <v>11766</v>
      </c>
      <c r="Q5909" s="20">
        <v>15936</v>
      </c>
      <c r="R5909" s="80" t="s">
        <v>36</v>
      </c>
      <c r="S5909" s="95">
        <v>2000</v>
      </c>
      <c r="T5909" s="148">
        <v>45500</v>
      </c>
      <c r="U5909" s="95">
        <v>13936</v>
      </c>
      <c r="V5909" s="148">
        <v>45529</v>
      </c>
      <c r="W5909" s="85" t="s">
        <v>11097</v>
      </c>
      <c r="X5909" s="80">
        <v>0</v>
      </c>
      <c r="Y5909" s="22">
        <v>0</v>
      </c>
      <c r="Z5909" s="80" t="s">
        <v>50</v>
      </c>
      <c r="AA5909" s="96" t="s">
        <v>10314</v>
      </c>
      <c r="AB5909" s="80"/>
      <c r="AC5909" s="80" t="s">
        <v>53</v>
      </c>
      <c r="AD5909" s="80" t="s">
        <v>54</v>
      </c>
      <c r="AE5909" s="80" t="s">
        <v>8844</v>
      </c>
      <c r="AF5909" s="17">
        <v>45712</v>
      </c>
      <c r="AG5909" s="80"/>
      <c r="AH5909" s="80"/>
      <c r="AI5909" s="147"/>
      <c r="AJ5909" s="80"/>
      <c r="AK5909" s="80"/>
      <c r="AL5909" s="35"/>
      <c r="AM5909" s="35"/>
      <c r="AN5909" s="35"/>
      <c r="AO5909" s="35"/>
      <c r="AP5909" s="35"/>
    </row>
    <row r="5910" spans="1:42" x14ac:dyDescent="0.2">
      <c r="A5910" s="38">
        <v>45698</v>
      </c>
      <c r="B5910" s="137" t="s">
        <v>37</v>
      </c>
      <c r="C5910" s="41" t="s">
        <v>118</v>
      </c>
      <c r="D5910" s="80" t="s">
        <v>36</v>
      </c>
      <c r="E5910" s="80" t="s">
        <v>219</v>
      </c>
      <c r="F5910" s="80" t="s">
        <v>17829</v>
      </c>
      <c r="G5910" s="80" t="s">
        <v>221</v>
      </c>
      <c r="H5910" s="80" t="s">
        <v>19536</v>
      </c>
      <c r="I5910" s="17">
        <f ca="1">IFERROR(__xludf.DUMMYFUNCTION("""COMPUTED_VALUE"""),45891)</f>
        <v>45891</v>
      </c>
      <c r="J5910" s="143" t="s">
        <v>19537</v>
      </c>
      <c r="K5910" s="145" t="s">
        <v>19538</v>
      </c>
      <c r="L5910" s="30">
        <v>968751351</v>
      </c>
      <c r="M5910" s="80" t="s">
        <v>3288</v>
      </c>
      <c r="N5910" s="80" t="s">
        <v>5846</v>
      </c>
      <c r="O5910" s="80" t="s">
        <v>19539</v>
      </c>
      <c r="P5910" s="80" t="s">
        <v>9528</v>
      </c>
      <c r="Q5910" s="20">
        <v>10804</v>
      </c>
      <c r="R5910" s="80" t="s">
        <v>36</v>
      </c>
      <c r="S5910" s="77">
        <v>1000</v>
      </c>
      <c r="T5910" s="78">
        <v>45201</v>
      </c>
      <c r="U5910" s="77">
        <v>9804</v>
      </c>
      <c r="V5910" s="78">
        <v>45339</v>
      </c>
      <c r="W5910" s="85" t="s">
        <v>19540</v>
      </c>
      <c r="X5910" s="80">
        <v>0</v>
      </c>
      <c r="Y5910" s="22">
        <v>0</v>
      </c>
      <c r="Z5910" s="81" t="s">
        <v>50</v>
      </c>
      <c r="AA5910" s="86" t="s">
        <v>7077</v>
      </c>
      <c r="AB5910" s="80"/>
      <c r="AC5910" s="80" t="s">
        <v>53</v>
      </c>
      <c r="AD5910" s="80" t="s">
        <v>138</v>
      </c>
      <c r="AE5910" s="80" t="s">
        <v>17829</v>
      </c>
      <c r="AF5910" s="17">
        <v>45891</v>
      </c>
      <c r="AG5910" s="80"/>
      <c r="AH5910" s="147">
        <v>3</v>
      </c>
      <c r="AI5910" s="147"/>
      <c r="AJ5910" s="80"/>
      <c r="AK5910" s="80"/>
      <c r="AL5910" s="80"/>
      <c r="AM5910" s="86"/>
      <c r="AN5910" s="86"/>
      <c r="AO5910" s="86"/>
      <c r="AP5910" s="86"/>
    </row>
    <row r="5911" spans="1:42" x14ac:dyDescent="0.2">
      <c r="A5911" s="38">
        <v>45697</v>
      </c>
      <c r="B5911" s="28" t="s">
        <v>37</v>
      </c>
      <c r="C5911" s="41" t="s">
        <v>118</v>
      </c>
      <c r="D5911" s="80" t="s">
        <v>36</v>
      </c>
      <c r="E5911" s="80" t="s">
        <v>106</v>
      </c>
      <c r="F5911" s="80" t="s">
        <v>19541</v>
      </c>
      <c r="G5911" s="80" t="s">
        <v>108</v>
      </c>
      <c r="H5911" s="80" t="s">
        <v>2945</v>
      </c>
      <c r="I5911" s="17">
        <f ca="1">IFERROR(__xludf.DUMMYFUNCTION("""COMPUTED_VALUE"""),45706)</f>
        <v>45706</v>
      </c>
      <c r="J5911" s="143" t="s">
        <v>19542</v>
      </c>
      <c r="K5911" s="80" t="s">
        <v>19543</v>
      </c>
      <c r="L5911" s="30">
        <v>962309253</v>
      </c>
      <c r="M5911" s="80" t="s">
        <v>3288</v>
      </c>
      <c r="N5911" s="80" t="s">
        <v>8331</v>
      </c>
      <c r="O5911" s="80" t="s">
        <v>19544</v>
      </c>
      <c r="P5911" s="144" t="s">
        <v>19545</v>
      </c>
      <c r="Q5911" s="20">
        <v>10804</v>
      </c>
      <c r="R5911" s="80" t="s">
        <v>36</v>
      </c>
      <c r="S5911" s="77">
        <f>5500+500</f>
        <v>6000</v>
      </c>
      <c r="T5911" s="80" t="s">
        <v>19546</v>
      </c>
      <c r="U5911" s="77">
        <v>5304</v>
      </c>
      <c r="V5911" s="78">
        <v>45207</v>
      </c>
      <c r="W5911" s="85" t="s">
        <v>19547</v>
      </c>
      <c r="X5911" s="80">
        <v>0</v>
      </c>
      <c r="Y5911" s="22">
        <v>0</v>
      </c>
      <c r="Z5911" s="41" t="s">
        <v>118</v>
      </c>
      <c r="AA5911" s="82" t="s">
        <v>3454</v>
      </c>
      <c r="AB5911" s="80"/>
      <c r="AC5911" s="80" t="s">
        <v>53</v>
      </c>
      <c r="AD5911" s="80" t="s">
        <v>138</v>
      </c>
      <c r="AE5911" s="80" t="s">
        <v>19541</v>
      </c>
      <c r="AF5911" s="17">
        <v>45698</v>
      </c>
      <c r="AG5911" s="80"/>
      <c r="AH5911" s="147"/>
      <c r="AI5911" s="147"/>
      <c r="AJ5911" s="80"/>
      <c r="AK5911" s="80"/>
      <c r="AL5911" s="80"/>
      <c r="AM5911" s="86"/>
      <c r="AN5911" s="86"/>
      <c r="AO5911" s="86"/>
      <c r="AP5911" s="86"/>
    </row>
    <row r="5912" spans="1:42" x14ac:dyDescent="0.2">
      <c r="A5912" s="38">
        <v>45698</v>
      </c>
      <c r="B5912" s="137" t="s">
        <v>37</v>
      </c>
      <c r="C5912" s="41" t="s">
        <v>118</v>
      </c>
      <c r="D5912" s="26" t="s">
        <v>36</v>
      </c>
      <c r="E5912" s="26" t="s">
        <v>148</v>
      </c>
      <c r="F5912" s="26" t="s">
        <v>6250</v>
      </c>
      <c r="G5912" s="26" t="s">
        <v>221</v>
      </c>
      <c r="H5912" s="26" t="s">
        <v>19548</v>
      </c>
      <c r="I5912" s="17" t="str">
        <f ca="1">IFERROR(__xludf.DUMMYFUNCTION("""COMPUTED_VALUE""")," ")</f>
        <v xml:space="preserve"> </v>
      </c>
      <c r="J5912" s="29" t="s">
        <v>8850</v>
      </c>
      <c r="K5912" s="26" t="s">
        <v>19549</v>
      </c>
      <c r="L5912" s="30">
        <v>911428960</v>
      </c>
      <c r="M5912" s="26" t="s">
        <v>45</v>
      </c>
      <c r="N5912" s="26" t="s">
        <v>571</v>
      </c>
      <c r="O5912" s="26" t="s">
        <v>8852</v>
      </c>
      <c r="P5912" s="26" t="s">
        <v>7743</v>
      </c>
      <c r="Q5912" s="20">
        <v>7349</v>
      </c>
      <c r="R5912" s="26" t="s">
        <v>36</v>
      </c>
      <c r="S5912" s="31">
        <v>7349</v>
      </c>
      <c r="T5912" s="32">
        <v>45473</v>
      </c>
      <c r="U5912" s="31"/>
      <c r="V5912" s="32"/>
      <c r="W5912" s="33" t="s">
        <v>8853</v>
      </c>
      <c r="X5912" s="26"/>
      <c r="Y5912" s="22">
        <v>0</v>
      </c>
      <c r="Z5912" s="26" t="s">
        <v>50</v>
      </c>
      <c r="AA5912" s="19" t="s">
        <v>8721</v>
      </c>
      <c r="AB5912" s="26"/>
      <c r="AC5912" s="26" t="s">
        <v>53</v>
      </c>
      <c r="AD5912" s="19" t="s">
        <v>138</v>
      </c>
      <c r="AE5912" s="26" t="s">
        <v>6250</v>
      </c>
      <c r="AF5912" s="17">
        <v>45699</v>
      </c>
      <c r="AG5912" s="26" t="s">
        <v>19550</v>
      </c>
      <c r="AH5912" s="26"/>
      <c r="AI5912" s="40"/>
      <c r="AJ5912" s="26"/>
      <c r="AK5912" s="26"/>
      <c r="AL5912" s="35"/>
      <c r="AM5912" s="35"/>
      <c r="AN5912" s="35"/>
      <c r="AO5912" s="35"/>
      <c r="AP5912" s="35"/>
    </row>
    <row r="5913" spans="1:42" x14ac:dyDescent="0.2">
      <c r="A5913" s="38">
        <v>45699</v>
      </c>
      <c r="B5913" s="137" t="s">
        <v>37</v>
      </c>
      <c r="C5913" s="41" t="s">
        <v>118</v>
      </c>
      <c r="D5913" s="80" t="s">
        <v>36</v>
      </c>
      <c r="E5913" s="80" t="s">
        <v>139</v>
      </c>
      <c r="F5913" s="26" t="s">
        <v>13126</v>
      </c>
      <c r="G5913" s="26" t="s">
        <v>221</v>
      </c>
      <c r="H5913" s="26" t="s">
        <v>19514</v>
      </c>
      <c r="I5913" s="17">
        <f ca="1">IFERROR(__xludf.DUMMYFUNCTION("""COMPUTED_VALUE"""),45709)</f>
        <v>45709</v>
      </c>
      <c r="J5913" s="143" t="s">
        <v>11278</v>
      </c>
      <c r="K5913" s="80" t="s">
        <v>13664</v>
      </c>
      <c r="L5913" s="30">
        <v>829223387</v>
      </c>
      <c r="M5913" s="80" t="s">
        <v>123</v>
      </c>
      <c r="N5913" s="80" t="s">
        <v>327</v>
      </c>
      <c r="O5913" s="80" t="s">
        <v>4503</v>
      </c>
      <c r="P5913" s="144" t="s">
        <v>19551</v>
      </c>
      <c r="Q5913" s="20">
        <v>15936</v>
      </c>
      <c r="R5913" s="80" t="s">
        <v>36</v>
      </c>
      <c r="S5913" s="95">
        <v>2000</v>
      </c>
      <c r="T5913" s="148">
        <v>45510</v>
      </c>
      <c r="U5913" s="95">
        <v>13936</v>
      </c>
      <c r="V5913" s="148">
        <v>45530</v>
      </c>
      <c r="W5913" s="85" t="s">
        <v>11281</v>
      </c>
      <c r="X5913" s="80">
        <v>0</v>
      </c>
      <c r="Y5913" s="22">
        <v>0</v>
      </c>
      <c r="Z5913" s="80" t="s">
        <v>50</v>
      </c>
      <c r="AA5913" s="96" t="s">
        <v>10314</v>
      </c>
      <c r="AB5913" s="80"/>
      <c r="AC5913" s="80" t="s">
        <v>53</v>
      </c>
      <c r="AD5913" s="80" t="s">
        <v>54</v>
      </c>
      <c r="AE5913" s="26" t="s">
        <v>13126</v>
      </c>
      <c r="AF5913" s="17">
        <v>45706</v>
      </c>
      <c r="AG5913" s="80"/>
      <c r="AH5913" s="80"/>
      <c r="AI5913" s="147"/>
      <c r="AJ5913" s="80"/>
      <c r="AK5913" s="80"/>
      <c r="AL5913" s="35"/>
      <c r="AM5913" s="35"/>
      <c r="AN5913" s="35"/>
      <c r="AO5913" s="35"/>
      <c r="AP5913" s="35"/>
    </row>
    <row r="5914" spans="1:42" x14ac:dyDescent="0.2">
      <c r="A5914" s="38">
        <v>45699</v>
      </c>
      <c r="B5914" s="137" t="s">
        <v>37</v>
      </c>
      <c r="C5914" s="41" t="s">
        <v>118</v>
      </c>
      <c r="D5914" s="80" t="s">
        <v>36</v>
      </c>
      <c r="E5914" s="80" t="s">
        <v>106</v>
      </c>
      <c r="F5914" s="80" t="s">
        <v>8844</v>
      </c>
      <c r="G5914" s="80" t="s">
        <v>108</v>
      </c>
      <c r="H5914" s="80" t="s">
        <v>19552</v>
      </c>
      <c r="I5914" s="17" t="str">
        <f ca="1">IFERROR(__xludf.DUMMYFUNCTION("""COMPUTED_VALUE""")," ")</f>
        <v xml:space="preserve"> </v>
      </c>
      <c r="J5914" s="143" t="s">
        <v>11719</v>
      </c>
      <c r="K5914" s="80" t="s">
        <v>19553</v>
      </c>
      <c r="L5914" s="30">
        <v>399618106</v>
      </c>
      <c r="M5914" s="80" t="s">
        <v>3288</v>
      </c>
      <c r="N5914" s="80" t="s">
        <v>200</v>
      </c>
      <c r="O5914" s="80" t="s">
        <v>91</v>
      </c>
      <c r="P5914" s="80" t="s">
        <v>16541</v>
      </c>
      <c r="Q5914" s="20">
        <v>3768</v>
      </c>
      <c r="R5914" s="80" t="s">
        <v>36</v>
      </c>
      <c r="S5914" s="95">
        <v>3668</v>
      </c>
      <c r="T5914" s="148">
        <v>45591</v>
      </c>
      <c r="U5914" s="77"/>
      <c r="V5914" s="78"/>
      <c r="W5914" s="85" t="s">
        <v>16542</v>
      </c>
      <c r="X5914" s="80"/>
      <c r="Y5914" s="22">
        <v>100</v>
      </c>
      <c r="Z5914" s="80" t="s">
        <v>50</v>
      </c>
      <c r="AA5914" s="35" t="s">
        <v>9905</v>
      </c>
      <c r="AB5914" s="80"/>
      <c r="AC5914" s="80" t="s">
        <v>53</v>
      </c>
      <c r="AD5914" s="80" t="s">
        <v>54</v>
      </c>
      <c r="AE5914" s="80" t="s">
        <v>16543</v>
      </c>
      <c r="AF5914" s="43">
        <v>45593</v>
      </c>
      <c r="AG5914" s="80"/>
      <c r="AH5914" s="80"/>
      <c r="AI5914" s="147"/>
      <c r="AJ5914" s="80"/>
      <c r="AK5914" s="80"/>
      <c r="AL5914" s="35"/>
      <c r="AM5914" s="35"/>
      <c r="AN5914" s="35"/>
      <c r="AO5914" s="35"/>
      <c r="AP5914" s="35"/>
    </row>
    <row r="5915" spans="1:42" x14ac:dyDescent="0.2">
      <c r="A5915" s="38">
        <v>45699</v>
      </c>
      <c r="B5915" s="137" t="s">
        <v>37</v>
      </c>
      <c r="C5915" s="41" t="s">
        <v>118</v>
      </c>
      <c r="D5915" s="80" t="s">
        <v>36</v>
      </c>
      <c r="E5915" s="80" t="s">
        <v>119</v>
      </c>
      <c r="F5915" s="80" t="s">
        <v>13807</v>
      </c>
      <c r="G5915" s="26" t="s">
        <v>1705</v>
      </c>
      <c r="H5915" s="80" t="s">
        <v>8998</v>
      </c>
      <c r="I5915" s="17">
        <f ca="1">IFERROR(__xludf.DUMMYFUNCTION("""COMPUTED_VALUE"""),45714)</f>
        <v>45714</v>
      </c>
      <c r="J5915" s="143" t="s">
        <v>13354</v>
      </c>
      <c r="K5915" s="182" t="s">
        <v>18306</v>
      </c>
      <c r="L5915" s="30">
        <v>763307247</v>
      </c>
      <c r="M5915" s="80" t="s">
        <v>5518</v>
      </c>
      <c r="N5915" s="80" t="s">
        <v>186</v>
      </c>
      <c r="O5915" s="80" t="s">
        <v>13356</v>
      </c>
      <c r="P5915" s="144" t="s">
        <v>18307</v>
      </c>
      <c r="Q5915" s="20">
        <v>13968</v>
      </c>
      <c r="R5915" s="80" t="s">
        <v>36</v>
      </c>
      <c r="S5915" s="95">
        <v>13986</v>
      </c>
      <c r="T5915" s="148">
        <v>45554</v>
      </c>
      <c r="U5915" s="77"/>
      <c r="V5915" s="78"/>
      <c r="W5915" s="85" t="s">
        <v>13357</v>
      </c>
      <c r="X5915" s="80">
        <v>0</v>
      </c>
      <c r="Y5915" s="22">
        <v>-18</v>
      </c>
      <c r="Z5915" s="80" t="s">
        <v>50</v>
      </c>
      <c r="AA5915" s="96" t="s">
        <v>3291</v>
      </c>
      <c r="AB5915" s="80"/>
      <c r="AC5915" s="80" t="s">
        <v>53</v>
      </c>
      <c r="AD5915" s="80" t="s">
        <v>138</v>
      </c>
      <c r="AE5915" s="80" t="s">
        <v>13807</v>
      </c>
      <c r="AF5915" s="17">
        <v>45714</v>
      </c>
      <c r="AG5915" s="80"/>
      <c r="AH5915" s="80"/>
      <c r="AI5915" s="147">
        <v>4</v>
      </c>
      <c r="AJ5915" s="80"/>
      <c r="AK5915" s="80"/>
      <c r="AL5915" s="35"/>
      <c r="AM5915" s="35"/>
      <c r="AN5915" s="35"/>
      <c r="AO5915" s="35"/>
      <c r="AP5915" s="35"/>
    </row>
    <row r="5916" spans="1:42" x14ac:dyDescent="0.2">
      <c r="A5916" s="38">
        <v>45699</v>
      </c>
      <c r="B5916" s="137" t="s">
        <v>37</v>
      </c>
      <c r="C5916" s="41" t="s">
        <v>118</v>
      </c>
      <c r="D5916" s="80" t="s">
        <v>36</v>
      </c>
      <c r="E5916" s="80" t="s">
        <v>139</v>
      </c>
      <c r="F5916" s="80" t="s">
        <v>13301</v>
      </c>
      <c r="G5916" s="80" t="s">
        <v>108</v>
      </c>
      <c r="H5916" s="80" t="s">
        <v>17002</v>
      </c>
      <c r="I5916" s="17">
        <f ca="1">IFERROR(__xludf.DUMMYFUNCTION("""COMPUTED_VALUE"""),45736)</f>
        <v>45736</v>
      </c>
      <c r="J5916" s="143" t="s">
        <v>15312</v>
      </c>
      <c r="K5916" s="80" t="s">
        <v>15313</v>
      </c>
      <c r="L5916" s="30">
        <v>985536365</v>
      </c>
      <c r="M5916" s="80" t="s">
        <v>123</v>
      </c>
      <c r="N5916" s="80" t="s">
        <v>2847</v>
      </c>
      <c r="O5916" s="80" t="s">
        <v>4503</v>
      </c>
      <c r="P5916" s="207" t="s">
        <v>15314</v>
      </c>
      <c r="Q5916" s="20">
        <v>15936</v>
      </c>
      <c r="R5916" s="80" t="s">
        <v>70</v>
      </c>
      <c r="S5916" s="95">
        <f>100+5000</f>
        <v>5100</v>
      </c>
      <c r="T5916" s="83" t="s">
        <v>15315</v>
      </c>
      <c r="U5916" s="95">
        <v>10736</v>
      </c>
      <c r="V5916" s="148">
        <v>45593</v>
      </c>
      <c r="W5916" s="85" t="s">
        <v>15316</v>
      </c>
      <c r="X5916" s="80"/>
      <c r="Y5916" s="22">
        <v>100</v>
      </c>
      <c r="Z5916" s="80" t="s">
        <v>50</v>
      </c>
      <c r="AA5916" s="35" t="s">
        <v>9905</v>
      </c>
      <c r="AB5916" s="80"/>
      <c r="AC5916" s="80" t="s">
        <v>53</v>
      </c>
      <c r="AD5916" s="80" t="s">
        <v>138</v>
      </c>
      <c r="AE5916" s="80" t="s">
        <v>13301</v>
      </c>
      <c r="AF5916" s="17">
        <v>45729</v>
      </c>
      <c r="AG5916" s="80"/>
      <c r="AH5916" s="80"/>
      <c r="AI5916" s="147"/>
      <c r="AJ5916" s="80"/>
      <c r="AK5916" s="80"/>
      <c r="AL5916" s="35"/>
      <c r="AM5916" s="35"/>
      <c r="AN5916" s="35"/>
      <c r="AO5916" s="35"/>
      <c r="AP5916" s="35"/>
    </row>
    <row r="5917" spans="1:42" x14ac:dyDescent="0.2">
      <c r="A5917" s="38">
        <v>45699</v>
      </c>
      <c r="B5917" s="28" t="s">
        <v>37</v>
      </c>
      <c r="C5917" s="41" t="s">
        <v>118</v>
      </c>
      <c r="D5917" s="80" t="s">
        <v>36</v>
      </c>
      <c r="E5917" s="80" t="s">
        <v>1704</v>
      </c>
      <c r="F5917" s="26" t="s">
        <v>6128</v>
      </c>
      <c r="G5917" s="26" t="s">
        <v>221</v>
      </c>
      <c r="H5917" s="86" t="s">
        <v>16503</v>
      </c>
      <c r="I5917" s="17">
        <f ca="1">IFERROR(__xludf.DUMMYFUNCTION("""COMPUTED_VALUE"""),45709)</f>
        <v>45709</v>
      </c>
      <c r="J5917" s="143" t="s">
        <v>968</v>
      </c>
      <c r="K5917" s="80" t="s">
        <v>1707</v>
      </c>
      <c r="L5917" s="30">
        <v>964458478</v>
      </c>
      <c r="M5917" s="80" t="s">
        <v>123</v>
      </c>
      <c r="N5917" s="80" t="s">
        <v>310</v>
      </c>
      <c r="O5917" s="80" t="s">
        <v>970</v>
      </c>
      <c r="P5917" s="42" t="s">
        <v>19554</v>
      </c>
      <c r="Q5917" s="20">
        <v>7729</v>
      </c>
      <c r="R5917" s="80" t="s">
        <v>36</v>
      </c>
      <c r="S5917" s="77">
        <v>6586</v>
      </c>
      <c r="T5917" s="78">
        <v>45161</v>
      </c>
      <c r="U5917" s="77"/>
      <c r="V5917" s="156" t="s">
        <v>820</v>
      </c>
      <c r="W5917" s="85" t="s">
        <v>1709</v>
      </c>
      <c r="X5917" s="80">
        <v>100</v>
      </c>
      <c r="Y5917" s="22">
        <v>1043</v>
      </c>
      <c r="Z5917" s="81" t="s">
        <v>50</v>
      </c>
      <c r="AA5917" s="82" t="s">
        <v>901</v>
      </c>
      <c r="AB5917" s="80"/>
      <c r="AC5917" s="80" t="s">
        <v>53</v>
      </c>
      <c r="AD5917" s="86" t="s">
        <v>54</v>
      </c>
      <c r="AE5917" s="26" t="s">
        <v>6128</v>
      </c>
      <c r="AF5917" s="17">
        <v>45706</v>
      </c>
      <c r="AG5917" s="80"/>
      <c r="AH5917" s="80">
        <v>2</v>
      </c>
      <c r="AI5917" s="147">
        <v>2</v>
      </c>
      <c r="AJ5917" s="80"/>
      <c r="AK5917" s="80"/>
      <c r="AL5917" s="86"/>
      <c r="AM5917" s="86"/>
      <c r="AN5917" s="86"/>
      <c r="AO5917" s="86"/>
      <c r="AP5917" s="86"/>
    </row>
    <row r="5918" spans="1:42" x14ac:dyDescent="0.2">
      <c r="A5918" s="38">
        <v>45699</v>
      </c>
      <c r="B5918" s="137" t="s">
        <v>37</v>
      </c>
      <c r="C5918" s="41" t="s">
        <v>118</v>
      </c>
      <c r="D5918" s="80" t="s">
        <v>36</v>
      </c>
      <c r="E5918" s="80" t="s">
        <v>56</v>
      </c>
      <c r="F5918" s="80" t="s">
        <v>19555</v>
      </c>
      <c r="G5918" s="142" t="s">
        <v>221</v>
      </c>
      <c r="H5918" s="80" t="s">
        <v>19435</v>
      </c>
      <c r="I5918" s="17">
        <f ca="1">IFERROR(__xludf.DUMMYFUNCTION("""COMPUTED_VALUE"""),45733)</f>
        <v>45733</v>
      </c>
      <c r="J5918" s="143" t="s">
        <v>7724</v>
      </c>
      <c r="K5918" s="80" t="s">
        <v>19556</v>
      </c>
      <c r="L5918" s="30">
        <v>963662981</v>
      </c>
      <c r="M5918" s="80" t="s">
        <v>391</v>
      </c>
      <c r="N5918" s="80" t="s">
        <v>7051</v>
      </c>
      <c r="O5918" s="80" t="s">
        <v>7726</v>
      </c>
      <c r="P5918" s="144" t="s">
        <v>7727</v>
      </c>
      <c r="Q5918" s="20">
        <v>9317</v>
      </c>
      <c r="R5918" s="80" t="s">
        <v>36</v>
      </c>
      <c r="S5918" s="77">
        <v>9317</v>
      </c>
      <c r="T5918" s="78">
        <v>45355</v>
      </c>
      <c r="U5918" s="77"/>
      <c r="V5918" s="78"/>
      <c r="W5918" s="80" t="s">
        <v>7728</v>
      </c>
      <c r="X5918" s="80"/>
      <c r="Y5918" s="22">
        <v>0</v>
      </c>
      <c r="Z5918" s="41" t="s">
        <v>118</v>
      </c>
      <c r="AA5918" s="86" t="s">
        <v>7361</v>
      </c>
      <c r="AB5918" s="80" t="s">
        <v>36</v>
      </c>
      <c r="AC5918" s="80" t="s">
        <v>53</v>
      </c>
      <c r="AD5918" s="86" t="s">
        <v>138</v>
      </c>
      <c r="AE5918" s="80" t="s">
        <v>7024</v>
      </c>
      <c r="AF5918" s="43">
        <v>45557</v>
      </c>
      <c r="AG5918" s="80" t="s">
        <v>3415</v>
      </c>
      <c r="AH5918" s="80"/>
      <c r="AI5918" s="147"/>
      <c r="AJ5918" s="80"/>
      <c r="AK5918" s="80"/>
      <c r="AL5918" s="86"/>
      <c r="AM5918" s="86"/>
      <c r="AN5918" s="86"/>
      <c r="AO5918" s="86"/>
      <c r="AP5918" s="86"/>
    </row>
    <row r="5919" spans="1:42" x14ac:dyDescent="0.2">
      <c r="A5919" s="38">
        <v>45700</v>
      </c>
      <c r="B5919" s="28" t="s">
        <v>37</v>
      </c>
      <c r="C5919" s="41" t="s">
        <v>118</v>
      </c>
      <c r="D5919" s="26" t="s">
        <v>36</v>
      </c>
      <c r="E5919" s="26" t="s">
        <v>139</v>
      </c>
      <c r="F5919" s="80" t="s">
        <v>9897</v>
      </c>
      <c r="G5919" s="80" t="s">
        <v>221</v>
      </c>
      <c r="H5919" s="80" t="s">
        <v>16503</v>
      </c>
      <c r="I5919" s="17">
        <f ca="1">IFERROR(__xludf.DUMMYFUNCTION("""COMPUTED_VALUE"""),45709)</f>
        <v>45709</v>
      </c>
      <c r="J5919" s="29" t="s">
        <v>10412</v>
      </c>
      <c r="K5919" s="26" t="s">
        <v>10413</v>
      </c>
      <c r="L5919" s="47">
        <v>396489748</v>
      </c>
      <c r="M5919" s="26" t="s">
        <v>5429</v>
      </c>
      <c r="N5919" s="26" t="s">
        <v>9180</v>
      </c>
      <c r="O5919" s="26" t="s">
        <v>10414</v>
      </c>
      <c r="P5919" s="26" t="s">
        <v>10415</v>
      </c>
      <c r="Q5919" s="20">
        <v>15936</v>
      </c>
      <c r="R5919" s="26" t="s">
        <v>36</v>
      </c>
      <c r="S5919" s="95">
        <f>200+1800</f>
        <v>2000</v>
      </c>
      <c r="T5919" s="83" t="s">
        <v>10416</v>
      </c>
      <c r="U5919" s="95">
        <v>13936</v>
      </c>
      <c r="V5919" s="148">
        <v>45518</v>
      </c>
      <c r="W5919" s="33" t="s">
        <v>10417</v>
      </c>
      <c r="X5919" s="26">
        <v>0</v>
      </c>
      <c r="Y5919" s="22">
        <v>0</v>
      </c>
      <c r="Z5919" s="26" t="s">
        <v>50</v>
      </c>
      <c r="AA5919" s="96" t="s">
        <v>10314</v>
      </c>
      <c r="AB5919" s="26"/>
      <c r="AC5919" s="26" t="s">
        <v>53</v>
      </c>
      <c r="AD5919" s="26" t="s">
        <v>54</v>
      </c>
      <c r="AE5919" s="80" t="s">
        <v>9897</v>
      </c>
      <c r="AF5919" s="17">
        <v>45706</v>
      </c>
      <c r="AG5919" s="26"/>
      <c r="AH5919" s="26"/>
      <c r="AI5919" s="40"/>
      <c r="AJ5919" s="26"/>
      <c r="AK5919" s="26"/>
      <c r="AL5919" s="35"/>
      <c r="AM5919" s="35"/>
      <c r="AN5919" s="35"/>
      <c r="AO5919" s="35"/>
      <c r="AP5919" s="35"/>
    </row>
    <row r="5920" spans="1:42" x14ac:dyDescent="0.2">
      <c r="A5920" s="38">
        <v>45700</v>
      </c>
      <c r="B5920" s="28" t="s">
        <v>37</v>
      </c>
      <c r="C5920" s="41" t="s">
        <v>118</v>
      </c>
      <c r="D5920" s="80" t="s">
        <v>36</v>
      </c>
      <c r="E5920" s="80" t="s">
        <v>119</v>
      </c>
      <c r="F5920" s="80" t="s">
        <v>9897</v>
      </c>
      <c r="G5920" s="80" t="s">
        <v>221</v>
      </c>
      <c r="H5920" s="80" t="s">
        <v>16503</v>
      </c>
      <c r="I5920" s="17">
        <f ca="1">IFERROR(__xludf.DUMMYFUNCTION("""COMPUTED_VALUE"""),45709)</f>
        <v>45709</v>
      </c>
      <c r="J5920" s="143" t="s">
        <v>15625</v>
      </c>
      <c r="K5920" s="80" t="s">
        <v>15626</v>
      </c>
      <c r="L5920" s="30">
        <v>869961376</v>
      </c>
      <c r="M5920" s="80" t="s">
        <v>12529</v>
      </c>
      <c r="N5920" s="80" t="s">
        <v>13566</v>
      </c>
      <c r="O5920" s="162" t="s">
        <v>15627</v>
      </c>
      <c r="P5920" s="144" t="s">
        <v>19557</v>
      </c>
      <c r="Q5920" s="20">
        <v>13968</v>
      </c>
      <c r="R5920" s="80" t="s">
        <v>70</v>
      </c>
      <c r="S5920" s="95">
        <f>200+3800</f>
        <v>4000</v>
      </c>
      <c r="T5920" s="83" t="s">
        <v>15517</v>
      </c>
      <c r="U5920" s="95">
        <v>9968</v>
      </c>
      <c r="V5920" s="148">
        <v>45593</v>
      </c>
      <c r="W5920" s="85" t="s">
        <v>15629</v>
      </c>
      <c r="X5920" s="80"/>
      <c r="Y5920" s="22">
        <v>0</v>
      </c>
      <c r="Z5920" s="80" t="s">
        <v>50</v>
      </c>
      <c r="AA5920" s="35" t="s">
        <v>9905</v>
      </c>
      <c r="AB5920" s="80"/>
      <c r="AC5920" s="26" t="s">
        <v>53</v>
      </c>
      <c r="AD5920" s="80" t="s">
        <v>54</v>
      </c>
      <c r="AE5920" s="80" t="s">
        <v>9897</v>
      </c>
      <c r="AF5920" s="17">
        <v>45706</v>
      </c>
      <c r="AG5920" s="80"/>
      <c r="AH5920" s="80"/>
      <c r="AI5920" s="147"/>
      <c r="AJ5920" s="80"/>
      <c r="AK5920" s="80"/>
      <c r="AL5920" s="35"/>
      <c r="AM5920" s="35"/>
      <c r="AN5920" s="35"/>
      <c r="AO5920" s="35"/>
      <c r="AP5920" s="35"/>
    </row>
    <row r="5921" spans="1:42" x14ac:dyDescent="0.2">
      <c r="A5921" s="38">
        <v>45700</v>
      </c>
      <c r="B5921" s="137" t="s">
        <v>37</v>
      </c>
      <c r="C5921" s="41" t="s">
        <v>118</v>
      </c>
      <c r="D5921" s="26" t="s">
        <v>36</v>
      </c>
      <c r="E5921" s="26" t="s">
        <v>56</v>
      </c>
      <c r="F5921" s="80" t="s">
        <v>9897</v>
      </c>
      <c r="G5921" s="80" t="s">
        <v>221</v>
      </c>
      <c r="H5921" s="80" t="s">
        <v>16503</v>
      </c>
      <c r="I5921" s="17">
        <f ca="1">IFERROR(__xludf.DUMMYFUNCTION("""COMPUTED_VALUE"""),45709)</f>
        <v>45709</v>
      </c>
      <c r="J5921" s="55" t="s">
        <v>8480</v>
      </c>
      <c r="K5921" s="26" t="s">
        <v>8932</v>
      </c>
      <c r="L5921" s="30">
        <v>869846310</v>
      </c>
      <c r="M5921" s="26" t="s">
        <v>548</v>
      </c>
      <c r="N5921" s="26" t="s">
        <v>621</v>
      </c>
      <c r="O5921" s="26" t="s">
        <v>8482</v>
      </c>
      <c r="P5921" s="42" t="s">
        <v>8483</v>
      </c>
      <c r="Q5921" s="20">
        <v>9317</v>
      </c>
      <c r="R5921" s="26" t="s">
        <v>36</v>
      </c>
      <c r="S5921" s="31">
        <v>9317</v>
      </c>
      <c r="T5921" s="32">
        <v>45431</v>
      </c>
      <c r="U5921" s="31"/>
      <c r="V5921" s="32"/>
      <c r="W5921" s="33" t="s">
        <v>8484</v>
      </c>
      <c r="X5921" s="26"/>
      <c r="Y5921" s="22">
        <v>0</v>
      </c>
      <c r="Z5921" s="26" t="s">
        <v>118</v>
      </c>
      <c r="AA5921" s="19" t="s">
        <v>8410</v>
      </c>
      <c r="AB5921" s="26" t="s">
        <v>36</v>
      </c>
      <c r="AC5921" s="26" t="s">
        <v>53</v>
      </c>
      <c r="AD5921" s="19" t="s">
        <v>54</v>
      </c>
      <c r="AE5921" s="80" t="s">
        <v>9897</v>
      </c>
      <c r="AF5921" s="17">
        <v>45706</v>
      </c>
      <c r="AG5921" s="29"/>
      <c r="AH5921" s="26"/>
      <c r="AI5921" s="40"/>
      <c r="AJ5921" s="26"/>
      <c r="AK5921" s="26"/>
      <c r="AL5921" s="35"/>
      <c r="AM5921" s="35"/>
      <c r="AN5921" s="35"/>
      <c r="AO5921" s="35"/>
      <c r="AP5921" s="35"/>
    </row>
    <row r="5922" spans="1:42" x14ac:dyDescent="0.2">
      <c r="A5922" s="38">
        <v>45700</v>
      </c>
      <c r="B5922" s="28" t="s">
        <v>37</v>
      </c>
      <c r="C5922" s="41" t="s">
        <v>118</v>
      </c>
      <c r="D5922" s="26" t="s">
        <v>36</v>
      </c>
      <c r="E5922" s="26" t="s">
        <v>139</v>
      </c>
      <c r="F5922" s="26" t="s">
        <v>9906</v>
      </c>
      <c r="G5922" s="80" t="s">
        <v>221</v>
      </c>
      <c r="H5922" s="80" t="s">
        <v>16503</v>
      </c>
      <c r="I5922" s="17">
        <f ca="1">IFERROR(__xludf.DUMMYFUNCTION("""COMPUTED_VALUE"""),45709)</f>
        <v>45709</v>
      </c>
      <c r="J5922" s="29" t="s">
        <v>10042</v>
      </c>
      <c r="K5922" s="26" t="s">
        <v>291</v>
      </c>
      <c r="L5922" s="47">
        <v>362175505</v>
      </c>
      <c r="M5922" s="26" t="s">
        <v>2755</v>
      </c>
      <c r="N5922" s="26" t="s">
        <v>4402</v>
      </c>
      <c r="O5922" s="26" t="s">
        <v>4503</v>
      </c>
      <c r="P5922" s="42" t="s">
        <v>10044</v>
      </c>
      <c r="Q5922" s="20">
        <v>15936</v>
      </c>
      <c r="R5922" s="26" t="s">
        <v>36</v>
      </c>
      <c r="S5922" s="95">
        <f>200+1768</f>
        <v>1968</v>
      </c>
      <c r="T5922" s="83" t="s">
        <v>10045</v>
      </c>
      <c r="U5922" s="95">
        <v>13968</v>
      </c>
      <c r="V5922" s="148">
        <v>45515</v>
      </c>
      <c r="W5922" s="33" t="s">
        <v>10046</v>
      </c>
      <c r="X5922" s="26">
        <v>0</v>
      </c>
      <c r="Y5922" s="22">
        <v>0</v>
      </c>
      <c r="Z5922" s="26" t="s">
        <v>118</v>
      </c>
      <c r="AA5922" s="35"/>
      <c r="AB5922" s="26"/>
      <c r="AC5922" s="26" t="s">
        <v>53</v>
      </c>
      <c r="AD5922" s="26" t="s">
        <v>54</v>
      </c>
      <c r="AE5922" s="26" t="s">
        <v>9906</v>
      </c>
      <c r="AF5922" s="17">
        <v>45706</v>
      </c>
      <c r="AG5922" s="26"/>
      <c r="AH5922" s="26"/>
      <c r="AI5922" s="40"/>
      <c r="AJ5922" s="26"/>
      <c r="AK5922" s="26"/>
      <c r="AL5922" s="35"/>
      <c r="AM5922" s="35"/>
      <c r="AN5922" s="35"/>
      <c r="AO5922" s="35"/>
      <c r="AP5922" s="35"/>
    </row>
    <row r="5923" spans="1:42" x14ac:dyDescent="0.2">
      <c r="A5923" s="38">
        <v>45700</v>
      </c>
      <c r="B5923" s="137" t="s">
        <v>37</v>
      </c>
      <c r="C5923" s="41" t="s">
        <v>118</v>
      </c>
      <c r="D5923" s="26" t="s">
        <v>36</v>
      </c>
      <c r="E5923" s="26" t="s">
        <v>139</v>
      </c>
      <c r="F5923" s="26" t="s">
        <v>13126</v>
      </c>
      <c r="G5923" s="80" t="s">
        <v>221</v>
      </c>
      <c r="H5923" s="80" t="s">
        <v>16503</v>
      </c>
      <c r="I5923" s="17">
        <f ca="1">IFERROR(__xludf.DUMMYFUNCTION("""COMPUTED_VALUE"""),45709)</f>
        <v>45709</v>
      </c>
      <c r="J5923" s="29" t="s">
        <v>10478</v>
      </c>
      <c r="K5923" s="26" t="s">
        <v>10479</v>
      </c>
      <c r="L5923" s="30">
        <v>366528455</v>
      </c>
      <c r="M5923" s="26" t="s">
        <v>3728</v>
      </c>
      <c r="N5923" s="26" t="s">
        <v>8725</v>
      </c>
      <c r="O5923" s="26" t="s">
        <v>10480</v>
      </c>
      <c r="P5923" s="42" t="s">
        <v>19558</v>
      </c>
      <c r="Q5923" s="20">
        <v>15936</v>
      </c>
      <c r="R5923" s="26" t="s">
        <v>36</v>
      </c>
      <c r="S5923" s="95">
        <v>2000</v>
      </c>
      <c r="T5923" s="148">
        <v>45476</v>
      </c>
      <c r="U5923" s="95">
        <v>13936</v>
      </c>
      <c r="V5923" s="148">
        <v>45510</v>
      </c>
      <c r="W5923" s="33" t="s">
        <v>10482</v>
      </c>
      <c r="X5923" s="26">
        <v>0</v>
      </c>
      <c r="Y5923" s="22">
        <v>0</v>
      </c>
      <c r="Z5923" s="26" t="s">
        <v>50</v>
      </c>
      <c r="AA5923" s="96" t="s">
        <v>10314</v>
      </c>
      <c r="AB5923" s="26"/>
      <c r="AC5923" s="26" t="s">
        <v>53</v>
      </c>
      <c r="AD5923" s="26" t="s">
        <v>54</v>
      </c>
      <c r="AE5923" s="26" t="s">
        <v>13126</v>
      </c>
      <c r="AF5923" s="17">
        <v>45706</v>
      </c>
      <c r="AG5923" s="26"/>
      <c r="AH5923" s="26"/>
      <c r="AI5923" s="40"/>
      <c r="AJ5923" s="26"/>
      <c r="AK5923" s="26"/>
      <c r="AL5923" s="35"/>
      <c r="AM5923" s="35"/>
      <c r="AN5923" s="35"/>
      <c r="AO5923" s="35"/>
      <c r="AP5923" s="35"/>
    </row>
    <row r="5924" spans="1:42" x14ac:dyDescent="0.2">
      <c r="A5924" s="38">
        <v>45700</v>
      </c>
      <c r="B5924" s="137" t="s">
        <v>37</v>
      </c>
      <c r="C5924" s="41" t="s">
        <v>118</v>
      </c>
      <c r="D5924" s="26" t="s">
        <v>36</v>
      </c>
      <c r="E5924" s="26" t="s">
        <v>139</v>
      </c>
      <c r="F5924" s="26" t="s">
        <v>8063</v>
      </c>
      <c r="G5924" s="26" t="s">
        <v>1705</v>
      </c>
      <c r="H5924" s="80" t="s">
        <v>8998</v>
      </c>
      <c r="I5924" s="17">
        <f ca="1">IFERROR(__xludf.DUMMYFUNCTION("""COMPUTED_VALUE"""),45714)</f>
        <v>45714</v>
      </c>
      <c r="J5924" s="29" t="s">
        <v>6709</v>
      </c>
      <c r="K5924" s="26" t="s">
        <v>6710</v>
      </c>
      <c r="L5924" s="30">
        <v>339602132</v>
      </c>
      <c r="M5924" s="26" t="s">
        <v>5429</v>
      </c>
      <c r="N5924" s="26" t="s">
        <v>3065</v>
      </c>
      <c r="O5924" s="26" t="s">
        <v>6711</v>
      </c>
      <c r="P5924" s="42" t="s">
        <v>13809</v>
      </c>
      <c r="Q5924" s="20">
        <v>15936</v>
      </c>
      <c r="R5924" s="26" t="s">
        <v>70</v>
      </c>
      <c r="S5924" s="31">
        <v>15836</v>
      </c>
      <c r="T5924" s="32">
        <v>45293</v>
      </c>
      <c r="U5924" s="31"/>
      <c r="V5924" s="32"/>
      <c r="W5924" s="33" t="s">
        <v>6712</v>
      </c>
      <c r="X5924" s="26">
        <v>100</v>
      </c>
      <c r="Y5924" s="22">
        <v>0</v>
      </c>
      <c r="Z5924" s="98" t="s">
        <v>118</v>
      </c>
      <c r="AA5924" s="19" t="s">
        <v>6079</v>
      </c>
      <c r="AB5924" s="26"/>
      <c r="AC5924" s="26" t="s">
        <v>53</v>
      </c>
      <c r="AD5924" s="19" t="s">
        <v>138</v>
      </c>
      <c r="AE5924" s="26" t="s">
        <v>8063</v>
      </c>
      <c r="AF5924" s="17">
        <v>45714</v>
      </c>
      <c r="AG5924" s="26"/>
      <c r="AH5924" s="26"/>
      <c r="AI5924" s="40" t="s">
        <v>147</v>
      </c>
      <c r="AJ5924" s="26"/>
      <c r="AK5924" s="26"/>
      <c r="AL5924" s="35"/>
      <c r="AM5924" s="35"/>
      <c r="AN5924" s="35"/>
      <c r="AO5924" s="35"/>
      <c r="AP5924" s="35"/>
    </row>
    <row r="5925" spans="1:42" x14ac:dyDescent="0.2">
      <c r="A5925" s="38">
        <v>45700</v>
      </c>
      <c r="B5925" s="137" t="s">
        <v>37</v>
      </c>
      <c r="C5925" s="41" t="s">
        <v>118</v>
      </c>
      <c r="D5925" s="26" t="s">
        <v>36</v>
      </c>
      <c r="E5925" s="26" t="s">
        <v>139</v>
      </c>
      <c r="F5925" s="26" t="s">
        <v>8063</v>
      </c>
      <c r="G5925" s="26" t="s">
        <v>1705</v>
      </c>
      <c r="H5925" s="80" t="s">
        <v>8998</v>
      </c>
      <c r="I5925" s="17">
        <f ca="1">IFERROR(__xludf.DUMMYFUNCTION("""COMPUTED_VALUE"""),45714)</f>
        <v>45714</v>
      </c>
      <c r="J5925" s="29" t="s">
        <v>6713</v>
      </c>
      <c r="K5925" s="26" t="s">
        <v>13810</v>
      </c>
      <c r="L5925" s="30">
        <v>388006938</v>
      </c>
      <c r="M5925" s="26" t="s">
        <v>5429</v>
      </c>
      <c r="N5925" s="26" t="s">
        <v>3065</v>
      </c>
      <c r="O5925" s="26" t="s">
        <v>6715</v>
      </c>
      <c r="P5925" s="42" t="s">
        <v>13811</v>
      </c>
      <c r="Q5925" s="20">
        <v>15936</v>
      </c>
      <c r="R5925" s="26" t="s">
        <v>70</v>
      </c>
      <c r="S5925" s="31">
        <v>15836</v>
      </c>
      <c r="T5925" s="32">
        <v>45293</v>
      </c>
      <c r="U5925" s="31"/>
      <c r="V5925" s="32"/>
      <c r="W5925" s="33" t="s">
        <v>6716</v>
      </c>
      <c r="X5925" s="26">
        <v>100</v>
      </c>
      <c r="Y5925" s="22">
        <v>0</v>
      </c>
      <c r="Z5925" s="98" t="s">
        <v>118</v>
      </c>
      <c r="AA5925" s="19" t="s">
        <v>6079</v>
      </c>
      <c r="AB5925" s="26"/>
      <c r="AC5925" s="26" t="s">
        <v>53</v>
      </c>
      <c r="AD5925" s="19" t="s">
        <v>138</v>
      </c>
      <c r="AE5925" s="26" t="s">
        <v>8063</v>
      </c>
      <c r="AF5925" s="17">
        <v>45714</v>
      </c>
      <c r="AG5925" s="26"/>
      <c r="AH5925" s="26"/>
      <c r="AI5925" s="40" t="s">
        <v>147</v>
      </c>
      <c r="AJ5925" s="26"/>
      <c r="AK5925" s="26"/>
      <c r="AL5925" s="35"/>
      <c r="AM5925" s="35"/>
      <c r="AN5925" s="35"/>
      <c r="AO5925" s="35"/>
      <c r="AP5925" s="35"/>
    </row>
    <row r="5926" spans="1:42" x14ac:dyDescent="0.2">
      <c r="A5926" s="38">
        <v>45700</v>
      </c>
      <c r="B5926" s="28" t="s">
        <v>37</v>
      </c>
      <c r="C5926" s="41" t="s">
        <v>118</v>
      </c>
      <c r="D5926" s="80" t="s">
        <v>36</v>
      </c>
      <c r="E5926" s="80" t="s">
        <v>139</v>
      </c>
      <c r="F5926" s="80" t="s">
        <v>11777</v>
      </c>
      <c r="G5926" s="26" t="s">
        <v>108</v>
      </c>
      <c r="H5926" s="80" t="s">
        <v>7486</v>
      </c>
      <c r="I5926" s="17">
        <f ca="1">IFERROR(__xludf.DUMMYFUNCTION("""COMPUTED_VALUE"""),45800)</f>
        <v>45800</v>
      </c>
      <c r="J5926" s="143" t="s">
        <v>12314</v>
      </c>
      <c r="K5926" s="80" t="s">
        <v>19559</v>
      </c>
      <c r="L5926" s="30">
        <v>934306228</v>
      </c>
      <c r="M5926" s="80" t="s">
        <v>123</v>
      </c>
      <c r="N5926" s="80" t="s">
        <v>327</v>
      </c>
      <c r="O5926" s="80" t="s">
        <v>4503</v>
      </c>
      <c r="P5926" s="144" t="s">
        <v>19560</v>
      </c>
      <c r="Q5926" s="20">
        <v>15936</v>
      </c>
      <c r="R5926" s="80" t="s">
        <v>36</v>
      </c>
      <c r="S5926" s="178">
        <v>2000</v>
      </c>
      <c r="T5926" s="148">
        <v>45523</v>
      </c>
      <c r="U5926" s="178">
        <v>13936</v>
      </c>
      <c r="V5926" s="169">
        <v>45562</v>
      </c>
      <c r="W5926" s="85" t="s">
        <v>12317</v>
      </c>
      <c r="X5926" s="80">
        <v>0</v>
      </c>
      <c r="Y5926" s="22">
        <v>0</v>
      </c>
      <c r="Z5926" s="80" t="s">
        <v>50</v>
      </c>
      <c r="AA5926" s="86"/>
      <c r="AB5926" s="80"/>
      <c r="AC5926" s="80" t="s">
        <v>53</v>
      </c>
      <c r="AD5926" s="80" t="s">
        <v>54</v>
      </c>
      <c r="AE5926" s="80" t="s">
        <v>11777</v>
      </c>
      <c r="AF5926" s="43">
        <v>45713</v>
      </c>
      <c r="AG5926" s="60" t="s">
        <v>13737</v>
      </c>
      <c r="AH5926" s="80"/>
      <c r="AI5926" s="147" t="s">
        <v>147</v>
      </c>
      <c r="AJ5926" s="80"/>
      <c r="AK5926" s="80"/>
      <c r="AL5926" s="35"/>
      <c r="AM5926" s="35"/>
      <c r="AN5926" s="35"/>
      <c r="AO5926" s="35"/>
      <c r="AP5926" s="35"/>
    </row>
    <row r="5927" spans="1:42" x14ac:dyDescent="0.2">
      <c r="A5927" s="38">
        <v>45701</v>
      </c>
      <c r="B5927" s="137" t="s">
        <v>37</v>
      </c>
      <c r="C5927" s="41" t="s">
        <v>118</v>
      </c>
      <c r="D5927" s="80" t="s">
        <v>36</v>
      </c>
      <c r="E5927" s="80" t="s">
        <v>139</v>
      </c>
      <c r="F5927" s="80" t="s">
        <v>13535</v>
      </c>
      <c r="G5927" s="80" t="s">
        <v>108</v>
      </c>
      <c r="H5927" s="80" t="s">
        <v>16968</v>
      </c>
      <c r="I5927" s="17">
        <f ca="1">IFERROR(__xludf.DUMMYFUNCTION("""COMPUTED_VALUE"""),45763)</f>
        <v>45763</v>
      </c>
      <c r="J5927" s="143" t="s">
        <v>15876</v>
      </c>
      <c r="K5927" s="80" t="s">
        <v>19561</v>
      </c>
      <c r="L5927" s="30">
        <v>966091928</v>
      </c>
      <c r="M5927" s="80" t="s">
        <v>59</v>
      </c>
      <c r="N5927" s="80" t="s">
        <v>68</v>
      </c>
      <c r="O5927" s="80" t="s">
        <v>15878</v>
      </c>
      <c r="P5927" s="80" t="s">
        <v>12692</v>
      </c>
      <c r="Q5927" s="20">
        <v>15936</v>
      </c>
      <c r="R5927" s="80" t="s">
        <v>36</v>
      </c>
      <c r="S5927" s="95">
        <f t="shared" ref="S5927:S5928" si="168">200+1800</f>
        <v>2000</v>
      </c>
      <c r="T5927" s="83" t="s">
        <v>12500</v>
      </c>
      <c r="U5927" s="95">
        <v>14136</v>
      </c>
      <c r="V5927" s="148">
        <v>45596</v>
      </c>
      <c r="W5927" s="85" t="s">
        <v>15879</v>
      </c>
      <c r="X5927" s="80"/>
      <c r="Y5927" s="22">
        <v>-200</v>
      </c>
      <c r="Z5927" s="80" t="s">
        <v>50</v>
      </c>
      <c r="AA5927" s="96" t="s">
        <v>9905</v>
      </c>
      <c r="AB5927" s="80"/>
      <c r="AC5927" s="80" t="s">
        <v>53</v>
      </c>
      <c r="AD5927" s="80" t="s">
        <v>138</v>
      </c>
      <c r="AE5927" s="80" t="s">
        <v>13535</v>
      </c>
      <c r="AF5927" s="17">
        <v>45763</v>
      </c>
      <c r="AG5927" s="80"/>
      <c r="AH5927" s="80"/>
      <c r="AI5927" s="147"/>
      <c r="AJ5927" s="80"/>
      <c r="AK5927" s="80"/>
      <c r="AL5927" s="35"/>
      <c r="AM5927" s="35"/>
      <c r="AN5927" s="35"/>
      <c r="AO5927" s="35"/>
      <c r="AP5927" s="35"/>
    </row>
    <row r="5928" spans="1:42" x14ac:dyDescent="0.2">
      <c r="A5928" s="38">
        <v>45701</v>
      </c>
      <c r="B5928" s="137" t="s">
        <v>37</v>
      </c>
      <c r="C5928" s="41" t="s">
        <v>118</v>
      </c>
      <c r="D5928" s="80" t="s">
        <v>36</v>
      </c>
      <c r="E5928" s="80" t="s">
        <v>139</v>
      </c>
      <c r="F5928" s="80" t="s">
        <v>11640</v>
      </c>
      <c r="G5928" s="80" t="s">
        <v>108</v>
      </c>
      <c r="H5928" s="80" t="s">
        <v>16968</v>
      </c>
      <c r="I5928" s="17">
        <f ca="1">IFERROR(__xludf.DUMMYFUNCTION("""COMPUTED_VALUE"""),45763)</f>
        <v>45763</v>
      </c>
      <c r="J5928" s="143" t="s">
        <v>17345</v>
      </c>
      <c r="K5928" s="80" t="s">
        <v>19562</v>
      </c>
      <c r="L5928" s="30">
        <v>329235705</v>
      </c>
      <c r="M5928" s="80" t="s">
        <v>59</v>
      </c>
      <c r="N5928" s="80" t="s">
        <v>4299</v>
      </c>
      <c r="O5928" s="80" t="s">
        <v>17347</v>
      </c>
      <c r="P5928" s="80" t="s">
        <v>12692</v>
      </c>
      <c r="Q5928" s="20">
        <v>15936</v>
      </c>
      <c r="R5928" s="80" t="s">
        <v>1106</v>
      </c>
      <c r="S5928" s="95">
        <f t="shared" si="168"/>
        <v>2000</v>
      </c>
      <c r="T5928" s="83" t="s">
        <v>12500</v>
      </c>
      <c r="U5928" s="95">
        <v>13786</v>
      </c>
      <c r="V5928" s="148">
        <v>45619</v>
      </c>
      <c r="W5928" s="85" t="s">
        <v>17348</v>
      </c>
      <c r="X5928" s="80"/>
      <c r="Y5928" s="22">
        <v>150</v>
      </c>
      <c r="Z5928" s="80" t="s">
        <v>50</v>
      </c>
      <c r="AA5928" s="86" t="s">
        <v>14723</v>
      </c>
      <c r="AB5928" s="80"/>
      <c r="AC5928" s="80" t="s">
        <v>53</v>
      </c>
      <c r="AD5928" s="80" t="s">
        <v>54</v>
      </c>
      <c r="AE5928" s="80" t="s">
        <v>11640</v>
      </c>
      <c r="AF5928" s="17">
        <v>45763</v>
      </c>
      <c r="AG5928" s="80"/>
      <c r="AH5928" s="80"/>
      <c r="AI5928" s="147"/>
      <c r="AJ5928" s="80"/>
      <c r="AK5928" s="80"/>
      <c r="AL5928" s="35"/>
      <c r="AM5928" s="35"/>
      <c r="AN5928" s="35"/>
      <c r="AO5928" s="35"/>
      <c r="AP5928" s="35"/>
    </row>
    <row r="5929" spans="1:42" x14ac:dyDescent="0.2">
      <c r="A5929" s="38">
        <v>45701</v>
      </c>
      <c r="B5929" s="137" t="s">
        <v>37</v>
      </c>
      <c r="C5929" s="41" t="s">
        <v>118</v>
      </c>
      <c r="D5929" s="80" t="s">
        <v>36</v>
      </c>
      <c r="E5929" s="80" t="s">
        <v>139</v>
      </c>
      <c r="F5929" s="80" t="s">
        <v>12766</v>
      </c>
      <c r="G5929" s="26" t="s">
        <v>108</v>
      </c>
      <c r="H5929" s="80" t="s">
        <v>19294</v>
      </c>
      <c r="I5929" s="17">
        <f ca="1">IFERROR(__xludf.DUMMYFUNCTION("""COMPUTED_VALUE"""),45709)</f>
        <v>45709</v>
      </c>
      <c r="J5929" s="143" t="s">
        <v>12922</v>
      </c>
      <c r="K5929" s="145" t="s">
        <v>19563</v>
      </c>
      <c r="L5929" s="30">
        <v>396822813</v>
      </c>
      <c r="M5929" s="80" t="s">
        <v>3728</v>
      </c>
      <c r="N5929" s="80" t="s">
        <v>5312</v>
      </c>
      <c r="O5929" s="80" t="s">
        <v>12924</v>
      </c>
      <c r="P5929" s="80" t="s">
        <v>11644</v>
      </c>
      <c r="Q5929" s="20">
        <v>15936</v>
      </c>
      <c r="R5929" s="80" t="s">
        <v>36</v>
      </c>
      <c r="S5929" s="95">
        <v>2000</v>
      </c>
      <c r="T5929" s="148">
        <v>45544</v>
      </c>
      <c r="U5929" s="178">
        <v>13936</v>
      </c>
      <c r="V5929" s="169">
        <v>45564</v>
      </c>
      <c r="W5929" s="85" t="s">
        <v>12925</v>
      </c>
      <c r="X5929" s="80">
        <v>0</v>
      </c>
      <c r="Y5929" s="22">
        <v>0</v>
      </c>
      <c r="Z5929" s="80" t="s">
        <v>50</v>
      </c>
      <c r="AA5929" s="96" t="s">
        <v>3291</v>
      </c>
      <c r="AB5929" s="80"/>
      <c r="AC5929" s="80" t="s">
        <v>53</v>
      </c>
      <c r="AD5929" s="80" t="s">
        <v>138</v>
      </c>
      <c r="AE5929" s="80" t="s">
        <v>12766</v>
      </c>
      <c r="AF5929" s="17">
        <v>45709</v>
      </c>
      <c r="AG5929" s="80"/>
      <c r="AH5929" s="80"/>
      <c r="AI5929" s="147" t="s">
        <v>147</v>
      </c>
      <c r="AJ5929" s="80"/>
      <c r="AK5929" s="80"/>
      <c r="AL5929" s="35"/>
      <c r="AM5929" s="35"/>
      <c r="AN5929" s="35"/>
      <c r="AO5929" s="35"/>
      <c r="AP5929" s="35"/>
    </row>
    <row r="5930" spans="1:42" x14ac:dyDescent="0.2">
      <c r="A5930" s="38">
        <v>45701</v>
      </c>
      <c r="B5930" s="137" t="s">
        <v>37</v>
      </c>
      <c r="C5930" s="41" t="s">
        <v>118</v>
      </c>
      <c r="D5930" s="80" t="s">
        <v>36</v>
      </c>
      <c r="E5930" s="80" t="s">
        <v>139</v>
      </c>
      <c r="F5930" s="80" t="s">
        <v>6523</v>
      </c>
      <c r="G5930" s="26" t="s">
        <v>108</v>
      </c>
      <c r="H5930" s="80" t="s">
        <v>18679</v>
      </c>
      <c r="I5930" s="17">
        <f ca="1">IFERROR(__xludf.DUMMYFUNCTION("""COMPUTED_VALUE"""),45709)</f>
        <v>45709</v>
      </c>
      <c r="J5930" s="143" t="s">
        <v>18085</v>
      </c>
      <c r="K5930" s="80" t="s">
        <v>19564</v>
      </c>
      <c r="L5930" s="30">
        <v>826942006</v>
      </c>
      <c r="M5930" s="80" t="s">
        <v>5558</v>
      </c>
      <c r="N5930" s="80" t="s">
        <v>5277</v>
      </c>
      <c r="O5930" s="80" t="s">
        <v>4503</v>
      </c>
      <c r="P5930" s="144" t="s">
        <v>18087</v>
      </c>
      <c r="Q5930" s="20">
        <v>15936</v>
      </c>
      <c r="R5930" s="80" t="s">
        <v>36</v>
      </c>
      <c r="S5930" s="95">
        <f>200+2000</f>
        <v>2200</v>
      </c>
      <c r="T5930" s="83" t="s">
        <v>18088</v>
      </c>
      <c r="U5930" s="95">
        <v>13736</v>
      </c>
      <c r="V5930" s="148">
        <v>45620</v>
      </c>
      <c r="W5930" s="85" t="s">
        <v>18089</v>
      </c>
      <c r="X5930" s="80"/>
      <c r="Y5930" s="22">
        <v>0</v>
      </c>
      <c r="Z5930" s="80" t="s">
        <v>50</v>
      </c>
      <c r="AA5930" s="86" t="s">
        <v>14723</v>
      </c>
      <c r="AB5930" s="80"/>
      <c r="AC5930" s="80" t="s">
        <v>53</v>
      </c>
      <c r="AD5930" s="80" t="s">
        <v>138</v>
      </c>
      <c r="AE5930" s="80" t="s">
        <v>6523</v>
      </c>
      <c r="AF5930" s="17">
        <v>45705</v>
      </c>
      <c r="AG5930" s="80"/>
      <c r="AH5930" s="80"/>
      <c r="AI5930" s="147"/>
      <c r="AJ5930" s="80"/>
      <c r="AK5930" s="80"/>
      <c r="AL5930" s="35"/>
      <c r="AM5930" s="35"/>
      <c r="AN5930" s="35"/>
      <c r="AO5930" s="35"/>
      <c r="AP5930" s="35"/>
    </row>
    <row r="5931" spans="1:42" x14ac:dyDescent="0.2">
      <c r="A5931" s="38">
        <v>45701</v>
      </c>
      <c r="B5931" s="137" t="s">
        <v>37</v>
      </c>
      <c r="C5931" s="41" t="s">
        <v>118</v>
      </c>
      <c r="D5931" s="26" t="s">
        <v>36</v>
      </c>
      <c r="E5931" s="26" t="s">
        <v>119</v>
      </c>
      <c r="F5931" s="26" t="s">
        <v>13513</v>
      </c>
      <c r="G5931" s="26" t="s">
        <v>1705</v>
      </c>
      <c r="H5931" s="80" t="s">
        <v>8998</v>
      </c>
      <c r="I5931" s="17">
        <f ca="1">IFERROR(__xludf.DUMMYFUNCTION("""COMPUTED_VALUE"""),45714)</f>
        <v>45714</v>
      </c>
      <c r="J5931" s="29" t="s">
        <v>9157</v>
      </c>
      <c r="K5931" s="26" t="s">
        <v>19565</v>
      </c>
      <c r="L5931" s="30">
        <v>828361067</v>
      </c>
      <c r="M5931" s="26" t="s">
        <v>80</v>
      </c>
      <c r="N5931" s="26" t="s">
        <v>1073</v>
      </c>
      <c r="O5931" s="26" t="s">
        <v>9159</v>
      </c>
      <c r="P5931" s="42" t="s">
        <v>13879</v>
      </c>
      <c r="Q5931" s="20"/>
      <c r="R5931" s="26" t="s">
        <v>36</v>
      </c>
      <c r="S5931" s="95">
        <f>100+3900</f>
        <v>4000</v>
      </c>
      <c r="T5931" s="83" t="s">
        <v>9161</v>
      </c>
      <c r="U5931" s="31">
        <v>9968</v>
      </c>
      <c r="V5931" s="32">
        <v>45495</v>
      </c>
      <c r="W5931" s="33" t="s">
        <v>9162</v>
      </c>
      <c r="X5931" s="26"/>
      <c r="Y5931" s="22"/>
      <c r="Z5931" s="26" t="s">
        <v>50</v>
      </c>
      <c r="AA5931" s="70" t="s">
        <v>9070</v>
      </c>
      <c r="AB5931" s="26"/>
      <c r="AC5931" s="26" t="s">
        <v>53</v>
      </c>
      <c r="AD5931" s="26" t="s">
        <v>54</v>
      </c>
      <c r="AE5931" s="26" t="s">
        <v>13513</v>
      </c>
      <c r="AF5931" s="17">
        <v>45714</v>
      </c>
      <c r="AG5931" s="26"/>
      <c r="AH5931" s="26"/>
      <c r="AI5931" s="40"/>
      <c r="AJ5931" s="26"/>
      <c r="AK5931" s="26"/>
      <c r="AL5931" s="35"/>
      <c r="AM5931" s="35"/>
      <c r="AN5931" s="35"/>
      <c r="AO5931" s="35"/>
      <c r="AP5931" s="35"/>
    </row>
    <row r="5932" spans="1:42" x14ac:dyDescent="0.2">
      <c r="A5932" s="38">
        <v>45702</v>
      </c>
      <c r="B5932" s="137" t="s">
        <v>37</v>
      </c>
      <c r="C5932" s="41" t="s">
        <v>118</v>
      </c>
      <c r="D5932" s="80" t="s">
        <v>36</v>
      </c>
      <c r="E5932" s="80" t="s">
        <v>119</v>
      </c>
      <c r="F5932" s="80" t="s">
        <v>14465</v>
      </c>
      <c r="G5932" s="80" t="s">
        <v>221</v>
      </c>
      <c r="H5932" s="80" t="s">
        <v>16939</v>
      </c>
      <c r="I5932" s="17">
        <f ca="1">IFERROR(__xludf.DUMMYFUNCTION("""COMPUTED_VALUE"""),45769)</f>
        <v>45769</v>
      </c>
      <c r="J5932" s="143" t="s">
        <v>18711</v>
      </c>
      <c r="K5932" s="80" t="s">
        <v>19566</v>
      </c>
      <c r="L5932" s="30">
        <v>836660280</v>
      </c>
      <c r="M5932" s="80" t="s">
        <v>12529</v>
      </c>
      <c r="N5932" s="80" t="s">
        <v>13566</v>
      </c>
      <c r="O5932" s="80" t="s">
        <v>18713</v>
      </c>
      <c r="P5932" s="144" t="s">
        <v>18714</v>
      </c>
      <c r="Q5932" s="20">
        <v>13968</v>
      </c>
      <c r="R5932" s="80" t="s">
        <v>36</v>
      </c>
      <c r="S5932" s="95">
        <f t="shared" ref="S5932:S5933" si="169">200+3800</f>
        <v>4000</v>
      </c>
      <c r="T5932" s="83" t="s">
        <v>18715</v>
      </c>
      <c r="U5932" s="95">
        <v>9968</v>
      </c>
      <c r="V5932" s="148">
        <v>45639</v>
      </c>
      <c r="W5932" s="85" t="s">
        <v>18716</v>
      </c>
      <c r="X5932" s="80"/>
      <c r="Y5932" s="22">
        <v>0</v>
      </c>
      <c r="Z5932" s="80" t="s">
        <v>50</v>
      </c>
      <c r="AA5932" s="35" t="s">
        <v>18579</v>
      </c>
      <c r="AB5932" s="86"/>
      <c r="AC5932" s="80" t="s">
        <v>53</v>
      </c>
      <c r="AD5932" s="80" t="s">
        <v>54</v>
      </c>
      <c r="AE5932" s="80" t="s">
        <v>14465</v>
      </c>
      <c r="AF5932" s="17">
        <v>45702</v>
      </c>
      <c r="AG5932" s="80"/>
      <c r="AH5932" s="80"/>
      <c r="AI5932" s="147"/>
      <c r="AJ5932" s="80"/>
      <c r="AK5932" s="80"/>
      <c r="AL5932" s="35"/>
      <c r="AM5932" s="35"/>
      <c r="AN5932" s="35"/>
      <c r="AO5932" s="35"/>
      <c r="AP5932" s="35"/>
    </row>
    <row r="5933" spans="1:42" x14ac:dyDescent="0.2">
      <c r="A5933" s="38">
        <v>45702</v>
      </c>
      <c r="B5933" s="137" t="s">
        <v>37</v>
      </c>
      <c r="C5933" s="41" t="s">
        <v>118</v>
      </c>
      <c r="D5933" s="80" t="s">
        <v>36</v>
      </c>
      <c r="E5933" s="80" t="s">
        <v>119</v>
      </c>
      <c r="F5933" s="80" t="s">
        <v>10223</v>
      </c>
      <c r="G5933" s="80" t="s">
        <v>221</v>
      </c>
      <c r="H5933" s="80" t="s">
        <v>16503</v>
      </c>
      <c r="I5933" s="17">
        <f ca="1">IFERROR(__xludf.DUMMYFUNCTION("""COMPUTED_VALUE"""),45709)</f>
        <v>45709</v>
      </c>
      <c r="J5933" s="143" t="s">
        <v>17331</v>
      </c>
      <c r="K5933" s="80" t="s">
        <v>19567</v>
      </c>
      <c r="L5933" s="30">
        <v>835738611</v>
      </c>
      <c r="M5933" s="80" t="s">
        <v>12720</v>
      </c>
      <c r="N5933" s="80" t="s">
        <v>1073</v>
      </c>
      <c r="O5933" s="80" t="s">
        <v>17333</v>
      </c>
      <c r="P5933" s="80" t="s">
        <v>19568</v>
      </c>
      <c r="Q5933" s="20">
        <v>13968</v>
      </c>
      <c r="R5933" s="80" t="s">
        <v>36</v>
      </c>
      <c r="S5933" s="95">
        <f t="shared" si="169"/>
        <v>4000</v>
      </c>
      <c r="T5933" s="83" t="s">
        <v>17335</v>
      </c>
      <c r="U5933" s="95">
        <v>9968</v>
      </c>
      <c r="V5933" s="148">
        <v>45601</v>
      </c>
      <c r="W5933" s="85" t="s">
        <v>17336</v>
      </c>
      <c r="X5933" s="80"/>
      <c r="Y5933" s="22">
        <v>0</v>
      </c>
      <c r="Z5933" s="80" t="s">
        <v>50</v>
      </c>
      <c r="AA5933" s="86" t="s">
        <v>14723</v>
      </c>
      <c r="AB5933" s="80"/>
      <c r="AC5933" s="80" t="s">
        <v>53</v>
      </c>
      <c r="AD5933" s="80" t="s">
        <v>138</v>
      </c>
      <c r="AE5933" s="80" t="s">
        <v>10223</v>
      </c>
      <c r="AF5933" s="17">
        <v>45706</v>
      </c>
      <c r="AG5933" s="80"/>
      <c r="AH5933" s="80"/>
      <c r="AI5933" s="147"/>
      <c r="AJ5933" s="80"/>
      <c r="AK5933" s="80"/>
      <c r="AL5933" s="35"/>
      <c r="AM5933" s="35"/>
      <c r="AN5933" s="35"/>
      <c r="AO5933" s="35"/>
      <c r="AP5933" s="35"/>
    </row>
    <row r="5934" spans="1:42" x14ac:dyDescent="0.2">
      <c r="A5934" s="38">
        <v>45702</v>
      </c>
      <c r="B5934" s="137" t="s">
        <v>37</v>
      </c>
      <c r="C5934" s="41" t="s">
        <v>118</v>
      </c>
      <c r="D5934" s="80" t="s">
        <v>36</v>
      </c>
      <c r="E5934" s="80" t="s">
        <v>148</v>
      </c>
      <c r="F5934" s="80" t="s">
        <v>10028</v>
      </c>
      <c r="G5934" s="80" t="s">
        <v>221</v>
      </c>
      <c r="H5934" s="80" t="s">
        <v>19514</v>
      </c>
      <c r="I5934" s="17">
        <f ca="1">IFERROR(__xludf.DUMMYFUNCTION("""COMPUTED_VALUE"""),45709)</f>
        <v>45709</v>
      </c>
      <c r="J5934" s="143" t="s">
        <v>10029</v>
      </c>
      <c r="K5934" s="80" t="s">
        <v>19569</v>
      </c>
      <c r="L5934" s="30">
        <v>985034413</v>
      </c>
      <c r="M5934" s="80" t="s">
        <v>3288</v>
      </c>
      <c r="N5934" s="80" t="s">
        <v>7509</v>
      </c>
      <c r="O5934" s="80" t="s">
        <v>91</v>
      </c>
      <c r="P5934" s="144" t="s">
        <v>19570</v>
      </c>
      <c r="Q5934" s="20">
        <v>10804</v>
      </c>
      <c r="R5934" s="80" t="s">
        <v>36</v>
      </c>
      <c r="S5934" s="77">
        <v>10900</v>
      </c>
      <c r="T5934" s="78">
        <v>44893</v>
      </c>
      <c r="U5934" s="95">
        <v>5879</v>
      </c>
      <c r="V5934" s="148">
        <v>44907</v>
      </c>
      <c r="W5934" s="80" t="s">
        <v>10032</v>
      </c>
      <c r="X5934" s="80"/>
      <c r="Y5934" s="22">
        <v>0</v>
      </c>
      <c r="Z5934" s="41" t="s">
        <v>118</v>
      </c>
      <c r="AA5934" s="86"/>
      <c r="AB5934" s="80" t="s">
        <v>36</v>
      </c>
      <c r="AC5934" s="80" t="s">
        <v>53</v>
      </c>
      <c r="AD5934" s="80" t="s">
        <v>54</v>
      </c>
      <c r="AE5934" s="80" t="s">
        <v>10028</v>
      </c>
      <c r="AF5934" s="17">
        <v>45706</v>
      </c>
      <c r="AG5934" s="80"/>
      <c r="AH5934" s="147"/>
      <c r="AI5934" s="147"/>
      <c r="AJ5934" s="80"/>
      <c r="AK5934" s="80"/>
      <c r="AL5934" s="80"/>
      <c r="AM5934" s="86"/>
      <c r="AN5934" s="86"/>
      <c r="AO5934" s="86"/>
      <c r="AP5934" s="86"/>
    </row>
    <row r="5935" spans="1:42" x14ac:dyDescent="0.2">
      <c r="A5935" s="38">
        <v>45702</v>
      </c>
      <c r="B5935" s="137" t="s">
        <v>37</v>
      </c>
      <c r="C5935" s="41" t="s">
        <v>118</v>
      </c>
      <c r="D5935" s="80" t="s">
        <v>36</v>
      </c>
      <c r="E5935" s="80" t="s">
        <v>915</v>
      </c>
      <c r="F5935" s="80" t="s">
        <v>9941</v>
      </c>
      <c r="G5935" s="26" t="s">
        <v>1705</v>
      </c>
      <c r="H5935" s="80" t="s">
        <v>19571</v>
      </c>
      <c r="I5935" s="17">
        <f ca="1">IFERROR(__xludf.DUMMYFUNCTION("""COMPUTED_VALUE"""),45566)</f>
        <v>45566</v>
      </c>
      <c r="J5935" s="143" t="s">
        <v>12668</v>
      </c>
      <c r="K5935" s="80" t="s">
        <v>12669</v>
      </c>
      <c r="L5935" s="30">
        <v>583117355</v>
      </c>
      <c r="M5935" s="80" t="s">
        <v>9422</v>
      </c>
      <c r="N5935" s="80" t="s">
        <v>12670</v>
      </c>
      <c r="O5935" s="80" t="s">
        <v>12671</v>
      </c>
      <c r="P5935" s="144" t="s">
        <v>12672</v>
      </c>
      <c r="Q5935" s="20">
        <v>10894</v>
      </c>
      <c r="R5935" s="80" t="s">
        <v>36</v>
      </c>
      <c r="S5935" s="95">
        <v>4000</v>
      </c>
      <c r="T5935" s="148">
        <v>45539</v>
      </c>
      <c r="U5935" s="168">
        <v>6894</v>
      </c>
      <c r="V5935" s="187">
        <v>45560</v>
      </c>
      <c r="W5935" s="85" t="s">
        <v>12673</v>
      </c>
      <c r="X5935" s="80">
        <v>0</v>
      </c>
      <c r="Y5935" s="22">
        <v>0</v>
      </c>
      <c r="Z5935" s="80" t="s">
        <v>50</v>
      </c>
      <c r="AA5935" s="96" t="s">
        <v>3291</v>
      </c>
      <c r="AB5935" s="80"/>
      <c r="AC5935" s="80" t="s">
        <v>53</v>
      </c>
      <c r="AD5935" s="80" t="s">
        <v>54</v>
      </c>
      <c r="AE5935" s="80" t="s">
        <v>9941</v>
      </c>
      <c r="AF5935" s="17">
        <v>45707</v>
      </c>
      <c r="AG5935" s="80"/>
      <c r="AH5935" s="80"/>
      <c r="AI5935" s="147">
        <v>3</v>
      </c>
      <c r="AJ5935" s="80"/>
      <c r="AK5935" s="80"/>
      <c r="AL5935" s="35"/>
      <c r="AM5935" s="35"/>
      <c r="AN5935" s="35"/>
      <c r="AO5935" s="35"/>
      <c r="AP5935" s="35"/>
    </row>
    <row r="5936" spans="1:42" x14ac:dyDescent="0.2">
      <c r="A5936" s="38">
        <v>45702</v>
      </c>
      <c r="B5936" s="137" t="s">
        <v>37</v>
      </c>
      <c r="C5936" s="41" t="s">
        <v>118</v>
      </c>
      <c r="D5936" s="80" t="s">
        <v>36</v>
      </c>
      <c r="E5936" s="80" t="s">
        <v>139</v>
      </c>
      <c r="F5936" s="80" t="s">
        <v>8608</v>
      </c>
      <c r="G5936" s="26" t="s">
        <v>1705</v>
      </c>
      <c r="H5936" s="80" t="s">
        <v>19571</v>
      </c>
      <c r="I5936" s="17">
        <f ca="1">IFERROR(__xludf.DUMMYFUNCTION("""COMPUTED_VALUE"""),45566)</f>
        <v>45566</v>
      </c>
      <c r="J5936" s="143" t="s">
        <v>6232</v>
      </c>
      <c r="K5936" s="80" t="s">
        <v>8994</v>
      </c>
      <c r="L5936" s="30">
        <v>962502759</v>
      </c>
      <c r="M5936" s="80" t="s">
        <v>2755</v>
      </c>
      <c r="N5936" s="80" t="s">
        <v>310</v>
      </c>
      <c r="O5936" s="80" t="s">
        <v>6234</v>
      </c>
      <c r="P5936" s="144" t="s">
        <v>19572</v>
      </c>
      <c r="Q5936" s="20">
        <v>15936</v>
      </c>
      <c r="R5936" s="80" t="s">
        <v>36</v>
      </c>
      <c r="S5936" s="77">
        <v>2000</v>
      </c>
      <c r="T5936" s="32">
        <v>45235</v>
      </c>
      <c r="U5936" s="31">
        <v>13936</v>
      </c>
      <c r="V5936" s="78">
        <v>45261</v>
      </c>
      <c r="W5936" s="85" t="s">
        <v>6236</v>
      </c>
      <c r="X5936" s="80"/>
      <c r="Y5936" s="22">
        <v>0</v>
      </c>
      <c r="Z5936" s="41" t="s">
        <v>118</v>
      </c>
      <c r="AA5936" s="145" t="s">
        <v>5961</v>
      </c>
      <c r="AB5936" s="26" t="s">
        <v>36</v>
      </c>
      <c r="AC5936" s="80" t="s">
        <v>53</v>
      </c>
      <c r="AD5936" s="157" t="s">
        <v>54</v>
      </c>
      <c r="AE5936" s="80" t="s">
        <v>8608</v>
      </c>
      <c r="AF5936" s="17">
        <v>45707</v>
      </c>
      <c r="AG5936" s="147"/>
      <c r="AH5936" s="80">
        <v>1</v>
      </c>
      <c r="AI5936" s="147"/>
      <c r="AJ5936" s="80"/>
      <c r="AK5936" s="80"/>
      <c r="AL5936" s="86"/>
      <c r="AM5936" s="86"/>
      <c r="AN5936" s="86"/>
      <c r="AO5936" s="86"/>
      <c r="AP5936" s="35"/>
    </row>
    <row r="5937" spans="1:42" x14ac:dyDescent="0.2">
      <c r="A5937" s="38">
        <v>45702</v>
      </c>
      <c r="B5937" s="137" t="s">
        <v>37</v>
      </c>
      <c r="C5937" s="41" t="s">
        <v>118</v>
      </c>
      <c r="D5937" s="80" t="s">
        <v>36</v>
      </c>
      <c r="E5937" s="80" t="s">
        <v>119</v>
      </c>
      <c r="F5937" s="80" t="s">
        <v>10205</v>
      </c>
      <c r="G5937" s="80" t="s">
        <v>221</v>
      </c>
      <c r="H5937" s="80" t="s">
        <v>19573</v>
      </c>
      <c r="I5937" s="17">
        <f ca="1">IFERROR(__xludf.DUMMYFUNCTION("""COMPUTED_VALUE"""),45736)</f>
        <v>45736</v>
      </c>
      <c r="J5937" s="143" t="s">
        <v>17516</v>
      </c>
      <c r="K5937" s="80" t="s">
        <v>19574</v>
      </c>
      <c r="L5937" s="30">
        <v>943912118</v>
      </c>
      <c r="M5937" s="80" t="s">
        <v>5558</v>
      </c>
      <c r="N5937" s="80" t="s">
        <v>5277</v>
      </c>
      <c r="O5937" s="80" t="s">
        <v>4503</v>
      </c>
      <c r="P5937" s="144" t="s">
        <v>19575</v>
      </c>
      <c r="Q5937" s="20">
        <v>13968</v>
      </c>
      <c r="R5937" s="80" t="s">
        <v>36</v>
      </c>
      <c r="S5937" s="95">
        <f>200+4800</f>
        <v>5000</v>
      </c>
      <c r="T5937" s="83" t="s">
        <v>17519</v>
      </c>
      <c r="U5937" s="95">
        <v>8968</v>
      </c>
      <c r="V5937" s="148">
        <v>45607</v>
      </c>
      <c r="W5937" s="85" t="s">
        <v>17520</v>
      </c>
      <c r="X5937" s="80"/>
      <c r="Y5937" s="22">
        <v>0</v>
      </c>
      <c r="Z5937" s="80" t="s">
        <v>50</v>
      </c>
      <c r="AA5937" s="82" t="s">
        <v>14723</v>
      </c>
      <c r="AB5937" s="80"/>
      <c r="AC5937" s="80" t="s">
        <v>53</v>
      </c>
      <c r="AD5937" s="80" t="s">
        <v>54</v>
      </c>
      <c r="AE5937" s="80" t="s">
        <v>10205</v>
      </c>
      <c r="AF5937" s="17">
        <v>45706</v>
      </c>
      <c r="AG5937" s="80"/>
      <c r="AH5937" s="80"/>
      <c r="AI5937" s="147"/>
      <c r="AJ5937" s="80"/>
      <c r="AK5937" s="80"/>
      <c r="AL5937" s="35"/>
      <c r="AM5937" s="35"/>
      <c r="AN5937" s="35"/>
      <c r="AO5937" s="35"/>
      <c r="AP5937" s="35"/>
    </row>
    <row r="5938" spans="1:42" x14ac:dyDescent="0.2">
      <c r="A5938" s="38">
        <v>45702</v>
      </c>
      <c r="B5938" s="28" t="s">
        <v>37</v>
      </c>
      <c r="C5938" s="41" t="s">
        <v>118</v>
      </c>
      <c r="D5938" s="80" t="s">
        <v>36</v>
      </c>
      <c r="E5938" s="80" t="s">
        <v>119</v>
      </c>
      <c r="F5938" s="80" t="s">
        <v>10223</v>
      </c>
      <c r="G5938" s="80" t="s">
        <v>221</v>
      </c>
      <c r="H5938" s="80" t="s">
        <v>16503</v>
      </c>
      <c r="I5938" s="17">
        <f ca="1">IFERROR(__xludf.DUMMYFUNCTION("""COMPUTED_VALUE"""),45709)</f>
        <v>45709</v>
      </c>
      <c r="J5938" s="143" t="s">
        <v>17133</v>
      </c>
      <c r="K5938" s="80" t="s">
        <v>19576</v>
      </c>
      <c r="L5938" s="30">
        <v>342771189</v>
      </c>
      <c r="M5938" s="80" t="s">
        <v>80</v>
      </c>
      <c r="N5938" s="80" t="s">
        <v>1073</v>
      </c>
      <c r="O5938" s="80" t="s">
        <v>17135</v>
      </c>
      <c r="P5938" s="80" t="s">
        <v>17136</v>
      </c>
      <c r="Q5938" s="20">
        <v>13968</v>
      </c>
      <c r="R5938" s="80" t="s">
        <v>36</v>
      </c>
      <c r="S5938" s="95">
        <f>200+3800</f>
        <v>4000</v>
      </c>
      <c r="T5938" s="83" t="s">
        <v>17137</v>
      </c>
      <c r="U5938" s="77">
        <f>5000+5000</f>
        <v>10000</v>
      </c>
      <c r="V5938" s="80" t="s">
        <v>17138</v>
      </c>
      <c r="W5938" s="85" t="s">
        <v>17139</v>
      </c>
      <c r="X5938" s="80"/>
      <c r="Y5938" s="22">
        <v>-32</v>
      </c>
      <c r="Z5938" s="80" t="s">
        <v>50</v>
      </c>
      <c r="AA5938" s="86" t="s">
        <v>14723</v>
      </c>
      <c r="AB5938" s="80"/>
      <c r="AC5938" s="80" t="s">
        <v>53</v>
      </c>
      <c r="AD5938" s="80" t="s">
        <v>54</v>
      </c>
      <c r="AE5938" s="80" t="s">
        <v>10223</v>
      </c>
      <c r="AF5938" s="17">
        <v>45705</v>
      </c>
      <c r="AG5938" s="80"/>
      <c r="AH5938" s="80"/>
      <c r="AI5938" s="147"/>
      <c r="AJ5938" s="80"/>
      <c r="AK5938" s="80"/>
      <c r="AL5938" s="35"/>
      <c r="AM5938" s="35"/>
      <c r="AN5938" s="35"/>
      <c r="AO5938" s="35"/>
      <c r="AP5938" s="35"/>
    </row>
    <row r="5939" spans="1:42" x14ac:dyDescent="0.2">
      <c r="A5939" s="38">
        <v>45702</v>
      </c>
      <c r="B5939" s="137" t="s">
        <v>37</v>
      </c>
      <c r="C5939" s="41" t="s">
        <v>118</v>
      </c>
      <c r="D5939" s="80" t="s">
        <v>36</v>
      </c>
      <c r="E5939" s="80" t="s">
        <v>39</v>
      </c>
      <c r="F5939" s="80" t="s">
        <v>12324</v>
      </c>
      <c r="G5939" s="80" t="s">
        <v>108</v>
      </c>
      <c r="H5939" s="80" t="s">
        <v>9970</v>
      </c>
      <c r="I5939" s="17">
        <f ca="1">IFERROR(__xludf.DUMMYFUNCTION("""COMPUTED_VALUE"""),45714)</f>
        <v>45714</v>
      </c>
      <c r="J5939" s="143" t="s">
        <v>18785</v>
      </c>
      <c r="K5939" s="80" t="s">
        <v>18786</v>
      </c>
      <c r="L5939" s="30">
        <v>941561395</v>
      </c>
      <c r="M5939" s="80" t="s">
        <v>15996</v>
      </c>
      <c r="N5939" s="80" t="s">
        <v>186</v>
      </c>
      <c r="O5939" s="80" t="s">
        <v>4503</v>
      </c>
      <c r="P5939" s="145" t="s">
        <v>19577</v>
      </c>
      <c r="Q5939" s="20">
        <v>5736</v>
      </c>
      <c r="R5939" s="80" t="s">
        <v>36</v>
      </c>
      <c r="S5939" s="95">
        <f>200+3000+2536</f>
        <v>5736</v>
      </c>
      <c r="T5939" s="83" t="s">
        <v>18787</v>
      </c>
      <c r="U5939" s="77"/>
      <c r="V5939" s="78"/>
      <c r="W5939" s="85" t="s">
        <v>18788</v>
      </c>
      <c r="X5939" s="80"/>
      <c r="Y5939" s="22">
        <v>0</v>
      </c>
      <c r="Z5939" s="80" t="s">
        <v>50</v>
      </c>
      <c r="AA5939" s="96" t="s">
        <v>18579</v>
      </c>
      <c r="AB5939" s="86"/>
      <c r="AC5939" s="80" t="s">
        <v>53</v>
      </c>
      <c r="AD5939" s="80" t="s">
        <v>138</v>
      </c>
      <c r="AE5939" s="80" t="s">
        <v>12324</v>
      </c>
      <c r="AF5939" s="17">
        <v>45708</v>
      </c>
      <c r="AG5939" s="80"/>
      <c r="AH5939" s="80"/>
      <c r="AI5939" s="147"/>
      <c r="AJ5939" s="80"/>
      <c r="AK5939" s="80"/>
      <c r="AL5939" s="35"/>
      <c r="AM5939" s="35"/>
      <c r="AN5939" s="35"/>
      <c r="AO5939" s="35"/>
      <c r="AP5939" s="35"/>
    </row>
    <row r="5940" spans="1:42" x14ac:dyDescent="0.2">
      <c r="A5940" s="38">
        <v>45703</v>
      </c>
      <c r="B5940" s="137"/>
      <c r="C5940" s="41" t="s">
        <v>118</v>
      </c>
      <c r="D5940" s="80" t="s">
        <v>36</v>
      </c>
      <c r="E5940" s="80" t="s">
        <v>139</v>
      </c>
      <c r="F5940" s="80" t="s">
        <v>6523</v>
      </c>
      <c r="G5940" s="80" t="s">
        <v>108</v>
      </c>
      <c r="H5940" s="80" t="s">
        <v>19578</v>
      </c>
      <c r="I5940" s="17">
        <f ca="1">IFERROR(__xludf.DUMMYFUNCTION("""COMPUTED_VALUE"""),45879)</f>
        <v>45879</v>
      </c>
      <c r="J5940" s="143" t="s">
        <v>18809</v>
      </c>
      <c r="K5940" s="80" t="s">
        <v>19579</v>
      </c>
      <c r="L5940" s="30">
        <v>393870146</v>
      </c>
      <c r="M5940" s="80" t="s">
        <v>5429</v>
      </c>
      <c r="N5940" s="80" t="s">
        <v>3065</v>
      </c>
      <c r="O5940" s="80" t="s">
        <v>2819</v>
      </c>
      <c r="P5940" s="144" t="s">
        <v>18811</v>
      </c>
      <c r="Q5940" s="20">
        <v>15936</v>
      </c>
      <c r="R5940" s="80" t="s">
        <v>36</v>
      </c>
      <c r="S5940" s="95">
        <v>2000</v>
      </c>
      <c r="T5940" s="148">
        <v>45610</v>
      </c>
      <c r="U5940" s="95">
        <v>13936</v>
      </c>
      <c r="V5940" s="148">
        <v>45642</v>
      </c>
      <c r="W5940" s="85" t="s">
        <v>18812</v>
      </c>
      <c r="X5940" s="80"/>
      <c r="Y5940" s="22">
        <v>0</v>
      </c>
      <c r="Z5940" s="80" t="s">
        <v>50</v>
      </c>
      <c r="AA5940" s="35" t="s">
        <v>18579</v>
      </c>
      <c r="AB5940" s="86"/>
      <c r="AC5940" s="80" t="s">
        <v>53</v>
      </c>
      <c r="AD5940" s="80" t="s">
        <v>138</v>
      </c>
      <c r="AE5940" s="80" t="s">
        <v>6523</v>
      </c>
      <c r="AF5940" s="17">
        <v>45708</v>
      </c>
      <c r="AG5940" s="80"/>
      <c r="AH5940" s="80"/>
      <c r="AI5940" s="147"/>
      <c r="AJ5940" s="80"/>
      <c r="AK5940" s="80"/>
      <c r="AL5940" s="35"/>
      <c r="AM5940" s="35"/>
      <c r="AN5940" s="35"/>
      <c r="AO5940" s="35"/>
      <c r="AP5940" s="35"/>
    </row>
    <row r="5941" spans="1:42" x14ac:dyDescent="0.2">
      <c r="A5941" s="38">
        <v>45703</v>
      </c>
      <c r="B5941" s="137" t="s">
        <v>37</v>
      </c>
      <c r="C5941" s="41" t="s">
        <v>118</v>
      </c>
      <c r="D5941" s="26" t="s">
        <v>36</v>
      </c>
      <c r="E5941" s="26" t="s">
        <v>139</v>
      </c>
      <c r="F5941" s="26" t="s">
        <v>8997</v>
      </c>
      <c r="G5941" s="80" t="s">
        <v>1705</v>
      </c>
      <c r="H5941" s="80" t="s">
        <v>19571</v>
      </c>
      <c r="I5941" s="17">
        <f ca="1">IFERROR(__xludf.DUMMYFUNCTION("""COMPUTED_VALUE"""),45566)</f>
        <v>45566</v>
      </c>
      <c r="J5941" s="29" t="s">
        <v>7691</v>
      </c>
      <c r="K5941" s="26" t="s">
        <v>7692</v>
      </c>
      <c r="L5941" s="30">
        <v>394525016</v>
      </c>
      <c r="M5941" s="26" t="s">
        <v>5429</v>
      </c>
      <c r="N5941" s="26" t="s">
        <v>81</v>
      </c>
      <c r="O5941" s="26" t="s">
        <v>61</v>
      </c>
      <c r="P5941" s="42" t="s">
        <v>7693</v>
      </c>
      <c r="Q5941" s="20">
        <v>15936</v>
      </c>
      <c r="R5941" s="26" t="s">
        <v>36</v>
      </c>
      <c r="S5941" s="31">
        <v>15936</v>
      </c>
      <c r="T5941" s="32">
        <v>45353</v>
      </c>
      <c r="U5941" s="31"/>
      <c r="V5941" s="32"/>
      <c r="W5941" s="33" t="s">
        <v>7694</v>
      </c>
      <c r="X5941" s="26"/>
      <c r="Y5941" s="22">
        <v>0</v>
      </c>
      <c r="Z5941" s="98" t="s">
        <v>118</v>
      </c>
      <c r="AA5941" s="19" t="s">
        <v>7361</v>
      </c>
      <c r="AB5941" s="26"/>
      <c r="AC5941" s="26" t="s">
        <v>53</v>
      </c>
      <c r="AD5941" s="19" t="s">
        <v>138</v>
      </c>
      <c r="AE5941" s="26" t="s">
        <v>8997</v>
      </c>
      <c r="AF5941" s="17">
        <v>45707</v>
      </c>
      <c r="AG5941" s="26"/>
      <c r="AH5941" s="26"/>
      <c r="AI5941" s="40"/>
      <c r="AJ5941" s="26"/>
      <c r="AK5941" s="26"/>
      <c r="AL5941" s="35"/>
      <c r="AM5941" s="35"/>
      <c r="AN5941" s="35"/>
      <c r="AO5941" s="35"/>
      <c r="AP5941" s="35"/>
    </row>
    <row r="5942" spans="1:42" x14ac:dyDescent="0.2">
      <c r="A5942" s="38">
        <v>45704</v>
      </c>
      <c r="B5942" s="137" t="s">
        <v>37</v>
      </c>
      <c r="C5942" s="41" t="s">
        <v>118</v>
      </c>
      <c r="D5942" s="80" t="s">
        <v>36</v>
      </c>
      <c r="E5942" s="80" t="s">
        <v>139</v>
      </c>
      <c r="F5942" s="80" t="s">
        <v>15290</v>
      </c>
      <c r="G5942" s="80" t="s">
        <v>108</v>
      </c>
      <c r="H5942" s="80" t="s">
        <v>16695</v>
      </c>
      <c r="I5942" s="17">
        <f ca="1">IFERROR(__xludf.DUMMYFUNCTION("""COMPUTED_VALUE"""),45782)</f>
        <v>45782</v>
      </c>
      <c r="J5942" s="143" t="s">
        <v>17866</v>
      </c>
      <c r="K5942" s="80" t="s">
        <v>19580</v>
      </c>
      <c r="L5942" s="30">
        <v>357661376</v>
      </c>
      <c r="M5942" s="80" t="s">
        <v>5429</v>
      </c>
      <c r="N5942" s="80" t="s">
        <v>1384</v>
      </c>
      <c r="O5942" s="80" t="s">
        <v>61</v>
      </c>
      <c r="P5942" s="80" t="s">
        <v>17868</v>
      </c>
      <c r="Q5942" s="20">
        <v>15936</v>
      </c>
      <c r="R5942" s="80" t="s">
        <v>36</v>
      </c>
      <c r="S5942" s="95">
        <v>2000</v>
      </c>
      <c r="T5942" s="148">
        <v>45602</v>
      </c>
      <c r="U5942" s="95">
        <v>13936</v>
      </c>
      <c r="V5942" s="148">
        <v>45626</v>
      </c>
      <c r="W5942" s="85" t="s">
        <v>17869</v>
      </c>
      <c r="X5942" s="80"/>
      <c r="Y5942" s="22">
        <v>0</v>
      </c>
      <c r="Z5942" s="80" t="s">
        <v>50</v>
      </c>
      <c r="AA5942" s="86" t="s">
        <v>14723</v>
      </c>
      <c r="AB5942" s="80"/>
      <c r="AC5942" s="80" t="s">
        <v>53</v>
      </c>
      <c r="AD5942" s="80" t="s">
        <v>54</v>
      </c>
      <c r="AE5942" s="80" t="s">
        <v>15290</v>
      </c>
      <c r="AF5942" s="17">
        <v>45708</v>
      </c>
      <c r="AG5942" s="80"/>
      <c r="AH5942" s="80"/>
      <c r="AI5942" s="147"/>
      <c r="AJ5942" s="80"/>
      <c r="AK5942" s="80"/>
      <c r="AL5942" s="35"/>
      <c r="AM5942" s="35"/>
      <c r="AN5942" s="35"/>
      <c r="AO5942" s="35"/>
      <c r="AP5942" s="35"/>
    </row>
    <row r="5943" spans="1:42" x14ac:dyDescent="0.2">
      <c r="A5943" s="38">
        <v>45704</v>
      </c>
      <c r="B5943" s="137" t="s">
        <v>37</v>
      </c>
      <c r="C5943" s="41" t="s">
        <v>118</v>
      </c>
      <c r="D5943" s="80" t="s">
        <v>36</v>
      </c>
      <c r="E5943" s="80" t="s">
        <v>119</v>
      </c>
      <c r="F5943" s="80" t="s">
        <v>10223</v>
      </c>
      <c r="G5943" s="80" t="s">
        <v>221</v>
      </c>
      <c r="H5943" s="80" t="s">
        <v>19514</v>
      </c>
      <c r="I5943" s="17">
        <f ca="1">IFERROR(__xludf.DUMMYFUNCTION("""COMPUTED_VALUE"""),45709)</f>
        <v>45709</v>
      </c>
      <c r="J5943" s="143" t="s">
        <v>16106</v>
      </c>
      <c r="K5943" s="80" t="s">
        <v>19581</v>
      </c>
      <c r="L5943" s="30">
        <v>399591265</v>
      </c>
      <c r="M5943" s="80" t="s">
        <v>12529</v>
      </c>
      <c r="N5943" s="80" t="s">
        <v>15532</v>
      </c>
      <c r="O5943" s="80" t="s">
        <v>16108</v>
      </c>
      <c r="P5943" s="144" t="s">
        <v>16109</v>
      </c>
      <c r="Q5943" s="20">
        <v>13968</v>
      </c>
      <c r="R5943" s="80" t="s">
        <v>36</v>
      </c>
      <c r="S5943" s="95">
        <f>200+3800</f>
        <v>4000</v>
      </c>
      <c r="T5943" s="83" t="s">
        <v>16110</v>
      </c>
      <c r="U5943" s="95">
        <v>9968</v>
      </c>
      <c r="V5943" s="148">
        <v>45596</v>
      </c>
      <c r="W5943" s="85" t="s">
        <v>16111</v>
      </c>
      <c r="X5943" s="80"/>
      <c r="Y5943" s="22">
        <v>0</v>
      </c>
      <c r="Z5943" s="80" t="s">
        <v>50</v>
      </c>
      <c r="AA5943" s="96" t="s">
        <v>9905</v>
      </c>
      <c r="AB5943" s="80"/>
      <c r="AC5943" s="80" t="s">
        <v>53</v>
      </c>
      <c r="AD5943" s="80" t="s">
        <v>138</v>
      </c>
      <c r="AE5943" s="80" t="s">
        <v>10223</v>
      </c>
      <c r="AF5943" s="17">
        <v>45706</v>
      </c>
      <c r="AG5943" s="80"/>
      <c r="AH5943" s="80"/>
      <c r="AI5943" s="147"/>
      <c r="AJ5943" s="80"/>
      <c r="AK5943" s="80"/>
      <c r="AL5943" s="35"/>
      <c r="AM5943" s="35"/>
      <c r="AN5943" s="35"/>
      <c r="AO5943" s="35"/>
      <c r="AP5943" s="35"/>
    </row>
    <row r="5944" spans="1:42" x14ac:dyDescent="0.2">
      <c r="A5944" s="38">
        <v>45704</v>
      </c>
      <c r="B5944" s="137" t="s">
        <v>37</v>
      </c>
      <c r="C5944" s="41" t="s">
        <v>118</v>
      </c>
      <c r="D5944" s="26" t="s">
        <v>36</v>
      </c>
      <c r="E5944" s="26" t="s">
        <v>139</v>
      </c>
      <c r="F5944" s="26" t="s">
        <v>9032</v>
      </c>
      <c r="G5944" s="80" t="s">
        <v>1705</v>
      </c>
      <c r="H5944" s="80" t="s">
        <v>8998</v>
      </c>
      <c r="I5944" s="17">
        <f ca="1">IFERROR(__xludf.DUMMYFUNCTION("""COMPUTED_VALUE"""),45714)</f>
        <v>45714</v>
      </c>
      <c r="J5944" s="29" t="s">
        <v>6007</v>
      </c>
      <c r="K5944" s="26" t="s">
        <v>6008</v>
      </c>
      <c r="L5944" s="30">
        <v>912501828</v>
      </c>
      <c r="M5944" s="26" t="s">
        <v>123</v>
      </c>
      <c r="N5944" s="26" t="s">
        <v>2847</v>
      </c>
      <c r="O5944" s="26" t="s">
        <v>4503</v>
      </c>
      <c r="P5944" s="26" t="s">
        <v>6009</v>
      </c>
      <c r="Q5944" s="20">
        <v>15936</v>
      </c>
      <c r="R5944" s="26" t="s">
        <v>36</v>
      </c>
      <c r="S5944" s="31">
        <v>200</v>
      </c>
      <c r="T5944" s="32">
        <v>45226</v>
      </c>
      <c r="U5944" s="31">
        <f>1800+13936</f>
        <v>15736</v>
      </c>
      <c r="V5944" s="26" t="s">
        <v>6010</v>
      </c>
      <c r="W5944" s="26" t="s">
        <v>6011</v>
      </c>
      <c r="X5944" s="26"/>
      <c r="Y5944" s="22">
        <v>0</v>
      </c>
      <c r="Z5944" s="26" t="s">
        <v>50</v>
      </c>
      <c r="AA5944" s="19" t="s">
        <v>5961</v>
      </c>
      <c r="AB5944" s="26" t="s">
        <v>104</v>
      </c>
      <c r="AC5944" s="26" t="s">
        <v>53</v>
      </c>
      <c r="AD5944" s="19" t="s">
        <v>138</v>
      </c>
      <c r="AE5944" s="26" t="s">
        <v>9032</v>
      </c>
      <c r="AF5944" s="17">
        <v>45714</v>
      </c>
      <c r="AG5944" s="26"/>
      <c r="AH5944" s="26"/>
      <c r="AI5944" s="40" t="s">
        <v>147</v>
      </c>
      <c r="AJ5944" s="26"/>
      <c r="AK5944" s="26"/>
      <c r="AL5944" s="35"/>
      <c r="AM5944" s="35"/>
      <c r="AN5944" s="35"/>
      <c r="AO5944" s="35"/>
      <c r="AP5944" s="35"/>
    </row>
    <row r="5945" spans="1:42" x14ac:dyDescent="0.2">
      <c r="A5945" s="38">
        <v>45704</v>
      </c>
      <c r="B5945" s="137" t="s">
        <v>37</v>
      </c>
      <c r="C5945" s="41" t="s">
        <v>118</v>
      </c>
      <c r="D5945" s="26" t="s">
        <v>36</v>
      </c>
      <c r="E5945" s="26" t="s">
        <v>139</v>
      </c>
      <c r="F5945" s="26" t="s">
        <v>9032</v>
      </c>
      <c r="G5945" s="80" t="s">
        <v>1705</v>
      </c>
      <c r="H5945" s="80" t="s">
        <v>8998</v>
      </c>
      <c r="I5945" s="17">
        <f ca="1">IFERROR(__xludf.DUMMYFUNCTION("""COMPUTED_VALUE"""),45714)</f>
        <v>45714</v>
      </c>
      <c r="J5945" s="29" t="s">
        <v>4130</v>
      </c>
      <c r="K5945" s="26" t="s">
        <v>4131</v>
      </c>
      <c r="L5945" s="30">
        <v>337981335</v>
      </c>
      <c r="M5945" s="26" t="s">
        <v>123</v>
      </c>
      <c r="N5945" s="26" t="s">
        <v>186</v>
      </c>
      <c r="O5945" s="26" t="s">
        <v>1226</v>
      </c>
      <c r="P5945" s="26" t="s">
        <v>19582</v>
      </c>
      <c r="Q5945" s="20">
        <v>15936</v>
      </c>
      <c r="R5945" s="26" t="s">
        <v>36</v>
      </c>
      <c r="S5945" s="31">
        <v>15936</v>
      </c>
      <c r="T5945" s="32">
        <v>45207</v>
      </c>
      <c r="U5945" s="31"/>
      <c r="V5945" s="26"/>
      <c r="W5945" s="33" t="s">
        <v>4132</v>
      </c>
      <c r="X5945" s="26"/>
      <c r="Y5945" s="22">
        <v>0</v>
      </c>
      <c r="Z5945" s="26" t="s">
        <v>118</v>
      </c>
      <c r="AA5945" s="19" t="s">
        <v>3454</v>
      </c>
      <c r="AB5945" s="80" t="s">
        <v>36</v>
      </c>
      <c r="AC5945" s="26" t="s">
        <v>53</v>
      </c>
      <c r="AD5945" s="19" t="s">
        <v>138</v>
      </c>
      <c r="AE5945" s="26" t="s">
        <v>9032</v>
      </c>
      <c r="AF5945" s="17">
        <v>45714</v>
      </c>
      <c r="AG5945" s="26"/>
      <c r="AH5945" s="26"/>
      <c r="AI5945" s="40"/>
      <c r="AJ5945" s="26"/>
      <c r="AK5945" s="26"/>
      <c r="AL5945" s="35"/>
      <c r="AM5945" s="35"/>
      <c r="AN5945" s="35"/>
      <c r="AO5945" s="35"/>
      <c r="AP5945" s="35"/>
    </row>
    <row r="5946" spans="1:42" x14ac:dyDescent="0.2">
      <c r="A5946" s="38">
        <v>45704</v>
      </c>
      <c r="B5946" s="137" t="s">
        <v>37</v>
      </c>
      <c r="C5946" s="41" t="s">
        <v>118</v>
      </c>
      <c r="D5946" s="26" t="s">
        <v>36</v>
      </c>
      <c r="E5946" s="26" t="s">
        <v>119</v>
      </c>
      <c r="F5946" s="26" t="s">
        <v>9032</v>
      </c>
      <c r="G5946" s="80" t="s">
        <v>1705</v>
      </c>
      <c r="H5946" s="80" t="s">
        <v>19583</v>
      </c>
      <c r="I5946" s="17">
        <f ca="1">IFERROR(__xludf.DUMMYFUNCTION("""COMPUTED_VALUE"""),45575)</f>
        <v>45575</v>
      </c>
      <c r="J5946" s="29" t="s">
        <v>19584</v>
      </c>
      <c r="K5946" s="26" t="s">
        <v>19585</v>
      </c>
      <c r="L5946" s="30">
        <v>372156985</v>
      </c>
      <c r="M5946" s="26" t="s">
        <v>5558</v>
      </c>
      <c r="N5946" s="26" t="s">
        <v>850</v>
      </c>
      <c r="O5946" s="26" t="s">
        <v>2819</v>
      </c>
      <c r="P5946" s="26" t="s">
        <v>3153</v>
      </c>
      <c r="Q5946" s="20">
        <v>13968</v>
      </c>
      <c r="R5946" s="26" t="s">
        <v>36</v>
      </c>
      <c r="S5946" s="31">
        <v>13968</v>
      </c>
      <c r="T5946" s="32">
        <v>45284</v>
      </c>
      <c r="U5946" s="31"/>
      <c r="V5946" s="32"/>
      <c r="W5946" s="33" t="s">
        <v>6425</v>
      </c>
      <c r="X5946" s="26"/>
      <c r="Y5946" s="22">
        <v>0</v>
      </c>
      <c r="Z5946" s="26" t="s">
        <v>118</v>
      </c>
      <c r="AA5946" s="19" t="s">
        <v>5961</v>
      </c>
      <c r="AB5946" s="80" t="s">
        <v>36</v>
      </c>
      <c r="AC5946" s="26" t="s">
        <v>53</v>
      </c>
      <c r="AD5946" s="19" t="s">
        <v>138</v>
      </c>
      <c r="AE5946" s="26" t="s">
        <v>9032</v>
      </c>
      <c r="AF5946" s="17">
        <v>45714</v>
      </c>
      <c r="AG5946" s="26" t="s">
        <v>8366</v>
      </c>
      <c r="AH5946" s="26">
        <v>1</v>
      </c>
      <c r="AI5946" s="40"/>
      <c r="AJ5946" s="26"/>
      <c r="AK5946" s="26"/>
      <c r="AL5946" s="35"/>
      <c r="AM5946" s="35"/>
      <c r="AN5946" s="35"/>
      <c r="AO5946" s="35"/>
      <c r="AP5946" s="35"/>
    </row>
    <row r="5947" spans="1:42" x14ac:dyDescent="0.2">
      <c r="A5947" s="38">
        <v>45704</v>
      </c>
      <c r="B5947" s="137" t="s">
        <v>37</v>
      </c>
      <c r="C5947" s="41" t="s">
        <v>118</v>
      </c>
      <c r="D5947" s="26" t="s">
        <v>36</v>
      </c>
      <c r="E5947" s="26" t="s">
        <v>139</v>
      </c>
      <c r="F5947" s="26" t="s">
        <v>19586</v>
      </c>
      <c r="G5947" s="80" t="s">
        <v>1705</v>
      </c>
      <c r="H5947" s="80" t="s">
        <v>8998</v>
      </c>
      <c r="I5947" s="17">
        <f ca="1">IFERROR(__xludf.DUMMYFUNCTION("""COMPUTED_VALUE"""),45714)</f>
        <v>45714</v>
      </c>
      <c r="J5947" s="29" t="s">
        <v>4065</v>
      </c>
      <c r="K5947" s="26" t="s">
        <v>4066</v>
      </c>
      <c r="L5947" s="30">
        <v>335529925</v>
      </c>
      <c r="M5947" s="26" t="s">
        <v>123</v>
      </c>
      <c r="N5947" s="26" t="s">
        <v>327</v>
      </c>
      <c r="O5947" s="26" t="s">
        <v>1226</v>
      </c>
      <c r="P5947" s="42" t="s">
        <v>7383</v>
      </c>
      <c r="Q5947" s="20">
        <v>15936</v>
      </c>
      <c r="R5947" s="26" t="s">
        <v>36</v>
      </c>
      <c r="S5947" s="31">
        <v>2000</v>
      </c>
      <c r="T5947" s="32">
        <v>45202</v>
      </c>
      <c r="U5947" s="31">
        <v>13936</v>
      </c>
      <c r="V5947" s="32">
        <v>45225</v>
      </c>
      <c r="W5947" s="33" t="s">
        <v>4067</v>
      </c>
      <c r="X5947" s="26"/>
      <c r="Y5947" s="22">
        <v>0</v>
      </c>
      <c r="Z5947" s="26" t="s">
        <v>118</v>
      </c>
      <c r="AA5947" s="19" t="s">
        <v>3454</v>
      </c>
      <c r="AB5947" s="26" t="s">
        <v>104</v>
      </c>
      <c r="AC5947" s="26" t="s">
        <v>53</v>
      </c>
      <c r="AD5947" s="19" t="s">
        <v>138</v>
      </c>
      <c r="AE5947" s="26" t="s">
        <v>19586</v>
      </c>
      <c r="AF5947" s="17">
        <v>45714</v>
      </c>
      <c r="AG5947" s="26"/>
      <c r="AH5947" s="26"/>
      <c r="AI5947" s="40"/>
      <c r="AJ5947" s="26"/>
      <c r="AK5947" s="26"/>
      <c r="AL5947" s="35"/>
      <c r="AM5947" s="35"/>
      <c r="AN5947" s="35"/>
      <c r="AO5947" s="35"/>
      <c r="AP5947" s="35"/>
    </row>
    <row r="5948" spans="1:42" x14ac:dyDescent="0.2">
      <c r="A5948" s="38">
        <v>45704</v>
      </c>
      <c r="B5948" s="137" t="s">
        <v>37</v>
      </c>
      <c r="C5948" s="41" t="s">
        <v>118</v>
      </c>
      <c r="D5948" s="80" t="s">
        <v>36</v>
      </c>
      <c r="E5948" s="80" t="s">
        <v>139</v>
      </c>
      <c r="F5948" s="80" t="s">
        <v>11640</v>
      </c>
      <c r="G5948" s="80" t="s">
        <v>108</v>
      </c>
      <c r="H5948" s="80" t="s">
        <v>19294</v>
      </c>
      <c r="I5948" s="17">
        <f ca="1">IFERROR(__xludf.DUMMYFUNCTION("""COMPUTED_VALUE"""),45709)</f>
        <v>45709</v>
      </c>
      <c r="J5948" s="143" t="s">
        <v>19587</v>
      </c>
      <c r="K5948" s="145" t="s">
        <v>19588</v>
      </c>
      <c r="L5948" s="30">
        <v>838100997</v>
      </c>
      <c r="M5948" s="80" t="s">
        <v>910</v>
      </c>
      <c r="N5948" s="80" t="s">
        <v>3525</v>
      </c>
      <c r="O5948" s="80" t="s">
        <v>19589</v>
      </c>
      <c r="P5948" s="80" t="s">
        <v>12578</v>
      </c>
      <c r="Q5948" s="20">
        <v>15936</v>
      </c>
      <c r="R5948" s="80" t="s">
        <v>36</v>
      </c>
      <c r="S5948" s="95">
        <f>200+1800</f>
        <v>2000</v>
      </c>
      <c r="T5948" s="83" t="s">
        <v>19590</v>
      </c>
      <c r="U5948" s="95">
        <v>13936</v>
      </c>
      <c r="V5948" s="148">
        <v>45672</v>
      </c>
      <c r="W5948" s="85" t="s">
        <v>19591</v>
      </c>
      <c r="X5948" s="80"/>
      <c r="Y5948" s="22">
        <v>0</v>
      </c>
      <c r="Z5948" s="80" t="s">
        <v>50</v>
      </c>
      <c r="AA5948" s="86"/>
      <c r="AB5948" s="86"/>
      <c r="AC5948" s="80" t="s">
        <v>53</v>
      </c>
      <c r="AD5948" s="80" t="s">
        <v>138</v>
      </c>
      <c r="AE5948" s="80" t="s">
        <v>11640</v>
      </c>
      <c r="AF5948" s="17">
        <v>45709</v>
      </c>
      <c r="AG5948" s="80"/>
      <c r="AH5948" s="80"/>
      <c r="AI5948" s="147"/>
      <c r="AJ5948" s="80">
        <f>COUNTIF(K5948:K6091,K5948)</f>
        <v>1</v>
      </c>
      <c r="AK5948" s="80"/>
      <c r="AL5948" s="35"/>
      <c r="AM5948" s="35"/>
      <c r="AN5948" s="35"/>
      <c r="AO5948" s="35"/>
      <c r="AP5948" s="35"/>
    </row>
    <row r="5949" spans="1:42" x14ac:dyDescent="0.2">
      <c r="A5949" s="38">
        <v>45704</v>
      </c>
      <c r="B5949" s="137" t="s">
        <v>37</v>
      </c>
      <c r="C5949" s="41" t="s">
        <v>118</v>
      </c>
      <c r="D5949" s="80" t="s">
        <v>36</v>
      </c>
      <c r="E5949" s="80" t="s">
        <v>139</v>
      </c>
      <c r="F5949" s="80" t="s">
        <v>11640</v>
      </c>
      <c r="G5949" s="80" t="s">
        <v>108</v>
      </c>
      <c r="H5949" s="80" t="s">
        <v>19294</v>
      </c>
      <c r="I5949" s="17">
        <f ca="1">IFERROR(__xludf.DUMMYFUNCTION("""COMPUTED_VALUE"""),45709)</f>
        <v>45709</v>
      </c>
      <c r="J5949" s="143" t="s">
        <v>19592</v>
      </c>
      <c r="K5949" s="145" t="s">
        <v>19593</v>
      </c>
      <c r="L5949" s="30">
        <v>375548817</v>
      </c>
      <c r="M5949" s="80" t="s">
        <v>5558</v>
      </c>
      <c r="N5949" s="80" t="s">
        <v>850</v>
      </c>
      <c r="O5949" s="80" t="s">
        <v>19594</v>
      </c>
      <c r="P5949" s="80" t="s">
        <v>19595</v>
      </c>
      <c r="Q5949" s="20">
        <v>15936</v>
      </c>
      <c r="R5949" s="80" t="s">
        <v>36</v>
      </c>
      <c r="S5949" s="95">
        <v>3000</v>
      </c>
      <c r="T5949" s="148">
        <v>45630</v>
      </c>
      <c r="U5949" s="95">
        <v>12936</v>
      </c>
      <c r="V5949" s="148">
        <v>45661</v>
      </c>
      <c r="W5949" s="85" t="s">
        <v>19596</v>
      </c>
      <c r="X5949" s="80"/>
      <c r="Y5949" s="22">
        <v>0</v>
      </c>
      <c r="Z5949" s="80" t="s">
        <v>50</v>
      </c>
      <c r="AA5949" s="82"/>
      <c r="AB5949" s="82"/>
      <c r="AC5949" s="80" t="s">
        <v>53</v>
      </c>
      <c r="AD5949" s="80" t="s">
        <v>138</v>
      </c>
      <c r="AE5949" s="80" t="s">
        <v>11640</v>
      </c>
      <c r="AF5949" s="17">
        <v>45709</v>
      </c>
      <c r="AG5949" s="80"/>
      <c r="AH5949" s="80"/>
      <c r="AI5949" s="147"/>
      <c r="AJ5949" s="80">
        <f t="shared" ref="AJ5949:AJ5950" si="170">COUNTIF(K5949:K6086,K5949)</f>
        <v>1</v>
      </c>
      <c r="AK5949" s="80"/>
      <c r="AL5949" s="35"/>
      <c r="AM5949" s="35"/>
      <c r="AN5949" s="35"/>
      <c r="AO5949" s="35"/>
      <c r="AP5949" s="35"/>
    </row>
    <row r="5950" spans="1:42" x14ac:dyDescent="0.2">
      <c r="A5950" s="38">
        <v>45704</v>
      </c>
      <c r="B5950" s="137" t="s">
        <v>37</v>
      </c>
      <c r="C5950" s="41" t="s">
        <v>118</v>
      </c>
      <c r="D5950" s="80" t="s">
        <v>36</v>
      </c>
      <c r="E5950" s="80" t="s">
        <v>139</v>
      </c>
      <c r="F5950" s="80" t="s">
        <v>11640</v>
      </c>
      <c r="G5950" s="80" t="s">
        <v>108</v>
      </c>
      <c r="H5950" s="80" t="s">
        <v>19294</v>
      </c>
      <c r="I5950" s="17">
        <f ca="1">IFERROR(__xludf.DUMMYFUNCTION("""COMPUTED_VALUE"""),45709)</f>
        <v>45709</v>
      </c>
      <c r="J5950" s="143" t="s">
        <v>19597</v>
      </c>
      <c r="K5950" s="145" t="s">
        <v>19598</v>
      </c>
      <c r="L5950" s="30">
        <v>926862288</v>
      </c>
      <c r="M5950" s="80" t="s">
        <v>5558</v>
      </c>
      <c r="N5950" s="80" t="s">
        <v>850</v>
      </c>
      <c r="O5950" s="80" t="s">
        <v>19599</v>
      </c>
      <c r="P5950" s="80" t="s">
        <v>19600</v>
      </c>
      <c r="Q5950" s="20">
        <v>15936</v>
      </c>
      <c r="R5950" s="80" t="s">
        <v>36</v>
      </c>
      <c r="S5950" s="95">
        <v>3000</v>
      </c>
      <c r="T5950" s="148">
        <v>45629</v>
      </c>
      <c r="U5950" s="95">
        <v>12936</v>
      </c>
      <c r="V5950" s="148">
        <v>45667</v>
      </c>
      <c r="W5950" s="85" t="s">
        <v>19601</v>
      </c>
      <c r="X5950" s="80"/>
      <c r="Y5950" s="22">
        <v>0</v>
      </c>
      <c r="Z5950" s="80" t="s">
        <v>50</v>
      </c>
      <c r="AA5950" s="86"/>
      <c r="AB5950" s="86"/>
      <c r="AC5950" s="80" t="s">
        <v>53</v>
      </c>
      <c r="AD5950" s="80" t="s">
        <v>138</v>
      </c>
      <c r="AE5950" s="80" t="s">
        <v>11640</v>
      </c>
      <c r="AF5950" s="17">
        <v>45709</v>
      </c>
      <c r="AG5950" s="80"/>
      <c r="AH5950" s="80"/>
      <c r="AI5950" s="147"/>
      <c r="AJ5950" s="80">
        <f t="shared" si="170"/>
        <v>1</v>
      </c>
      <c r="AK5950" s="80"/>
      <c r="AL5950" s="35"/>
      <c r="AM5950" s="35"/>
      <c r="AN5950" s="35"/>
      <c r="AO5950" s="35"/>
      <c r="AP5950" s="35"/>
    </row>
    <row r="5951" spans="1:42" x14ac:dyDescent="0.2">
      <c r="A5951" s="38">
        <v>45704</v>
      </c>
      <c r="B5951" s="137" t="s">
        <v>37</v>
      </c>
      <c r="C5951" s="41" t="s">
        <v>118</v>
      </c>
      <c r="D5951" s="80" t="s">
        <v>36</v>
      </c>
      <c r="E5951" s="80" t="s">
        <v>139</v>
      </c>
      <c r="F5951" s="80" t="s">
        <v>11640</v>
      </c>
      <c r="G5951" s="80" t="s">
        <v>108</v>
      </c>
      <c r="H5951" s="80" t="s">
        <v>19294</v>
      </c>
      <c r="I5951" s="17">
        <f ca="1">IFERROR(__xludf.DUMMYFUNCTION("""COMPUTED_VALUE"""),45709)</f>
        <v>45709</v>
      </c>
      <c r="J5951" s="172" t="s">
        <v>19602</v>
      </c>
      <c r="K5951" s="145" t="s">
        <v>19603</v>
      </c>
      <c r="L5951" s="30">
        <v>815597773</v>
      </c>
      <c r="M5951" s="80" t="s">
        <v>3728</v>
      </c>
      <c r="N5951" s="80" t="s">
        <v>8725</v>
      </c>
      <c r="O5951" s="80" t="s">
        <v>11643</v>
      </c>
      <c r="P5951" s="80" t="s">
        <v>11644</v>
      </c>
      <c r="Q5951" s="20">
        <v>15936</v>
      </c>
      <c r="R5951" s="80" t="s">
        <v>36</v>
      </c>
      <c r="S5951" s="95">
        <v>15936</v>
      </c>
      <c r="T5951" s="148">
        <v>45529</v>
      </c>
      <c r="U5951" s="77"/>
      <c r="V5951" s="78"/>
      <c r="W5951" s="80" t="s">
        <v>11645</v>
      </c>
      <c r="X5951" s="80">
        <v>0</v>
      </c>
      <c r="Y5951" s="22">
        <v>0</v>
      </c>
      <c r="Z5951" s="81" t="s">
        <v>50</v>
      </c>
      <c r="AA5951" s="82" t="s">
        <v>10314</v>
      </c>
      <c r="AB5951" s="80"/>
      <c r="AC5951" s="80"/>
      <c r="AD5951" s="80"/>
      <c r="AE5951" s="80" t="s">
        <v>11640</v>
      </c>
      <c r="AF5951" s="17">
        <v>45709</v>
      </c>
      <c r="AG5951" s="80"/>
      <c r="AH5951" s="80"/>
      <c r="AI5951" s="147"/>
      <c r="AJ5951" s="80"/>
      <c r="AK5951" s="80"/>
      <c r="AL5951" s="86"/>
      <c r="AM5951" s="86"/>
      <c r="AN5951" s="86"/>
      <c r="AO5951" s="86"/>
      <c r="AP5951" s="86"/>
    </row>
    <row r="5952" spans="1:42" x14ac:dyDescent="0.2">
      <c r="A5952" s="38">
        <v>45704</v>
      </c>
      <c r="B5952" s="137" t="s">
        <v>37</v>
      </c>
      <c r="C5952" s="41" t="s">
        <v>118</v>
      </c>
      <c r="D5952" s="80" t="s">
        <v>36</v>
      </c>
      <c r="E5952" s="80" t="s">
        <v>39</v>
      </c>
      <c r="F5952" s="80" t="s">
        <v>11640</v>
      </c>
      <c r="G5952" s="80" t="s">
        <v>108</v>
      </c>
      <c r="H5952" s="80" t="s">
        <v>19294</v>
      </c>
      <c r="I5952" s="17">
        <f ca="1">IFERROR(__xludf.DUMMYFUNCTION("""COMPUTED_VALUE"""),45709)</f>
        <v>45709</v>
      </c>
      <c r="J5952" s="143" t="s">
        <v>12888</v>
      </c>
      <c r="K5952" s="145" t="s">
        <v>19604</v>
      </c>
      <c r="L5952" s="30">
        <v>866763862</v>
      </c>
      <c r="M5952" s="80" t="s">
        <v>45</v>
      </c>
      <c r="N5952" s="80" t="s">
        <v>1472</v>
      </c>
      <c r="O5952" s="80" t="s">
        <v>12890</v>
      </c>
      <c r="P5952" s="80" t="s">
        <v>7743</v>
      </c>
      <c r="Q5952" s="20">
        <v>5736</v>
      </c>
      <c r="R5952" s="80" t="s">
        <v>36</v>
      </c>
      <c r="S5952" s="95">
        <f>2000+3736</f>
        <v>5736</v>
      </c>
      <c r="T5952" s="148" t="s">
        <v>12891</v>
      </c>
      <c r="U5952" s="77"/>
      <c r="V5952" s="78"/>
      <c r="W5952" s="85" t="s">
        <v>12892</v>
      </c>
      <c r="X5952" s="83">
        <v>0</v>
      </c>
      <c r="Y5952" s="22">
        <v>0</v>
      </c>
      <c r="Z5952" s="81" t="s">
        <v>50</v>
      </c>
      <c r="AA5952" s="86" t="s">
        <v>3291</v>
      </c>
      <c r="AB5952" s="80"/>
      <c r="AC5952" s="80" t="s">
        <v>53</v>
      </c>
      <c r="AD5952" s="80" t="s">
        <v>138</v>
      </c>
      <c r="AE5952" s="80" t="s">
        <v>11640</v>
      </c>
      <c r="AF5952" s="17">
        <v>45709</v>
      </c>
      <c r="AG5952" s="80"/>
      <c r="AH5952" s="80"/>
      <c r="AI5952" s="147" t="s">
        <v>55</v>
      </c>
      <c r="AJ5952" s="80"/>
      <c r="AK5952" s="80"/>
      <c r="AL5952" s="86"/>
      <c r="AM5952" s="86"/>
      <c r="AN5952" s="86"/>
      <c r="AO5952" s="86"/>
      <c r="AP5952" s="86"/>
    </row>
    <row r="5953" spans="1:42" x14ac:dyDescent="0.2">
      <c r="A5953" s="38">
        <v>45704</v>
      </c>
      <c r="B5953" s="137" t="s">
        <v>37</v>
      </c>
      <c r="C5953" s="41" t="s">
        <v>118</v>
      </c>
      <c r="D5953" s="80" t="s">
        <v>36</v>
      </c>
      <c r="E5953" s="80" t="s">
        <v>56</v>
      </c>
      <c r="F5953" s="80" t="s">
        <v>19605</v>
      </c>
      <c r="G5953" s="80" t="s">
        <v>108</v>
      </c>
      <c r="H5953" s="80" t="s">
        <v>16695</v>
      </c>
      <c r="I5953" s="17">
        <f ca="1">IFERROR(__xludf.DUMMYFUNCTION("""COMPUTED_VALUE"""),45782)</f>
        <v>45782</v>
      </c>
      <c r="J5953" s="143" t="s">
        <v>14128</v>
      </c>
      <c r="K5953" s="145" t="s">
        <v>19606</v>
      </c>
      <c r="L5953" s="30">
        <v>843668567</v>
      </c>
      <c r="M5953" s="80" t="s">
        <v>123</v>
      </c>
      <c r="N5953" s="80" t="s">
        <v>327</v>
      </c>
      <c r="O5953" s="80" t="s">
        <v>4503</v>
      </c>
      <c r="P5953" s="80" t="s">
        <v>3487</v>
      </c>
      <c r="Q5953" s="20">
        <v>9317</v>
      </c>
      <c r="R5953" s="80" t="s">
        <v>36</v>
      </c>
      <c r="S5953" s="95">
        <v>2000</v>
      </c>
      <c r="T5953" s="148">
        <v>45544</v>
      </c>
      <c r="U5953" s="95">
        <v>7317</v>
      </c>
      <c r="V5953" s="148">
        <v>45570</v>
      </c>
      <c r="W5953" s="85" t="s">
        <v>14130</v>
      </c>
      <c r="X5953" s="80"/>
      <c r="Y5953" s="22">
        <v>0</v>
      </c>
      <c r="Z5953" s="81" t="s">
        <v>50</v>
      </c>
      <c r="AA5953" s="82"/>
      <c r="AB5953" s="80"/>
      <c r="AC5953" s="80" t="s">
        <v>53</v>
      </c>
      <c r="AD5953" s="80" t="s">
        <v>138</v>
      </c>
      <c r="AE5953" s="80" t="s">
        <v>11640</v>
      </c>
      <c r="AF5953" s="17">
        <v>45709</v>
      </c>
      <c r="AG5953" s="80" t="s">
        <v>19607</v>
      </c>
      <c r="AH5953" s="80"/>
      <c r="AI5953" s="147"/>
      <c r="AJ5953" s="80"/>
      <c r="AK5953" s="80"/>
      <c r="AL5953" s="86"/>
      <c r="AM5953" s="86"/>
      <c r="AN5953" s="86"/>
      <c r="AO5953" s="86"/>
      <c r="AP5953" s="86"/>
    </row>
    <row r="5954" spans="1:42" x14ac:dyDescent="0.2">
      <c r="A5954" s="38">
        <v>45704</v>
      </c>
      <c r="B5954" s="137" t="s">
        <v>37</v>
      </c>
      <c r="C5954" s="41" t="s">
        <v>118</v>
      </c>
      <c r="D5954" s="80" t="s">
        <v>36</v>
      </c>
      <c r="E5954" s="80" t="s">
        <v>56</v>
      </c>
      <c r="F5954" s="80" t="s">
        <v>11640</v>
      </c>
      <c r="G5954" s="80" t="s">
        <v>108</v>
      </c>
      <c r="H5954" s="80" t="s">
        <v>19294</v>
      </c>
      <c r="I5954" s="17">
        <f ca="1">IFERROR(__xludf.DUMMYFUNCTION("""COMPUTED_VALUE"""),45709)</f>
        <v>45709</v>
      </c>
      <c r="J5954" s="143" t="s">
        <v>17912</v>
      </c>
      <c r="K5954" s="145" t="s">
        <v>10434</v>
      </c>
      <c r="L5954" s="30">
        <v>368545575</v>
      </c>
      <c r="M5954" s="80" t="s">
        <v>59</v>
      </c>
      <c r="N5954" s="80" t="s">
        <v>9660</v>
      </c>
      <c r="O5954" s="80" t="s">
        <v>17913</v>
      </c>
      <c r="P5954" s="80" t="s">
        <v>12687</v>
      </c>
      <c r="Q5954" s="20">
        <v>9317</v>
      </c>
      <c r="R5954" s="80" t="s">
        <v>36</v>
      </c>
      <c r="S5954" s="95">
        <f t="shared" ref="S5954:S5955" si="171">300+9017</f>
        <v>9317</v>
      </c>
      <c r="T5954" s="148" t="s">
        <v>17914</v>
      </c>
      <c r="U5954" s="77"/>
      <c r="V5954" s="78"/>
      <c r="W5954" s="85" t="s">
        <v>17915</v>
      </c>
      <c r="X5954" s="80"/>
      <c r="Y5954" s="22">
        <v>0</v>
      </c>
      <c r="Z5954" s="81" t="s">
        <v>50</v>
      </c>
      <c r="AA5954" s="86" t="s">
        <v>14723</v>
      </c>
      <c r="AB5954" s="80"/>
      <c r="AC5954" s="80" t="s">
        <v>53</v>
      </c>
      <c r="AD5954" s="80" t="s">
        <v>138</v>
      </c>
      <c r="AE5954" s="80" t="s">
        <v>11640</v>
      </c>
      <c r="AF5954" s="17">
        <v>45709</v>
      </c>
      <c r="AG5954" s="80"/>
      <c r="AH5954" s="80"/>
      <c r="AI5954" s="147"/>
      <c r="AJ5954" s="80"/>
      <c r="AK5954" s="80"/>
      <c r="AL5954" s="86"/>
      <c r="AM5954" s="86"/>
      <c r="AN5954" s="86"/>
      <c r="AO5954" s="86"/>
      <c r="AP5954" s="86"/>
    </row>
    <row r="5955" spans="1:42" x14ac:dyDescent="0.2">
      <c r="A5955" s="38">
        <v>45704</v>
      </c>
      <c r="B5955" s="137" t="s">
        <v>37</v>
      </c>
      <c r="C5955" s="41" t="s">
        <v>118</v>
      </c>
      <c r="D5955" s="80" t="s">
        <v>36</v>
      </c>
      <c r="E5955" s="80" t="s">
        <v>56</v>
      </c>
      <c r="F5955" s="80" t="s">
        <v>11640</v>
      </c>
      <c r="G5955" s="80" t="s">
        <v>108</v>
      </c>
      <c r="H5955" s="80" t="s">
        <v>16968</v>
      </c>
      <c r="I5955" s="17">
        <f ca="1">IFERROR(__xludf.DUMMYFUNCTION("""COMPUTED_VALUE"""),45763)</f>
        <v>45763</v>
      </c>
      <c r="J5955" s="143" t="s">
        <v>18090</v>
      </c>
      <c r="K5955" s="145" t="s">
        <v>19608</v>
      </c>
      <c r="L5955" s="30">
        <v>862393305</v>
      </c>
      <c r="M5955" s="80" t="s">
        <v>59</v>
      </c>
      <c r="N5955" s="80" t="s">
        <v>9294</v>
      </c>
      <c r="O5955" s="80" t="s">
        <v>18092</v>
      </c>
      <c r="P5955" s="80" t="s">
        <v>19609</v>
      </c>
      <c r="Q5955" s="20">
        <v>9317</v>
      </c>
      <c r="R5955" s="80" t="s">
        <v>36</v>
      </c>
      <c r="S5955" s="95">
        <f t="shared" si="171"/>
        <v>9317</v>
      </c>
      <c r="T5955" s="148" t="s">
        <v>18093</v>
      </c>
      <c r="U5955" s="77"/>
      <c r="V5955" s="78"/>
      <c r="W5955" s="85" t="s">
        <v>18094</v>
      </c>
      <c r="X5955" s="80"/>
      <c r="Y5955" s="22">
        <v>0</v>
      </c>
      <c r="Z5955" s="81" t="s">
        <v>50</v>
      </c>
      <c r="AA5955" s="82" t="s">
        <v>14723</v>
      </c>
      <c r="AB5955" s="80"/>
      <c r="AC5955" s="80" t="s">
        <v>53</v>
      </c>
      <c r="AD5955" s="80" t="s">
        <v>138</v>
      </c>
      <c r="AE5955" s="80" t="s">
        <v>11640</v>
      </c>
      <c r="AF5955" s="17">
        <v>45741</v>
      </c>
      <c r="AG5955" s="80"/>
      <c r="AH5955" s="80"/>
      <c r="AI5955" s="147"/>
      <c r="AJ5955" s="80"/>
      <c r="AK5955" s="80"/>
      <c r="AL5955" s="86"/>
      <c r="AM5955" s="86"/>
      <c r="AN5955" s="86"/>
      <c r="AO5955" s="86"/>
      <c r="AP5955" s="86"/>
    </row>
    <row r="5956" spans="1:42" x14ac:dyDescent="0.2">
      <c r="A5956" s="38">
        <v>45704</v>
      </c>
      <c r="B5956" s="137" t="s">
        <v>37</v>
      </c>
      <c r="C5956" s="41" t="s">
        <v>118</v>
      </c>
      <c r="D5956" s="80" t="s">
        <v>36</v>
      </c>
      <c r="E5956" s="80" t="s">
        <v>39</v>
      </c>
      <c r="F5956" s="80" t="s">
        <v>11640</v>
      </c>
      <c r="G5956" s="80" t="s">
        <v>108</v>
      </c>
      <c r="H5956" s="80" t="s">
        <v>19294</v>
      </c>
      <c r="I5956" s="17">
        <f ca="1">IFERROR(__xludf.DUMMYFUNCTION("""COMPUTED_VALUE"""),45709)</f>
        <v>45709</v>
      </c>
      <c r="J5956" s="143" t="s">
        <v>18171</v>
      </c>
      <c r="K5956" s="145" t="s">
        <v>18172</v>
      </c>
      <c r="L5956" s="30">
        <v>366502854</v>
      </c>
      <c r="M5956" s="80" t="s">
        <v>59</v>
      </c>
      <c r="N5956" s="80" t="s">
        <v>4299</v>
      </c>
      <c r="O5956" s="80" t="s">
        <v>18173</v>
      </c>
      <c r="P5956" s="80" t="s">
        <v>12687</v>
      </c>
      <c r="Q5956" s="20">
        <v>5736</v>
      </c>
      <c r="R5956" s="80" t="s">
        <v>36</v>
      </c>
      <c r="S5956" s="95">
        <v>5736</v>
      </c>
      <c r="T5956" s="148">
        <v>45621</v>
      </c>
      <c r="U5956" s="77"/>
      <c r="V5956" s="78"/>
      <c r="W5956" s="85" t="s">
        <v>18174</v>
      </c>
      <c r="X5956" s="80"/>
      <c r="Y5956" s="22">
        <v>0</v>
      </c>
      <c r="Z5956" s="81" t="s">
        <v>50</v>
      </c>
      <c r="AA5956" s="86" t="s">
        <v>14723</v>
      </c>
      <c r="AB5956" s="80"/>
      <c r="AC5956" s="80" t="s">
        <v>53</v>
      </c>
      <c r="AD5956" s="80" t="s">
        <v>138</v>
      </c>
      <c r="AE5956" s="80" t="s">
        <v>11640</v>
      </c>
      <c r="AF5956" s="17">
        <v>45709</v>
      </c>
      <c r="AG5956" s="80"/>
      <c r="AH5956" s="80"/>
      <c r="AI5956" s="147"/>
      <c r="AJ5956" s="80"/>
      <c r="AK5956" s="80"/>
      <c r="AL5956" s="86"/>
      <c r="AM5956" s="86"/>
      <c r="AN5956" s="86"/>
      <c r="AO5956" s="86"/>
      <c r="AP5956" s="86"/>
    </row>
    <row r="5957" spans="1:42" x14ac:dyDescent="0.2">
      <c r="A5957" s="38">
        <v>45704</v>
      </c>
      <c r="B5957" s="137" t="s">
        <v>37</v>
      </c>
      <c r="C5957" s="41" t="s">
        <v>118</v>
      </c>
      <c r="D5957" s="80" t="s">
        <v>36</v>
      </c>
      <c r="E5957" s="80" t="s">
        <v>139</v>
      </c>
      <c r="F5957" s="80" t="s">
        <v>11640</v>
      </c>
      <c r="G5957" s="80" t="s">
        <v>108</v>
      </c>
      <c r="H5957" s="80" t="s">
        <v>19294</v>
      </c>
      <c r="I5957" s="17">
        <f ca="1">IFERROR(__xludf.DUMMYFUNCTION("""COMPUTED_VALUE"""),45709)</f>
        <v>45709</v>
      </c>
      <c r="J5957" s="143" t="s">
        <v>18806</v>
      </c>
      <c r="K5957" s="145" t="s">
        <v>3582</v>
      </c>
      <c r="L5957" s="30">
        <v>866376962</v>
      </c>
      <c r="M5957" s="80" t="s">
        <v>45</v>
      </c>
      <c r="N5957" s="80" t="s">
        <v>1472</v>
      </c>
      <c r="O5957" s="80" t="s">
        <v>18807</v>
      </c>
      <c r="P5957" s="80" t="s">
        <v>7743</v>
      </c>
      <c r="Q5957" s="20">
        <v>15936</v>
      </c>
      <c r="R5957" s="80" t="s">
        <v>36</v>
      </c>
      <c r="S5957" s="95">
        <v>2000</v>
      </c>
      <c r="T5957" s="148">
        <v>45609</v>
      </c>
      <c r="U5957" s="95">
        <v>13936</v>
      </c>
      <c r="V5957" s="148">
        <v>45651</v>
      </c>
      <c r="W5957" s="85" t="s">
        <v>18808</v>
      </c>
      <c r="X5957" s="80"/>
      <c r="Y5957" s="22">
        <v>0</v>
      </c>
      <c r="Z5957" s="81" t="s">
        <v>50</v>
      </c>
      <c r="AA5957" s="82" t="s">
        <v>18579</v>
      </c>
      <c r="AB5957" s="86"/>
      <c r="AC5957" s="80" t="s">
        <v>53</v>
      </c>
      <c r="AD5957" s="80" t="s">
        <v>138</v>
      </c>
      <c r="AE5957" s="80" t="s">
        <v>11640</v>
      </c>
      <c r="AF5957" s="17">
        <v>45709</v>
      </c>
      <c r="AG5957" s="80"/>
      <c r="AH5957" s="80"/>
      <c r="AI5957" s="147"/>
      <c r="AJ5957" s="80"/>
      <c r="AK5957" s="80"/>
      <c r="AL5957" s="86"/>
      <c r="AM5957" s="86"/>
      <c r="AN5957" s="86"/>
      <c r="AO5957" s="86"/>
      <c r="AP5957" s="86"/>
    </row>
    <row r="5958" spans="1:42" x14ac:dyDescent="0.2">
      <c r="A5958" s="38">
        <v>45704</v>
      </c>
      <c r="B5958" s="137" t="s">
        <v>37</v>
      </c>
      <c r="C5958" s="41" t="s">
        <v>118</v>
      </c>
      <c r="D5958" s="80" t="s">
        <v>36</v>
      </c>
      <c r="E5958" s="80" t="s">
        <v>56</v>
      </c>
      <c r="F5958" s="80" t="s">
        <v>11640</v>
      </c>
      <c r="G5958" s="80" t="s">
        <v>108</v>
      </c>
      <c r="H5958" s="80" t="s">
        <v>19294</v>
      </c>
      <c r="I5958" s="17">
        <f ca="1">IFERROR(__xludf.DUMMYFUNCTION("""COMPUTED_VALUE"""),45709)</f>
        <v>45709</v>
      </c>
      <c r="J5958" s="143" t="s">
        <v>18944</v>
      </c>
      <c r="K5958" s="145" t="s">
        <v>18945</v>
      </c>
      <c r="L5958" s="30">
        <v>396998736</v>
      </c>
      <c r="M5958" s="80" t="s">
        <v>45</v>
      </c>
      <c r="N5958" s="80" t="s">
        <v>1472</v>
      </c>
      <c r="O5958" s="80" t="s">
        <v>18946</v>
      </c>
      <c r="P5958" s="80" t="s">
        <v>7743</v>
      </c>
      <c r="Q5958" s="20">
        <v>9317</v>
      </c>
      <c r="R5958" s="80" t="s">
        <v>3825</v>
      </c>
      <c r="S5958" s="95">
        <f t="shared" ref="S5958:S5961" si="172">500+8617</f>
        <v>9117</v>
      </c>
      <c r="T5958" s="148" t="s">
        <v>18947</v>
      </c>
      <c r="U5958" s="77"/>
      <c r="V5958" s="78"/>
      <c r="W5958" s="85" t="s">
        <v>18948</v>
      </c>
      <c r="X5958" s="80"/>
      <c r="Y5958" s="22">
        <v>200</v>
      </c>
      <c r="Z5958" s="81" t="s">
        <v>50</v>
      </c>
      <c r="AA5958" s="86" t="s">
        <v>18579</v>
      </c>
      <c r="AB5958" s="82"/>
      <c r="AC5958" s="80" t="s">
        <v>53</v>
      </c>
      <c r="AD5958" s="80" t="s">
        <v>138</v>
      </c>
      <c r="AE5958" s="80" t="s">
        <v>11640</v>
      </c>
      <c r="AF5958" s="17">
        <v>45709</v>
      </c>
      <c r="AG5958" s="80"/>
      <c r="AH5958" s="80"/>
      <c r="AI5958" s="147"/>
      <c r="AJ5958" s="80"/>
      <c r="AK5958" s="80"/>
      <c r="AL5958" s="86"/>
      <c r="AM5958" s="86"/>
      <c r="AN5958" s="86"/>
      <c r="AO5958" s="86"/>
      <c r="AP5958" s="86"/>
    </row>
    <row r="5959" spans="1:42" x14ac:dyDescent="0.2">
      <c r="A5959" s="38">
        <v>45704</v>
      </c>
      <c r="B5959" s="137" t="s">
        <v>37</v>
      </c>
      <c r="C5959" s="41" t="s">
        <v>118</v>
      </c>
      <c r="D5959" s="80" t="s">
        <v>36</v>
      </c>
      <c r="E5959" s="80" t="s">
        <v>56</v>
      </c>
      <c r="F5959" s="80" t="s">
        <v>11640</v>
      </c>
      <c r="G5959" s="80" t="s">
        <v>108</v>
      </c>
      <c r="H5959" s="80" t="s">
        <v>19294</v>
      </c>
      <c r="I5959" s="17">
        <f ca="1">IFERROR(__xludf.DUMMYFUNCTION("""COMPUTED_VALUE"""),45709)</f>
        <v>45709</v>
      </c>
      <c r="J5959" s="143" t="s">
        <v>18949</v>
      </c>
      <c r="K5959" s="145" t="s">
        <v>18950</v>
      </c>
      <c r="L5959" s="30">
        <v>378426659</v>
      </c>
      <c r="M5959" s="80" t="s">
        <v>45</v>
      </c>
      <c r="N5959" s="80" t="s">
        <v>1472</v>
      </c>
      <c r="O5959" s="80" t="s">
        <v>18951</v>
      </c>
      <c r="P5959" s="80" t="s">
        <v>3694</v>
      </c>
      <c r="Q5959" s="20">
        <v>9317</v>
      </c>
      <c r="R5959" s="80" t="s">
        <v>3825</v>
      </c>
      <c r="S5959" s="95">
        <f t="shared" si="172"/>
        <v>9117</v>
      </c>
      <c r="T5959" s="148" t="s">
        <v>18952</v>
      </c>
      <c r="U5959" s="77"/>
      <c r="V5959" s="78"/>
      <c r="W5959" s="85" t="s">
        <v>18953</v>
      </c>
      <c r="X5959" s="80"/>
      <c r="Y5959" s="22">
        <v>200</v>
      </c>
      <c r="Z5959" s="81" t="s">
        <v>50</v>
      </c>
      <c r="AA5959" s="82" t="s">
        <v>18579</v>
      </c>
      <c r="AB5959" s="86"/>
      <c r="AC5959" s="80" t="s">
        <v>53</v>
      </c>
      <c r="AD5959" s="80" t="s">
        <v>138</v>
      </c>
      <c r="AE5959" s="80" t="s">
        <v>11640</v>
      </c>
      <c r="AF5959" s="17">
        <v>45709</v>
      </c>
      <c r="AG5959" s="80"/>
      <c r="AH5959" s="80"/>
      <c r="AI5959" s="147"/>
      <c r="AJ5959" s="80"/>
      <c r="AK5959" s="80"/>
      <c r="AL5959" s="86"/>
      <c r="AM5959" s="86"/>
      <c r="AN5959" s="86"/>
      <c r="AO5959" s="86"/>
      <c r="AP5959" s="86"/>
    </row>
    <row r="5960" spans="1:42" x14ac:dyDescent="0.2">
      <c r="A5960" s="38">
        <v>45704</v>
      </c>
      <c r="B5960" s="137" t="s">
        <v>37</v>
      </c>
      <c r="C5960" s="41" t="s">
        <v>118</v>
      </c>
      <c r="D5960" s="80" t="s">
        <v>36</v>
      </c>
      <c r="E5960" s="80" t="s">
        <v>56</v>
      </c>
      <c r="F5960" s="80" t="s">
        <v>11640</v>
      </c>
      <c r="G5960" s="80" t="s">
        <v>108</v>
      </c>
      <c r="H5960" s="80" t="s">
        <v>19294</v>
      </c>
      <c r="I5960" s="17">
        <f ca="1">IFERROR(__xludf.DUMMYFUNCTION("""COMPUTED_VALUE"""),45709)</f>
        <v>45709</v>
      </c>
      <c r="J5960" s="172" t="s">
        <v>19610</v>
      </c>
      <c r="K5960" s="145" t="s">
        <v>18955</v>
      </c>
      <c r="L5960" s="30">
        <v>787408225</v>
      </c>
      <c r="M5960" s="80" t="s">
        <v>45</v>
      </c>
      <c r="N5960" s="80" t="s">
        <v>1472</v>
      </c>
      <c r="O5960" s="80" t="s">
        <v>18956</v>
      </c>
      <c r="P5960" s="80" t="s">
        <v>7743</v>
      </c>
      <c r="Q5960" s="20">
        <v>9317</v>
      </c>
      <c r="R5960" s="80" t="s">
        <v>3825</v>
      </c>
      <c r="S5960" s="95">
        <f t="shared" si="172"/>
        <v>9117</v>
      </c>
      <c r="T5960" s="148" t="s">
        <v>18952</v>
      </c>
      <c r="U5960" s="77"/>
      <c r="V5960" s="78"/>
      <c r="W5960" s="85" t="s">
        <v>18957</v>
      </c>
      <c r="X5960" s="80"/>
      <c r="Y5960" s="22">
        <v>200</v>
      </c>
      <c r="Z5960" s="81" t="s">
        <v>50</v>
      </c>
      <c r="AA5960" s="86" t="s">
        <v>18579</v>
      </c>
      <c r="AB5960" s="82"/>
      <c r="AC5960" s="80" t="s">
        <v>53</v>
      </c>
      <c r="AD5960" s="80" t="s">
        <v>138</v>
      </c>
      <c r="AE5960" s="80" t="s">
        <v>11640</v>
      </c>
      <c r="AF5960" s="17">
        <v>45709</v>
      </c>
      <c r="AG5960" s="80"/>
      <c r="AH5960" s="80"/>
      <c r="AI5960" s="147"/>
      <c r="AJ5960" s="80"/>
      <c r="AK5960" s="80"/>
      <c r="AL5960" s="86"/>
      <c r="AM5960" s="86"/>
      <c r="AN5960" s="86"/>
      <c r="AO5960" s="86"/>
      <c r="AP5960" s="86"/>
    </row>
    <row r="5961" spans="1:42" x14ac:dyDescent="0.2">
      <c r="A5961" s="38">
        <v>45704</v>
      </c>
      <c r="B5961" s="137" t="s">
        <v>37</v>
      </c>
      <c r="C5961" s="41" t="s">
        <v>118</v>
      </c>
      <c r="D5961" s="80" t="s">
        <v>36</v>
      </c>
      <c r="E5961" s="80" t="s">
        <v>56</v>
      </c>
      <c r="F5961" s="80" t="s">
        <v>11640</v>
      </c>
      <c r="G5961" s="80" t="s">
        <v>108</v>
      </c>
      <c r="H5961" s="80" t="s">
        <v>19294</v>
      </c>
      <c r="I5961" s="17">
        <f ca="1">IFERROR(__xludf.DUMMYFUNCTION("""COMPUTED_VALUE"""),45709)</f>
        <v>45709</v>
      </c>
      <c r="J5961" s="143" t="s">
        <v>18958</v>
      </c>
      <c r="K5961" s="145" t="s">
        <v>18959</v>
      </c>
      <c r="L5961" s="30">
        <v>386032006</v>
      </c>
      <c r="M5961" s="80" t="s">
        <v>45</v>
      </c>
      <c r="N5961" s="80" t="s">
        <v>1472</v>
      </c>
      <c r="O5961" s="80" t="s">
        <v>18960</v>
      </c>
      <c r="P5961" s="80" t="s">
        <v>3694</v>
      </c>
      <c r="Q5961" s="20">
        <v>9317</v>
      </c>
      <c r="R5961" s="80" t="s">
        <v>3825</v>
      </c>
      <c r="S5961" s="95">
        <f t="shared" si="172"/>
        <v>9117</v>
      </c>
      <c r="T5961" s="148" t="s">
        <v>18961</v>
      </c>
      <c r="U5961" s="77"/>
      <c r="V5961" s="78"/>
      <c r="W5961" s="85" t="s">
        <v>18962</v>
      </c>
      <c r="X5961" s="80"/>
      <c r="Y5961" s="22">
        <v>200</v>
      </c>
      <c r="Z5961" s="81" t="s">
        <v>50</v>
      </c>
      <c r="AA5961" s="82" t="s">
        <v>18579</v>
      </c>
      <c r="AB5961" s="86"/>
      <c r="AC5961" s="80" t="s">
        <v>53</v>
      </c>
      <c r="AD5961" s="80" t="s">
        <v>138</v>
      </c>
      <c r="AE5961" s="80" t="s">
        <v>11640</v>
      </c>
      <c r="AF5961" s="17">
        <v>45709</v>
      </c>
      <c r="AG5961" s="80"/>
      <c r="AH5961" s="80"/>
      <c r="AI5961" s="147"/>
      <c r="AJ5961" s="80"/>
      <c r="AK5961" s="80"/>
      <c r="AL5961" s="86"/>
      <c r="AM5961" s="86"/>
      <c r="AN5961" s="86"/>
      <c r="AO5961" s="86"/>
      <c r="AP5961" s="86"/>
    </row>
    <row r="5962" spans="1:42" x14ac:dyDescent="0.2">
      <c r="A5962" s="38">
        <v>45704</v>
      </c>
      <c r="B5962" s="28" t="s">
        <v>37</v>
      </c>
      <c r="C5962" s="41" t="s">
        <v>118</v>
      </c>
      <c r="D5962" s="80" t="s">
        <v>36</v>
      </c>
      <c r="E5962" s="80" t="s">
        <v>56</v>
      </c>
      <c r="F5962" s="80" t="s">
        <v>11640</v>
      </c>
      <c r="G5962" s="80" t="s">
        <v>108</v>
      </c>
      <c r="H5962" s="80" t="s">
        <v>19611</v>
      </c>
      <c r="I5962" s="17">
        <f ca="1">IFERROR(__xludf.DUMMYFUNCTION("""COMPUTED_VALUE"""),45797)</f>
        <v>45797</v>
      </c>
      <c r="J5962" s="143" t="s">
        <v>19028</v>
      </c>
      <c r="K5962" s="145" t="s">
        <v>19612</v>
      </c>
      <c r="L5962" s="30">
        <v>359723371</v>
      </c>
      <c r="M5962" s="80" t="s">
        <v>59</v>
      </c>
      <c r="N5962" s="80" t="s">
        <v>11476</v>
      </c>
      <c r="O5962" s="80" t="s">
        <v>19030</v>
      </c>
      <c r="P5962" s="80" t="s">
        <v>19031</v>
      </c>
      <c r="Q5962" s="20">
        <v>9317</v>
      </c>
      <c r="R5962" s="80" t="s">
        <v>36</v>
      </c>
      <c r="S5962" s="95">
        <v>9317</v>
      </c>
      <c r="T5962" s="148">
        <v>45628</v>
      </c>
      <c r="U5962" s="77"/>
      <c r="V5962" s="78"/>
      <c r="W5962" s="85" t="s">
        <v>19032</v>
      </c>
      <c r="X5962" s="80"/>
      <c r="Y5962" s="22">
        <v>0</v>
      </c>
      <c r="Z5962" s="81" t="s">
        <v>50</v>
      </c>
      <c r="AA5962" s="86" t="s">
        <v>18579</v>
      </c>
      <c r="AB5962" s="82"/>
      <c r="AC5962" s="80" t="s">
        <v>53</v>
      </c>
      <c r="AD5962" s="80" t="s">
        <v>138</v>
      </c>
      <c r="AE5962" s="80" t="s">
        <v>11640</v>
      </c>
      <c r="AF5962" s="17">
        <v>45709</v>
      </c>
      <c r="AG5962" s="80"/>
      <c r="AH5962" s="80"/>
      <c r="AI5962" s="147"/>
      <c r="AJ5962" s="80"/>
      <c r="AK5962" s="80"/>
      <c r="AL5962" s="86"/>
      <c r="AM5962" s="86"/>
      <c r="AN5962" s="86"/>
      <c r="AO5962" s="86"/>
      <c r="AP5962" s="86"/>
    </row>
    <row r="5963" spans="1:42" x14ac:dyDescent="0.2">
      <c r="A5963" s="38">
        <v>45704</v>
      </c>
      <c r="B5963" s="137" t="s">
        <v>37</v>
      </c>
      <c r="C5963" s="41" t="s">
        <v>118</v>
      </c>
      <c r="D5963" s="80" t="s">
        <v>36</v>
      </c>
      <c r="E5963" s="80" t="s">
        <v>39</v>
      </c>
      <c r="F5963" s="80" t="s">
        <v>11640</v>
      </c>
      <c r="G5963" s="80" t="s">
        <v>108</v>
      </c>
      <c r="H5963" s="80" t="s">
        <v>19294</v>
      </c>
      <c r="I5963" s="17">
        <f ca="1">IFERROR(__xludf.DUMMYFUNCTION("""COMPUTED_VALUE"""),45709)</f>
        <v>45709</v>
      </c>
      <c r="J5963" s="143" t="s">
        <v>19038</v>
      </c>
      <c r="K5963" s="145" t="s">
        <v>19039</v>
      </c>
      <c r="L5963" s="30">
        <v>913178103</v>
      </c>
      <c r="M5963" s="80" t="s">
        <v>15970</v>
      </c>
      <c r="N5963" s="80" t="s">
        <v>7210</v>
      </c>
      <c r="O5963" s="80" t="s">
        <v>7833</v>
      </c>
      <c r="P5963" s="80" t="s">
        <v>3178</v>
      </c>
      <c r="Q5963" s="20">
        <v>5736</v>
      </c>
      <c r="R5963" s="80" t="s">
        <v>36</v>
      </c>
      <c r="S5963" s="95">
        <f>200+5536</f>
        <v>5736</v>
      </c>
      <c r="T5963" s="148" t="s">
        <v>19040</v>
      </c>
      <c r="U5963" s="77"/>
      <c r="V5963" s="78"/>
      <c r="W5963" s="85" t="s">
        <v>19041</v>
      </c>
      <c r="X5963" s="80"/>
      <c r="Y5963" s="22">
        <v>0</v>
      </c>
      <c r="Z5963" s="81" t="s">
        <v>50</v>
      </c>
      <c r="AA5963" s="82" t="s">
        <v>18579</v>
      </c>
      <c r="AB5963" s="86"/>
      <c r="AC5963" s="80" t="s">
        <v>53</v>
      </c>
      <c r="AD5963" s="80" t="s">
        <v>138</v>
      </c>
      <c r="AE5963" s="80" t="s">
        <v>11640</v>
      </c>
      <c r="AF5963" s="17">
        <v>45709</v>
      </c>
      <c r="AG5963" s="80"/>
      <c r="AH5963" s="80"/>
      <c r="AI5963" s="147"/>
      <c r="AJ5963" s="80"/>
      <c r="AK5963" s="80"/>
      <c r="AL5963" s="86"/>
      <c r="AM5963" s="86"/>
      <c r="AN5963" s="86"/>
      <c r="AO5963" s="86"/>
      <c r="AP5963" s="86"/>
    </row>
    <row r="5964" spans="1:42" x14ac:dyDescent="0.2">
      <c r="A5964" s="38">
        <v>45704</v>
      </c>
      <c r="B5964" s="137" t="s">
        <v>37</v>
      </c>
      <c r="C5964" s="41" t="s">
        <v>118</v>
      </c>
      <c r="D5964" s="80" t="s">
        <v>36</v>
      </c>
      <c r="E5964" s="80" t="s">
        <v>139</v>
      </c>
      <c r="F5964" s="80" t="s">
        <v>11640</v>
      </c>
      <c r="G5964" s="80" t="s">
        <v>108</v>
      </c>
      <c r="H5964" s="80" t="s">
        <v>19294</v>
      </c>
      <c r="I5964" s="17">
        <f ca="1">IFERROR(__xludf.DUMMYFUNCTION("""COMPUTED_VALUE"""),45709)</f>
        <v>45709</v>
      </c>
      <c r="J5964" s="143" t="s">
        <v>19113</v>
      </c>
      <c r="K5964" s="145" t="s">
        <v>19114</v>
      </c>
      <c r="L5964" s="30">
        <v>947441865</v>
      </c>
      <c r="M5964" s="80" t="s">
        <v>45</v>
      </c>
      <c r="N5964" s="80" t="s">
        <v>12712</v>
      </c>
      <c r="O5964" s="80" t="s">
        <v>19115</v>
      </c>
      <c r="P5964" s="80" t="s">
        <v>3694</v>
      </c>
      <c r="Q5964" s="20">
        <v>15936</v>
      </c>
      <c r="R5964" s="80" t="s">
        <v>36</v>
      </c>
      <c r="S5964" s="95">
        <v>3000</v>
      </c>
      <c r="T5964" s="148">
        <v>45635</v>
      </c>
      <c r="U5964" s="95">
        <v>12963</v>
      </c>
      <c r="V5964" s="148">
        <v>45654</v>
      </c>
      <c r="W5964" s="85" t="s">
        <v>19116</v>
      </c>
      <c r="X5964" s="80"/>
      <c r="Y5964" s="22">
        <v>-27</v>
      </c>
      <c r="Z5964" s="81" t="s">
        <v>50</v>
      </c>
      <c r="AA5964" s="86" t="s">
        <v>18579</v>
      </c>
      <c r="AB5964" s="82"/>
      <c r="AC5964" s="80" t="s">
        <v>53</v>
      </c>
      <c r="AD5964" s="80" t="s">
        <v>138</v>
      </c>
      <c r="AE5964" s="80" t="s">
        <v>11640</v>
      </c>
      <c r="AF5964" s="17">
        <v>45709</v>
      </c>
      <c r="AG5964" s="80"/>
      <c r="AH5964" s="80"/>
      <c r="AI5964" s="147"/>
      <c r="AJ5964" s="80"/>
      <c r="AK5964" s="80"/>
      <c r="AL5964" s="86"/>
      <c r="AM5964" s="86"/>
      <c r="AN5964" s="86"/>
      <c r="AO5964" s="86"/>
      <c r="AP5964" s="86"/>
    </row>
    <row r="5965" spans="1:42" x14ac:dyDescent="0.2">
      <c r="A5965" s="38">
        <v>45704</v>
      </c>
      <c r="B5965" s="28" t="s">
        <v>37</v>
      </c>
      <c r="C5965" s="41" t="s">
        <v>118</v>
      </c>
      <c r="D5965" s="80" t="s">
        <v>36</v>
      </c>
      <c r="E5965" s="80" t="s">
        <v>139</v>
      </c>
      <c r="F5965" s="80" t="s">
        <v>11640</v>
      </c>
      <c r="G5965" s="80" t="s">
        <v>108</v>
      </c>
      <c r="H5965" s="80" t="s">
        <v>5764</v>
      </c>
      <c r="I5965" s="17" t="str">
        <f ca="1">IFERROR(__xludf.DUMMYFUNCTION("""COMPUTED_VALUE""")," ")</f>
        <v xml:space="preserve"> </v>
      </c>
      <c r="J5965" s="143" t="s">
        <v>18196</v>
      </c>
      <c r="K5965" s="80" t="s">
        <v>19613</v>
      </c>
      <c r="L5965" s="30">
        <v>376485290</v>
      </c>
      <c r="M5965" s="80" t="s">
        <v>9422</v>
      </c>
      <c r="N5965" s="80" t="s">
        <v>327</v>
      </c>
      <c r="O5965" s="80" t="s">
        <v>11607</v>
      </c>
      <c r="P5965" s="144" t="s">
        <v>18198</v>
      </c>
      <c r="Q5965" s="20">
        <v>15936</v>
      </c>
      <c r="R5965" s="80" t="s">
        <v>11421</v>
      </c>
      <c r="S5965" s="95">
        <v>2000</v>
      </c>
      <c r="T5965" s="148">
        <v>45621</v>
      </c>
      <c r="U5965" s="95">
        <v>13636</v>
      </c>
      <c r="V5965" s="148">
        <v>45624</v>
      </c>
      <c r="W5965" s="85" t="s">
        <v>18199</v>
      </c>
      <c r="X5965" s="80"/>
      <c r="Y5965" s="22">
        <v>300</v>
      </c>
      <c r="Z5965" s="81" t="s">
        <v>50</v>
      </c>
      <c r="AA5965" s="82" t="s">
        <v>14723</v>
      </c>
      <c r="AB5965" s="80"/>
      <c r="AC5965" s="80" t="s">
        <v>53</v>
      </c>
      <c r="AD5965" s="80" t="s">
        <v>138</v>
      </c>
      <c r="AE5965" s="80" t="s">
        <v>11640</v>
      </c>
      <c r="AF5965" s="60" t="s">
        <v>1829</v>
      </c>
      <c r="AG5965" s="80"/>
      <c r="AH5965" s="80"/>
      <c r="AI5965" s="147"/>
      <c r="AJ5965" s="80"/>
      <c r="AK5965" s="80"/>
      <c r="AL5965" s="86"/>
      <c r="AM5965" s="86"/>
      <c r="AN5965" s="86"/>
      <c r="AO5965" s="86"/>
      <c r="AP5965" s="86"/>
    </row>
    <row r="5966" spans="1:42" x14ac:dyDescent="0.2">
      <c r="A5966" s="38">
        <v>45704</v>
      </c>
      <c r="B5966" s="137" t="s">
        <v>37</v>
      </c>
      <c r="C5966" s="41" t="s">
        <v>118</v>
      </c>
      <c r="D5966" s="80" t="s">
        <v>36</v>
      </c>
      <c r="E5966" s="80" t="s">
        <v>56</v>
      </c>
      <c r="F5966" s="80" t="s">
        <v>11640</v>
      </c>
      <c r="G5966" s="80" t="s">
        <v>108</v>
      </c>
      <c r="H5966" s="80" t="s">
        <v>19174</v>
      </c>
      <c r="I5966" s="17">
        <f ca="1">IFERROR(__xludf.DUMMYFUNCTION("""COMPUTED_VALUE"""),45733)</f>
        <v>45733</v>
      </c>
      <c r="J5966" s="143" t="s">
        <v>19042</v>
      </c>
      <c r="K5966" s="80" t="s">
        <v>19043</v>
      </c>
      <c r="L5966" s="30">
        <v>916909829</v>
      </c>
      <c r="M5966" s="80" t="s">
        <v>45</v>
      </c>
      <c r="N5966" s="80" t="s">
        <v>1472</v>
      </c>
      <c r="O5966" s="80" t="s">
        <v>19044</v>
      </c>
      <c r="P5966" s="80" t="s">
        <v>3694</v>
      </c>
      <c r="Q5966" s="20">
        <v>9317</v>
      </c>
      <c r="R5966" s="80" t="s">
        <v>36</v>
      </c>
      <c r="S5966" s="95">
        <v>2000</v>
      </c>
      <c r="T5966" s="148">
        <v>45621</v>
      </c>
      <c r="U5966" s="95">
        <v>7317</v>
      </c>
      <c r="V5966" s="148">
        <v>45649</v>
      </c>
      <c r="W5966" s="85" t="s">
        <v>19045</v>
      </c>
      <c r="X5966" s="80"/>
      <c r="Y5966" s="22">
        <v>0</v>
      </c>
      <c r="Z5966" s="81" t="s">
        <v>50</v>
      </c>
      <c r="AA5966" s="86" t="s">
        <v>18579</v>
      </c>
      <c r="AB5966" s="86"/>
      <c r="AC5966" s="80" t="s">
        <v>53</v>
      </c>
      <c r="AD5966" s="80" t="s">
        <v>138</v>
      </c>
      <c r="AE5966" s="80" t="s">
        <v>11640</v>
      </c>
      <c r="AF5966" s="17">
        <v>45733</v>
      </c>
      <c r="AG5966" s="80"/>
      <c r="AH5966" s="80"/>
      <c r="AI5966" s="147"/>
      <c r="AJ5966" s="80"/>
      <c r="AK5966" s="80"/>
      <c r="AL5966" s="86"/>
      <c r="AM5966" s="86"/>
      <c r="AN5966" s="86"/>
      <c r="AO5966" s="86"/>
      <c r="AP5966" s="86"/>
    </row>
    <row r="5967" spans="1:42" x14ac:dyDescent="0.2">
      <c r="A5967" s="38">
        <v>45705</v>
      </c>
      <c r="B5967" s="137" t="s">
        <v>37</v>
      </c>
      <c r="C5967" s="41" t="s">
        <v>118</v>
      </c>
      <c r="D5967" s="26" t="s">
        <v>36</v>
      </c>
      <c r="E5967" s="26" t="s">
        <v>119</v>
      </c>
      <c r="F5967" s="26" t="s">
        <v>9820</v>
      </c>
      <c r="G5967" s="26" t="s">
        <v>1705</v>
      </c>
      <c r="H5967" s="26" t="s">
        <v>19614</v>
      </c>
      <c r="I5967" s="17">
        <f ca="1">IFERROR(__xludf.DUMMYFUNCTION("""COMPUTED_VALUE"""),45567)</f>
        <v>45567</v>
      </c>
      <c r="J5967" s="29" t="s">
        <v>10572</v>
      </c>
      <c r="K5967" s="26" t="s">
        <v>19615</v>
      </c>
      <c r="L5967" s="30">
        <v>382458066</v>
      </c>
      <c r="M5967" s="26" t="s">
        <v>3728</v>
      </c>
      <c r="N5967" s="26" t="s">
        <v>5312</v>
      </c>
      <c r="O5967" s="26" t="s">
        <v>10574</v>
      </c>
      <c r="P5967" s="42" t="s">
        <v>13671</v>
      </c>
      <c r="Q5967" s="20">
        <v>13968</v>
      </c>
      <c r="R5967" s="26" t="s">
        <v>36</v>
      </c>
      <c r="S5967" s="95">
        <v>4000</v>
      </c>
      <c r="T5967" s="148">
        <v>45480</v>
      </c>
      <c r="U5967" s="95">
        <v>9968</v>
      </c>
      <c r="V5967" s="148">
        <v>45507</v>
      </c>
      <c r="W5967" s="33" t="s">
        <v>10576</v>
      </c>
      <c r="X5967" s="26">
        <v>0</v>
      </c>
      <c r="Y5967" s="22">
        <v>0</v>
      </c>
      <c r="Z5967" s="26" t="s">
        <v>50</v>
      </c>
      <c r="AA5967" s="96" t="s">
        <v>10314</v>
      </c>
      <c r="AB5967" s="26"/>
      <c r="AC5967" s="26" t="s">
        <v>53</v>
      </c>
      <c r="AD5967" s="26" t="s">
        <v>54</v>
      </c>
      <c r="AE5967" s="26" t="s">
        <v>9820</v>
      </c>
      <c r="AF5967" s="17">
        <v>45707</v>
      </c>
      <c r="AG5967" s="26"/>
      <c r="AH5967" s="26"/>
      <c r="AI5967" s="40"/>
      <c r="AJ5967" s="26"/>
      <c r="AK5967" s="26"/>
      <c r="AL5967" s="35"/>
      <c r="AM5967" s="35"/>
      <c r="AN5967" s="35"/>
      <c r="AO5967" s="35"/>
      <c r="AP5967" s="35"/>
    </row>
    <row r="5968" spans="1:42" x14ac:dyDescent="0.2">
      <c r="A5968" s="38">
        <v>45705</v>
      </c>
      <c r="B5968" s="137" t="s">
        <v>37</v>
      </c>
      <c r="C5968" s="41" t="s">
        <v>118</v>
      </c>
      <c r="D5968" s="26" t="s">
        <v>36</v>
      </c>
      <c r="E5968" s="26" t="s">
        <v>139</v>
      </c>
      <c r="F5968" s="26" t="s">
        <v>11808</v>
      </c>
      <c r="G5968" s="80" t="s">
        <v>221</v>
      </c>
      <c r="H5968" s="26" t="s">
        <v>19616</v>
      </c>
      <c r="I5968" s="17">
        <f ca="1">IFERROR(__xludf.DUMMYFUNCTION("""COMPUTED_VALUE"""),45727)</f>
        <v>45727</v>
      </c>
      <c r="J5968" s="29" t="s">
        <v>10818</v>
      </c>
      <c r="K5968" s="26" t="s">
        <v>19617</v>
      </c>
      <c r="L5968" s="30">
        <v>354381239</v>
      </c>
      <c r="M5968" s="26" t="s">
        <v>80</v>
      </c>
      <c r="N5968" s="26" t="s">
        <v>466</v>
      </c>
      <c r="O5968" s="26" t="s">
        <v>10820</v>
      </c>
      <c r="P5968" s="42" t="s">
        <v>11810</v>
      </c>
      <c r="Q5968" s="20">
        <v>15936</v>
      </c>
      <c r="R5968" s="26" t="s">
        <v>36</v>
      </c>
      <c r="S5968" s="95">
        <f>200+1800</f>
        <v>2000</v>
      </c>
      <c r="T5968" s="83" t="s">
        <v>10822</v>
      </c>
      <c r="U5968" s="95">
        <v>13936</v>
      </c>
      <c r="V5968" s="148">
        <v>45530</v>
      </c>
      <c r="W5968" s="33" t="s">
        <v>10823</v>
      </c>
      <c r="X5968" s="26">
        <v>0</v>
      </c>
      <c r="Y5968" s="22">
        <v>0</v>
      </c>
      <c r="Z5968" s="26" t="s">
        <v>50</v>
      </c>
      <c r="AA5968" s="35" t="s">
        <v>10314</v>
      </c>
      <c r="AB5968" s="26"/>
      <c r="AC5968" s="26" t="s">
        <v>53</v>
      </c>
      <c r="AD5968" s="26" t="s">
        <v>54</v>
      </c>
      <c r="AE5968" s="26" t="s">
        <v>11808</v>
      </c>
      <c r="AF5968" s="17">
        <v>45712</v>
      </c>
      <c r="AG5968" s="26"/>
      <c r="AH5968" s="26"/>
      <c r="AI5968" s="40"/>
      <c r="AJ5968" s="26"/>
      <c r="AK5968" s="26"/>
      <c r="AL5968" s="35"/>
      <c r="AM5968" s="35"/>
      <c r="AN5968" s="35"/>
      <c r="AO5968" s="35"/>
      <c r="AP5968" s="35"/>
    </row>
    <row r="5969" spans="1:42" x14ac:dyDescent="0.2">
      <c r="A5969" s="38">
        <v>45705</v>
      </c>
      <c r="B5969" s="137" t="s">
        <v>37</v>
      </c>
      <c r="C5969" s="41" t="s">
        <v>118</v>
      </c>
      <c r="D5969" s="80" t="s">
        <v>36</v>
      </c>
      <c r="E5969" s="80" t="s">
        <v>119</v>
      </c>
      <c r="F5969" s="80" t="s">
        <v>8844</v>
      </c>
      <c r="G5969" s="80" t="s">
        <v>221</v>
      </c>
      <c r="H5969" s="80" t="s">
        <v>19618</v>
      </c>
      <c r="I5969" s="17">
        <f ca="1">IFERROR(__xludf.DUMMYFUNCTION("""COMPUTED_VALUE"""),45835)</f>
        <v>45835</v>
      </c>
      <c r="J5969" s="143" t="s">
        <v>17465</v>
      </c>
      <c r="K5969" s="80" t="s">
        <v>19619</v>
      </c>
      <c r="L5969" s="30">
        <v>368975015</v>
      </c>
      <c r="M5969" s="80" t="s">
        <v>12529</v>
      </c>
      <c r="N5969" s="80" t="s">
        <v>466</v>
      </c>
      <c r="O5969" s="80" t="s">
        <v>17467</v>
      </c>
      <c r="P5969" s="144" t="s">
        <v>19620</v>
      </c>
      <c r="Q5969" s="20">
        <v>13968</v>
      </c>
      <c r="R5969" s="80" t="s">
        <v>36</v>
      </c>
      <c r="S5969" s="95">
        <f>200+3800</f>
        <v>4000</v>
      </c>
      <c r="T5969" s="83" t="s">
        <v>17469</v>
      </c>
      <c r="U5969" s="95">
        <v>9968</v>
      </c>
      <c r="V5969" s="148">
        <v>45621</v>
      </c>
      <c r="W5969" s="80" t="s">
        <v>17470</v>
      </c>
      <c r="X5969" s="80"/>
      <c r="Y5969" s="22">
        <v>0</v>
      </c>
      <c r="Z5969" s="80" t="s">
        <v>50</v>
      </c>
      <c r="AA5969" s="86" t="s">
        <v>14723</v>
      </c>
      <c r="AB5969" s="80"/>
      <c r="AC5969" s="80" t="s">
        <v>53</v>
      </c>
      <c r="AD5969" s="80" t="s">
        <v>54</v>
      </c>
      <c r="AE5969" s="80" t="s">
        <v>8844</v>
      </c>
      <c r="AF5969" s="17">
        <v>45705</v>
      </c>
      <c r="AG5969" s="80" t="s">
        <v>8366</v>
      </c>
      <c r="AH5969" s="80"/>
      <c r="AI5969" s="147"/>
      <c r="AJ5969" s="80"/>
      <c r="AK5969" s="80"/>
      <c r="AL5969" s="35"/>
      <c r="AM5969" s="35"/>
      <c r="AN5969" s="35"/>
      <c r="AO5969" s="35"/>
      <c r="AP5969" s="35"/>
    </row>
    <row r="5970" spans="1:42" x14ac:dyDescent="0.2">
      <c r="A5970" s="38">
        <v>45705</v>
      </c>
      <c r="B5970" s="137" t="s">
        <v>37</v>
      </c>
      <c r="C5970" s="41" t="s">
        <v>118</v>
      </c>
      <c r="D5970" s="80" t="s">
        <v>36</v>
      </c>
      <c r="E5970" s="80" t="s">
        <v>139</v>
      </c>
      <c r="F5970" s="80" t="s">
        <v>9785</v>
      </c>
      <c r="G5970" s="26" t="s">
        <v>108</v>
      </c>
      <c r="H5970" s="80" t="s">
        <v>10297</v>
      </c>
      <c r="I5970" s="17">
        <f ca="1">IFERROR(__xludf.DUMMYFUNCTION("""COMPUTED_VALUE"""),45727)</f>
        <v>45727</v>
      </c>
      <c r="J5970" s="143" t="s">
        <v>12297</v>
      </c>
      <c r="K5970" s="80" t="s">
        <v>19621</v>
      </c>
      <c r="L5970" s="30">
        <v>929556399</v>
      </c>
      <c r="M5970" s="80" t="s">
        <v>123</v>
      </c>
      <c r="N5970" s="80" t="s">
        <v>186</v>
      </c>
      <c r="O5970" s="80" t="s">
        <v>4503</v>
      </c>
      <c r="P5970" s="144" t="s">
        <v>12299</v>
      </c>
      <c r="Q5970" s="20">
        <v>15936</v>
      </c>
      <c r="R5970" s="80" t="s">
        <v>36</v>
      </c>
      <c r="S5970" s="95">
        <f>200+4000</f>
        <v>4200</v>
      </c>
      <c r="T5970" s="83" t="s">
        <v>12300</v>
      </c>
      <c r="U5970" s="95">
        <v>11736</v>
      </c>
      <c r="V5970" s="148">
        <v>45552</v>
      </c>
      <c r="W5970" s="85" t="s">
        <v>12301</v>
      </c>
      <c r="X5970" s="80">
        <v>0</v>
      </c>
      <c r="Y5970" s="22">
        <v>0</v>
      </c>
      <c r="Z5970" s="80" t="s">
        <v>50</v>
      </c>
      <c r="AA5970" s="35" t="s">
        <v>3291</v>
      </c>
      <c r="AB5970" s="80"/>
      <c r="AC5970" s="80" t="s">
        <v>53</v>
      </c>
      <c r="AD5970" s="80" t="s">
        <v>54</v>
      </c>
      <c r="AE5970" s="80" t="s">
        <v>9785</v>
      </c>
      <c r="AF5970" s="181">
        <v>45582</v>
      </c>
      <c r="AG5970" s="80"/>
      <c r="AH5970" s="80"/>
      <c r="AI5970" s="147" t="s">
        <v>147</v>
      </c>
      <c r="AJ5970" s="80"/>
      <c r="AK5970" s="80"/>
      <c r="AL5970" s="35"/>
      <c r="AM5970" s="35"/>
      <c r="AN5970" s="35"/>
      <c r="AO5970" s="35"/>
      <c r="AP5970" s="35"/>
    </row>
    <row r="5971" spans="1:42" x14ac:dyDescent="0.2">
      <c r="A5971" s="38">
        <v>45705</v>
      </c>
      <c r="B5971" s="137" t="s">
        <v>37</v>
      </c>
      <c r="C5971" s="41" t="s">
        <v>118</v>
      </c>
      <c r="D5971" s="80" t="s">
        <v>36</v>
      </c>
      <c r="E5971" s="80" t="s">
        <v>56</v>
      </c>
      <c r="F5971" s="26" t="s">
        <v>10199</v>
      </c>
      <c r="G5971" s="80" t="s">
        <v>221</v>
      </c>
      <c r="H5971" s="80" t="s">
        <v>19622</v>
      </c>
      <c r="I5971" s="17">
        <f ca="1">IFERROR(__xludf.DUMMYFUNCTION("""COMPUTED_VALUE"""),45741)</f>
        <v>45741</v>
      </c>
      <c r="J5971" s="143" t="s">
        <v>12590</v>
      </c>
      <c r="K5971" s="80" t="s">
        <v>19623</v>
      </c>
      <c r="L5971" s="30">
        <v>383038266</v>
      </c>
      <c r="M5971" s="80" t="s">
        <v>5558</v>
      </c>
      <c r="N5971" s="80" t="s">
        <v>5559</v>
      </c>
      <c r="O5971" s="80" t="s">
        <v>4503</v>
      </c>
      <c r="P5971" s="144" t="s">
        <v>13954</v>
      </c>
      <c r="Q5971" s="20">
        <v>9317</v>
      </c>
      <c r="R5971" s="80" t="s">
        <v>36</v>
      </c>
      <c r="S5971" s="95">
        <v>2000</v>
      </c>
      <c r="T5971" s="148">
        <v>45535</v>
      </c>
      <c r="U5971" s="95">
        <v>7317</v>
      </c>
      <c r="V5971" s="148">
        <v>45559</v>
      </c>
      <c r="W5971" s="85" t="s">
        <v>12593</v>
      </c>
      <c r="X5971" s="80">
        <v>0</v>
      </c>
      <c r="Y5971" s="22">
        <v>0</v>
      </c>
      <c r="Z5971" s="80" t="s">
        <v>50</v>
      </c>
      <c r="AA5971" s="96" t="s">
        <v>3291</v>
      </c>
      <c r="AB5971" s="80"/>
      <c r="AC5971" s="80" t="s">
        <v>53</v>
      </c>
      <c r="AD5971" s="80" t="s">
        <v>54</v>
      </c>
      <c r="AE5971" s="26" t="s">
        <v>10199</v>
      </c>
      <c r="AF5971" s="17">
        <v>45705</v>
      </c>
      <c r="AG5971" s="80"/>
      <c r="AH5971" s="80"/>
      <c r="AI5971" s="147" t="s">
        <v>64</v>
      </c>
      <c r="AJ5971" s="80"/>
      <c r="AK5971" s="80"/>
      <c r="AL5971" s="35"/>
      <c r="AM5971" s="35"/>
      <c r="AN5971" s="35"/>
      <c r="AO5971" s="35"/>
      <c r="AP5971" s="35"/>
    </row>
    <row r="5972" spans="1:42" x14ac:dyDescent="0.2">
      <c r="A5972" s="38">
        <v>45705</v>
      </c>
      <c r="B5972" s="137" t="s">
        <v>37</v>
      </c>
      <c r="C5972" s="41" t="s">
        <v>118</v>
      </c>
      <c r="D5972" s="80" t="s">
        <v>36</v>
      </c>
      <c r="E5972" s="80" t="s">
        <v>39</v>
      </c>
      <c r="F5972" s="80" t="s">
        <v>16705</v>
      </c>
      <c r="G5972" s="80" t="s">
        <v>108</v>
      </c>
      <c r="H5972" s="80" t="s">
        <v>10246</v>
      </c>
      <c r="I5972" s="17">
        <f ca="1">IFERROR(__xludf.DUMMYFUNCTION("""COMPUTED_VALUE"""),45716)</f>
        <v>45716</v>
      </c>
      <c r="J5972" s="143" t="s">
        <v>18012</v>
      </c>
      <c r="K5972" s="80" t="s">
        <v>19624</v>
      </c>
      <c r="L5972" s="30">
        <v>941946272</v>
      </c>
      <c r="M5972" s="80" t="s">
        <v>5558</v>
      </c>
      <c r="N5972" s="80" t="s">
        <v>5559</v>
      </c>
      <c r="O5972" s="80" t="s">
        <v>4503</v>
      </c>
      <c r="P5972" s="144" t="s">
        <v>19625</v>
      </c>
      <c r="Q5972" s="20">
        <v>5736</v>
      </c>
      <c r="R5972" s="80" t="s">
        <v>36</v>
      </c>
      <c r="S5972" s="95">
        <f>200+1800</f>
        <v>2000</v>
      </c>
      <c r="T5972" s="83" t="s">
        <v>18015</v>
      </c>
      <c r="U5972" s="95">
        <v>3736</v>
      </c>
      <c r="V5972" s="148">
        <v>45626</v>
      </c>
      <c r="W5972" s="85" t="s">
        <v>18016</v>
      </c>
      <c r="X5972" s="80"/>
      <c r="Y5972" s="22">
        <v>0</v>
      </c>
      <c r="Z5972" s="80" t="s">
        <v>50</v>
      </c>
      <c r="AA5972" s="86" t="s">
        <v>14723</v>
      </c>
      <c r="AB5972" s="80"/>
      <c r="AC5972" s="80" t="s">
        <v>53</v>
      </c>
      <c r="AD5972" s="80" t="s">
        <v>54</v>
      </c>
      <c r="AE5972" s="80" t="s">
        <v>16705</v>
      </c>
      <c r="AF5972" s="17">
        <v>45712</v>
      </c>
      <c r="AG5972" s="80"/>
      <c r="AH5972" s="80"/>
      <c r="AI5972" s="147"/>
      <c r="AJ5972" s="80"/>
      <c r="AK5972" s="80"/>
      <c r="AL5972" s="35"/>
      <c r="AM5972" s="35"/>
      <c r="AN5972" s="35"/>
      <c r="AO5972" s="35"/>
      <c r="AP5972" s="35"/>
    </row>
    <row r="5973" spans="1:42" x14ac:dyDescent="0.2">
      <c r="A5973" s="38">
        <v>45705</v>
      </c>
      <c r="B5973" s="137" t="s">
        <v>37</v>
      </c>
      <c r="C5973" s="41" t="s">
        <v>118</v>
      </c>
      <c r="D5973" s="80" t="s">
        <v>36</v>
      </c>
      <c r="E5973" s="80" t="s">
        <v>139</v>
      </c>
      <c r="F5973" s="26" t="s">
        <v>10199</v>
      </c>
      <c r="G5973" s="80" t="s">
        <v>221</v>
      </c>
      <c r="H5973" s="80" t="s">
        <v>19448</v>
      </c>
      <c r="I5973" s="17">
        <f ca="1">IFERROR(__xludf.DUMMYFUNCTION("""COMPUTED_VALUE"""),45715)</f>
        <v>45715</v>
      </c>
      <c r="J5973" s="143" t="s">
        <v>12610</v>
      </c>
      <c r="K5973" s="80" t="s">
        <v>12611</v>
      </c>
      <c r="L5973" s="30">
        <v>866115013</v>
      </c>
      <c r="M5973" s="80" t="s">
        <v>3288</v>
      </c>
      <c r="N5973" s="80" t="s">
        <v>200</v>
      </c>
      <c r="O5973" s="80" t="s">
        <v>12612</v>
      </c>
      <c r="P5973" s="144" t="s">
        <v>19626</v>
      </c>
      <c r="Q5973" s="20">
        <v>15936</v>
      </c>
      <c r="R5973" s="80" t="s">
        <v>36</v>
      </c>
      <c r="S5973" s="95">
        <v>1968</v>
      </c>
      <c r="T5973" s="148">
        <v>45537</v>
      </c>
      <c r="U5973" s="95">
        <v>13968</v>
      </c>
      <c r="V5973" s="148">
        <v>45554</v>
      </c>
      <c r="W5973" s="85" t="s">
        <v>12614</v>
      </c>
      <c r="X5973" s="80">
        <v>0</v>
      </c>
      <c r="Y5973" s="22">
        <v>0</v>
      </c>
      <c r="Z5973" s="80" t="s">
        <v>50</v>
      </c>
      <c r="AA5973" s="96" t="s">
        <v>3291</v>
      </c>
      <c r="AB5973" s="80"/>
      <c r="AC5973" s="80" t="s">
        <v>53</v>
      </c>
      <c r="AD5973" s="80" t="s">
        <v>54</v>
      </c>
      <c r="AE5973" s="26" t="s">
        <v>10199</v>
      </c>
      <c r="AF5973" s="17">
        <v>45712</v>
      </c>
      <c r="AG5973" s="80"/>
      <c r="AH5973" s="80"/>
      <c r="AI5973" s="147" t="s">
        <v>147</v>
      </c>
      <c r="AJ5973" s="80"/>
      <c r="AK5973" s="80"/>
      <c r="AL5973" s="35"/>
      <c r="AM5973" s="35"/>
      <c r="AN5973" s="35"/>
      <c r="AO5973" s="35"/>
      <c r="AP5973" s="35"/>
    </row>
    <row r="5974" spans="1:42" x14ac:dyDescent="0.2">
      <c r="A5974" s="38">
        <v>45706</v>
      </c>
      <c r="B5974" s="137" t="s">
        <v>37</v>
      </c>
      <c r="C5974" s="41" t="s">
        <v>118</v>
      </c>
      <c r="D5974" s="26" t="s">
        <v>36</v>
      </c>
      <c r="E5974" s="26" t="s">
        <v>39</v>
      </c>
      <c r="F5974" s="26" t="s">
        <v>7112</v>
      </c>
      <c r="G5974" s="80" t="s">
        <v>108</v>
      </c>
      <c r="H5974" s="80" t="s">
        <v>19627</v>
      </c>
      <c r="I5974" s="17" t="str">
        <f ca="1">IFERROR(__xludf.DUMMYFUNCTION("""COMPUTED_VALUE""")," ")</f>
        <v xml:space="preserve"> </v>
      </c>
      <c r="J5974" s="29" t="s">
        <v>8203</v>
      </c>
      <c r="K5974" s="26" t="s">
        <v>8204</v>
      </c>
      <c r="L5974" s="30">
        <v>963854382</v>
      </c>
      <c r="M5974" s="26" t="s">
        <v>123</v>
      </c>
      <c r="N5974" s="26" t="s">
        <v>8205</v>
      </c>
      <c r="O5974" s="26" t="s">
        <v>4503</v>
      </c>
      <c r="P5974" s="26" t="s">
        <v>19628</v>
      </c>
      <c r="Q5974" s="20">
        <v>5736</v>
      </c>
      <c r="R5974" s="26" t="s">
        <v>36</v>
      </c>
      <c r="S5974" s="31">
        <v>5736</v>
      </c>
      <c r="T5974" s="32">
        <v>45383</v>
      </c>
      <c r="U5974" s="31"/>
      <c r="V5974" s="32"/>
      <c r="W5974" s="33" t="s">
        <v>8207</v>
      </c>
      <c r="X5974" s="26"/>
      <c r="Y5974" s="22">
        <v>0</v>
      </c>
      <c r="Z5974" s="26" t="s">
        <v>50</v>
      </c>
      <c r="AA5974" s="19" t="s">
        <v>8102</v>
      </c>
      <c r="AB5974" s="26" t="s">
        <v>4503</v>
      </c>
      <c r="AC5974" s="26" t="s">
        <v>53</v>
      </c>
      <c r="AD5974" s="19" t="s">
        <v>54</v>
      </c>
      <c r="AE5974" s="26" t="s">
        <v>7112</v>
      </c>
      <c r="AF5974" s="17">
        <v>45712</v>
      </c>
      <c r="AG5974" s="26"/>
      <c r="AH5974" s="26"/>
      <c r="AI5974" s="40"/>
      <c r="AJ5974" s="26"/>
      <c r="AK5974" s="26"/>
      <c r="AL5974" s="35"/>
      <c r="AM5974" s="35"/>
      <c r="AN5974" s="35"/>
      <c r="AO5974" s="35"/>
      <c r="AP5974" s="35"/>
    </row>
    <row r="5975" spans="1:42" x14ac:dyDescent="0.2">
      <c r="A5975" s="38">
        <v>45706</v>
      </c>
      <c r="B5975" s="137" t="s">
        <v>37</v>
      </c>
      <c r="C5975" s="41" t="s">
        <v>118</v>
      </c>
      <c r="D5975" s="26" t="s">
        <v>36</v>
      </c>
      <c r="E5975" s="26" t="s">
        <v>119</v>
      </c>
      <c r="F5975" s="80" t="s">
        <v>7016</v>
      </c>
      <c r="G5975" s="26" t="s">
        <v>1705</v>
      </c>
      <c r="H5975" s="26" t="s">
        <v>19629</v>
      </c>
      <c r="I5975" s="17">
        <f ca="1">IFERROR(__xludf.DUMMYFUNCTION("""COMPUTED_VALUE"""),45654)</f>
        <v>45654</v>
      </c>
      <c r="J5975" s="29" t="s">
        <v>8107</v>
      </c>
      <c r="K5975" s="19" t="s">
        <v>19630</v>
      </c>
      <c r="L5975" s="30">
        <v>981919548</v>
      </c>
      <c r="M5975" s="26" t="s">
        <v>5518</v>
      </c>
      <c r="N5975" s="26" t="s">
        <v>186</v>
      </c>
      <c r="O5975" s="26" t="s">
        <v>8109</v>
      </c>
      <c r="P5975" s="42" t="s">
        <v>8990</v>
      </c>
      <c r="Q5975" s="20">
        <v>13968</v>
      </c>
      <c r="R5975" s="26" t="s">
        <v>36</v>
      </c>
      <c r="S5975" s="31">
        <v>4000</v>
      </c>
      <c r="T5975" s="32">
        <v>45301</v>
      </c>
      <c r="U5975" s="31">
        <v>9968</v>
      </c>
      <c r="V5975" s="32">
        <v>45392</v>
      </c>
      <c r="W5975" s="33" t="s">
        <v>8111</v>
      </c>
      <c r="X5975" s="26"/>
      <c r="Y5975" s="22">
        <v>0</v>
      </c>
      <c r="Z5975" s="26" t="s">
        <v>118</v>
      </c>
      <c r="AA5975" s="19" t="s">
        <v>8102</v>
      </c>
      <c r="AB5975" s="26"/>
      <c r="AC5975" s="26" t="s">
        <v>53</v>
      </c>
      <c r="AD5975" s="19" t="s">
        <v>54</v>
      </c>
      <c r="AE5975" s="80" t="s">
        <v>7016</v>
      </c>
      <c r="AF5975" s="17">
        <v>45707</v>
      </c>
      <c r="AG5975" s="26"/>
      <c r="AH5975" s="26"/>
      <c r="AI5975" s="40"/>
      <c r="AJ5975" s="26"/>
      <c r="AK5975" s="26"/>
      <c r="AL5975" s="35"/>
      <c r="AM5975" s="35"/>
      <c r="AN5975" s="35"/>
      <c r="AO5975" s="35"/>
      <c r="AP5975" s="35"/>
    </row>
    <row r="5976" spans="1:42" x14ac:dyDescent="0.2">
      <c r="A5976" s="38">
        <v>45706</v>
      </c>
      <c r="B5976" s="137" t="s">
        <v>37</v>
      </c>
      <c r="C5976" s="41" t="s">
        <v>118</v>
      </c>
      <c r="D5976" s="80" t="s">
        <v>36</v>
      </c>
      <c r="E5976" s="80" t="s">
        <v>139</v>
      </c>
      <c r="F5976" s="26" t="s">
        <v>8844</v>
      </c>
      <c r="G5976" s="26" t="s">
        <v>108</v>
      </c>
      <c r="H5976" s="26" t="s">
        <v>10246</v>
      </c>
      <c r="I5976" s="17">
        <f ca="1">IFERROR(__xludf.DUMMYFUNCTION("""COMPUTED_VALUE"""),45716)</f>
        <v>45716</v>
      </c>
      <c r="J5976" s="143" t="s">
        <v>13946</v>
      </c>
      <c r="K5976" s="80" t="s">
        <v>19631</v>
      </c>
      <c r="L5976" s="30">
        <v>393066196</v>
      </c>
      <c r="M5976" s="80" t="s">
        <v>80</v>
      </c>
      <c r="N5976" s="80" t="s">
        <v>1073</v>
      </c>
      <c r="O5976" s="80" t="s">
        <v>13948</v>
      </c>
      <c r="P5976" s="144" t="s">
        <v>19632</v>
      </c>
      <c r="Q5976" s="20">
        <v>15936</v>
      </c>
      <c r="R5976" s="80" t="s">
        <v>36</v>
      </c>
      <c r="S5976" s="95">
        <f>200+1800</f>
        <v>2000</v>
      </c>
      <c r="T5976" s="83" t="s">
        <v>13950</v>
      </c>
      <c r="U5976" s="95">
        <f>10000+3936</f>
        <v>13936</v>
      </c>
      <c r="V5976" s="83" t="s">
        <v>13951</v>
      </c>
      <c r="W5976" s="85" t="s">
        <v>13952</v>
      </c>
      <c r="X5976" s="80">
        <v>0</v>
      </c>
      <c r="Y5976" s="22">
        <v>0</v>
      </c>
      <c r="Z5976" s="26" t="s">
        <v>118</v>
      </c>
      <c r="AA5976" s="86"/>
      <c r="AB5976" s="80"/>
      <c r="AC5976" s="80" t="s">
        <v>53</v>
      </c>
      <c r="AD5976" s="80" t="s">
        <v>54</v>
      </c>
      <c r="AE5976" s="26" t="s">
        <v>8844</v>
      </c>
      <c r="AF5976" s="17">
        <v>45712</v>
      </c>
      <c r="AG5976" s="60" t="s">
        <v>13801</v>
      </c>
      <c r="AH5976" s="80"/>
      <c r="AI5976" s="147"/>
      <c r="AJ5976" s="80"/>
      <c r="AK5976" s="80"/>
      <c r="AL5976" s="35"/>
      <c r="AM5976" s="35"/>
      <c r="AN5976" s="35"/>
      <c r="AO5976" s="35"/>
      <c r="AP5976" s="35"/>
    </row>
    <row r="5977" spans="1:42" x14ac:dyDescent="0.2">
      <c r="A5977" s="126">
        <v>45541.514015879628</v>
      </c>
      <c r="B5977" s="137" t="s">
        <v>37</v>
      </c>
      <c r="C5977" s="41" t="s">
        <v>118</v>
      </c>
      <c r="D5977" s="80" t="s">
        <v>36</v>
      </c>
      <c r="E5977" s="80" t="s">
        <v>139</v>
      </c>
      <c r="F5977" s="80" t="s">
        <v>36</v>
      </c>
      <c r="G5977" s="80" t="s">
        <v>41</v>
      </c>
      <c r="H5977" s="80" t="s">
        <v>19121</v>
      </c>
      <c r="I5977" s="17">
        <f ca="1">IFERROR(__xludf.DUMMYFUNCTION("""COMPUTED_VALUE"""),45659)</f>
        <v>45659</v>
      </c>
      <c r="J5977" s="143" t="s">
        <v>19633</v>
      </c>
      <c r="K5977" s="80" t="s">
        <v>19634</v>
      </c>
      <c r="L5977" s="30">
        <v>975766064</v>
      </c>
      <c r="M5977" s="80" t="s">
        <v>5429</v>
      </c>
      <c r="N5977" s="80" t="s">
        <v>3065</v>
      </c>
      <c r="O5977" s="80" t="s">
        <v>61</v>
      </c>
      <c r="P5977" s="115" t="s">
        <v>19635</v>
      </c>
      <c r="Q5977" s="20">
        <v>15936</v>
      </c>
      <c r="R5977" s="80" t="s">
        <v>36</v>
      </c>
      <c r="S5977" s="95">
        <v>2000</v>
      </c>
      <c r="T5977" s="148">
        <v>45541</v>
      </c>
      <c r="U5977" s="95">
        <v>13936</v>
      </c>
      <c r="V5977" s="148">
        <v>45677</v>
      </c>
      <c r="W5977" s="85" t="s">
        <v>19636</v>
      </c>
      <c r="X5977" s="80"/>
      <c r="Y5977" s="22">
        <v>0</v>
      </c>
      <c r="Z5977" s="80" t="s">
        <v>50</v>
      </c>
      <c r="AA5977" s="82" t="s">
        <v>18583</v>
      </c>
      <c r="AB5977" s="86"/>
      <c r="AC5977" s="80" t="s">
        <v>53</v>
      </c>
      <c r="AD5977" s="80" t="s">
        <v>54</v>
      </c>
      <c r="AE5977" s="80" t="s">
        <v>72</v>
      </c>
      <c r="AF5977" s="17">
        <v>45659</v>
      </c>
      <c r="AG5977" s="60" t="s">
        <v>19637</v>
      </c>
      <c r="AH5977" s="80"/>
      <c r="AI5977" s="147"/>
      <c r="AJ5977" s="80">
        <f>COUNTIF(K5977:K6117,K5977)</f>
        <v>1</v>
      </c>
      <c r="AK5977" s="80"/>
      <c r="AL5977" s="35"/>
      <c r="AM5977" s="35"/>
      <c r="AN5977" s="35"/>
      <c r="AO5977" s="35"/>
      <c r="AP5977" s="35"/>
    </row>
    <row r="5978" spans="1:42" x14ac:dyDescent="0.2">
      <c r="A5978" s="126">
        <v>45556.761324004634</v>
      </c>
      <c r="B5978" s="137" t="s">
        <v>37</v>
      </c>
      <c r="C5978" s="41" t="s">
        <v>118</v>
      </c>
      <c r="D5978" s="80" t="s">
        <v>36</v>
      </c>
      <c r="E5978" s="80" t="s">
        <v>139</v>
      </c>
      <c r="F5978" s="80" t="s">
        <v>40</v>
      </c>
      <c r="G5978" s="80" t="s">
        <v>41</v>
      </c>
      <c r="H5978" s="80" t="s">
        <v>11640</v>
      </c>
      <c r="I5978" s="17">
        <f ca="1">IFERROR(__xludf.DUMMYFUNCTION("""COMPUTED_VALUE"""),45636)</f>
        <v>45636</v>
      </c>
      <c r="J5978" s="143" t="s">
        <v>19587</v>
      </c>
      <c r="K5978" s="80" t="s">
        <v>19638</v>
      </c>
      <c r="L5978" s="30">
        <v>838100997</v>
      </c>
      <c r="M5978" s="80" t="s">
        <v>910</v>
      </c>
      <c r="N5978" s="80" t="s">
        <v>3525</v>
      </c>
      <c r="O5978" s="80" t="s">
        <v>19589</v>
      </c>
      <c r="P5978" s="80" t="s">
        <v>12578</v>
      </c>
      <c r="Q5978" s="20">
        <v>15936</v>
      </c>
      <c r="R5978" s="80" t="s">
        <v>36</v>
      </c>
      <c r="S5978" s="95">
        <f>200+1800</f>
        <v>2000</v>
      </c>
      <c r="T5978" s="83" t="s">
        <v>19590</v>
      </c>
      <c r="U5978" s="95">
        <v>13936</v>
      </c>
      <c r="V5978" s="148">
        <v>45672</v>
      </c>
      <c r="W5978" s="85" t="s">
        <v>19591</v>
      </c>
      <c r="X5978" s="80"/>
      <c r="Y5978" s="22">
        <v>0</v>
      </c>
      <c r="Z5978" s="80" t="s">
        <v>50</v>
      </c>
      <c r="AA5978" s="86" t="s">
        <v>18583</v>
      </c>
      <c r="AB5978" s="82"/>
      <c r="AC5978" s="80" t="s">
        <v>53</v>
      </c>
      <c r="AD5978" s="80" t="s">
        <v>138</v>
      </c>
      <c r="AE5978" s="80"/>
      <c r="AF5978" s="43">
        <v>45636</v>
      </c>
      <c r="AG5978" s="80"/>
      <c r="AH5978" s="80"/>
      <c r="AI5978" s="147"/>
      <c r="AJ5978" s="80">
        <f>COUNTIF(K5978:K6115,K5978)</f>
        <v>1</v>
      </c>
      <c r="AK5978" s="80"/>
      <c r="AL5978" s="35"/>
      <c r="AM5978" s="35"/>
      <c r="AN5978" s="35"/>
      <c r="AO5978" s="35"/>
      <c r="AP5978" s="35"/>
    </row>
    <row r="5979" spans="1:42" x14ac:dyDescent="0.2">
      <c r="A5979" s="126">
        <v>45568.332305891206</v>
      </c>
      <c r="B5979" s="137" t="s">
        <v>37</v>
      </c>
      <c r="C5979" s="41" t="s">
        <v>118</v>
      </c>
      <c r="D5979" s="80" t="s">
        <v>36</v>
      </c>
      <c r="E5979" s="80" t="s">
        <v>119</v>
      </c>
      <c r="F5979" s="80" t="s">
        <v>19639</v>
      </c>
      <c r="G5979" s="80" t="s">
        <v>108</v>
      </c>
      <c r="H5979" s="80" t="s">
        <v>13902</v>
      </c>
      <c r="I5979" s="17">
        <f ca="1">IFERROR(__xludf.DUMMYFUNCTION("""COMPUTED_VALUE"""),45643)</f>
        <v>45643</v>
      </c>
      <c r="J5979" s="143" t="s">
        <v>19640</v>
      </c>
      <c r="K5979" s="80" t="s">
        <v>19641</v>
      </c>
      <c r="L5979" s="30">
        <v>945551323</v>
      </c>
      <c r="M5979" s="80" t="s">
        <v>5558</v>
      </c>
      <c r="N5979" s="80" t="s">
        <v>850</v>
      </c>
      <c r="O5979" s="80" t="s">
        <v>4503</v>
      </c>
      <c r="P5979" s="80" t="s">
        <v>3056</v>
      </c>
      <c r="Q5979" s="20">
        <v>13968</v>
      </c>
      <c r="R5979" s="80" t="s">
        <v>36</v>
      </c>
      <c r="S5979" s="95">
        <f>200+4800</f>
        <v>5000</v>
      </c>
      <c r="T5979" s="83" t="s">
        <v>16020</v>
      </c>
      <c r="U5979" s="95">
        <v>9268</v>
      </c>
      <c r="V5979" s="170">
        <v>45665</v>
      </c>
      <c r="W5979" s="85" t="s">
        <v>19642</v>
      </c>
      <c r="X5979" s="80"/>
      <c r="Y5979" s="22">
        <v>-300</v>
      </c>
      <c r="Z5979" s="80" t="s">
        <v>50</v>
      </c>
      <c r="AA5979" s="82" t="s">
        <v>18583</v>
      </c>
      <c r="AB5979" s="86"/>
      <c r="AC5979" s="80" t="s">
        <v>53</v>
      </c>
      <c r="AD5979" s="80" t="s">
        <v>138</v>
      </c>
      <c r="AE5979" s="80"/>
      <c r="AF5979" s="17">
        <v>45650</v>
      </c>
      <c r="AG5979" s="80" t="s">
        <v>19643</v>
      </c>
      <c r="AH5979" s="80"/>
      <c r="AI5979" s="147"/>
      <c r="AJ5979" s="80">
        <f>COUNTIF(K5979:K6112,K5979)</f>
        <v>1</v>
      </c>
      <c r="AK5979" s="80"/>
      <c r="AL5979" s="35"/>
      <c r="AM5979" s="35"/>
      <c r="AN5979" s="35"/>
      <c r="AO5979" s="35"/>
      <c r="AP5979" s="35"/>
    </row>
    <row r="5980" spans="1:42" x14ac:dyDescent="0.2">
      <c r="A5980" s="126">
        <v>45572.382042824072</v>
      </c>
      <c r="B5980" s="137" t="s">
        <v>37</v>
      </c>
      <c r="C5980" s="41" t="s">
        <v>118</v>
      </c>
      <c r="D5980" s="80" t="s">
        <v>36</v>
      </c>
      <c r="E5980" s="80" t="s">
        <v>77</v>
      </c>
      <c r="F5980" s="80" t="s">
        <v>40</v>
      </c>
      <c r="G5980" s="80" t="s">
        <v>41</v>
      </c>
      <c r="H5980" s="80" t="s">
        <v>19644</v>
      </c>
      <c r="I5980" s="17" t="str">
        <f ca="1">IFERROR(__xludf.DUMMYFUNCTION("""COMPUTED_VALUE""")," ")</f>
        <v xml:space="preserve"> </v>
      </c>
      <c r="J5980" s="143" t="s">
        <v>19645</v>
      </c>
      <c r="K5980" s="80" t="s">
        <v>19646</v>
      </c>
      <c r="L5980" s="30">
        <v>378574171</v>
      </c>
      <c r="M5980" s="80" t="s">
        <v>15970</v>
      </c>
      <c r="N5980" s="80" t="s">
        <v>327</v>
      </c>
      <c r="O5980" s="80" t="s">
        <v>19647</v>
      </c>
      <c r="P5980" s="80" t="s">
        <v>19648</v>
      </c>
      <c r="Q5980" s="20">
        <v>1968</v>
      </c>
      <c r="R5980" s="80" t="s">
        <v>1106</v>
      </c>
      <c r="S5980" s="95">
        <v>3000</v>
      </c>
      <c r="T5980" s="148">
        <v>45571</v>
      </c>
      <c r="U5980" s="77"/>
      <c r="V5980" s="78"/>
      <c r="W5980" s="85" t="s">
        <v>19649</v>
      </c>
      <c r="X5980" s="80"/>
      <c r="Y5980" s="22">
        <v>-1032</v>
      </c>
      <c r="Z5980" s="80" t="s">
        <v>50</v>
      </c>
      <c r="AA5980" s="86" t="s">
        <v>18583</v>
      </c>
      <c r="AB5980" s="82"/>
      <c r="AC5980" s="80" t="s">
        <v>53</v>
      </c>
      <c r="AD5980" s="80" t="s">
        <v>54</v>
      </c>
      <c r="AE5980" s="80"/>
      <c r="AF5980" s="17">
        <v>45572</v>
      </c>
      <c r="AG5980" s="80" t="s">
        <v>7078</v>
      </c>
      <c r="AH5980" s="80"/>
      <c r="AI5980" s="147"/>
      <c r="AJ5980" s="80"/>
      <c r="AK5980" s="80"/>
      <c r="AL5980" s="35"/>
      <c r="AM5980" s="35"/>
      <c r="AN5980" s="35"/>
      <c r="AO5980" s="35"/>
      <c r="AP5980" s="35"/>
    </row>
    <row r="5981" spans="1:42" x14ac:dyDescent="0.2">
      <c r="A5981" s="126">
        <v>45600.38853413194</v>
      </c>
      <c r="B5981" s="137" t="s">
        <v>37</v>
      </c>
      <c r="C5981" s="41" t="s">
        <v>118</v>
      </c>
      <c r="D5981" s="80" t="s">
        <v>36</v>
      </c>
      <c r="E5981" s="80" t="s">
        <v>56</v>
      </c>
      <c r="F5981" s="80" t="s">
        <v>36</v>
      </c>
      <c r="G5981" s="80" t="s">
        <v>41</v>
      </c>
      <c r="H5981" s="80" t="s">
        <v>13441</v>
      </c>
      <c r="I5981" s="17">
        <f ca="1">IFERROR(__xludf.DUMMYFUNCTION("""COMPUTED_VALUE"""),45625)</f>
        <v>45625</v>
      </c>
      <c r="J5981" s="143" t="s">
        <v>18580</v>
      </c>
      <c r="K5981" s="80" t="s">
        <v>2255</v>
      </c>
      <c r="L5981" s="30">
        <v>914922626</v>
      </c>
      <c r="M5981" s="80" t="s">
        <v>15996</v>
      </c>
      <c r="N5981" s="80" t="s">
        <v>186</v>
      </c>
      <c r="O5981" s="80" t="s">
        <v>4503</v>
      </c>
      <c r="P5981" s="80" t="s">
        <v>3056</v>
      </c>
      <c r="Q5981" s="20">
        <v>9317</v>
      </c>
      <c r="R5981" s="80" t="s">
        <v>36</v>
      </c>
      <c r="S5981" s="95">
        <f>200+3000</f>
        <v>3200</v>
      </c>
      <c r="T5981" s="83" t="s">
        <v>18581</v>
      </c>
      <c r="U5981" s="95">
        <v>6117</v>
      </c>
      <c r="V5981" s="148">
        <v>45659</v>
      </c>
      <c r="W5981" s="85" t="s">
        <v>18582</v>
      </c>
      <c r="X5981" s="80"/>
      <c r="Y5981" s="22">
        <v>0</v>
      </c>
      <c r="Z5981" s="80" t="s">
        <v>50</v>
      </c>
      <c r="AA5981" s="82" t="s">
        <v>18583</v>
      </c>
      <c r="AB5981" s="86"/>
      <c r="AC5981" s="80" t="s">
        <v>53</v>
      </c>
      <c r="AD5981" s="80" t="s">
        <v>138</v>
      </c>
      <c r="AE5981" s="80"/>
      <c r="AF5981" s="43">
        <v>45625</v>
      </c>
      <c r="AG5981" s="80" t="s">
        <v>7078</v>
      </c>
      <c r="AH5981" s="80"/>
      <c r="AI5981" s="147"/>
      <c r="AJ5981" s="80">
        <f>COUNTIF(K5981:K6115,K5981)</f>
        <v>1</v>
      </c>
      <c r="AK5981" s="80"/>
      <c r="AL5981" s="35"/>
      <c r="AM5981" s="35"/>
      <c r="AN5981" s="35"/>
      <c r="AO5981" s="35"/>
      <c r="AP5981" s="35"/>
    </row>
    <row r="5982" spans="1:42" x14ac:dyDescent="0.2">
      <c r="A5982" s="126">
        <v>45603.604397893519</v>
      </c>
      <c r="B5982" s="137" t="s">
        <v>37</v>
      </c>
      <c r="C5982" s="41" t="s">
        <v>118</v>
      </c>
      <c r="D5982" s="80" t="s">
        <v>77</v>
      </c>
      <c r="E5982" s="80" t="s">
        <v>148</v>
      </c>
      <c r="F5982" s="80" t="s">
        <v>11747</v>
      </c>
      <c r="G5982" s="80" t="s">
        <v>108</v>
      </c>
      <c r="H5982" s="80" t="s">
        <v>13600</v>
      </c>
      <c r="I5982" s="17">
        <f ca="1">IFERROR(__xludf.DUMMYFUNCTION("""COMPUTED_VALUE"""),45607)</f>
        <v>45607</v>
      </c>
      <c r="J5982" s="143" t="s">
        <v>17173</v>
      </c>
      <c r="K5982" s="80" t="s">
        <v>17174</v>
      </c>
      <c r="L5982" s="30">
        <v>981690927</v>
      </c>
      <c r="M5982" s="80" t="s">
        <v>5429</v>
      </c>
      <c r="N5982" s="80" t="s">
        <v>3065</v>
      </c>
      <c r="O5982" s="80" t="s">
        <v>2819</v>
      </c>
      <c r="P5982" s="80" t="s">
        <v>6691</v>
      </c>
      <c r="Q5982" s="20">
        <v>7349</v>
      </c>
      <c r="R5982" s="80" t="s">
        <v>36</v>
      </c>
      <c r="S5982" s="95">
        <v>9500</v>
      </c>
      <c r="T5982" s="148">
        <v>45603</v>
      </c>
      <c r="U5982" s="77"/>
      <c r="V5982" s="78"/>
      <c r="W5982" s="85" t="s">
        <v>19650</v>
      </c>
      <c r="X5982" s="80"/>
      <c r="Y5982" s="22">
        <v>-2151</v>
      </c>
      <c r="Z5982" s="80" t="s">
        <v>50</v>
      </c>
      <c r="AA5982" s="86" t="s">
        <v>18583</v>
      </c>
      <c r="AB5982" s="82"/>
      <c r="AC5982" s="80" t="s">
        <v>53</v>
      </c>
      <c r="AD5982" s="80" t="s">
        <v>138</v>
      </c>
      <c r="AE5982" s="80"/>
      <c r="AF5982" s="43">
        <v>45607</v>
      </c>
      <c r="AG5982" s="80" t="s">
        <v>7078</v>
      </c>
      <c r="AH5982" s="80"/>
      <c r="AI5982" s="147"/>
      <c r="AJ5982" s="80">
        <f>COUNTIF(K5982:K6113,K5982)</f>
        <v>2</v>
      </c>
      <c r="AK5982" s="80"/>
      <c r="AL5982" s="35"/>
      <c r="AM5982" s="35"/>
      <c r="AN5982" s="35"/>
      <c r="AO5982" s="35"/>
      <c r="AP5982" s="35"/>
    </row>
    <row r="5983" spans="1:42" x14ac:dyDescent="0.2">
      <c r="A5983" s="126">
        <v>45626.841245671298</v>
      </c>
      <c r="B5983" s="137" t="s">
        <v>37</v>
      </c>
      <c r="C5983" s="41" t="s">
        <v>118</v>
      </c>
      <c r="D5983" s="80" t="s">
        <v>36</v>
      </c>
      <c r="E5983" s="80" t="s">
        <v>77</v>
      </c>
      <c r="F5983" s="26" t="s">
        <v>36</v>
      </c>
      <c r="G5983" s="26" t="s">
        <v>41</v>
      </c>
      <c r="H5983" s="80" t="s">
        <v>13283</v>
      </c>
      <c r="I5983" s="17">
        <f ca="1">IFERROR(__xludf.DUMMYFUNCTION("""COMPUTED_VALUE"""),45631)</f>
        <v>45631</v>
      </c>
      <c r="J5983" s="143" t="s">
        <v>19651</v>
      </c>
      <c r="K5983" s="80" t="s">
        <v>12581</v>
      </c>
      <c r="L5983" s="30">
        <v>775332936</v>
      </c>
      <c r="M5983" s="80" t="s">
        <v>5429</v>
      </c>
      <c r="N5983" s="80" t="s">
        <v>81</v>
      </c>
      <c r="O5983" s="80" t="s">
        <v>19652</v>
      </c>
      <c r="P5983" s="80" t="s">
        <v>12597</v>
      </c>
      <c r="Q5983" s="20">
        <v>1968</v>
      </c>
      <c r="R5983" s="80" t="s">
        <v>36</v>
      </c>
      <c r="S5983" s="95">
        <f>200+1800</f>
        <v>2000</v>
      </c>
      <c r="T5983" s="83" t="s">
        <v>19653</v>
      </c>
      <c r="U5983" s="77"/>
      <c r="V5983" s="78"/>
      <c r="W5983" s="85" t="s">
        <v>19654</v>
      </c>
      <c r="X5983" s="80"/>
      <c r="Y5983" s="22">
        <v>-32</v>
      </c>
      <c r="Z5983" s="80" t="s">
        <v>50</v>
      </c>
      <c r="AA5983" s="82" t="s">
        <v>18583</v>
      </c>
      <c r="AB5983" s="86"/>
      <c r="AC5983" s="80" t="s">
        <v>53</v>
      </c>
      <c r="AD5983" s="80" t="s">
        <v>138</v>
      </c>
      <c r="AE5983" s="80"/>
      <c r="AF5983" s="17">
        <v>45631</v>
      </c>
      <c r="AG5983" s="80" t="s">
        <v>7078</v>
      </c>
      <c r="AH5983" s="80"/>
      <c r="AI5983" s="147"/>
      <c r="AJ5983" s="80">
        <f>COUNTIF(K5983:K6115,K5983)</f>
        <v>1</v>
      </c>
      <c r="AK5983" s="80"/>
      <c r="AL5983" s="35"/>
      <c r="AM5983" s="35"/>
      <c r="AN5983" s="35"/>
      <c r="AO5983" s="35"/>
      <c r="AP5983" s="35"/>
    </row>
    <row r="5984" spans="1:42" x14ac:dyDescent="0.2">
      <c r="A5984" s="126">
        <v>45629.453178263888</v>
      </c>
      <c r="B5984" s="137" t="s">
        <v>37</v>
      </c>
      <c r="C5984" s="41" t="s">
        <v>118</v>
      </c>
      <c r="D5984" s="80" t="s">
        <v>36</v>
      </c>
      <c r="E5984" s="80" t="s">
        <v>139</v>
      </c>
      <c r="F5984" s="80" t="s">
        <v>40</v>
      </c>
      <c r="G5984" s="80" t="s">
        <v>41</v>
      </c>
      <c r="H5984" s="80" t="s">
        <v>12324</v>
      </c>
      <c r="I5984" s="17">
        <f ca="1">IFERROR(__xludf.DUMMYFUNCTION("""COMPUTED_VALUE"""),45635)</f>
        <v>45635</v>
      </c>
      <c r="J5984" s="143" t="s">
        <v>19655</v>
      </c>
      <c r="K5984" s="80" t="s">
        <v>19656</v>
      </c>
      <c r="L5984" s="30">
        <v>984053898</v>
      </c>
      <c r="M5984" s="80" t="s">
        <v>15970</v>
      </c>
      <c r="N5984" s="80" t="s">
        <v>466</v>
      </c>
      <c r="O5984" s="80" t="s">
        <v>19657</v>
      </c>
      <c r="P5984" s="80" t="s">
        <v>19658</v>
      </c>
      <c r="Q5984" s="20">
        <v>15936</v>
      </c>
      <c r="R5984" s="80" t="s">
        <v>36</v>
      </c>
      <c r="S5984" s="95">
        <f>100+1868</f>
        <v>1968</v>
      </c>
      <c r="T5984" s="83" t="s">
        <v>19659</v>
      </c>
      <c r="U5984" s="95">
        <v>13968</v>
      </c>
      <c r="V5984" s="148">
        <v>45659</v>
      </c>
      <c r="W5984" s="85" t="s">
        <v>19660</v>
      </c>
      <c r="X5984" s="80"/>
      <c r="Y5984" s="22">
        <v>0</v>
      </c>
      <c r="Z5984" s="80" t="s">
        <v>50</v>
      </c>
      <c r="AA5984" s="86" t="s">
        <v>18583</v>
      </c>
      <c r="AB5984" s="82"/>
      <c r="AC5984" s="80" t="s">
        <v>53</v>
      </c>
      <c r="AD5984" s="80" t="s">
        <v>54</v>
      </c>
      <c r="AE5984" s="80"/>
      <c r="AF5984" s="17">
        <v>45635</v>
      </c>
      <c r="AG5984" s="80"/>
      <c r="AH5984" s="80"/>
      <c r="AI5984" s="147"/>
      <c r="AJ5984" s="80"/>
      <c r="AK5984" s="80"/>
      <c r="AL5984" s="35"/>
      <c r="AM5984" s="35"/>
      <c r="AN5984" s="35"/>
      <c r="AO5984" s="35"/>
      <c r="AP5984" s="35"/>
    </row>
    <row r="5985" spans="1:42" x14ac:dyDescent="0.2">
      <c r="A5985" s="126">
        <v>45630.515517037042</v>
      </c>
      <c r="B5985" s="28" t="s">
        <v>37</v>
      </c>
      <c r="C5985" s="41" t="s">
        <v>118</v>
      </c>
      <c r="D5985" s="80" t="s">
        <v>36</v>
      </c>
      <c r="E5985" s="80" t="s">
        <v>139</v>
      </c>
      <c r="F5985" s="80" t="s">
        <v>40</v>
      </c>
      <c r="G5985" s="80" t="s">
        <v>41</v>
      </c>
      <c r="H5985" s="80" t="s">
        <v>11640</v>
      </c>
      <c r="I5985" s="17">
        <f ca="1">IFERROR(__xludf.DUMMYFUNCTION("""COMPUTED_VALUE"""),45636)</f>
        <v>45636</v>
      </c>
      <c r="J5985" s="143" t="s">
        <v>19592</v>
      </c>
      <c r="K5985" s="80" t="s">
        <v>19661</v>
      </c>
      <c r="L5985" s="30">
        <v>375548817</v>
      </c>
      <c r="M5985" s="80" t="s">
        <v>5558</v>
      </c>
      <c r="N5985" s="80" t="s">
        <v>850</v>
      </c>
      <c r="O5985" s="80" t="s">
        <v>19594</v>
      </c>
      <c r="P5985" s="80" t="s">
        <v>19595</v>
      </c>
      <c r="Q5985" s="20">
        <v>15936</v>
      </c>
      <c r="R5985" s="80" t="s">
        <v>36</v>
      </c>
      <c r="S5985" s="95">
        <v>3000</v>
      </c>
      <c r="T5985" s="148">
        <v>45630</v>
      </c>
      <c r="U5985" s="95">
        <v>12936</v>
      </c>
      <c r="V5985" s="148">
        <v>45661</v>
      </c>
      <c r="W5985" s="85" t="s">
        <v>19596</v>
      </c>
      <c r="X5985" s="80"/>
      <c r="Y5985" s="22">
        <v>0</v>
      </c>
      <c r="Z5985" s="80" t="s">
        <v>50</v>
      </c>
      <c r="AA5985" s="82" t="s">
        <v>18583</v>
      </c>
      <c r="AB5985" s="86"/>
      <c r="AC5985" s="80" t="s">
        <v>53</v>
      </c>
      <c r="AD5985" s="80" t="s">
        <v>138</v>
      </c>
      <c r="AE5985" s="80"/>
      <c r="AF5985" s="43">
        <v>45636</v>
      </c>
      <c r="AG5985" s="80"/>
      <c r="AH5985" s="80"/>
      <c r="AI5985" s="147"/>
      <c r="AJ5985" s="80">
        <f>COUNTIF(K5985:K6115,K5985)</f>
        <v>1</v>
      </c>
      <c r="AK5985" s="80"/>
      <c r="AL5985" s="35"/>
      <c r="AM5985" s="35"/>
      <c r="AN5985" s="35"/>
      <c r="AO5985" s="35"/>
      <c r="AP5985" s="35"/>
    </row>
    <row r="5986" spans="1:42" x14ac:dyDescent="0.2">
      <c r="A5986" s="126">
        <v>45630.517546574076</v>
      </c>
      <c r="B5986" s="28" t="s">
        <v>37</v>
      </c>
      <c r="C5986" s="41" t="s">
        <v>118</v>
      </c>
      <c r="D5986" s="80" t="s">
        <v>36</v>
      </c>
      <c r="E5986" s="80" t="s">
        <v>139</v>
      </c>
      <c r="F5986" s="80" t="s">
        <v>40</v>
      </c>
      <c r="G5986" s="80" t="s">
        <v>41</v>
      </c>
      <c r="H5986" s="80" t="s">
        <v>11640</v>
      </c>
      <c r="I5986" s="17">
        <f ca="1">IFERROR(__xludf.DUMMYFUNCTION("""COMPUTED_VALUE"""),45636)</f>
        <v>45636</v>
      </c>
      <c r="J5986" s="143" t="s">
        <v>19597</v>
      </c>
      <c r="K5986" s="80" t="s">
        <v>19662</v>
      </c>
      <c r="L5986" s="30">
        <v>926862288</v>
      </c>
      <c r="M5986" s="80" t="s">
        <v>5558</v>
      </c>
      <c r="N5986" s="80" t="s">
        <v>850</v>
      </c>
      <c r="O5986" s="80" t="s">
        <v>19599</v>
      </c>
      <c r="P5986" s="80" t="s">
        <v>19600</v>
      </c>
      <c r="Q5986" s="20">
        <v>15936</v>
      </c>
      <c r="R5986" s="80" t="s">
        <v>36</v>
      </c>
      <c r="S5986" s="95">
        <v>3000</v>
      </c>
      <c r="T5986" s="148">
        <v>45629</v>
      </c>
      <c r="U5986" s="95">
        <v>12936</v>
      </c>
      <c r="V5986" s="148">
        <v>45667</v>
      </c>
      <c r="W5986" s="85" t="s">
        <v>19601</v>
      </c>
      <c r="X5986" s="80"/>
      <c r="Y5986" s="22">
        <v>0</v>
      </c>
      <c r="Z5986" s="80" t="s">
        <v>50</v>
      </c>
      <c r="AA5986" s="86" t="s">
        <v>18583</v>
      </c>
      <c r="AB5986" s="82"/>
      <c r="AC5986" s="80" t="s">
        <v>53</v>
      </c>
      <c r="AD5986" s="80" t="s">
        <v>138</v>
      </c>
      <c r="AE5986" s="80"/>
      <c r="AF5986" s="43">
        <v>45636</v>
      </c>
      <c r="AG5986" s="80"/>
      <c r="AH5986" s="80"/>
      <c r="AI5986" s="147"/>
      <c r="AJ5986" s="80">
        <f>COUNTIF(K5986:K6115,K5986)</f>
        <v>1</v>
      </c>
      <c r="AK5986" s="80"/>
      <c r="AL5986" s="35"/>
      <c r="AM5986" s="35"/>
      <c r="AN5986" s="35"/>
      <c r="AO5986" s="35"/>
      <c r="AP5986" s="35"/>
    </row>
    <row r="5987" spans="1:42" x14ac:dyDescent="0.2">
      <c r="A5987" s="126">
        <v>45630.788454548616</v>
      </c>
      <c r="B5987" s="137" t="s">
        <v>37</v>
      </c>
      <c r="C5987" s="41" t="s">
        <v>118</v>
      </c>
      <c r="D5987" s="80" t="s">
        <v>36</v>
      </c>
      <c r="E5987" s="80" t="s">
        <v>56</v>
      </c>
      <c r="F5987" s="26" t="s">
        <v>36</v>
      </c>
      <c r="G5987" s="80" t="s">
        <v>41</v>
      </c>
      <c r="H5987" s="80" t="s">
        <v>19075</v>
      </c>
      <c r="I5987" s="17">
        <f ca="1">IFERROR(__xludf.DUMMYFUNCTION("""COMPUTED_VALUE"""),45642)</f>
        <v>45642</v>
      </c>
      <c r="J5987" s="143" t="s">
        <v>19468</v>
      </c>
      <c r="K5987" s="80" t="s">
        <v>19469</v>
      </c>
      <c r="L5987" s="30">
        <v>943273836</v>
      </c>
      <c r="M5987" s="80" t="s">
        <v>15970</v>
      </c>
      <c r="N5987" s="80" t="s">
        <v>327</v>
      </c>
      <c r="O5987" s="80" t="s">
        <v>19470</v>
      </c>
      <c r="P5987" s="80" t="s">
        <v>19663</v>
      </c>
      <c r="Q5987" s="20">
        <v>9317</v>
      </c>
      <c r="R5987" s="80" t="s">
        <v>36</v>
      </c>
      <c r="S5987" s="95">
        <v>2000</v>
      </c>
      <c r="T5987" s="148">
        <v>45629</v>
      </c>
      <c r="U5987" s="95">
        <v>7317</v>
      </c>
      <c r="V5987" s="148">
        <v>45658</v>
      </c>
      <c r="W5987" s="85" t="s">
        <v>19472</v>
      </c>
      <c r="X5987" s="80"/>
      <c r="Y5987" s="22">
        <v>0</v>
      </c>
      <c r="Z5987" s="80" t="s">
        <v>50</v>
      </c>
      <c r="AA5987" s="82" t="s">
        <v>18583</v>
      </c>
      <c r="AB5987" s="86"/>
      <c r="AC5987" s="80" t="s">
        <v>53</v>
      </c>
      <c r="AD5987" s="80" t="s">
        <v>54</v>
      </c>
      <c r="AE5987" s="80"/>
      <c r="AF5987" s="17">
        <v>45638</v>
      </c>
      <c r="AG5987" s="80" t="s">
        <v>19664</v>
      </c>
      <c r="AH5987" s="80"/>
      <c r="AI5987" s="147"/>
      <c r="AJ5987" s="80"/>
      <c r="AK5987" s="80"/>
      <c r="AL5987" s="35"/>
      <c r="AM5987" s="35"/>
      <c r="AN5987" s="35"/>
      <c r="AO5987" s="35"/>
      <c r="AP5987" s="35"/>
    </row>
    <row r="5988" spans="1:42" x14ac:dyDescent="0.2">
      <c r="A5988" s="126">
        <v>45631.845078530096</v>
      </c>
      <c r="B5988" s="137" t="s">
        <v>37</v>
      </c>
      <c r="C5988" s="41" t="s">
        <v>118</v>
      </c>
      <c r="D5988" s="80" t="s">
        <v>77</v>
      </c>
      <c r="E5988" s="80" t="s">
        <v>139</v>
      </c>
      <c r="F5988" s="26" t="s">
        <v>36</v>
      </c>
      <c r="G5988" s="80" t="s">
        <v>41</v>
      </c>
      <c r="H5988" s="80" t="s">
        <v>19075</v>
      </c>
      <c r="I5988" s="17">
        <f ca="1">IFERROR(__xludf.DUMMYFUNCTION("""COMPUTED_VALUE"""),45642)</f>
        <v>45642</v>
      </c>
      <c r="J5988" s="172" t="s">
        <v>19482</v>
      </c>
      <c r="K5988" s="80" t="s">
        <v>19483</v>
      </c>
      <c r="L5988" s="30">
        <v>977104046</v>
      </c>
      <c r="M5988" s="80" t="s">
        <v>5518</v>
      </c>
      <c r="N5988" s="80" t="s">
        <v>12380</v>
      </c>
      <c r="O5988" s="80" t="s">
        <v>19484</v>
      </c>
      <c r="P5988" s="80" t="s">
        <v>19665</v>
      </c>
      <c r="Q5988" s="20">
        <v>15936</v>
      </c>
      <c r="R5988" s="80" t="s">
        <v>36</v>
      </c>
      <c r="S5988" s="95">
        <f>500+1500</f>
        <v>2000</v>
      </c>
      <c r="T5988" s="83" t="s">
        <v>19486</v>
      </c>
      <c r="U5988" s="95">
        <v>13936</v>
      </c>
      <c r="V5988" s="148">
        <v>45659</v>
      </c>
      <c r="W5988" s="85" t="s">
        <v>19487</v>
      </c>
      <c r="X5988" s="80"/>
      <c r="Y5988" s="22">
        <v>0</v>
      </c>
      <c r="Z5988" s="80" t="s">
        <v>50</v>
      </c>
      <c r="AA5988" s="86" t="s">
        <v>18583</v>
      </c>
      <c r="AB5988" s="82"/>
      <c r="AC5988" s="80" t="s">
        <v>53</v>
      </c>
      <c r="AD5988" s="80" t="s">
        <v>54</v>
      </c>
      <c r="AE5988" s="80"/>
      <c r="AF5988" s="17">
        <v>45638</v>
      </c>
      <c r="AG5988" s="80"/>
      <c r="AH5988" s="80"/>
      <c r="AI5988" s="147"/>
      <c r="AJ5988" s="80"/>
      <c r="AK5988" s="80"/>
      <c r="AL5988" s="35"/>
      <c r="AM5988" s="35"/>
      <c r="AN5988" s="35"/>
      <c r="AO5988" s="35"/>
      <c r="AP5988" s="35"/>
    </row>
    <row r="5989" spans="1:42" x14ac:dyDescent="0.2">
      <c r="A5989" s="126">
        <v>45632.975581365739</v>
      </c>
      <c r="B5989" s="137" t="s">
        <v>37</v>
      </c>
      <c r="C5989" s="41" t="s">
        <v>118</v>
      </c>
      <c r="D5989" s="80" t="s">
        <v>36</v>
      </c>
      <c r="E5989" s="80" t="s">
        <v>119</v>
      </c>
      <c r="F5989" s="80" t="s">
        <v>36</v>
      </c>
      <c r="G5989" s="80" t="s">
        <v>108</v>
      </c>
      <c r="H5989" s="80" t="s">
        <v>13943</v>
      </c>
      <c r="I5989" s="17">
        <f ca="1">IFERROR(__xludf.DUMMYFUNCTION("""COMPUTED_VALUE"""),45660)</f>
        <v>45660</v>
      </c>
      <c r="J5989" s="143" t="s">
        <v>19666</v>
      </c>
      <c r="K5989" s="80" t="s">
        <v>19667</v>
      </c>
      <c r="L5989" s="30">
        <v>347042559</v>
      </c>
      <c r="M5989" s="80" t="s">
        <v>12644</v>
      </c>
      <c r="N5989" s="80" t="s">
        <v>8725</v>
      </c>
      <c r="O5989" s="80" t="s">
        <v>19668</v>
      </c>
      <c r="P5989" s="80" t="s">
        <v>19669</v>
      </c>
      <c r="Q5989" s="20">
        <v>13968</v>
      </c>
      <c r="R5989" s="80" t="s">
        <v>36</v>
      </c>
      <c r="S5989" s="95">
        <f>200+3800</f>
        <v>4000</v>
      </c>
      <c r="T5989" s="83" t="s">
        <v>19670</v>
      </c>
      <c r="U5989" s="95">
        <v>10168</v>
      </c>
      <c r="V5989" s="148">
        <v>45675</v>
      </c>
      <c r="W5989" s="85" t="s">
        <v>19671</v>
      </c>
      <c r="X5989" s="80"/>
      <c r="Y5989" s="22">
        <v>-200</v>
      </c>
      <c r="Z5989" s="80" t="s">
        <v>50</v>
      </c>
      <c r="AA5989" s="82" t="s">
        <v>18583</v>
      </c>
      <c r="AB5989" s="86"/>
      <c r="AC5989" s="80" t="s">
        <v>53</v>
      </c>
      <c r="AD5989" s="80" t="s">
        <v>54</v>
      </c>
      <c r="AE5989" s="80" t="s">
        <v>19672</v>
      </c>
      <c r="AF5989" s="43">
        <v>45649</v>
      </c>
      <c r="AG5989" s="80"/>
      <c r="AH5989" s="80"/>
      <c r="AI5989" s="147"/>
      <c r="AJ5989" s="80"/>
      <c r="AK5989" s="80"/>
      <c r="AL5989" s="35"/>
      <c r="AM5989" s="35"/>
      <c r="AN5989" s="35"/>
      <c r="AO5989" s="35"/>
      <c r="AP5989" s="35"/>
    </row>
    <row r="5990" spans="1:42" x14ac:dyDescent="0.2">
      <c r="A5990" s="126">
        <v>45634.853253402776</v>
      </c>
      <c r="B5990" s="137" t="s">
        <v>37</v>
      </c>
      <c r="C5990" s="41" t="s">
        <v>118</v>
      </c>
      <c r="D5990" s="80" t="s">
        <v>36</v>
      </c>
      <c r="E5990" s="80" t="s">
        <v>119</v>
      </c>
      <c r="F5990" s="80" t="s">
        <v>36</v>
      </c>
      <c r="G5990" s="80" t="s">
        <v>108</v>
      </c>
      <c r="H5990" s="80" t="s">
        <v>14234</v>
      </c>
      <c r="I5990" s="17">
        <f ca="1">IFERROR(__xludf.DUMMYFUNCTION("""COMPUTED_VALUE"""),45642)</f>
        <v>45642</v>
      </c>
      <c r="J5990" s="143" t="s">
        <v>19673</v>
      </c>
      <c r="K5990" s="80" t="s">
        <v>19674</v>
      </c>
      <c r="L5990" s="30">
        <v>866181106</v>
      </c>
      <c r="M5990" s="80" t="s">
        <v>18749</v>
      </c>
      <c r="N5990" s="80" t="s">
        <v>6144</v>
      </c>
      <c r="O5990" s="80" t="s">
        <v>4503</v>
      </c>
      <c r="P5990" s="80" t="s">
        <v>19675</v>
      </c>
      <c r="Q5990" s="20">
        <v>13968</v>
      </c>
      <c r="R5990" s="80" t="s">
        <v>36</v>
      </c>
      <c r="S5990" s="95">
        <v>4000</v>
      </c>
      <c r="T5990" s="148">
        <v>45634</v>
      </c>
      <c r="U5990" s="95">
        <v>9968</v>
      </c>
      <c r="V5990" s="148">
        <v>45665</v>
      </c>
      <c r="W5990" s="85" t="s">
        <v>19676</v>
      </c>
      <c r="X5990" s="80"/>
      <c r="Y5990" s="22">
        <v>0</v>
      </c>
      <c r="Z5990" s="80" t="s">
        <v>50</v>
      </c>
      <c r="AA5990" s="86" t="s">
        <v>18583</v>
      </c>
      <c r="AB5990" s="82"/>
      <c r="AC5990" s="80" t="s">
        <v>53</v>
      </c>
      <c r="AD5990" s="80" t="s">
        <v>138</v>
      </c>
      <c r="AE5990" s="80"/>
      <c r="AF5990" s="17">
        <v>45642</v>
      </c>
      <c r="AG5990" s="80" t="s">
        <v>14199</v>
      </c>
      <c r="AH5990" s="80"/>
      <c r="AI5990" s="147"/>
      <c r="AJ5990" s="80">
        <f>COUNTIF(K5990:K6118,K5990)</f>
        <v>1</v>
      </c>
      <c r="AK5990" s="80"/>
      <c r="AL5990" s="35"/>
      <c r="AM5990" s="35"/>
      <c r="AN5990" s="35"/>
      <c r="AO5990" s="35"/>
      <c r="AP5990" s="35"/>
    </row>
    <row r="5991" spans="1:42" x14ac:dyDescent="0.2">
      <c r="A5991" s="126">
        <v>45634.896326840273</v>
      </c>
      <c r="B5991" s="137" t="s">
        <v>37</v>
      </c>
      <c r="C5991" s="41" t="s">
        <v>118</v>
      </c>
      <c r="D5991" s="80" t="s">
        <v>36</v>
      </c>
      <c r="E5991" s="80" t="s">
        <v>39</v>
      </c>
      <c r="F5991" s="26" t="s">
        <v>36</v>
      </c>
      <c r="G5991" s="80" t="s">
        <v>41</v>
      </c>
      <c r="H5991" s="80" t="s">
        <v>19075</v>
      </c>
      <c r="I5991" s="17">
        <f ca="1">IFERROR(__xludf.DUMMYFUNCTION("""COMPUTED_VALUE"""),45642)</f>
        <v>45642</v>
      </c>
      <c r="J5991" s="143" t="s">
        <v>19497</v>
      </c>
      <c r="K5991" s="80" t="s">
        <v>19677</v>
      </c>
      <c r="L5991" s="30">
        <v>365844426</v>
      </c>
      <c r="M5991" s="80" t="s">
        <v>15970</v>
      </c>
      <c r="N5991" s="80" t="s">
        <v>466</v>
      </c>
      <c r="O5991" s="80" t="s">
        <v>19499</v>
      </c>
      <c r="P5991" s="80" t="s">
        <v>19678</v>
      </c>
      <c r="Q5991" s="20">
        <v>5736</v>
      </c>
      <c r="R5991" s="80" t="s">
        <v>36</v>
      </c>
      <c r="S5991" s="95">
        <f>100+1868</f>
        <v>1968</v>
      </c>
      <c r="T5991" s="83" t="s">
        <v>19501</v>
      </c>
      <c r="U5991" s="95">
        <v>3768</v>
      </c>
      <c r="V5991" s="148">
        <v>45658</v>
      </c>
      <c r="W5991" s="85" t="s">
        <v>19502</v>
      </c>
      <c r="X5991" s="80"/>
      <c r="Y5991" s="22">
        <v>0</v>
      </c>
      <c r="Z5991" s="80" t="s">
        <v>50</v>
      </c>
      <c r="AA5991" s="82" t="s">
        <v>18583</v>
      </c>
      <c r="AB5991" s="86"/>
      <c r="AC5991" s="80" t="s">
        <v>53</v>
      </c>
      <c r="AD5991" s="80" t="s">
        <v>54</v>
      </c>
      <c r="AE5991" s="80"/>
      <c r="AF5991" s="17">
        <v>45638</v>
      </c>
      <c r="AG5991" s="80"/>
      <c r="AH5991" s="80"/>
      <c r="AI5991" s="147"/>
      <c r="AJ5991" s="80"/>
      <c r="AK5991" s="80"/>
      <c r="AL5991" s="35"/>
      <c r="AM5991" s="35"/>
      <c r="AN5991" s="35"/>
      <c r="AO5991" s="35"/>
      <c r="AP5991" s="35"/>
    </row>
    <row r="5992" spans="1:42" x14ac:dyDescent="0.2">
      <c r="A5992" s="126">
        <v>45638.872652418984</v>
      </c>
      <c r="B5992" s="137" t="s">
        <v>37</v>
      </c>
      <c r="C5992" s="41" t="s">
        <v>118</v>
      </c>
      <c r="D5992" s="80" t="s">
        <v>36</v>
      </c>
      <c r="E5992" s="80" t="s">
        <v>139</v>
      </c>
      <c r="F5992" s="80" t="s">
        <v>36</v>
      </c>
      <c r="G5992" s="80" t="s">
        <v>41</v>
      </c>
      <c r="H5992" s="80" t="s">
        <v>16183</v>
      </c>
      <c r="I5992" s="17">
        <f ca="1">IFERROR(__xludf.DUMMYFUNCTION("""COMPUTED_VALUE"""),45657)</f>
        <v>45657</v>
      </c>
      <c r="J5992" s="143" t="s">
        <v>19679</v>
      </c>
      <c r="K5992" s="80" t="s">
        <v>19680</v>
      </c>
      <c r="L5992" s="30">
        <v>363472554</v>
      </c>
      <c r="M5992" s="80" t="s">
        <v>12644</v>
      </c>
      <c r="N5992" s="80" t="s">
        <v>260</v>
      </c>
      <c r="O5992" s="80" t="s">
        <v>19681</v>
      </c>
      <c r="P5992" s="80" t="s">
        <v>19682</v>
      </c>
      <c r="Q5992" s="20">
        <v>15936</v>
      </c>
      <c r="R5992" s="80" t="s">
        <v>36</v>
      </c>
      <c r="S5992" s="95">
        <f>200+1800</f>
        <v>2000</v>
      </c>
      <c r="T5992" s="83" t="s">
        <v>19683</v>
      </c>
      <c r="U5992" s="95">
        <v>13936</v>
      </c>
      <c r="V5992" s="148">
        <v>45668</v>
      </c>
      <c r="W5992" s="85" t="s">
        <v>19684</v>
      </c>
      <c r="X5992" s="80"/>
      <c r="Y5992" s="22">
        <v>0</v>
      </c>
      <c r="Z5992" s="80" t="s">
        <v>50</v>
      </c>
      <c r="AA5992" s="86" t="s">
        <v>18583</v>
      </c>
      <c r="AB5992" s="82"/>
      <c r="AC5992" s="80" t="s">
        <v>53</v>
      </c>
      <c r="AD5992" s="80" t="s">
        <v>54</v>
      </c>
      <c r="AE5992" s="80"/>
      <c r="AF5992" s="43">
        <v>45642</v>
      </c>
      <c r="AG5992" s="80"/>
      <c r="AH5992" s="80"/>
      <c r="AI5992" s="147"/>
      <c r="AJ5992" s="80"/>
      <c r="AK5992" s="80"/>
      <c r="AL5992" s="35"/>
      <c r="AM5992" s="35"/>
      <c r="AN5992" s="35"/>
      <c r="AO5992" s="35"/>
      <c r="AP5992" s="35"/>
    </row>
    <row r="5993" spans="1:42" x14ac:dyDescent="0.2">
      <c r="A5993" s="126">
        <v>45639.564124409721</v>
      </c>
      <c r="B5993" s="137" t="s">
        <v>37</v>
      </c>
      <c r="C5993" s="41" t="s">
        <v>118</v>
      </c>
      <c r="D5993" s="80" t="s">
        <v>36</v>
      </c>
      <c r="E5993" s="80" t="s">
        <v>139</v>
      </c>
      <c r="F5993" s="80" t="s">
        <v>40</v>
      </c>
      <c r="G5993" s="80" t="s">
        <v>41</v>
      </c>
      <c r="H5993" s="80" t="s">
        <v>13089</v>
      </c>
      <c r="I5993" s="17">
        <f ca="1">IFERROR(__xludf.DUMMYFUNCTION("""COMPUTED_VALUE"""),45651)</f>
        <v>45651</v>
      </c>
      <c r="J5993" s="143" t="s">
        <v>19685</v>
      </c>
      <c r="K5993" s="80" t="s">
        <v>19686</v>
      </c>
      <c r="L5993" s="30">
        <v>854958966</v>
      </c>
      <c r="M5993" s="80" t="s">
        <v>15996</v>
      </c>
      <c r="N5993" s="80" t="s">
        <v>186</v>
      </c>
      <c r="O5993" s="80" t="s">
        <v>4503</v>
      </c>
      <c r="P5993" s="80" t="s">
        <v>19687</v>
      </c>
      <c r="Q5993" s="20">
        <v>15936</v>
      </c>
      <c r="R5993" s="80" t="s">
        <v>70</v>
      </c>
      <c r="S5993" s="95">
        <f t="shared" ref="S5993:S5994" si="173">200+3000</f>
        <v>3200</v>
      </c>
      <c r="T5993" s="83" t="s">
        <v>19688</v>
      </c>
      <c r="U5993" s="95">
        <v>12636</v>
      </c>
      <c r="V5993" s="148">
        <v>45671</v>
      </c>
      <c r="W5993" s="85" t="s">
        <v>19689</v>
      </c>
      <c r="X5993" s="80"/>
      <c r="Y5993" s="22">
        <v>100</v>
      </c>
      <c r="Z5993" s="80" t="s">
        <v>50</v>
      </c>
      <c r="AA5993" s="82" t="s">
        <v>18583</v>
      </c>
      <c r="AB5993" s="86"/>
      <c r="AC5993" s="80" t="s">
        <v>53</v>
      </c>
      <c r="AD5993" s="80" t="s">
        <v>138</v>
      </c>
      <c r="AE5993" s="80"/>
      <c r="AF5993" s="43">
        <v>45645</v>
      </c>
      <c r="AG5993" s="80"/>
      <c r="AH5993" s="80"/>
      <c r="AI5993" s="147"/>
      <c r="AJ5993" s="80"/>
      <c r="AK5993" s="80"/>
      <c r="AL5993" s="35"/>
      <c r="AM5993" s="35"/>
      <c r="AN5993" s="35"/>
      <c r="AO5993" s="35"/>
      <c r="AP5993" s="35"/>
    </row>
    <row r="5994" spans="1:42" x14ac:dyDescent="0.2">
      <c r="A5994" s="126">
        <v>45639.565389780095</v>
      </c>
      <c r="B5994" s="137" t="s">
        <v>37</v>
      </c>
      <c r="C5994" s="41" t="s">
        <v>118</v>
      </c>
      <c r="D5994" s="80" t="s">
        <v>36</v>
      </c>
      <c r="E5994" s="80" t="s">
        <v>139</v>
      </c>
      <c r="F5994" s="80" t="s">
        <v>40</v>
      </c>
      <c r="G5994" s="80" t="s">
        <v>41</v>
      </c>
      <c r="H5994" s="80" t="s">
        <v>13089</v>
      </c>
      <c r="I5994" s="17">
        <f ca="1">IFERROR(__xludf.DUMMYFUNCTION("""COMPUTED_VALUE"""),45651)</f>
        <v>45651</v>
      </c>
      <c r="J5994" s="143" t="s">
        <v>19690</v>
      </c>
      <c r="K5994" s="80" t="s">
        <v>19691</v>
      </c>
      <c r="L5994" s="30">
        <v>853048865</v>
      </c>
      <c r="M5994" s="80" t="s">
        <v>15996</v>
      </c>
      <c r="N5994" s="80" t="s">
        <v>186</v>
      </c>
      <c r="O5994" s="80" t="s">
        <v>4503</v>
      </c>
      <c r="P5994" s="80" t="s">
        <v>19692</v>
      </c>
      <c r="Q5994" s="20">
        <v>15936</v>
      </c>
      <c r="R5994" s="80" t="s">
        <v>70</v>
      </c>
      <c r="S5994" s="95">
        <f t="shared" si="173"/>
        <v>3200</v>
      </c>
      <c r="T5994" s="83" t="s">
        <v>19693</v>
      </c>
      <c r="U5994" s="95">
        <v>12636</v>
      </c>
      <c r="V5994" s="148">
        <v>45306</v>
      </c>
      <c r="W5994" s="85" t="s">
        <v>19694</v>
      </c>
      <c r="X5994" s="80"/>
      <c r="Y5994" s="22">
        <v>100</v>
      </c>
      <c r="Z5994" s="80" t="s">
        <v>50</v>
      </c>
      <c r="AA5994" s="86" t="s">
        <v>18583</v>
      </c>
      <c r="AB5994" s="82"/>
      <c r="AC5994" s="80" t="s">
        <v>53</v>
      </c>
      <c r="AD5994" s="80" t="s">
        <v>138</v>
      </c>
      <c r="AE5994" s="80"/>
      <c r="AF5994" s="43">
        <v>45645</v>
      </c>
      <c r="AG5994" s="80"/>
      <c r="AH5994" s="80"/>
      <c r="AI5994" s="147"/>
      <c r="AJ5994" s="80"/>
      <c r="AK5994" s="80"/>
      <c r="AL5994" s="35"/>
      <c r="AM5994" s="35"/>
      <c r="AN5994" s="35"/>
      <c r="AO5994" s="35"/>
      <c r="AP5994" s="35"/>
    </row>
    <row r="5995" spans="1:42" x14ac:dyDescent="0.2">
      <c r="A5995" s="126">
        <v>45640.630346597223</v>
      </c>
      <c r="B5995" s="137" t="s">
        <v>37</v>
      </c>
      <c r="C5995" s="41" t="s">
        <v>118</v>
      </c>
      <c r="D5995" s="80" t="s">
        <v>36</v>
      </c>
      <c r="E5995" s="80" t="s">
        <v>915</v>
      </c>
      <c r="F5995" s="80" t="s">
        <v>36</v>
      </c>
      <c r="G5995" s="80" t="s">
        <v>221</v>
      </c>
      <c r="H5995" s="80" t="s">
        <v>7481</v>
      </c>
      <c r="I5995" s="17">
        <f ca="1">IFERROR(__xludf.DUMMYFUNCTION("""COMPUTED_VALUE"""),45646)</f>
        <v>45646</v>
      </c>
      <c r="J5995" s="143" t="s">
        <v>19695</v>
      </c>
      <c r="K5995" s="80" t="s">
        <v>19696</v>
      </c>
      <c r="L5995" s="30">
        <v>357663145</v>
      </c>
      <c r="M5995" s="80" t="s">
        <v>17759</v>
      </c>
      <c r="N5995" s="80" t="s">
        <v>2756</v>
      </c>
      <c r="O5995" s="80" t="s">
        <v>4503</v>
      </c>
      <c r="P5995" s="144" t="s">
        <v>19697</v>
      </c>
      <c r="Q5995" s="20">
        <v>10894</v>
      </c>
      <c r="R5995" s="80" t="s">
        <v>36</v>
      </c>
      <c r="S5995" s="95">
        <v>4200</v>
      </c>
      <c r="T5995" s="148">
        <v>45640</v>
      </c>
      <c r="U5995" s="95">
        <v>6694</v>
      </c>
      <c r="V5995" s="148">
        <v>45664</v>
      </c>
      <c r="W5995" s="85" t="s">
        <v>19698</v>
      </c>
      <c r="X5995" s="80"/>
      <c r="Y5995" s="22">
        <v>0</v>
      </c>
      <c r="Z5995" s="80" t="s">
        <v>50</v>
      </c>
      <c r="AA5995" s="82" t="s">
        <v>18583</v>
      </c>
      <c r="AB5995" s="86"/>
      <c r="AC5995" s="80" t="s">
        <v>53</v>
      </c>
      <c r="AD5995" s="80" t="s">
        <v>54</v>
      </c>
      <c r="AE5995" s="83">
        <v>530</v>
      </c>
      <c r="AF5995" s="43">
        <v>45642</v>
      </c>
      <c r="AG5995" s="80"/>
      <c r="AH5995" s="80"/>
      <c r="AI5995" s="147"/>
      <c r="AJ5995" s="80"/>
      <c r="AK5995" s="80"/>
      <c r="AL5995" s="35"/>
      <c r="AM5995" s="35"/>
      <c r="AN5995" s="35"/>
      <c r="AO5995" s="35"/>
      <c r="AP5995" s="35"/>
    </row>
    <row r="5996" spans="1:42" x14ac:dyDescent="0.2">
      <c r="A5996" s="126">
        <v>45642.313499745374</v>
      </c>
      <c r="B5996" s="137" t="s">
        <v>37</v>
      </c>
      <c r="C5996" s="41" t="s">
        <v>118</v>
      </c>
      <c r="D5996" s="80" t="s">
        <v>36</v>
      </c>
      <c r="E5996" s="80" t="s">
        <v>56</v>
      </c>
      <c r="F5996" s="80" t="s">
        <v>40</v>
      </c>
      <c r="G5996" s="80" t="s">
        <v>41</v>
      </c>
      <c r="H5996" s="80" t="s">
        <v>19699</v>
      </c>
      <c r="I5996" s="17">
        <f ca="1">IFERROR(__xludf.DUMMYFUNCTION("""COMPUTED_VALUE"""),45698)</f>
        <v>45698</v>
      </c>
      <c r="J5996" s="143" t="s">
        <v>19700</v>
      </c>
      <c r="K5996" s="80" t="s">
        <v>19701</v>
      </c>
      <c r="L5996" s="30">
        <v>783891497</v>
      </c>
      <c r="M5996" s="80" t="s">
        <v>9422</v>
      </c>
      <c r="N5996" s="80" t="s">
        <v>19311</v>
      </c>
      <c r="O5996" s="80" t="s">
        <v>11607</v>
      </c>
      <c r="P5996" s="144" t="s">
        <v>19702</v>
      </c>
      <c r="Q5996" s="20">
        <v>9317</v>
      </c>
      <c r="R5996" s="80" t="s">
        <v>36</v>
      </c>
      <c r="S5996" s="95">
        <f>500+1468</f>
        <v>1968</v>
      </c>
      <c r="T5996" s="83" t="s">
        <v>19703</v>
      </c>
      <c r="U5996" s="95">
        <f>7326+23</f>
        <v>7349</v>
      </c>
      <c r="V5996" s="83" t="s">
        <v>19704</v>
      </c>
      <c r="W5996" s="85" t="s">
        <v>19705</v>
      </c>
      <c r="X5996" s="80"/>
      <c r="Y5996" s="22">
        <v>0</v>
      </c>
      <c r="Z5996" s="80" t="s">
        <v>50</v>
      </c>
      <c r="AA5996" s="86" t="s">
        <v>18583</v>
      </c>
      <c r="AB5996" s="82"/>
      <c r="AC5996" s="80" t="s">
        <v>53</v>
      </c>
      <c r="AD5996" s="80" t="s">
        <v>54</v>
      </c>
      <c r="AE5996" s="80"/>
      <c r="AF5996" s="17">
        <v>45298</v>
      </c>
      <c r="AG5996" s="80" t="s">
        <v>7078</v>
      </c>
      <c r="AH5996" s="80"/>
      <c r="AI5996" s="147"/>
      <c r="AJ5996" s="80"/>
      <c r="AK5996" s="80"/>
      <c r="AL5996" s="35"/>
      <c r="AM5996" s="35"/>
      <c r="AN5996" s="35"/>
      <c r="AO5996" s="35"/>
      <c r="AP5996" s="35"/>
    </row>
    <row r="5997" spans="1:42" x14ac:dyDescent="0.2">
      <c r="A5997" s="126">
        <v>45642.899835798613</v>
      </c>
      <c r="B5997" s="137" t="s">
        <v>37</v>
      </c>
      <c r="C5997" s="41" t="s">
        <v>118</v>
      </c>
      <c r="D5997" s="80" t="s">
        <v>36</v>
      </c>
      <c r="E5997" s="80" t="s">
        <v>139</v>
      </c>
      <c r="F5997" s="80" t="s">
        <v>36</v>
      </c>
      <c r="G5997" s="80" t="s">
        <v>41</v>
      </c>
      <c r="H5997" s="80" t="s">
        <v>16183</v>
      </c>
      <c r="I5997" s="17">
        <f ca="1">IFERROR(__xludf.DUMMYFUNCTION("""COMPUTED_VALUE"""),45657)</f>
        <v>45657</v>
      </c>
      <c r="J5997" s="143" t="s">
        <v>19706</v>
      </c>
      <c r="K5997" s="80" t="s">
        <v>19707</v>
      </c>
      <c r="L5997" s="30">
        <v>392417426</v>
      </c>
      <c r="M5997" s="80" t="s">
        <v>15970</v>
      </c>
      <c r="N5997" s="80" t="s">
        <v>2841</v>
      </c>
      <c r="O5997" s="80" t="s">
        <v>19708</v>
      </c>
      <c r="P5997" s="80" t="s">
        <v>19709</v>
      </c>
      <c r="Q5997" s="20">
        <v>15936</v>
      </c>
      <c r="R5997" s="80" t="s">
        <v>36</v>
      </c>
      <c r="S5997" s="95">
        <f>100+2900</f>
        <v>3000</v>
      </c>
      <c r="T5997" s="83" t="s">
        <v>19710</v>
      </c>
      <c r="U5997" s="95">
        <v>12936</v>
      </c>
      <c r="V5997" s="148">
        <v>45678</v>
      </c>
      <c r="W5997" s="85" t="s">
        <v>19711</v>
      </c>
      <c r="X5997" s="80"/>
      <c r="Y5997" s="22">
        <v>0</v>
      </c>
      <c r="Z5997" s="80" t="s">
        <v>50</v>
      </c>
      <c r="AA5997" s="82" t="s">
        <v>18583</v>
      </c>
      <c r="AB5997" s="86"/>
      <c r="AC5997" s="80" t="s">
        <v>53</v>
      </c>
      <c r="AD5997" s="80" t="s">
        <v>54</v>
      </c>
      <c r="AE5997" s="80"/>
      <c r="AF5997" s="43">
        <v>45645</v>
      </c>
      <c r="AG5997" s="80"/>
      <c r="AH5997" s="80"/>
      <c r="AI5997" s="147"/>
      <c r="AJ5997" s="80"/>
      <c r="AK5997" s="80"/>
      <c r="AL5997" s="35"/>
      <c r="AM5997" s="35"/>
      <c r="AN5997" s="35"/>
      <c r="AO5997" s="35"/>
      <c r="AP5997" s="35"/>
    </row>
    <row r="5998" spans="1:42" x14ac:dyDescent="0.2">
      <c r="A5998" s="126">
        <v>45645.496202372684</v>
      </c>
      <c r="B5998" s="137" t="s">
        <v>37</v>
      </c>
      <c r="C5998" s="41" t="s">
        <v>118</v>
      </c>
      <c r="D5998" s="80" t="s">
        <v>36</v>
      </c>
      <c r="E5998" s="80" t="s">
        <v>56</v>
      </c>
      <c r="F5998" s="80" t="s">
        <v>40</v>
      </c>
      <c r="G5998" s="80" t="s">
        <v>41</v>
      </c>
      <c r="H5998" s="80" t="s">
        <v>13089</v>
      </c>
      <c r="I5998" s="17">
        <f ca="1">IFERROR(__xludf.DUMMYFUNCTION("""COMPUTED_VALUE"""),45651)</f>
        <v>45651</v>
      </c>
      <c r="J5998" s="143" t="s">
        <v>19712</v>
      </c>
      <c r="K5998" s="80" t="s">
        <v>19713</v>
      </c>
      <c r="L5998" s="30">
        <v>346082034</v>
      </c>
      <c r="M5998" s="80" t="s">
        <v>5558</v>
      </c>
      <c r="N5998" s="80" t="s">
        <v>18750</v>
      </c>
      <c r="O5998" s="80" t="s">
        <v>4503</v>
      </c>
      <c r="P5998" s="80" t="s">
        <v>19714</v>
      </c>
      <c r="Q5998" s="20">
        <v>9317</v>
      </c>
      <c r="R5998" s="80" t="s">
        <v>36</v>
      </c>
      <c r="S5998" s="95">
        <f>100+1900</f>
        <v>2000</v>
      </c>
      <c r="T5998" s="83" t="s">
        <v>19715</v>
      </c>
      <c r="U5998" s="95">
        <v>7317</v>
      </c>
      <c r="V5998" s="78">
        <v>45676</v>
      </c>
      <c r="W5998" s="85" t="s">
        <v>19716</v>
      </c>
      <c r="X5998" s="80"/>
      <c r="Y5998" s="22">
        <v>0</v>
      </c>
      <c r="Z5998" s="80" t="s">
        <v>50</v>
      </c>
      <c r="AA5998" s="86" t="s">
        <v>18583</v>
      </c>
      <c r="AB5998" s="82"/>
      <c r="AC5998" s="80" t="s">
        <v>53</v>
      </c>
      <c r="AD5998" s="80" t="s">
        <v>54</v>
      </c>
      <c r="AE5998" s="80"/>
      <c r="AF5998" s="43">
        <v>45649</v>
      </c>
      <c r="AG5998" s="80"/>
      <c r="AH5998" s="80"/>
      <c r="AI5998" s="147"/>
      <c r="AJ5998" s="80"/>
      <c r="AK5998" s="80"/>
      <c r="AL5998" s="35"/>
      <c r="AM5998" s="35"/>
      <c r="AN5998" s="35"/>
      <c r="AO5998" s="35"/>
      <c r="AP5998" s="35"/>
    </row>
    <row r="5999" spans="1:42" x14ac:dyDescent="0.2">
      <c r="A5999" s="126">
        <v>45651.501155335645</v>
      </c>
      <c r="B5999" s="137" t="s">
        <v>37</v>
      </c>
      <c r="C5999" s="41" t="s">
        <v>118</v>
      </c>
      <c r="D5999" s="80" t="s">
        <v>36</v>
      </c>
      <c r="E5999" s="80" t="s">
        <v>139</v>
      </c>
      <c r="F5999" s="80" t="s">
        <v>36</v>
      </c>
      <c r="G5999" s="80" t="s">
        <v>41</v>
      </c>
      <c r="H5999" s="80" t="s">
        <v>16183</v>
      </c>
      <c r="I5999" s="17">
        <f ca="1">IFERROR(__xludf.DUMMYFUNCTION("""COMPUTED_VALUE"""),45657)</f>
        <v>45657</v>
      </c>
      <c r="J5999" s="143" t="s">
        <v>19717</v>
      </c>
      <c r="K5999" s="80" t="s">
        <v>19718</v>
      </c>
      <c r="L5999" s="30">
        <v>359634727</v>
      </c>
      <c r="M5999" s="80" t="s">
        <v>5429</v>
      </c>
      <c r="N5999" s="80" t="s">
        <v>81</v>
      </c>
      <c r="O5999" s="80" t="s">
        <v>61</v>
      </c>
      <c r="P5999" s="80" t="s">
        <v>19719</v>
      </c>
      <c r="Q5999" s="20">
        <v>15936</v>
      </c>
      <c r="R5999" s="80" t="s">
        <v>36</v>
      </c>
      <c r="S5999" s="95">
        <v>2000</v>
      </c>
      <c r="T5999" s="148">
        <v>45651</v>
      </c>
      <c r="U5999" s="95">
        <v>13936</v>
      </c>
      <c r="V5999" s="148">
        <v>45677</v>
      </c>
      <c r="W5999" s="85" t="s">
        <v>19720</v>
      </c>
      <c r="X5999" s="80"/>
      <c r="Y5999" s="22">
        <v>0</v>
      </c>
      <c r="Z5999" s="80" t="s">
        <v>50</v>
      </c>
      <c r="AA5999" s="82" t="s">
        <v>18583</v>
      </c>
      <c r="AB5999" s="86"/>
      <c r="AC5999" s="80" t="s">
        <v>53</v>
      </c>
      <c r="AD5999" s="80" t="s">
        <v>54</v>
      </c>
      <c r="AE5999" s="80" t="s">
        <v>76</v>
      </c>
      <c r="AF5999" s="17">
        <v>45651</v>
      </c>
      <c r="AG5999" s="80"/>
      <c r="AH5999" s="80"/>
      <c r="AI5999" s="147"/>
      <c r="AJ5999" s="80"/>
      <c r="AK5999" s="80"/>
      <c r="AL5999" s="35"/>
      <c r="AM5999" s="35"/>
      <c r="AN5999" s="35"/>
      <c r="AO5999" s="35"/>
      <c r="AP5999" s="35"/>
    </row>
    <row r="6000" spans="1:42" x14ac:dyDescent="0.2">
      <c r="A6000" s="126">
        <v>45655.774903032405</v>
      </c>
      <c r="B6000" s="137" t="s">
        <v>37</v>
      </c>
      <c r="C6000" s="41" t="s">
        <v>118</v>
      </c>
      <c r="D6000" s="80" t="s">
        <v>36</v>
      </c>
      <c r="E6000" s="80" t="s">
        <v>56</v>
      </c>
      <c r="F6000" s="80" t="s">
        <v>40</v>
      </c>
      <c r="G6000" s="80" t="s">
        <v>41</v>
      </c>
      <c r="H6000" s="80" t="s">
        <v>19121</v>
      </c>
      <c r="I6000" s="17">
        <f ca="1">IFERROR(__xludf.DUMMYFUNCTION("""COMPUTED_VALUE"""),45659)</f>
        <v>45659</v>
      </c>
      <c r="J6000" s="143" t="s">
        <v>19721</v>
      </c>
      <c r="K6000" s="80" t="s">
        <v>19722</v>
      </c>
      <c r="L6000" s="30">
        <v>962328151</v>
      </c>
      <c r="M6000" s="80" t="s">
        <v>17759</v>
      </c>
      <c r="N6000" s="80" t="s">
        <v>2756</v>
      </c>
      <c r="O6000" s="80" t="s">
        <v>8140</v>
      </c>
      <c r="P6000" s="80" t="s">
        <v>19723</v>
      </c>
      <c r="Q6000" s="20">
        <v>9317</v>
      </c>
      <c r="R6000" s="80" t="s">
        <v>70</v>
      </c>
      <c r="S6000" s="95">
        <v>2000</v>
      </c>
      <c r="T6000" s="148">
        <v>45653</v>
      </c>
      <c r="U6000" s="95">
        <v>7317</v>
      </c>
      <c r="V6000" s="148">
        <v>45675</v>
      </c>
      <c r="W6000" s="85" t="s">
        <v>19724</v>
      </c>
      <c r="X6000" s="80"/>
      <c r="Y6000" s="22">
        <v>0</v>
      </c>
      <c r="Z6000" s="80" t="s">
        <v>50</v>
      </c>
      <c r="AA6000" s="86" t="s">
        <v>18583</v>
      </c>
      <c r="AB6000" s="82"/>
      <c r="AC6000" s="80" t="s">
        <v>53</v>
      </c>
      <c r="AD6000" s="80" t="s">
        <v>138</v>
      </c>
      <c r="AE6000" s="80"/>
      <c r="AF6000" s="17">
        <v>45659</v>
      </c>
      <c r="AG6000" s="80"/>
      <c r="AH6000" s="80"/>
      <c r="AI6000" s="147"/>
      <c r="AJ6000" s="80">
        <f t="shared" ref="AJ6000:AJ6002" si="174">COUNTIF(K6000:K7201,K6000)</f>
        <v>2</v>
      </c>
      <c r="AK6000" s="80"/>
      <c r="AL6000" s="35"/>
      <c r="AM6000" s="35"/>
      <c r="AN6000" s="35"/>
      <c r="AO6000" s="35"/>
      <c r="AP6000" s="35"/>
    </row>
    <row r="6001" spans="1:42" x14ac:dyDescent="0.2">
      <c r="A6001" s="126">
        <v>45655.779022418981</v>
      </c>
      <c r="B6001" s="137" t="s">
        <v>37</v>
      </c>
      <c r="C6001" s="41" t="s">
        <v>118</v>
      </c>
      <c r="D6001" s="80" t="s">
        <v>36</v>
      </c>
      <c r="E6001" s="80" t="s">
        <v>56</v>
      </c>
      <c r="F6001" s="80" t="s">
        <v>40</v>
      </c>
      <c r="G6001" s="80" t="s">
        <v>41</v>
      </c>
      <c r="H6001" s="80" t="s">
        <v>19121</v>
      </c>
      <c r="I6001" s="17">
        <f ca="1">IFERROR(__xludf.DUMMYFUNCTION("""COMPUTED_VALUE"""),45659)</f>
        <v>45659</v>
      </c>
      <c r="J6001" s="143" t="s">
        <v>19725</v>
      </c>
      <c r="K6001" s="80" t="s">
        <v>10070</v>
      </c>
      <c r="L6001" s="30">
        <v>345313021</v>
      </c>
      <c r="M6001" s="80" t="s">
        <v>17759</v>
      </c>
      <c r="N6001" s="80" t="s">
        <v>2756</v>
      </c>
      <c r="O6001" s="80" t="s">
        <v>11488</v>
      </c>
      <c r="P6001" s="80" t="s">
        <v>19726</v>
      </c>
      <c r="Q6001" s="20">
        <v>9317</v>
      </c>
      <c r="R6001" s="80" t="s">
        <v>70</v>
      </c>
      <c r="S6001" s="95">
        <v>2000</v>
      </c>
      <c r="T6001" s="148">
        <v>45653</v>
      </c>
      <c r="U6001" s="95">
        <v>7317</v>
      </c>
      <c r="V6001" s="148">
        <v>45674</v>
      </c>
      <c r="W6001" s="85" t="s">
        <v>19727</v>
      </c>
      <c r="X6001" s="80"/>
      <c r="Y6001" s="22">
        <v>0</v>
      </c>
      <c r="Z6001" s="80" t="s">
        <v>50</v>
      </c>
      <c r="AA6001" s="82" t="s">
        <v>18583</v>
      </c>
      <c r="AB6001" s="86"/>
      <c r="AC6001" s="80" t="s">
        <v>53</v>
      </c>
      <c r="AD6001" s="80" t="s">
        <v>138</v>
      </c>
      <c r="AE6001" s="80"/>
      <c r="AF6001" s="17">
        <v>45659</v>
      </c>
      <c r="AG6001" s="80"/>
      <c r="AH6001" s="80"/>
      <c r="AI6001" s="147"/>
      <c r="AJ6001" s="80">
        <f t="shared" si="174"/>
        <v>2</v>
      </c>
      <c r="AK6001" s="80"/>
      <c r="AL6001" s="35"/>
      <c r="AM6001" s="35"/>
      <c r="AN6001" s="35"/>
      <c r="AO6001" s="35"/>
      <c r="AP6001" s="35"/>
    </row>
    <row r="6002" spans="1:42" x14ac:dyDescent="0.2">
      <c r="A6002" s="126">
        <v>45660.576193333334</v>
      </c>
      <c r="B6002" s="137" t="s">
        <v>37</v>
      </c>
      <c r="C6002" s="41" t="s">
        <v>118</v>
      </c>
      <c r="D6002" s="80" t="s">
        <v>36</v>
      </c>
      <c r="E6002" s="80" t="s">
        <v>77</v>
      </c>
      <c r="F6002" s="80" t="s">
        <v>40</v>
      </c>
      <c r="G6002" s="80" t="s">
        <v>41</v>
      </c>
      <c r="H6002" s="80" t="s">
        <v>19121</v>
      </c>
      <c r="I6002" s="17">
        <f ca="1">IFERROR(__xludf.DUMMYFUNCTION("""COMPUTED_VALUE"""),45659)</f>
        <v>45659</v>
      </c>
      <c r="J6002" s="143" t="s">
        <v>19728</v>
      </c>
      <c r="K6002" s="80" t="s">
        <v>19729</v>
      </c>
      <c r="L6002" s="30">
        <v>868386528</v>
      </c>
      <c r="M6002" s="80" t="s">
        <v>11413</v>
      </c>
      <c r="N6002" s="80" t="s">
        <v>1246</v>
      </c>
      <c r="O6002" s="80" t="s">
        <v>19730</v>
      </c>
      <c r="P6002" s="80" t="s">
        <v>19731</v>
      </c>
      <c r="Q6002" s="20">
        <v>1968</v>
      </c>
      <c r="R6002" s="80" t="s">
        <v>36</v>
      </c>
      <c r="S6002" s="95">
        <v>1968</v>
      </c>
      <c r="T6002" s="148">
        <v>45660</v>
      </c>
      <c r="U6002" s="77"/>
      <c r="V6002" s="78"/>
      <c r="W6002" s="79" t="s">
        <v>19732</v>
      </c>
      <c r="X6002" s="80"/>
      <c r="Y6002" s="22">
        <v>0</v>
      </c>
      <c r="Z6002" s="80" t="s">
        <v>50</v>
      </c>
      <c r="AA6002" s="86" t="s">
        <v>18583</v>
      </c>
      <c r="AB6002" s="82"/>
      <c r="AC6002" s="80" t="s">
        <v>53</v>
      </c>
      <c r="AD6002" s="80" t="s">
        <v>138</v>
      </c>
      <c r="AE6002" s="80"/>
      <c r="AF6002" s="17">
        <v>45660</v>
      </c>
      <c r="AG6002" s="80"/>
      <c r="AH6002" s="80"/>
      <c r="AI6002" s="147"/>
      <c r="AJ6002" s="80">
        <f t="shared" si="174"/>
        <v>1</v>
      </c>
      <c r="AK6002" s="80"/>
      <c r="AL6002" s="35"/>
      <c r="AM6002" s="35"/>
      <c r="AN6002" s="35"/>
      <c r="AO6002" s="35"/>
      <c r="AP6002" s="35"/>
    </row>
    <row r="6003" spans="1:42" x14ac:dyDescent="0.2">
      <c r="A6003" s="126">
        <v>45661.6785121875</v>
      </c>
      <c r="B6003" s="137" t="s">
        <v>37</v>
      </c>
      <c r="C6003" s="41" t="s">
        <v>118</v>
      </c>
      <c r="D6003" s="80" t="s">
        <v>36</v>
      </c>
      <c r="E6003" s="80" t="s">
        <v>56</v>
      </c>
      <c r="F6003" s="80" t="s">
        <v>40</v>
      </c>
      <c r="G6003" s="80" t="s">
        <v>41</v>
      </c>
      <c r="H6003" s="80" t="s">
        <v>19301</v>
      </c>
      <c r="I6003" s="17">
        <f ca="1">IFERROR(__xludf.DUMMYFUNCTION("""COMPUTED_VALUE"""),45712)</f>
        <v>45712</v>
      </c>
      <c r="J6003" s="143" t="s">
        <v>19733</v>
      </c>
      <c r="K6003" s="80" t="s">
        <v>19734</v>
      </c>
      <c r="L6003" s="30">
        <v>976206551</v>
      </c>
      <c r="M6003" s="80" t="s">
        <v>59</v>
      </c>
      <c r="N6003" s="80" t="s">
        <v>4299</v>
      </c>
      <c r="O6003" s="80" t="s">
        <v>19735</v>
      </c>
      <c r="P6003" s="80" t="s">
        <v>12692</v>
      </c>
      <c r="Q6003" s="20">
        <v>9317</v>
      </c>
      <c r="R6003" s="80" t="s">
        <v>70</v>
      </c>
      <c r="S6003" s="95">
        <f t="shared" ref="S6003:S6004" si="175">500+8717</f>
        <v>9217</v>
      </c>
      <c r="T6003" s="83" t="s">
        <v>19736</v>
      </c>
      <c r="U6003" s="77"/>
      <c r="V6003" s="78"/>
      <c r="W6003" s="85" t="s">
        <v>19737</v>
      </c>
      <c r="X6003" s="80"/>
      <c r="Y6003" s="22">
        <v>100</v>
      </c>
      <c r="Z6003" s="80" t="s">
        <v>50</v>
      </c>
      <c r="AA6003" s="82" t="s">
        <v>18583</v>
      </c>
      <c r="AB6003" s="86"/>
      <c r="AC6003" s="80" t="s">
        <v>53</v>
      </c>
      <c r="AD6003" s="80" t="s">
        <v>138</v>
      </c>
      <c r="AE6003" s="80" t="s">
        <v>72</v>
      </c>
      <c r="AF6003" s="17">
        <v>45712</v>
      </c>
      <c r="AG6003" s="80"/>
      <c r="AH6003" s="80"/>
      <c r="AI6003" s="147"/>
      <c r="AJ6003" s="80"/>
      <c r="AK6003" s="80"/>
      <c r="AL6003" s="35"/>
      <c r="AM6003" s="35"/>
      <c r="AN6003" s="35"/>
      <c r="AO6003" s="35"/>
      <c r="AP6003" s="35"/>
    </row>
    <row r="6004" spans="1:42" x14ac:dyDescent="0.2">
      <c r="A6004" s="126">
        <v>45661.681837395838</v>
      </c>
      <c r="B6004" s="137" t="s">
        <v>37</v>
      </c>
      <c r="C6004" s="41" t="s">
        <v>118</v>
      </c>
      <c r="D6004" s="80" t="s">
        <v>36</v>
      </c>
      <c r="E6004" s="80" t="s">
        <v>56</v>
      </c>
      <c r="F6004" s="80" t="s">
        <v>40</v>
      </c>
      <c r="G6004" s="80" t="s">
        <v>41</v>
      </c>
      <c r="H6004" s="80" t="s">
        <v>19301</v>
      </c>
      <c r="I6004" s="17">
        <f ca="1">IFERROR(__xludf.DUMMYFUNCTION("""COMPUTED_VALUE"""),45712)</f>
        <v>45712</v>
      </c>
      <c r="J6004" s="143" t="s">
        <v>19738</v>
      </c>
      <c r="K6004" s="80" t="s">
        <v>19739</v>
      </c>
      <c r="L6004" s="30">
        <v>333065885</v>
      </c>
      <c r="M6004" s="80" t="s">
        <v>59</v>
      </c>
      <c r="N6004" s="80" t="s">
        <v>4299</v>
      </c>
      <c r="O6004" s="80" t="s">
        <v>19740</v>
      </c>
      <c r="P6004" s="80" t="s">
        <v>12687</v>
      </c>
      <c r="Q6004" s="20">
        <v>9317</v>
      </c>
      <c r="R6004" s="80" t="s">
        <v>70</v>
      </c>
      <c r="S6004" s="95">
        <f t="shared" si="175"/>
        <v>9217</v>
      </c>
      <c r="T6004" s="83" t="s">
        <v>19736</v>
      </c>
      <c r="U6004" s="77"/>
      <c r="V6004" s="78"/>
      <c r="W6004" s="85" t="s">
        <v>19741</v>
      </c>
      <c r="X6004" s="80"/>
      <c r="Y6004" s="22">
        <v>100</v>
      </c>
      <c r="Z6004" s="80" t="s">
        <v>50</v>
      </c>
      <c r="AA6004" s="86" t="s">
        <v>18583</v>
      </c>
      <c r="AB6004" s="82"/>
      <c r="AC6004" s="80" t="s">
        <v>53</v>
      </c>
      <c r="AD6004" s="80" t="s">
        <v>138</v>
      </c>
      <c r="AE6004" s="80" t="s">
        <v>16312</v>
      </c>
      <c r="AF6004" s="17">
        <v>45712</v>
      </c>
      <c r="AG6004" s="80"/>
      <c r="AH6004" s="80"/>
      <c r="AI6004" s="147"/>
      <c r="AJ6004" s="80"/>
      <c r="AK6004" s="80"/>
      <c r="AL6004" s="35"/>
      <c r="AM6004" s="35"/>
      <c r="AN6004" s="35"/>
      <c r="AO6004" s="35"/>
      <c r="AP6004" s="35"/>
    </row>
    <row r="6005" spans="1:42" x14ac:dyDescent="0.2">
      <c r="A6005" s="126">
        <v>45661.689385324076</v>
      </c>
      <c r="B6005" s="137" t="s">
        <v>90</v>
      </c>
      <c r="C6005" s="41" t="s">
        <v>118</v>
      </c>
      <c r="D6005" s="80" t="s">
        <v>77</v>
      </c>
      <c r="E6005" s="80" t="s">
        <v>148</v>
      </c>
      <c r="F6005" s="80" t="s">
        <v>16224</v>
      </c>
      <c r="G6005" s="80" t="s">
        <v>108</v>
      </c>
      <c r="H6005" s="80" t="s">
        <v>5764</v>
      </c>
      <c r="I6005" s="17" t="str">
        <f ca="1">IFERROR(__xludf.DUMMYFUNCTION("""COMPUTED_VALUE""")," ")</f>
        <v xml:space="preserve"> </v>
      </c>
      <c r="J6005" s="143" t="s">
        <v>16225</v>
      </c>
      <c r="K6005" s="80" t="s">
        <v>19742</v>
      </c>
      <c r="L6005" s="30">
        <v>378732556</v>
      </c>
      <c r="M6005" s="80" t="s">
        <v>59</v>
      </c>
      <c r="N6005" s="80" t="s">
        <v>68</v>
      </c>
      <c r="O6005" s="80" t="s">
        <v>19743</v>
      </c>
      <c r="P6005" s="80" t="s">
        <v>19744</v>
      </c>
      <c r="Q6005" s="20">
        <v>7349</v>
      </c>
      <c r="R6005" s="80" t="s">
        <v>36</v>
      </c>
      <c r="S6005" s="95">
        <f>200+6950</f>
        <v>7150</v>
      </c>
      <c r="T6005" s="148">
        <v>45657</v>
      </c>
      <c r="U6005" s="95"/>
      <c r="V6005" s="148">
        <v>45659</v>
      </c>
      <c r="W6005" s="80" t="s">
        <v>19745</v>
      </c>
      <c r="X6005" s="80"/>
      <c r="Y6005" s="22">
        <v>199</v>
      </c>
      <c r="Z6005" s="80" t="s">
        <v>50</v>
      </c>
      <c r="AA6005" s="82" t="s">
        <v>18583</v>
      </c>
      <c r="AB6005" s="86"/>
      <c r="AC6005" s="80" t="s">
        <v>1828</v>
      </c>
      <c r="AD6005" s="80" t="s">
        <v>54</v>
      </c>
      <c r="AE6005" s="80" t="s">
        <v>2752</v>
      </c>
      <c r="AF6005" s="60" t="s">
        <v>1829</v>
      </c>
      <c r="AG6005" s="80" t="s">
        <v>1828</v>
      </c>
      <c r="AH6005" s="80"/>
      <c r="AI6005" s="147"/>
      <c r="AJ6005" s="80"/>
      <c r="AK6005" s="80"/>
      <c r="AL6005" s="35"/>
      <c r="AM6005" s="35"/>
      <c r="AN6005" s="35"/>
      <c r="AO6005" s="35"/>
      <c r="AP6005" s="35"/>
    </row>
    <row r="6006" spans="1:42" x14ac:dyDescent="0.2">
      <c r="A6006" s="126">
        <v>45661.692890451392</v>
      </c>
      <c r="B6006" s="137" t="s">
        <v>37</v>
      </c>
      <c r="C6006" s="41" t="s">
        <v>118</v>
      </c>
      <c r="D6006" s="80" t="s">
        <v>36</v>
      </c>
      <c r="E6006" s="80" t="s">
        <v>56</v>
      </c>
      <c r="F6006" s="80" t="s">
        <v>40</v>
      </c>
      <c r="G6006" s="80" t="s">
        <v>41</v>
      </c>
      <c r="H6006" s="80" t="s">
        <v>19366</v>
      </c>
      <c r="I6006" s="17">
        <f ca="1">IFERROR(__xludf.DUMMYFUNCTION("""COMPUTED_VALUE"""),45712)</f>
        <v>45712</v>
      </c>
      <c r="J6006" s="143" t="s">
        <v>19746</v>
      </c>
      <c r="K6006" s="80" t="s">
        <v>19747</v>
      </c>
      <c r="L6006" s="30">
        <v>979069778</v>
      </c>
      <c r="M6006" s="80" t="s">
        <v>59</v>
      </c>
      <c r="N6006" s="80" t="s">
        <v>4299</v>
      </c>
      <c r="O6006" s="80" t="s">
        <v>19748</v>
      </c>
      <c r="P6006" s="80" t="s">
        <v>7743</v>
      </c>
      <c r="Q6006" s="20">
        <v>9317</v>
      </c>
      <c r="R6006" s="80" t="s">
        <v>36</v>
      </c>
      <c r="S6006" s="95">
        <v>9317</v>
      </c>
      <c r="T6006" s="148">
        <v>45659</v>
      </c>
      <c r="U6006" s="77"/>
      <c r="V6006" s="78"/>
      <c r="W6006" s="85" t="s">
        <v>19749</v>
      </c>
      <c r="X6006" s="80"/>
      <c r="Y6006" s="22">
        <v>0</v>
      </c>
      <c r="Z6006" s="80" t="s">
        <v>50</v>
      </c>
      <c r="AA6006" s="86" t="s">
        <v>18583</v>
      </c>
      <c r="AB6006" s="82"/>
      <c r="AC6006" s="80" t="s">
        <v>53</v>
      </c>
      <c r="AD6006" s="80" t="s">
        <v>138</v>
      </c>
      <c r="AE6006" s="80"/>
      <c r="AF6006" s="17">
        <v>45712</v>
      </c>
      <c r="AG6006" s="80"/>
      <c r="AH6006" s="80"/>
      <c r="AI6006" s="147"/>
      <c r="AJ6006" s="80"/>
      <c r="AK6006" s="80"/>
      <c r="AL6006" s="35"/>
      <c r="AM6006" s="35"/>
      <c r="AN6006" s="35"/>
      <c r="AO6006" s="35"/>
      <c r="AP6006" s="35"/>
    </row>
    <row r="6007" spans="1:42" x14ac:dyDescent="0.2">
      <c r="A6007" s="126">
        <v>45661.695817314816</v>
      </c>
      <c r="B6007" s="137" t="s">
        <v>37</v>
      </c>
      <c r="C6007" s="41" t="s">
        <v>118</v>
      </c>
      <c r="D6007" s="80" t="s">
        <v>36</v>
      </c>
      <c r="E6007" s="80" t="s">
        <v>139</v>
      </c>
      <c r="F6007" s="80" t="s">
        <v>40</v>
      </c>
      <c r="G6007" s="80" t="s">
        <v>41</v>
      </c>
      <c r="H6007" s="80" t="s">
        <v>16519</v>
      </c>
      <c r="I6007" s="17">
        <f ca="1">IFERROR(__xludf.DUMMYFUNCTION("""COMPUTED_VALUE"""),45707)</f>
        <v>45707</v>
      </c>
      <c r="J6007" s="143" t="s">
        <v>19750</v>
      </c>
      <c r="K6007" s="80" t="s">
        <v>19751</v>
      </c>
      <c r="L6007" s="30">
        <v>979815570</v>
      </c>
      <c r="M6007" s="80" t="s">
        <v>59</v>
      </c>
      <c r="N6007" s="80" t="s">
        <v>9660</v>
      </c>
      <c r="O6007" s="80" t="s">
        <v>19752</v>
      </c>
      <c r="P6007" s="80" t="s">
        <v>12692</v>
      </c>
      <c r="Q6007" s="20">
        <v>15936</v>
      </c>
      <c r="R6007" s="80" t="s">
        <v>36</v>
      </c>
      <c r="S6007" s="95">
        <v>15936</v>
      </c>
      <c r="T6007" s="148">
        <v>45660</v>
      </c>
      <c r="U6007" s="77"/>
      <c r="V6007" s="78"/>
      <c r="W6007" s="85" t="s">
        <v>19753</v>
      </c>
      <c r="X6007" s="80"/>
      <c r="Y6007" s="22">
        <v>0</v>
      </c>
      <c r="Z6007" s="80" t="s">
        <v>50</v>
      </c>
      <c r="AA6007" s="82" t="s">
        <v>18583</v>
      </c>
      <c r="AB6007" s="86"/>
      <c r="AC6007" s="80" t="s">
        <v>53</v>
      </c>
      <c r="AD6007" s="80" t="s">
        <v>138</v>
      </c>
      <c r="AE6007" s="80"/>
      <c r="AF6007" s="17">
        <v>45707</v>
      </c>
      <c r="AG6007" s="80"/>
      <c r="AH6007" s="80"/>
      <c r="AI6007" s="147"/>
      <c r="AJ6007" s="80"/>
      <c r="AK6007" s="80"/>
      <c r="AL6007" s="35"/>
      <c r="AM6007" s="35"/>
      <c r="AN6007" s="35"/>
      <c r="AO6007" s="35"/>
      <c r="AP6007" s="35"/>
    </row>
    <row r="6008" spans="1:42" x14ac:dyDescent="0.2">
      <c r="A6008" s="126">
        <v>45661.857544317128</v>
      </c>
      <c r="B6008" s="137" t="s">
        <v>37</v>
      </c>
      <c r="C6008" s="41" t="s">
        <v>118</v>
      </c>
      <c r="D6008" s="80" t="s">
        <v>56</v>
      </c>
      <c r="E6008" s="80" t="s">
        <v>56</v>
      </c>
      <c r="F6008" s="80" t="s">
        <v>40</v>
      </c>
      <c r="G6008" s="80" t="s">
        <v>41</v>
      </c>
      <c r="H6008" s="80" t="s">
        <v>19121</v>
      </c>
      <c r="I6008" s="17">
        <f ca="1">IFERROR(__xludf.DUMMYFUNCTION("""COMPUTED_VALUE"""),45659)</f>
        <v>45659</v>
      </c>
      <c r="J6008" s="143" t="s">
        <v>19754</v>
      </c>
      <c r="K6008" s="80" t="s">
        <v>19755</v>
      </c>
      <c r="L6008" s="30">
        <v>375215503</v>
      </c>
      <c r="M6008" s="80" t="s">
        <v>17759</v>
      </c>
      <c r="N6008" s="80" t="s">
        <v>2756</v>
      </c>
      <c r="O6008" s="80" t="s">
        <v>4503</v>
      </c>
      <c r="P6008" s="80" t="s">
        <v>19756</v>
      </c>
      <c r="Q6008" s="20">
        <v>9317</v>
      </c>
      <c r="R6008" s="80" t="s">
        <v>36</v>
      </c>
      <c r="S6008" s="95">
        <v>9317</v>
      </c>
      <c r="T6008" s="148">
        <v>45661</v>
      </c>
      <c r="U6008" s="77"/>
      <c r="V6008" s="78"/>
      <c r="W6008" s="85" t="s">
        <v>19757</v>
      </c>
      <c r="X6008" s="80"/>
      <c r="Y6008" s="22">
        <v>0</v>
      </c>
      <c r="Z6008" s="80" t="s">
        <v>50</v>
      </c>
      <c r="AA6008" s="86" t="s">
        <v>18583</v>
      </c>
      <c r="AB6008" s="82"/>
      <c r="AC6008" s="80" t="s">
        <v>53</v>
      </c>
      <c r="AD6008" s="80" t="s">
        <v>138</v>
      </c>
      <c r="AE6008" s="80"/>
      <c r="AF6008" s="17">
        <v>45663</v>
      </c>
      <c r="AG6008" s="80"/>
      <c r="AH6008" s="80"/>
      <c r="AI6008" s="147"/>
      <c r="AJ6008" s="80">
        <f>COUNTIF(K6008:K7209,K6008)</f>
        <v>1</v>
      </c>
      <c r="AK6008" s="80"/>
      <c r="AL6008" s="35"/>
      <c r="AM6008" s="35"/>
      <c r="AN6008" s="35"/>
      <c r="AO6008" s="35"/>
      <c r="AP6008" s="35"/>
    </row>
    <row r="6009" spans="1:42" x14ac:dyDescent="0.2">
      <c r="A6009" s="126">
        <v>45663.364298078704</v>
      </c>
      <c r="B6009" s="28" t="s">
        <v>37</v>
      </c>
      <c r="C6009" s="41" t="s">
        <v>118</v>
      </c>
      <c r="D6009" s="26" t="s">
        <v>36</v>
      </c>
      <c r="E6009" s="26" t="s">
        <v>6528</v>
      </c>
      <c r="F6009" s="80" t="s">
        <v>8406</v>
      </c>
      <c r="G6009" s="26" t="s">
        <v>1847</v>
      </c>
      <c r="H6009" s="26" t="s">
        <v>18445</v>
      </c>
      <c r="I6009" s="17">
        <f ca="1">IFERROR(__xludf.DUMMYFUNCTION("""COMPUTED_VALUE"""),45666)</f>
        <v>45666</v>
      </c>
      <c r="J6009" s="29" t="s">
        <v>4229</v>
      </c>
      <c r="K6009" s="26" t="s">
        <v>4230</v>
      </c>
      <c r="L6009" s="30">
        <v>325286428</v>
      </c>
      <c r="M6009" s="26" t="s">
        <v>1245</v>
      </c>
      <c r="N6009" s="26" t="s">
        <v>1246</v>
      </c>
      <c r="O6009" s="26" t="s">
        <v>2737</v>
      </c>
      <c r="P6009" s="42" t="s">
        <v>19758</v>
      </c>
      <c r="Q6009" s="20">
        <v>4268</v>
      </c>
      <c r="R6009" s="80" t="s">
        <v>36</v>
      </c>
      <c r="S6009" s="95">
        <f>1000+3268</f>
        <v>4268</v>
      </c>
      <c r="T6009" s="32">
        <v>45661</v>
      </c>
      <c r="U6009" s="31"/>
      <c r="V6009" s="38">
        <v>45667</v>
      </c>
      <c r="W6009" s="33" t="s">
        <v>19759</v>
      </c>
      <c r="X6009" s="26"/>
      <c r="Y6009" s="22">
        <v>0</v>
      </c>
      <c r="Z6009" s="26" t="s">
        <v>50</v>
      </c>
      <c r="AA6009" s="82" t="s">
        <v>18583</v>
      </c>
      <c r="AB6009" s="19"/>
      <c r="AC6009" s="26" t="s">
        <v>53</v>
      </c>
      <c r="AD6009" s="19" t="s">
        <v>54</v>
      </c>
      <c r="AE6009" s="26"/>
      <c r="AF6009" s="17">
        <v>45663</v>
      </c>
      <c r="AG6009" s="26"/>
      <c r="AH6009" s="26"/>
      <c r="AI6009" s="40"/>
      <c r="AJ6009" s="80"/>
      <c r="AK6009" s="80"/>
      <c r="AL6009" s="35"/>
      <c r="AM6009" s="35"/>
      <c r="AN6009" s="35"/>
      <c r="AO6009" s="35"/>
      <c r="AP6009" s="35"/>
    </row>
    <row r="6010" spans="1:42" x14ac:dyDescent="0.2">
      <c r="A6010" s="126">
        <v>45663.364298078704</v>
      </c>
      <c r="B6010" s="137" t="s">
        <v>37</v>
      </c>
      <c r="C6010" s="41" t="s">
        <v>118</v>
      </c>
      <c r="D6010" s="80" t="s">
        <v>36</v>
      </c>
      <c r="E6010" s="80" t="s">
        <v>77</v>
      </c>
      <c r="F6010" s="80" t="s">
        <v>40</v>
      </c>
      <c r="G6010" s="80" t="s">
        <v>41</v>
      </c>
      <c r="H6010" s="80" t="s">
        <v>19121</v>
      </c>
      <c r="I6010" s="17">
        <f ca="1">IFERROR(__xludf.DUMMYFUNCTION("""COMPUTED_VALUE"""),45659)</f>
        <v>45659</v>
      </c>
      <c r="J6010" s="143" t="s">
        <v>19760</v>
      </c>
      <c r="K6010" s="80" t="s">
        <v>19761</v>
      </c>
      <c r="L6010" s="30">
        <v>393128259</v>
      </c>
      <c r="M6010" s="80" t="s">
        <v>11413</v>
      </c>
      <c r="N6010" s="80" t="s">
        <v>1246</v>
      </c>
      <c r="O6010" s="80" t="s">
        <v>19762</v>
      </c>
      <c r="P6010" s="80" t="s">
        <v>19763</v>
      </c>
      <c r="Q6010" s="20">
        <v>1968</v>
      </c>
      <c r="R6010" s="80" t="s">
        <v>70</v>
      </c>
      <c r="S6010" s="95">
        <v>1968</v>
      </c>
      <c r="T6010" s="148">
        <v>45662</v>
      </c>
      <c r="U6010" s="77"/>
      <c r="V6010" s="78"/>
      <c r="W6010" s="85" t="s">
        <v>19764</v>
      </c>
      <c r="X6010" s="80"/>
      <c r="Y6010" s="22">
        <v>0</v>
      </c>
      <c r="Z6010" s="80" t="s">
        <v>50</v>
      </c>
      <c r="AA6010" s="86" t="s">
        <v>18583</v>
      </c>
      <c r="AB6010" s="82"/>
      <c r="AC6010" s="80" t="s">
        <v>53</v>
      </c>
      <c r="AD6010" s="80" t="s">
        <v>138</v>
      </c>
      <c r="AE6010" s="80"/>
      <c r="AF6010" s="17">
        <v>45663</v>
      </c>
      <c r="AG6010" s="80"/>
      <c r="AH6010" s="80"/>
      <c r="AI6010" s="147"/>
      <c r="AJ6010" s="80">
        <f>COUNTIF(K6010:K7211,K6010)</f>
        <v>1</v>
      </c>
      <c r="AK6010" s="80"/>
      <c r="AL6010" s="35"/>
      <c r="AM6010" s="35"/>
      <c r="AN6010" s="35"/>
      <c r="AO6010" s="35"/>
      <c r="AP6010" s="35"/>
    </row>
    <row r="6011" spans="1:42" x14ac:dyDescent="0.2">
      <c r="A6011" s="126">
        <v>45664.44496552083</v>
      </c>
      <c r="B6011" s="137" t="s">
        <v>37</v>
      </c>
      <c r="C6011" s="41" t="s">
        <v>118</v>
      </c>
      <c r="D6011" s="80" t="s">
        <v>36</v>
      </c>
      <c r="E6011" s="80" t="s">
        <v>77</v>
      </c>
      <c r="F6011" s="80" t="s">
        <v>40</v>
      </c>
      <c r="G6011" s="80" t="s">
        <v>41</v>
      </c>
      <c r="H6011" s="80" t="s">
        <v>16519</v>
      </c>
      <c r="I6011" s="17">
        <f ca="1">IFERROR(__xludf.DUMMYFUNCTION("""COMPUTED_VALUE"""),45707)</f>
        <v>45707</v>
      </c>
      <c r="J6011" s="143" t="s">
        <v>19765</v>
      </c>
      <c r="K6011" s="80" t="s">
        <v>19766</v>
      </c>
      <c r="L6011" s="83">
        <v>968138205</v>
      </c>
      <c r="M6011" s="80" t="s">
        <v>59</v>
      </c>
      <c r="N6011" s="80" t="s">
        <v>4299</v>
      </c>
      <c r="O6011" s="80" t="s">
        <v>19767</v>
      </c>
      <c r="P6011" s="80" t="s">
        <v>18241</v>
      </c>
      <c r="Q6011" s="20">
        <v>1968</v>
      </c>
      <c r="R6011" s="80" t="s">
        <v>36</v>
      </c>
      <c r="S6011" s="95">
        <v>1968</v>
      </c>
      <c r="T6011" s="148">
        <v>45662</v>
      </c>
      <c r="U6011" s="77"/>
      <c r="V6011" s="78"/>
      <c r="W6011" s="85" t="s">
        <v>19768</v>
      </c>
      <c r="X6011" s="80"/>
      <c r="Y6011" s="22">
        <v>0</v>
      </c>
      <c r="Z6011" s="80" t="s">
        <v>50</v>
      </c>
      <c r="AA6011" s="82" t="s">
        <v>18583</v>
      </c>
      <c r="AB6011" s="86"/>
      <c r="AC6011" s="80" t="s">
        <v>53</v>
      </c>
      <c r="AD6011" s="80" t="s">
        <v>138</v>
      </c>
      <c r="AE6011" s="80"/>
      <c r="AF6011" s="17">
        <v>45707</v>
      </c>
      <c r="AG6011" s="80"/>
      <c r="AH6011" s="80"/>
      <c r="AI6011" s="147"/>
      <c r="AJ6011" s="80"/>
      <c r="AK6011" s="80"/>
      <c r="AL6011" s="35"/>
      <c r="AM6011" s="35"/>
      <c r="AN6011" s="35"/>
      <c r="AO6011" s="35"/>
      <c r="AP6011" s="35"/>
    </row>
    <row r="6012" spans="1:42" x14ac:dyDescent="0.2">
      <c r="A6012" s="126">
        <v>45664.465857824078</v>
      </c>
      <c r="B6012" s="137" t="s">
        <v>37</v>
      </c>
      <c r="C6012" s="41" t="s">
        <v>118</v>
      </c>
      <c r="D6012" s="80" t="s">
        <v>36</v>
      </c>
      <c r="E6012" s="80" t="s">
        <v>39</v>
      </c>
      <c r="F6012" s="80" t="s">
        <v>40</v>
      </c>
      <c r="G6012" s="80" t="s">
        <v>41</v>
      </c>
      <c r="H6012" s="80" t="s">
        <v>19699</v>
      </c>
      <c r="I6012" s="17">
        <f ca="1">IFERROR(__xludf.DUMMYFUNCTION("""COMPUTED_VALUE"""),45698)</f>
        <v>45698</v>
      </c>
      <c r="J6012" s="143" t="s">
        <v>19769</v>
      </c>
      <c r="K6012" s="80" t="s">
        <v>9438</v>
      </c>
      <c r="L6012" s="30">
        <v>338993893</v>
      </c>
      <c r="M6012" s="80" t="s">
        <v>9422</v>
      </c>
      <c r="N6012" s="80" t="s">
        <v>327</v>
      </c>
      <c r="O6012" s="80" t="s">
        <v>91</v>
      </c>
      <c r="P6012" s="80" t="s">
        <v>19770</v>
      </c>
      <c r="Q6012" s="20">
        <v>5736</v>
      </c>
      <c r="R6012" s="80" t="s">
        <v>36</v>
      </c>
      <c r="S6012" s="95">
        <v>5736</v>
      </c>
      <c r="T6012" s="148" t="s">
        <v>19771</v>
      </c>
      <c r="U6012" s="77"/>
      <c r="V6012" s="78"/>
      <c r="W6012" s="85" t="s">
        <v>19772</v>
      </c>
      <c r="X6012" s="80"/>
      <c r="Y6012" s="22">
        <v>0</v>
      </c>
      <c r="Z6012" s="80" t="s">
        <v>50</v>
      </c>
      <c r="AA6012" s="86" t="s">
        <v>18583</v>
      </c>
      <c r="AB6012" s="82"/>
      <c r="AC6012" s="80" t="s">
        <v>53</v>
      </c>
      <c r="AD6012" s="80" t="s">
        <v>54</v>
      </c>
      <c r="AE6012" s="80" t="s">
        <v>91</v>
      </c>
      <c r="AF6012" s="17">
        <v>45298</v>
      </c>
      <c r="AG6012" s="80"/>
      <c r="AH6012" s="80"/>
      <c r="AI6012" s="147"/>
      <c r="AJ6012" s="80"/>
      <c r="AK6012" s="80"/>
      <c r="AL6012" s="35"/>
      <c r="AM6012" s="35"/>
      <c r="AN6012" s="35"/>
      <c r="AO6012" s="35"/>
      <c r="AP6012" s="35"/>
    </row>
    <row r="6013" spans="1:42" x14ac:dyDescent="0.2">
      <c r="A6013" s="126">
        <v>45664.467877962961</v>
      </c>
      <c r="B6013" s="137" t="s">
        <v>37</v>
      </c>
      <c r="C6013" s="41" t="s">
        <v>118</v>
      </c>
      <c r="D6013" s="80" t="s">
        <v>36</v>
      </c>
      <c r="E6013" s="80" t="s">
        <v>77</v>
      </c>
      <c r="F6013" s="80" t="s">
        <v>40</v>
      </c>
      <c r="G6013" s="80" t="s">
        <v>41</v>
      </c>
      <c r="H6013" s="80" t="s">
        <v>16519</v>
      </c>
      <c r="I6013" s="17">
        <f ca="1">IFERROR(__xludf.DUMMYFUNCTION("""COMPUTED_VALUE"""),45707)</f>
        <v>45707</v>
      </c>
      <c r="J6013" s="143" t="s">
        <v>19773</v>
      </c>
      <c r="K6013" s="80" t="s">
        <v>19774</v>
      </c>
      <c r="L6013" s="30">
        <v>965092545</v>
      </c>
      <c r="M6013" s="80" t="s">
        <v>59</v>
      </c>
      <c r="N6013" s="80" t="s">
        <v>9294</v>
      </c>
      <c r="O6013" s="80" t="s">
        <v>19775</v>
      </c>
      <c r="P6013" s="80" t="s">
        <v>18083</v>
      </c>
      <c r="Q6013" s="20">
        <v>1968</v>
      </c>
      <c r="R6013" s="80" t="s">
        <v>70</v>
      </c>
      <c r="S6013" s="95">
        <f>400+1568</f>
        <v>1968</v>
      </c>
      <c r="T6013" s="148">
        <v>45655</v>
      </c>
      <c r="U6013" s="95"/>
      <c r="V6013" s="148">
        <v>45662</v>
      </c>
      <c r="W6013" s="80" t="s">
        <v>19776</v>
      </c>
      <c r="X6013" s="80"/>
      <c r="Y6013" s="22">
        <v>0</v>
      </c>
      <c r="Z6013" s="80" t="s">
        <v>50</v>
      </c>
      <c r="AA6013" s="82" t="s">
        <v>18583</v>
      </c>
      <c r="AB6013" s="86"/>
      <c r="AC6013" s="80" t="s">
        <v>53</v>
      </c>
      <c r="AD6013" s="80" t="s">
        <v>138</v>
      </c>
      <c r="AE6013" s="80"/>
      <c r="AF6013" s="17">
        <v>45707</v>
      </c>
      <c r="AG6013" s="80"/>
      <c r="AH6013" s="80"/>
      <c r="AI6013" s="147"/>
      <c r="AJ6013" s="80"/>
      <c r="AK6013" s="80"/>
      <c r="AL6013" s="35"/>
      <c r="AM6013" s="35"/>
      <c r="AN6013" s="35"/>
      <c r="AO6013" s="35"/>
      <c r="AP6013" s="35"/>
    </row>
    <row r="6014" spans="1:42" x14ac:dyDescent="0.2">
      <c r="A6014" s="126">
        <v>45664.676028495371</v>
      </c>
      <c r="B6014" s="137" t="s">
        <v>37</v>
      </c>
      <c r="C6014" s="41" t="s">
        <v>118</v>
      </c>
      <c r="D6014" s="80" t="s">
        <v>36</v>
      </c>
      <c r="E6014" s="80" t="s">
        <v>106</v>
      </c>
      <c r="F6014" s="80" t="s">
        <v>36</v>
      </c>
      <c r="G6014" s="80" t="s">
        <v>108</v>
      </c>
      <c r="H6014" s="80" t="s">
        <v>18487</v>
      </c>
      <c r="I6014" s="17">
        <f ca="1">IFERROR(__xludf.DUMMYFUNCTION("""COMPUTED_VALUE"""),45671)</f>
        <v>45671</v>
      </c>
      <c r="J6014" s="143" t="s">
        <v>19777</v>
      </c>
      <c r="K6014" s="80" t="s">
        <v>9455</v>
      </c>
      <c r="L6014" s="30">
        <v>345763345</v>
      </c>
      <c r="M6014" s="80" t="s">
        <v>9422</v>
      </c>
      <c r="N6014" s="80" t="s">
        <v>5574</v>
      </c>
      <c r="O6014" s="80" t="s">
        <v>2144</v>
      </c>
      <c r="P6014" s="80" t="s">
        <v>6310</v>
      </c>
      <c r="Q6014" s="20">
        <v>3768</v>
      </c>
      <c r="R6014" s="80" t="s">
        <v>36</v>
      </c>
      <c r="S6014" s="95">
        <v>3268</v>
      </c>
      <c r="T6014" s="148">
        <v>45663</v>
      </c>
      <c r="U6014" s="77"/>
      <c r="V6014" s="78"/>
      <c r="W6014" s="80" t="s">
        <v>19778</v>
      </c>
      <c r="X6014" s="80"/>
      <c r="Y6014" s="22">
        <v>500</v>
      </c>
      <c r="Z6014" s="80" t="s">
        <v>50</v>
      </c>
      <c r="AA6014" s="86" t="s">
        <v>18583</v>
      </c>
      <c r="AB6014" s="82"/>
      <c r="AC6014" s="80" t="s">
        <v>53</v>
      </c>
      <c r="AD6014" s="80" t="s">
        <v>138</v>
      </c>
      <c r="AE6014" s="80"/>
      <c r="AF6014" s="17">
        <v>45671</v>
      </c>
      <c r="AG6014" s="80"/>
      <c r="AH6014" s="80"/>
      <c r="AI6014" s="147"/>
      <c r="AJ6014" s="80">
        <f>COUNTIF(K6014:K7215,K6014)</f>
        <v>1</v>
      </c>
      <c r="AK6014" s="80"/>
      <c r="AL6014" s="35"/>
      <c r="AM6014" s="35"/>
      <c r="AN6014" s="35"/>
      <c r="AO6014" s="35"/>
      <c r="AP6014" s="35"/>
    </row>
    <row r="6015" spans="1:42" x14ac:dyDescent="0.2">
      <c r="A6015" s="126">
        <v>45665.599315625004</v>
      </c>
      <c r="B6015" s="137" t="s">
        <v>37</v>
      </c>
      <c r="C6015" s="41" t="s">
        <v>118</v>
      </c>
      <c r="D6015" s="80" t="s">
        <v>36</v>
      </c>
      <c r="E6015" s="80" t="s">
        <v>39</v>
      </c>
      <c r="F6015" s="80" t="s">
        <v>36</v>
      </c>
      <c r="G6015" s="80" t="s">
        <v>108</v>
      </c>
      <c r="H6015" s="80" t="s">
        <v>19779</v>
      </c>
      <c r="I6015" s="17" t="str">
        <f ca="1">IFERROR(__xludf.DUMMYFUNCTION("""COMPUTED_VALUE""")," ")</f>
        <v xml:space="preserve"> </v>
      </c>
      <c r="J6015" s="143" t="s">
        <v>19780</v>
      </c>
      <c r="K6015" s="80" t="s">
        <v>19781</v>
      </c>
      <c r="L6015" s="30">
        <v>379327012</v>
      </c>
      <c r="M6015" s="80" t="s">
        <v>9422</v>
      </c>
      <c r="N6015" s="80" t="s">
        <v>327</v>
      </c>
      <c r="O6015" s="80" t="s">
        <v>91</v>
      </c>
      <c r="P6015" s="80" t="s">
        <v>19782</v>
      </c>
      <c r="Q6015" s="20">
        <v>7349</v>
      </c>
      <c r="R6015" s="80" t="s">
        <v>36</v>
      </c>
      <c r="S6015" s="95">
        <v>7349</v>
      </c>
      <c r="T6015" s="148" t="s">
        <v>19783</v>
      </c>
      <c r="U6015" s="77"/>
      <c r="V6015" s="78"/>
      <c r="W6015" s="85" t="s">
        <v>19784</v>
      </c>
      <c r="X6015" s="80"/>
      <c r="Y6015" s="22">
        <v>0</v>
      </c>
      <c r="Z6015" s="80" t="s">
        <v>50</v>
      </c>
      <c r="AA6015" s="82" t="s">
        <v>18583</v>
      </c>
      <c r="AB6015" s="86"/>
      <c r="AC6015" s="80" t="s">
        <v>53</v>
      </c>
      <c r="AD6015" s="80" t="s">
        <v>54</v>
      </c>
      <c r="AE6015" s="83">
        <v>400</v>
      </c>
      <c r="AF6015" s="17">
        <v>45299</v>
      </c>
      <c r="AG6015" s="80" t="s">
        <v>7078</v>
      </c>
      <c r="AH6015" s="80"/>
      <c r="AI6015" s="147"/>
      <c r="AJ6015" s="80"/>
      <c r="AK6015" s="80"/>
      <c r="AL6015" s="35"/>
      <c r="AM6015" s="35"/>
      <c r="AN6015" s="35"/>
      <c r="AO6015" s="35"/>
      <c r="AP6015" s="35"/>
    </row>
    <row r="6016" spans="1:42" x14ac:dyDescent="0.2">
      <c r="A6016" s="126">
        <v>45669.992830462965</v>
      </c>
      <c r="B6016" s="137" t="s">
        <v>37</v>
      </c>
      <c r="C6016" s="41" t="s">
        <v>118</v>
      </c>
      <c r="D6016" s="80" t="s">
        <v>36</v>
      </c>
      <c r="E6016" s="80" t="s">
        <v>77</v>
      </c>
      <c r="F6016" s="80" t="s">
        <v>40</v>
      </c>
      <c r="G6016" s="80" t="s">
        <v>41</v>
      </c>
      <c r="H6016" s="80" t="s">
        <v>19699</v>
      </c>
      <c r="I6016" s="17">
        <f ca="1">IFERROR(__xludf.DUMMYFUNCTION("""COMPUTED_VALUE"""),45698)</f>
        <v>45698</v>
      </c>
      <c r="J6016" s="143" t="s">
        <v>19785</v>
      </c>
      <c r="K6016" s="80" t="s">
        <v>19786</v>
      </c>
      <c r="L6016" s="30">
        <v>354887128</v>
      </c>
      <c r="M6016" s="80" t="s">
        <v>348</v>
      </c>
      <c r="N6016" s="80" t="s">
        <v>4299</v>
      </c>
      <c r="O6016" s="80" t="s">
        <v>19787</v>
      </c>
      <c r="P6016" s="80" t="s">
        <v>19788</v>
      </c>
      <c r="Q6016" s="20">
        <v>1968</v>
      </c>
      <c r="R6016" s="80" t="s">
        <v>36</v>
      </c>
      <c r="S6016" s="95">
        <v>1968</v>
      </c>
      <c r="T6016" s="148">
        <v>45668</v>
      </c>
      <c r="U6016" s="77"/>
      <c r="V6016" s="78"/>
      <c r="W6016" s="85" t="s">
        <v>19789</v>
      </c>
      <c r="X6016" s="80"/>
      <c r="Y6016" s="22">
        <v>0</v>
      </c>
      <c r="Z6016" s="80" t="s">
        <v>50</v>
      </c>
      <c r="AA6016" s="86" t="s">
        <v>18583</v>
      </c>
      <c r="AB6016" s="82"/>
      <c r="AC6016" s="80" t="s">
        <v>53</v>
      </c>
      <c r="AD6016" s="80" t="s">
        <v>54</v>
      </c>
      <c r="AE6016" s="80" t="s">
        <v>16305</v>
      </c>
      <c r="AF6016" s="17">
        <v>45670</v>
      </c>
      <c r="AG6016" s="80"/>
      <c r="AH6016" s="80"/>
      <c r="AI6016" s="147"/>
      <c r="AJ6016" s="80"/>
      <c r="AK6016" s="80"/>
      <c r="AL6016" s="35"/>
      <c r="AM6016" s="35"/>
      <c r="AN6016" s="35"/>
      <c r="AO6016" s="35"/>
      <c r="AP6016" s="35"/>
    </row>
    <row r="6017" spans="1:42" x14ac:dyDescent="0.2">
      <c r="A6017" s="126">
        <v>45669.997326863428</v>
      </c>
      <c r="B6017" s="137" t="s">
        <v>37</v>
      </c>
      <c r="C6017" s="41" t="s">
        <v>118</v>
      </c>
      <c r="D6017" s="80" t="s">
        <v>36</v>
      </c>
      <c r="E6017" s="80" t="s">
        <v>77</v>
      </c>
      <c r="F6017" s="80" t="s">
        <v>40</v>
      </c>
      <c r="G6017" s="80" t="s">
        <v>41</v>
      </c>
      <c r="H6017" s="80" t="s">
        <v>16519</v>
      </c>
      <c r="I6017" s="17">
        <f ca="1">IFERROR(__xludf.DUMMYFUNCTION("""COMPUTED_VALUE"""),45707)</f>
        <v>45707</v>
      </c>
      <c r="J6017" s="143" t="s">
        <v>19790</v>
      </c>
      <c r="K6017" s="80" t="s">
        <v>19791</v>
      </c>
      <c r="L6017" s="30">
        <v>987646832</v>
      </c>
      <c r="M6017" s="80" t="s">
        <v>348</v>
      </c>
      <c r="N6017" s="80" t="s">
        <v>4299</v>
      </c>
      <c r="O6017" s="80" t="s">
        <v>19792</v>
      </c>
      <c r="P6017" s="80" t="s">
        <v>19793</v>
      </c>
      <c r="Q6017" s="20">
        <v>1968</v>
      </c>
      <c r="R6017" s="80" t="s">
        <v>36</v>
      </c>
      <c r="S6017" s="95">
        <v>1968</v>
      </c>
      <c r="T6017" s="148">
        <v>45669</v>
      </c>
      <c r="U6017" s="77"/>
      <c r="V6017" s="78"/>
      <c r="W6017" s="85" t="s">
        <v>19794</v>
      </c>
      <c r="X6017" s="80"/>
      <c r="Y6017" s="22">
        <v>0</v>
      </c>
      <c r="Z6017" s="80" t="s">
        <v>50</v>
      </c>
      <c r="AA6017" s="82" t="s">
        <v>18583</v>
      </c>
      <c r="AB6017" s="86"/>
      <c r="AC6017" s="80" t="s">
        <v>53</v>
      </c>
      <c r="AD6017" s="80" t="s">
        <v>138</v>
      </c>
      <c r="AE6017" s="80"/>
      <c r="AF6017" s="17">
        <v>45707</v>
      </c>
      <c r="AG6017" s="80"/>
      <c r="AH6017" s="80"/>
      <c r="AI6017" s="147"/>
      <c r="AJ6017" s="80"/>
      <c r="AK6017" s="80"/>
      <c r="AL6017" s="35"/>
      <c r="AM6017" s="35"/>
      <c r="AN6017" s="35"/>
      <c r="AO6017" s="35"/>
      <c r="AP6017" s="35"/>
    </row>
    <row r="6018" spans="1:42" x14ac:dyDescent="0.2">
      <c r="A6018" s="126">
        <v>45670.00090777778</v>
      </c>
      <c r="B6018" s="137" t="s">
        <v>37</v>
      </c>
      <c r="C6018" s="41" t="s">
        <v>105</v>
      </c>
      <c r="D6018" s="80" t="s">
        <v>77</v>
      </c>
      <c r="E6018" s="80" t="s">
        <v>119</v>
      </c>
      <c r="F6018" s="80" t="s">
        <v>18110</v>
      </c>
      <c r="G6018" s="80" t="s">
        <v>108</v>
      </c>
      <c r="H6018" s="80" t="s">
        <v>17002</v>
      </c>
      <c r="I6018" s="17">
        <f ca="1">IFERROR(__xludf.DUMMYFUNCTION("""COMPUTED_VALUE"""),45736)</f>
        <v>45736</v>
      </c>
      <c r="J6018" s="143" t="s">
        <v>19795</v>
      </c>
      <c r="K6018" s="80" t="s">
        <v>19796</v>
      </c>
      <c r="L6018" s="30">
        <v>355890978</v>
      </c>
      <c r="M6018" s="80" t="s">
        <v>59</v>
      </c>
      <c r="N6018" s="80" t="s">
        <v>4299</v>
      </c>
      <c r="O6018" s="80" t="s">
        <v>19797</v>
      </c>
      <c r="P6018" s="80" t="s">
        <v>18997</v>
      </c>
      <c r="Q6018" s="20">
        <v>13968</v>
      </c>
      <c r="R6018" s="80" t="s">
        <v>36</v>
      </c>
      <c r="S6018" s="95">
        <v>13868</v>
      </c>
      <c r="T6018" s="148">
        <v>45666</v>
      </c>
      <c r="U6018" s="77"/>
      <c r="V6018" s="78"/>
      <c r="W6018" s="85" t="s">
        <v>19798</v>
      </c>
      <c r="X6018" s="80"/>
      <c r="Y6018" s="22">
        <v>100</v>
      </c>
      <c r="Z6018" s="80" t="s">
        <v>50</v>
      </c>
      <c r="AA6018" s="86" t="s">
        <v>18583</v>
      </c>
      <c r="AB6018" s="82"/>
      <c r="AC6018" s="80" t="s">
        <v>53</v>
      </c>
      <c r="AD6018" s="80" t="s">
        <v>54</v>
      </c>
      <c r="AE6018" s="80" t="s">
        <v>2752</v>
      </c>
      <c r="AF6018" s="17">
        <v>45729</v>
      </c>
      <c r="AG6018" s="80"/>
      <c r="AH6018" s="80"/>
      <c r="AI6018" s="147"/>
      <c r="AJ6018" s="80"/>
      <c r="AK6018" s="80"/>
      <c r="AL6018" s="35"/>
      <c r="AM6018" s="35"/>
      <c r="AN6018" s="35"/>
      <c r="AO6018" s="35"/>
      <c r="AP6018" s="35"/>
    </row>
    <row r="6019" spans="1:42" x14ac:dyDescent="0.2">
      <c r="A6019" s="126">
        <v>45670.003187731483</v>
      </c>
      <c r="B6019" s="28" t="s">
        <v>37</v>
      </c>
      <c r="C6019" s="41" t="s">
        <v>105</v>
      </c>
      <c r="D6019" s="80" t="s">
        <v>77</v>
      </c>
      <c r="E6019" s="80" t="s">
        <v>106</v>
      </c>
      <c r="F6019" s="80" t="s">
        <v>13283</v>
      </c>
      <c r="G6019" s="80" t="s">
        <v>108</v>
      </c>
      <c r="H6019" s="80" t="s">
        <v>14471</v>
      </c>
      <c r="I6019" s="17">
        <f ca="1">IFERROR(__xludf.DUMMYFUNCTION("""COMPUTED_VALUE"""),45701)</f>
        <v>45701</v>
      </c>
      <c r="J6019" s="143" t="s">
        <v>18157</v>
      </c>
      <c r="K6019" s="80" t="s">
        <v>19799</v>
      </c>
      <c r="L6019" s="30">
        <v>862357644</v>
      </c>
      <c r="M6019" s="80" t="s">
        <v>59</v>
      </c>
      <c r="N6019" s="80" t="s">
        <v>4299</v>
      </c>
      <c r="O6019" s="80" t="s">
        <v>19800</v>
      </c>
      <c r="P6019" s="144" t="s">
        <v>19801</v>
      </c>
      <c r="Q6019" s="20">
        <v>3768</v>
      </c>
      <c r="R6019" s="80" t="s">
        <v>36</v>
      </c>
      <c r="S6019" s="95">
        <v>3768</v>
      </c>
      <c r="T6019" s="148">
        <v>45666</v>
      </c>
      <c r="U6019" s="77"/>
      <c r="V6019" s="78"/>
      <c r="W6019" s="85" t="s">
        <v>19802</v>
      </c>
      <c r="X6019" s="80"/>
      <c r="Y6019" s="22">
        <v>0</v>
      </c>
      <c r="Z6019" s="80" t="s">
        <v>50</v>
      </c>
      <c r="AA6019" s="82" t="s">
        <v>18583</v>
      </c>
      <c r="AB6019" s="86"/>
      <c r="AC6019" s="80" t="s">
        <v>53</v>
      </c>
      <c r="AD6019" s="80" t="s">
        <v>138</v>
      </c>
      <c r="AE6019" s="80" t="s">
        <v>13283</v>
      </c>
      <c r="AF6019" s="17">
        <v>45695</v>
      </c>
      <c r="AG6019" s="80"/>
      <c r="AH6019" s="80"/>
      <c r="AI6019" s="147"/>
      <c r="AJ6019" s="80"/>
      <c r="AK6019" s="80"/>
      <c r="AL6019" s="35"/>
      <c r="AM6019" s="35"/>
      <c r="AN6019" s="35"/>
      <c r="AO6019" s="35"/>
      <c r="AP6019" s="35"/>
    </row>
    <row r="6020" spans="1:42" x14ac:dyDescent="0.2">
      <c r="A6020" s="126">
        <v>45672.74555659722</v>
      </c>
      <c r="B6020" s="137" t="s">
        <v>37</v>
      </c>
      <c r="C6020" s="41" t="s">
        <v>118</v>
      </c>
      <c r="D6020" s="80" t="s">
        <v>77</v>
      </c>
      <c r="E6020" s="80" t="s">
        <v>119</v>
      </c>
      <c r="F6020" s="80" t="s">
        <v>19803</v>
      </c>
      <c r="G6020" s="80" t="s">
        <v>108</v>
      </c>
      <c r="H6020" s="80" t="s">
        <v>18568</v>
      </c>
      <c r="I6020" s="17">
        <f ca="1">IFERROR(__xludf.DUMMYFUNCTION("""COMPUTED_VALUE"""),45699)</f>
        <v>45699</v>
      </c>
      <c r="J6020" s="143" t="s">
        <v>19804</v>
      </c>
      <c r="K6020" s="80" t="s">
        <v>19004</v>
      </c>
      <c r="L6020" s="30">
        <v>859227377</v>
      </c>
      <c r="M6020" s="80" t="s">
        <v>12644</v>
      </c>
      <c r="N6020" s="80" t="s">
        <v>8725</v>
      </c>
      <c r="O6020" s="80" t="s">
        <v>19005</v>
      </c>
      <c r="P6020" s="80" t="s">
        <v>13226</v>
      </c>
      <c r="Q6020" s="20">
        <v>13968</v>
      </c>
      <c r="R6020" s="80" t="s">
        <v>36</v>
      </c>
      <c r="S6020" s="95">
        <v>13936</v>
      </c>
      <c r="T6020" s="148">
        <v>45668</v>
      </c>
      <c r="U6020" s="77"/>
      <c r="V6020" s="78"/>
      <c r="W6020" s="85" t="s">
        <v>19805</v>
      </c>
      <c r="X6020" s="80"/>
      <c r="Y6020" s="22">
        <v>32</v>
      </c>
      <c r="Z6020" s="80" t="s">
        <v>50</v>
      </c>
      <c r="AA6020" s="86" t="s">
        <v>18583</v>
      </c>
      <c r="AB6020" s="80"/>
      <c r="AC6020" s="80" t="s">
        <v>53</v>
      </c>
      <c r="AD6020" s="80" t="s">
        <v>138</v>
      </c>
      <c r="AE6020" s="80" t="s">
        <v>13441</v>
      </c>
      <c r="AF6020" s="17">
        <v>45699</v>
      </c>
      <c r="AG6020" s="80"/>
      <c r="AH6020" s="80"/>
      <c r="AI6020" s="147"/>
      <c r="AJ6020" s="80"/>
      <c r="AK6020" s="80"/>
      <c r="AL6020" s="35"/>
      <c r="AM6020" s="35"/>
      <c r="AN6020" s="35"/>
      <c r="AO6020" s="35"/>
      <c r="AP6020" s="35"/>
    </row>
    <row r="6021" spans="1:42" x14ac:dyDescent="0.2">
      <c r="A6021" s="126">
        <v>45673.344005104169</v>
      </c>
      <c r="B6021" s="137" t="s">
        <v>37</v>
      </c>
      <c r="C6021" s="41" t="s">
        <v>118</v>
      </c>
      <c r="D6021" s="80" t="s">
        <v>36</v>
      </c>
      <c r="E6021" s="80" t="s">
        <v>1704</v>
      </c>
      <c r="F6021" s="80" t="s">
        <v>13807</v>
      </c>
      <c r="G6021" s="80" t="s">
        <v>1705</v>
      </c>
      <c r="H6021" s="80" t="s">
        <v>19806</v>
      </c>
      <c r="I6021" s="17">
        <f ca="1">IFERROR(__xludf.DUMMYFUNCTION("""COMPUTED_VALUE"""),45575)</f>
        <v>45575</v>
      </c>
      <c r="J6021" s="143" t="s">
        <v>19182</v>
      </c>
      <c r="K6021" s="80" t="s">
        <v>19807</v>
      </c>
      <c r="L6021" s="30">
        <v>971179647</v>
      </c>
      <c r="M6021" s="80" t="s">
        <v>9422</v>
      </c>
      <c r="N6021" s="80" t="s">
        <v>19184</v>
      </c>
      <c r="O6021" s="80" t="s">
        <v>8827</v>
      </c>
      <c r="P6021" s="171" t="s">
        <v>19808</v>
      </c>
      <c r="Q6021" s="20">
        <v>7729</v>
      </c>
      <c r="R6021" s="80" t="s">
        <v>70</v>
      </c>
      <c r="S6021" s="95">
        <v>6726</v>
      </c>
      <c r="T6021" s="148">
        <v>45670</v>
      </c>
      <c r="U6021" s="77"/>
      <c r="V6021" s="78"/>
      <c r="W6021" s="85" t="s">
        <v>19809</v>
      </c>
      <c r="X6021" s="80"/>
      <c r="Y6021" s="22">
        <v>1003</v>
      </c>
      <c r="Z6021" s="80" t="s">
        <v>50</v>
      </c>
      <c r="AA6021" s="82" t="s">
        <v>18583</v>
      </c>
      <c r="AB6021" s="80"/>
      <c r="AC6021" s="80" t="s">
        <v>53</v>
      </c>
      <c r="AD6021" s="80" t="s">
        <v>54</v>
      </c>
      <c r="AE6021" s="80"/>
      <c r="AF6021" s="17">
        <v>45818</v>
      </c>
      <c r="AG6021" s="80"/>
      <c r="AH6021" s="80"/>
      <c r="AI6021" s="147"/>
      <c r="AJ6021" s="80"/>
      <c r="AK6021" s="80"/>
      <c r="AL6021" s="35"/>
      <c r="AM6021" s="35"/>
      <c r="AN6021" s="35"/>
      <c r="AO6021" s="35"/>
      <c r="AP6021" s="35"/>
    </row>
    <row r="6022" spans="1:42" x14ac:dyDescent="0.2">
      <c r="A6022" s="38">
        <v>45674</v>
      </c>
      <c r="B6022" s="28" t="s">
        <v>37</v>
      </c>
      <c r="C6022" s="41" t="s">
        <v>118</v>
      </c>
      <c r="D6022" s="80" t="s">
        <v>36</v>
      </c>
      <c r="E6022" s="80" t="s">
        <v>148</v>
      </c>
      <c r="F6022" s="80" t="s">
        <v>14051</v>
      </c>
      <c r="G6022" s="80" t="s">
        <v>108</v>
      </c>
      <c r="H6022" s="80" t="s">
        <v>14088</v>
      </c>
      <c r="I6022" s="17">
        <f ca="1">IFERROR(__xludf.DUMMYFUNCTION("""COMPUTED_VALUE"""),45699)</f>
        <v>45699</v>
      </c>
      <c r="J6022" s="143" t="s">
        <v>17676</v>
      </c>
      <c r="K6022" s="145" t="s">
        <v>19810</v>
      </c>
      <c r="L6022" s="30">
        <v>886537293</v>
      </c>
      <c r="M6022" s="80" t="s">
        <v>910</v>
      </c>
      <c r="N6022" s="80" t="s">
        <v>355</v>
      </c>
      <c r="O6022" s="80" t="s">
        <v>91</v>
      </c>
      <c r="P6022" s="80" t="s">
        <v>12578</v>
      </c>
      <c r="Q6022" s="20">
        <v>7349</v>
      </c>
      <c r="R6022" s="80" t="s">
        <v>36</v>
      </c>
      <c r="S6022" s="95">
        <v>6849</v>
      </c>
      <c r="T6022" s="148">
        <v>45686</v>
      </c>
      <c r="U6022" s="77"/>
      <c r="V6022" s="78"/>
      <c r="W6022" s="85" t="s">
        <v>19811</v>
      </c>
      <c r="X6022" s="80"/>
      <c r="Y6022" s="22">
        <v>500</v>
      </c>
      <c r="Z6022" s="26" t="s">
        <v>50</v>
      </c>
      <c r="AA6022" s="86" t="s">
        <v>18583</v>
      </c>
      <c r="AB6022" s="80"/>
      <c r="AC6022" s="80" t="s">
        <v>53</v>
      </c>
      <c r="AD6022" s="80" t="s">
        <v>138</v>
      </c>
      <c r="AE6022" s="80" t="s">
        <v>14051</v>
      </c>
      <c r="AF6022" s="17">
        <v>45698</v>
      </c>
      <c r="AG6022" s="80"/>
      <c r="AH6022" s="80"/>
      <c r="AI6022" s="147"/>
      <c r="AJ6022" s="80"/>
      <c r="AK6022" s="80"/>
      <c r="AL6022" s="86"/>
      <c r="AM6022" s="86"/>
      <c r="AN6022" s="86"/>
      <c r="AO6022" s="86"/>
      <c r="AP6022" s="86"/>
    </row>
    <row r="6023" spans="1:42" x14ac:dyDescent="0.2">
      <c r="A6023" s="126">
        <v>45680.464140057869</v>
      </c>
      <c r="B6023" s="137" t="s">
        <v>37</v>
      </c>
      <c r="C6023" s="41" t="s">
        <v>118</v>
      </c>
      <c r="D6023" s="80" t="s">
        <v>36</v>
      </c>
      <c r="E6023" s="80" t="s">
        <v>119</v>
      </c>
      <c r="F6023" s="80" t="s">
        <v>11640</v>
      </c>
      <c r="G6023" s="80" t="s">
        <v>108</v>
      </c>
      <c r="H6023" s="80" t="s">
        <v>19294</v>
      </c>
      <c r="I6023" s="17">
        <f ca="1">IFERROR(__xludf.DUMMYFUNCTION("""COMPUTED_VALUE"""),45709)</f>
        <v>45709</v>
      </c>
      <c r="J6023" s="143" t="s">
        <v>19016</v>
      </c>
      <c r="K6023" s="145" t="s">
        <v>3794</v>
      </c>
      <c r="L6023" s="30">
        <v>964761090</v>
      </c>
      <c r="M6023" s="80" t="s">
        <v>19018</v>
      </c>
      <c r="N6023" s="80" t="s">
        <v>19019</v>
      </c>
      <c r="O6023" s="80" t="s">
        <v>19020</v>
      </c>
      <c r="P6023" s="80" t="s">
        <v>18742</v>
      </c>
      <c r="Q6023" s="20">
        <v>13968</v>
      </c>
      <c r="R6023" s="80" t="s">
        <v>36</v>
      </c>
      <c r="S6023" s="95">
        <f>13936+32</f>
        <v>13968</v>
      </c>
      <c r="T6023" s="148">
        <v>45662</v>
      </c>
      <c r="U6023" s="77"/>
      <c r="V6023" s="78"/>
      <c r="W6023" s="79" t="s">
        <v>19812</v>
      </c>
      <c r="X6023" s="80"/>
      <c r="Y6023" s="22">
        <v>0</v>
      </c>
      <c r="Z6023" s="80" t="s">
        <v>50</v>
      </c>
      <c r="AA6023" s="82" t="s">
        <v>18583</v>
      </c>
      <c r="AB6023" s="175" t="s">
        <v>19202</v>
      </c>
      <c r="AC6023" s="80" t="s">
        <v>53</v>
      </c>
      <c r="AD6023" s="80" t="s">
        <v>138</v>
      </c>
      <c r="AE6023" s="80" t="s">
        <v>11640</v>
      </c>
      <c r="AF6023" s="17">
        <v>45709</v>
      </c>
      <c r="AG6023" s="80"/>
      <c r="AH6023" s="80"/>
      <c r="AI6023" s="147"/>
      <c r="AJ6023" s="80"/>
      <c r="AK6023" s="80"/>
      <c r="AL6023" s="35"/>
      <c r="AM6023" s="35"/>
      <c r="AN6023" s="35"/>
      <c r="AO6023" s="35"/>
      <c r="AP6023" s="35"/>
    </row>
    <row r="6024" spans="1:42" x14ac:dyDescent="0.2">
      <c r="A6024" s="126">
        <v>45686.454345648148</v>
      </c>
      <c r="B6024" s="137" t="s">
        <v>37</v>
      </c>
      <c r="C6024" s="41" t="s">
        <v>118</v>
      </c>
      <c r="D6024" s="80" t="s">
        <v>36</v>
      </c>
      <c r="E6024" s="80" t="s">
        <v>139</v>
      </c>
      <c r="F6024" s="80" t="s">
        <v>40</v>
      </c>
      <c r="G6024" s="80" t="s">
        <v>41</v>
      </c>
      <c r="H6024" s="80" t="s">
        <v>16525</v>
      </c>
      <c r="I6024" s="17">
        <f ca="1">IFERROR(__xludf.DUMMYFUNCTION("""COMPUTED_VALUE"""),45708)</f>
        <v>45708</v>
      </c>
      <c r="J6024" s="143" t="s">
        <v>19813</v>
      </c>
      <c r="K6024" s="80" t="s">
        <v>19814</v>
      </c>
      <c r="L6024" s="30">
        <v>357052044</v>
      </c>
      <c r="M6024" s="80" t="s">
        <v>5429</v>
      </c>
      <c r="N6024" s="80" t="s">
        <v>1384</v>
      </c>
      <c r="O6024" s="80" t="s">
        <v>61</v>
      </c>
      <c r="P6024" s="80" t="s">
        <v>6368</v>
      </c>
      <c r="Q6024" s="20">
        <v>15936</v>
      </c>
      <c r="R6024" s="80" t="s">
        <v>36</v>
      </c>
      <c r="S6024" s="95">
        <v>14436</v>
      </c>
      <c r="T6024" s="148">
        <v>45686</v>
      </c>
      <c r="U6024" s="77"/>
      <c r="V6024" s="78"/>
      <c r="W6024" s="85" t="s">
        <v>19815</v>
      </c>
      <c r="X6024" s="80"/>
      <c r="Y6024" s="22">
        <v>1500</v>
      </c>
      <c r="Z6024" s="80" t="s">
        <v>50</v>
      </c>
      <c r="AA6024" s="86" t="s">
        <v>18583</v>
      </c>
      <c r="AB6024" s="80"/>
      <c r="AC6024" s="80" t="s">
        <v>53</v>
      </c>
      <c r="AD6024" s="80" t="s">
        <v>138</v>
      </c>
      <c r="AE6024" s="80"/>
      <c r="AF6024" s="17">
        <v>45708</v>
      </c>
      <c r="AG6024" s="80"/>
      <c r="AH6024" s="80"/>
      <c r="AI6024" s="147"/>
      <c r="AJ6024" s="80"/>
      <c r="AK6024" s="80"/>
      <c r="AL6024" s="35"/>
      <c r="AM6024" s="35"/>
      <c r="AN6024" s="35"/>
      <c r="AO6024" s="35"/>
      <c r="AP6024" s="35"/>
    </row>
    <row r="6025" spans="1:42" x14ac:dyDescent="0.2">
      <c r="A6025" s="126">
        <v>45686.456188263888</v>
      </c>
      <c r="B6025" s="137" t="s">
        <v>37</v>
      </c>
      <c r="C6025" s="41" t="s">
        <v>118</v>
      </c>
      <c r="D6025" s="80" t="s">
        <v>36</v>
      </c>
      <c r="E6025" s="80" t="s">
        <v>139</v>
      </c>
      <c r="F6025" s="80" t="s">
        <v>36</v>
      </c>
      <c r="G6025" s="80" t="s">
        <v>41</v>
      </c>
      <c r="H6025" s="80" t="s">
        <v>19816</v>
      </c>
      <c r="I6025" s="17">
        <f ca="1">IFERROR(__xludf.DUMMYFUNCTION("""COMPUTED_VALUE"""),45720)</f>
        <v>45720</v>
      </c>
      <c r="J6025" s="143" t="s">
        <v>19817</v>
      </c>
      <c r="K6025" s="80" t="s">
        <v>19818</v>
      </c>
      <c r="L6025" s="30">
        <v>917841512</v>
      </c>
      <c r="M6025" s="80" t="s">
        <v>5429</v>
      </c>
      <c r="N6025" s="80" t="s">
        <v>81</v>
      </c>
      <c r="O6025" s="80" t="s">
        <v>19819</v>
      </c>
      <c r="P6025" s="80" t="s">
        <v>6368</v>
      </c>
      <c r="Q6025" s="20">
        <v>15936</v>
      </c>
      <c r="R6025" s="80" t="s">
        <v>36</v>
      </c>
      <c r="S6025" s="95">
        <v>14436</v>
      </c>
      <c r="T6025" s="148">
        <v>45686</v>
      </c>
      <c r="U6025" s="77"/>
      <c r="V6025" s="78"/>
      <c r="W6025" s="85" t="s">
        <v>19820</v>
      </c>
      <c r="X6025" s="80"/>
      <c r="Y6025" s="22">
        <v>1500</v>
      </c>
      <c r="Z6025" s="80" t="s">
        <v>50</v>
      </c>
      <c r="AA6025" s="82" t="s">
        <v>18583</v>
      </c>
      <c r="AB6025" s="80"/>
      <c r="AC6025" s="80" t="s">
        <v>53</v>
      </c>
      <c r="AD6025" s="80" t="s">
        <v>138</v>
      </c>
      <c r="AE6025" s="80"/>
      <c r="AF6025" s="17">
        <v>45720</v>
      </c>
      <c r="AG6025" s="80"/>
      <c r="AH6025" s="80"/>
      <c r="AI6025" s="147"/>
      <c r="AJ6025" s="80"/>
      <c r="AK6025" s="80"/>
      <c r="AL6025" s="35"/>
      <c r="AM6025" s="35"/>
      <c r="AN6025" s="35"/>
      <c r="AO6025" s="35"/>
      <c r="AP6025" s="35"/>
    </row>
    <row r="6026" spans="1:42" x14ac:dyDescent="0.2">
      <c r="A6026" s="126">
        <v>45686.807212384258</v>
      </c>
      <c r="B6026" s="137" t="s">
        <v>37</v>
      </c>
      <c r="C6026" s="41" t="s">
        <v>118</v>
      </c>
      <c r="D6026" s="80" t="s">
        <v>36</v>
      </c>
      <c r="E6026" s="80" t="s">
        <v>139</v>
      </c>
      <c r="F6026" s="80" t="s">
        <v>40</v>
      </c>
      <c r="G6026" s="80" t="s">
        <v>41</v>
      </c>
      <c r="H6026" s="80" t="s">
        <v>16525</v>
      </c>
      <c r="I6026" s="17">
        <f ca="1">IFERROR(__xludf.DUMMYFUNCTION("""COMPUTED_VALUE"""),45708)</f>
        <v>45708</v>
      </c>
      <c r="J6026" s="143" t="s">
        <v>19821</v>
      </c>
      <c r="K6026" s="80" t="s">
        <v>19822</v>
      </c>
      <c r="L6026" s="30">
        <v>344121340</v>
      </c>
      <c r="M6026" s="80" t="s">
        <v>5429</v>
      </c>
      <c r="N6026" s="80" t="s">
        <v>3065</v>
      </c>
      <c r="O6026" s="80" t="s">
        <v>61</v>
      </c>
      <c r="P6026" s="80" t="s">
        <v>6368</v>
      </c>
      <c r="Q6026" s="20">
        <v>15936</v>
      </c>
      <c r="R6026" s="80" t="s">
        <v>36</v>
      </c>
      <c r="S6026" s="95">
        <v>14436</v>
      </c>
      <c r="T6026" s="148">
        <v>45686</v>
      </c>
      <c r="U6026" s="77"/>
      <c r="V6026" s="78"/>
      <c r="W6026" s="80" t="s">
        <v>19823</v>
      </c>
      <c r="X6026" s="80"/>
      <c r="Y6026" s="22">
        <v>1500</v>
      </c>
      <c r="Z6026" s="80" t="s">
        <v>50</v>
      </c>
      <c r="AA6026" s="86" t="s">
        <v>18583</v>
      </c>
      <c r="AB6026" s="80"/>
      <c r="AC6026" s="80" t="s">
        <v>53</v>
      </c>
      <c r="AD6026" s="80" t="s">
        <v>138</v>
      </c>
      <c r="AE6026" s="80"/>
      <c r="AF6026" s="17">
        <v>45708</v>
      </c>
      <c r="AG6026" s="80"/>
      <c r="AH6026" s="80"/>
      <c r="AI6026" s="147"/>
      <c r="AJ6026" s="80"/>
      <c r="AK6026" s="80"/>
      <c r="AL6026" s="35"/>
      <c r="AM6026" s="35"/>
      <c r="AN6026" s="35"/>
      <c r="AO6026" s="35"/>
      <c r="AP6026" s="35"/>
    </row>
    <row r="6027" spans="1:42" x14ac:dyDescent="0.2">
      <c r="A6027" s="126">
        <v>45686.823538993056</v>
      </c>
      <c r="B6027" s="137" t="s">
        <v>37</v>
      </c>
      <c r="C6027" s="41" t="s">
        <v>118</v>
      </c>
      <c r="D6027" s="80" t="s">
        <v>36</v>
      </c>
      <c r="E6027" s="80" t="s">
        <v>56</v>
      </c>
      <c r="F6027" s="80" t="s">
        <v>36</v>
      </c>
      <c r="G6027" s="80" t="s">
        <v>41</v>
      </c>
      <c r="H6027" s="80" t="s">
        <v>19824</v>
      </c>
      <c r="I6027" s="17">
        <f ca="1">IFERROR(__xludf.DUMMYFUNCTION("""COMPUTED_VALUE"""),45701)</f>
        <v>45701</v>
      </c>
      <c r="J6027" s="143" t="s">
        <v>19825</v>
      </c>
      <c r="K6027" s="80" t="s">
        <v>19826</v>
      </c>
      <c r="L6027" s="30">
        <v>966143625</v>
      </c>
      <c r="M6027" s="80" t="s">
        <v>5518</v>
      </c>
      <c r="N6027" s="80" t="s">
        <v>5252</v>
      </c>
      <c r="O6027" s="80" t="s">
        <v>19827</v>
      </c>
      <c r="P6027" s="80" t="s">
        <v>19828</v>
      </c>
      <c r="Q6027" s="20">
        <v>9317</v>
      </c>
      <c r="R6027" s="80" t="s">
        <v>36</v>
      </c>
      <c r="S6027" s="95">
        <v>8317</v>
      </c>
      <c r="T6027" s="148">
        <v>45686</v>
      </c>
      <c r="U6027" s="77"/>
      <c r="V6027" s="78"/>
      <c r="W6027" s="85" t="s">
        <v>19829</v>
      </c>
      <c r="X6027" s="80"/>
      <c r="Y6027" s="22">
        <v>1000</v>
      </c>
      <c r="Z6027" s="80" t="s">
        <v>50</v>
      </c>
      <c r="AA6027" s="82" t="s">
        <v>18583</v>
      </c>
      <c r="AB6027" s="80"/>
      <c r="AC6027" s="80" t="s">
        <v>53</v>
      </c>
      <c r="AD6027" s="80" t="s">
        <v>138</v>
      </c>
      <c r="AE6027" s="80"/>
      <c r="AF6027" s="17">
        <v>45695</v>
      </c>
      <c r="AG6027" s="80"/>
      <c r="AH6027" s="80"/>
      <c r="AI6027" s="147"/>
      <c r="AJ6027" s="80"/>
      <c r="AK6027" s="80"/>
      <c r="AL6027" s="35"/>
      <c r="AM6027" s="35"/>
      <c r="AN6027" s="35"/>
      <c r="AO6027" s="35"/>
      <c r="AP6027" s="35"/>
    </row>
    <row r="6028" spans="1:42" x14ac:dyDescent="0.2">
      <c r="A6028" s="126">
        <v>45686.826224907403</v>
      </c>
      <c r="B6028" s="137" t="s">
        <v>37</v>
      </c>
      <c r="C6028" s="41" t="s">
        <v>118</v>
      </c>
      <c r="D6028" s="80" t="s">
        <v>36</v>
      </c>
      <c r="E6028" s="80" t="s">
        <v>139</v>
      </c>
      <c r="F6028" s="80" t="s">
        <v>40</v>
      </c>
      <c r="G6028" s="80" t="s">
        <v>41</v>
      </c>
      <c r="H6028" s="80" t="s">
        <v>19830</v>
      </c>
      <c r="I6028" s="17">
        <f ca="1">IFERROR(__xludf.DUMMYFUNCTION("""COMPUTED_VALUE"""),45698)</f>
        <v>45698</v>
      </c>
      <c r="J6028" s="143" t="s">
        <v>19831</v>
      </c>
      <c r="K6028" s="80" t="s">
        <v>19832</v>
      </c>
      <c r="L6028" s="30">
        <v>972312312</v>
      </c>
      <c r="M6028" s="80" t="s">
        <v>5518</v>
      </c>
      <c r="N6028" s="80" t="s">
        <v>5252</v>
      </c>
      <c r="O6028" s="80" t="s">
        <v>19833</v>
      </c>
      <c r="P6028" s="80" t="s">
        <v>9019</v>
      </c>
      <c r="Q6028" s="20">
        <v>15936</v>
      </c>
      <c r="R6028" s="80" t="s">
        <v>36</v>
      </c>
      <c r="S6028" s="95">
        <v>14436</v>
      </c>
      <c r="T6028" s="148">
        <v>45686</v>
      </c>
      <c r="U6028" s="77"/>
      <c r="V6028" s="78"/>
      <c r="W6028" s="85" t="s">
        <v>19834</v>
      </c>
      <c r="X6028" s="80"/>
      <c r="Y6028" s="22">
        <v>1500</v>
      </c>
      <c r="Z6028" s="80" t="s">
        <v>50</v>
      </c>
      <c r="AA6028" s="86" t="s">
        <v>18583</v>
      </c>
      <c r="AB6028" s="80"/>
      <c r="AC6028" s="80" t="s">
        <v>53</v>
      </c>
      <c r="AD6028" s="80" t="s">
        <v>54</v>
      </c>
      <c r="AE6028" s="80"/>
      <c r="AF6028" s="17">
        <v>45693</v>
      </c>
      <c r="AG6028" s="80"/>
      <c r="AH6028" s="80"/>
      <c r="AI6028" s="147"/>
      <c r="AJ6028" s="80"/>
      <c r="AK6028" s="80"/>
      <c r="AL6028" s="35"/>
      <c r="AM6028" s="35"/>
      <c r="AN6028" s="35"/>
      <c r="AO6028" s="35"/>
      <c r="AP6028" s="35"/>
    </row>
    <row r="6029" spans="1:42" x14ac:dyDescent="0.2">
      <c r="A6029" s="126">
        <v>45686.956590810187</v>
      </c>
      <c r="B6029" s="137" t="s">
        <v>37</v>
      </c>
      <c r="C6029" s="41" t="s">
        <v>118</v>
      </c>
      <c r="D6029" s="80" t="s">
        <v>36</v>
      </c>
      <c r="E6029" s="80" t="s">
        <v>139</v>
      </c>
      <c r="F6029" s="80" t="s">
        <v>40</v>
      </c>
      <c r="G6029" s="80" t="s">
        <v>41</v>
      </c>
      <c r="H6029" s="80" t="s">
        <v>16519</v>
      </c>
      <c r="I6029" s="17">
        <f ca="1">IFERROR(__xludf.DUMMYFUNCTION("""COMPUTED_VALUE"""),45707)</f>
        <v>45707</v>
      </c>
      <c r="J6029" s="143" t="s">
        <v>19835</v>
      </c>
      <c r="K6029" s="80" t="s">
        <v>19836</v>
      </c>
      <c r="L6029" s="30">
        <v>972905269</v>
      </c>
      <c r="M6029" s="80" t="s">
        <v>12529</v>
      </c>
      <c r="N6029" s="80" t="s">
        <v>466</v>
      </c>
      <c r="O6029" s="80" t="s">
        <v>19837</v>
      </c>
      <c r="P6029" s="80" t="s">
        <v>18706</v>
      </c>
      <c r="Q6029" s="20">
        <v>15936</v>
      </c>
      <c r="R6029" s="80" t="s">
        <v>36</v>
      </c>
      <c r="S6029" s="95">
        <v>14468</v>
      </c>
      <c r="T6029" s="148">
        <v>45320</v>
      </c>
      <c r="U6029" s="77"/>
      <c r="V6029" s="78"/>
      <c r="W6029" s="85" t="s">
        <v>19838</v>
      </c>
      <c r="X6029" s="80"/>
      <c r="Y6029" s="22">
        <v>1468</v>
      </c>
      <c r="Z6029" s="80" t="s">
        <v>50</v>
      </c>
      <c r="AA6029" s="82" t="s">
        <v>18583</v>
      </c>
      <c r="AB6029" s="80"/>
      <c r="AC6029" s="80" t="s">
        <v>53</v>
      </c>
      <c r="AD6029" s="80" t="s">
        <v>138</v>
      </c>
      <c r="AE6029" s="80"/>
      <c r="AF6029" s="17">
        <v>45707</v>
      </c>
      <c r="AG6029" s="80"/>
      <c r="AH6029" s="80"/>
      <c r="AI6029" s="147"/>
      <c r="AJ6029" s="80"/>
      <c r="AK6029" s="80"/>
      <c r="AL6029" s="35"/>
      <c r="AM6029" s="35"/>
      <c r="AN6029" s="35"/>
      <c r="AO6029" s="35"/>
      <c r="AP6029" s="35"/>
    </row>
    <row r="6030" spans="1:42" x14ac:dyDescent="0.2">
      <c r="A6030" s="126">
        <v>45687.685792453703</v>
      </c>
      <c r="B6030" s="137" t="s">
        <v>37</v>
      </c>
      <c r="C6030" s="41" t="s">
        <v>118</v>
      </c>
      <c r="D6030" s="80" t="s">
        <v>36</v>
      </c>
      <c r="E6030" s="80" t="s">
        <v>139</v>
      </c>
      <c r="F6030" s="80" t="s">
        <v>36</v>
      </c>
      <c r="G6030" s="80" t="s">
        <v>41</v>
      </c>
      <c r="H6030" s="80" t="s">
        <v>19839</v>
      </c>
      <c r="I6030" s="17">
        <f ca="1">IFERROR(__xludf.DUMMYFUNCTION("""COMPUTED_VALUE"""),45741)</f>
        <v>45741</v>
      </c>
      <c r="J6030" s="143" t="s">
        <v>19840</v>
      </c>
      <c r="K6030" s="80" t="s">
        <v>19841</v>
      </c>
      <c r="L6030" s="30">
        <v>374122684</v>
      </c>
      <c r="M6030" s="80" t="s">
        <v>59</v>
      </c>
      <c r="N6030" s="80" t="s">
        <v>10947</v>
      </c>
      <c r="O6030" s="80" t="s">
        <v>19842</v>
      </c>
      <c r="P6030" s="80" t="s">
        <v>19843</v>
      </c>
      <c r="Q6030" s="20">
        <v>15936</v>
      </c>
      <c r="R6030" s="80" t="s">
        <v>36</v>
      </c>
      <c r="S6030" s="95">
        <v>14386</v>
      </c>
      <c r="T6030" s="148">
        <v>45686</v>
      </c>
      <c r="U6030" s="95">
        <v>50</v>
      </c>
      <c r="V6030" s="148">
        <v>45686</v>
      </c>
      <c r="W6030" s="80" t="s">
        <v>19844</v>
      </c>
      <c r="X6030" s="80"/>
      <c r="Y6030" s="22">
        <v>1500</v>
      </c>
      <c r="Z6030" s="80" t="s">
        <v>50</v>
      </c>
      <c r="AA6030" s="86" t="s">
        <v>18583</v>
      </c>
      <c r="AB6030" s="80"/>
      <c r="AC6030" s="80" t="s">
        <v>53</v>
      </c>
      <c r="AD6030" s="80" t="s">
        <v>54</v>
      </c>
      <c r="AE6030" s="80"/>
      <c r="AF6030" s="17">
        <v>45741</v>
      </c>
      <c r="AG6030" s="80"/>
      <c r="AH6030" s="80"/>
      <c r="AI6030" s="147"/>
      <c r="AJ6030" s="80"/>
      <c r="AK6030" s="80"/>
      <c r="AL6030" s="35"/>
      <c r="AM6030" s="35"/>
      <c r="AN6030" s="35"/>
      <c r="AO6030" s="35"/>
      <c r="AP6030" s="35"/>
    </row>
    <row r="6031" spans="1:42" x14ac:dyDescent="0.2">
      <c r="A6031" s="126">
        <v>45687.710596840276</v>
      </c>
      <c r="B6031" s="137" t="s">
        <v>37</v>
      </c>
      <c r="C6031" s="41" t="s">
        <v>118</v>
      </c>
      <c r="D6031" s="80" t="s">
        <v>36</v>
      </c>
      <c r="E6031" s="80" t="s">
        <v>139</v>
      </c>
      <c r="F6031" s="80" t="s">
        <v>40</v>
      </c>
      <c r="G6031" s="80" t="s">
        <v>41</v>
      </c>
      <c r="H6031" s="80" t="s">
        <v>16519</v>
      </c>
      <c r="I6031" s="17">
        <f ca="1">IFERROR(__xludf.DUMMYFUNCTION("""COMPUTED_VALUE"""),45707)</f>
        <v>45707</v>
      </c>
      <c r="J6031" s="143" t="s">
        <v>19845</v>
      </c>
      <c r="K6031" s="80" t="s">
        <v>19846</v>
      </c>
      <c r="L6031" s="30">
        <v>988587776</v>
      </c>
      <c r="M6031" s="80" t="s">
        <v>59</v>
      </c>
      <c r="N6031" s="80" t="s">
        <v>9294</v>
      </c>
      <c r="O6031" s="80" t="s">
        <v>19847</v>
      </c>
      <c r="P6031" s="80" t="s">
        <v>18241</v>
      </c>
      <c r="Q6031" s="20">
        <v>15936</v>
      </c>
      <c r="R6031" s="80" t="s">
        <v>36</v>
      </c>
      <c r="S6031" s="95">
        <v>14436</v>
      </c>
      <c r="T6031" s="148">
        <v>45686</v>
      </c>
      <c r="U6031" s="77"/>
      <c r="V6031" s="78"/>
      <c r="W6031" s="85" t="s">
        <v>19848</v>
      </c>
      <c r="X6031" s="80"/>
      <c r="Y6031" s="22">
        <v>1500</v>
      </c>
      <c r="Z6031" s="80" t="s">
        <v>50</v>
      </c>
      <c r="AA6031" s="82" t="s">
        <v>18583</v>
      </c>
      <c r="AB6031" s="80"/>
      <c r="AC6031" s="80" t="s">
        <v>53</v>
      </c>
      <c r="AD6031" s="80" t="s">
        <v>138</v>
      </c>
      <c r="AE6031" s="80"/>
      <c r="AF6031" s="17">
        <v>45707</v>
      </c>
      <c r="AG6031" s="80"/>
      <c r="AH6031" s="80"/>
      <c r="AI6031" s="147"/>
      <c r="AJ6031" s="80"/>
      <c r="AK6031" s="80"/>
      <c r="AL6031" s="35"/>
      <c r="AM6031" s="35"/>
      <c r="AN6031" s="35"/>
      <c r="AO6031" s="35"/>
      <c r="AP6031" s="35"/>
    </row>
    <row r="6032" spans="1:42" x14ac:dyDescent="0.2">
      <c r="A6032" s="126">
        <v>45687.875630706018</v>
      </c>
      <c r="B6032" s="137" t="s">
        <v>37</v>
      </c>
      <c r="C6032" s="41" t="s">
        <v>118</v>
      </c>
      <c r="D6032" s="80" t="s">
        <v>36</v>
      </c>
      <c r="E6032" s="80" t="s">
        <v>39</v>
      </c>
      <c r="F6032" s="80" t="s">
        <v>36</v>
      </c>
      <c r="G6032" s="80" t="s">
        <v>41</v>
      </c>
      <c r="H6032" s="80" t="s">
        <v>19849</v>
      </c>
      <c r="I6032" s="17">
        <f ca="1">IFERROR(__xludf.DUMMYFUNCTION("""COMPUTED_VALUE"""),45713)</f>
        <v>45713</v>
      </c>
      <c r="J6032" s="143" t="s">
        <v>19850</v>
      </c>
      <c r="K6032" s="80" t="s">
        <v>19851</v>
      </c>
      <c r="L6032" s="30">
        <v>354971479</v>
      </c>
      <c r="M6032" s="80" t="s">
        <v>45</v>
      </c>
      <c r="N6032" s="80" t="s">
        <v>299</v>
      </c>
      <c r="O6032" s="80" t="s">
        <v>19852</v>
      </c>
      <c r="P6032" s="80" t="s">
        <v>19853</v>
      </c>
      <c r="Q6032" s="20">
        <v>5736</v>
      </c>
      <c r="R6032" s="80" t="s">
        <v>36</v>
      </c>
      <c r="S6032" s="95">
        <v>5536</v>
      </c>
      <c r="T6032" s="148">
        <v>45687</v>
      </c>
      <c r="U6032" s="77"/>
      <c r="V6032" s="78"/>
      <c r="W6032" s="80" t="s">
        <v>19854</v>
      </c>
      <c r="X6032" s="80"/>
      <c r="Y6032" s="22">
        <v>200</v>
      </c>
      <c r="Z6032" s="80" t="s">
        <v>50</v>
      </c>
      <c r="AA6032" s="86" t="s">
        <v>18583</v>
      </c>
      <c r="AB6032" s="80"/>
      <c r="AC6032" s="80" t="s">
        <v>53</v>
      </c>
      <c r="AD6032" s="80" t="s">
        <v>54</v>
      </c>
      <c r="AE6032" s="83">
        <v>0</v>
      </c>
      <c r="AF6032" s="17">
        <v>45701</v>
      </c>
      <c r="AG6032" s="80"/>
      <c r="AH6032" s="80"/>
      <c r="AI6032" s="147"/>
      <c r="AJ6032" s="80"/>
      <c r="AK6032" s="80"/>
      <c r="AL6032" s="35"/>
      <c r="AM6032" s="35"/>
      <c r="AN6032" s="35"/>
      <c r="AO6032" s="35"/>
      <c r="AP6032" s="35"/>
    </row>
    <row r="6033" spans="1:42" x14ac:dyDescent="0.2">
      <c r="A6033" s="126">
        <v>45687.946858287032</v>
      </c>
      <c r="B6033" s="137" t="s">
        <v>37</v>
      </c>
      <c r="C6033" s="41" t="s">
        <v>118</v>
      </c>
      <c r="D6033" s="80" t="s">
        <v>77</v>
      </c>
      <c r="E6033" s="80" t="s">
        <v>148</v>
      </c>
      <c r="F6033" s="80" t="s">
        <v>13089</v>
      </c>
      <c r="G6033" s="80" t="s">
        <v>108</v>
      </c>
      <c r="H6033" s="80" t="s">
        <v>14002</v>
      </c>
      <c r="I6033" s="17">
        <f ca="1">IFERROR(__xludf.DUMMYFUNCTION("""COMPUTED_VALUE"""),45735)</f>
        <v>45735</v>
      </c>
      <c r="J6033" s="143" t="s">
        <v>19855</v>
      </c>
      <c r="K6033" s="80" t="s">
        <v>19856</v>
      </c>
      <c r="L6033" s="30">
        <v>942439587</v>
      </c>
      <c r="M6033" s="80" t="s">
        <v>16756</v>
      </c>
      <c r="N6033" s="80" t="s">
        <v>3525</v>
      </c>
      <c r="O6033" s="80" t="s">
        <v>19857</v>
      </c>
      <c r="P6033" s="144" t="s">
        <v>19858</v>
      </c>
      <c r="Q6033" s="20">
        <v>7349</v>
      </c>
      <c r="R6033" s="80" t="s">
        <v>36</v>
      </c>
      <c r="S6033" s="95">
        <v>7317</v>
      </c>
      <c r="T6033" s="148">
        <v>45306</v>
      </c>
      <c r="U6033" s="77"/>
      <c r="V6033" s="78"/>
      <c r="W6033" s="85" t="s">
        <v>19859</v>
      </c>
      <c r="X6033" s="80"/>
      <c r="Y6033" s="22">
        <v>32</v>
      </c>
      <c r="Z6033" s="80" t="s">
        <v>50</v>
      </c>
      <c r="AA6033" s="82" t="s">
        <v>18583</v>
      </c>
      <c r="AB6033" s="80"/>
      <c r="AC6033" s="80" t="s">
        <v>53</v>
      </c>
      <c r="AD6033" s="80" t="s">
        <v>54</v>
      </c>
      <c r="AE6033" s="80"/>
      <c r="AF6033" s="17">
        <v>45736</v>
      </c>
      <c r="AG6033" s="80"/>
      <c r="AH6033" s="80"/>
      <c r="AI6033" s="147"/>
      <c r="AJ6033" s="80"/>
      <c r="AK6033" s="80"/>
      <c r="AL6033" s="35"/>
      <c r="AM6033" s="35"/>
      <c r="AN6033" s="35"/>
      <c r="AO6033" s="35"/>
      <c r="AP6033" s="35"/>
    </row>
    <row r="6034" spans="1:42" x14ac:dyDescent="0.2">
      <c r="A6034" s="126">
        <v>45688.904702881948</v>
      </c>
      <c r="B6034" s="137" t="s">
        <v>37</v>
      </c>
      <c r="C6034" s="41" t="s">
        <v>118</v>
      </c>
      <c r="D6034" s="80" t="s">
        <v>77</v>
      </c>
      <c r="E6034" s="80" t="s">
        <v>119</v>
      </c>
      <c r="F6034" s="80" t="s">
        <v>13441</v>
      </c>
      <c r="G6034" s="80" t="s">
        <v>108</v>
      </c>
      <c r="H6034" s="80" t="s">
        <v>18568</v>
      </c>
      <c r="I6034" s="17">
        <f ca="1">IFERROR(__xludf.DUMMYFUNCTION("""COMPUTED_VALUE"""),45699)</f>
        <v>45699</v>
      </c>
      <c r="J6034" s="143" t="s">
        <v>18224</v>
      </c>
      <c r="K6034" s="80" t="s">
        <v>18225</v>
      </c>
      <c r="L6034" s="30">
        <v>347326770</v>
      </c>
      <c r="M6034" s="80" t="s">
        <v>15970</v>
      </c>
      <c r="N6034" s="80" t="s">
        <v>466</v>
      </c>
      <c r="O6034" s="80" t="s">
        <v>16292</v>
      </c>
      <c r="P6034" s="80" t="s">
        <v>865</v>
      </c>
      <c r="Q6034" s="20">
        <v>13968</v>
      </c>
      <c r="R6034" s="80" t="s">
        <v>36</v>
      </c>
      <c r="S6034" s="95">
        <v>12468</v>
      </c>
      <c r="T6034" s="148">
        <v>45686</v>
      </c>
      <c r="U6034" s="77"/>
      <c r="V6034" s="78"/>
      <c r="W6034" s="85" t="s">
        <v>19860</v>
      </c>
      <c r="X6034" s="80"/>
      <c r="Y6034" s="22">
        <v>1500</v>
      </c>
      <c r="Z6034" s="80" t="s">
        <v>50</v>
      </c>
      <c r="AA6034" s="86" t="s">
        <v>18583</v>
      </c>
      <c r="AB6034" s="80"/>
      <c r="AC6034" s="80" t="s">
        <v>53</v>
      </c>
      <c r="AD6034" s="80" t="s">
        <v>138</v>
      </c>
      <c r="AE6034" s="80" t="s">
        <v>13441</v>
      </c>
      <c r="AF6034" s="17">
        <v>45699</v>
      </c>
      <c r="AG6034" s="80"/>
      <c r="AH6034" s="80"/>
      <c r="AI6034" s="147"/>
      <c r="AJ6034" s="80"/>
      <c r="AK6034" s="80"/>
      <c r="AL6034" s="35"/>
      <c r="AM6034" s="35"/>
      <c r="AN6034" s="35"/>
      <c r="AO6034" s="35"/>
      <c r="AP6034" s="35"/>
    </row>
    <row r="6035" spans="1:42" x14ac:dyDescent="0.2">
      <c r="A6035" s="126">
        <v>45688.906765231484</v>
      </c>
      <c r="B6035" s="137" t="s">
        <v>37</v>
      </c>
      <c r="C6035" s="41" t="s">
        <v>118</v>
      </c>
      <c r="D6035" s="80" t="s">
        <v>36</v>
      </c>
      <c r="E6035" s="80" t="s">
        <v>119</v>
      </c>
      <c r="F6035" s="80" t="s">
        <v>36</v>
      </c>
      <c r="G6035" s="80" t="s">
        <v>108</v>
      </c>
      <c r="H6035" s="80" t="s">
        <v>19086</v>
      </c>
      <c r="I6035" s="17">
        <f ca="1">IFERROR(__xludf.DUMMYFUNCTION("""COMPUTED_VALUE"""),45694)</f>
        <v>45694</v>
      </c>
      <c r="J6035" s="143" t="s">
        <v>19861</v>
      </c>
      <c r="K6035" s="80" t="s">
        <v>19862</v>
      </c>
      <c r="L6035" s="30">
        <v>329979802</v>
      </c>
      <c r="M6035" s="80" t="s">
        <v>15970</v>
      </c>
      <c r="N6035" s="80" t="s">
        <v>327</v>
      </c>
      <c r="O6035" s="80" t="s">
        <v>16292</v>
      </c>
      <c r="P6035" s="80" t="s">
        <v>19863</v>
      </c>
      <c r="Q6035" s="20">
        <v>13968</v>
      </c>
      <c r="R6035" s="80" t="s">
        <v>36</v>
      </c>
      <c r="S6035" s="95">
        <v>12468</v>
      </c>
      <c r="T6035" s="148">
        <v>45686</v>
      </c>
      <c r="U6035" s="77"/>
      <c r="V6035" s="78"/>
      <c r="W6035" s="85" t="s">
        <v>19864</v>
      </c>
      <c r="X6035" s="80"/>
      <c r="Y6035" s="22">
        <v>1500</v>
      </c>
      <c r="Z6035" s="80" t="s">
        <v>50</v>
      </c>
      <c r="AA6035" s="82" t="s">
        <v>18583</v>
      </c>
      <c r="AB6035" s="80"/>
      <c r="AC6035" s="80" t="s">
        <v>53</v>
      </c>
      <c r="AD6035" s="80" t="s">
        <v>54</v>
      </c>
      <c r="AE6035" s="80"/>
      <c r="AF6035" s="17">
        <v>45693</v>
      </c>
      <c r="AG6035" s="80"/>
      <c r="AH6035" s="80"/>
      <c r="AI6035" s="147"/>
      <c r="AJ6035" s="80"/>
      <c r="AK6035" s="80"/>
      <c r="AL6035" s="35"/>
      <c r="AM6035" s="35"/>
      <c r="AN6035" s="35"/>
      <c r="AO6035" s="35"/>
      <c r="AP6035" s="35"/>
    </row>
    <row r="6036" spans="1:42" x14ac:dyDescent="0.2">
      <c r="A6036" s="126">
        <v>45688.913390277783</v>
      </c>
      <c r="B6036" s="137" t="s">
        <v>90</v>
      </c>
      <c r="C6036" s="41" t="s">
        <v>118</v>
      </c>
      <c r="D6036" s="80" t="s">
        <v>36</v>
      </c>
      <c r="E6036" s="80" t="s">
        <v>139</v>
      </c>
      <c r="F6036" s="80" t="s">
        <v>40</v>
      </c>
      <c r="G6036" s="80" t="s">
        <v>41</v>
      </c>
      <c r="H6036" s="80" t="s">
        <v>19366</v>
      </c>
      <c r="I6036" s="17">
        <f ca="1">IFERROR(__xludf.DUMMYFUNCTION("""COMPUTED_VALUE"""),45712)</f>
        <v>45712</v>
      </c>
      <c r="J6036" s="143" t="s">
        <v>19865</v>
      </c>
      <c r="K6036" s="80" t="s">
        <v>19866</v>
      </c>
      <c r="L6036" s="30">
        <v>988782497</v>
      </c>
      <c r="M6036" s="80" t="s">
        <v>9422</v>
      </c>
      <c r="N6036" s="80" t="s">
        <v>1881</v>
      </c>
      <c r="O6036" s="80" t="s">
        <v>91</v>
      </c>
      <c r="P6036" s="80" t="s">
        <v>19867</v>
      </c>
      <c r="Q6036" s="20">
        <v>15936</v>
      </c>
      <c r="R6036" s="80" t="s">
        <v>36</v>
      </c>
      <c r="S6036" s="95">
        <v>14436</v>
      </c>
      <c r="T6036" s="148">
        <v>45686</v>
      </c>
      <c r="U6036" s="77"/>
      <c r="V6036" s="78"/>
      <c r="W6036" s="85" t="s">
        <v>19868</v>
      </c>
      <c r="X6036" s="80"/>
      <c r="Y6036" s="22">
        <v>1500</v>
      </c>
      <c r="Z6036" s="80" t="s">
        <v>50</v>
      </c>
      <c r="AA6036" s="86" t="s">
        <v>18583</v>
      </c>
      <c r="AB6036" s="80"/>
      <c r="AC6036" s="80" t="s">
        <v>53</v>
      </c>
      <c r="AD6036" s="80" t="s">
        <v>138</v>
      </c>
      <c r="AE6036" s="80"/>
      <c r="AF6036" s="17">
        <v>45712</v>
      </c>
      <c r="AG6036" s="80"/>
      <c r="AH6036" s="80"/>
      <c r="AI6036" s="147"/>
      <c r="AJ6036" s="80"/>
      <c r="AK6036" s="80"/>
      <c r="AL6036" s="35"/>
      <c r="AM6036" s="35"/>
      <c r="AN6036" s="35"/>
      <c r="AO6036" s="35"/>
      <c r="AP6036" s="35"/>
    </row>
    <row r="6037" spans="1:42" x14ac:dyDescent="0.2">
      <c r="A6037" s="126">
        <v>45688.91569952546</v>
      </c>
      <c r="B6037" s="137" t="s">
        <v>37</v>
      </c>
      <c r="C6037" s="41" t="s">
        <v>118</v>
      </c>
      <c r="D6037" s="80" t="s">
        <v>36</v>
      </c>
      <c r="E6037" s="80" t="s">
        <v>56</v>
      </c>
      <c r="F6037" s="80" t="s">
        <v>40</v>
      </c>
      <c r="G6037" s="80" t="s">
        <v>41</v>
      </c>
      <c r="H6037" s="80" t="s">
        <v>16519</v>
      </c>
      <c r="I6037" s="17">
        <f ca="1">IFERROR(__xludf.DUMMYFUNCTION("""COMPUTED_VALUE"""),45707)</f>
        <v>45707</v>
      </c>
      <c r="J6037" s="172" t="s">
        <v>19869</v>
      </c>
      <c r="K6037" s="80" t="s">
        <v>19870</v>
      </c>
      <c r="L6037" s="30">
        <v>981683430</v>
      </c>
      <c r="M6037" s="80" t="s">
        <v>9422</v>
      </c>
      <c r="N6037" s="80" t="s">
        <v>5574</v>
      </c>
      <c r="O6037" s="80" t="s">
        <v>19871</v>
      </c>
      <c r="P6037" s="80" t="s">
        <v>19872</v>
      </c>
      <c r="Q6037" s="20">
        <v>9317</v>
      </c>
      <c r="R6037" s="80" t="s">
        <v>36</v>
      </c>
      <c r="S6037" s="95">
        <v>8317</v>
      </c>
      <c r="T6037" s="148">
        <v>45686</v>
      </c>
      <c r="U6037" s="77"/>
      <c r="V6037" s="78"/>
      <c r="W6037" s="85" t="s">
        <v>19873</v>
      </c>
      <c r="X6037" s="80"/>
      <c r="Y6037" s="22">
        <v>1000</v>
      </c>
      <c r="Z6037" s="80" t="s">
        <v>50</v>
      </c>
      <c r="AA6037" s="82" t="s">
        <v>18583</v>
      </c>
      <c r="AB6037" s="80"/>
      <c r="AC6037" s="80" t="s">
        <v>53</v>
      </c>
      <c r="AD6037" s="80" t="s">
        <v>138</v>
      </c>
      <c r="AE6037" s="80"/>
      <c r="AF6037" s="17">
        <v>45707</v>
      </c>
      <c r="AG6037" s="80"/>
      <c r="AH6037" s="80"/>
      <c r="AI6037" s="147"/>
      <c r="AJ6037" s="80"/>
      <c r="AK6037" s="80"/>
      <c r="AL6037" s="35"/>
      <c r="AM6037" s="35"/>
      <c r="AN6037" s="35"/>
      <c r="AO6037" s="35"/>
      <c r="AP6037" s="35"/>
    </row>
    <row r="6038" spans="1:42" x14ac:dyDescent="0.2">
      <c r="A6038" s="126">
        <v>45688.921800428245</v>
      </c>
      <c r="B6038" s="137" t="s">
        <v>37</v>
      </c>
      <c r="C6038" s="41" t="s">
        <v>118</v>
      </c>
      <c r="D6038" s="80" t="s">
        <v>36</v>
      </c>
      <c r="E6038" s="80" t="s">
        <v>148</v>
      </c>
      <c r="F6038" s="26" t="s">
        <v>36</v>
      </c>
      <c r="G6038" s="80" t="s">
        <v>108</v>
      </c>
      <c r="H6038" s="80" t="s">
        <v>13798</v>
      </c>
      <c r="I6038" s="17">
        <f ca="1">IFERROR(__xludf.DUMMYFUNCTION("""COMPUTED_VALUE"""),45741)</f>
        <v>45741</v>
      </c>
      <c r="J6038" s="143" t="s">
        <v>18829</v>
      </c>
      <c r="K6038" s="80" t="s">
        <v>19874</v>
      </c>
      <c r="L6038" s="30">
        <v>349102834</v>
      </c>
      <c r="M6038" s="80" t="s">
        <v>9422</v>
      </c>
      <c r="N6038" s="80" t="s">
        <v>3760</v>
      </c>
      <c r="O6038" s="80" t="s">
        <v>18831</v>
      </c>
      <c r="P6038" s="144" t="s">
        <v>19875</v>
      </c>
      <c r="Q6038" s="20">
        <v>7349</v>
      </c>
      <c r="R6038" s="80" t="s">
        <v>36</v>
      </c>
      <c r="S6038" s="95">
        <v>7349</v>
      </c>
      <c r="T6038" s="148">
        <v>45682</v>
      </c>
      <c r="U6038" s="77"/>
      <c r="V6038" s="78"/>
      <c r="W6038" s="85" t="s">
        <v>19876</v>
      </c>
      <c r="X6038" s="80"/>
      <c r="Y6038" s="22">
        <v>0</v>
      </c>
      <c r="Z6038" s="80" t="s">
        <v>50</v>
      </c>
      <c r="AA6038" s="86" t="s">
        <v>18583</v>
      </c>
      <c r="AB6038" s="80"/>
      <c r="AC6038" s="80" t="s">
        <v>53</v>
      </c>
      <c r="AD6038" s="80" t="s">
        <v>54</v>
      </c>
      <c r="AE6038" s="80"/>
      <c r="AF6038" s="17">
        <v>45736</v>
      </c>
      <c r="AG6038" s="80"/>
      <c r="AH6038" s="80"/>
      <c r="AI6038" s="147"/>
      <c r="AJ6038" s="80"/>
      <c r="AK6038" s="80"/>
      <c r="AL6038" s="35"/>
      <c r="AM6038" s="35"/>
      <c r="AN6038" s="35"/>
      <c r="AO6038" s="35"/>
      <c r="AP6038" s="35"/>
    </row>
    <row r="6039" spans="1:42" x14ac:dyDescent="0.2">
      <c r="A6039" s="126">
        <v>45688.935425335643</v>
      </c>
      <c r="B6039" s="137" t="s">
        <v>37</v>
      </c>
      <c r="C6039" s="41" t="s">
        <v>118</v>
      </c>
      <c r="D6039" s="80" t="s">
        <v>36</v>
      </c>
      <c r="E6039" s="80" t="s">
        <v>139</v>
      </c>
      <c r="F6039" s="80" t="s">
        <v>40</v>
      </c>
      <c r="G6039" s="80" t="s">
        <v>41</v>
      </c>
      <c r="H6039" s="80" t="s">
        <v>16519</v>
      </c>
      <c r="I6039" s="17">
        <f ca="1">IFERROR(__xludf.DUMMYFUNCTION("""COMPUTED_VALUE"""),45707)</f>
        <v>45707</v>
      </c>
      <c r="J6039" s="143" t="s">
        <v>19877</v>
      </c>
      <c r="K6039" s="80" t="s">
        <v>19878</v>
      </c>
      <c r="L6039" s="30">
        <v>335619006</v>
      </c>
      <c r="M6039" s="80" t="s">
        <v>910</v>
      </c>
      <c r="N6039" s="80" t="s">
        <v>355</v>
      </c>
      <c r="O6039" s="80" t="s">
        <v>91</v>
      </c>
      <c r="P6039" s="80" t="s">
        <v>19879</v>
      </c>
      <c r="Q6039" s="20">
        <v>15936</v>
      </c>
      <c r="R6039" s="80" t="s">
        <v>36</v>
      </c>
      <c r="S6039" s="95">
        <v>14436</v>
      </c>
      <c r="T6039" s="148">
        <v>45686</v>
      </c>
      <c r="U6039" s="77"/>
      <c r="V6039" s="78"/>
      <c r="W6039" s="85" t="s">
        <v>19880</v>
      </c>
      <c r="X6039" s="80"/>
      <c r="Y6039" s="22">
        <v>1500</v>
      </c>
      <c r="Z6039" s="80" t="s">
        <v>50</v>
      </c>
      <c r="AA6039" s="82" t="s">
        <v>18583</v>
      </c>
      <c r="AB6039" s="80"/>
      <c r="AC6039" s="80" t="s">
        <v>53</v>
      </c>
      <c r="AD6039" s="80" t="s">
        <v>138</v>
      </c>
      <c r="AE6039" s="80"/>
      <c r="AF6039" s="17">
        <v>45707</v>
      </c>
      <c r="AG6039" s="80"/>
      <c r="AH6039" s="80"/>
      <c r="AI6039" s="147"/>
      <c r="AJ6039" s="80"/>
      <c r="AK6039" s="80"/>
      <c r="AL6039" s="35"/>
      <c r="AM6039" s="35"/>
      <c r="AN6039" s="35"/>
      <c r="AO6039" s="35"/>
      <c r="AP6039" s="35"/>
    </row>
    <row r="6040" spans="1:42" x14ac:dyDescent="0.2">
      <c r="A6040" s="126">
        <v>45688.937328877313</v>
      </c>
      <c r="B6040" s="137" t="s">
        <v>37</v>
      </c>
      <c r="C6040" s="41" t="s">
        <v>118</v>
      </c>
      <c r="D6040" s="80" t="s">
        <v>36</v>
      </c>
      <c r="E6040" s="80" t="s">
        <v>56</v>
      </c>
      <c r="F6040" s="80" t="s">
        <v>40</v>
      </c>
      <c r="G6040" s="80" t="s">
        <v>41</v>
      </c>
      <c r="H6040" s="80" t="s">
        <v>19830</v>
      </c>
      <c r="I6040" s="17">
        <f ca="1">IFERROR(__xludf.DUMMYFUNCTION("""COMPUTED_VALUE"""),45698)</f>
        <v>45698</v>
      </c>
      <c r="J6040" s="143" t="s">
        <v>19881</v>
      </c>
      <c r="K6040" s="145" t="s">
        <v>19882</v>
      </c>
      <c r="L6040" s="30">
        <v>369103136</v>
      </c>
      <c r="M6040" s="80" t="s">
        <v>910</v>
      </c>
      <c r="N6040" s="80" t="s">
        <v>15912</v>
      </c>
      <c r="O6040" s="80" t="s">
        <v>91</v>
      </c>
      <c r="P6040" s="80" t="s">
        <v>19883</v>
      </c>
      <c r="Q6040" s="20">
        <v>9317</v>
      </c>
      <c r="R6040" s="80" t="s">
        <v>36</v>
      </c>
      <c r="S6040" s="95">
        <v>8317</v>
      </c>
      <c r="T6040" s="148">
        <v>45686</v>
      </c>
      <c r="U6040" s="77"/>
      <c r="V6040" s="78"/>
      <c r="W6040" s="85" t="s">
        <v>19884</v>
      </c>
      <c r="X6040" s="80"/>
      <c r="Y6040" s="22">
        <v>1000</v>
      </c>
      <c r="Z6040" s="80" t="s">
        <v>50</v>
      </c>
      <c r="AA6040" s="86" t="s">
        <v>18583</v>
      </c>
      <c r="AB6040" s="80"/>
      <c r="AC6040" s="80" t="s">
        <v>53</v>
      </c>
      <c r="AD6040" s="80" t="s">
        <v>54</v>
      </c>
      <c r="AE6040" s="80"/>
      <c r="AF6040" s="17">
        <v>45693</v>
      </c>
      <c r="AG6040" s="80"/>
      <c r="AH6040" s="80"/>
      <c r="AI6040" s="147"/>
      <c r="AJ6040" s="80"/>
      <c r="AK6040" s="80"/>
      <c r="AL6040" s="35"/>
      <c r="AM6040" s="35"/>
      <c r="AN6040" s="35"/>
      <c r="AO6040" s="35"/>
      <c r="AP6040" s="35"/>
    </row>
    <row r="6041" spans="1:42" x14ac:dyDescent="0.2">
      <c r="A6041" s="126">
        <v>45688.94004021991</v>
      </c>
      <c r="B6041" s="137" t="s">
        <v>37</v>
      </c>
      <c r="C6041" s="41" t="s">
        <v>118</v>
      </c>
      <c r="D6041" s="80" t="s">
        <v>36</v>
      </c>
      <c r="E6041" s="80" t="s">
        <v>139</v>
      </c>
      <c r="F6041" s="80" t="s">
        <v>40</v>
      </c>
      <c r="G6041" s="80" t="s">
        <v>41</v>
      </c>
      <c r="H6041" s="80" t="s">
        <v>16525</v>
      </c>
      <c r="I6041" s="17">
        <f ca="1">IFERROR(__xludf.DUMMYFUNCTION("""COMPUTED_VALUE"""),45708)</f>
        <v>45708</v>
      </c>
      <c r="J6041" s="143" t="s">
        <v>19885</v>
      </c>
      <c r="K6041" s="80" t="s">
        <v>19886</v>
      </c>
      <c r="L6041" s="30">
        <v>354203651</v>
      </c>
      <c r="M6041" s="80" t="s">
        <v>910</v>
      </c>
      <c r="N6041" s="80" t="s">
        <v>355</v>
      </c>
      <c r="O6041" s="80" t="s">
        <v>91</v>
      </c>
      <c r="P6041" s="80" t="s">
        <v>19887</v>
      </c>
      <c r="Q6041" s="20">
        <v>15936</v>
      </c>
      <c r="R6041" s="80" t="s">
        <v>36</v>
      </c>
      <c r="S6041" s="95">
        <v>14436</v>
      </c>
      <c r="T6041" s="148">
        <v>45686</v>
      </c>
      <c r="U6041" s="77"/>
      <c r="V6041" s="78"/>
      <c r="W6041" s="85" t="s">
        <v>19888</v>
      </c>
      <c r="X6041" s="80"/>
      <c r="Y6041" s="22">
        <v>1500</v>
      </c>
      <c r="Z6041" s="80" t="s">
        <v>50</v>
      </c>
      <c r="AA6041" s="82" t="s">
        <v>18583</v>
      </c>
      <c r="AB6041" s="80"/>
      <c r="AC6041" s="80" t="s">
        <v>53</v>
      </c>
      <c r="AD6041" s="80" t="s">
        <v>138</v>
      </c>
      <c r="AE6041" s="80"/>
      <c r="AF6041" s="17">
        <v>45708</v>
      </c>
      <c r="AG6041" s="80"/>
      <c r="AH6041" s="80"/>
      <c r="AI6041" s="147"/>
      <c r="AJ6041" s="80"/>
      <c r="AK6041" s="80"/>
      <c r="AL6041" s="35"/>
      <c r="AM6041" s="35"/>
      <c r="AN6041" s="35"/>
      <c r="AO6041" s="35"/>
      <c r="AP6041" s="35"/>
    </row>
    <row r="6042" spans="1:42" x14ac:dyDescent="0.2">
      <c r="A6042" s="126">
        <v>45689.47704943287</v>
      </c>
      <c r="B6042" s="137" t="s">
        <v>37</v>
      </c>
      <c r="C6042" s="41" t="s">
        <v>118</v>
      </c>
      <c r="D6042" s="80" t="s">
        <v>36</v>
      </c>
      <c r="E6042" s="80" t="s">
        <v>119</v>
      </c>
      <c r="F6042" s="80" t="s">
        <v>36</v>
      </c>
      <c r="G6042" s="80" t="s">
        <v>108</v>
      </c>
      <c r="H6042" s="80" t="s">
        <v>16692</v>
      </c>
      <c r="I6042" s="17">
        <f ca="1">IFERROR(__xludf.DUMMYFUNCTION("""COMPUTED_VALUE"""),45757)</f>
        <v>45757</v>
      </c>
      <c r="J6042" s="143" t="s">
        <v>19889</v>
      </c>
      <c r="K6042" s="80" t="s">
        <v>19890</v>
      </c>
      <c r="L6042" s="30">
        <v>387632278</v>
      </c>
      <c r="M6042" s="80" t="s">
        <v>5558</v>
      </c>
      <c r="N6042" s="80" t="s">
        <v>5277</v>
      </c>
      <c r="O6042" s="80" t="s">
        <v>4503</v>
      </c>
      <c r="P6042" s="80" t="s">
        <v>19891</v>
      </c>
      <c r="Q6042" s="20">
        <v>13968</v>
      </c>
      <c r="R6042" s="80" t="s">
        <v>36</v>
      </c>
      <c r="S6042" s="95">
        <v>12468</v>
      </c>
      <c r="T6042" s="148">
        <v>45686</v>
      </c>
      <c r="U6042" s="77"/>
      <c r="V6042" s="78"/>
      <c r="W6042" s="85" t="s">
        <v>19892</v>
      </c>
      <c r="X6042" s="80"/>
      <c r="Y6042" s="22">
        <v>1500</v>
      </c>
      <c r="Z6042" s="80" t="s">
        <v>50</v>
      </c>
      <c r="AA6042" s="86" t="s">
        <v>18583</v>
      </c>
      <c r="AB6042" s="80"/>
      <c r="AC6042" s="80" t="s">
        <v>53</v>
      </c>
      <c r="AD6042" s="80" t="s">
        <v>54</v>
      </c>
      <c r="AE6042" s="80"/>
      <c r="AF6042" s="17">
        <v>45693</v>
      </c>
      <c r="AG6042" s="80"/>
      <c r="AH6042" s="80"/>
      <c r="AI6042" s="147"/>
      <c r="AJ6042" s="80"/>
      <c r="AK6042" s="80"/>
      <c r="AL6042" s="35"/>
      <c r="AM6042" s="35"/>
      <c r="AN6042" s="35"/>
      <c r="AO6042" s="35"/>
      <c r="AP6042" s="35"/>
    </row>
    <row r="6043" spans="1:42" x14ac:dyDescent="0.2">
      <c r="A6043" s="126">
        <v>45689.479381134261</v>
      </c>
      <c r="B6043" s="137" t="s">
        <v>37</v>
      </c>
      <c r="C6043" s="41" t="s">
        <v>118</v>
      </c>
      <c r="D6043" s="80" t="s">
        <v>36</v>
      </c>
      <c r="E6043" s="80" t="s">
        <v>139</v>
      </c>
      <c r="F6043" s="80" t="s">
        <v>40</v>
      </c>
      <c r="G6043" s="80" t="s">
        <v>41</v>
      </c>
      <c r="H6043" s="80" t="s">
        <v>19893</v>
      </c>
      <c r="I6043" s="17">
        <f ca="1">IFERROR(__xludf.DUMMYFUNCTION("""COMPUTED_VALUE"""),45791)</f>
        <v>45791</v>
      </c>
      <c r="J6043" s="143" t="s">
        <v>19894</v>
      </c>
      <c r="K6043" s="145" t="s">
        <v>19895</v>
      </c>
      <c r="L6043" s="30">
        <v>979758109</v>
      </c>
      <c r="M6043" s="80" t="s">
        <v>18749</v>
      </c>
      <c r="N6043" s="80" t="s">
        <v>19896</v>
      </c>
      <c r="O6043" s="80" t="s">
        <v>4503</v>
      </c>
      <c r="P6043" s="80" t="s">
        <v>19897</v>
      </c>
      <c r="Q6043" s="20">
        <v>15936</v>
      </c>
      <c r="R6043" s="80" t="s">
        <v>36</v>
      </c>
      <c r="S6043" s="95">
        <v>14436</v>
      </c>
      <c r="T6043" s="148">
        <v>45686</v>
      </c>
      <c r="U6043" s="77"/>
      <c r="V6043" s="78"/>
      <c r="W6043" s="85" t="s">
        <v>19898</v>
      </c>
      <c r="X6043" s="80"/>
      <c r="Y6043" s="22">
        <v>1500</v>
      </c>
      <c r="Z6043" s="80" t="s">
        <v>50</v>
      </c>
      <c r="AA6043" s="82" t="s">
        <v>18583</v>
      </c>
      <c r="AB6043" s="80"/>
      <c r="AC6043" s="80" t="s">
        <v>53</v>
      </c>
      <c r="AD6043" s="80" t="s">
        <v>54</v>
      </c>
      <c r="AE6043" s="80"/>
      <c r="AF6043" s="17">
        <v>45785</v>
      </c>
      <c r="AG6043" s="80"/>
      <c r="AH6043" s="80"/>
      <c r="AI6043" s="147"/>
      <c r="AJ6043" s="80"/>
      <c r="AK6043" s="80"/>
      <c r="AL6043" s="35"/>
      <c r="AM6043" s="35"/>
      <c r="AN6043" s="35"/>
      <c r="AO6043" s="35"/>
      <c r="AP6043" s="35"/>
    </row>
    <row r="6044" spans="1:42" x14ac:dyDescent="0.2">
      <c r="A6044" s="126">
        <v>45689.482916574074</v>
      </c>
      <c r="B6044" s="137" t="s">
        <v>37</v>
      </c>
      <c r="C6044" s="41" t="s">
        <v>118</v>
      </c>
      <c r="D6044" s="80" t="s">
        <v>36</v>
      </c>
      <c r="E6044" s="80" t="s">
        <v>139</v>
      </c>
      <c r="F6044" s="80" t="s">
        <v>40</v>
      </c>
      <c r="G6044" s="80" t="s">
        <v>41</v>
      </c>
      <c r="H6044" s="80" t="s">
        <v>19816</v>
      </c>
      <c r="I6044" s="17">
        <f ca="1">IFERROR(__xludf.DUMMYFUNCTION("""COMPUTED_VALUE"""),45720)</f>
        <v>45720</v>
      </c>
      <c r="J6044" s="143" t="s">
        <v>19899</v>
      </c>
      <c r="K6044" s="80" t="s">
        <v>19900</v>
      </c>
      <c r="L6044" s="30">
        <v>356685259</v>
      </c>
      <c r="M6044" s="80" t="s">
        <v>18749</v>
      </c>
      <c r="N6044" s="80" t="s">
        <v>19901</v>
      </c>
      <c r="O6044" s="80" t="s">
        <v>4503</v>
      </c>
      <c r="P6044" s="80" t="s">
        <v>19902</v>
      </c>
      <c r="Q6044" s="20">
        <v>15936</v>
      </c>
      <c r="R6044" s="80" t="s">
        <v>36</v>
      </c>
      <c r="S6044" s="95">
        <v>14436</v>
      </c>
      <c r="T6044" s="148">
        <v>45686</v>
      </c>
      <c r="U6044" s="77"/>
      <c r="V6044" s="78"/>
      <c r="W6044" s="85" t="s">
        <v>19903</v>
      </c>
      <c r="X6044" s="80"/>
      <c r="Y6044" s="22">
        <v>1500</v>
      </c>
      <c r="Z6044" s="80" t="s">
        <v>50</v>
      </c>
      <c r="AA6044" s="86" t="s">
        <v>18583</v>
      </c>
      <c r="AB6044" s="80"/>
      <c r="AC6044" s="80" t="s">
        <v>53</v>
      </c>
      <c r="AD6044" s="80" t="s">
        <v>138</v>
      </c>
      <c r="AE6044" s="80"/>
      <c r="AF6044" s="17">
        <v>45720</v>
      </c>
      <c r="AG6044" s="80"/>
      <c r="AH6044" s="80"/>
      <c r="AI6044" s="147"/>
      <c r="AJ6044" s="80"/>
      <c r="AK6044" s="80"/>
      <c r="AL6044" s="35"/>
      <c r="AM6044" s="35"/>
      <c r="AN6044" s="35"/>
      <c r="AO6044" s="35"/>
      <c r="AP6044" s="35"/>
    </row>
    <row r="6045" spans="1:42" x14ac:dyDescent="0.2">
      <c r="A6045" s="126">
        <v>45689.498403877311</v>
      </c>
      <c r="B6045" s="137" t="s">
        <v>37</v>
      </c>
      <c r="C6045" s="41" t="s">
        <v>118</v>
      </c>
      <c r="D6045" s="80" t="s">
        <v>36</v>
      </c>
      <c r="E6045" s="80" t="s">
        <v>148</v>
      </c>
      <c r="F6045" s="80" t="s">
        <v>40</v>
      </c>
      <c r="G6045" s="80" t="s">
        <v>108</v>
      </c>
      <c r="H6045" s="80" t="s">
        <v>16849</v>
      </c>
      <c r="I6045" s="17">
        <f ca="1">IFERROR(__xludf.DUMMYFUNCTION("""COMPUTED_VALUE"""),45705)</f>
        <v>45705</v>
      </c>
      <c r="J6045" s="143" t="s">
        <v>19904</v>
      </c>
      <c r="K6045" s="80" t="s">
        <v>8163</v>
      </c>
      <c r="L6045" s="30">
        <v>329339118</v>
      </c>
      <c r="M6045" s="80" t="s">
        <v>18749</v>
      </c>
      <c r="N6045" s="80" t="s">
        <v>19901</v>
      </c>
      <c r="O6045" s="80" t="s">
        <v>4503</v>
      </c>
      <c r="P6045" s="80" t="s">
        <v>19905</v>
      </c>
      <c r="Q6045" s="20">
        <v>7349</v>
      </c>
      <c r="R6045" s="80" t="s">
        <v>36</v>
      </c>
      <c r="S6045" s="95">
        <v>6849</v>
      </c>
      <c r="T6045" s="148">
        <v>45686</v>
      </c>
      <c r="U6045" s="77"/>
      <c r="V6045" s="78"/>
      <c r="W6045" s="85" t="s">
        <v>19906</v>
      </c>
      <c r="X6045" s="80"/>
      <c r="Y6045" s="22">
        <v>500</v>
      </c>
      <c r="Z6045" s="80" t="s">
        <v>50</v>
      </c>
      <c r="AA6045" s="82" t="s">
        <v>18583</v>
      </c>
      <c r="AB6045" s="80"/>
      <c r="AC6045" s="80" t="s">
        <v>53</v>
      </c>
      <c r="AD6045" s="80" t="s">
        <v>138</v>
      </c>
      <c r="AE6045" s="83">
        <v>360</v>
      </c>
      <c r="AF6045" s="17">
        <v>45705</v>
      </c>
      <c r="AG6045" s="80"/>
      <c r="AH6045" s="80"/>
      <c r="AI6045" s="147"/>
      <c r="AJ6045" s="80"/>
      <c r="AK6045" s="80"/>
      <c r="AL6045" s="35"/>
      <c r="AM6045" s="35"/>
      <c r="AN6045" s="35"/>
      <c r="AO6045" s="35"/>
      <c r="AP6045" s="35"/>
    </row>
    <row r="6046" spans="1:42" x14ac:dyDescent="0.2">
      <c r="A6046" s="126">
        <v>45690.862927592592</v>
      </c>
      <c r="B6046" s="137" t="s">
        <v>37</v>
      </c>
      <c r="C6046" s="41" t="s">
        <v>118</v>
      </c>
      <c r="D6046" s="80" t="s">
        <v>36</v>
      </c>
      <c r="E6046" s="80" t="s">
        <v>219</v>
      </c>
      <c r="F6046" s="80" t="s">
        <v>2440</v>
      </c>
      <c r="G6046" s="80" t="s">
        <v>221</v>
      </c>
      <c r="H6046" s="80" t="s">
        <v>18072</v>
      </c>
      <c r="I6046" s="17">
        <f ca="1">IFERROR(__xludf.DUMMYFUNCTION("""COMPUTED_VALUE"""),45804)</f>
        <v>45804</v>
      </c>
      <c r="J6046" s="143" t="s">
        <v>19907</v>
      </c>
      <c r="K6046" s="80" t="s">
        <v>3152</v>
      </c>
      <c r="L6046" s="30">
        <v>868717780</v>
      </c>
      <c r="M6046" s="80" t="s">
        <v>18749</v>
      </c>
      <c r="N6046" s="80" t="s">
        <v>6144</v>
      </c>
      <c r="O6046" s="80" t="s">
        <v>4503</v>
      </c>
      <c r="P6046" s="144" t="s">
        <v>19908</v>
      </c>
      <c r="Q6046" s="20">
        <v>3968</v>
      </c>
      <c r="R6046" s="80" t="s">
        <v>36</v>
      </c>
      <c r="S6046" s="95">
        <v>3968</v>
      </c>
      <c r="T6046" s="148">
        <v>45681</v>
      </c>
      <c r="U6046" s="77"/>
      <c r="V6046" s="144" t="s">
        <v>14402</v>
      </c>
      <c r="W6046" s="85" t="s">
        <v>19909</v>
      </c>
      <c r="X6046" s="80"/>
      <c r="Y6046" s="22">
        <v>0</v>
      </c>
      <c r="Z6046" s="80" t="s">
        <v>50</v>
      </c>
      <c r="AA6046" s="86" t="s">
        <v>18583</v>
      </c>
      <c r="AB6046" s="80"/>
      <c r="AC6046" s="80" t="s">
        <v>53</v>
      </c>
      <c r="AD6046" s="80" t="s">
        <v>54</v>
      </c>
      <c r="AE6046" s="80"/>
      <c r="AF6046" s="17">
        <v>45799</v>
      </c>
      <c r="AG6046" s="80"/>
      <c r="AH6046" s="80"/>
      <c r="AI6046" s="147"/>
      <c r="AJ6046" s="80"/>
      <c r="AK6046" s="80"/>
      <c r="AL6046" s="35"/>
      <c r="AM6046" s="35"/>
      <c r="AN6046" s="35"/>
      <c r="AO6046" s="35"/>
      <c r="AP6046" s="35"/>
    </row>
    <row r="6047" spans="1:42" x14ac:dyDescent="0.2">
      <c r="A6047" s="126">
        <v>45690.866110173607</v>
      </c>
      <c r="B6047" s="137" t="s">
        <v>37</v>
      </c>
      <c r="C6047" s="41" t="s">
        <v>118</v>
      </c>
      <c r="D6047" s="80" t="s">
        <v>77</v>
      </c>
      <c r="E6047" s="80" t="s">
        <v>219</v>
      </c>
      <c r="F6047" s="80" t="s">
        <v>10246</v>
      </c>
      <c r="G6047" s="80" t="s">
        <v>221</v>
      </c>
      <c r="H6047" s="80" t="s">
        <v>19910</v>
      </c>
      <c r="I6047" s="17" t="str">
        <f ca="1">IFERROR(__xludf.DUMMYFUNCTION("""COMPUTED_VALUE""")," ")</f>
        <v xml:space="preserve"> </v>
      </c>
      <c r="J6047" s="143" t="s">
        <v>18012</v>
      </c>
      <c r="K6047" s="145" t="s">
        <v>19911</v>
      </c>
      <c r="L6047" s="30">
        <v>941946272</v>
      </c>
      <c r="M6047" s="80" t="s">
        <v>5558</v>
      </c>
      <c r="N6047" s="80" t="s">
        <v>850</v>
      </c>
      <c r="O6047" s="80" t="s">
        <v>4503</v>
      </c>
      <c r="P6047" s="144" t="s">
        <v>19912</v>
      </c>
      <c r="Q6047" s="20">
        <v>3968</v>
      </c>
      <c r="R6047" s="80" t="s">
        <v>36</v>
      </c>
      <c r="S6047" s="95">
        <v>3868</v>
      </c>
      <c r="T6047" s="148">
        <v>45688</v>
      </c>
      <c r="U6047" s="77"/>
      <c r="V6047" s="78"/>
      <c r="W6047" s="85" t="s">
        <v>19913</v>
      </c>
      <c r="X6047" s="80"/>
      <c r="Y6047" s="22">
        <v>100</v>
      </c>
      <c r="Z6047" s="80" t="s">
        <v>50</v>
      </c>
      <c r="AA6047" s="82" t="s">
        <v>18583</v>
      </c>
      <c r="AB6047" s="80"/>
      <c r="AC6047" s="80" t="s">
        <v>53</v>
      </c>
      <c r="AD6047" s="80" t="s">
        <v>54</v>
      </c>
      <c r="AE6047" s="80"/>
      <c r="AF6047" s="17">
        <v>45909</v>
      </c>
      <c r="AG6047" s="80"/>
      <c r="AH6047" s="80"/>
      <c r="AI6047" s="147"/>
      <c r="AJ6047" s="80"/>
      <c r="AK6047" s="80"/>
      <c r="AL6047" s="35"/>
      <c r="AM6047" s="35"/>
      <c r="AN6047" s="35"/>
      <c r="AO6047" s="35"/>
      <c r="AP6047" s="35"/>
    </row>
    <row r="6048" spans="1:42" x14ac:dyDescent="0.2">
      <c r="A6048" s="126">
        <v>45690.936622627312</v>
      </c>
      <c r="B6048" s="137" t="s">
        <v>37</v>
      </c>
      <c r="C6048" s="41" t="s">
        <v>118</v>
      </c>
      <c r="D6048" s="80" t="s">
        <v>77</v>
      </c>
      <c r="E6048" s="80" t="s">
        <v>148</v>
      </c>
      <c r="F6048" s="80" t="s">
        <v>15290</v>
      </c>
      <c r="G6048" s="80" t="s">
        <v>108</v>
      </c>
      <c r="H6048" s="80" t="s">
        <v>10297</v>
      </c>
      <c r="I6048" s="17">
        <f ca="1">IFERROR(__xludf.DUMMYFUNCTION("""COMPUTED_VALUE"""),45727)</f>
        <v>45727</v>
      </c>
      <c r="J6048" s="143" t="s">
        <v>17874</v>
      </c>
      <c r="K6048" s="80" t="s">
        <v>17875</v>
      </c>
      <c r="L6048" s="30">
        <v>335608226</v>
      </c>
      <c r="M6048" s="80" t="s">
        <v>17759</v>
      </c>
      <c r="N6048" s="80" t="s">
        <v>2756</v>
      </c>
      <c r="O6048" s="80" t="s">
        <v>4503</v>
      </c>
      <c r="P6048" s="80" t="s">
        <v>17877</v>
      </c>
      <c r="Q6048" s="20">
        <v>7349</v>
      </c>
      <c r="R6048" s="80" t="s">
        <v>36</v>
      </c>
      <c r="S6048" s="95">
        <v>6849</v>
      </c>
      <c r="T6048" s="148">
        <v>45686</v>
      </c>
      <c r="U6048" s="77"/>
      <c r="V6048" s="78"/>
      <c r="W6048" s="85" t="s">
        <v>19914</v>
      </c>
      <c r="X6048" s="80"/>
      <c r="Y6048" s="22">
        <v>500</v>
      </c>
      <c r="Z6048" s="80" t="s">
        <v>50</v>
      </c>
      <c r="AA6048" s="86" t="s">
        <v>18583</v>
      </c>
      <c r="AB6048" s="80"/>
      <c r="AC6048" s="80" t="s">
        <v>53</v>
      </c>
      <c r="AD6048" s="80" t="s">
        <v>54</v>
      </c>
      <c r="AE6048" s="80"/>
      <c r="AF6048" s="17">
        <v>45712</v>
      </c>
      <c r="AG6048" s="80"/>
      <c r="AH6048" s="80"/>
      <c r="AI6048" s="147"/>
      <c r="AJ6048" s="80"/>
      <c r="AK6048" s="80"/>
      <c r="AL6048" s="35"/>
      <c r="AM6048" s="35"/>
      <c r="AN6048" s="35"/>
      <c r="AO6048" s="35"/>
      <c r="AP6048" s="35"/>
    </row>
    <row r="6049" spans="1:42" x14ac:dyDescent="0.2">
      <c r="A6049" s="126">
        <v>45690.965616608795</v>
      </c>
      <c r="B6049" s="137" t="s">
        <v>37</v>
      </c>
      <c r="C6049" s="41" t="s">
        <v>118</v>
      </c>
      <c r="D6049" s="80" t="s">
        <v>36</v>
      </c>
      <c r="E6049" s="80" t="s">
        <v>119</v>
      </c>
      <c r="F6049" s="80" t="s">
        <v>36</v>
      </c>
      <c r="G6049" s="80" t="s">
        <v>108</v>
      </c>
      <c r="H6049" s="80" t="s">
        <v>2945</v>
      </c>
      <c r="I6049" s="17">
        <f ca="1">IFERROR(__xludf.DUMMYFUNCTION("""COMPUTED_VALUE"""),45706)</f>
        <v>45706</v>
      </c>
      <c r="J6049" s="143" t="s">
        <v>19915</v>
      </c>
      <c r="K6049" s="80" t="s">
        <v>19916</v>
      </c>
      <c r="L6049" s="30">
        <v>378206492</v>
      </c>
      <c r="M6049" s="80" t="s">
        <v>17759</v>
      </c>
      <c r="N6049" s="80" t="s">
        <v>19917</v>
      </c>
      <c r="O6049" s="80" t="s">
        <v>8140</v>
      </c>
      <c r="P6049" s="80" t="s">
        <v>19918</v>
      </c>
      <c r="Q6049" s="20">
        <v>13968</v>
      </c>
      <c r="R6049" s="80" t="s">
        <v>36</v>
      </c>
      <c r="S6049" s="95">
        <v>12468</v>
      </c>
      <c r="T6049" s="148">
        <v>45686</v>
      </c>
      <c r="U6049" s="77"/>
      <c r="V6049" s="78"/>
      <c r="W6049" s="85" t="s">
        <v>19919</v>
      </c>
      <c r="X6049" s="80"/>
      <c r="Y6049" s="22">
        <v>1500</v>
      </c>
      <c r="Z6049" s="80" t="s">
        <v>50</v>
      </c>
      <c r="AA6049" s="82" t="s">
        <v>18583</v>
      </c>
      <c r="AB6049" s="80"/>
      <c r="AC6049" s="80" t="s">
        <v>53</v>
      </c>
      <c r="AD6049" s="80" t="s">
        <v>138</v>
      </c>
      <c r="AE6049" s="83">
        <v>530</v>
      </c>
      <c r="AF6049" s="17">
        <v>45706</v>
      </c>
      <c r="AG6049" s="80"/>
      <c r="AH6049" s="80"/>
      <c r="AI6049" s="147"/>
      <c r="AJ6049" s="80"/>
      <c r="AK6049" s="80"/>
      <c r="AL6049" s="35"/>
      <c r="AM6049" s="35"/>
      <c r="AN6049" s="35"/>
      <c r="AO6049" s="35"/>
      <c r="AP6049" s="35"/>
    </row>
    <row r="6050" spans="1:42" x14ac:dyDescent="0.2">
      <c r="A6050" s="126">
        <v>45690.971434421299</v>
      </c>
      <c r="B6050" s="137" t="s">
        <v>37</v>
      </c>
      <c r="C6050" s="41" t="s">
        <v>118</v>
      </c>
      <c r="D6050" s="80" t="s">
        <v>36</v>
      </c>
      <c r="E6050" s="80" t="s">
        <v>119</v>
      </c>
      <c r="F6050" s="80" t="s">
        <v>36</v>
      </c>
      <c r="G6050" s="80" t="s">
        <v>108</v>
      </c>
      <c r="H6050" s="80" t="s">
        <v>18568</v>
      </c>
      <c r="I6050" s="17">
        <f ca="1">IFERROR(__xludf.DUMMYFUNCTION("""COMPUTED_VALUE"""),45699)</f>
        <v>45699</v>
      </c>
      <c r="J6050" s="143" t="s">
        <v>19920</v>
      </c>
      <c r="K6050" s="80" t="s">
        <v>19921</v>
      </c>
      <c r="L6050" s="30">
        <v>986405264</v>
      </c>
      <c r="M6050" s="80" t="s">
        <v>17759</v>
      </c>
      <c r="N6050" s="80" t="s">
        <v>2756</v>
      </c>
      <c r="O6050" s="80" t="s">
        <v>8140</v>
      </c>
      <c r="P6050" s="80" t="s">
        <v>19922</v>
      </c>
      <c r="Q6050" s="20">
        <v>13968</v>
      </c>
      <c r="R6050" s="80" t="s">
        <v>36</v>
      </c>
      <c r="S6050" s="95">
        <v>12468</v>
      </c>
      <c r="T6050" s="148">
        <v>45686</v>
      </c>
      <c r="U6050" s="77"/>
      <c r="V6050" s="78"/>
      <c r="W6050" s="85" t="s">
        <v>19923</v>
      </c>
      <c r="X6050" s="80"/>
      <c r="Y6050" s="22">
        <v>1500</v>
      </c>
      <c r="Z6050" s="80" t="s">
        <v>50</v>
      </c>
      <c r="AA6050" s="86" t="s">
        <v>18583</v>
      </c>
      <c r="AB6050" s="80"/>
      <c r="AC6050" s="80" t="s">
        <v>53</v>
      </c>
      <c r="AD6050" s="80" t="s">
        <v>138</v>
      </c>
      <c r="AE6050" s="83">
        <v>440</v>
      </c>
      <c r="AF6050" s="17">
        <v>45699</v>
      </c>
      <c r="AG6050" s="80"/>
      <c r="AH6050" s="80"/>
      <c r="AI6050" s="147"/>
      <c r="AJ6050" s="80"/>
      <c r="AK6050" s="80"/>
      <c r="AL6050" s="35"/>
      <c r="AM6050" s="35"/>
      <c r="AN6050" s="35"/>
      <c r="AO6050" s="35"/>
      <c r="AP6050" s="35"/>
    </row>
    <row r="6051" spans="1:42" x14ac:dyDescent="0.2">
      <c r="A6051" s="126">
        <v>45691.363375497684</v>
      </c>
      <c r="B6051" s="137" t="s">
        <v>37</v>
      </c>
      <c r="C6051" s="41" t="s">
        <v>118</v>
      </c>
      <c r="D6051" s="80" t="s">
        <v>36</v>
      </c>
      <c r="E6051" s="80" t="s">
        <v>119</v>
      </c>
      <c r="F6051" s="80" t="s">
        <v>36</v>
      </c>
      <c r="G6051" s="80" t="s">
        <v>108</v>
      </c>
      <c r="H6051" s="80" t="s">
        <v>13773</v>
      </c>
      <c r="I6051" s="17">
        <f ca="1">IFERROR(__xludf.DUMMYFUNCTION("""COMPUTED_VALUE"""),45699)</f>
        <v>45699</v>
      </c>
      <c r="J6051" s="143" t="s">
        <v>19924</v>
      </c>
      <c r="K6051" s="80" t="s">
        <v>19925</v>
      </c>
      <c r="L6051" s="30">
        <v>865031512</v>
      </c>
      <c r="M6051" s="80" t="s">
        <v>9422</v>
      </c>
      <c r="N6051" s="80" t="s">
        <v>578</v>
      </c>
      <c r="O6051" s="80" t="s">
        <v>8827</v>
      </c>
      <c r="P6051" s="80" t="s">
        <v>19926</v>
      </c>
      <c r="Q6051" s="20">
        <v>13968</v>
      </c>
      <c r="R6051" s="80" t="s">
        <v>36</v>
      </c>
      <c r="S6051" s="95">
        <v>12468</v>
      </c>
      <c r="T6051" s="148">
        <v>45686</v>
      </c>
      <c r="U6051" s="77"/>
      <c r="V6051" s="78"/>
      <c r="W6051" s="85" t="s">
        <v>19927</v>
      </c>
      <c r="X6051" s="80"/>
      <c r="Y6051" s="22">
        <v>1500</v>
      </c>
      <c r="Z6051" s="80" t="s">
        <v>50</v>
      </c>
      <c r="AA6051" s="82" t="s">
        <v>18583</v>
      </c>
      <c r="AB6051" s="80"/>
      <c r="AC6051" s="80" t="s">
        <v>53</v>
      </c>
      <c r="AD6051" s="80" t="s">
        <v>54</v>
      </c>
      <c r="AE6051" s="83">
        <v>480</v>
      </c>
      <c r="AF6051" s="17">
        <v>45694</v>
      </c>
      <c r="AG6051" s="80"/>
      <c r="AH6051" s="80"/>
      <c r="AI6051" s="147"/>
      <c r="AJ6051" s="80"/>
      <c r="AK6051" s="80"/>
      <c r="AL6051" s="35"/>
      <c r="AM6051" s="35"/>
      <c r="AN6051" s="35"/>
      <c r="AO6051" s="35"/>
      <c r="AP6051" s="35"/>
    </row>
    <row r="6052" spans="1:42" x14ac:dyDescent="0.2">
      <c r="A6052" s="126">
        <v>45691.367448182871</v>
      </c>
      <c r="B6052" s="137" t="s">
        <v>37</v>
      </c>
      <c r="C6052" s="41" t="s">
        <v>118</v>
      </c>
      <c r="D6052" s="80" t="s">
        <v>36</v>
      </c>
      <c r="E6052" s="80" t="s">
        <v>56</v>
      </c>
      <c r="F6052" s="80" t="s">
        <v>40</v>
      </c>
      <c r="G6052" s="80" t="s">
        <v>41</v>
      </c>
      <c r="H6052" s="80" t="s">
        <v>16519</v>
      </c>
      <c r="I6052" s="17">
        <f ca="1">IFERROR(__xludf.DUMMYFUNCTION("""COMPUTED_VALUE"""),45707)</f>
        <v>45707</v>
      </c>
      <c r="J6052" s="143" t="s">
        <v>19928</v>
      </c>
      <c r="K6052" s="80" t="s">
        <v>19929</v>
      </c>
      <c r="L6052" s="30">
        <v>373773735</v>
      </c>
      <c r="M6052" s="80" t="s">
        <v>3288</v>
      </c>
      <c r="N6052" s="80" t="s">
        <v>200</v>
      </c>
      <c r="O6052" s="80" t="s">
        <v>91</v>
      </c>
      <c r="P6052" s="80" t="s">
        <v>3117</v>
      </c>
      <c r="Q6052" s="20">
        <v>9317</v>
      </c>
      <c r="R6052" s="80" t="s">
        <v>36</v>
      </c>
      <c r="S6052" s="95">
        <v>8317</v>
      </c>
      <c r="T6052" s="148" t="s">
        <v>19930</v>
      </c>
      <c r="U6052" s="77"/>
      <c r="V6052" s="78"/>
      <c r="W6052" s="85" t="s">
        <v>19931</v>
      </c>
      <c r="X6052" s="80"/>
      <c r="Y6052" s="22">
        <v>1000</v>
      </c>
      <c r="Z6052" s="80" t="s">
        <v>50</v>
      </c>
      <c r="AA6052" s="86" t="s">
        <v>18583</v>
      </c>
      <c r="AB6052" s="80"/>
      <c r="AC6052" s="80" t="s">
        <v>53</v>
      </c>
      <c r="AD6052" s="80" t="s">
        <v>138</v>
      </c>
      <c r="AE6052" s="83">
        <v>340</v>
      </c>
      <c r="AF6052" s="17">
        <v>45707</v>
      </c>
      <c r="AG6052" s="80"/>
      <c r="AH6052" s="80"/>
      <c r="AI6052" s="147"/>
      <c r="AJ6052" s="80"/>
      <c r="AK6052" s="80"/>
      <c r="AL6052" s="35"/>
      <c r="AM6052" s="35"/>
      <c r="AN6052" s="35"/>
      <c r="AO6052" s="35"/>
      <c r="AP6052" s="35"/>
    </row>
    <row r="6053" spans="1:42" x14ac:dyDescent="0.2">
      <c r="A6053" s="126">
        <v>45691.372075162042</v>
      </c>
      <c r="B6053" s="137" t="s">
        <v>37</v>
      </c>
      <c r="C6053" s="41" t="s">
        <v>118</v>
      </c>
      <c r="D6053" s="80" t="s">
        <v>36</v>
      </c>
      <c r="E6053" s="80" t="s">
        <v>56</v>
      </c>
      <c r="F6053" s="80" t="s">
        <v>40</v>
      </c>
      <c r="G6053" s="80" t="s">
        <v>41</v>
      </c>
      <c r="H6053" s="80" t="s">
        <v>16525</v>
      </c>
      <c r="I6053" s="17">
        <f ca="1">IFERROR(__xludf.DUMMYFUNCTION("""COMPUTED_VALUE"""),45708)</f>
        <v>45708</v>
      </c>
      <c r="J6053" s="143" t="s">
        <v>19932</v>
      </c>
      <c r="K6053" s="80" t="s">
        <v>19933</v>
      </c>
      <c r="L6053" s="30">
        <v>927024581</v>
      </c>
      <c r="M6053" s="80" t="s">
        <v>3288</v>
      </c>
      <c r="N6053" s="80" t="s">
        <v>200</v>
      </c>
      <c r="O6053" s="80" t="s">
        <v>91</v>
      </c>
      <c r="P6053" s="80" t="s">
        <v>3117</v>
      </c>
      <c r="Q6053" s="20">
        <v>9317</v>
      </c>
      <c r="R6053" s="80" t="s">
        <v>36</v>
      </c>
      <c r="S6053" s="95">
        <v>8317</v>
      </c>
      <c r="T6053" s="148">
        <v>45686</v>
      </c>
      <c r="U6053" s="77"/>
      <c r="V6053" s="78"/>
      <c r="W6053" s="85" t="s">
        <v>19934</v>
      </c>
      <c r="X6053" s="80"/>
      <c r="Y6053" s="22">
        <v>1000</v>
      </c>
      <c r="Z6053" s="80" t="s">
        <v>50</v>
      </c>
      <c r="AA6053" s="82" t="s">
        <v>18583</v>
      </c>
      <c r="AB6053" s="80"/>
      <c r="AC6053" s="80" t="s">
        <v>53</v>
      </c>
      <c r="AD6053" s="80" t="s">
        <v>138</v>
      </c>
      <c r="AE6053" s="80"/>
      <c r="AF6053" s="17">
        <v>45708</v>
      </c>
      <c r="AG6053" s="80"/>
      <c r="AH6053" s="80"/>
      <c r="AI6053" s="147"/>
      <c r="AJ6053" s="80"/>
      <c r="AK6053" s="80"/>
      <c r="AL6053" s="35"/>
      <c r="AM6053" s="35"/>
      <c r="AN6053" s="35"/>
      <c r="AO6053" s="35"/>
      <c r="AP6053" s="35"/>
    </row>
    <row r="6054" spans="1:42" x14ac:dyDescent="0.2">
      <c r="A6054" s="126">
        <v>45691.376946562501</v>
      </c>
      <c r="B6054" s="137" t="s">
        <v>37</v>
      </c>
      <c r="C6054" s="41" t="s">
        <v>118</v>
      </c>
      <c r="D6054" s="80" t="s">
        <v>36</v>
      </c>
      <c r="E6054" s="80" t="s">
        <v>56</v>
      </c>
      <c r="F6054" s="80" t="s">
        <v>40</v>
      </c>
      <c r="G6054" s="80" t="s">
        <v>41</v>
      </c>
      <c r="H6054" s="80" t="s">
        <v>19366</v>
      </c>
      <c r="I6054" s="17">
        <f ca="1">IFERROR(__xludf.DUMMYFUNCTION("""COMPUTED_VALUE"""),45712)</f>
        <v>45712</v>
      </c>
      <c r="J6054" s="143" t="s">
        <v>19935</v>
      </c>
      <c r="K6054" s="80" t="s">
        <v>19936</v>
      </c>
      <c r="L6054" s="30">
        <v>962029202</v>
      </c>
      <c r="M6054" s="80" t="s">
        <v>3288</v>
      </c>
      <c r="N6054" s="80" t="s">
        <v>200</v>
      </c>
      <c r="O6054" s="80" t="s">
        <v>91</v>
      </c>
      <c r="P6054" s="80" t="s">
        <v>3117</v>
      </c>
      <c r="Q6054" s="20">
        <v>9317</v>
      </c>
      <c r="R6054" s="80" t="s">
        <v>36</v>
      </c>
      <c r="S6054" s="95">
        <v>8317</v>
      </c>
      <c r="T6054" s="148">
        <v>45686</v>
      </c>
      <c r="U6054" s="77"/>
      <c r="V6054" s="78"/>
      <c r="W6054" s="85" t="s">
        <v>19937</v>
      </c>
      <c r="X6054" s="80"/>
      <c r="Y6054" s="22">
        <v>1000</v>
      </c>
      <c r="Z6054" s="80" t="s">
        <v>50</v>
      </c>
      <c r="AA6054" s="86" t="s">
        <v>18583</v>
      </c>
      <c r="AB6054" s="80"/>
      <c r="AC6054" s="80" t="s">
        <v>53</v>
      </c>
      <c r="AD6054" s="80" t="s">
        <v>138</v>
      </c>
      <c r="AE6054" s="80"/>
      <c r="AF6054" s="17">
        <v>45712</v>
      </c>
      <c r="AG6054" s="80"/>
      <c r="AH6054" s="80"/>
      <c r="AI6054" s="147"/>
      <c r="AJ6054" s="80"/>
      <c r="AK6054" s="80"/>
      <c r="AL6054" s="35"/>
      <c r="AM6054" s="35"/>
      <c r="AN6054" s="35"/>
      <c r="AO6054" s="35"/>
      <c r="AP6054" s="35"/>
    </row>
    <row r="6055" spans="1:42" x14ac:dyDescent="0.2">
      <c r="A6055" s="126">
        <v>45691.410512581017</v>
      </c>
      <c r="B6055" s="137" t="s">
        <v>37</v>
      </c>
      <c r="C6055" s="41" t="s">
        <v>118</v>
      </c>
      <c r="D6055" s="80" t="s">
        <v>36</v>
      </c>
      <c r="E6055" s="80" t="s">
        <v>139</v>
      </c>
      <c r="F6055" s="80" t="s">
        <v>40</v>
      </c>
      <c r="G6055" s="80" t="s">
        <v>41</v>
      </c>
      <c r="H6055" s="80" t="s">
        <v>19366</v>
      </c>
      <c r="I6055" s="17">
        <f ca="1">IFERROR(__xludf.DUMMYFUNCTION("""COMPUTED_VALUE"""),45712)</f>
        <v>45712</v>
      </c>
      <c r="J6055" s="143" t="s">
        <v>19938</v>
      </c>
      <c r="K6055" s="80" t="s">
        <v>19939</v>
      </c>
      <c r="L6055" s="30">
        <v>966316388</v>
      </c>
      <c r="M6055" s="80" t="s">
        <v>15996</v>
      </c>
      <c r="N6055" s="80" t="s">
        <v>19940</v>
      </c>
      <c r="O6055" s="80" t="s">
        <v>4503</v>
      </c>
      <c r="P6055" s="80" t="s">
        <v>3056</v>
      </c>
      <c r="Q6055" s="20">
        <v>15936</v>
      </c>
      <c r="R6055" s="80" t="s">
        <v>36</v>
      </c>
      <c r="S6055" s="95">
        <v>14436</v>
      </c>
      <c r="T6055" s="148">
        <v>45686</v>
      </c>
      <c r="U6055" s="77"/>
      <c r="V6055" s="78"/>
      <c r="W6055" s="85" t="s">
        <v>19941</v>
      </c>
      <c r="X6055" s="80"/>
      <c r="Y6055" s="22">
        <v>1500</v>
      </c>
      <c r="Z6055" s="80" t="s">
        <v>50</v>
      </c>
      <c r="AA6055" s="82" t="s">
        <v>18583</v>
      </c>
      <c r="AB6055" s="80"/>
      <c r="AC6055" s="80" t="s">
        <v>53</v>
      </c>
      <c r="AD6055" s="80" t="s">
        <v>138</v>
      </c>
      <c r="AE6055" s="80"/>
      <c r="AF6055" s="17">
        <v>45712</v>
      </c>
      <c r="AG6055" s="80"/>
      <c r="AH6055" s="80"/>
      <c r="AI6055" s="147"/>
      <c r="AJ6055" s="80"/>
      <c r="AK6055" s="80"/>
      <c r="AL6055" s="35"/>
      <c r="AM6055" s="35"/>
      <c r="AN6055" s="35"/>
      <c r="AO6055" s="35"/>
      <c r="AP6055" s="35"/>
    </row>
    <row r="6056" spans="1:42" x14ac:dyDescent="0.2">
      <c r="A6056" s="126">
        <v>45691.415345532412</v>
      </c>
      <c r="B6056" s="137" t="s">
        <v>37</v>
      </c>
      <c r="C6056" s="41" t="s">
        <v>118</v>
      </c>
      <c r="D6056" s="80" t="s">
        <v>36</v>
      </c>
      <c r="E6056" s="80" t="s">
        <v>119</v>
      </c>
      <c r="F6056" s="80" t="s">
        <v>36</v>
      </c>
      <c r="G6056" s="80" t="s">
        <v>108</v>
      </c>
      <c r="H6056" s="80" t="s">
        <v>16849</v>
      </c>
      <c r="I6056" s="17">
        <f ca="1">IFERROR(__xludf.DUMMYFUNCTION("""COMPUTED_VALUE"""),45705)</f>
        <v>45705</v>
      </c>
      <c r="J6056" s="143" t="s">
        <v>19942</v>
      </c>
      <c r="K6056" s="80" t="s">
        <v>19943</v>
      </c>
      <c r="L6056" s="30">
        <v>862016605</v>
      </c>
      <c r="M6056" s="80" t="s">
        <v>15996</v>
      </c>
      <c r="N6056" s="80" t="s">
        <v>186</v>
      </c>
      <c r="O6056" s="80" t="s">
        <v>4503</v>
      </c>
      <c r="P6056" s="80" t="s">
        <v>3056</v>
      </c>
      <c r="Q6056" s="20">
        <v>13968</v>
      </c>
      <c r="R6056" s="80" t="s">
        <v>36</v>
      </c>
      <c r="S6056" s="95">
        <v>12468</v>
      </c>
      <c r="T6056" s="148">
        <v>45686</v>
      </c>
      <c r="U6056" s="77"/>
      <c r="V6056" s="78"/>
      <c r="W6056" s="85" t="s">
        <v>19944</v>
      </c>
      <c r="X6056" s="80"/>
      <c r="Y6056" s="22">
        <v>1500</v>
      </c>
      <c r="Z6056" s="80" t="s">
        <v>50</v>
      </c>
      <c r="AA6056" s="86" t="s">
        <v>18583</v>
      </c>
      <c r="AB6056" s="80"/>
      <c r="AC6056" s="80" t="s">
        <v>53</v>
      </c>
      <c r="AD6056" s="80" t="s">
        <v>138</v>
      </c>
      <c r="AE6056" s="80"/>
      <c r="AF6056" s="17">
        <v>45705</v>
      </c>
      <c r="AG6056" s="80"/>
      <c r="AH6056" s="80"/>
      <c r="AI6056" s="147"/>
      <c r="AJ6056" s="80"/>
      <c r="AK6056" s="80"/>
      <c r="AL6056" s="35"/>
      <c r="AM6056" s="35"/>
      <c r="AN6056" s="35"/>
      <c r="AO6056" s="35"/>
      <c r="AP6056" s="35"/>
    </row>
    <row r="6057" spans="1:42" x14ac:dyDescent="0.2">
      <c r="A6057" s="126">
        <v>45691.417259236114</v>
      </c>
      <c r="B6057" s="137" t="s">
        <v>37</v>
      </c>
      <c r="C6057" s="41" t="s">
        <v>118</v>
      </c>
      <c r="D6057" s="80" t="s">
        <v>36</v>
      </c>
      <c r="E6057" s="80" t="s">
        <v>139</v>
      </c>
      <c r="F6057" s="80" t="s">
        <v>40</v>
      </c>
      <c r="G6057" s="80" t="s">
        <v>41</v>
      </c>
      <c r="H6057" s="80" t="s">
        <v>19830</v>
      </c>
      <c r="I6057" s="17">
        <f ca="1">IFERROR(__xludf.DUMMYFUNCTION("""COMPUTED_VALUE"""),45698)</f>
        <v>45698</v>
      </c>
      <c r="J6057" s="143" t="s">
        <v>19945</v>
      </c>
      <c r="K6057" s="80" t="s">
        <v>19946</v>
      </c>
      <c r="L6057" s="30">
        <v>703200486</v>
      </c>
      <c r="M6057" s="80" t="s">
        <v>15996</v>
      </c>
      <c r="N6057" s="80" t="s">
        <v>186</v>
      </c>
      <c r="O6057" s="80" t="s">
        <v>4503</v>
      </c>
      <c r="P6057" s="80" t="s">
        <v>19947</v>
      </c>
      <c r="Q6057" s="20">
        <v>15936</v>
      </c>
      <c r="R6057" s="80" t="s">
        <v>36</v>
      </c>
      <c r="S6057" s="95">
        <v>14436</v>
      </c>
      <c r="T6057" s="148">
        <v>45686</v>
      </c>
      <c r="U6057" s="77"/>
      <c r="V6057" s="78"/>
      <c r="W6057" s="85" t="s">
        <v>19948</v>
      </c>
      <c r="X6057" s="80"/>
      <c r="Y6057" s="22">
        <v>1500</v>
      </c>
      <c r="Z6057" s="80" t="s">
        <v>50</v>
      </c>
      <c r="AA6057" s="82" t="s">
        <v>18583</v>
      </c>
      <c r="AB6057" s="80"/>
      <c r="AC6057" s="80" t="s">
        <v>53</v>
      </c>
      <c r="AD6057" s="80" t="s">
        <v>54</v>
      </c>
      <c r="AE6057" s="80"/>
      <c r="AF6057" s="17">
        <v>45693</v>
      </c>
      <c r="AG6057" s="80"/>
      <c r="AH6057" s="80"/>
      <c r="AI6057" s="147"/>
      <c r="AJ6057" s="80"/>
      <c r="AK6057" s="80"/>
      <c r="AL6057" s="35"/>
      <c r="AM6057" s="35"/>
      <c r="AN6057" s="35"/>
      <c r="AO6057" s="35"/>
      <c r="AP6057" s="35"/>
    </row>
    <row r="6058" spans="1:42" x14ac:dyDescent="0.2">
      <c r="A6058" s="126">
        <v>45691.419335208338</v>
      </c>
      <c r="B6058" s="137" t="s">
        <v>37</v>
      </c>
      <c r="C6058" s="41" t="s">
        <v>118</v>
      </c>
      <c r="D6058" s="80" t="s">
        <v>36</v>
      </c>
      <c r="E6058" s="80" t="s">
        <v>56</v>
      </c>
      <c r="F6058" s="80" t="s">
        <v>40</v>
      </c>
      <c r="G6058" s="80" t="s">
        <v>41</v>
      </c>
      <c r="H6058" s="80" t="s">
        <v>16525</v>
      </c>
      <c r="I6058" s="17">
        <f ca="1">IFERROR(__xludf.DUMMYFUNCTION("""COMPUTED_VALUE"""),45708)</f>
        <v>45708</v>
      </c>
      <c r="J6058" s="143" t="s">
        <v>19949</v>
      </c>
      <c r="K6058" s="80" t="s">
        <v>19950</v>
      </c>
      <c r="L6058" s="30">
        <v>958033797</v>
      </c>
      <c r="M6058" s="80" t="s">
        <v>3288</v>
      </c>
      <c r="N6058" s="80" t="s">
        <v>200</v>
      </c>
      <c r="O6058" s="80" t="s">
        <v>91</v>
      </c>
      <c r="P6058" s="80" t="s">
        <v>3117</v>
      </c>
      <c r="Q6058" s="20">
        <v>9317</v>
      </c>
      <c r="R6058" s="80" t="s">
        <v>36</v>
      </c>
      <c r="S6058" s="95">
        <v>8317</v>
      </c>
      <c r="T6058" s="148">
        <v>45686</v>
      </c>
      <c r="U6058" s="77"/>
      <c r="V6058" s="78"/>
      <c r="W6058" s="85" t="s">
        <v>19951</v>
      </c>
      <c r="X6058" s="80"/>
      <c r="Y6058" s="22">
        <v>1000</v>
      </c>
      <c r="Z6058" s="80" t="s">
        <v>50</v>
      </c>
      <c r="AA6058" s="86" t="s">
        <v>18583</v>
      </c>
      <c r="AB6058" s="80"/>
      <c r="AC6058" s="80" t="s">
        <v>53</v>
      </c>
      <c r="AD6058" s="80" t="s">
        <v>138</v>
      </c>
      <c r="AE6058" s="80"/>
      <c r="AF6058" s="17">
        <v>45708</v>
      </c>
      <c r="AG6058" s="80"/>
      <c r="AH6058" s="80"/>
      <c r="AI6058" s="147"/>
      <c r="AJ6058" s="80"/>
      <c r="AK6058" s="80"/>
      <c r="AL6058" s="35"/>
      <c r="AM6058" s="35"/>
      <c r="AN6058" s="35"/>
      <c r="AO6058" s="35"/>
      <c r="AP6058" s="35"/>
    </row>
    <row r="6059" spans="1:42" x14ac:dyDescent="0.2">
      <c r="A6059" s="126">
        <v>45691.425206377316</v>
      </c>
      <c r="B6059" s="137" t="s">
        <v>37</v>
      </c>
      <c r="C6059" s="41" t="s">
        <v>118</v>
      </c>
      <c r="D6059" s="80" t="s">
        <v>36</v>
      </c>
      <c r="E6059" s="80" t="s">
        <v>915</v>
      </c>
      <c r="F6059" s="80" t="s">
        <v>36</v>
      </c>
      <c r="G6059" s="80" t="s">
        <v>221</v>
      </c>
      <c r="H6059" s="80" t="s">
        <v>18555</v>
      </c>
      <c r="I6059" s="17">
        <f ca="1">IFERROR(__xludf.DUMMYFUNCTION("""COMPUTED_VALUE"""),45698)</f>
        <v>45698</v>
      </c>
      <c r="J6059" s="143" t="s">
        <v>19952</v>
      </c>
      <c r="K6059" s="80" t="s">
        <v>16859</v>
      </c>
      <c r="L6059" s="30">
        <v>963017806</v>
      </c>
      <c r="M6059" s="80" t="s">
        <v>3288</v>
      </c>
      <c r="N6059" s="80" t="s">
        <v>200</v>
      </c>
      <c r="O6059" s="80" t="s">
        <v>91</v>
      </c>
      <c r="P6059" s="80" t="s">
        <v>19953</v>
      </c>
      <c r="Q6059" s="20">
        <v>10894</v>
      </c>
      <c r="R6059" s="80" t="s">
        <v>36</v>
      </c>
      <c r="S6059" s="95">
        <f>1000+9894</f>
        <v>10894</v>
      </c>
      <c r="T6059" s="83" t="s">
        <v>19954</v>
      </c>
      <c r="U6059" s="95"/>
      <c r="V6059" s="148"/>
      <c r="W6059" s="80" t="s">
        <v>19955</v>
      </c>
      <c r="X6059" s="80"/>
      <c r="Y6059" s="22">
        <v>0</v>
      </c>
      <c r="Z6059" s="80" t="s">
        <v>50</v>
      </c>
      <c r="AA6059" s="82" t="s">
        <v>18583</v>
      </c>
      <c r="AB6059" s="80"/>
      <c r="AC6059" s="80" t="s">
        <v>53</v>
      </c>
      <c r="AD6059" s="80" t="s">
        <v>54</v>
      </c>
      <c r="AE6059" s="83">
        <v>650</v>
      </c>
      <c r="AF6059" s="17">
        <v>45693</v>
      </c>
      <c r="AG6059" s="80"/>
      <c r="AH6059" s="80"/>
      <c r="AI6059" s="147"/>
      <c r="AJ6059" s="80"/>
      <c r="AK6059" s="80"/>
      <c r="AL6059" s="35"/>
      <c r="AM6059" s="35"/>
      <c r="AN6059" s="35"/>
      <c r="AO6059" s="35"/>
      <c r="AP6059" s="35"/>
    </row>
    <row r="6060" spans="1:42" x14ac:dyDescent="0.2">
      <c r="A6060" s="126">
        <v>45691.437401388888</v>
      </c>
      <c r="B6060" s="137" t="s">
        <v>37</v>
      </c>
      <c r="C6060" s="41" t="s">
        <v>118</v>
      </c>
      <c r="D6060" s="80" t="s">
        <v>36</v>
      </c>
      <c r="E6060" s="80" t="s">
        <v>219</v>
      </c>
      <c r="F6060" s="80" t="s">
        <v>9825</v>
      </c>
      <c r="G6060" s="80" t="s">
        <v>221</v>
      </c>
      <c r="H6060" s="80" t="s">
        <v>18322</v>
      </c>
      <c r="I6060" s="17">
        <f ca="1">IFERROR(__xludf.DUMMYFUNCTION("""COMPUTED_VALUE"""),45699)</f>
        <v>45699</v>
      </c>
      <c r="J6060" s="143" t="s">
        <v>19956</v>
      </c>
      <c r="K6060" s="80" t="s">
        <v>19957</v>
      </c>
      <c r="L6060" s="30">
        <v>396381590</v>
      </c>
      <c r="M6060" s="80" t="s">
        <v>3288</v>
      </c>
      <c r="N6060" s="80" t="s">
        <v>200</v>
      </c>
      <c r="O6060" s="80" t="s">
        <v>91</v>
      </c>
      <c r="P6060" s="80" t="s">
        <v>3117</v>
      </c>
      <c r="Q6060" s="20">
        <v>3968</v>
      </c>
      <c r="R6060" s="80" t="s">
        <v>36</v>
      </c>
      <c r="S6060" s="95">
        <f>2968+1000</f>
        <v>3968</v>
      </c>
      <c r="T6060" s="83" t="s">
        <v>19958</v>
      </c>
      <c r="U6060" s="95"/>
      <c r="V6060" s="148"/>
      <c r="W6060" s="80" t="s">
        <v>19959</v>
      </c>
      <c r="X6060" s="80"/>
      <c r="Y6060" s="22">
        <v>0</v>
      </c>
      <c r="Z6060" s="80" t="s">
        <v>50</v>
      </c>
      <c r="AA6060" s="86" t="s">
        <v>18583</v>
      </c>
      <c r="AB6060" s="80"/>
      <c r="AC6060" s="80" t="s">
        <v>53</v>
      </c>
      <c r="AD6060" s="80" t="s">
        <v>138</v>
      </c>
      <c r="AE6060" s="80" t="s">
        <v>19960</v>
      </c>
      <c r="AF6060" s="17">
        <v>45699</v>
      </c>
      <c r="AG6060" s="80"/>
      <c r="AH6060" s="80"/>
      <c r="AI6060" s="147"/>
      <c r="AJ6060" s="80"/>
      <c r="AK6060" s="80"/>
      <c r="AL6060" s="35"/>
      <c r="AM6060" s="35"/>
      <c r="AN6060" s="35"/>
      <c r="AO6060" s="35"/>
      <c r="AP6060" s="35"/>
    </row>
    <row r="6061" spans="1:42" x14ac:dyDescent="0.2">
      <c r="A6061" s="126">
        <v>45691.448142870373</v>
      </c>
      <c r="B6061" s="137" t="s">
        <v>37</v>
      </c>
      <c r="C6061" s="41" t="s">
        <v>118</v>
      </c>
      <c r="D6061" s="80" t="s">
        <v>36</v>
      </c>
      <c r="E6061" s="80" t="s">
        <v>148</v>
      </c>
      <c r="F6061" s="80" t="s">
        <v>36</v>
      </c>
      <c r="G6061" s="80" t="s">
        <v>108</v>
      </c>
      <c r="H6061" s="80" t="s">
        <v>14471</v>
      </c>
      <c r="I6061" s="17">
        <f ca="1">IFERROR(__xludf.DUMMYFUNCTION("""COMPUTED_VALUE"""),45701)</f>
        <v>45701</v>
      </c>
      <c r="J6061" s="143" t="s">
        <v>13376</v>
      </c>
      <c r="K6061" s="80" t="s">
        <v>19961</v>
      </c>
      <c r="L6061" s="30">
        <v>397274071</v>
      </c>
      <c r="M6061" s="80" t="s">
        <v>3288</v>
      </c>
      <c r="N6061" s="80" t="s">
        <v>200</v>
      </c>
      <c r="O6061" s="80" t="s">
        <v>91</v>
      </c>
      <c r="P6061" s="80" t="s">
        <v>13379</v>
      </c>
      <c r="Q6061" s="20">
        <v>7349</v>
      </c>
      <c r="R6061" s="80" t="s">
        <v>36</v>
      </c>
      <c r="S6061" s="95">
        <v>6849</v>
      </c>
      <c r="T6061" s="148">
        <v>45686</v>
      </c>
      <c r="U6061" s="77"/>
      <c r="V6061" s="78"/>
      <c r="W6061" s="85" t="s">
        <v>19962</v>
      </c>
      <c r="X6061" s="80"/>
      <c r="Y6061" s="22">
        <v>500</v>
      </c>
      <c r="Z6061" s="80" t="s">
        <v>50</v>
      </c>
      <c r="AA6061" s="82" t="s">
        <v>18583</v>
      </c>
      <c r="AB6061" s="80"/>
      <c r="AC6061" s="80" t="s">
        <v>53</v>
      </c>
      <c r="AD6061" s="80" t="s">
        <v>54</v>
      </c>
      <c r="AE6061" s="80" t="s">
        <v>19963</v>
      </c>
      <c r="AF6061" s="17">
        <v>45695</v>
      </c>
      <c r="AG6061" s="80"/>
      <c r="AH6061" s="80"/>
      <c r="AI6061" s="147"/>
      <c r="AJ6061" s="80"/>
      <c r="AK6061" s="80"/>
      <c r="AL6061" s="35"/>
      <c r="AM6061" s="35"/>
      <c r="AN6061" s="35"/>
      <c r="AO6061" s="35"/>
      <c r="AP6061" s="35"/>
    </row>
    <row r="6062" spans="1:42" x14ac:dyDescent="0.2">
      <c r="A6062" s="126">
        <v>45691.471270312497</v>
      </c>
      <c r="B6062" s="137" t="s">
        <v>37</v>
      </c>
      <c r="C6062" s="41" t="s">
        <v>118</v>
      </c>
      <c r="D6062" s="80" t="s">
        <v>36</v>
      </c>
      <c r="E6062" s="80" t="s">
        <v>39</v>
      </c>
      <c r="F6062" s="80" t="s">
        <v>40</v>
      </c>
      <c r="G6062" s="80" t="s">
        <v>41</v>
      </c>
      <c r="H6062" s="80" t="s">
        <v>19830</v>
      </c>
      <c r="I6062" s="17">
        <f ca="1">IFERROR(__xludf.DUMMYFUNCTION("""COMPUTED_VALUE"""),45698)</f>
        <v>45698</v>
      </c>
      <c r="J6062" s="143" t="s">
        <v>19964</v>
      </c>
      <c r="K6062" s="80" t="s">
        <v>19965</v>
      </c>
      <c r="L6062" s="30">
        <v>383658005</v>
      </c>
      <c r="M6062" s="80" t="s">
        <v>910</v>
      </c>
      <c r="N6062" s="80" t="s">
        <v>355</v>
      </c>
      <c r="O6062" s="80" t="s">
        <v>91</v>
      </c>
      <c r="P6062" s="80" t="s">
        <v>19966</v>
      </c>
      <c r="Q6062" s="20">
        <v>5736</v>
      </c>
      <c r="R6062" s="80" t="s">
        <v>36</v>
      </c>
      <c r="S6062" s="95">
        <v>5436</v>
      </c>
      <c r="T6062" s="148">
        <v>45686</v>
      </c>
      <c r="U6062" s="77"/>
      <c r="V6062" s="78"/>
      <c r="W6062" s="85" t="s">
        <v>19967</v>
      </c>
      <c r="X6062" s="80"/>
      <c r="Y6062" s="22">
        <v>300</v>
      </c>
      <c r="Z6062" s="80" t="s">
        <v>50</v>
      </c>
      <c r="AA6062" s="86" t="s">
        <v>18583</v>
      </c>
      <c r="AB6062" s="80"/>
      <c r="AC6062" s="80" t="s">
        <v>53</v>
      </c>
      <c r="AD6062" s="80" t="s">
        <v>54</v>
      </c>
      <c r="AE6062" s="80"/>
      <c r="AF6062" s="17">
        <v>45693</v>
      </c>
      <c r="AG6062" s="80"/>
      <c r="AH6062" s="80"/>
      <c r="AI6062" s="147"/>
      <c r="AJ6062" s="80"/>
      <c r="AK6062" s="80"/>
      <c r="AL6062" s="35"/>
      <c r="AM6062" s="35"/>
      <c r="AN6062" s="35"/>
      <c r="AO6062" s="35"/>
      <c r="AP6062" s="35"/>
    </row>
    <row r="6063" spans="1:42" x14ac:dyDescent="0.2">
      <c r="A6063" s="126">
        <v>45691.483575891209</v>
      </c>
      <c r="B6063" s="137" t="s">
        <v>37</v>
      </c>
      <c r="C6063" s="41" t="s">
        <v>118</v>
      </c>
      <c r="D6063" s="80" t="s">
        <v>36</v>
      </c>
      <c r="E6063" s="80" t="s">
        <v>77</v>
      </c>
      <c r="F6063" s="80" t="s">
        <v>40</v>
      </c>
      <c r="G6063" s="80" t="s">
        <v>41</v>
      </c>
      <c r="H6063" s="80" t="s">
        <v>16525</v>
      </c>
      <c r="I6063" s="17">
        <f ca="1">IFERROR(__xludf.DUMMYFUNCTION("""COMPUTED_VALUE"""),45708)</f>
        <v>45708</v>
      </c>
      <c r="J6063" s="143" t="s">
        <v>19968</v>
      </c>
      <c r="K6063" s="80" t="s">
        <v>19969</v>
      </c>
      <c r="L6063" s="30">
        <v>904170352</v>
      </c>
      <c r="M6063" s="80" t="s">
        <v>3288</v>
      </c>
      <c r="N6063" s="80" t="s">
        <v>200</v>
      </c>
      <c r="O6063" s="80" t="s">
        <v>91</v>
      </c>
      <c r="P6063" s="80" t="s">
        <v>3117</v>
      </c>
      <c r="Q6063" s="20">
        <v>1968</v>
      </c>
      <c r="R6063" s="80" t="s">
        <v>36</v>
      </c>
      <c r="S6063" s="95">
        <f>968+1000</f>
        <v>1968</v>
      </c>
      <c r="T6063" s="83" t="s">
        <v>19970</v>
      </c>
      <c r="U6063" s="95"/>
      <c r="V6063" s="148"/>
      <c r="W6063" s="80" t="s">
        <v>19971</v>
      </c>
      <c r="X6063" s="80"/>
      <c r="Y6063" s="22">
        <v>0</v>
      </c>
      <c r="Z6063" s="80" t="s">
        <v>50</v>
      </c>
      <c r="AA6063" s="82" t="s">
        <v>18583</v>
      </c>
      <c r="AB6063" s="80"/>
      <c r="AC6063" s="80" t="s">
        <v>53</v>
      </c>
      <c r="AD6063" s="80" t="s">
        <v>138</v>
      </c>
      <c r="AE6063" s="80"/>
      <c r="AF6063" s="17">
        <v>45708</v>
      </c>
      <c r="AG6063" s="80"/>
      <c r="AH6063" s="80"/>
      <c r="AI6063" s="147"/>
      <c r="AJ6063" s="80"/>
      <c r="AK6063" s="80"/>
      <c r="AL6063" s="35"/>
      <c r="AM6063" s="35"/>
      <c r="AN6063" s="35"/>
      <c r="AO6063" s="35"/>
      <c r="AP6063" s="35"/>
    </row>
    <row r="6064" spans="1:42" x14ac:dyDescent="0.2">
      <c r="A6064" s="126">
        <v>45691.584953912039</v>
      </c>
      <c r="B6064" s="137" t="s">
        <v>37</v>
      </c>
      <c r="C6064" s="41" t="s">
        <v>118</v>
      </c>
      <c r="D6064" s="80" t="s">
        <v>36</v>
      </c>
      <c r="E6064" s="80" t="s">
        <v>119</v>
      </c>
      <c r="F6064" s="80" t="s">
        <v>36</v>
      </c>
      <c r="G6064" s="80" t="s">
        <v>108</v>
      </c>
      <c r="H6064" s="80" t="s">
        <v>14088</v>
      </c>
      <c r="I6064" s="17">
        <f ca="1">IFERROR(__xludf.DUMMYFUNCTION("""COMPUTED_VALUE"""),45699)</f>
        <v>45699</v>
      </c>
      <c r="J6064" s="143" t="s">
        <v>19972</v>
      </c>
      <c r="K6064" s="80" t="s">
        <v>15211</v>
      </c>
      <c r="L6064" s="30">
        <v>815203005</v>
      </c>
      <c r="M6064" s="80" t="s">
        <v>348</v>
      </c>
      <c r="N6064" s="80" t="s">
        <v>200</v>
      </c>
      <c r="O6064" s="80" t="s">
        <v>91</v>
      </c>
      <c r="P6064" s="80" t="s">
        <v>3117</v>
      </c>
      <c r="Q6064" s="20">
        <v>13968</v>
      </c>
      <c r="R6064" s="80" t="s">
        <v>36</v>
      </c>
      <c r="S6064" s="95">
        <v>12468</v>
      </c>
      <c r="T6064" s="148">
        <v>45686</v>
      </c>
      <c r="U6064" s="77"/>
      <c r="V6064" s="78"/>
      <c r="W6064" s="85" t="s">
        <v>19973</v>
      </c>
      <c r="X6064" s="80"/>
      <c r="Y6064" s="22">
        <v>1500</v>
      </c>
      <c r="Z6064" s="80" t="s">
        <v>50</v>
      </c>
      <c r="AA6064" s="86" t="s">
        <v>18583</v>
      </c>
      <c r="AB6064" s="80"/>
      <c r="AC6064" s="80" t="s">
        <v>53</v>
      </c>
      <c r="AD6064" s="80" t="s">
        <v>138</v>
      </c>
      <c r="AE6064" s="83">
        <v>450</v>
      </c>
      <c r="AF6064" s="17">
        <v>45698</v>
      </c>
      <c r="AG6064" s="80"/>
      <c r="AH6064" s="80"/>
      <c r="AI6064" s="147"/>
      <c r="AJ6064" s="80"/>
      <c r="AK6064" s="80"/>
      <c r="AL6064" s="35"/>
      <c r="AM6064" s="35"/>
      <c r="AN6064" s="35"/>
      <c r="AO6064" s="35"/>
      <c r="AP6064" s="35"/>
    </row>
    <row r="6065" spans="1:42" x14ac:dyDescent="0.2">
      <c r="A6065" s="126">
        <v>45692.39671306713</v>
      </c>
      <c r="B6065" s="137" t="s">
        <v>37</v>
      </c>
      <c r="C6065" s="41" t="s">
        <v>118</v>
      </c>
      <c r="D6065" s="80" t="s">
        <v>36</v>
      </c>
      <c r="E6065" s="80" t="s">
        <v>139</v>
      </c>
      <c r="F6065" s="80" t="s">
        <v>36</v>
      </c>
      <c r="G6065" s="80" t="s">
        <v>41</v>
      </c>
      <c r="H6065" s="80" t="s">
        <v>19699</v>
      </c>
      <c r="I6065" s="17">
        <f ca="1">IFERROR(__xludf.DUMMYFUNCTION("""COMPUTED_VALUE"""),45698)</f>
        <v>45698</v>
      </c>
      <c r="J6065" s="143" t="s">
        <v>19974</v>
      </c>
      <c r="K6065" s="80" t="s">
        <v>19975</v>
      </c>
      <c r="L6065" s="30">
        <v>865030489</v>
      </c>
      <c r="M6065" s="80" t="s">
        <v>15996</v>
      </c>
      <c r="N6065" s="80" t="s">
        <v>19940</v>
      </c>
      <c r="O6065" s="80" t="s">
        <v>4503</v>
      </c>
      <c r="P6065" s="80" t="s">
        <v>19976</v>
      </c>
      <c r="Q6065" s="20">
        <v>15936</v>
      </c>
      <c r="R6065" s="80" t="s">
        <v>36</v>
      </c>
      <c r="S6065" s="95">
        <v>14436</v>
      </c>
      <c r="T6065" s="148">
        <v>45686</v>
      </c>
      <c r="U6065" s="77"/>
      <c r="V6065" s="78"/>
      <c r="W6065" s="85" t="s">
        <v>19977</v>
      </c>
      <c r="X6065" s="80"/>
      <c r="Y6065" s="22">
        <v>1500</v>
      </c>
      <c r="Z6065" s="80" t="s">
        <v>50</v>
      </c>
      <c r="AA6065" s="82" t="s">
        <v>18583</v>
      </c>
      <c r="AB6065" s="80"/>
      <c r="AC6065" s="80" t="s">
        <v>53</v>
      </c>
      <c r="AD6065" s="80" t="s">
        <v>54</v>
      </c>
      <c r="AE6065" s="80"/>
      <c r="AF6065" s="17">
        <v>45693</v>
      </c>
      <c r="AG6065" s="80"/>
      <c r="AH6065" s="80"/>
      <c r="AI6065" s="147"/>
      <c r="AJ6065" s="80"/>
      <c r="AK6065" s="80"/>
      <c r="AL6065" s="35"/>
      <c r="AM6065" s="35"/>
      <c r="AN6065" s="35"/>
      <c r="AO6065" s="35"/>
      <c r="AP6065" s="35"/>
    </row>
    <row r="6066" spans="1:42" x14ac:dyDescent="0.2">
      <c r="A6066" s="126">
        <v>45692.40169003472</v>
      </c>
      <c r="B6066" s="137" t="s">
        <v>37</v>
      </c>
      <c r="C6066" s="41" t="s">
        <v>118</v>
      </c>
      <c r="D6066" s="80" t="s">
        <v>36</v>
      </c>
      <c r="E6066" s="80" t="s">
        <v>139</v>
      </c>
      <c r="F6066" s="80" t="s">
        <v>36</v>
      </c>
      <c r="G6066" s="80" t="s">
        <v>41</v>
      </c>
      <c r="H6066" s="80" t="s">
        <v>19824</v>
      </c>
      <c r="I6066" s="17">
        <f ca="1">IFERROR(__xludf.DUMMYFUNCTION("""COMPUTED_VALUE"""),45701)</f>
        <v>45701</v>
      </c>
      <c r="J6066" s="143" t="s">
        <v>19978</v>
      </c>
      <c r="K6066" s="80" t="s">
        <v>6210</v>
      </c>
      <c r="L6066" s="30">
        <v>338882006</v>
      </c>
      <c r="M6066" s="80" t="s">
        <v>15996</v>
      </c>
      <c r="N6066" s="80" t="s">
        <v>186</v>
      </c>
      <c r="O6066" s="80" t="s">
        <v>4503</v>
      </c>
      <c r="P6066" s="80" t="s">
        <v>19979</v>
      </c>
      <c r="Q6066" s="20">
        <v>15936</v>
      </c>
      <c r="R6066" s="80" t="s">
        <v>36</v>
      </c>
      <c r="S6066" s="95">
        <v>14436</v>
      </c>
      <c r="T6066" s="148">
        <v>45686</v>
      </c>
      <c r="U6066" s="77"/>
      <c r="V6066" s="78"/>
      <c r="W6066" s="85" t="s">
        <v>19980</v>
      </c>
      <c r="X6066" s="80"/>
      <c r="Y6066" s="22">
        <v>1500</v>
      </c>
      <c r="Z6066" s="80" t="s">
        <v>50</v>
      </c>
      <c r="AA6066" s="86" t="s">
        <v>18583</v>
      </c>
      <c r="AB6066" s="80"/>
      <c r="AC6066" s="80" t="s">
        <v>53</v>
      </c>
      <c r="AD6066" s="80" t="s">
        <v>54</v>
      </c>
      <c r="AE6066" s="80"/>
      <c r="AF6066" s="17">
        <v>45698</v>
      </c>
      <c r="AG6066" s="80"/>
      <c r="AH6066" s="80"/>
      <c r="AI6066" s="147"/>
      <c r="AJ6066" s="80"/>
      <c r="AK6066" s="80"/>
      <c r="AL6066" s="35"/>
      <c r="AM6066" s="35"/>
      <c r="AN6066" s="35"/>
      <c r="AO6066" s="35"/>
      <c r="AP6066" s="35"/>
    </row>
    <row r="6067" spans="1:42" x14ac:dyDescent="0.2">
      <c r="A6067" s="126">
        <v>45692.639811134257</v>
      </c>
      <c r="B6067" s="137" t="s">
        <v>37</v>
      </c>
      <c r="C6067" s="41" t="s">
        <v>118</v>
      </c>
      <c r="D6067" s="80" t="s">
        <v>36</v>
      </c>
      <c r="E6067" s="80" t="s">
        <v>77</v>
      </c>
      <c r="F6067" s="80" t="s">
        <v>36</v>
      </c>
      <c r="G6067" s="80" t="s">
        <v>41</v>
      </c>
      <c r="H6067" s="80" t="s">
        <v>19824</v>
      </c>
      <c r="I6067" s="17">
        <f ca="1">IFERROR(__xludf.DUMMYFUNCTION("""COMPUTED_VALUE"""),45701)</f>
        <v>45701</v>
      </c>
      <c r="J6067" s="143" t="s">
        <v>19981</v>
      </c>
      <c r="K6067" s="80" t="s">
        <v>19982</v>
      </c>
      <c r="L6067" s="30">
        <v>7023573056</v>
      </c>
      <c r="M6067" s="80" t="s">
        <v>348</v>
      </c>
      <c r="N6067" s="80" t="s">
        <v>4299</v>
      </c>
      <c r="O6067" s="80" t="s">
        <v>19983</v>
      </c>
      <c r="P6067" s="80" t="s">
        <v>19984</v>
      </c>
      <c r="Q6067" s="20">
        <v>1968</v>
      </c>
      <c r="R6067" s="80" t="s">
        <v>36</v>
      </c>
      <c r="S6067" s="95">
        <v>1868</v>
      </c>
      <c r="T6067" s="148">
        <v>45685</v>
      </c>
      <c r="U6067" s="77"/>
      <c r="V6067" s="78"/>
      <c r="W6067" s="85" t="s">
        <v>19985</v>
      </c>
      <c r="X6067" s="80"/>
      <c r="Y6067" s="22">
        <v>100</v>
      </c>
      <c r="Z6067" s="80" t="s">
        <v>50</v>
      </c>
      <c r="AA6067" s="82" t="s">
        <v>18583</v>
      </c>
      <c r="AB6067" s="80"/>
      <c r="AC6067" s="80" t="s">
        <v>1828</v>
      </c>
      <c r="AD6067" s="80" t="s">
        <v>54</v>
      </c>
      <c r="AE6067" s="80" t="s">
        <v>16305</v>
      </c>
      <c r="AF6067" s="208" t="s">
        <v>1829</v>
      </c>
      <c r="AG6067" s="80" t="s">
        <v>1828</v>
      </c>
      <c r="AH6067" s="143" t="s">
        <v>19986</v>
      </c>
      <c r="AI6067" s="147"/>
      <c r="AJ6067" s="80"/>
      <c r="AK6067" s="80"/>
      <c r="AL6067" s="35"/>
      <c r="AM6067" s="35"/>
      <c r="AN6067" s="35"/>
      <c r="AO6067" s="35"/>
      <c r="AP6067" s="35"/>
    </row>
    <row r="6068" spans="1:42" x14ac:dyDescent="0.2">
      <c r="A6068" s="126">
        <v>45692.753667060184</v>
      </c>
      <c r="B6068" s="137" t="s">
        <v>37</v>
      </c>
      <c r="C6068" s="41" t="s">
        <v>118</v>
      </c>
      <c r="D6068" s="80" t="s">
        <v>36</v>
      </c>
      <c r="E6068" s="80" t="s">
        <v>139</v>
      </c>
      <c r="F6068" s="80" t="s">
        <v>36</v>
      </c>
      <c r="G6068" s="80" t="s">
        <v>41</v>
      </c>
      <c r="H6068" s="80" t="s">
        <v>18102</v>
      </c>
      <c r="I6068" s="17">
        <f ca="1">IFERROR(__xludf.DUMMYFUNCTION("""COMPUTED_VALUE"""),45712)</f>
        <v>45712</v>
      </c>
      <c r="J6068" s="143" t="s">
        <v>19987</v>
      </c>
      <c r="K6068" s="80" t="s">
        <v>19988</v>
      </c>
      <c r="L6068" s="30">
        <v>981717550</v>
      </c>
      <c r="M6068" s="80" t="s">
        <v>12644</v>
      </c>
      <c r="N6068" s="80" t="s">
        <v>260</v>
      </c>
      <c r="O6068" s="80" t="s">
        <v>19989</v>
      </c>
      <c r="P6068" s="144" t="s">
        <v>19990</v>
      </c>
      <c r="Q6068" s="20">
        <v>15936</v>
      </c>
      <c r="R6068" s="80" t="s">
        <v>36</v>
      </c>
      <c r="S6068" s="95">
        <v>14436</v>
      </c>
      <c r="T6068" s="148">
        <v>45686</v>
      </c>
      <c r="U6068" s="77"/>
      <c r="V6068" s="78"/>
      <c r="W6068" s="85" t="s">
        <v>19991</v>
      </c>
      <c r="X6068" s="80"/>
      <c r="Y6068" s="22">
        <v>1500</v>
      </c>
      <c r="Z6068" s="80" t="s">
        <v>50</v>
      </c>
      <c r="AA6068" s="86" t="s">
        <v>18583</v>
      </c>
      <c r="AB6068" s="80"/>
      <c r="AC6068" s="80" t="s">
        <v>53</v>
      </c>
      <c r="AD6068" s="80" t="s">
        <v>138</v>
      </c>
      <c r="AE6068" s="80"/>
      <c r="AF6068" s="17">
        <v>45701</v>
      </c>
      <c r="AG6068" s="80"/>
      <c r="AH6068" s="80"/>
      <c r="AI6068" s="147"/>
      <c r="AJ6068" s="80"/>
      <c r="AK6068" s="80"/>
      <c r="AL6068" s="35"/>
      <c r="AM6068" s="35"/>
      <c r="AN6068" s="35"/>
      <c r="AO6068" s="35"/>
      <c r="AP6068" s="35"/>
    </row>
    <row r="6069" spans="1:42" x14ac:dyDescent="0.2">
      <c r="A6069" s="126">
        <v>45699.462768680554</v>
      </c>
      <c r="B6069" s="137" t="s">
        <v>37</v>
      </c>
      <c r="C6069" s="41" t="s">
        <v>118</v>
      </c>
      <c r="D6069" s="80" t="s">
        <v>36</v>
      </c>
      <c r="E6069" s="80" t="s">
        <v>39</v>
      </c>
      <c r="F6069" s="80" t="s">
        <v>40</v>
      </c>
      <c r="G6069" s="80" t="s">
        <v>41</v>
      </c>
      <c r="H6069" s="80" t="s">
        <v>16525</v>
      </c>
      <c r="I6069" s="17">
        <f ca="1">IFERROR(__xludf.DUMMYFUNCTION("""COMPUTED_VALUE"""),45708)</f>
        <v>45708</v>
      </c>
      <c r="J6069" s="143" t="s">
        <v>19992</v>
      </c>
      <c r="K6069" s="80" t="s">
        <v>19993</v>
      </c>
      <c r="L6069" s="30">
        <v>968751351</v>
      </c>
      <c r="M6069" s="80" t="s">
        <v>3288</v>
      </c>
      <c r="N6069" s="80" t="s">
        <v>7509</v>
      </c>
      <c r="O6069" s="80" t="s">
        <v>91</v>
      </c>
      <c r="P6069" s="80" t="s">
        <v>3117</v>
      </c>
      <c r="Q6069" s="20">
        <v>5736</v>
      </c>
      <c r="R6069" s="80" t="s">
        <v>36</v>
      </c>
      <c r="S6069" s="95">
        <v>5862</v>
      </c>
      <c r="T6069" s="148">
        <v>45685</v>
      </c>
      <c r="U6069" s="77"/>
      <c r="V6069" s="78"/>
      <c r="W6069" s="85" t="s">
        <v>19994</v>
      </c>
      <c r="X6069" s="80"/>
      <c r="Y6069" s="22">
        <v>-126</v>
      </c>
      <c r="Z6069" s="80" t="s">
        <v>50</v>
      </c>
      <c r="AA6069" s="82" t="s">
        <v>18583</v>
      </c>
      <c r="AB6069" s="80"/>
      <c r="AC6069" s="80" t="s">
        <v>53</v>
      </c>
      <c r="AD6069" s="80" t="s">
        <v>138</v>
      </c>
      <c r="AE6069" s="80"/>
      <c r="AF6069" s="17">
        <v>45708</v>
      </c>
      <c r="AG6069" s="80"/>
      <c r="AH6069" s="80"/>
      <c r="AI6069" s="147"/>
      <c r="AJ6069" s="80"/>
      <c r="AK6069" s="80"/>
      <c r="AL6069" s="35"/>
      <c r="AM6069" s="35"/>
      <c r="AN6069" s="35"/>
      <c r="AO6069" s="35"/>
      <c r="AP6069" s="35"/>
    </row>
    <row r="6070" spans="1:42" x14ac:dyDescent="0.2">
      <c r="A6070" s="38">
        <v>45703</v>
      </c>
      <c r="B6070" s="137" t="s">
        <v>37</v>
      </c>
      <c r="C6070" s="41" t="s">
        <v>118</v>
      </c>
      <c r="D6070" s="80" t="s">
        <v>36</v>
      </c>
      <c r="E6070" s="80" t="s">
        <v>119</v>
      </c>
      <c r="F6070" s="80" t="s">
        <v>9768</v>
      </c>
      <c r="G6070" s="80" t="s">
        <v>221</v>
      </c>
      <c r="H6070" s="80" t="s">
        <v>19448</v>
      </c>
      <c r="I6070" s="17">
        <f ca="1">IFERROR(__xludf.DUMMYFUNCTION("""COMPUTED_VALUE"""),45715)</f>
        <v>45715</v>
      </c>
      <c r="J6070" s="172" t="s">
        <v>19995</v>
      </c>
      <c r="K6070" s="80" t="s">
        <v>13598</v>
      </c>
      <c r="L6070" s="30">
        <v>983525083</v>
      </c>
      <c r="M6070" s="80" t="s">
        <v>3498</v>
      </c>
      <c r="N6070" s="80" t="s">
        <v>4402</v>
      </c>
      <c r="O6070" s="80" t="s">
        <v>4503</v>
      </c>
      <c r="P6070" s="144" t="s">
        <v>19996</v>
      </c>
      <c r="Q6070" s="20">
        <v>13968</v>
      </c>
      <c r="R6070" s="80" t="s">
        <v>36</v>
      </c>
      <c r="S6070" s="95">
        <v>13968</v>
      </c>
      <c r="T6070" s="148">
        <v>45561</v>
      </c>
      <c r="U6070" s="77"/>
      <c r="V6070" s="78"/>
      <c r="W6070" s="85" t="s">
        <v>13599</v>
      </c>
      <c r="X6070" s="80">
        <v>0</v>
      </c>
      <c r="Y6070" s="22">
        <v>0</v>
      </c>
      <c r="Z6070" s="80" t="s">
        <v>50</v>
      </c>
      <c r="AA6070" s="35" t="s">
        <v>3291</v>
      </c>
      <c r="AB6070" s="80"/>
      <c r="AC6070" s="80" t="s">
        <v>53</v>
      </c>
      <c r="AD6070" s="80" t="s">
        <v>138</v>
      </c>
      <c r="AE6070" s="80" t="s">
        <v>9768</v>
      </c>
      <c r="AF6070" s="17">
        <v>45712</v>
      </c>
      <c r="AG6070" s="80"/>
      <c r="AH6070" s="80"/>
      <c r="AI6070" s="147">
        <v>4</v>
      </c>
      <c r="AJ6070" s="80"/>
      <c r="AK6070" s="80"/>
      <c r="AL6070" s="35"/>
      <c r="AM6070" s="35"/>
      <c r="AN6070" s="35"/>
      <c r="AO6070" s="35"/>
      <c r="AP6070" s="35"/>
    </row>
    <row r="6071" spans="1:42" x14ac:dyDescent="0.2">
      <c r="A6071" s="38">
        <v>45707</v>
      </c>
      <c r="B6071" s="137" t="s">
        <v>37</v>
      </c>
      <c r="C6071" s="41" t="s">
        <v>118</v>
      </c>
      <c r="D6071" s="26" t="s">
        <v>36</v>
      </c>
      <c r="E6071" s="26" t="s">
        <v>119</v>
      </c>
      <c r="F6071" s="26" t="s">
        <v>6825</v>
      </c>
      <c r="G6071" s="80" t="s">
        <v>1705</v>
      </c>
      <c r="H6071" s="26" t="s">
        <v>19571</v>
      </c>
      <c r="I6071" s="17">
        <f ca="1">IFERROR(__xludf.DUMMYFUNCTION("""COMPUTED_VALUE"""),45566)</f>
        <v>45566</v>
      </c>
      <c r="J6071" s="44" t="s">
        <v>19997</v>
      </c>
      <c r="K6071" s="19" t="s">
        <v>5242</v>
      </c>
      <c r="L6071" s="30">
        <v>973536255</v>
      </c>
      <c r="M6071" s="26" t="s">
        <v>123</v>
      </c>
      <c r="N6071" s="26" t="s">
        <v>186</v>
      </c>
      <c r="O6071" s="26" t="s">
        <v>1226</v>
      </c>
      <c r="P6071" s="42" t="s">
        <v>19998</v>
      </c>
      <c r="Q6071" s="20">
        <v>13968</v>
      </c>
      <c r="R6071" s="26" t="s">
        <v>36</v>
      </c>
      <c r="S6071" s="31">
        <v>4000</v>
      </c>
      <c r="T6071" s="32">
        <v>45204</v>
      </c>
      <c r="U6071" s="58">
        <v>9868</v>
      </c>
      <c r="V6071" s="59">
        <v>45247</v>
      </c>
      <c r="W6071" s="33" t="s">
        <v>5243</v>
      </c>
      <c r="X6071" s="26"/>
      <c r="Y6071" s="22">
        <v>100</v>
      </c>
      <c r="Z6071" s="26" t="s">
        <v>118</v>
      </c>
      <c r="AA6071" s="19" t="s">
        <v>5112</v>
      </c>
      <c r="AB6071" s="80"/>
      <c r="AC6071" s="26" t="s">
        <v>53</v>
      </c>
      <c r="AD6071" s="19" t="s">
        <v>138</v>
      </c>
      <c r="AE6071" s="26" t="s">
        <v>6825</v>
      </c>
      <c r="AF6071" s="17">
        <v>45707</v>
      </c>
      <c r="AG6071" s="26"/>
      <c r="AH6071" s="26"/>
      <c r="AI6071" s="40">
        <v>4</v>
      </c>
      <c r="AJ6071" s="26"/>
      <c r="AK6071" s="26"/>
      <c r="AL6071" s="35"/>
      <c r="AM6071" s="35"/>
      <c r="AN6071" s="35"/>
      <c r="AO6071" s="35"/>
      <c r="AP6071" s="35"/>
    </row>
    <row r="6072" spans="1:42" x14ac:dyDescent="0.2">
      <c r="A6072" s="38">
        <v>45707</v>
      </c>
      <c r="B6072" s="137" t="s">
        <v>37</v>
      </c>
      <c r="C6072" s="41" t="s">
        <v>118</v>
      </c>
      <c r="D6072" s="80" t="s">
        <v>36</v>
      </c>
      <c r="E6072" s="80" t="s">
        <v>139</v>
      </c>
      <c r="F6072" s="80" t="s">
        <v>13600</v>
      </c>
      <c r="G6072" s="161" t="s">
        <v>221</v>
      </c>
      <c r="H6072" s="80" t="s">
        <v>18208</v>
      </c>
      <c r="I6072" s="17">
        <f ca="1">IFERROR(__xludf.DUMMYFUNCTION("""COMPUTED_VALUE"""),45715)</f>
        <v>45715</v>
      </c>
      <c r="J6072" s="143" t="s">
        <v>12318</v>
      </c>
      <c r="K6072" s="145" t="s">
        <v>19999</v>
      </c>
      <c r="L6072" s="30">
        <v>968262803</v>
      </c>
      <c r="M6072" s="80" t="s">
        <v>910</v>
      </c>
      <c r="N6072" s="80" t="s">
        <v>3525</v>
      </c>
      <c r="O6072" s="80" t="s">
        <v>12320</v>
      </c>
      <c r="P6072" s="80" t="s">
        <v>12321</v>
      </c>
      <c r="Q6072" s="20">
        <v>15936</v>
      </c>
      <c r="R6072" s="80" t="s">
        <v>36</v>
      </c>
      <c r="S6072" s="95">
        <f>200+2000</f>
        <v>2200</v>
      </c>
      <c r="T6072" s="148" t="s">
        <v>12322</v>
      </c>
      <c r="U6072" s="95">
        <v>13736</v>
      </c>
      <c r="V6072" s="148">
        <v>45563</v>
      </c>
      <c r="W6072" s="85" t="s">
        <v>12323</v>
      </c>
      <c r="X6072" s="83">
        <v>0</v>
      </c>
      <c r="Y6072" s="22">
        <v>0</v>
      </c>
      <c r="Z6072" s="81" t="s">
        <v>50</v>
      </c>
      <c r="AA6072" s="86" t="s">
        <v>3291</v>
      </c>
      <c r="AB6072" s="80"/>
      <c r="AC6072" s="80" t="s">
        <v>53</v>
      </c>
      <c r="AD6072" s="80" t="s">
        <v>138</v>
      </c>
      <c r="AE6072" s="80" t="s">
        <v>13600</v>
      </c>
      <c r="AF6072" s="17">
        <v>45715</v>
      </c>
      <c r="AG6072" s="80"/>
      <c r="AH6072" s="80"/>
      <c r="AI6072" s="147" t="s">
        <v>147</v>
      </c>
      <c r="AJ6072" s="80"/>
      <c r="AK6072" s="80"/>
      <c r="AL6072" s="86"/>
      <c r="AM6072" s="86"/>
      <c r="AN6072" s="86"/>
      <c r="AO6072" s="86"/>
      <c r="AP6072" s="86"/>
    </row>
    <row r="6073" spans="1:42" x14ac:dyDescent="0.2">
      <c r="A6073" s="38">
        <v>45707</v>
      </c>
      <c r="B6073" s="137" t="s">
        <v>37</v>
      </c>
      <c r="C6073" s="41" t="s">
        <v>118</v>
      </c>
      <c r="D6073" s="80" t="s">
        <v>36</v>
      </c>
      <c r="E6073" s="80" t="s">
        <v>139</v>
      </c>
      <c r="F6073" s="80" t="s">
        <v>13600</v>
      </c>
      <c r="G6073" s="161" t="s">
        <v>221</v>
      </c>
      <c r="H6073" s="80" t="s">
        <v>20000</v>
      </c>
      <c r="I6073" s="17">
        <f ca="1">IFERROR(__xludf.DUMMYFUNCTION("""COMPUTED_VALUE"""),45719)</f>
        <v>45719</v>
      </c>
      <c r="J6073" s="143" t="s">
        <v>14018</v>
      </c>
      <c r="K6073" s="80" t="s">
        <v>14860</v>
      </c>
      <c r="L6073" s="30">
        <v>868610733</v>
      </c>
      <c r="M6073" s="80" t="s">
        <v>123</v>
      </c>
      <c r="N6073" s="80" t="s">
        <v>186</v>
      </c>
      <c r="O6073" s="80" t="s">
        <v>4503</v>
      </c>
      <c r="P6073" s="80" t="s">
        <v>14020</v>
      </c>
      <c r="Q6073" s="20">
        <v>15936</v>
      </c>
      <c r="R6073" s="80" t="s">
        <v>36</v>
      </c>
      <c r="S6073" s="95">
        <f>200+2800</f>
        <v>3000</v>
      </c>
      <c r="T6073" s="148" t="s">
        <v>14021</v>
      </c>
      <c r="U6073" s="95">
        <v>12936</v>
      </c>
      <c r="V6073" s="148">
        <v>45571</v>
      </c>
      <c r="W6073" s="85" t="s">
        <v>14022</v>
      </c>
      <c r="X6073" s="80"/>
      <c r="Y6073" s="22">
        <v>0</v>
      </c>
      <c r="Z6073" s="81" t="s">
        <v>50</v>
      </c>
      <c r="AA6073" s="82"/>
      <c r="AB6073" s="80"/>
      <c r="AC6073" s="80" t="s">
        <v>53</v>
      </c>
      <c r="AD6073" s="80" t="s">
        <v>54</v>
      </c>
      <c r="AE6073" s="80" t="s">
        <v>13600</v>
      </c>
      <c r="AF6073" s="17">
        <v>45719</v>
      </c>
      <c r="AG6073" s="80"/>
      <c r="AH6073" s="80"/>
      <c r="AI6073" s="147"/>
      <c r="AJ6073" s="80"/>
      <c r="AK6073" s="80"/>
      <c r="AL6073" s="86"/>
      <c r="AM6073" s="86"/>
      <c r="AN6073" s="86"/>
      <c r="AO6073" s="86"/>
      <c r="AP6073" s="86"/>
    </row>
    <row r="6074" spans="1:42" x14ac:dyDescent="0.2">
      <c r="A6074" s="38">
        <v>45707</v>
      </c>
      <c r="B6074" s="137" t="s">
        <v>37</v>
      </c>
      <c r="C6074" s="41" t="s">
        <v>118</v>
      </c>
      <c r="D6074" s="80" t="s">
        <v>36</v>
      </c>
      <c r="E6074" s="80" t="s">
        <v>56</v>
      </c>
      <c r="F6074" s="80" t="s">
        <v>13600</v>
      </c>
      <c r="G6074" s="161" t="s">
        <v>221</v>
      </c>
      <c r="H6074" s="80" t="s">
        <v>18208</v>
      </c>
      <c r="I6074" s="17">
        <f ca="1">IFERROR(__xludf.DUMMYFUNCTION("""COMPUTED_VALUE"""),45715)</f>
        <v>45715</v>
      </c>
      <c r="J6074" s="143" t="s">
        <v>14023</v>
      </c>
      <c r="K6074" s="145" t="s">
        <v>14846</v>
      </c>
      <c r="L6074" s="30">
        <v>945015436</v>
      </c>
      <c r="M6074" s="80" t="s">
        <v>123</v>
      </c>
      <c r="N6074" s="80" t="s">
        <v>327</v>
      </c>
      <c r="O6074" s="80" t="s">
        <v>4503</v>
      </c>
      <c r="P6074" s="80" t="s">
        <v>3117</v>
      </c>
      <c r="Q6074" s="20">
        <v>9317</v>
      </c>
      <c r="R6074" s="80" t="s">
        <v>36</v>
      </c>
      <c r="S6074" s="95">
        <f>200+2000</f>
        <v>2200</v>
      </c>
      <c r="T6074" s="148" t="s">
        <v>14025</v>
      </c>
      <c r="U6074" s="95">
        <v>7117</v>
      </c>
      <c r="V6074" s="148">
        <v>45567</v>
      </c>
      <c r="W6074" s="85" t="s">
        <v>14026</v>
      </c>
      <c r="X6074" s="80"/>
      <c r="Y6074" s="22">
        <v>0</v>
      </c>
      <c r="Z6074" s="41" t="s">
        <v>118</v>
      </c>
      <c r="AA6074" s="86"/>
      <c r="AB6074" s="80"/>
      <c r="AC6074" s="80" t="s">
        <v>53</v>
      </c>
      <c r="AD6074" s="80" t="s">
        <v>138</v>
      </c>
      <c r="AE6074" s="80" t="s">
        <v>13600</v>
      </c>
      <c r="AF6074" s="17">
        <v>45715</v>
      </c>
      <c r="AG6074" s="80"/>
      <c r="AH6074" s="80"/>
      <c r="AI6074" s="147"/>
      <c r="AJ6074" s="80"/>
      <c r="AK6074" s="80"/>
      <c r="AL6074" s="86"/>
      <c r="AM6074" s="86"/>
      <c r="AN6074" s="86"/>
      <c r="AO6074" s="86"/>
      <c r="AP6074" s="86"/>
    </row>
    <row r="6075" spans="1:42" x14ac:dyDescent="0.2">
      <c r="A6075" s="38">
        <v>45707</v>
      </c>
      <c r="B6075" s="137" t="s">
        <v>37</v>
      </c>
      <c r="C6075" s="41" t="s">
        <v>118</v>
      </c>
      <c r="D6075" s="80" t="s">
        <v>36</v>
      </c>
      <c r="E6075" s="80" t="s">
        <v>139</v>
      </c>
      <c r="F6075" s="80" t="s">
        <v>13600</v>
      </c>
      <c r="G6075" s="161" t="s">
        <v>221</v>
      </c>
      <c r="H6075" s="80" t="s">
        <v>18208</v>
      </c>
      <c r="I6075" s="17">
        <f ca="1">IFERROR(__xludf.DUMMYFUNCTION("""COMPUTED_VALUE"""),45715)</f>
        <v>45715</v>
      </c>
      <c r="J6075" s="143" t="s">
        <v>12039</v>
      </c>
      <c r="K6075" s="145" t="s">
        <v>20001</v>
      </c>
      <c r="L6075" s="30">
        <v>359481219</v>
      </c>
      <c r="M6075" s="80" t="s">
        <v>5429</v>
      </c>
      <c r="N6075" s="80" t="s">
        <v>756</v>
      </c>
      <c r="O6075" s="80" t="s">
        <v>12041</v>
      </c>
      <c r="P6075" s="80" t="s">
        <v>7107</v>
      </c>
      <c r="Q6075" s="20">
        <v>15936</v>
      </c>
      <c r="R6075" s="80" t="s">
        <v>36</v>
      </c>
      <c r="S6075" s="95">
        <f>200+1800</f>
        <v>2000</v>
      </c>
      <c r="T6075" s="148" t="s">
        <v>12042</v>
      </c>
      <c r="U6075" s="95">
        <v>13936</v>
      </c>
      <c r="V6075" s="148">
        <v>45558</v>
      </c>
      <c r="W6075" s="85" t="s">
        <v>12043</v>
      </c>
      <c r="X6075" s="83">
        <v>0</v>
      </c>
      <c r="Y6075" s="22">
        <v>0</v>
      </c>
      <c r="Z6075" s="81" t="s">
        <v>50</v>
      </c>
      <c r="AA6075" s="82" t="s">
        <v>3291</v>
      </c>
      <c r="AB6075" s="80"/>
      <c r="AC6075" s="80" t="s">
        <v>53</v>
      </c>
      <c r="AD6075" s="80" t="s">
        <v>138</v>
      </c>
      <c r="AE6075" s="80" t="s">
        <v>13600</v>
      </c>
      <c r="AF6075" s="17">
        <v>45715</v>
      </c>
      <c r="AG6075" s="80"/>
      <c r="AH6075" s="80"/>
      <c r="AI6075" s="147" t="s">
        <v>147</v>
      </c>
      <c r="AJ6075" s="80"/>
      <c r="AK6075" s="80"/>
      <c r="AL6075" s="86"/>
      <c r="AM6075" s="86"/>
      <c r="AN6075" s="86"/>
      <c r="AO6075" s="86"/>
      <c r="AP6075" s="86"/>
    </row>
    <row r="6076" spans="1:42" x14ac:dyDescent="0.2">
      <c r="A6076" s="38">
        <v>45707</v>
      </c>
      <c r="B6076" s="137" t="s">
        <v>37</v>
      </c>
      <c r="C6076" s="41" t="s">
        <v>118</v>
      </c>
      <c r="D6076" s="80" t="s">
        <v>36</v>
      </c>
      <c r="E6076" s="80" t="s">
        <v>56</v>
      </c>
      <c r="F6076" s="80" t="s">
        <v>13600</v>
      </c>
      <c r="G6076" s="161" t="s">
        <v>221</v>
      </c>
      <c r="H6076" s="80" t="s">
        <v>18208</v>
      </c>
      <c r="I6076" s="17">
        <f ca="1">IFERROR(__xludf.DUMMYFUNCTION("""COMPUTED_VALUE"""),45715)</f>
        <v>45715</v>
      </c>
      <c r="J6076" s="143" t="s">
        <v>14043</v>
      </c>
      <c r="K6076" s="145" t="s">
        <v>20002</v>
      </c>
      <c r="L6076" s="30">
        <v>855960900</v>
      </c>
      <c r="M6076" s="80" t="s">
        <v>80</v>
      </c>
      <c r="N6076" s="80" t="s">
        <v>466</v>
      </c>
      <c r="O6076" s="80" t="s">
        <v>14045</v>
      </c>
      <c r="P6076" s="80" t="s">
        <v>14046</v>
      </c>
      <c r="Q6076" s="20">
        <v>9317</v>
      </c>
      <c r="R6076" s="80" t="s">
        <v>70</v>
      </c>
      <c r="S6076" s="95">
        <v>2000</v>
      </c>
      <c r="T6076" s="148">
        <v>45527</v>
      </c>
      <c r="U6076" s="95">
        <v>7317</v>
      </c>
      <c r="V6076" s="148">
        <v>45580</v>
      </c>
      <c r="W6076" s="85" t="s">
        <v>14047</v>
      </c>
      <c r="X6076" s="80"/>
      <c r="Y6076" s="22">
        <v>0</v>
      </c>
      <c r="Z6076" s="81" t="s">
        <v>50</v>
      </c>
      <c r="AA6076" s="86"/>
      <c r="AB6076" s="80"/>
      <c r="AC6076" s="80" t="s">
        <v>53</v>
      </c>
      <c r="AD6076" s="80" t="s">
        <v>138</v>
      </c>
      <c r="AE6076" s="80" t="s">
        <v>13600</v>
      </c>
      <c r="AF6076" s="17">
        <v>45715</v>
      </c>
      <c r="AG6076" s="80"/>
      <c r="AH6076" s="80"/>
      <c r="AI6076" s="147"/>
      <c r="AJ6076" s="80"/>
      <c r="AK6076" s="80"/>
      <c r="AL6076" s="86"/>
      <c r="AM6076" s="86"/>
      <c r="AN6076" s="86"/>
      <c r="AO6076" s="86"/>
      <c r="AP6076" s="86"/>
    </row>
    <row r="6077" spans="1:42" x14ac:dyDescent="0.2">
      <c r="A6077" s="38">
        <v>45707</v>
      </c>
      <c r="B6077" s="137" t="s">
        <v>37</v>
      </c>
      <c r="C6077" s="41" t="s">
        <v>118</v>
      </c>
      <c r="D6077" s="80" t="s">
        <v>36</v>
      </c>
      <c r="E6077" s="80" t="s">
        <v>139</v>
      </c>
      <c r="F6077" s="80" t="s">
        <v>13600</v>
      </c>
      <c r="G6077" s="161" t="s">
        <v>221</v>
      </c>
      <c r="H6077" s="80" t="s">
        <v>18208</v>
      </c>
      <c r="I6077" s="17">
        <f ca="1">IFERROR(__xludf.DUMMYFUNCTION("""COMPUTED_VALUE"""),45715)</f>
        <v>45715</v>
      </c>
      <c r="J6077" s="143" t="s">
        <v>14048</v>
      </c>
      <c r="K6077" s="145" t="s">
        <v>20003</v>
      </c>
      <c r="L6077" s="30">
        <v>375844618</v>
      </c>
      <c r="M6077" s="80" t="s">
        <v>123</v>
      </c>
      <c r="N6077" s="80" t="s">
        <v>2847</v>
      </c>
      <c r="O6077" s="80" t="s">
        <v>4503</v>
      </c>
      <c r="P6077" s="80" t="s">
        <v>3487</v>
      </c>
      <c r="Q6077" s="20">
        <v>15936</v>
      </c>
      <c r="R6077" s="80" t="s">
        <v>36</v>
      </c>
      <c r="S6077" s="95">
        <v>2000</v>
      </c>
      <c r="T6077" s="148">
        <v>45524</v>
      </c>
      <c r="U6077" s="95">
        <v>13936</v>
      </c>
      <c r="V6077" s="148">
        <v>45571</v>
      </c>
      <c r="W6077" s="85" t="s">
        <v>14050</v>
      </c>
      <c r="X6077" s="80"/>
      <c r="Y6077" s="22">
        <v>0</v>
      </c>
      <c r="Z6077" s="41" t="s">
        <v>118</v>
      </c>
      <c r="AA6077" s="82"/>
      <c r="AB6077" s="80"/>
      <c r="AC6077" s="80" t="s">
        <v>53</v>
      </c>
      <c r="AD6077" s="80" t="s">
        <v>138</v>
      </c>
      <c r="AE6077" s="80" t="s">
        <v>13600</v>
      </c>
      <c r="AF6077" s="17">
        <v>45715</v>
      </c>
      <c r="AG6077" s="80"/>
      <c r="AH6077" s="80"/>
      <c r="AI6077" s="147"/>
      <c r="AJ6077" s="80"/>
      <c r="AK6077" s="80"/>
      <c r="AL6077" s="86"/>
      <c r="AM6077" s="86"/>
      <c r="AN6077" s="86"/>
      <c r="AO6077" s="86"/>
      <c r="AP6077" s="86"/>
    </row>
    <row r="6078" spans="1:42" x14ac:dyDescent="0.2">
      <c r="A6078" s="38">
        <v>45707</v>
      </c>
      <c r="B6078" s="137" t="s">
        <v>37</v>
      </c>
      <c r="C6078" s="41" t="s">
        <v>118</v>
      </c>
      <c r="D6078" s="80" t="s">
        <v>36</v>
      </c>
      <c r="E6078" s="80" t="s">
        <v>139</v>
      </c>
      <c r="F6078" s="80" t="s">
        <v>13600</v>
      </c>
      <c r="G6078" s="161" t="s">
        <v>221</v>
      </c>
      <c r="H6078" s="80" t="s">
        <v>18208</v>
      </c>
      <c r="I6078" s="17">
        <f ca="1">IFERROR(__xludf.DUMMYFUNCTION("""COMPUTED_VALUE"""),45715)</f>
        <v>45715</v>
      </c>
      <c r="J6078" s="143" t="s">
        <v>14171</v>
      </c>
      <c r="K6078" s="145" t="s">
        <v>14172</v>
      </c>
      <c r="L6078" s="30">
        <v>352971510</v>
      </c>
      <c r="M6078" s="80" t="s">
        <v>5558</v>
      </c>
      <c r="N6078" s="80" t="s">
        <v>5559</v>
      </c>
      <c r="O6078" s="80" t="s">
        <v>14173</v>
      </c>
      <c r="P6078" s="80" t="s">
        <v>14174</v>
      </c>
      <c r="Q6078" s="20">
        <v>15936</v>
      </c>
      <c r="R6078" s="80" t="s">
        <v>36</v>
      </c>
      <c r="S6078" s="95">
        <f>2000+6500</f>
        <v>8500</v>
      </c>
      <c r="T6078" s="148" t="s">
        <v>14175</v>
      </c>
      <c r="U6078" s="95">
        <v>7436</v>
      </c>
      <c r="V6078" s="148">
        <v>45598</v>
      </c>
      <c r="W6078" s="85" t="s">
        <v>14176</v>
      </c>
      <c r="X6078" s="80"/>
      <c r="Y6078" s="22">
        <v>0</v>
      </c>
      <c r="Z6078" s="41" t="s">
        <v>118</v>
      </c>
      <c r="AA6078" s="86"/>
      <c r="AB6078" s="80"/>
      <c r="AC6078" s="80" t="s">
        <v>53</v>
      </c>
      <c r="AD6078" s="80" t="s">
        <v>138</v>
      </c>
      <c r="AE6078" s="80" t="s">
        <v>13600</v>
      </c>
      <c r="AF6078" s="17">
        <v>45715</v>
      </c>
      <c r="AG6078" s="80"/>
      <c r="AH6078" s="80"/>
      <c r="AI6078" s="147"/>
      <c r="AJ6078" s="80"/>
      <c r="AK6078" s="80"/>
      <c r="AL6078" s="86"/>
      <c r="AM6078" s="86"/>
      <c r="AN6078" s="86"/>
      <c r="AO6078" s="86"/>
      <c r="AP6078" s="86"/>
    </row>
    <row r="6079" spans="1:42" x14ac:dyDescent="0.2">
      <c r="A6079" s="38">
        <v>45707</v>
      </c>
      <c r="B6079" s="137" t="s">
        <v>37</v>
      </c>
      <c r="C6079" s="41" t="s">
        <v>118</v>
      </c>
      <c r="D6079" s="80" t="s">
        <v>36</v>
      </c>
      <c r="E6079" s="80" t="s">
        <v>139</v>
      </c>
      <c r="F6079" s="80" t="s">
        <v>13600</v>
      </c>
      <c r="G6079" s="161" t="s">
        <v>221</v>
      </c>
      <c r="H6079" s="80" t="s">
        <v>18208</v>
      </c>
      <c r="I6079" s="17">
        <f ca="1">IFERROR(__xludf.DUMMYFUNCTION("""COMPUTED_VALUE"""),45715)</f>
        <v>45715</v>
      </c>
      <c r="J6079" s="143" t="s">
        <v>14384</v>
      </c>
      <c r="K6079" s="145" t="s">
        <v>14385</v>
      </c>
      <c r="L6079" s="30">
        <v>352668765</v>
      </c>
      <c r="M6079" s="80" t="s">
        <v>123</v>
      </c>
      <c r="N6079" s="80" t="s">
        <v>2847</v>
      </c>
      <c r="O6079" s="80" t="s">
        <v>4503</v>
      </c>
      <c r="P6079" s="80" t="s">
        <v>3487</v>
      </c>
      <c r="Q6079" s="20">
        <v>15936</v>
      </c>
      <c r="R6079" s="80" t="s">
        <v>36</v>
      </c>
      <c r="S6079" s="95">
        <v>3000</v>
      </c>
      <c r="T6079" s="148">
        <v>45549</v>
      </c>
      <c r="U6079" s="95">
        <v>12936</v>
      </c>
      <c r="V6079" s="148">
        <v>45586</v>
      </c>
      <c r="W6079" s="85" t="s">
        <v>14386</v>
      </c>
      <c r="X6079" s="80"/>
      <c r="Y6079" s="22">
        <v>0</v>
      </c>
      <c r="Z6079" s="81" t="s">
        <v>50</v>
      </c>
      <c r="AA6079" s="82"/>
      <c r="AB6079" s="80"/>
      <c r="AC6079" s="80" t="s">
        <v>53</v>
      </c>
      <c r="AD6079" s="80" t="s">
        <v>138</v>
      </c>
      <c r="AE6079" s="80" t="s">
        <v>13600</v>
      </c>
      <c r="AF6079" s="17">
        <v>45715</v>
      </c>
      <c r="AG6079" s="80"/>
      <c r="AH6079" s="80"/>
      <c r="AI6079" s="147"/>
      <c r="AJ6079" s="80"/>
      <c r="AK6079" s="80"/>
      <c r="AL6079" s="86"/>
      <c r="AM6079" s="86"/>
      <c r="AN6079" s="86"/>
      <c r="AO6079" s="86"/>
      <c r="AP6079" s="86"/>
    </row>
    <row r="6080" spans="1:42" x14ac:dyDescent="0.2">
      <c r="A6080" s="38">
        <v>45707</v>
      </c>
      <c r="B6080" s="137" t="s">
        <v>37</v>
      </c>
      <c r="C6080" s="41" t="s">
        <v>118</v>
      </c>
      <c r="D6080" s="80" t="s">
        <v>36</v>
      </c>
      <c r="E6080" s="80" t="s">
        <v>139</v>
      </c>
      <c r="F6080" s="80" t="s">
        <v>13600</v>
      </c>
      <c r="G6080" s="161" t="s">
        <v>221</v>
      </c>
      <c r="H6080" s="80" t="s">
        <v>18208</v>
      </c>
      <c r="I6080" s="17">
        <f ca="1">IFERROR(__xludf.DUMMYFUNCTION("""COMPUTED_VALUE"""),45715)</f>
        <v>45715</v>
      </c>
      <c r="J6080" s="143" t="s">
        <v>14485</v>
      </c>
      <c r="K6080" s="145" t="s">
        <v>14486</v>
      </c>
      <c r="L6080" s="30">
        <v>969604423</v>
      </c>
      <c r="M6080" s="80" t="s">
        <v>5429</v>
      </c>
      <c r="N6080" s="80" t="s">
        <v>11095</v>
      </c>
      <c r="O6080" s="80" t="s">
        <v>14487</v>
      </c>
      <c r="P6080" s="80" t="s">
        <v>14488</v>
      </c>
      <c r="Q6080" s="20">
        <v>15936</v>
      </c>
      <c r="R6080" s="80" t="s">
        <v>36</v>
      </c>
      <c r="S6080" s="95">
        <f>200+1800</f>
        <v>2000</v>
      </c>
      <c r="T6080" s="148" t="s">
        <v>14489</v>
      </c>
      <c r="U6080" s="95">
        <v>13936</v>
      </c>
      <c r="V6080" s="148">
        <v>45595</v>
      </c>
      <c r="W6080" s="85" t="s">
        <v>14490</v>
      </c>
      <c r="X6080" s="80"/>
      <c r="Y6080" s="22">
        <v>0</v>
      </c>
      <c r="Z6080" s="81" t="s">
        <v>50</v>
      </c>
      <c r="AA6080" s="86"/>
      <c r="AB6080" s="80"/>
      <c r="AC6080" s="80" t="s">
        <v>53</v>
      </c>
      <c r="AD6080" s="80" t="s">
        <v>138</v>
      </c>
      <c r="AE6080" s="80" t="s">
        <v>13600</v>
      </c>
      <c r="AF6080" s="17">
        <v>45715</v>
      </c>
      <c r="AG6080" s="80"/>
      <c r="AH6080" s="80"/>
      <c r="AI6080" s="147"/>
      <c r="AJ6080" s="80"/>
      <c r="AK6080" s="80"/>
      <c r="AL6080" s="86"/>
      <c r="AM6080" s="86"/>
      <c r="AN6080" s="86"/>
      <c r="AO6080" s="86"/>
      <c r="AP6080" s="86"/>
    </row>
    <row r="6081" spans="1:42" x14ac:dyDescent="0.2">
      <c r="A6081" s="38">
        <v>45707</v>
      </c>
      <c r="B6081" s="137" t="s">
        <v>37</v>
      </c>
      <c r="C6081" s="41" t="s">
        <v>118</v>
      </c>
      <c r="D6081" s="80" t="s">
        <v>36</v>
      </c>
      <c r="E6081" s="80" t="s">
        <v>56</v>
      </c>
      <c r="F6081" s="80" t="s">
        <v>13600</v>
      </c>
      <c r="G6081" s="161" t="s">
        <v>221</v>
      </c>
      <c r="H6081" s="80" t="s">
        <v>18208</v>
      </c>
      <c r="I6081" s="17">
        <f ca="1">IFERROR(__xludf.DUMMYFUNCTION("""COMPUTED_VALUE"""),45715)</f>
        <v>45715</v>
      </c>
      <c r="J6081" s="143" t="s">
        <v>13064</v>
      </c>
      <c r="K6081" s="145" t="s">
        <v>13065</v>
      </c>
      <c r="L6081" s="30">
        <v>982521740</v>
      </c>
      <c r="M6081" s="80" t="s">
        <v>59</v>
      </c>
      <c r="N6081" s="80" t="s">
        <v>9294</v>
      </c>
      <c r="O6081" s="80" t="s">
        <v>13066</v>
      </c>
      <c r="P6081" s="80" t="s">
        <v>12687</v>
      </c>
      <c r="Q6081" s="20">
        <v>9317</v>
      </c>
      <c r="R6081" s="80" t="s">
        <v>70</v>
      </c>
      <c r="S6081" s="95">
        <f>200+9117</f>
        <v>9317</v>
      </c>
      <c r="T6081" s="148">
        <v>45548</v>
      </c>
      <c r="U6081" s="77"/>
      <c r="V6081" s="148">
        <v>45553</v>
      </c>
      <c r="W6081" s="85" t="s">
        <v>13067</v>
      </c>
      <c r="X6081" s="83">
        <v>100</v>
      </c>
      <c r="Y6081" s="22">
        <v>-100</v>
      </c>
      <c r="Z6081" s="81" t="s">
        <v>50</v>
      </c>
      <c r="AA6081" s="82" t="s">
        <v>3291</v>
      </c>
      <c r="AB6081" s="80"/>
      <c r="AC6081" s="80" t="s">
        <v>53</v>
      </c>
      <c r="AD6081" s="80" t="s">
        <v>138</v>
      </c>
      <c r="AE6081" s="80" t="s">
        <v>13600</v>
      </c>
      <c r="AF6081" s="17">
        <v>45715</v>
      </c>
      <c r="AG6081" s="80"/>
      <c r="AH6081" s="80"/>
      <c r="AI6081" s="147" t="s">
        <v>64</v>
      </c>
      <c r="AJ6081" s="80"/>
      <c r="AK6081" s="80"/>
      <c r="AL6081" s="86"/>
      <c r="AM6081" s="86"/>
      <c r="AN6081" s="86"/>
      <c r="AO6081" s="86"/>
      <c r="AP6081" s="86"/>
    </row>
    <row r="6082" spans="1:42" x14ac:dyDescent="0.2">
      <c r="A6082" s="38">
        <v>45707</v>
      </c>
      <c r="B6082" s="137" t="s">
        <v>37</v>
      </c>
      <c r="C6082" s="41" t="s">
        <v>118</v>
      </c>
      <c r="D6082" s="80" t="s">
        <v>36</v>
      </c>
      <c r="E6082" s="80" t="s">
        <v>139</v>
      </c>
      <c r="F6082" s="80" t="s">
        <v>20000</v>
      </c>
      <c r="G6082" s="161" t="s">
        <v>221</v>
      </c>
      <c r="H6082" s="80" t="s">
        <v>20004</v>
      </c>
      <c r="I6082" s="17">
        <f ca="1">IFERROR(__xludf.DUMMYFUNCTION("""COMPUTED_VALUE"""),45755)</f>
        <v>45755</v>
      </c>
      <c r="J6082" s="143" t="s">
        <v>14591</v>
      </c>
      <c r="K6082" s="145" t="s">
        <v>20005</v>
      </c>
      <c r="L6082" s="30">
        <v>343682461</v>
      </c>
      <c r="M6082" s="80" t="s">
        <v>123</v>
      </c>
      <c r="N6082" s="80" t="s">
        <v>2847</v>
      </c>
      <c r="O6082" s="80" t="s">
        <v>4503</v>
      </c>
      <c r="P6082" s="80" t="s">
        <v>14593</v>
      </c>
      <c r="Q6082" s="20">
        <v>15936</v>
      </c>
      <c r="R6082" s="80" t="s">
        <v>36</v>
      </c>
      <c r="S6082" s="95">
        <f>100+1900</f>
        <v>2000</v>
      </c>
      <c r="T6082" s="148" t="s">
        <v>14594</v>
      </c>
      <c r="U6082" s="95">
        <f>13836+100</f>
        <v>13936</v>
      </c>
      <c r="V6082" s="148" t="s">
        <v>14595</v>
      </c>
      <c r="W6082" s="85" t="s">
        <v>14596</v>
      </c>
      <c r="X6082" s="80"/>
      <c r="Y6082" s="22">
        <v>0</v>
      </c>
      <c r="Z6082" s="81" t="s">
        <v>50</v>
      </c>
      <c r="AA6082" s="86"/>
      <c r="AB6082" s="80"/>
      <c r="AC6082" s="80" t="s">
        <v>53</v>
      </c>
      <c r="AD6082" s="80" t="s">
        <v>138</v>
      </c>
      <c r="AE6082" s="80" t="s">
        <v>13600</v>
      </c>
      <c r="AF6082" s="17">
        <v>45715</v>
      </c>
      <c r="AG6082" s="80" t="s">
        <v>20006</v>
      </c>
      <c r="AH6082" s="80"/>
      <c r="AI6082" s="147"/>
      <c r="AJ6082" s="80"/>
      <c r="AK6082" s="80"/>
      <c r="AL6082" s="86"/>
      <c r="AM6082" s="86"/>
      <c r="AN6082" s="86"/>
      <c r="AO6082" s="86"/>
      <c r="AP6082" s="86"/>
    </row>
    <row r="6083" spans="1:42" x14ac:dyDescent="0.2">
      <c r="A6083" s="38">
        <v>45707</v>
      </c>
      <c r="B6083" s="137"/>
      <c r="C6083" s="41" t="s">
        <v>118</v>
      </c>
      <c r="D6083" s="80" t="s">
        <v>77</v>
      </c>
      <c r="E6083" s="80" t="s">
        <v>148</v>
      </c>
      <c r="F6083" s="80" t="s">
        <v>13600</v>
      </c>
      <c r="G6083" s="161" t="s">
        <v>221</v>
      </c>
      <c r="H6083" s="80" t="s">
        <v>20007</v>
      </c>
      <c r="I6083" s="17" t="str">
        <f ca="1">IFERROR(__xludf.DUMMYFUNCTION("""COMPUTED_VALUE""")," ")</f>
        <v xml:space="preserve"> </v>
      </c>
      <c r="J6083" s="143" t="s">
        <v>17173</v>
      </c>
      <c r="K6083" s="145" t="s">
        <v>17174</v>
      </c>
      <c r="L6083" s="30">
        <v>981690927</v>
      </c>
      <c r="M6083" s="80" t="s">
        <v>5429</v>
      </c>
      <c r="N6083" s="80" t="s">
        <v>3065</v>
      </c>
      <c r="O6083" s="80" t="s">
        <v>2819</v>
      </c>
      <c r="P6083" s="80" t="s">
        <v>6691</v>
      </c>
      <c r="Q6083" s="20">
        <v>7349</v>
      </c>
      <c r="R6083" s="80" t="s">
        <v>36</v>
      </c>
      <c r="S6083" s="95">
        <v>9500</v>
      </c>
      <c r="T6083" s="148">
        <v>45603</v>
      </c>
      <c r="U6083" s="77"/>
      <c r="V6083" s="78"/>
      <c r="W6083" s="85" t="s">
        <v>19650</v>
      </c>
      <c r="X6083" s="80"/>
      <c r="Y6083" s="22">
        <v>-2151</v>
      </c>
      <c r="Z6083" s="81" t="s">
        <v>50</v>
      </c>
      <c r="AA6083" s="82" t="s">
        <v>18583</v>
      </c>
      <c r="AB6083" s="86"/>
      <c r="AC6083" s="80" t="s">
        <v>53</v>
      </c>
      <c r="AD6083" s="80" t="s">
        <v>138</v>
      </c>
      <c r="AE6083" s="80" t="s">
        <v>13600</v>
      </c>
      <c r="AF6083" s="17">
        <v>45715</v>
      </c>
      <c r="AG6083" s="80" t="s">
        <v>8366</v>
      </c>
      <c r="AH6083" s="80"/>
      <c r="AI6083" s="147"/>
      <c r="AJ6083" s="83">
        <f>COUNTIF(K6083:K6202,K6083)</f>
        <v>1</v>
      </c>
      <c r="AK6083" s="80"/>
      <c r="AL6083" s="86"/>
      <c r="AM6083" s="86"/>
      <c r="AN6083" s="86"/>
      <c r="AO6083" s="86"/>
      <c r="AP6083" s="86"/>
    </row>
    <row r="6084" spans="1:42" x14ac:dyDescent="0.2">
      <c r="A6084" s="38">
        <v>45707</v>
      </c>
      <c r="B6084" s="137" t="s">
        <v>37</v>
      </c>
      <c r="C6084" s="41" t="s">
        <v>118</v>
      </c>
      <c r="D6084" s="26" t="s">
        <v>36</v>
      </c>
      <c r="E6084" s="26" t="s">
        <v>139</v>
      </c>
      <c r="F6084" s="26" t="s">
        <v>4931</v>
      </c>
      <c r="G6084" s="161" t="s">
        <v>221</v>
      </c>
      <c r="H6084" s="80" t="s">
        <v>18208</v>
      </c>
      <c r="I6084" s="17">
        <f ca="1">IFERROR(__xludf.DUMMYFUNCTION("""COMPUTED_VALUE"""),45715)</f>
        <v>45715</v>
      </c>
      <c r="J6084" s="29" t="s">
        <v>2559</v>
      </c>
      <c r="K6084" s="19" t="s">
        <v>2560</v>
      </c>
      <c r="L6084" s="30">
        <v>325434516</v>
      </c>
      <c r="M6084" s="26" t="s">
        <v>80</v>
      </c>
      <c r="N6084" s="26" t="s">
        <v>299</v>
      </c>
      <c r="O6084" s="26" t="s">
        <v>2561</v>
      </c>
      <c r="P6084" s="42" t="s">
        <v>7363</v>
      </c>
      <c r="Q6084" s="20">
        <v>15936</v>
      </c>
      <c r="R6084" s="26" t="s">
        <v>36</v>
      </c>
      <c r="S6084" s="31">
        <v>4000</v>
      </c>
      <c r="T6084" s="32">
        <v>45164</v>
      </c>
      <c r="U6084" s="31">
        <v>11936</v>
      </c>
      <c r="V6084" s="32">
        <v>45196</v>
      </c>
      <c r="W6084" s="33" t="s">
        <v>2563</v>
      </c>
      <c r="X6084" s="26"/>
      <c r="Y6084" s="22">
        <v>0</v>
      </c>
      <c r="Z6084" s="26" t="s">
        <v>118</v>
      </c>
      <c r="AA6084" s="19" t="s">
        <v>2449</v>
      </c>
      <c r="AB6084" s="26"/>
      <c r="AC6084" s="26" t="s">
        <v>53</v>
      </c>
      <c r="AD6084" s="19" t="s">
        <v>138</v>
      </c>
      <c r="AE6084" s="26" t="s">
        <v>4931</v>
      </c>
      <c r="AF6084" s="17">
        <v>45715</v>
      </c>
      <c r="AG6084" s="26"/>
      <c r="AH6084" s="26"/>
      <c r="AI6084" s="40"/>
      <c r="AJ6084" s="26"/>
      <c r="AK6084" s="26"/>
      <c r="AL6084" s="35"/>
      <c r="AM6084" s="35"/>
      <c r="AN6084" s="35"/>
      <c r="AO6084" s="35"/>
      <c r="AP6084" s="35"/>
    </row>
    <row r="6085" spans="1:42" x14ac:dyDescent="0.2">
      <c r="A6085" s="38">
        <v>45707</v>
      </c>
      <c r="B6085" s="137" t="s">
        <v>37</v>
      </c>
      <c r="C6085" s="41" t="s">
        <v>118</v>
      </c>
      <c r="D6085" s="80" t="s">
        <v>36</v>
      </c>
      <c r="E6085" s="80" t="s">
        <v>139</v>
      </c>
      <c r="F6085" s="80" t="s">
        <v>14007</v>
      </c>
      <c r="G6085" s="161" t="s">
        <v>221</v>
      </c>
      <c r="H6085" s="80" t="s">
        <v>20000</v>
      </c>
      <c r="I6085" s="17">
        <f ca="1">IFERROR(__xludf.DUMMYFUNCTION("""COMPUTED_VALUE"""),45719)</f>
        <v>45719</v>
      </c>
      <c r="J6085" s="143" t="s">
        <v>14008</v>
      </c>
      <c r="K6085" s="145" t="s">
        <v>20008</v>
      </c>
      <c r="L6085" s="30">
        <v>352268163</v>
      </c>
      <c r="M6085" s="80" t="s">
        <v>123</v>
      </c>
      <c r="N6085" s="80" t="s">
        <v>186</v>
      </c>
      <c r="O6085" s="80" t="s">
        <v>4503</v>
      </c>
      <c r="P6085" s="80" t="s">
        <v>3487</v>
      </c>
      <c r="Q6085" s="20">
        <v>15936</v>
      </c>
      <c r="R6085" s="80" t="s">
        <v>70</v>
      </c>
      <c r="S6085" s="95">
        <f>200+2800</f>
        <v>3000</v>
      </c>
      <c r="T6085" s="83" t="s">
        <v>14010</v>
      </c>
      <c r="U6085" s="95">
        <v>12836</v>
      </c>
      <c r="V6085" s="148">
        <v>45574</v>
      </c>
      <c r="W6085" s="85" t="s">
        <v>14011</v>
      </c>
      <c r="X6085" s="80"/>
      <c r="Y6085" s="22">
        <v>100</v>
      </c>
      <c r="Z6085" s="80" t="s">
        <v>50</v>
      </c>
      <c r="AA6085" s="96" t="s">
        <v>9905</v>
      </c>
      <c r="AB6085" s="80"/>
      <c r="AC6085" s="80" t="s">
        <v>53</v>
      </c>
      <c r="AD6085" s="80" t="s">
        <v>138</v>
      </c>
      <c r="AE6085" s="80" t="s">
        <v>14007</v>
      </c>
      <c r="AF6085" s="17">
        <v>45719</v>
      </c>
      <c r="AG6085" s="80"/>
      <c r="AH6085" s="80"/>
      <c r="AI6085" s="147"/>
      <c r="AJ6085" s="80"/>
      <c r="AK6085" s="80"/>
      <c r="AL6085" s="86"/>
      <c r="AM6085" s="86"/>
      <c r="AN6085" s="86"/>
      <c r="AO6085" s="86"/>
      <c r="AP6085" s="86"/>
    </row>
    <row r="6086" spans="1:42" x14ac:dyDescent="0.2">
      <c r="A6086" s="38">
        <v>45707</v>
      </c>
      <c r="B6086" s="137" t="s">
        <v>37</v>
      </c>
      <c r="C6086" s="41" t="s">
        <v>118</v>
      </c>
      <c r="D6086" s="80" t="s">
        <v>36</v>
      </c>
      <c r="E6086" s="80" t="s">
        <v>139</v>
      </c>
      <c r="F6086" s="80" t="s">
        <v>14007</v>
      </c>
      <c r="G6086" s="161" t="s">
        <v>221</v>
      </c>
      <c r="H6086" s="80" t="s">
        <v>20000</v>
      </c>
      <c r="I6086" s="17">
        <f ca="1">IFERROR(__xludf.DUMMYFUNCTION("""COMPUTED_VALUE"""),45719)</f>
        <v>45719</v>
      </c>
      <c r="J6086" s="143" t="s">
        <v>13075</v>
      </c>
      <c r="K6086" s="145" t="s">
        <v>14012</v>
      </c>
      <c r="L6086" s="30">
        <v>971006184</v>
      </c>
      <c r="M6086" s="80" t="s">
        <v>45</v>
      </c>
      <c r="N6086" s="80" t="s">
        <v>13077</v>
      </c>
      <c r="O6086" s="80" t="s">
        <v>13078</v>
      </c>
      <c r="P6086" s="80" t="s">
        <v>13079</v>
      </c>
      <c r="Q6086" s="20">
        <v>15936</v>
      </c>
      <c r="R6086" s="80" t="s">
        <v>36</v>
      </c>
      <c r="S6086" s="95">
        <v>15936</v>
      </c>
      <c r="T6086" s="148">
        <v>45548</v>
      </c>
      <c r="U6086" s="77"/>
      <c r="V6086" s="78"/>
      <c r="W6086" s="85" t="s">
        <v>13080</v>
      </c>
      <c r="X6086" s="83">
        <v>0</v>
      </c>
      <c r="Y6086" s="22">
        <v>0</v>
      </c>
      <c r="Z6086" s="81" t="s">
        <v>50</v>
      </c>
      <c r="AA6086" s="86" t="s">
        <v>3291</v>
      </c>
      <c r="AB6086" s="80"/>
      <c r="AC6086" s="80" t="s">
        <v>53</v>
      </c>
      <c r="AD6086" s="80" t="s">
        <v>138</v>
      </c>
      <c r="AE6086" s="80" t="s">
        <v>14007</v>
      </c>
      <c r="AF6086" s="17">
        <v>45719</v>
      </c>
      <c r="AG6086" s="80"/>
      <c r="AH6086" s="80"/>
      <c r="AI6086" s="147" t="s">
        <v>147</v>
      </c>
      <c r="AJ6086" s="80"/>
      <c r="AK6086" s="80"/>
      <c r="AL6086" s="86"/>
      <c r="AM6086" s="86"/>
      <c r="AN6086" s="86"/>
      <c r="AO6086" s="86"/>
      <c r="AP6086" s="86"/>
    </row>
    <row r="6087" spans="1:42" x14ac:dyDescent="0.2">
      <c r="A6087" s="38">
        <v>45707</v>
      </c>
      <c r="B6087" s="137" t="s">
        <v>37</v>
      </c>
      <c r="C6087" s="41" t="s">
        <v>118</v>
      </c>
      <c r="D6087" s="80" t="s">
        <v>36</v>
      </c>
      <c r="E6087" s="80" t="s">
        <v>139</v>
      </c>
      <c r="F6087" s="80" t="s">
        <v>14007</v>
      </c>
      <c r="G6087" s="161" t="s">
        <v>221</v>
      </c>
      <c r="H6087" s="80" t="s">
        <v>20000</v>
      </c>
      <c r="I6087" s="17">
        <f ca="1">IFERROR(__xludf.DUMMYFUNCTION("""COMPUTED_VALUE"""),45719)</f>
        <v>45719</v>
      </c>
      <c r="J6087" s="143" t="s">
        <v>14013</v>
      </c>
      <c r="K6087" s="145" t="s">
        <v>14014</v>
      </c>
      <c r="L6087" s="30">
        <v>366221180</v>
      </c>
      <c r="M6087" s="80" t="s">
        <v>123</v>
      </c>
      <c r="N6087" s="80" t="s">
        <v>327</v>
      </c>
      <c r="O6087" s="80" t="s">
        <v>4503</v>
      </c>
      <c r="P6087" s="80" t="s">
        <v>3487</v>
      </c>
      <c r="Q6087" s="20">
        <v>15936</v>
      </c>
      <c r="R6087" s="80" t="s">
        <v>70</v>
      </c>
      <c r="S6087" s="95">
        <f>200+2800</f>
        <v>3000</v>
      </c>
      <c r="T6087" s="148" t="s">
        <v>14015</v>
      </c>
      <c r="U6087" s="95">
        <v>12836</v>
      </c>
      <c r="V6087" s="148">
        <v>45566</v>
      </c>
      <c r="W6087" s="85" t="s">
        <v>14016</v>
      </c>
      <c r="X6087" s="80"/>
      <c r="Y6087" s="22">
        <v>100</v>
      </c>
      <c r="Z6087" s="41" t="s">
        <v>118</v>
      </c>
      <c r="AA6087" s="82"/>
      <c r="AB6087" s="80"/>
      <c r="AC6087" s="80" t="s">
        <v>53</v>
      </c>
      <c r="AD6087" s="80" t="s">
        <v>138</v>
      </c>
      <c r="AE6087" s="80" t="s">
        <v>14007</v>
      </c>
      <c r="AF6087" s="17">
        <v>45719</v>
      </c>
      <c r="AG6087" s="80"/>
      <c r="AH6087" s="80"/>
      <c r="AI6087" s="147"/>
      <c r="AJ6087" s="80"/>
      <c r="AK6087" s="80"/>
      <c r="AL6087" s="86"/>
      <c r="AM6087" s="86"/>
      <c r="AN6087" s="86"/>
      <c r="AO6087" s="86"/>
      <c r="AP6087" s="86"/>
    </row>
    <row r="6088" spans="1:42" x14ac:dyDescent="0.2">
      <c r="A6088" s="38">
        <v>45707</v>
      </c>
      <c r="B6088" s="137" t="s">
        <v>37</v>
      </c>
      <c r="C6088" s="41" t="s">
        <v>118</v>
      </c>
      <c r="D6088" s="80" t="s">
        <v>36</v>
      </c>
      <c r="E6088" s="80" t="s">
        <v>139</v>
      </c>
      <c r="F6088" s="80" t="s">
        <v>14007</v>
      </c>
      <c r="G6088" s="161" t="s">
        <v>221</v>
      </c>
      <c r="H6088" s="80" t="s">
        <v>18208</v>
      </c>
      <c r="I6088" s="17">
        <f ca="1">IFERROR(__xludf.DUMMYFUNCTION("""COMPUTED_VALUE"""),45715)</f>
        <v>45715</v>
      </c>
      <c r="J6088" s="143" t="s">
        <v>14027</v>
      </c>
      <c r="K6088" s="145" t="s">
        <v>14028</v>
      </c>
      <c r="L6088" s="30">
        <v>984778699</v>
      </c>
      <c r="M6088" s="80" t="s">
        <v>123</v>
      </c>
      <c r="N6088" s="80" t="s">
        <v>327</v>
      </c>
      <c r="O6088" s="80" t="s">
        <v>4503</v>
      </c>
      <c r="P6088" s="80" t="s">
        <v>3487</v>
      </c>
      <c r="Q6088" s="20">
        <v>15936</v>
      </c>
      <c r="R6088" s="80" t="s">
        <v>1106</v>
      </c>
      <c r="S6088" s="95">
        <f>200+1800</f>
        <v>2000</v>
      </c>
      <c r="T6088" s="148" t="s">
        <v>14029</v>
      </c>
      <c r="U6088" s="95">
        <v>13750</v>
      </c>
      <c r="V6088" s="148">
        <v>45593</v>
      </c>
      <c r="W6088" s="85" t="s">
        <v>14030</v>
      </c>
      <c r="X6088" s="80"/>
      <c r="Y6088" s="22">
        <v>186</v>
      </c>
      <c r="Z6088" s="41" t="s">
        <v>118</v>
      </c>
      <c r="AA6088" s="86"/>
      <c r="AB6088" s="80"/>
      <c r="AC6088" s="80" t="s">
        <v>53</v>
      </c>
      <c r="AD6088" s="80" t="s">
        <v>138</v>
      </c>
      <c r="AE6088" s="80" t="s">
        <v>14007</v>
      </c>
      <c r="AF6088" s="17">
        <v>45715</v>
      </c>
      <c r="AG6088" s="80"/>
      <c r="AH6088" s="80"/>
      <c r="AI6088" s="147"/>
      <c r="AJ6088" s="80"/>
      <c r="AK6088" s="80"/>
      <c r="AL6088" s="86"/>
      <c r="AM6088" s="86"/>
      <c r="AN6088" s="86"/>
      <c r="AO6088" s="86"/>
      <c r="AP6088" s="86"/>
    </row>
    <row r="6089" spans="1:42" x14ac:dyDescent="0.2">
      <c r="A6089" s="38">
        <v>45707</v>
      </c>
      <c r="B6089" s="137" t="s">
        <v>37</v>
      </c>
      <c r="C6089" s="41" t="s">
        <v>118</v>
      </c>
      <c r="D6089" s="80" t="s">
        <v>36</v>
      </c>
      <c r="E6089" s="80" t="s">
        <v>139</v>
      </c>
      <c r="F6089" s="80" t="s">
        <v>14007</v>
      </c>
      <c r="G6089" s="161" t="s">
        <v>221</v>
      </c>
      <c r="H6089" s="80" t="s">
        <v>13760</v>
      </c>
      <c r="I6089" s="17">
        <f ca="1">IFERROR(__xludf.DUMMYFUNCTION("""COMPUTED_VALUE"""),45810)</f>
        <v>45810</v>
      </c>
      <c r="J6089" s="143" t="s">
        <v>12568</v>
      </c>
      <c r="K6089" s="145" t="s">
        <v>20009</v>
      </c>
      <c r="L6089" s="30">
        <v>769427056</v>
      </c>
      <c r="M6089" s="80" t="s">
        <v>123</v>
      </c>
      <c r="N6089" s="80" t="s">
        <v>2847</v>
      </c>
      <c r="O6089" s="80" t="s">
        <v>4503</v>
      </c>
      <c r="P6089" s="80" t="s">
        <v>3487</v>
      </c>
      <c r="Q6089" s="20">
        <v>15936</v>
      </c>
      <c r="R6089" s="80" t="s">
        <v>36</v>
      </c>
      <c r="S6089" s="95">
        <v>2000</v>
      </c>
      <c r="T6089" s="148">
        <v>45533</v>
      </c>
      <c r="U6089" s="178">
        <v>13936</v>
      </c>
      <c r="V6089" s="169">
        <v>45560</v>
      </c>
      <c r="W6089" s="85" t="s">
        <v>12570</v>
      </c>
      <c r="X6089" s="83">
        <v>0</v>
      </c>
      <c r="Y6089" s="22">
        <v>0</v>
      </c>
      <c r="Z6089" s="81" t="s">
        <v>50</v>
      </c>
      <c r="AA6089" s="82" t="s">
        <v>3291</v>
      </c>
      <c r="AB6089" s="80"/>
      <c r="AC6089" s="80" t="s">
        <v>53</v>
      </c>
      <c r="AD6089" s="80" t="s">
        <v>138</v>
      </c>
      <c r="AE6089" s="80" t="s">
        <v>14007</v>
      </c>
      <c r="AF6089" s="17">
        <v>45719</v>
      </c>
      <c r="AG6089" s="80" t="s">
        <v>8366</v>
      </c>
      <c r="AH6089" s="80"/>
      <c r="AI6089" s="147" t="s">
        <v>147</v>
      </c>
      <c r="AJ6089" s="80"/>
      <c r="AK6089" s="80"/>
      <c r="AL6089" s="86"/>
      <c r="AM6089" s="86"/>
      <c r="AN6089" s="86"/>
      <c r="AO6089" s="86"/>
      <c r="AP6089" s="86"/>
    </row>
    <row r="6090" spans="1:42" x14ac:dyDescent="0.2">
      <c r="A6090" s="38">
        <v>45707</v>
      </c>
      <c r="B6090" s="137" t="s">
        <v>37</v>
      </c>
      <c r="C6090" s="41" t="s">
        <v>118</v>
      </c>
      <c r="D6090" s="80" t="s">
        <v>36</v>
      </c>
      <c r="E6090" s="80" t="s">
        <v>139</v>
      </c>
      <c r="F6090" s="80" t="s">
        <v>14007</v>
      </c>
      <c r="G6090" s="161" t="s">
        <v>221</v>
      </c>
      <c r="H6090" s="80" t="s">
        <v>20000</v>
      </c>
      <c r="I6090" s="17">
        <f ca="1">IFERROR(__xludf.DUMMYFUNCTION("""COMPUTED_VALUE"""),45719)</f>
        <v>45719</v>
      </c>
      <c r="J6090" s="143" t="s">
        <v>14061</v>
      </c>
      <c r="K6090" s="145" t="s">
        <v>14062</v>
      </c>
      <c r="L6090" s="30">
        <v>862107206</v>
      </c>
      <c r="M6090" s="80" t="s">
        <v>123</v>
      </c>
      <c r="N6090" s="80" t="s">
        <v>327</v>
      </c>
      <c r="O6090" s="80" t="s">
        <v>4503</v>
      </c>
      <c r="P6090" s="80" t="s">
        <v>3487</v>
      </c>
      <c r="Q6090" s="20">
        <v>15936</v>
      </c>
      <c r="R6090" s="80" t="s">
        <v>36</v>
      </c>
      <c r="S6090" s="95">
        <v>2200</v>
      </c>
      <c r="T6090" s="78" t="s">
        <v>14063</v>
      </c>
      <c r="U6090" s="95">
        <v>13736</v>
      </c>
      <c r="V6090" s="148">
        <v>45566</v>
      </c>
      <c r="W6090" s="80" t="s">
        <v>14064</v>
      </c>
      <c r="X6090" s="86"/>
      <c r="Y6090" s="22">
        <v>0</v>
      </c>
      <c r="Z6090" s="81" t="s">
        <v>50</v>
      </c>
      <c r="AA6090" s="86" t="s">
        <v>9905</v>
      </c>
      <c r="AB6090" s="80"/>
      <c r="AC6090" s="80" t="s">
        <v>53</v>
      </c>
      <c r="AD6090" s="80" t="s">
        <v>138</v>
      </c>
      <c r="AE6090" s="80" t="s">
        <v>14007</v>
      </c>
      <c r="AF6090" s="17">
        <v>45719</v>
      </c>
      <c r="AG6090" s="80"/>
      <c r="AH6090" s="80"/>
      <c r="AI6090" s="147"/>
      <c r="AJ6090" s="80"/>
      <c r="AK6090" s="80"/>
      <c r="AL6090" s="86"/>
      <c r="AM6090" s="86"/>
      <c r="AN6090" s="86"/>
      <c r="AO6090" s="86"/>
      <c r="AP6090" s="86"/>
    </row>
    <row r="6091" spans="1:42" x14ac:dyDescent="0.2">
      <c r="A6091" s="38">
        <v>45707</v>
      </c>
      <c r="B6091" s="137" t="s">
        <v>37</v>
      </c>
      <c r="C6091" s="41" t="s">
        <v>118</v>
      </c>
      <c r="D6091" s="80" t="s">
        <v>36</v>
      </c>
      <c r="E6091" s="80" t="s">
        <v>56</v>
      </c>
      <c r="F6091" s="80" t="s">
        <v>14007</v>
      </c>
      <c r="G6091" s="161" t="s">
        <v>221</v>
      </c>
      <c r="H6091" s="80" t="s">
        <v>20000</v>
      </c>
      <c r="I6091" s="17">
        <f ca="1">IFERROR(__xludf.DUMMYFUNCTION("""COMPUTED_VALUE"""),45719)</f>
        <v>45719</v>
      </c>
      <c r="J6091" s="143" t="s">
        <v>11708</v>
      </c>
      <c r="K6091" s="145" t="s">
        <v>11709</v>
      </c>
      <c r="L6091" s="30">
        <v>332252290</v>
      </c>
      <c r="M6091" s="80" t="s">
        <v>59</v>
      </c>
      <c r="N6091" s="80" t="s">
        <v>68</v>
      </c>
      <c r="O6091" s="80" t="s">
        <v>11710</v>
      </c>
      <c r="P6091" s="80" t="s">
        <v>11711</v>
      </c>
      <c r="Q6091" s="20">
        <v>9317</v>
      </c>
      <c r="R6091" s="80" t="s">
        <v>70</v>
      </c>
      <c r="S6091" s="95">
        <f t="shared" ref="S6091:S6092" si="176">200+9017</f>
        <v>9217</v>
      </c>
      <c r="T6091" s="148" t="s">
        <v>11712</v>
      </c>
      <c r="U6091" s="77"/>
      <c r="V6091" s="78"/>
      <c r="W6091" s="85" t="s">
        <v>11713</v>
      </c>
      <c r="X6091" s="83">
        <v>100</v>
      </c>
      <c r="Y6091" s="22">
        <v>0</v>
      </c>
      <c r="Z6091" s="81" t="s">
        <v>50</v>
      </c>
      <c r="AA6091" s="82" t="s">
        <v>10314</v>
      </c>
      <c r="AB6091" s="80"/>
      <c r="AC6091" s="80" t="s">
        <v>53</v>
      </c>
      <c r="AD6091" s="80" t="s">
        <v>138</v>
      </c>
      <c r="AE6091" s="80" t="s">
        <v>14007</v>
      </c>
      <c r="AF6091" s="17">
        <v>45719</v>
      </c>
      <c r="AG6091" s="80"/>
      <c r="AH6091" s="80"/>
      <c r="AI6091" s="147"/>
      <c r="AJ6091" s="80"/>
      <c r="AK6091" s="80"/>
      <c r="AL6091" s="86"/>
      <c r="AM6091" s="86"/>
      <c r="AN6091" s="86"/>
      <c r="AO6091" s="86"/>
      <c r="AP6091" s="86"/>
    </row>
    <row r="6092" spans="1:42" x14ac:dyDescent="0.2">
      <c r="A6092" s="38">
        <v>45707</v>
      </c>
      <c r="B6092" s="137" t="s">
        <v>37</v>
      </c>
      <c r="C6092" s="41" t="s">
        <v>118</v>
      </c>
      <c r="D6092" s="80" t="s">
        <v>36</v>
      </c>
      <c r="E6092" s="80" t="s">
        <v>56</v>
      </c>
      <c r="F6092" s="80" t="s">
        <v>14007</v>
      </c>
      <c r="G6092" s="161" t="s">
        <v>221</v>
      </c>
      <c r="H6092" s="80" t="s">
        <v>20000</v>
      </c>
      <c r="I6092" s="17">
        <f ca="1">IFERROR(__xludf.DUMMYFUNCTION("""COMPUTED_VALUE"""),45719)</f>
        <v>45719</v>
      </c>
      <c r="J6092" s="143" t="s">
        <v>11714</v>
      </c>
      <c r="K6092" s="145" t="s">
        <v>11715</v>
      </c>
      <c r="L6092" s="30">
        <v>335722690</v>
      </c>
      <c r="M6092" s="80" t="s">
        <v>59</v>
      </c>
      <c r="N6092" s="80" t="s">
        <v>68</v>
      </c>
      <c r="O6092" s="80" t="s">
        <v>11716</v>
      </c>
      <c r="P6092" s="80" t="s">
        <v>11711</v>
      </c>
      <c r="Q6092" s="20">
        <v>9317</v>
      </c>
      <c r="R6092" s="80" t="s">
        <v>70</v>
      </c>
      <c r="S6092" s="95">
        <f t="shared" si="176"/>
        <v>9217</v>
      </c>
      <c r="T6092" s="148" t="s">
        <v>11712</v>
      </c>
      <c r="U6092" s="77"/>
      <c r="V6092" s="78"/>
      <c r="W6092" s="85" t="s">
        <v>11717</v>
      </c>
      <c r="X6092" s="83">
        <v>100</v>
      </c>
      <c r="Y6092" s="22">
        <v>0</v>
      </c>
      <c r="Z6092" s="81" t="s">
        <v>50</v>
      </c>
      <c r="AA6092" s="86" t="s">
        <v>10314</v>
      </c>
      <c r="AB6092" s="80"/>
      <c r="AC6092" s="80" t="s">
        <v>53</v>
      </c>
      <c r="AD6092" s="80" t="s">
        <v>138</v>
      </c>
      <c r="AE6092" s="80" t="s">
        <v>14007</v>
      </c>
      <c r="AF6092" s="17">
        <v>45719</v>
      </c>
      <c r="AG6092" s="80"/>
      <c r="AH6092" s="80"/>
      <c r="AI6092" s="147"/>
      <c r="AJ6092" s="80"/>
      <c r="AK6092" s="80"/>
      <c r="AL6092" s="86"/>
      <c r="AM6092" s="86"/>
      <c r="AN6092" s="86"/>
      <c r="AO6092" s="86"/>
      <c r="AP6092" s="86"/>
    </row>
    <row r="6093" spans="1:42" x14ac:dyDescent="0.2">
      <c r="A6093" s="38">
        <v>45707</v>
      </c>
      <c r="B6093" s="137" t="s">
        <v>37</v>
      </c>
      <c r="C6093" s="41" t="s">
        <v>118</v>
      </c>
      <c r="D6093" s="80" t="s">
        <v>36</v>
      </c>
      <c r="E6093" s="80" t="s">
        <v>139</v>
      </c>
      <c r="F6093" s="80" t="s">
        <v>14007</v>
      </c>
      <c r="G6093" s="161" t="s">
        <v>221</v>
      </c>
      <c r="H6093" s="80" t="s">
        <v>20000</v>
      </c>
      <c r="I6093" s="17">
        <f ca="1">IFERROR(__xludf.DUMMYFUNCTION("""COMPUTED_VALUE"""),45719)</f>
        <v>45719</v>
      </c>
      <c r="J6093" s="143" t="s">
        <v>14162</v>
      </c>
      <c r="K6093" s="145" t="s">
        <v>14163</v>
      </c>
      <c r="L6093" s="30">
        <v>326210386</v>
      </c>
      <c r="M6093" s="80" t="s">
        <v>5518</v>
      </c>
      <c r="N6093" s="80"/>
      <c r="O6093" s="80" t="s">
        <v>14164</v>
      </c>
      <c r="P6093" s="80" t="s">
        <v>2641</v>
      </c>
      <c r="Q6093" s="20">
        <v>15936</v>
      </c>
      <c r="R6093" s="80" t="s">
        <v>36</v>
      </c>
      <c r="S6093" s="95">
        <f>200+1800</f>
        <v>2000</v>
      </c>
      <c r="T6093" s="148" t="s">
        <v>14165</v>
      </c>
      <c r="U6093" s="95">
        <v>13936</v>
      </c>
      <c r="V6093" s="148">
        <v>45596</v>
      </c>
      <c r="W6093" s="85" t="s">
        <v>14166</v>
      </c>
      <c r="X6093" s="80"/>
      <c r="Y6093" s="22">
        <v>0</v>
      </c>
      <c r="Z6093" s="41" t="s">
        <v>118</v>
      </c>
      <c r="AA6093" s="82"/>
      <c r="AB6093" s="80"/>
      <c r="AC6093" s="80" t="s">
        <v>53</v>
      </c>
      <c r="AD6093" s="80" t="s">
        <v>54</v>
      </c>
      <c r="AE6093" s="80" t="s">
        <v>14007</v>
      </c>
      <c r="AF6093" s="17">
        <v>45719</v>
      </c>
      <c r="AG6093" s="80"/>
      <c r="AH6093" s="80"/>
      <c r="AI6093" s="147"/>
      <c r="AJ6093" s="80"/>
      <c r="AK6093" s="80"/>
      <c r="AL6093" s="86"/>
      <c r="AM6093" s="86"/>
      <c r="AN6093" s="86"/>
      <c r="AO6093" s="86"/>
      <c r="AP6093" s="86"/>
    </row>
    <row r="6094" spans="1:42" x14ac:dyDescent="0.2">
      <c r="A6094" s="38">
        <v>45707</v>
      </c>
      <c r="B6094" s="137" t="s">
        <v>37</v>
      </c>
      <c r="C6094" s="41" t="s">
        <v>118</v>
      </c>
      <c r="D6094" s="80" t="s">
        <v>36</v>
      </c>
      <c r="E6094" s="80" t="s">
        <v>139</v>
      </c>
      <c r="F6094" s="80" t="s">
        <v>14007</v>
      </c>
      <c r="G6094" s="161" t="s">
        <v>221</v>
      </c>
      <c r="H6094" s="80" t="s">
        <v>20000</v>
      </c>
      <c r="I6094" s="17">
        <f ca="1">IFERROR(__xludf.DUMMYFUNCTION("""COMPUTED_VALUE"""),45719)</f>
        <v>45719</v>
      </c>
      <c r="J6094" s="143" t="s">
        <v>14167</v>
      </c>
      <c r="K6094" s="145" t="s">
        <v>14168</v>
      </c>
      <c r="L6094" s="30">
        <v>364470393</v>
      </c>
      <c r="M6094" s="80" t="s">
        <v>80</v>
      </c>
      <c r="N6094" s="80" t="s">
        <v>1073</v>
      </c>
      <c r="O6094" s="80" t="s">
        <v>14169</v>
      </c>
      <c r="P6094" s="80" t="s">
        <v>2641</v>
      </c>
      <c r="Q6094" s="20">
        <v>15936</v>
      </c>
      <c r="R6094" s="80" t="s">
        <v>70</v>
      </c>
      <c r="S6094" s="95">
        <v>2000</v>
      </c>
      <c r="T6094" s="148">
        <v>45530</v>
      </c>
      <c r="U6094" s="95">
        <v>13936</v>
      </c>
      <c r="V6094" s="148">
        <v>45595</v>
      </c>
      <c r="W6094" s="85" t="s">
        <v>14170</v>
      </c>
      <c r="X6094" s="80"/>
      <c r="Y6094" s="22">
        <v>0</v>
      </c>
      <c r="Z6094" s="81" t="s">
        <v>50</v>
      </c>
      <c r="AA6094" s="86"/>
      <c r="AB6094" s="80"/>
      <c r="AC6094" s="80" t="s">
        <v>53</v>
      </c>
      <c r="AD6094" s="80" t="s">
        <v>138</v>
      </c>
      <c r="AE6094" s="80" t="s">
        <v>14007</v>
      </c>
      <c r="AF6094" s="17">
        <v>45719</v>
      </c>
      <c r="AG6094" s="80"/>
      <c r="AH6094" s="80"/>
      <c r="AI6094" s="147"/>
      <c r="AJ6094" s="80"/>
      <c r="AK6094" s="80"/>
      <c r="AL6094" s="86"/>
      <c r="AM6094" s="86"/>
      <c r="AN6094" s="86"/>
      <c r="AO6094" s="86"/>
      <c r="AP6094" s="86"/>
    </row>
    <row r="6095" spans="1:42" x14ac:dyDescent="0.2">
      <c r="A6095" s="38">
        <v>45707</v>
      </c>
      <c r="B6095" s="137" t="s">
        <v>37</v>
      </c>
      <c r="C6095" s="41" t="s">
        <v>118</v>
      </c>
      <c r="D6095" s="80" t="s">
        <v>36</v>
      </c>
      <c r="E6095" s="80" t="s">
        <v>148</v>
      </c>
      <c r="F6095" s="80" t="s">
        <v>14007</v>
      </c>
      <c r="G6095" s="161" t="s">
        <v>221</v>
      </c>
      <c r="H6095" s="80" t="s">
        <v>20000</v>
      </c>
      <c r="I6095" s="17">
        <f ca="1">IFERROR(__xludf.DUMMYFUNCTION("""COMPUTED_VALUE"""),45719)</f>
        <v>45719</v>
      </c>
      <c r="J6095" s="143" t="s">
        <v>16445</v>
      </c>
      <c r="K6095" s="145" t="s">
        <v>16446</v>
      </c>
      <c r="L6095" s="30">
        <v>333148995</v>
      </c>
      <c r="M6095" s="80" t="s">
        <v>348</v>
      </c>
      <c r="N6095" s="80" t="s">
        <v>4299</v>
      </c>
      <c r="O6095" s="80" t="s">
        <v>16447</v>
      </c>
      <c r="P6095" s="80" t="s">
        <v>7743</v>
      </c>
      <c r="Q6095" s="20">
        <v>7349</v>
      </c>
      <c r="R6095" s="80" t="s">
        <v>36</v>
      </c>
      <c r="S6095" s="95">
        <v>7349</v>
      </c>
      <c r="T6095" s="148">
        <v>45583</v>
      </c>
      <c r="U6095" s="77"/>
      <c r="V6095" s="78"/>
      <c r="W6095" s="85" t="s">
        <v>16448</v>
      </c>
      <c r="X6095" s="80"/>
      <c r="Y6095" s="22">
        <v>0</v>
      </c>
      <c r="Z6095" s="81" t="s">
        <v>50</v>
      </c>
      <c r="AA6095" s="82" t="s">
        <v>9905</v>
      </c>
      <c r="AB6095" s="80"/>
      <c r="AC6095" s="80" t="s">
        <v>53</v>
      </c>
      <c r="AD6095" s="80" t="s">
        <v>138</v>
      </c>
      <c r="AE6095" s="80" t="s">
        <v>14007</v>
      </c>
      <c r="AF6095" s="17">
        <v>45719</v>
      </c>
      <c r="AG6095" s="80"/>
      <c r="AH6095" s="80"/>
      <c r="AI6095" s="147"/>
      <c r="AJ6095" s="80"/>
      <c r="AK6095" s="80"/>
      <c r="AL6095" s="86"/>
      <c r="AM6095" s="86"/>
      <c r="AN6095" s="86"/>
      <c r="AO6095" s="86"/>
      <c r="AP6095" s="86"/>
    </row>
    <row r="6096" spans="1:42" x14ac:dyDescent="0.2">
      <c r="A6096" s="38">
        <v>45707</v>
      </c>
      <c r="B6096" s="137" t="s">
        <v>37</v>
      </c>
      <c r="C6096" s="41" t="s">
        <v>118</v>
      </c>
      <c r="D6096" s="80" t="s">
        <v>36</v>
      </c>
      <c r="E6096" s="80" t="s">
        <v>119</v>
      </c>
      <c r="F6096" s="80" t="s">
        <v>14007</v>
      </c>
      <c r="G6096" s="161" t="s">
        <v>221</v>
      </c>
      <c r="H6096" s="80" t="s">
        <v>20000</v>
      </c>
      <c r="I6096" s="17">
        <f ca="1">IFERROR(__xludf.DUMMYFUNCTION("""COMPUTED_VALUE"""),45719)</f>
        <v>45719</v>
      </c>
      <c r="J6096" s="143" t="s">
        <v>17702</v>
      </c>
      <c r="K6096" s="145" t="s">
        <v>17703</v>
      </c>
      <c r="L6096" s="30">
        <v>869607898</v>
      </c>
      <c r="M6096" s="80" t="s">
        <v>5558</v>
      </c>
      <c r="N6096" s="80" t="s">
        <v>5277</v>
      </c>
      <c r="O6096" s="80" t="s">
        <v>4503</v>
      </c>
      <c r="P6096" s="80" t="s">
        <v>3056</v>
      </c>
      <c r="Q6096" s="20">
        <v>13968</v>
      </c>
      <c r="R6096" s="80" t="s">
        <v>36</v>
      </c>
      <c r="S6096" s="95">
        <v>4000</v>
      </c>
      <c r="T6096" s="148">
        <v>45596</v>
      </c>
      <c r="U6096" s="95">
        <v>9968</v>
      </c>
      <c r="V6096" s="148">
        <v>45621</v>
      </c>
      <c r="W6096" s="85" t="s">
        <v>17704</v>
      </c>
      <c r="X6096" s="80"/>
      <c r="Y6096" s="22">
        <v>0</v>
      </c>
      <c r="Z6096" s="81" t="s">
        <v>50</v>
      </c>
      <c r="AA6096" s="86" t="s">
        <v>14723</v>
      </c>
      <c r="AB6096" s="80"/>
      <c r="AC6096" s="80" t="s">
        <v>53</v>
      </c>
      <c r="AD6096" s="80" t="s">
        <v>138</v>
      </c>
      <c r="AE6096" s="80" t="s">
        <v>14007</v>
      </c>
      <c r="AF6096" s="17">
        <v>45719</v>
      </c>
      <c r="AG6096" s="80"/>
      <c r="AH6096" s="80"/>
      <c r="AI6096" s="147"/>
      <c r="AJ6096" s="80"/>
      <c r="AK6096" s="80"/>
      <c r="AL6096" s="86"/>
      <c r="AM6096" s="86"/>
      <c r="AN6096" s="86"/>
      <c r="AO6096" s="86"/>
      <c r="AP6096" s="86"/>
    </row>
    <row r="6097" spans="1:42" x14ac:dyDescent="0.2">
      <c r="A6097" s="38">
        <v>45707</v>
      </c>
      <c r="B6097" s="137" t="s">
        <v>37</v>
      </c>
      <c r="C6097" s="41" t="s">
        <v>118</v>
      </c>
      <c r="D6097" s="80" t="s">
        <v>36</v>
      </c>
      <c r="E6097" s="80" t="s">
        <v>119</v>
      </c>
      <c r="F6097" s="80" t="s">
        <v>14007</v>
      </c>
      <c r="G6097" s="161" t="s">
        <v>221</v>
      </c>
      <c r="H6097" s="80" t="s">
        <v>20000</v>
      </c>
      <c r="I6097" s="17">
        <f ca="1">IFERROR(__xludf.DUMMYFUNCTION("""COMPUTED_VALUE"""),45719)</f>
        <v>45719</v>
      </c>
      <c r="J6097" s="143" t="s">
        <v>17705</v>
      </c>
      <c r="K6097" s="145" t="s">
        <v>17706</v>
      </c>
      <c r="L6097" s="30">
        <v>868335918</v>
      </c>
      <c r="M6097" s="80" t="s">
        <v>5558</v>
      </c>
      <c r="N6097" s="80" t="s">
        <v>5277</v>
      </c>
      <c r="O6097" s="80" t="s">
        <v>4503</v>
      </c>
      <c r="P6097" s="80" t="s">
        <v>3056</v>
      </c>
      <c r="Q6097" s="20">
        <v>13968</v>
      </c>
      <c r="R6097" s="80" t="s">
        <v>36</v>
      </c>
      <c r="S6097" s="95">
        <f>200+6768</f>
        <v>6968</v>
      </c>
      <c r="T6097" s="148" t="s">
        <v>17707</v>
      </c>
      <c r="U6097" s="95">
        <v>7000</v>
      </c>
      <c r="V6097" s="148">
        <v>45619</v>
      </c>
      <c r="W6097" s="85" t="s">
        <v>17708</v>
      </c>
      <c r="X6097" s="80"/>
      <c r="Y6097" s="22">
        <v>0</v>
      </c>
      <c r="Z6097" s="81" t="s">
        <v>50</v>
      </c>
      <c r="AA6097" s="82" t="s">
        <v>14723</v>
      </c>
      <c r="AB6097" s="80"/>
      <c r="AC6097" s="80" t="s">
        <v>53</v>
      </c>
      <c r="AD6097" s="80" t="s">
        <v>138</v>
      </c>
      <c r="AE6097" s="80" t="s">
        <v>14007</v>
      </c>
      <c r="AF6097" s="17">
        <v>45719</v>
      </c>
      <c r="AG6097" s="80"/>
      <c r="AH6097" s="80"/>
      <c r="AI6097" s="147"/>
      <c r="AJ6097" s="80"/>
      <c r="AK6097" s="80"/>
      <c r="AL6097" s="86"/>
      <c r="AM6097" s="86"/>
      <c r="AN6097" s="86"/>
      <c r="AO6097" s="86"/>
      <c r="AP6097" s="86"/>
    </row>
    <row r="6098" spans="1:42" x14ac:dyDescent="0.2">
      <c r="A6098" s="38">
        <v>45707</v>
      </c>
      <c r="B6098" s="137" t="s">
        <v>37</v>
      </c>
      <c r="C6098" s="41" t="s">
        <v>118</v>
      </c>
      <c r="D6098" s="80" t="s">
        <v>36</v>
      </c>
      <c r="E6098" s="80" t="s">
        <v>119</v>
      </c>
      <c r="F6098" s="80" t="s">
        <v>14007</v>
      </c>
      <c r="G6098" s="161" t="s">
        <v>221</v>
      </c>
      <c r="H6098" s="80" t="s">
        <v>20000</v>
      </c>
      <c r="I6098" s="17">
        <f ca="1">IFERROR(__xludf.DUMMYFUNCTION("""COMPUTED_VALUE"""),45719)</f>
        <v>45719</v>
      </c>
      <c r="J6098" s="143" t="s">
        <v>17836</v>
      </c>
      <c r="K6098" s="145" t="s">
        <v>17837</v>
      </c>
      <c r="L6098" s="30">
        <v>335681683</v>
      </c>
      <c r="M6098" s="80" t="s">
        <v>45</v>
      </c>
      <c r="N6098" s="80" t="s">
        <v>12712</v>
      </c>
      <c r="O6098" s="80" t="s">
        <v>17838</v>
      </c>
      <c r="P6098" s="80" t="s">
        <v>3694</v>
      </c>
      <c r="Q6098" s="20">
        <v>13968</v>
      </c>
      <c r="R6098" s="80" t="s">
        <v>36</v>
      </c>
      <c r="S6098" s="95">
        <v>14000</v>
      </c>
      <c r="T6098" s="148">
        <v>45601</v>
      </c>
      <c r="U6098" s="77"/>
      <c r="V6098" s="78"/>
      <c r="W6098" s="85" t="s">
        <v>17839</v>
      </c>
      <c r="X6098" s="80"/>
      <c r="Y6098" s="22">
        <v>-32</v>
      </c>
      <c r="Z6098" s="81" t="s">
        <v>50</v>
      </c>
      <c r="AA6098" s="86" t="s">
        <v>14723</v>
      </c>
      <c r="AB6098" s="80"/>
      <c r="AC6098" s="80" t="s">
        <v>53</v>
      </c>
      <c r="AD6098" s="80" t="s">
        <v>138</v>
      </c>
      <c r="AE6098" s="80" t="s">
        <v>14007</v>
      </c>
      <c r="AF6098" s="17">
        <v>45719</v>
      </c>
      <c r="AG6098" s="80"/>
      <c r="AH6098" s="80"/>
      <c r="AI6098" s="147"/>
      <c r="AJ6098" s="80"/>
      <c r="AK6098" s="80"/>
      <c r="AL6098" s="86"/>
      <c r="AM6098" s="86"/>
      <c r="AN6098" s="86"/>
      <c r="AO6098" s="86"/>
      <c r="AP6098" s="86"/>
    </row>
    <row r="6099" spans="1:42" x14ac:dyDescent="0.2">
      <c r="A6099" s="38">
        <v>45707</v>
      </c>
      <c r="B6099" s="137" t="s">
        <v>37</v>
      </c>
      <c r="C6099" s="41" t="s">
        <v>118</v>
      </c>
      <c r="D6099" s="80" t="s">
        <v>36</v>
      </c>
      <c r="E6099" s="80" t="s">
        <v>119</v>
      </c>
      <c r="F6099" s="80" t="s">
        <v>14007</v>
      </c>
      <c r="G6099" s="161" t="s">
        <v>221</v>
      </c>
      <c r="H6099" s="80" t="s">
        <v>20000</v>
      </c>
      <c r="I6099" s="17">
        <f ca="1">IFERROR(__xludf.DUMMYFUNCTION("""COMPUTED_VALUE"""),45719)</f>
        <v>45719</v>
      </c>
      <c r="J6099" s="143" t="s">
        <v>17971</v>
      </c>
      <c r="K6099" s="80" t="s">
        <v>17972</v>
      </c>
      <c r="L6099" s="30">
        <v>965971933</v>
      </c>
      <c r="M6099" s="80" t="s">
        <v>45</v>
      </c>
      <c r="N6099" s="80" t="s">
        <v>12712</v>
      </c>
      <c r="O6099" s="80" t="s">
        <v>17973</v>
      </c>
      <c r="P6099" s="80" t="s">
        <v>3694</v>
      </c>
      <c r="Q6099" s="20">
        <v>13968</v>
      </c>
      <c r="R6099" s="80" t="s">
        <v>36</v>
      </c>
      <c r="S6099" s="95">
        <v>13968</v>
      </c>
      <c r="T6099" s="148">
        <v>45605</v>
      </c>
      <c r="U6099" s="77"/>
      <c r="V6099" s="78"/>
      <c r="W6099" s="85" t="s">
        <v>17974</v>
      </c>
      <c r="X6099" s="80"/>
      <c r="Y6099" s="22">
        <v>0</v>
      </c>
      <c r="Z6099" s="81" t="s">
        <v>50</v>
      </c>
      <c r="AA6099" s="82" t="s">
        <v>14723</v>
      </c>
      <c r="AB6099" s="80"/>
      <c r="AC6099" s="80" t="s">
        <v>53</v>
      </c>
      <c r="AD6099" s="80" t="s">
        <v>138</v>
      </c>
      <c r="AE6099" s="80" t="s">
        <v>14007</v>
      </c>
      <c r="AF6099" s="17">
        <v>45719</v>
      </c>
      <c r="AG6099" s="80"/>
      <c r="AH6099" s="80"/>
      <c r="AI6099" s="147"/>
      <c r="AJ6099" s="80"/>
      <c r="AK6099" s="80"/>
      <c r="AL6099" s="86"/>
      <c r="AM6099" s="86"/>
      <c r="AN6099" s="86"/>
      <c r="AO6099" s="86"/>
      <c r="AP6099" s="86"/>
    </row>
    <row r="6100" spans="1:42" x14ac:dyDescent="0.2">
      <c r="A6100" s="38">
        <v>45707</v>
      </c>
      <c r="B6100" s="137" t="s">
        <v>37</v>
      </c>
      <c r="C6100" s="41" t="s">
        <v>118</v>
      </c>
      <c r="D6100" s="80" t="s">
        <v>36</v>
      </c>
      <c r="E6100" s="80" t="s">
        <v>56</v>
      </c>
      <c r="F6100" s="80" t="s">
        <v>16288</v>
      </c>
      <c r="G6100" s="80" t="s">
        <v>108</v>
      </c>
      <c r="H6100" s="80" t="s">
        <v>9970</v>
      </c>
      <c r="I6100" s="17">
        <f ca="1">IFERROR(__xludf.DUMMYFUNCTION("""COMPUTED_VALUE"""),45714)</f>
        <v>45714</v>
      </c>
      <c r="J6100" s="143" t="s">
        <v>16289</v>
      </c>
      <c r="K6100" s="80" t="s">
        <v>14224</v>
      </c>
      <c r="L6100" s="30">
        <v>374751175</v>
      </c>
      <c r="M6100" s="80" t="s">
        <v>15970</v>
      </c>
      <c r="N6100" s="80" t="s">
        <v>16291</v>
      </c>
      <c r="O6100" s="80" t="s">
        <v>16292</v>
      </c>
      <c r="P6100" s="80" t="s">
        <v>16293</v>
      </c>
      <c r="Q6100" s="20">
        <v>9317</v>
      </c>
      <c r="R6100" s="80" t="s">
        <v>36</v>
      </c>
      <c r="S6100" s="95">
        <f>300+7049</f>
        <v>7349</v>
      </c>
      <c r="T6100" s="83" t="s">
        <v>16294</v>
      </c>
      <c r="U6100" s="95">
        <v>1968</v>
      </c>
      <c r="V6100" s="148">
        <v>45617</v>
      </c>
      <c r="W6100" s="85" t="s">
        <v>16295</v>
      </c>
      <c r="X6100" s="80"/>
      <c r="Y6100" s="22">
        <v>0</v>
      </c>
      <c r="Z6100" s="80" t="s">
        <v>50</v>
      </c>
      <c r="AA6100" s="35" t="s">
        <v>9905</v>
      </c>
      <c r="AB6100" s="80"/>
      <c r="AC6100" s="80" t="s">
        <v>53</v>
      </c>
      <c r="AD6100" s="80" t="s">
        <v>54</v>
      </c>
      <c r="AE6100" s="80" t="s">
        <v>16288</v>
      </c>
      <c r="AF6100" s="17">
        <v>45708</v>
      </c>
      <c r="AG6100" s="80"/>
      <c r="AH6100" s="80"/>
      <c r="AI6100" s="147"/>
      <c r="AJ6100" s="80"/>
      <c r="AK6100" s="80"/>
      <c r="AL6100" s="35"/>
      <c r="AM6100" s="35"/>
      <c r="AN6100" s="35"/>
      <c r="AO6100" s="35"/>
      <c r="AP6100" s="35"/>
    </row>
    <row r="6101" spans="1:42" x14ac:dyDescent="0.2">
      <c r="A6101" s="38">
        <v>45707</v>
      </c>
      <c r="B6101" s="137" t="s">
        <v>37</v>
      </c>
      <c r="C6101" s="41" t="s">
        <v>118</v>
      </c>
      <c r="D6101" s="80" t="s">
        <v>36</v>
      </c>
      <c r="E6101" s="80" t="s">
        <v>119</v>
      </c>
      <c r="F6101" s="80" t="s">
        <v>10028</v>
      </c>
      <c r="G6101" s="80" t="s">
        <v>221</v>
      </c>
      <c r="H6101" s="80" t="s">
        <v>19448</v>
      </c>
      <c r="I6101" s="17">
        <f ca="1">IFERROR(__xludf.DUMMYFUNCTION("""COMPUTED_VALUE"""),45715)</f>
        <v>45715</v>
      </c>
      <c r="J6101" s="143" t="s">
        <v>15621</v>
      </c>
      <c r="K6101" s="80" t="s">
        <v>15622</v>
      </c>
      <c r="L6101" s="30">
        <v>986192904</v>
      </c>
      <c r="M6101" s="80" t="s">
        <v>2755</v>
      </c>
      <c r="N6101" s="80" t="s">
        <v>4402</v>
      </c>
      <c r="O6101" s="80" t="s">
        <v>4503</v>
      </c>
      <c r="P6101" s="144" t="s">
        <v>20010</v>
      </c>
      <c r="Q6101" s="20">
        <v>13968</v>
      </c>
      <c r="R6101" s="80" t="s">
        <v>36</v>
      </c>
      <c r="S6101" s="95">
        <f>200+5000</f>
        <v>5200</v>
      </c>
      <c r="T6101" s="83" t="s">
        <v>15623</v>
      </c>
      <c r="U6101" s="95">
        <v>8768</v>
      </c>
      <c r="V6101" s="148">
        <v>45588</v>
      </c>
      <c r="W6101" s="85" t="s">
        <v>15624</v>
      </c>
      <c r="X6101" s="80"/>
      <c r="Y6101" s="22">
        <v>0</v>
      </c>
      <c r="Z6101" s="80" t="s">
        <v>50</v>
      </c>
      <c r="AA6101" s="96" t="s">
        <v>9905</v>
      </c>
      <c r="AB6101" s="80"/>
      <c r="AC6101" s="80" t="s">
        <v>53</v>
      </c>
      <c r="AD6101" s="80" t="s">
        <v>138</v>
      </c>
      <c r="AE6101" s="80" t="s">
        <v>10028</v>
      </c>
      <c r="AF6101" s="17">
        <v>45712</v>
      </c>
      <c r="AG6101" s="80"/>
      <c r="AH6101" s="80"/>
      <c r="AI6101" s="147"/>
      <c r="AJ6101" s="80"/>
      <c r="AK6101" s="80"/>
      <c r="AL6101" s="35"/>
      <c r="AM6101" s="35"/>
      <c r="AN6101" s="35"/>
      <c r="AO6101" s="35"/>
      <c r="AP6101" s="35"/>
    </row>
    <row r="6102" spans="1:42" x14ac:dyDescent="0.2">
      <c r="A6102" s="38">
        <v>45707</v>
      </c>
      <c r="B6102" s="137" t="s">
        <v>37</v>
      </c>
      <c r="C6102" s="41" t="s">
        <v>118</v>
      </c>
      <c r="D6102" s="80" t="s">
        <v>36</v>
      </c>
      <c r="E6102" s="80" t="s">
        <v>119</v>
      </c>
      <c r="F6102" s="80" t="s">
        <v>6919</v>
      </c>
      <c r="G6102" s="161" t="s">
        <v>221</v>
      </c>
      <c r="H6102" s="80" t="s">
        <v>20011</v>
      </c>
      <c r="I6102" s="17">
        <f ca="1">IFERROR(__xludf.DUMMYFUNCTION("""COMPUTED_VALUE"""),45869)</f>
        <v>45869</v>
      </c>
      <c r="J6102" s="143" t="s">
        <v>14992</v>
      </c>
      <c r="K6102" s="80" t="s">
        <v>20012</v>
      </c>
      <c r="L6102" s="30">
        <v>392847370</v>
      </c>
      <c r="M6102" s="80" t="s">
        <v>5429</v>
      </c>
      <c r="N6102" s="80" t="s">
        <v>9251</v>
      </c>
      <c r="O6102" s="80" t="s">
        <v>14994</v>
      </c>
      <c r="P6102" s="80" t="s">
        <v>12597</v>
      </c>
      <c r="Q6102" s="20">
        <v>13968</v>
      </c>
      <c r="R6102" s="80" t="s">
        <v>36</v>
      </c>
      <c r="S6102" s="95">
        <f>200+3800</f>
        <v>4000</v>
      </c>
      <c r="T6102" s="83" t="s">
        <v>14995</v>
      </c>
      <c r="U6102" s="95">
        <v>9968</v>
      </c>
      <c r="V6102" s="148">
        <v>45570</v>
      </c>
      <c r="W6102" s="85" t="s">
        <v>14996</v>
      </c>
      <c r="X6102" s="80"/>
      <c r="Y6102" s="22">
        <v>0</v>
      </c>
      <c r="Z6102" s="80" t="s">
        <v>50</v>
      </c>
      <c r="AA6102" s="35" t="s">
        <v>9905</v>
      </c>
      <c r="AB6102" s="80"/>
      <c r="AC6102" s="80" t="s">
        <v>53</v>
      </c>
      <c r="AD6102" s="80" t="s">
        <v>138</v>
      </c>
      <c r="AE6102" s="80" t="s">
        <v>6919</v>
      </c>
      <c r="AF6102" s="17">
        <v>45719</v>
      </c>
      <c r="AG6102" s="26" t="s">
        <v>8366</v>
      </c>
      <c r="AH6102" s="80"/>
      <c r="AI6102" s="147"/>
      <c r="AJ6102" s="80"/>
      <c r="AK6102" s="80"/>
      <c r="AL6102" s="35"/>
      <c r="AM6102" s="35"/>
      <c r="AN6102" s="35"/>
      <c r="AO6102" s="35"/>
      <c r="AP6102" s="35"/>
    </row>
    <row r="6103" spans="1:42" x14ac:dyDescent="0.2">
      <c r="A6103" s="38">
        <v>45707</v>
      </c>
      <c r="B6103" s="137" t="s">
        <v>37</v>
      </c>
      <c r="C6103" s="41" t="s">
        <v>118</v>
      </c>
      <c r="D6103" s="26" t="s">
        <v>36</v>
      </c>
      <c r="E6103" s="26" t="s">
        <v>139</v>
      </c>
      <c r="F6103" s="26" t="s">
        <v>13605</v>
      </c>
      <c r="G6103" s="80" t="s">
        <v>1705</v>
      </c>
      <c r="H6103" s="26" t="s">
        <v>19571</v>
      </c>
      <c r="I6103" s="17">
        <f ca="1">IFERROR(__xludf.DUMMYFUNCTION("""COMPUTED_VALUE"""),45566)</f>
        <v>45566</v>
      </c>
      <c r="J6103" s="44" t="s">
        <v>5907</v>
      </c>
      <c r="K6103" s="26" t="s">
        <v>3710</v>
      </c>
      <c r="L6103" s="30">
        <v>971434958</v>
      </c>
      <c r="M6103" s="26" t="s">
        <v>112</v>
      </c>
      <c r="N6103" s="26" t="s">
        <v>3330</v>
      </c>
      <c r="O6103" s="26" t="s">
        <v>3711</v>
      </c>
      <c r="P6103" s="42" t="s">
        <v>20013</v>
      </c>
      <c r="Q6103" s="20">
        <v>15936</v>
      </c>
      <c r="R6103" s="26" t="s">
        <v>36</v>
      </c>
      <c r="S6103" s="31">
        <v>2000</v>
      </c>
      <c r="T6103" s="32">
        <v>45188</v>
      </c>
      <c r="U6103" s="31">
        <v>13968</v>
      </c>
      <c r="V6103" s="32">
        <v>45216</v>
      </c>
      <c r="W6103" s="26"/>
      <c r="X6103" s="26"/>
      <c r="Y6103" s="22">
        <v>-32</v>
      </c>
      <c r="Z6103" s="26" t="s">
        <v>118</v>
      </c>
      <c r="AA6103" s="19" t="s">
        <v>5785</v>
      </c>
      <c r="AB6103" s="26"/>
      <c r="AC6103" s="26" t="s">
        <v>53</v>
      </c>
      <c r="AD6103" s="19" t="s">
        <v>54</v>
      </c>
      <c r="AE6103" s="26" t="s">
        <v>13605</v>
      </c>
      <c r="AF6103" s="17">
        <v>45707</v>
      </c>
      <c r="AG6103" s="26"/>
      <c r="AH6103" s="26"/>
      <c r="AI6103" s="40" t="s">
        <v>147</v>
      </c>
      <c r="AJ6103" s="26"/>
      <c r="AK6103" s="26"/>
      <c r="AL6103" s="35"/>
      <c r="AM6103" s="35"/>
      <c r="AN6103" s="35"/>
      <c r="AO6103" s="35"/>
      <c r="AP6103" s="35"/>
    </row>
    <row r="6104" spans="1:42" x14ac:dyDescent="0.2">
      <c r="A6104" s="38">
        <v>45707</v>
      </c>
      <c r="B6104" s="137" t="s">
        <v>37</v>
      </c>
      <c r="C6104" s="41" t="s">
        <v>118</v>
      </c>
      <c r="D6104" s="26" t="s">
        <v>36</v>
      </c>
      <c r="E6104" s="26" t="s">
        <v>119</v>
      </c>
      <c r="F6104" s="26" t="s">
        <v>13605</v>
      </c>
      <c r="G6104" s="80" t="s">
        <v>1847</v>
      </c>
      <c r="H6104" s="26" t="s">
        <v>20014</v>
      </c>
      <c r="I6104" s="17">
        <f ca="1">IFERROR(__xludf.DUMMYFUNCTION("""COMPUTED_VALUE"""),45718)</f>
        <v>45718</v>
      </c>
      <c r="J6104" s="29" t="s">
        <v>7701</v>
      </c>
      <c r="K6104" s="26" t="s">
        <v>13659</v>
      </c>
      <c r="L6104" s="30">
        <v>889739828</v>
      </c>
      <c r="M6104" s="26" t="s">
        <v>80</v>
      </c>
      <c r="N6104" s="26" t="s">
        <v>466</v>
      </c>
      <c r="O6104" s="26" t="s">
        <v>7703</v>
      </c>
      <c r="P6104" s="42" t="s">
        <v>20015</v>
      </c>
      <c r="Q6104" s="20">
        <v>13968</v>
      </c>
      <c r="R6104" s="26" t="s">
        <v>36</v>
      </c>
      <c r="S6104" s="31">
        <v>500</v>
      </c>
      <c r="T6104" s="32">
        <v>45313</v>
      </c>
      <c r="U6104" s="31">
        <v>13368</v>
      </c>
      <c r="V6104" s="26" t="s">
        <v>7699</v>
      </c>
      <c r="W6104" s="26" t="s">
        <v>7705</v>
      </c>
      <c r="X6104" s="26"/>
      <c r="Y6104" s="22">
        <v>100</v>
      </c>
      <c r="Z6104" s="26" t="s">
        <v>50</v>
      </c>
      <c r="AA6104" s="19" t="s">
        <v>7361</v>
      </c>
      <c r="AB6104" s="26"/>
      <c r="AC6104" s="26" t="s">
        <v>53</v>
      </c>
      <c r="AD6104" s="19" t="s">
        <v>138</v>
      </c>
      <c r="AE6104" s="26" t="s">
        <v>13605</v>
      </c>
      <c r="AF6104" s="17">
        <v>45713</v>
      </c>
      <c r="AG6104" s="26"/>
      <c r="AH6104" s="26"/>
      <c r="AI6104" s="40"/>
      <c r="AJ6104" s="26"/>
      <c r="AK6104" s="26"/>
      <c r="AL6104" s="35"/>
      <c r="AM6104" s="35"/>
      <c r="AN6104" s="35"/>
      <c r="AO6104" s="35"/>
      <c r="AP6104" s="35"/>
    </row>
    <row r="6105" spans="1:42" x14ac:dyDescent="0.2">
      <c r="A6105" s="38">
        <v>45707</v>
      </c>
      <c r="B6105" s="137" t="s">
        <v>37</v>
      </c>
      <c r="C6105" s="41" t="s">
        <v>118</v>
      </c>
      <c r="D6105" s="26" t="s">
        <v>36</v>
      </c>
      <c r="E6105" s="26" t="s">
        <v>148</v>
      </c>
      <c r="F6105" s="26" t="s">
        <v>8844</v>
      </c>
      <c r="G6105" s="80" t="s">
        <v>221</v>
      </c>
      <c r="H6105" s="80" t="s">
        <v>19448</v>
      </c>
      <c r="I6105" s="17">
        <f ca="1">IFERROR(__xludf.DUMMYFUNCTION("""COMPUTED_VALUE"""),45715)</f>
        <v>45715</v>
      </c>
      <c r="J6105" s="29" t="s">
        <v>8845</v>
      </c>
      <c r="K6105" s="26" t="s">
        <v>20016</v>
      </c>
      <c r="L6105" s="47">
        <v>862730477</v>
      </c>
      <c r="M6105" s="26" t="s">
        <v>45</v>
      </c>
      <c r="N6105" s="26" t="s">
        <v>571</v>
      </c>
      <c r="O6105" s="26" t="s">
        <v>8847</v>
      </c>
      <c r="P6105" s="42" t="s">
        <v>8848</v>
      </c>
      <c r="Q6105" s="20">
        <v>7349</v>
      </c>
      <c r="R6105" s="26" t="s">
        <v>36</v>
      </c>
      <c r="S6105" s="31">
        <v>7349</v>
      </c>
      <c r="T6105" s="32">
        <v>45473</v>
      </c>
      <c r="U6105" s="31"/>
      <c r="V6105" s="32"/>
      <c r="W6105" s="33" t="s">
        <v>8849</v>
      </c>
      <c r="X6105" s="26"/>
      <c r="Y6105" s="22">
        <v>0</v>
      </c>
      <c r="Z6105" s="26" t="s">
        <v>50</v>
      </c>
      <c r="AA6105" s="19" t="s">
        <v>8721</v>
      </c>
      <c r="AB6105" s="26"/>
      <c r="AC6105" s="26" t="s">
        <v>53</v>
      </c>
      <c r="AD6105" s="19" t="s">
        <v>54</v>
      </c>
      <c r="AE6105" s="26" t="s">
        <v>8844</v>
      </c>
      <c r="AF6105" s="17">
        <v>45712</v>
      </c>
      <c r="AG6105" s="26"/>
      <c r="AH6105" s="26"/>
      <c r="AI6105" s="40"/>
      <c r="AJ6105" s="26"/>
      <c r="AK6105" s="26"/>
      <c r="AL6105" s="35"/>
      <c r="AM6105" s="35"/>
      <c r="AN6105" s="35"/>
      <c r="AO6105" s="35"/>
      <c r="AP6105" s="35"/>
    </row>
    <row r="6106" spans="1:42" x14ac:dyDescent="0.2">
      <c r="A6106" s="38">
        <v>45707</v>
      </c>
      <c r="B6106" s="137" t="s">
        <v>37</v>
      </c>
      <c r="C6106" s="41" t="s">
        <v>118</v>
      </c>
      <c r="D6106" s="26" t="s">
        <v>36</v>
      </c>
      <c r="E6106" s="26" t="s">
        <v>139</v>
      </c>
      <c r="F6106" s="26" t="s">
        <v>13886</v>
      </c>
      <c r="G6106" s="80" t="s">
        <v>1847</v>
      </c>
      <c r="H6106" s="26" t="s">
        <v>20014</v>
      </c>
      <c r="I6106" s="17">
        <f ca="1">IFERROR(__xludf.DUMMYFUNCTION("""COMPUTED_VALUE"""),45718)</f>
        <v>45718</v>
      </c>
      <c r="J6106" s="29" t="s">
        <v>5481</v>
      </c>
      <c r="K6106" s="26" t="s">
        <v>20017</v>
      </c>
      <c r="L6106" s="30">
        <v>332762963</v>
      </c>
      <c r="M6106" s="26" t="s">
        <v>80</v>
      </c>
      <c r="N6106" s="26" t="s">
        <v>186</v>
      </c>
      <c r="O6106" s="26" t="s">
        <v>5483</v>
      </c>
      <c r="P6106" s="42" t="s">
        <v>13888</v>
      </c>
      <c r="Q6106" s="20">
        <v>15936</v>
      </c>
      <c r="R6106" s="26" t="s">
        <v>36</v>
      </c>
      <c r="S6106" s="31">
        <v>2000</v>
      </c>
      <c r="T6106" s="32">
        <v>45225</v>
      </c>
      <c r="U6106" s="31">
        <v>13936</v>
      </c>
      <c r="V6106" s="32">
        <v>45257</v>
      </c>
      <c r="W6106" s="33" t="s">
        <v>5485</v>
      </c>
      <c r="X6106" s="26"/>
      <c r="Y6106" s="22">
        <v>0</v>
      </c>
      <c r="Z6106" s="98" t="s">
        <v>118</v>
      </c>
      <c r="AA6106" s="19" t="s">
        <v>5112</v>
      </c>
      <c r="AB6106" s="26" t="s">
        <v>36</v>
      </c>
      <c r="AC6106" s="26" t="s">
        <v>53</v>
      </c>
      <c r="AD6106" s="14" t="s">
        <v>138</v>
      </c>
      <c r="AE6106" s="26" t="s">
        <v>13886</v>
      </c>
      <c r="AF6106" s="17">
        <v>45713</v>
      </c>
      <c r="AG6106" s="91"/>
      <c r="AH6106" s="26"/>
      <c r="AI6106" s="40" t="s">
        <v>147</v>
      </c>
      <c r="AJ6106" s="26"/>
      <c r="AK6106" s="26"/>
      <c r="AL6106" s="35"/>
      <c r="AM6106" s="35"/>
      <c r="AN6106" s="35"/>
      <c r="AO6106" s="35"/>
      <c r="AP6106" s="35"/>
    </row>
    <row r="6107" spans="1:42" x14ac:dyDescent="0.2">
      <c r="A6107" s="38">
        <v>45707</v>
      </c>
      <c r="B6107" s="137" t="s">
        <v>37</v>
      </c>
      <c r="C6107" s="41" t="s">
        <v>118</v>
      </c>
      <c r="D6107" s="26" t="s">
        <v>36</v>
      </c>
      <c r="E6107" s="26" t="s">
        <v>915</v>
      </c>
      <c r="F6107" s="26" t="s">
        <v>13886</v>
      </c>
      <c r="G6107" s="80" t="s">
        <v>1847</v>
      </c>
      <c r="H6107" s="26" t="s">
        <v>20014</v>
      </c>
      <c r="I6107" s="17">
        <f ca="1">IFERROR(__xludf.DUMMYFUNCTION("""COMPUTED_VALUE"""),45718)</f>
        <v>45718</v>
      </c>
      <c r="J6107" s="29" t="s">
        <v>10972</v>
      </c>
      <c r="K6107" s="26" t="s">
        <v>20018</v>
      </c>
      <c r="L6107" s="30">
        <v>359737515</v>
      </c>
      <c r="M6107" s="26" t="s">
        <v>80</v>
      </c>
      <c r="N6107" s="26" t="s">
        <v>1073</v>
      </c>
      <c r="O6107" s="26" t="s">
        <v>10974</v>
      </c>
      <c r="P6107" s="42" t="s">
        <v>20019</v>
      </c>
      <c r="Q6107" s="20">
        <v>10894</v>
      </c>
      <c r="R6107" s="26" t="s">
        <v>36</v>
      </c>
      <c r="S6107" s="95">
        <f>200+3800</f>
        <v>4000</v>
      </c>
      <c r="T6107" s="83" t="s">
        <v>10954</v>
      </c>
      <c r="U6107" s="95">
        <v>6894</v>
      </c>
      <c r="V6107" s="148">
        <v>45529</v>
      </c>
      <c r="W6107" s="33" t="s">
        <v>10976</v>
      </c>
      <c r="X6107" s="26">
        <v>0</v>
      </c>
      <c r="Y6107" s="22">
        <v>0</v>
      </c>
      <c r="Z6107" s="26" t="s">
        <v>50</v>
      </c>
      <c r="AA6107" s="96" t="s">
        <v>10314</v>
      </c>
      <c r="AB6107" s="26"/>
      <c r="AC6107" s="26" t="s">
        <v>53</v>
      </c>
      <c r="AD6107" s="26" t="s">
        <v>54</v>
      </c>
      <c r="AE6107" s="26" t="s">
        <v>13886</v>
      </c>
      <c r="AF6107" s="17">
        <v>45713</v>
      </c>
      <c r="AG6107" s="26"/>
      <c r="AH6107" s="26"/>
      <c r="AI6107" s="40"/>
      <c r="AJ6107" s="26"/>
      <c r="AK6107" s="26"/>
      <c r="AL6107" s="35"/>
      <c r="AM6107" s="35"/>
      <c r="AN6107" s="35"/>
      <c r="AO6107" s="35"/>
      <c r="AP6107" s="35"/>
    </row>
    <row r="6108" spans="1:42" x14ac:dyDescent="0.2">
      <c r="A6108" s="38">
        <v>45707</v>
      </c>
      <c r="B6108" s="137" t="s">
        <v>37</v>
      </c>
      <c r="C6108" s="41" t="s">
        <v>118</v>
      </c>
      <c r="D6108" s="26" t="s">
        <v>36</v>
      </c>
      <c r="E6108" s="26" t="s">
        <v>139</v>
      </c>
      <c r="F6108" s="26" t="s">
        <v>13886</v>
      </c>
      <c r="G6108" s="80" t="s">
        <v>1847</v>
      </c>
      <c r="H6108" s="26" t="s">
        <v>20014</v>
      </c>
      <c r="I6108" s="17">
        <f ca="1">IFERROR(__xludf.DUMMYFUNCTION("""COMPUTED_VALUE"""),45718)</f>
        <v>45718</v>
      </c>
      <c r="J6108" s="29" t="s">
        <v>4510</v>
      </c>
      <c r="K6108" s="26" t="s">
        <v>4511</v>
      </c>
      <c r="L6108" s="30">
        <v>988467310</v>
      </c>
      <c r="M6108" s="26" t="s">
        <v>123</v>
      </c>
      <c r="N6108" s="26" t="s">
        <v>186</v>
      </c>
      <c r="O6108" s="26" t="s">
        <v>4503</v>
      </c>
      <c r="P6108" s="42" t="s">
        <v>20020</v>
      </c>
      <c r="Q6108" s="20">
        <v>15936</v>
      </c>
      <c r="R6108" s="26" t="s">
        <v>36</v>
      </c>
      <c r="S6108" s="31">
        <v>15936</v>
      </c>
      <c r="T6108" s="32">
        <v>45226</v>
      </c>
      <c r="U6108" s="31"/>
      <c r="V6108" s="26"/>
      <c r="W6108" s="33" t="s">
        <v>4513</v>
      </c>
      <c r="X6108" s="26"/>
      <c r="Y6108" s="22">
        <v>0</v>
      </c>
      <c r="Z6108" s="98" t="s">
        <v>118</v>
      </c>
      <c r="AA6108" s="19" t="s">
        <v>3454</v>
      </c>
      <c r="AB6108" s="26" t="s">
        <v>36</v>
      </c>
      <c r="AC6108" s="26" t="s">
        <v>53</v>
      </c>
      <c r="AD6108" s="19" t="s">
        <v>138</v>
      </c>
      <c r="AE6108" s="26" t="s">
        <v>13886</v>
      </c>
      <c r="AF6108" s="17">
        <v>45713</v>
      </c>
      <c r="AG6108" s="26"/>
      <c r="AH6108" s="26"/>
      <c r="AI6108" s="40"/>
      <c r="AJ6108" s="26"/>
      <c r="AK6108" s="26"/>
      <c r="AL6108" s="35"/>
      <c r="AM6108" s="35"/>
      <c r="AN6108" s="35"/>
      <c r="AO6108" s="35"/>
      <c r="AP6108" s="35"/>
    </row>
    <row r="6109" spans="1:42" x14ac:dyDescent="0.2">
      <c r="A6109" s="38">
        <v>45707</v>
      </c>
      <c r="B6109" s="137" t="s">
        <v>37</v>
      </c>
      <c r="C6109" s="41" t="s">
        <v>118</v>
      </c>
      <c r="D6109" s="26" t="s">
        <v>36</v>
      </c>
      <c r="E6109" s="26" t="s">
        <v>139</v>
      </c>
      <c r="F6109" s="26" t="s">
        <v>9865</v>
      </c>
      <c r="G6109" s="26" t="s">
        <v>221</v>
      </c>
      <c r="H6109" s="26" t="s">
        <v>20021</v>
      </c>
      <c r="I6109" s="17">
        <f ca="1">IFERROR(__xludf.DUMMYFUNCTION("""COMPUTED_VALUE"""),45737)</f>
        <v>45737</v>
      </c>
      <c r="J6109" s="29" t="s">
        <v>9874</v>
      </c>
      <c r="K6109" s="26" t="s">
        <v>20022</v>
      </c>
      <c r="L6109" s="30">
        <v>344669206</v>
      </c>
      <c r="M6109" s="26" t="s">
        <v>80</v>
      </c>
      <c r="N6109" s="26" t="s">
        <v>466</v>
      </c>
      <c r="O6109" s="26" t="s">
        <v>9876</v>
      </c>
      <c r="P6109" s="42" t="s">
        <v>9877</v>
      </c>
      <c r="Q6109" s="20">
        <v>15936</v>
      </c>
      <c r="R6109" s="26" t="s">
        <v>36</v>
      </c>
      <c r="S6109" s="95">
        <f>200+1800</f>
        <v>2000</v>
      </c>
      <c r="T6109" s="83" t="s">
        <v>9878</v>
      </c>
      <c r="U6109" s="95">
        <v>13968</v>
      </c>
      <c r="V6109" s="148">
        <v>45523</v>
      </c>
      <c r="W6109" s="33" t="s">
        <v>9879</v>
      </c>
      <c r="X6109" s="26">
        <v>0</v>
      </c>
      <c r="Y6109" s="22">
        <v>-32</v>
      </c>
      <c r="Z6109" s="26" t="s">
        <v>118</v>
      </c>
      <c r="AA6109" s="96"/>
      <c r="AB6109" s="80" t="s">
        <v>36</v>
      </c>
      <c r="AC6109" s="26" t="s">
        <v>53</v>
      </c>
      <c r="AD6109" s="26" t="s">
        <v>54</v>
      </c>
      <c r="AE6109" s="26" t="s">
        <v>9865</v>
      </c>
      <c r="AF6109" s="17">
        <v>45737</v>
      </c>
      <c r="AG6109" s="26"/>
      <c r="AH6109" s="26"/>
      <c r="AI6109" s="40"/>
      <c r="AJ6109" s="26"/>
      <c r="AK6109" s="26"/>
      <c r="AL6109" s="35"/>
      <c r="AM6109" s="35"/>
      <c r="AN6109" s="35"/>
      <c r="AO6109" s="35"/>
      <c r="AP6109" s="35"/>
    </row>
    <row r="6110" spans="1:42" x14ac:dyDescent="0.2">
      <c r="A6110" s="38">
        <v>45708</v>
      </c>
      <c r="B6110" s="137" t="s">
        <v>37</v>
      </c>
      <c r="C6110" s="41" t="s">
        <v>118</v>
      </c>
      <c r="D6110" s="80" t="s">
        <v>36</v>
      </c>
      <c r="E6110" s="80" t="s">
        <v>139</v>
      </c>
      <c r="F6110" s="80" t="s">
        <v>14370</v>
      </c>
      <c r="G6110" s="161" t="s">
        <v>221</v>
      </c>
      <c r="H6110" s="80" t="s">
        <v>8991</v>
      </c>
      <c r="I6110" s="17">
        <f ca="1">IFERROR(__xludf.DUMMYFUNCTION("""COMPUTED_VALUE"""),45721)</f>
        <v>45721</v>
      </c>
      <c r="J6110" s="143" t="s">
        <v>14371</v>
      </c>
      <c r="K6110" s="80" t="s">
        <v>20023</v>
      </c>
      <c r="L6110" s="30">
        <v>365102439</v>
      </c>
      <c r="M6110" s="80" t="s">
        <v>3498</v>
      </c>
      <c r="N6110" s="80" t="s">
        <v>4402</v>
      </c>
      <c r="O6110" s="80" t="s">
        <v>4503</v>
      </c>
      <c r="P6110" s="144" t="s">
        <v>14373</v>
      </c>
      <c r="Q6110" s="20">
        <v>15936</v>
      </c>
      <c r="R6110" s="80" t="s">
        <v>36</v>
      </c>
      <c r="S6110" s="95">
        <v>3000</v>
      </c>
      <c r="T6110" s="148">
        <v>45554</v>
      </c>
      <c r="U6110" s="95">
        <v>12936</v>
      </c>
      <c r="V6110" s="148">
        <v>45587</v>
      </c>
      <c r="W6110" s="80" t="s">
        <v>14374</v>
      </c>
      <c r="X6110" s="80"/>
      <c r="Y6110" s="22">
        <v>0</v>
      </c>
      <c r="Z6110" s="81" t="s">
        <v>50</v>
      </c>
      <c r="AA6110" s="86"/>
      <c r="AB6110" s="80"/>
      <c r="AC6110" s="80" t="s">
        <v>53</v>
      </c>
      <c r="AD6110" s="80" t="s">
        <v>54</v>
      </c>
      <c r="AE6110" s="80" t="s">
        <v>14370</v>
      </c>
      <c r="AF6110" s="17">
        <v>45715</v>
      </c>
      <c r="AG6110" s="80"/>
      <c r="AH6110" s="80"/>
      <c r="AI6110" s="147"/>
      <c r="AJ6110" s="80"/>
      <c r="AK6110" s="80"/>
      <c r="AL6110" s="86"/>
      <c r="AM6110" s="86"/>
      <c r="AN6110" s="86"/>
      <c r="AO6110" s="86"/>
      <c r="AP6110" s="86"/>
    </row>
    <row r="6111" spans="1:42" x14ac:dyDescent="0.2">
      <c r="A6111" s="38">
        <v>45708</v>
      </c>
      <c r="B6111" s="137" t="s">
        <v>37</v>
      </c>
      <c r="C6111" s="41" t="s">
        <v>118</v>
      </c>
      <c r="D6111" s="80" t="s">
        <v>36</v>
      </c>
      <c r="E6111" s="80" t="s">
        <v>139</v>
      </c>
      <c r="F6111" s="80" t="s">
        <v>14370</v>
      </c>
      <c r="G6111" s="161" t="s">
        <v>221</v>
      </c>
      <c r="H6111" s="80" t="s">
        <v>8991</v>
      </c>
      <c r="I6111" s="17">
        <f ca="1">IFERROR(__xludf.DUMMYFUNCTION("""COMPUTED_VALUE"""),45721)</f>
        <v>45721</v>
      </c>
      <c r="J6111" s="143" t="s">
        <v>14375</v>
      </c>
      <c r="K6111" s="80" t="s">
        <v>14376</v>
      </c>
      <c r="L6111" s="30">
        <v>355565062</v>
      </c>
      <c r="M6111" s="80" t="s">
        <v>2755</v>
      </c>
      <c r="N6111" s="80" t="s">
        <v>4402</v>
      </c>
      <c r="O6111" s="80" t="s">
        <v>4503</v>
      </c>
      <c r="P6111" s="115" t="s">
        <v>20024</v>
      </c>
      <c r="Q6111" s="20">
        <v>15936</v>
      </c>
      <c r="R6111" s="80" t="s">
        <v>36</v>
      </c>
      <c r="S6111" s="95">
        <v>3200</v>
      </c>
      <c r="T6111" s="148">
        <v>45554</v>
      </c>
      <c r="U6111" s="95">
        <v>12736</v>
      </c>
      <c r="V6111" s="148">
        <v>45583</v>
      </c>
      <c r="W6111" s="80" t="s">
        <v>14378</v>
      </c>
      <c r="X6111" s="80"/>
      <c r="Y6111" s="22">
        <v>0</v>
      </c>
      <c r="Z6111" s="81" t="s">
        <v>50</v>
      </c>
      <c r="AA6111" s="82"/>
      <c r="AB6111" s="80"/>
      <c r="AC6111" s="80" t="s">
        <v>53</v>
      </c>
      <c r="AD6111" s="80" t="s">
        <v>54</v>
      </c>
      <c r="AE6111" s="80" t="s">
        <v>14370</v>
      </c>
      <c r="AF6111" s="17">
        <v>45715</v>
      </c>
      <c r="AG6111" s="80"/>
      <c r="AH6111" s="80"/>
      <c r="AI6111" s="147"/>
      <c r="AJ6111" s="80"/>
      <c r="AK6111" s="80"/>
      <c r="AL6111" s="86"/>
      <c r="AM6111" s="86"/>
      <c r="AN6111" s="86"/>
      <c r="AO6111" s="86"/>
      <c r="AP6111" s="86"/>
    </row>
    <row r="6112" spans="1:42" x14ac:dyDescent="0.2">
      <c r="A6112" s="38">
        <v>45708</v>
      </c>
      <c r="B6112" s="137" t="s">
        <v>37</v>
      </c>
      <c r="C6112" s="41" t="s">
        <v>118</v>
      </c>
      <c r="D6112" s="80" t="s">
        <v>36</v>
      </c>
      <c r="E6112" s="80" t="s">
        <v>56</v>
      </c>
      <c r="F6112" s="80" t="s">
        <v>14370</v>
      </c>
      <c r="G6112" s="161" t="s">
        <v>221</v>
      </c>
      <c r="H6112" s="80" t="s">
        <v>20025</v>
      </c>
      <c r="I6112" s="17">
        <f ca="1">IFERROR(__xludf.DUMMYFUNCTION("""COMPUTED_VALUE"""),45964)</f>
        <v>45964</v>
      </c>
      <c r="J6112" s="143" t="s">
        <v>13107</v>
      </c>
      <c r="K6112" s="80" t="s">
        <v>20026</v>
      </c>
      <c r="L6112" s="30">
        <v>325257996</v>
      </c>
      <c r="M6112" s="80" t="s">
        <v>5558</v>
      </c>
      <c r="N6112" s="80" t="s">
        <v>5559</v>
      </c>
      <c r="O6112" s="80" t="s">
        <v>4503</v>
      </c>
      <c r="P6112" s="144" t="s">
        <v>14380</v>
      </c>
      <c r="Q6112" s="20">
        <v>9317</v>
      </c>
      <c r="R6112" s="80" t="s">
        <v>36</v>
      </c>
      <c r="S6112" s="95">
        <v>9317</v>
      </c>
      <c r="T6112" s="148">
        <v>45549</v>
      </c>
      <c r="U6112" s="77"/>
      <c r="V6112" s="78"/>
      <c r="W6112" s="85" t="s">
        <v>13110</v>
      </c>
      <c r="X6112" s="83">
        <v>0</v>
      </c>
      <c r="Y6112" s="22">
        <v>0</v>
      </c>
      <c r="Z6112" s="81" t="s">
        <v>50</v>
      </c>
      <c r="AA6112" s="86" t="s">
        <v>3291</v>
      </c>
      <c r="AB6112" s="80"/>
      <c r="AC6112" s="80" t="s">
        <v>53</v>
      </c>
      <c r="AD6112" s="80" t="s">
        <v>54</v>
      </c>
      <c r="AE6112" s="80" t="s">
        <v>14370</v>
      </c>
      <c r="AF6112" s="17">
        <v>45871</v>
      </c>
      <c r="AG6112" s="80" t="s">
        <v>20027</v>
      </c>
      <c r="AH6112" s="80"/>
      <c r="AI6112" s="147" t="s">
        <v>64</v>
      </c>
      <c r="AJ6112" s="80"/>
      <c r="AK6112" s="80"/>
      <c r="AL6112" s="86"/>
      <c r="AM6112" s="86"/>
      <c r="AN6112" s="86"/>
      <c r="AO6112" s="86"/>
      <c r="AP6112" s="86"/>
    </row>
    <row r="6113" spans="1:42" x14ac:dyDescent="0.2">
      <c r="A6113" s="38">
        <v>45708</v>
      </c>
      <c r="B6113" s="137" t="s">
        <v>37</v>
      </c>
      <c r="C6113" s="41" t="s">
        <v>118</v>
      </c>
      <c r="D6113" s="80" t="s">
        <v>36</v>
      </c>
      <c r="E6113" s="80" t="s">
        <v>56</v>
      </c>
      <c r="F6113" s="80" t="s">
        <v>14370</v>
      </c>
      <c r="G6113" s="161" t="s">
        <v>221</v>
      </c>
      <c r="H6113" s="80" t="s">
        <v>20028</v>
      </c>
      <c r="I6113" s="17" t="str">
        <f ca="1">IFERROR(__xludf.DUMMYFUNCTION("""COMPUTED_VALUE""")," ")</f>
        <v xml:space="preserve"> </v>
      </c>
      <c r="J6113" s="143" t="s">
        <v>14403</v>
      </c>
      <c r="K6113" s="80" t="s">
        <v>20029</v>
      </c>
      <c r="L6113" s="30">
        <v>339771412</v>
      </c>
      <c r="M6113" s="80" t="s">
        <v>5429</v>
      </c>
      <c r="N6113" s="80" t="s">
        <v>9251</v>
      </c>
      <c r="O6113" s="80" t="s">
        <v>14405</v>
      </c>
      <c r="P6113" s="144" t="s">
        <v>14406</v>
      </c>
      <c r="Q6113" s="20">
        <v>9317</v>
      </c>
      <c r="R6113" s="80" t="s">
        <v>36</v>
      </c>
      <c r="S6113" s="95">
        <f>200+1800</f>
        <v>2000</v>
      </c>
      <c r="T6113" s="148" t="s">
        <v>14407</v>
      </c>
      <c r="U6113" s="95">
        <v>7317</v>
      </c>
      <c r="V6113" s="148">
        <v>45573</v>
      </c>
      <c r="W6113" s="85" t="s">
        <v>14408</v>
      </c>
      <c r="X6113" s="80"/>
      <c r="Y6113" s="22">
        <v>0</v>
      </c>
      <c r="Z6113" s="81" t="s">
        <v>50</v>
      </c>
      <c r="AA6113" s="82"/>
      <c r="AB6113" s="80"/>
      <c r="AC6113" s="80" t="s">
        <v>53</v>
      </c>
      <c r="AD6113" s="80" t="s">
        <v>54</v>
      </c>
      <c r="AE6113" s="80" t="s">
        <v>14370</v>
      </c>
      <c r="AF6113" s="17">
        <v>45715</v>
      </c>
      <c r="AG6113" s="80"/>
      <c r="AH6113" s="80"/>
      <c r="AI6113" s="147"/>
      <c r="AJ6113" s="80"/>
      <c r="AK6113" s="80"/>
      <c r="AL6113" s="86"/>
      <c r="AM6113" s="86"/>
      <c r="AN6113" s="86"/>
      <c r="AO6113" s="86"/>
      <c r="AP6113" s="86"/>
    </row>
    <row r="6114" spans="1:42" x14ac:dyDescent="0.2">
      <c r="A6114" s="38">
        <v>45708</v>
      </c>
      <c r="B6114" s="137" t="s">
        <v>37</v>
      </c>
      <c r="C6114" s="41" t="s">
        <v>118</v>
      </c>
      <c r="D6114" s="80" t="s">
        <v>36</v>
      </c>
      <c r="E6114" s="80" t="s">
        <v>139</v>
      </c>
      <c r="F6114" s="80" t="s">
        <v>14370</v>
      </c>
      <c r="G6114" s="161" t="s">
        <v>221</v>
      </c>
      <c r="H6114" s="80" t="s">
        <v>8991</v>
      </c>
      <c r="I6114" s="17">
        <f ca="1">IFERROR(__xludf.DUMMYFUNCTION("""COMPUTED_VALUE"""),45721)</f>
        <v>45721</v>
      </c>
      <c r="J6114" s="143" t="s">
        <v>13278</v>
      </c>
      <c r="K6114" s="80" t="s">
        <v>7239</v>
      </c>
      <c r="L6114" s="30">
        <v>395250848</v>
      </c>
      <c r="M6114" s="80" t="s">
        <v>45</v>
      </c>
      <c r="N6114" s="80" t="s">
        <v>299</v>
      </c>
      <c r="O6114" s="80" t="s">
        <v>13280</v>
      </c>
      <c r="P6114" s="144" t="s">
        <v>14464</v>
      </c>
      <c r="Q6114" s="20">
        <v>15936</v>
      </c>
      <c r="R6114" s="80" t="s">
        <v>36</v>
      </c>
      <c r="S6114" s="95">
        <v>15936</v>
      </c>
      <c r="T6114" s="148">
        <v>45551</v>
      </c>
      <c r="U6114" s="77"/>
      <c r="V6114" s="78"/>
      <c r="W6114" s="85" t="s">
        <v>13282</v>
      </c>
      <c r="X6114" s="83">
        <v>0</v>
      </c>
      <c r="Y6114" s="22">
        <v>0</v>
      </c>
      <c r="Z6114" s="81" t="s">
        <v>50</v>
      </c>
      <c r="AA6114" s="86" t="s">
        <v>3291</v>
      </c>
      <c r="AB6114" s="80"/>
      <c r="AC6114" s="80" t="s">
        <v>53</v>
      </c>
      <c r="AD6114" s="80" t="s">
        <v>54</v>
      </c>
      <c r="AE6114" s="80" t="s">
        <v>14370</v>
      </c>
      <c r="AF6114" s="17">
        <v>45715</v>
      </c>
      <c r="AG6114" s="80"/>
      <c r="AH6114" s="80"/>
      <c r="AI6114" s="147" t="s">
        <v>147</v>
      </c>
      <c r="AJ6114" s="80"/>
      <c r="AK6114" s="80"/>
      <c r="AL6114" s="86"/>
      <c r="AM6114" s="86"/>
      <c r="AN6114" s="86"/>
      <c r="AO6114" s="86"/>
      <c r="AP6114" s="86"/>
    </row>
    <row r="6115" spans="1:42" x14ac:dyDescent="0.2">
      <c r="A6115" s="38">
        <v>45708</v>
      </c>
      <c r="B6115" s="137" t="s">
        <v>37</v>
      </c>
      <c r="C6115" s="41" t="s">
        <v>118</v>
      </c>
      <c r="D6115" s="80" t="s">
        <v>36</v>
      </c>
      <c r="E6115" s="80" t="s">
        <v>56</v>
      </c>
      <c r="F6115" s="86" t="s">
        <v>14370</v>
      </c>
      <c r="G6115" s="161" t="s">
        <v>221</v>
      </c>
      <c r="H6115" s="80" t="s">
        <v>20030</v>
      </c>
      <c r="I6115" s="17" t="str">
        <f ca="1">IFERROR(__xludf.DUMMYFUNCTION("""COMPUTED_VALUE""")," ")</f>
        <v xml:space="preserve"> </v>
      </c>
      <c r="J6115" s="163" t="s">
        <v>14483</v>
      </c>
      <c r="K6115" s="86" t="s">
        <v>20031</v>
      </c>
      <c r="L6115" s="57">
        <v>829808026</v>
      </c>
      <c r="M6115" s="86" t="s">
        <v>80</v>
      </c>
      <c r="N6115" s="86" t="s">
        <v>13131</v>
      </c>
      <c r="O6115" s="80" t="s">
        <v>13132</v>
      </c>
      <c r="P6115" s="144" t="s">
        <v>14484</v>
      </c>
      <c r="Q6115" s="20">
        <v>9317</v>
      </c>
      <c r="R6115" s="80" t="s">
        <v>36</v>
      </c>
      <c r="S6115" s="95">
        <v>9317</v>
      </c>
      <c r="T6115" s="148">
        <v>45549</v>
      </c>
      <c r="U6115" s="77"/>
      <c r="V6115" s="78"/>
      <c r="W6115" s="85" t="s">
        <v>13134</v>
      </c>
      <c r="X6115" s="83">
        <v>0</v>
      </c>
      <c r="Y6115" s="22">
        <v>0</v>
      </c>
      <c r="Z6115" s="81" t="s">
        <v>50</v>
      </c>
      <c r="AA6115" s="82" t="s">
        <v>3291</v>
      </c>
      <c r="AB6115" s="80"/>
      <c r="AC6115" s="80" t="s">
        <v>53</v>
      </c>
      <c r="AD6115" s="80" t="s">
        <v>54</v>
      </c>
      <c r="AE6115" s="86" t="s">
        <v>14370</v>
      </c>
      <c r="AF6115" s="17">
        <v>45715</v>
      </c>
      <c r="AG6115" s="80"/>
      <c r="AH6115" s="80"/>
      <c r="AI6115" s="147" t="s">
        <v>64</v>
      </c>
      <c r="AJ6115" s="80"/>
      <c r="AK6115" s="80"/>
      <c r="AL6115" s="86"/>
      <c r="AM6115" s="86"/>
      <c r="AN6115" s="86"/>
      <c r="AO6115" s="86"/>
      <c r="AP6115" s="86"/>
    </row>
    <row r="6116" spans="1:42" x14ac:dyDescent="0.2">
      <c r="A6116" s="38">
        <v>45708</v>
      </c>
      <c r="B6116" s="137" t="s">
        <v>37</v>
      </c>
      <c r="C6116" s="41" t="s">
        <v>118</v>
      </c>
      <c r="D6116" s="80" t="s">
        <v>36</v>
      </c>
      <c r="E6116" s="80" t="s">
        <v>139</v>
      </c>
      <c r="F6116" s="80" t="s">
        <v>19075</v>
      </c>
      <c r="G6116" s="80" t="s">
        <v>108</v>
      </c>
      <c r="H6116" s="80" t="s">
        <v>16632</v>
      </c>
      <c r="I6116" s="17">
        <f ca="1">IFERROR(__xludf.DUMMYFUNCTION("""COMPUTED_VALUE"""),45741)</f>
        <v>45741</v>
      </c>
      <c r="J6116" s="143" t="s">
        <v>19132</v>
      </c>
      <c r="K6116" s="80" t="s">
        <v>20032</v>
      </c>
      <c r="L6116" s="30">
        <v>979006090</v>
      </c>
      <c r="M6116" s="80" t="s">
        <v>15996</v>
      </c>
      <c r="N6116" s="80" t="s">
        <v>186</v>
      </c>
      <c r="O6116" s="80" t="s">
        <v>4503</v>
      </c>
      <c r="P6116" s="80" t="s">
        <v>19134</v>
      </c>
      <c r="Q6116" s="20">
        <v>15936</v>
      </c>
      <c r="R6116" s="80" t="s">
        <v>36</v>
      </c>
      <c r="S6116" s="95">
        <f>200+15736</f>
        <v>15936</v>
      </c>
      <c r="T6116" s="83" t="s">
        <v>19135</v>
      </c>
      <c r="U6116" s="77"/>
      <c r="V6116" s="78"/>
      <c r="W6116" s="85" t="s">
        <v>19136</v>
      </c>
      <c r="X6116" s="80"/>
      <c r="Y6116" s="22">
        <v>0</v>
      </c>
      <c r="Z6116" s="80" t="s">
        <v>50</v>
      </c>
      <c r="AA6116" s="35" t="s">
        <v>18579</v>
      </c>
      <c r="AB6116" s="82"/>
      <c r="AC6116" s="80" t="s">
        <v>53</v>
      </c>
      <c r="AD6116" s="80" t="s">
        <v>138</v>
      </c>
      <c r="AE6116" s="80" t="s">
        <v>19075</v>
      </c>
      <c r="AF6116" s="17">
        <v>45709</v>
      </c>
      <c r="AG6116" s="80"/>
      <c r="AH6116" s="80"/>
      <c r="AI6116" s="147"/>
      <c r="AJ6116" s="80"/>
      <c r="AK6116" s="80"/>
      <c r="AL6116" s="35"/>
      <c r="AM6116" s="35"/>
      <c r="AN6116" s="35"/>
      <c r="AO6116" s="35"/>
      <c r="AP6116" s="35"/>
    </row>
    <row r="6117" spans="1:42" x14ac:dyDescent="0.2">
      <c r="A6117" s="38">
        <v>45708</v>
      </c>
      <c r="B6117" s="137" t="s">
        <v>37</v>
      </c>
      <c r="C6117" s="41" t="s">
        <v>118</v>
      </c>
      <c r="D6117" s="26" t="s">
        <v>36</v>
      </c>
      <c r="E6117" s="26" t="s">
        <v>119</v>
      </c>
      <c r="F6117" s="26" t="s">
        <v>19571</v>
      </c>
      <c r="G6117" s="80" t="s">
        <v>1847</v>
      </c>
      <c r="H6117" s="26" t="s">
        <v>20014</v>
      </c>
      <c r="I6117" s="17">
        <f ca="1">IFERROR(__xludf.DUMMYFUNCTION("""COMPUTED_VALUE"""),45718)</f>
        <v>45718</v>
      </c>
      <c r="J6117" s="29" t="s">
        <v>5241</v>
      </c>
      <c r="K6117" s="19" t="s">
        <v>5242</v>
      </c>
      <c r="L6117" s="30">
        <v>973536255</v>
      </c>
      <c r="M6117" s="26" t="s">
        <v>123</v>
      </c>
      <c r="N6117" s="26" t="s">
        <v>186</v>
      </c>
      <c r="O6117" s="26" t="s">
        <v>1226</v>
      </c>
      <c r="P6117" s="42" t="s">
        <v>19998</v>
      </c>
      <c r="Q6117" s="20">
        <v>13968</v>
      </c>
      <c r="R6117" s="26" t="s">
        <v>36</v>
      </c>
      <c r="S6117" s="31">
        <v>4000</v>
      </c>
      <c r="T6117" s="32">
        <v>45204</v>
      </c>
      <c r="U6117" s="58">
        <v>9868</v>
      </c>
      <c r="V6117" s="59">
        <v>45247</v>
      </c>
      <c r="W6117" s="33" t="s">
        <v>5243</v>
      </c>
      <c r="X6117" s="26"/>
      <c r="Y6117" s="22">
        <v>100</v>
      </c>
      <c r="Z6117" s="26" t="s">
        <v>118</v>
      </c>
      <c r="AA6117" s="19" t="s">
        <v>5112</v>
      </c>
      <c r="AB6117" s="80"/>
      <c r="AC6117" s="26" t="s">
        <v>53</v>
      </c>
      <c r="AD6117" s="19" t="s">
        <v>138</v>
      </c>
      <c r="AE6117" s="26" t="s">
        <v>19571</v>
      </c>
      <c r="AF6117" s="17">
        <v>45713</v>
      </c>
      <c r="AG6117" s="26"/>
      <c r="AH6117" s="26"/>
      <c r="AI6117" s="40">
        <v>4</v>
      </c>
      <c r="AJ6117" s="26"/>
      <c r="AK6117" s="26"/>
      <c r="AL6117" s="35"/>
      <c r="AM6117" s="35"/>
      <c r="AN6117" s="35"/>
      <c r="AO6117" s="35"/>
      <c r="AP6117" s="35"/>
    </row>
    <row r="6118" spans="1:42" x14ac:dyDescent="0.2">
      <c r="A6118" s="38">
        <v>45708</v>
      </c>
      <c r="B6118" s="137" t="s">
        <v>37</v>
      </c>
      <c r="C6118" s="41" t="s">
        <v>118</v>
      </c>
      <c r="D6118" s="26" t="s">
        <v>36</v>
      </c>
      <c r="E6118" s="26" t="s">
        <v>119</v>
      </c>
      <c r="F6118" s="26" t="s">
        <v>6519</v>
      </c>
      <c r="G6118" s="80" t="s">
        <v>1847</v>
      </c>
      <c r="H6118" s="26" t="s">
        <v>20014</v>
      </c>
      <c r="I6118" s="17">
        <f ca="1">IFERROR(__xludf.DUMMYFUNCTION("""COMPUTED_VALUE"""),45718)</f>
        <v>45718</v>
      </c>
      <c r="J6118" s="29" t="s">
        <v>3877</v>
      </c>
      <c r="K6118" s="19" t="s">
        <v>3878</v>
      </c>
      <c r="L6118" s="47">
        <v>397739565</v>
      </c>
      <c r="M6118" s="26" t="s">
        <v>80</v>
      </c>
      <c r="N6118" s="26" t="s">
        <v>186</v>
      </c>
      <c r="O6118" s="26" t="s">
        <v>1492</v>
      </c>
      <c r="P6118" s="42" t="s">
        <v>20033</v>
      </c>
      <c r="Q6118" s="20">
        <v>13968</v>
      </c>
      <c r="R6118" s="26" t="s">
        <v>36</v>
      </c>
      <c r="S6118" s="31">
        <v>4000</v>
      </c>
      <c r="T6118" s="32">
        <v>45196</v>
      </c>
      <c r="U6118" s="31">
        <v>9968</v>
      </c>
      <c r="V6118" s="32">
        <v>45221</v>
      </c>
      <c r="W6118" s="33" t="s">
        <v>3879</v>
      </c>
      <c r="X6118" s="26"/>
      <c r="Y6118" s="22">
        <v>0</v>
      </c>
      <c r="Z6118" s="109" t="s">
        <v>118</v>
      </c>
      <c r="AA6118" s="19" t="s">
        <v>3454</v>
      </c>
      <c r="AB6118" s="80" t="s">
        <v>36</v>
      </c>
      <c r="AC6118" s="26" t="s">
        <v>53</v>
      </c>
      <c r="AD6118" s="19" t="s">
        <v>138</v>
      </c>
      <c r="AE6118" s="26" t="s">
        <v>6519</v>
      </c>
      <c r="AF6118" s="17">
        <v>45713</v>
      </c>
      <c r="AG6118" s="26"/>
      <c r="AH6118" s="26"/>
      <c r="AI6118" s="40"/>
      <c r="AJ6118" s="26"/>
      <c r="AK6118" s="26"/>
      <c r="AL6118" s="35"/>
      <c r="AM6118" s="35"/>
      <c r="AN6118" s="35"/>
      <c r="AO6118" s="35"/>
      <c r="AP6118" s="35"/>
    </row>
    <row r="6119" spans="1:42" x14ac:dyDescent="0.2">
      <c r="A6119" s="38">
        <v>45708</v>
      </c>
      <c r="B6119" s="137" t="s">
        <v>37</v>
      </c>
      <c r="C6119" s="41" t="s">
        <v>118</v>
      </c>
      <c r="D6119" s="80" t="s">
        <v>36</v>
      </c>
      <c r="E6119" s="80" t="s">
        <v>56</v>
      </c>
      <c r="F6119" s="80" t="s">
        <v>12857</v>
      </c>
      <c r="G6119" s="80" t="s">
        <v>108</v>
      </c>
      <c r="H6119" s="80" t="s">
        <v>20034</v>
      </c>
      <c r="I6119" s="17" t="str">
        <f ca="1">IFERROR(__xludf.DUMMYFUNCTION("""COMPUTED_VALUE""")," ")</f>
        <v xml:space="preserve"> </v>
      </c>
      <c r="J6119" s="143" t="s">
        <v>12893</v>
      </c>
      <c r="K6119" s="80" t="s">
        <v>20035</v>
      </c>
      <c r="L6119" s="30">
        <v>332610749</v>
      </c>
      <c r="M6119" s="80" t="s">
        <v>45</v>
      </c>
      <c r="N6119" s="80" t="s">
        <v>12895</v>
      </c>
      <c r="O6119" s="80" t="s">
        <v>12896</v>
      </c>
      <c r="P6119" s="144" t="s">
        <v>14194</v>
      </c>
      <c r="Q6119" s="20">
        <v>9317</v>
      </c>
      <c r="R6119" s="80" t="s">
        <v>36</v>
      </c>
      <c r="S6119" s="95">
        <v>1000</v>
      </c>
      <c r="T6119" s="148">
        <v>45543</v>
      </c>
      <c r="U6119" s="95">
        <v>8327</v>
      </c>
      <c r="V6119" s="148">
        <v>45552</v>
      </c>
      <c r="W6119" s="85" t="s">
        <v>12898</v>
      </c>
      <c r="X6119" s="80">
        <v>0</v>
      </c>
      <c r="Y6119" s="22">
        <v>-10</v>
      </c>
      <c r="Z6119" s="80" t="s">
        <v>50</v>
      </c>
      <c r="AA6119" s="96" t="s">
        <v>3291</v>
      </c>
      <c r="AB6119" s="80"/>
      <c r="AC6119" s="80" t="s">
        <v>53</v>
      </c>
      <c r="AD6119" s="80" t="s">
        <v>54</v>
      </c>
      <c r="AE6119" s="80" t="s">
        <v>12857</v>
      </c>
      <c r="AF6119" s="17">
        <v>45722</v>
      </c>
      <c r="AG6119" s="80"/>
      <c r="AH6119" s="80"/>
      <c r="AI6119" s="147" t="s">
        <v>64</v>
      </c>
      <c r="AJ6119" s="80"/>
      <c r="AK6119" s="80"/>
      <c r="AL6119" s="35"/>
      <c r="AM6119" s="35"/>
      <c r="AN6119" s="35"/>
      <c r="AO6119" s="35"/>
      <c r="AP6119" s="35"/>
    </row>
    <row r="6120" spans="1:42" x14ac:dyDescent="0.2">
      <c r="A6120" s="38">
        <v>45708</v>
      </c>
      <c r="B6120" s="137" t="s">
        <v>37</v>
      </c>
      <c r="C6120" s="41" t="s">
        <v>118</v>
      </c>
      <c r="D6120" s="26" t="s">
        <v>36</v>
      </c>
      <c r="E6120" s="26" t="s">
        <v>119</v>
      </c>
      <c r="F6120" s="26" t="s">
        <v>13886</v>
      </c>
      <c r="G6120" s="80" t="s">
        <v>1847</v>
      </c>
      <c r="H6120" s="26" t="s">
        <v>20014</v>
      </c>
      <c r="I6120" s="17">
        <f ca="1">IFERROR(__xludf.DUMMYFUNCTION("""COMPUTED_VALUE"""),45718)</f>
        <v>45718</v>
      </c>
      <c r="J6120" s="29" t="s">
        <v>7644</v>
      </c>
      <c r="K6120" s="26" t="s">
        <v>7645</v>
      </c>
      <c r="L6120" s="30">
        <v>968449834</v>
      </c>
      <c r="M6120" s="26" t="s">
        <v>2755</v>
      </c>
      <c r="N6120" s="26" t="s">
        <v>3760</v>
      </c>
      <c r="O6120" s="26" t="s">
        <v>4503</v>
      </c>
      <c r="P6120" s="42" t="s">
        <v>14036</v>
      </c>
      <c r="Q6120" s="20">
        <v>13968</v>
      </c>
      <c r="R6120" s="26" t="s">
        <v>36</v>
      </c>
      <c r="S6120" s="31">
        <v>8000</v>
      </c>
      <c r="T6120" s="32">
        <v>45342</v>
      </c>
      <c r="U6120" s="31">
        <v>5968</v>
      </c>
      <c r="V6120" s="32">
        <v>45361</v>
      </c>
      <c r="W6120" s="33" t="s">
        <v>7647</v>
      </c>
      <c r="X6120" s="26"/>
      <c r="Y6120" s="22">
        <v>0</v>
      </c>
      <c r="Z6120" s="98" t="s">
        <v>118</v>
      </c>
      <c r="AA6120" s="19" t="s">
        <v>7361</v>
      </c>
      <c r="AB6120" s="26" t="s">
        <v>36</v>
      </c>
      <c r="AC6120" s="26" t="s">
        <v>53</v>
      </c>
      <c r="AD6120" s="19" t="s">
        <v>54</v>
      </c>
      <c r="AE6120" s="26" t="s">
        <v>13886</v>
      </c>
      <c r="AF6120" s="17">
        <v>45713</v>
      </c>
      <c r="AG6120" s="26"/>
      <c r="AH6120" s="26"/>
      <c r="AI6120" s="40"/>
      <c r="AJ6120" s="26"/>
      <c r="AK6120" s="26"/>
      <c r="AL6120" s="35"/>
      <c r="AM6120" s="35"/>
      <c r="AN6120" s="35"/>
      <c r="AO6120" s="35"/>
      <c r="AP6120" s="35"/>
    </row>
    <row r="6121" spans="1:42" x14ac:dyDescent="0.2">
      <c r="A6121" s="38">
        <v>45708</v>
      </c>
      <c r="B6121" s="137" t="s">
        <v>37</v>
      </c>
      <c r="C6121" s="41" t="s">
        <v>118</v>
      </c>
      <c r="D6121" s="80" t="s">
        <v>36</v>
      </c>
      <c r="E6121" s="80" t="s">
        <v>139</v>
      </c>
      <c r="F6121" s="80" t="s">
        <v>13674</v>
      </c>
      <c r="G6121" s="26" t="s">
        <v>221</v>
      </c>
      <c r="H6121" s="80" t="s">
        <v>20036</v>
      </c>
      <c r="I6121" s="17">
        <f ca="1">IFERROR(__xludf.DUMMYFUNCTION("""COMPUTED_VALUE"""),45839)</f>
        <v>45839</v>
      </c>
      <c r="J6121" s="143" t="s">
        <v>11074</v>
      </c>
      <c r="K6121" s="80" t="s">
        <v>20037</v>
      </c>
      <c r="L6121" s="30">
        <v>903269673</v>
      </c>
      <c r="M6121" s="80" t="s">
        <v>80</v>
      </c>
      <c r="N6121" s="80" t="s">
        <v>1073</v>
      </c>
      <c r="O6121" s="80" t="s">
        <v>13699</v>
      </c>
      <c r="P6121" s="144" t="s">
        <v>20038</v>
      </c>
      <c r="Q6121" s="20">
        <v>15936</v>
      </c>
      <c r="R6121" s="80" t="s">
        <v>36</v>
      </c>
      <c r="S6121" s="95">
        <f t="shared" ref="S6121:S6122" si="177">200+1800</f>
        <v>2000</v>
      </c>
      <c r="T6121" s="83" t="s">
        <v>11078</v>
      </c>
      <c r="U6121" s="95">
        <f>13500+436</f>
        <v>13936</v>
      </c>
      <c r="V6121" s="83" t="s">
        <v>11079</v>
      </c>
      <c r="W6121" s="85" t="s">
        <v>11080</v>
      </c>
      <c r="X6121" s="80">
        <v>0</v>
      </c>
      <c r="Y6121" s="22">
        <v>0</v>
      </c>
      <c r="Z6121" s="80" t="s">
        <v>50</v>
      </c>
      <c r="AA6121" s="96" t="s">
        <v>10314</v>
      </c>
      <c r="AB6121" s="80"/>
      <c r="AC6121" s="80" t="s">
        <v>53</v>
      </c>
      <c r="AD6121" s="80" t="s">
        <v>54</v>
      </c>
      <c r="AE6121" s="80" t="s">
        <v>13674</v>
      </c>
      <c r="AF6121" s="17">
        <v>45712</v>
      </c>
      <c r="AG6121" s="80" t="s">
        <v>8366</v>
      </c>
      <c r="AH6121" s="80"/>
      <c r="AI6121" s="147"/>
      <c r="AJ6121" s="80"/>
      <c r="AK6121" s="80"/>
      <c r="AL6121" s="35"/>
      <c r="AM6121" s="35"/>
      <c r="AN6121" s="35"/>
      <c r="AO6121" s="35"/>
      <c r="AP6121" s="35"/>
    </row>
    <row r="6122" spans="1:42" x14ac:dyDescent="0.2">
      <c r="A6122" s="38">
        <v>45708</v>
      </c>
      <c r="B6122" s="137" t="s">
        <v>37</v>
      </c>
      <c r="C6122" s="41" t="s">
        <v>118</v>
      </c>
      <c r="D6122" s="80" t="s">
        <v>36</v>
      </c>
      <c r="E6122" s="80" t="s">
        <v>139</v>
      </c>
      <c r="F6122" s="80" t="s">
        <v>9785</v>
      </c>
      <c r="G6122" s="26" t="s">
        <v>221</v>
      </c>
      <c r="H6122" s="80" t="s">
        <v>19448</v>
      </c>
      <c r="I6122" s="17">
        <f ca="1">IFERROR(__xludf.DUMMYFUNCTION("""COMPUTED_VALUE"""),45715)</f>
        <v>45715</v>
      </c>
      <c r="J6122" s="143" t="s">
        <v>12329</v>
      </c>
      <c r="K6122" s="80" t="s">
        <v>13818</v>
      </c>
      <c r="L6122" s="30">
        <v>984866969</v>
      </c>
      <c r="M6122" s="80" t="s">
        <v>80</v>
      </c>
      <c r="N6122" s="80" t="s">
        <v>466</v>
      </c>
      <c r="O6122" s="80" t="s">
        <v>12331</v>
      </c>
      <c r="P6122" s="144" t="s">
        <v>20039</v>
      </c>
      <c r="Q6122" s="20">
        <v>15936</v>
      </c>
      <c r="R6122" s="80" t="s">
        <v>36</v>
      </c>
      <c r="S6122" s="95">
        <f t="shared" si="177"/>
        <v>2000</v>
      </c>
      <c r="T6122" s="83" t="s">
        <v>12333</v>
      </c>
      <c r="U6122" s="95">
        <v>13936</v>
      </c>
      <c r="V6122" s="148">
        <v>45565</v>
      </c>
      <c r="W6122" s="85" t="s">
        <v>12334</v>
      </c>
      <c r="X6122" s="80">
        <v>0</v>
      </c>
      <c r="Y6122" s="22">
        <v>0</v>
      </c>
      <c r="Z6122" s="80" t="s">
        <v>50</v>
      </c>
      <c r="AA6122" s="35" t="s">
        <v>3291</v>
      </c>
      <c r="AB6122" s="80"/>
      <c r="AC6122" s="80" t="s">
        <v>53</v>
      </c>
      <c r="AD6122" s="80" t="s">
        <v>54</v>
      </c>
      <c r="AE6122" s="80" t="s">
        <v>9785</v>
      </c>
      <c r="AF6122" s="17">
        <v>45712</v>
      </c>
      <c r="AG6122" s="80"/>
      <c r="AH6122" s="80"/>
      <c r="AI6122" s="147" t="s">
        <v>147</v>
      </c>
      <c r="AJ6122" s="80"/>
      <c r="AK6122" s="80"/>
      <c r="AL6122" s="35"/>
      <c r="AM6122" s="35"/>
      <c r="AN6122" s="35"/>
      <c r="AO6122" s="35"/>
      <c r="AP6122" s="35"/>
    </row>
    <row r="6123" spans="1:42" x14ac:dyDescent="0.2">
      <c r="A6123" s="38">
        <v>45708</v>
      </c>
      <c r="B6123" s="137" t="s">
        <v>37</v>
      </c>
      <c r="C6123" s="41" t="s">
        <v>118</v>
      </c>
      <c r="D6123" s="26" t="s">
        <v>36</v>
      </c>
      <c r="E6123" s="26" t="s">
        <v>119</v>
      </c>
      <c r="F6123" s="26" t="s">
        <v>13889</v>
      </c>
      <c r="G6123" s="80" t="s">
        <v>1847</v>
      </c>
      <c r="H6123" s="26" t="s">
        <v>20040</v>
      </c>
      <c r="I6123" s="17" t="str">
        <f ca="1">IFERROR(__xludf.DUMMYFUNCTION("""COMPUTED_VALUE""")," ")</f>
        <v xml:space="preserve"> </v>
      </c>
      <c r="J6123" s="29" t="s">
        <v>5209</v>
      </c>
      <c r="K6123" s="26" t="s">
        <v>20041</v>
      </c>
      <c r="L6123" s="30">
        <v>976315889</v>
      </c>
      <c r="M6123" s="26" t="s">
        <v>80</v>
      </c>
      <c r="N6123" s="26" t="s">
        <v>186</v>
      </c>
      <c r="O6123" s="26" t="s">
        <v>5211</v>
      </c>
      <c r="P6123" s="42" t="s">
        <v>5212</v>
      </c>
      <c r="Q6123" s="20">
        <v>13968</v>
      </c>
      <c r="R6123" s="26" t="s">
        <v>36</v>
      </c>
      <c r="S6123" s="31">
        <v>4000</v>
      </c>
      <c r="T6123" s="32">
        <v>45201</v>
      </c>
      <c r="U6123" s="31">
        <v>10000</v>
      </c>
      <c r="V6123" s="32">
        <v>45248</v>
      </c>
      <c r="W6123" s="33" t="s">
        <v>5213</v>
      </c>
      <c r="X6123" s="26"/>
      <c r="Y6123" s="22">
        <v>-32</v>
      </c>
      <c r="Z6123" s="26" t="s">
        <v>118</v>
      </c>
      <c r="AA6123" s="19" t="s">
        <v>5112</v>
      </c>
      <c r="AB6123" s="26" t="s">
        <v>104</v>
      </c>
      <c r="AC6123" s="26" t="s">
        <v>53</v>
      </c>
      <c r="AD6123" s="19" t="s">
        <v>138</v>
      </c>
      <c r="AE6123" s="26" t="s">
        <v>13889</v>
      </c>
      <c r="AF6123" s="17">
        <v>45713</v>
      </c>
      <c r="AG6123" s="26"/>
      <c r="AH6123" s="26"/>
      <c r="AI6123" s="40">
        <v>4</v>
      </c>
      <c r="AJ6123" s="26"/>
      <c r="AK6123" s="26"/>
      <c r="AL6123" s="35"/>
      <c r="AM6123" s="35"/>
      <c r="AN6123" s="35"/>
      <c r="AO6123" s="35"/>
      <c r="AP6123" s="35"/>
    </row>
    <row r="6124" spans="1:42" x14ac:dyDescent="0.2">
      <c r="A6124" s="38">
        <v>45708</v>
      </c>
      <c r="B6124" s="137" t="s">
        <v>37</v>
      </c>
      <c r="C6124" s="41" t="s">
        <v>118</v>
      </c>
      <c r="D6124" s="26" t="s">
        <v>36</v>
      </c>
      <c r="E6124" s="26" t="s">
        <v>119</v>
      </c>
      <c r="F6124" s="26" t="s">
        <v>6989</v>
      </c>
      <c r="G6124" s="80" t="s">
        <v>1847</v>
      </c>
      <c r="H6124" s="26" t="s">
        <v>20014</v>
      </c>
      <c r="I6124" s="17">
        <f ca="1">IFERROR(__xludf.DUMMYFUNCTION("""COMPUTED_VALUE"""),45718)</f>
        <v>45718</v>
      </c>
      <c r="J6124" s="29" t="s">
        <v>7619</v>
      </c>
      <c r="K6124" s="26" t="s">
        <v>7620</v>
      </c>
      <c r="L6124" s="30">
        <v>349604185</v>
      </c>
      <c r="M6124" s="26" t="s">
        <v>80</v>
      </c>
      <c r="N6124" s="26" t="s">
        <v>466</v>
      </c>
      <c r="O6124" s="26" t="s">
        <v>7621</v>
      </c>
      <c r="P6124" s="42" t="s">
        <v>16675</v>
      </c>
      <c r="Q6124" s="20">
        <v>13968</v>
      </c>
      <c r="R6124" s="26" t="s">
        <v>36</v>
      </c>
      <c r="S6124" s="31">
        <v>500</v>
      </c>
      <c r="T6124" s="32">
        <v>45300</v>
      </c>
      <c r="U6124" s="31">
        <f>3500+9968</f>
        <v>13468</v>
      </c>
      <c r="V6124" s="26" t="s">
        <v>7623</v>
      </c>
      <c r="W6124" s="33" t="s">
        <v>7624</v>
      </c>
      <c r="X6124" s="26"/>
      <c r="Y6124" s="22">
        <v>0</v>
      </c>
      <c r="Z6124" s="26" t="s">
        <v>118</v>
      </c>
      <c r="AA6124" s="19" t="s">
        <v>7361</v>
      </c>
      <c r="AB6124" s="26" t="s">
        <v>36</v>
      </c>
      <c r="AC6124" s="26" t="s">
        <v>53</v>
      </c>
      <c r="AD6124" s="19" t="s">
        <v>54</v>
      </c>
      <c r="AE6124" s="26" t="s">
        <v>6989</v>
      </c>
      <c r="AF6124" s="17">
        <v>45713</v>
      </c>
      <c r="AG6124" s="26"/>
      <c r="AH6124" s="26"/>
      <c r="AI6124" s="40"/>
      <c r="AJ6124" s="26"/>
      <c r="AK6124" s="26"/>
      <c r="AL6124" s="35"/>
      <c r="AM6124" s="35"/>
      <c r="AN6124" s="35"/>
      <c r="AO6124" s="35"/>
      <c r="AP6124" s="35"/>
    </row>
    <row r="6125" spans="1:42" x14ac:dyDescent="0.2">
      <c r="A6125" s="38">
        <v>45709</v>
      </c>
      <c r="B6125" s="137" t="s">
        <v>37</v>
      </c>
      <c r="C6125" s="41" t="s">
        <v>118</v>
      </c>
      <c r="D6125" s="26" t="s">
        <v>36</v>
      </c>
      <c r="E6125" s="26" t="s">
        <v>139</v>
      </c>
      <c r="F6125" s="26" t="s">
        <v>6050</v>
      </c>
      <c r="G6125" s="80" t="s">
        <v>1847</v>
      </c>
      <c r="H6125" s="26" t="s">
        <v>17041</v>
      </c>
      <c r="I6125" s="17">
        <f ca="1">IFERROR(__xludf.DUMMYFUNCTION("""COMPUTED_VALUE"""),45725)</f>
        <v>45725</v>
      </c>
      <c r="J6125" s="29" t="s">
        <v>8145</v>
      </c>
      <c r="K6125" s="26" t="s">
        <v>20042</v>
      </c>
      <c r="L6125" s="30">
        <v>968711205</v>
      </c>
      <c r="M6125" s="26" t="s">
        <v>2755</v>
      </c>
      <c r="N6125" s="26" t="s">
        <v>2756</v>
      </c>
      <c r="O6125" s="26" t="s">
        <v>4503</v>
      </c>
      <c r="P6125" s="42" t="s">
        <v>9817</v>
      </c>
      <c r="Q6125" s="20">
        <v>15936</v>
      </c>
      <c r="R6125" s="26" t="s">
        <v>36</v>
      </c>
      <c r="S6125" s="31">
        <v>2000</v>
      </c>
      <c r="T6125" s="32">
        <v>45356</v>
      </c>
      <c r="U6125" s="31">
        <v>13936</v>
      </c>
      <c r="V6125" s="32">
        <v>45407</v>
      </c>
      <c r="W6125" s="33" t="s">
        <v>8147</v>
      </c>
      <c r="X6125" s="26"/>
      <c r="Y6125" s="22">
        <v>0</v>
      </c>
      <c r="Z6125" s="26" t="s">
        <v>118</v>
      </c>
      <c r="AA6125" s="19" t="s">
        <v>8317</v>
      </c>
      <c r="AB6125" s="26" t="s">
        <v>36</v>
      </c>
      <c r="AC6125" s="26" t="s">
        <v>53</v>
      </c>
      <c r="AD6125" s="19" t="s">
        <v>138</v>
      </c>
      <c r="AE6125" s="26" t="s">
        <v>6050</v>
      </c>
      <c r="AF6125" s="17">
        <v>45722</v>
      </c>
      <c r="AG6125" s="26"/>
      <c r="AH6125" s="26"/>
      <c r="AI6125" s="40"/>
      <c r="AJ6125" s="26"/>
      <c r="AK6125" s="26"/>
      <c r="AL6125" s="35"/>
      <c r="AM6125" s="35"/>
      <c r="AN6125" s="35"/>
      <c r="AO6125" s="35"/>
      <c r="AP6125" s="35"/>
    </row>
    <row r="6126" spans="1:42" x14ac:dyDescent="0.2">
      <c r="A6126" s="38">
        <v>45709</v>
      </c>
      <c r="B6126" s="137" t="s">
        <v>37</v>
      </c>
      <c r="C6126" s="41" t="s">
        <v>118</v>
      </c>
      <c r="D6126" s="26" t="s">
        <v>36</v>
      </c>
      <c r="E6126" s="26" t="s">
        <v>139</v>
      </c>
      <c r="F6126" s="26" t="s">
        <v>6050</v>
      </c>
      <c r="G6126" s="80" t="s">
        <v>1847</v>
      </c>
      <c r="H6126" s="26" t="s">
        <v>17041</v>
      </c>
      <c r="I6126" s="17">
        <f ca="1">IFERROR(__xludf.DUMMYFUNCTION("""COMPUTED_VALUE"""),45725)</f>
        <v>45725</v>
      </c>
      <c r="J6126" s="29" t="s">
        <v>8148</v>
      </c>
      <c r="K6126" s="26" t="s">
        <v>8149</v>
      </c>
      <c r="L6126" s="30">
        <v>396917775</v>
      </c>
      <c r="M6126" s="26" t="s">
        <v>2755</v>
      </c>
      <c r="N6126" s="26" t="s">
        <v>310</v>
      </c>
      <c r="O6126" s="26" t="s">
        <v>8150</v>
      </c>
      <c r="P6126" s="42" t="s">
        <v>9818</v>
      </c>
      <c r="Q6126" s="20">
        <v>15936</v>
      </c>
      <c r="R6126" s="26" t="s">
        <v>36</v>
      </c>
      <c r="S6126" s="31">
        <v>5000</v>
      </c>
      <c r="T6126" s="32">
        <v>45340</v>
      </c>
      <c r="U6126" s="31">
        <v>10936</v>
      </c>
      <c r="V6126" s="32">
        <v>45383</v>
      </c>
      <c r="W6126" s="33" t="s">
        <v>8151</v>
      </c>
      <c r="X6126" s="26"/>
      <c r="Y6126" s="22">
        <v>0</v>
      </c>
      <c r="Z6126" s="26" t="s">
        <v>118</v>
      </c>
      <c r="AA6126" s="19" t="s">
        <v>8317</v>
      </c>
      <c r="AB6126" s="26" t="s">
        <v>36</v>
      </c>
      <c r="AC6126" s="26" t="s">
        <v>53</v>
      </c>
      <c r="AD6126" s="19" t="s">
        <v>138</v>
      </c>
      <c r="AE6126" s="26" t="s">
        <v>6050</v>
      </c>
      <c r="AF6126" s="17">
        <v>45722</v>
      </c>
      <c r="AG6126" s="26"/>
      <c r="AH6126" s="26"/>
      <c r="AI6126" s="40"/>
      <c r="AJ6126" s="26"/>
      <c r="AK6126" s="26"/>
      <c r="AL6126" s="35"/>
      <c r="AM6126" s="35"/>
      <c r="AN6126" s="35"/>
      <c r="AO6126" s="35"/>
      <c r="AP6126" s="35"/>
    </row>
    <row r="6127" spans="1:42" x14ac:dyDescent="0.2">
      <c r="A6127" s="38">
        <v>45709</v>
      </c>
      <c r="B6127" s="137" t="s">
        <v>37</v>
      </c>
      <c r="C6127" s="41" t="s">
        <v>118</v>
      </c>
      <c r="D6127" s="26" t="s">
        <v>36</v>
      </c>
      <c r="E6127" s="26" t="s">
        <v>139</v>
      </c>
      <c r="F6127" s="26" t="s">
        <v>7355</v>
      </c>
      <c r="G6127" s="26" t="s">
        <v>221</v>
      </c>
      <c r="H6127" s="80" t="s">
        <v>19448</v>
      </c>
      <c r="I6127" s="17">
        <f ca="1">IFERROR(__xludf.DUMMYFUNCTION("""COMPUTED_VALUE"""),45715)</f>
        <v>45715</v>
      </c>
      <c r="J6127" s="29" t="s">
        <v>8171</v>
      </c>
      <c r="K6127" s="26" t="s">
        <v>8172</v>
      </c>
      <c r="L6127" s="30">
        <v>328553642</v>
      </c>
      <c r="M6127" s="26" t="s">
        <v>80</v>
      </c>
      <c r="N6127" s="26" t="s">
        <v>1073</v>
      </c>
      <c r="O6127" s="26" t="s">
        <v>8173</v>
      </c>
      <c r="P6127" s="26" t="s">
        <v>20043</v>
      </c>
      <c r="Q6127" s="20">
        <v>15936</v>
      </c>
      <c r="R6127" s="26" t="s">
        <v>36</v>
      </c>
      <c r="S6127" s="31">
        <v>2000</v>
      </c>
      <c r="T6127" s="32">
        <v>44978</v>
      </c>
      <c r="U6127" s="31">
        <v>13968</v>
      </c>
      <c r="V6127" s="32">
        <v>45401</v>
      </c>
      <c r="W6127" s="33" t="s">
        <v>8175</v>
      </c>
      <c r="X6127" s="26"/>
      <c r="Y6127" s="22">
        <v>-32</v>
      </c>
      <c r="Z6127" s="26" t="s">
        <v>118</v>
      </c>
      <c r="AA6127" s="19" t="s">
        <v>8102</v>
      </c>
      <c r="AB6127" s="26" t="s">
        <v>36</v>
      </c>
      <c r="AC6127" s="26" t="s">
        <v>53</v>
      </c>
      <c r="AD6127" s="19" t="s">
        <v>138</v>
      </c>
      <c r="AE6127" s="26" t="s">
        <v>7355</v>
      </c>
      <c r="AF6127" s="17">
        <v>45712</v>
      </c>
      <c r="AG6127" s="26"/>
      <c r="AH6127" s="26"/>
      <c r="AI6127" s="40"/>
      <c r="AJ6127" s="26"/>
      <c r="AK6127" s="26"/>
      <c r="AL6127" s="35"/>
      <c r="AM6127" s="35"/>
      <c r="AN6127" s="35"/>
      <c r="AO6127" s="35"/>
      <c r="AP6127" s="35"/>
    </row>
    <row r="6128" spans="1:42" x14ac:dyDescent="0.2">
      <c r="A6128" s="38">
        <v>45709</v>
      </c>
      <c r="B6128" s="137" t="s">
        <v>37</v>
      </c>
      <c r="C6128" s="41" t="s">
        <v>118</v>
      </c>
      <c r="D6128" s="26" t="s">
        <v>36</v>
      </c>
      <c r="E6128" s="26" t="s">
        <v>56</v>
      </c>
      <c r="F6128" s="26" t="s">
        <v>4931</v>
      </c>
      <c r="G6128" s="26" t="s">
        <v>221</v>
      </c>
      <c r="H6128" s="80" t="s">
        <v>18374</v>
      </c>
      <c r="I6128" s="17">
        <f ca="1">IFERROR(__xludf.DUMMYFUNCTION("""COMPUTED_VALUE"""),45729)</f>
        <v>45729</v>
      </c>
      <c r="J6128" s="29" t="s">
        <v>4209</v>
      </c>
      <c r="K6128" s="26" t="s">
        <v>20044</v>
      </c>
      <c r="L6128" s="30">
        <v>964196492</v>
      </c>
      <c r="M6128" s="26" t="s">
        <v>633</v>
      </c>
      <c r="N6128" s="26" t="s">
        <v>2847</v>
      </c>
      <c r="O6128" s="26" t="s">
        <v>4211</v>
      </c>
      <c r="P6128" s="42" t="s">
        <v>20045</v>
      </c>
      <c r="Q6128" s="20">
        <v>9317</v>
      </c>
      <c r="R6128" s="26" t="s">
        <v>36</v>
      </c>
      <c r="S6128" s="31">
        <v>2000</v>
      </c>
      <c r="T6128" s="32">
        <v>45211</v>
      </c>
      <c r="U6128" s="31">
        <v>7317</v>
      </c>
      <c r="V6128" s="32">
        <v>45215</v>
      </c>
      <c r="W6128" s="33" t="s">
        <v>4213</v>
      </c>
      <c r="X6128" s="26">
        <v>0</v>
      </c>
      <c r="Y6128" s="22">
        <v>0</v>
      </c>
      <c r="Z6128" s="26" t="s">
        <v>118</v>
      </c>
      <c r="AA6128" s="19" t="s">
        <v>3454</v>
      </c>
      <c r="AB6128" s="26"/>
      <c r="AC6128" s="26" t="s">
        <v>53</v>
      </c>
      <c r="AD6128" s="19" t="s">
        <v>54</v>
      </c>
      <c r="AE6128" s="26" t="s">
        <v>4931</v>
      </c>
      <c r="AF6128" s="17">
        <v>45722</v>
      </c>
      <c r="AG6128" s="26"/>
      <c r="AH6128" s="26"/>
      <c r="AI6128" s="40"/>
      <c r="AJ6128" s="26"/>
      <c r="AK6128" s="26"/>
      <c r="AL6128" s="35"/>
      <c r="AM6128" s="35"/>
      <c r="AN6128" s="35"/>
      <c r="AO6128" s="35"/>
      <c r="AP6128" s="35"/>
    </row>
    <row r="6129" spans="1:42" x14ac:dyDescent="0.2">
      <c r="A6129" s="38">
        <v>45709</v>
      </c>
      <c r="B6129" s="137" t="s">
        <v>37</v>
      </c>
      <c r="C6129" s="41" t="s">
        <v>118</v>
      </c>
      <c r="D6129" s="80" t="s">
        <v>36</v>
      </c>
      <c r="E6129" s="80" t="s">
        <v>56</v>
      </c>
      <c r="F6129" s="80" t="s">
        <v>12398</v>
      </c>
      <c r="G6129" s="80" t="s">
        <v>108</v>
      </c>
      <c r="H6129" s="80" t="s">
        <v>10246</v>
      </c>
      <c r="I6129" s="17">
        <f ca="1">IFERROR(__xludf.DUMMYFUNCTION("""COMPUTED_VALUE"""),45716)</f>
        <v>45716</v>
      </c>
      <c r="J6129" s="143" t="s">
        <v>16047</v>
      </c>
      <c r="K6129" s="80" t="s">
        <v>20046</v>
      </c>
      <c r="L6129" s="30">
        <v>989380621</v>
      </c>
      <c r="M6129" s="80" t="s">
        <v>2755</v>
      </c>
      <c r="N6129" s="80" t="s">
        <v>2756</v>
      </c>
      <c r="O6129" s="80" t="s">
        <v>4503</v>
      </c>
      <c r="P6129" s="144" t="s">
        <v>20047</v>
      </c>
      <c r="Q6129" s="20">
        <v>9317</v>
      </c>
      <c r="R6129" s="80" t="s">
        <v>36</v>
      </c>
      <c r="S6129" s="95">
        <v>1968</v>
      </c>
      <c r="T6129" s="148">
        <v>45569</v>
      </c>
      <c r="U6129" s="95">
        <v>7349</v>
      </c>
      <c r="V6129" s="148">
        <v>45596</v>
      </c>
      <c r="W6129" s="85" t="s">
        <v>16050</v>
      </c>
      <c r="X6129" s="80"/>
      <c r="Y6129" s="22">
        <v>0</v>
      </c>
      <c r="Z6129" s="80" t="s">
        <v>50</v>
      </c>
      <c r="AA6129" s="96" t="s">
        <v>9905</v>
      </c>
      <c r="AB6129" s="80"/>
      <c r="AC6129" s="80" t="s">
        <v>53</v>
      </c>
      <c r="AD6129" s="80" t="s">
        <v>54</v>
      </c>
      <c r="AE6129" s="80" t="s">
        <v>12398</v>
      </c>
      <c r="AF6129" s="17">
        <v>45712</v>
      </c>
      <c r="AG6129" s="80"/>
      <c r="AH6129" s="80"/>
      <c r="AI6129" s="147"/>
      <c r="AJ6129" s="80"/>
      <c r="AK6129" s="80"/>
      <c r="AL6129" s="35"/>
      <c r="AM6129" s="35"/>
      <c r="AN6129" s="35"/>
      <c r="AO6129" s="35"/>
      <c r="AP6129" s="35"/>
    </row>
    <row r="6130" spans="1:42" x14ac:dyDescent="0.2">
      <c r="A6130" s="38">
        <v>45709</v>
      </c>
      <c r="B6130" s="137" t="s">
        <v>37</v>
      </c>
      <c r="C6130" s="41" t="s">
        <v>118</v>
      </c>
      <c r="D6130" s="80" t="s">
        <v>36</v>
      </c>
      <c r="E6130" s="80" t="s">
        <v>139</v>
      </c>
      <c r="F6130" s="80" t="s">
        <v>12049</v>
      </c>
      <c r="G6130" s="80" t="s">
        <v>108</v>
      </c>
      <c r="H6130" s="80" t="s">
        <v>10246</v>
      </c>
      <c r="I6130" s="17">
        <f ca="1">IFERROR(__xludf.DUMMYFUNCTION("""COMPUTED_VALUE"""),45716)</f>
        <v>45716</v>
      </c>
      <c r="J6130" s="143" t="s">
        <v>12227</v>
      </c>
      <c r="K6130" s="80" t="s">
        <v>20048</v>
      </c>
      <c r="L6130" s="30">
        <v>968486556</v>
      </c>
      <c r="M6130" s="80" t="s">
        <v>123</v>
      </c>
      <c r="N6130" s="80" t="s">
        <v>186</v>
      </c>
      <c r="O6130" s="80" t="s">
        <v>4503</v>
      </c>
      <c r="P6130" s="80" t="s">
        <v>12229</v>
      </c>
      <c r="Q6130" s="20">
        <v>15936</v>
      </c>
      <c r="R6130" s="80" t="s">
        <v>70</v>
      </c>
      <c r="S6130" s="95">
        <v>2000</v>
      </c>
      <c r="T6130" s="148">
        <v>45514</v>
      </c>
      <c r="U6130" s="178">
        <v>13936</v>
      </c>
      <c r="V6130" s="169">
        <v>45553</v>
      </c>
      <c r="W6130" s="85" t="s">
        <v>12230</v>
      </c>
      <c r="X6130" s="80">
        <v>100</v>
      </c>
      <c r="Y6130" s="22">
        <v>-100</v>
      </c>
      <c r="Z6130" s="80" t="s">
        <v>50</v>
      </c>
      <c r="AA6130" s="35" t="s">
        <v>3291</v>
      </c>
      <c r="AB6130" s="80"/>
      <c r="AC6130" s="80" t="s">
        <v>53</v>
      </c>
      <c r="AD6130" s="80" t="s">
        <v>54</v>
      </c>
      <c r="AE6130" s="80" t="s">
        <v>12049</v>
      </c>
      <c r="AF6130" s="17">
        <v>45712</v>
      </c>
      <c r="AG6130" s="80"/>
      <c r="AH6130" s="80"/>
      <c r="AI6130" s="147" t="s">
        <v>147</v>
      </c>
      <c r="AJ6130" s="80"/>
      <c r="AK6130" s="80"/>
      <c r="AL6130" s="35"/>
      <c r="AM6130" s="35"/>
      <c r="AN6130" s="35"/>
      <c r="AO6130" s="35"/>
      <c r="AP6130" s="35"/>
    </row>
    <row r="6131" spans="1:42" x14ac:dyDescent="0.2">
      <c r="A6131" s="38">
        <v>45709</v>
      </c>
      <c r="B6131" s="28" t="s">
        <v>37</v>
      </c>
      <c r="C6131" s="41" t="s">
        <v>118</v>
      </c>
      <c r="D6131" s="80" t="s">
        <v>36</v>
      </c>
      <c r="E6131" s="80" t="s">
        <v>56</v>
      </c>
      <c r="F6131" s="80" t="s">
        <v>11446</v>
      </c>
      <c r="G6131" s="80" t="s">
        <v>108</v>
      </c>
      <c r="H6131" s="80" t="s">
        <v>19406</v>
      </c>
      <c r="I6131" s="17">
        <f ca="1">IFERROR(__xludf.DUMMYFUNCTION("""COMPUTED_VALUE"""),45723)</f>
        <v>45723</v>
      </c>
      <c r="J6131" s="143" t="s">
        <v>11474</v>
      </c>
      <c r="K6131" s="80" t="s">
        <v>20049</v>
      </c>
      <c r="L6131" s="30">
        <v>352389647</v>
      </c>
      <c r="M6131" s="80" t="s">
        <v>59</v>
      </c>
      <c r="N6131" s="80" t="s">
        <v>11476</v>
      </c>
      <c r="O6131" s="80" t="s">
        <v>11477</v>
      </c>
      <c r="P6131" s="144" t="s">
        <v>20050</v>
      </c>
      <c r="Q6131" s="20">
        <v>9317</v>
      </c>
      <c r="R6131" s="80" t="s">
        <v>36</v>
      </c>
      <c r="S6131" s="95">
        <f>2000+7317</f>
        <v>9317</v>
      </c>
      <c r="T6131" s="83" t="s">
        <v>11479</v>
      </c>
      <c r="U6131" s="77"/>
      <c r="V6131" s="78"/>
      <c r="W6131" s="85" t="s">
        <v>11480</v>
      </c>
      <c r="X6131" s="80">
        <v>0</v>
      </c>
      <c r="Y6131" s="22">
        <v>0</v>
      </c>
      <c r="Z6131" s="80" t="s">
        <v>50</v>
      </c>
      <c r="AA6131" s="96" t="s">
        <v>10314</v>
      </c>
      <c r="AB6131" s="80"/>
      <c r="AC6131" s="80" t="s">
        <v>53</v>
      </c>
      <c r="AD6131" s="80" t="s">
        <v>54</v>
      </c>
      <c r="AE6131" s="80" t="s">
        <v>11446</v>
      </c>
      <c r="AF6131" s="17">
        <v>45720</v>
      </c>
      <c r="AG6131" s="80"/>
      <c r="AH6131" s="80"/>
      <c r="AI6131" s="147"/>
      <c r="AJ6131" s="80"/>
      <c r="AK6131" s="80"/>
      <c r="AL6131" s="35"/>
      <c r="AM6131" s="35"/>
      <c r="AN6131" s="35"/>
      <c r="AO6131" s="35"/>
      <c r="AP6131" s="35"/>
    </row>
    <row r="6132" spans="1:42" x14ac:dyDescent="0.2">
      <c r="A6132" s="38">
        <v>45709</v>
      </c>
      <c r="B6132" s="137" t="s">
        <v>37</v>
      </c>
      <c r="C6132" s="41" t="s">
        <v>118</v>
      </c>
      <c r="D6132" s="26" t="s">
        <v>36</v>
      </c>
      <c r="E6132" s="26" t="s">
        <v>119</v>
      </c>
      <c r="F6132" s="26" t="s">
        <v>8691</v>
      </c>
      <c r="G6132" s="26" t="s">
        <v>221</v>
      </c>
      <c r="H6132" s="80" t="s">
        <v>18374</v>
      </c>
      <c r="I6132" s="17">
        <f ca="1">IFERROR(__xludf.DUMMYFUNCTION("""COMPUTED_VALUE"""),45729)</f>
        <v>45729</v>
      </c>
      <c r="J6132" s="29" t="s">
        <v>9425</v>
      </c>
      <c r="K6132" s="26" t="s">
        <v>20051</v>
      </c>
      <c r="L6132" s="30">
        <v>336639234</v>
      </c>
      <c r="M6132" s="26" t="s">
        <v>80</v>
      </c>
      <c r="N6132" s="26" t="s">
        <v>466</v>
      </c>
      <c r="O6132" s="26" t="s">
        <v>9427</v>
      </c>
      <c r="P6132" s="42" t="s">
        <v>20052</v>
      </c>
      <c r="Q6132" s="20"/>
      <c r="R6132" s="26" t="s">
        <v>36</v>
      </c>
      <c r="S6132" s="95">
        <f>3800+10168</f>
        <v>13968</v>
      </c>
      <c r="T6132" s="83" t="s">
        <v>9429</v>
      </c>
      <c r="U6132" s="31"/>
      <c r="V6132" s="32"/>
      <c r="W6132" s="33" t="s">
        <v>9430</v>
      </c>
      <c r="X6132" s="26"/>
      <c r="Y6132" s="22"/>
      <c r="Z6132" s="26" t="s">
        <v>50</v>
      </c>
      <c r="AA6132" s="70" t="s">
        <v>9070</v>
      </c>
      <c r="AB6132" s="26"/>
      <c r="AC6132" s="26" t="s">
        <v>53</v>
      </c>
      <c r="AD6132" s="26" t="s">
        <v>54</v>
      </c>
      <c r="AE6132" s="26" t="s">
        <v>8691</v>
      </c>
      <c r="AF6132" s="17">
        <v>45722</v>
      </c>
      <c r="AG6132" s="26"/>
      <c r="AH6132" s="26"/>
      <c r="AI6132" s="40"/>
      <c r="AJ6132" s="26"/>
      <c r="AK6132" s="26"/>
      <c r="AL6132" s="35"/>
      <c r="AM6132" s="35"/>
      <c r="AN6132" s="35"/>
      <c r="AO6132" s="35"/>
      <c r="AP6132" s="35"/>
    </row>
    <row r="6133" spans="1:42" x14ac:dyDescent="0.2">
      <c r="A6133" s="38">
        <v>45709</v>
      </c>
      <c r="B6133" s="137" t="s">
        <v>37</v>
      </c>
      <c r="C6133" s="41" t="s">
        <v>118</v>
      </c>
      <c r="D6133" s="26" t="s">
        <v>36</v>
      </c>
      <c r="E6133" s="80" t="s">
        <v>119</v>
      </c>
      <c r="F6133" s="80" t="s">
        <v>7519</v>
      </c>
      <c r="G6133" s="26" t="s">
        <v>221</v>
      </c>
      <c r="H6133" s="80" t="s">
        <v>18374</v>
      </c>
      <c r="I6133" s="17">
        <f ca="1">IFERROR(__xludf.DUMMYFUNCTION("""COMPUTED_VALUE"""),45729)</f>
        <v>45729</v>
      </c>
      <c r="J6133" s="143" t="s">
        <v>12772</v>
      </c>
      <c r="K6133" s="80" t="s">
        <v>20053</v>
      </c>
      <c r="L6133" s="30">
        <v>373088006</v>
      </c>
      <c r="M6133" s="80" t="s">
        <v>45</v>
      </c>
      <c r="N6133" s="80" t="s">
        <v>87</v>
      </c>
      <c r="O6133" s="80" t="s">
        <v>12774</v>
      </c>
      <c r="P6133" s="115" t="s">
        <v>20054</v>
      </c>
      <c r="Q6133" s="20">
        <v>13968</v>
      </c>
      <c r="R6133" s="80" t="s">
        <v>36</v>
      </c>
      <c r="S6133" s="95">
        <v>13968</v>
      </c>
      <c r="T6133" s="148">
        <v>45540</v>
      </c>
      <c r="U6133" s="77"/>
      <c r="V6133" s="78"/>
      <c r="W6133" s="80" t="s">
        <v>12776</v>
      </c>
      <c r="X6133" s="80">
        <v>0</v>
      </c>
      <c r="Y6133" s="22">
        <v>0</v>
      </c>
      <c r="Z6133" s="80" t="s">
        <v>50</v>
      </c>
      <c r="AA6133" s="96" t="s">
        <v>3291</v>
      </c>
      <c r="AB6133" s="80"/>
      <c r="AC6133" s="80" t="s">
        <v>53</v>
      </c>
      <c r="AD6133" s="80" t="s">
        <v>54</v>
      </c>
      <c r="AE6133" s="80" t="s">
        <v>7519</v>
      </c>
      <c r="AF6133" s="17">
        <v>45722</v>
      </c>
      <c r="AG6133" s="80"/>
      <c r="AH6133" s="80"/>
      <c r="AI6133" s="147">
        <v>4</v>
      </c>
      <c r="AJ6133" s="80"/>
      <c r="AK6133" s="80"/>
      <c r="AL6133" s="35"/>
      <c r="AM6133" s="35"/>
      <c r="AN6133" s="35"/>
      <c r="AO6133" s="35"/>
      <c r="AP6133" s="35"/>
    </row>
    <row r="6134" spans="1:42" x14ac:dyDescent="0.2">
      <c r="A6134" s="38">
        <v>45709</v>
      </c>
      <c r="B6134" s="137" t="s">
        <v>37</v>
      </c>
      <c r="C6134" s="41" t="s">
        <v>118</v>
      </c>
      <c r="D6134" s="26" t="s">
        <v>36</v>
      </c>
      <c r="E6134" s="26" t="s">
        <v>139</v>
      </c>
      <c r="F6134" s="26" t="s">
        <v>7016</v>
      </c>
      <c r="G6134" s="26" t="s">
        <v>1705</v>
      </c>
      <c r="H6134" s="26" t="s">
        <v>19571</v>
      </c>
      <c r="I6134" s="17">
        <f ca="1">IFERROR(__xludf.DUMMYFUNCTION("""COMPUTED_VALUE"""),45566)</f>
        <v>45566</v>
      </c>
      <c r="J6134" s="29" t="s">
        <v>5271</v>
      </c>
      <c r="K6134" s="26" t="s">
        <v>20055</v>
      </c>
      <c r="L6134" s="30">
        <v>926502995</v>
      </c>
      <c r="M6134" s="26" t="s">
        <v>123</v>
      </c>
      <c r="N6134" s="26" t="s">
        <v>850</v>
      </c>
      <c r="O6134" s="26" t="s">
        <v>1226</v>
      </c>
      <c r="P6134" s="42" t="s">
        <v>20056</v>
      </c>
      <c r="Q6134" s="20">
        <v>15936</v>
      </c>
      <c r="R6134" s="26" t="s">
        <v>36</v>
      </c>
      <c r="S6134" s="31">
        <v>2000</v>
      </c>
      <c r="T6134" s="32">
        <v>45205</v>
      </c>
      <c r="U6134" s="31">
        <v>13936</v>
      </c>
      <c r="V6134" s="38">
        <v>45231</v>
      </c>
      <c r="W6134" s="33" t="s">
        <v>5274</v>
      </c>
      <c r="X6134" s="26"/>
      <c r="Y6134" s="22">
        <v>0</v>
      </c>
      <c r="Z6134" s="26" t="s">
        <v>118</v>
      </c>
      <c r="AA6134" s="19" t="s">
        <v>5785</v>
      </c>
      <c r="AB6134" s="26"/>
      <c r="AC6134" s="26" t="s">
        <v>53</v>
      </c>
      <c r="AD6134" s="19" t="s">
        <v>138</v>
      </c>
      <c r="AE6134" s="26" t="s">
        <v>7016</v>
      </c>
      <c r="AF6134" s="17">
        <v>45712</v>
      </c>
      <c r="AG6134" s="26"/>
      <c r="AH6134" s="26"/>
      <c r="AI6134" s="40" t="s">
        <v>147</v>
      </c>
      <c r="AJ6134" s="26"/>
      <c r="AK6134" s="26"/>
      <c r="AL6134" s="35"/>
      <c r="AM6134" s="35"/>
      <c r="AN6134" s="35"/>
      <c r="AO6134" s="35"/>
      <c r="AP6134" s="35"/>
    </row>
    <row r="6135" spans="1:42" x14ac:dyDescent="0.2">
      <c r="A6135" s="38">
        <v>45711</v>
      </c>
      <c r="B6135" s="137" t="s">
        <v>37</v>
      </c>
      <c r="C6135" s="41" t="s">
        <v>118</v>
      </c>
      <c r="D6135" s="80" t="s">
        <v>36</v>
      </c>
      <c r="E6135" s="80" t="s">
        <v>139</v>
      </c>
      <c r="F6135" s="80" t="s">
        <v>6882</v>
      </c>
      <c r="G6135" s="26" t="s">
        <v>1705</v>
      </c>
      <c r="H6135" s="26" t="s">
        <v>19571</v>
      </c>
      <c r="I6135" s="17">
        <f ca="1">IFERROR(__xludf.DUMMYFUNCTION("""COMPUTED_VALUE"""),45566)</f>
        <v>45566</v>
      </c>
      <c r="J6135" s="143" t="s">
        <v>5380</v>
      </c>
      <c r="K6135" s="80" t="s">
        <v>17042</v>
      </c>
      <c r="L6135" s="30">
        <v>398926200</v>
      </c>
      <c r="M6135" s="80" t="s">
        <v>80</v>
      </c>
      <c r="N6135" s="80" t="s">
        <v>186</v>
      </c>
      <c r="O6135" s="80" t="s">
        <v>5382</v>
      </c>
      <c r="P6135" s="144" t="s">
        <v>6095</v>
      </c>
      <c r="Q6135" s="20">
        <v>15936</v>
      </c>
      <c r="R6135" s="80" t="s">
        <v>36</v>
      </c>
      <c r="S6135" s="77">
        <v>2000</v>
      </c>
      <c r="T6135" s="78">
        <v>45215</v>
      </c>
      <c r="U6135" s="173">
        <v>13936</v>
      </c>
      <c r="V6135" s="174">
        <v>45260</v>
      </c>
      <c r="W6135" s="85" t="s">
        <v>5384</v>
      </c>
      <c r="X6135" s="80"/>
      <c r="Y6135" s="22">
        <v>0</v>
      </c>
      <c r="Z6135" s="41" t="s">
        <v>118</v>
      </c>
      <c r="AA6135" s="82" t="s">
        <v>5112</v>
      </c>
      <c r="AB6135" s="80"/>
      <c r="AC6135" s="80" t="s">
        <v>53</v>
      </c>
      <c r="AD6135" s="86" t="s">
        <v>54</v>
      </c>
      <c r="AE6135" s="80" t="s">
        <v>6882</v>
      </c>
      <c r="AF6135" s="17">
        <v>45713</v>
      </c>
      <c r="AG6135" s="80"/>
      <c r="AH6135" s="80"/>
      <c r="AI6135" s="147" t="s">
        <v>147</v>
      </c>
      <c r="AJ6135" s="80"/>
      <c r="AK6135" s="80"/>
      <c r="AL6135" s="86"/>
      <c r="AM6135" s="86"/>
      <c r="AN6135" s="86"/>
      <c r="AO6135" s="86"/>
      <c r="AP6135" s="86"/>
    </row>
    <row r="6136" spans="1:42" x14ac:dyDescent="0.2">
      <c r="A6136" s="38">
        <v>45711</v>
      </c>
      <c r="B6136" s="137" t="s">
        <v>37</v>
      </c>
      <c r="C6136" s="41" t="s">
        <v>118</v>
      </c>
      <c r="D6136" s="80" t="s">
        <v>36</v>
      </c>
      <c r="E6136" s="80" t="s">
        <v>148</v>
      </c>
      <c r="F6136" s="80" t="s">
        <v>12857</v>
      </c>
      <c r="G6136" s="26" t="s">
        <v>221</v>
      </c>
      <c r="H6136" s="80" t="s">
        <v>18374</v>
      </c>
      <c r="I6136" s="17">
        <f ca="1">IFERROR(__xludf.DUMMYFUNCTION("""COMPUTED_VALUE"""),45729)</f>
        <v>45729</v>
      </c>
      <c r="J6136" s="143" t="s">
        <v>12858</v>
      </c>
      <c r="K6136" s="80" t="s">
        <v>20057</v>
      </c>
      <c r="L6136" s="30">
        <v>398476716</v>
      </c>
      <c r="M6136" s="80" t="s">
        <v>45</v>
      </c>
      <c r="N6136" s="80" t="s">
        <v>12759</v>
      </c>
      <c r="O6136" s="80" t="s">
        <v>12860</v>
      </c>
      <c r="P6136" s="144" t="s">
        <v>20058</v>
      </c>
      <c r="Q6136" s="20">
        <v>7349</v>
      </c>
      <c r="R6136" s="80" t="s">
        <v>36</v>
      </c>
      <c r="S6136" s="95">
        <v>7349</v>
      </c>
      <c r="T6136" s="148">
        <v>45540</v>
      </c>
      <c r="U6136" s="77"/>
      <c r="V6136" s="78"/>
      <c r="W6136" s="80" t="s">
        <v>12862</v>
      </c>
      <c r="X6136" s="80">
        <v>0</v>
      </c>
      <c r="Y6136" s="22">
        <v>0</v>
      </c>
      <c r="Z6136" s="80" t="s">
        <v>50</v>
      </c>
      <c r="AA6136" s="35" t="s">
        <v>3291</v>
      </c>
      <c r="AB6136" s="80"/>
      <c r="AC6136" s="80" t="s">
        <v>53</v>
      </c>
      <c r="AD6136" s="80" t="s">
        <v>54</v>
      </c>
      <c r="AE6136" s="80" t="s">
        <v>12857</v>
      </c>
      <c r="AF6136" s="17">
        <v>45722</v>
      </c>
      <c r="AG6136" s="80"/>
      <c r="AH6136" s="80"/>
      <c r="AI6136" s="147">
        <v>2</v>
      </c>
      <c r="AJ6136" s="80"/>
      <c r="AK6136" s="80"/>
      <c r="AL6136" s="35"/>
      <c r="AM6136" s="35"/>
      <c r="AN6136" s="35"/>
      <c r="AO6136" s="35"/>
      <c r="AP6136" s="35"/>
    </row>
    <row r="6137" spans="1:42" x14ac:dyDescent="0.2">
      <c r="A6137" s="38">
        <v>45712</v>
      </c>
      <c r="B6137" s="137" t="s">
        <v>37</v>
      </c>
      <c r="C6137" s="41" t="s">
        <v>118</v>
      </c>
      <c r="D6137" s="80" t="s">
        <v>36</v>
      </c>
      <c r="E6137" s="80" t="s">
        <v>139</v>
      </c>
      <c r="F6137" s="80" t="s">
        <v>12324</v>
      </c>
      <c r="G6137" s="80" t="s">
        <v>108</v>
      </c>
      <c r="H6137" s="80" t="s">
        <v>20059</v>
      </c>
      <c r="I6137" s="17" t="str">
        <f ca="1">IFERROR(__xludf.DUMMYFUNCTION("""COMPUTED_VALUE""")," ")</f>
        <v xml:space="preserve"> </v>
      </c>
      <c r="J6137" s="143" t="s">
        <v>12325</v>
      </c>
      <c r="K6137" s="80" t="s">
        <v>20060</v>
      </c>
      <c r="L6137" s="30">
        <v>866636451</v>
      </c>
      <c r="M6137" s="80" t="s">
        <v>9422</v>
      </c>
      <c r="N6137" s="80" t="s">
        <v>68</v>
      </c>
      <c r="O6137" s="80" t="s">
        <v>12327</v>
      </c>
      <c r="P6137" s="144" t="s">
        <v>20061</v>
      </c>
      <c r="Q6137" s="20">
        <v>15936</v>
      </c>
      <c r="R6137" s="80" t="s">
        <v>11421</v>
      </c>
      <c r="S6137" s="95">
        <v>3000</v>
      </c>
      <c r="T6137" s="148">
        <v>45522</v>
      </c>
      <c r="U6137" s="95">
        <v>12936</v>
      </c>
      <c r="V6137" s="148">
        <v>45560</v>
      </c>
      <c r="W6137" s="85" t="s">
        <v>12328</v>
      </c>
      <c r="X6137" s="83">
        <v>300</v>
      </c>
      <c r="Y6137" s="22">
        <v>-300</v>
      </c>
      <c r="Z6137" s="81" t="s">
        <v>50</v>
      </c>
      <c r="AA6137" s="82" t="s">
        <v>3291</v>
      </c>
      <c r="AB6137" s="80"/>
      <c r="AC6137" s="80" t="s">
        <v>53</v>
      </c>
      <c r="AD6137" s="80" t="s">
        <v>138</v>
      </c>
      <c r="AE6137" s="80" t="s">
        <v>12324</v>
      </c>
      <c r="AF6137" s="17">
        <v>45722</v>
      </c>
      <c r="AG6137" s="80"/>
      <c r="AH6137" s="80"/>
      <c r="AI6137" s="147" t="s">
        <v>147</v>
      </c>
      <c r="AJ6137" s="80"/>
      <c r="AK6137" s="80"/>
      <c r="AL6137" s="86"/>
      <c r="AM6137" s="86"/>
      <c r="AN6137" s="86"/>
      <c r="AO6137" s="86"/>
      <c r="AP6137" s="86"/>
    </row>
    <row r="6138" spans="1:42" x14ac:dyDescent="0.2">
      <c r="A6138" s="38">
        <v>45712</v>
      </c>
      <c r="B6138" s="137" t="s">
        <v>37</v>
      </c>
      <c r="C6138" s="41" t="s">
        <v>118</v>
      </c>
      <c r="D6138" s="80" t="s">
        <v>36</v>
      </c>
      <c r="E6138" s="80" t="s">
        <v>56</v>
      </c>
      <c r="F6138" s="80" t="s">
        <v>12324</v>
      </c>
      <c r="G6138" s="80" t="s">
        <v>108</v>
      </c>
      <c r="H6138" s="80" t="s">
        <v>14547</v>
      </c>
      <c r="I6138" s="17">
        <f ca="1">IFERROR(__xludf.DUMMYFUNCTION("""COMPUTED_VALUE"""),45726)</f>
        <v>45726</v>
      </c>
      <c r="J6138" s="143" t="s">
        <v>16300</v>
      </c>
      <c r="K6138" s="80" t="s">
        <v>16301</v>
      </c>
      <c r="L6138" s="30">
        <v>328084639</v>
      </c>
      <c r="M6138" s="80" t="s">
        <v>59</v>
      </c>
      <c r="N6138" s="80" t="s">
        <v>8342</v>
      </c>
      <c r="O6138" s="80" t="s">
        <v>16302</v>
      </c>
      <c r="P6138" s="80" t="s">
        <v>16303</v>
      </c>
      <c r="Q6138" s="20">
        <v>9317</v>
      </c>
      <c r="R6138" s="80" t="s">
        <v>36</v>
      </c>
      <c r="S6138" s="95">
        <v>9317</v>
      </c>
      <c r="T6138" s="148">
        <v>45576</v>
      </c>
      <c r="U6138" s="77"/>
      <c r="V6138" s="78"/>
      <c r="W6138" s="85" t="s">
        <v>16304</v>
      </c>
      <c r="X6138" s="80"/>
      <c r="Y6138" s="22">
        <v>0</v>
      </c>
      <c r="Z6138" s="81" t="s">
        <v>50</v>
      </c>
      <c r="AA6138" s="86" t="s">
        <v>9905</v>
      </c>
      <c r="AB6138" s="80"/>
      <c r="AC6138" s="80" t="s">
        <v>53</v>
      </c>
      <c r="AD6138" s="80" t="s">
        <v>54</v>
      </c>
      <c r="AE6138" s="80" t="s">
        <v>12324</v>
      </c>
      <c r="AF6138" s="17">
        <v>45722</v>
      </c>
      <c r="AG6138" s="80"/>
      <c r="AH6138" s="80"/>
      <c r="AI6138" s="147"/>
      <c r="AJ6138" s="80"/>
      <c r="AK6138" s="80"/>
      <c r="AL6138" s="86"/>
      <c r="AM6138" s="86"/>
      <c r="AN6138" s="86"/>
      <c r="AO6138" s="86"/>
      <c r="AP6138" s="86"/>
    </row>
    <row r="6139" spans="1:42" x14ac:dyDescent="0.2">
      <c r="A6139" s="38">
        <v>45712</v>
      </c>
      <c r="B6139" s="137" t="s">
        <v>37</v>
      </c>
      <c r="C6139" s="41" t="s">
        <v>118</v>
      </c>
      <c r="D6139" s="80" t="s">
        <v>36</v>
      </c>
      <c r="E6139" s="80" t="s">
        <v>39</v>
      </c>
      <c r="F6139" s="80" t="s">
        <v>12324</v>
      </c>
      <c r="G6139" s="80" t="s">
        <v>108</v>
      </c>
      <c r="H6139" s="80" t="s">
        <v>20062</v>
      </c>
      <c r="I6139" s="17" t="str">
        <f ca="1">IFERROR(__xludf.DUMMYFUNCTION("""COMPUTED_VALUE""")," ")</f>
        <v xml:space="preserve"> </v>
      </c>
      <c r="J6139" s="143" t="s">
        <v>16881</v>
      </c>
      <c r="K6139" s="80" t="s">
        <v>16882</v>
      </c>
      <c r="L6139" s="30">
        <v>367510219</v>
      </c>
      <c r="M6139" s="80" t="s">
        <v>1245</v>
      </c>
      <c r="N6139" s="80" t="s">
        <v>1750</v>
      </c>
      <c r="O6139" s="80"/>
      <c r="P6139" s="144" t="s">
        <v>20063</v>
      </c>
      <c r="Q6139" s="20"/>
      <c r="R6139" s="80" t="s">
        <v>36</v>
      </c>
      <c r="S6139" s="178">
        <v>10354</v>
      </c>
      <c r="T6139" s="169">
        <v>44795</v>
      </c>
      <c r="U6139" s="173"/>
      <c r="V6139" s="174"/>
      <c r="W6139" s="190" t="s">
        <v>16884</v>
      </c>
      <c r="X6139" s="80"/>
      <c r="Y6139" s="22">
        <v>0</v>
      </c>
      <c r="Z6139" s="41" t="s">
        <v>118</v>
      </c>
      <c r="AA6139" s="82"/>
      <c r="AB6139" s="80"/>
      <c r="AC6139" s="80" t="s">
        <v>53</v>
      </c>
      <c r="AD6139" s="86" t="s">
        <v>54</v>
      </c>
      <c r="AE6139" s="80" t="s">
        <v>12324</v>
      </c>
      <c r="AF6139" s="17">
        <v>45722</v>
      </c>
      <c r="AG6139" s="80"/>
      <c r="AH6139" s="80"/>
      <c r="AI6139" s="147"/>
      <c r="AJ6139" s="80"/>
      <c r="AK6139" s="80"/>
      <c r="AL6139" s="86"/>
      <c r="AM6139" s="86"/>
      <c r="AN6139" s="86"/>
      <c r="AO6139" s="86"/>
      <c r="AP6139" s="86"/>
    </row>
    <row r="6140" spans="1:42" x14ac:dyDescent="0.2">
      <c r="A6140" s="38">
        <v>45712</v>
      </c>
      <c r="B6140" s="137" t="s">
        <v>37</v>
      </c>
      <c r="C6140" s="41" t="s">
        <v>118</v>
      </c>
      <c r="D6140" s="80" t="s">
        <v>36</v>
      </c>
      <c r="E6140" s="80" t="s">
        <v>56</v>
      </c>
      <c r="F6140" s="80" t="s">
        <v>12324</v>
      </c>
      <c r="G6140" s="80" t="s">
        <v>108</v>
      </c>
      <c r="H6140" s="80" t="s">
        <v>14547</v>
      </c>
      <c r="I6140" s="17">
        <f ca="1">IFERROR(__xludf.DUMMYFUNCTION("""COMPUTED_VALUE"""),45726)</f>
        <v>45726</v>
      </c>
      <c r="J6140" s="143" t="s">
        <v>18980</v>
      </c>
      <c r="K6140" s="80" t="s">
        <v>18981</v>
      </c>
      <c r="L6140" s="30">
        <v>393147934</v>
      </c>
      <c r="M6140" s="80" t="s">
        <v>348</v>
      </c>
      <c r="N6140" s="80" t="s">
        <v>4299</v>
      </c>
      <c r="O6140" s="80" t="s">
        <v>11399</v>
      </c>
      <c r="P6140" s="80" t="s">
        <v>18982</v>
      </c>
      <c r="Q6140" s="20">
        <v>9317</v>
      </c>
      <c r="R6140" s="80" t="s">
        <v>36</v>
      </c>
      <c r="S6140" s="95">
        <f>200+9117</f>
        <v>9317</v>
      </c>
      <c r="T6140" s="148" t="s">
        <v>18983</v>
      </c>
      <c r="U6140" s="77"/>
      <c r="V6140" s="78"/>
      <c r="W6140" s="85" t="s">
        <v>18984</v>
      </c>
      <c r="X6140" s="80"/>
      <c r="Y6140" s="22">
        <v>0</v>
      </c>
      <c r="Z6140" s="81" t="s">
        <v>50</v>
      </c>
      <c r="AA6140" s="86" t="s">
        <v>18579</v>
      </c>
      <c r="AB6140" s="86"/>
      <c r="AC6140" s="80" t="s">
        <v>53</v>
      </c>
      <c r="AD6140" s="80" t="s">
        <v>54</v>
      </c>
      <c r="AE6140" s="80" t="s">
        <v>12324</v>
      </c>
      <c r="AF6140" s="17">
        <v>45722</v>
      </c>
      <c r="AG6140" s="80"/>
      <c r="AH6140" s="80"/>
      <c r="AI6140" s="147"/>
      <c r="AJ6140" s="80"/>
      <c r="AK6140" s="80"/>
      <c r="AL6140" s="86"/>
      <c r="AM6140" s="86"/>
      <c r="AN6140" s="86"/>
      <c r="AO6140" s="86"/>
      <c r="AP6140" s="86"/>
    </row>
    <row r="6141" spans="1:42" x14ac:dyDescent="0.2">
      <c r="A6141" s="38">
        <v>45712</v>
      </c>
      <c r="B6141" s="137" t="s">
        <v>37</v>
      </c>
      <c r="C6141" s="41" t="s">
        <v>118</v>
      </c>
      <c r="D6141" s="80" t="s">
        <v>36</v>
      </c>
      <c r="E6141" s="80" t="s">
        <v>139</v>
      </c>
      <c r="F6141" s="80" t="s">
        <v>12324</v>
      </c>
      <c r="G6141" s="80" t="s">
        <v>108</v>
      </c>
      <c r="H6141" s="80" t="s">
        <v>14547</v>
      </c>
      <c r="I6141" s="17">
        <f ca="1">IFERROR(__xludf.DUMMYFUNCTION("""COMPUTED_VALUE"""),45726)</f>
        <v>45726</v>
      </c>
      <c r="J6141" s="143" t="s">
        <v>19050</v>
      </c>
      <c r="K6141" s="80" t="s">
        <v>20064</v>
      </c>
      <c r="L6141" s="30">
        <v>336502515</v>
      </c>
      <c r="M6141" s="80" t="s">
        <v>18749</v>
      </c>
      <c r="N6141" s="80" t="s">
        <v>6144</v>
      </c>
      <c r="O6141" s="80" t="s">
        <v>4503</v>
      </c>
      <c r="P6141" s="80" t="s">
        <v>19052</v>
      </c>
      <c r="Q6141" s="20">
        <v>15936</v>
      </c>
      <c r="R6141" s="80" t="s">
        <v>36</v>
      </c>
      <c r="S6141" s="95">
        <f>200+1800</f>
        <v>2000</v>
      </c>
      <c r="T6141" s="148" t="s">
        <v>19053</v>
      </c>
      <c r="U6141" s="95">
        <v>13936</v>
      </c>
      <c r="V6141" s="148">
        <v>45651</v>
      </c>
      <c r="W6141" s="85" t="s">
        <v>19054</v>
      </c>
      <c r="X6141" s="80"/>
      <c r="Y6141" s="22">
        <v>0</v>
      </c>
      <c r="Z6141" s="81" t="s">
        <v>50</v>
      </c>
      <c r="AA6141" s="82" t="s">
        <v>18579</v>
      </c>
      <c r="AB6141" s="82"/>
      <c r="AC6141" s="80" t="s">
        <v>53</v>
      </c>
      <c r="AD6141" s="80" t="s">
        <v>54</v>
      </c>
      <c r="AE6141" s="80" t="s">
        <v>12324</v>
      </c>
      <c r="AF6141" s="17">
        <v>45722</v>
      </c>
      <c r="AG6141" s="80"/>
      <c r="AH6141" s="80"/>
      <c r="AI6141" s="147"/>
      <c r="AJ6141" s="80"/>
      <c r="AK6141" s="80"/>
      <c r="AL6141" s="86"/>
      <c r="AM6141" s="86"/>
      <c r="AN6141" s="86"/>
      <c r="AO6141" s="86"/>
      <c r="AP6141" s="86"/>
    </row>
    <row r="6142" spans="1:42" x14ac:dyDescent="0.2">
      <c r="A6142" s="38">
        <v>45712</v>
      </c>
      <c r="B6142" s="137" t="s">
        <v>37</v>
      </c>
      <c r="C6142" s="41" t="s">
        <v>118</v>
      </c>
      <c r="D6142" s="80" t="s">
        <v>36</v>
      </c>
      <c r="E6142" s="80" t="s">
        <v>139</v>
      </c>
      <c r="F6142" s="80" t="s">
        <v>12324</v>
      </c>
      <c r="G6142" s="80" t="s">
        <v>108</v>
      </c>
      <c r="H6142" s="80" t="s">
        <v>14547</v>
      </c>
      <c r="I6142" s="17">
        <f ca="1">IFERROR(__xludf.DUMMYFUNCTION("""COMPUTED_VALUE"""),45726)</f>
        <v>45726</v>
      </c>
      <c r="J6142" s="143" t="s">
        <v>19655</v>
      </c>
      <c r="K6142" s="80" t="s">
        <v>20065</v>
      </c>
      <c r="L6142" s="30">
        <v>984053898</v>
      </c>
      <c r="M6142" s="80" t="s">
        <v>15970</v>
      </c>
      <c r="N6142" s="80" t="s">
        <v>466</v>
      </c>
      <c r="O6142" s="80" t="s">
        <v>19657</v>
      </c>
      <c r="P6142" s="80" t="s">
        <v>19658</v>
      </c>
      <c r="Q6142" s="20">
        <v>15936</v>
      </c>
      <c r="R6142" s="80" t="s">
        <v>36</v>
      </c>
      <c r="S6142" s="95">
        <f>100+1868</f>
        <v>1968</v>
      </c>
      <c r="T6142" s="148" t="s">
        <v>19659</v>
      </c>
      <c r="U6142" s="95">
        <v>13968</v>
      </c>
      <c r="V6142" s="148">
        <v>45659</v>
      </c>
      <c r="W6142" s="85" t="s">
        <v>19660</v>
      </c>
      <c r="X6142" s="80"/>
      <c r="Y6142" s="22">
        <v>0</v>
      </c>
      <c r="Z6142" s="81" t="s">
        <v>50</v>
      </c>
      <c r="AA6142" s="86" t="s">
        <v>18583</v>
      </c>
      <c r="AB6142" s="86"/>
      <c r="AC6142" s="80" t="s">
        <v>53</v>
      </c>
      <c r="AD6142" s="80" t="s">
        <v>54</v>
      </c>
      <c r="AE6142" s="80" t="s">
        <v>12324</v>
      </c>
      <c r="AF6142" s="17">
        <v>45722</v>
      </c>
      <c r="AG6142" s="80"/>
      <c r="AH6142" s="80"/>
      <c r="AI6142" s="147"/>
      <c r="AJ6142" s="80"/>
      <c r="AK6142" s="80"/>
      <c r="AL6142" s="86"/>
      <c r="AM6142" s="86"/>
      <c r="AN6142" s="86"/>
      <c r="AO6142" s="86"/>
      <c r="AP6142" s="86"/>
    </row>
    <row r="6143" spans="1:42" x14ac:dyDescent="0.2">
      <c r="A6143" s="38">
        <v>45712</v>
      </c>
      <c r="B6143" s="137" t="s">
        <v>37</v>
      </c>
      <c r="C6143" s="41" t="s">
        <v>118</v>
      </c>
      <c r="D6143" s="26" t="s">
        <v>36</v>
      </c>
      <c r="E6143" s="26" t="s">
        <v>139</v>
      </c>
      <c r="F6143" s="26" t="s">
        <v>5025</v>
      </c>
      <c r="G6143" s="26" t="s">
        <v>221</v>
      </c>
      <c r="H6143" s="26" t="s">
        <v>20066</v>
      </c>
      <c r="I6143" s="17" t="str">
        <f ca="1">IFERROR(__xludf.DUMMYFUNCTION("""COMPUTED_VALUE""")," ")</f>
        <v xml:space="preserve"> </v>
      </c>
      <c r="J6143" s="29" t="s">
        <v>4068</v>
      </c>
      <c r="K6143" s="26" t="s">
        <v>20067</v>
      </c>
      <c r="L6143" s="30">
        <v>862159750</v>
      </c>
      <c r="M6143" s="26" t="s">
        <v>123</v>
      </c>
      <c r="N6143" s="26" t="s">
        <v>81</v>
      </c>
      <c r="O6143" s="26" t="s">
        <v>1226</v>
      </c>
      <c r="P6143" s="42" t="s">
        <v>20068</v>
      </c>
      <c r="Q6143" s="20">
        <v>15936</v>
      </c>
      <c r="R6143" s="26" t="s">
        <v>36</v>
      </c>
      <c r="S6143" s="31">
        <v>200</v>
      </c>
      <c r="T6143" s="32">
        <v>45203</v>
      </c>
      <c r="U6143" s="31">
        <v>15736</v>
      </c>
      <c r="V6143" s="26" t="s">
        <v>4070</v>
      </c>
      <c r="W6143" s="33" t="s">
        <v>4071</v>
      </c>
      <c r="X6143" s="26"/>
      <c r="Y6143" s="22">
        <v>0</v>
      </c>
      <c r="Z6143" s="26" t="s">
        <v>118</v>
      </c>
      <c r="AA6143" s="19" t="s">
        <v>3454</v>
      </c>
      <c r="AB6143" s="26"/>
      <c r="AC6143" s="26" t="s">
        <v>53</v>
      </c>
      <c r="AD6143" s="19" t="s">
        <v>138</v>
      </c>
      <c r="AE6143" s="26" t="s">
        <v>5025</v>
      </c>
      <c r="AF6143" s="17">
        <v>45720</v>
      </c>
      <c r="AG6143" s="26"/>
      <c r="AH6143" s="26"/>
      <c r="AI6143" s="40"/>
      <c r="AJ6143" s="26"/>
      <c r="AK6143" s="26"/>
      <c r="AL6143" s="35"/>
      <c r="AM6143" s="35"/>
      <c r="AN6143" s="35"/>
      <c r="AO6143" s="35"/>
      <c r="AP6143" s="35"/>
    </row>
    <row r="6144" spans="1:42" x14ac:dyDescent="0.2">
      <c r="A6144" s="38">
        <v>45712</v>
      </c>
      <c r="B6144" s="137" t="s">
        <v>37</v>
      </c>
      <c r="C6144" s="41" t="s">
        <v>118</v>
      </c>
      <c r="D6144" s="80" t="s">
        <v>36</v>
      </c>
      <c r="E6144" s="80" t="s">
        <v>139</v>
      </c>
      <c r="F6144" s="80" t="s">
        <v>10199</v>
      </c>
      <c r="G6144" s="26" t="s">
        <v>221</v>
      </c>
      <c r="H6144" s="26" t="s">
        <v>20069</v>
      </c>
      <c r="I6144" s="17" t="str">
        <f ca="1">IFERROR(__xludf.DUMMYFUNCTION("""COMPUTED_VALUE""")," ")</f>
        <v xml:space="preserve"> </v>
      </c>
      <c r="J6144" s="143" t="s">
        <v>12559</v>
      </c>
      <c r="K6144" s="80" t="s">
        <v>14034</v>
      </c>
      <c r="L6144" s="30">
        <v>775227665</v>
      </c>
      <c r="M6144" s="80" t="s">
        <v>123</v>
      </c>
      <c r="N6144" s="80" t="s">
        <v>327</v>
      </c>
      <c r="O6144" s="80" t="s">
        <v>4503</v>
      </c>
      <c r="P6144" s="144" t="s">
        <v>14035</v>
      </c>
      <c r="Q6144" s="20">
        <v>15936</v>
      </c>
      <c r="R6144" s="80" t="s">
        <v>36</v>
      </c>
      <c r="S6144" s="95">
        <v>5000</v>
      </c>
      <c r="T6144" s="148">
        <v>45533</v>
      </c>
      <c r="U6144" s="95">
        <v>10936</v>
      </c>
      <c r="V6144" s="148">
        <v>45557</v>
      </c>
      <c r="W6144" s="85" t="s">
        <v>12562</v>
      </c>
      <c r="X6144" s="80">
        <v>0</v>
      </c>
      <c r="Y6144" s="22">
        <v>0</v>
      </c>
      <c r="Z6144" s="80" t="s">
        <v>50</v>
      </c>
      <c r="AA6144" s="35" t="s">
        <v>3291</v>
      </c>
      <c r="AB6144" s="80"/>
      <c r="AC6144" s="80" t="s">
        <v>53</v>
      </c>
      <c r="AD6144" s="80" t="s">
        <v>54</v>
      </c>
      <c r="AE6144" s="80" t="s">
        <v>10199</v>
      </c>
      <c r="AF6144" s="17">
        <v>45720</v>
      </c>
      <c r="AG6144" s="80"/>
      <c r="AH6144" s="80"/>
      <c r="AI6144" s="147" t="s">
        <v>147</v>
      </c>
      <c r="AJ6144" s="80"/>
      <c r="AK6144" s="80"/>
      <c r="AL6144" s="35"/>
      <c r="AM6144" s="35"/>
      <c r="AN6144" s="35"/>
      <c r="AO6144" s="35"/>
      <c r="AP6144" s="35"/>
    </row>
    <row r="6145" spans="1:42" x14ac:dyDescent="0.2">
      <c r="A6145" s="38">
        <v>45713</v>
      </c>
      <c r="B6145" s="137" t="s">
        <v>37</v>
      </c>
      <c r="C6145" s="41" t="s">
        <v>118</v>
      </c>
      <c r="D6145" s="80" t="s">
        <v>36</v>
      </c>
      <c r="E6145" s="80" t="s">
        <v>139</v>
      </c>
      <c r="F6145" s="26" t="s">
        <v>13976</v>
      </c>
      <c r="G6145" s="26" t="s">
        <v>221</v>
      </c>
      <c r="H6145" s="26" t="s">
        <v>18374</v>
      </c>
      <c r="I6145" s="17">
        <f ca="1">IFERROR(__xludf.DUMMYFUNCTION("""COMPUTED_VALUE"""),45729)</f>
        <v>45729</v>
      </c>
      <c r="J6145" s="143" t="s">
        <v>12642</v>
      </c>
      <c r="K6145" s="80" t="s">
        <v>13978</v>
      </c>
      <c r="L6145" s="30">
        <v>944561036</v>
      </c>
      <c r="M6145" s="80" t="s">
        <v>12644</v>
      </c>
      <c r="N6145" s="80" t="s">
        <v>8725</v>
      </c>
      <c r="O6145" s="80" t="s">
        <v>12645</v>
      </c>
      <c r="P6145" s="115" t="s">
        <v>13979</v>
      </c>
      <c r="Q6145" s="20">
        <v>15936</v>
      </c>
      <c r="R6145" s="80" t="s">
        <v>36</v>
      </c>
      <c r="S6145" s="95">
        <v>2000</v>
      </c>
      <c r="T6145" s="148">
        <v>45537</v>
      </c>
      <c r="U6145" s="95">
        <v>13936</v>
      </c>
      <c r="V6145" s="148">
        <v>45565</v>
      </c>
      <c r="W6145" s="85" t="s">
        <v>12647</v>
      </c>
      <c r="X6145" s="80">
        <v>0</v>
      </c>
      <c r="Y6145" s="22">
        <v>0</v>
      </c>
      <c r="Z6145" s="80" t="s">
        <v>50</v>
      </c>
      <c r="AA6145" s="96" t="s">
        <v>3291</v>
      </c>
      <c r="AB6145" s="80"/>
      <c r="AC6145" s="80" t="s">
        <v>53</v>
      </c>
      <c r="AD6145" s="80" t="s">
        <v>54</v>
      </c>
      <c r="AE6145" s="26" t="s">
        <v>13976</v>
      </c>
      <c r="AF6145" s="17">
        <v>45722</v>
      </c>
      <c r="AG6145" s="80"/>
      <c r="AH6145" s="80"/>
      <c r="AI6145" s="147" t="s">
        <v>147</v>
      </c>
      <c r="AJ6145" s="80"/>
      <c r="AK6145" s="80"/>
      <c r="AL6145" s="35"/>
      <c r="AM6145" s="35"/>
      <c r="AN6145" s="35"/>
      <c r="AO6145" s="35"/>
      <c r="AP6145" s="35"/>
    </row>
    <row r="6146" spans="1:42" x14ac:dyDescent="0.2">
      <c r="A6146" s="38">
        <v>45713</v>
      </c>
      <c r="B6146" s="137" t="s">
        <v>37</v>
      </c>
      <c r="C6146" s="41" t="s">
        <v>118</v>
      </c>
      <c r="D6146" s="80" t="s">
        <v>36</v>
      </c>
      <c r="E6146" s="80" t="s">
        <v>56</v>
      </c>
      <c r="F6146" s="26" t="s">
        <v>8844</v>
      </c>
      <c r="G6146" s="26" t="s">
        <v>221</v>
      </c>
      <c r="H6146" s="26" t="s">
        <v>18280</v>
      </c>
      <c r="I6146" s="17">
        <f ca="1">IFERROR(__xludf.DUMMYFUNCTION("""COMPUTED_VALUE"""),45722)</f>
        <v>45722</v>
      </c>
      <c r="J6146" s="143" t="s">
        <v>11730</v>
      </c>
      <c r="K6146" s="80" t="s">
        <v>20070</v>
      </c>
      <c r="L6146" s="30">
        <v>943824257</v>
      </c>
      <c r="M6146" s="80" t="s">
        <v>59</v>
      </c>
      <c r="N6146" s="80" t="s">
        <v>7298</v>
      </c>
      <c r="O6146" s="80" t="s">
        <v>11732</v>
      </c>
      <c r="P6146" s="144" t="s">
        <v>13911</v>
      </c>
      <c r="Q6146" s="20">
        <v>9317</v>
      </c>
      <c r="R6146" s="80" t="s">
        <v>36</v>
      </c>
      <c r="S6146" s="95">
        <v>9317</v>
      </c>
      <c r="T6146" s="148">
        <v>45532</v>
      </c>
      <c r="U6146" s="77"/>
      <c r="V6146" s="78"/>
      <c r="W6146" s="85" t="s">
        <v>11734</v>
      </c>
      <c r="X6146" s="80">
        <v>0</v>
      </c>
      <c r="Y6146" s="22">
        <v>0</v>
      </c>
      <c r="Z6146" s="80" t="s">
        <v>50</v>
      </c>
      <c r="AA6146" s="35" t="s">
        <v>10314</v>
      </c>
      <c r="AB6146" s="80"/>
      <c r="AC6146" s="80" t="s">
        <v>53</v>
      </c>
      <c r="AD6146" s="80" t="s">
        <v>54</v>
      </c>
      <c r="AE6146" s="26" t="s">
        <v>8844</v>
      </c>
      <c r="AF6146" s="17">
        <v>45720</v>
      </c>
      <c r="AG6146" s="80"/>
      <c r="AH6146" s="80"/>
      <c r="AI6146" s="147"/>
      <c r="AJ6146" s="80"/>
      <c r="AK6146" s="80"/>
      <c r="AL6146" s="35"/>
      <c r="AM6146" s="35"/>
      <c r="AN6146" s="35"/>
      <c r="AO6146" s="35"/>
      <c r="AP6146" s="35"/>
    </row>
    <row r="6147" spans="1:42" x14ac:dyDescent="0.2">
      <c r="A6147" s="38">
        <v>45713</v>
      </c>
      <c r="B6147" s="137" t="s">
        <v>37</v>
      </c>
      <c r="C6147" s="41" t="s">
        <v>118</v>
      </c>
      <c r="D6147" s="26" t="s">
        <v>36</v>
      </c>
      <c r="E6147" s="26" t="s">
        <v>139</v>
      </c>
      <c r="F6147" s="26" t="s">
        <v>10193</v>
      </c>
      <c r="G6147" s="26" t="s">
        <v>221</v>
      </c>
      <c r="H6147" s="26" t="s">
        <v>20071</v>
      </c>
      <c r="I6147" s="17">
        <f ca="1">IFERROR(__xludf.DUMMYFUNCTION("""COMPUTED_VALUE"""),45757)</f>
        <v>45757</v>
      </c>
      <c r="J6147" s="29" t="s">
        <v>10194</v>
      </c>
      <c r="K6147" s="26" t="s">
        <v>20072</v>
      </c>
      <c r="L6147" s="30">
        <v>814146184</v>
      </c>
      <c r="M6147" s="26" t="s">
        <v>3728</v>
      </c>
      <c r="N6147" s="26" t="s">
        <v>8725</v>
      </c>
      <c r="O6147" s="26" t="s">
        <v>10196</v>
      </c>
      <c r="P6147" s="42" t="s">
        <v>20073</v>
      </c>
      <c r="Q6147" s="20">
        <v>15936</v>
      </c>
      <c r="R6147" s="26" t="s">
        <v>36</v>
      </c>
      <c r="S6147" s="95">
        <v>2000</v>
      </c>
      <c r="T6147" s="148">
        <v>45487</v>
      </c>
      <c r="U6147" s="95">
        <v>13936</v>
      </c>
      <c r="V6147" s="148">
        <v>45525</v>
      </c>
      <c r="W6147" s="33" t="s">
        <v>10198</v>
      </c>
      <c r="X6147" s="26">
        <v>0</v>
      </c>
      <c r="Y6147" s="22">
        <v>0</v>
      </c>
      <c r="Z6147" s="26" t="s">
        <v>50</v>
      </c>
      <c r="AA6147" s="96"/>
      <c r="AB6147" s="26"/>
      <c r="AC6147" s="26" t="s">
        <v>53</v>
      </c>
      <c r="AD6147" s="26" t="s">
        <v>54</v>
      </c>
      <c r="AE6147" s="26" t="s">
        <v>10193</v>
      </c>
      <c r="AF6147" s="17">
        <v>45722</v>
      </c>
      <c r="AG6147" s="26"/>
      <c r="AH6147" s="26"/>
      <c r="AI6147" s="40"/>
      <c r="AJ6147" s="26"/>
      <c r="AK6147" s="26"/>
      <c r="AL6147" s="35"/>
      <c r="AM6147" s="35"/>
      <c r="AN6147" s="35"/>
      <c r="AO6147" s="35"/>
      <c r="AP6147" s="35"/>
    </row>
    <row r="6148" spans="1:42" x14ac:dyDescent="0.2">
      <c r="A6148" s="38">
        <v>45713</v>
      </c>
      <c r="B6148" s="137" t="s">
        <v>37</v>
      </c>
      <c r="C6148" s="41" t="s">
        <v>118</v>
      </c>
      <c r="D6148" s="26" t="s">
        <v>36</v>
      </c>
      <c r="E6148" s="26" t="s">
        <v>139</v>
      </c>
      <c r="F6148" s="26" t="s">
        <v>10199</v>
      </c>
      <c r="G6148" s="26" t="s">
        <v>221</v>
      </c>
      <c r="H6148" s="26" t="s">
        <v>18280</v>
      </c>
      <c r="I6148" s="17">
        <f ca="1">IFERROR(__xludf.DUMMYFUNCTION("""COMPUTED_VALUE"""),45722)</f>
        <v>45722</v>
      </c>
      <c r="J6148" s="29" t="s">
        <v>10200</v>
      </c>
      <c r="K6148" s="26" t="s">
        <v>20074</v>
      </c>
      <c r="L6148" s="30">
        <v>834167448</v>
      </c>
      <c r="M6148" s="26" t="s">
        <v>3728</v>
      </c>
      <c r="N6148" s="26" t="s">
        <v>8725</v>
      </c>
      <c r="O6148" s="26" t="s">
        <v>10202</v>
      </c>
      <c r="P6148" s="42" t="s">
        <v>20075</v>
      </c>
      <c r="Q6148" s="20">
        <v>15936</v>
      </c>
      <c r="R6148" s="26" t="s">
        <v>36</v>
      </c>
      <c r="S6148" s="95">
        <v>2000</v>
      </c>
      <c r="T6148" s="148">
        <v>45484</v>
      </c>
      <c r="U6148" s="95">
        <v>13936</v>
      </c>
      <c r="V6148" s="148">
        <v>45533</v>
      </c>
      <c r="W6148" s="33" t="s">
        <v>10204</v>
      </c>
      <c r="X6148" s="26">
        <v>0</v>
      </c>
      <c r="Y6148" s="22">
        <v>0</v>
      </c>
      <c r="Z6148" s="26" t="s">
        <v>50</v>
      </c>
      <c r="AA6148" s="35"/>
      <c r="AB6148" s="26"/>
      <c r="AC6148" s="26" t="s">
        <v>53</v>
      </c>
      <c r="AD6148" s="26" t="s">
        <v>54</v>
      </c>
      <c r="AE6148" s="26" t="s">
        <v>10199</v>
      </c>
      <c r="AF6148" s="17">
        <v>45722</v>
      </c>
      <c r="AG6148" s="26"/>
      <c r="AH6148" s="26"/>
      <c r="AI6148" s="40"/>
      <c r="AJ6148" s="26"/>
      <c r="AK6148" s="26"/>
      <c r="AL6148" s="35"/>
      <c r="AM6148" s="35"/>
      <c r="AN6148" s="35"/>
      <c r="AO6148" s="35"/>
      <c r="AP6148" s="35"/>
    </row>
    <row r="6149" spans="1:42" x14ac:dyDescent="0.2">
      <c r="A6149" s="38">
        <v>45713</v>
      </c>
      <c r="B6149" s="137" t="s">
        <v>37</v>
      </c>
      <c r="C6149" s="41" t="s">
        <v>118</v>
      </c>
      <c r="D6149" s="26" t="s">
        <v>36</v>
      </c>
      <c r="E6149" s="26" t="s">
        <v>139</v>
      </c>
      <c r="F6149" s="26" t="s">
        <v>9906</v>
      </c>
      <c r="G6149" s="26" t="s">
        <v>221</v>
      </c>
      <c r="H6149" s="26" t="s">
        <v>20076</v>
      </c>
      <c r="I6149" s="17">
        <f ca="1">IFERROR(__xludf.DUMMYFUNCTION("""COMPUTED_VALUE"""),45727)</f>
        <v>45727</v>
      </c>
      <c r="J6149" s="44" t="s">
        <v>9930</v>
      </c>
      <c r="K6149" s="26" t="s">
        <v>18172</v>
      </c>
      <c r="L6149" s="30">
        <v>395046631</v>
      </c>
      <c r="M6149" s="26" t="s">
        <v>3728</v>
      </c>
      <c r="N6149" s="26" t="s">
        <v>8725</v>
      </c>
      <c r="O6149" s="26" t="s">
        <v>9932</v>
      </c>
      <c r="P6149" s="42" t="s">
        <v>20077</v>
      </c>
      <c r="Q6149" s="20">
        <v>15936</v>
      </c>
      <c r="R6149" s="26" t="s">
        <v>36</v>
      </c>
      <c r="S6149" s="95">
        <v>2000</v>
      </c>
      <c r="T6149" s="148">
        <v>45460</v>
      </c>
      <c r="U6149" s="95">
        <v>13936</v>
      </c>
      <c r="V6149" s="148">
        <v>45513</v>
      </c>
      <c r="W6149" s="33" t="s">
        <v>9934</v>
      </c>
      <c r="X6149" s="26">
        <v>0</v>
      </c>
      <c r="Y6149" s="22">
        <v>0</v>
      </c>
      <c r="Z6149" s="98" t="s">
        <v>118</v>
      </c>
      <c r="AA6149" s="96"/>
      <c r="AB6149" s="26" t="s">
        <v>36</v>
      </c>
      <c r="AC6149" s="26" t="s">
        <v>53</v>
      </c>
      <c r="AD6149" s="26" t="s">
        <v>54</v>
      </c>
      <c r="AE6149" s="26" t="s">
        <v>9906</v>
      </c>
      <c r="AF6149" s="17">
        <v>45722</v>
      </c>
      <c r="AG6149" s="26"/>
      <c r="AH6149" s="26"/>
      <c r="AI6149" s="40"/>
      <c r="AJ6149" s="26"/>
      <c r="AK6149" s="26"/>
      <c r="AL6149" s="35"/>
      <c r="AM6149" s="35"/>
      <c r="AN6149" s="35"/>
      <c r="AO6149" s="35"/>
      <c r="AP6149" s="35"/>
    </row>
    <row r="6150" spans="1:42" x14ac:dyDescent="0.2">
      <c r="A6150" s="38">
        <v>45713</v>
      </c>
      <c r="B6150" s="137"/>
      <c r="C6150" s="41" t="s">
        <v>118</v>
      </c>
      <c r="D6150" s="80" t="s">
        <v>36</v>
      </c>
      <c r="E6150" s="80" t="s">
        <v>139</v>
      </c>
      <c r="F6150" s="80" t="s">
        <v>10205</v>
      </c>
      <c r="G6150" s="26" t="s">
        <v>221</v>
      </c>
      <c r="H6150" s="26" t="s">
        <v>20078</v>
      </c>
      <c r="I6150" s="17" t="str">
        <f ca="1">IFERROR(__xludf.DUMMYFUNCTION("""COMPUTED_VALUE""")," ")</f>
        <v xml:space="preserve"> </v>
      </c>
      <c r="J6150" s="143" t="s">
        <v>11010</v>
      </c>
      <c r="K6150" s="80" t="s">
        <v>20079</v>
      </c>
      <c r="L6150" s="30">
        <v>985876405</v>
      </c>
      <c r="M6150" s="80" t="s">
        <v>3728</v>
      </c>
      <c r="N6150" s="80" t="s">
        <v>8725</v>
      </c>
      <c r="O6150" s="80" t="s">
        <v>11012</v>
      </c>
      <c r="P6150" s="144" t="s">
        <v>20080</v>
      </c>
      <c r="Q6150" s="20">
        <v>15936</v>
      </c>
      <c r="R6150" s="80" t="s">
        <v>36</v>
      </c>
      <c r="S6150" s="95">
        <v>2000</v>
      </c>
      <c r="T6150" s="148">
        <v>45497</v>
      </c>
      <c r="U6150" s="95">
        <v>13836</v>
      </c>
      <c r="V6150" s="148">
        <v>45526</v>
      </c>
      <c r="W6150" s="80" t="s">
        <v>11014</v>
      </c>
      <c r="X6150" s="80">
        <v>0</v>
      </c>
      <c r="Y6150" s="22">
        <v>100</v>
      </c>
      <c r="Z6150" s="80" t="s">
        <v>50</v>
      </c>
      <c r="AA6150" s="35" t="s">
        <v>10314</v>
      </c>
      <c r="AB6150" s="80"/>
      <c r="AC6150" s="80" t="s">
        <v>53</v>
      </c>
      <c r="AD6150" s="80" t="s">
        <v>54</v>
      </c>
      <c r="AE6150" s="80" t="s">
        <v>10205</v>
      </c>
      <c r="AF6150" s="17">
        <v>45722</v>
      </c>
      <c r="AG6150" s="80" t="s">
        <v>8366</v>
      </c>
      <c r="AH6150" s="80" t="s">
        <v>19106</v>
      </c>
      <c r="AI6150" s="147"/>
      <c r="AJ6150" s="80"/>
      <c r="AK6150" s="80"/>
      <c r="AL6150" s="35"/>
      <c r="AM6150" s="35"/>
      <c r="AN6150" s="35"/>
      <c r="AO6150" s="35"/>
      <c r="AP6150" s="35"/>
    </row>
    <row r="6151" spans="1:42" x14ac:dyDescent="0.2">
      <c r="A6151" s="38">
        <v>45713</v>
      </c>
      <c r="B6151" s="137" t="s">
        <v>37</v>
      </c>
      <c r="C6151" s="41" t="s">
        <v>118</v>
      </c>
      <c r="D6151" s="80" t="s">
        <v>36</v>
      </c>
      <c r="E6151" s="80" t="s">
        <v>139</v>
      </c>
      <c r="F6151" s="26" t="s">
        <v>10199</v>
      </c>
      <c r="G6151" s="26" t="s">
        <v>221</v>
      </c>
      <c r="H6151" s="26" t="s">
        <v>20081</v>
      </c>
      <c r="I6151" s="17">
        <f ca="1">IFERROR(__xludf.DUMMYFUNCTION("""COMPUTED_VALUE"""),45761)</f>
        <v>45761</v>
      </c>
      <c r="J6151" s="143" t="s">
        <v>12563</v>
      </c>
      <c r="K6151" s="145" t="s">
        <v>20082</v>
      </c>
      <c r="L6151" s="47">
        <v>817210276</v>
      </c>
      <c r="M6151" s="145" t="s">
        <v>123</v>
      </c>
      <c r="N6151" s="145" t="s">
        <v>327</v>
      </c>
      <c r="O6151" s="80" t="s">
        <v>4503</v>
      </c>
      <c r="P6151" s="144" t="s">
        <v>13956</v>
      </c>
      <c r="Q6151" s="20">
        <v>15936</v>
      </c>
      <c r="R6151" s="80" t="s">
        <v>36</v>
      </c>
      <c r="S6151" s="95">
        <f>200+2800+5000</f>
        <v>8000</v>
      </c>
      <c r="T6151" s="83" t="s">
        <v>12566</v>
      </c>
      <c r="U6151" s="95">
        <v>7936</v>
      </c>
      <c r="V6151" s="148">
        <v>45564</v>
      </c>
      <c r="W6151" s="85" t="s">
        <v>12567</v>
      </c>
      <c r="X6151" s="80">
        <v>0</v>
      </c>
      <c r="Y6151" s="22">
        <v>0</v>
      </c>
      <c r="Z6151" s="80" t="s">
        <v>50</v>
      </c>
      <c r="AA6151" s="96" t="s">
        <v>3291</v>
      </c>
      <c r="AB6151" s="80"/>
      <c r="AC6151" s="80" t="s">
        <v>53</v>
      </c>
      <c r="AD6151" s="80" t="s">
        <v>54</v>
      </c>
      <c r="AE6151" s="26" t="s">
        <v>10199</v>
      </c>
      <c r="AF6151" s="17">
        <v>45720</v>
      </c>
      <c r="AG6151" s="80"/>
      <c r="AH6151" s="80"/>
      <c r="AI6151" s="147" t="s">
        <v>147</v>
      </c>
      <c r="AJ6151" s="80"/>
      <c r="AK6151" s="80"/>
      <c r="AL6151" s="35"/>
      <c r="AM6151" s="35"/>
      <c r="AN6151" s="35"/>
      <c r="AO6151" s="35"/>
      <c r="AP6151" s="35"/>
    </row>
    <row r="6152" spans="1:42" x14ac:dyDescent="0.2">
      <c r="A6152" s="38">
        <v>45713</v>
      </c>
      <c r="B6152" s="137" t="s">
        <v>37</v>
      </c>
      <c r="C6152" s="41" t="s">
        <v>118</v>
      </c>
      <c r="D6152" s="26" t="s">
        <v>36</v>
      </c>
      <c r="E6152" s="26" t="s">
        <v>139</v>
      </c>
      <c r="F6152" s="26" t="s">
        <v>9827</v>
      </c>
      <c r="G6152" s="26" t="s">
        <v>221</v>
      </c>
      <c r="H6152" s="26" t="s">
        <v>20083</v>
      </c>
      <c r="I6152" s="17">
        <f ca="1">IFERROR(__xludf.DUMMYFUNCTION("""COMPUTED_VALUE"""),45887)</f>
        <v>45887</v>
      </c>
      <c r="J6152" s="29" t="s">
        <v>11828</v>
      </c>
      <c r="K6152" s="26" t="s">
        <v>20084</v>
      </c>
      <c r="L6152" s="30">
        <v>396488331</v>
      </c>
      <c r="M6152" s="26" t="s">
        <v>3728</v>
      </c>
      <c r="N6152" s="26" t="s">
        <v>8725</v>
      </c>
      <c r="O6152" s="26" t="s">
        <v>11830</v>
      </c>
      <c r="P6152" s="42" t="s">
        <v>11831</v>
      </c>
      <c r="Q6152" s="20">
        <v>15936</v>
      </c>
      <c r="R6152" s="26" t="s">
        <v>36</v>
      </c>
      <c r="S6152" s="95">
        <v>2000</v>
      </c>
      <c r="T6152" s="148">
        <v>45486</v>
      </c>
      <c r="U6152" s="95">
        <v>13936</v>
      </c>
      <c r="V6152" s="148">
        <v>45540</v>
      </c>
      <c r="W6152" s="33" t="s">
        <v>11832</v>
      </c>
      <c r="X6152" s="26">
        <v>0</v>
      </c>
      <c r="Y6152" s="22">
        <v>0</v>
      </c>
      <c r="Z6152" s="26" t="s">
        <v>50</v>
      </c>
      <c r="AA6152" s="35"/>
      <c r="AB6152" s="26"/>
      <c r="AC6152" s="26" t="s">
        <v>53</v>
      </c>
      <c r="AD6152" s="26" t="s">
        <v>54</v>
      </c>
      <c r="AE6152" s="26" t="s">
        <v>9827</v>
      </c>
      <c r="AF6152" s="17">
        <v>45720</v>
      </c>
      <c r="AG6152" s="26"/>
      <c r="AH6152" s="26"/>
      <c r="AI6152" s="40" t="s">
        <v>147</v>
      </c>
      <c r="AJ6152" s="26"/>
      <c r="AK6152" s="26"/>
      <c r="AL6152" s="35"/>
      <c r="AM6152" s="35"/>
      <c r="AN6152" s="35"/>
      <c r="AO6152" s="35"/>
      <c r="AP6152" s="35"/>
    </row>
    <row r="6153" spans="1:42" x14ac:dyDescent="0.2">
      <c r="A6153" s="38">
        <v>45713</v>
      </c>
      <c r="B6153" s="137" t="s">
        <v>37</v>
      </c>
      <c r="C6153" s="41" t="s">
        <v>118</v>
      </c>
      <c r="D6153" s="26" t="s">
        <v>36</v>
      </c>
      <c r="E6153" s="26" t="s">
        <v>56</v>
      </c>
      <c r="F6153" s="26" t="s">
        <v>9827</v>
      </c>
      <c r="G6153" s="26" t="s">
        <v>221</v>
      </c>
      <c r="H6153" s="26" t="s">
        <v>20085</v>
      </c>
      <c r="I6153" s="17">
        <f ca="1">IFERROR(__xludf.DUMMYFUNCTION("""COMPUTED_VALUE"""),45727)</f>
        <v>45727</v>
      </c>
      <c r="J6153" s="44" t="s">
        <v>20086</v>
      </c>
      <c r="K6153" s="26" t="s">
        <v>11826</v>
      </c>
      <c r="L6153" s="30">
        <v>373822180</v>
      </c>
      <c r="M6153" s="26" t="s">
        <v>910</v>
      </c>
      <c r="N6153" s="26" t="s">
        <v>3525</v>
      </c>
      <c r="O6153" s="26" t="s">
        <v>91</v>
      </c>
      <c r="P6153" s="42" t="s">
        <v>11827</v>
      </c>
      <c r="Q6153" s="20">
        <v>9317</v>
      </c>
      <c r="R6153" s="26" t="s">
        <v>36</v>
      </c>
      <c r="S6153" s="95">
        <v>2000</v>
      </c>
      <c r="T6153" s="148">
        <v>45486</v>
      </c>
      <c r="U6153" s="95">
        <v>7317</v>
      </c>
      <c r="V6153" s="148">
        <v>45507</v>
      </c>
      <c r="W6153" s="33" t="s">
        <v>10730</v>
      </c>
      <c r="X6153" s="26">
        <v>0</v>
      </c>
      <c r="Y6153" s="22">
        <v>0</v>
      </c>
      <c r="Z6153" s="26" t="s">
        <v>50</v>
      </c>
      <c r="AA6153" s="96" t="s">
        <v>10314</v>
      </c>
      <c r="AB6153" s="26"/>
      <c r="AC6153" s="26" t="s">
        <v>53</v>
      </c>
      <c r="AD6153" s="26" t="s">
        <v>54</v>
      </c>
      <c r="AE6153" s="26" t="s">
        <v>9827</v>
      </c>
      <c r="AF6153" s="17">
        <v>45720</v>
      </c>
      <c r="AG6153" s="26"/>
      <c r="AH6153" s="26"/>
      <c r="AI6153" s="40"/>
      <c r="AJ6153" s="26"/>
      <c r="AK6153" s="26"/>
      <c r="AL6153" s="35"/>
      <c r="AM6153" s="35"/>
      <c r="AN6153" s="35"/>
      <c r="AO6153" s="35"/>
      <c r="AP6153" s="35"/>
    </row>
    <row r="6154" spans="1:42" x14ac:dyDescent="0.2">
      <c r="A6154" s="38">
        <v>45713</v>
      </c>
      <c r="B6154" s="137" t="s">
        <v>37</v>
      </c>
      <c r="C6154" s="41" t="s">
        <v>118</v>
      </c>
      <c r="D6154" s="26" t="s">
        <v>36</v>
      </c>
      <c r="E6154" s="26" t="s">
        <v>139</v>
      </c>
      <c r="F6154" s="26" t="s">
        <v>9827</v>
      </c>
      <c r="G6154" s="26" t="s">
        <v>221</v>
      </c>
      <c r="H6154" s="26" t="s">
        <v>20085</v>
      </c>
      <c r="I6154" s="17">
        <f ca="1">IFERROR(__xludf.DUMMYFUNCTION("""COMPUTED_VALUE"""),45727)</f>
        <v>45727</v>
      </c>
      <c r="J6154" s="29" t="s">
        <v>10807</v>
      </c>
      <c r="K6154" s="26" t="s">
        <v>11825</v>
      </c>
      <c r="L6154" s="30">
        <v>374471706</v>
      </c>
      <c r="M6154" s="26" t="s">
        <v>80</v>
      </c>
      <c r="N6154" s="26" t="s">
        <v>1073</v>
      </c>
      <c r="O6154" s="26" t="s">
        <v>10809</v>
      </c>
      <c r="P6154" s="115" t="s">
        <v>20087</v>
      </c>
      <c r="Q6154" s="20">
        <v>15936</v>
      </c>
      <c r="R6154" s="26" t="s">
        <v>36</v>
      </c>
      <c r="S6154" s="95">
        <v>2000</v>
      </c>
      <c r="T6154" s="148">
        <v>45491</v>
      </c>
      <c r="U6154" s="95">
        <v>13968</v>
      </c>
      <c r="V6154" s="148">
        <v>45510</v>
      </c>
      <c r="W6154" s="33" t="s">
        <v>10811</v>
      </c>
      <c r="X6154" s="26">
        <v>0</v>
      </c>
      <c r="Y6154" s="22">
        <v>-32</v>
      </c>
      <c r="Z6154" s="26" t="s">
        <v>50</v>
      </c>
      <c r="AA6154" s="35" t="s">
        <v>10314</v>
      </c>
      <c r="AB6154" s="26"/>
      <c r="AC6154" s="26" t="s">
        <v>53</v>
      </c>
      <c r="AD6154" s="26" t="s">
        <v>54</v>
      </c>
      <c r="AE6154" s="26" t="s">
        <v>9827</v>
      </c>
      <c r="AF6154" s="17">
        <v>45720</v>
      </c>
      <c r="AG6154" s="26"/>
      <c r="AH6154" s="26"/>
      <c r="AI6154" s="40"/>
      <c r="AJ6154" s="26"/>
      <c r="AK6154" s="26"/>
      <c r="AL6154" s="35"/>
      <c r="AM6154" s="35"/>
      <c r="AN6154" s="35"/>
      <c r="AO6154" s="35"/>
      <c r="AP6154" s="35"/>
    </row>
    <row r="6155" spans="1:42" x14ac:dyDescent="0.2">
      <c r="A6155" s="38">
        <v>45713</v>
      </c>
      <c r="B6155" s="137" t="s">
        <v>37</v>
      </c>
      <c r="C6155" s="41" t="s">
        <v>118</v>
      </c>
      <c r="D6155" s="26" t="s">
        <v>36</v>
      </c>
      <c r="E6155" s="26" t="s">
        <v>139</v>
      </c>
      <c r="F6155" s="26" t="s">
        <v>9827</v>
      </c>
      <c r="G6155" s="26" t="s">
        <v>221</v>
      </c>
      <c r="H6155" s="26" t="s">
        <v>20085</v>
      </c>
      <c r="I6155" s="17">
        <f ca="1">IFERROR(__xludf.DUMMYFUNCTION("""COMPUTED_VALUE"""),45727)</f>
        <v>45727</v>
      </c>
      <c r="J6155" s="29" t="s">
        <v>10852</v>
      </c>
      <c r="K6155" s="26" t="s">
        <v>11843</v>
      </c>
      <c r="L6155" s="30">
        <v>974839231</v>
      </c>
      <c r="M6155" s="26" t="s">
        <v>80</v>
      </c>
      <c r="N6155" s="26" t="s">
        <v>1073</v>
      </c>
      <c r="O6155" s="26" t="s">
        <v>10854</v>
      </c>
      <c r="P6155" s="42" t="s">
        <v>10855</v>
      </c>
      <c r="Q6155" s="20">
        <v>15936</v>
      </c>
      <c r="R6155" s="26" t="s">
        <v>36</v>
      </c>
      <c r="S6155" s="95">
        <f>200+1800</f>
        <v>2000</v>
      </c>
      <c r="T6155" s="83" t="s">
        <v>10856</v>
      </c>
      <c r="U6155" s="95">
        <v>13968</v>
      </c>
      <c r="V6155" s="148">
        <v>45529</v>
      </c>
      <c r="W6155" s="33" t="s">
        <v>10857</v>
      </c>
      <c r="X6155" s="26">
        <v>0</v>
      </c>
      <c r="Y6155" s="22">
        <v>-32</v>
      </c>
      <c r="Z6155" s="26" t="s">
        <v>50</v>
      </c>
      <c r="AA6155" s="96" t="s">
        <v>10314</v>
      </c>
      <c r="AB6155" s="26"/>
      <c r="AC6155" s="26" t="s">
        <v>53</v>
      </c>
      <c r="AD6155" s="26" t="s">
        <v>54</v>
      </c>
      <c r="AE6155" s="26" t="s">
        <v>9827</v>
      </c>
      <c r="AF6155" s="17">
        <v>45720</v>
      </c>
      <c r="AG6155" s="26"/>
      <c r="AH6155" s="26"/>
      <c r="AI6155" s="40"/>
      <c r="AJ6155" s="26"/>
      <c r="AK6155" s="26"/>
      <c r="AL6155" s="35"/>
      <c r="AM6155" s="35"/>
      <c r="AN6155" s="35"/>
      <c r="AO6155" s="35"/>
      <c r="AP6155" s="35"/>
    </row>
    <row r="6156" spans="1:42" x14ac:dyDescent="0.2">
      <c r="A6156" s="38">
        <v>45713</v>
      </c>
      <c r="B6156" s="137" t="s">
        <v>37</v>
      </c>
      <c r="C6156" s="41" t="s">
        <v>118</v>
      </c>
      <c r="D6156" s="80" t="s">
        <v>36</v>
      </c>
      <c r="E6156" s="80" t="s">
        <v>119</v>
      </c>
      <c r="F6156" s="26" t="s">
        <v>9827</v>
      </c>
      <c r="G6156" s="26" t="s">
        <v>221</v>
      </c>
      <c r="H6156" s="26" t="s">
        <v>20085</v>
      </c>
      <c r="I6156" s="17">
        <f ca="1">IFERROR(__xludf.DUMMYFUNCTION("""COMPUTED_VALUE"""),45727)</f>
        <v>45727</v>
      </c>
      <c r="J6156" s="143" t="s">
        <v>15530</v>
      </c>
      <c r="K6156" s="80" t="s">
        <v>20088</v>
      </c>
      <c r="L6156" s="30">
        <v>868381106</v>
      </c>
      <c r="M6156" s="80" t="s">
        <v>12529</v>
      </c>
      <c r="N6156" s="80" t="s">
        <v>15532</v>
      </c>
      <c r="O6156" s="80" t="s">
        <v>15533</v>
      </c>
      <c r="P6156" s="80" t="s">
        <v>15534</v>
      </c>
      <c r="Q6156" s="20">
        <v>13968</v>
      </c>
      <c r="R6156" s="80" t="s">
        <v>36</v>
      </c>
      <c r="S6156" s="95">
        <f>200+3800</f>
        <v>4000</v>
      </c>
      <c r="T6156" s="83" t="s">
        <v>15535</v>
      </c>
      <c r="U6156" s="95">
        <v>9968</v>
      </c>
      <c r="V6156" s="148">
        <v>45594</v>
      </c>
      <c r="W6156" s="85" t="s">
        <v>15536</v>
      </c>
      <c r="X6156" s="80"/>
      <c r="Y6156" s="22">
        <v>0</v>
      </c>
      <c r="Z6156" s="80" t="s">
        <v>50</v>
      </c>
      <c r="AA6156" s="35" t="s">
        <v>9905</v>
      </c>
      <c r="AB6156" s="80"/>
      <c r="AC6156" s="80" t="s">
        <v>53</v>
      </c>
      <c r="AD6156" s="80" t="s">
        <v>54</v>
      </c>
      <c r="AE6156" s="26" t="s">
        <v>9827</v>
      </c>
      <c r="AF6156" s="17">
        <v>45720</v>
      </c>
      <c r="AG6156" s="80"/>
      <c r="AH6156" s="80"/>
      <c r="AI6156" s="147"/>
      <c r="AJ6156" s="80"/>
      <c r="AK6156" s="80"/>
      <c r="AL6156" s="35"/>
      <c r="AM6156" s="35"/>
      <c r="AN6156" s="35"/>
      <c r="AO6156" s="35"/>
      <c r="AP6156" s="35"/>
    </row>
    <row r="6157" spans="1:42" x14ac:dyDescent="0.2">
      <c r="A6157" s="38">
        <v>45713</v>
      </c>
      <c r="B6157" s="137" t="s">
        <v>37</v>
      </c>
      <c r="C6157" s="41" t="s">
        <v>118</v>
      </c>
      <c r="D6157" s="26" t="s">
        <v>36</v>
      </c>
      <c r="E6157" s="26" t="s">
        <v>56</v>
      </c>
      <c r="F6157" s="26" t="s">
        <v>9827</v>
      </c>
      <c r="G6157" s="26" t="s">
        <v>221</v>
      </c>
      <c r="H6157" s="26" t="s">
        <v>20085</v>
      </c>
      <c r="I6157" s="17">
        <f ca="1">IFERROR(__xludf.DUMMYFUNCTION("""COMPUTED_VALUE"""),45727)</f>
        <v>45727</v>
      </c>
      <c r="J6157" s="29" t="s">
        <v>9828</v>
      </c>
      <c r="K6157" s="26" t="s">
        <v>20089</v>
      </c>
      <c r="L6157" s="30">
        <v>332481815</v>
      </c>
      <c r="M6157" s="26" t="s">
        <v>80</v>
      </c>
      <c r="N6157" s="26" t="s">
        <v>466</v>
      </c>
      <c r="O6157" s="26" t="s">
        <v>9830</v>
      </c>
      <c r="P6157" s="42" t="s">
        <v>20090</v>
      </c>
      <c r="Q6157" s="20">
        <v>15936</v>
      </c>
      <c r="R6157" s="26" t="s">
        <v>36</v>
      </c>
      <c r="S6157" s="95">
        <f>100+1900+7317</f>
        <v>9317</v>
      </c>
      <c r="T6157" s="83" t="s">
        <v>9832</v>
      </c>
      <c r="U6157" s="31"/>
      <c r="V6157" s="32"/>
      <c r="W6157" s="33" t="s">
        <v>9833</v>
      </c>
      <c r="X6157" s="26">
        <v>0</v>
      </c>
      <c r="Y6157" s="22">
        <v>0</v>
      </c>
      <c r="Z6157" s="26" t="s">
        <v>118</v>
      </c>
      <c r="AA6157" s="96"/>
      <c r="AB6157" s="26" t="s">
        <v>36</v>
      </c>
      <c r="AC6157" s="26" t="s">
        <v>53</v>
      </c>
      <c r="AD6157" s="26" t="s">
        <v>54</v>
      </c>
      <c r="AE6157" s="26" t="s">
        <v>9827</v>
      </c>
      <c r="AF6157" s="17">
        <v>45720</v>
      </c>
      <c r="AG6157" s="26"/>
      <c r="AH6157" s="26"/>
      <c r="AI6157" s="40"/>
      <c r="AJ6157" s="26"/>
      <c r="AK6157" s="26"/>
      <c r="AL6157" s="35"/>
      <c r="AM6157" s="35"/>
      <c r="AN6157" s="35"/>
      <c r="AO6157" s="35"/>
      <c r="AP6157" s="35"/>
    </row>
    <row r="6158" spans="1:42" x14ac:dyDescent="0.2">
      <c r="A6158" s="38">
        <v>45713</v>
      </c>
      <c r="B6158" s="137" t="s">
        <v>37</v>
      </c>
      <c r="C6158" s="41" t="s">
        <v>118</v>
      </c>
      <c r="D6158" s="26" t="s">
        <v>36</v>
      </c>
      <c r="E6158" s="26" t="s">
        <v>119</v>
      </c>
      <c r="F6158" s="26" t="s">
        <v>8063</v>
      </c>
      <c r="G6158" s="26" t="s">
        <v>1705</v>
      </c>
      <c r="H6158" s="26" t="s">
        <v>19571</v>
      </c>
      <c r="I6158" s="17">
        <f ca="1">IFERROR(__xludf.DUMMYFUNCTION("""COMPUTED_VALUE"""),45566)</f>
        <v>45566</v>
      </c>
      <c r="J6158" s="29" t="s">
        <v>10601</v>
      </c>
      <c r="K6158" s="26" t="s">
        <v>13964</v>
      </c>
      <c r="L6158" s="30">
        <v>965543676</v>
      </c>
      <c r="M6158" s="26" t="s">
        <v>80</v>
      </c>
      <c r="N6158" s="26" t="s">
        <v>466</v>
      </c>
      <c r="O6158" s="26" t="s">
        <v>10603</v>
      </c>
      <c r="P6158" s="42" t="s">
        <v>13965</v>
      </c>
      <c r="Q6158" s="20">
        <v>13968</v>
      </c>
      <c r="R6158" s="26" t="s">
        <v>36</v>
      </c>
      <c r="S6158" s="95">
        <f>200+3600</f>
        <v>3800</v>
      </c>
      <c r="T6158" s="83" t="s">
        <v>10605</v>
      </c>
      <c r="U6158" s="95">
        <v>10168</v>
      </c>
      <c r="V6158" s="148">
        <v>45521</v>
      </c>
      <c r="W6158" s="33" t="s">
        <v>10606</v>
      </c>
      <c r="X6158" s="26">
        <v>0</v>
      </c>
      <c r="Y6158" s="22">
        <v>0</v>
      </c>
      <c r="Z6158" s="26" t="s">
        <v>50</v>
      </c>
      <c r="AA6158" s="35" t="s">
        <v>10314</v>
      </c>
      <c r="AB6158" s="26"/>
      <c r="AC6158" s="26" t="s">
        <v>53</v>
      </c>
      <c r="AD6158" s="26" t="s">
        <v>138</v>
      </c>
      <c r="AE6158" s="26" t="s">
        <v>8063</v>
      </c>
      <c r="AF6158" s="17">
        <v>45749</v>
      </c>
      <c r="AG6158" s="26"/>
      <c r="AH6158" s="26"/>
      <c r="AI6158" s="40"/>
      <c r="AJ6158" s="26"/>
      <c r="AK6158" s="26"/>
      <c r="AL6158" s="35"/>
      <c r="AM6158" s="35"/>
      <c r="AN6158" s="35"/>
      <c r="AO6158" s="35"/>
      <c r="AP6158" s="35"/>
    </row>
    <row r="6159" spans="1:42" x14ac:dyDescent="0.2">
      <c r="A6159" s="38">
        <v>45713</v>
      </c>
      <c r="B6159" s="28" t="s">
        <v>37</v>
      </c>
      <c r="C6159" s="41" t="s">
        <v>118</v>
      </c>
      <c r="D6159" s="26" t="s">
        <v>36</v>
      </c>
      <c r="E6159" s="26" t="s">
        <v>148</v>
      </c>
      <c r="F6159" s="26" t="s">
        <v>815</v>
      </c>
      <c r="G6159" s="26" t="s">
        <v>221</v>
      </c>
      <c r="H6159" s="26" t="s">
        <v>18280</v>
      </c>
      <c r="I6159" s="17">
        <f ca="1">IFERROR(__xludf.DUMMYFUNCTION("""COMPUTED_VALUE"""),45722)</f>
        <v>45722</v>
      </c>
      <c r="J6159" s="29" t="s">
        <v>816</v>
      </c>
      <c r="K6159" s="26" t="s">
        <v>817</v>
      </c>
      <c r="L6159" s="30">
        <v>396915210</v>
      </c>
      <c r="M6159" s="26" t="s">
        <v>94</v>
      </c>
      <c r="N6159" s="26" t="s">
        <v>818</v>
      </c>
      <c r="O6159" s="26" t="s">
        <v>91</v>
      </c>
      <c r="P6159" s="42" t="s">
        <v>819</v>
      </c>
      <c r="Q6159" s="20">
        <v>7349</v>
      </c>
      <c r="R6159" s="26" t="s">
        <v>36</v>
      </c>
      <c r="S6159" s="31">
        <v>6231</v>
      </c>
      <c r="T6159" s="32">
        <v>45119</v>
      </c>
      <c r="U6159" s="31"/>
      <c r="V6159" s="16" t="s">
        <v>820</v>
      </c>
      <c r="W6159" s="33" t="s">
        <v>821</v>
      </c>
      <c r="X6159" s="26">
        <v>100</v>
      </c>
      <c r="Y6159" s="22">
        <v>1018</v>
      </c>
      <c r="Z6159" s="34" t="s">
        <v>50</v>
      </c>
      <c r="AA6159" s="19" t="s">
        <v>51</v>
      </c>
      <c r="AB6159" s="26"/>
      <c r="AC6159" s="26" t="s">
        <v>53</v>
      </c>
      <c r="AD6159" s="19" t="s">
        <v>54</v>
      </c>
      <c r="AE6159" s="26" t="s">
        <v>815</v>
      </c>
      <c r="AF6159" s="17">
        <v>45722</v>
      </c>
      <c r="AG6159" s="26"/>
      <c r="AH6159" s="26">
        <v>1</v>
      </c>
      <c r="AI6159" s="40">
        <v>2</v>
      </c>
      <c r="AJ6159" s="26"/>
      <c r="AK6159" s="26"/>
      <c r="AL6159" s="35"/>
      <c r="AM6159" s="35"/>
      <c r="AN6159" s="35"/>
      <c r="AO6159" s="35"/>
      <c r="AP6159" s="35"/>
    </row>
    <row r="6160" spans="1:42" x14ac:dyDescent="0.2">
      <c r="A6160" s="38">
        <v>45713</v>
      </c>
      <c r="B6160" s="137" t="s">
        <v>37</v>
      </c>
      <c r="C6160" s="41" t="s">
        <v>118</v>
      </c>
      <c r="D6160" s="26" t="s">
        <v>36</v>
      </c>
      <c r="E6160" s="26" t="s">
        <v>139</v>
      </c>
      <c r="F6160" s="26" t="s">
        <v>10038</v>
      </c>
      <c r="G6160" s="26" t="s">
        <v>221</v>
      </c>
      <c r="H6160" s="26" t="s">
        <v>8991</v>
      </c>
      <c r="I6160" s="17">
        <f ca="1">IFERROR(__xludf.DUMMYFUNCTION("""COMPUTED_VALUE"""),45721)</f>
        <v>45721</v>
      </c>
      <c r="J6160" s="44" t="s">
        <v>10119</v>
      </c>
      <c r="K6160" s="26" t="s">
        <v>10120</v>
      </c>
      <c r="L6160" s="30">
        <v>869183205</v>
      </c>
      <c r="M6160" s="26" t="s">
        <v>80</v>
      </c>
      <c r="N6160" s="26" t="s">
        <v>10121</v>
      </c>
      <c r="O6160" s="26" t="s">
        <v>10122</v>
      </c>
      <c r="P6160" s="42" t="s">
        <v>20091</v>
      </c>
      <c r="Q6160" s="20">
        <v>15936</v>
      </c>
      <c r="R6160" s="26" t="s">
        <v>36</v>
      </c>
      <c r="S6160" s="95">
        <v>2000</v>
      </c>
      <c r="T6160" s="148">
        <v>45483</v>
      </c>
      <c r="U6160" s="95">
        <v>13936</v>
      </c>
      <c r="V6160" s="148">
        <v>45512</v>
      </c>
      <c r="W6160" s="33" t="s">
        <v>10124</v>
      </c>
      <c r="X6160" s="26">
        <v>0</v>
      </c>
      <c r="Y6160" s="22">
        <v>0</v>
      </c>
      <c r="Z6160" s="26" t="s">
        <v>50</v>
      </c>
      <c r="AA6160" s="35"/>
      <c r="AB6160" s="26"/>
      <c r="AC6160" s="26" t="s">
        <v>53</v>
      </c>
      <c r="AD6160" s="26" t="s">
        <v>54</v>
      </c>
      <c r="AE6160" s="26" t="s">
        <v>10038</v>
      </c>
      <c r="AF6160" s="17">
        <v>45715</v>
      </c>
      <c r="AG6160" s="26"/>
      <c r="AH6160" s="26"/>
      <c r="AI6160" s="40"/>
      <c r="AJ6160" s="26"/>
      <c r="AK6160" s="26"/>
      <c r="AL6160" s="35"/>
      <c r="AM6160" s="35"/>
      <c r="AN6160" s="35"/>
      <c r="AO6160" s="35"/>
      <c r="AP6160" s="35"/>
    </row>
    <row r="6161" spans="1:42" x14ac:dyDescent="0.2">
      <c r="A6161" s="38">
        <v>45713</v>
      </c>
      <c r="B6161" s="15" t="s">
        <v>37</v>
      </c>
      <c r="C6161" s="41" t="s">
        <v>118</v>
      </c>
      <c r="D6161" s="26" t="s">
        <v>36</v>
      </c>
      <c r="E6161" s="26" t="s">
        <v>139</v>
      </c>
      <c r="F6161" s="26" t="s">
        <v>10223</v>
      </c>
      <c r="G6161" s="80" t="s">
        <v>221</v>
      </c>
      <c r="H6161" s="26" t="s">
        <v>20076</v>
      </c>
      <c r="I6161" s="17">
        <f ca="1">IFERROR(__xludf.DUMMYFUNCTION("""COMPUTED_VALUE"""),45727)</f>
        <v>45727</v>
      </c>
      <c r="J6161" s="44" t="s">
        <v>20092</v>
      </c>
      <c r="K6161" s="26" t="s">
        <v>11790</v>
      </c>
      <c r="L6161" s="30">
        <v>982845117</v>
      </c>
      <c r="M6161" s="26" t="s">
        <v>80</v>
      </c>
      <c r="N6161" s="26" t="s">
        <v>1073</v>
      </c>
      <c r="O6161" s="26" t="s">
        <v>10922</v>
      </c>
      <c r="P6161" s="26" t="s">
        <v>20093</v>
      </c>
      <c r="Q6161" s="20">
        <v>15936</v>
      </c>
      <c r="R6161" s="26" t="s">
        <v>36</v>
      </c>
      <c r="S6161" s="95">
        <f>200+1800</f>
        <v>2000</v>
      </c>
      <c r="T6161" s="83" t="s">
        <v>10924</v>
      </c>
      <c r="U6161" s="95">
        <v>13936</v>
      </c>
      <c r="V6161" s="148">
        <v>45533</v>
      </c>
      <c r="W6161" s="33" t="s">
        <v>10925</v>
      </c>
      <c r="X6161" s="26">
        <v>0</v>
      </c>
      <c r="Y6161" s="22">
        <v>0</v>
      </c>
      <c r="Z6161" s="26" t="s">
        <v>50</v>
      </c>
      <c r="AA6161" s="96" t="s">
        <v>10314</v>
      </c>
      <c r="AB6161" s="26"/>
      <c r="AC6161" s="26" t="s">
        <v>53</v>
      </c>
      <c r="AD6161" s="26" t="s">
        <v>54</v>
      </c>
      <c r="AE6161" s="26" t="s">
        <v>10223</v>
      </c>
      <c r="AF6161" s="17">
        <v>45722</v>
      </c>
      <c r="AG6161" s="26"/>
      <c r="AH6161" s="26"/>
      <c r="AI6161" s="40"/>
      <c r="AJ6161" s="26"/>
      <c r="AK6161" s="26"/>
      <c r="AL6161" s="35"/>
      <c r="AM6161" s="35"/>
      <c r="AN6161" s="35"/>
      <c r="AO6161" s="35"/>
      <c r="AP6161" s="35"/>
    </row>
    <row r="6162" spans="1:42" x14ac:dyDescent="0.2">
      <c r="A6162" s="38">
        <v>45713</v>
      </c>
      <c r="B6162" s="28"/>
      <c r="C6162" s="41" t="s">
        <v>118</v>
      </c>
      <c r="D6162" s="26" t="s">
        <v>36</v>
      </c>
      <c r="E6162" s="26" t="s">
        <v>56</v>
      </c>
      <c r="F6162" s="26" t="s">
        <v>11802</v>
      </c>
      <c r="G6162" s="26" t="s">
        <v>221</v>
      </c>
      <c r="H6162" s="26" t="s">
        <v>20094</v>
      </c>
      <c r="I6162" s="17">
        <f ca="1">IFERROR(__xludf.DUMMYFUNCTION("""COMPUTED_VALUE"""),45768)</f>
        <v>45768</v>
      </c>
      <c r="J6162" s="29" t="s">
        <v>10837</v>
      </c>
      <c r="K6162" s="26" t="s">
        <v>20095</v>
      </c>
      <c r="L6162" s="30">
        <v>981546220</v>
      </c>
      <c r="M6162" s="26" t="s">
        <v>80</v>
      </c>
      <c r="N6162" s="26" t="s">
        <v>466</v>
      </c>
      <c r="O6162" s="26" t="s">
        <v>10839</v>
      </c>
      <c r="P6162" s="42" t="s">
        <v>20096</v>
      </c>
      <c r="Q6162" s="20">
        <v>9317</v>
      </c>
      <c r="R6162" s="26" t="s">
        <v>36</v>
      </c>
      <c r="S6162" s="95">
        <f>200+1800+7317</f>
        <v>9317</v>
      </c>
      <c r="T6162" s="83" t="s">
        <v>10841</v>
      </c>
      <c r="U6162" s="31"/>
      <c r="V6162" s="32"/>
      <c r="W6162" s="33" t="s">
        <v>10842</v>
      </c>
      <c r="X6162" s="26">
        <v>0</v>
      </c>
      <c r="Y6162" s="22">
        <v>0</v>
      </c>
      <c r="Z6162" s="26" t="s">
        <v>50</v>
      </c>
      <c r="AA6162" s="35" t="s">
        <v>10314</v>
      </c>
      <c r="AB6162" s="26"/>
      <c r="AC6162" s="26" t="s">
        <v>53</v>
      </c>
      <c r="AD6162" s="26" t="s">
        <v>54</v>
      </c>
      <c r="AE6162" s="26" t="s">
        <v>11802</v>
      </c>
      <c r="AF6162" s="17">
        <v>45722</v>
      </c>
      <c r="AG6162" s="26" t="s">
        <v>7078</v>
      </c>
      <c r="AH6162" s="26"/>
      <c r="AI6162" s="40"/>
      <c r="AJ6162" s="26"/>
      <c r="AK6162" s="26"/>
      <c r="AL6162" s="35"/>
      <c r="AM6162" s="35"/>
      <c r="AN6162" s="35"/>
      <c r="AO6162" s="35"/>
      <c r="AP6162" s="35"/>
    </row>
    <row r="6163" spans="1:42" x14ac:dyDescent="0.2">
      <c r="A6163" s="38">
        <v>45713</v>
      </c>
      <c r="B6163" s="137" t="s">
        <v>37</v>
      </c>
      <c r="C6163" s="41" t="s">
        <v>118</v>
      </c>
      <c r="D6163" s="26" t="s">
        <v>36</v>
      </c>
      <c r="E6163" s="26" t="s">
        <v>56</v>
      </c>
      <c r="F6163" s="80" t="s">
        <v>9785</v>
      </c>
      <c r="G6163" s="26" t="s">
        <v>221</v>
      </c>
      <c r="H6163" s="80" t="s">
        <v>20097</v>
      </c>
      <c r="I6163" s="17">
        <f ca="1">IFERROR(__xludf.DUMMYFUNCTION("""COMPUTED_VALUE"""),45735)</f>
        <v>45735</v>
      </c>
      <c r="J6163" s="29" t="s">
        <v>9582</v>
      </c>
      <c r="K6163" s="26" t="s">
        <v>20098</v>
      </c>
      <c r="L6163" s="30">
        <v>386255273</v>
      </c>
      <c r="M6163" s="26" t="s">
        <v>59</v>
      </c>
      <c r="N6163" s="26" t="s">
        <v>4299</v>
      </c>
      <c r="O6163" s="26" t="s">
        <v>9584</v>
      </c>
      <c r="P6163" s="171" t="s">
        <v>13839</v>
      </c>
      <c r="Q6163" s="20"/>
      <c r="R6163" s="26" t="s">
        <v>36</v>
      </c>
      <c r="S6163" s="95">
        <v>9317</v>
      </c>
      <c r="T6163" s="148">
        <v>45494</v>
      </c>
      <c r="U6163" s="31"/>
      <c r="V6163" s="32"/>
      <c r="W6163" s="33" t="s">
        <v>9586</v>
      </c>
      <c r="X6163" s="26"/>
      <c r="Y6163" s="22"/>
      <c r="Z6163" s="26" t="s">
        <v>50</v>
      </c>
      <c r="AA6163" s="70" t="s">
        <v>9070</v>
      </c>
      <c r="AB6163" s="26"/>
      <c r="AC6163" s="26" t="s">
        <v>53</v>
      </c>
      <c r="AD6163" s="26" t="s">
        <v>54</v>
      </c>
      <c r="AE6163" s="80" t="s">
        <v>9785</v>
      </c>
      <c r="AF6163" s="17">
        <v>45722</v>
      </c>
      <c r="AG6163" s="26"/>
      <c r="AH6163" s="26"/>
      <c r="AI6163" s="40"/>
      <c r="AJ6163" s="26"/>
      <c r="AK6163" s="26"/>
      <c r="AL6163" s="35"/>
      <c r="AM6163" s="35"/>
      <c r="AN6163" s="35"/>
      <c r="AO6163" s="35"/>
      <c r="AP6163" s="35"/>
    </row>
    <row r="6164" spans="1:42" x14ac:dyDescent="0.2">
      <c r="A6164" s="38">
        <v>45714</v>
      </c>
      <c r="B6164" s="28" t="s">
        <v>37</v>
      </c>
      <c r="C6164" s="41" t="s">
        <v>118</v>
      </c>
      <c r="D6164" s="26" t="s">
        <v>36</v>
      </c>
      <c r="E6164" s="26" t="s">
        <v>139</v>
      </c>
      <c r="F6164" s="80" t="s">
        <v>13674</v>
      </c>
      <c r="G6164" s="26" t="s">
        <v>221</v>
      </c>
      <c r="H6164" s="26" t="s">
        <v>13768</v>
      </c>
      <c r="I6164" s="17">
        <f ca="1">IFERROR(__xludf.DUMMYFUNCTION("""COMPUTED_VALUE"""),45726)</f>
        <v>45726</v>
      </c>
      <c r="J6164" s="44" t="s">
        <v>13701</v>
      </c>
      <c r="K6164" s="19" t="s">
        <v>20099</v>
      </c>
      <c r="L6164" s="47">
        <v>869699831</v>
      </c>
      <c r="M6164" s="19" t="s">
        <v>3728</v>
      </c>
      <c r="N6164" s="19" t="s">
        <v>8725</v>
      </c>
      <c r="O6164" s="26" t="s">
        <v>10331</v>
      </c>
      <c r="P6164" s="42" t="s">
        <v>20100</v>
      </c>
      <c r="Q6164" s="20">
        <v>15936</v>
      </c>
      <c r="R6164" s="26" t="s">
        <v>36</v>
      </c>
      <c r="S6164" s="95">
        <f>200+1800</f>
        <v>2000</v>
      </c>
      <c r="T6164" s="83" t="s">
        <v>10333</v>
      </c>
      <c r="U6164" s="95">
        <v>13936</v>
      </c>
      <c r="V6164" s="148">
        <v>45508</v>
      </c>
      <c r="W6164" s="33" t="s">
        <v>13704</v>
      </c>
      <c r="X6164" s="26">
        <v>0</v>
      </c>
      <c r="Y6164" s="22">
        <v>0</v>
      </c>
      <c r="Z6164" s="26" t="s">
        <v>50</v>
      </c>
      <c r="AA6164" s="35" t="s">
        <v>10314</v>
      </c>
      <c r="AB6164" s="26" t="s">
        <v>36</v>
      </c>
      <c r="AC6164" s="26" t="s">
        <v>53</v>
      </c>
      <c r="AD6164" s="26" t="s">
        <v>54</v>
      </c>
      <c r="AE6164" s="80" t="s">
        <v>13674</v>
      </c>
      <c r="AF6164" s="17">
        <v>45722</v>
      </c>
      <c r="AG6164" s="26"/>
      <c r="AH6164" s="26"/>
      <c r="AI6164" s="40"/>
      <c r="AJ6164" s="26"/>
      <c r="AK6164" s="26"/>
      <c r="AL6164" s="35"/>
      <c r="AM6164" s="35"/>
      <c r="AN6164" s="35"/>
      <c r="AO6164" s="35"/>
      <c r="AP6164" s="35"/>
    </row>
    <row r="6165" spans="1:42" x14ac:dyDescent="0.2">
      <c r="A6165" s="38">
        <v>45714</v>
      </c>
      <c r="B6165" s="28" t="s">
        <v>37</v>
      </c>
      <c r="C6165" s="41" t="s">
        <v>118</v>
      </c>
      <c r="D6165" s="80" t="s">
        <v>36</v>
      </c>
      <c r="E6165" s="80" t="s">
        <v>139</v>
      </c>
      <c r="F6165" s="80" t="s">
        <v>9785</v>
      </c>
      <c r="G6165" s="80" t="s">
        <v>108</v>
      </c>
      <c r="H6165" s="80" t="s">
        <v>20101</v>
      </c>
      <c r="I6165" s="17">
        <f ca="1">IFERROR(__xludf.DUMMYFUNCTION("""COMPUTED_VALUE"""),45772)</f>
        <v>45772</v>
      </c>
      <c r="J6165" s="143" t="s">
        <v>12387</v>
      </c>
      <c r="K6165" s="80" t="s">
        <v>20102</v>
      </c>
      <c r="L6165" s="30">
        <v>978877351</v>
      </c>
      <c r="M6165" s="80" t="s">
        <v>5558</v>
      </c>
      <c r="N6165" s="80" t="s">
        <v>5559</v>
      </c>
      <c r="O6165" s="80" t="s">
        <v>4503</v>
      </c>
      <c r="P6165" s="144" t="s">
        <v>13786</v>
      </c>
      <c r="Q6165" s="20">
        <v>15936</v>
      </c>
      <c r="R6165" s="80" t="s">
        <v>36</v>
      </c>
      <c r="S6165" s="95">
        <f>200+1768</f>
        <v>1968</v>
      </c>
      <c r="T6165" s="83" t="s">
        <v>12390</v>
      </c>
      <c r="U6165" s="95">
        <v>13968</v>
      </c>
      <c r="V6165" s="148">
        <v>45544</v>
      </c>
      <c r="W6165" s="80" t="s">
        <v>12391</v>
      </c>
      <c r="X6165" s="80">
        <v>0</v>
      </c>
      <c r="Y6165" s="22">
        <v>0</v>
      </c>
      <c r="Z6165" s="80" t="s">
        <v>50</v>
      </c>
      <c r="AA6165" s="96" t="s">
        <v>3291</v>
      </c>
      <c r="AB6165" s="80"/>
      <c r="AC6165" s="80" t="s">
        <v>53</v>
      </c>
      <c r="AD6165" s="80" t="s">
        <v>54</v>
      </c>
      <c r="AE6165" s="80" t="s">
        <v>9785</v>
      </c>
      <c r="AF6165" s="17">
        <v>45771</v>
      </c>
      <c r="AG6165" s="60" t="s">
        <v>20103</v>
      </c>
      <c r="AH6165" s="80"/>
      <c r="AI6165" s="147" t="s">
        <v>147</v>
      </c>
      <c r="AJ6165" s="80"/>
      <c r="AK6165" s="80"/>
      <c r="AL6165" s="35"/>
      <c r="AM6165" s="35"/>
      <c r="AN6165" s="35"/>
      <c r="AO6165" s="35"/>
      <c r="AP6165" s="35"/>
    </row>
    <row r="6166" spans="1:42" x14ac:dyDescent="0.2">
      <c r="A6166" s="38">
        <v>45714</v>
      </c>
      <c r="B6166" s="28" t="s">
        <v>37</v>
      </c>
      <c r="C6166" s="41" t="s">
        <v>118</v>
      </c>
      <c r="D6166" s="26" t="s">
        <v>36</v>
      </c>
      <c r="E6166" s="26" t="s">
        <v>139</v>
      </c>
      <c r="F6166" s="80" t="s">
        <v>8066</v>
      </c>
      <c r="G6166" s="26" t="s">
        <v>221</v>
      </c>
      <c r="H6166" s="80" t="s">
        <v>16949</v>
      </c>
      <c r="I6166" s="17">
        <f ca="1">IFERROR(__xludf.DUMMYFUNCTION("""COMPUTED_VALUE"""),45758)</f>
        <v>45758</v>
      </c>
      <c r="J6166" s="29" t="s">
        <v>7660</v>
      </c>
      <c r="K6166" s="26" t="s">
        <v>20104</v>
      </c>
      <c r="L6166" s="30">
        <v>969631105</v>
      </c>
      <c r="M6166" s="26" t="s">
        <v>5518</v>
      </c>
      <c r="N6166" s="26" t="s">
        <v>5524</v>
      </c>
      <c r="O6166" s="26" t="s">
        <v>7662</v>
      </c>
      <c r="P6166" s="42" t="s">
        <v>20105</v>
      </c>
      <c r="Q6166" s="20">
        <v>15936</v>
      </c>
      <c r="R6166" s="26" t="s">
        <v>36</v>
      </c>
      <c r="S6166" s="31">
        <v>2000</v>
      </c>
      <c r="T6166" s="32">
        <v>45347</v>
      </c>
      <c r="U6166" s="31">
        <v>13936</v>
      </c>
      <c r="V6166" s="32">
        <v>45380</v>
      </c>
      <c r="W6166" s="33" t="s">
        <v>7664</v>
      </c>
      <c r="X6166" s="26">
        <v>0</v>
      </c>
      <c r="Y6166" s="22">
        <v>0</v>
      </c>
      <c r="Z6166" s="41" t="s">
        <v>118</v>
      </c>
      <c r="AA6166" s="19" t="s">
        <v>7361</v>
      </c>
      <c r="AB6166" s="26" t="s">
        <v>36</v>
      </c>
      <c r="AC6166" s="26" t="s">
        <v>53</v>
      </c>
      <c r="AD6166" s="19" t="s">
        <v>54</v>
      </c>
      <c r="AE6166" s="80" t="s">
        <v>8066</v>
      </c>
      <c r="AF6166" s="17">
        <v>45755</v>
      </c>
      <c r="AG6166" s="26"/>
      <c r="AH6166" s="40" t="e">
        <v>#N/A</v>
      </c>
      <c r="AI6166" s="40"/>
      <c r="AJ6166" s="26"/>
      <c r="AK6166" s="26"/>
      <c r="AL6166" s="35"/>
      <c r="AM6166" s="35"/>
      <c r="AN6166" s="35"/>
      <c r="AO6166" s="35"/>
      <c r="AP6166" s="35"/>
    </row>
    <row r="6167" spans="1:42" x14ac:dyDescent="0.2">
      <c r="A6167" s="38">
        <v>45714</v>
      </c>
      <c r="B6167" s="28" t="s">
        <v>37</v>
      </c>
      <c r="C6167" s="41" t="s">
        <v>118</v>
      </c>
      <c r="D6167" s="26" t="s">
        <v>36</v>
      </c>
      <c r="E6167" s="26" t="s">
        <v>139</v>
      </c>
      <c r="F6167" s="80" t="s">
        <v>9171</v>
      </c>
      <c r="G6167" s="26" t="s">
        <v>221</v>
      </c>
      <c r="H6167" s="26" t="s">
        <v>20106</v>
      </c>
      <c r="I6167" s="17" t="str">
        <f ca="1">IFERROR(__xludf.DUMMYFUNCTION("""COMPUTED_VALUE""")," ")</f>
        <v xml:space="preserve"> </v>
      </c>
      <c r="J6167" s="29" t="s">
        <v>20107</v>
      </c>
      <c r="K6167" s="26" t="s">
        <v>13707</v>
      </c>
      <c r="L6167" s="30">
        <v>388654605</v>
      </c>
      <c r="M6167" s="26" t="s">
        <v>3728</v>
      </c>
      <c r="N6167" s="26" t="s">
        <v>8725</v>
      </c>
      <c r="O6167" s="26" t="s">
        <v>10376</v>
      </c>
      <c r="P6167" s="42" t="s">
        <v>13708</v>
      </c>
      <c r="Q6167" s="20">
        <v>15936</v>
      </c>
      <c r="R6167" s="26" t="s">
        <v>36</v>
      </c>
      <c r="S6167" s="95">
        <v>2000</v>
      </c>
      <c r="T6167" s="148">
        <v>45473</v>
      </c>
      <c r="U6167" s="95">
        <v>13936</v>
      </c>
      <c r="V6167" s="148">
        <v>45519</v>
      </c>
      <c r="W6167" s="33" t="s">
        <v>10378</v>
      </c>
      <c r="X6167" s="26">
        <v>0</v>
      </c>
      <c r="Y6167" s="22">
        <v>0</v>
      </c>
      <c r="Z6167" s="26" t="s">
        <v>50</v>
      </c>
      <c r="AA6167" s="96" t="s">
        <v>10314</v>
      </c>
      <c r="AB6167" s="26"/>
      <c r="AC6167" s="26" t="s">
        <v>53</v>
      </c>
      <c r="AD6167" s="26" t="s">
        <v>54</v>
      </c>
      <c r="AE6167" s="80" t="s">
        <v>9171</v>
      </c>
      <c r="AF6167" s="17">
        <v>45722</v>
      </c>
      <c r="AG6167" s="26" t="s">
        <v>2075</v>
      </c>
      <c r="AH6167" s="26"/>
      <c r="AI6167" s="40"/>
      <c r="AJ6167" s="26"/>
      <c r="AK6167" s="26"/>
      <c r="AL6167" s="35"/>
      <c r="AM6167" s="35"/>
      <c r="AN6167" s="35"/>
      <c r="AO6167" s="35"/>
      <c r="AP6167" s="35"/>
    </row>
    <row r="6168" spans="1:42" x14ac:dyDescent="0.2">
      <c r="A6168" s="38">
        <v>45714</v>
      </c>
      <c r="B6168" s="137" t="s">
        <v>37</v>
      </c>
      <c r="C6168" s="41" t="s">
        <v>118</v>
      </c>
      <c r="D6168" s="80" t="s">
        <v>36</v>
      </c>
      <c r="E6168" s="80" t="s">
        <v>56</v>
      </c>
      <c r="F6168" s="80" t="s">
        <v>5025</v>
      </c>
      <c r="G6168" s="26" t="s">
        <v>221</v>
      </c>
      <c r="H6168" s="26" t="s">
        <v>20085</v>
      </c>
      <c r="I6168" s="17">
        <f ca="1">IFERROR(__xludf.DUMMYFUNCTION("""COMPUTED_VALUE"""),45727)</f>
        <v>45727</v>
      </c>
      <c r="J6168" s="143" t="s">
        <v>3868</v>
      </c>
      <c r="K6168" s="80" t="s">
        <v>3869</v>
      </c>
      <c r="L6168" s="30">
        <v>329403727</v>
      </c>
      <c r="M6168" s="80" t="s">
        <v>910</v>
      </c>
      <c r="N6168" s="80" t="s">
        <v>3525</v>
      </c>
      <c r="O6168" s="80" t="s">
        <v>3754</v>
      </c>
      <c r="P6168" s="144" t="s">
        <v>5026</v>
      </c>
      <c r="Q6168" s="20">
        <v>9317</v>
      </c>
      <c r="R6168" s="80" t="s">
        <v>70</v>
      </c>
      <c r="S6168" s="155">
        <v>2000</v>
      </c>
      <c r="T6168" s="156">
        <v>45195</v>
      </c>
      <c r="U6168" s="77">
        <v>7217</v>
      </c>
      <c r="V6168" s="78">
        <v>45222</v>
      </c>
      <c r="W6168" s="80" t="s">
        <v>3871</v>
      </c>
      <c r="X6168" s="80"/>
      <c r="Y6168" s="22">
        <v>100</v>
      </c>
      <c r="Z6168" s="41" t="s">
        <v>118</v>
      </c>
      <c r="AA6168" s="86" t="s">
        <v>3454</v>
      </c>
      <c r="AB6168" s="80"/>
      <c r="AC6168" s="80" t="s">
        <v>53</v>
      </c>
      <c r="AD6168" s="86" t="s">
        <v>138</v>
      </c>
      <c r="AE6168" s="80" t="s">
        <v>5025</v>
      </c>
      <c r="AF6168" s="17">
        <v>45720</v>
      </c>
      <c r="AG6168" s="80"/>
      <c r="AH6168" s="80"/>
      <c r="AI6168" s="147"/>
      <c r="AJ6168" s="80"/>
      <c r="AK6168" s="80"/>
      <c r="AL6168" s="86"/>
      <c r="AM6168" s="86"/>
      <c r="AN6168" s="86"/>
      <c r="AO6168" s="86"/>
      <c r="AP6168" s="86"/>
    </row>
    <row r="6169" spans="1:42" x14ac:dyDescent="0.2">
      <c r="A6169" s="38">
        <v>45714</v>
      </c>
      <c r="B6169" s="28" t="s">
        <v>37</v>
      </c>
      <c r="C6169" s="41" t="s">
        <v>118</v>
      </c>
      <c r="D6169" s="26" t="s">
        <v>36</v>
      </c>
      <c r="E6169" s="26" t="s">
        <v>139</v>
      </c>
      <c r="F6169" s="26" t="s">
        <v>815</v>
      </c>
      <c r="G6169" s="80" t="s">
        <v>221</v>
      </c>
      <c r="H6169" s="26" t="s">
        <v>16939</v>
      </c>
      <c r="I6169" s="17">
        <f ca="1">IFERROR(__xludf.DUMMYFUNCTION("""COMPUTED_VALUE"""),45769)</f>
        <v>45769</v>
      </c>
      <c r="J6169" s="29" t="s">
        <v>9632</v>
      </c>
      <c r="K6169" s="26" t="s">
        <v>20108</v>
      </c>
      <c r="L6169" s="30">
        <v>918689257</v>
      </c>
      <c r="M6169" s="26" t="s">
        <v>9422</v>
      </c>
      <c r="N6169" s="26" t="s">
        <v>5574</v>
      </c>
      <c r="O6169" s="26" t="s">
        <v>9634</v>
      </c>
      <c r="P6169" s="42" t="s">
        <v>13612</v>
      </c>
      <c r="Q6169" s="20"/>
      <c r="R6169" s="26" t="s">
        <v>36</v>
      </c>
      <c r="S6169" s="95">
        <f>500+15436</f>
        <v>15936</v>
      </c>
      <c r="T6169" s="83" t="s">
        <v>9636</v>
      </c>
      <c r="U6169" s="31"/>
      <c r="V6169" s="32"/>
      <c r="W6169" s="33" t="s">
        <v>9637</v>
      </c>
      <c r="X6169" s="26"/>
      <c r="Y6169" s="22"/>
      <c r="Z6169" s="26" t="s">
        <v>50</v>
      </c>
      <c r="AA6169" s="70" t="s">
        <v>9070</v>
      </c>
      <c r="AB6169" s="26"/>
      <c r="AC6169" s="26" t="s">
        <v>53</v>
      </c>
      <c r="AD6169" s="26" t="s">
        <v>54</v>
      </c>
      <c r="AE6169" s="26" t="s">
        <v>815</v>
      </c>
      <c r="AF6169" s="17">
        <v>45761</v>
      </c>
      <c r="AG6169" s="26"/>
      <c r="AH6169" s="26"/>
      <c r="AI6169" s="40"/>
      <c r="AJ6169" s="26"/>
      <c r="AK6169" s="26"/>
      <c r="AL6169" s="35"/>
      <c r="AM6169" s="35"/>
      <c r="AN6169" s="35"/>
      <c r="AO6169" s="35"/>
      <c r="AP6169" s="35"/>
    </row>
    <row r="6170" spans="1:42" x14ac:dyDescent="0.2">
      <c r="A6170" s="38">
        <v>45714</v>
      </c>
      <c r="B6170" s="28"/>
      <c r="C6170" s="41" t="s">
        <v>118</v>
      </c>
      <c r="D6170" s="26" t="s">
        <v>36</v>
      </c>
      <c r="E6170" s="26" t="s">
        <v>56</v>
      </c>
      <c r="F6170" s="80" t="s">
        <v>8986</v>
      </c>
      <c r="G6170" s="161" t="s">
        <v>221</v>
      </c>
      <c r="H6170" s="80" t="s">
        <v>20109</v>
      </c>
      <c r="I6170" s="17" t="str">
        <f ca="1">IFERROR(__xludf.DUMMYFUNCTION("""COMPUTED_VALUE""")," ")</f>
        <v xml:space="preserve"> </v>
      </c>
      <c r="J6170" s="29" t="s">
        <v>8759</v>
      </c>
      <c r="K6170" s="26" t="s">
        <v>20110</v>
      </c>
      <c r="L6170" s="30">
        <v>346774302</v>
      </c>
      <c r="M6170" s="26" t="s">
        <v>3288</v>
      </c>
      <c r="N6170" s="26" t="s">
        <v>200</v>
      </c>
      <c r="O6170" s="26" t="s">
        <v>91</v>
      </c>
      <c r="P6170" s="26" t="s">
        <v>1830</v>
      </c>
      <c r="Q6170" s="20">
        <v>9317</v>
      </c>
      <c r="R6170" s="26" t="s">
        <v>36</v>
      </c>
      <c r="S6170" s="31">
        <v>4000</v>
      </c>
      <c r="T6170" s="32">
        <v>45455</v>
      </c>
      <c r="U6170" s="31">
        <v>5017</v>
      </c>
      <c r="V6170" s="32">
        <v>45465</v>
      </c>
      <c r="W6170" s="33" t="s">
        <v>8762</v>
      </c>
      <c r="X6170" s="26"/>
      <c r="Y6170" s="22">
        <v>300</v>
      </c>
      <c r="Z6170" s="98" t="s">
        <v>118</v>
      </c>
      <c r="AA6170" s="19" t="s">
        <v>8721</v>
      </c>
      <c r="AB6170" s="26" t="s">
        <v>36</v>
      </c>
      <c r="AC6170" s="26" t="s">
        <v>1828</v>
      </c>
      <c r="AD6170" s="19" t="s">
        <v>54</v>
      </c>
      <c r="AE6170" s="26" t="s">
        <v>7497</v>
      </c>
      <c r="AF6170" s="60" t="s">
        <v>1829</v>
      </c>
      <c r="AG6170" s="26" t="s">
        <v>1830</v>
      </c>
      <c r="AH6170" s="26"/>
      <c r="AI6170" s="40"/>
      <c r="AJ6170" s="26"/>
      <c r="AK6170" s="26"/>
      <c r="AL6170" s="35"/>
      <c r="AM6170" s="35"/>
      <c r="AN6170" s="35"/>
      <c r="AO6170" s="35"/>
      <c r="AP6170" s="35"/>
    </row>
    <row r="6171" spans="1:42" x14ac:dyDescent="0.2">
      <c r="A6171" s="38">
        <v>45714</v>
      </c>
      <c r="B6171" s="28" t="s">
        <v>37</v>
      </c>
      <c r="C6171" s="41" t="s">
        <v>118</v>
      </c>
      <c r="D6171" s="26" t="s">
        <v>36</v>
      </c>
      <c r="E6171" s="26" t="s">
        <v>139</v>
      </c>
      <c r="F6171" s="26" t="s">
        <v>7016</v>
      </c>
      <c r="G6171" s="26" t="s">
        <v>1847</v>
      </c>
      <c r="H6171" s="26" t="s">
        <v>17041</v>
      </c>
      <c r="I6171" s="17">
        <f ca="1">IFERROR(__xludf.DUMMYFUNCTION("""COMPUTED_VALUE"""),45725)</f>
        <v>45725</v>
      </c>
      <c r="J6171" s="29" t="s">
        <v>5456</v>
      </c>
      <c r="K6171" s="26" t="s">
        <v>20111</v>
      </c>
      <c r="L6171" s="30">
        <v>359499051</v>
      </c>
      <c r="M6171" s="26" t="s">
        <v>3728</v>
      </c>
      <c r="N6171" s="26" t="s">
        <v>5312</v>
      </c>
      <c r="O6171" s="26" t="s">
        <v>5458</v>
      </c>
      <c r="P6171" s="42" t="s">
        <v>20112</v>
      </c>
      <c r="Q6171" s="20">
        <v>15936</v>
      </c>
      <c r="R6171" s="26" t="s">
        <v>36</v>
      </c>
      <c r="S6171" s="31">
        <v>2000</v>
      </c>
      <c r="T6171" s="32">
        <v>45224</v>
      </c>
      <c r="U6171" s="31">
        <v>13936</v>
      </c>
      <c r="V6171" s="32">
        <v>45256</v>
      </c>
      <c r="W6171" s="33" t="s">
        <v>5459</v>
      </c>
      <c r="X6171" s="26"/>
      <c r="Y6171" s="22">
        <v>0</v>
      </c>
      <c r="Z6171" s="26" t="s">
        <v>118</v>
      </c>
      <c r="AA6171" s="19" t="s">
        <v>5112</v>
      </c>
      <c r="AB6171" s="26" t="s">
        <v>36</v>
      </c>
      <c r="AC6171" s="26" t="s">
        <v>53</v>
      </c>
      <c r="AD6171" s="19" t="s">
        <v>138</v>
      </c>
      <c r="AE6171" s="26" t="s">
        <v>7016</v>
      </c>
      <c r="AF6171" s="17">
        <v>45722</v>
      </c>
      <c r="AG6171" s="26"/>
      <c r="AH6171" s="26"/>
      <c r="AI6171" s="40" t="s">
        <v>147</v>
      </c>
      <c r="AJ6171" s="26"/>
      <c r="AK6171" s="26"/>
      <c r="AL6171" s="35"/>
      <c r="AM6171" s="35"/>
      <c r="AN6171" s="35"/>
      <c r="AO6171" s="35"/>
      <c r="AP6171" s="35"/>
    </row>
    <row r="6172" spans="1:42" x14ac:dyDescent="0.2">
      <c r="A6172" s="38">
        <v>45714</v>
      </c>
      <c r="B6172" s="28" t="s">
        <v>37</v>
      </c>
      <c r="C6172" s="41" t="s">
        <v>118</v>
      </c>
      <c r="D6172" s="26" t="s">
        <v>36</v>
      </c>
      <c r="E6172" s="26" t="s">
        <v>119</v>
      </c>
      <c r="F6172" s="26" t="s">
        <v>13889</v>
      </c>
      <c r="G6172" s="26" t="s">
        <v>1847</v>
      </c>
      <c r="H6172" s="26" t="s">
        <v>17041</v>
      </c>
      <c r="I6172" s="17">
        <f ca="1">IFERROR(__xludf.DUMMYFUNCTION("""COMPUTED_VALUE"""),45725)</f>
        <v>45725</v>
      </c>
      <c r="J6172" s="44" t="s">
        <v>13895</v>
      </c>
      <c r="K6172" s="26" t="s">
        <v>13896</v>
      </c>
      <c r="L6172" s="30">
        <v>326778369</v>
      </c>
      <c r="M6172" s="26" t="s">
        <v>80</v>
      </c>
      <c r="N6172" s="26" t="s">
        <v>1073</v>
      </c>
      <c r="O6172" s="26" t="s">
        <v>10664</v>
      </c>
      <c r="P6172" s="42" t="s">
        <v>20113</v>
      </c>
      <c r="Q6172" s="20">
        <v>13968</v>
      </c>
      <c r="R6172" s="26" t="s">
        <v>36</v>
      </c>
      <c r="S6172" s="95">
        <f>200+3800</f>
        <v>4000</v>
      </c>
      <c r="T6172" s="83" t="s">
        <v>10660</v>
      </c>
      <c r="U6172" s="95">
        <v>9968</v>
      </c>
      <c r="V6172" s="148">
        <v>45513</v>
      </c>
      <c r="W6172" s="33" t="s">
        <v>10666</v>
      </c>
      <c r="X6172" s="26">
        <v>0</v>
      </c>
      <c r="Y6172" s="22">
        <v>0</v>
      </c>
      <c r="Z6172" s="26" t="s">
        <v>50</v>
      </c>
      <c r="AA6172" s="35" t="s">
        <v>10314</v>
      </c>
      <c r="AB6172" s="26"/>
      <c r="AC6172" s="26" t="s">
        <v>53</v>
      </c>
      <c r="AD6172" s="26" t="s">
        <v>54</v>
      </c>
      <c r="AE6172" s="26" t="s">
        <v>13889</v>
      </c>
      <c r="AF6172" s="17">
        <v>45722</v>
      </c>
      <c r="AG6172" s="26"/>
      <c r="AH6172" s="26"/>
      <c r="AI6172" s="40"/>
      <c r="AJ6172" s="26"/>
      <c r="AK6172" s="26"/>
      <c r="AL6172" s="35"/>
      <c r="AM6172" s="35"/>
      <c r="AN6172" s="35"/>
      <c r="AO6172" s="35"/>
      <c r="AP6172" s="35"/>
    </row>
    <row r="6173" spans="1:42" x14ac:dyDescent="0.2">
      <c r="A6173" s="38">
        <v>45714</v>
      </c>
      <c r="B6173" s="28" t="s">
        <v>37</v>
      </c>
      <c r="C6173" s="41" t="s">
        <v>118</v>
      </c>
      <c r="D6173" s="80" t="s">
        <v>36</v>
      </c>
      <c r="E6173" s="80" t="s">
        <v>139</v>
      </c>
      <c r="F6173" s="80" t="s">
        <v>14066</v>
      </c>
      <c r="G6173" s="161" t="s">
        <v>221</v>
      </c>
      <c r="H6173" s="80" t="s">
        <v>19616</v>
      </c>
      <c r="I6173" s="17">
        <f ca="1">IFERROR(__xludf.DUMMYFUNCTION("""COMPUTED_VALUE"""),45727)</f>
        <v>45727</v>
      </c>
      <c r="J6173" s="172" t="s">
        <v>14067</v>
      </c>
      <c r="K6173" s="145" t="s">
        <v>14068</v>
      </c>
      <c r="L6173" s="30">
        <v>359400465</v>
      </c>
      <c r="M6173" s="80" t="s">
        <v>5429</v>
      </c>
      <c r="N6173" s="80" t="s">
        <v>81</v>
      </c>
      <c r="O6173" s="80" t="s">
        <v>14069</v>
      </c>
      <c r="P6173" s="80" t="s">
        <v>6368</v>
      </c>
      <c r="Q6173" s="20">
        <v>15936</v>
      </c>
      <c r="R6173" s="80" t="s">
        <v>36</v>
      </c>
      <c r="S6173" s="95">
        <v>2000</v>
      </c>
      <c r="T6173" s="78" t="s">
        <v>14070</v>
      </c>
      <c r="U6173" s="95">
        <v>13936</v>
      </c>
      <c r="V6173" s="148">
        <v>45576</v>
      </c>
      <c r="W6173" s="80" t="s">
        <v>14071</v>
      </c>
      <c r="X6173" s="86"/>
      <c r="Y6173" s="22">
        <v>0</v>
      </c>
      <c r="Z6173" s="81" t="s">
        <v>50</v>
      </c>
      <c r="AA6173" s="82" t="s">
        <v>9905</v>
      </c>
      <c r="AB6173" s="80"/>
      <c r="AC6173" s="80" t="s">
        <v>53</v>
      </c>
      <c r="AD6173" s="80" t="s">
        <v>138</v>
      </c>
      <c r="AE6173" s="80" t="s">
        <v>14066</v>
      </c>
      <c r="AF6173" s="17">
        <v>45727</v>
      </c>
      <c r="AG6173" s="80"/>
      <c r="AH6173" s="80"/>
      <c r="AI6173" s="147"/>
      <c r="AJ6173" s="80"/>
      <c r="AK6173" s="80"/>
      <c r="AL6173" s="86"/>
      <c r="AM6173" s="86"/>
      <c r="AN6173" s="86"/>
      <c r="AO6173" s="86"/>
      <c r="AP6173" s="86"/>
    </row>
    <row r="6174" spans="1:42" x14ac:dyDescent="0.2">
      <c r="A6174" s="38">
        <v>45714</v>
      </c>
      <c r="B6174" s="28" t="s">
        <v>37</v>
      </c>
      <c r="C6174" s="41" t="s">
        <v>118</v>
      </c>
      <c r="D6174" s="80" t="s">
        <v>36</v>
      </c>
      <c r="E6174" s="80" t="s">
        <v>56</v>
      </c>
      <c r="F6174" s="80" t="s">
        <v>14066</v>
      </c>
      <c r="G6174" s="161" t="s">
        <v>221</v>
      </c>
      <c r="H6174" s="80" t="s">
        <v>19616</v>
      </c>
      <c r="I6174" s="17">
        <f ca="1">IFERROR(__xludf.DUMMYFUNCTION("""COMPUTED_VALUE"""),45727)</f>
        <v>45727</v>
      </c>
      <c r="J6174" s="143" t="s">
        <v>13214</v>
      </c>
      <c r="K6174" s="145" t="s">
        <v>13215</v>
      </c>
      <c r="L6174" s="30">
        <v>368130450</v>
      </c>
      <c r="M6174" s="80" t="s">
        <v>11413</v>
      </c>
      <c r="N6174" s="80" t="s">
        <v>1246</v>
      </c>
      <c r="O6174" s="80" t="s">
        <v>13216</v>
      </c>
      <c r="P6174" s="80" t="s">
        <v>13217</v>
      </c>
      <c r="Q6174" s="20">
        <v>9317</v>
      </c>
      <c r="R6174" s="80" t="s">
        <v>36</v>
      </c>
      <c r="S6174" s="95">
        <v>9317</v>
      </c>
      <c r="T6174" s="148">
        <v>45551</v>
      </c>
      <c r="U6174" s="77"/>
      <c r="V6174" s="78"/>
      <c r="W6174" s="85" t="s">
        <v>13218</v>
      </c>
      <c r="X6174" s="83">
        <v>0</v>
      </c>
      <c r="Y6174" s="22">
        <v>0</v>
      </c>
      <c r="Z6174" s="81" t="s">
        <v>50</v>
      </c>
      <c r="AA6174" s="86" t="s">
        <v>3291</v>
      </c>
      <c r="AB6174" s="80"/>
      <c r="AC6174" s="80" t="s">
        <v>53</v>
      </c>
      <c r="AD6174" s="80" t="s">
        <v>138</v>
      </c>
      <c r="AE6174" s="80" t="s">
        <v>14066</v>
      </c>
      <c r="AF6174" s="17">
        <v>45727</v>
      </c>
      <c r="AG6174" s="80"/>
      <c r="AH6174" s="80"/>
      <c r="AI6174" s="147" t="s">
        <v>64</v>
      </c>
      <c r="AJ6174" s="80"/>
      <c r="AK6174" s="80"/>
      <c r="AL6174" s="86"/>
      <c r="AM6174" s="86"/>
      <c r="AN6174" s="86"/>
      <c r="AO6174" s="86"/>
      <c r="AP6174" s="86"/>
    </row>
    <row r="6175" spans="1:42" x14ac:dyDescent="0.2">
      <c r="A6175" s="38">
        <v>45714</v>
      </c>
      <c r="B6175" s="28" t="s">
        <v>37</v>
      </c>
      <c r="C6175" s="41" t="s">
        <v>118</v>
      </c>
      <c r="D6175" s="80" t="s">
        <v>36</v>
      </c>
      <c r="E6175" s="80" t="s">
        <v>139</v>
      </c>
      <c r="F6175" s="80" t="s">
        <v>14066</v>
      </c>
      <c r="G6175" s="161" t="s">
        <v>221</v>
      </c>
      <c r="H6175" s="80" t="s">
        <v>19616</v>
      </c>
      <c r="I6175" s="17">
        <f ca="1">IFERROR(__xludf.DUMMYFUNCTION("""COMPUTED_VALUE"""),45727)</f>
        <v>45727</v>
      </c>
      <c r="J6175" s="143" t="s">
        <v>14101</v>
      </c>
      <c r="K6175" s="145" t="s">
        <v>274</v>
      </c>
      <c r="L6175" s="30">
        <v>398078027</v>
      </c>
      <c r="M6175" s="80" t="s">
        <v>910</v>
      </c>
      <c r="N6175" s="80" t="s">
        <v>3525</v>
      </c>
      <c r="O6175" s="80" t="s">
        <v>91</v>
      </c>
      <c r="P6175" s="80" t="s">
        <v>12578</v>
      </c>
      <c r="Q6175" s="20">
        <v>15936</v>
      </c>
      <c r="R6175" s="80" t="s">
        <v>36</v>
      </c>
      <c r="S6175" s="95">
        <f>200+2000</f>
        <v>2200</v>
      </c>
      <c r="T6175" s="148" t="s">
        <v>14102</v>
      </c>
      <c r="U6175" s="95">
        <v>13736</v>
      </c>
      <c r="V6175" s="148">
        <v>45568</v>
      </c>
      <c r="W6175" s="85" t="s">
        <v>14103</v>
      </c>
      <c r="X6175" s="80"/>
      <c r="Y6175" s="22">
        <v>0</v>
      </c>
      <c r="Z6175" s="81" t="s">
        <v>50</v>
      </c>
      <c r="AA6175" s="82"/>
      <c r="AB6175" s="80"/>
      <c r="AC6175" s="80" t="s">
        <v>53</v>
      </c>
      <c r="AD6175" s="80" t="s">
        <v>138</v>
      </c>
      <c r="AE6175" s="80" t="s">
        <v>14066</v>
      </c>
      <c r="AF6175" s="17">
        <v>45727</v>
      </c>
      <c r="AG6175" s="80"/>
      <c r="AH6175" s="80"/>
      <c r="AI6175" s="147"/>
      <c r="AJ6175" s="80"/>
      <c r="AK6175" s="80"/>
      <c r="AL6175" s="86"/>
      <c r="AM6175" s="86"/>
      <c r="AN6175" s="86"/>
      <c r="AO6175" s="86"/>
      <c r="AP6175" s="86"/>
    </row>
    <row r="6176" spans="1:42" x14ac:dyDescent="0.2">
      <c r="A6176" s="38">
        <v>45714</v>
      </c>
      <c r="B6176" s="28" t="s">
        <v>37</v>
      </c>
      <c r="C6176" s="41" t="s">
        <v>118</v>
      </c>
      <c r="D6176" s="80" t="s">
        <v>36</v>
      </c>
      <c r="E6176" s="80" t="s">
        <v>139</v>
      </c>
      <c r="F6176" s="80" t="s">
        <v>14066</v>
      </c>
      <c r="G6176" s="161" t="s">
        <v>221</v>
      </c>
      <c r="H6176" s="80" t="s">
        <v>20114</v>
      </c>
      <c r="I6176" s="17">
        <f ca="1">IFERROR(__xludf.DUMMYFUNCTION("""COMPUTED_VALUE"""),45771)</f>
        <v>45771</v>
      </c>
      <c r="J6176" s="143" t="s">
        <v>14104</v>
      </c>
      <c r="K6176" s="145" t="s">
        <v>20115</v>
      </c>
      <c r="L6176" s="30">
        <v>985745020</v>
      </c>
      <c r="M6176" s="80" t="s">
        <v>12644</v>
      </c>
      <c r="N6176" s="80" t="s">
        <v>8725</v>
      </c>
      <c r="O6176" s="80" t="s">
        <v>14106</v>
      </c>
      <c r="P6176" s="80" t="s">
        <v>14107</v>
      </c>
      <c r="Q6176" s="20">
        <v>15936</v>
      </c>
      <c r="R6176" s="80" t="s">
        <v>36</v>
      </c>
      <c r="S6176" s="95">
        <v>2000</v>
      </c>
      <c r="T6176" s="148">
        <v>45545</v>
      </c>
      <c r="U6176" s="95">
        <f>7000+6936</f>
        <v>13936</v>
      </c>
      <c r="V6176" s="148" t="s">
        <v>14108</v>
      </c>
      <c r="W6176" s="85" t="s">
        <v>14109</v>
      </c>
      <c r="X6176" s="80"/>
      <c r="Y6176" s="22">
        <v>0</v>
      </c>
      <c r="Z6176" s="81" t="s">
        <v>50</v>
      </c>
      <c r="AA6176" s="86" t="s">
        <v>9905</v>
      </c>
      <c r="AB6176" s="80"/>
      <c r="AC6176" s="80" t="s">
        <v>53</v>
      </c>
      <c r="AD6176" s="80" t="s">
        <v>138</v>
      </c>
      <c r="AE6176" s="80" t="s">
        <v>14066</v>
      </c>
      <c r="AF6176" s="17">
        <v>45789</v>
      </c>
      <c r="AG6176" s="80" t="s">
        <v>20116</v>
      </c>
      <c r="AH6176" s="80"/>
      <c r="AI6176" s="147"/>
      <c r="AJ6176" s="80"/>
      <c r="AK6176" s="80"/>
      <c r="AL6176" s="86"/>
      <c r="AM6176" s="86"/>
      <c r="AN6176" s="86"/>
      <c r="AO6176" s="86"/>
      <c r="AP6176" s="86"/>
    </row>
    <row r="6177" spans="1:42" x14ac:dyDescent="0.2">
      <c r="A6177" s="38">
        <v>45714</v>
      </c>
      <c r="B6177" s="28" t="s">
        <v>37</v>
      </c>
      <c r="C6177" s="41" t="s">
        <v>118</v>
      </c>
      <c r="D6177" s="80" t="s">
        <v>36</v>
      </c>
      <c r="E6177" s="80" t="s">
        <v>148</v>
      </c>
      <c r="F6177" s="80" t="s">
        <v>14066</v>
      </c>
      <c r="G6177" s="161" t="s">
        <v>221</v>
      </c>
      <c r="H6177" s="80" t="s">
        <v>19616</v>
      </c>
      <c r="I6177" s="17">
        <f ca="1">IFERROR(__xludf.DUMMYFUNCTION("""COMPUTED_VALUE"""),45727)</f>
        <v>45727</v>
      </c>
      <c r="J6177" s="143" t="s">
        <v>11611</v>
      </c>
      <c r="K6177" s="145" t="s">
        <v>2413</v>
      </c>
      <c r="L6177" s="30">
        <v>942562693</v>
      </c>
      <c r="M6177" s="80" t="s">
        <v>3728</v>
      </c>
      <c r="N6177" s="80" t="s">
        <v>8725</v>
      </c>
      <c r="O6177" s="80" t="s">
        <v>11613</v>
      </c>
      <c r="P6177" s="80" t="s">
        <v>11614</v>
      </c>
      <c r="Q6177" s="20">
        <v>7349</v>
      </c>
      <c r="R6177" s="80" t="s">
        <v>36</v>
      </c>
      <c r="S6177" s="95">
        <v>7349</v>
      </c>
      <c r="T6177" s="148">
        <v>45604</v>
      </c>
      <c r="U6177" s="77"/>
      <c r="V6177" s="78"/>
      <c r="W6177" s="85" t="s">
        <v>17774</v>
      </c>
      <c r="X6177" s="83">
        <v>0</v>
      </c>
      <c r="Y6177" s="22">
        <v>0</v>
      </c>
      <c r="Z6177" s="81" t="s">
        <v>50</v>
      </c>
      <c r="AA6177" s="82" t="s">
        <v>14723</v>
      </c>
      <c r="AB6177" s="80"/>
      <c r="AC6177" s="80" t="s">
        <v>53</v>
      </c>
      <c r="AD6177" s="80" t="s">
        <v>138</v>
      </c>
      <c r="AE6177" s="80" t="s">
        <v>14066</v>
      </c>
      <c r="AF6177" s="17">
        <v>45727</v>
      </c>
      <c r="AG6177" s="80"/>
      <c r="AH6177" s="80"/>
      <c r="AI6177" s="147"/>
      <c r="AJ6177" s="80"/>
      <c r="AK6177" s="80"/>
      <c r="AL6177" s="86"/>
      <c r="AM6177" s="86"/>
      <c r="AN6177" s="86"/>
      <c r="AO6177" s="86"/>
      <c r="AP6177" s="86"/>
    </row>
    <row r="6178" spans="1:42" x14ac:dyDescent="0.2">
      <c r="A6178" s="38">
        <v>45714</v>
      </c>
      <c r="B6178" s="28" t="s">
        <v>37</v>
      </c>
      <c r="C6178" s="41" t="s">
        <v>118</v>
      </c>
      <c r="D6178" s="80" t="s">
        <v>36</v>
      </c>
      <c r="E6178" s="80" t="s">
        <v>119</v>
      </c>
      <c r="F6178" s="80" t="s">
        <v>14066</v>
      </c>
      <c r="G6178" s="161" t="s">
        <v>221</v>
      </c>
      <c r="H6178" s="80" t="s">
        <v>20117</v>
      </c>
      <c r="I6178" s="17">
        <f ca="1">IFERROR(__xludf.DUMMYFUNCTION("""COMPUTED_VALUE"""),45796)</f>
        <v>45796</v>
      </c>
      <c r="J6178" s="143" t="s">
        <v>20118</v>
      </c>
      <c r="K6178" s="145" t="s">
        <v>20119</v>
      </c>
      <c r="L6178" s="30">
        <v>335269065</v>
      </c>
      <c r="M6178" s="80" t="s">
        <v>12644</v>
      </c>
      <c r="N6178" s="80" t="s">
        <v>8725</v>
      </c>
      <c r="O6178" s="80" t="s">
        <v>18741</v>
      </c>
      <c r="P6178" s="144" t="s">
        <v>20120</v>
      </c>
      <c r="Q6178" s="20">
        <v>13968</v>
      </c>
      <c r="R6178" s="80" t="s">
        <v>36</v>
      </c>
      <c r="S6178" s="95">
        <v>4000</v>
      </c>
      <c r="T6178" s="148">
        <v>45598</v>
      </c>
      <c r="U6178" s="95">
        <v>9968</v>
      </c>
      <c r="V6178" s="148">
        <v>45636</v>
      </c>
      <c r="W6178" s="85" t="s">
        <v>18743</v>
      </c>
      <c r="X6178" s="80"/>
      <c r="Y6178" s="22">
        <v>0</v>
      </c>
      <c r="Z6178" s="81" t="s">
        <v>50</v>
      </c>
      <c r="AA6178" s="86" t="s">
        <v>18579</v>
      </c>
      <c r="AB6178" s="86"/>
      <c r="AC6178" s="80" t="s">
        <v>53</v>
      </c>
      <c r="AD6178" s="80" t="s">
        <v>138</v>
      </c>
      <c r="AE6178" s="80" t="s">
        <v>14066</v>
      </c>
      <c r="AF6178" s="17">
        <v>45791</v>
      </c>
      <c r="AG6178" s="80"/>
      <c r="AH6178" s="80"/>
      <c r="AI6178" s="147"/>
      <c r="AJ6178" s="80"/>
      <c r="AK6178" s="80"/>
      <c r="AL6178" s="86"/>
      <c r="AM6178" s="86"/>
      <c r="AN6178" s="86"/>
      <c r="AO6178" s="86"/>
      <c r="AP6178" s="86"/>
    </row>
    <row r="6179" spans="1:42" x14ac:dyDescent="0.2">
      <c r="A6179" s="38">
        <v>45714</v>
      </c>
      <c r="B6179" s="28" t="s">
        <v>37</v>
      </c>
      <c r="C6179" s="41" t="s">
        <v>118</v>
      </c>
      <c r="D6179" s="80" t="s">
        <v>36</v>
      </c>
      <c r="E6179" s="80" t="s">
        <v>139</v>
      </c>
      <c r="F6179" s="80" t="s">
        <v>8541</v>
      </c>
      <c r="G6179" s="161" t="s">
        <v>221</v>
      </c>
      <c r="H6179" s="80" t="s">
        <v>20121</v>
      </c>
      <c r="I6179" s="17">
        <f ca="1">IFERROR(__xludf.DUMMYFUNCTION("""COMPUTED_VALUE"""),45747)</f>
        <v>45747</v>
      </c>
      <c r="J6179" s="143" t="s">
        <v>20122</v>
      </c>
      <c r="K6179" s="145" t="s">
        <v>20123</v>
      </c>
      <c r="L6179" s="30">
        <v>343462274</v>
      </c>
      <c r="M6179" s="80" t="s">
        <v>59</v>
      </c>
      <c r="N6179" s="80" t="s">
        <v>10947</v>
      </c>
      <c r="O6179" s="80" t="s">
        <v>10948</v>
      </c>
      <c r="P6179" s="80" t="s">
        <v>10948</v>
      </c>
      <c r="Q6179" s="20">
        <v>15936</v>
      </c>
      <c r="R6179" s="80" t="s">
        <v>36</v>
      </c>
      <c r="S6179" s="95">
        <v>2000</v>
      </c>
      <c r="T6179" s="148">
        <v>45492</v>
      </c>
      <c r="U6179" s="95">
        <v>13936</v>
      </c>
      <c r="V6179" s="148">
        <v>45532</v>
      </c>
      <c r="W6179" s="85" t="s">
        <v>10949</v>
      </c>
      <c r="X6179" s="80">
        <v>0</v>
      </c>
      <c r="Y6179" s="22">
        <v>0</v>
      </c>
      <c r="Z6179" s="81" t="s">
        <v>50</v>
      </c>
      <c r="AA6179" s="82" t="s">
        <v>10314</v>
      </c>
      <c r="AB6179" s="80"/>
      <c r="AC6179" s="80" t="s">
        <v>53</v>
      </c>
      <c r="AD6179" s="80" t="s">
        <v>54</v>
      </c>
      <c r="AE6179" s="80" t="s">
        <v>8541</v>
      </c>
      <c r="AF6179" s="17">
        <v>45727</v>
      </c>
      <c r="AG6179" s="80"/>
      <c r="AH6179" s="80"/>
      <c r="AI6179" s="147"/>
      <c r="AJ6179" s="80"/>
      <c r="AK6179" s="80"/>
      <c r="AL6179" s="86"/>
      <c r="AM6179" s="86"/>
      <c r="AN6179" s="86"/>
      <c r="AO6179" s="86"/>
      <c r="AP6179" s="86"/>
    </row>
    <row r="6180" spans="1:42" x14ac:dyDescent="0.2">
      <c r="A6180" s="38">
        <v>45714</v>
      </c>
      <c r="B6180" s="28" t="s">
        <v>37</v>
      </c>
      <c r="C6180" s="41" t="s">
        <v>118</v>
      </c>
      <c r="D6180" s="80" t="s">
        <v>36</v>
      </c>
      <c r="E6180" s="80" t="s">
        <v>139</v>
      </c>
      <c r="F6180" s="80" t="s">
        <v>8541</v>
      </c>
      <c r="G6180" s="161" t="s">
        <v>221</v>
      </c>
      <c r="H6180" s="80" t="s">
        <v>19616</v>
      </c>
      <c r="I6180" s="17">
        <f ca="1">IFERROR(__xludf.DUMMYFUNCTION("""COMPUTED_VALUE"""),45727)</f>
        <v>45727</v>
      </c>
      <c r="J6180" s="143" t="s">
        <v>18254</v>
      </c>
      <c r="K6180" s="145" t="s">
        <v>18255</v>
      </c>
      <c r="L6180" s="30">
        <v>982588370</v>
      </c>
      <c r="M6180" s="80" t="s">
        <v>9422</v>
      </c>
      <c r="N6180" s="80" t="s">
        <v>2157</v>
      </c>
      <c r="O6180" s="80" t="s">
        <v>8827</v>
      </c>
      <c r="P6180" s="80" t="s">
        <v>8827</v>
      </c>
      <c r="Q6180" s="20">
        <v>15936</v>
      </c>
      <c r="R6180" s="80" t="s">
        <v>36</v>
      </c>
      <c r="S6180" s="95">
        <v>15936</v>
      </c>
      <c r="T6180" s="148">
        <v>45504</v>
      </c>
      <c r="U6180" s="77"/>
      <c r="V6180" s="78"/>
      <c r="W6180" s="80"/>
      <c r="X6180" s="80"/>
      <c r="Y6180" s="22">
        <v>0</v>
      </c>
      <c r="Z6180" s="41" t="s">
        <v>118</v>
      </c>
      <c r="AA6180" s="86" t="s">
        <v>18243</v>
      </c>
      <c r="AB6180" s="80"/>
      <c r="AC6180" s="80" t="s">
        <v>53</v>
      </c>
      <c r="AD6180" s="80" t="s">
        <v>138</v>
      </c>
      <c r="AE6180" s="80" t="s">
        <v>8541</v>
      </c>
      <c r="AF6180" s="17">
        <v>45727</v>
      </c>
      <c r="AG6180" s="80"/>
      <c r="AH6180" s="80"/>
      <c r="AI6180" s="147"/>
      <c r="AJ6180" s="80"/>
      <c r="AK6180" s="80"/>
      <c r="AL6180" s="86"/>
      <c r="AM6180" s="86"/>
      <c r="AN6180" s="86"/>
      <c r="AO6180" s="86"/>
      <c r="AP6180" s="86"/>
    </row>
    <row r="6181" spans="1:42" x14ac:dyDescent="0.2">
      <c r="A6181" s="38">
        <v>45714</v>
      </c>
      <c r="B6181" s="28"/>
      <c r="C6181" s="41" t="s">
        <v>118</v>
      </c>
      <c r="D6181" s="80" t="s">
        <v>36</v>
      </c>
      <c r="E6181" s="80" t="s">
        <v>139</v>
      </c>
      <c r="F6181" s="80" t="s">
        <v>14073</v>
      </c>
      <c r="G6181" s="161" t="s">
        <v>221</v>
      </c>
      <c r="H6181" s="80" t="s">
        <v>20124</v>
      </c>
      <c r="I6181" s="17">
        <f ca="1">IFERROR(__xludf.DUMMYFUNCTION("""COMPUTED_VALUE"""),45881)</f>
        <v>45881</v>
      </c>
      <c r="J6181" s="143" t="s">
        <v>14118</v>
      </c>
      <c r="K6181" s="145" t="s">
        <v>20125</v>
      </c>
      <c r="L6181" s="30">
        <v>337675222</v>
      </c>
      <c r="M6181" s="80" t="s">
        <v>910</v>
      </c>
      <c r="N6181" s="80" t="s">
        <v>3525</v>
      </c>
      <c r="O6181" s="80" t="s">
        <v>91</v>
      </c>
      <c r="P6181" s="80" t="s">
        <v>14120</v>
      </c>
      <c r="Q6181" s="20">
        <v>15936</v>
      </c>
      <c r="R6181" s="80" t="s">
        <v>36</v>
      </c>
      <c r="S6181" s="95">
        <f>200+1800</f>
        <v>2000</v>
      </c>
      <c r="T6181" s="170">
        <v>45550</v>
      </c>
      <c r="U6181" s="95">
        <v>13936</v>
      </c>
      <c r="V6181" s="148">
        <v>45566</v>
      </c>
      <c r="W6181" s="85" t="s">
        <v>14121</v>
      </c>
      <c r="X6181" s="80"/>
      <c r="Y6181" s="22">
        <v>0</v>
      </c>
      <c r="Z6181" s="81" t="s">
        <v>50</v>
      </c>
      <c r="AA6181" s="82"/>
      <c r="AB6181" s="80"/>
      <c r="AC6181" s="80" t="s">
        <v>53</v>
      </c>
      <c r="AD6181" s="80" t="s">
        <v>138</v>
      </c>
      <c r="AE6181" s="80" t="s">
        <v>14073</v>
      </c>
      <c r="AF6181" s="17">
        <v>45727</v>
      </c>
      <c r="AG6181" s="80"/>
      <c r="AH6181" s="80"/>
      <c r="AI6181" s="147"/>
      <c r="AJ6181" s="80"/>
      <c r="AK6181" s="80"/>
      <c r="AL6181" s="86"/>
      <c r="AM6181" s="86"/>
      <c r="AN6181" s="86"/>
      <c r="AO6181" s="86"/>
      <c r="AP6181" s="86"/>
    </row>
    <row r="6182" spans="1:42" x14ac:dyDescent="0.2">
      <c r="A6182" s="38">
        <v>45714</v>
      </c>
      <c r="B6182" s="137" t="s">
        <v>37</v>
      </c>
      <c r="C6182" s="41" t="s">
        <v>118</v>
      </c>
      <c r="D6182" s="80" t="s">
        <v>36</v>
      </c>
      <c r="E6182" s="80" t="s">
        <v>139</v>
      </c>
      <c r="F6182" s="80" t="s">
        <v>20126</v>
      </c>
      <c r="G6182" s="161" t="s">
        <v>221</v>
      </c>
      <c r="H6182" s="80" t="s">
        <v>20127</v>
      </c>
      <c r="I6182" s="17">
        <f ca="1">IFERROR(__xludf.DUMMYFUNCTION("""COMPUTED_VALUE"""),45891)</f>
        <v>45891</v>
      </c>
      <c r="J6182" s="143" t="s">
        <v>14122</v>
      </c>
      <c r="K6182" s="145" t="s">
        <v>20128</v>
      </c>
      <c r="L6182" s="30">
        <v>338516118</v>
      </c>
      <c r="M6182" s="80" t="s">
        <v>80</v>
      </c>
      <c r="N6182" s="80" t="s">
        <v>466</v>
      </c>
      <c r="O6182" s="80" t="s">
        <v>14124</v>
      </c>
      <c r="P6182" s="80" t="s">
        <v>20129</v>
      </c>
      <c r="Q6182" s="20">
        <v>15936</v>
      </c>
      <c r="R6182" s="80" t="s">
        <v>36</v>
      </c>
      <c r="S6182" s="95">
        <f>200+2000</f>
        <v>2200</v>
      </c>
      <c r="T6182" s="148" t="s">
        <v>14126</v>
      </c>
      <c r="U6182" s="95">
        <v>13936</v>
      </c>
      <c r="V6182" s="148">
        <v>45588</v>
      </c>
      <c r="W6182" s="85" t="s">
        <v>14127</v>
      </c>
      <c r="X6182" s="80"/>
      <c r="Y6182" s="22">
        <v>-200</v>
      </c>
      <c r="Z6182" s="81" t="s">
        <v>50</v>
      </c>
      <c r="AA6182" s="86"/>
      <c r="AB6182" s="80"/>
      <c r="AC6182" s="80" t="s">
        <v>53</v>
      </c>
      <c r="AD6182" s="80" t="s">
        <v>54</v>
      </c>
      <c r="AE6182" s="80" t="s">
        <v>14073</v>
      </c>
      <c r="AF6182" s="17">
        <v>45919</v>
      </c>
      <c r="AG6182" s="80" t="s">
        <v>20130</v>
      </c>
      <c r="AH6182" s="80"/>
      <c r="AI6182" s="147"/>
      <c r="AJ6182" s="80"/>
      <c r="AK6182" s="80"/>
      <c r="AL6182" s="86"/>
      <c r="AM6182" s="86"/>
      <c r="AN6182" s="86"/>
      <c r="AO6182" s="86"/>
      <c r="AP6182" s="86"/>
    </row>
    <row r="6183" spans="1:42" x14ac:dyDescent="0.2">
      <c r="A6183" s="38">
        <v>45714</v>
      </c>
      <c r="B6183" s="28" t="s">
        <v>37</v>
      </c>
      <c r="C6183" s="41" t="s">
        <v>118</v>
      </c>
      <c r="D6183" s="80" t="s">
        <v>36</v>
      </c>
      <c r="E6183" s="80" t="s">
        <v>56</v>
      </c>
      <c r="F6183" s="80" t="s">
        <v>14073</v>
      </c>
      <c r="G6183" s="161" t="s">
        <v>221</v>
      </c>
      <c r="H6183" s="80" t="s">
        <v>19616</v>
      </c>
      <c r="I6183" s="17">
        <f ca="1">IFERROR(__xludf.DUMMYFUNCTION("""COMPUTED_VALUE"""),45727)</f>
        <v>45727</v>
      </c>
      <c r="J6183" s="143" t="s">
        <v>13174</v>
      </c>
      <c r="K6183" s="145" t="s">
        <v>13175</v>
      </c>
      <c r="L6183" s="30">
        <v>326880393</v>
      </c>
      <c r="M6183" s="80" t="s">
        <v>45</v>
      </c>
      <c r="N6183" s="80" t="s">
        <v>1472</v>
      </c>
      <c r="O6183" s="80" t="s">
        <v>13176</v>
      </c>
      <c r="P6183" s="80" t="s">
        <v>3694</v>
      </c>
      <c r="Q6183" s="20">
        <v>9317</v>
      </c>
      <c r="R6183" s="80" t="s">
        <v>36</v>
      </c>
      <c r="S6183" s="95">
        <v>9317</v>
      </c>
      <c r="T6183" s="148">
        <v>45551</v>
      </c>
      <c r="U6183" s="77"/>
      <c r="V6183" s="78"/>
      <c r="W6183" s="80" t="s">
        <v>13177</v>
      </c>
      <c r="X6183" s="83">
        <v>0</v>
      </c>
      <c r="Y6183" s="22">
        <v>0</v>
      </c>
      <c r="Z6183" s="81" t="s">
        <v>50</v>
      </c>
      <c r="AA6183" s="82" t="s">
        <v>3291</v>
      </c>
      <c r="AB6183" s="80"/>
      <c r="AC6183" s="80" t="s">
        <v>53</v>
      </c>
      <c r="AD6183" s="80" t="s">
        <v>138</v>
      </c>
      <c r="AE6183" s="80" t="s">
        <v>14073</v>
      </c>
      <c r="AF6183" s="17">
        <v>45727</v>
      </c>
      <c r="AG6183" s="80"/>
      <c r="AH6183" s="80"/>
      <c r="AI6183" s="147" t="s">
        <v>64</v>
      </c>
      <c r="AJ6183" s="80"/>
      <c r="AK6183" s="80"/>
      <c r="AL6183" s="86"/>
      <c r="AM6183" s="86"/>
      <c r="AN6183" s="86"/>
      <c r="AO6183" s="86"/>
      <c r="AP6183" s="86"/>
    </row>
    <row r="6184" spans="1:42" x14ac:dyDescent="0.2">
      <c r="A6184" s="38">
        <v>45714</v>
      </c>
      <c r="B6184" s="137" t="s">
        <v>37</v>
      </c>
      <c r="C6184" s="41" t="s">
        <v>118</v>
      </c>
      <c r="D6184" s="80" t="s">
        <v>36</v>
      </c>
      <c r="E6184" s="80" t="s">
        <v>139</v>
      </c>
      <c r="F6184" s="80" t="s">
        <v>20126</v>
      </c>
      <c r="G6184" s="161" t="s">
        <v>221</v>
      </c>
      <c r="H6184" s="80" t="s">
        <v>20127</v>
      </c>
      <c r="I6184" s="17">
        <f ca="1">IFERROR(__xludf.DUMMYFUNCTION("""COMPUTED_VALUE"""),45891)</f>
        <v>45891</v>
      </c>
      <c r="J6184" s="143" t="s">
        <v>12942</v>
      </c>
      <c r="K6184" s="145" t="s">
        <v>20131</v>
      </c>
      <c r="L6184" s="30">
        <v>869332508</v>
      </c>
      <c r="M6184" s="80" t="s">
        <v>9422</v>
      </c>
      <c r="N6184" s="80" t="s">
        <v>2157</v>
      </c>
      <c r="O6184" s="80" t="s">
        <v>11607</v>
      </c>
      <c r="P6184" s="115" t="s">
        <v>20132</v>
      </c>
      <c r="Q6184" s="20">
        <v>15936</v>
      </c>
      <c r="R6184" s="80" t="s">
        <v>11421</v>
      </c>
      <c r="S6184" s="95">
        <v>2000</v>
      </c>
      <c r="T6184" s="148">
        <v>45545</v>
      </c>
      <c r="U6184" s="95">
        <v>13636</v>
      </c>
      <c r="V6184" s="148">
        <v>45564</v>
      </c>
      <c r="W6184" s="85" t="s">
        <v>12944</v>
      </c>
      <c r="X6184" s="83">
        <v>300</v>
      </c>
      <c r="Y6184" s="22">
        <v>0</v>
      </c>
      <c r="Z6184" s="81" t="s">
        <v>50</v>
      </c>
      <c r="AA6184" s="86" t="s">
        <v>3291</v>
      </c>
      <c r="AB6184" s="80"/>
      <c r="AC6184" s="80" t="s">
        <v>53</v>
      </c>
      <c r="AD6184" s="80" t="s">
        <v>138</v>
      </c>
      <c r="AE6184" s="80" t="s">
        <v>14073</v>
      </c>
      <c r="AF6184" s="17">
        <v>45919</v>
      </c>
      <c r="AG6184" s="80" t="s">
        <v>20130</v>
      </c>
      <c r="AH6184" s="80"/>
      <c r="AI6184" s="147" t="s">
        <v>147</v>
      </c>
      <c r="AJ6184" s="80"/>
      <c r="AK6184" s="80"/>
      <c r="AL6184" s="86"/>
      <c r="AM6184" s="86"/>
      <c r="AN6184" s="86"/>
      <c r="AO6184" s="86"/>
      <c r="AP6184" s="86"/>
    </row>
    <row r="6185" spans="1:42" x14ac:dyDescent="0.2">
      <c r="A6185" s="38">
        <v>45714</v>
      </c>
      <c r="B6185" s="28" t="s">
        <v>37</v>
      </c>
      <c r="C6185" s="41" t="s">
        <v>118</v>
      </c>
      <c r="D6185" s="80" t="s">
        <v>36</v>
      </c>
      <c r="E6185" s="80" t="s">
        <v>139</v>
      </c>
      <c r="F6185" s="80" t="s">
        <v>14073</v>
      </c>
      <c r="G6185" s="161" t="s">
        <v>221</v>
      </c>
      <c r="H6185" s="80" t="s">
        <v>19616</v>
      </c>
      <c r="I6185" s="17">
        <f ca="1">IFERROR(__xludf.DUMMYFUNCTION("""COMPUTED_VALUE"""),45727)</f>
        <v>45727</v>
      </c>
      <c r="J6185" s="143" t="s">
        <v>14137</v>
      </c>
      <c r="K6185" s="145" t="s">
        <v>14138</v>
      </c>
      <c r="L6185" s="30">
        <v>845576999</v>
      </c>
      <c r="M6185" s="80" t="s">
        <v>123</v>
      </c>
      <c r="N6185" s="80" t="s">
        <v>2847</v>
      </c>
      <c r="O6185" s="80" t="s">
        <v>4503</v>
      </c>
      <c r="P6185" s="80" t="s">
        <v>3487</v>
      </c>
      <c r="Q6185" s="20">
        <v>15936</v>
      </c>
      <c r="R6185" s="80" t="s">
        <v>36</v>
      </c>
      <c r="S6185" s="95">
        <v>1968</v>
      </c>
      <c r="T6185" s="148">
        <v>45540</v>
      </c>
      <c r="U6185" s="95">
        <v>13968</v>
      </c>
      <c r="V6185" s="148">
        <v>45598</v>
      </c>
      <c r="W6185" s="85" t="s">
        <v>14139</v>
      </c>
      <c r="X6185" s="80"/>
      <c r="Y6185" s="22">
        <v>0</v>
      </c>
      <c r="Z6185" s="81" t="s">
        <v>50</v>
      </c>
      <c r="AA6185" s="82"/>
      <c r="AB6185" s="80"/>
      <c r="AC6185" s="80" t="s">
        <v>53</v>
      </c>
      <c r="AD6185" s="80" t="s">
        <v>138</v>
      </c>
      <c r="AE6185" s="80" t="s">
        <v>14073</v>
      </c>
      <c r="AF6185" s="17">
        <v>45727</v>
      </c>
      <c r="AG6185" s="80"/>
      <c r="AH6185" s="80"/>
      <c r="AI6185" s="147"/>
      <c r="AJ6185" s="80"/>
      <c r="AK6185" s="80"/>
      <c r="AL6185" s="86"/>
      <c r="AM6185" s="86"/>
      <c r="AN6185" s="86"/>
      <c r="AO6185" s="86"/>
      <c r="AP6185" s="86"/>
    </row>
    <row r="6186" spans="1:42" x14ac:dyDescent="0.2">
      <c r="A6186" s="38">
        <v>45714</v>
      </c>
      <c r="B6186" s="28" t="s">
        <v>37</v>
      </c>
      <c r="C6186" s="41" t="s">
        <v>118</v>
      </c>
      <c r="D6186" s="80" t="s">
        <v>36</v>
      </c>
      <c r="E6186" s="80" t="s">
        <v>139</v>
      </c>
      <c r="F6186" s="80" t="s">
        <v>14066</v>
      </c>
      <c r="G6186" s="161" t="s">
        <v>108</v>
      </c>
      <c r="H6186" s="80" t="s">
        <v>19294</v>
      </c>
      <c r="I6186" s="17">
        <f ca="1">IFERROR(__xludf.DUMMYFUNCTION("""COMPUTED_VALUE"""),45709)</f>
        <v>45709</v>
      </c>
      <c r="J6186" s="143" t="s">
        <v>12689</v>
      </c>
      <c r="K6186" s="145" t="s">
        <v>20133</v>
      </c>
      <c r="L6186" s="30">
        <v>393509248</v>
      </c>
      <c r="M6186" s="80" t="s">
        <v>123</v>
      </c>
      <c r="N6186" s="80" t="s">
        <v>327</v>
      </c>
      <c r="O6186" s="80" t="s">
        <v>12691</v>
      </c>
      <c r="P6186" s="80" t="s">
        <v>20134</v>
      </c>
      <c r="Q6186" s="20">
        <v>15936</v>
      </c>
      <c r="R6186" s="80" t="s">
        <v>36</v>
      </c>
      <c r="S6186" s="95">
        <v>15963</v>
      </c>
      <c r="T6186" s="148">
        <v>45538</v>
      </c>
      <c r="U6186" s="77"/>
      <c r="V6186" s="78"/>
      <c r="W6186" s="85" t="s">
        <v>12693</v>
      </c>
      <c r="X6186" s="83">
        <v>0</v>
      </c>
      <c r="Y6186" s="22">
        <v>-27</v>
      </c>
      <c r="Z6186" s="81" t="s">
        <v>50</v>
      </c>
      <c r="AA6186" s="86" t="s">
        <v>3291</v>
      </c>
      <c r="AB6186" s="80"/>
      <c r="AC6186" s="80" t="s">
        <v>53</v>
      </c>
      <c r="AD6186" s="80" t="s">
        <v>138</v>
      </c>
      <c r="AE6186" s="80" t="s">
        <v>14066</v>
      </c>
      <c r="AF6186" s="17">
        <v>45724</v>
      </c>
      <c r="AG6186" s="80" t="s">
        <v>20135</v>
      </c>
      <c r="AH6186" s="80"/>
      <c r="AI6186" s="147" t="s">
        <v>147</v>
      </c>
      <c r="AJ6186" s="80"/>
      <c r="AK6186" s="80"/>
      <c r="AL6186" s="86"/>
      <c r="AM6186" s="86"/>
      <c r="AN6186" s="86"/>
      <c r="AO6186" s="86"/>
      <c r="AP6186" s="86"/>
    </row>
    <row r="6187" spans="1:42" x14ac:dyDescent="0.2">
      <c r="A6187" s="38">
        <v>45714</v>
      </c>
      <c r="B6187" s="28" t="s">
        <v>37</v>
      </c>
      <c r="C6187" s="41" t="s">
        <v>118</v>
      </c>
      <c r="D6187" s="80" t="s">
        <v>36</v>
      </c>
      <c r="E6187" s="80" t="s">
        <v>139</v>
      </c>
      <c r="F6187" s="80" t="s">
        <v>14066</v>
      </c>
      <c r="G6187" s="161" t="s">
        <v>221</v>
      </c>
      <c r="H6187" s="80" t="s">
        <v>20136</v>
      </c>
      <c r="I6187" s="17">
        <f ca="1">IFERROR(__xludf.DUMMYFUNCTION("""COMPUTED_VALUE"""),45783)</f>
        <v>45783</v>
      </c>
      <c r="J6187" s="143" t="s">
        <v>14110</v>
      </c>
      <c r="K6187" s="145" t="s">
        <v>14111</v>
      </c>
      <c r="L6187" s="30">
        <v>964774521</v>
      </c>
      <c r="M6187" s="80" t="s">
        <v>123</v>
      </c>
      <c r="N6187" s="80" t="s">
        <v>186</v>
      </c>
      <c r="O6187" s="80" t="s">
        <v>4503</v>
      </c>
      <c r="P6187" s="144" t="s">
        <v>20137</v>
      </c>
      <c r="Q6187" s="20">
        <v>15936</v>
      </c>
      <c r="R6187" s="80" t="s">
        <v>36</v>
      </c>
      <c r="S6187" s="95">
        <f>200+1800</f>
        <v>2000</v>
      </c>
      <c r="T6187" s="148">
        <v>45546</v>
      </c>
      <c r="U6187" s="95">
        <v>13936</v>
      </c>
      <c r="V6187" s="148">
        <v>45593</v>
      </c>
      <c r="W6187" s="85" t="s">
        <v>14113</v>
      </c>
      <c r="X6187" s="80"/>
      <c r="Y6187" s="22">
        <v>0</v>
      </c>
      <c r="Z6187" s="81" t="s">
        <v>50</v>
      </c>
      <c r="AA6187" s="82"/>
      <c r="AB6187" s="80"/>
      <c r="AC6187" s="80" t="s">
        <v>53</v>
      </c>
      <c r="AD6187" s="80" t="s">
        <v>138</v>
      </c>
      <c r="AE6187" s="80" t="s">
        <v>14066</v>
      </c>
      <c r="AF6187" s="17">
        <v>45773</v>
      </c>
      <c r="AG6187" s="80"/>
      <c r="AH6187" s="80"/>
      <c r="AI6187" s="147"/>
      <c r="AJ6187" s="80"/>
      <c r="AK6187" s="80"/>
      <c r="AL6187" s="86"/>
      <c r="AM6187" s="86"/>
      <c r="AN6187" s="86"/>
      <c r="AO6187" s="86"/>
      <c r="AP6187" s="86"/>
    </row>
    <row r="6188" spans="1:42" x14ac:dyDescent="0.2">
      <c r="A6188" s="38">
        <v>45714</v>
      </c>
      <c r="B6188" s="137" t="s">
        <v>37</v>
      </c>
      <c r="C6188" s="41" t="s">
        <v>118</v>
      </c>
      <c r="D6188" s="80" t="s">
        <v>36</v>
      </c>
      <c r="E6188" s="80" t="s">
        <v>119</v>
      </c>
      <c r="F6188" s="80" t="s">
        <v>14066</v>
      </c>
      <c r="G6188" s="161" t="s">
        <v>221</v>
      </c>
      <c r="H6188" s="80" t="s">
        <v>20071</v>
      </c>
      <c r="I6188" s="17">
        <f ca="1">IFERROR(__xludf.DUMMYFUNCTION("""COMPUTED_VALUE"""),45757)</f>
        <v>45757</v>
      </c>
      <c r="J6188" s="143" t="s">
        <v>17740</v>
      </c>
      <c r="K6188" s="145" t="s">
        <v>20138</v>
      </c>
      <c r="L6188" s="30">
        <v>369390838</v>
      </c>
      <c r="M6188" s="80" t="s">
        <v>12644</v>
      </c>
      <c r="N6188" s="80" t="s">
        <v>8725</v>
      </c>
      <c r="O6188" s="80" t="s">
        <v>17741</v>
      </c>
      <c r="P6188" s="80" t="s">
        <v>20139</v>
      </c>
      <c r="Q6188" s="20">
        <v>13968</v>
      </c>
      <c r="R6188" s="80" t="s">
        <v>36</v>
      </c>
      <c r="S6188" s="95">
        <f>200+3800</f>
        <v>4000</v>
      </c>
      <c r="T6188" s="148" t="s">
        <v>17713</v>
      </c>
      <c r="U6188" s="95">
        <v>9968</v>
      </c>
      <c r="V6188" s="148">
        <v>45618</v>
      </c>
      <c r="W6188" s="85" t="s">
        <v>17743</v>
      </c>
      <c r="X6188" s="80"/>
      <c r="Y6188" s="22">
        <v>0</v>
      </c>
      <c r="Z6188" s="81" t="s">
        <v>50</v>
      </c>
      <c r="AA6188" s="86" t="s">
        <v>14723</v>
      </c>
      <c r="AB6188" s="80"/>
      <c r="AC6188" s="80" t="s">
        <v>53</v>
      </c>
      <c r="AD6188" s="80" t="s">
        <v>138</v>
      </c>
      <c r="AE6188" s="80" t="s">
        <v>14066</v>
      </c>
      <c r="AF6188" s="17">
        <v>45757</v>
      </c>
      <c r="AG6188" s="80"/>
      <c r="AH6188" s="80"/>
      <c r="AI6188" s="147"/>
      <c r="AJ6188" s="80"/>
      <c r="AK6188" s="80"/>
      <c r="AL6188" s="86"/>
      <c r="AM6188" s="86"/>
      <c r="AN6188" s="86"/>
      <c r="AO6188" s="86"/>
      <c r="AP6188" s="86"/>
    </row>
    <row r="6189" spans="1:42" x14ac:dyDescent="0.2">
      <c r="A6189" s="38">
        <v>45714</v>
      </c>
      <c r="B6189" s="137" t="s">
        <v>37</v>
      </c>
      <c r="C6189" s="41" t="s">
        <v>118</v>
      </c>
      <c r="D6189" s="80" t="s">
        <v>36</v>
      </c>
      <c r="E6189" s="80" t="s">
        <v>148</v>
      </c>
      <c r="F6189" s="80" t="s">
        <v>8541</v>
      </c>
      <c r="G6189" s="161" t="s">
        <v>221</v>
      </c>
      <c r="H6189" s="80" t="s">
        <v>19618</v>
      </c>
      <c r="I6189" s="17">
        <f ca="1">IFERROR(__xludf.DUMMYFUNCTION("""COMPUTED_VALUE"""),45835)</f>
        <v>45835</v>
      </c>
      <c r="J6189" s="143" t="s">
        <v>8542</v>
      </c>
      <c r="K6189" s="145" t="s">
        <v>8543</v>
      </c>
      <c r="L6189" s="30">
        <v>325968416</v>
      </c>
      <c r="M6189" s="80" t="s">
        <v>548</v>
      </c>
      <c r="N6189" s="80" t="s">
        <v>5016</v>
      </c>
      <c r="O6189" s="80" t="s">
        <v>8544</v>
      </c>
      <c r="P6189" s="144" t="s">
        <v>20140</v>
      </c>
      <c r="Q6189" s="20">
        <v>5736</v>
      </c>
      <c r="R6189" s="80" t="s">
        <v>36</v>
      </c>
      <c r="S6189" s="77">
        <v>3000</v>
      </c>
      <c r="T6189" s="78">
        <v>45443</v>
      </c>
      <c r="U6189" s="77">
        <f>2736+1613</f>
        <v>4349</v>
      </c>
      <c r="V6189" s="78" t="s">
        <v>8546</v>
      </c>
      <c r="W6189" s="85" t="s">
        <v>8547</v>
      </c>
      <c r="X6189" s="80"/>
      <c r="Y6189" s="22">
        <v>0</v>
      </c>
      <c r="Z6189" s="81" t="s">
        <v>50</v>
      </c>
      <c r="AA6189" s="82" t="s">
        <v>8410</v>
      </c>
      <c r="AB6189" s="80"/>
      <c r="AC6189" s="80" t="s">
        <v>53</v>
      </c>
      <c r="AD6189" s="86" t="s">
        <v>54</v>
      </c>
      <c r="AE6189" s="80" t="s">
        <v>8541</v>
      </c>
      <c r="AF6189" s="17">
        <v>45831</v>
      </c>
      <c r="AG6189" s="80"/>
      <c r="AH6189" s="143" t="s">
        <v>8549</v>
      </c>
      <c r="AI6189" s="147"/>
      <c r="AJ6189" s="80"/>
      <c r="AK6189" s="80"/>
      <c r="AL6189" s="86"/>
      <c r="AM6189" s="86"/>
      <c r="AN6189" s="86"/>
      <c r="AO6189" s="86"/>
      <c r="AP6189" s="86"/>
    </row>
    <row r="6190" spans="1:42" x14ac:dyDescent="0.2">
      <c r="A6190" s="38">
        <v>45714</v>
      </c>
      <c r="B6190" s="28" t="s">
        <v>37</v>
      </c>
      <c r="C6190" s="41" t="s">
        <v>118</v>
      </c>
      <c r="D6190" s="80" t="s">
        <v>36</v>
      </c>
      <c r="E6190" s="80" t="s">
        <v>139</v>
      </c>
      <c r="F6190" s="80" t="s">
        <v>8541</v>
      </c>
      <c r="G6190" s="161" t="s">
        <v>221</v>
      </c>
      <c r="H6190" s="80" t="s">
        <v>20121</v>
      </c>
      <c r="I6190" s="17">
        <f ca="1">IFERROR(__xludf.DUMMYFUNCTION("""COMPUTED_VALUE"""),45747)</f>
        <v>45747</v>
      </c>
      <c r="J6190" s="143" t="s">
        <v>10650</v>
      </c>
      <c r="K6190" s="145" t="s">
        <v>11763</v>
      </c>
      <c r="L6190" s="30">
        <v>768629605</v>
      </c>
      <c r="M6190" s="80" t="s">
        <v>80</v>
      </c>
      <c r="N6190" s="80" t="s">
        <v>1073</v>
      </c>
      <c r="O6190" s="80" t="s">
        <v>10652</v>
      </c>
      <c r="P6190" s="144" t="s">
        <v>11764</v>
      </c>
      <c r="Q6190" s="20">
        <v>15936</v>
      </c>
      <c r="R6190" s="80" t="s">
        <v>36</v>
      </c>
      <c r="S6190" s="95">
        <f>200+2000+200</f>
        <v>2400</v>
      </c>
      <c r="T6190" s="148" t="s">
        <v>10654</v>
      </c>
      <c r="U6190" s="95">
        <v>13736</v>
      </c>
      <c r="V6190" s="148">
        <v>45513</v>
      </c>
      <c r="W6190" s="85" t="s">
        <v>10655</v>
      </c>
      <c r="X6190" s="80">
        <v>0</v>
      </c>
      <c r="Y6190" s="22">
        <v>-200</v>
      </c>
      <c r="Z6190" s="81" t="s">
        <v>50</v>
      </c>
      <c r="AA6190" s="86" t="s">
        <v>10314</v>
      </c>
      <c r="AB6190" s="80"/>
      <c r="AC6190" s="80" t="s">
        <v>53</v>
      </c>
      <c r="AD6190" s="80" t="s">
        <v>54</v>
      </c>
      <c r="AE6190" s="80" t="s">
        <v>8541</v>
      </c>
      <c r="AF6190" s="17">
        <v>45747</v>
      </c>
      <c r="AG6190" s="80"/>
      <c r="AH6190" s="80"/>
      <c r="AI6190" s="147"/>
      <c r="AJ6190" s="80"/>
      <c r="AK6190" s="80"/>
      <c r="AL6190" s="86"/>
      <c r="AM6190" s="86"/>
      <c r="AN6190" s="86"/>
      <c r="AO6190" s="86"/>
      <c r="AP6190" s="86"/>
    </row>
    <row r="6191" spans="1:42" x14ac:dyDescent="0.2">
      <c r="A6191" s="38">
        <v>45714</v>
      </c>
      <c r="B6191" s="28" t="s">
        <v>37</v>
      </c>
      <c r="C6191" s="41" t="s">
        <v>118</v>
      </c>
      <c r="D6191" s="80" t="s">
        <v>36</v>
      </c>
      <c r="E6191" s="80" t="s">
        <v>139</v>
      </c>
      <c r="F6191" s="80" t="s">
        <v>8541</v>
      </c>
      <c r="G6191" s="161" t="s">
        <v>221</v>
      </c>
      <c r="H6191" s="80" t="s">
        <v>20141</v>
      </c>
      <c r="I6191" s="17">
        <f ca="1">IFERROR(__xludf.DUMMYFUNCTION("""COMPUTED_VALUE"""),45757)</f>
        <v>45757</v>
      </c>
      <c r="J6191" s="143" t="s">
        <v>11053</v>
      </c>
      <c r="K6191" s="145" t="s">
        <v>20142</v>
      </c>
      <c r="L6191" s="30">
        <v>989494136</v>
      </c>
      <c r="M6191" s="80" t="s">
        <v>3728</v>
      </c>
      <c r="N6191" s="80" t="s">
        <v>5312</v>
      </c>
      <c r="O6191" s="80" t="s">
        <v>11055</v>
      </c>
      <c r="P6191" s="144" t="s">
        <v>11800</v>
      </c>
      <c r="Q6191" s="20">
        <v>15936</v>
      </c>
      <c r="R6191" s="80" t="s">
        <v>36</v>
      </c>
      <c r="S6191" s="95">
        <f>200+1800</f>
        <v>2000</v>
      </c>
      <c r="T6191" s="148" t="s">
        <v>11057</v>
      </c>
      <c r="U6191" s="95">
        <f>7000+6936</f>
        <v>13936</v>
      </c>
      <c r="V6191" s="148" t="s">
        <v>11058</v>
      </c>
      <c r="W6191" s="85" t="s">
        <v>11059</v>
      </c>
      <c r="X6191" s="83">
        <v>0</v>
      </c>
      <c r="Y6191" s="22">
        <v>0</v>
      </c>
      <c r="Z6191" s="81" t="s">
        <v>50</v>
      </c>
      <c r="AA6191" s="82" t="s">
        <v>10314</v>
      </c>
      <c r="AB6191" s="80"/>
      <c r="AC6191" s="80" t="s">
        <v>53</v>
      </c>
      <c r="AD6191" s="80" t="s">
        <v>54</v>
      </c>
      <c r="AE6191" s="80" t="s">
        <v>8541</v>
      </c>
      <c r="AF6191" s="17">
        <v>45757</v>
      </c>
      <c r="AG6191" s="80"/>
      <c r="AH6191" s="80"/>
      <c r="AI6191" s="147"/>
      <c r="AJ6191" s="80"/>
      <c r="AK6191" s="80"/>
      <c r="AL6191" s="86"/>
      <c r="AM6191" s="86"/>
      <c r="AN6191" s="86"/>
      <c r="AO6191" s="86"/>
      <c r="AP6191" s="86"/>
    </row>
    <row r="6192" spans="1:42" x14ac:dyDescent="0.2">
      <c r="A6192" s="38">
        <v>45714</v>
      </c>
      <c r="B6192" s="28" t="s">
        <v>37</v>
      </c>
      <c r="C6192" s="41" t="s">
        <v>118</v>
      </c>
      <c r="D6192" s="80" t="s">
        <v>36</v>
      </c>
      <c r="E6192" s="80" t="s">
        <v>119</v>
      </c>
      <c r="F6192" s="80" t="s">
        <v>8541</v>
      </c>
      <c r="G6192" s="161" t="s">
        <v>221</v>
      </c>
      <c r="H6192" s="80" t="s">
        <v>20000</v>
      </c>
      <c r="I6192" s="17">
        <f ca="1">IFERROR(__xludf.DUMMYFUNCTION("""COMPUTED_VALUE"""),45719)</f>
        <v>45719</v>
      </c>
      <c r="J6192" s="143" t="s">
        <v>13223</v>
      </c>
      <c r="K6192" s="145" t="s">
        <v>13224</v>
      </c>
      <c r="L6192" s="30">
        <v>369089021</v>
      </c>
      <c r="M6192" s="80" t="s">
        <v>12644</v>
      </c>
      <c r="N6192" s="80" t="s">
        <v>8725</v>
      </c>
      <c r="O6192" s="80" t="s">
        <v>13225</v>
      </c>
      <c r="P6192" s="80" t="s">
        <v>13226</v>
      </c>
      <c r="Q6192" s="20">
        <v>13968</v>
      </c>
      <c r="R6192" s="80" t="s">
        <v>36</v>
      </c>
      <c r="S6192" s="95">
        <v>13968</v>
      </c>
      <c r="T6192" s="148">
        <v>45551</v>
      </c>
      <c r="U6192" s="77"/>
      <c r="V6192" s="78"/>
      <c r="W6192" s="85" t="s">
        <v>13227</v>
      </c>
      <c r="X6192" s="83">
        <v>0</v>
      </c>
      <c r="Y6192" s="22">
        <v>0</v>
      </c>
      <c r="Z6192" s="81" t="s">
        <v>50</v>
      </c>
      <c r="AA6192" s="86" t="s">
        <v>3291</v>
      </c>
      <c r="AB6192" s="80"/>
      <c r="AC6192" s="80" t="s">
        <v>53</v>
      </c>
      <c r="AD6192" s="80" t="s">
        <v>138</v>
      </c>
      <c r="AE6192" s="80" t="s">
        <v>8541</v>
      </c>
      <c r="AF6192" s="17">
        <v>45728</v>
      </c>
      <c r="AG6192" s="80" t="s">
        <v>20143</v>
      </c>
      <c r="AH6192" s="80"/>
      <c r="AI6192" s="209">
        <v>4</v>
      </c>
      <c r="AJ6192" s="80"/>
      <c r="AK6192" s="80"/>
      <c r="AL6192" s="86"/>
      <c r="AM6192" s="86"/>
      <c r="AN6192" s="86"/>
      <c r="AO6192" s="86"/>
      <c r="AP6192" s="86"/>
    </row>
    <row r="6193" spans="1:42" x14ac:dyDescent="0.2">
      <c r="A6193" s="38">
        <v>45714</v>
      </c>
      <c r="B6193" s="28" t="s">
        <v>37</v>
      </c>
      <c r="C6193" s="41" t="s">
        <v>118</v>
      </c>
      <c r="D6193" s="80" t="s">
        <v>36</v>
      </c>
      <c r="E6193" s="80" t="s">
        <v>139</v>
      </c>
      <c r="F6193" s="80" t="s">
        <v>8541</v>
      </c>
      <c r="G6193" s="161" t="s">
        <v>221</v>
      </c>
      <c r="H6193" s="80" t="s">
        <v>20144</v>
      </c>
      <c r="I6193" s="17">
        <f ca="1">IFERROR(__xludf.DUMMYFUNCTION("""COMPUTED_VALUE"""),45785)</f>
        <v>45785</v>
      </c>
      <c r="J6193" s="143" t="s">
        <v>11070</v>
      </c>
      <c r="K6193" s="145" t="s">
        <v>13661</v>
      </c>
      <c r="L6193" s="30">
        <v>362421865</v>
      </c>
      <c r="M6193" s="80" t="s">
        <v>3498</v>
      </c>
      <c r="N6193" s="80" t="s">
        <v>4402</v>
      </c>
      <c r="O6193" s="80" t="s">
        <v>4503</v>
      </c>
      <c r="P6193" s="80" t="s">
        <v>11072</v>
      </c>
      <c r="Q6193" s="20">
        <v>15936</v>
      </c>
      <c r="R6193" s="80" t="s">
        <v>36</v>
      </c>
      <c r="S6193" s="95">
        <v>2000</v>
      </c>
      <c r="T6193" s="148">
        <v>45498</v>
      </c>
      <c r="U6193" s="95">
        <v>13936</v>
      </c>
      <c r="V6193" s="148">
        <v>45519</v>
      </c>
      <c r="W6193" s="80" t="s">
        <v>11073</v>
      </c>
      <c r="X6193" s="83">
        <v>0</v>
      </c>
      <c r="Y6193" s="22">
        <v>0</v>
      </c>
      <c r="Z6193" s="81" t="s">
        <v>50</v>
      </c>
      <c r="AA6193" s="82" t="s">
        <v>10314</v>
      </c>
      <c r="AB6193" s="80"/>
      <c r="AC6193" s="80" t="s">
        <v>53</v>
      </c>
      <c r="AD6193" s="80" t="s">
        <v>54</v>
      </c>
      <c r="AE6193" s="80" t="s">
        <v>8541</v>
      </c>
      <c r="AF6193" s="17">
        <v>45773</v>
      </c>
      <c r="AG6193" s="80"/>
      <c r="AH6193" s="80"/>
      <c r="AI6193" s="147"/>
      <c r="AJ6193" s="80"/>
      <c r="AK6193" s="80"/>
      <c r="AL6193" s="86"/>
      <c r="AM6193" s="86"/>
      <c r="AN6193" s="86"/>
      <c r="AO6193" s="86"/>
      <c r="AP6193" s="86"/>
    </row>
    <row r="6194" spans="1:42" x14ac:dyDescent="0.2">
      <c r="A6194" s="38">
        <v>45714</v>
      </c>
      <c r="B6194" s="28"/>
      <c r="C6194" s="41" t="s">
        <v>118</v>
      </c>
      <c r="D6194" s="80" t="s">
        <v>36</v>
      </c>
      <c r="E6194" s="80" t="s">
        <v>148</v>
      </c>
      <c r="F6194" s="80" t="s">
        <v>8541</v>
      </c>
      <c r="G6194" s="161" t="s">
        <v>221</v>
      </c>
      <c r="H6194" s="80" t="s">
        <v>20145</v>
      </c>
      <c r="I6194" s="17" t="str">
        <f ca="1">IFERROR(__xludf.DUMMYFUNCTION("""COMPUTED_VALUE""")," ")</f>
        <v xml:space="preserve"> </v>
      </c>
      <c r="J6194" s="143" t="s">
        <v>16198</v>
      </c>
      <c r="K6194" s="145" t="s">
        <v>16199</v>
      </c>
      <c r="L6194" s="30">
        <v>901581979</v>
      </c>
      <c r="M6194" s="80" t="s">
        <v>59</v>
      </c>
      <c r="N6194" s="80" t="s">
        <v>11476</v>
      </c>
      <c r="O6194" s="80" t="s">
        <v>16200</v>
      </c>
      <c r="P6194" s="80" t="s">
        <v>3694</v>
      </c>
      <c r="Q6194" s="20">
        <v>7349</v>
      </c>
      <c r="R6194" s="80" t="s">
        <v>36</v>
      </c>
      <c r="S6194" s="95">
        <f>200+7149</f>
        <v>7349</v>
      </c>
      <c r="T6194" s="148" t="s">
        <v>16187</v>
      </c>
      <c r="U6194" s="77"/>
      <c r="V6194" s="78"/>
      <c r="W6194" s="80" t="s">
        <v>16201</v>
      </c>
      <c r="X6194" s="80"/>
      <c r="Y6194" s="22">
        <v>0</v>
      </c>
      <c r="Z6194" s="81" t="s">
        <v>50</v>
      </c>
      <c r="AA6194" s="86" t="s">
        <v>9905</v>
      </c>
      <c r="AB6194" s="80"/>
      <c r="AC6194" s="80" t="s">
        <v>53</v>
      </c>
      <c r="AD6194" s="80" t="s">
        <v>138</v>
      </c>
      <c r="AE6194" s="80" t="s">
        <v>8541</v>
      </c>
      <c r="AF6194" s="17">
        <v>45757</v>
      </c>
      <c r="AG6194" s="80"/>
      <c r="AH6194" s="80"/>
      <c r="AI6194" s="147"/>
      <c r="AJ6194" s="80"/>
      <c r="AK6194" s="80"/>
      <c r="AL6194" s="86"/>
      <c r="AM6194" s="86"/>
      <c r="AN6194" s="86"/>
      <c r="AO6194" s="86"/>
      <c r="AP6194" s="86"/>
    </row>
    <row r="6195" spans="1:42" x14ac:dyDescent="0.2">
      <c r="A6195" s="38">
        <v>45714</v>
      </c>
      <c r="B6195" s="28" t="s">
        <v>37</v>
      </c>
      <c r="C6195" s="41" t="s">
        <v>118</v>
      </c>
      <c r="D6195" s="80" t="s">
        <v>36</v>
      </c>
      <c r="E6195" s="80" t="s">
        <v>119</v>
      </c>
      <c r="F6195" s="80" t="s">
        <v>8541</v>
      </c>
      <c r="G6195" s="161" t="s">
        <v>221</v>
      </c>
      <c r="H6195" s="80" t="s">
        <v>20146</v>
      </c>
      <c r="I6195" s="17">
        <f ca="1">IFERROR(__xludf.DUMMYFUNCTION("""COMPUTED_VALUE"""),45747)</f>
        <v>45747</v>
      </c>
      <c r="J6195" s="143" t="s">
        <v>17160</v>
      </c>
      <c r="K6195" s="145" t="s">
        <v>20147</v>
      </c>
      <c r="L6195" s="30">
        <v>339830342</v>
      </c>
      <c r="M6195" s="80" t="s">
        <v>3728</v>
      </c>
      <c r="N6195" s="80" t="s">
        <v>5312</v>
      </c>
      <c r="O6195" s="80" t="s">
        <v>17162</v>
      </c>
      <c r="P6195" s="80" t="s">
        <v>11644</v>
      </c>
      <c r="Q6195" s="20">
        <v>13968</v>
      </c>
      <c r="R6195" s="80" t="s">
        <v>1106</v>
      </c>
      <c r="S6195" s="95">
        <f>200+1800+2000</f>
        <v>4000</v>
      </c>
      <c r="T6195" s="148" t="s">
        <v>17163</v>
      </c>
      <c r="U6195" s="95">
        <f>4000+5968</f>
        <v>9968</v>
      </c>
      <c r="V6195" s="148" t="s">
        <v>17164</v>
      </c>
      <c r="W6195" s="85" t="s">
        <v>17165</v>
      </c>
      <c r="X6195" s="80"/>
      <c r="Y6195" s="22">
        <v>0</v>
      </c>
      <c r="Z6195" s="81" t="s">
        <v>50</v>
      </c>
      <c r="AA6195" s="82" t="s">
        <v>14723</v>
      </c>
      <c r="AB6195" s="80"/>
      <c r="AC6195" s="80" t="s">
        <v>53</v>
      </c>
      <c r="AD6195" s="80" t="s">
        <v>138</v>
      </c>
      <c r="AE6195" s="80" t="s">
        <v>8541</v>
      </c>
      <c r="AF6195" s="17">
        <v>45747</v>
      </c>
      <c r="AG6195" s="80"/>
      <c r="AH6195" s="80"/>
      <c r="AI6195" s="147"/>
      <c r="AJ6195" s="80"/>
      <c r="AK6195" s="80"/>
      <c r="AL6195" s="86"/>
      <c r="AM6195" s="86"/>
      <c r="AN6195" s="86"/>
      <c r="AO6195" s="86"/>
      <c r="AP6195" s="86"/>
    </row>
    <row r="6196" spans="1:42" x14ac:dyDescent="0.2">
      <c r="A6196" s="38">
        <v>45714</v>
      </c>
      <c r="B6196" s="28" t="s">
        <v>37</v>
      </c>
      <c r="C6196" s="41" t="s">
        <v>118</v>
      </c>
      <c r="D6196" s="80" t="s">
        <v>36</v>
      </c>
      <c r="E6196" s="80" t="s">
        <v>119</v>
      </c>
      <c r="F6196" s="80" t="s">
        <v>8541</v>
      </c>
      <c r="G6196" s="161" t="s">
        <v>221</v>
      </c>
      <c r="H6196" s="80" t="s">
        <v>20141</v>
      </c>
      <c r="I6196" s="17">
        <f ca="1">IFERROR(__xludf.DUMMYFUNCTION("""COMPUTED_VALUE"""),45757)</f>
        <v>45757</v>
      </c>
      <c r="J6196" s="143" t="s">
        <v>17627</v>
      </c>
      <c r="K6196" s="145" t="s">
        <v>17628</v>
      </c>
      <c r="L6196" s="30">
        <v>968140920</v>
      </c>
      <c r="M6196" s="80" t="s">
        <v>12720</v>
      </c>
      <c r="N6196" s="80" t="s">
        <v>1073</v>
      </c>
      <c r="O6196" s="80" t="s">
        <v>17629</v>
      </c>
      <c r="P6196" s="80" t="s">
        <v>17630</v>
      </c>
      <c r="Q6196" s="20">
        <v>13968</v>
      </c>
      <c r="R6196" s="80" t="s">
        <v>36</v>
      </c>
      <c r="S6196" s="95">
        <v>4000</v>
      </c>
      <c r="T6196" s="148">
        <v>45587</v>
      </c>
      <c r="U6196" s="95">
        <v>9968</v>
      </c>
      <c r="V6196" s="148">
        <v>45616</v>
      </c>
      <c r="W6196" s="85" t="s">
        <v>17631</v>
      </c>
      <c r="X6196" s="80"/>
      <c r="Y6196" s="22">
        <v>0</v>
      </c>
      <c r="Z6196" s="81" t="s">
        <v>50</v>
      </c>
      <c r="AA6196" s="86" t="s">
        <v>14723</v>
      </c>
      <c r="AB6196" s="80"/>
      <c r="AC6196" s="80" t="s">
        <v>53</v>
      </c>
      <c r="AD6196" s="80" t="s">
        <v>138</v>
      </c>
      <c r="AE6196" s="80" t="s">
        <v>8541</v>
      </c>
      <c r="AF6196" s="17">
        <v>45757</v>
      </c>
      <c r="AG6196" s="80" t="s">
        <v>17632</v>
      </c>
      <c r="AH6196" s="80"/>
      <c r="AI6196" s="147"/>
      <c r="AJ6196" s="80"/>
      <c r="AK6196" s="80"/>
      <c r="AL6196" s="86"/>
      <c r="AM6196" s="86"/>
      <c r="AN6196" s="86"/>
      <c r="AO6196" s="86"/>
      <c r="AP6196" s="86"/>
    </row>
    <row r="6197" spans="1:42" x14ac:dyDescent="0.2">
      <c r="A6197" s="38">
        <v>45714</v>
      </c>
      <c r="B6197" s="28" t="s">
        <v>37</v>
      </c>
      <c r="C6197" s="41" t="s">
        <v>118</v>
      </c>
      <c r="D6197" s="80" t="s">
        <v>36</v>
      </c>
      <c r="E6197" s="80" t="s">
        <v>119</v>
      </c>
      <c r="F6197" s="80" t="s">
        <v>8541</v>
      </c>
      <c r="G6197" s="161" t="s">
        <v>221</v>
      </c>
      <c r="H6197" s="80" t="s">
        <v>20148</v>
      </c>
      <c r="I6197" s="17">
        <f ca="1">IFERROR(__xludf.DUMMYFUNCTION("""COMPUTED_VALUE"""),45811)</f>
        <v>45811</v>
      </c>
      <c r="J6197" s="143" t="s">
        <v>18667</v>
      </c>
      <c r="K6197" s="145" t="s">
        <v>20149</v>
      </c>
      <c r="L6197" s="30">
        <v>976087106</v>
      </c>
      <c r="M6197" s="80" t="s">
        <v>5558</v>
      </c>
      <c r="N6197" s="80" t="s">
        <v>5277</v>
      </c>
      <c r="O6197" s="80" t="s">
        <v>18669</v>
      </c>
      <c r="P6197" s="80" t="s">
        <v>18670</v>
      </c>
      <c r="Q6197" s="20">
        <v>13968</v>
      </c>
      <c r="R6197" s="80" t="s">
        <v>36</v>
      </c>
      <c r="S6197" s="95">
        <f>4000+1800-2000</f>
        <v>3800</v>
      </c>
      <c r="T6197" s="148" t="s">
        <v>18671</v>
      </c>
      <c r="U6197" s="95">
        <f>10000+168</f>
        <v>10168</v>
      </c>
      <c r="V6197" s="148">
        <v>45647</v>
      </c>
      <c r="W6197" s="85" t="s">
        <v>18672</v>
      </c>
      <c r="X6197" s="80"/>
      <c r="Y6197" s="22">
        <v>0</v>
      </c>
      <c r="Z6197" s="81" t="s">
        <v>50</v>
      </c>
      <c r="AA6197" s="82" t="s">
        <v>18579</v>
      </c>
      <c r="AB6197" s="86"/>
      <c r="AC6197" s="80" t="s">
        <v>53</v>
      </c>
      <c r="AD6197" s="80" t="s">
        <v>138</v>
      </c>
      <c r="AE6197" s="80" t="s">
        <v>8541</v>
      </c>
      <c r="AF6197" s="17">
        <v>45811</v>
      </c>
      <c r="AG6197" s="80" t="s">
        <v>18673</v>
      </c>
      <c r="AH6197" s="80"/>
      <c r="AI6197" s="147"/>
      <c r="AJ6197" s="80"/>
      <c r="AK6197" s="80"/>
      <c r="AL6197" s="86"/>
      <c r="AM6197" s="86"/>
      <c r="AN6197" s="86"/>
      <c r="AO6197" s="86"/>
      <c r="AP6197" s="86"/>
    </row>
    <row r="6198" spans="1:42" x14ac:dyDescent="0.2">
      <c r="A6198" s="38">
        <v>45714</v>
      </c>
      <c r="B6198" s="28" t="s">
        <v>37</v>
      </c>
      <c r="C6198" s="41" t="s">
        <v>118</v>
      </c>
      <c r="D6198" s="80" t="s">
        <v>36</v>
      </c>
      <c r="E6198" s="80" t="s">
        <v>139</v>
      </c>
      <c r="F6198" s="80" t="s">
        <v>14073</v>
      </c>
      <c r="G6198" s="161" t="s">
        <v>221</v>
      </c>
      <c r="H6198" s="80" t="s">
        <v>19616</v>
      </c>
      <c r="I6198" s="17">
        <f ca="1">IFERROR(__xludf.DUMMYFUNCTION("""COMPUTED_VALUE"""),45727)</f>
        <v>45727</v>
      </c>
      <c r="J6198" s="172" t="s">
        <v>20150</v>
      </c>
      <c r="K6198" s="145" t="s">
        <v>14075</v>
      </c>
      <c r="L6198" s="30">
        <v>379165908</v>
      </c>
      <c r="M6198" s="80" t="s">
        <v>9422</v>
      </c>
      <c r="N6198" s="80" t="s">
        <v>327</v>
      </c>
      <c r="O6198" s="80" t="s">
        <v>8827</v>
      </c>
      <c r="P6198" s="80" t="s">
        <v>3117</v>
      </c>
      <c r="Q6198" s="20">
        <v>15936</v>
      </c>
      <c r="R6198" s="80" t="s">
        <v>11421</v>
      </c>
      <c r="S6198" s="95">
        <f>1000+1000</f>
        <v>2000</v>
      </c>
      <c r="T6198" s="148">
        <v>45553</v>
      </c>
      <c r="U6198" s="95">
        <v>13636</v>
      </c>
      <c r="V6198" s="148">
        <v>45573</v>
      </c>
      <c r="W6198" s="85" t="s">
        <v>14076</v>
      </c>
      <c r="X6198" s="83">
        <v>300</v>
      </c>
      <c r="Y6198" s="22">
        <v>0</v>
      </c>
      <c r="Z6198" s="41" t="s">
        <v>118</v>
      </c>
      <c r="AA6198" s="86"/>
      <c r="AB6198" s="80"/>
      <c r="AC6198" s="80" t="s">
        <v>53</v>
      </c>
      <c r="AD6198" s="80" t="s">
        <v>138</v>
      </c>
      <c r="AE6198" s="80" t="s">
        <v>14073</v>
      </c>
      <c r="AF6198" s="17">
        <v>45727</v>
      </c>
      <c r="AG6198" s="80"/>
      <c r="AH6198" s="80"/>
      <c r="AI6198" s="147"/>
      <c r="AJ6198" s="80"/>
      <c r="AK6198" s="80"/>
      <c r="AL6198" s="86"/>
      <c r="AM6198" s="86"/>
      <c r="AN6198" s="86"/>
      <c r="AO6198" s="86"/>
      <c r="AP6198" s="86"/>
    </row>
    <row r="6199" spans="1:42" x14ac:dyDescent="0.2">
      <c r="A6199" s="38">
        <v>45714</v>
      </c>
      <c r="B6199" s="28" t="s">
        <v>37</v>
      </c>
      <c r="C6199" s="41" t="s">
        <v>118</v>
      </c>
      <c r="D6199" s="80" t="s">
        <v>36</v>
      </c>
      <c r="E6199" s="80" t="s">
        <v>139</v>
      </c>
      <c r="F6199" s="80" t="s">
        <v>14073</v>
      </c>
      <c r="G6199" s="161" t="s">
        <v>221</v>
      </c>
      <c r="H6199" s="80" t="s">
        <v>19622</v>
      </c>
      <c r="I6199" s="17">
        <f ca="1">IFERROR(__xludf.DUMMYFUNCTION("""COMPUTED_VALUE"""),45741)</f>
        <v>45741</v>
      </c>
      <c r="J6199" s="143" t="s">
        <v>12767</v>
      </c>
      <c r="K6199" s="145" t="s">
        <v>20151</v>
      </c>
      <c r="L6199" s="30">
        <v>822996453</v>
      </c>
      <c r="M6199" s="80" t="s">
        <v>12644</v>
      </c>
      <c r="N6199" s="80" t="s">
        <v>8725</v>
      </c>
      <c r="O6199" s="80" t="s">
        <v>12769</v>
      </c>
      <c r="P6199" s="144" t="s">
        <v>20152</v>
      </c>
      <c r="Q6199" s="20">
        <v>15936</v>
      </c>
      <c r="R6199" s="80" t="s">
        <v>36</v>
      </c>
      <c r="S6199" s="95">
        <v>2000</v>
      </c>
      <c r="T6199" s="148">
        <v>45540</v>
      </c>
      <c r="U6199" s="95">
        <v>13936</v>
      </c>
      <c r="V6199" s="148">
        <v>45555</v>
      </c>
      <c r="W6199" s="85" t="s">
        <v>12771</v>
      </c>
      <c r="X6199" s="83">
        <v>0</v>
      </c>
      <c r="Y6199" s="22">
        <v>0</v>
      </c>
      <c r="Z6199" s="81" t="s">
        <v>50</v>
      </c>
      <c r="AA6199" s="82" t="s">
        <v>3291</v>
      </c>
      <c r="AB6199" s="80"/>
      <c r="AC6199" s="80" t="s">
        <v>53</v>
      </c>
      <c r="AD6199" s="80" t="s">
        <v>138</v>
      </c>
      <c r="AE6199" s="80" t="s">
        <v>14073</v>
      </c>
      <c r="AF6199" s="17">
        <v>45736</v>
      </c>
      <c r="AG6199" s="80"/>
      <c r="AH6199" s="80"/>
      <c r="AI6199" s="147" t="s">
        <v>147</v>
      </c>
      <c r="AJ6199" s="80"/>
      <c r="AK6199" s="80"/>
      <c r="AL6199" s="86"/>
      <c r="AM6199" s="86"/>
      <c r="AN6199" s="86"/>
      <c r="AO6199" s="86"/>
      <c r="AP6199" s="86"/>
    </row>
    <row r="6200" spans="1:42" x14ac:dyDescent="0.2">
      <c r="A6200" s="38">
        <v>45714</v>
      </c>
      <c r="B6200" s="28" t="s">
        <v>37</v>
      </c>
      <c r="C6200" s="41" t="s">
        <v>118</v>
      </c>
      <c r="D6200" s="80" t="s">
        <v>36</v>
      </c>
      <c r="E6200" s="80" t="s">
        <v>139</v>
      </c>
      <c r="F6200" s="80" t="s">
        <v>14073</v>
      </c>
      <c r="G6200" s="161" t="s">
        <v>221</v>
      </c>
      <c r="H6200" s="80" t="s">
        <v>20141</v>
      </c>
      <c r="I6200" s="17">
        <f ca="1">IFERROR(__xludf.DUMMYFUNCTION("""COMPUTED_VALUE"""),45757)</f>
        <v>45757</v>
      </c>
      <c r="J6200" s="143" t="s">
        <v>20153</v>
      </c>
      <c r="K6200" s="145" t="s">
        <v>10816</v>
      </c>
      <c r="L6200" s="30">
        <v>968311050</v>
      </c>
      <c r="M6200" s="80" t="s">
        <v>80</v>
      </c>
      <c r="N6200" s="80" t="s">
        <v>1073</v>
      </c>
      <c r="O6200" s="80" t="s">
        <v>1492</v>
      </c>
      <c r="P6200" s="80" t="s">
        <v>2641</v>
      </c>
      <c r="Q6200" s="20">
        <v>15936</v>
      </c>
      <c r="R6200" s="80" t="s">
        <v>36</v>
      </c>
      <c r="S6200" s="95">
        <v>2000</v>
      </c>
      <c r="T6200" s="148">
        <v>45491</v>
      </c>
      <c r="U6200" s="95">
        <v>13936</v>
      </c>
      <c r="V6200" s="148">
        <v>45530</v>
      </c>
      <c r="W6200" s="85" t="s">
        <v>10817</v>
      </c>
      <c r="X6200" s="80">
        <v>0</v>
      </c>
      <c r="Y6200" s="22">
        <v>0</v>
      </c>
      <c r="Z6200" s="81" t="s">
        <v>50</v>
      </c>
      <c r="AA6200" s="86" t="s">
        <v>10314</v>
      </c>
      <c r="AB6200" s="80"/>
      <c r="AC6200" s="80" t="s">
        <v>53</v>
      </c>
      <c r="AD6200" s="80" t="s">
        <v>138</v>
      </c>
      <c r="AE6200" s="80" t="s">
        <v>14073</v>
      </c>
      <c r="AF6200" s="17">
        <v>45757</v>
      </c>
      <c r="AG6200" s="80"/>
      <c r="AH6200" s="80"/>
      <c r="AI6200" s="147"/>
      <c r="AJ6200" s="80"/>
      <c r="AK6200" s="80"/>
      <c r="AL6200" s="86"/>
      <c r="AM6200" s="86"/>
      <c r="AN6200" s="86"/>
      <c r="AO6200" s="86"/>
      <c r="AP6200" s="86"/>
    </row>
    <row r="6201" spans="1:42" x14ac:dyDescent="0.2">
      <c r="A6201" s="38">
        <v>45714</v>
      </c>
      <c r="B6201" s="28" t="s">
        <v>37</v>
      </c>
      <c r="C6201" s="41" t="s">
        <v>118</v>
      </c>
      <c r="D6201" s="80" t="s">
        <v>36</v>
      </c>
      <c r="E6201" s="80" t="s">
        <v>139</v>
      </c>
      <c r="F6201" s="80" t="s">
        <v>14073</v>
      </c>
      <c r="G6201" s="161" t="s">
        <v>221</v>
      </c>
      <c r="H6201" s="80" t="s">
        <v>20141</v>
      </c>
      <c r="I6201" s="17">
        <f ca="1">IFERROR(__xludf.DUMMYFUNCTION("""COMPUTED_VALUE"""),45757)</f>
        <v>45757</v>
      </c>
      <c r="J6201" s="143" t="s">
        <v>10812</v>
      </c>
      <c r="K6201" s="145" t="s">
        <v>10813</v>
      </c>
      <c r="L6201" s="30">
        <v>868914206</v>
      </c>
      <c r="M6201" s="80" t="s">
        <v>80</v>
      </c>
      <c r="N6201" s="80" t="s">
        <v>1073</v>
      </c>
      <c r="O6201" s="80" t="s">
        <v>1492</v>
      </c>
      <c r="P6201" s="80" t="s">
        <v>4126</v>
      </c>
      <c r="Q6201" s="20">
        <v>15936</v>
      </c>
      <c r="R6201" s="80" t="s">
        <v>36</v>
      </c>
      <c r="S6201" s="95">
        <v>2000</v>
      </c>
      <c r="T6201" s="148">
        <v>45491</v>
      </c>
      <c r="U6201" s="95">
        <v>13936</v>
      </c>
      <c r="V6201" s="148">
        <v>45530</v>
      </c>
      <c r="W6201" s="85" t="s">
        <v>10814</v>
      </c>
      <c r="X6201" s="80">
        <v>0</v>
      </c>
      <c r="Y6201" s="22">
        <v>0</v>
      </c>
      <c r="Z6201" s="81" t="s">
        <v>50</v>
      </c>
      <c r="AA6201" s="82" t="s">
        <v>10314</v>
      </c>
      <c r="AB6201" s="80"/>
      <c r="AC6201" s="80" t="s">
        <v>53</v>
      </c>
      <c r="AD6201" s="80" t="s">
        <v>138</v>
      </c>
      <c r="AE6201" s="80" t="s">
        <v>14073</v>
      </c>
      <c r="AF6201" s="17">
        <v>45757</v>
      </c>
      <c r="AG6201" s="80"/>
      <c r="AH6201" s="80"/>
      <c r="AI6201" s="147"/>
      <c r="AJ6201" s="80"/>
      <c r="AK6201" s="80"/>
      <c r="AL6201" s="86"/>
      <c r="AM6201" s="86"/>
      <c r="AN6201" s="86"/>
      <c r="AO6201" s="86"/>
      <c r="AP6201" s="86"/>
    </row>
    <row r="6202" spans="1:42" x14ac:dyDescent="0.2">
      <c r="A6202" s="38">
        <v>45714</v>
      </c>
      <c r="B6202" s="28" t="s">
        <v>37</v>
      </c>
      <c r="C6202" s="41" t="s">
        <v>118</v>
      </c>
      <c r="D6202" s="80" t="s">
        <v>36</v>
      </c>
      <c r="E6202" s="80" t="s">
        <v>119</v>
      </c>
      <c r="F6202" s="80" t="s">
        <v>14073</v>
      </c>
      <c r="G6202" s="161" t="s">
        <v>221</v>
      </c>
      <c r="H6202" s="80" t="s">
        <v>20141</v>
      </c>
      <c r="I6202" s="17">
        <f ca="1">IFERROR(__xludf.DUMMYFUNCTION("""COMPUTED_VALUE"""),45757)</f>
        <v>45757</v>
      </c>
      <c r="J6202" s="143" t="s">
        <v>18630</v>
      </c>
      <c r="K6202" s="80" t="s">
        <v>20154</v>
      </c>
      <c r="L6202" s="30">
        <v>372091394</v>
      </c>
      <c r="M6202" s="80" t="s">
        <v>12644</v>
      </c>
      <c r="N6202" s="80" t="s">
        <v>8725</v>
      </c>
      <c r="O6202" s="80" t="s">
        <v>18632</v>
      </c>
      <c r="P6202" s="80" t="s">
        <v>18633</v>
      </c>
      <c r="Q6202" s="20">
        <v>13968</v>
      </c>
      <c r="R6202" s="80" t="s">
        <v>36</v>
      </c>
      <c r="S6202" s="95">
        <v>4000</v>
      </c>
      <c r="T6202" s="148">
        <v>45554</v>
      </c>
      <c r="U6202" s="95">
        <v>9968</v>
      </c>
      <c r="V6202" s="148">
        <v>45634</v>
      </c>
      <c r="W6202" s="85" t="s">
        <v>18634</v>
      </c>
      <c r="X6202" s="80"/>
      <c r="Y6202" s="22">
        <v>0</v>
      </c>
      <c r="Z6202" s="81" t="s">
        <v>50</v>
      </c>
      <c r="AA6202" s="86" t="s">
        <v>18579</v>
      </c>
      <c r="AB6202" s="86"/>
      <c r="AC6202" s="80" t="s">
        <v>53</v>
      </c>
      <c r="AD6202" s="80" t="s">
        <v>138</v>
      </c>
      <c r="AE6202" s="80" t="s">
        <v>14073</v>
      </c>
      <c r="AF6202" s="17">
        <v>45757</v>
      </c>
      <c r="AG6202" s="80"/>
      <c r="AH6202" s="80"/>
      <c r="AI6202" s="147"/>
      <c r="AJ6202" s="80"/>
      <c r="AK6202" s="80"/>
      <c r="AL6202" s="86"/>
      <c r="AM6202" s="86"/>
      <c r="AN6202" s="86"/>
      <c r="AO6202" s="86"/>
      <c r="AP6202" s="86"/>
    </row>
    <row r="6203" spans="1:42" x14ac:dyDescent="0.2">
      <c r="A6203" s="38">
        <v>45714</v>
      </c>
      <c r="B6203" s="28" t="s">
        <v>37</v>
      </c>
      <c r="C6203" s="41" t="s">
        <v>118</v>
      </c>
      <c r="D6203" s="26" t="s">
        <v>36</v>
      </c>
      <c r="E6203" s="26" t="s">
        <v>915</v>
      </c>
      <c r="F6203" s="26" t="s">
        <v>13886</v>
      </c>
      <c r="G6203" s="26" t="s">
        <v>1847</v>
      </c>
      <c r="H6203" s="26" t="s">
        <v>17041</v>
      </c>
      <c r="I6203" s="17">
        <f ca="1">IFERROR(__xludf.DUMMYFUNCTION("""COMPUTED_VALUE"""),45725)</f>
        <v>45725</v>
      </c>
      <c r="J6203" s="29" t="s">
        <v>9512</v>
      </c>
      <c r="K6203" s="26" t="s">
        <v>14032</v>
      </c>
      <c r="L6203" s="30">
        <v>356943507</v>
      </c>
      <c r="M6203" s="26" t="s">
        <v>5518</v>
      </c>
      <c r="N6203" s="26" t="s">
        <v>5524</v>
      </c>
      <c r="O6203" s="26" t="s">
        <v>9514</v>
      </c>
      <c r="P6203" s="42" t="s">
        <v>14033</v>
      </c>
      <c r="Q6203" s="20"/>
      <c r="R6203" s="26" t="s">
        <v>36</v>
      </c>
      <c r="S6203" s="95">
        <f>200+10694</f>
        <v>10894</v>
      </c>
      <c r="T6203" s="148">
        <v>45488</v>
      </c>
      <c r="U6203" s="31"/>
      <c r="V6203" s="32"/>
      <c r="W6203" s="33" t="s">
        <v>9516</v>
      </c>
      <c r="X6203" s="26"/>
      <c r="Y6203" s="22"/>
      <c r="Z6203" s="26" t="s">
        <v>50</v>
      </c>
      <c r="AA6203" s="70" t="s">
        <v>9070</v>
      </c>
      <c r="AB6203" s="26"/>
      <c r="AC6203" s="26" t="s">
        <v>53</v>
      </c>
      <c r="AD6203" s="26" t="s">
        <v>54</v>
      </c>
      <c r="AE6203" s="26" t="s">
        <v>13886</v>
      </c>
      <c r="AF6203" s="17">
        <v>45722</v>
      </c>
      <c r="AG6203" s="26"/>
      <c r="AH6203" s="26"/>
      <c r="AI6203" s="40"/>
      <c r="AJ6203" s="26"/>
      <c r="AK6203" s="26"/>
      <c r="AL6203" s="35"/>
      <c r="AM6203" s="35"/>
      <c r="AN6203" s="35"/>
      <c r="AO6203" s="35"/>
      <c r="AP6203" s="35"/>
    </row>
    <row r="6204" spans="1:42" x14ac:dyDescent="0.2">
      <c r="A6204" s="38">
        <v>45714</v>
      </c>
      <c r="B6204" s="28" t="s">
        <v>37</v>
      </c>
      <c r="C6204" s="41" t="s">
        <v>118</v>
      </c>
      <c r="D6204" s="26" t="s">
        <v>36</v>
      </c>
      <c r="E6204" s="26" t="s">
        <v>139</v>
      </c>
      <c r="F6204" s="26" t="s">
        <v>9768</v>
      </c>
      <c r="G6204" s="161" t="s">
        <v>221</v>
      </c>
      <c r="H6204" s="80" t="s">
        <v>19616</v>
      </c>
      <c r="I6204" s="17">
        <f ca="1">IFERROR(__xludf.DUMMYFUNCTION("""COMPUTED_VALUE"""),45727)</f>
        <v>45727</v>
      </c>
      <c r="J6204" s="29" t="s">
        <v>9249</v>
      </c>
      <c r="K6204" s="26" t="s">
        <v>9983</v>
      </c>
      <c r="L6204" s="30">
        <v>867713852</v>
      </c>
      <c r="M6204" s="26" t="s">
        <v>5429</v>
      </c>
      <c r="N6204" s="26" t="s">
        <v>9251</v>
      </c>
      <c r="O6204" s="26" t="s">
        <v>4626</v>
      </c>
      <c r="P6204" s="26" t="s">
        <v>9252</v>
      </c>
      <c r="Q6204" s="20"/>
      <c r="R6204" s="26" t="s">
        <v>36</v>
      </c>
      <c r="S6204" s="95">
        <v>2000</v>
      </c>
      <c r="T6204" s="148">
        <v>45475</v>
      </c>
      <c r="U6204" s="95">
        <v>13936</v>
      </c>
      <c r="V6204" s="148">
        <v>45504</v>
      </c>
      <c r="W6204" s="33" t="s">
        <v>9253</v>
      </c>
      <c r="X6204" s="26"/>
      <c r="Y6204" s="22"/>
      <c r="Z6204" s="98" t="s">
        <v>118</v>
      </c>
      <c r="AA6204" s="70" t="s">
        <v>9070</v>
      </c>
      <c r="AB6204" s="26"/>
      <c r="AC6204" s="26" t="s">
        <v>53</v>
      </c>
      <c r="AD6204" s="26" t="s">
        <v>54</v>
      </c>
      <c r="AE6204" s="26" t="s">
        <v>9768</v>
      </c>
      <c r="AF6204" s="17">
        <v>45727</v>
      </c>
      <c r="AG6204" s="80"/>
      <c r="AH6204" s="26"/>
      <c r="AI6204" s="40"/>
      <c r="AJ6204" s="26"/>
      <c r="AK6204" s="26"/>
      <c r="AL6204" s="35"/>
      <c r="AM6204" s="35"/>
      <c r="AN6204" s="35"/>
      <c r="AO6204" s="35"/>
      <c r="AP6204" s="35"/>
    </row>
    <row r="6205" spans="1:42" x14ac:dyDescent="0.2">
      <c r="A6205" s="38">
        <v>45714</v>
      </c>
      <c r="B6205" s="28" t="s">
        <v>37</v>
      </c>
      <c r="C6205" s="41" t="s">
        <v>118</v>
      </c>
      <c r="D6205" s="80" t="s">
        <v>36</v>
      </c>
      <c r="E6205" s="80" t="s">
        <v>119</v>
      </c>
      <c r="F6205" s="26" t="s">
        <v>9768</v>
      </c>
      <c r="G6205" s="161" t="s">
        <v>221</v>
      </c>
      <c r="H6205" s="80" t="s">
        <v>19616</v>
      </c>
      <c r="I6205" s="17">
        <f ca="1">IFERROR(__xludf.DUMMYFUNCTION("""COMPUTED_VALUE"""),45727)</f>
        <v>45727</v>
      </c>
      <c r="J6205" s="143" t="s">
        <v>13228</v>
      </c>
      <c r="K6205" s="80" t="s">
        <v>20155</v>
      </c>
      <c r="L6205" s="30">
        <v>333677395</v>
      </c>
      <c r="M6205" s="80" t="s">
        <v>59</v>
      </c>
      <c r="N6205" s="80" t="s">
        <v>9660</v>
      </c>
      <c r="O6205" s="80" t="s">
        <v>13230</v>
      </c>
      <c r="P6205" s="80" t="s">
        <v>13231</v>
      </c>
      <c r="Q6205" s="20">
        <v>13968</v>
      </c>
      <c r="R6205" s="80" t="s">
        <v>36</v>
      </c>
      <c r="S6205" s="95">
        <f>300+13668</f>
        <v>13968</v>
      </c>
      <c r="T6205" s="83" t="s">
        <v>13232</v>
      </c>
      <c r="U6205" s="77"/>
      <c r="V6205" s="78"/>
      <c r="W6205" s="85" t="s">
        <v>13233</v>
      </c>
      <c r="X6205" s="80">
        <v>0</v>
      </c>
      <c r="Y6205" s="22">
        <v>0</v>
      </c>
      <c r="Z6205" s="80" t="s">
        <v>50</v>
      </c>
      <c r="AA6205" s="96" t="s">
        <v>3291</v>
      </c>
      <c r="AB6205" s="80"/>
      <c r="AC6205" s="80" t="s">
        <v>53</v>
      </c>
      <c r="AD6205" s="80" t="s">
        <v>138</v>
      </c>
      <c r="AE6205" s="26" t="s">
        <v>9768</v>
      </c>
      <c r="AF6205" s="17">
        <v>45727</v>
      </c>
      <c r="AG6205" s="80"/>
      <c r="AH6205" s="80"/>
      <c r="AI6205" s="147">
        <v>4</v>
      </c>
      <c r="AJ6205" s="80"/>
      <c r="AK6205" s="80"/>
      <c r="AL6205" s="35"/>
      <c r="AM6205" s="35"/>
      <c r="AN6205" s="35"/>
      <c r="AO6205" s="35"/>
      <c r="AP6205" s="35"/>
    </row>
    <row r="6206" spans="1:42" x14ac:dyDescent="0.2">
      <c r="A6206" s="38">
        <v>45714</v>
      </c>
      <c r="B6206" s="28" t="s">
        <v>37</v>
      </c>
      <c r="C6206" s="41" t="s">
        <v>118</v>
      </c>
      <c r="D6206" s="26" t="s">
        <v>36</v>
      </c>
      <c r="E6206" s="26" t="s">
        <v>139</v>
      </c>
      <c r="F6206" s="26" t="s">
        <v>9768</v>
      </c>
      <c r="G6206" s="161" t="s">
        <v>221</v>
      </c>
      <c r="H6206" s="80" t="s">
        <v>19616</v>
      </c>
      <c r="I6206" s="17">
        <f ca="1">IFERROR(__xludf.DUMMYFUNCTION("""COMPUTED_VALUE"""),45727)</f>
        <v>45727</v>
      </c>
      <c r="J6206" s="29" t="s">
        <v>9979</v>
      </c>
      <c r="K6206" s="26" t="s">
        <v>9980</v>
      </c>
      <c r="L6206" s="47">
        <v>964570963</v>
      </c>
      <c r="M6206" s="26" t="s">
        <v>5429</v>
      </c>
      <c r="N6206" s="26" t="s">
        <v>9251</v>
      </c>
      <c r="O6206" s="26" t="s">
        <v>6822</v>
      </c>
      <c r="P6206" s="26" t="s">
        <v>9981</v>
      </c>
      <c r="Q6206" s="20">
        <v>15936</v>
      </c>
      <c r="R6206" s="26" t="s">
        <v>36</v>
      </c>
      <c r="S6206" s="95">
        <v>2000</v>
      </c>
      <c r="T6206" s="148">
        <v>45475</v>
      </c>
      <c r="U6206" s="95">
        <v>13936</v>
      </c>
      <c r="V6206" s="148">
        <v>45505</v>
      </c>
      <c r="W6206" s="33" t="s">
        <v>9982</v>
      </c>
      <c r="X6206" s="26">
        <v>0</v>
      </c>
      <c r="Y6206" s="22">
        <v>0</v>
      </c>
      <c r="Z6206" s="98" t="s">
        <v>118</v>
      </c>
      <c r="AA6206" s="35"/>
      <c r="AB6206" s="26"/>
      <c r="AC6206" s="26" t="s">
        <v>53</v>
      </c>
      <c r="AD6206" s="26" t="s">
        <v>54</v>
      </c>
      <c r="AE6206" s="26" t="s">
        <v>9768</v>
      </c>
      <c r="AF6206" s="17">
        <v>45727</v>
      </c>
      <c r="AG6206" s="80"/>
      <c r="AH6206" s="26"/>
      <c r="AI6206" s="40"/>
      <c r="AJ6206" s="26"/>
      <c r="AK6206" s="26"/>
      <c r="AL6206" s="35"/>
      <c r="AM6206" s="35"/>
      <c r="AN6206" s="35"/>
      <c r="AO6206" s="35"/>
      <c r="AP6206" s="35"/>
    </row>
    <row r="6207" spans="1:42" x14ac:dyDescent="0.2">
      <c r="A6207" s="38">
        <v>45714</v>
      </c>
      <c r="B6207" s="28" t="s">
        <v>37</v>
      </c>
      <c r="C6207" s="41" t="s">
        <v>118</v>
      </c>
      <c r="D6207" s="80" t="s">
        <v>36</v>
      </c>
      <c r="E6207" s="80" t="s">
        <v>119</v>
      </c>
      <c r="F6207" s="80" t="s">
        <v>17266</v>
      </c>
      <c r="G6207" s="161" t="s">
        <v>221</v>
      </c>
      <c r="H6207" s="80" t="s">
        <v>19616</v>
      </c>
      <c r="I6207" s="17">
        <f ca="1">IFERROR(__xludf.DUMMYFUNCTION("""COMPUTED_VALUE"""),45727)</f>
        <v>45727</v>
      </c>
      <c r="J6207" s="143" t="s">
        <v>17267</v>
      </c>
      <c r="K6207" s="145" t="s">
        <v>20156</v>
      </c>
      <c r="L6207" s="30">
        <v>962872855</v>
      </c>
      <c r="M6207" s="80" t="s">
        <v>12644</v>
      </c>
      <c r="N6207" s="80" t="s">
        <v>260</v>
      </c>
      <c r="O6207" s="80" t="s">
        <v>17269</v>
      </c>
      <c r="P6207" s="80" t="s">
        <v>13226</v>
      </c>
      <c r="Q6207" s="20">
        <v>13968</v>
      </c>
      <c r="R6207" s="80" t="s">
        <v>36</v>
      </c>
      <c r="S6207" s="95">
        <f>200+3600</f>
        <v>3800</v>
      </c>
      <c r="T6207" s="83" t="s">
        <v>17270</v>
      </c>
      <c r="U6207" s="95">
        <v>9968</v>
      </c>
      <c r="V6207" s="148">
        <v>45608</v>
      </c>
      <c r="W6207" s="85" t="s">
        <v>17271</v>
      </c>
      <c r="X6207" s="80"/>
      <c r="Y6207" s="22">
        <v>200</v>
      </c>
      <c r="Z6207" s="80" t="s">
        <v>50</v>
      </c>
      <c r="AA6207" s="86" t="s">
        <v>14723</v>
      </c>
      <c r="AB6207" s="80"/>
      <c r="AC6207" s="80" t="s">
        <v>53</v>
      </c>
      <c r="AD6207" s="80" t="s">
        <v>138</v>
      </c>
      <c r="AE6207" s="80" t="s">
        <v>17266</v>
      </c>
      <c r="AF6207" s="17">
        <v>45727</v>
      </c>
      <c r="AG6207" s="80"/>
      <c r="AH6207" s="80"/>
      <c r="AI6207" s="147"/>
      <c r="AJ6207" s="80"/>
      <c r="AK6207" s="80"/>
      <c r="AL6207" s="35"/>
      <c r="AM6207" s="35"/>
      <c r="AN6207" s="35"/>
      <c r="AO6207" s="35"/>
      <c r="AP6207" s="35"/>
    </row>
    <row r="6208" spans="1:42" x14ac:dyDescent="0.2">
      <c r="A6208" s="38">
        <v>45714</v>
      </c>
      <c r="B6208" s="28" t="s">
        <v>37</v>
      </c>
      <c r="C6208" s="41" t="s">
        <v>118</v>
      </c>
      <c r="D6208" s="80" t="s">
        <v>36</v>
      </c>
      <c r="E6208" s="80" t="s">
        <v>139</v>
      </c>
      <c r="F6208" s="80" t="s">
        <v>12857</v>
      </c>
      <c r="G6208" s="161" t="s">
        <v>221</v>
      </c>
      <c r="H6208" s="80" t="s">
        <v>19616</v>
      </c>
      <c r="I6208" s="17">
        <f ca="1">IFERROR(__xludf.DUMMYFUNCTION("""COMPUTED_VALUE"""),45727)</f>
        <v>45727</v>
      </c>
      <c r="J6208" s="143" t="s">
        <v>16605</v>
      </c>
      <c r="K6208" s="80" t="s">
        <v>20157</v>
      </c>
      <c r="L6208" s="30">
        <v>395908257</v>
      </c>
      <c r="M6208" s="80" t="s">
        <v>910</v>
      </c>
      <c r="N6208" s="80" t="s">
        <v>3525</v>
      </c>
      <c r="O6208" s="80" t="s">
        <v>91</v>
      </c>
      <c r="P6208" s="80" t="s">
        <v>12578</v>
      </c>
      <c r="Q6208" s="20">
        <v>15936</v>
      </c>
      <c r="R6208" s="80" t="s">
        <v>70</v>
      </c>
      <c r="S6208" s="95">
        <v>1968</v>
      </c>
      <c r="T6208" s="148">
        <v>45543</v>
      </c>
      <c r="U6208" s="95">
        <f>8000+5869</f>
        <v>13869</v>
      </c>
      <c r="V6208" s="83" t="s">
        <v>16607</v>
      </c>
      <c r="W6208" s="85" t="s">
        <v>16608</v>
      </c>
      <c r="X6208" s="80"/>
      <c r="Y6208" s="22">
        <v>0</v>
      </c>
      <c r="Z6208" s="80"/>
      <c r="AA6208" s="86"/>
      <c r="AB6208" s="80"/>
      <c r="AC6208" s="80" t="s">
        <v>53</v>
      </c>
      <c r="AD6208" s="80" t="s">
        <v>138</v>
      </c>
      <c r="AE6208" s="80" t="s">
        <v>12857</v>
      </c>
      <c r="AF6208" s="17">
        <v>45727</v>
      </c>
      <c r="AG6208" s="80"/>
      <c r="AH6208" s="80"/>
      <c r="AI6208" s="147"/>
      <c r="AJ6208" s="80"/>
      <c r="AK6208" s="80"/>
      <c r="AL6208" s="35"/>
      <c r="AM6208" s="35"/>
      <c r="AN6208" s="35"/>
      <c r="AO6208" s="35"/>
      <c r="AP6208" s="35"/>
    </row>
    <row r="6209" spans="1:42" x14ac:dyDescent="0.2">
      <c r="A6209" s="38">
        <v>45714</v>
      </c>
      <c r="B6209" s="137" t="s">
        <v>37</v>
      </c>
      <c r="C6209" s="41" t="s">
        <v>118</v>
      </c>
      <c r="D6209" s="80" t="s">
        <v>36</v>
      </c>
      <c r="E6209" s="80" t="s">
        <v>119</v>
      </c>
      <c r="F6209" s="80" t="s">
        <v>19616</v>
      </c>
      <c r="G6209" s="161" t="s">
        <v>221</v>
      </c>
      <c r="H6209" s="80" t="s">
        <v>20158</v>
      </c>
      <c r="I6209" s="17">
        <f ca="1">IFERROR(__xludf.DUMMYFUNCTION("""COMPUTED_VALUE"""),45916)</f>
        <v>45916</v>
      </c>
      <c r="J6209" s="143" t="s">
        <v>12977</v>
      </c>
      <c r="K6209" s="80" t="s">
        <v>20159</v>
      </c>
      <c r="L6209" s="30">
        <v>363095869</v>
      </c>
      <c r="M6209" s="80" t="s">
        <v>59</v>
      </c>
      <c r="N6209" s="80" t="s">
        <v>4299</v>
      </c>
      <c r="O6209" s="80" t="s">
        <v>12979</v>
      </c>
      <c r="P6209" s="80" t="s">
        <v>12687</v>
      </c>
      <c r="Q6209" s="20">
        <v>13968</v>
      </c>
      <c r="R6209" s="80" t="s">
        <v>36</v>
      </c>
      <c r="S6209" s="95">
        <f>200+13768</f>
        <v>13968</v>
      </c>
      <c r="T6209" s="83" t="s">
        <v>12980</v>
      </c>
      <c r="U6209" s="77"/>
      <c r="V6209" s="78"/>
      <c r="W6209" s="85" t="s">
        <v>12981</v>
      </c>
      <c r="X6209" s="80">
        <v>0</v>
      </c>
      <c r="Y6209" s="22">
        <v>0</v>
      </c>
      <c r="Z6209" s="80" t="s">
        <v>50</v>
      </c>
      <c r="AA6209" s="96" t="s">
        <v>3291</v>
      </c>
      <c r="AB6209" s="80"/>
      <c r="AC6209" s="80" t="s">
        <v>53</v>
      </c>
      <c r="AD6209" s="80" t="s">
        <v>138</v>
      </c>
      <c r="AE6209" s="80" t="s">
        <v>9768</v>
      </c>
      <c r="AF6209" s="17">
        <v>45727</v>
      </c>
      <c r="AG6209" s="80" t="s">
        <v>8366</v>
      </c>
      <c r="AH6209" s="80"/>
      <c r="AI6209" s="147">
        <v>4</v>
      </c>
      <c r="AJ6209" s="80"/>
      <c r="AK6209" s="80"/>
      <c r="AL6209" s="35"/>
      <c r="AM6209" s="35"/>
      <c r="AN6209" s="35"/>
      <c r="AO6209" s="35"/>
      <c r="AP6209" s="35"/>
    </row>
    <row r="6210" spans="1:42" x14ac:dyDescent="0.2">
      <c r="A6210" s="38">
        <v>45714</v>
      </c>
      <c r="B6210" s="28" t="s">
        <v>37</v>
      </c>
      <c r="C6210" s="41" t="s">
        <v>118</v>
      </c>
      <c r="D6210" s="80" t="s">
        <v>36</v>
      </c>
      <c r="E6210" s="80" t="s">
        <v>56</v>
      </c>
      <c r="F6210" s="80" t="s">
        <v>9768</v>
      </c>
      <c r="G6210" s="161" t="s">
        <v>221</v>
      </c>
      <c r="H6210" s="80" t="s">
        <v>18208</v>
      </c>
      <c r="I6210" s="17">
        <f ca="1">IFERROR(__xludf.DUMMYFUNCTION("""COMPUTED_VALUE"""),45715)</f>
        <v>45715</v>
      </c>
      <c r="J6210" s="143" t="s">
        <v>12275</v>
      </c>
      <c r="K6210" s="80" t="s">
        <v>20160</v>
      </c>
      <c r="L6210" s="30">
        <v>357950973</v>
      </c>
      <c r="M6210" s="80" t="s">
        <v>910</v>
      </c>
      <c r="N6210" s="80" t="s">
        <v>3525</v>
      </c>
      <c r="O6210" s="80" t="s">
        <v>91</v>
      </c>
      <c r="P6210" s="80" t="s">
        <v>12277</v>
      </c>
      <c r="Q6210" s="20">
        <v>9317</v>
      </c>
      <c r="R6210" s="80" t="s">
        <v>36</v>
      </c>
      <c r="S6210" s="95">
        <v>2000</v>
      </c>
      <c r="T6210" s="148">
        <v>45519</v>
      </c>
      <c r="U6210" s="95">
        <v>7317</v>
      </c>
      <c r="V6210" s="148">
        <v>45545</v>
      </c>
      <c r="W6210" s="85" t="s">
        <v>12278</v>
      </c>
      <c r="X6210" s="80"/>
      <c r="Y6210" s="22">
        <v>0</v>
      </c>
      <c r="Z6210" s="80" t="s">
        <v>50</v>
      </c>
      <c r="AA6210" s="86"/>
      <c r="AB6210" s="80"/>
      <c r="AC6210" s="80" t="s">
        <v>53</v>
      </c>
      <c r="AD6210" s="80" t="s">
        <v>54</v>
      </c>
      <c r="AE6210" s="80" t="s">
        <v>9768</v>
      </c>
      <c r="AF6210" s="17">
        <v>45715</v>
      </c>
      <c r="AG6210" s="80"/>
      <c r="AH6210" s="80"/>
      <c r="AI6210" s="147" t="s">
        <v>64</v>
      </c>
      <c r="AJ6210" s="80"/>
      <c r="AK6210" s="80"/>
      <c r="AL6210" s="35"/>
      <c r="AM6210" s="35"/>
      <c r="AN6210" s="35"/>
      <c r="AO6210" s="35"/>
      <c r="AP6210" s="35"/>
    </row>
    <row r="6211" spans="1:42" x14ac:dyDescent="0.2">
      <c r="A6211" s="38">
        <v>45714</v>
      </c>
      <c r="B6211" s="28" t="s">
        <v>37</v>
      </c>
      <c r="C6211" s="41" t="s">
        <v>118</v>
      </c>
      <c r="D6211" s="80" t="s">
        <v>36</v>
      </c>
      <c r="E6211" s="80" t="s">
        <v>119</v>
      </c>
      <c r="F6211" s="80" t="s">
        <v>9768</v>
      </c>
      <c r="G6211" s="161" t="s">
        <v>221</v>
      </c>
      <c r="H6211" s="80" t="s">
        <v>19573</v>
      </c>
      <c r="I6211" s="17">
        <f ca="1">IFERROR(__xludf.DUMMYFUNCTION("""COMPUTED_VALUE"""),45736)</f>
        <v>45736</v>
      </c>
      <c r="J6211" s="143" t="s">
        <v>14965</v>
      </c>
      <c r="K6211" s="80" t="s">
        <v>20161</v>
      </c>
      <c r="L6211" s="30">
        <v>833955366</v>
      </c>
      <c r="M6211" s="80" t="s">
        <v>80</v>
      </c>
      <c r="N6211" s="80" t="s">
        <v>466</v>
      </c>
      <c r="O6211" s="80" t="s">
        <v>14967</v>
      </c>
      <c r="P6211" s="144" t="s">
        <v>20162</v>
      </c>
      <c r="Q6211" s="20">
        <v>13968</v>
      </c>
      <c r="R6211" s="80" t="s">
        <v>36</v>
      </c>
      <c r="S6211" s="95">
        <v>4000</v>
      </c>
      <c r="T6211" s="148">
        <v>45531</v>
      </c>
      <c r="U6211" s="95">
        <v>9968</v>
      </c>
      <c r="V6211" s="148">
        <v>45593</v>
      </c>
      <c r="W6211" s="85" t="s">
        <v>14969</v>
      </c>
      <c r="X6211" s="80"/>
      <c r="Y6211" s="22">
        <v>0</v>
      </c>
      <c r="Z6211" s="80" t="s">
        <v>50</v>
      </c>
      <c r="AA6211" s="96" t="s">
        <v>9905</v>
      </c>
      <c r="AB6211" s="80"/>
      <c r="AC6211" s="80" t="s">
        <v>53</v>
      </c>
      <c r="AD6211" s="80" t="s">
        <v>138</v>
      </c>
      <c r="AE6211" s="80" t="s">
        <v>9768</v>
      </c>
      <c r="AF6211" s="17">
        <v>45737</v>
      </c>
      <c r="AG6211" s="80"/>
      <c r="AH6211" s="80"/>
      <c r="AI6211" s="147"/>
      <c r="AJ6211" s="80"/>
      <c r="AK6211" s="80"/>
      <c r="AL6211" s="35"/>
      <c r="AM6211" s="35"/>
      <c r="AN6211" s="35"/>
      <c r="AO6211" s="35"/>
      <c r="AP6211" s="35"/>
    </row>
    <row r="6212" spans="1:42" x14ac:dyDescent="0.2">
      <c r="A6212" s="38">
        <v>45714</v>
      </c>
      <c r="B6212" s="28" t="s">
        <v>37</v>
      </c>
      <c r="C6212" s="41" t="s">
        <v>118</v>
      </c>
      <c r="D6212" s="26" t="s">
        <v>36</v>
      </c>
      <c r="E6212" s="26" t="s">
        <v>139</v>
      </c>
      <c r="F6212" s="80" t="s">
        <v>9768</v>
      </c>
      <c r="G6212" s="161" t="s">
        <v>221</v>
      </c>
      <c r="H6212" s="80" t="s">
        <v>19616</v>
      </c>
      <c r="I6212" s="17">
        <f ca="1">IFERROR(__xludf.DUMMYFUNCTION("""COMPUTED_VALUE"""),45727)</f>
        <v>45727</v>
      </c>
      <c r="J6212" s="29" t="s">
        <v>10090</v>
      </c>
      <c r="K6212" s="26" t="s">
        <v>20163</v>
      </c>
      <c r="L6212" s="30">
        <v>362163006</v>
      </c>
      <c r="M6212" s="26" t="s">
        <v>123</v>
      </c>
      <c r="N6212" s="26" t="s">
        <v>327</v>
      </c>
      <c r="O6212" s="26" t="s">
        <v>4503</v>
      </c>
      <c r="P6212" s="26" t="s">
        <v>10092</v>
      </c>
      <c r="Q6212" s="20">
        <v>15936</v>
      </c>
      <c r="R6212" s="26" t="s">
        <v>36</v>
      </c>
      <c r="S6212" s="95">
        <v>2000</v>
      </c>
      <c r="T6212" s="148">
        <v>45475</v>
      </c>
      <c r="U6212" s="95">
        <f>7000+7000</f>
        <v>14000</v>
      </c>
      <c r="V6212" s="148">
        <v>45529</v>
      </c>
      <c r="W6212" s="33" t="s">
        <v>10093</v>
      </c>
      <c r="X6212" s="26">
        <v>0</v>
      </c>
      <c r="Y6212" s="22">
        <v>-64</v>
      </c>
      <c r="Z6212" s="26" t="s">
        <v>50</v>
      </c>
      <c r="AA6212" s="35"/>
      <c r="AB6212" s="26" t="s">
        <v>4503</v>
      </c>
      <c r="AC6212" s="26" t="s">
        <v>53</v>
      </c>
      <c r="AD6212" s="26" t="s">
        <v>54</v>
      </c>
      <c r="AE6212" s="80" t="s">
        <v>9768</v>
      </c>
      <c r="AF6212" s="17">
        <v>45727</v>
      </c>
      <c r="AG6212" s="80"/>
      <c r="AH6212" s="26"/>
      <c r="AI6212" s="40"/>
      <c r="AJ6212" s="26"/>
      <c r="AK6212" s="26"/>
      <c r="AL6212" s="35"/>
      <c r="AM6212" s="35"/>
      <c r="AN6212" s="35"/>
      <c r="AO6212" s="35"/>
      <c r="AP6212" s="35"/>
    </row>
    <row r="6213" spans="1:42" x14ac:dyDescent="0.2">
      <c r="A6213" s="38">
        <v>45714</v>
      </c>
      <c r="B6213" s="137" t="s">
        <v>37</v>
      </c>
      <c r="C6213" s="41" t="s">
        <v>118</v>
      </c>
      <c r="D6213" s="80" t="s">
        <v>36</v>
      </c>
      <c r="E6213" s="80" t="s">
        <v>139</v>
      </c>
      <c r="F6213" s="80" t="s">
        <v>14066</v>
      </c>
      <c r="G6213" s="161" t="s">
        <v>221</v>
      </c>
      <c r="H6213" s="80" t="s">
        <v>20164</v>
      </c>
      <c r="I6213" s="17">
        <f ca="1">IFERROR(__xludf.DUMMYFUNCTION("""COMPUTED_VALUE"""),45861)</f>
        <v>45861</v>
      </c>
      <c r="J6213" s="143" t="s">
        <v>14079</v>
      </c>
      <c r="K6213" s="145" t="s">
        <v>20165</v>
      </c>
      <c r="L6213" s="30">
        <v>942997108</v>
      </c>
      <c r="M6213" s="80" t="s">
        <v>910</v>
      </c>
      <c r="N6213" s="80" t="s">
        <v>3525</v>
      </c>
      <c r="O6213" s="80" t="s">
        <v>91</v>
      </c>
      <c r="P6213" s="80" t="s">
        <v>14080</v>
      </c>
      <c r="Q6213" s="20">
        <v>15936</v>
      </c>
      <c r="R6213" s="80" t="s">
        <v>36</v>
      </c>
      <c r="S6213" s="95">
        <v>3000</v>
      </c>
      <c r="T6213" s="148">
        <v>45527</v>
      </c>
      <c r="U6213" s="95">
        <v>12936</v>
      </c>
      <c r="V6213" s="148">
        <v>45568</v>
      </c>
      <c r="W6213" s="85" t="s">
        <v>14081</v>
      </c>
      <c r="X6213" s="83">
        <v>0</v>
      </c>
      <c r="Y6213" s="22">
        <v>0</v>
      </c>
      <c r="Z6213" s="81" t="s">
        <v>50</v>
      </c>
      <c r="AA6213" s="82"/>
      <c r="AB6213" s="80"/>
      <c r="AC6213" s="80" t="s">
        <v>53</v>
      </c>
      <c r="AD6213" s="80" t="s">
        <v>138</v>
      </c>
      <c r="AE6213" s="80" t="s">
        <v>14066</v>
      </c>
      <c r="AF6213" s="17">
        <v>45909</v>
      </c>
      <c r="AG6213" s="80" t="s">
        <v>20166</v>
      </c>
      <c r="AH6213" s="80"/>
      <c r="AI6213" s="147"/>
      <c r="AJ6213" s="80"/>
      <c r="AK6213" s="80"/>
      <c r="AL6213" s="86"/>
      <c r="AM6213" s="86"/>
      <c r="AN6213" s="86"/>
      <c r="AO6213" s="86"/>
      <c r="AP6213" s="86"/>
    </row>
    <row r="6214" spans="1:42" x14ac:dyDescent="0.2">
      <c r="A6214" s="38">
        <v>45715</v>
      </c>
      <c r="B6214" s="28"/>
      <c r="C6214" s="41" t="s">
        <v>118</v>
      </c>
      <c r="D6214" s="80" t="s">
        <v>36</v>
      </c>
      <c r="E6214" s="80" t="s">
        <v>148</v>
      </c>
      <c r="F6214" s="80" t="s">
        <v>14737</v>
      </c>
      <c r="G6214" s="161" t="s">
        <v>221</v>
      </c>
      <c r="H6214" s="80" t="s">
        <v>865</v>
      </c>
      <c r="I6214" s="17" t="str">
        <f ca="1">IFERROR(__xludf.DUMMYFUNCTION("""COMPUTED_VALUE""")," ")</f>
        <v xml:space="preserve"> </v>
      </c>
      <c r="J6214" s="143" t="s">
        <v>11847</v>
      </c>
      <c r="K6214" s="145" t="s">
        <v>20167</v>
      </c>
      <c r="L6214" s="57">
        <v>348014266</v>
      </c>
      <c r="M6214" s="80" t="s">
        <v>80</v>
      </c>
      <c r="N6214" s="80" t="s">
        <v>466</v>
      </c>
      <c r="O6214" s="86" t="s">
        <v>11849</v>
      </c>
      <c r="P6214" s="86" t="s">
        <v>20168</v>
      </c>
      <c r="Q6214" s="20">
        <v>7349</v>
      </c>
      <c r="R6214" s="80" t="s">
        <v>36</v>
      </c>
      <c r="S6214" s="95">
        <f>7317+32</f>
        <v>7349</v>
      </c>
      <c r="T6214" s="200">
        <v>45622</v>
      </c>
      <c r="U6214" s="77"/>
      <c r="V6214" s="210" t="s">
        <v>17969</v>
      </c>
      <c r="W6214" s="85" t="s">
        <v>17970</v>
      </c>
      <c r="X6214" s="80"/>
      <c r="Y6214" s="22">
        <v>0</v>
      </c>
      <c r="Z6214" s="81" t="s">
        <v>50</v>
      </c>
      <c r="AA6214" s="86" t="s">
        <v>14723</v>
      </c>
      <c r="AB6214" s="80"/>
      <c r="AC6214" s="80" t="s">
        <v>53</v>
      </c>
      <c r="AD6214" s="80" t="s">
        <v>138</v>
      </c>
      <c r="AE6214" s="80" t="s">
        <v>14737</v>
      </c>
      <c r="AF6214" s="17">
        <v>45722</v>
      </c>
      <c r="AG6214" s="80"/>
      <c r="AH6214" s="80"/>
      <c r="AI6214" s="147"/>
      <c r="AJ6214" s="80"/>
      <c r="AK6214" s="80"/>
      <c r="AL6214" s="86"/>
      <c r="AM6214" s="86"/>
      <c r="AN6214" s="86"/>
      <c r="AO6214" s="86"/>
      <c r="AP6214" s="86"/>
    </row>
    <row r="6215" spans="1:42" x14ac:dyDescent="0.2">
      <c r="A6215" s="38">
        <v>45715</v>
      </c>
      <c r="B6215" s="28" t="s">
        <v>37</v>
      </c>
      <c r="C6215" s="41" t="s">
        <v>118</v>
      </c>
      <c r="D6215" s="80" t="s">
        <v>36</v>
      </c>
      <c r="E6215" s="80" t="s">
        <v>39</v>
      </c>
      <c r="F6215" s="80" t="s">
        <v>14737</v>
      </c>
      <c r="G6215" s="80" t="s">
        <v>108</v>
      </c>
      <c r="H6215" s="80" t="s">
        <v>14547</v>
      </c>
      <c r="I6215" s="17">
        <f ca="1">IFERROR(__xludf.DUMMYFUNCTION("""COMPUTED_VALUE"""),45726)</f>
        <v>45726</v>
      </c>
      <c r="J6215" s="143" t="s">
        <v>13359</v>
      </c>
      <c r="K6215" s="80" t="s">
        <v>20169</v>
      </c>
      <c r="L6215" s="30">
        <v>947548991</v>
      </c>
      <c r="M6215" s="80" t="s">
        <v>9422</v>
      </c>
      <c r="N6215" s="80" t="s">
        <v>327</v>
      </c>
      <c r="O6215" s="80" t="s">
        <v>11607</v>
      </c>
      <c r="P6215" s="144" t="s">
        <v>14744</v>
      </c>
      <c r="Q6215" s="20">
        <v>5736</v>
      </c>
      <c r="R6215" s="80" t="s">
        <v>11421</v>
      </c>
      <c r="S6215" s="95">
        <v>5436</v>
      </c>
      <c r="T6215" s="148">
        <v>45554</v>
      </c>
      <c r="U6215" s="77"/>
      <c r="V6215" s="78"/>
      <c r="W6215" s="85" t="s">
        <v>13362</v>
      </c>
      <c r="X6215" s="80">
        <v>300</v>
      </c>
      <c r="Y6215" s="22">
        <v>0</v>
      </c>
      <c r="Z6215" s="80" t="s">
        <v>50</v>
      </c>
      <c r="AA6215" s="96" t="s">
        <v>3291</v>
      </c>
      <c r="AB6215" s="80"/>
      <c r="AC6215" s="80" t="s">
        <v>53</v>
      </c>
      <c r="AD6215" s="80" t="s">
        <v>54</v>
      </c>
      <c r="AE6215" s="80" t="s">
        <v>14737</v>
      </c>
      <c r="AF6215" s="17">
        <v>45609</v>
      </c>
      <c r="AG6215" s="80"/>
      <c r="AH6215" s="80"/>
      <c r="AI6215" s="147" t="s">
        <v>55</v>
      </c>
      <c r="AJ6215" s="80"/>
      <c r="AK6215" s="80"/>
      <c r="AL6215" s="35"/>
      <c r="AM6215" s="35"/>
      <c r="AN6215" s="35"/>
      <c r="AO6215" s="35"/>
      <c r="AP6215" s="35"/>
    </row>
    <row r="6216" spans="1:42" x14ac:dyDescent="0.2">
      <c r="A6216" s="38">
        <v>45715</v>
      </c>
      <c r="B6216" s="28"/>
      <c r="C6216" s="41" t="s">
        <v>118</v>
      </c>
      <c r="D6216" s="26" t="s">
        <v>36</v>
      </c>
      <c r="E6216" s="26" t="s">
        <v>139</v>
      </c>
      <c r="F6216" s="26" t="s">
        <v>7016</v>
      </c>
      <c r="G6216" s="26" t="s">
        <v>1847</v>
      </c>
      <c r="H6216" s="26" t="s">
        <v>20170</v>
      </c>
      <c r="I6216" s="17" t="str">
        <f ca="1">IFERROR(__xludf.DUMMYFUNCTION("""COMPUTED_VALUE""")," ")</f>
        <v xml:space="preserve"> </v>
      </c>
      <c r="J6216" s="29" t="s">
        <v>1118</v>
      </c>
      <c r="K6216" s="26" t="s">
        <v>20171</v>
      </c>
      <c r="L6216" s="30">
        <v>969712615</v>
      </c>
      <c r="M6216" s="26" t="s">
        <v>123</v>
      </c>
      <c r="N6216" s="26" t="s">
        <v>151</v>
      </c>
      <c r="O6216" s="26" t="s">
        <v>134</v>
      </c>
      <c r="P6216" s="211" t="s">
        <v>20172</v>
      </c>
      <c r="Q6216" s="20">
        <v>15936</v>
      </c>
      <c r="R6216" s="26" t="s">
        <v>36</v>
      </c>
      <c r="S6216" s="31">
        <v>1968</v>
      </c>
      <c r="T6216" s="32">
        <v>45131</v>
      </c>
      <c r="U6216" s="31">
        <v>13968</v>
      </c>
      <c r="V6216" s="32">
        <v>45153</v>
      </c>
      <c r="W6216" s="33" t="s">
        <v>1121</v>
      </c>
      <c r="X6216" s="26">
        <v>0</v>
      </c>
      <c r="Y6216" s="22">
        <v>0</v>
      </c>
      <c r="Z6216" s="26" t="s">
        <v>118</v>
      </c>
      <c r="AA6216" s="19" t="s">
        <v>901</v>
      </c>
      <c r="AB6216" s="26" t="s">
        <v>36</v>
      </c>
      <c r="AC6216" s="26" t="s">
        <v>53</v>
      </c>
      <c r="AD6216" s="19" t="s">
        <v>54</v>
      </c>
      <c r="AE6216" s="26" t="s">
        <v>7016</v>
      </c>
      <c r="AF6216" s="17">
        <v>45722</v>
      </c>
      <c r="AG6216" s="26"/>
      <c r="AH6216" s="26">
        <v>1</v>
      </c>
      <c r="AI6216" s="40" t="s">
        <v>147</v>
      </c>
      <c r="AJ6216" s="26"/>
      <c r="AK6216" s="26"/>
      <c r="AL6216" s="35"/>
      <c r="AM6216" s="35"/>
      <c r="AN6216" s="35"/>
      <c r="AO6216" s="35"/>
      <c r="AP6216" s="35"/>
    </row>
    <row r="6217" spans="1:42" x14ac:dyDescent="0.2">
      <c r="A6217" s="38">
        <v>45715</v>
      </c>
      <c r="B6217" s="28" t="s">
        <v>37</v>
      </c>
      <c r="C6217" s="41" t="s">
        <v>118</v>
      </c>
      <c r="D6217" s="26" t="s">
        <v>36</v>
      </c>
      <c r="E6217" s="26" t="s">
        <v>119</v>
      </c>
      <c r="F6217" s="26" t="s">
        <v>6519</v>
      </c>
      <c r="G6217" s="26" t="s">
        <v>1847</v>
      </c>
      <c r="H6217" s="26" t="s">
        <v>17041</v>
      </c>
      <c r="I6217" s="17">
        <f ca="1">IFERROR(__xludf.DUMMYFUNCTION("""COMPUTED_VALUE"""),45725)</f>
        <v>45725</v>
      </c>
      <c r="J6217" s="29" t="s">
        <v>2942</v>
      </c>
      <c r="K6217" s="26" t="s">
        <v>2766</v>
      </c>
      <c r="L6217" s="30">
        <v>971909764</v>
      </c>
      <c r="M6217" s="26" t="s">
        <v>80</v>
      </c>
      <c r="N6217" s="26" t="s">
        <v>299</v>
      </c>
      <c r="O6217" s="26" t="s">
        <v>36</v>
      </c>
      <c r="P6217" s="42" t="s">
        <v>8942</v>
      </c>
      <c r="Q6217" s="20">
        <v>13968</v>
      </c>
      <c r="R6217" s="26" t="s">
        <v>36</v>
      </c>
      <c r="S6217" s="31">
        <v>200</v>
      </c>
      <c r="T6217" s="32">
        <v>45187</v>
      </c>
      <c r="U6217" s="31">
        <v>13768</v>
      </c>
      <c r="V6217" s="32">
        <v>45189</v>
      </c>
      <c r="W6217" s="33" t="s">
        <v>2944</v>
      </c>
      <c r="X6217" s="26">
        <v>0</v>
      </c>
      <c r="Y6217" s="22">
        <v>0</v>
      </c>
      <c r="Z6217" s="98" t="s">
        <v>118</v>
      </c>
      <c r="AA6217" s="19" t="s">
        <v>6541</v>
      </c>
      <c r="AB6217" s="26" t="s">
        <v>36</v>
      </c>
      <c r="AC6217" s="26" t="s">
        <v>53</v>
      </c>
      <c r="AD6217" s="14" t="s">
        <v>138</v>
      </c>
      <c r="AE6217" s="26" t="s">
        <v>6519</v>
      </c>
      <c r="AF6217" s="17">
        <v>45722</v>
      </c>
      <c r="AG6217" s="26"/>
      <c r="AH6217" s="26">
        <v>2</v>
      </c>
      <c r="AI6217" s="40">
        <v>4</v>
      </c>
      <c r="AJ6217" s="26"/>
      <c r="AK6217" s="26"/>
      <c r="AL6217" s="35"/>
      <c r="AM6217" s="35"/>
      <c r="AN6217" s="35"/>
      <c r="AO6217" s="35"/>
      <c r="AP6217" s="35"/>
    </row>
    <row r="6218" spans="1:42" x14ac:dyDescent="0.2">
      <c r="A6218" s="38">
        <v>45715</v>
      </c>
      <c r="B6218" s="28" t="s">
        <v>37</v>
      </c>
      <c r="C6218" s="41" t="s">
        <v>118</v>
      </c>
      <c r="D6218" s="26" t="s">
        <v>36</v>
      </c>
      <c r="E6218" s="26" t="s">
        <v>119</v>
      </c>
      <c r="F6218" s="26" t="s">
        <v>8063</v>
      </c>
      <c r="G6218" s="26" t="s">
        <v>1847</v>
      </c>
      <c r="H6218" s="26" t="s">
        <v>17041</v>
      </c>
      <c r="I6218" s="17">
        <f ca="1">IFERROR(__xludf.DUMMYFUNCTION("""COMPUTED_VALUE"""),45725)</f>
        <v>45725</v>
      </c>
      <c r="J6218" s="29" t="s">
        <v>1566</v>
      </c>
      <c r="K6218" s="26" t="s">
        <v>20173</v>
      </c>
      <c r="L6218" s="30">
        <v>372012901</v>
      </c>
      <c r="M6218" s="26" t="s">
        <v>292</v>
      </c>
      <c r="N6218" s="26" t="s">
        <v>1466</v>
      </c>
      <c r="O6218" s="26" t="s">
        <v>1568</v>
      </c>
      <c r="P6218" s="42" t="s">
        <v>13806</v>
      </c>
      <c r="Q6218" s="20">
        <v>13968</v>
      </c>
      <c r="R6218" s="26" t="s">
        <v>36</v>
      </c>
      <c r="S6218" s="21">
        <v>5975</v>
      </c>
      <c r="T6218" s="46">
        <v>45143</v>
      </c>
      <c r="U6218" s="31">
        <v>6358</v>
      </c>
      <c r="V6218" s="32">
        <v>45152</v>
      </c>
      <c r="W6218" s="26" t="s">
        <v>1570</v>
      </c>
      <c r="X6218" s="26">
        <v>0</v>
      </c>
      <c r="Y6218" s="22">
        <v>1635</v>
      </c>
      <c r="Z6218" s="34" t="s">
        <v>50</v>
      </c>
      <c r="AA6218" s="19" t="s">
        <v>901</v>
      </c>
      <c r="AB6218" s="26"/>
      <c r="AC6218" s="26" t="s">
        <v>53</v>
      </c>
      <c r="AD6218" s="19" t="s">
        <v>54</v>
      </c>
      <c r="AE6218" s="26" t="s">
        <v>8063</v>
      </c>
      <c r="AF6218" s="17">
        <v>45722</v>
      </c>
      <c r="AG6218" s="26"/>
      <c r="AH6218" s="26"/>
      <c r="AI6218" s="40">
        <v>4</v>
      </c>
      <c r="AJ6218" s="26"/>
      <c r="AK6218" s="26"/>
      <c r="AL6218" s="35"/>
      <c r="AM6218" s="35"/>
      <c r="AN6218" s="35"/>
      <c r="AO6218" s="35"/>
      <c r="AP6218" s="35"/>
    </row>
    <row r="6219" spans="1:42" x14ac:dyDescent="0.2">
      <c r="A6219" s="38">
        <v>45715</v>
      </c>
      <c r="B6219" s="28" t="s">
        <v>37</v>
      </c>
      <c r="C6219" s="41" t="s">
        <v>118</v>
      </c>
      <c r="D6219" s="80" t="s">
        <v>36</v>
      </c>
      <c r="E6219" s="80" t="s">
        <v>119</v>
      </c>
      <c r="F6219" s="80" t="s">
        <v>8844</v>
      </c>
      <c r="G6219" s="80" t="s">
        <v>221</v>
      </c>
      <c r="H6219" s="80" t="s">
        <v>20094</v>
      </c>
      <c r="I6219" s="17">
        <f ca="1">IFERROR(__xludf.DUMMYFUNCTION("""COMPUTED_VALUE"""),45768)</f>
        <v>45768</v>
      </c>
      <c r="J6219" s="143" t="s">
        <v>17611</v>
      </c>
      <c r="K6219" s="80" t="s">
        <v>20174</v>
      </c>
      <c r="L6219" s="30">
        <v>339432004</v>
      </c>
      <c r="M6219" s="80" t="s">
        <v>5558</v>
      </c>
      <c r="N6219" s="80" t="s">
        <v>850</v>
      </c>
      <c r="O6219" s="80" t="s">
        <v>17613</v>
      </c>
      <c r="P6219" s="144" t="s">
        <v>17614</v>
      </c>
      <c r="Q6219" s="20">
        <v>13968</v>
      </c>
      <c r="R6219" s="80" t="s">
        <v>36</v>
      </c>
      <c r="S6219" s="95">
        <v>4000</v>
      </c>
      <c r="T6219" s="148">
        <v>45586</v>
      </c>
      <c r="U6219" s="95">
        <f>5000+4968</f>
        <v>9968</v>
      </c>
      <c r="V6219" s="148">
        <v>45608</v>
      </c>
      <c r="W6219" s="85" t="s">
        <v>17615</v>
      </c>
      <c r="X6219" s="80"/>
      <c r="Y6219" s="22">
        <v>0</v>
      </c>
      <c r="Z6219" s="80" t="s">
        <v>50</v>
      </c>
      <c r="AA6219" s="86" t="s">
        <v>14723</v>
      </c>
      <c r="AB6219" s="80"/>
      <c r="AC6219" s="80" t="s">
        <v>53</v>
      </c>
      <c r="AD6219" s="80" t="s">
        <v>54</v>
      </c>
      <c r="AE6219" s="80" t="s">
        <v>8844</v>
      </c>
      <c r="AF6219" s="17">
        <v>45720</v>
      </c>
      <c r="AG6219" s="80"/>
      <c r="AH6219" s="80"/>
      <c r="AI6219" s="147"/>
      <c r="AJ6219" s="80"/>
      <c r="AK6219" s="80"/>
      <c r="AL6219" s="35"/>
      <c r="AM6219" s="35"/>
      <c r="AN6219" s="35"/>
      <c r="AO6219" s="35"/>
      <c r="AP6219" s="35"/>
    </row>
    <row r="6220" spans="1:42" x14ac:dyDescent="0.2">
      <c r="A6220" s="38">
        <v>45715</v>
      </c>
      <c r="B6220" s="137" t="s">
        <v>37</v>
      </c>
      <c r="C6220" s="41" t="s">
        <v>118</v>
      </c>
      <c r="D6220" s="26" t="s">
        <v>36</v>
      </c>
      <c r="E6220" s="26" t="s">
        <v>139</v>
      </c>
      <c r="F6220" s="26" t="s">
        <v>13652</v>
      </c>
      <c r="G6220" s="35" t="s">
        <v>221</v>
      </c>
      <c r="H6220" s="26" t="s">
        <v>20085</v>
      </c>
      <c r="I6220" s="17">
        <f ca="1">IFERROR(__xludf.DUMMYFUNCTION("""COMPUTED_VALUE"""),45727)</f>
        <v>45727</v>
      </c>
      <c r="J6220" s="29" t="s">
        <v>3661</v>
      </c>
      <c r="K6220" s="26" t="s">
        <v>20175</v>
      </c>
      <c r="L6220" s="30">
        <v>327047878</v>
      </c>
      <c r="M6220" s="26" t="s">
        <v>123</v>
      </c>
      <c r="N6220" s="26" t="s">
        <v>3663</v>
      </c>
      <c r="O6220" s="26" t="s">
        <v>492</v>
      </c>
      <c r="P6220" s="42" t="s">
        <v>20176</v>
      </c>
      <c r="Q6220" s="20">
        <v>15936</v>
      </c>
      <c r="R6220" s="26" t="s">
        <v>36</v>
      </c>
      <c r="S6220" s="31">
        <v>200</v>
      </c>
      <c r="T6220" s="32">
        <v>45185</v>
      </c>
      <c r="U6220" s="31">
        <v>15736</v>
      </c>
      <c r="V6220" s="32">
        <v>45217</v>
      </c>
      <c r="W6220" s="26" t="s">
        <v>3665</v>
      </c>
      <c r="X6220" s="26"/>
      <c r="Y6220" s="22">
        <v>0</v>
      </c>
      <c r="Z6220" s="26" t="s">
        <v>118</v>
      </c>
      <c r="AA6220" s="19" t="s">
        <v>5785</v>
      </c>
      <c r="AB6220" s="26" t="s">
        <v>104</v>
      </c>
      <c r="AC6220" s="26" t="s">
        <v>53</v>
      </c>
      <c r="AD6220" s="19" t="s">
        <v>138</v>
      </c>
      <c r="AE6220" s="26" t="s">
        <v>13652</v>
      </c>
      <c r="AF6220" s="17">
        <v>45720</v>
      </c>
      <c r="AG6220" s="26"/>
      <c r="AH6220" s="26"/>
      <c r="AI6220" s="40" t="s">
        <v>147</v>
      </c>
      <c r="AJ6220" s="26"/>
      <c r="AK6220" s="26"/>
      <c r="AL6220" s="35"/>
      <c r="AM6220" s="35"/>
      <c r="AN6220" s="35"/>
      <c r="AO6220" s="35"/>
      <c r="AP6220" s="35"/>
    </row>
    <row r="6221" spans="1:42" x14ac:dyDescent="0.2">
      <c r="A6221" s="38">
        <v>45715</v>
      </c>
      <c r="B6221" s="68" t="s">
        <v>37</v>
      </c>
      <c r="C6221" s="41" t="s">
        <v>118</v>
      </c>
      <c r="D6221" s="26" t="s">
        <v>36</v>
      </c>
      <c r="E6221" s="26" t="s">
        <v>119</v>
      </c>
      <c r="F6221" s="26" t="s">
        <v>9553</v>
      </c>
      <c r="G6221" s="161" t="s">
        <v>221</v>
      </c>
      <c r="H6221" s="80" t="s">
        <v>19383</v>
      </c>
      <c r="I6221" s="17">
        <f ca="1">IFERROR(__xludf.DUMMYFUNCTION("""COMPUTED_VALUE"""),45827)</f>
        <v>45827</v>
      </c>
      <c r="J6221" s="29" t="s">
        <v>9554</v>
      </c>
      <c r="K6221" s="26" t="s">
        <v>20177</v>
      </c>
      <c r="L6221" s="30">
        <v>961061892</v>
      </c>
      <c r="M6221" s="26" t="s">
        <v>9422</v>
      </c>
      <c r="N6221" s="26" t="s">
        <v>5574</v>
      </c>
      <c r="O6221" s="26" t="s">
        <v>9556</v>
      </c>
      <c r="P6221" s="42" t="s">
        <v>20178</v>
      </c>
      <c r="Q6221" s="20"/>
      <c r="R6221" s="26" t="s">
        <v>36</v>
      </c>
      <c r="S6221" s="95">
        <v>13936</v>
      </c>
      <c r="T6221" s="148">
        <v>45492</v>
      </c>
      <c r="U6221" s="31"/>
      <c r="V6221" s="32"/>
      <c r="W6221" s="33" t="s">
        <v>9558</v>
      </c>
      <c r="X6221" s="26"/>
      <c r="Y6221" s="22"/>
      <c r="Z6221" s="26" t="s">
        <v>50</v>
      </c>
      <c r="AA6221" s="70" t="s">
        <v>9070</v>
      </c>
      <c r="AB6221" s="26"/>
      <c r="AC6221" s="26" t="s">
        <v>53</v>
      </c>
      <c r="AD6221" s="26" t="s">
        <v>54</v>
      </c>
      <c r="AE6221" s="26" t="s">
        <v>9553</v>
      </c>
      <c r="AF6221" s="17">
        <v>45722</v>
      </c>
      <c r="AG6221" s="26" t="s">
        <v>8366</v>
      </c>
      <c r="AH6221" s="26"/>
      <c r="AI6221" s="40"/>
      <c r="AJ6221" s="26"/>
      <c r="AK6221" s="26"/>
      <c r="AL6221" s="35"/>
      <c r="AM6221" s="35"/>
      <c r="AN6221" s="35"/>
      <c r="AO6221" s="35"/>
      <c r="AP6221" s="35"/>
    </row>
    <row r="6222" spans="1:42" x14ac:dyDescent="0.2">
      <c r="A6222" s="38">
        <v>45715</v>
      </c>
      <c r="B6222" s="28" t="s">
        <v>37</v>
      </c>
      <c r="C6222" s="41" t="s">
        <v>118</v>
      </c>
      <c r="D6222" s="26" t="s">
        <v>36</v>
      </c>
      <c r="E6222" s="26" t="s">
        <v>139</v>
      </c>
      <c r="F6222" s="26" t="s">
        <v>9768</v>
      </c>
      <c r="G6222" s="161" t="s">
        <v>221</v>
      </c>
      <c r="H6222" s="80" t="s">
        <v>18280</v>
      </c>
      <c r="I6222" s="17">
        <f ca="1">IFERROR(__xludf.DUMMYFUNCTION("""COMPUTED_VALUE"""),45722)</f>
        <v>45722</v>
      </c>
      <c r="J6222" s="29" t="s">
        <v>10187</v>
      </c>
      <c r="K6222" s="19" t="s">
        <v>10188</v>
      </c>
      <c r="L6222" s="47">
        <v>336218198</v>
      </c>
      <c r="M6222" s="19" t="s">
        <v>910</v>
      </c>
      <c r="N6222" s="19" t="s">
        <v>3525</v>
      </c>
      <c r="O6222" s="26" t="s">
        <v>10189</v>
      </c>
      <c r="P6222" s="42" t="s">
        <v>20179</v>
      </c>
      <c r="Q6222" s="20">
        <v>15936</v>
      </c>
      <c r="R6222" s="26" t="s">
        <v>36</v>
      </c>
      <c r="S6222" s="77">
        <v>9100</v>
      </c>
      <c r="T6222" s="80" t="s">
        <v>10191</v>
      </c>
      <c r="U6222" s="77">
        <v>6868</v>
      </c>
      <c r="V6222" s="78">
        <v>45554</v>
      </c>
      <c r="W6222" s="80" t="s">
        <v>10192</v>
      </c>
      <c r="X6222" s="86">
        <v>0</v>
      </c>
      <c r="Y6222" s="22">
        <v>-32</v>
      </c>
      <c r="Z6222" s="80" t="s">
        <v>50</v>
      </c>
      <c r="AA6222" s="36" t="s">
        <v>3291</v>
      </c>
      <c r="AB6222" s="26" t="s">
        <v>36</v>
      </c>
      <c r="AC6222" s="26" t="s">
        <v>53</v>
      </c>
      <c r="AD6222" s="26" t="s">
        <v>54</v>
      </c>
      <c r="AE6222" s="26" t="s">
        <v>9768</v>
      </c>
      <c r="AF6222" s="17">
        <v>45722</v>
      </c>
      <c r="AG6222" s="80"/>
      <c r="AH6222" s="26"/>
      <c r="AI6222" s="40"/>
      <c r="AJ6222" s="26"/>
      <c r="AK6222" s="26"/>
      <c r="AL6222" s="35"/>
      <c r="AM6222" s="35"/>
      <c r="AN6222" s="35"/>
      <c r="AO6222" s="35"/>
      <c r="AP6222" s="35"/>
    </row>
    <row r="6223" spans="1:42" x14ac:dyDescent="0.2">
      <c r="A6223" s="38">
        <v>45715</v>
      </c>
      <c r="B6223" s="28" t="s">
        <v>37</v>
      </c>
      <c r="C6223" s="41" t="s">
        <v>118</v>
      </c>
      <c r="D6223" s="26" t="s">
        <v>36</v>
      </c>
      <c r="E6223" s="26" t="s">
        <v>139</v>
      </c>
      <c r="F6223" s="26" t="s">
        <v>8403</v>
      </c>
      <c r="G6223" s="26" t="s">
        <v>1705</v>
      </c>
      <c r="H6223" s="26" t="s">
        <v>20180</v>
      </c>
      <c r="I6223" s="17">
        <f ca="1">IFERROR(__xludf.DUMMYFUNCTION("""COMPUTED_VALUE"""),45566)</f>
        <v>45566</v>
      </c>
      <c r="J6223" s="29" t="s">
        <v>3900</v>
      </c>
      <c r="K6223" s="26" t="s">
        <v>3901</v>
      </c>
      <c r="L6223" s="30">
        <v>981151829</v>
      </c>
      <c r="M6223" s="26" t="s">
        <v>80</v>
      </c>
      <c r="N6223" s="26" t="s">
        <v>81</v>
      </c>
      <c r="O6223" s="26" t="s">
        <v>3902</v>
      </c>
      <c r="P6223" s="42" t="s">
        <v>4990</v>
      </c>
      <c r="Q6223" s="20">
        <v>15936</v>
      </c>
      <c r="R6223" s="26" t="s">
        <v>36</v>
      </c>
      <c r="S6223" s="31">
        <v>4000</v>
      </c>
      <c r="T6223" s="32">
        <v>45197</v>
      </c>
      <c r="U6223" s="31">
        <v>11936</v>
      </c>
      <c r="V6223" s="32">
        <v>45227</v>
      </c>
      <c r="W6223" s="33" t="s">
        <v>3903</v>
      </c>
      <c r="X6223" s="26"/>
      <c r="Y6223" s="22">
        <v>0</v>
      </c>
      <c r="Z6223" s="26" t="s">
        <v>118</v>
      </c>
      <c r="AA6223" s="19" t="s">
        <v>3454</v>
      </c>
      <c r="AB6223" s="26" t="s">
        <v>36</v>
      </c>
      <c r="AC6223" s="26" t="s">
        <v>53</v>
      </c>
      <c r="AD6223" s="19" t="s">
        <v>138</v>
      </c>
      <c r="AE6223" s="26" t="s">
        <v>8403</v>
      </c>
      <c r="AF6223" s="17">
        <v>45724</v>
      </c>
      <c r="AG6223" s="26"/>
      <c r="AH6223" s="26"/>
      <c r="AI6223" s="40"/>
      <c r="AJ6223" s="26"/>
      <c r="AK6223" s="26"/>
      <c r="AL6223" s="35"/>
      <c r="AM6223" s="35"/>
      <c r="AN6223" s="35"/>
      <c r="AO6223" s="35"/>
      <c r="AP6223" s="35"/>
    </row>
    <row r="6224" spans="1:42" x14ac:dyDescent="0.2">
      <c r="A6224" s="38">
        <v>45715</v>
      </c>
      <c r="B6224" s="28" t="s">
        <v>37</v>
      </c>
      <c r="C6224" s="41" t="s">
        <v>118</v>
      </c>
      <c r="D6224" s="26" t="s">
        <v>36</v>
      </c>
      <c r="E6224" s="26" t="s">
        <v>139</v>
      </c>
      <c r="F6224" s="26" t="s">
        <v>8403</v>
      </c>
      <c r="G6224" s="26" t="s">
        <v>1705</v>
      </c>
      <c r="H6224" s="26" t="s">
        <v>20180</v>
      </c>
      <c r="I6224" s="17">
        <f ca="1">IFERROR(__xludf.DUMMYFUNCTION("""COMPUTED_VALUE"""),45566)</f>
        <v>45566</v>
      </c>
      <c r="J6224" s="29" t="s">
        <v>5142</v>
      </c>
      <c r="K6224" s="26" t="s">
        <v>5143</v>
      </c>
      <c r="L6224" s="30">
        <v>372919046</v>
      </c>
      <c r="M6224" s="26" t="s">
        <v>910</v>
      </c>
      <c r="N6224" s="26" t="s">
        <v>3525</v>
      </c>
      <c r="O6224" s="26" t="s">
        <v>3754</v>
      </c>
      <c r="P6224" s="42" t="s">
        <v>4990</v>
      </c>
      <c r="Q6224" s="20">
        <v>15936</v>
      </c>
      <c r="R6224" s="26" t="s">
        <v>36</v>
      </c>
      <c r="S6224" s="31">
        <v>4000</v>
      </c>
      <c r="T6224" s="32">
        <v>45191</v>
      </c>
      <c r="U6224" s="31">
        <v>11936</v>
      </c>
      <c r="V6224" s="32">
        <v>45246</v>
      </c>
      <c r="W6224" s="33" t="s">
        <v>5145</v>
      </c>
      <c r="X6224" s="26"/>
      <c r="Y6224" s="22">
        <v>0</v>
      </c>
      <c r="Z6224" s="26" t="s">
        <v>118</v>
      </c>
      <c r="AA6224" s="19" t="s">
        <v>5785</v>
      </c>
      <c r="AB6224" s="26" t="s">
        <v>36</v>
      </c>
      <c r="AC6224" s="26" t="s">
        <v>53</v>
      </c>
      <c r="AD6224" s="19" t="s">
        <v>138</v>
      </c>
      <c r="AE6224" s="26" t="s">
        <v>8403</v>
      </c>
      <c r="AF6224" s="17">
        <v>45724</v>
      </c>
      <c r="AG6224" s="26"/>
      <c r="AH6224" s="26"/>
      <c r="AI6224" s="40" t="s">
        <v>147</v>
      </c>
      <c r="AJ6224" s="26"/>
      <c r="AK6224" s="26"/>
      <c r="AL6224" s="35"/>
      <c r="AM6224" s="35"/>
      <c r="AN6224" s="35"/>
      <c r="AO6224" s="35"/>
      <c r="AP6224" s="35"/>
    </row>
    <row r="6225" spans="1:42" x14ac:dyDescent="0.2">
      <c r="A6225" s="38">
        <v>45715</v>
      </c>
      <c r="B6225" s="28" t="s">
        <v>37</v>
      </c>
      <c r="C6225" s="41" t="s">
        <v>118</v>
      </c>
      <c r="D6225" s="26" t="s">
        <v>36</v>
      </c>
      <c r="E6225" s="26" t="s">
        <v>139</v>
      </c>
      <c r="F6225" s="26" t="s">
        <v>8403</v>
      </c>
      <c r="G6225" s="26" t="s">
        <v>1705</v>
      </c>
      <c r="H6225" s="26" t="s">
        <v>20180</v>
      </c>
      <c r="I6225" s="17">
        <f ca="1">IFERROR(__xludf.DUMMYFUNCTION("""COMPUTED_VALUE"""),45566)</f>
        <v>45566</v>
      </c>
      <c r="J6225" s="29" t="s">
        <v>5370</v>
      </c>
      <c r="K6225" s="26" t="s">
        <v>5371</v>
      </c>
      <c r="L6225" s="30">
        <v>862999040</v>
      </c>
      <c r="M6225" s="26" t="s">
        <v>80</v>
      </c>
      <c r="N6225" s="26" t="s">
        <v>466</v>
      </c>
      <c r="O6225" s="26" t="s">
        <v>5372</v>
      </c>
      <c r="P6225" s="42" t="s">
        <v>4990</v>
      </c>
      <c r="Q6225" s="20">
        <v>15936</v>
      </c>
      <c r="R6225" s="26" t="s">
        <v>36</v>
      </c>
      <c r="S6225" s="31">
        <v>4000</v>
      </c>
      <c r="T6225" s="32">
        <v>45207</v>
      </c>
      <c r="U6225" s="31">
        <v>11936</v>
      </c>
      <c r="V6225" s="32">
        <v>45232</v>
      </c>
      <c r="W6225" s="33" t="s">
        <v>5374</v>
      </c>
      <c r="X6225" s="26"/>
      <c r="Y6225" s="22">
        <v>0</v>
      </c>
      <c r="Z6225" s="26" t="s">
        <v>118</v>
      </c>
      <c r="AA6225" s="19" t="s">
        <v>5785</v>
      </c>
      <c r="AB6225" s="26" t="s">
        <v>36</v>
      </c>
      <c r="AC6225" s="26" t="s">
        <v>53</v>
      </c>
      <c r="AD6225" s="19" t="s">
        <v>138</v>
      </c>
      <c r="AE6225" s="26" t="s">
        <v>8403</v>
      </c>
      <c r="AF6225" s="17">
        <v>45724</v>
      </c>
      <c r="AG6225" s="26"/>
      <c r="AH6225" s="26"/>
      <c r="AI6225" s="40" t="s">
        <v>147</v>
      </c>
      <c r="AJ6225" s="26"/>
      <c r="AK6225" s="26"/>
      <c r="AL6225" s="35"/>
      <c r="AM6225" s="35"/>
      <c r="AN6225" s="35"/>
      <c r="AO6225" s="35"/>
      <c r="AP6225" s="35"/>
    </row>
    <row r="6226" spans="1:42" x14ac:dyDescent="0.2">
      <c r="A6226" s="38">
        <v>45715</v>
      </c>
      <c r="B6226" s="28" t="s">
        <v>37</v>
      </c>
      <c r="C6226" s="41" t="s">
        <v>118</v>
      </c>
      <c r="D6226" s="26" t="s">
        <v>36</v>
      </c>
      <c r="E6226" s="26" t="s">
        <v>139</v>
      </c>
      <c r="F6226" s="26" t="s">
        <v>8406</v>
      </c>
      <c r="G6226" s="26" t="s">
        <v>1847</v>
      </c>
      <c r="H6226" s="26" t="s">
        <v>18547</v>
      </c>
      <c r="I6226" s="17">
        <f ca="1">IFERROR(__xludf.DUMMYFUNCTION("""COMPUTED_VALUE"""),45725)</f>
        <v>45725</v>
      </c>
      <c r="J6226" s="29" t="s">
        <v>2499</v>
      </c>
      <c r="K6226" s="26" t="s">
        <v>4106</v>
      </c>
      <c r="L6226" s="30">
        <v>334264836</v>
      </c>
      <c r="M6226" s="26" t="s">
        <v>80</v>
      </c>
      <c r="N6226" s="26" t="s">
        <v>299</v>
      </c>
      <c r="O6226" s="26" t="s">
        <v>2501</v>
      </c>
      <c r="P6226" s="42" t="s">
        <v>20181</v>
      </c>
      <c r="Q6226" s="20">
        <v>15936</v>
      </c>
      <c r="R6226" s="26" t="s">
        <v>36</v>
      </c>
      <c r="S6226" s="31">
        <v>2000</v>
      </c>
      <c r="T6226" s="32">
        <v>45156</v>
      </c>
      <c r="U6226" s="31">
        <v>13968</v>
      </c>
      <c r="V6226" s="32">
        <v>45184</v>
      </c>
      <c r="W6226" s="33" t="s">
        <v>2503</v>
      </c>
      <c r="X6226" s="26"/>
      <c r="Y6226" s="22">
        <v>-32</v>
      </c>
      <c r="Z6226" s="26" t="s">
        <v>118</v>
      </c>
      <c r="AA6226" s="19" t="s">
        <v>2449</v>
      </c>
      <c r="AB6226" s="26" t="s">
        <v>36</v>
      </c>
      <c r="AC6226" s="26" t="s">
        <v>53</v>
      </c>
      <c r="AD6226" s="19" t="s">
        <v>54</v>
      </c>
      <c r="AE6226" s="26" t="s">
        <v>8406</v>
      </c>
      <c r="AF6226" s="17">
        <v>45724</v>
      </c>
      <c r="AG6226" s="72"/>
      <c r="AH6226" s="26"/>
      <c r="AI6226" s="40"/>
      <c r="AJ6226" s="26"/>
      <c r="AK6226" s="26"/>
      <c r="AL6226" s="35"/>
      <c r="AM6226" s="35"/>
      <c r="AN6226" s="35"/>
      <c r="AO6226" s="35"/>
      <c r="AP6226" s="35"/>
    </row>
    <row r="6227" spans="1:42" x14ac:dyDescent="0.2">
      <c r="A6227" s="38">
        <v>45715</v>
      </c>
      <c r="B6227" s="28" t="s">
        <v>37</v>
      </c>
      <c r="C6227" s="41" t="s">
        <v>118</v>
      </c>
      <c r="D6227" s="26" t="s">
        <v>36</v>
      </c>
      <c r="E6227" s="26" t="s">
        <v>139</v>
      </c>
      <c r="F6227" s="26" t="s">
        <v>9021</v>
      </c>
      <c r="G6227" s="26" t="s">
        <v>1705</v>
      </c>
      <c r="H6227" s="26" t="s">
        <v>20180</v>
      </c>
      <c r="I6227" s="17">
        <f ca="1">IFERROR(__xludf.DUMMYFUNCTION("""COMPUTED_VALUE"""),45566)</f>
        <v>45566</v>
      </c>
      <c r="J6227" s="29" t="s">
        <v>2653</v>
      </c>
      <c r="K6227" s="26" t="s">
        <v>5835</v>
      </c>
      <c r="L6227" s="30">
        <v>813938859</v>
      </c>
      <c r="M6227" s="26" t="s">
        <v>123</v>
      </c>
      <c r="N6227" s="26" t="s">
        <v>850</v>
      </c>
      <c r="O6227" s="26" t="s">
        <v>134</v>
      </c>
      <c r="P6227" s="42" t="s">
        <v>20182</v>
      </c>
      <c r="Q6227" s="20">
        <v>15936</v>
      </c>
      <c r="R6227" s="26" t="s">
        <v>36</v>
      </c>
      <c r="S6227" s="31">
        <v>200</v>
      </c>
      <c r="T6227" s="32">
        <v>45170</v>
      </c>
      <c r="U6227" s="21">
        <v>15736</v>
      </c>
      <c r="V6227" s="46">
        <v>45188</v>
      </c>
      <c r="W6227" s="55" t="s">
        <v>2656</v>
      </c>
      <c r="X6227" s="26"/>
      <c r="Y6227" s="22">
        <v>0</v>
      </c>
      <c r="Z6227" s="26" t="s">
        <v>118</v>
      </c>
      <c r="AA6227" s="19" t="s">
        <v>5785</v>
      </c>
      <c r="AB6227" s="26" t="s">
        <v>36</v>
      </c>
      <c r="AC6227" s="26" t="s">
        <v>53</v>
      </c>
      <c r="AD6227" s="19" t="s">
        <v>138</v>
      </c>
      <c r="AE6227" s="26" t="s">
        <v>9021</v>
      </c>
      <c r="AF6227" s="17">
        <v>45724</v>
      </c>
      <c r="AG6227" s="26"/>
      <c r="AH6227" s="26"/>
      <c r="AI6227" s="40" t="s">
        <v>147</v>
      </c>
      <c r="AJ6227" s="26"/>
      <c r="AK6227" s="26"/>
      <c r="AL6227" s="35"/>
      <c r="AM6227" s="35"/>
      <c r="AN6227" s="35"/>
      <c r="AO6227" s="35"/>
      <c r="AP6227" s="35"/>
    </row>
    <row r="6228" spans="1:42" x14ac:dyDescent="0.2">
      <c r="A6228" s="38">
        <v>45715</v>
      </c>
      <c r="B6228" s="28" t="s">
        <v>37</v>
      </c>
      <c r="C6228" s="41" t="s">
        <v>118</v>
      </c>
      <c r="D6228" s="26" t="s">
        <v>36</v>
      </c>
      <c r="E6228" s="26" t="s">
        <v>119</v>
      </c>
      <c r="F6228" s="26" t="s">
        <v>8343</v>
      </c>
      <c r="G6228" s="26" t="s">
        <v>1705</v>
      </c>
      <c r="H6228" s="26" t="s">
        <v>20180</v>
      </c>
      <c r="I6228" s="17">
        <f ca="1">IFERROR(__xludf.DUMMYFUNCTION("""COMPUTED_VALUE"""),45566)</f>
        <v>45566</v>
      </c>
      <c r="J6228" s="29" t="s">
        <v>5336</v>
      </c>
      <c r="K6228" s="26" t="s">
        <v>5337</v>
      </c>
      <c r="L6228" s="30">
        <v>367191406</v>
      </c>
      <c r="M6228" s="26" t="s">
        <v>80</v>
      </c>
      <c r="N6228" s="26" t="s">
        <v>186</v>
      </c>
      <c r="O6228" s="26" t="s">
        <v>5338</v>
      </c>
      <c r="P6228" s="42" t="s">
        <v>10170</v>
      </c>
      <c r="Q6228" s="20">
        <v>13968</v>
      </c>
      <c r="R6228" s="26" t="s">
        <v>36</v>
      </c>
      <c r="S6228" s="31">
        <v>4000</v>
      </c>
      <c r="T6228" s="32">
        <v>45214</v>
      </c>
      <c r="U6228" s="31">
        <v>10000</v>
      </c>
      <c r="V6228" s="32">
        <v>45249</v>
      </c>
      <c r="W6228" s="33" t="s">
        <v>5339</v>
      </c>
      <c r="X6228" s="26"/>
      <c r="Y6228" s="22">
        <v>-32</v>
      </c>
      <c r="Z6228" s="26" t="s">
        <v>118</v>
      </c>
      <c r="AA6228" s="19" t="s">
        <v>5112</v>
      </c>
      <c r="AB6228" s="26" t="s">
        <v>104</v>
      </c>
      <c r="AC6228" s="26" t="s">
        <v>53</v>
      </c>
      <c r="AD6228" s="19" t="s">
        <v>138</v>
      </c>
      <c r="AE6228" s="26" t="s">
        <v>8343</v>
      </c>
      <c r="AF6228" s="17">
        <v>45728</v>
      </c>
      <c r="AG6228" s="26" t="s">
        <v>2075</v>
      </c>
      <c r="AH6228" s="26"/>
      <c r="AI6228" s="40">
        <v>4</v>
      </c>
      <c r="AJ6228" s="26"/>
      <c r="AK6228" s="26"/>
      <c r="AL6228" s="35"/>
      <c r="AM6228" s="35"/>
      <c r="AN6228" s="35"/>
      <c r="AO6228" s="35"/>
      <c r="AP6228" s="35"/>
    </row>
    <row r="6229" spans="1:42" x14ac:dyDescent="0.2">
      <c r="A6229" s="38">
        <v>45715</v>
      </c>
      <c r="B6229" s="137" t="s">
        <v>37</v>
      </c>
      <c r="C6229" s="41" t="s">
        <v>118</v>
      </c>
      <c r="D6229" s="26" t="s">
        <v>36</v>
      </c>
      <c r="E6229" s="26" t="s">
        <v>119</v>
      </c>
      <c r="F6229" s="26" t="s">
        <v>6519</v>
      </c>
      <c r="G6229" s="26" t="s">
        <v>1847</v>
      </c>
      <c r="H6229" s="26" t="s">
        <v>18547</v>
      </c>
      <c r="I6229" s="17">
        <f ca="1">IFERROR(__xludf.DUMMYFUNCTION("""COMPUTED_VALUE"""),45725)</f>
        <v>45725</v>
      </c>
      <c r="J6229" s="29" t="s">
        <v>5150</v>
      </c>
      <c r="K6229" s="19" t="s">
        <v>20183</v>
      </c>
      <c r="L6229" s="47">
        <v>986760294</v>
      </c>
      <c r="M6229" s="26" t="s">
        <v>80</v>
      </c>
      <c r="N6229" s="26" t="s">
        <v>186</v>
      </c>
      <c r="O6229" s="26" t="s">
        <v>5152</v>
      </c>
      <c r="P6229" s="42" t="s">
        <v>8943</v>
      </c>
      <c r="Q6229" s="20">
        <v>13968</v>
      </c>
      <c r="R6229" s="26" t="s">
        <v>36</v>
      </c>
      <c r="S6229" s="31">
        <v>300</v>
      </c>
      <c r="T6229" s="32">
        <v>45192</v>
      </c>
      <c r="U6229" s="31">
        <f>3700+9968</f>
        <v>13668</v>
      </c>
      <c r="V6229" s="26" t="s">
        <v>5153</v>
      </c>
      <c r="W6229" s="33" t="s">
        <v>5154</v>
      </c>
      <c r="X6229" s="26"/>
      <c r="Y6229" s="22">
        <v>0</v>
      </c>
      <c r="Z6229" s="26" t="s">
        <v>118</v>
      </c>
      <c r="AA6229" s="19" t="s">
        <v>5112</v>
      </c>
      <c r="AB6229" s="26" t="s">
        <v>36</v>
      </c>
      <c r="AC6229" s="26" t="s">
        <v>53</v>
      </c>
      <c r="AD6229" s="19" t="s">
        <v>138</v>
      </c>
      <c r="AE6229" s="26" t="s">
        <v>6519</v>
      </c>
      <c r="AF6229" s="17">
        <v>45722</v>
      </c>
      <c r="AG6229" s="26"/>
      <c r="AH6229" s="26"/>
      <c r="AI6229" s="40">
        <v>4</v>
      </c>
      <c r="AJ6229" s="26"/>
      <c r="AK6229" s="26"/>
      <c r="AL6229" s="35"/>
      <c r="AM6229" s="35"/>
      <c r="AN6229" s="35"/>
      <c r="AO6229" s="35"/>
      <c r="AP6229" s="35"/>
    </row>
    <row r="6230" spans="1:42" x14ac:dyDescent="0.2">
      <c r="A6230" s="38">
        <v>45715</v>
      </c>
      <c r="B6230" s="137" t="s">
        <v>37</v>
      </c>
      <c r="C6230" s="41" t="s">
        <v>118</v>
      </c>
      <c r="D6230" s="26" t="s">
        <v>36</v>
      </c>
      <c r="E6230" s="26" t="s">
        <v>119</v>
      </c>
      <c r="F6230" s="26" t="s">
        <v>6519</v>
      </c>
      <c r="G6230" s="26" t="s">
        <v>1847</v>
      </c>
      <c r="H6230" s="26" t="s">
        <v>18547</v>
      </c>
      <c r="I6230" s="17">
        <f ca="1">IFERROR(__xludf.DUMMYFUNCTION("""COMPUTED_VALUE"""),45725)</f>
        <v>45725</v>
      </c>
      <c r="J6230" s="29" t="s">
        <v>3793</v>
      </c>
      <c r="K6230" s="19" t="s">
        <v>20184</v>
      </c>
      <c r="L6230" s="47">
        <v>359294508</v>
      </c>
      <c r="M6230" s="26" t="s">
        <v>80</v>
      </c>
      <c r="N6230" s="26" t="s">
        <v>186</v>
      </c>
      <c r="O6230" s="26" t="s">
        <v>3795</v>
      </c>
      <c r="P6230" s="42" t="s">
        <v>3796</v>
      </c>
      <c r="Q6230" s="20">
        <v>13968</v>
      </c>
      <c r="R6230" s="26" t="s">
        <v>36</v>
      </c>
      <c r="S6230" s="31">
        <v>200</v>
      </c>
      <c r="T6230" s="32">
        <v>45190</v>
      </c>
      <c r="U6230" s="31">
        <f>3800+10000</f>
        <v>13800</v>
      </c>
      <c r="V6230" s="26" t="s">
        <v>3797</v>
      </c>
      <c r="W6230" s="33" t="s">
        <v>3798</v>
      </c>
      <c r="X6230" s="26"/>
      <c r="Y6230" s="22">
        <v>-32</v>
      </c>
      <c r="Z6230" s="26" t="s">
        <v>118</v>
      </c>
      <c r="AA6230" s="19" t="s">
        <v>3454</v>
      </c>
      <c r="AB6230" s="26" t="s">
        <v>36</v>
      </c>
      <c r="AC6230" s="26" t="s">
        <v>53</v>
      </c>
      <c r="AD6230" s="19" t="s">
        <v>138</v>
      </c>
      <c r="AE6230" s="26" t="s">
        <v>6519</v>
      </c>
      <c r="AF6230" s="17">
        <v>45722</v>
      </c>
      <c r="AG6230" s="26"/>
      <c r="AH6230" s="26"/>
      <c r="AI6230" s="40"/>
      <c r="AJ6230" s="26"/>
      <c r="AK6230" s="26"/>
      <c r="AL6230" s="35"/>
      <c r="AM6230" s="35"/>
      <c r="AN6230" s="35"/>
      <c r="AO6230" s="35"/>
      <c r="AP6230" s="35"/>
    </row>
    <row r="6231" spans="1:42" x14ac:dyDescent="0.2">
      <c r="A6231" s="38">
        <v>45715</v>
      </c>
      <c r="B6231" s="28" t="s">
        <v>37</v>
      </c>
      <c r="C6231" s="41" t="s">
        <v>118</v>
      </c>
      <c r="D6231" s="26" t="s">
        <v>36</v>
      </c>
      <c r="E6231" s="26" t="s">
        <v>139</v>
      </c>
      <c r="F6231" s="26" t="s">
        <v>8536</v>
      </c>
      <c r="G6231" s="26" t="s">
        <v>1705</v>
      </c>
      <c r="H6231" s="26" t="s">
        <v>20185</v>
      </c>
      <c r="I6231" s="17">
        <f ca="1">IFERROR(__xludf.DUMMYFUNCTION("""COMPUTED_VALUE"""),45735)</f>
        <v>45735</v>
      </c>
      <c r="J6231" s="29" t="s">
        <v>7635</v>
      </c>
      <c r="K6231" s="26" t="s">
        <v>20186</v>
      </c>
      <c r="L6231" s="30">
        <v>971400552</v>
      </c>
      <c r="M6231" s="26" t="s">
        <v>5518</v>
      </c>
      <c r="N6231" s="26" t="s">
        <v>253</v>
      </c>
      <c r="O6231" s="26" t="s">
        <v>7637</v>
      </c>
      <c r="P6231" s="42" t="s">
        <v>20187</v>
      </c>
      <c r="Q6231" s="20">
        <v>15936</v>
      </c>
      <c r="R6231" s="26" t="s">
        <v>36</v>
      </c>
      <c r="S6231" s="31">
        <v>2000</v>
      </c>
      <c r="T6231" s="32">
        <v>45342</v>
      </c>
      <c r="U6231" s="31">
        <v>13936</v>
      </c>
      <c r="V6231" s="32">
        <v>45377</v>
      </c>
      <c r="W6231" s="33" t="s">
        <v>7638</v>
      </c>
      <c r="X6231" s="26"/>
      <c r="Y6231" s="22">
        <v>0</v>
      </c>
      <c r="Z6231" s="26" t="s">
        <v>118</v>
      </c>
      <c r="AA6231" s="19" t="s">
        <v>7361</v>
      </c>
      <c r="AB6231" s="26" t="s">
        <v>36</v>
      </c>
      <c r="AC6231" s="26" t="s">
        <v>53</v>
      </c>
      <c r="AD6231" s="19" t="s">
        <v>138</v>
      </c>
      <c r="AE6231" s="26" t="s">
        <v>8536</v>
      </c>
      <c r="AF6231" s="17">
        <v>45735</v>
      </c>
      <c r="AG6231" s="26"/>
      <c r="AH6231" s="26"/>
      <c r="AI6231" s="40"/>
      <c r="AJ6231" s="26"/>
      <c r="AK6231" s="26"/>
      <c r="AL6231" s="35"/>
      <c r="AM6231" s="35"/>
      <c r="AN6231" s="35"/>
      <c r="AO6231" s="35"/>
      <c r="AP6231" s="35"/>
    </row>
    <row r="6232" spans="1:42" x14ac:dyDescent="0.2">
      <c r="A6232" s="38">
        <v>45715</v>
      </c>
      <c r="B6232" s="28" t="s">
        <v>37</v>
      </c>
      <c r="C6232" s="41" t="s">
        <v>118</v>
      </c>
      <c r="D6232" s="26" t="s">
        <v>36</v>
      </c>
      <c r="E6232" s="26" t="s">
        <v>139</v>
      </c>
      <c r="F6232" s="26" t="s">
        <v>8608</v>
      </c>
      <c r="G6232" s="26" t="s">
        <v>1705</v>
      </c>
      <c r="H6232" s="26" t="s">
        <v>20185</v>
      </c>
      <c r="I6232" s="17">
        <f ca="1">IFERROR(__xludf.DUMMYFUNCTION("""COMPUTED_VALUE"""),45735)</f>
        <v>45735</v>
      </c>
      <c r="J6232" s="29" t="s">
        <v>8609</v>
      </c>
      <c r="K6232" s="26" t="s">
        <v>20188</v>
      </c>
      <c r="L6232" s="30">
        <v>966213792</v>
      </c>
      <c r="M6232" s="26" t="s">
        <v>910</v>
      </c>
      <c r="N6232" s="26" t="s">
        <v>3221</v>
      </c>
      <c r="O6232" s="26" t="s">
        <v>4379</v>
      </c>
      <c r="P6232" s="42" t="s">
        <v>8611</v>
      </c>
      <c r="Q6232" s="20">
        <v>15936</v>
      </c>
      <c r="R6232" s="26" t="s">
        <v>36</v>
      </c>
      <c r="S6232" s="31">
        <v>15936</v>
      </c>
      <c r="T6232" s="32">
        <v>45221</v>
      </c>
      <c r="U6232" s="31"/>
      <c r="V6232" s="26"/>
      <c r="W6232" s="33" t="s">
        <v>4381</v>
      </c>
      <c r="X6232" s="26"/>
      <c r="Y6232" s="22">
        <v>0</v>
      </c>
      <c r="Z6232" s="26" t="s">
        <v>118</v>
      </c>
      <c r="AA6232" s="19" t="s">
        <v>3454</v>
      </c>
      <c r="AB6232" s="26" t="s">
        <v>36</v>
      </c>
      <c r="AC6232" s="26" t="s">
        <v>53</v>
      </c>
      <c r="AD6232" s="19" t="s">
        <v>54</v>
      </c>
      <c r="AE6232" s="26" t="s">
        <v>8608</v>
      </c>
      <c r="AF6232" s="17">
        <v>45735</v>
      </c>
      <c r="AG6232" s="29" t="s">
        <v>4377</v>
      </c>
      <c r="AH6232" s="26"/>
      <c r="AI6232" s="40"/>
      <c r="AJ6232" s="26"/>
      <c r="AK6232" s="26"/>
      <c r="AL6232" s="35"/>
      <c r="AM6232" s="35"/>
      <c r="AN6232" s="35"/>
      <c r="AO6232" s="35"/>
      <c r="AP6232" s="35"/>
    </row>
    <row r="6233" spans="1:42" x14ac:dyDescent="0.2">
      <c r="A6233" s="38">
        <v>45715</v>
      </c>
      <c r="B6233" s="28" t="s">
        <v>37</v>
      </c>
      <c r="C6233" s="41" t="s">
        <v>118</v>
      </c>
      <c r="D6233" s="26" t="s">
        <v>36</v>
      </c>
      <c r="E6233" s="26" t="s">
        <v>139</v>
      </c>
      <c r="F6233" s="26" t="s">
        <v>8905</v>
      </c>
      <c r="G6233" s="26" t="s">
        <v>1705</v>
      </c>
      <c r="H6233" s="26" t="s">
        <v>20180</v>
      </c>
      <c r="I6233" s="17">
        <f ca="1">IFERROR(__xludf.DUMMYFUNCTION("""COMPUTED_VALUE"""),45566)</f>
        <v>45566</v>
      </c>
      <c r="J6233" s="29" t="s">
        <v>5367</v>
      </c>
      <c r="K6233" s="26" t="s">
        <v>20189</v>
      </c>
      <c r="L6233" s="30">
        <v>944615676</v>
      </c>
      <c r="M6233" s="26" t="s">
        <v>123</v>
      </c>
      <c r="N6233" s="26" t="s">
        <v>186</v>
      </c>
      <c r="O6233" s="26" t="s">
        <v>1226</v>
      </c>
      <c r="P6233" s="42" t="s">
        <v>8909</v>
      </c>
      <c r="Q6233" s="20">
        <v>15936</v>
      </c>
      <c r="R6233" s="26" t="s">
        <v>70</v>
      </c>
      <c r="S6233" s="31">
        <v>2000</v>
      </c>
      <c r="T6233" s="32">
        <v>45214</v>
      </c>
      <c r="U6233" s="58">
        <v>13936</v>
      </c>
      <c r="V6233" s="59">
        <v>45244</v>
      </c>
      <c r="W6233" s="33" t="s">
        <v>5369</v>
      </c>
      <c r="X6233" s="26"/>
      <c r="Y6233" s="22">
        <v>0</v>
      </c>
      <c r="Z6233" s="98" t="s">
        <v>118</v>
      </c>
      <c r="AA6233" s="19" t="s">
        <v>5112</v>
      </c>
      <c r="AB6233" s="80" t="s">
        <v>36</v>
      </c>
      <c r="AC6233" s="26" t="s">
        <v>53</v>
      </c>
      <c r="AD6233" s="19" t="s">
        <v>54</v>
      </c>
      <c r="AE6233" s="26" t="s">
        <v>8905</v>
      </c>
      <c r="AF6233" s="17">
        <v>45724</v>
      </c>
      <c r="AG6233" s="26"/>
      <c r="AH6233" s="26"/>
      <c r="AI6233" s="40" t="s">
        <v>147</v>
      </c>
      <c r="AJ6233" s="26"/>
      <c r="AK6233" s="26"/>
      <c r="AL6233" s="35"/>
      <c r="AM6233" s="35"/>
      <c r="AN6233" s="35"/>
      <c r="AO6233" s="35"/>
      <c r="AP6233" s="35"/>
    </row>
    <row r="6234" spans="1:42" x14ac:dyDescent="0.2">
      <c r="A6234" s="38">
        <v>45715</v>
      </c>
      <c r="B6234" s="28" t="s">
        <v>37</v>
      </c>
      <c r="C6234" s="41" t="s">
        <v>118</v>
      </c>
      <c r="D6234" s="26" t="s">
        <v>36</v>
      </c>
      <c r="E6234" s="26" t="s">
        <v>139</v>
      </c>
      <c r="F6234" s="26" t="s">
        <v>7016</v>
      </c>
      <c r="G6234" s="26" t="s">
        <v>1705</v>
      </c>
      <c r="H6234" s="26" t="s">
        <v>20185</v>
      </c>
      <c r="I6234" s="17">
        <f ca="1">IFERROR(__xludf.DUMMYFUNCTION("""COMPUTED_VALUE"""),45735)</f>
        <v>45735</v>
      </c>
      <c r="J6234" s="29" t="s">
        <v>4183</v>
      </c>
      <c r="K6234" s="26" t="s">
        <v>20190</v>
      </c>
      <c r="L6234" s="30">
        <v>789248956</v>
      </c>
      <c r="M6234" s="26" t="s">
        <v>2755</v>
      </c>
      <c r="N6234" s="26" t="s">
        <v>310</v>
      </c>
      <c r="O6234" s="26" t="s">
        <v>4185</v>
      </c>
      <c r="P6234" s="42" t="s">
        <v>20191</v>
      </c>
      <c r="Q6234" s="20">
        <v>15936</v>
      </c>
      <c r="R6234" s="26" t="s">
        <v>70</v>
      </c>
      <c r="S6234" s="31">
        <v>2000</v>
      </c>
      <c r="T6234" s="32">
        <v>45209</v>
      </c>
      <c r="U6234" s="31">
        <v>13936</v>
      </c>
      <c r="V6234" s="32">
        <v>45230</v>
      </c>
      <c r="W6234" s="33" t="s">
        <v>4187</v>
      </c>
      <c r="X6234" s="26"/>
      <c r="Y6234" s="22">
        <v>0</v>
      </c>
      <c r="Z6234" s="26" t="s">
        <v>118</v>
      </c>
      <c r="AA6234" s="19" t="s">
        <v>5785</v>
      </c>
      <c r="AB6234" s="26" t="s">
        <v>36</v>
      </c>
      <c r="AC6234" s="26" t="s">
        <v>53</v>
      </c>
      <c r="AD6234" s="19" t="s">
        <v>54</v>
      </c>
      <c r="AE6234" s="26" t="s">
        <v>7016</v>
      </c>
      <c r="AF6234" s="17">
        <v>45735</v>
      </c>
      <c r="AG6234" s="26"/>
      <c r="AH6234" s="26"/>
      <c r="AI6234" s="40" t="s">
        <v>147</v>
      </c>
      <c r="AJ6234" s="26"/>
      <c r="AK6234" s="26"/>
      <c r="AL6234" s="35"/>
      <c r="AM6234" s="35"/>
      <c r="AN6234" s="35"/>
      <c r="AO6234" s="35"/>
      <c r="AP6234" s="35"/>
    </row>
    <row r="6235" spans="1:42" x14ac:dyDescent="0.2">
      <c r="A6235" s="38">
        <v>45715</v>
      </c>
      <c r="B6235" s="137" t="s">
        <v>37</v>
      </c>
      <c r="C6235" s="41" t="s">
        <v>118</v>
      </c>
      <c r="D6235" s="26" t="s">
        <v>36</v>
      </c>
      <c r="E6235" s="26" t="s">
        <v>119</v>
      </c>
      <c r="F6235" s="26" t="s">
        <v>9032</v>
      </c>
      <c r="G6235" s="26" t="s">
        <v>1847</v>
      </c>
      <c r="H6235" s="26" t="s">
        <v>18547</v>
      </c>
      <c r="I6235" s="17">
        <f ca="1">IFERROR(__xludf.DUMMYFUNCTION("""COMPUTED_VALUE"""),45725)</f>
        <v>45725</v>
      </c>
      <c r="J6235" s="29" t="s">
        <v>7775</v>
      </c>
      <c r="K6235" s="26" t="s">
        <v>20192</v>
      </c>
      <c r="L6235" s="30">
        <v>375542694</v>
      </c>
      <c r="M6235" s="26" t="s">
        <v>59</v>
      </c>
      <c r="N6235" s="26" t="s">
        <v>403</v>
      </c>
      <c r="O6235" s="26" t="s">
        <v>7777</v>
      </c>
      <c r="P6235" s="42" t="s">
        <v>20193</v>
      </c>
      <c r="Q6235" s="20">
        <v>13968</v>
      </c>
      <c r="R6235" s="26" t="s">
        <v>36</v>
      </c>
      <c r="S6235" s="31">
        <v>13968</v>
      </c>
      <c r="T6235" s="32">
        <v>45356</v>
      </c>
      <c r="U6235" s="31"/>
      <c r="V6235" s="32"/>
      <c r="W6235" s="33" t="s">
        <v>7779</v>
      </c>
      <c r="X6235" s="26"/>
      <c r="Y6235" s="22">
        <v>0</v>
      </c>
      <c r="Z6235" s="98" t="s">
        <v>118</v>
      </c>
      <c r="AA6235" s="19" t="s">
        <v>7361</v>
      </c>
      <c r="AB6235" s="80" t="s">
        <v>36</v>
      </c>
      <c r="AC6235" s="26" t="s">
        <v>53</v>
      </c>
      <c r="AD6235" s="19" t="s">
        <v>138</v>
      </c>
      <c r="AE6235" s="26" t="s">
        <v>9032</v>
      </c>
      <c r="AF6235" s="17">
        <v>45722</v>
      </c>
      <c r="AG6235" s="26"/>
      <c r="AH6235" s="26"/>
      <c r="AI6235" s="40"/>
      <c r="AJ6235" s="26"/>
      <c r="AK6235" s="26"/>
      <c r="AL6235" s="35"/>
      <c r="AM6235" s="35"/>
      <c r="AN6235" s="35"/>
      <c r="AO6235" s="35"/>
      <c r="AP6235" s="35"/>
    </row>
    <row r="6236" spans="1:42" x14ac:dyDescent="0.2">
      <c r="A6236" s="38">
        <v>45715</v>
      </c>
      <c r="B6236" s="28" t="s">
        <v>37</v>
      </c>
      <c r="C6236" s="41" t="s">
        <v>118</v>
      </c>
      <c r="D6236" s="80" t="s">
        <v>36</v>
      </c>
      <c r="E6236" s="80" t="s">
        <v>148</v>
      </c>
      <c r="F6236" s="80" t="s">
        <v>8844</v>
      </c>
      <c r="G6236" s="80" t="s">
        <v>221</v>
      </c>
      <c r="H6236" s="80" t="s">
        <v>18280</v>
      </c>
      <c r="I6236" s="17">
        <f ca="1">IFERROR(__xludf.DUMMYFUNCTION("""COMPUTED_VALUE"""),45722)</f>
        <v>45722</v>
      </c>
      <c r="J6236" s="143" t="s">
        <v>16455</v>
      </c>
      <c r="K6236" s="80" t="s">
        <v>20194</v>
      </c>
      <c r="L6236" s="30">
        <v>398646345</v>
      </c>
      <c r="M6236" s="80" t="s">
        <v>348</v>
      </c>
      <c r="N6236" s="80" t="s">
        <v>4299</v>
      </c>
      <c r="O6236" s="80" t="s">
        <v>16457</v>
      </c>
      <c r="P6236" s="144" t="s">
        <v>20195</v>
      </c>
      <c r="Q6236" s="20">
        <v>7349</v>
      </c>
      <c r="R6236" s="80" t="s">
        <v>36</v>
      </c>
      <c r="S6236" s="95">
        <f>200+3568</f>
        <v>3768</v>
      </c>
      <c r="T6236" s="83" t="s">
        <v>16459</v>
      </c>
      <c r="U6236" s="95">
        <v>3581</v>
      </c>
      <c r="V6236" s="148">
        <v>45595</v>
      </c>
      <c r="W6236" s="85" t="s">
        <v>16460</v>
      </c>
      <c r="X6236" s="80"/>
      <c r="Y6236" s="22">
        <v>0</v>
      </c>
      <c r="Z6236" s="80" t="s">
        <v>50</v>
      </c>
      <c r="AA6236" s="35" t="s">
        <v>9905</v>
      </c>
      <c r="AB6236" s="80"/>
      <c r="AC6236" s="80" t="s">
        <v>53</v>
      </c>
      <c r="AD6236" s="80" t="s">
        <v>54</v>
      </c>
      <c r="AE6236" s="80" t="s">
        <v>8844</v>
      </c>
      <c r="AF6236" s="17">
        <v>45722</v>
      </c>
      <c r="AG6236" s="80"/>
      <c r="AH6236" s="80"/>
      <c r="AI6236" s="147"/>
      <c r="AJ6236" s="80"/>
      <c r="AK6236" s="80"/>
      <c r="AL6236" s="35"/>
      <c r="AM6236" s="35"/>
      <c r="AN6236" s="35"/>
      <c r="AO6236" s="35"/>
      <c r="AP6236" s="35"/>
    </row>
    <row r="6237" spans="1:42" x14ac:dyDescent="0.2">
      <c r="A6237" s="38">
        <v>45715</v>
      </c>
      <c r="B6237" s="28" t="s">
        <v>37</v>
      </c>
      <c r="C6237" s="41" t="s">
        <v>118</v>
      </c>
      <c r="D6237" s="26" t="s">
        <v>36</v>
      </c>
      <c r="E6237" s="26" t="s">
        <v>119</v>
      </c>
      <c r="F6237" s="26" t="s">
        <v>8343</v>
      </c>
      <c r="G6237" s="26" t="s">
        <v>1705</v>
      </c>
      <c r="H6237" s="26" t="s">
        <v>19614</v>
      </c>
      <c r="I6237" s="17">
        <f ca="1">IFERROR(__xludf.DUMMYFUNCTION("""COMPUTED_VALUE"""),45567)</f>
        <v>45567</v>
      </c>
      <c r="J6237" s="29" t="s">
        <v>458</v>
      </c>
      <c r="K6237" s="26" t="s">
        <v>20196</v>
      </c>
      <c r="L6237" s="30">
        <v>911919266</v>
      </c>
      <c r="M6237" s="19" t="s">
        <v>80</v>
      </c>
      <c r="N6237" s="19" t="s">
        <v>460</v>
      </c>
      <c r="O6237" s="26" t="s">
        <v>91</v>
      </c>
      <c r="P6237" s="42" t="s">
        <v>20197</v>
      </c>
      <c r="Q6237" s="20">
        <v>13968</v>
      </c>
      <c r="R6237" s="26" t="s">
        <v>36</v>
      </c>
      <c r="S6237" s="31">
        <v>2000</v>
      </c>
      <c r="T6237" s="32">
        <v>45122</v>
      </c>
      <c r="U6237" s="31">
        <v>11968</v>
      </c>
      <c r="V6237" s="32">
        <v>45135</v>
      </c>
      <c r="W6237" s="33" t="s">
        <v>463</v>
      </c>
      <c r="X6237" s="26">
        <v>0</v>
      </c>
      <c r="Y6237" s="22">
        <v>0</v>
      </c>
      <c r="Z6237" s="26" t="s">
        <v>118</v>
      </c>
      <c r="AA6237" s="19" t="s">
        <v>4541</v>
      </c>
      <c r="AB6237" s="26" t="s">
        <v>36</v>
      </c>
      <c r="AC6237" s="26" t="s">
        <v>53</v>
      </c>
      <c r="AD6237" s="19" t="s">
        <v>54</v>
      </c>
      <c r="AE6237" s="26" t="s">
        <v>8343</v>
      </c>
      <c r="AF6237" s="17">
        <v>45724</v>
      </c>
      <c r="AG6237" s="26"/>
      <c r="AH6237" s="26"/>
      <c r="AI6237" s="40"/>
      <c r="AJ6237" s="26"/>
      <c r="AK6237" s="26"/>
      <c r="AL6237" s="35"/>
      <c r="AM6237" s="35"/>
      <c r="AN6237" s="35"/>
      <c r="AO6237" s="35"/>
      <c r="AP6237" s="35"/>
    </row>
    <row r="6238" spans="1:42" x14ac:dyDescent="0.2">
      <c r="A6238" s="38">
        <v>45715</v>
      </c>
      <c r="B6238" s="28" t="s">
        <v>37</v>
      </c>
      <c r="C6238" s="41" t="s">
        <v>118</v>
      </c>
      <c r="D6238" s="26" t="s">
        <v>36</v>
      </c>
      <c r="E6238" s="26" t="s">
        <v>119</v>
      </c>
      <c r="F6238" s="26" t="s">
        <v>8650</v>
      </c>
      <c r="G6238" s="26" t="s">
        <v>1705</v>
      </c>
      <c r="H6238" s="26" t="s">
        <v>20180</v>
      </c>
      <c r="I6238" s="17">
        <f ca="1">IFERROR(__xludf.DUMMYFUNCTION("""COMPUTED_VALUE"""),45566)</f>
        <v>45566</v>
      </c>
      <c r="J6238" s="29" t="s">
        <v>1102</v>
      </c>
      <c r="K6238" s="26" t="s">
        <v>20198</v>
      </c>
      <c r="L6238" s="30">
        <v>378868780</v>
      </c>
      <c r="M6238" s="26" t="s">
        <v>80</v>
      </c>
      <c r="N6238" s="26" t="s">
        <v>2404</v>
      </c>
      <c r="O6238" s="26" t="s">
        <v>1104</v>
      </c>
      <c r="P6238" s="42" t="s">
        <v>8865</v>
      </c>
      <c r="Q6238" s="20">
        <v>13968</v>
      </c>
      <c r="R6238" s="26" t="s">
        <v>1106</v>
      </c>
      <c r="S6238" s="31">
        <v>4000</v>
      </c>
      <c r="T6238" s="32">
        <v>45129</v>
      </c>
      <c r="U6238" s="31">
        <v>9968</v>
      </c>
      <c r="V6238" s="32">
        <v>45151</v>
      </c>
      <c r="W6238" s="33" t="s">
        <v>1107</v>
      </c>
      <c r="X6238" s="26">
        <v>150</v>
      </c>
      <c r="Y6238" s="22">
        <v>-150</v>
      </c>
      <c r="Z6238" s="26" t="s">
        <v>118</v>
      </c>
      <c r="AA6238" s="19" t="s">
        <v>901</v>
      </c>
      <c r="AB6238" s="80" t="s">
        <v>36</v>
      </c>
      <c r="AC6238" s="26" t="s">
        <v>53</v>
      </c>
      <c r="AD6238" s="19" t="s">
        <v>54</v>
      </c>
      <c r="AE6238" s="26" t="s">
        <v>8650</v>
      </c>
      <c r="AF6238" s="17">
        <v>45724</v>
      </c>
      <c r="AG6238" s="26"/>
      <c r="AH6238" s="26">
        <v>1</v>
      </c>
      <c r="AI6238" s="40">
        <v>4</v>
      </c>
      <c r="AJ6238" s="26"/>
      <c r="AK6238" s="26"/>
      <c r="AL6238" s="35"/>
      <c r="AM6238" s="35"/>
      <c r="AN6238" s="35"/>
      <c r="AO6238" s="35"/>
      <c r="AP6238" s="35"/>
    </row>
    <row r="6239" spans="1:42" x14ac:dyDescent="0.2">
      <c r="A6239" s="38">
        <v>45716</v>
      </c>
      <c r="B6239" s="137" t="s">
        <v>37</v>
      </c>
      <c r="C6239" s="41" t="s">
        <v>118</v>
      </c>
      <c r="D6239" s="80" t="s">
        <v>36</v>
      </c>
      <c r="E6239" s="80" t="s">
        <v>139</v>
      </c>
      <c r="F6239" s="80" t="s">
        <v>14200</v>
      </c>
      <c r="G6239" s="80" t="s">
        <v>221</v>
      </c>
      <c r="H6239" s="80" t="s">
        <v>20199</v>
      </c>
      <c r="I6239" s="17">
        <f ca="1">IFERROR(__xludf.DUMMYFUNCTION("""COMPUTED_VALUE"""),45905)</f>
        <v>45905</v>
      </c>
      <c r="J6239" s="143" t="s">
        <v>12475</v>
      </c>
      <c r="K6239" s="80" t="s">
        <v>20200</v>
      </c>
      <c r="L6239" s="30">
        <v>964718117</v>
      </c>
      <c r="M6239" s="80" t="s">
        <v>5518</v>
      </c>
      <c r="N6239" s="80" t="s">
        <v>12477</v>
      </c>
      <c r="O6239" s="80" t="s">
        <v>12478</v>
      </c>
      <c r="P6239" s="80" t="s">
        <v>5462</v>
      </c>
      <c r="Q6239" s="20">
        <v>15936</v>
      </c>
      <c r="R6239" s="80" t="s">
        <v>36</v>
      </c>
      <c r="S6239" s="95">
        <v>2000</v>
      </c>
      <c r="T6239" s="148">
        <v>45530</v>
      </c>
      <c r="U6239" s="95">
        <v>13936</v>
      </c>
      <c r="V6239" s="148">
        <v>45565</v>
      </c>
      <c r="W6239" s="85" t="s">
        <v>12479</v>
      </c>
      <c r="X6239" s="80">
        <v>0</v>
      </c>
      <c r="Y6239" s="22">
        <v>0</v>
      </c>
      <c r="Z6239" s="80" t="s">
        <v>50</v>
      </c>
      <c r="AA6239" s="96" t="s">
        <v>3291</v>
      </c>
      <c r="AB6239" s="80"/>
      <c r="AC6239" s="80" t="s">
        <v>53</v>
      </c>
      <c r="AD6239" s="80" t="s">
        <v>138</v>
      </c>
      <c r="AE6239" s="80" t="s">
        <v>14200</v>
      </c>
      <c r="AF6239" s="17">
        <v>45750</v>
      </c>
      <c r="AG6239" s="80" t="s">
        <v>20201</v>
      </c>
      <c r="AH6239" s="80"/>
      <c r="AI6239" s="147" t="s">
        <v>147</v>
      </c>
      <c r="AJ6239" s="80"/>
      <c r="AK6239" s="80"/>
      <c r="AL6239" s="35"/>
      <c r="AM6239" s="35"/>
      <c r="AN6239" s="35"/>
      <c r="AO6239" s="35"/>
      <c r="AP6239" s="35"/>
    </row>
    <row r="6240" spans="1:42" x14ac:dyDescent="0.2">
      <c r="A6240" s="38">
        <v>45716</v>
      </c>
      <c r="B6240" s="137" t="s">
        <v>37</v>
      </c>
      <c r="C6240" s="41" t="s">
        <v>118</v>
      </c>
      <c r="D6240" s="80" t="s">
        <v>36</v>
      </c>
      <c r="E6240" s="80" t="s">
        <v>139</v>
      </c>
      <c r="F6240" s="80" t="s">
        <v>14387</v>
      </c>
      <c r="G6240" s="80" t="s">
        <v>108</v>
      </c>
      <c r="H6240" s="80" t="s">
        <v>20202</v>
      </c>
      <c r="I6240" s="17">
        <f ca="1">IFERROR(__xludf.DUMMYFUNCTION("""COMPUTED_VALUE"""),45845)</f>
        <v>45845</v>
      </c>
      <c r="J6240" s="143" t="s">
        <v>14458</v>
      </c>
      <c r="K6240" s="145" t="s">
        <v>20203</v>
      </c>
      <c r="L6240" s="30">
        <v>337821606</v>
      </c>
      <c r="M6240" s="80" t="s">
        <v>123</v>
      </c>
      <c r="N6240" s="80" t="s">
        <v>2847</v>
      </c>
      <c r="O6240" s="80" t="s">
        <v>4503</v>
      </c>
      <c r="P6240" s="80" t="s">
        <v>5794</v>
      </c>
      <c r="Q6240" s="20">
        <v>15936</v>
      </c>
      <c r="R6240" s="80" t="s">
        <v>36</v>
      </c>
      <c r="S6240" s="77">
        <v>5200</v>
      </c>
      <c r="T6240" s="80" t="s">
        <v>14460</v>
      </c>
      <c r="U6240" s="77">
        <v>10736</v>
      </c>
      <c r="V6240" s="78">
        <v>45603</v>
      </c>
      <c r="W6240" s="80" t="s">
        <v>14461</v>
      </c>
      <c r="X6240" s="86"/>
      <c r="Y6240" s="22">
        <v>0</v>
      </c>
      <c r="Z6240" s="80" t="s">
        <v>50</v>
      </c>
      <c r="AA6240" s="86"/>
      <c r="AB6240" s="80"/>
      <c r="AC6240" s="80" t="s">
        <v>53</v>
      </c>
      <c r="AD6240" s="80" t="s">
        <v>138</v>
      </c>
      <c r="AE6240" s="80" t="s">
        <v>14387</v>
      </c>
      <c r="AF6240" s="17">
        <v>45845</v>
      </c>
      <c r="AG6240" s="143"/>
      <c r="AH6240" s="80"/>
      <c r="AI6240" s="147"/>
      <c r="AJ6240" s="80"/>
      <c r="AK6240" s="80"/>
      <c r="AL6240" s="35"/>
      <c r="AM6240" s="35"/>
      <c r="AN6240" s="35"/>
      <c r="AO6240" s="35"/>
      <c r="AP6240" s="35"/>
    </row>
    <row r="6241" spans="1:42" x14ac:dyDescent="0.2">
      <c r="A6241" s="38">
        <v>45716</v>
      </c>
      <c r="B6241" s="137" t="s">
        <v>37</v>
      </c>
      <c r="C6241" s="41" t="s">
        <v>118</v>
      </c>
      <c r="D6241" s="26" t="s">
        <v>36</v>
      </c>
      <c r="E6241" s="26" t="s">
        <v>139</v>
      </c>
      <c r="F6241" s="26" t="s">
        <v>9032</v>
      </c>
      <c r="G6241" s="26" t="s">
        <v>1847</v>
      </c>
      <c r="H6241" s="26" t="s">
        <v>18547</v>
      </c>
      <c r="I6241" s="17">
        <f ca="1">IFERROR(__xludf.DUMMYFUNCTION("""COMPUTED_VALUE"""),45725)</f>
        <v>45725</v>
      </c>
      <c r="J6241" s="29" t="s">
        <v>7095</v>
      </c>
      <c r="K6241" s="26" t="s">
        <v>7096</v>
      </c>
      <c r="L6241" s="30">
        <v>912552802</v>
      </c>
      <c r="M6241" s="26" t="s">
        <v>2755</v>
      </c>
      <c r="N6241" s="26" t="s">
        <v>2756</v>
      </c>
      <c r="O6241" s="26" t="s">
        <v>4503</v>
      </c>
      <c r="P6241" s="42" t="s">
        <v>7097</v>
      </c>
      <c r="Q6241" s="20">
        <v>15936</v>
      </c>
      <c r="R6241" s="26" t="s">
        <v>36</v>
      </c>
      <c r="S6241" s="31">
        <v>400</v>
      </c>
      <c r="T6241" s="32">
        <v>45293</v>
      </c>
      <c r="U6241" s="31">
        <f>11336+3600</f>
        <v>14936</v>
      </c>
      <c r="V6241" s="26" t="s">
        <v>7098</v>
      </c>
      <c r="W6241" s="33" t="s">
        <v>7099</v>
      </c>
      <c r="X6241" s="26"/>
      <c r="Y6241" s="22">
        <v>600</v>
      </c>
      <c r="Z6241" s="26" t="s">
        <v>118</v>
      </c>
      <c r="AA6241" s="19" t="s">
        <v>7348</v>
      </c>
      <c r="AB6241" s="80" t="s">
        <v>36</v>
      </c>
      <c r="AC6241" s="26" t="s">
        <v>53</v>
      </c>
      <c r="AD6241" s="19" t="s">
        <v>138</v>
      </c>
      <c r="AE6241" s="26" t="s">
        <v>9032</v>
      </c>
      <c r="AF6241" s="17">
        <v>45722</v>
      </c>
      <c r="AG6241" s="26"/>
      <c r="AH6241" s="26"/>
      <c r="AI6241" s="40" t="s">
        <v>147</v>
      </c>
      <c r="AJ6241" s="26"/>
      <c r="AK6241" s="26"/>
      <c r="AL6241" s="35"/>
      <c r="AM6241" s="35"/>
      <c r="AN6241" s="35"/>
      <c r="AO6241" s="35"/>
      <c r="AP6241" s="35"/>
    </row>
    <row r="6242" spans="1:42" x14ac:dyDescent="0.2">
      <c r="A6242" s="38">
        <v>45716</v>
      </c>
      <c r="B6242" s="28" t="s">
        <v>37</v>
      </c>
      <c r="C6242" s="41" t="s">
        <v>118</v>
      </c>
      <c r="D6242" s="80" t="s">
        <v>36</v>
      </c>
      <c r="E6242" s="80" t="s">
        <v>39</v>
      </c>
      <c r="F6242" s="80" t="s">
        <v>14737</v>
      </c>
      <c r="G6242" s="80" t="s">
        <v>108</v>
      </c>
      <c r="H6242" s="80" t="s">
        <v>19406</v>
      </c>
      <c r="I6242" s="17">
        <f ca="1">IFERROR(__xludf.DUMMYFUNCTION("""COMPUTED_VALUE"""),45723)</f>
        <v>45723</v>
      </c>
      <c r="J6242" s="143" t="s">
        <v>13334</v>
      </c>
      <c r="K6242" s="80" t="s">
        <v>20204</v>
      </c>
      <c r="L6242" s="30">
        <v>947822145</v>
      </c>
      <c r="M6242" s="80" t="s">
        <v>9422</v>
      </c>
      <c r="N6242" s="80" t="s">
        <v>327</v>
      </c>
      <c r="O6242" s="80" t="s">
        <v>13336</v>
      </c>
      <c r="P6242" s="144" t="s">
        <v>20205</v>
      </c>
      <c r="Q6242" s="20">
        <v>5736</v>
      </c>
      <c r="R6242" s="80" t="s">
        <v>11421</v>
      </c>
      <c r="S6242" s="95">
        <v>5436</v>
      </c>
      <c r="T6242" s="148">
        <v>45553</v>
      </c>
      <c r="U6242" s="77"/>
      <c r="V6242" s="78"/>
      <c r="W6242" s="79" t="s">
        <v>13338</v>
      </c>
      <c r="X6242" s="80">
        <v>300</v>
      </c>
      <c r="Y6242" s="22">
        <v>0</v>
      </c>
      <c r="Z6242" s="80" t="s">
        <v>50</v>
      </c>
      <c r="AA6242" s="35" t="s">
        <v>3291</v>
      </c>
      <c r="AB6242" s="80"/>
      <c r="AC6242" s="80" t="s">
        <v>53</v>
      </c>
      <c r="AD6242" s="80" t="s">
        <v>54</v>
      </c>
      <c r="AE6242" s="80" t="s">
        <v>14737</v>
      </c>
      <c r="AF6242" s="17">
        <v>45609</v>
      </c>
      <c r="AG6242" s="80"/>
      <c r="AH6242" s="80"/>
      <c r="AI6242" s="147" t="s">
        <v>55</v>
      </c>
      <c r="AJ6242" s="80"/>
      <c r="AK6242" s="80"/>
      <c r="AL6242" s="35"/>
      <c r="AM6242" s="35"/>
      <c r="AN6242" s="35"/>
      <c r="AO6242" s="35"/>
      <c r="AP6242" s="35"/>
    </row>
    <row r="6243" spans="1:42" x14ac:dyDescent="0.2">
      <c r="A6243" s="38">
        <v>45716</v>
      </c>
      <c r="B6243" s="137" t="s">
        <v>37</v>
      </c>
      <c r="C6243" s="41" t="s">
        <v>118</v>
      </c>
      <c r="D6243" s="26" t="s">
        <v>36</v>
      </c>
      <c r="E6243" s="26" t="s">
        <v>139</v>
      </c>
      <c r="F6243" s="26" t="s">
        <v>7944</v>
      </c>
      <c r="G6243" s="26" t="s">
        <v>1847</v>
      </c>
      <c r="H6243" s="26" t="s">
        <v>20206</v>
      </c>
      <c r="I6243" s="17">
        <f ca="1">IFERROR(__xludf.DUMMYFUNCTION("""COMPUTED_VALUE"""),45726)</f>
        <v>45726</v>
      </c>
      <c r="J6243" s="29" t="s">
        <v>5238</v>
      </c>
      <c r="K6243" s="26" t="s">
        <v>20207</v>
      </c>
      <c r="L6243" s="30">
        <v>965991652</v>
      </c>
      <c r="M6243" s="26" t="s">
        <v>123</v>
      </c>
      <c r="N6243" s="26" t="s">
        <v>850</v>
      </c>
      <c r="O6243" s="26" t="s">
        <v>1226</v>
      </c>
      <c r="P6243" s="42" t="s">
        <v>6001</v>
      </c>
      <c r="Q6243" s="20">
        <v>15936</v>
      </c>
      <c r="R6243" s="26" t="s">
        <v>36</v>
      </c>
      <c r="S6243" s="31">
        <v>4000</v>
      </c>
      <c r="T6243" s="32">
        <v>45204</v>
      </c>
      <c r="U6243" s="31">
        <v>11936</v>
      </c>
      <c r="V6243" s="32">
        <v>45231</v>
      </c>
      <c r="W6243" s="33" t="s">
        <v>5240</v>
      </c>
      <c r="X6243" s="26"/>
      <c r="Y6243" s="22">
        <v>0</v>
      </c>
      <c r="Z6243" s="26" t="s">
        <v>118</v>
      </c>
      <c r="AA6243" s="19" t="s">
        <v>5785</v>
      </c>
      <c r="AB6243" s="26" t="s">
        <v>36</v>
      </c>
      <c r="AC6243" s="26" t="s">
        <v>53</v>
      </c>
      <c r="AD6243" s="19" t="s">
        <v>138</v>
      </c>
      <c r="AE6243" s="26" t="s">
        <v>7944</v>
      </c>
      <c r="AF6243" s="17">
        <v>45722</v>
      </c>
      <c r="AG6243" s="26"/>
      <c r="AH6243" s="26"/>
      <c r="AI6243" s="40" t="s">
        <v>147</v>
      </c>
      <c r="AJ6243" s="26"/>
      <c r="AK6243" s="26"/>
      <c r="AL6243" s="35"/>
      <c r="AM6243" s="35"/>
      <c r="AN6243" s="35"/>
      <c r="AO6243" s="35"/>
      <c r="AP6243" s="35"/>
    </row>
    <row r="6244" spans="1:42" x14ac:dyDescent="0.2">
      <c r="A6244" s="38">
        <v>45716</v>
      </c>
      <c r="B6244" s="137" t="s">
        <v>37</v>
      </c>
      <c r="C6244" s="41" t="s">
        <v>118</v>
      </c>
      <c r="D6244" s="26" t="s">
        <v>36</v>
      </c>
      <c r="E6244" s="26" t="s">
        <v>139</v>
      </c>
      <c r="F6244" s="80" t="s">
        <v>10199</v>
      </c>
      <c r="G6244" s="80" t="s">
        <v>221</v>
      </c>
      <c r="H6244" s="80" t="s">
        <v>20208</v>
      </c>
      <c r="I6244" s="17">
        <f ca="1">IFERROR(__xludf.DUMMYFUNCTION("""COMPUTED_VALUE"""),45736)</f>
        <v>45736</v>
      </c>
      <c r="J6244" s="29" t="s">
        <v>10832</v>
      </c>
      <c r="K6244" s="26" t="s">
        <v>20209</v>
      </c>
      <c r="L6244" s="30">
        <v>358395716</v>
      </c>
      <c r="M6244" s="26" t="s">
        <v>80</v>
      </c>
      <c r="N6244" s="26" t="s">
        <v>1073</v>
      </c>
      <c r="O6244" s="26" t="s">
        <v>10834</v>
      </c>
      <c r="P6244" s="42" t="s">
        <v>20210</v>
      </c>
      <c r="Q6244" s="20">
        <v>15936</v>
      </c>
      <c r="R6244" s="26" t="s">
        <v>36</v>
      </c>
      <c r="S6244" s="95">
        <f t="shared" ref="S6244:S6246" si="178">200+1800</f>
        <v>2000</v>
      </c>
      <c r="T6244" s="83" t="s">
        <v>10828</v>
      </c>
      <c r="U6244" s="95">
        <v>13936</v>
      </c>
      <c r="V6244" s="148">
        <v>45523</v>
      </c>
      <c r="W6244" s="33" t="s">
        <v>10836</v>
      </c>
      <c r="X6244" s="26">
        <v>0</v>
      </c>
      <c r="Y6244" s="22">
        <v>0</v>
      </c>
      <c r="Z6244" s="26" t="s">
        <v>50</v>
      </c>
      <c r="AA6244" s="35" t="s">
        <v>10314</v>
      </c>
      <c r="AB6244" s="26"/>
      <c r="AC6244" s="26" t="s">
        <v>53</v>
      </c>
      <c r="AD6244" s="26" t="s">
        <v>54</v>
      </c>
      <c r="AE6244" s="80" t="s">
        <v>10199</v>
      </c>
      <c r="AF6244" s="17">
        <v>45736</v>
      </c>
      <c r="AG6244" s="26"/>
      <c r="AH6244" s="26"/>
      <c r="AI6244" s="40"/>
      <c r="AJ6244" s="26"/>
      <c r="AK6244" s="26"/>
      <c r="AL6244" s="35"/>
      <c r="AM6244" s="35"/>
      <c r="AN6244" s="35"/>
      <c r="AO6244" s="35"/>
      <c r="AP6244" s="35"/>
    </row>
    <row r="6245" spans="1:42" x14ac:dyDescent="0.2">
      <c r="A6245" s="38">
        <v>45716</v>
      </c>
      <c r="B6245" s="28" t="s">
        <v>37</v>
      </c>
      <c r="C6245" s="41" t="s">
        <v>118</v>
      </c>
      <c r="D6245" s="80" t="s">
        <v>36</v>
      </c>
      <c r="E6245" s="80" t="s">
        <v>139</v>
      </c>
      <c r="F6245" s="80" t="s">
        <v>14200</v>
      </c>
      <c r="G6245" s="80" t="s">
        <v>221</v>
      </c>
      <c r="H6245" s="80" t="s">
        <v>18135</v>
      </c>
      <c r="I6245" s="17">
        <f ca="1">IFERROR(__xludf.DUMMYFUNCTION("""COMPUTED_VALUE"""),45729)</f>
        <v>45729</v>
      </c>
      <c r="J6245" s="143" t="s">
        <v>14201</v>
      </c>
      <c r="K6245" s="80" t="s">
        <v>3733</v>
      </c>
      <c r="L6245" s="30">
        <v>972236387</v>
      </c>
      <c r="M6245" s="80" t="s">
        <v>5518</v>
      </c>
      <c r="N6245" s="80" t="s">
        <v>5524</v>
      </c>
      <c r="O6245" s="80" t="s">
        <v>14202</v>
      </c>
      <c r="P6245" s="80" t="s">
        <v>3694</v>
      </c>
      <c r="Q6245" s="20">
        <v>15936</v>
      </c>
      <c r="R6245" s="80" t="s">
        <v>36</v>
      </c>
      <c r="S6245" s="95">
        <f t="shared" si="178"/>
        <v>2000</v>
      </c>
      <c r="T6245" s="83" t="s">
        <v>14203</v>
      </c>
      <c r="U6245" s="95">
        <v>13936</v>
      </c>
      <c r="V6245" s="148">
        <v>45566</v>
      </c>
      <c r="W6245" s="85" t="s">
        <v>14204</v>
      </c>
      <c r="X6245" s="80"/>
      <c r="Y6245" s="22">
        <v>0</v>
      </c>
      <c r="Z6245" s="80" t="s">
        <v>50</v>
      </c>
      <c r="AA6245" s="82"/>
      <c r="AB6245" s="80"/>
      <c r="AC6245" s="80" t="s">
        <v>53</v>
      </c>
      <c r="AD6245" s="80" t="s">
        <v>138</v>
      </c>
      <c r="AE6245" s="80" t="s">
        <v>14200</v>
      </c>
      <c r="AF6245" s="17">
        <v>45729</v>
      </c>
      <c r="AG6245" s="80"/>
      <c r="AH6245" s="80"/>
      <c r="AI6245" s="147"/>
      <c r="AJ6245" s="80"/>
      <c r="AK6245" s="80"/>
      <c r="AL6245" s="35"/>
      <c r="AM6245" s="35"/>
      <c r="AN6245" s="35"/>
      <c r="AO6245" s="35"/>
      <c r="AP6245" s="35"/>
    </row>
    <row r="6246" spans="1:42" x14ac:dyDescent="0.2">
      <c r="A6246" s="38">
        <v>45716</v>
      </c>
      <c r="B6246" s="137" t="s">
        <v>37</v>
      </c>
      <c r="C6246" s="41" t="s">
        <v>118</v>
      </c>
      <c r="D6246" s="80" t="s">
        <v>36</v>
      </c>
      <c r="E6246" s="80" t="s">
        <v>139</v>
      </c>
      <c r="F6246" s="80" t="s">
        <v>14200</v>
      </c>
      <c r="G6246" s="80" t="s">
        <v>221</v>
      </c>
      <c r="H6246" s="80" t="s">
        <v>20211</v>
      </c>
      <c r="I6246" s="17">
        <f ca="1">IFERROR(__xludf.DUMMYFUNCTION("""COMPUTED_VALUE"""),45946)</f>
        <v>45946</v>
      </c>
      <c r="J6246" s="143" t="s">
        <v>12594</v>
      </c>
      <c r="K6246" s="80" t="s">
        <v>20212</v>
      </c>
      <c r="L6246" s="30">
        <v>855612106</v>
      </c>
      <c r="M6246" s="80" t="s">
        <v>5429</v>
      </c>
      <c r="N6246" s="80" t="s">
        <v>756</v>
      </c>
      <c r="O6246" s="80" t="s">
        <v>12596</v>
      </c>
      <c r="P6246" s="80" t="s">
        <v>12597</v>
      </c>
      <c r="Q6246" s="20">
        <v>15936</v>
      </c>
      <c r="R6246" s="80" t="s">
        <v>36</v>
      </c>
      <c r="S6246" s="95">
        <f t="shared" si="178"/>
        <v>2000</v>
      </c>
      <c r="T6246" s="83" t="s">
        <v>12598</v>
      </c>
      <c r="U6246" s="95">
        <v>13936</v>
      </c>
      <c r="V6246" s="148">
        <v>45565</v>
      </c>
      <c r="W6246" s="85" t="s">
        <v>12599</v>
      </c>
      <c r="X6246" s="80">
        <v>0</v>
      </c>
      <c r="Y6246" s="22">
        <v>0</v>
      </c>
      <c r="Z6246" s="80" t="s">
        <v>50</v>
      </c>
      <c r="AA6246" s="35" t="s">
        <v>3291</v>
      </c>
      <c r="AB6246" s="80"/>
      <c r="AC6246" s="80" t="s">
        <v>53</v>
      </c>
      <c r="AD6246" s="80" t="s">
        <v>138</v>
      </c>
      <c r="AE6246" s="80" t="s">
        <v>14200</v>
      </c>
      <c r="AF6246" s="17">
        <v>45729</v>
      </c>
      <c r="AG6246" s="80"/>
      <c r="AH6246" s="80"/>
      <c r="AI6246" s="147" t="s">
        <v>147</v>
      </c>
      <c r="AJ6246" s="80"/>
      <c r="AK6246" s="80"/>
      <c r="AL6246" s="35"/>
      <c r="AM6246" s="35"/>
      <c r="AN6246" s="35"/>
      <c r="AO6246" s="35"/>
      <c r="AP6246" s="35"/>
    </row>
    <row r="6247" spans="1:42" x14ac:dyDescent="0.2">
      <c r="A6247" s="38">
        <v>45716</v>
      </c>
      <c r="B6247" s="137" t="s">
        <v>37</v>
      </c>
      <c r="C6247" s="41" t="s">
        <v>118</v>
      </c>
      <c r="D6247" s="26" t="s">
        <v>36</v>
      </c>
      <c r="E6247" s="26" t="s">
        <v>139</v>
      </c>
      <c r="F6247" s="80" t="s">
        <v>8702</v>
      </c>
      <c r="G6247" s="80" t="s">
        <v>221</v>
      </c>
      <c r="H6247" s="80" t="s">
        <v>20021</v>
      </c>
      <c r="I6247" s="17">
        <f ca="1">IFERROR(__xludf.DUMMYFUNCTION("""COMPUTED_VALUE"""),45737)</f>
        <v>45737</v>
      </c>
      <c r="J6247" s="29" t="s">
        <v>14268</v>
      </c>
      <c r="K6247" s="26" t="s">
        <v>20213</v>
      </c>
      <c r="L6247" s="30">
        <v>339690477</v>
      </c>
      <c r="M6247" s="26" t="s">
        <v>80</v>
      </c>
      <c r="N6247" s="26" t="s">
        <v>466</v>
      </c>
      <c r="O6247" s="26" t="s">
        <v>14270</v>
      </c>
      <c r="P6247" s="26" t="s">
        <v>14271</v>
      </c>
      <c r="Q6247" s="20">
        <v>15936</v>
      </c>
      <c r="R6247" s="26" t="s">
        <v>36</v>
      </c>
      <c r="S6247" s="95">
        <v>2000</v>
      </c>
      <c r="T6247" s="148">
        <v>45485</v>
      </c>
      <c r="U6247" s="95">
        <v>13936</v>
      </c>
      <c r="V6247" s="148">
        <v>45587</v>
      </c>
      <c r="W6247" s="33" t="s">
        <v>14272</v>
      </c>
      <c r="X6247" s="26"/>
      <c r="Y6247" s="22">
        <v>0</v>
      </c>
      <c r="Z6247" s="26" t="s">
        <v>50</v>
      </c>
      <c r="AA6247" s="96"/>
      <c r="AB6247" s="26"/>
      <c r="AC6247" s="26" t="s">
        <v>53</v>
      </c>
      <c r="AD6247" s="26" t="s">
        <v>54</v>
      </c>
      <c r="AE6247" s="80" t="s">
        <v>8702</v>
      </c>
      <c r="AF6247" s="17">
        <v>45737</v>
      </c>
      <c r="AG6247" s="80"/>
      <c r="AH6247" s="26"/>
      <c r="AI6247" s="40"/>
      <c r="AJ6247" s="26"/>
      <c r="AK6247" s="26"/>
      <c r="AL6247" s="35"/>
      <c r="AM6247" s="35"/>
      <c r="AN6247" s="35"/>
      <c r="AO6247" s="35"/>
      <c r="AP6247" s="35"/>
    </row>
    <row r="6248" spans="1:42" x14ac:dyDescent="0.2">
      <c r="A6248" s="38">
        <v>45716</v>
      </c>
      <c r="B6248" s="137" t="s">
        <v>37</v>
      </c>
      <c r="C6248" s="41" t="s">
        <v>118</v>
      </c>
      <c r="D6248" s="26" t="s">
        <v>36</v>
      </c>
      <c r="E6248" s="26" t="s">
        <v>119</v>
      </c>
      <c r="F6248" s="26" t="s">
        <v>13652</v>
      </c>
      <c r="G6248" s="26" t="s">
        <v>1847</v>
      </c>
      <c r="H6248" s="26" t="s">
        <v>18558</v>
      </c>
      <c r="I6248" s="17">
        <f ca="1">IFERROR(__xludf.DUMMYFUNCTION("""COMPUTED_VALUE"""),45845)</f>
        <v>45845</v>
      </c>
      <c r="J6248" s="29" t="s">
        <v>5719</v>
      </c>
      <c r="K6248" s="26" t="s">
        <v>20214</v>
      </c>
      <c r="L6248" s="30">
        <v>378143076</v>
      </c>
      <c r="M6248" s="26" t="s">
        <v>5429</v>
      </c>
      <c r="N6248" s="26" t="s">
        <v>81</v>
      </c>
      <c r="O6248" s="26" t="s">
        <v>1492</v>
      </c>
      <c r="P6248" s="42" t="s">
        <v>20215</v>
      </c>
      <c r="Q6248" s="20">
        <v>13968</v>
      </c>
      <c r="R6248" s="26" t="s">
        <v>36</v>
      </c>
      <c r="S6248" s="31">
        <v>10126</v>
      </c>
      <c r="T6248" s="32">
        <v>45253</v>
      </c>
      <c r="U6248" s="31"/>
      <c r="V6248" s="16" t="s">
        <v>5721</v>
      </c>
      <c r="W6248" s="33" t="s">
        <v>5722</v>
      </c>
      <c r="X6248" s="26"/>
      <c r="Y6248" s="22">
        <v>0</v>
      </c>
      <c r="Z6248" s="26" t="s">
        <v>50</v>
      </c>
      <c r="AA6248" s="19" t="s">
        <v>5112</v>
      </c>
      <c r="AB6248" s="26" t="s">
        <v>104</v>
      </c>
      <c r="AC6248" s="26" t="s">
        <v>53</v>
      </c>
      <c r="AD6248" s="19" t="s">
        <v>138</v>
      </c>
      <c r="AE6248" s="26" t="s">
        <v>13652</v>
      </c>
      <c r="AF6248" s="17">
        <v>45789</v>
      </c>
      <c r="AG6248" s="26"/>
      <c r="AH6248" s="26"/>
      <c r="AI6248" s="40">
        <v>4</v>
      </c>
      <c r="AJ6248" s="26"/>
      <c r="AK6248" s="26"/>
      <c r="AL6248" s="35"/>
      <c r="AM6248" s="35"/>
      <c r="AN6248" s="35"/>
      <c r="AO6248" s="35"/>
      <c r="AP6248" s="35"/>
    </row>
    <row r="6249" spans="1:42" x14ac:dyDescent="0.2">
      <c r="A6249" s="38">
        <v>45716</v>
      </c>
      <c r="B6249" s="137" t="s">
        <v>37</v>
      </c>
      <c r="C6249" s="41" t="s">
        <v>118</v>
      </c>
      <c r="D6249" s="80" t="s">
        <v>36</v>
      </c>
      <c r="E6249" s="80" t="s">
        <v>139</v>
      </c>
      <c r="F6249" s="80" t="s">
        <v>8702</v>
      </c>
      <c r="G6249" s="80" t="s">
        <v>221</v>
      </c>
      <c r="H6249" s="80" t="s">
        <v>20021</v>
      </c>
      <c r="I6249" s="17">
        <f ca="1">IFERROR(__xludf.DUMMYFUNCTION("""COMPUTED_VALUE"""),45737)</f>
        <v>45737</v>
      </c>
      <c r="J6249" s="143" t="s">
        <v>12674</v>
      </c>
      <c r="K6249" s="80" t="s">
        <v>12675</v>
      </c>
      <c r="L6249" s="30">
        <v>362165621</v>
      </c>
      <c r="M6249" s="80" t="s">
        <v>59</v>
      </c>
      <c r="N6249" s="80" t="s">
        <v>68</v>
      </c>
      <c r="O6249" s="80" t="s">
        <v>12676</v>
      </c>
      <c r="P6249" s="80" t="s">
        <v>12677</v>
      </c>
      <c r="Q6249" s="20">
        <v>15936</v>
      </c>
      <c r="R6249" s="80" t="s">
        <v>1106</v>
      </c>
      <c r="S6249" s="95">
        <f>200+2000</f>
        <v>2200</v>
      </c>
      <c r="T6249" s="83" t="s">
        <v>12657</v>
      </c>
      <c r="U6249" s="95">
        <v>13613</v>
      </c>
      <c r="V6249" s="148">
        <v>45560</v>
      </c>
      <c r="W6249" s="85" t="s">
        <v>12678</v>
      </c>
      <c r="X6249" s="80">
        <v>150</v>
      </c>
      <c r="Y6249" s="22">
        <v>-27</v>
      </c>
      <c r="Z6249" s="80" t="s">
        <v>50</v>
      </c>
      <c r="AA6249" s="96" t="s">
        <v>3291</v>
      </c>
      <c r="AB6249" s="80"/>
      <c r="AC6249" s="80" t="s">
        <v>53</v>
      </c>
      <c r="AD6249" s="80" t="s">
        <v>138</v>
      </c>
      <c r="AE6249" s="80" t="s">
        <v>8702</v>
      </c>
      <c r="AF6249" s="17">
        <v>45737</v>
      </c>
      <c r="AG6249" s="80"/>
      <c r="AH6249" s="80"/>
      <c r="AI6249" s="147" t="s">
        <v>147</v>
      </c>
      <c r="AJ6249" s="80"/>
      <c r="AK6249" s="80"/>
      <c r="AL6249" s="35"/>
      <c r="AM6249" s="35"/>
      <c r="AN6249" s="35"/>
      <c r="AO6249" s="35"/>
      <c r="AP6249" s="35"/>
    </row>
    <row r="6250" spans="1:42" x14ac:dyDescent="0.2">
      <c r="A6250" s="38">
        <v>45716</v>
      </c>
      <c r="B6250" s="137" t="s">
        <v>37</v>
      </c>
      <c r="C6250" s="41" t="s">
        <v>118</v>
      </c>
      <c r="D6250" s="80" t="s">
        <v>36</v>
      </c>
      <c r="E6250" s="80" t="s">
        <v>139</v>
      </c>
      <c r="F6250" s="80" t="s">
        <v>8702</v>
      </c>
      <c r="G6250" s="80" t="s">
        <v>221</v>
      </c>
      <c r="H6250" s="80" t="s">
        <v>20021</v>
      </c>
      <c r="I6250" s="17">
        <f ca="1">IFERROR(__xludf.DUMMYFUNCTION("""COMPUTED_VALUE"""),45737)</f>
        <v>45737</v>
      </c>
      <c r="J6250" s="143" t="s">
        <v>14243</v>
      </c>
      <c r="K6250" s="80" t="s">
        <v>20216</v>
      </c>
      <c r="L6250" s="30">
        <v>931381308</v>
      </c>
      <c r="M6250" s="80" t="s">
        <v>5429</v>
      </c>
      <c r="N6250" s="80" t="s">
        <v>3065</v>
      </c>
      <c r="O6250" s="80" t="s">
        <v>14245</v>
      </c>
      <c r="P6250" s="80" t="s">
        <v>7107</v>
      </c>
      <c r="Q6250" s="20">
        <v>15936</v>
      </c>
      <c r="R6250" s="80" t="s">
        <v>36</v>
      </c>
      <c r="S6250" s="95">
        <v>2000</v>
      </c>
      <c r="T6250" s="148">
        <v>45538</v>
      </c>
      <c r="U6250" s="95">
        <v>13936</v>
      </c>
      <c r="V6250" s="148">
        <v>45570</v>
      </c>
      <c r="W6250" s="85" t="s">
        <v>14246</v>
      </c>
      <c r="X6250" s="80"/>
      <c r="Y6250" s="22">
        <v>0</v>
      </c>
      <c r="Z6250" s="80" t="s">
        <v>50</v>
      </c>
      <c r="AA6250" s="86"/>
      <c r="AB6250" s="80"/>
      <c r="AC6250" s="80" t="s">
        <v>53</v>
      </c>
      <c r="AD6250" s="80" t="s">
        <v>138</v>
      </c>
      <c r="AE6250" s="80" t="s">
        <v>8702</v>
      </c>
      <c r="AF6250" s="17">
        <v>45737</v>
      </c>
      <c r="AG6250" s="80"/>
      <c r="AH6250" s="80"/>
      <c r="AI6250" s="147"/>
      <c r="AJ6250" s="80"/>
      <c r="AK6250" s="80"/>
      <c r="AL6250" s="35"/>
      <c r="AM6250" s="35"/>
      <c r="AN6250" s="35"/>
      <c r="AO6250" s="35"/>
      <c r="AP6250" s="35"/>
    </row>
    <row r="6251" spans="1:42" x14ac:dyDescent="0.2">
      <c r="A6251" s="38">
        <v>45716</v>
      </c>
      <c r="B6251" s="137" t="s">
        <v>37</v>
      </c>
      <c r="C6251" s="41" t="s">
        <v>118</v>
      </c>
      <c r="D6251" s="80" t="s">
        <v>36</v>
      </c>
      <c r="E6251" s="80" t="s">
        <v>139</v>
      </c>
      <c r="F6251" s="80" t="s">
        <v>8702</v>
      </c>
      <c r="G6251" s="80" t="s">
        <v>221</v>
      </c>
      <c r="H6251" s="80" t="s">
        <v>20021</v>
      </c>
      <c r="I6251" s="17">
        <f ca="1">IFERROR(__xludf.DUMMYFUNCTION("""COMPUTED_VALUE"""),45737)</f>
        <v>45737</v>
      </c>
      <c r="J6251" s="143" t="s">
        <v>14239</v>
      </c>
      <c r="K6251" s="80" t="s">
        <v>14240</v>
      </c>
      <c r="L6251" s="30">
        <v>835201106</v>
      </c>
      <c r="M6251" s="80" t="s">
        <v>2755</v>
      </c>
      <c r="N6251" s="80" t="s">
        <v>2756</v>
      </c>
      <c r="O6251" s="80" t="s">
        <v>4503</v>
      </c>
      <c r="P6251" s="80" t="s">
        <v>7649</v>
      </c>
      <c r="Q6251" s="20">
        <v>15936</v>
      </c>
      <c r="R6251" s="80" t="s">
        <v>36</v>
      </c>
      <c r="S6251" s="95">
        <v>2200</v>
      </c>
      <c r="T6251" s="148">
        <v>45544</v>
      </c>
      <c r="U6251" s="95">
        <v>13736</v>
      </c>
      <c r="V6251" s="148">
        <v>45572</v>
      </c>
      <c r="W6251" s="80" t="s">
        <v>14241</v>
      </c>
      <c r="X6251" s="80"/>
      <c r="Y6251" s="22">
        <v>0</v>
      </c>
      <c r="Z6251" s="80" t="s">
        <v>50</v>
      </c>
      <c r="AA6251" s="82"/>
      <c r="AB6251" s="80"/>
      <c r="AC6251" s="80" t="s">
        <v>53</v>
      </c>
      <c r="AD6251" s="80" t="s">
        <v>54</v>
      </c>
      <c r="AE6251" s="80" t="s">
        <v>8702</v>
      </c>
      <c r="AF6251" s="17">
        <v>45737</v>
      </c>
      <c r="AG6251" s="80"/>
      <c r="AH6251" s="80"/>
      <c r="AI6251" s="147"/>
      <c r="AJ6251" s="80"/>
      <c r="AK6251" s="80"/>
      <c r="AL6251" s="35"/>
      <c r="AM6251" s="35"/>
      <c r="AN6251" s="35"/>
      <c r="AO6251" s="35"/>
      <c r="AP6251" s="35"/>
    </row>
    <row r="6252" spans="1:42" x14ac:dyDescent="0.2">
      <c r="A6252" s="38">
        <v>45716</v>
      </c>
      <c r="B6252" s="137" t="s">
        <v>37</v>
      </c>
      <c r="C6252" s="41" t="s">
        <v>118</v>
      </c>
      <c r="D6252" s="80" t="s">
        <v>36</v>
      </c>
      <c r="E6252" s="80" t="s">
        <v>139</v>
      </c>
      <c r="F6252" s="80" t="s">
        <v>8702</v>
      </c>
      <c r="G6252" s="80" t="s">
        <v>221</v>
      </c>
      <c r="H6252" s="80" t="s">
        <v>20021</v>
      </c>
      <c r="I6252" s="17">
        <f ca="1">IFERROR(__xludf.DUMMYFUNCTION("""COMPUTED_VALUE"""),45737)</f>
        <v>45737</v>
      </c>
      <c r="J6252" s="143" t="s">
        <v>12679</v>
      </c>
      <c r="K6252" s="80" t="s">
        <v>20217</v>
      </c>
      <c r="L6252" s="30">
        <v>973530940</v>
      </c>
      <c r="M6252" s="80" t="s">
        <v>59</v>
      </c>
      <c r="N6252" s="80" t="s">
        <v>4299</v>
      </c>
      <c r="O6252" s="80" t="s">
        <v>12680</v>
      </c>
      <c r="P6252" s="80" t="s">
        <v>12681</v>
      </c>
      <c r="Q6252" s="20">
        <v>15936</v>
      </c>
      <c r="R6252" s="80" t="s">
        <v>1106</v>
      </c>
      <c r="S6252" s="95">
        <f t="shared" ref="S6252:S6253" si="179">200+2000</f>
        <v>2200</v>
      </c>
      <c r="T6252" s="83" t="s">
        <v>12682</v>
      </c>
      <c r="U6252" s="95">
        <v>13613</v>
      </c>
      <c r="V6252" s="148">
        <v>45558</v>
      </c>
      <c r="W6252" s="85" t="s">
        <v>12683</v>
      </c>
      <c r="X6252" s="80">
        <v>150</v>
      </c>
      <c r="Y6252" s="22">
        <v>-27</v>
      </c>
      <c r="Z6252" s="80" t="s">
        <v>50</v>
      </c>
      <c r="AA6252" s="35" t="s">
        <v>3291</v>
      </c>
      <c r="AB6252" s="80"/>
      <c r="AC6252" s="80" t="s">
        <v>53</v>
      </c>
      <c r="AD6252" s="80" t="s">
        <v>138</v>
      </c>
      <c r="AE6252" s="80" t="s">
        <v>8702</v>
      </c>
      <c r="AF6252" s="17">
        <v>45737</v>
      </c>
      <c r="AG6252" s="80"/>
      <c r="AH6252" s="80"/>
      <c r="AI6252" s="147" t="s">
        <v>147</v>
      </c>
      <c r="AJ6252" s="80"/>
      <c r="AK6252" s="80"/>
      <c r="AL6252" s="35"/>
      <c r="AM6252" s="35"/>
      <c r="AN6252" s="35"/>
      <c r="AO6252" s="35"/>
      <c r="AP6252" s="35"/>
    </row>
    <row r="6253" spans="1:42" x14ac:dyDescent="0.2">
      <c r="A6253" s="38">
        <v>45716</v>
      </c>
      <c r="B6253" s="137" t="s">
        <v>37</v>
      </c>
      <c r="C6253" s="41" t="s">
        <v>118</v>
      </c>
      <c r="D6253" s="80" t="s">
        <v>36</v>
      </c>
      <c r="E6253" s="80" t="s">
        <v>139</v>
      </c>
      <c r="F6253" s="80" t="s">
        <v>8702</v>
      </c>
      <c r="G6253" s="80" t="s">
        <v>221</v>
      </c>
      <c r="H6253" s="80" t="s">
        <v>20021</v>
      </c>
      <c r="I6253" s="17">
        <f ca="1">IFERROR(__xludf.DUMMYFUNCTION("""COMPUTED_VALUE"""),45737)</f>
        <v>45737</v>
      </c>
      <c r="J6253" s="143" t="s">
        <v>12684</v>
      </c>
      <c r="K6253" s="80" t="s">
        <v>12685</v>
      </c>
      <c r="L6253" s="30">
        <v>397097747</v>
      </c>
      <c r="M6253" s="80" t="s">
        <v>59</v>
      </c>
      <c r="N6253" s="80" t="s">
        <v>68</v>
      </c>
      <c r="O6253" s="80" t="s">
        <v>12686</v>
      </c>
      <c r="P6253" s="80" t="s">
        <v>12687</v>
      </c>
      <c r="Q6253" s="20">
        <v>15936</v>
      </c>
      <c r="R6253" s="80" t="s">
        <v>1106</v>
      </c>
      <c r="S6253" s="95">
        <f t="shared" si="179"/>
        <v>2200</v>
      </c>
      <c r="T6253" s="83" t="s">
        <v>12682</v>
      </c>
      <c r="U6253" s="95">
        <v>13613</v>
      </c>
      <c r="V6253" s="148">
        <v>45558</v>
      </c>
      <c r="W6253" s="85" t="s">
        <v>12688</v>
      </c>
      <c r="X6253" s="80">
        <v>150</v>
      </c>
      <c r="Y6253" s="22">
        <v>-27</v>
      </c>
      <c r="Z6253" s="80" t="s">
        <v>50</v>
      </c>
      <c r="AA6253" s="96" t="s">
        <v>3291</v>
      </c>
      <c r="AB6253" s="80"/>
      <c r="AC6253" s="80" t="s">
        <v>53</v>
      </c>
      <c r="AD6253" s="80" t="s">
        <v>138</v>
      </c>
      <c r="AE6253" s="80" t="s">
        <v>8702</v>
      </c>
      <c r="AF6253" s="17">
        <v>45737</v>
      </c>
      <c r="AG6253" s="80"/>
      <c r="AH6253" s="80"/>
      <c r="AI6253" s="147" t="s">
        <v>147</v>
      </c>
      <c r="AJ6253" s="80"/>
      <c r="AK6253" s="80"/>
      <c r="AL6253" s="35"/>
      <c r="AM6253" s="35"/>
      <c r="AN6253" s="35"/>
      <c r="AO6253" s="35"/>
      <c r="AP6253" s="35"/>
    </row>
    <row r="6254" spans="1:42" x14ac:dyDescent="0.2">
      <c r="A6254" s="38">
        <v>45716</v>
      </c>
      <c r="B6254" s="28" t="s">
        <v>37</v>
      </c>
      <c r="C6254" s="41" t="s">
        <v>118</v>
      </c>
      <c r="D6254" s="80" t="s">
        <v>36</v>
      </c>
      <c r="E6254" s="80" t="s">
        <v>139</v>
      </c>
      <c r="F6254" s="80" t="s">
        <v>14200</v>
      </c>
      <c r="G6254" s="80" t="s">
        <v>221</v>
      </c>
      <c r="H6254" s="80" t="s">
        <v>8400</v>
      </c>
      <c r="I6254" s="17">
        <f ca="1">IFERROR(__xludf.DUMMYFUNCTION("""COMPUTED_VALUE"""),45750)</f>
        <v>45750</v>
      </c>
      <c r="J6254" s="143" t="s">
        <v>14205</v>
      </c>
      <c r="K6254" s="80" t="s">
        <v>20218</v>
      </c>
      <c r="L6254" s="30">
        <v>793210540</v>
      </c>
      <c r="M6254" s="80" t="s">
        <v>5429</v>
      </c>
      <c r="N6254" s="80" t="s">
        <v>9180</v>
      </c>
      <c r="O6254" s="80" t="s">
        <v>61</v>
      </c>
      <c r="P6254" s="80" t="s">
        <v>6368</v>
      </c>
      <c r="Q6254" s="20">
        <v>15936</v>
      </c>
      <c r="R6254" s="80" t="s">
        <v>36</v>
      </c>
      <c r="S6254" s="95">
        <v>2000</v>
      </c>
      <c r="T6254" s="148">
        <v>45540</v>
      </c>
      <c r="U6254" s="95">
        <v>13936</v>
      </c>
      <c r="V6254" s="148">
        <v>45568</v>
      </c>
      <c r="W6254" s="85" t="s">
        <v>14207</v>
      </c>
      <c r="X6254" s="80"/>
      <c r="Y6254" s="22">
        <v>0</v>
      </c>
      <c r="Z6254" s="80" t="s">
        <v>50</v>
      </c>
      <c r="AA6254" s="86"/>
      <c r="AB6254" s="80"/>
      <c r="AC6254" s="80" t="s">
        <v>53</v>
      </c>
      <c r="AD6254" s="80" t="s">
        <v>138</v>
      </c>
      <c r="AE6254" s="80" t="s">
        <v>14200</v>
      </c>
      <c r="AF6254" s="17">
        <v>45750</v>
      </c>
      <c r="AG6254" s="80"/>
      <c r="AH6254" s="80"/>
      <c r="AI6254" s="147"/>
      <c r="AJ6254" s="80"/>
      <c r="AK6254" s="80"/>
      <c r="AL6254" s="35"/>
      <c r="AM6254" s="35"/>
      <c r="AN6254" s="35"/>
      <c r="AO6254" s="35"/>
      <c r="AP6254" s="35"/>
    </row>
    <row r="6255" spans="1:42" x14ac:dyDescent="0.2">
      <c r="A6255" s="38">
        <v>45716</v>
      </c>
      <c r="B6255" s="28" t="s">
        <v>37</v>
      </c>
      <c r="C6255" s="41" t="s">
        <v>118</v>
      </c>
      <c r="D6255" s="26" t="s">
        <v>36</v>
      </c>
      <c r="E6255" s="26" t="s">
        <v>119</v>
      </c>
      <c r="F6255" s="26" t="s">
        <v>8915</v>
      </c>
      <c r="G6255" s="26" t="s">
        <v>1847</v>
      </c>
      <c r="H6255" s="26" t="s">
        <v>1848</v>
      </c>
      <c r="I6255" s="17">
        <f ca="1">IFERROR(__xludf.DUMMYFUNCTION("""COMPUTED_VALUE"""),45728)</f>
        <v>45728</v>
      </c>
      <c r="J6255" s="29" t="s">
        <v>5296</v>
      </c>
      <c r="K6255" s="26" t="s">
        <v>5297</v>
      </c>
      <c r="L6255" s="30">
        <v>373027421</v>
      </c>
      <c r="M6255" s="26" t="s">
        <v>80</v>
      </c>
      <c r="N6255" s="26" t="s">
        <v>253</v>
      </c>
      <c r="O6255" s="26" t="s">
        <v>5298</v>
      </c>
      <c r="P6255" s="42" t="s">
        <v>9019</v>
      </c>
      <c r="Q6255" s="20">
        <v>13968</v>
      </c>
      <c r="R6255" s="26" t="s">
        <v>36</v>
      </c>
      <c r="S6255" s="31">
        <v>4000</v>
      </c>
      <c r="T6255" s="32">
        <v>45208</v>
      </c>
      <c r="U6255" s="31">
        <v>9968</v>
      </c>
      <c r="V6255" s="32">
        <v>45232</v>
      </c>
      <c r="W6255" s="33" t="s">
        <v>5299</v>
      </c>
      <c r="X6255" s="26"/>
      <c r="Y6255" s="22">
        <v>0</v>
      </c>
      <c r="Z6255" s="26" t="s">
        <v>118</v>
      </c>
      <c r="AA6255" s="19" t="s">
        <v>5112</v>
      </c>
      <c r="AB6255" s="26" t="s">
        <v>36</v>
      </c>
      <c r="AC6255" s="26" t="s">
        <v>53</v>
      </c>
      <c r="AD6255" s="19" t="s">
        <v>138</v>
      </c>
      <c r="AE6255" s="26" t="s">
        <v>8915</v>
      </c>
      <c r="AF6255" s="17">
        <v>45722</v>
      </c>
      <c r="AG6255" s="26"/>
      <c r="AH6255" s="26"/>
      <c r="AI6255" s="40">
        <v>4</v>
      </c>
      <c r="AJ6255" s="26"/>
      <c r="AK6255" s="26"/>
      <c r="AL6255" s="35"/>
      <c r="AM6255" s="35"/>
      <c r="AN6255" s="35"/>
      <c r="AO6255" s="35"/>
      <c r="AP6255" s="35"/>
    </row>
    <row r="6256" spans="1:42" x14ac:dyDescent="0.2">
      <c r="A6256" s="38">
        <v>45716</v>
      </c>
      <c r="B6256" s="28" t="s">
        <v>37</v>
      </c>
      <c r="C6256" s="41" t="s">
        <v>118</v>
      </c>
      <c r="D6256" s="80" t="s">
        <v>36</v>
      </c>
      <c r="E6256" s="80" t="s">
        <v>148</v>
      </c>
      <c r="F6256" s="80" t="s">
        <v>9768</v>
      </c>
      <c r="G6256" s="80" t="s">
        <v>221</v>
      </c>
      <c r="H6256" s="80" t="s">
        <v>20219</v>
      </c>
      <c r="I6256" s="17">
        <f ca="1">IFERROR(__xludf.DUMMYFUNCTION("""COMPUTED_VALUE"""),45737)</f>
        <v>45737</v>
      </c>
      <c r="J6256" s="143" t="s">
        <v>9769</v>
      </c>
      <c r="K6256" s="80" t="s">
        <v>20220</v>
      </c>
      <c r="L6256" s="30">
        <v>971108687</v>
      </c>
      <c r="M6256" s="80" t="s">
        <v>6309</v>
      </c>
      <c r="N6256" s="80" t="s">
        <v>1400</v>
      </c>
      <c r="O6256" s="80" t="s">
        <v>9771</v>
      </c>
      <c r="P6256" s="80" t="s">
        <v>20221</v>
      </c>
      <c r="Q6256" s="20"/>
      <c r="R6256" s="80" t="s">
        <v>36</v>
      </c>
      <c r="S6256" s="95">
        <v>7349</v>
      </c>
      <c r="T6256" s="148">
        <v>45504</v>
      </c>
      <c r="U6256" s="77"/>
      <c r="V6256" s="78"/>
      <c r="W6256" s="85" t="s">
        <v>9773</v>
      </c>
      <c r="X6256" s="80"/>
      <c r="Y6256" s="22"/>
      <c r="Z6256" s="80" t="s">
        <v>50</v>
      </c>
      <c r="AA6256" s="70" t="s">
        <v>9070</v>
      </c>
      <c r="AB6256" s="80"/>
      <c r="AC6256" s="80" t="s">
        <v>53</v>
      </c>
      <c r="AD6256" s="80" t="s">
        <v>138</v>
      </c>
      <c r="AE6256" s="80" t="s">
        <v>9768</v>
      </c>
      <c r="AF6256" s="17">
        <v>45737</v>
      </c>
      <c r="AG6256" s="80"/>
      <c r="AH6256" s="80"/>
      <c r="AI6256" s="147"/>
      <c r="AJ6256" s="80"/>
      <c r="AK6256" s="80"/>
      <c r="AL6256" s="35"/>
      <c r="AM6256" s="35"/>
      <c r="AN6256" s="35"/>
      <c r="AO6256" s="35"/>
      <c r="AP6256" s="35"/>
    </row>
    <row r="6257" spans="1:42" x14ac:dyDescent="0.2">
      <c r="A6257" s="38">
        <v>45716</v>
      </c>
      <c r="B6257" s="28" t="s">
        <v>37</v>
      </c>
      <c r="C6257" s="41" t="s">
        <v>118</v>
      </c>
      <c r="D6257" s="26" t="s">
        <v>36</v>
      </c>
      <c r="E6257" s="26" t="s">
        <v>139</v>
      </c>
      <c r="F6257" s="26" t="s">
        <v>18382</v>
      </c>
      <c r="G6257" s="80" t="s">
        <v>221</v>
      </c>
      <c r="H6257" s="80" t="s">
        <v>20222</v>
      </c>
      <c r="I6257" s="17">
        <f ca="1">IFERROR(__xludf.DUMMYFUNCTION("""COMPUTED_VALUE"""),45917)</f>
        <v>45917</v>
      </c>
      <c r="J6257" s="44" t="s">
        <v>20223</v>
      </c>
      <c r="K6257" s="19" t="s">
        <v>20224</v>
      </c>
      <c r="L6257" s="30">
        <v>989821372</v>
      </c>
      <c r="M6257" s="26" t="s">
        <v>80</v>
      </c>
      <c r="N6257" s="26" t="s">
        <v>466</v>
      </c>
      <c r="O6257" s="26" t="s">
        <v>10219</v>
      </c>
      <c r="P6257" s="42" t="s">
        <v>20225</v>
      </c>
      <c r="Q6257" s="20">
        <v>15936</v>
      </c>
      <c r="R6257" s="26" t="s">
        <v>36</v>
      </c>
      <c r="S6257" s="95">
        <f>200+1800</f>
        <v>2000</v>
      </c>
      <c r="T6257" s="83" t="s">
        <v>10221</v>
      </c>
      <c r="U6257" s="95">
        <v>13936</v>
      </c>
      <c r="V6257" s="148">
        <v>45509</v>
      </c>
      <c r="W6257" s="33" t="s">
        <v>10222</v>
      </c>
      <c r="X6257" s="26">
        <v>0</v>
      </c>
      <c r="Y6257" s="22">
        <v>0</v>
      </c>
      <c r="Z6257" s="26" t="s">
        <v>50</v>
      </c>
      <c r="AA6257" s="96"/>
      <c r="AB6257" s="26"/>
      <c r="AC6257" s="26" t="s">
        <v>53</v>
      </c>
      <c r="AD6257" s="26" t="s">
        <v>54</v>
      </c>
      <c r="AE6257" s="26" t="s">
        <v>8935</v>
      </c>
      <c r="AF6257" s="17">
        <v>45831</v>
      </c>
      <c r="AG6257" s="26"/>
      <c r="AH6257" s="26"/>
      <c r="AI6257" s="40"/>
      <c r="AJ6257" s="26"/>
      <c r="AK6257" s="26"/>
      <c r="AL6257" s="35"/>
      <c r="AM6257" s="35"/>
      <c r="AN6257" s="35"/>
      <c r="AO6257" s="35"/>
      <c r="AP6257" s="35"/>
    </row>
    <row r="6258" spans="1:42" x14ac:dyDescent="0.2">
      <c r="A6258" s="38">
        <v>45716</v>
      </c>
      <c r="B6258" s="137" t="s">
        <v>37</v>
      </c>
      <c r="C6258" s="41" t="s">
        <v>118</v>
      </c>
      <c r="D6258" s="80" t="s">
        <v>36</v>
      </c>
      <c r="E6258" s="80" t="s">
        <v>139</v>
      </c>
      <c r="F6258" s="80" t="s">
        <v>8702</v>
      </c>
      <c r="G6258" s="80" t="s">
        <v>221</v>
      </c>
      <c r="H6258" s="80" t="s">
        <v>20021</v>
      </c>
      <c r="I6258" s="17">
        <f ca="1">IFERROR(__xludf.DUMMYFUNCTION("""COMPUTED_VALUE"""),45737)</f>
        <v>45737</v>
      </c>
      <c r="J6258" s="143" t="s">
        <v>14256</v>
      </c>
      <c r="K6258" s="80" t="s">
        <v>14257</v>
      </c>
      <c r="L6258" s="30">
        <v>818059558</v>
      </c>
      <c r="M6258" s="80" t="s">
        <v>5558</v>
      </c>
      <c r="N6258" s="80" t="s">
        <v>5559</v>
      </c>
      <c r="O6258" s="80" t="s">
        <v>14258</v>
      </c>
      <c r="P6258" s="80" t="s">
        <v>14259</v>
      </c>
      <c r="Q6258" s="20">
        <v>15936</v>
      </c>
      <c r="R6258" s="80" t="s">
        <v>36</v>
      </c>
      <c r="S6258" s="95">
        <v>2000</v>
      </c>
      <c r="T6258" s="148">
        <v>45539</v>
      </c>
      <c r="U6258" s="95">
        <v>13936</v>
      </c>
      <c r="V6258" s="148">
        <v>45572</v>
      </c>
      <c r="W6258" s="85" t="s">
        <v>14260</v>
      </c>
      <c r="X6258" s="80"/>
      <c r="Y6258" s="22">
        <v>0</v>
      </c>
      <c r="Z6258" s="80" t="s">
        <v>50</v>
      </c>
      <c r="AA6258" s="86"/>
      <c r="AB6258" s="80"/>
      <c r="AC6258" s="80" t="s">
        <v>53</v>
      </c>
      <c r="AD6258" s="80" t="s">
        <v>138</v>
      </c>
      <c r="AE6258" s="80" t="s">
        <v>8702</v>
      </c>
      <c r="AF6258" s="17">
        <v>45737</v>
      </c>
      <c r="AG6258" s="80"/>
      <c r="AH6258" s="80"/>
      <c r="AI6258" s="147"/>
      <c r="AJ6258" s="80"/>
      <c r="AK6258" s="80"/>
      <c r="AL6258" s="35"/>
      <c r="AM6258" s="35"/>
      <c r="AN6258" s="35"/>
      <c r="AO6258" s="35"/>
      <c r="AP6258" s="35"/>
    </row>
    <row r="6259" spans="1:42" x14ac:dyDescent="0.2">
      <c r="A6259" s="38">
        <v>45716</v>
      </c>
      <c r="B6259" s="137" t="s">
        <v>37</v>
      </c>
      <c r="C6259" s="41" t="s">
        <v>118</v>
      </c>
      <c r="D6259" s="80" t="s">
        <v>36</v>
      </c>
      <c r="E6259" s="80" t="s">
        <v>139</v>
      </c>
      <c r="F6259" s="80" t="s">
        <v>8702</v>
      </c>
      <c r="G6259" s="80" t="s">
        <v>221</v>
      </c>
      <c r="H6259" s="80" t="s">
        <v>20021</v>
      </c>
      <c r="I6259" s="17">
        <f ca="1">IFERROR(__xludf.DUMMYFUNCTION("""COMPUTED_VALUE"""),45737)</f>
        <v>45737</v>
      </c>
      <c r="J6259" s="143" t="s">
        <v>20226</v>
      </c>
      <c r="K6259" s="80" t="s">
        <v>14262</v>
      </c>
      <c r="L6259" s="30">
        <v>862943626</v>
      </c>
      <c r="M6259" s="80" t="s">
        <v>2755</v>
      </c>
      <c r="N6259" s="80" t="s">
        <v>2756</v>
      </c>
      <c r="O6259" s="80" t="s">
        <v>4503</v>
      </c>
      <c r="P6259" s="80" t="s">
        <v>7649</v>
      </c>
      <c r="Q6259" s="20">
        <v>15936</v>
      </c>
      <c r="R6259" s="80" t="s">
        <v>36</v>
      </c>
      <c r="S6259" s="95">
        <v>3200</v>
      </c>
      <c r="T6259" s="148">
        <v>45553</v>
      </c>
      <c r="U6259" s="178">
        <v>12736</v>
      </c>
      <c r="V6259" s="169">
        <v>45572</v>
      </c>
      <c r="W6259" s="80" t="s">
        <v>14263</v>
      </c>
      <c r="X6259" s="80"/>
      <c r="Y6259" s="22">
        <v>0</v>
      </c>
      <c r="Z6259" s="80" t="s">
        <v>50</v>
      </c>
      <c r="AA6259" s="82"/>
      <c r="AB6259" s="80"/>
      <c r="AC6259" s="80" t="s">
        <v>53</v>
      </c>
      <c r="AD6259" s="80" t="s">
        <v>138</v>
      </c>
      <c r="AE6259" s="80" t="s">
        <v>8702</v>
      </c>
      <c r="AF6259" s="17">
        <v>45737</v>
      </c>
      <c r="AG6259" s="80"/>
      <c r="AH6259" s="80"/>
      <c r="AI6259" s="147"/>
      <c r="AJ6259" s="80"/>
      <c r="AK6259" s="80"/>
      <c r="AL6259" s="35"/>
      <c r="AM6259" s="35"/>
      <c r="AN6259" s="35"/>
      <c r="AO6259" s="35"/>
      <c r="AP6259" s="35"/>
    </row>
    <row r="6260" spans="1:42" x14ac:dyDescent="0.2">
      <c r="A6260" s="38">
        <v>45716</v>
      </c>
      <c r="B6260" s="137"/>
      <c r="C6260" s="41" t="s">
        <v>118</v>
      </c>
      <c r="D6260" s="80" t="s">
        <v>36</v>
      </c>
      <c r="E6260" s="80" t="s">
        <v>139</v>
      </c>
      <c r="F6260" s="80" t="s">
        <v>8702</v>
      </c>
      <c r="G6260" s="80" t="s">
        <v>221</v>
      </c>
      <c r="H6260" s="80" t="s">
        <v>20227</v>
      </c>
      <c r="I6260" s="17" t="str">
        <f ca="1">IFERROR(__xludf.DUMMYFUNCTION("""COMPUTED_VALUE""")," ")</f>
        <v xml:space="preserve"> </v>
      </c>
      <c r="J6260" s="143" t="s">
        <v>20228</v>
      </c>
      <c r="K6260" s="80" t="s">
        <v>20229</v>
      </c>
      <c r="L6260" s="212">
        <v>969215206</v>
      </c>
      <c r="M6260" s="80" t="s">
        <v>3498</v>
      </c>
      <c r="N6260" s="80" t="s">
        <v>4402</v>
      </c>
      <c r="O6260" s="80" t="s">
        <v>4503</v>
      </c>
      <c r="P6260" s="80" t="s">
        <v>7649</v>
      </c>
      <c r="Q6260" s="20">
        <v>15936</v>
      </c>
      <c r="R6260" s="80" t="s">
        <v>36</v>
      </c>
      <c r="S6260" s="95">
        <f>200+2800</f>
        <v>3000</v>
      </c>
      <c r="T6260" s="83" t="s">
        <v>14266</v>
      </c>
      <c r="U6260" s="178">
        <v>12936</v>
      </c>
      <c r="V6260" s="169">
        <v>45573</v>
      </c>
      <c r="W6260" s="85" t="s">
        <v>14267</v>
      </c>
      <c r="X6260" s="80"/>
      <c r="Y6260" s="22">
        <v>0</v>
      </c>
      <c r="Z6260" s="80" t="s">
        <v>50</v>
      </c>
      <c r="AA6260" s="86"/>
      <c r="AB6260" s="80"/>
      <c r="AC6260" s="80" t="s">
        <v>53</v>
      </c>
      <c r="AD6260" s="80" t="s">
        <v>54</v>
      </c>
      <c r="AE6260" s="80" t="s">
        <v>8702</v>
      </c>
      <c r="AF6260" s="17">
        <v>45737</v>
      </c>
      <c r="AG6260" s="80"/>
      <c r="AH6260" s="80"/>
      <c r="AI6260" s="147"/>
      <c r="AJ6260" s="80"/>
      <c r="AK6260" s="80"/>
      <c r="AL6260" s="35"/>
      <c r="AM6260" s="35"/>
      <c r="AN6260" s="35"/>
      <c r="AO6260" s="35"/>
      <c r="AP6260" s="35"/>
    </row>
    <row r="6261" spans="1:42" x14ac:dyDescent="0.2">
      <c r="A6261" s="38">
        <v>45716</v>
      </c>
      <c r="B6261" s="137" t="s">
        <v>37</v>
      </c>
      <c r="C6261" s="41" t="s">
        <v>118</v>
      </c>
      <c r="D6261" s="80" t="s">
        <v>36</v>
      </c>
      <c r="E6261" s="80" t="s">
        <v>139</v>
      </c>
      <c r="F6261" s="80" t="s">
        <v>8702</v>
      </c>
      <c r="G6261" s="80" t="s">
        <v>221</v>
      </c>
      <c r="H6261" s="80" t="s">
        <v>20021</v>
      </c>
      <c r="I6261" s="17">
        <f ca="1">IFERROR(__xludf.DUMMYFUNCTION("""COMPUTED_VALUE"""),45737)</f>
        <v>45737</v>
      </c>
      <c r="J6261" s="143" t="s">
        <v>14273</v>
      </c>
      <c r="K6261" s="80" t="s">
        <v>9263</v>
      </c>
      <c r="L6261" s="30">
        <v>388436456</v>
      </c>
      <c r="M6261" s="80" t="s">
        <v>2755</v>
      </c>
      <c r="N6261" s="80" t="s">
        <v>2756</v>
      </c>
      <c r="O6261" s="80" t="s">
        <v>4503</v>
      </c>
      <c r="P6261" s="80" t="s">
        <v>3694</v>
      </c>
      <c r="Q6261" s="20">
        <v>15936</v>
      </c>
      <c r="R6261" s="80" t="s">
        <v>36</v>
      </c>
      <c r="S6261" s="95">
        <v>2000</v>
      </c>
      <c r="T6261" s="148">
        <v>45540</v>
      </c>
      <c r="U6261" s="95">
        <v>13936</v>
      </c>
      <c r="V6261" s="148">
        <v>45596</v>
      </c>
      <c r="W6261" s="85" t="s">
        <v>14274</v>
      </c>
      <c r="X6261" s="80"/>
      <c r="Y6261" s="22">
        <v>0</v>
      </c>
      <c r="Z6261" s="80" t="s">
        <v>50</v>
      </c>
      <c r="AA6261" s="82"/>
      <c r="AB6261" s="80"/>
      <c r="AC6261" s="80" t="s">
        <v>53</v>
      </c>
      <c r="AD6261" s="80" t="s">
        <v>138</v>
      </c>
      <c r="AE6261" s="80" t="s">
        <v>8702</v>
      </c>
      <c r="AF6261" s="17">
        <v>45737</v>
      </c>
      <c r="AG6261" s="80"/>
      <c r="AH6261" s="80"/>
      <c r="AI6261" s="147"/>
      <c r="AJ6261" s="80"/>
      <c r="AK6261" s="80"/>
      <c r="AL6261" s="35"/>
      <c r="AM6261" s="35"/>
      <c r="AN6261" s="35"/>
      <c r="AO6261" s="35"/>
      <c r="AP6261" s="35"/>
    </row>
    <row r="6262" spans="1:42" x14ac:dyDescent="0.2">
      <c r="A6262" s="38">
        <v>45716</v>
      </c>
      <c r="B6262" s="137" t="s">
        <v>37</v>
      </c>
      <c r="C6262" s="41" t="s">
        <v>118</v>
      </c>
      <c r="D6262" s="80" t="s">
        <v>36</v>
      </c>
      <c r="E6262" s="80" t="s">
        <v>56</v>
      </c>
      <c r="F6262" s="80" t="s">
        <v>8702</v>
      </c>
      <c r="G6262" s="80" t="s">
        <v>221</v>
      </c>
      <c r="H6262" s="80" t="s">
        <v>20021</v>
      </c>
      <c r="I6262" s="17">
        <f ca="1">IFERROR(__xludf.DUMMYFUNCTION("""COMPUTED_VALUE"""),45737)</f>
        <v>45737</v>
      </c>
      <c r="J6262" s="143" t="s">
        <v>11742</v>
      </c>
      <c r="K6262" s="80" t="s">
        <v>11743</v>
      </c>
      <c r="L6262" s="30">
        <v>366750955</v>
      </c>
      <c r="M6262" s="80" t="s">
        <v>59</v>
      </c>
      <c r="N6262" s="80" t="s">
        <v>68</v>
      </c>
      <c r="O6262" s="80" t="s">
        <v>11744</v>
      </c>
      <c r="P6262" s="80" t="s">
        <v>11745</v>
      </c>
      <c r="Q6262" s="20">
        <v>9317</v>
      </c>
      <c r="R6262" s="80" t="s">
        <v>70</v>
      </c>
      <c r="S6262" s="95">
        <v>9217</v>
      </c>
      <c r="T6262" s="148">
        <v>45528</v>
      </c>
      <c r="U6262" s="77"/>
      <c r="V6262" s="78"/>
      <c r="W6262" s="85" t="s">
        <v>11746</v>
      </c>
      <c r="X6262" s="80">
        <v>100</v>
      </c>
      <c r="Y6262" s="22">
        <v>0</v>
      </c>
      <c r="Z6262" s="80" t="s">
        <v>50</v>
      </c>
      <c r="AA6262" s="35" t="s">
        <v>10314</v>
      </c>
      <c r="AB6262" s="80"/>
      <c r="AC6262" s="80" t="s">
        <v>53</v>
      </c>
      <c r="AD6262" s="80" t="s">
        <v>138</v>
      </c>
      <c r="AE6262" s="80" t="s">
        <v>8702</v>
      </c>
      <c r="AF6262" s="17">
        <v>45737</v>
      </c>
      <c r="AG6262" s="80"/>
      <c r="AH6262" s="80"/>
      <c r="AI6262" s="147"/>
      <c r="AJ6262" s="80"/>
      <c r="AK6262" s="80"/>
      <c r="AL6262" s="35"/>
      <c r="AM6262" s="35"/>
      <c r="AN6262" s="35"/>
      <c r="AO6262" s="35"/>
      <c r="AP6262" s="35"/>
    </row>
    <row r="6263" spans="1:42" x14ac:dyDescent="0.2">
      <c r="A6263" s="38">
        <v>45716</v>
      </c>
      <c r="B6263" s="137" t="s">
        <v>37</v>
      </c>
      <c r="C6263" s="41" t="s">
        <v>118</v>
      </c>
      <c r="D6263" s="80" t="s">
        <v>36</v>
      </c>
      <c r="E6263" s="80" t="s">
        <v>56</v>
      </c>
      <c r="F6263" s="80" t="s">
        <v>8702</v>
      </c>
      <c r="G6263" s="80" t="s">
        <v>221</v>
      </c>
      <c r="H6263" s="80" t="s">
        <v>20021</v>
      </c>
      <c r="I6263" s="17">
        <f ca="1">IFERROR(__xludf.DUMMYFUNCTION("""COMPUTED_VALUE"""),45737)</f>
        <v>45737</v>
      </c>
      <c r="J6263" s="143" t="s">
        <v>11736</v>
      </c>
      <c r="K6263" s="80" t="s">
        <v>11737</v>
      </c>
      <c r="L6263" s="30">
        <v>916482189</v>
      </c>
      <c r="M6263" s="80" t="s">
        <v>59</v>
      </c>
      <c r="N6263" s="80" t="s">
        <v>68</v>
      </c>
      <c r="O6263" s="80" t="s">
        <v>11738</v>
      </c>
      <c r="P6263" s="80" t="s">
        <v>11739</v>
      </c>
      <c r="Q6263" s="20">
        <v>9317</v>
      </c>
      <c r="R6263" s="80" t="s">
        <v>70</v>
      </c>
      <c r="S6263" s="95">
        <v>9217</v>
      </c>
      <c r="T6263" s="148">
        <v>45528</v>
      </c>
      <c r="U6263" s="77"/>
      <c r="V6263" s="78"/>
      <c r="W6263" s="85" t="s">
        <v>11740</v>
      </c>
      <c r="X6263" s="80">
        <v>100</v>
      </c>
      <c r="Y6263" s="22">
        <v>0</v>
      </c>
      <c r="Z6263" s="80" t="s">
        <v>50</v>
      </c>
      <c r="AA6263" s="96" t="s">
        <v>10314</v>
      </c>
      <c r="AB6263" s="80"/>
      <c r="AC6263" s="80" t="s">
        <v>53</v>
      </c>
      <c r="AD6263" s="80" t="s">
        <v>138</v>
      </c>
      <c r="AE6263" s="80" t="s">
        <v>8702</v>
      </c>
      <c r="AF6263" s="17">
        <v>45737</v>
      </c>
      <c r="AG6263" s="80"/>
      <c r="AH6263" s="80"/>
      <c r="AI6263" s="147"/>
      <c r="AJ6263" s="80"/>
      <c r="AK6263" s="80"/>
      <c r="AL6263" s="35"/>
      <c r="AM6263" s="35"/>
      <c r="AN6263" s="35"/>
      <c r="AO6263" s="35"/>
      <c r="AP6263" s="35"/>
    </row>
    <row r="6264" spans="1:42" x14ac:dyDescent="0.2">
      <c r="A6264" s="38">
        <v>45716</v>
      </c>
      <c r="B6264" s="137" t="s">
        <v>37</v>
      </c>
      <c r="C6264" s="41" t="s">
        <v>118</v>
      </c>
      <c r="D6264" s="80" t="s">
        <v>36</v>
      </c>
      <c r="E6264" s="80" t="s">
        <v>139</v>
      </c>
      <c r="F6264" s="80" t="s">
        <v>8702</v>
      </c>
      <c r="G6264" s="80" t="s">
        <v>221</v>
      </c>
      <c r="H6264" s="80" t="s">
        <v>20021</v>
      </c>
      <c r="I6264" s="17">
        <f ca="1">IFERROR(__xludf.DUMMYFUNCTION("""COMPUTED_VALUE"""),45737)</f>
        <v>45737</v>
      </c>
      <c r="J6264" s="143" t="s">
        <v>12992</v>
      </c>
      <c r="K6264" s="80" t="s">
        <v>14327</v>
      </c>
      <c r="L6264" s="30">
        <v>369055178</v>
      </c>
      <c r="M6264" s="80" t="s">
        <v>9422</v>
      </c>
      <c r="N6264" s="80" t="s">
        <v>186</v>
      </c>
      <c r="O6264" s="80" t="s">
        <v>11607</v>
      </c>
      <c r="P6264" s="80" t="s">
        <v>11607</v>
      </c>
      <c r="Q6264" s="20">
        <v>15936</v>
      </c>
      <c r="R6264" s="80" t="s">
        <v>36</v>
      </c>
      <c r="S6264" s="95">
        <v>2000</v>
      </c>
      <c r="T6264" s="148">
        <v>45546</v>
      </c>
      <c r="U6264" s="95">
        <v>13636</v>
      </c>
      <c r="V6264" s="148">
        <v>45553</v>
      </c>
      <c r="W6264" s="85" t="s">
        <v>12994</v>
      </c>
      <c r="X6264" s="80">
        <v>0</v>
      </c>
      <c r="Y6264" s="22">
        <v>300</v>
      </c>
      <c r="Z6264" s="80" t="s">
        <v>50</v>
      </c>
      <c r="AA6264" s="35" t="s">
        <v>3291</v>
      </c>
      <c r="AB6264" s="80"/>
      <c r="AC6264" s="80" t="s">
        <v>53</v>
      </c>
      <c r="AD6264" s="80" t="s">
        <v>138</v>
      </c>
      <c r="AE6264" s="80" t="s">
        <v>8702</v>
      </c>
      <c r="AF6264" s="17">
        <v>45737</v>
      </c>
      <c r="AG6264" s="80"/>
      <c r="AH6264" s="80"/>
      <c r="AI6264" s="147" t="s">
        <v>147</v>
      </c>
      <c r="AJ6264" s="80"/>
      <c r="AK6264" s="80"/>
      <c r="AL6264" s="35"/>
      <c r="AM6264" s="35"/>
      <c r="AN6264" s="35"/>
      <c r="AO6264" s="35"/>
      <c r="AP6264" s="35"/>
    </row>
    <row r="6265" spans="1:42" x14ac:dyDescent="0.2">
      <c r="A6265" s="38">
        <v>45716</v>
      </c>
      <c r="B6265" s="28" t="s">
        <v>37</v>
      </c>
      <c r="C6265" s="41" t="s">
        <v>118</v>
      </c>
      <c r="D6265" s="26" t="s">
        <v>36</v>
      </c>
      <c r="E6265" s="26" t="s">
        <v>139</v>
      </c>
      <c r="F6265" s="26" t="s">
        <v>9865</v>
      </c>
      <c r="G6265" s="26" t="s">
        <v>221</v>
      </c>
      <c r="H6265" s="26" t="s">
        <v>20076</v>
      </c>
      <c r="I6265" s="17">
        <f ca="1">IFERROR(__xludf.DUMMYFUNCTION("""COMPUTED_VALUE"""),45727)</f>
        <v>45727</v>
      </c>
      <c r="J6265" s="29" t="s">
        <v>9885</v>
      </c>
      <c r="K6265" s="26" t="s">
        <v>9886</v>
      </c>
      <c r="L6265" s="30">
        <v>946996872</v>
      </c>
      <c r="M6265" s="26" t="s">
        <v>3728</v>
      </c>
      <c r="N6265" s="26" t="s">
        <v>8725</v>
      </c>
      <c r="O6265" s="26" t="s">
        <v>9887</v>
      </c>
      <c r="P6265" s="42" t="s">
        <v>20230</v>
      </c>
      <c r="Q6265" s="20">
        <v>15936</v>
      </c>
      <c r="R6265" s="26" t="s">
        <v>36</v>
      </c>
      <c r="S6265" s="95">
        <f>200+1800</f>
        <v>2000</v>
      </c>
      <c r="T6265" s="83" t="s">
        <v>9889</v>
      </c>
      <c r="U6265" s="95">
        <v>13936</v>
      </c>
      <c r="V6265" s="148">
        <v>45517</v>
      </c>
      <c r="W6265" s="33" t="s">
        <v>9890</v>
      </c>
      <c r="X6265" s="26">
        <v>0</v>
      </c>
      <c r="Y6265" s="22">
        <v>0</v>
      </c>
      <c r="Z6265" s="26" t="s">
        <v>118</v>
      </c>
      <c r="AA6265" s="96"/>
      <c r="AB6265" s="80" t="s">
        <v>36</v>
      </c>
      <c r="AC6265" s="26" t="s">
        <v>53</v>
      </c>
      <c r="AD6265" s="26" t="s">
        <v>54</v>
      </c>
      <c r="AE6265" s="26" t="s">
        <v>9865</v>
      </c>
      <c r="AF6265" s="17">
        <v>45722</v>
      </c>
      <c r="AG6265" s="26"/>
      <c r="AH6265" s="26"/>
      <c r="AI6265" s="40"/>
      <c r="AJ6265" s="26"/>
      <c r="AK6265" s="26"/>
      <c r="AL6265" s="35"/>
      <c r="AM6265" s="35"/>
      <c r="AN6265" s="35"/>
      <c r="AO6265" s="35"/>
      <c r="AP6265" s="35"/>
    </row>
    <row r="6266" spans="1:42" x14ac:dyDescent="0.2">
      <c r="A6266" s="38">
        <v>45716</v>
      </c>
      <c r="B6266" s="28" t="s">
        <v>37</v>
      </c>
      <c r="C6266" s="41" t="s">
        <v>118</v>
      </c>
      <c r="D6266" s="26" t="s">
        <v>36</v>
      </c>
      <c r="E6266" s="26" t="s">
        <v>139</v>
      </c>
      <c r="F6266" s="26" t="s">
        <v>10014</v>
      </c>
      <c r="G6266" s="26" t="s">
        <v>221</v>
      </c>
      <c r="H6266" s="26" t="s">
        <v>20076</v>
      </c>
      <c r="I6266" s="17">
        <f ca="1">IFERROR(__xludf.DUMMYFUNCTION("""COMPUTED_VALUE"""),45727)</f>
        <v>45727</v>
      </c>
      <c r="J6266" s="29" t="s">
        <v>10017</v>
      </c>
      <c r="K6266" s="26" t="s">
        <v>10018</v>
      </c>
      <c r="L6266" s="30">
        <v>902075281</v>
      </c>
      <c r="M6266" s="26" t="s">
        <v>5558</v>
      </c>
      <c r="N6266" s="26" t="s">
        <v>5559</v>
      </c>
      <c r="O6266" s="26" t="s">
        <v>4503</v>
      </c>
      <c r="P6266" s="42" t="s">
        <v>20231</v>
      </c>
      <c r="Q6266" s="20">
        <v>15936</v>
      </c>
      <c r="R6266" s="26" t="s">
        <v>36</v>
      </c>
      <c r="S6266" s="95">
        <v>2000</v>
      </c>
      <c r="T6266" s="148">
        <v>45478</v>
      </c>
      <c r="U6266" s="31">
        <v>13936</v>
      </c>
      <c r="V6266" s="32">
        <v>45505</v>
      </c>
      <c r="W6266" s="33" t="s">
        <v>10020</v>
      </c>
      <c r="X6266" s="26">
        <v>0</v>
      </c>
      <c r="Y6266" s="22">
        <v>0</v>
      </c>
      <c r="Z6266" s="41" t="s">
        <v>118</v>
      </c>
      <c r="AA6266" s="35"/>
      <c r="AB6266" s="26"/>
      <c r="AC6266" s="26" t="s">
        <v>53</v>
      </c>
      <c r="AD6266" s="26" t="s">
        <v>54</v>
      </c>
      <c r="AE6266" s="26" t="s">
        <v>10014</v>
      </c>
      <c r="AF6266" s="17">
        <v>45722</v>
      </c>
      <c r="AG6266" s="80"/>
      <c r="AH6266" s="80"/>
      <c r="AI6266" s="147"/>
      <c r="AJ6266" s="80"/>
      <c r="AK6266" s="80"/>
      <c r="AL6266" s="35"/>
      <c r="AM6266" s="35"/>
      <c r="AN6266" s="35"/>
      <c r="AO6266" s="35"/>
      <c r="AP6266" s="35"/>
    </row>
    <row r="6267" spans="1:42" x14ac:dyDescent="0.2">
      <c r="A6267" s="38">
        <v>45716</v>
      </c>
      <c r="B6267" s="28" t="s">
        <v>37</v>
      </c>
      <c r="C6267" s="41" t="s">
        <v>118</v>
      </c>
      <c r="D6267" s="26" t="s">
        <v>36</v>
      </c>
      <c r="E6267" s="26" t="s">
        <v>139</v>
      </c>
      <c r="F6267" s="26" t="s">
        <v>10014</v>
      </c>
      <c r="G6267" s="26" t="s">
        <v>221</v>
      </c>
      <c r="H6267" s="26" t="s">
        <v>19383</v>
      </c>
      <c r="I6267" s="17">
        <f ca="1">IFERROR(__xludf.DUMMYFUNCTION("""COMPUTED_VALUE"""),45827)</f>
        <v>45827</v>
      </c>
      <c r="J6267" s="29" t="s">
        <v>10022</v>
      </c>
      <c r="K6267" s="26" t="s">
        <v>20232</v>
      </c>
      <c r="L6267" s="30">
        <v>987253519</v>
      </c>
      <c r="M6267" s="26" t="s">
        <v>5558</v>
      </c>
      <c r="N6267" s="26" t="s">
        <v>5559</v>
      </c>
      <c r="O6267" s="26" t="s">
        <v>4503</v>
      </c>
      <c r="P6267" s="42" t="s">
        <v>20233</v>
      </c>
      <c r="Q6267" s="20">
        <v>15936</v>
      </c>
      <c r="R6267" s="26" t="s">
        <v>36</v>
      </c>
      <c r="S6267" s="77">
        <v>2500</v>
      </c>
      <c r="T6267" s="78">
        <v>45490</v>
      </c>
      <c r="U6267" s="77">
        <v>13436</v>
      </c>
      <c r="V6267" s="78" t="s">
        <v>10025</v>
      </c>
      <c r="W6267" s="80" t="s">
        <v>10026</v>
      </c>
      <c r="X6267" s="86">
        <v>0</v>
      </c>
      <c r="Y6267" s="22">
        <v>0</v>
      </c>
      <c r="Z6267" s="80" t="s">
        <v>50</v>
      </c>
      <c r="AA6267" s="82" t="s">
        <v>3291</v>
      </c>
      <c r="AB6267" s="26"/>
      <c r="AC6267" s="26" t="s">
        <v>53</v>
      </c>
      <c r="AD6267" s="26" t="s">
        <v>54</v>
      </c>
      <c r="AE6267" s="26" t="s">
        <v>10014</v>
      </c>
      <c r="AF6267" s="17">
        <v>45852</v>
      </c>
      <c r="AG6267" s="26" t="s">
        <v>20234</v>
      </c>
      <c r="AH6267" s="26"/>
      <c r="AI6267" s="40"/>
      <c r="AJ6267" s="26"/>
      <c r="AK6267" s="26"/>
      <c r="AL6267" s="35"/>
      <c r="AM6267" s="35"/>
      <c r="AN6267" s="35"/>
      <c r="AO6267" s="35"/>
      <c r="AP6267" s="35"/>
    </row>
    <row r="6268" spans="1:42" x14ac:dyDescent="0.2">
      <c r="A6268" s="38">
        <v>45716</v>
      </c>
      <c r="B6268" s="28" t="s">
        <v>37</v>
      </c>
      <c r="C6268" s="41" t="s">
        <v>118</v>
      </c>
      <c r="D6268" s="26" t="s">
        <v>36</v>
      </c>
      <c r="E6268" s="26" t="s">
        <v>139</v>
      </c>
      <c r="F6268" s="26" t="s">
        <v>2016</v>
      </c>
      <c r="G6268" s="26" t="s">
        <v>1847</v>
      </c>
      <c r="H6268" s="26" t="s">
        <v>20235</v>
      </c>
      <c r="I6268" s="17" t="str">
        <f ca="1">IFERROR(__xludf.DUMMYFUNCTION("""COMPUTED_VALUE""")," ")</f>
        <v xml:space="preserve"> </v>
      </c>
      <c r="J6268" s="29" t="s">
        <v>1441</v>
      </c>
      <c r="K6268" s="26" t="s">
        <v>20236</v>
      </c>
      <c r="L6268" s="30">
        <v>868043757</v>
      </c>
      <c r="M6268" s="26" t="s">
        <v>1245</v>
      </c>
      <c r="N6268" s="26" t="s">
        <v>4957</v>
      </c>
      <c r="O6268" s="26" t="s">
        <v>1443</v>
      </c>
      <c r="P6268" s="42" t="s">
        <v>20237</v>
      </c>
      <c r="Q6268" s="20">
        <v>15936</v>
      </c>
      <c r="R6268" s="26" t="s">
        <v>36</v>
      </c>
      <c r="S6268" s="31">
        <v>2000</v>
      </c>
      <c r="T6268" s="32">
        <v>45148</v>
      </c>
      <c r="U6268" s="31">
        <f>5000+8936</f>
        <v>13936</v>
      </c>
      <c r="V6268" s="26" t="s">
        <v>1445</v>
      </c>
      <c r="W6268" s="33" t="s">
        <v>1446</v>
      </c>
      <c r="X6268" s="26">
        <v>0</v>
      </c>
      <c r="Y6268" s="22">
        <v>0</v>
      </c>
      <c r="Z6268" s="26" t="s">
        <v>118</v>
      </c>
      <c r="AA6268" s="19" t="s">
        <v>901</v>
      </c>
      <c r="AB6268" s="26"/>
      <c r="AC6268" s="26" t="s">
        <v>53</v>
      </c>
      <c r="AD6268" s="19" t="s">
        <v>138</v>
      </c>
      <c r="AE6268" s="26" t="s">
        <v>2016</v>
      </c>
      <c r="AF6268" s="17">
        <v>45722</v>
      </c>
      <c r="AG6268" s="26"/>
      <c r="AH6268" s="26"/>
      <c r="AI6268" s="40" t="s">
        <v>147</v>
      </c>
      <c r="AJ6268" s="26"/>
      <c r="AK6268" s="26"/>
      <c r="AL6268" s="35"/>
      <c r="AM6268" s="35"/>
      <c r="AN6268" s="35"/>
      <c r="AO6268" s="35"/>
      <c r="AP6268" s="35"/>
    </row>
    <row r="6269" spans="1:42" x14ac:dyDescent="0.2">
      <c r="A6269" s="38">
        <v>45716</v>
      </c>
      <c r="B6269" s="137" t="s">
        <v>37</v>
      </c>
      <c r="C6269" s="41" t="s">
        <v>118</v>
      </c>
      <c r="D6269" s="80" t="s">
        <v>36</v>
      </c>
      <c r="E6269" s="80" t="s">
        <v>119</v>
      </c>
      <c r="F6269" s="80" t="s">
        <v>13755</v>
      </c>
      <c r="G6269" s="26" t="s">
        <v>1847</v>
      </c>
      <c r="H6269" s="26" t="s">
        <v>18547</v>
      </c>
      <c r="I6269" s="17">
        <f ca="1">IFERROR(__xludf.DUMMYFUNCTION("""COMPUTED_VALUE"""),45725)</f>
        <v>45725</v>
      </c>
      <c r="J6269" s="143" t="s">
        <v>12012</v>
      </c>
      <c r="K6269" s="80" t="s">
        <v>13758</v>
      </c>
      <c r="L6269" s="30">
        <v>921410686</v>
      </c>
      <c r="M6269" s="80" t="s">
        <v>80</v>
      </c>
      <c r="N6269" s="80" t="s">
        <v>466</v>
      </c>
      <c r="O6269" s="80" t="s">
        <v>12014</v>
      </c>
      <c r="P6269" s="144" t="s">
        <v>13759</v>
      </c>
      <c r="Q6269" s="20">
        <v>13968</v>
      </c>
      <c r="R6269" s="80" t="s">
        <v>36</v>
      </c>
      <c r="S6269" s="95">
        <v>3800</v>
      </c>
      <c r="T6269" s="148">
        <v>45497</v>
      </c>
      <c r="U6269" s="95">
        <f>10100+68</f>
        <v>10168</v>
      </c>
      <c r="V6269" s="83" t="s">
        <v>12016</v>
      </c>
      <c r="W6269" s="85" t="s">
        <v>12017</v>
      </c>
      <c r="X6269" s="80">
        <v>0</v>
      </c>
      <c r="Y6269" s="22">
        <v>0</v>
      </c>
      <c r="Z6269" s="80" t="s">
        <v>50</v>
      </c>
      <c r="AA6269" s="82"/>
      <c r="AB6269" s="80"/>
      <c r="AC6269" s="80" t="s">
        <v>53</v>
      </c>
      <c r="AD6269" s="80" t="s">
        <v>54</v>
      </c>
      <c r="AE6269" s="80" t="s">
        <v>13755</v>
      </c>
      <c r="AF6269" s="17">
        <v>45722</v>
      </c>
      <c r="AG6269" s="80"/>
      <c r="AH6269" s="80"/>
      <c r="AI6269" s="147">
        <v>4</v>
      </c>
      <c r="AJ6269" s="80"/>
      <c r="AK6269" s="80"/>
      <c r="AL6269" s="35"/>
      <c r="AM6269" s="35"/>
      <c r="AN6269" s="35"/>
      <c r="AO6269" s="35"/>
      <c r="AP6269" s="35"/>
    </row>
    <row r="6270" spans="1:42" x14ac:dyDescent="0.2">
      <c r="A6270" s="38">
        <v>45716</v>
      </c>
      <c r="B6270" s="137" t="s">
        <v>90</v>
      </c>
      <c r="C6270" s="41" t="s">
        <v>118</v>
      </c>
      <c r="D6270" s="26" t="s">
        <v>36</v>
      </c>
      <c r="E6270" s="26" t="s">
        <v>139</v>
      </c>
      <c r="F6270" s="26" t="s">
        <v>20076</v>
      </c>
      <c r="G6270" s="26" t="s">
        <v>1847</v>
      </c>
      <c r="H6270" s="26" t="s">
        <v>865</v>
      </c>
      <c r="I6270" s="17" t="str">
        <f ca="1">IFERROR(__xludf.DUMMYFUNCTION("""COMPUTED_VALUE""")," ")</f>
        <v xml:space="preserve"> </v>
      </c>
      <c r="J6270" s="29" t="s">
        <v>9632</v>
      </c>
      <c r="K6270" s="19" t="s">
        <v>13611</v>
      </c>
      <c r="L6270" s="30">
        <v>918689257</v>
      </c>
      <c r="M6270" s="26" t="s">
        <v>9422</v>
      </c>
      <c r="N6270" s="26" t="s">
        <v>5574</v>
      </c>
      <c r="O6270" s="26" t="s">
        <v>9634</v>
      </c>
      <c r="P6270" s="42" t="s">
        <v>13612</v>
      </c>
      <c r="Q6270" s="20"/>
      <c r="R6270" s="26" t="s">
        <v>36</v>
      </c>
      <c r="S6270" s="95">
        <f>500+15436</f>
        <v>15936</v>
      </c>
      <c r="T6270" s="83" t="s">
        <v>9636</v>
      </c>
      <c r="U6270" s="31"/>
      <c r="V6270" s="32"/>
      <c r="W6270" s="33" t="s">
        <v>9637</v>
      </c>
      <c r="X6270" s="26"/>
      <c r="Y6270" s="22"/>
      <c r="Z6270" s="26" t="s">
        <v>50</v>
      </c>
      <c r="AA6270" s="70" t="s">
        <v>9070</v>
      </c>
      <c r="AB6270" s="26"/>
      <c r="AC6270" s="26" t="s">
        <v>53</v>
      </c>
      <c r="AD6270" s="26" t="s">
        <v>54</v>
      </c>
      <c r="AE6270" s="26" t="s">
        <v>20076</v>
      </c>
      <c r="AF6270" s="17"/>
      <c r="AG6270" s="26"/>
      <c r="AH6270" s="26"/>
      <c r="AI6270" s="40"/>
      <c r="AJ6270" s="26"/>
      <c r="AK6270" s="26"/>
      <c r="AL6270" s="35"/>
      <c r="AM6270" s="35"/>
      <c r="AN6270" s="35"/>
      <c r="AO6270" s="35"/>
      <c r="AP6270" s="35"/>
    </row>
    <row r="6271" spans="1:42" x14ac:dyDescent="0.2">
      <c r="A6271" s="38">
        <v>45716</v>
      </c>
      <c r="B6271" s="137" t="s">
        <v>37</v>
      </c>
      <c r="C6271" s="41" t="s">
        <v>118</v>
      </c>
      <c r="D6271" s="80" t="s">
        <v>36</v>
      </c>
      <c r="E6271" s="80" t="s">
        <v>139</v>
      </c>
      <c r="F6271" s="80" t="s">
        <v>8702</v>
      </c>
      <c r="G6271" s="80" t="s">
        <v>221</v>
      </c>
      <c r="H6271" s="80" t="s">
        <v>20021</v>
      </c>
      <c r="I6271" s="17">
        <f ca="1">IFERROR(__xludf.DUMMYFUNCTION("""COMPUTED_VALUE"""),45737)</f>
        <v>45737</v>
      </c>
      <c r="J6271" s="143" t="s">
        <v>15238</v>
      </c>
      <c r="K6271" s="80" t="s">
        <v>16631</v>
      </c>
      <c r="L6271" s="30">
        <v>936390504</v>
      </c>
      <c r="M6271" s="80" t="s">
        <v>5558</v>
      </c>
      <c r="N6271" s="80" t="s">
        <v>5559</v>
      </c>
      <c r="O6271" s="80" t="s">
        <v>15240</v>
      </c>
      <c r="P6271" s="80" t="s">
        <v>15241</v>
      </c>
      <c r="Q6271" s="20">
        <v>15936</v>
      </c>
      <c r="R6271" s="80" t="s">
        <v>36</v>
      </c>
      <c r="S6271" s="95">
        <f>200+3000</f>
        <v>3200</v>
      </c>
      <c r="T6271" s="83" t="s">
        <v>15242</v>
      </c>
      <c r="U6271" s="95">
        <v>12736</v>
      </c>
      <c r="V6271" s="169">
        <v>45575</v>
      </c>
      <c r="W6271" s="80" t="s">
        <v>15243</v>
      </c>
      <c r="X6271" s="80"/>
      <c r="Y6271" s="22">
        <v>0</v>
      </c>
      <c r="Z6271" s="80" t="s">
        <v>50</v>
      </c>
      <c r="AA6271" s="96" t="s">
        <v>9905</v>
      </c>
      <c r="AB6271" s="80"/>
      <c r="AC6271" s="80" t="s">
        <v>53</v>
      </c>
      <c r="AD6271" s="80" t="s">
        <v>138</v>
      </c>
      <c r="AE6271" s="80" t="s">
        <v>8702</v>
      </c>
      <c r="AF6271" s="17">
        <v>45737</v>
      </c>
      <c r="AG6271" s="80"/>
      <c r="AH6271" s="80"/>
      <c r="AI6271" s="147"/>
      <c r="AJ6271" s="80"/>
      <c r="AK6271" s="80"/>
      <c r="AL6271" s="35"/>
      <c r="AM6271" s="35"/>
      <c r="AN6271" s="35"/>
      <c r="AO6271" s="35"/>
      <c r="AP6271" s="35"/>
    </row>
    <row r="6272" spans="1:42" x14ac:dyDescent="0.2">
      <c r="A6272" s="38">
        <v>45716</v>
      </c>
      <c r="B6272" s="137" t="s">
        <v>37</v>
      </c>
      <c r="C6272" s="41" t="s">
        <v>118</v>
      </c>
      <c r="D6272" s="26" t="s">
        <v>36</v>
      </c>
      <c r="E6272" s="26" t="s">
        <v>139</v>
      </c>
      <c r="F6272" s="26" t="s">
        <v>5100</v>
      </c>
      <c r="G6272" s="80" t="s">
        <v>221</v>
      </c>
      <c r="H6272" s="80" t="s">
        <v>20238</v>
      </c>
      <c r="I6272" s="17">
        <f ca="1">IFERROR(__xludf.DUMMYFUNCTION("""COMPUTED_VALUE"""),46014)</f>
        <v>46014</v>
      </c>
      <c r="J6272" s="44" t="s">
        <v>5103</v>
      </c>
      <c r="K6272" s="26" t="s">
        <v>20239</v>
      </c>
      <c r="L6272" s="30">
        <v>911928302</v>
      </c>
      <c r="M6272" s="26" t="s">
        <v>3498</v>
      </c>
      <c r="N6272" s="26" t="s">
        <v>310</v>
      </c>
      <c r="O6272" s="26" t="s">
        <v>4503</v>
      </c>
      <c r="P6272" s="26" t="s">
        <v>20240</v>
      </c>
      <c r="Q6272" s="20">
        <v>15936</v>
      </c>
      <c r="R6272" s="26" t="s">
        <v>36</v>
      </c>
      <c r="S6272" s="31">
        <v>15936</v>
      </c>
      <c r="T6272" s="32">
        <v>45228</v>
      </c>
      <c r="U6272" s="31"/>
      <c r="V6272" s="26"/>
      <c r="W6272" s="33" t="s">
        <v>4505</v>
      </c>
      <c r="X6272" s="26"/>
      <c r="Y6272" s="22">
        <v>0</v>
      </c>
      <c r="Z6272" s="26" t="s">
        <v>118</v>
      </c>
      <c r="AA6272" s="19" t="s">
        <v>3454</v>
      </c>
      <c r="AB6272" s="26" t="s">
        <v>104</v>
      </c>
      <c r="AC6272" s="26" t="s">
        <v>53</v>
      </c>
      <c r="AD6272" s="19" t="s">
        <v>138</v>
      </c>
      <c r="AE6272" s="26" t="s">
        <v>5100</v>
      </c>
      <c r="AF6272" s="17">
        <v>45659</v>
      </c>
      <c r="AG6272" s="26" t="s">
        <v>20241</v>
      </c>
      <c r="AH6272" s="26"/>
      <c r="AI6272" s="40"/>
      <c r="AJ6272" s="26"/>
      <c r="AK6272" s="26"/>
      <c r="AL6272" s="35"/>
      <c r="AM6272" s="35"/>
      <c r="AN6272" s="35"/>
      <c r="AO6272" s="35"/>
      <c r="AP6272" s="35"/>
    </row>
    <row r="6273" spans="1:42" x14ac:dyDescent="0.2">
      <c r="A6273" s="38">
        <v>45716</v>
      </c>
      <c r="B6273" s="28" t="s">
        <v>37</v>
      </c>
      <c r="C6273" s="41" t="s">
        <v>118</v>
      </c>
      <c r="D6273" s="26" t="s">
        <v>36</v>
      </c>
      <c r="E6273" s="26" t="s">
        <v>139</v>
      </c>
      <c r="F6273" s="26" t="s">
        <v>16959</v>
      </c>
      <c r="G6273" s="26" t="s">
        <v>1847</v>
      </c>
      <c r="H6273" s="26" t="s">
        <v>18547</v>
      </c>
      <c r="I6273" s="17">
        <f ca="1">IFERROR(__xludf.DUMMYFUNCTION("""COMPUTED_VALUE"""),45725)</f>
        <v>45725</v>
      </c>
      <c r="J6273" s="29" t="s">
        <v>5433</v>
      </c>
      <c r="K6273" s="26" t="s">
        <v>20242</v>
      </c>
      <c r="L6273" s="30">
        <v>393409293</v>
      </c>
      <c r="M6273" s="26" t="s">
        <v>123</v>
      </c>
      <c r="N6273" s="26" t="s">
        <v>186</v>
      </c>
      <c r="O6273" s="42" t="s">
        <v>20243</v>
      </c>
      <c r="P6273" s="42" t="s">
        <v>20244</v>
      </c>
      <c r="Q6273" s="20">
        <v>15936</v>
      </c>
      <c r="R6273" s="26" t="s">
        <v>36</v>
      </c>
      <c r="S6273" s="31">
        <v>5000</v>
      </c>
      <c r="T6273" s="32">
        <v>45222</v>
      </c>
      <c r="U6273" s="58">
        <v>10936</v>
      </c>
      <c r="V6273" s="59">
        <v>45246</v>
      </c>
      <c r="W6273" s="33" t="s">
        <v>5436</v>
      </c>
      <c r="X6273" s="26"/>
      <c r="Y6273" s="22">
        <v>0</v>
      </c>
      <c r="Z6273" s="26" t="s">
        <v>118</v>
      </c>
      <c r="AA6273" s="19" t="s">
        <v>5112</v>
      </c>
      <c r="AB6273" s="26" t="s">
        <v>36</v>
      </c>
      <c r="AC6273" s="26" t="s">
        <v>53</v>
      </c>
      <c r="AD6273" s="19" t="s">
        <v>54</v>
      </c>
      <c r="AE6273" s="26" t="s">
        <v>16959</v>
      </c>
      <c r="AF6273" s="17">
        <v>45722</v>
      </c>
      <c r="AG6273" s="26"/>
      <c r="AH6273" s="26"/>
      <c r="AI6273" s="40" t="s">
        <v>147</v>
      </c>
      <c r="AJ6273" s="26"/>
      <c r="AK6273" s="26"/>
      <c r="AL6273" s="35"/>
      <c r="AM6273" s="35"/>
      <c r="AN6273" s="35"/>
      <c r="AO6273" s="35"/>
      <c r="AP6273" s="35"/>
    </row>
    <row r="6274" spans="1:42" x14ac:dyDescent="0.2">
      <c r="A6274" s="38">
        <v>45716</v>
      </c>
      <c r="B6274" s="28" t="s">
        <v>37</v>
      </c>
      <c r="C6274" s="41" t="s">
        <v>118</v>
      </c>
      <c r="D6274" s="26" t="s">
        <v>36</v>
      </c>
      <c r="E6274" s="26" t="s">
        <v>139</v>
      </c>
      <c r="F6274" s="26" t="s">
        <v>13889</v>
      </c>
      <c r="G6274" s="26" t="s">
        <v>1847</v>
      </c>
      <c r="H6274" s="26" t="s">
        <v>1848</v>
      </c>
      <c r="I6274" s="17">
        <f ca="1">IFERROR(__xludf.DUMMYFUNCTION("""COMPUTED_VALUE"""),45728)</f>
        <v>45728</v>
      </c>
      <c r="J6274" s="29" t="s">
        <v>13939</v>
      </c>
      <c r="K6274" s="26" t="s">
        <v>8158</v>
      </c>
      <c r="L6274" s="30">
        <v>386685516</v>
      </c>
      <c r="M6274" s="26" t="s">
        <v>3728</v>
      </c>
      <c r="N6274" s="26" t="s">
        <v>5312</v>
      </c>
      <c r="O6274" s="42" t="s">
        <v>20245</v>
      </c>
      <c r="P6274" s="42" t="s">
        <v>13940</v>
      </c>
      <c r="Q6274" s="20">
        <v>15936</v>
      </c>
      <c r="R6274" s="26" t="s">
        <v>36</v>
      </c>
      <c r="S6274" s="31">
        <v>2000</v>
      </c>
      <c r="T6274" s="32">
        <v>45367</v>
      </c>
      <c r="U6274" s="31">
        <v>13936</v>
      </c>
      <c r="V6274" s="32">
        <v>45410</v>
      </c>
      <c r="W6274" s="33" t="s">
        <v>8161</v>
      </c>
      <c r="X6274" s="26"/>
      <c r="Y6274" s="22">
        <v>0</v>
      </c>
      <c r="Z6274" s="26" t="s">
        <v>118</v>
      </c>
      <c r="AA6274" s="19" t="s">
        <v>8102</v>
      </c>
      <c r="AB6274" s="26" t="s">
        <v>36</v>
      </c>
      <c r="AC6274" s="26" t="s">
        <v>53</v>
      </c>
      <c r="AD6274" s="19" t="s">
        <v>54</v>
      </c>
      <c r="AE6274" s="26" t="s">
        <v>13889</v>
      </c>
      <c r="AF6274" s="17">
        <v>45722</v>
      </c>
      <c r="AG6274" s="26"/>
      <c r="AH6274" s="26"/>
      <c r="AI6274" s="40"/>
      <c r="AJ6274" s="26"/>
      <c r="AK6274" s="26"/>
      <c r="AL6274" s="35"/>
      <c r="AM6274" s="35"/>
      <c r="AN6274" s="35"/>
      <c r="AO6274" s="35"/>
      <c r="AP6274" s="35"/>
    </row>
    <row r="6275" spans="1:42" x14ac:dyDescent="0.2">
      <c r="A6275" s="38">
        <v>45716</v>
      </c>
      <c r="B6275" s="28" t="s">
        <v>37</v>
      </c>
      <c r="C6275" s="41" t="s">
        <v>118</v>
      </c>
      <c r="D6275" s="80" t="s">
        <v>36</v>
      </c>
      <c r="E6275" s="80" t="s">
        <v>119</v>
      </c>
      <c r="F6275" s="80" t="s">
        <v>8063</v>
      </c>
      <c r="G6275" s="26" t="s">
        <v>1705</v>
      </c>
      <c r="H6275" s="26" t="s">
        <v>20185</v>
      </c>
      <c r="I6275" s="17">
        <f ca="1">IFERROR(__xludf.DUMMYFUNCTION("""COMPUTED_VALUE"""),45735)</f>
        <v>45735</v>
      </c>
      <c r="J6275" s="143" t="s">
        <v>11137</v>
      </c>
      <c r="K6275" s="145" t="s">
        <v>11138</v>
      </c>
      <c r="L6275" s="30">
        <v>965544802</v>
      </c>
      <c r="M6275" s="80" t="s">
        <v>5429</v>
      </c>
      <c r="N6275" s="80" t="s">
        <v>756</v>
      </c>
      <c r="O6275" s="80" t="s">
        <v>11139</v>
      </c>
      <c r="P6275" s="80" t="s">
        <v>11140</v>
      </c>
      <c r="Q6275" s="20">
        <v>13968</v>
      </c>
      <c r="R6275" s="80" t="s">
        <v>36</v>
      </c>
      <c r="S6275" s="95">
        <v>4000</v>
      </c>
      <c r="T6275" s="148">
        <v>45504</v>
      </c>
      <c r="U6275" s="95">
        <v>9968</v>
      </c>
      <c r="V6275" s="148">
        <v>45528</v>
      </c>
      <c r="W6275" s="85" t="s">
        <v>11141</v>
      </c>
      <c r="X6275" s="80">
        <v>0</v>
      </c>
      <c r="Y6275" s="22">
        <v>0</v>
      </c>
      <c r="Z6275" s="80" t="s">
        <v>50</v>
      </c>
      <c r="AA6275" s="96" t="s">
        <v>10314</v>
      </c>
      <c r="AB6275" s="80"/>
      <c r="AC6275" s="80" t="s">
        <v>53</v>
      </c>
      <c r="AD6275" s="80" t="s">
        <v>54</v>
      </c>
      <c r="AE6275" s="80" t="s">
        <v>8063</v>
      </c>
      <c r="AF6275" s="17">
        <v>45735</v>
      </c>
      <c r="AG6275" s="80"/>
      <c r="AH6275" s="80"/>
      <c r="AI6275" s="147"/>
      <c r="AJ6275" s="80"/>
      <c r="AK6275" s="80"/>
      <c r="AL6275" s="35"/>
      <c r="AM6275" s="35"/>
      <c r="AN6275" s="35"/>
      <c r="AO6275" s="35"/>
      <c r="AP6275" s="35"/>
    </row>
    <row r="6276" spans="1:42" x14ac:dyDescent="0.2">
      <c r="A6276" s="38">
        <v>45716</v>
      </c>
      <c r="B6276" s="137" t="s">
        <v>37</v>
      </c>
      <c r="C6276" s="41" t="s">
        <v>118</v>
      </c>
      <c r="D6276" s="26" t="s">
        <v>36</v>
      </c>
      <c r="E6276" s="26" t="s">
        <v>119</v>
      </c>
      <c r="F6276" s="80" t="s">
        <v>8091</v>
      </c>
      <c r="G6276" s="26" t="s">
        <v>1847</v>
      </c>
      <c r="H6276" s="26" t="s">
        <v>20206</v>
      </c>
      <c r="I6276" s="17">
        <f ca="1">IFERROR(__xludf.DUMMYFUNCTION("""COMPUTED_VALUE"""),45726)</f>
        <v>45726</v>
      </c>
      <c r="J6276" s="29" t="s">
        <v>7695</v>
      </c>
      <c r="K6276" s="19" t="s">
        <v>20246</v>
      </c>
      <c r="L6276" s="30">
        <v>942263874</v>
      </c>
      <c r="M6276" s="26" t="s">
        <v>80</v>
      </c>
      <c r="N6276" s="26" t="s">
        <v>466</v>
      </c>
      <c r="O6276" s="26" t="s">
        <v>7697</v>
      </c>
      <c r="P6276" s="42" t="s">
        <v>20247</v>
      </c>
      <c r="Q6276" s="20">
        <v>13968</v>
      </c>
      <c r="R6276" s="26" t="s">
        <v>70</v>
      </c>
      <c r="S6276" s="31">
        <v>500</v>
      </c>
      <c r="T6276" s="32">
        <v>45313</v>
      </c>
      <c r="U6276" s="31">
        <v>13368</v>
      </c>
      <c r="V6276" s="26" t="s">
        <v>7699</v>
      </c>
      <c r="W6276" s="26" t="s">
        <v>7700</v>
      </c>
      <c r="X6276" s="26"/>
      <c r="Y6276" s="22">
        <v>100</v>
      </c>
      <c r="Z6276" s="26" t="s">
        <v>118</v>
      </c>
      <c r="AA6276" s="19" t="s">
        <v>7361</v>
      </c>
      <c r="AB6276" s="26"/>
      <c r="AC6276" s="26" t="s">
        <v>53</v>
      </c>
      <c r="AD6276" s="19" t="s">
        <v>138</v>
      </c>
      <c r="AE6276" s="80" t="s">
        <v>8091</v>
      </c>
      <c r="AF6276" s="17">
        <v>45722</v>
      </c>
      <c r="AG6276" s="26"/>
      <c r="AH6276" s="26"/>
      <c r="AI6276" s="40"/>
      <c r="AJ6276" s="26"/>
      <c r="AK6276" s="26"/>
      <c r="AL6276" s="35"/>
      <c r="AM6276" s="35"/>
      <c r="AN6276" s="35"/>
      <c r="AO6276" s="35"/>
      <c r="AP6276" s="35"/>
    </row>
    <row r="6277" spans="1:42" x14ac:dyDescent="0.2">
      <c r="A6277" s="38">
        <v>45716</v>
      </c>
      <c r="B6277" s="28"/>
      <c r="C6277" s="41" t="s">
        <v>118</v>
      </c>
      <c r="D6277" s="80" t="s">
        <v>36</v>
      </c>
      <c r="E6277" s="80" t="s">
        <v>139</v>
      </c>
      <c r="F6277" s="80" t="s">
        <v>19616</v>
      </c>
      <c r="G6277" s="26" t="s">
        <v>1847</v>
      </c>
      <c r="H6277" s="26" t="s">
        <v>865</v>
      </c>
      <c r="I6277" s="17" t="str">
        <f ca="1">IFERROR(__xludf.DUMMYFUNCTION("""COMPUTED_VALUE""")," ")</f>
        <v xml:space="preserve"> </v>
      </c>
      <c r="J6277" s="143" t="s">
        <v>18254</v>
      </c>
      <c r="K6277" s="145" t="s">
        <v>20248</v>
      </c>
      <c r="L6277" s="30">
        <v>982588370</v>
      </c>
      <c r="M6277" s="80" t="s">
        <v>9422</v>
      </c>
      <c r="N6277" s="80" t="s">
        <v>2157</v>
      </c>
      <c r="O6277" s="80" t="s">
        <v>8827</v>
      </c>
      <c r="P6277" s="144" t="s">
        <v>20249</v>
      </c>
      <c r="Q6277" s="20">
        <v>15936</v>
      </c>
      <c r="R6277" s="80" t="s">
        <v>36</v>
      </c>
      <c r="S6277" s="95">
        <v>15936</v>
      </c>
      <c r="T6277" s="148">
        <v>45504</v>
      </c>
      <c r="U6277" s="77"/>
      <c r="V6277" s="78"/>
      <c r="W6277" s="80"/>
      <c r="X6277" s="80"/>
      <c r="Y6277" s="22">
        <v>0</v>
      </c>
      <c r="Z6277" s="41" t="s">
        <v>118</v>
      </c>
      <c r="AA6277" s="82" t="s">
        <v>18243</v>
      </c>
      <c r="AB6277" s="80"/>
      <c r="AC6277" s="80" t="s">
        <v>53</v>
      </c>
      <c r="AD6277" s="80" t="s">
        <v>138</v>
      </c>
      <c r="AE6277" s="80" t="s">
        <v>19616</v>
      </c>
      <c r="AF6277" s="17"/>
      <c r="AG6277" s="80"/>
      <c r="AH6277" s="80"/>
      <c r="AI6277" s="147"/>
      <c r="AJ6277" s="80"/>
      <c r="AK6277" s="80"/>
      <c r="AL6277" s="86"/>
      <c r="AM6277" s="86"/>
      <c r="AN6277" s="86"/>
      <c r="AO6277" s="86"/>
      <c r="AP6277" s="86"/>
    </row>
    <row r="6278" spans="1:42" x14ac:dyDescent="0.2">
      <c r="A6278" s="38">
        <v>45716</v>
      </c>
      <c r="B6278" s="28" t="s">
        <v>37</v>
      </c>
      <c r="C6278" s="41" t="s">
        <v>118</v>
      </c>
      <c r="D6278" s="26" t="s">
        <v>36</v>
      </c>
      <c r="E6278" s="26" t="s">
        <v>139</v>
      </c>
      <c r="F6278" s="26" t="s">
        <v>9820</v>
      </c>
      <c r="G6278" s="26" t="s">
        <v>1705</v>
      </c>
      <c r="H6278" s="26" t="s">
        <v>20185</v>
      </c>
      <c r="I6278" s="17">
        <f ca="1">IFERROR(__xludf.DUMMYFUNCTION("""COMPUTED_VALUE"""),45735)</f>
        <v>45735</v>
      </c>
      <c r="J6278" s="29" t="s">
        <v>7548</v>
      </c>
      <c r="K6278" s="26" t="s">
        <v>20250</v>
      </c>
      <c r="L6278" s="30">
        <v>383599674</v>
      </c>
      <c r="M6278" s="26" t="s">
        <v>3728</v>
      </c>
      <c r="N6278" s="26" t="s">
        <v>7550</v>
      </c>
      <c r="O6278" s="26" t="s">
        <v>7551</v>
      </c>
      <c r="P6278" s="42" t="s">
        <v>11854</v>
      </c>
      <c r="Q6278" s="20">
        <v>15936</v>
      </c>
      <c r="R6278" s="26" t="s">
        <v>36</v>
      </c>
      <c r="S6278" s="31">
        <v>300</v>
      </c>
      <c r="T6278" s="32">
        <v>44931</v>
      </c>
      <c r="U6278" s="31">
        <f>1700+13936</f>
        <v>15636</v>
      </c>
      <c r="V6278" s="26" t="s">
        <v>7553</v>
      </c>
      <c r="W6278" s="33" t="s">
        <v>7554</v>
      </c>
      <c r="X6278" s="26"/>
      <c r="Y6278" s="22">
        <v>0</v>
      </c>
      <c r="Z6278" s="26" t="s">
        <v>118</v>
      </c>
      <c r="AA6278" s="19" t="s">
        <v>7361</v>
      </c>
      <c r="AB6278" s="26" t="s">
        <v>36</v>
      </c>
      <c r="AC6278" s="26" t="s">
        <v>53</v>
      </c>
      <c r="AD6278" s="19" t="s">
        <v>138</v>
      </c>
      <c r="AE6278" s="26" t="s">
        <v>9820</v>
      </c>
      <c r="AF6278" s="17">
        <v>45735</v>
      </c>
      <c r="AG6278" s="26"/>
      <c r="AH6278" s="26"/>
      <c r="AI6278" s="40"/>
      <c r="AJ6278" s="26"/>
      <c r="AK6278" s="26"/>
      <c r="AL6278" s="35"/>
      <c r="AM6278" s="35"/>
      <c r="AN6278" s="35"/>
      <c r="AO6278" s="35"/>
      <c r="AP6278" s="35"/>
    </row>
    <row r="6279" spans="1:42" x14ac:dyDescent="0.2">
      <c r="A6279" s="38">
        <v>45716</v>
      </c>
      <c r="B6279" s="28" t="s">
        <v>37</v>
      </c>
      <c r="C6279" s="41" t="s">
        <v>118</v>
      </c>
      <c r="D6279" s="26" t="s">
        <v>36</v>
      </c>
      <c r="E6279" s="26" t="s">
        <v>139</v>
      </c>
      <c r="F6279" s="26" t="s">
        <v>9032</v>
      </c>
      <c r="G6279" s="26" t="s">
        <v>1705</v>
      </c>
      <c r="H6279" s="26" t="s">
        <v>20251</v>
      </c>
      <c r="I6279" s="17">
        <f ca="1">IFERROR(__xludf.DUMMYFUNCTION("""COMPUTED_VALUE"""),45772)</f>
        <v>45772</v>
      </c>
      <c r="J6279" s="29" t="s">
        <v>4324</v>
      </c>
      <c r="K6279" s="26" t="s">
        <v>20252</v>
      </c>
      <c r="L6279" s="30">
        <v>337463783</v>
      </c>
      <c r="M6279" s="26" t="s">
        <v>1245</v>
      </c>
      <c r="N6279" s="26" t="s">
        <v>4957</v>
      </c>
      <c r="O6279" s="26" t="s">
        <v>1226</v>
      </c>
      <c r="P6279" s="42" t="s">
        <v>20253</v>
      </c>
      <c r="Q6279" s="20">
        <v>15936</v>
      </c>
      <c r="R6279" s="26" t="s">
        <v>70</v>
      </c>
      <c r="S6279" s="31">
        <v>15836</v>
      </c>
      <c r="T6279" s="32">
        <v>45216</v>
      </c>
      <c r="U6279" s="31"/>
      <c r="V6279" s="26"/>
      <c r="W6279" s="33" t="s">
        <v>4326</v>
      </c>
      <c r="X6279" s="26"/>
      <c r="Y6279" s="22">
        <v>100</v>
      </c>
      <c r="Z6279" s="26" t="s">
        <v>118</v>
      </c>
      <c r="AA6279" s="19" t="s">
        <v>3454</v>
      </c>
      <c r="AB6279" s="80" t="s">
        <v>36</v>
      </c>
      <c r="AC6279" s="26" t="s">
        <v>53</v>
      </c>
      <c r="AD6279" s="19" t="s">
        <v>138</v>
      </c>
      <c r="AE6279" s="26" t="s">
        <v>9032</v>
      </c>
      <c r="AF6279" s="17">
        <v>45772</v>
      </c>
      <c r="AG6279" s="26"/>
      <c r="AH6279" s="26"/>
      <c r="AI6279" s="40"/>
      <c r="AJ6279" s="26"/>
      <c r="AK6279" s="26"/>
      <c r="AL6279" s="35"/>
      <c r="AM6279" s="35"/>
      <c r="AN6279" s="35"/>
      <c r="AO6279" s="35"/>
      <c r="AP6279" s="35"/>
    </row>
    <row r="6280" spans="1:42" x14ac:dyDescent="0.2">
      <c r="A6280" s="38">
        <v>45716</v>
      </c>
      <c r="B6280" s="28" t="s">
        <v>37</v>
      </c>
      <c r="C6280" s="41" t="s">
        <v>118</v>
      </c>
      <c r="D6280" s="80" t="s">
        <v>36</v>
      </c>
      <c r="E6280" s="80" t="s">
        <v>139</v>
      </c>
      <c r="F6280" s="80" t="s">
        <v>14387</v>
      </c>
      <c r="G6280" s="80" t="s">
        <v>221</v>
      </c>
      <c r="H6280" s="80" t="s">
        <v>20000</v>
      </c>
      <c r="I6280" s="17">
        <f ca="1">IFERROR(__xludf.DUMMYFUNCTION("""COMPUTED_VALUE"""),45719)</f>
        <v>45719</v>
      </c>
      <c r="J6280" s="143" t="s">
        <v>14491</v>
      </c>
      <c r="K6280" s="80" t="s">
        <v>14492</v>
      </c>
      <c r="L6280" s="30">
        <v>911634169</v>
      </c>
      <c r="M6280" s="80" t="s">
        <v>123</v>
      </c>
      <c r="N6280" s="80" t="s">
        <v>2847</v>
      </c>
      <c r="O6280" s="80" t="s">
        <v>4503</v>
      </c>
      <c r="P6280" s="80" t="s">
        <v>12968</v>
      </c>
      <c r="Q6280" s="20">
        <v>15936</v>
      </c>
      <c r="R6280" s="80" t="s">
        <v>36</v>
      </c>
      <c r="S6280" s="95">
        <f>200+2000</f>
        <v>2200</v>
      </c>
      <c r="T6280" s="83" t="s">
        <v>14493</v>
      </c>
      <c r="U6280" s="95">
        <v>13736</v>
      </c>
      <c r="V6280" s="148">
        <v>45577</v>
      </c>
      <c r="W6280" s="80" t="s">
        <v>14494</v>
      </c>
      <c r="X6280" s="80"/>
      <c r="Y6280" s="22">
        <v>0</v>
      </c>
      <c r="Z6280" s="80" t="s">
        <v>50</v>
      </c>
      <c r="AA6280" s="86"/>
      <c r="AB6280" s="80"/>
      <c r="AC6280" s="80" t="s">
        <v>53</v>
      </c>
      <c r="AD6280" s="80" t="s">
        <v>138</v>
      </c>
      <c r="AE6280" s="80" t="s">
        <v>14387</v>
      </c>
      <c r="AF6280" s="17">
        <v>45719</v>
      </c>
      <c r="AG6280" s="80"/>
      <c r="AH6280" s="80"/>
      <c r="AI6280" s="147"/>
      <c r="AJ6280" s="80"/>
      <c r="AK6280" s="80"/>
      <c r="AL6280" s="35"/>
      <c r="AM6280" s="35"/>
      <c r="AN6280" s="35"/>
      <c r="AO6280" s="35"/>
      <c r="AP6280" s="35"/>
    </row>
    <row r="6281" spans="1:42" x14ac:dyDescent="0.2">
      <c r="A6281" s="38">
        <v>45716</v>
      </c>
      <c r="B6281" s="28" t="s">
        <v>37</v>
      </c>
      <c r="C6281" s="41" t="s">
        <v>118</v>
      </c>
      <c r="D6281" s="80" t="s">
        <v>36</v>
      </c>
      <c r="E6281" s="80" t="s">
        <v>56</v>
      </c>
      <c r="F6281" s="80" t="s">
        <v>11211</v>
      </c>
      <c r="G6281" s="80" t="s">
        <v>108</v>
      </c>
      <c r="H6281" s="80" t="s">
        <v>19406</v>
      </c>
      <c r="I6281" s="17">
        <f ca="1">IFERROR(__xludf.DUMMYFUNCTION("""COMPUTED_VALUE"""),45723)</f>
        <v>45723</v>
      </c>
      <c r="J6281" s="143" t="s">
        <v>11336</v>
      </c>
      <c r="K6281" s="80" t="s">
        <v>20254</v>
      </c>
      <c r="L6281" s="30">
        <v>983475916</v>
      </c>
      <c r="M6281" s="80" t="s">
        <v>123</v>
      </c>
      <c r="N6281" s="80" t="s">
        <v>186</v>
      </c>
      <c r="O6281" s="80" t="s">
        <v>4503</v>
      </c>
      <c r="P6281" s="144" t="s">
        <v>20255</v>
      </c>
      <c r="Q6281" s="20">
        <v>9317</v>
      </c>
      <c r="R6281" s="80" t="s">
        <v>36</v>
      </c>
      <c r="S6281" s="95">
        <f t="shared" ref="S6281:S6282" si="180">200+9117</f>
        <v>9317</v>
      </c>
      <c r="T6281" s="148">
        <v>45494</v>
      </c>
      <c r="U6281" s="95"/>
      <c r="V6281" s="148">
        <v>45515</v>
      </c>
      <c r="W6281" s="80" t="s">
        <v>11339</v>
      </c>
      <c r="X6281" s="80">
        <v>0</v>
      </c>
      <c r="Y6281" s="22">
        <v>0</v>
      </c>
      <c r="Z6281" s="80" t="s">
        <v>50</v>
      </c>
      <c r="AA6281" s="96" t="s">
        <v>10314</v>
      </c>
      <c r="AB6281" s="80"/>
      <c r="AC6281" s="80" t="s">
        <v>53</v>
      </c>
      <c r="AD6281" s="80" t="s">
        <v>54</v>
      </c>
      <c r="AE6281" s="80" t="s">
        <v>11211</v>
      </c>
      <c r="AF6281" s="17">
        <v>45720</v>
      </c>
      <c r="AG6281" s="80"/>
      <c r="AH6281" s="80"/>
      <c r="AI6281" s="147"/>
      <c r="AJ6281" s="80"/>
      <c r="AK6281" s="80"/>
      <c r="AL6281" s="35"/>
      <c r="AM6281" s="35"/>
      <c r="AN6281" s="35"/>
      <c r="AO6281" s="35"/>
      <c r="AP6281" s="35"/>
    </row>
    <row r="6282" spans="1:42" x14ac:dyDescent="0.2">
      <c r="A6282" s="38">
        <v>45716</v>
      </c>
      <c r="B6282" s="28" t="s">
        <v>37</v>
      </c>
      <c r="C6282" s="41" t="s">
        <v>118</v>
      </c>
      <c r="D6282" s="80" t="s">
        <v>36</v>
      </c>
      <c r="E6282" s="80" t="s">
        <v>56</v>
      </c>
      <c r="F6282" s="80" t="s">
        <v>11211</v>
      </c>
      <c r="G6282" s="80" t="s">
        <v>108</v>
      </c>
      <c r="H6282" s="80" t="s">
        <v>19406</v>
      </c>
      <c r="I6282" s="17">
        <f ca="1">IFERROR(__xludf.DUMMYFUNCTION("""COMPUTED_VALUE"""),45723)</f>
        <v>45723</v>
      </c>
      <c r="J6282" s="143" t="s">
        <v>11340</v>
      </c>
      <c r="K6282" s="80" t="s">
        <v>20256</v>
      </c>
      <c r="L6282" s="30">
        <v>986933123</v>
      </c>
      <c r="M6282" s="80" t="s">
        <v>123</v>
      </c>
      <c r="N6282" s="80" t="s">
        <v>186</v>
      </c>
      <c r="O6282" s="80" t="s">
        <v>4503</v>
      </c>
      <c r="P6282" s="144" t="s">
        <v>20257</v>
      </c>
      <c r="Q6282" s="20">
        <v>9317</v>
      </c>
      <c r="R6282" s="80" t="s">
        <v>36</v>
      </c>
      <c r="S6282" s="95">
        <f t="shared" si="180"/>
        <v>9317</v>
      </c>
      <c r="T6282" s="148">
        <v>45496</v>
      </c>
      <c r="U6282" s="95"/>
      <c r="V6282" s="148">
        <v>45515</v>
      </c>
      <c r="W6282" s="80" t="s">
        <v>11343</v>
      </c>
      <c r="X6282" s="80">
        <v>0</v>
      </c>
      <c r="Y6282" s="22">
        <v>0</v>
      </c>
      <c r="Z6282" s="80" t="s">
        <v>50</v>
      </c>
      <c r="AA6282" s="35" t="s">
        <v>10314</v>
      </c>
      <c r="AB6282" s="80"/>
      <c r="AC6282" s="80" t="s">
        <v>53</v>
      </c>
      <c r="AD6282" s="80" t="s">
        <v>54</v>
      </c>
      <c r="AE6282" s="80" t="s">
        <v>11211</v>
      </c>
      <c r="AF6282" s="17">
        <v>45720</v>
      </c>
      <c r="AG6282" s="80"/>
      <c r="AH6282" s="80"/>
      <c r="AI6282" s="147"/>
      <c r="AJ6282" s="80"/>
      <c r="AK6282" s="80"/>
      <c r="AL6282" s="35"/>
      <c r="AM6282" s="35"/>
      <c r="AN6282" s="35"/>
      <c r="AO6282" s="35"/>
      <c r="AP6282" s="35"/>
    </row>
    <row r="6283" spans="1:42" x14ac:dyDescent="0.2">
      <c r="A6283" s="38">
        <v>45716</v>
      </c>
      <c r="B6283" s="28" t="s">
        <v>37</v>
      </c>
      <c r="C6283" s="41" t="s">
        <v>118</v>
      </c>
      <c r="D6283" s="26" t="s">
        <v>36</v>
      </c>
      <c r="E6283" s="26" t="s">
        <v>139</v>
      </c>
      <c r="F6283" s="26" t="s">
        <v>10038</v>
      </c>
      <c r="G6283" s="80" t="s">
        <v>221</v>
      </c>
      <c r="H6283" s="80" t="s">
        <v>20083</v>
      </c>
      <c r="I6283" s="17">
        <f ca="1">IFERROR(__xludf.DUMMYFUNCTION("""COMPUTED_VALUE"""),45887)</f>
        <v>45887</v>
      </c>
      <c r="J6283" s="29" t="s">
        <v>10139</v>
      </c>
      <c r="K6283" s="26" t="s">
        <v>20258</v>
      </c>
      <c r="L6283" s="30">
        <v>355921362</v>
      </c>
      <c r="M6283" s="26" t="s">
        <v>123</v>
      </c>
      <c r="N6283" s="26" t="s">
        <v>327</v>
      </c>
      <c r="O6283" s="26" t="s">
        <v>4503</v>
      </c>
      <c r="P6283" s="26" t="s">
        <v>10141</v>
      </c>
      <c r="Q6283" s="20">
        <v>15936</v>
      </c>
      <c r="R6283" s="26" t="s">
        <v>36</v>
      </c>
      <c r="S6283" s="95">
        <f>200+1800</f>
        <v>2000</v>
      </c>
      <c r="T6283" s="83" t="s">
        <v>10142</v>
      </c>
      <c r="U6283" s="95">
        <v>13936</v>
      </c>
      <c r="V6283" s="148">
        <v>45528</v>
      </c>
      <c r="W6283" s="33" t="s">
        <v>10143</v>
      </c>
      <c r="X6283" s="26">
        <v>0</v>
      </c>
      <c r="Y6283" s="22">
        <v>0</v>
      </c>
      <c r="Z6283" s="26" t="s">
        <v>50</v>
      </c>
      <c r="AA6283" s="96"/>
      <c r="AB6283" s="26" t="s">
        <v>4503</v>
      </c>
      <c r="AC6283" s="26" t="s">
        <v>53</v>
      </c>
      <c r="AD6283" s="26" t="s">
        <v>54</v>
      </c>
      <c r="AE6283" s="26" t="s">
        <v>10038</v>
      </c>
      <c r="AF6283" s="17">
        <v>45884</v>
      </c>
      <c r="AG6283" s="26" t="s">
        <v>20241</v>
      </c>
      <c r="AH6283" s="26"/>
      <c r="AI6283" s="40"/>
      <c r="AJ6283" s="26"/>
      <c r="AK6283" s="26"/>
      <c r="AL6283" s="35"/>
      <c r="AM6283" s="35"/>
      <c r="AN6283" s="35"/>
      <c r="AO6283" s="35"/>
      <c r="AP6283" s="35"/>
    </row>
    <row r="6284" spans="1:42" x14ac:dyDescent="0.2">
      <c r="A6284" s="38">
        <v>45717</v>
      </c>
      <c r="B6284" s="28" t="s">
        <v>37</v>
      </c>
      <c r="C6284" s="41" t="s">
        <v>118</v>
      </c>
      <c r="D6284" s="80" t="s">
        <v>36</v>
      </c>
      <c r="E6284" s="80" t="s">
        <v>139</v>
      </c>
      <c r="F6284" s="80" t="s">
        <v>13089</v>
      </c>
      <c r="G6284" s="80" t="s">
        <v>108</v>
      </c>
      <c r="H6284" s="80" t="s">
        <v>19406</v>
      </c>
      <c r="I6284" s="17">
        <f ca="1">IFERROR(__xludf.DUMMYFUNCTION("""COMPUTED_VALUE"""),45723)</f>
        <v>45723</v>
      </c>
      <c r="J6284" s="143" t="s">
        <v>19203</v>
      </c>
      <c r="K6284" s="80" t="s">
        <v>19204</v>
      </c>
      <c r="L6284" s="30">
        <v>384245223</v>
      </c>
      <c r="M6284" s="80" t="s">
        <v>17779</v>
      </c>
      <c r="N6284" s="80" t="s">
        <v>4402</v>
      </c>
      <c r="O6284" s="80" t="s">
        <v>4503</v>
      </c>
      <c r="P6284" s="144" t="s">
        <v>20259</v>
      </c>
      <c r="Q6284" s="20">
        <v>15936</v>
      </c>
      <c r="R6284" s="80" t="s">
        <v>70</v>
      </c>
      <c r="S6284" s="95">
        <f>15636+200</f>
        <v>15836</v>
      </c>
      <c r="T6284" s="83" t="s">
        <v>19206</v>
      </c>
      <c r="U6284" s="77"/>
      <c r="V6284" s="78"/>
      <c r="W6284" s="80" t="s">
        <v>19207</v>
      </c>
      <c r="X6284" s="80"/>
      <c r="Y6284" s="22">
        <v>100</v>
      </c>
      <c r="Z6284" s="80" t="s">
        <v>50</v>
      </c>
      <c r="AA6284" s="35" t="s">
        <v>18579</v>
      </c>
      <c r="AB6284" s="82"/>
      <c r="AC6284" s="80" t="s">
        <v>53</v>
      </c>
      <c r="AD6284" s="80" t="s">
        <v>138</v>
      </c>
      <c r="AE6284" s="80" t="s">
        <v>13089</v>
      </c>
      <c r="AF6284" s="17">
        <v>45720</v>
      </c>
      <c r="AG6284" s="80"/>
      <c r="AH6284" s="80"/>
      <c r="AI6284" s="147"/>
      <c r="AJ6284" s="80"/>
      <c r="AK6284" s="80"/>
      <c r="AL6284" s="35"/>
      <c r="AM6284" s="35"/>
      <c r="AN6284" s="35"/>
      <c r="AO6284" s="35"/>
      <c r="AP6284" s="35"/>
    </row>
    <row r="6285" spans="1:42" x14ac:dyDescent="0.2">
      <c r="A6285" s="38">
        <v>45717</v>
      </c>
      <c r="B6285" s="28" t="s">
        <v>37</v>
      </c>
      <c r="C6285" s="41" t="s">
        <v>118</v>
      </c>
      <c r="D6285" s="26" t="s">
        <v>36</v>
      </c>
      <c r="E6285" s="26" t="s">
        <v>119</v>
      </c>
      <c r="F6285" s="26" t="s">
        <v>13889</v>
      </c>
      <c r="G6285" s="26" t="s">
        <v>1847</v>
      </c>
      <c r="H6285" s="26" t="s">
        <v>1848</v>
      </c>
      <c r="I6285" s="17">
        <f ca="1">IFERROR(__xludf.DUMMYFUNCTION("""COMPUTED_VALUE"""),45728)</f>
        <v>45728</v>
      </c>
      <c r="J6285" s="29" t="s">
        <v>10656</v>
      </c>
      <c r="K6285" s="26" t="s">
        <v>13893</v>
      </c>
      <c r="L6285" s="30">
        <v>912874414</v>
      </c>
      <c r="M6285" s="26" t="s">
        <v>80</v>
      </c>
      <c r="N6285" s="26" t="s">
        <v>466</v>
      </c>
      <c r="O6285" s="26" t="s">
        <v>10658</v>
      </c>
      <c r="P6285" s="42" t="s">
        <v>20260</v>
      </c>
      <c r="Q6285" s="20">
        <v>13968</v>
      </c>
      <c r="R6285" s="26" t="s">
        <v>36</v>
      </c>
      <c r="S6285" s="95">
        <f>200+3600</f>
        <v>3800</v>
      </c>
      <c r="T6285" s="83" t="s">
        <v>10660</v>
      </c>
      <c r="U6285" s="95">
        <v>10168</v>
      </c>
      <c r="V6285" s="148">
        <v>45512</v>
      </c>
      <c r="W6285" s="33" t="s">
        <v>10661</v>
      </c>
      <c r="X6285" s="26">
        <v>0</v>
      </c>
      <c r="Y6285" s="22">
        <v>0</v>
      </c>
      <c r="Z6285" s="26" t="s">
        <v>50</v>
      </c>
      <c r="AA6285" s="96" t="s">
        <v>10314</v>
      </c>
      <c r="AB6285" s="26"/>
      <c r="AC6285" s="26" t="s">
        <v>53</v>
      </c>
      <c r="AD6285" s="26" t="s">
        <v>54</v>
      </c>
      <c r="AE6285" s="26" t="s">
        <v>13889</v>
      </c>
      <c r="AF6285" s="17">
        <v>45722</v>
      </c>
      <c r="AG6285" s="26"/>
      <c r="AH6285" s="26"/>
      <c r="AI6285" s="40"/>
      <c r="AJ6285" s="26"/>
      <c r="AK6285" s="26"/>
      <c r="AL6285" s="35"/>
      <c r="AM6285" s="35"/>
      <c r="AN6285" s="35"/>
      <c r="AO6285" s="35"/>
      <c r="AP6285" s="35"/>
    </row>
    <row r="6286" spans="1:42" x14ac:dyDescent="0.2">
      <c r="A6286" s="38">
        <v>45717</v>
      </c>
      <c r="B6286" s="28" t="s">
        <v>37</v>
      </c>
      <c r="C6286" s="41" t="s">
        <v>118</v>
      </c>
      <c r="D6286" s="26" t="s">
        <v>36</v>
      </c>
      <c r="E6286" s="26" t="s">
        <v>139</v>
      </c>
      <c r="F6286" s="26" t="s">
        <v>13652</v>
      </c>
      <c r="G6286" s="26" t="s">
        <v>1847</v>
      </c>
      <c r="H6286" s="26" t="s">
        <v>1848</v>
      </c>
      <c r="I6286" s="17">
        <f ca="1">IFERROR(__xludf.DUMMYFUNCTION("""COMPUTED_VALUE"""),45728)</f>
        <v>45728</v>
      </c>
      <c r="J6286" s="29" t="s">
        <v>4046</v>
      </c>
      <c r="K6286" s="26" t="s">
        <v>4047</v>
      </c>
      <c r="L6286" s="30">
        <v>945493468</v>
      </c>
      <c r="M6286" s="26" t="s">
        <v>123</v>
      </c>
      <c r="N6286" s="26" t="s">
        <v>850</v>
      </c>
      <c r="O6286" s="26" t="s">
        <v>1226</v>
      </c>
      <c r="P6286" s="42" t="s">
        <v>20261</v>
      </c>
      <c r="Q6286" s="20">
        <v>15936</v>
      </c>
      <c r="R6286" s="26" t="s">
        <v>70</v>
      </c>
      <c r="S6286" s="31">
        <v>2000</v>
      </c>
      <c r="T6286" s="32">
        <v>45202</v>
      </c>
      <c r="U6286" s="31">
        <v>13836</v>
      </c>
      <c r="V6286" s="32">
        <v>45205</v>
      </c>
      <c r="W6286" s="33" t="s">
        <v>4048</v>
      </c>
      <c r="X6286" s="26"/>
      <c r="Y6286" s="22">
        <v>100</v>
      </c>
      <c r="Z6286" s="26" t="s">
        <v>118</v>
      </c>
      <c r="AA6286" s="19" t="s">
        <v>4541</v>
      </c>
      <c r="AB6286" s="26" t="s">
        <v>36</v>
      </c>
      <c r="AC6286" s="26" t="s">
        <v>53</v>
      </c>
      <c r="AD6286" s="19" t="s">
        <v>138</v>
      </c>
      <c r="AE6286" s="26" t="s">
        <v>13652</v>
      </c>
      <c r="AF6286" s="17">
        <v>45722</v>
      </c>
      <c r="AG6286" s="26"/>
      <c r="AH6286" s="26"/>
      <c r="AI6286" s="40"/>
      <c r="AJ6286" s="26"/>
      <c r="AK6286" s="26"/>
      <c r="AL6286" s="35"/>
      <c r="AM6286" s="35"/>
      <c r="AN6286" s="35"/>
      <c r="AO6286" s="35"/>
      <c r="AP6286" s="35"/>
    </row>
    <row r="6287" spans="1:42" x14ac:dyDescent="0.2">
      <c r="A6287" s="38">
        <v>45717</v>
      </c>
      <c r="B6287" s="28" t="s">
        <v>37</v>
      </c>
      <c r="C6287" s="41" t="s">
        <v>118</v>
      </c>
      <c r="D6287" s="26" t="s">
        <v>36</v>
      </c>
      <c r="E6287" s="26" t="s">
        <v>119</v>
      </c>
      <c r="F6287" s="26" t="s">
        <v>13513</v>
      </c>
      <c r="G6287" s="26" t="s">
        <v>1847</v>
      </c>
      <c r="H6287" s="26" t="s">
        <v>1848</v>
      </c>
      <c r="I6287" s="17">
        <f ca="1">IFERROR(__xludf.DUMMYFUNCTION("""COMPUTED_VALUE"""),45728)</f>
        <v>45728</v>
      </c>
      <c r="J6287" s="29" t="s">
        <v>9279</v>
      </c>
      <c r="K6287" s="26" t="s">
        <v>4034</v>
      </c>
      <c r="L6287" s="30">
        <v>964853476</v>
      </c>
      <c r="M6287" s="26" t="s">
        <v>80</v>
      </c>
      <c r="N6287" s="26" t="s">
        <v>1073</v>
      </c>
      <c r="O6287" s="26" t="s">
        <v>9281</v>
      </c>
      <c r="P6287" s="42" t="s">
        <v>20262</v>
      </c>
      <c r="Q6287" s="20"/>
      <c r="R6287" s="26" t="s">
        <v>36</v>
      </c>
      <c r="S6287" s="95">
        <f>200+3800</f>
        <v>4000</v>
      </c>
      <c r="T6287" s="83" t="s">
        <v>9283</v>
      </c>
      <c r="U6287" s="95">
        <v>9968</v>
      </c>
      <c r="V6287" s="148">
        <v>45502</v>
      </c>
      <c r="W6287" s="33" t="s">
        <v>9284</v>
      </c>
      <c r="X6287" s="26"/>
      <c r="Y6287" s="22"/>
      <c r="Z6287" s="26" t="s">
        <v>50</v>
      </c>
      <c r="AA6287" s="70" t="s">
        <v>9070</v>
      </c>
      <c r="AB6287" s="26"/>
      <c r="AC6287" s="26" t="s">
        <v>53</v>
      </c>
      <c r="AD6287" s="26" t="s">
        <v>54</v>
      </c>
      <c r="AE6287" s="26" t="s">
        <v>13513</v>
      </c>
      <c r="AF6287" s="17">
        <v>45722</v>
      </c>
      <c r="AG6287" s="26"/>
      <c r="AH6287" s="26"/>
      <c r="AI6287" s="40"/>
      <c r="AJ6287" s="26"/>
      <c r="AK6287" s="26"/>
      <c r="AL6287" s="35"/>
      <c r="AM6287" s="35"/>
      <c r="AN6287" s="35"/>
      <c r="AO6287" s="35"/>
      <c r="AP6287" s="35"/>
    </row>
    <row r="6288" spans="1:42" x14ac:dyDescent="0.2">
      <c r="A6288" s="38">
        <v>45717</v>
      </c>
      <c r="B6288" s="28" t="s">
        <v>37</v>
      </c>
      <c r="C6288" s="41" t="s">
        <v>118</v>
      </c>
      <c r="D6288" s="80" t="s">
        <v>36</v>
      </c>
      <c r="E6288" s="80" t="s">
        <v>139</v>
      </c>
      <c r="F6288" s="80" t="s">
        <v>13957</v>
      </c>
      <c r="G6288" s="80" t="s">
        <v>221</v>
      </c>
      <c r="H6288" s="80" t="s">
        <v>13768</v>
      </c>
      <c r="I6288" s="17">
        <f ca="1">IFERROR(__xludf.DUMMYFUNCTION("""COMPUTED_VALUE"""),45726)</f>
        <v>45726</v>
      </c>
      <c r="J6288" s="143" t="s">
        <v>12125</v>
      </c>
      <c r="K6288" s="145" t="s">
        <v>13958</v>
      </c>
      <c r="L6288" s="30">
        <v>333350675</v>
      </c>
      <c r="M6288" s="80" t="s">
        <v>3728</v>
      </c>
      <c r="N6288" s="80" t="s">
        <v>5312</v>
      </c>
      <c r="O6288" s="80" t="s">
        <v>12127</v>
      </c>
      <c r="P6288" s="144" t="s">
        <v>20263</v>
      </c>
      <c r="Q6288" s="20">
        <v>15936</v>
      </c>
      <c r="R6288" s="80" t="s">
        <v>36</v>
      </c>
      <c r="S6288" s="95">
        <f>200+1800</f>
        <v>2000</v>
      </c>
      <c r="T6288" s="148" t="s">
        <v>12129</v>
      </c>
      <c r="U6288" s="95">
        <v>13936</v>
      </c>
      <c r="V6288" s="148">
        <v>45553</v>
      </c>
      <c r="W6288" s="85" t="s">
        <v>12130</v>
      </c>
      <c r="X6288" s="83">
        <v>0</v>
      </c>
      <c r="Y6288" s="22">
        <v>0</v>
      </c>
      <c r="Z6288" s="81" t="s">
        <v>50</v>
      </c>
      <c r="AA6288" s="86" t="s">
        <v>3291</v>
      </c>
      <c r="AB6288" s="80"/>
      <c r="AC6288" s="80" t="s">
        <v>53</v>
      </c>
      <c r="AD6288" s="80" t="s">
        <v>54</v>
      </c>
      <c r="AE6288" s="80" t="s">
        <v>13957</v>
      </c>
      <c r="AF6288" s="17">
        <v>45722</v>
      </c>
      <c r="AG6288" s="80"/>
      <c r="AH6288" s="80"/>
      <c r="AI6288" s="147" t="s">
        <v>147</v>
      </c>
      <c r="AJ6288" s="80"/>
      <c r="AK6288" s="80"/>
      <c r="AL6288" s="86"/>
      <c r="AM6288" s="86"/>
      <c r="AN6288" s="86"/>
      <c r="AO6288" s="86"/>
      <c r="AP6288" s="86"/>
    </row>
    <row r="6289" spans="1:42" x14ac:dyDescent="0.2">
      <c r="A6289" s="38">
        <v>45717</v>
      </c>
      <c r="B6289" s="28" t="s">
        <v>37</v>
      </c>
      <c r="C6289" s="41" t="s">
        <v>118</v>
      </c>
      <c r="D6289" s="80" t="s">
        <v>36</v>
      </c>
      <c r="E6289" s="80" t="s">
        <v>56</v>
      </c>
      <c r="F6289" s="80" t="s">
        <v>13957</v>
      </c>
      <c r="G6289" s="80" t="s">
        <v>221</v>
      </c>
      <c r="H6289" s="80" t="s">
        <v>13768</v>
      </c>
      <c r="I6289" s="17">
        <f ca="1">IFERROR(__xludf.DUMMYFUNCTION("""COMPUTED_VALUE"""),45726)</f>
        <v>45726</v>
      </c>
      <c r="J6289" s="143" t="s">
        <v>8393</v>
      </c>
      <c r="K6289" s="145" t="s">
        <v>20264</v>
      </c>
      <c r="L6289" s="30">
        <v>773386206</v>
      </c>
      <c r="M6289" s="80" t="s">
        <v>633</v>
      </c>
      <c r="N6289" s="80" t="s">
        <v>2847</v>
      </c>
      <c r="O6289" s="80" t="s">
        <v>8395</v>
      </c>
      <c r="P6289" s="144" t="s">
        <v>13959</v>
      </c>
      <c r="Q6289" s="20">
        <v>15936</v>
      </c>
      <c r="R6289" s="80" t="s">
        <v>36</v>
      </c>
      <c r="S6289" s="77">
        <v>15936</v>
      </c>
      <c r="T6289" s="78">
        <v>45210</v>
      </c>
      <c r="U6289" s="77"/>
      <c r="V6289" s="78"/>
      <c r="W6289" s="85" t="s">
        <v>4202</v>
      </c>
      <c r="X6289" s="80"/>
      <c r="Y6289" s="22">
        <v>0</v>
      </c>
      <c r="Z6289" s="41" t="s">
        <v>118</v>
      </c>
      <c r="AA6289" s="82" t="s">
        <v>5785</v>
      </c>
      <c r="AB6289" s="80"/>
      <c r="AC6289" s="80" t="s">
        <v>53</v>
      </c>
      <c r="AD6289" s="86" t="s">
        <v>54</v>
      </c>
      <c r="AE6289" s="80" t="s">
        <v>13957</v>
      </c>
      <c r="AF6289" s="17">
        <v>45722</v>
      </c>
      <c r="AG6289" s="150"/>
      <c r="AH6289" s="143"/>
      <c r="AI6289" s="147" t="s">
        <v>147</v>
      </c>
      <c r="AJ6289" s="80"/>
      <c r="AK6289" s="80"/>
      <c r="AL6289" s="86"/>
      <c r="AM6289" s="86"/>
      <c r="AN6289" s="86"/>
      <c r="AO6289" s="86"/>
      <c r="AP6289" s="86"/>
    </row>
    <row r="6290" spans="1:42" x14ac:dyDescent="0.2">
      <c r="A6290" s="38">
        <v>45717</v>
      </c>
      <c r="B6290" s="28" t="s">
        <v>37</v>
      </c>
      <c r="C6290" s="41" t="s">
        <v>118</v>
      </c>
      <c r="D6290" s="80" t="s">
        <v>36</v>
      </c>
      <c r="E6290" s="80" t="s">
        <v>56</v>
      </c>
      <c r="F6290" s="80" t="s">
        <v>13957</v>
      </c>
      <c r="G6290" s="80" t="s">
        <v>221</v>
      </c>
      <c r="H6290" s="80" t="s">
        <v>13768</v>
      </c>
      <c r="I6290" s="17">
        <f ca="1">IFERROR(__xludf.DUMMYFUNCTION("""COMPUTED_VALUE"""),45726)</f>
        <v>45726</v>
      </c>
      <c r="J6290" s="143" t="s">
        <v>12422</v>
      </c>
      <c r="K6290" s="145" t="s">
        <v>12423</v>
      </c>
      <c r="L6290" s="30">
        <v>912535512</v>
      </c>
      <c r="M6290" s="80" t="s">
        <v>9422</v>
      </c>
      <c r="N6290" s="80" t="s">
        <v>68</v>
      </c>
      <c r="O6290" s="80" t="s">
        <v>12424</v>
      </c>
      <c r="P6290" s="144" t="s">
        <v>12425</v>
      </c>
      <c r="Q6290" s="20">
        <v>9317</v>
      </c>
      <c r="R6290" s="80" t="s">
        <v>11421</v>
      </c>
      <c r="S6290" s="95">
        <f>2000+3000</f>
        <v>5000</v>
      </c>
      <c r="T6290" s="148" t="s">
        <v>12426</v>
      </c>
      <c r="U6290" s="95">
        <v>4017</v>
      </c>
      <c r="V6290" s="148">
        <v>45552</v>
      </c>
      <c r="W6290" s="85" t="s">
        <v>12427</v>
      </c>
      <c r="X6290" s="83">
        <v>300</v>
      </c>
      <c r="Y6290" s="22">
        <v>0</v>
      </c>
      <c r="Z6290" s="81" t="s">
        <v>50</v>
      </c>
      <c r="AA6290" s="86" t="s">
        <v>3291</v>
      </c>
      <c r="AB6290" s="80"/>
      <c r="AC6290" s="80" t="s">
        <v>53</v>
      </c>
      <c r="AD6290" s="80" t="s">
        <v>54</v>
      </c>
      <c r="AE6290" s="80" t="s">
        <v>13957</v>
      </c>
      <c r="AF6290" s="60" t="s">
        <v>1829</v>
      </c>
      <c r="AG6290" s="80" t="s">
        <v>1828</v>
      </c>
      <c r="AH6290" s="80"/>
      <c r="AI6290" s="147" t="s">
        <v>64</v>
      </c>
      <c r="AJ6290" s="80"/>
      <c r="AK6290" s="80"/>
      <c r="AL6290" s="86"/>
      <c r="AM6290" s="86"/>
      <c r="AN6290" s="86"/>
      <c r="AO6290" s="86"/>
      <c r="AP6290" s="86"/>
    </row>
    <row r="6291" spans="1:42" x14ac:dyDescent="0.2">
      <c r="A6291" s="38">
        <v>45717</v>
      </c>
      <c r="B6291" s="28" t="s">
        <v>37</v>
      </c>
      <c r="C6291" s="41" t="s">
        <v>118</v>
      </c>
      <c r="D6291" s="80" t="s">
        <v>36</v>
      </c>
      <c r="E6291" s="80" t="s">
        <v>56</v>
      </c>
      <c r="F6291" s="80" t="s">
        <v>13957</v>
      </c>
      <c r="G6291" s="80" t="s">
        <v>221</v>
      </c>
      <c r="H6291" s="80" t="s">
        <v>13768</v>
      </c>
      <c r="I6291" s="17">
        <f ca="1">IFERROR(__xludf.DUMMYFUNCTION("""COMPUTED_VALUE"""),45726)</f>
        <v>45726</v>
      </c>
      <c r="J6291" s="143" t="s">
        <v>12433</v>
      </c>
      <c r="K6291" s="145" t="s">
        <v>13961</v>
      </c>
      <c r="L6291" s="30">
        <v>367933862</v>
      </c>
      <c r="M6291" s="80" t="s">
        <v>3728</v>
      </c>
      <c r="N6291" s="80" t="s">
        <v>5312</v>
      </c>
      <c r="O6291" s="80" t="s">
        <v>12435</v>
      </c>
      <c r="P6291" s="144" t="s">
        <v>12436</v>
      </c>
      <c r="Q6291" s="20">
        <v>9317</v>
      </c>
      <c r="R6291" s="80" t="s">
        <v>36</v>
      </c>
      <c r="S6291" s="95">
        <f>200+1800</f>
        <v>2000</v>
      </c>
      <c r="T6291" s="148" t="s">
        <v>12437</v>
      </c>
      <c r="U6291" s="95">
        <v>7317</v>
      </c>
      <c r="V6291" s="148">
        <v>45554</v>
      </c>
      <c r="W6291" s="85" t="s">
        <v>12438</v>
      </c>
      <c r="X6291" s="83">
        <v>0</v>
      </c>
      <c r="Y6291" s="22">
        <v>0</v>
      </c>
      <c r="Z6291" s="81" t="s">
        <v>50</v>
      </c>
      <c r="AA6291" s="82" t="s">
        <v>3291</v>
      </c>
      <c r="AB6291" s="80"/>
      <c r="AC6291" s="80" t="s">
        <v>53</v>
      </c>
      <c r="AD6291" s="80" t="s">
        <v>54</v>
      </c>
      <c r="AE6291" s="80" t="s">
        <v>13957</v>
      </c>
      <c r="AF6291" s="17">
        <v>45722</v>
      </c>
      <c r="AG6291" s="80"/>
      <c r="AH6291" s="80"/>
      <c r="AI6291" s="147" t="s">
        <v>64</v>
      </c>
      <c r="AJ6291" s="80"/>
      <c r="AK6291" s="80"/>
      <c r="AL6291" s="86"/>
      <c r="AM6291" s="86"/>
      <c r="AN6291" s="86"/>
      <c r="AO6291" s="86"/>
      <c r="AP6291" s="86"/>
    </row>
    <row r="6292" spans="1:42" x14ac:dyDescent="0.2">
      <c r="A6292" s="38">
        <v>45717</v>
      </c>
      <c r="B6292" s="137" t="s">
        <v>37</v>
      </c>
      <c r="C6292" s="41" t="s">
        <v>118</v>
      </c>
      <c r="D6292" s="80" t="s">
        <v>36</v>
      </c>
      <c r="E6292" s="80" t="s">
        <v>139</v>
      </c>
      <c r="F6292" s="80" t="s">
        <v>13957</v>
      </c>
      <c r="G6292" s="80" t="s">
        <v>221</v>
      </c>
      <c r="H6292" s="80" t="s">
        <v>20265</v>
      </c>
      <c r="I6292" s="17">
        <f ca="1">IFERROR(__xludf.DUMMYFUNCTION("""COMPUTED_VALUE"""),45937)</f>
        <v>45937</v>
      </c>
      <c r="J6292" s="143" t="s">
        <v>12489</v>
      </c>
      <c r="K6292" s="145" t="s">
        <v>20266</v>
      </c>
      <c r="L6292" s="30">
        <v>336982229</v>
      </c>
      <c r="M6292" s="80" t="s">
        <v>123</v>
      </c>
      <c r="N6292" s="80" t="s">
        <v>327</v>
      </c>
      <c r="O6292" s="80" t="s">
        <v>4503</v>
      </c>
      <c r="P6292" s="144" t="s">
        <v>20267</v>
      </c>
      <c r="Q6292" s="20">
        <v>15936</v>
      </c>
      <c r="R6292" s="80" t="s">
        <v>36</v>
      </c>
      <c r="S6292" s="95">
        <v>2000</v>
      </c>
      <c r="T6292" s="148">
        <v>45528</v>
      </c>
      <c r="U6292" s="95">
        <v>13936</v>
      </c>
      <c r="V6292" s="148">
        <v>45559</v>
      </c>
      <c r="W6292" s="85" t="s">
        <v>12492</v>
      </c>
      <c r="X6292" s="83">
        <v>0</v>
      </c>
      <c r="Y6292" s="22">
        <v>0</v>
      </c>
      <c r="Z6292" s="81" t="s">
        <v>50</v>
      </c>
      <c r="AA6292" s="86" t="s">
        <v>3291</v>
      </c>
      <c r="AB6292" s="80"/>
      <c r="AC6292" s="80" t="s">
        <v>53</v>
      </c>
      <c r="AD6292" s="80" t="s">
        <v>54</v>
      </c>
      <c r="AE6292" s="80" t="s">
        <v>13957</v>
      </c>
      <c r="AF6292" s="17">
        <v>45933</v>
      </c>
      <c r="AG6292" s="80" t="s">
        <v>20234</v>
      </c>
      <c r="AH6292" s="80"/>
      <c r="AI6292" s="147" t="s">
        <v>147</v>
      </c>
      <c r="AJ6292" s="80"/>
      <c r="AK6292" s="80"/>
      <c r="AL6292" s="86"/>
      <c r="AM6292" s="86"/>
      <c r="AN6292" s="86"/>
      <c r="AO6292" s="86"/>
      <c r="AP6292" s="86"/>
    </row>
    <row r="6293" spans="1:42" x14ac:dyDescent="0.2">
      <c r="A6293" s="38">
        <v>45717</v>
      </c>
      <c r="B6293" s="28" t="s">
        <v>37</v>
      </c>
      <c r="C6293" s="41" t="s">
        <v>118</v>
      </c>
      <c r="D6293" s="80" t="s">
        <v>36</v>
      </c>
      <c r="E6293" s="80" t="s">
        <v>119</v>
      </c>
      <c r="F6293" s="80" t="s">
        <v>13957</v>
      </c>
      <c r="G6293" s="80" t="s">
        <v>221</v>
      </c>
      <c r="H6293" s="80" t="s">
        <v>20268</v>
      </c>
      <c r="I6293" s="17" t="str">
        <f ca="1">IFERROR(__xludf.DUMMYFUNCTION("""COMPUTED_VALUE""")," ")</f>
        <v xml:space="preserve"> </v>
      </c>
      <c r="J6293" s="143" t="s">
        <v>17709</v>
      </c>
      <c r="K6293" s="145" t="s">
        <v>17710</v>
      </c>
      <c r="L6293" s="30">
        <v>838335332</v>
      </c>
      <c r="M6293" s="80" t="s">
        <v>12529</v>
      </c>
      <c r="N6293" s="80" t="s">
        <v>466</v>
      </c>
      <c r="O6293" s="80" t="s">
        <v>17711</v>
      </c>
      <c r="P6293" s="80" t="s">
        <v>17712</v>
      </c>
      <c r="Q6293" s="20">
        <v>13968</v>
      </c>
      <c r="R6293" s="80" t="s">
        <v>36</v>
      </c>
      <c r="S6293" s="95">
        <f>200+3800</f>
        <v>4000</v>
      </c>
      <c r="T6293" s="148" t="s">
        <v>17713</v>
      </c>
      <c r="U6293" s="95">
        <v>9968</v>
      </c>
      <c r="V6293" s="148">
        <v>45620</v>
      </c>
      <c r="W6293" s="85" t="s">
        <v>17714</v>
      </c>
      <c r="X6293" s="80"/>
      <c r="Y6293" s="22">
        <v>0</v>
      </c>
      <c r="Z6293" s="81" t="s">
        <v>50</v>
      </c>
      <c r="AA6293" s="82" t="s">
        <v>14723</v>
      </c>
      <c r="AB6293" s="80"/>
      <c r="AC6293" s="80" t="s">
        <v>53</v>
      </c>
      <c r="AD6293" s="80" t="s">
        <v>54</v>
      </c>
      <c r="AE6293" s="80" t="s">
        <v>13957</v>
      </c>
      <c r="AF6293" s="17">
        <v>45722</v>
      </c>
      <c r="AG6293" s="80"/>
      <c r="AH6293" s="80"/>
      <c r="AI6293" s="147"/>
      <c r="AJ6293" s="80"/>
      <c r="AK6293" s="80"/>
      <c r="AL6293" s="86"/>
      <c r="AM6293" s="86"/>
      <c r="AN6293" s="86"/>
      <c r="AO6293" s="86"/>
      <c r="AP6293" s="86"/>
    </row>
    <row r="6294" spans="1:42" x14ac:dyDescent="0.2">
      <c r="A6294" s="38">
        <v>45717</v>
      </c>
      <c r="B6294" s="28" t="s">
        <v>37</v>
      </c>
      <c r="C6294" s="41" t="s">
        <v>118</v>
      </c>
      <c r="D6294" s="80" t="s">
        <v>77</v>
      </c>
      <c r="E6294" s="80" t="s">
        <v>119</v>
      </c>
      <c r="F6294" s="80" t="s">
        <v>13957</v>
      </c>
      <c r="G6294" s="80" t="s">
        <v>221</v>
      </c>
      <c r="H6294" s="80" t="s">
        <v>20136</v>
      </c>
      <c r="I6294" s="17">
        <f ca="1">IFERROR(__xludf.DUMMYFUNCTION("""COMPUTED_VALUE"""),45783)</f>
        <v>45783</v>
      </c>
      <c r="J6294" s="143" t="s">
        <v>16578</v>
      </c>
      <c r="K6294" s="80" t="s">
        <v>16579</v>
      </c>
      <c r="L6294" s="30">
        <v>986233971</v>
      </c>
      <c r="M6294" s="80" t="s">
        <v>12720</v>
      </c>
      <c r="N6294" s="80" t="s">
        <v>1073</v>
      </c>
      <c r="O6294" s="80" t="s">
        <v>11571</v>
      </c>
      <c r="P6294" s="144" t="s">
        <v>20269</v>
      </c>
      <c r="Q6294" s="20">
        <v>13968</v>
      </c>
      <c r="R6294" s="80" t="s">
        <v>36</v>
      </c>
      <c r="S6294" s="95">
        <v>13968</v>
      </c>
      <c r="T6294" s="148">
        <v>45592</v>
      </c>
      <c r="U6294" s="77"/>
      <c r="V6294" s="78"/>
      <c r="W6294" s="85" t="s">
        <v>16581</v>
      </c>
      <c r="X6294" s="80"/>
      <c r="Y6294" s="22">
        <v>0</v>
      </c>
      <c r="Z6294" s="81" t="s">
        <v>50</v>
      </c>
      <c r="AA6294" s="86" t="s">
        <v>9905</v>
      </c>
      <c r="AB6294" s="80"/>
      <c r="AC6294" s="80" t="s">
        <v>53</v>
      </c>
      <c r="AD6294" s="80" t="s">
        <v>54</v>
      </c>
      <c r="AE6294" s="80" t="s">
        <v>13957</v>
      </c>
      <c r="AF6294" s="17">
        <v>45773</v>
      </c>
      <c r="AG6294" s="80"/>
      <c r="AH6294" s="80"/>
      <c r="AI6294" s="147"/>
      <c r="AJ6294" s="80"/>
      <c r="AK6294" s="80"/>
      <c r="AL6294" s="86"/>
      <c r="AM6294" s="86"/>
      <c r="AN6294" s="86"/>
      <c r="AO6294" s="86"/>
      <c r="AP6294" s="86"/>
    </row>
    <row r="6295" spans="1:42" x14ac:dyDescent="0.2">
      <c r="A6295" s="38">
        <v>45717</v>
      </c>
      <c r="B6295" s="28" t="s">
        <v>37</v>
      </c>
      <c r="C6295" s="41" t="s">
        <v>118</v>
      </c>
      <c r="D6295" s="26" t="s">
        <v>36</v>
      </c>
      <c r="E6295" s="26" t="s">
        <v>56</v>
      </c>
      <c r="F6295" s="26" t="s">
        <v>9785</v>
      </c>
      <c r="G6295" s="80" t="s">
        <v>221</v>
      </c>
      <c r="H6295" s="80" t="s">
        <v>13768</v>
      </c>
      <c r="I6295" s="17">
        <f ca="1">IFERROR(__xludf.DUMMYFUNCTION("""COMPUTED_VALUE"""),45726)</f>
        <v>45726</v>
      </c>
      <c r="J6295" s="29" t="s">
        <v>9786</v>
      </c>
      <c r="K6295" s="26" t="s">
        <v>20270</v>
      </c>
      <c r="L6295" s="30">
        <v>329779818</v>
      </c>
      <c r="M6295" s="26" t="s">
        <v>5558</v>
      </c>
      <c r="N6295" s="26" t="s">
        <v>5559</v>
      </c>
      <c r="O6295" s="26" t="s">
        <v>4503</v>
      </c>
      <c r="P6295" s="42" t="s">
        <v>20271</v>
      </c>
      <c r="Q6295" s="20"/>
      <c r="R6295" s="26" t="s">
        <v>36</v>
      </c>
      <c r="S6295" s="95">
        <f>2317+4000</f>
        <v>6317</v>
      </c>
      <c r="T6295" s="83" t="s">
        <v>9789</v>
      </c>
      <c r="U6295" s="31"/>
      <c r="V6295" s="32"/>
      <c r="W6295" s="33" t="s">
        <v>9790</v>
      </c>
      <c r="X6295" s="26">
        <v>0</v>
      </c>
      <c r="Y6295" s="22"/>
      <c r="Z6295" s="26" t="s">
        <v>118</v>
      </c>
      <c r="AA6295" s="96"/>
      <c r="AB6295" s="26" t="s">
        <v>36</v>
      </c>
      <c r="AC6295" s="26" t="s">
        <v>53</v>
      </c>
      <c r="AD6295" s="26" t="s">
        <v>54</v>
      </c>
      <c r="AE6295" s="26" t="s">
        <v>9785</v>
      </c>
      <c r="AF6295" s="17">
        <v>45722</v>
      </c>
      <c r="AG6295" s="26"/>
      <c r="AH6295" s="26"/>
      <c r="AI6295" s="40"/>
      <c r="AJ6295" s="26"/>
      <c r="AK6295" s="26"/>
      <c r="AL6295" s="35"/>
      <c r="AM6295" s="35"/>
      <c r="AN6295" s="35"/>
      <c r="AO6295" s="35"/>
      <c r="AP6295" s="35"/>
    </row>
    <row r="6296" spans="1:42" x14ac:dyDescent="0.2">
      <c r="A6296" s="38">
        <v>45717</v>
      </c>
      <c r="B6296" s="137" t="s">
        <v>37</v>
      </c>
      <c r="C6296" s="41" t="s">
        <v>118</v>
      </c>
      <c r="D6296" s="26" t="s">
        <v>36</v>
      </c>
      <c r="E6296" s="26" t="s">
        <v>139</v>
      </c>
      <c r="F6296" s="26" t="s">
        <v>9768</v>
      </c>
      <c r="G6296" s="80" t="s">
        <v>221</v>
      </c>
      <c r="H6296" s="80" t="s">
        <v>12804</v>
      </c>
      <c r="I6296" s="17">
        <f ca="1">IFERROR(__xludf.DUMMYFUNCTION("""COMPUTED_VALUE"""),45736)</f>
        <v>45736</v>
      </c>
      <c r="J6296" s="29" t="s">
        <v>9507</v>
      </c>
      <c r="K6296" s="26" t="s">
        <v>10185</v>
      </c>
      <c r="L6296" s="30">
        <v>326669104</v>
      </c>
      <c r="M6296" s="26" t="s">
        <v>45</v>
      </c>
      <c r="N6296" s="26" t="s">
        <v>7814</v>
      </c>
      <c r="O6296" s="26" t="s">
        <v>9509</v>
      </c>
      <c r="P6296" s="42" t="s">
        <v>10186</v>
      </c>
      <c r="Q6296" s="20"/>
      <c r="R6296" s="26" t="s">
        <v>36</v>
      </c>
      <c r="S6296" s="95">
        <v>15968</v>
      </c>
      <c r="T6296" s="148">
        <v>45487</v>
      </c>
      <c r="U6296" s="31"/>
      <c r="V6296" s="32"/>
      <c r="W6296" s="26" t="s">
        <v>9511</v>
      </c>
      <c r="X6296" s="26"/>
      <c r="Y6296" s="22"/>
      <c r="Z6296" s="26" t="s">
        <v>50</v>
      </c>
      <c r="AA6296" s="70" t="s">
        <v>9070</v>
      </c>
      <c r="AB6296" s="26"/>
      <c r="AC6296" s="26" t="s">
        <v>53</v>
      </c>
      <c r="AD6296" s="26" t="s">
        <v>54</v>
      </c>
      <c r="AE6296" s="26" t="s">
        <v>9768</v>
      </c>
      <c r="AF6296" s="17">
        <v>45736</v>
      </c>
      <c r="AG6296" s="80"/>
      <c r="AH6296" s="26"/>
      <c r="AI6296" s="40"/>
      <c r="AJ6296" s="26"/>
      <c r="AK6296" s="26"/>
      <c r="AL6296" s="35"/>
      <c r="AM6296" s="35"/>
      <c r="AN6296" s="35"/>
      <c r="AO6296" s="35"/>
      <c r="AP6296" s="35"/>
    </row>
    <row r="6297" spans="1:42" x14ac:dyDescent="0.2">
      <c r="A6297" s="38">
        <v>45717</v>
      </c>
      <c r="B6297" s="137" t="s">
        <v>37</v>
      </c>
      <c r="C6297" s="41" t="s">
        <v>118</v>
      </c>
      <c r="D6297" s="80" t="s">
        <v>36</v>
      </c>
      <c r="E6297" s="80" t="s">
        <v>139</v>
      </c>
      <c r="F6297" s="80" t="s">
        <v>11777</v>
      </c>
      <c r="G6297" s="80" t="s">
        <v>221</v>
      </c>
      <c r="H6297" s="80" t="s">
        <v>12804</v>
      </c>
      <c r="I6297" s="17">
        <f ca="1">IFERROR(__xludf.DUMMYFUNCTION("""COMPUTED_VALUE"""),45736)</f>
        <v>45736</v>
      </c>
      <c r="J6297" s="143" t="s">
        <v>11157</v>
      </c>
      <c r="K6297" s="86" t="s">
        <v>20272</v>
      </c>
      <c r="L6297" s="57">
        <v>967355856</v>
      </c>
      <c r="M6297" s="80" t="s">
        <v>45</v>
      </c>
      <c r="N6297" s="80" t="s">
        <v>8420</v>
      </c>
      <c r="O6297" s="80" t="s">
        <v>11159</v>
      </c>
      <c r="P6297" s="86" t="s">
        <v>11160</v>
      </c>
      <c r="Q6297" s="20">
        <v>15936</v>
      </c>
      <c r="R6297" s="80" t="s">
        <v>36</v>
      </c>
      <c r="S6297" s="95">
        <v>15968</v>
      </c>
      <c r="T6297" s="148">
        <v>45505</v>
      </c>
      <c r="U6297" s="77"/>
      <c r="V6297" s="78"/>
      <c r="W6297" s="85" t="s">
        <v>11161</v>
      </c>
      <c r="X6297" s="80">
        <v>0</v>
      </c>
      <c r="Y6297" s="22">
        <v>-32</v>
      </c>
      <c r="Z6297" s="80" t="s">
        <v>50</v>
      </c>
      <c r="AA6297" s="96" t="s">
        <v>10314</v>
      </c>
      <c r="AB6297" s="80"/>
      <c r="AC6297" s="80" t="s">
        <v>53</v>
      </c>
      <c r="AD6297" s="80" t="s">
        <v>54</v>
      </c>
      <c r="AE6297" s="80" t="s">
        <v>11777</v>
      </c>
      <c r="AF6297" s="17">
        <v>45736</v>
      </c>
      <c r="AG6297" s="80"/>
      <c r="AH6297" s="80"/>
      <c r="AI6297" s="147"/>
      <c r="AJ6297" s="80"/>
      <c r="AK6297" s="80"/>
      <c r="AL6297" s="35"/>
      <c r="AM6297" s="35"/>
      <c r="AN6297" s="35"/>
      <c r="AO6297" s="35"/>
      <c r="AP6297" s="35"/>
    </row>
    <row r="6298" spans="1:42" x14ac:dyDescent="0.2">
      <c r="A6298" s="38">
        <v>45717</v>
      </c>
      <c r="B6298" s="28" t="s">
        <v>37</v>
      </c>
      <c r="C6298" s="41" t="s">
        <v>118</v>
      </c>
      <c r="D6298" s="80" t="s">
        <v>36</v>
      </c>
      <c r="E6298" s="80" t="s">
        <v>139</v>
      </c>
      <c r="F6298" s="80" t="s">
        <v>14737</v>
      </c>
      <c r="G6298" s="80" t="s">
        <v>221</v>
      </c>
      <c r="H6298" s="80" t="s">
        <v>20094</v>
      </c>
      <c r="I6298" s="17">
        <f ca="1">IFERROR(__xludf.DUMMYFUNCTION("""COMPUTED_VALUE"""),45768)</f>
        <v>45768</v>
      </c>
      <c r="J6298" s="143" t="s">
        <v>13436</v>
      </c>
      <c r="K6298" s="80" t="s">
        <v>20273</v>
      </c>
      <c r="L6298" s="30">
        <v>397695337</v>
      </c>
      <c r="M6298" s="80" t="s">
        <v>45</v>
      </c>
      <c r="N6298" s="80" t="s">
        <v>1472</v>
      </c>
      <c r="O6298" s="80" t="s">
        <v>13438</v>
      </c>
      <c r="P6298" s="144" t="s">
        <v>20274</v>
      </c>
      <c r="Q6298" s="20">
        <v>15936</v>
      </c>
      <c r="R6298" s="80" t="s">
        <v>36</v>
      </c>
      <c r="S6298" s="95">
        <v>15936</v>
      </c>
      <c r="T6298" s="148">
        <v>45557</v>
      </c>
      <c r="U6298" s="77"/>
      <c r="V6298" s="78"/>
      <c r="W6298" s="80" t="s">
        <v>13440</v>
      </c>
      <c r="X6298" s="80">
        <v>0</v>
      </c>
      <c r="Y6298" s="22">
        <v>0</v>
      </c>
      <c r="Z6298" s="80" t="s">
        <v>50</v>
      </c>
      <c r="AA6298" s="35" t="s">
        <v>3291</v>
      </c>
      <c r="AB6298" s="80"/>
      <c r="AC6298" s="80" t="s">
        <v>53</v>
      </c>
      <c r="AD6298" s="80" t="s">
        <v>54</v>
      </c>
      <c r="AE6298" s="80" t="s">
        <v>14737</v>
      </c>
      <c r="AF6298" s="17">
        <v>45727</v>
      </c>
      <c r="AG6298" s="80"/>
      <c r="AH6298" s="80"/>
      <c r="AI6298" s="147" t="s">
        <v>147</v>
      </c>
      <c r="AJ6298" s="80"/>
      <c r="AK6298" s="80"/>
      <c r="AL6298" s="35"/>
      <c r="AM6298" s="35"/>
      <c r="AN6298" s="35"/>
      <c r="AO6298" s="35"/>
      <c r="AP6298" s="35"/>
    </row>
    <row r="6299" spans="1:42" x14ac:dyDescent="0.2">
      <c r="A6299" s="38">
        <v>45717</v>
      </c>
      <c r="B6299" s="28" t="s">
        <v>37</v>
      </c>
      <c r="C6299" s="41" t="s">
        <v>118</v>
      </c>
      <c r="D6299" s="80" t="s">
        <v>36</v>
      </c>
      <c r="E6299" s="80" t="s">
        <v>139</v>
      </c>
      <c r="F6299" s="80" t="s">
        <v>14737</v>
      </c>
      <c r="G6299" s="80" t="s">
        <v>221</v>
      </c>
      <c r="H6299" s="80" t="s">
        <v>20085</v>
      </c>
      <c r="I6299" s="17">
        <f ca="1">IFERROR(__xludf.DUMMYFUNCTION("""COMPUTED_VALUE"""),45727)</f>
        <v>45727</v>
      </c>
      <c r="J6299" s="172" t="s">
        <v>20275</v>
      </c>
      <c r="K6299" s="80" t="s">
        <v>14739</v>
      </c>
      <c r="L6299" s="30">
        <v>819607696</v>
      </c>
      <c r="M6299" s="80" t="s">
        <v>5558</v>
      </c>
      <c r="N6299" s="80" t="s">
        <v>5559</v>
      </c>
      <c r="O6299" s="80" t="s">
        <v>4503</v>
      </c>
      <c r="P6299" s="144" t="s">
        <v>20276</v>
      </c>
      <c r="Q6299" s="20">
        <v>15936</v>
      </c>
      <c r="R6299" s="80" t="s">
        <v>36</v>
      </c>
      <c r="S6299" s="95">
        <f>200+5000</f>
        <v>5200</v>
      </c>
      <c r="T6299" s="83" t="s">
        <v>14741</v>
      </c>
      <c r="U6299" s="95">
        <v>10936</v>
      </c>
      <c r="V6299" s="148">
        <v>45579</v>
      </c>
      <c r="W6299" s="85" t="s">
        <v>14742</v>
      </c>
      <c r="X6299" s="80"/>
      <c r="Y6299" s="22">
        <v>-200</v>
      </c>
      <c r="Z6299" s="80" t="s">
        <v>50</v>
      </c>
      <c r="AA6299" s="82"/>
      <c r="AB6299" s="80"/>
      <c r="AC6299" s="80" t="s">
        <v>53</v>
      </c>
      <c r="AD6299" s="80" t="s">
        <v>54</v>
      </c>
      <c r="AE6299" s="80" t="s">
        <v>14737</v>
      </c>
      <c r="AF6299" s="17">
        <v>45720</v>
      </c>
      <c r="AG6299" s="80"/>
      <c r="AH6299" s="80"/>
      <c r="AI6299" s="147"/>
      <c r="AJ6299" s="80"/>
      <c r="AK6299" s="80"/>
      <c r="AL6299" s="35"/>
      <c r="AM6299" s="35"/>
      <c r="AN6299" s="35"/>
      <c r="AO6299" s="35"/>
      <c r="AP6299" s="35"/>
    </row>
    <row r="6300" spans="1:42" x14ac:dyDescent="0.2">
      <c r="A6300" s="38">
        <v>45718</v>
      </c>
      <c r="B6300" s="137" t="s">
        <v>37</v>
      </c>
      <c r="C6300" s="41" t="s">
        <v>118</v>
      </c>
      <c r="D6300" s="80" t="s">
        <v>36</v>
      </c>
      <c r="E6300" s="26" t="s">
        <v>139</v>
      </c>
      <c r="F6300" s="26" t="s">
        <v>9768</v>
      </c>
      <c r="G6300" s="80" t="s">
        <v>221</v>
      </c>
      <c r="H6300" s="80" t="s">
        <v>12804</v>
      </c>
      <c r="I6300" s="17">
        <f ca="1">IFERROR(__xludf.DUMMYFUNCTION("""COMPUTED_VALUE"""),45736)</f>
        <v>45736</v>
      </c>
      <c r="J6300" s="29" t="s">
        <v>10230</v>
      </c>
      <c r="K6300" s="26" t="s">
        <v>10231</v>
      </c>
      <c r="L6300" s="30">
        <v>816123940</v>
      </c>
      <c r="M6300" s="26" t="s">
        <v>910</v>
      </c>
      <c r="N6300" s="26" t="s">
        <v>3525</v>
      </c>
      <c r="O6300" s="26" t="s">
        <v>10232</v>
      </c>
      <c r="P6300" s="26" t="s">
        <v>10233</v>
      </c>
      <c r="Q6300" s="20">
        <v>15936</v>
      </c>
      <c r="R6300" s="26" t="s">
        <v>36</v>
      </c>
      <c r="S6300" s="95">
        <v>2000</v>
      </c>
      <c r="T6300" s="148">
        <v>45492</v>
      </c>
      <c r="U6300" s="95">
        <v>13936</v>
      </c>
      <c r="V6300" s="148">
        <v>45522</v>
      </c>
      <c r="W6300" s="33" t="s">
        <v>10234</v>
      </c>
      <c r="X6300" s="26">
        <v>0</v>
      </c>
      <c r="Y6300" s="22">
        <v>0</v>
      </c>
      <c r="Z6300" s="26" t="s">
        <v>50</v>
      </c>
      <c r="AA6300" s="35"/>
      <c r="AB6300" s="26"/>
      <c r="AC6300" s="26" t="s">
        <v>53</v>
      </c>
      <c r="AD6300" s="26" t="s">
        <v>54</v>
      </c>
      <c r="AE6300" s="26" t="s">
        <v>9768</v>
      </c>
      <c r="AF6300" s="17">
        <v>45736</v>
      </c>
      <c r="AG6300" s="80"/>
      <c r="AH6300" s="26"/>
      <c r="AI6300" s="40"/>
      <c r="AJ6300" s="26"/>
      <c r="AK6300" s="26"/>
      <c r="AL6300" s="35"/>
      <c r="AM6300" s="35"/>
      <c r="AN6300" s="35"/>
      <c r="AO6300" s="35"/>
      <c r="AP6300" s="35"/>
    </row>
    <row r="6301" spans="1:42" x14ac:dyDescent="0.2">
      <c r="A6301" s="38">
        <v>45718</v>
      </c>
      <c r="B6301" s="137" t="s">
        <v>37</v>
      </c>
      <c r="C6301" s="41" t="s">
        <v>118</v>
      </c>
      <c r="D6301" s="80" t="s">
        <v>36</v>
      </c>
      <c r="E6301" s="80" t="s">
        <v>148</v>
      </c>
      <c r="F6301" s="80" t="s">
        <v>9768</v>
      </c>
      <c r="G6301" s="80" t="s">
        <v>221</v>
      </c>
      <c r="H6301" s="80" t="s">
        <v>12804</v>
      </c>
      <c r="I6301" s="17">
        <f ca="1">IFERROR(__xludf.DUMMYFUNCTION("""COMPUTED_VALUE"""),45736)</f>
        <v>45736</v>
      </c>
      <c r="J6301" s="143" t="s">
        <v>13291</v>
      </c>
      <c r="K6301" s="80" t="s">
        <v>13292</v>
      </c>
      <c r="L6301" s="30">
        <v>839588595</v>
      </c>
      <c r="M6301" s="80" t="s">
        <v>348</v>
      </c>
      <c r="N6301" s="80" t="s">
        <v>4299</v>
      </c>
      <c r="O6301" s="80" t="s">
        <v>13293</v>
      </c>
      <c r="P6301" s="80" t="s">
        <v>13294</v>
      </c>
      <c r="Q6301" s="20">
        <v>7349</v>
      </c>
      <c r="R6301" s="80" t="s">
        <v>36</v>
      </c>
      <c r="S6301" s="95">
        <f>200+7149</f>
        <v>7349</v>
      </c>
      <c r="T6301" s="83" t="s">
        <v>13271</v>
      </c>
      <c r="U6301" s="77"/>
      <c r="V6301" s="78"/>
      <c r="W6301" s="85" t="s">
        <v>13295</v>
      </c>
      <c r="X6301" s="80">
        <v>0</v>
      </c>
      <c r="Y6301" s="22">
        <v>0</v>
      </c>
      <c r="Z6301" s="80" t="s">
        <v>50</v>
      </c>
      <c r="AA6301" s="96" t="s">
        <v>3291</v>
      </c>
      <c r="AB6301" s="80"/>
      <c r="AC6301" s="80" t="s">
        <v>53</v>
      </c>
      <c r="AD6301" s="80" t="s">
        <v>138</v>
      </c>
      <c r="AE6301" s="80" t="s">
        <v>9768</v>
      </c>
      <c r="AF6301" s="17">
        <v>45736</v>
      </c>
      <c r="AG6301" s="80"/>
      <c r="AH6301" s="80"/>
      <c r="AI6301" s="147">
        <v>2</v>
      </c>
      <c r="AJ6301" s="80"/>
      <c r="AK6301" s="80"/>
      <c r="AL6301" s="35"/>
      <c r="AM6301" s="35"/>
      <c r="AN6301" s="35"/>
      <c r="AO6301" s="35"/>
      <c r="AP6301" s="35"/>
    </row>
    <row r="6302" spans="1:42" x14ac:dyDescent="0.2">
      <c r="A6302" s="38">
        <v>45718</v>
      </c>
      <c r="B6302" s="28" t="s">
        <v>37</v>
      </c>
      <c r="C6302" s="41" t="s">
        <v>118</v>
      </c>
      <c r="D6302" s="80" t="s">
        <v>36</v>
      </c>
      <c r="E6302" s="80" t="s">
        <v>119</v>
      </c>
      <c r="F6302" s="80" t="s">
        <v>9768</v>
      </c>
      <c r="G6302" s="80" t="s">
        <v>221</v>
      </c>
      <c r="H6302" s="80" t="s">
        <v>20141</v>
      </c>
      <c r="I6302" s="17">
        <f ca="1">IFERROR(__xludf.DUMMYFUNCTION("""COMPUTED_VALUE"""),45757)</f>
        <v>45757</v>
      </c>
      <c r="J6302" s="143" t="s">
        <v>15124</v>
      </c>
      <c r="K6302" s="80" t="s">
        <v>20277</v>
      </c>
      <c r="L6302" s="30">
        <v>343212733</v>
      </c>
      <c r="M6302" s="80" t="s">
        <v>12529</v>
      </c>
      <c r="N6302" s="80" t="s">
        <v>466</v>
      </c>
      <c r="O6302" s="80" t="s">
        <v>15126</v>
      </c>
      <c r="P6302" s="144" t="s">
        <v>20278</v>
      </c>
      <c r="Q6302" s="20">
        <v>13968</v>
      </c>
      <c r="R6302" s="80" t="s">
        <v>36</v>
      </c>
      <c r="S6302" s="95">
        <f>200+1800</f>
        <v>2000</v>
      </c>
      <c r="T6302" s="83" t="s">
        <v>15127</v>
      </c>
      <c r="U6302" s="95">
        <v>13936</v>
      </c>
      <c r="V6302" s="148">
        <v>45589</v>
      </c>
      <c r="W6302" s="85" t="s">
        <v>15128</v>
      </c>
      <c r="X6302" s="80"/>
      <c r="Y6302" s="22">
        <v>-1968</v>
      </c>
      <c r="Z6302" s="80" t="s">
        <v>50</v>
      </c>
      <c r="AA6302" s="35" t="s">
        <v>9905</v>
      </c>
      <c r="AB6302" s="80"/>
      <c r="AC6302" s="80" t="s">
        <v>53</v>
      </c>
      <c r="AD6302" s="80" t="s">
        <v>138</v>
      </c>
      <c r="AE6302" s="80" t="s">
        <v>9768</v>
      </c>
      <c r="AF6302" s="17">
        <v>45757</v>
      </c>
      <c r="AG6302" s="80"/>
      <c r="AH6302" s="80"/>
      <c r="AI6302" s="147"/>
      <c r="AJ6302" s="80"/>
      <c r="AK6302" s="80"/>
      <c r="AL6302" s="35"/>
      <c r="AM6302" s="35"/>
      <c r="AN6302" s="35"/>
      <c r="AO6302" s="35"/>
      <c r="AP6302" s="35"/>
    </row>
    <row r="6303" spans="1:42" x14ac:dyDescent="0.2">
      <c r="A6303" s="38">
        <v>45718</v>
      </c>
      <c r="B6303" s="28" t="s">
        <v>37</v>
      </c>
      <c r="C6303" s="41" t="s">
        <v>118</v>
      </c>
      <c r="D6303" s="80" t="s">
        <v>36</v>
      </c>
      <c r="E6303" s="80" t="s">
        <v>39</v>
      </c>
      <c r="F6303" s="80" t="s">
        <v>13384</v>
      </c>
      <c r="G6303" s="80" t="s">
        <v>108</v>
      </c>
      <c r="H6303" s="80" t="s">
        <v>10297</v>
      </c>
      <c r="I6303" s="17">
        <f ca="1">IFERROR(__xludf.DUMMYFUNCTION("""COMPUTED_VALUE"""),45727)</f>
        <v>45727</v>
      </c>
      <c r="J6303" s="143" t="s">
        <v>15885</v>
      </c>
      <c r="K6303" s="145" t="s">
        <v>15886</v>
      </c>
      <c r="L6303" s="30">
        <v>769189344</v>
      </c>
      <c r="M6303" s="80" t="s">
        <v>59</v>
      </c>
      <c r="N6303" s="80" t="s">
        <v>7304</v>
      </c>
      <c r="O6303" s="80" t="s">
        <v>15887</v>
      </c>
      <c r="P6303" s="144" t="s">
        <v>20279</v>
      </c>
      <c r="Q6303" s="20">
        <v>5736</v>
      </c>
      <c r="R6303" s="80" t="s">
        <v>70</v>
      </c>
      <c r="S6303" s="95">
        <f>200+5436</f>
        <v>5636</v>
      </c>
      <c r="T6303" s="83" t="s">
        <v>15889</v>
      </c>
      <c r="U6303" s="77"/>
      <c r="V6303" s="78"/>
      <c r="W6303" s="85" t="s">
        <v>15890</v>
      </c>
      <c r="X6303" s="80"/>
      <c r="Y6303" s="22">
        <v>100</v>
      </c>
      <c r="Z6303" s="80" t="s">
        <v>50</v>
      </c>
      <c r="AA6303" s="96" t="s">
        <v>9905</v>
      </c>
      <c r="AB6303" s="80"/>
      <c r="AC6303" s="80" t="s">
        <v>53</v>
      </c>
      <c r="AD6303" s="80" t="s">
        <v>138</v>
      </c>
      <c r="AE6303" s="80" t="s">
        <v>13384</v>
      </c>
      <c r="AF6303" s="17">
        <v>45722</v>
      </c>
      <c r="AG6303" s="80"/>
      <c r="AH6303" s="80"/>
      <c r="AI6303" s="147"/>
      <c r="AJ6303" s="80"/>
      <c r="AK6303" s="80"/>
      <c r="AL6303" s="35"/>
      <c r="AM6303" s="35"/>
      <c r="AN6303" s="35"/>
      <c r="AO6303" s="35"/>
      <c r="AP6303" s="35"/>
    </row>
    <row r="6304" spans="1:42" x14ac:dyDescent="0.2">
      <c r="A6304" s="38">
        <v>45718</v>
      </c>
      <c r="B6304" s="28" t="s">
        <v>37</v>
      </c>
      <c r="C6304" s="41" t="s">
        <v>118</v>
      </c>
      <c r="D6304" s="80" t="s">
        <v>36</v>
      </c>
      <c r="E6304" s="80" t="s">
        <v>119</v>
      </c>
      <c r="F6304" s="80" t="s">
        <v>9768</v>
      </c>
      <c r="G6304" s="80" t="s">
        <v>221</v>
      </c>
      <c r="H6304" s="80" t="s">
        <v>20036</v>
      </c>
      <c r="I6304" s="17">
        <f ca="1">IFERROR(__xludf.DUMMYFUNCTION("""COMPUTED_VALUE"""),45839)</f>
        <v>45839</v>
      </c>
      <c r="J6304" s="143" t="s">
        <v>20280</v>
      </c>
      <c r="K6304" s="145" t="s">
        <v>20281</v>
      </c>
      <c r="L6304" s="30">
        <v>933060886</v>
      </c>
      <c r="M6304" s="80" t="s">
        <v>3498</v>
      </c>
      <c r="N6304" s="80" t="s">
        <v>4402</v>
      </c>
      <c r="O6304" s="80" t="s">
        <v>4503</v>
      </c>
      <c r="P6304" s="144" t="s">
        <v>20282</v>
      </c>
      <c r="Q6304" s="20">
        <v>13968</v>
      </c>
      <c r="R6304" s="80" t="s">
        <v>36</v>
      </c>
      <c r="S6304" s="95">
        <f>200+4800</f>
        <v>5000</v>
      </c>
      <c r="T6304" s="83" t="s">
        <v>15965</v>
      </c>
      <c r="U6304" s="95">
        <v>8968</v>
      </c>
      <c r="V6304" s="148">
        <v>45596</v>
      </c>
      <c r="W6304" s="85" t="s">
        <v>15966</v>
      </c>
      <c r="X6304" s="80"/>
      <c r="Y6304" s="22">
        <v>0</v>
      </c>
      <c r="Z6304" s="80" t="s">
        <v>50</v>
      </c>
      <c r="AA6304" s="35" t="s">
        <v>9905</v>
      </c>
      <c r="AB6304" s="80"/>
      <c r="AC6304" s="80" t="s">
        <v>53</v>
      </c>
      <c r="AD6304" s="80" t="s">
        <v>138</v>
      </c>
      <c r="AE6304" s="80" t="s">
        <v>9768</v>
      </c>
      <c r="AF6304" s="17">
        <v>45835</v>
      </c>
      <c r="AG6304" s="80"/>
      <c r="AH6304" s="80"/>
      <c r="AI6304" s="147"/>
      <c r="AJ6304" s="80"/>
      <c r="AK6304" s="80"/>
      <c r="AL6304" s="35"/>
      <c r="AM6304" s="35"/>
      <c r="AN6304" s="35"/>
      <c r="AO6304" s="35"/>
      <c r="AP6304" s="35"/>
    </row>
    <row r="6305" spans="1:42" x14ac:dyDescent="0.2">
      <c r="A6305" s="38">
        <v>45718</v>
      </c>
      <c r="B6305" s="137"/>
      <c r="C6305" s="41" t="s">
        <v>118</v>
      </c>
      <c r="D6305" s="80" t="s">
        <v>36</v>
      </c>
      <c r="E6305" s="80" t="s">
        <v>139</v>
      </c>
      <c r="F6305" s="80" t="s">
        <v>13850</v>
      </c>
      <c r="G6305" s="80" t="s">
        <v>108</v>
      </c>
      <c r="H6305" s="80" t="s">
        <v>20283</v>
      </c>
      <c r="I6305" s="17" t="str">
        <f ca="1">IFERROR(__xludf.DUMMYFUNCTION("""COMPUTED_VALUE""")," ")</f>
        <v xml:space="preserve"> </v>
      </c>
      <c r="J6305" s="143" t="s">
        <v>17145</v>
      </c>
      <c r="K6305" s="80" t="s">
        <v>20284</v>
      </c>
      <c r="L6305" s="30">
        <v>973042133</v>
      </c>
      <c r="M6305" s="80" t="s">
        <v>80</v>
      </c>
      <c r="N6305" s="80" t="s">
        <v>1073</v>
      </c>
      <c r="O6305" s="80" t="s">
        <v>17147</v>
      </c>
      <c r="P6305" s="80" t="s">
        <v>17148</v>
      </c>
      <c r="Q6305" s="20">
        <v>15936</v>
      </c>
      <c r="R6305" s="80" t="s">
        <v>36</v>
      </c>
      <c r="S6305" s="95">
        <f>200+1800</f>
        <v>2000</v>
      </c>
      <c r="T6305" s="83" t="s">
        <v>17149</v>
      </c>
      <c r="U6305" s="95">
        <v>13936</v>
      </c>
      <c r="V6305" s="148">
        <v>45622</v>
      </c>
      <c r="W6305" s="85" t="s">
        <v>17150</v>
      </c>
      <c r="X6305" s="80"/>
      <c r="Y6305" s="22">
        <v>0</v>
      </c>
      <c r="Z6305" s="80" t="s">
        <v>50</v>
      </c>
      <c r="AA6305" s="82" t="s">
        <v>14723</v>
      </c>
      <c r="AB6305" s="80"/>
      <c r="AC6305" s="80" t="s">
        <v>53</v>
      </c>
      <c r="AD6305" s="80" t="s">
        <v>54</v>
      </c>
      <c r="AE6305" s="80" t="s">
        <v>13850</v>
      </c>
      <c r="AF6305" s="181">
        <v>45741</v>
      </c>
      <c r="AG6305" s="80"/>
      <c r="AH6305" s="80"/>
      <c r="AI6305" s="147"/>
      <c r="AJ6305" s="80"/>
      <c r="AK6305" s="80"/>
      <c r="AL6305" s="35"/>
      <c r="AM6305" s="35"/>
      <c r="AN6305" s="35"/>
      <c r="AO6305" s="35"/>
      <c r="AP6305" s="35"/>
    </row>
    <row r="6306" spans="1:42" x14ac:dyDescent="0.2">
      <c r="A6306" s="38">
        <v>45719</v>
      </c>
      <c r="B6306" s="28" t="s">
        <v>37</v>
      </c>
      <c r="C6306" s="41" t="s">
        <v>118</v>
      </c>
      <c r="D6306" s="26" t="s">
        <v>36</v>
      </c>
      <c r="E6306" s="26" t="s">
        <v>139</v>
      </c>
      <c r="F6306" s="26" t="s">
        <v>6128</v>
      </c>
      <c r="G6306" s="80" t="s">
        <v>1847</v>
      </c>
      <c r="H6306" s="80" t="s">
        <v>1848</v>
      </c>
      <c r="I6306" s="17">
        <f ca="1">IFERROR(__xludf.DUMMYFUNCTION("""COMPUTED_VALUE"""),45728)</f>
        <v>45728</v>
      </c>
      <c r="J6306" s="29" t="s">
        <v>2706</v>
      </c>
      <c r="K6306" s="26" t="s">
        <v>20285</v>
      </c>
      <c r="L6306" s="30">
        <v>877590645</v>
      </c>
      <c r="M6306" s="26" t="s">
        <v>80</v>
      </c>
      <c r="N6306" s="26" t="s">
        <v>299</v>
      </c>
      <c r="O6306" s="26" t="s">
        <v>125</v>
      </c>
      <c r="P6306" s="42" t="s">
        <v>20286</v>
      </c>
      <c r="Q6306" s="20">
        <v>15936</v>
      </c>
      <c r="R6306" s="26" t="s">
        <v>36</v>
      </c>
      <c r="S6306" s="31">
        <v>4000</v>
      </c>
      <c r="T6306" s="32">
        <v>45177</v>
      </c>
      <c r="U6306" s="31">
        <v>11936</v>
      </c>
      <c r="V6306" s="32">
        <v>45193</v>
      </c>
      <c r="W6306" s="33" t="s">
        <v>2708</v>
      </c>
      <c r="X6306" s="26"/>
      <c r="Y6306" s="22">
        <v>0</v>
      </c>
      <c r="Z6306" s="26" t="s">
        <v>118</v>
      </c>
      <c r="AA6306" s="19" t="s">
        <v>4541</v>
      </c>
      <c r="AB6306" s="80"/>
      <c r="AC6306" s="26" t="s">
        <v>53</v>
      </c>
      <c r="AD6306" s="19" t="s">
        <v>138</v>
      </c>
      <c r="AE6306" s="26" t="s">
        <v>6128</v>
      </c>
      <c r="AF6306" s="17">
        <v>45722</v>
      </c>
      <c r="AG6306" s="26"/>
      <c r="AH6306" s="26"/>
      <c r="AI6306" s="40"/>
      <c r="AJ6306" s="26"/>
      <c r="AK6306" s="26"/>
      <c r="AL6306" s="35"/>
      <c r="AM6306" s="35"/>
      <c r="AN6306" s="35"/>
      <c r="AO6306" s="35"/>
      <c r="AP6306" s="35"/>
    </row>
    <row r="6307" spans="1:42" x14ac:dyDescent="0.2">
      <c r="A6307" s="38">
        <v>45719</v>
      </c>
      <c r="B6307" s="28"/>
      <c r="C6307" s="41" t="s">
        <v>118</v>
      </c>
      <c r="D6307" s="80" t="s">
        <v>36</v>
      </c>
      <c r="E6307" s="80" t="s">
        <v>139</v>
      </c>
      <c r="F6307" s="80" t="s">
        <v>14200</v>
      </c>
      <c r="G6307" s="80" t="s">
        <v>221</v>
      </c>
      <c r="H6307" s="80" t="s">
        <v>20287</v>
      </c>
      <c r="I6307" s="17" t="str">
        <f ca="1">IFERROR(__xludf.DUMMYFUNCTION("""COMPUTED_VALUE""")," ")</f>
        <v xml:space="preserve"> </v>
      </c>
      <c r="J6307" s="143" t="s">
        <v>14275</v>
      </c>
      <c r="K6307" s="80" t="s">
        <v>20288</v>
      </c>
      <c r="L6307" s="30">
        <v>343639375</v>
      </c>
      <c r="M6307" s="80" t="s">
        <v>2755</v>
      </c>
      <c r="N6307" s="80" t="s">
        <v>4402</v>
      </c>
      <c r="O6307" s="80" t="s">
        <v>4503</v>
      </c>
      <c r="P6307" s="80" t="s">
        <v>7649</v>
      </c>
      <c r="Q6307" s="20">
        <v>15936</v>
      </c>
      <c r="R6307" s="80" t="s">
        <v>36</v>
      </c>
      <c r="S6307" s="95">
        <v>4200</v>
      </c>
      <c r="T6307" s="148">
        <v>45540</v>
      </c>
      <c r="U6307" s="95">
        <v>11736</v>
      </c>
      <c r="V6307" s="148">
        <v>45573</v>
      </c>
      <c r="W6307" s="80" t="s">
        <v>14276</v>
      </c>
      <c r="X6307" s="80"/>
      <c r="Y6307" s="22">
        <v>0</v>
      </c>
      <c r="Z6307" s="80" t="s">
        <v>50</v>
      </c>
      <c r="AA6307" s="82"/>
      <c r="AB6307" s="80"/>
      <c r="AC6307" s="80" t="s">
        <v>53</v>
      </c>
      <c r="AD6307" s="80" t="s">
        <v>138</v>
      </c>
      <c r="AE6307" s="80" t="s">
        <v>14200</v>
      </c>
      <c r="AF6307" s="17">
        <v>45729</v>
      </c>
      <c r="AG6307" s="80"/>
      <c r="AH6307" s="80"/>
      <c r="AI6307" s="147"/>
      <c r="AJ6307" s="80"/>
      <c r="AK6307" s="80"/>
      <c r="AL6307" s="35"/>
      <c r="AM6307" s="35"/>
      <c r="AN6307" s="35"/>
      <c r="AO6307" s="35"/>
      <c r="AP6307" s="35"/>
    </row>
    <row r="6308" spans="1:42" x14ac:dyDescent="0.2">
      <c r="A6308" s="38">
        <v>45719</v>
      </c>
      <c r="B6308" s="137" t="s">
        <v>37</v>
      </c>
      <c r="C6308" s="41" t="s">
        <v>118</v>
      </c>
      <c r="D6308" s="80" t="s">
        <v>36</v>
      </c>
      <c r="E6308" s="80" t="s">
        <v>139</v>
      </c>
      <c r="F6308" s="80" t="s">
        <v>14200</v>
      </c>
      <c r="G6308" s="80" t="s">
        <v>221</v>
      </c>
      <c r="H6308" s="80" t="s">
        <v>8400</v>
      </c>
      <c r="I6308" s="17">
        <f ca="1">IFERROR(__xludf.DUMMYFUNCTION("""COMPUTED_VALUE"""),45750)</f>
        <v>45750</v>
      </c>
      <c r="J6308" s="143" t="s">
        <v>14213</v>
      </c>
      <c r="K6308" s="80" t="s">
        <v>14214</v>
      </c>
      <c r="L6308" s="30">
        <v>399922370</v>
      </c>
      <c r="M6308" s="80" t="s">
        <v>5429</v>
      </c>
      <c r="N6308" s="80" t="s">
        <v>3065</v>
      </c>
      <c r="O6308" s="80" t="s">
        <v>61</v>
      </c>
      <c r="P6308" s="80" t="s">
        <v>14215</v>
      </c>
      <c r="Q6308" s="20">
        <v>15936</v>
      </c>
      <c r="R6308" s="80" t="s">
        <v>36</v>
      </c>
      <c r="S6308" s="95">
        <v>2000</v>
      </c>
      <c r="T6308" s="148">
        <v>45540</v>
      </c>
      <c r="U6308" s="95">
        <v>13936</v>
      </c>
      <c r="V6308" s="148">
        <v>45569</v>
      </c>
      <c r="W6308" s="85" t="s">
        <v>14216</v>
      </c>
      <c r="X6308" s="80"/>
      <c r="Y6308" s="22">
        <v>0</v>
      </c>
      <c r="Z6308" s="80" t="s">
        <v>50</v>
      </c>
      <c r="AA6308" s="86"/>
      <c r="AB6308" s="80"/>
      <c r="AC6308" s="80" t="s">
        <v>53</v>
      </c>
      <c r="AD6308" s="80" t="s">
        <v>138</v>
      </c>
      <c r="AE6308" s="80" t="s">
        <v>14200</v>
      </c>
      <c r="AF6308" s="17">
        <v>45750</v>
      </c>
      <c r="AG6308" s="80"/>
      <c r="AH6308" s="80"/>
      <c r="AI6308" s="147"/>
      <c r="AJ6308" s="80"/>
      <c r="AK6308" s="80"/>
      <c r="AL6308" s="35"/>
      <c r="AM6308" s="35"/>
      <c r="AN6308" s="35"/>
      <c r="AO6308" s="35"/>
      <c r="AP6308" s="35"/>
    </row>
    <row r="6309" spans="1:42" x14ac:dyDescent="0.2">
      <c r="A6309" s="38">
        <v>45719</v>
      </c>
      <c r="B6309" s="137" t="s">
        <v>37</v>
      </c>
      <c r="C6309" s="41" t="s">
        <v>118</v>
      </c>
      <c r="D6309" s="80" t="s">
        <v>36</v>
      </c>
      <c r="E6309" s="80" t="s">
        <v>139</v>
      </c>
      <c r="F6309" s="80" t="s">
        <v>14200</v>
      </c>
      <c r="G6309" s="80" t="s">
        <v>221</v>
      </c>
      <c r="H6309" s="80" t="s">
        <v>8400</v>
      </c>
      <c r="I6309" s="17">
        <f ca="1">IFERROR(__xludf.DUMMYFUNCTION("""COMPUTED_VALUE"""),45750)</f>
        <v>45750</v>
      </c>
      <c r="J6309" s="143" t="s">
        <v>13025</v>
      </c>
      <c r="K6309" s="80" t="s">
        <v>20289</v>
      </c>
      <c r="L6309" s="30">
        <v>904306778</v>
      </c>
      <c r="M6309" s="80" t="s">
        <v>9422</v>
      </c>
      <c r="N6309" s="80" t="s">
        <v>1232</v>
      </c>
      <c r="O6309" s="80" t="s">
        <v>13027</v>
      </c>
      <c r="P6309" s="80" t="s">
        <v>13028</v>
      </c>
      <c r="Q6309" s="20">
        <v>15936</v>
      </c>
      <c r="R6309" s="80" t="s">
        <v>36</v>
      </c>
      <c r="S6309" s="95">
        <v>2000</v>
      </c>
      <c r="T6309" s="148">
        <v>45635</v>
      </c>
      <c r="U6309" s="95">
        <v>13936</v>
      </c>
      <c r="V6309" s="148">
        <v>45561</v>
      </c>
      <c r="W6309" s="85" t="s">
        <v>13029</v>
      </c>
      <c r="X6309" s="80">
        <v>0</v>
      </c>
      <c r="Y6309" s="22">
        <v>0</v>
      </c>
      <c r="Z6309" s="80" t="s">
        <v>50</v>
      </c>
      <c r="AA6309" s="96" t="s">
        <v>3291</v>
      </c>
      <c r="AB6309" s="80"/>
      <c r="AC6309" s="80" t="s">
        <v>53</v>
      </c>
      <c r="AD6309" s="80" t="s">
        <v>138</v>
      </c>
      <c r="AE6309" s="80" t="s">
        <v>14200</v>
      </c>
      <c r="AF6309" s="17">
        <v>45750</v>
      </c>
      <c r="AG6309" s="80"/>
      <c r="AH6309" s="80"/>
      <c r="AI6309" s="147" t="s">
        <v>147</v>
      </c>
      <c r="AJ6309" s="80"/>
      <c r="AK6309" s="80"/>
      <c r="AL6309" s="35"/>
      <c r="AM6309" s="35"/>
      <c r="AN6309" s="35"/>
      <c r="AO6309" s="35"/>
      <c r="AP6309" s="35"/>
    </row>
    <row r="6310" spans="1:42" x14ac:dyDescent="0.2">
      <c r="A6310" s="38">
        <v>45719</v>
      </c>
      <c r="B6310" s="28" t="s">
        <v>37</v>
      </c>
      <c r="C6310" s="41" t="s">
        <v>118</v>
      </c>
      <c r="D6310" s="80" t="s">
        <v>36</v>
      </c>
      <c r="E6310" s="80" t="s">
        <v>139</v>
      </c>
      <c r="F6310" s="80" t="s">
        <v>14200</v>
      </c>
      <c r="G6310" s="80" t="s">
        <v>221</v>
      </c>
      <c r="H6310" s="80" t="s">
        <v>18135</v>
      </c>
      <c r="I6310" s="17">
        <f ca="1">IFERROR(__xludf.DUMMYFUNCTION("""COMPUTED_VALUE"""),45729)</f>
        <v>45729</v>
      </c>
      <c r="J6310" s="143" t="s">
        <v>14236</v>
      </c>
      <c r="K6310" s="80" t="s">
        <v>13732</v>
      </c>
      <c r="L6310" s="30">
        <v>383364180</v>
      </c>
      <c r="M6310" s="80" t="s">
        <v>5558</v>
      </c>
      <c r="N6310" s="80" t="s">
        <v>5559</v>
      </c>
      <c r="O6310" s="80" t="s">
        <v>4503</v>
      </c>
      <c r="P6310" s="80" t="s">
        <v>4503</v>
      </c>
      <c r="Q6310" s="20">
        <v>15936</v>
      </c>
      <c r="R6310" s="80" t="s">
        <v>36</v>
      </c>
      <c r="S6310" s="95">
        <f>200+1800+9000</f>
        <v>11000</v>
      </c>
      <c r="T6310" s="83" t="s">
        <v>14237</v>
      </c>
      <c r="U6310" s="95">
        <v>4936</v>
      </c>
      <c r="V6310" s="148">
        <v>45566</v>
      </c>
      <c r="W6310" s="85" t="s">
        <v>14238</v>
      </c>
      <c r="X6310" s="80"/>
      <c r="Y6310" s="22">
        <v>0</v>
      </c>
      <c r="Z6310" s="80" t="s">
        <v>50</v>
      </c>
      <c r="AA6310" s="86"/>
      <c r="AB6310" s="80"/>
      <c r="AC6310" s="80" t="s">
        <v>53</v>
      </c>
      <c r="AD6310" s="80" t="s">
        <v>138</v>
      </c>
      <c r="AE6310" s="80" t="s">
        <v>14200</v>
      </c>
      <c r="AF6310" s="17">
        <v>45729</v>
      </c>
      <c r="AG6310" s="80"/>
      <c r="AH6310" s="80"/>
      <c r="AI6310" s="147"/>
      <c r="AJ6310" s="80"/>
      <c r="AK6310" s="80"/>
      <c r="AL6310" s="35"/>
      <c r="AM6310" s="35"/>
      <c r="AN6310" s="35"/>
      <c r="AO6310" s="35"/>
      <c r="AP6310" s="35"/>
    </row>
    <row r="6311" spans="1:42" x14ac:dyDescent="0.2">
      <c r="A6311" s="38">
        <v>45719</v>
      </c>
      <c r="B6311" s="68" t="s">
        <v>37</v>
      </c>
      <c r="C6311" s="41" t="s">
        <v>118</v>
      </c>
      <c r="D6311" s="26" t="s">
        <v>36</v>
      </c>
      <c r="E6311" s="26" t="s">
        <v>139</v>
      </c>
      <c r="F6311" s="80" t="s">
        <v>10028</v>
      </c>
      <c r="G6311" s="80" t="s">
        <v>221</v>
      </c>
      <c r="H6311" s="80" t="s">
        <v>19522</v>
      </c>
      <c r="I6311" s="17">
        <f ca="1">IFERROR(__xludf.DUMMYFUNCTION("""COMPUTED_VALUE"""),45903)</f>
        <v>45903</v>
      </c>
      <c r="J6311" s="29" t="s">
        <v>10879</v>
      </c>
      <c r="K6311" s="26" t="s">
        <v>20290</v>
      </c>
      <c r="L6311" s="30">
        <v>379408112</v>
      </c>
      <c r="M6311" s="26" t="s">
        <v>5558</v>
      </c>
      <c r="N6311" s="26" t="s">
        <v>850</v>
      </c>
      <c r="O6311" s="26" t="s">
        <v>10881</v>
      </c>
      <c r="P6311" s="26" t="s">
        <v>10882</v>
      </c>
      <c r="Q6311" s="20">
        <v>15936</v>
      </c>
      <c r="R6311" s="26" t="s">
        <v>36</v>
      </c>
      <c r="S6311" s="95">
        <v>2000</v>
      </c>
      <c r="T6311" s="148">
        <v>45493</v>
      </c>
      <c r="U6311" s="95">
        <v>13936</v>
      </c>
      <c r="V6311" s="148">
        <v>45519</v>
      </c>
      <c r="W6311" s="33" t="s">
        <v>10883</v>
      </c>
      <c r="X6311" s="26">
        <v>0</v>
      </c>
      <c r="Y6311" s="22">
        <v>0</v>
      </c>
      <c r="Z6311" s="26" t="s">
        <v>50</v>
      </c>
      <c r="AA6311" s="96" t="s">
        <v>10314</v>
      </c>
      <c r="AB6311" s="26"/>
      <c r="AC6311" s="26" t="s">
        <v>53</v>
      </c>
      <c r="AD6311" s="26" t="s">
        <v>54</v>
      </c>
      <c r="AE6311" s="80" t="s">
        <v>10028</v>
      </c>
      <c r="AF6311" s="17">
        <v>45729</v>
      </c>
      <c r="AG6311" s="26" t="s">
        <v>8366</v>
      </c>
      <c r="AH6311" s="26"/>
      <c r="AI6311" s="40"/>
      <c r="AJ6311" s="26"/>
      <c r="AK6311" s="26"/>
      <c r="AL6311" s="35"/>
      <c r="AM6311" s="35"/>
      <c r="AN6311" s="35"/>
      <c r="AO6311" s="35"/>
      <c r="AP6311" s="35"/>
    </row>
    <row r="6312" spans="1:42" x14ac:dyDescent="0.2">
      <c r="A6312" s="38">
        <v>45719</v>
      </c>
      <c r="B6312" s="137" t="s">
        <v>37</v>
      </c>
      <c r="C6312" s="41" t="s">
        <v>118</v>
      </c>
      <c r="D6312" s="26" t="s">
        <v>36</v>
      </c>
      <c r="E6312" s="26" t="s">
        <v>119</v>
      </c>
      <c r="F6312" s="80" t="s">
        <v>7016</v>
      </c>
      <c r="G6312" s="26" t="s">
        <v>1847</v>
      </c>
      <c r="H6312" s="26" t="s">
        <v>20206</v>
      </c>
      <c r="I6312" s="17">
        <f ca="1">IFERROR(__xludf.DUMMYFUNCTION("""COMPUTED_VALUE"""),45726)</f>
        <v>45726</v>
      </c>
      <c r="J6312" s="29" t="s">
        <v>8107</v>
      </c>
      <c r="K6312" s="26" t="s">
        <v>20291</v>
      </c>
      <c r="L6312" s="30">
        <v>981919548</v>
      </c>
      <c r="M6312" s="26" t="s">
        <v>5518</v>
      </c>
      <c r="N6312" s="26" t="s">
        <v>186</v>
      </c>
      <c r="O6312" s="26" t="s">
        <v>8109</v>
      </c>
      <c r="P6312" s="42" t="s">
        <v>8990</v>
      </c>
      <c r="Q6312" s="20">
        <v>13968</v>
      </c>
      <c r="R6312" s="26" t="s">
        <v>36</v>
      </c>
      <c r="S6312" s="31">
        <v>4000</v>
      </c>
      <c r="T6312" s="32">
        <v>45301</v>
      </c>
      <c r="U6312" s="31">
        <v>9968</v>
      </c>
      <c r="V6312" s="32">
        <v>45392</v>
      </c>
      <c r="W6312" s="33" t="s">
        <v>8111</v>
      </c>
      <c r="X6312" s="26"/>
      <c r="Y6312" s="22">
        <v>0</v>
      </c>
      <c r="Z6312" s="26" t="s">
        <v>118</v>
      </c>
      <c r="AA6312" s="19" t="s">
        <v>8102</v>
      </c>
      <c r="AB6312" s="26"/>
      <c r="AC6312" s="26" t="s">
        <v>53</v>
      </c>
      <c r="AD6312" s="19" t="s">
        <v>54</v>
      </c>
      <c r="AE6312" s="80" t="s">
        <v>7016</v>
      </c>
      <c r="AF6312" s="17">
        <v>45722</v>
      </c>
      <c r="AG6312" s="26"/>
      <c r="AH6312" s="26"/>
      <c r="AI6312" s="40"/>
      <c r="AJ6312" s="26"/>
      <c r="AK6312" s="26"/>
      <c r="AL6312" s="35"/>
      <c r="AM6312" s="35"/>
      <c r="AN6312" s="35"/>
      <c r="AO6312" s="35"/>
      <c r="AP6312" s="35"/>
    </row>
    <row r="6313" spans="1:42" x14ac:dyDescent="0.2">
      <c r="A6313" s="38">
        <v>45719</v>
      </c>
      <c r="B6313" s="28" t="s">
        <v>37</v>
      </c>
      <c r="C6313" s="41" t="s">
        <v>118</v>
      </c>
      <c r="D6313" s="80" t="s">
        <v>36</v>
      </c>
      <c r="E6313" s="80" t="s">
        <v>139</v>
      </c>
      <c r="F6313" s="26" t="s">
        <v>8997</v>
      </c>
      <c r="G6313" s="80" t="s">
        <v>1705</v>
      </c>
      <c r="H6313" s="80" t="s">
        <v>20185</v>
      </c>
      <c r="I6313" s="17">
        <f ca="1">IFERROR(__xludf.DUMMYFUNCTION("""COMPUTED_VALUE"""),45735)</f>
        <v>45735</v>
      </c>
      <c r="J6313" s="163" t="s">
        <v>8126</v>
      </c>
      <c r="K6313" s="86" t="s">
        <v>8127</v>
      </c>
      <c r="L6313" s="30">
        <v>339320314</v>
      </c>
      <c r="M6313" s="80" t="s">
        <v>80</v>
      </c>
      <c r="N6313" s="80" t="s">
        <v>466</v>
      </c>
      <c r="O6313" s="80" t="s">
        <v>8128</v>
      </c>
      <c r="P6313" s="80" t="s">
        <v>2641</v>
      </c>
      <c r="Q6313" s="20">
        <v>15936</v>
      </c>
      <c r="R6313" s="80" t="s">
        <v>36</v>
      </c>
      <c r="S6313" s="77">
        <v>4000</v>
      </c>
      <c r="T6313" s="78">
        <v>45349</v>
      </c>
      <c r="U6313" s="77">
        <v>11936</v>
      </c>
      <c r="V6313" s="78">
        <v>45390</v>
      </c>
      <c r="W6313" s="85" t="s">
        <v>8129</v>
      </c>
      <c r="X6313" s="80"/>
      <c r="Y6313" s="22">
        <v>0</v>
      </c>
      <c r="Z6313" s="41" t="s">
        <v>118</v>
      </c>
      <c r="AA6313" s="145" t="s">
        <v>8317</v>
      </c>
      <c r="AB6313" s="80"/>
      <c r="AC6313" s="80" t="s">
        <v>53</v>
      </c>
      <c r="AD6313" s="157" t="s">
        <v>138</v>
      </c>
      <c r="AE6313" s="26" t="s">
        <v>8997</v>
      </c>
      <c r="AF6313" s="17">
        <v>45735</v>
      </c>
      <c r="AG6313" s="26"/>
      <c r="AH6313" s="80"/>
      <c r="AI6313" s="147"/>
      <c r="AJ6313" s="80"/>
      <c r="AK6313" s="80"/>
      <c r="AL6313" s="86"/>
      <c r="AM6313" s="86"/>
      <c r="AN6313" s="86"/>
      <c r="AO6313" s="86"/>
      <c r="AP6313" s="86"/>
    </row>
    <row r="6314" spans="1:42" x14ac:dyDescent="0.2">
      <c r="A6314" s="38">
        <v>45719</v>
      </c>
      <c r="B6314" s="28" t="s">
        <v>37</v>
      </c>
      <c r="C6314" s="41" t="s">
        <v>118</v>
      </c>
      <c r="D6314" s="26" t="s">
        <v>36</v>
      </c>
      <c r="E6314" s="26" t="s">
        <v>139</v>
      </c>
      <c r="F6314" s="26" t="s">
        <v>8997</v>
      </c>
      <c r="G6314" s="80" t="s">
        <v>1705</v>
      </c>
      <c r="H6314" s="80" t="s">
        <v>20185</v>
      </c>
      <c r="I6314" s="17">
        <f ca="1">IFERROR(__xludf.DUMMYFUNCTION("""COMPUTED_VALUE"""),45735)</f>
        <v>45735</v>
      </c>
      <c r="J6314" s="29" t="s">
        <v>7104</v>
      </c>
      <c r="K6314" s="26" t="s">
        <v>8087</v>
      </c>
      <c r="L6314" s="30">
        <v>328703762</v>
      </c>
      <c r="M6314" s="26" t="s">
        <v>5429</v>
      </c>
      <c r="N6314" s="26" t="s">
        <v>81</v>
      </c>
      <c r="O6314" s="26" t="s">
        <v>7106</v>
      </c>
      <c r="P6314" s="26" t="s">
        <v>7107</v>
      </c>
      <c r="Q6314" s="20">
        <v>15936</v>
      </c>
      <c r="R6314" s="26" t="s">
        <v>70</v>
      </c>
      <c r="S6314" s="31">
        <v>2000</v>
      </c>
      <c r="T6314" s="32">
        <v>45299</v>
      </c>
      <c r="U6314" s="31">
        <v>13236</v>
      </c>
      <c r="V6314" s="32">
        <v>45333</v>
      </c>
      <c r="W6314" s="33" t="s">
        <v>7108</v>
      </c>
      <c r="X6314" s="26"/>
      <c r="Y6314" s="22">
        <v>700</v>
      </c>
      <c r="Z6314" s="98" t="s">
        <v>118</v>
      </c>
      <c r="AA6314" s="19" t="s">
        <v>7077</v>
      </c>
      <c r="AB6314" s="26"/>
      <c r="AC6314" s="26" t="s">
        <v>53</v>
      </c>
      <c r="AD6314" s="19" t="s">
        <v>138</v>
      </c>
      <c r="AE6314" s="26" t="s">
        <v>8997</v>
      </c>
      <c r="AF6314" s="17">
        <v>45735</v>
      </c>
      <c r="AG6314" s="26"/>
      <c r="AH6314" s="26"/>
      <c r="AI6314" s="40" t="s">
        <v>147</v>
      </c>
      <c r="AJ6314" s="26"/>
      <c r="AK6314" s="26"/>
      <c r="AL6314" s="35"/>
      <c r="AM6314" s="35"/>
      <c r="AN6314" s="35"/>
      <c r="AO6314" s="35"/>
      <c r="AP6314" s="35"/>
    </row>
    <row r="6315" spans="1:42" x14ac:dyDescent="0.2">
      <c r="A6315" s="38">
        <v>45719</v>
      </c>
      <c r="B6315" s="28" t="s">
        <v>37</v>
      </c>
      <c r="C6315" s="41" t="s">
        <v>118</v>
      </c>
      <c r="D6315" s="80" t="s">
        <v>36</v>
      </c>
      <c r="E6315" s="80" t="s">
        <v>56</v>
      </c>
      <c r="F6315" s="80" t="s">
        <v>13674</v>
      </c>
      <c r="G6315" s="26" t="s">
        <v>221</v>
      </c>
      <c r="H6315" s="80" t="s">
        <v>18374</v>
      </c>
      <c r="I6315" s="17">
        <f ca="1">IFERROR(__xludf.DUMMYFUNCTION("""COMPUTED_VALUE"""),45729)</f>
        <v>45729</v>
      </c>
      <c r="J6315" s="143" t="s">
        <v>11190</v>
      </c>
      <c r="K6315" s="80" t="s">
        <v>11191</v>
      </c>
      <c r="L6315" s="30">
        <v>949498637</v>
      </c>
      <c r="M6315" s="80" t="s">
        <v>9422</v>
      </c>
      <c r="N6315" s="80" t="s">
        <v>5574</v>
      </c>
      <c r="O6315" s="80" t="s">
        <v>11192</v>
      </c>
      <c r="P6315" s="144" t="s">
        <v>13693</v>
      </c>
      <c r="Q6315" s="20">
        <v>9317</v>
      </c>
      <c r="R6315" s="80" t="s">
        <v>36</v>
      </c>
      <c r="S6315" s="95">
        <v>2000</v>
      </c>
      <c r="T6315" s="148">
        <v>45506</v>
      </c>
      <c r="U6315" s="95">
        <v>7317</v>
      </c>
      <c r="V6315" s="148">
        <v>45518</v>
      </c>
      <c r="W6315" s="85" t="s">
        <v>11194</v>
      </c>
      <c r="X6315" s="80">
        <v>0</v>
      </c>
      <c r="Y6315" s="22">
        <v>0</v>
      </c>
      <c r="Z6315" s="80" t="s">
        <v>50</v>
      </c>
      <c r="AA6315" s="96" t="s">
        <v>10314</v>
      </c>
      <c r="AB6315" s="80"/>
      <c r="AC6315" s="80" t="s">
        <v>53</v>
      </c>
      <c r="AD6315" s="80" t="s">
        <v>54</v>
      </c>
      <c r="AE6315" s="80" t="s">
        <v>13674</v>
      </c>
      <c r="AF6315" s="17">
        <v>45722</v>
      </c>
      <c r="AG6315" s="80"/>
      <c r="AH6315" s="80"/>
      <c r="AI6315" s="147"/>
      <c r="AJ6315" s="80"/>
      <c r="AK6315" s="80"/>
      <c r="AL6315" s="35"/>
      <c r="AM6315" s="35"/>
      <c r="AN6315" s="35"/>
      <c r="AO6315" s="35"/>
      <c r="AP6315" s="35"/>
    </row>
    <row r="6316" spans="1:42" x14ac:dyDescent="0.2">
      <c r="A6316" s="38">
        <v>45719</v>
      </c>
      <c r="B6316" s="137" t="s">
        <v>37</v>
      </c>
      <c r="C6316" s="41" t="s">
        <v>118</v>
      </c>
      <c r="D6316" s="26" t="s">
        <v>36</v>
      </c>
      <c r="E6316" s="26" t="s">
        <v>139</v>
      </c>
      <c r="F6316" s="26" t="s">
        <v>19571</v>
      </c>
      <c r="G6316" s="26" t="s">
        <v>1847</v>
      </c>
      <c r="H6316" s="26" t="s">
        <v>20206</v>
      </c>
      <c r="I6316" s="17">
        <f ca="1">IFERROR(__xludf.DUMMYFUNCTION("""COMPUTED_VALUE"""),45726)</f>
        <v>45726</v>
      </c>
      <c r="J6316" s="29" t="s">
        <v>5271</v>
      </c>
      <c r="K6316" s="26" t="s">
        <v>20055</v>
      </c>
      <c r="L6316" s="30">
        <v>926502995</v>
      </c>
      <c r="M6316" s="26" t="s">
        <v>123</v>
      </c>
      <c r="N6316" s="26" t="s">
        <v>850</v>
      </c>
      <c r="O6316" s="26" t="s">
        <v>1226</v>
      </c>
      <c r="P6316" s="42" t="s">
        <v>20292</v>
      </c>
      <c r="Q6316" s="20">
        <v>15936</v>
      </c>
      <c r="R6316" s="26" t="s">
        <v>36</v>
      </c>
      <c r="S6316" s="31">
        <v>2000</v>
      </c>
      <c r="T6316" s="32">
        <v>45205</v>
      </c>
      <c r="U6316" s="31">
        <v>13936</v>
      </c>
      <c r="V6316" s="38">
        <v>45231</v>
      </c>
      <c r="W6316" s="33" t="s">
        <v>5274</v>
      </c>
      <c r="X6316" s="26"/>
      <c r="Y6316" s="22">
        <v>0</v>
      </c>
      <c r="Z6316" s="26" t="s">
        <v>118</v>
      </c>
      <c r="AA6316" s="19" t="s">
        <v>5785</v>
      </c>
      <c r="AB6316" s="26"/>
      <c r="AC6316" s="26" t="s">
        <v>53</v>
      </c>
      <c r="AD6316" s="19" t="s">
        <v>138</v>
      </c>
      <c r="AE6316" s="26" t="s">
        <v>19571</v>
      </c>
      <c r="AF6316" s="17">
        <v>45722</v>
      </c>
      <c r="AG6316" s="26"/>
      <c r="AH6316" s="26"/>
      <c r="AI6316" s="40" t="s">
        <v>147</v>
      </c>
      <c r="AJ6316" s="26"/>
      <c r="AK6316" s="26"/>
      <c r="AL6316" s="35"/>
      <c r="AM6316" s="35"/>
      <c r="AN6316" s="35"/>
      <c r="AO6316" s="35"/>
      <c r="AP6316" s="35"/>
    </row>
    <row r="6317" spans="1:42" x14ac:dyDescent="0.2">
      <c r="A6317" s="38">
        <v>45719</v>
      </c>
      <c r="B6317" s="137" t="s">
        <v>37</v>
      </c>
      <c r="C6317" s="41" t="s">
        <v>118</v>
      </c>
      <c r="D6317" s="26" t="s">
        <v>36</v>
      </c>
      <c r="E6317" s="26" t="s">
        <v>119</v>
      </c>
      <c r="F6317" s="26" t="s">
        <v>10843</v>
      </c>
      <c r="G6317" s="26" t="s">
        <v>1847</v>
      </c>
      <c r="H6317" s="26" t="s">
        <v>20293</v>
      </c>
      <c r="I6317" s="17" t="str">
        <f ca="1">IFERROR(__xludf.DUMMYFUNCTION("""COMPUTED_VALUE""")," ")</f>
        <v xml:space="preserve"> </v>
      </c>
      <c r="J6317" s="29" t="s">
        <v>10714</v>
      </c>
      <c r="K6317" s="26" t="s">
        <v>13936</v>
      </c>
      <c r="L6317" s="30">
        <v>941672906</v>
      </c>
      <c r="M6317" s="26" t="s">
        <v>80</v>
      </c>
      <c r="N6317" s="26" t="s">
        <v>466</v>
      </c>
      <c r="O6317" s="26" t="s">
        <v>10716</v>
      </c>
      <c r="P6317" s="42" t="s">
        <v>10717</v>
      </c>
      <c r="Q6317" s="20">
        <v>13968</v>
      </c>
      <c r="R6317" s="26" t="s">
        <v>36</v>
      </c>
      <c r="S6317" s="95">
        <f>200+3600</f>
        <v>3800</v>
      </c>
      <c r="T6317" s="83" t="s">
        <v>10718</v>
      </c>
      <c r="U6317" s="95">
        <v>10168</v>
      </c>
      <c r="V6317" s="148">
        <v>45525</v>
      </c>
      <c r="W6317" s="33" t="s">
        <v>10719</v>
      </c>
      <c r="X6317" s="26">
        <v>0</v>
      </c>
      <c r="Y6317" s="22">
        <v>0</v>
      </c>
      <c r="Z6317" s="26" t="s">
        <v>50</v>
      </c>
      <c r="AA6317" s="96" t="s">
        <v>10314</v>
      </c>
      <c r="AB6317" s="26"/>
      <c r="AC6317" s="26" t="s">
        <v>53</v>
      </c>
      <c r="AD6317" s="26" t="s">
        <v>54</v>
      </c>
      <c r="AE6317" s="26" t="s">
        <v>10843</v>
      </c>
      <c r="AF6317" s="17">
        <v>45722</v>
      </c>
      <c r="AG6317" s="26"/>
      <c r="AH6317" s="26"/>
      <c r="AI6317" s="40"/>
      <c r="AJ6317" s="26"/>
      <c r="AK6317" s="26"/>
      <c r="AL6317" s="35"/>
      <c r="AM6317" s="35"/>
      <c r="AN6317" s="35"/>
      <c r="AO6317" s="35"/>
      <c r="AP6317" s="35"/>
    </row>
    <row r="6318" spans="1:42" x14ac:dyDescent="0.2">
      <c r="A6318" s="38">
        <v>45719</v>
      </c>
      <c r="B6318" s="28" t="s">
        <v>37</v>
      </c>
      <c r="C6318" s="41" t="s">
        <v>118</v>
      </c>
      <c r="D6318" s="80" t="s">
        <v>36</v>
      </c>
      <c r="E6318" s="80" t="s">
        <v>56</v>
      </c>
      <c r="F6318" s="80" t="s">
        <v>13089</v>
      </c>
      <c r="G6318" s="80" t="s">
        <v>108</v>
      </c>
      <c r="H6318" s="80" t="s">
        <v>14547</v>
      </c>
      <c r="I6318" s="17">
        <f ca="1">IFERROR(__xludf.DUMMYFUNCTION("""COMPUTED_VALUE"""),45726)</f>
        <v>45726</v>
      </c>
      <c r="J6318" s="143" t="s">
        <v>19712</v>
      </c>
      <c r="K6318" s="80" t="s">
        <v>20294</v>
      </c>
      <c r="L6318" s="30">
        <v>346082034</v>
      </c>
      <c r="M6318" s="80" t="s">
        <v>5558</v>
      </c>
      <c r="N6318" s="80" t="s">
        <v>18750</v>
      </c>
      <c r="O6318" s="80" t="s">
        <v>4503</v>
      </c>
      <c r="P6318" s="80" t="s">
        <v>19714</v>
      </c>
      <c r="Q6318" s="20">
        <v>9317</v>
      </c>
      <c r="R6318" s="80" t="s">
        <v>36</v>
      </c>
      <c r="S6318" s="95">
        <f>100+1900</f>
        <v>2000</v>
      </c>
      <c r="T6318" s="83" t="s">
        <v>19715</v>
      </c>
      <c r="U6318" s="95">
        <v>7317</v>
      </c>
      <c r="V6318" s="78">
        <v>45676</v>
      </c>
      <c r="W6318" s="85" t="s">
        <v>19716</v>
      </c>
      <c r="X6318" s="80"/>
      <c r="Y6318" s="22">
        <v>0</v>
      </c>
      <c r="Z6318" s="80" t="s">
        <v>50</v>
      </c>
      <c r="AA6318" s="86" t="s">
        <v>18583</v>
      </c>
      <c r="AB6318" s="82"/>
      <c r="AC6318" s="80" t="s">
        <v>53</v>
      </c>
      <c r="AD6318" s="80" t="s">
        <v>54</v>
      </c>
      <c r="AE6318" s="80" t="s">
        <v>13089</v>
      </c>
      <c r="AF6318" s="17">
        <v>45722</v>
      </c>
      <c r="AG6318" s="80"/>
      <c r="AH6318" s="80"/>
      <c r="AI6318" s="147"/>
      <c r="AJ6318" s="80"/>
      <c r="AK6318" s="80"/>
      <c r="AL6318" s="35"/>
      <c r="AM6318" s="35"/>
      <c r="AN6318" s="35"/>
      <c r="AO6318" s="35"/>
      <c r="AP6318" s="35"/>
    </row>
    <row r="6319" spans="1:42" x14ac:dyDescent="0.2">
      <c r="A6319" s="38">
        <v>45719</v>
      </c>
      <c r="B6319" s="28" t="s">
        <v>37</v>
      </c>
      <c r="C6319" s="41" t="s">
        <v>118</v>
      </c>
      <c r="D6319" s="80" t="s">
        <v>36</v>
      </c>
      <c r="E6319" s="80" t="s">
        <v>139</v>
      </c>
      <c r="F6319" s="80" t="s">
        <v>14342</v>
      </c>
      <c r="G6319" s="80" t="s">
        <v>221</v>
      </c>
      <c r="H6319" s="80" t="s">
        <v>18135</v>
      </c>
      <c r="I6319" s="17">
        <f ca="1">IFERROR(__xludf.DUMMYFUNCTION("""COMPUTED_VALUE"""),45729)</f>
        <v>45729</v>
      </c>
      <c r="J6319" s="143" t="s">
        <v>12883</v>
      </c>
      <c r="K6319" s="80" t="s">
        <v>12884</v>
      </c>
      <c r="L6319" s="30">
        <v>376622818</v>
      </c>
      <c r="M6319" s="80" t="s">
        <v>59</v>
      </c>
      <c r="N6319" s="80" t="s">
        <v>9294</v>
      </c>
      <c r="O6319" s="80" t="s">
        <v>12885</v>
      </c>
      <c r="P6319" s="80" t="s">
        <v>12886</v>
      </c>
      <c r="Q6319" s="20">
        <v>15936</v>
      </c>
      <c r="R6319" s="80" t="s">
        <v>36</v>
      </c>
      <c r="S6319" s="95">
        <f>200+15763</f>
        <v>15963</v>
      </c>
      <c r="T6319" s="148">
        <v>45542</v>
      </c>
      <c r="U6319" s="95"/>
      <c r="V6319" s="148">
        <v>45543</v>
      </c>
      <c r="W6319" s="80" t="s">
        <v>12887</v>
      </c>
      <c r="X6319" s="80">
        <v>0</v>
      </c>
      <c r="Y6319" s="22">
        <v>-27</v>
      </c>
      <c r="Z6319" s="80" t="s">
        <v>50</v>
      </c>
      <c r="AA6319" s="96" t="s">
        <v>3291</v>
      </c>
      <c r="AB6319" s="80"/>
      <c r="AC6319" s="80" t="s">
        <v>53</v>
      </c>
      <c r="AD6319" s="80" t="s">
        <v>138</v>
      </c>
      <c r="AE6319" s="80" t="s">
        <v>14342</v>
      </c>
      <c r="AF6319" s="17">
        <v>45729</v>
      </c>
      <c r="AG6319" s="80"/>
      <c r="AH6319" s="80"/>
      <c r="AI6319" s="147" t="s">
        <v>147</v>
      </c>
      <c r="AJ6319" s="80"/>
      <c r="AK6319" s="80"/>
      <c r="AL6319" s="35"/>
      <c r="AM6319" s="35"/>
      <c r="AN6319" s="35"/>
      <c r="AO6319" s="35"/>
      <c r="AP6319" s="35"/>
    </row>
    <row r="6320" spans="1:42" x14ac:dyDescent="0.2">
      <c r="A6320" s="38">
        <v>45719</v>
      </c>
      <c r="B6320" s="28" t="s">
        <v>37</v>
      </c>
      <c r="C6320" s="41" t="s">
        <v>118</v>
      </c>
      <c r="D6320" s="80" t="s">
        <v>36</v>
      </c>
      <c r="E6320" s="80" t="s">
        <v>139</v>
      </c>
      <c r="F6320" s="80" t="s">
        <v>13384</v>
      </c>
      <c r="G6320" s="80" t="s">
        <v>108</v>
      </c>
      <c r="H6320" s="80" t="s">
        <v>5946</v>
      </c>
      <c r="I6320" s="17">
        <f ca="1">IFERROR(__xludf.DUMMYFUNCTION("""COMPUTED_VALUE"""),45742)</f>
        <v>45742</v>
      </c>
      <c r="J6320" s="143" t="s">
        <v>15440</v>
      </c>
      <c r="K6320" s="80" t="s">
        <v>7458</v>
      </c>
      <c r="L6320" s="30">
        <v>362402006</v>
      </c>
      <c r="M6320" s="80" t="s">
        <v>910</v>
      </c>
      <c r="N6320" s="80" t="s">
        <v>3525</v>
      </c>
      <c r="O6320" s="80" t="s">
        <v>91</v>
      </c>
      <c r="P6320" s="144" t="s">
        <v>15441</v>
      </c>
      <c r="Q6320" s="20">
        <v>15936</v>
      </c>
      <c r="R6320" s="80" t="s">
        <v>36</v>
      </c>
      <c r="S6320" s="95">
        <v>2000</v>
      </c>
      <c r="T6320" s="148">
        <v>45555</v>
      </c>
      <c r="U6320" s="95">
        <v>13936</v>
      </c>
      <c r="V6320" s="148">
        <v>45592</v>
      </c>
      <c r="W6320" s="85" t="s">
        <v>15442</v>
      </c>
      <c r="X6320" s="80"/>
      <c r="Y6320" s="22">
        <v>0</v>
      </c>
      <c r="Z6320" s="80" t="s">
        <v>50</v>
      </c>
      <c r="AA6320" s="35" t="s">
        <v>9905</v>
      </c>
      <c r="AB6320" s="80"/>
      <c r="AC6320" s="80" t="s">
        <v>53</v>
      </c>
      <c r="AD6320" s="80" t="s">
        <v>138</v>
      </c>
      <c r="AE6320" s="80" t="s">
        <v>13384</v>
      </c>
      <c r="AF6320" s="17">
        <v>45742</v>
      </c>
      <c r="AG6320" s="80"/>
      <c r="AH6320" s="80"/>
      <c r="AI6320" s="147"/>
      <c r="AJ6320" s="80"/>
      <c r="AK6320" s="80"/>
      <c r="AL6320" s="35"/>
      <c r="AM6320" s="35"/>
      <c r="AN6320" s="35"/>
      <c r="AO6320" s="35"/>
      <c r="AP6320" s="35"/>
    </row>
    <row r="6321" spans="1:42" x14ac:dyDescent="0.2">
      <c r="A6321" s="38">
        <v>45719</v>
      </c>
      <c r="B6321" s="28" t="s">
        <v>37</v>
      </c>
      <c r="C6321" s="41" t="s">
        <v>118</v>
      </c>
      <c r="D6321" s="26" t="s">
        <v>36</v>
      </c>
      <c r="E6321" s="26" t="s">
        <v>119</v>
      </c>
      <c r="F6321" s="26" t="s">
        <v>9050</v>
      </c>
      <c r="G6321" s="80" t="s">
        <v>1705</v>
      </c>
      <c r="H6321" s="80" t="s">
        <v>20185</v>
      </c>
      <c r="I6321" s="17">
        <f ca="1">IFERROR(__xludf.DUMMYFUNCTION("""COMPUTED_VALUE"""),45735)</f>
        <v>45735</v>
      </c>
      <c r="J6321" s="29" t="s">
        <v>5990</v>
      </c>
      <c r="K6321" s="26" t="s">
        <v>5991</v>
      </c>
      <c r="L6321" s="30">
        <v>816308200</v>
      </c>
      <c r="M6321" s="26" t="s">
        <v>1245</v>
      </c>
      <c r="N6321" s="26" t="s">
        <v>5992</v>
      </c>
      <c r="O6321" s="26" t="s">
        <v>5993</v>
      </c>
      <c r="P6321" s="42" t="s">
        <v>5994</v>
      </c>
      <c r="Q6321" s="20">
        <v>13968</v>
      </c>
      <c r="R6321" s="26" t="s">
        <v>36</v>
      </c>
      <c r="S6321" s="31">
        <v>13968</v>
      </c>
      <c r="T6321" s="32">
        <v>45184</v>
      </c>
      <c r="U6321" s="31"/>
      <c r="V6321" s="26"/>
      <c r="W6321" s="33" t="s">
        <v>2844</v>
      </c>
      <c r="X6321" s="26"/>
      <c r="Y6321" s="22">
        <v>0</v>
      </c>
      <c r="Z6321" s="26" t="s">
        <v>118</v>
      </c>
      <c r="AA6321" s="19" t="s">
        <v>5785</v>
      </c>
      <c r="AB6321" s="26"/>
      <c r="AC6321" s="26" t="s">
        <v>53</v>
      </c>
      <c r="AD6321" s="19" t="s">
        <v>138</v>
      </c>
      <c r="AE6321" s="26" t="s">
        <v>9050</v>
      </c>
      <c r="AF6321" s="17">
        <v>45735</v>
      </c>
      <c r="AG6321" s="26"/>
      <c r="AH6321" s="26"/>
      <c r="AI6321" s="40">
        <v>4</v>
      </c>
      <c r="AJ6321" s="26"/>
      <c r="AK6321" s="26"/>
      <c r="AL6321" s="35"/>
      <c r="AM6321" s="35"/>
      <c r="AN6321" s="35"/>
      <c r="AO6321" s="35"/>
      <c r="AP6321" s="35"/>
    </row>
    <row r="6322" spans="1:42" x14ac:dyDescent="0.2">
      <c r="A6322" s="38">
        <v>45719</v>
      </c>
      <c r="B6322" s="137" t="s">
        <v>37</v>
      </c>
      <c r="C6322" s="41" t="s">
        <v>118</v>
      </c>
      <c r="D6322" s="26" t="s">
        <v>36</v>
      </c>
      <c r="E6322" s="26" t="s">
        <v>119</v>
      </c>
      <c r="F6322" s="26" t="s">
        <v>8063</v>
      </c>
      <c r="G6322" s="26" t="s">
        <v>1847</v>
      </c>
      <c r="H6322" s="26" t="s">
        <v>20206</v>
      </c>
      <c r="I6322" s="17">
        <f ca="1">IFERROR(__xludf.DUMMYFUNCTION("""COMPUTED_VALUE"""),45726)</f>
        <v>45726</v>
      </c>
      <c r="J6322" s="29" t="s">
        <v>11929</v>
      </c>
      <c r="K6322" s="26" t="s">
        <v>13815</v>
      </c>
      <c r="L6322" s="30">
        <v>961633894</v>
      </c>
      <c r="M6322" s="26" t="s">
        <v>3498</v>
      </c>
      <c r="N6322" s="26" t="s">
        <v>2756</v>
      </c>
      <c r="O6322" s="26" t="s">
        <v>4503</v>
      </c>
      <c r="P6322" s="42" t="s">
        <v>20295</v>
      </c>
      <c r="Q6322" s="20">
        <v>13968</v>
      </c>
      <c r="R6322" s="26" t="s">
        <v>36</v>
      </c>
      <c r="S6322" s="95">
        <f>200+3800</f>
        <v>4000</v>
      </c>
      <c r="T6322" s="83" t="s">
        <v>11932</v>
      </c>
      <c r="U6322" s="95">
        <v>9968</v>
      </c>
      <c r="V6322" s="148">
        <v>45547</v>
      </c>
      <c r="W6322" s="33" t="s">
        <v>11933</v>
      </c>
      <c r="X6322" s="26">
        <v>0</v>
      </c>
      <c r="Y6322" s="22">
        <v>0</v>
      </c>
      <c r="Z6322" s="26" t="s">
        <v>50</v>
      </c>
      <c r="AA6322" s="35" t="s">
        <v>3291</v>
      </c>
      <c r="AB6322" s="26"/>
      <c r="AC6322" s="26" t="s">
        <v>53</v>
      </c>
      <c r="AD6322" s="26" t="s">
        <v>54</v>
      </c>
      <c r="AE6322" s="26" t="s">
        <v>8063</v>
      </c>
      <c r="AF6322" s="17">
        <v>45722</v>
      </c>
      <c r="AG6322" s="26"/>
      <c r="AH6322" s="26"/>
      <c r="AI6322" s="40">
        <v>4</v>
      </c>
      <c r="AJ6322" s="26"/>
      <c r="AK6322" s="26"/>
      <c r="AL6322" s="35"/>
      <c r="AM6322" s="35"/>
      <c r="AN6322" s="35"/>
      <c r="AO6322" s="35"/>
      <c r="AP6322" s="35"/>
    </row>
    <row r="6323" spans="1:42" x14ac:dyDescent="0.2">
      <c r="A6323" s="38">
        <v>45720</v>
      </c>
      <c r="B6323" s="137" t="s">
        <v>37</v>
      </c>
      <c r="C6323" s="41" t="s">
        <v>118</v>
      </c>
      <c r="D6323" s="26" t="s">
        <v>36</v>
      </c>
      <c r="E6323" s="26" t="s">
        <v>139</v>
      </c>
      <c r="F6323" s="80" t="s">
        <v>10205</v>
      </c>
      <c r="G6323" s="26" t="s">
        <v>1847</v>
      </c>
      <c r="H6323" s="26" t="s">
        <v>20206</v>
      </c>
      <c r="I6323" s="17">
        <f ca="1">IFERROR(__xludf.DUMMYFUNCTION("""COMPUTED_VALUE"""),45726)</f>
        <v>45726</v>
      </c>
      <c r="J6323" s="29" t="s">
        <v>9292</v>
      </c>
      <c r="K6323" s="26" t="s">
        <v>9293</v>
      </c>
      <c r="L6323" s="30">
        <v>981746826</v>
      </c>
      <c r="M6323" s="26" t="s">
        <v>59</v>
      </c>
      <c r="N6323" s="26" t="s">
        <v>9294</v>
      </c>
      <c r="O6323" s="26" t="s">
        <v>9295</v>
      </c>
      <c r="P6323" s="115" t="s">
        <v>13840</v>
      </c>
      <c r="Q6323" s="20"/>
      <c r="R6323" s="26" t="s">
        <v>36</v>
      </c>
      <c r="S6323" s="95">
        <v>2200</v>
      </c>
      <c r="T6323" s="83" t="s">
        <v>9297</v>
      </c>
      <c r="U6323" s="95">
        <v>13763</v>
      </c>
      <c r="V6323" s="148">
        <v>45504</v>
      </c>
      <c r="W6323" s="26" t="s">
        <v>9298</v>
      </c>
      <c r="X6323" s="26"/>
      <c r="Y6323" s="22"/>
      <c r="Z6323" s="26" t="s">
        <v>50</v>
      </c>
      <c r="AA6323" s="70" t="s">
        <v>9070</v>
      </c>
      <c r="AB6323" s="26"/>
      <c r="AC6323" s="26" t="s">
        <v>53</v>
      </c>
      <c r="AD6323" s="26" t="s">
        <v>54</v>
      </c>
      <c r="AE6323" s="26" t="s">
        <v>20296</v>
      </c>
      <c r="AF6323" s="17">
        <v>45722</v>
      </c>
      <c r="AG6323" s="26"/>
      <c r="AH6323" s="26"/>
      <c r="AI6323" s="40"/>
      <c r="AJ6323" s="26"/>
      <c r="AK6323" s="26"/>
      <c r="AL6323" s="35"/>
      <c r="AM6323" s="35"/>
      <c r="AN6323" s="35"/>
      <c r="AO6323" s="35"/>
      <c r="AP6323" s="35"/>
    </row>
    <row r="6324" spans="1:42" x14ac:dyDescent="0.2">
      <c r="A6324" s="38">
        <v>45720</v>
      </c>
      <c r="B6324" s="28" t="s">
        <v>37</v>
      </c>
      <c r="C6324" s="41" t="s">
        <v>118</v>
      </c>
      <c r="D6324" s="26" t="s">
        <v>36</v>
      </c>
      <c r="E6324" s="80" t="s">
        <v>219</v>
      </c>
      <c r="F6324" s="80"/>
      <c r="G6324" s="142" t="s">
        <v>221</v>
      </c>
      <c r="H6324" s="80" t="s">
        <v>20208</v>
      </c>
      <c r="I6324" s="164">
        <f ca="1">IFERROR(__xludf.DUMMYFUNCTION("""COMPUTED_VALUE"""),45736)</f>
        <v>45736</v>
      </c>
      <c r="J6324" s="143" t="s">
        <v>2346</v>
      </c>
      <c r="K6324" s="145" t="s">
        <v>20297</v>
      </c>
      <c r="L6324" s="57">
        <v>354425207</v>
      </c>
      <c r="M6324" s="26" t="s">
        <v>1245</v>
      </c>
      <c r="N6324" s="26" t="s">
        <v>5846</v>
      </c>
      <c r="O6324" s="80" t="s">
        <v>91</v>
      </c>
      <c r="P6324" s="144" t="s">
        <v>20298</v>
      </c>
      <c r="Q6324" s="20">
        <v>4268</v>
      </c>
      <c r="R6324" s="80" t="s">
        <v>36</v>
      </c>
      <c r="S6324" s="77">
        <v>3860</v>
      </c>
      <c r="T6324" s="78">
        <v>44950</v>
      </c>
      <c r="U6324" s="77"/>
      <c r="V6324" s="78" t="s">
        <v>20299</v>
      </c>
      <c r="W6324" s="85" t="s">
        <v>20300</v>
      </c>
      <c r="X6324" s="80">
        <v>100</v>
      </c>
      <c r="Y6324" s="22">
        <v>308</v>
      </c>
      <c r="Z6324" s="80" t="s">
        <v>50</v>
      </c>
      <c r="AA6324" s="86" t="s">
        <v>5070</v>
      </c>
      <c r="AB6324" s="80"/>
      <c r="AC6324" s="80" t="s">
        <v>53</v>
      </c>
      <c r="AD6324" s="80"/>
      <c r="AE6324" s="80"/>
      <c r="AF6324" s="17">
        <v>45736</v>
      </c>
      <c r="AG6324" s="153" t="s">
        <v>20301</v>
      </c>
      <c r="AH6324" s="150">
        <v>1</v>
      </c>
      <c r="AI6324" s="150"/>
      <c r="AJ6324" s="151">
        <v>44954.46364188657</v>
      </c>
      <c r="AK6324" s="86"/>
      <c r="AL6324" s="152" t="s">
        <v>20302</v>
      </c>
      <c r="AM6324" s="86"/>
      <c r="AN6324" s="80"/>
      <c r="AO6324" s="80"/>
      <c r="AP6324" s="80"/>
    </row>
    <row r="6325" spans="1:42" x14ac:dyDescent="0.2">
      <c r="A6325" s="38">
        <v>45720</v>
      </c>
      <c r="B6325" s="137" t="s">
        <v>37</v>
      </c>
      <c r="C6325" s="41" t="s">
        <v>118</v>
      </c>
      <c r="D6325" s="80" t="s">
        <v>36</v>
      </c>
      <c r="E6325" s="80" t="s">
        <v>119</v>
      </c>
      <c r="F6325" s="80" t="s">
        <v>14429</v>
      </c>
      <c r="G6325" s="80" t="s">
        <v>221</v>
      </c>
      <c r="H6325" s="80" t="s">
        <v>8400</v>
      </c>
      <c r="I6325" s="17">
        <f ca="1">IFERROR(__xludf.DUMMYFUNCTION("""COMPUTED_VALUE"""),45750)</f>
        <v>45750</v>
      </c>
      <c r="J6325" s="143" t="s">
        <v>18869</v>
      </c>
      <c r="K6325" s="80" t="s">
        <v>20303</v>
      </c>
      <c r="L6325" s="30">
        <v>388276011</v>
      </c>
      <c r="M6325" s="80" t="s">
        <v>12529</v>
      </c>
      <c r="N6325" s="80" t="s">
        <v>466</v>
      </c>
      <c r="O6325" s="80" t="s">
        <v>18871</v>
      </c>
      <c r="P6325" s="80" t="s">
        <v>15693</v>
      </c>
      <c r="Q6325" s="20">
        <v>13968</v>
      </c>
      <c r="R6325" s="80" t="s">
        <v>36</v>
      </c>
      <c r="S6325" s="95">
        <f t="shared" ref="S6325:S6327" si="181">200+3800</f>
        <v>4000</v>
      </c>
      <c r="T6325" s="83" t="s">
        <v>18872</v>
      </c>
      <c r="U6325" s="95">
        <v>9968</v>
      </c>
      <c r="V6325" s="148">
        <v>45636</v>
      </c>
      <c r="W6325" s="80" t="s">
        <v>18873</v>
      </c>
      <c r="X6325" s="80"/>
      <c r="Y6325" s="22">
        <v>0</v>
      </c>
      <c r="Z6325" s="80" t="s">
        <v>50</v>
      </c>
      <c r="AA6325" s="96" t="s">
        <v>18579</v>
      </c>
      <c r="AB6325" s="82"/>
      <c r="AC6325" s="80" t="s">
        <v>53</v>
      </c>
      <c r="AD6325" s="80" t="s">
        <v>138</v>
      </c>
      <c r="AE6325" s="80" t="s">
        <v>14429</v>
      </c>
      <c r="AF6325" s="17">
        <v>45750</v>
      </c>
      <c r="AG6325" s="80"/>
      <c r="AH6325" s="80"/>
      <c r="AI6325" s="147"/>
      <c r="AJ6325" s="80"/>
      <c r="AK6325" s="80"/>
      <c r="AL6325" s="35"/>
      <c r="AM6325" s="35"/>
      <c r="AN6325" s="35"/>
      <c r="AO6325" s="35"/>
      <c r="AP6325" s="35"/>
    </row>
    <row r="6326" spans="1:42" x14ac:dyDescent="0.2">
      <c r="A6326" s="38">
        <v>45720</v>
      </c>
      <c r="B6326" s="137" t="s">
        <v>37</v>
      </c>
      <c r="C6326" s="41" t="s">
        <v>118</v>
      </c>
      <c r="D6326" s="80" t="s">
        <v>36</v>
      </c>
      <c r="E6326" s="80" t="s">
        <v>119</v>
      </c>
      <c r="F6326" s="80" t="s">
        <v>13913</v>
      </c>
      <c r="G6326" s="80" t="s">
        <v>221</v>
      </c>
      <c r="H6326" s="80" t="s">
        <v>20219</v>
      </c>
      <c r="I6326" s="17">
        <f ca="1">IFERROR(__xludf.DUMMYFUNCTION("""COMPUTED_VALUE"""),45737)</f>
        <v>45737</v>
      </c>
      <c r="J6326" s="143" t="s">
        <v>17663</v>
      </c>
      <c r="K6326" s="80" t="s">
        <v>20304</v>
      </c>
      <c r="L6326" s="30">
        <v>326903875</v>
      </c>
      <c r="M6326" s="80" t="s">
        <v>12529</v>
      </c>
      <c r="N6326" s="80" t="s">
        <v>466</v>
      </c>
      <c r="O6326" s="80" t="s">
        <v>17665</v>
      </c>
      <c r="P6326" s="80" t="s">
        <v>17666</v>
      </c>
      <c r="Q6326" s="20">
        <v>13968</v>
      </c>
      <c r="R6326" s="80" t="s">
        <v>36</v>
      </c>
      <c r="S6326" s="95">
        <f t="shared" si="181"/>
        <v>4000</v>
      </c>
      <c r="T6326" s="83" t="s">
        <v>17667</v>
      </c>
      <c r="U6326" s="95">
        <v>9968</v>
      </c>
      <c r="V6326" s="148">
        <v>45621</v>
      </c>
      <c r="W6326" s="85" t="s">
        <v>17668</v>
      </c>
      <c r="X6326" s="80"/>
      <c r="Y6326" s="22">
        <v>0</v>
      </c>
      <c r="Z6326" s="80" t="s">
        <v>50</v>
      </c>
      <c r="AA6326" s="86" t="s">
        <v>14723</v>
      </c>
      <c r="AB6326" s="80"/>
      <c r="AC6326" s="80" t="s">
        <v>53</v>
      </c>
      <c r="AD6326" s="80" t="s">
        <v>138</v>
      </c>
      <c r="AE6326" s="80" t="s">
        <v>13913</v>
      </c>
      <c r="AF6326" s="17">
        <v>45737</v>
      </c>
      <c r="AG6326" s="80"/>
      <c r="AH6326" s="80"/>
      <c r="AI6326" s="147"/>
      <c r="AJ6326" s="80"/>
      <c r="AK6326" s="80"/>
      <c r="AL6326" s="35"/>
      <c r="AM6326" s="35"/>
      <c r="AN6326" s="35"/>
      <c r="AO6326" s="35"/>
      <c r="AP6326" s="35"/>
    </row>
    <row r="6327" spans="1:42" x14ac:dyDescent="0.2">
      <c r="A6327" s="38">
        <v>45720</v>
      </c>
      <c r="B6327" s="137" t="s">
        <v>37</v>
      </c>
      <c r="C6327" s="41" t="s">
        <v>118</v>
      </c>
      <c r="D6327" s="80" t="s">
        <v>36</v>
      </c>
      <c r="E6327" s="80" t="s">
        <v>119</v>
      </c>
      <c r="F6327" s="80" t="s">
        <v>13913</v>
      </c>
      <c r="G6327" s="80" t="s">
        <v>221</v>
      </c>
      <c r="H6327" s="80" t="s">
        <v>20305</v>
      </c>
      <c r="I6327" s="17">
        <f ca="1">IFERROR(__xludf.DUMMYFUNCTION("""COMPUTED_VALUE"""),45749)</f>
        <v>45749</v>
      </c>
      <c r="J6327" s="143" t="s">
        <v>17525</v>
      </c>
      <c r="K6327" s="80" t="s">
        <v>20306</v>
      </c>
      <c r="L6327" s="30">
        <v>815707803</v>
      </c>
      <c r="M6327" s="80" t="s">
        <v>5429</v>
      </c>
      <c r="N6327" s="80" t="s">
        <v>756</v>
      </c>
      <c r="O6327" s="80" t="s">
        <v>61</v>
      </c>
      <c r="P6327" s="80" t="s">
        <v>6368</v>
      </c>
      <c r="Q6327" s="20">
        <v>13968</v>
      </c>
      <c r="R6327" s="80" t="s">
        <v>36</v>
      </c>
      <c r="S6327" s="95">
        <f t="shared" si="181"/>
        <v>4000</v>
      </c>
      <c r="T6327" s="83" t="s">
        <v>17527</v>
      </c>
      <c r="U6327" s="95">
        <v>9968</v>
      </c>
      <c r="V6327" s="148">
        <v>45618</v>
      </c>
      <c r="W6327" s="85" t="s">
        <v>17528</v>
      </c>
      <c r="X6327" s="80"/>
      <c r="Y6327" s="22">
        <v>0</v>
      </c>
      <c r="Z6327" s="80" t="s">
        <v>50</v>
      </c>
      <c r="AA6327" s="82" t="s">
        <v>14723</v>
      </c>
      <c r="AB6327" s="80"/>
      <c r="AC6327" s="80" t="s">
        <v>53</v>
      </c>
      <c r="AD6327" s="80" t="s">
        <v>138</v>
      </c>
      <c r="AE6327" s="80" t="s">
        <v>13913</v>
      </c>
      <c r="AF6327" s="17">
        <v>45749</v>
      </c>
      <c r="AG6327" s="80"/>
      <c r="AH6327" s="80"/>
      <c r="AI6327" s="147"/>
      <c r="AJ6327" s="80"/>
      <c r="AK6327" s="80"/>
      <c r="AL6327" s="35"/>
      <c r="AM6327" s="35"/>
      <c r="AN6327" s="35"/>
      <c r="AO6327" s="35"/>
      <c r="AP6327" s="35"/>
    </row>
    <row r="6328" spans="1:42" x14ac:dyDescent="0.2">
      <c r="A6328" s="38">
        <v>45720</v>
      </c>
      <c r="B6328" s="137" t="s">
        <v>37</v>
      </c>
      <c r="C6328" s="41" t="s">
        <v>118</v>
      </c>
      <c r="D6328" s="26" t="s">
        <v>36</v>
      </c>
      <c r="E6328" s="26" t="s">
        <v>139</v>
      </c>
      <c r="F6328" s="80" t="s">
        <v>8088</v>
      </c>
      <c r="G6328" s="80" t="s">
        <v>221</v>
      </c>
      <c r="H6328" s="80" t="s">
        <v>20219</v>
      </c>
      <c r="I6328" s="17">
        <f ca="1">IFERROR(__xludf.DUMMYFUNCTION("""COMPUTED_VALUE"""),45737)</f>
        <v>45737</v>
      </c>
      <c r="J6328" s="29" t="s">
        <v>14290</v>
      </c>
      <c r="K6328" s="19" t="s">
        <v>20307</v>
      </c>
      <c r="L6328" s="30">
        <v>965036399</v>
      </c>
      <c r="M6328" s="26" t="s">
        <v>5558</v>
      </c>
      <c r="N6328" s="26" t="s">
        <v>5559</v>
      </c>
      <c r="O6328" s="26" t="s">
        <v>4503</v>
      </c>
      <c r="P6328" s="26" t="s">
        <v>14292</v>
      </c>
      <c r="Q6328" s="20">
        <v>15936</v>
      </c>
      <c r="R6328" s="26" t="s">
        <v>36</v>
      </c>
      <c r="S6328" s="95">
        <f>200+1800</f>
        <v>2000</v>
      </c>
      <c r="T6328" s="83" t="s">
        <v>14293</v>
      </c>
      <c r="U6328" s="95">
        <f>6936+7000</f>
        <v>13936</v>
      </c>
      <c r="V6328" s="169">
        <v>45593</v>
      </c>
      <c r="W6328" s="33" t="s">
        <v>14294</v>
      </c>
      <c r="X6328" s="26"/>
      <c r="Y6328" s="22">
        <v>0</v>
      </c>
      <c r="Z6328" s="26" t="s">
        <v>50</v>
      </c>
      <c r="AA6328" s="35"/>
      <c r="AB6328" s="26"/>
      <c r="AC6328" s="80" t="s">
        <v>53</v>
      </c>
      <c r="AD6328" s="26" t="s">
        <v>138</v>
      </c>
      <c r="AE6328" s="80" t="s">
        <v>8088</v>
      </c>
      <c r="AF6328" s="17">
        <v>45737</v>
      </c>
      <c r="AG6328" s="80"/>
      <c r="AH6328" s="26"/>
      <c r="AI6328" s="40"/>
      <c r="AJ6328" s="26"/>
      <c r="AK6328" s="26"/>
      <c r="AL6328" s="35"/>
      <c r="AM6328" s="35"/>
      <c r="AN6328" s="35"/>
      <c r="AO6328" s="35"/>
      <c r="AP6328" s="35"/>
    </row>
    <row r="6329" spans="1:42" x14ac:dyDescent="0.2">
      <c r="A6329" s="38">
        <v>45720</v>
      </c>
      <c r="B6329" s="28" t="s">
        <v>37</v>
      </c>
      <c r="C6329" s="41" t="s">
        <v>118</v>
      </c>
      <c r="D6329" s="80" t="s">
        <v>36</v>
      </c>
      <c r="E6329" s="80" t="s">
        <v>139</v>
      </c>
      <c r="F6329" s="80" t="s">
        <v>19121</v>
      </c>
      <c r="G6329" s="80" t="s">
        <v>108</v>
      </c>
      <c r="H6329" s="80" t="s">
        <v>20308</v>
      </c>
      <c r="I6329" s="17">
        <f ca="1">IFERROR(__xludf.DUMMYFUNCTION("""COMPUTED_VALUE"""),45831)</f>
        <v>45831</v>
      </c>
      <c r="J6329" s="143" t="s">
        <v>20309</v>
      </c>
      <c r="K6329" s="145" t="s">
        <v>20310</v>
      </c>
      <c r="L6329" s="30">
        <v>837285262</v>
      </c>
      <c r="M6329" s="80" t="s">
        <v>11413</v>
      </c>
      <c r="N6329" s="80" t="s">
        <v>1246</v>
      </c>
      <c r="O6329" s="80" t="s">
        <v>20311</v>
      </c>
      <c r="P6329" s="144" t="s">
        <v>20312</v>
      </c>
      <c r="Q6329" s="20">
        <v>15936</v>
      </c>
      <c r="R6329" s="80" t="s">
        <v>36</v>
      </c>
      <c r="S6329" s="95">
        <f>200+13000</f>
        <v>13200</v>
      </c>
      <c r="T6329" s="83" t="s">
        <v>20313</v>
      </c>
      <c r="U6329" s="77">
        <v>2736</v>
      </c>
      <c r="V6329" s="78">
        <v>45702</v>
      </c>
      <c r="W6329" s="85" t="s">
        <v>20314</v>
      </c>
      <c r="X6329" s="80"/>
      <c r="Y6329" s="22">
        <v>0</v>
      </c>
      <c r="Z6329" s="80"/>
      <c r="AA6329" s="82"/>
      <c r="AB6329" s="86"/>
      <c r="AC6329" s="80" t="s">
        <v>53</v>
      </c>
      <c r="AD6329" s="80" t="s">
        <v>138</v>
      </c>
      <c r="AE6329" s="80" t="s">
        <v>19121</v>
      </c>
      <c r="AF6329" s="17">
        <v>45733</v>
      </c>
      <c r="AG6329" s="80"/>
      <c r="AH6329" s="80"/>
      <c r="AI6329" s="147"/>
      <c r="AJ6329" s="80">
        <f>COUNTIF(K6329:K6368,K6329)</f>
        <v>1</v>
      </c>
      <c r="AK6329" s="80"/>
      <c r="AL6329" s="35"/>
      <c r="AM6329" s="35"/>
      <c r="AN6329" s="35"/>
      <c r="AO6329" s="35"/>
      <c r="AP6329" s="35"/>
    </row>
    <row r="6330" spans="1:42" x14ac:dyDescent="0.2">
      <c r="A6330" s="38">
        <v>45720</v>
      </c>
      <c r="B6330" s="28" t="s">
        <v>37</v>
      </c>
      <c r="C6330" s="41" t="s">
        <v>118</v>
      </c>
      <c r="D6330" s="80" t="s">
        <v>36</v>
      </c>
      <c r="E6330" s="80" t="s">
        <v>139</v>
      </c>
      <c r="F6330" s="80" t="s">
        <v>19121</v>
      </c>
      <c r="G6330" s="80" t="s">
        <v>108</v>
      </c>
      <c r="H6330" s="80" t="s">
        <v>20308</v>
      </c>
      <c r="I6330" s="17">
        <f ca="1">IFERROR(__xludf.DUMMYFUNCTION("""COMPUTED_VALUE"""),45831)</f>
        <v>45831</v>
      </c>
      <c r="J6330" s="143" t="s">
        <v>20315</v>
      </c>
      <c r="K6330" s="145" t="s">
        <v>20316</v>
      </c>
      <c r="L6330" s="30">
        <v>965298217</v>
      </c>
      <c r="M6330" s="80" t="s">
        <v>15996</v>
      </c>
      <c r="N6330" s="80" t="s">
        <v>186</v>
      </c>
      <c r="O6330" s="80" t="s">
        <v>4503</v>
      </c>
      <c r="P6330" s="80" t="s">
        <v>3487</v>
      </c>
      <c r="Q6330" s="20">
        <v>15936</v>
      </c>
      <c r="R6330" s="80" t="s">
        <v>70</v>
      </c>
      <c r="S6330" s="95">
        <f>200+3000</f>
        <v>3200</v>
      </c>
      <c r="T6330" s="83" t="s">
        <v>20317</v>
      </c>
      <c r="U6330" s="95">
        <v>12636</v>
      </c>
      <c r="V6330" s="148">
        <v>45697</v>
      </c>
      <c r="W6330" s="85" t="s">
        <v>20318</v>
      </c>
      <c r="X6330" s="80"/>
      <c r="Y6330" s="22">
        <v>100</v>
      </c>
      <c r="Z6330" s="80" t="s">
        <v>50</v>
      </c>
      <c r="AA6330" s="86"/>
      <c r="AB6330" s="82"/>
      <c r="AC6330" s="80" t="s">
        <v>53</v>
      </c>
      <c r="AD6330" s="80" t="s">
        <v>138</v>
      </c>
      <c r="AE6330" s="80" t="s">
        <v>19121</v>
      </c>
      <c r="AF6330" s="17">
        <v>45733</v>
      </c>
      <c r="AG6330" s="80"/>
      <c r="AH6330" s="80"/>
      <c r="AI6330" s="147"/>
      <c r="AJ6330" s="80">
        <f>COUNTIF(K6330:K7481,K6330)</f>
        <v>1</v>
      </c>
      <c r="AK6330" s="80"/>
      <c r="AL6330" s="35"/>
      <c r="AM6330" s="35"/>
      <c r="AN6330" s="35"/>
      <c r="AO6330" s="35"/>
      <c r="AP6330" s="35"/>
    </row>
    <row r="6331" spans="1:42" x14ac:dyDescent="0.2">
      <c r="A6331" s="38">
        <v>45720</v>
      </c>
      <c r="B6331" s="28" t="s">
        <v>37</v>
      </c>
      <c r="C6331" s="41" t="s">
        <v>118</v>
      </c>
      <c r="D6331" s="80" t="s">
        <v>36</v>
      </c>
      <c r="E6331" s="80" t="s">
        <v>139</v>
      </c>
      <c r="F6331" s="80" t="s">
        <v>19121</v>
      </c>
      <c r="G6331" s="80" t="s">
        <v>108</v>
      </c>
      <c r="H6331" s="80" t="s">
        <v>19174</v>
      </c>
      <c r="I6331" s="17">
        <f ca="1">IFERROR(__xludf.DUMMYFUNCTION("""COMPUTED_VALUE"""),45733)</f>
        <v>45733</v>
      </c>
      <c r="J6331" s="143" t="s">
        <v>20319</v>
      </c>
      <c r="K6331" s="145" t="s">
        <v>20320</v>
      </c>
      <c r="L6331" s="30">
        <v>345695922</v>
      </c>
      <c r="M6331" s="80" t="s">
        <v>5558</v>
      </c>
      <c r="N6331" s="80" t="s">
        <v>5277</v>
      </c>
      <c r="O6331" s="80" t="s">
        <v>4503</v>
      </c>
      <c r="P6331" s="80" t="s">
        <v>20321</v>
      </c>
      <c r="Q6331" s="20">
        <v>15936</v>
      </c>
      <c r="R6331" s="80" t="s">
        <v>36</v>
      </c>
      <c r="S6331" s="95">
        <v>1968</v>
      </c>
      <c r="T6331" s="148">
        <v>45653</v>
      </c>
      <c r="U6331" s="95">
        <v>13968</v>
      </c>
      <c r="V6331" s="148">
        <v>45722</v>
      </c>
      <c r="W6331" s="85" t="s">
        <v>20322</v>
      </c>
      <c r="X6331" s="80"/>
      <c r="Y6331" s="22">
        <v>0</v>
      </c>
      <c r="Z6331" s="80" t="s">
        <v>50</v>
      </c>
      <c r="AA6331" s="82" t="s">
        <v>19480</v>
      </c>
      <c r="AB6331" s="86"/>
      <c r="AC6331" s="80" t="s">
        <v>53</v>
      </c>
      <c r="AD6331" s="80" t="s">
        <v>138</v>
      </c>
      <c r="AE6331" s="80" t="s">
        <v>19121</v>
      </c>
      <c r="AF6331" s="17">
        <v>45733</v>
      </c>
      <c r="AG6331" s="80"/>
      <c r="AH6331" s="80"/>
      <c r="AI6331" s="147"/>
      <c r="AJ6331" s="80">
        <f>COUNTIF(K6331:K7483,K6331)</f>
        <v>2</v>
      </c>
      <c r="AK6331" s="80"/>
      <c r="AL6331" s="35"/>
      <c r="AM6331" s="35"/>
      <c r="AN6331" s="35"/>
      <c r="AO6331" s="35"/>
      <c r="AP6331" s="35"/>
    </row>
    <row r="6332" spans="1:42" x14ac:dyDescent="0.2">
      <c r="A6332" s="38">
        <v>45720</v>
      </c>
      <c r="B6332" s="28" t="s">
        <v>37</v>
      </c>
      <c r="C6332" s="41" t="s">
        <v>118</v>
      </c>
      <c r="D6332" s="80" t="s">
        <v>36</v>
      </c>
      <c r="E6332" s="80" t="s">
        <v>56</v>
      </c>
      <c r="F6332" s="80" t="s">
        <v>19121</v>
      </c>
      <c r="G6332" s="80" t="s">
        <v>108</v>
      </c>
      <c r="H6332" s="80" t="s">
        <v>19174</v>
      </c>
      <c r="I6332" s="17">
        <f ca="1">IFERROR(__xludf.DUMMYFUNCTION("""COMPUTED_VALUE"""),45733)</f>
        <v>45733</v>
      </c>
      <c r="J6332" s="143" t="s">
        <v>19122</v>
      </c>
      <c r="K6332" s="145" t="s">
        <v>20323</v>
      </c>
      <c r="L6332" s="30">
        <v>393850981</v>
      </c>
      <c r="M6332" s="80" t="s">
        <v>45</v>
      </c>
      <c r="N6332" s="80" t="s">
        <v>87</v>
      </c>
      <c r="O6332" s="80" t="s">
        <v>19124</v>
      </c>
      <c r="P6332" s="80" t="s">
        <v>3694</v>
      </c>
      <c r="Q6332" s="20">
        <v>9317</v>
      </c>
      <c r="R6332" s="80" t="s">
        <v>36</v>
      </c>
      <c r="S6332" s="95">
        <f>1000+8317</f>
        <v>9317</v>
      </c>
      <c r="T6332" s="83" t="s">
        <v>19125</v>
      </c>
      <c r="U6332" s="77"/>
      <c r="V6332" s="78"/>
      <c r="W6332" s="85" t="s">
        <v>19126</v>
      </c>
      <c r="X6332" s="80"/>
      <c r="Y6332" s="22">
        <v>0</v>
      </c>
      <c r="Z6332" s="80" t="s">
        <v>50</v>
      </c>
      <c r="AA6332" s="35" t="s">
        <v>18579</v>
      </c>
      <c r="AB6332" s="86"/>
      <c r="AC6332" s="80" t="s">
        <v>53</v>
      </c>
      <c r="AD6332" s="80" t="s">
        <v>138</v>
      </c>
      <c r="AE6332" s="80" t="s">
        <v>19121</v>
      </c>
      <c r="AF6332" s="17">
        <v>45733</v>
      </c>
      <c r="AG6332" s="80"/>
      <c r="AH6332" s="80"/>
      <c r="AI6332" s="147"/>
      <c r="AJ6332" s="80"/>
      <c r="AK6332" s="80"/>
      <c r="AL6332" s="35"/>
      <c r="AM6332" s="35"/>
      <c r="AN6332" s="35"/>
      <c r="AO6332" s="35"/>
      <c r="AP6332" s="35"/>
    </row>
    <row r="6333" spans="1:42" x14ac:dyDescent="0.2">
      <c r="A6333" s="38">
        <v>45720</v>
      </c>
      <c r="B6333" s="28" t="s">
        <v>37</v>
      </c>
      <c r="C6333" s="41" t="s">
        <v>118</v>
      </c>
      <c r="D6333" s="80" t="s">
        <v>36</v>
      </c>
      <c r="E6333" s="80" t="s">
        <v>139</v>
      </c>
      <c r="F6333" s="80" t="s">
        <v>19121</v>
      </c>
      <c r="G6333" s="80" t="s">
        <v>108</v>
      </c>
      <c r="H6333" s="80" t="s">
        <v>19174</v>
      </c>
      <c r="I6333" s="17">
        <f ca="1">IFERROR(__xludf.DUMMYFUNCTION("""COMPUTED_VALUE"""),45733)</f>
        <v>45733</v>
      </c>
      <c r="J6333" s="143" t="s">
        <v>19333</v>
      </c>
      <c r="K6333" s="145" t="s">
        <v>20324</v>
      </c>
      <c r="L6333" s="30">
        <v>374591628</v>
      </c>
      <c r="M6333" s="80" t="s">
        <v>12720</v>
      </c>
      <c r="N6333" s="80" t="s">
        <v>46</v>
      </c>
      <c r="O6333" s="80" t="s">
        <v>19335</v>
      </c>
      <c r="P6333" s="80" t="s">
        <v>19336</v>
      </c>
      <c r="Q6333" s="20">
        <v>15936</v>
      </c>
      <c r="R6333" s="80" t="s">
        <v>36</v>
      </c>
      <c r="S6333" s="95">
        <v>15936</v>
      </c>
      <c r="T6333" s="148">
        <v>45656</v>
      </c>
      <c r="U6333" s="77"/>
      <c r="V6333" s="78"/>
      <c r="W6333" s="85" t="s">
        <v>19337</v>
      </c>
      <c r="X6333" s="80"/>
      <c r="Y6333" s="22">
        <v>0</v>
      </c>
      <c r="Z6333" s="80" t="s">
        <v>50</v>
      </c>
      <c r="AA6333" s="96" t="s">
        <v>18579</v>
      </c>
      <c r="AB6333" s="82"/>
      <c r="AC6333" s="80" t="s">
        <v>53</v>
      </c>
      <c r="AD6333" s="80" t="s">
        <v>138</v>
      </c>
      <c r="AE6333" s="80" t="s">
        <v>19121</v>
      </c>
      <c r="AF6333" s="17">
        <v>45733</v>
      </c>
      <c r="AG6333" s="80"/>
      <c r="AH6333" s="80"/>
      <c r="AI6333" s="147"/>
      <c r="AJ6333" s="80"/>
      <c r="AK6333" s="80"/>
      <c r="AL6333" s="35"/>
      <c r="AM6333" s="35"/>
      <c r="AN6333" s="35"/>
      <c r="AO6333" s="35"/>
      <c r="AP6333" s="35"/>
    </row>
    <row r="6334" spans="1:42" x14ac:dyDescent="0.2">
      <c r="A6334" s="38">
        <v>45720</v>
      </c>
      <c r="B6334" s="28" t="s">
        <v>37</v>
      </c>
      <c r="C6334" s="41" t="s">
        <v>118</v>
      </c>
      <c r="D6334" s="80" t="s">
        <v>36</v>
      </c>
      <c r="E6334" s="80" t="s">
        <v>139</v>
      </c>
      <c r="F6334" s="80" t="s">
        <v>19121</v>
      </c>
      <c r="G6334" s="80" t="s">
        <v>108</v>
      </c>
      <c r="H6334" s="80" t="s">
        <v>19174</v>
      </c>
      <c r="I6334" s="17">
        <f ca="1">IFERROR(__xludf.DUMMYFUNCTION("""COMPUTED_VALUE"""),45733)</f>
        <v>45733</v>
      </c>
      <c r="J6334" s="143" t="s">
        <v>19633</v>
      </c>
      <c r="K6334" s="145" t="s">
        <v>20325</v>
      </c>
      <c r="L6334" s="30">
        <v>975766064</v>
      </c>
      <c r="M6334" s="80" t="s">
        <v>5429</v>
      </c>
      <c r="N6334" s="80" t="s">
        <v>3065</v>
      </c>
      <c r="O6334" s="80" t="s">
        <v>61</v>
      </c>
      <c r="P6334" s="115" t="s">
        <v>19635</v>
      </c>
      <c r="Q6334" s="20">
        <v>15936</v>
      </c>
      <c r="R6334" s="80" t="s">
        <v>36</v>
      </c>
      <c r="S6334" s="95">
        <v>2000</v>
      </c>
      <c r="T6334" s="148">
        <v>45541</v>
      </c>
      <c r="U6334" s="95">
        <v>13936</v>
      </c>
      <c r="V6334" s="148">
        <v>45677</v>
      </c>
      <c r="W6334" s="85" t="s">
        <v>19636</v>
      </c>
      <c r="X6334" s="80"/>
      <c r="Y6334" s="22">
        <v>0</v>
      </c>
      <c r="Z6334" s="80" t="s">
        <v>50</v>
      </c>
      <c r="AA6334" s="86" t="s">
        <v>18583</v>
      </c>
      <c r="AB6334" s="86"/>
      <c r="AC6334" s="80" t="s">
        <v>53</v>
      </c>
      <c r="AD6334" s="80" t="s">
        <v>54</v>
      </c>
      <c r="AE6334" s="80" t="s">
        <v>19121</v>
      </c>
      <c r="AF6334" s="17">
        <v>45733</v>
      </c>
      <c r="AG6334" s="60"/>
      <c r="AH6334" s="80"/>
      <c r="AI6334" s="147"/>
      <c r="AJ6334" s="80">
        <f>COUNTIF(K6334:K6455,K6334)</f>
        <v>1</v>
      </c>
      <c r="AK6334" s="80"/>
      <c r="AL6334" s="35"/>
      <c r="AM6334" s="35"/>
      <c r="AN6334" s="35"/>
      <c r="AO6334" s="35"/>
      <c r="AP6334" s="35"/>
    </row>
    <row r="6335" spans="1:42" x14ac:dyDescent="0.2">
      <c r="A6335" s="38">
        <v>45720</v>
      </c>
      <c r="B6335" s="28" t="s">
        <v>37</v>
      </c>
      <c r="C6335" s="41" t="s">
        <v>118</v>
      </c>
      <c r="D6335" s="80" t="s">
        <v>36</v>
      </c>
      <c r="E6335" s="80" t="s">
        <v>56</v>
      </c>
      <c r="F6335" s="80" t="s">
        <v>19121</v>
      </c>
      <c r="G6335" s="80" t="s">
        <v>108</v>
      </c>
      <c r="H6335" s="80" t="s">
        <v>19174</v>
      </c>
      <c r="I6335" s="17">
        <f ca="1">IFERROR(__xludf.DUMMYFUNCTION("""COMPUTED_VALUE"""),45733)</f>
        <v>45733</v>
      </c>
      <c r="J6335" s="143" t="s">
        <v>19721</v>
      </c>
      <c r="K6335" s="145" t="s">
        <v>19722</v>
      </c>
      <c r="L6335" s="30">
        <v>962328151</v>
      </c>
      <c r="M6335" s="80" t="s">
        <v>17759</v>
      </c>
      <c r="N6335" s="80" t="s">
        <v>2756</v>
      </c>
      <c r="O6335" s="80" t="s">
        <v>8140</v>
      </c>
      <c r="P6335" s="80" t="s">
        <v>19723</v>
      </c>
      <c r="Q6335" s="20">
        <v>9317</v>
      </c>
      <c r="R6335" s="80" t="s">
        <v>70</v>
      </c>
      <c r="S6335" s="95">
        <v>2000</v>
      </c>
      <c r="T6335" s="148">
        <v>45653</v>
      </c>
      <c r="U6335" s="95">
        <v>7317</v>
      </c>
      <c r="V6335" s="148">
        <v>45675</v>
      </c>
      <c r="W6335" s="85" t="s">
        <v>19724</v>
      </c>
      <c r="X6335" s="80"/>
      <c r="Y6335" s="22">
        <v>0</v>
      </c>
      <c r="Z6335" s="80" t="s">
        <v>50</v>
      </c>
      <c r="AA6335" s="82" t="s">
        <v>18583</v>
      </c>
      <c r="AB6335" s="82"/>
      <c r="AC6335" s="80" t="s">
        <v>53</v>
      </c>
      <c r="AD6335" s="80" t="s">
        <v>138</v>
      </c>
      <c r="AE6335" s="80" t="s">
        <v>19121</v>
      </c>
      <c r="AF6335" s="17">
        <v>45733</v>
      </c>
      <c r="AG6335" s="80"/>
      <c r="AH6335" s="80"/>
      <c r="AI6335" s="147"/>
      <c r="AJ6335" s="80">
        <f t="shared" ref="AJ6335:AJ6337" si="182">COUNTIF(K6335:K7539,K6335)</f>
        <v>1</v>
      </c>
      <c r="AK6335" s="80"/>
      <c r="AL6335" s="35"/>
      <c r="AM6335" s="35"/>
      <c r="AN6335" s="35"/>
      <c r="AO6335" s="35"/>
      <c r="AP6335" s="35"/>
    </row>
    <row r="6336" spans="1:42" x14ac:dyDescent="0.2">
      <c r="A6336" s="38">
        <v>45720</v>
      </c>
      <c r="B6336" s="28" t="s">
        <v>37</v>
      </c>
      <c r="C6336" s="41" t="s">
        <v>118</v>
      </c>
      <c r="D6336" s="80" t="s">
        <v>36</v>
      </c>
      <c r="E6336" s="80" t="s">
        <v>56</v>
      </c>
      <c r="F6336" s="80" t="s">
        <v>19121</v>
      </c>
      <c r="G6336" s="80" t="s">
        <v>108</v>
      </c>
      <c r="H6336" s="80" t="s">
        <v>19174</v>
      </c>
      <c r="I6336" s="17">
        <f ca="1">IFERROR(__xludf.DUMMYFUNCTION("""COMPUTED_VALUE"""),45733)</f>
        <v>45733</v>
      </c>
      <c r="J6336" s="143" t="s">
        <v>19725</v>
      </c>
      <c r="K6336" s="145" t="s">
        <v>10070</v>
      </c>
      <c r="L6336" s="30">
        <v>345313021</v>
      </c>
      <c r="M6336" s="80" t="s">
        <v>17759</v>
      </c>
      <c r="N6336" s="80" t="s">
        <v>2756</v>
      </c>
      <c r="O6336" s="80" t="s">
        <v>11488</v>
      </c>
      <c r="P6336" s="80" t="s">
        <v>19726</v>
      </c>
      <c r="Q6336" s="20">
        <v>9317</v>
      </c>
      <c r="R6336" s="80" t="s">
        <v>70</v>
      </c>
      <c r="S6336" s="95">
        <v>2000</v>
      </c>
      <c r="T6336" s="148">
        <v>45653</v>
      </c>
      <c r="U6336" s="95">
        <v>7317</v>
      </c>
      <c r="V6336" s="148">
        <v>45674</v>
      </c>
      <c r="W6336" s="85" t="s">
        <v>19727</v>
      </c>
      <c r="X6336" s="80"/>
      <c r="Y6336" s="22">
        <v>0</v>
      </c>
      <c r="Z6336" s="80" t="s">
        <v>50</v>
      </c>
      <c r="AA6336" s="86" t="s">
        <v>18583</v>
      </c>
      <c r="AB6336" s="86"/>
      <c r="AC6336" s="80" t="s">
        <v>53</v>
      </c>
      <c r="AD6336" s="80" t="s">
        <v>138</v>
      </c>
      <c r="AE6336" s="80" t="s">
        <v>19121</v>
      </c>
      <c r="AF6336" s="17">
        <v>45733</v>
      </c>
      <c r="AG6336" s="80"/>
      <c r="AH6336" s="80"/>
      <c r="AI6336" s="147"/>
      <c r="AJ6336" s="80">
        <f t="shared" si="182"/>
        <v>1</v>
      </c>
      <c r="AK6336" s="80"/>
      <c r="AL6336" s="35"/>
      <c r="AM6336" s="35"/>
      <c r="AN6336" s="35"/>
      <c r="AO6336" s="35"/>
      <c r="AP6336" s="35"/>
    </row>
    <row r="6337" spans="1:42" x14ac:dyDescent="0.2">
      <c r="A6337" s="38">
        <v>45720</v>
      </c>
      <c r="B6337" s="28" t="s">
        <v>37</v>
      </c>
      <c r="C6337" s="41" t="s">
        <v>118</v>
      </c>
      <c r="D6337" s="80" t="s">
        <v>36</v>
      </c>
      <c r="E6337" s="80" t="s">
        <v>56</v>
      </c>
      <c r="F6337" s="80" t="s">
        <v>19121</v>
      </c>
      <c r="G6337" s="80" t="s">
        <v>108</v>
      </c>
      <c r="H6337" s="80" t="s">
        <v>5946</v>
      </c>
      <c r="I6337" s="17">
        <f ca="1">IFERROR(__xludf.DUMMYFUNCTION("""COMPUTED_VALUE"""),45742)</f>
        <v>45742</v>
      </c>
      <c r="J6337" s="143" t="s">
        <v>19754</v>
      </c>
      <c r="K6337" s="145" t="s">
        <v>20326</v>
      </c>
      <c r="L6337" s="30">
        <v>375215503</v>
      </c>
      <c r="M6337" s="80" t="s">
        <v>17759</v>
      </c>
      <c r="N6337" s="80" t="s">
        <v>2756</v>
      </c>
      <c r="O6337" s="80" t="s">
        <v>4503</v>
      </c>
      <c r="P6337" s="80" t="s">
        <v>19756</v>
      </c>
      <c r="Q6337" s="20">
        <v>9317</v>
      </c>
      <c r="R6337" s="80" t="s">
        <v>36</v>
      </c>
      <c r="S6337" s="95">
        <v>9317</v>
      </c>
      <c r="T6337" s="148">
        <v>45661</v>
      </c>
      <c r="U6337" s="77"/>
      <c r="V6337" s="78"/>
      <c r="W6337" s="85" t="s">
        <v>19757</v>
      </c>
      <c r="X6337" s="80"/>
      <c r="Y6337" s="22">
        <v>0</v>
      </c>
      <c r="Z6337" s="80" t="s">
        <v>50</v>
      </c>
      <c r="AA6337" s="82" t="s">
        <v>18583</v>
      </c>
      <c r="AB6337" s="82"/>
      <c r="AC6337" s="80" t="s">
        <v>53</v>
      </c>
      <c r="AD6337" s="80" t="s">
        <v>138</v>
      </c>
      <c r="AE6337" s="80" t="s">
        <v>19121</v>
      </c>
      <c r="AF6337" s="17">
        <v>45742</v>
      </c>
      <c r="AG6337" s="80"/>
      <c r="AH6337" s="80"/>
      <c r="AI6337" s="147"/>
      <c r="AJ6337" s="80">
        <f t="shared" si="182"/>
        <v>1</v>
      </c>
      <c r="AK6337" s="80"/>
      <c r="AL6337" s="35"/>
      <c r="AM6337" s="35"/>
      <c r="AN6337" s="35"/>
      <c r="AO6337" s="35"/>
      <c r="AP6337" s="35"/>
    </row>
    <row r="6338" spans="1:42" x14ac:dyDescent="0.2">
      <c r="A6338" s="38">
        <v>45720</v>
      </c>
      <c r="B6338" s="28" t="s">
        <v>37</v>
      </c>
      <c r="C6338" s="41" t="s">
        <v>118</v>
      </c>
      <c r="D6338" s="80" t="s">
        <v>36</v>
      </c>
      <c r="E6338" s="80" t="s">
        <v>119</v>
      </c>
      <c r="F6338" s="80" t="s">
        <v>13913</v>
      </c>
      <c r="G6338" s="80" t="s">
        <v>221</v>
      </c>
      <c r="H6338" s="80" t="s">
        <v>20208</v>
      </c>
      <c r="I6338" s="17">
        <f ca="1">IFERROR(__xludf.DUMMYFUNCTION("""COMPUTED_VALUE"""),45736)</f>
        <v>45736</v>
      </c>
      <c r="J6338" s="143" t="s">
        <v>17785</v>
      </c>
      <c r="K6338" s="80" t="s">
        <v>20327</v>
      </c>
      <c r="L6338" s="30">
        <v>389487805</v>
      </c>
      <c r="M6338" s="80" t="s">
        <v>348</v>
      </c>
      <c r="N6338" s="80" t="s">
        <v>200</v>
      </c>
      <c r="O6338" s="80" t="s">
        <v>91</v>
      </c>
      <c r="P6338" s="80" t="s">
        <v>3117</v>
      </c>
      <c r="Q6338" s="20">
        <v>13968</v>
      </c>
      <c r="R6338" s="80" t="s">
        <v>36</v>
      </c>
      <c r="S6338" s="95">
        <v>2000</v>
      </c>
      <c r="T6338" s="148">
        <v>45598</v>
      </c>
      <c r="U6338" s="95">
        <v>11968</v>
      </c>
      <c r="V6338" s="148">
        <v>45618</v>
      </c>
      <c r="W6338" s="85" t="s">
        <v>17787</v>
      </c>
      <c r="X6338" s="80"/>
      <c r="Y6338" s="22">
        <v>0</v>
      </c>
      <c r="Z6338" s="80" t="s">
        <v>50</v>
      </c>
      <c r="AA6338" s="86" t="s">
        <v>14723</v>
      </c>
      <c r="AB6338" s="80"/>
      <c r="AC6338" s="80" t="s">
        <v>53</v>
      </c>
      <c r="AD6338" s="80" t="s">
        <v>138</v>
      </c>
      <c r="AE6338" s="80" t="s">
        <v>13913</v>
      </c>
      <c r="AF6338" s="17">
        <v>45736</v>
      </c>
      <c r="AG6338" s="80"/>
      <c r="AH6338" s="80"/>
      <c r="AI6338" s="147"/>
      <c r="AJ6338" s="80"/>
      <c r="AK6338" s="80"/>
      <c r="AL6338" s="35"/>
      <c r="AM6338" s="35"/>
      <c r="AN6338" s="35"/>
      <c r="AO6338" s="35"/>
      <c r="AP6338" s="35"/>
    </row>
    <row r="6339" spans="1:42" x14ac:dyDescent="0.2">
      <c r="A6339" s="38">
        <v>45720</v>
      </c>
      <c r="B6339" s="28" t="s">
        <v>37</v>
      </c>
      <c r="C6339" s="41" t="s">
        <v>118</v>
      </c>
      <c r="D6339" s="80" t="s">
        <v>36</v>
      </c>
      <c r="E6339" s="80" t="s">
        <v>139</v>
      </c>
      <c r="F6339" s="80" t="s">
        <v>8088</v>
      </c>
      <c r="G6339" s="80" t="s">
        <v>221</v>
      </c>
      <c r="H6339" s="80" t="s">
        <v>20219</v>
      </c>
      <c r="I6339" s="17">
        <f ca="1">IFERROR(__xludf.DUMMYFUNCTION("""COMPUTED_VALUE"""),45737)</f>
        <v>45737</v>
      </c>
      <c r="J6339" s="143" t="s">
        <v>14195</v>
      </c>
      <c r="K6339" s="80" t="s">
        <v>14196</v>
      </c>
      <c r="L6339" s="30">
        <v>946892813</v>
      </c>
      <c r="M6339" s="80" t="s">
        <v>2755</v>
      </c>
      <c r="N6339" s="80" t="s">
        <v>2756</v>
      </c>
      <c r="O6339" s="80" t="s">
        <v>4503</v>
      </c>
      <c r="P6339" s="80" t="s">
        <v>14197</v>
      </c>
      <c r="Q6339" s="20">
        <v>15936</v>
      </c>
      <c r="R6339" s="80" t="s">
        <v>36</v>
      </c>
      <c r="S6339" s="95">
        <v>4200</v>
      </c>
      <c r="T6339" s="148">
        <v>45547</v>
      </c>
      <c r="U6339" s="178">
        <v>11736</v>
      </c>
      <c r="V6339" s="169">
        <v>45573</v>
      </c>
      <c r="W6339" s="79" t="s">
        <v>14198</v>
      </c>
      <c r="X6339" s="80"/>
      <c r="Y6339" s="22">
        <v>0</v>
      </c>
      <c r="Z6339" s="80" t="s">
        <v>50</v>
      </c>
      <c r="AA6339" s="82"/>
      <c r="AB6339" s="80"/>
      <c r="AC6339" s="80" t="s">
        <v>53</v>
      </c>
      <c r="AD6339" s="80" t="s">
        <v>138</v>
      </c>
      <c r="AE6339" s="80" t="s">
        <v>8088</v>
      </c>
      <c r="AF6339" s="17">
        <v>45737</v>
      </c>
      <c r="AG6339" s="80"/>
      <c r="AH6339" s="80"/>
      <c r="AI6339" s="147"/>
      <c r="AJ6339" s="80"/>
      <c r="AK6339" s="80"/>
      <c r="AL6339" s="35"/>
      <c r="AM6339" s="35"/>
      <c r="AN6339" s="35"/>
      <c r="AO6339" s="35"/>
      <c r="AP6339" s="35"/>
    </row>
    <row r="6340" spans="1:42" x14ac:dyDescent="0.2">
      <c r="A6340" s="38">
        <v>45720</v>
      </c>
      <c r="B6340" s="137" t="s">
        <v>37</v>
      </c>
      <c r="C6340" s="41" t="s">
        <v>118</v>
      </c>
      <c r="D6340" s="80" t="s">
        <v>36</v>
      </c>
      <c r="E6340" s="80" t="s">
        <v>139</v>
      </c>
      <c r="F6340" s="80" t="s">
        <v>14342</v>
      </c>
      <c r="G6340" s="80" t="s">
        <v>221</v>
      </c>
      <c r="H6340" s="80" t="s">
        <v>20328</v>
      </c>
      <c r="I6340" s="17">
        <f ca="1">IFERROR(__xludf.DUMMYFUNCTION("""COMPUTED_VALUE"""),45845)</f>
        <v>45845</v>
      </c>
      <c r="J6340" s="143" t="s">
        <v>15489</v>
      </c>
      <c r="K6340" s="80" t="s">
        <v>20329</v>
      </c>
      <c r="L6340" s="30">
        <v>398942150</v>
      </c>
      <c r="M6340" s="80" t="s">
        <v>5429</v>
      </c>
      <c r="N6340" s="80" t="s">
        <v>1384</v>
      </c>
      <c r="O6340" s="80" t="s">
        <v>61</v>
      </c>
      <c r="P6340" s="80" t="s">
        <v>15491</v>
      </c>
      <c r="Q6340" s="20">
        <v>15936</v>
      </c>
      <c r="R6340" s="80" t="s">
        <v>36</v>
      </c>
      <c r="S6340" s="95">
        <v>2000</v>
      </c>
      <c r="T6340" s="148">
        <v>45557</v>
      </c>
      <c r="U6340" s="95">
        <v>13936</v>
      </c>
      <c r="V6340" s="148">
        <v>45578</v>
      </c>
      <c r="W6340" s="85" t="s">
        <v>15492</v>
      </c>
      <c r="X6340" s="80"/>
      <c r="Y6340" s="22">
        <v>0</v>
      </c>
      <c r="Z6340" s="80" t="s">
        <v>50</v>
      </c>
      <c r="AA6340" s="35" t="s">
        <v>9905</v>
      </c>
      <c r="AB6340" s="80"/>
      <c r="AC6340" s="80" t="s">
        <v>53</v>
      </c>
      <c r="AD6340" s="80" t="s">
        <v>54</v>
      </c>
      <c r="AE6340" s="80" t="s">
        <v>14342</v>
      </c>
      <c r="AF6340" s="17">
        <v>45750</v>
      </c>
      <c r="AG6340" s="80" t="s">
        <v>8366</v>
      </c>
      <c r="AH6340" s="80"/>
      <c r="AI6340" s="147"/>
      <c r="AJ6340" s="80"/>
      <c r="AK6340" s="80"/>
      <c r="AL6340" s="35"/>
      <c r="AM6340" s="35"/>
      <c r="AN6340" s="35"/>
      <c r="AO6340" s="35"/>
      <c r="AP6340" s="35"/>
    </row>
    <row r="6341" spans="1:42" x14ac:dyDescent="0.2">
      <c r="A6341" s="38">
        <v>45720</v>
      </c>
      <c r="B6341" s="137" t="s">
        <v>37</v>
      </c>
      <c r="C6341" s="41" t="s">
        <v>118</v>
      </c>
      <c r="D6341" s="80" t="s">
        <v>77</v>
      </c>
      <c r="E6341" s="80" t="s">
        <v>148</v>
      </c>
      <c r="F6341" s="80" t="s">
        <v>14342</v>
      </c>
      <c r="G6341" s="80" t="s">
        <v>221</v>
      </c>
      <c r="H6341" s="80" t="s">
        <v>8400</v>
      </c>
      <c r="I6341" s="17">
        <f ca="1">IFERROR(__xludf.DUMMYFUNCTION("""COMPUTED_VALUE"""),45750)</f>
        <v>45750</v>
      </c>
      <c r="J6341" s="143" t="s">
        <v>12841</v>
      </c>
      <c r="K6341" s="80" t="s">
        <v>12842</v>
      </c>
      <c r="L6341" s="30">
        <v>357189602</v>
      </c>
      <c r="M6341" s="80" t="s">
        <v>5518</v>
      </c>
      <c r="N6341" s="80" t="s">
        <v>12380</v>
      </c>
      <c r="O6341" s="80" t="s">
        <v>12843</v>
      </c>
      <c r="P6341" s="80" t="s">
        <v>3694</v>
      </c>
      <c r="Q6341" s="20">
        <v>7349</v>
      </c>
      <c r="R6341" s="80" t="s">
        <v>36</v>
      </c>
      <c r="S6341" s="95">
        <v>3768</v>
      </c>
      <c r="T6341" s="148">
        <v>45608</v>
      </c>
      <c r="U6341" s="95">
        <v>3581</v>
      </c>
      <c r="V6341" s="148">
        <v>45626</v>
      </c>
      <c r="W6341" s="85" t="s">
        <v>18021</v>
      </c>
      <c r="X6341" s="80"/>
      <c r="Y6341" s="22">
        <v>0</v>
      </c>
      <c r="Z6341" s="80" t="s">
        <v>50</v>
      </c>
      <c r="AA6341" s="86" t="s">
        <v>14723</v>
      </c>
      <c r="AB6341" s="80"/>
      <c r="AC6341" s="80" t="s">
        <v>53</v>
      </c>
      <c r="AD6341" s="80" t="s">
        <v>138</v>
      </c>
      <c r="AE6341" s="80" t="s">
        <v>14342</v>
      </c>
      <c r="AF6341" s="17">
        <v>45750</v>
      </c>
      <c r="AG6341" s="80"/>
      <c r="AH6341" s="80"/>
      <c r="AI6341" s="147"/>
      <c r="AJ6341" s="80"/>
      <c r="AK6341" s="80"/>
      <c r="AL6341" s="35"/>
      <c r="AM6341" s="35"/>
      <c r="AN6341" s="35"/>
      <c r="AO6341" s="35"/>
      <c r="AP6341" s="35"/>
    </row>
    <row r="6342" spans="1:42" x14ac:dyDescent="0.2">
      <c r="A6342" s="38">
        <v>45720</v>
      </c>
      <c r="B6342" s="28" t="s">
        <v>37</v>
      </c>
      <c r="C6342" s="41" t="s">
        <v>118</v>
      </c>
      <c r="D6342" s="80" t="s">
        <v>36</v>
      </c>
      <c r="E6342" s="80" t="s">
        <v>119</v>
      </c>
      <c r="F6342" s="80" t="s">
        <v>1242</v>
      </c>
      <c r="G6342" s="80" t="s">
        <v>221</v>
      </c>
      <c r="H6342" s="80" t="s">
        <v>20330</v>
      </c>
      <c r="I6342" s="17">
        <f ca="1">IFERROR(__xludf.DUMMYFUNCTION("""COMPUTED_VALUE"""),45728)</f>
        <v>45728</v>
      </c>
      <c r="J6342" s="143" t="s">
        <v>11242</v>
      </c>
      <c r="K6342" s="80" t="s">
        <v>11243</v>
      </c>
      <c r="L6342" s="30">
        <v>387608900</v>
      </c>
      <c r="M6342" s="80" t="s">
        <v>348</v>
      </c>
      <c r="N6342" s="80" t="s">
        <v>200</v>
      </c>
      <c r="O6342" s="80" t="s">
        <v>11244</v>
      </c>
      <c r="P6342" s="144" t="s">
        <v>20331</v>
      </c>
      <c r="Q6342" s="20">
        <v>13968</v>
      </c>
      <c r="R6342" s="80" t="s">
        <v>36</v>
      </c>
      <c r="S6342" s="95">
        <v>3768</v>
      </c>
      <c r="T6342" s="148">
        <v>45509</v>
      </c>
      <c r="U6342" s="95">
        <v>10200</v>
      </c>
      <c r="V6342" s="148">
        <v>45510</v>
      </c>
      <c r="W6342" s="85" t="s">
        <v>11246</v>
      </c>
      <c r="X6342" s="80">
        <v>0</v>
      </c>
      <c r="Y6342" s="22">
        <v>0</v>
      </c>
      <c r="Z6342" s="80" t="s">
        <v>50</v>
      </c>
      <c r="AA6342" s="35" t="s">
        <v>10314</v>
      </c>
      <c r="AB6342" s="80"/>
      <c r="AC6342" s="80" t="s">
        <v>53</v>
      </c>
      <c r="AD6342" s="80" t="s">
        <v>54</v>
      </c>
      <c r="AE6342" s="80" t="s">
        <v>1242</v>
      </c>
      <c r="AF6342" s="17">
        <v>45727</v>
      </c>
      <c r="AG6342" s="80"/>
      <c r="AH6342" s="80"/>
      <c r="AI6342" s="147"/>
      <c r="AJ6342" s="80"/>
      <c r="AK6342" s="80"/>
      <c r="AL6342" s="35"/>
      <c r="AM6342" s="35"/>
      <c r="AN6342" s="35"/>
      <c r="AO6342" s="35"/>
      <c r="AP6342" s="35"/>
    </row>
    <row r="6343" spans="1:42" x14ac:dyDescent="0.2">
      <c r="A6343" s="38">
        <v>45720</v>
      </c>
      <c r="B6343" s="137" t="s">
        <v>37</v>
      </c>
      <c r="C6343" s="41" t="s">
        <v>118</v>
      </c>
      <c r="D6343" s="80" t="s">
        <v>36</v>
      </c>
      <c r="E6343" s="80" t="s">
        <v>119</v>
      </c>
      <c r="F6343" s="80" t="s">
        <v>13913</v>
      </c>
      <c r="G6343" s="80" t="s">
        <v>221</v>
      </c>
      <c r="H6343" s="80" t="s">
        <v>20332</v>
      </c>
      <c r="I6343" s="17">
        <f ca="1">IFERROR(__xludf.DUMMYFUNCTION("""COMPUTED_VALUE"""),45834)</f>
        <v>45834</v>
      </c>
      <c r="J6343" s="143" t="s">
        <v>17601</v>
      </c>
      <c r="K6343" s="80" t="s">
        <v>20333</v>
      </c>
      <c r="L6343" s="30">
        <v>377330258</v>
      </c>
      <c r="M6343" s="80" t="s">
        <v>3728</v>
      </c>
      <c r="N6343" s="80" t="s">
        <v>5277</v>
      </c>
      <c r="O6343" s="80" t="s">
        <v>17603</v>
      </c>
      <c r="P6343" s="80" t="s">
        <v>17604</v>
      </c>
      <c r="Q6343" s="20">
        <v>13968</v>
      </c>
      <c r="R6343" s="80" t="s">
        <v>36</v>
      </c>
      <c r="S6343" s="95">
        <v>4000</v>
      </c>
      <c r="T6343" s="148">
        <v>45586</v>
      </c>
      <c r="U6343" s="95">
        <v>9968</v>
      </c>
      <c r="V6343" s="148">
        <v>45623</v>
      </c>
      <c r="W6343" s="85" t="s">
        <v>17605</v>
      </c>
      <c r="X6343" s="80"/>
      <c r="Y6343" s="22">
        <v>0</v>
      </c>
      <c r="Z6343" s="80" t="s">
        <v>50</v>
      </c>
      <c r="AA6343" s="86" t="s">
        <v>14723</v>
      </c>
      <c r="AB6343" s="80"/>
      <c r="AC6343" s="80" t="s">
        <v>53</v>
      </c>
      <c r="AD6343" s="80" t="s">
        <v>138</v>
      </c>
      <c r="AE6343" s="80" t="s">
        <v>13913</v>
      </c>
      <c r="AF6343" s="17">
        <v>45749</v>
      </c>
      <c r="AG6343" s="80"/>
      <c r="AH6343" s="80"/>
      <c r="AI6343" s="147"/>
      <c r="AJ6343" s="80"/>
      <c r="AK6343" s="80"/>
      <c r="AL6343" s="35"/>
      <c r="AM6343" s="35"/>
      <c r="AN6343" s="35"/>
      <c r="AO6343" s="35"/>
      <c r="AP6343" s="35"/>
    </row>
    <row r="6344" spans="1:42" x14ac:dyDescent="0.2">
      <c r="A6344" s="38">
        <v>45721</v>
      </c>
      <c r="B6344" s="28" t="s">
        <v>37</v>
      </c>
      <c r="C6344" s="41" t="s">
        <v>118</v>
      </c>
      <c r="D6344" s="26" t="s">
        <v>36</v>
      </c>
      <c r="E6344" s="26" t="s">
        <v>119</v>
      </c>
      <c r="F6344" s="80" t="s">
        <v>13755</v>
      </c>
      <c r="G6344" s="80" t="s">
        <v>1847</v>
      </c>
      <c r="H6344" s="80" t="s">
        <v>18547</v>
      </c>
      <c r="I6344" s="17">
        <f ca="1">IFERROR(__xludf.DUMMYFUNCTION("""COMPUTED_VALUE"""),45725)</f>
        <v>45725</v>
      </c>
      <c r="J6344" s="29" t="s">
        <v>10967</v>
      </c>
      <c r="K6344" s="26" t="s">
        <v>13756</v>
      </c>
      <c r="L6344" s="30">
        <v>345599262</v>
      </c>
      <c r="M6344" s="26" t="s">
        <v>80</v>
      </c>
      <c r="N6344" s="26" t="s">
        <v>466</v>
      </c>
      <c r="O6344" s="26" t="s">
        <v>10969</v>
      </c>
      <c r="P6344" s="42" t="s">
        <v>20334</v>
      </c>
      <c r="Q6344" s="20">
        <v>13968</v>
      </c>
      <c r="R6344" s="26" t="s">
        <v>36</v>
      </c>
      <c r="S6344" s="95">
        <v>3800</v>
      </c>
      <c r="T6344" s="148">
        <v>45495</v>
      </c>
      <c r="U6344" s="95">
        <v>10168</v>
      </c>
      <c r="V6344" s="148">
        <v>45513</v>
      </c>
      <c r="W6344" s="26" t="s">
        <v>10971</v>
      </c>
      <c r="X6344" s="26">
        <v>0</v>
      </c>
      <c r="Y6344" s="22">
        <v>0</v>
      </c>
      <c r="Z6344" s="26" t="s">
        <v>50</v>
      </c>
      <c r="AA6344" s="35" t="s">
        <v>10314</v>
      </c>
      <c r="AB6344" s="26"/>
      <c r="AC6344" s="26" t="s">
        <v>53</v>
      </c>
      <c r="AD6344" s="26" t="s">
        <v>54</v>
      </c>
      <c r="AE6344" s="80" t="s">
        <v>13755</v>
      </c>
      <c r="AF6344" s="17">
        <v>45722</v>
      </c>
      <c r="AG6344" s="26"/>
      <c r="AH6344" s="26"/>
      <c r="AI6344" s="40"/>
      <c r="AJ6344" s="26"/>
      <c r="AK6344" s="26"/>
      <c r="AL6344" s="35"/>
      <c r="AM6344" s="35"/>
      <c r="AN6344" s="35"/>
      <c r="AO6344" s="35"/>
      <c r="AP6344" s="35"/>
    </row>
    <row r="6345" spans="1:42" x14ac:dyDescent="0.2">
      <c r="A6345" s="38">
        <v>45721</v>
      </c>
      <c r="B6345" s="137" t="s">
        <v>37</v>
      </c>
      <c r="C6345" s="41" t="s">
        <v>118</v>
      </c>
      <c r="D6345" s="80" t="s">
        <v>36</v>
      </c>
      <c r="E6345" s="80" t="s">
        <v>139</v>
      </c>
      <c r="F6345" s="80" t="s">
        <v>14342</v>
      </c>
      <c r="G6345" s="80" t="s">
        <v>221</v>
      </c>
      <c r="H6345" s="80" t="s">
        <v>13760</v>
      </c>
      <c r="I6345" s="17">
        <f ca="1">IFERROR(__xludf.DUMMYFUNCTION("""COMPUTED_VALUE"""),45810)</f>
        <v>45810</v>
      </c>
      <c r="J6345" s="143" t="s">
        <v>14358</v>
      </c>
      <c r="K6345" s="80" t="s">
        <v>20335</v>
      </c>
      <c r="L6345" s="30">
        <v>924057055</v>
      </c>
      <c r="M6345" s="80" t="s">
        <v>5518</v>
      </c>
      <c r="N6345" s="80" t="s">
        <v>253</v>
      </c>
      <c r="O6345" s="80" t="s">
        <v>14360</v>
      </c>
      <c r="P6345" s="115" t="s">
        <v>20336</v>
      </c>
      <c r="Q6345" s="20">
        <v>15936</v>
      </c>
      <c r="R6345" s="80" t="s">
        <v>36</v>
      </c>
      <c r="S6345" s="95">
        <v>2000</v>
      </c>
      <c r="T6345" s="148">
        <v>45544</v>
      </c>
      <c r="U6345" s="95">
        <v>13936</v>
      </c>
      <c r="V6345" s="148">
        <v>45566</v>
      </c>
      <c r="W6345" s="85" t="s">
        <v>14361</v>
      </c>
      <c r="X6345" s="80"/>
      <c r="Y6345" s="22">
        <v>0</v>
      </c>
      <c r="Z6345" s="80" t="s">
        <v>50</v>
      </c>
      <c r="AA6345" s="82"/>
      <c r="AB6345" s="80"/>
      <c r="AC6345" s="80" t="s">
        <v>53</v>
      </c>
      <c r="AD6345" s="80" t="s">
        <v>138</v>
      </c>
      <c r="AE6345" s="80" t="s">
        <v>14342</v>
      </c>
      <c r="AF6345" s="17">
        <v>45728</v>
      </c>
      <c r="AG6345" s="80" t="s">
        <v>20337</v>
      </c>
      <c r="AH6345" s="80"/>
      <c r="AI6345" s="147"/>
      <c r="AJ6345" s="80"/>
      <c r="AK6345" s="80"/>
      <c r="AL6345" s="35"/>
      <c r="AM6345" s="35"/>
      <c r="AN6345" s="35"/>
      <c r="AO6345" s="35"/>
      <c r="AP6345" s="35"/>
    </row>
    <row r="6346" spans="1:42" x14ac:dyDescent="0.2">
      <c r="A6346" s="38">
        <v>45721</v>
      </c>
      <c r="B6346" s="137" t="s">
        <v>37</v>
      </c>
      <c r="C6346" s="41" t="s">
        <v>118</v>
      </c>
      <c r="D6346" s="80" t="s">
        <v>36</v>
      </c>
      <c r="E6346" s="80" t="s">
        <v>139</v>
      </c>
      <c r="F6346" s="80" t="s">
        <v>16183</v>
      </c>
      <c r="G6346" s="80" t="s">
        <v>108</v>
      </c>
      <c r="H6346" s="80" t="s">
        <v>20338</v>
      </c>
      <c r="I6346" s="17">
        <f ca="1">IFERROR(__xludf.DUMMYFUNCTION("""COMPUTED_VALUE"""),45848)</f>
        <v>45848</v>
      </c>
      <c r="J6346" s="143" t="s">
        <v>19706</v>
      </c>
      <c r="K6346" s="80" t="s">
        <v>20339</v>
      </c>
      <c r="L6346" s="30">
        <v>392417426</v>
      </c>
      <c r="M6346" s="80" t="s">
        <v>15970</v>
      </c>
      <c r="N6346" s="80" t="s">
        <v>2841</v>
      </c>
      <c r="O6346" s="80" t="s">
        <v>19708</v>
      </c>
      <c r="P6346" s="144" t="s">
        <v>19709</v>
      </c>
      <c r="Q6346" s="20">
        <v>15936</v>
      </c>
      <c r="R6346" s="80" t="s">
        <v>36</v>
      </c>
      <c r="S6346" s="95">
        <f>100+2900</f>
        <v>3000</v>
      </c>
      <c r="T6346" s="83" t="s">
        <v>19710</v>
      </c>
      <c r="U6346" s="95">
        <v>12936</v>
      </c>
      <c r="V6346" s="148">
        <v>45678</v>
      </c>
      <c r="W6346" s="85" t="s">
        <v>19711</v>
      </c>
      <c r="X6346" s="80"/>
      <c r="Y6346" s="22">
        <v>0</v>
      </c>
      <c r="Z6346" s="80" t="s">
        <v>50</v>
      </c>
      <c r="AA6346" s="86" t="s">
        <v>18583</v>
      </c>
      <c r="AB6346" s="86"/>
      <c r="AC6346" s="80" t="s">
        <v>53</v>
      </c>
      <c r="AD6346" s="80" t="s">
        <v>54</v>
      </c>
      <c r="AE6346" s="80" t="s">
        <v>16183</v>
      </c>
      <c r="AF6346" s="17">
        <v>45722</v>
      </c>
      <c r="AG6346" s="80"/>
      <c r="AH6346" s="80"/>
      <c r="AI6346" s="147"/>
      <c r="AJ6346" s="80"/>
      <c r="AK6346" s="80"/>
      <c r="AL6346" s="35"/>
      <c r="AM6346" s="35"/>
      <c r="AN6346" s="35"/>
      <c r="AO6346" s="35"/>
      <c r="AP6346" s="35"/>
    </row>
    <row r="6347" spans="1:42" x14ac:dyDescent="0.2">
      <c r="A6347" s="38">
        <v>45721</v>
      </c>
      <c r="B6347" s="137" t="s">
        <v>37</v>
      </c>
      <c r="C6347" s="41" t="s">
        <v>118</v>
      </c>
      <c r="D6347" s="80" t="s">
        <v>36</v>
      </c>
      <c r="E6347" s="80" t="s">
        <v>139</v>
      </c>
      <c r="F6347" s="80" t="s">
        <v>14342</v>
      </c>
      <c r="G6347" s="80" t="s">
        <v>221</v>
      </c>
      <c r="H6347" s="80" t="s">
        <v>18135</v>
      </c>
      <c r="I6347" s="17">
        <f ca="1">IFERROR(__xludf.DUMMYFUNCTION("""COMPUTED_VALUE"""),45729)</f>
        <v>45729</v>
      </c>
      <c r="J6347" s="143" t="s">
        <v>12958</v>
      </c>
      <c r="K6347" s="80" t="s">
        <v>20340</v>
      </c>
      <c r="L6347" s="30">
        <v>373805610</v>
      </c>
      <c r="M6347" s="80" t="s">
        <v>5518</v>
      </c>
      <c r="N6347" s="80" t="s">
        <v>5524</v>
      </c>
      <c r="O6347" s="80" t="s">
        <v>12960</v>
      </c>
      <c r="P6347" s="80" t="s">
        <v>5462</v>
      </c>
      <c r="Q6347" s="20">
        <v>15936</v>
      </c>
      <c r="R6347" s="80" t="s">
        <v>36</v>
      </c>
      <c r="S6347" s="95">
        <v>2000</v>
      </c>
      <c r="T6347" s="148">
        <v>45545</v>
      </c>
      <c r="U6347" s="95">
        <v>13936</v>
      </c>
      <c r="V6347" s="148">
        <v>45565</v>
      </c>
      <c r="W6347" s="85" t="s">
        <v>12961</v>
      </c>
      <c r="X6347" s="80">
        <v>0</v>
      </c>
      <c r="Y6347" s="22">
        <v>0</v>
      </c>
      <c r="Z6347" s="80" t="s">
        <v>50</v>
      </c>
      <c r="AA6347" s="96" t="s">
        <v>3291</v>
      </c>
      <c r="AB6347" s="80"/>
      <c r="AC6347" s="80" t="s">
        <v>53</v>
      </c>
      <c r="AD6347" s="80" t="s">
        <v>138</v>
      </c>
      <c r="AE6347" s="80" t="s">
        <v>14342</v>
      </c>
      <c r="AF6347" s="17">
        <v>45729</v>
      </c>
      <c r="AG6347" s="80"/>
      <c r="AH6347" s="80"/>
      <c r="AI6347" s="147" t="s">
        <v>147</v>
      </c>
      <c r="AJ6347" s="80"/>
      <c r="AK6347" s="80"/>
      <c r="AL6347" s="35"/>
      <c r="AM6347" s="35"/>
      <c r="AN6347" s="35"/>
      <c r="AO6347" s="35"/>
      <c r="AP6347" s="35"/>
    </row>
    <row r="6348" spans="1:42" x14ac:dyDescent="0.2">
      <c r="A6348" s="38">
        <v>45721</v>
      </c>
      <c r="B6348" s="28" t="s">
        <v>37</v>
      </c>
      <c r="C6348" s="41" t="s">
        <v>118</v>
      </c>
      <c r="D6348" s="80" t="s">
        <v>36</v>
      </c>
      <c r="E6348" s="80" t="s">
        <v>139</v>
      </c>
      <c r="F6348" s="80" t="s">
        <v>14429</v>
      </c>
      <c r="G6348" s="80" t="s">
        <v>221</v>
      </c>
      <c r="H6348" s="80" t="s">
        <v>18135</v>
      </c>
      <c r="I6348" s="17">
        <f ca="1">IFERROR(__xludf.DUMMYFUNCTION("""COMPUTED_VALUE"""),45729)</f>
        <v>45729</v>
      </c>
      <c r="J6348" s="143" t="s">
        <v>14753</v>
      </c>
      <c r="K6348" s="80" t="s">
        <v>14754</v>
      </c>
      <c r="L6348" s="30">
        <v>364407146</v>
      </c>
      <c r="M6348" s="80" t="s">
        <v>5429</v>
      </c>
      <c r="N6348" s="80" t="s">
        <v>756</v>
      </c>
      <c r="O6348" s="80" t="s">
        <v>4626</v>
      </c>
      <c r="P6348" s="80" t="s">
        <v>7107</v>
      </c>
      <c r="Q6348" s="20">
        <v>15936</v>
      </c>
      <c r="R6348" s="80" t="s">
        <v>70</v>
      </c>
      <c r="S6348" s="95">
        <v>2000</v>
      </c>
      <c r="T6348" s="83" t="s">
        <v>14755</v>
      </c>
      <c r="U6348" s="95">
        <v>13836</v>
      </c>
      <c r="V6348" s="148">
        <v>45575</v>
      </c>
      <c r="W6348" s="80" t="s">
        <v>14756</v>
      </c>
      <c r="X6348" s="80"/>
      <c r="Y6348" s="22">
        <v>100</v>
      </c>
      <c r="Z6348" s="80" t="s">
        <v>50</v>
      </c>
      <c r="AA6348" s="35" t="s">
        <v>9905</v>
      </c>
      <c r="AB6348" s="80"/>
      <c r="AC6348" s="80" t="s">
        <v>53</v>
      </c>
      <c r="AD6348" s="80" t="s">
        <v>138</v>
      </c>
      <c r="AE6348" s="80" t="s">
        <v>14429</v>
      </c>
      <c r="AF6348" s="17">
        <v>45729</v>
      </c>
      <c r="AG6348" s="80"/>
      <c r="AH6348" s="80"/>
      <c r="AI6348" s="147"/>
      <c r="AJ6348" s="80"/>
      <c r="AK6348" s="80"/>
      <c r="AL6348" s="35"/>
      <c r="AM6348" s="35"/>
      <c r="AN6348" s="35"/>
      <c r="AO6348" s="35"/>
      <c r="AP6348" s="35"/>
    </row>
    <row r="6349" spans="1:42" x14ac:dyDescent="0.2">
      <c r="A6349" s="38">
        <v>45721</v>
      </c>
      <c r="B6349" s="137" t="s">
        <v>37</v>
      </c>
      <c r="C6349" s="41" t="s">
        <v>118</v>
      </c>
      <c r="D6349" s="80" t="s">
        <v>36</v>
      </c>
      <c r="E6349" s="80" t="s">
        <v>139</v>
      </c>
      <c r="F6349" s="80" t="s">
        <v>14737</v>
      </c>
      <c r="G6349" s="80" t="s">
        <v>221</v>
      </c>
      <c r="H6349" s="80" t="s">
        <v>9944</v>
      </c>
      <c r="I6349" s="17">
        <f ca="1">IFERROR(__xludf.DUMMYFUNCTION("""COMPUTED_VALUE"""),45820)</f>
        <v>45820</v>
      </c>
      <c r="J6349" s="143" t="s">
        <v>13116</v>
      </c>
      <c r="K6349" s="80" t="s">
        <v>20341</v>
      </c>
      <c r="L6349" s="30">
        <v>975098265</v>
      </c>
      <c r="M6349" s="80" t="s">
        <v>5558</v>
      </c>
      <c r="N6349" s="80" t="s">
        <v>5277</v>
      </c>
      <c r="O6349" s="80" t="s">
        <v>4503</v>
      </c>
      <c r="P6349" s="144" t="s">
        <v>14746</v>
      </c>
      <c r="Q6349" s="20">
        <v>15936</v>
      </c>
      <c r="R6349" s="80" t="s">
        <v>36</v>
      </c>
      <c r="S6349" s="95">
        <f>200+1800</f>
        <v>2000</v>
      </c>
      <c r="T6349" s="83" t="s">
        <v>13119</v>
      </c>
      <c r="U6349" s="95">
        <v>13936</v>
      </c>
      <c r="V6349" s="148">
        <v>45565</v>
      </c>
      <c r="W6349" s="85" t="s">
        <v>13120</v>
      </c>
      <c r="X6349" s="80">
        <v>0</v>
      </c>
      <c r="Y6349" s="22">
        <v>0</v>
      </c>
      <c r="Z6349" s="80" t="s">
        <v>50</v>
      </c>
      <c r="AA6349" s="96" t="s">
        <v>3291</v>
      </c>
      <c r="AB6349" s="80"/>
      <c r="AC6349" s="80" t="s">
        <v>53</v>
      </c>
      <c r="AD6349" s="80" t="s">
        <v>54</v>
      </c>
      <c r="AE6349" s="80" t="s">
        <v>14737</v>
      </c>
      <c r="AF6349" s="17">
        <v>45727</v>
      </c>
      <c r="AG6349" s="80" t="s">
        <v>8366</v>
      </c>
      <c r="AH6349" s="80"/>
      <c r="AI6349" s="147" t="s">
        <v>147</v>
      </c>
      <c r="AJ6349" s="80"/>
      <c r="AK6349" s="80"/>
      <c r="AL6349" s="35"/>
      <c r="AM6349" s="35"/>
      <c r="AN6349" s="35"/>
      <c r="AO6349" s="35"/>
      <c r="AP6349" s="35"/>
    </row>
    <row r="6350" spans="1:42" x14ac:dyDescent="0.2">
      <c r="A6350" s="38">
        <v>45721</v>
      </c>
      <c r="B6350" s="137" t="s">
        <v>37</v>
      </c>
      <c r="C6350" s="41" t="s">
        <v>118</v>
      </c>
      <c r="D6350" s="80" t="s">
        <v>36</v>
      </c>
      <c r="E6350" s="80" t="s">
        <v>139</v>
      </c>
      <c r="F6350" s="80" t="s">
        <v>14737</v>
      </c>
      <c r="G6350" s="80" t="s">
        <v>221</v>
      </c>
      <c r="H6350" s="80" t="s">
        <v>20342</v>
      </c>
      <c r="I6350" s="17" t="str">
        <f ca="1">IFERROR(__xludf.DUMMYFUNCTION("""COMPUTED_VALUE""")," ")</f>
        <v xml:space="preserve"> </v>
      </c>
      <c r="J6350" s="143" t="s">
        <v>16640</v>
      </c>
      <c r="K6350" s="80" t="s">
        <v>16641</v>
      </c>
      <c r="L6350" s="30">
        <v>961880678</v>
      </c>
      <c r="M6350" s="80" t="s">
        <v>5558</v>
      </c>
      <c r="N6350" s="80" t="s">
        <v>5277</v>
      </c>
      <c r="O6350" s="80" t="s">
        <v>4503</v>
      </c>
      <c r="P6350" s="144" t="s">
        <v>16642</v>
      </c>
      <c r="Q6350" s="20">
        <v>15936</v>
      </c>
      <c r="R6350" s="80" t="s">
        <v>36</v>
      </c>
      <c r="S6350" s="95">
        <v>2000</v>
      </c>
      <c r="T6350" s="148">
        <v>45564</v>
      </c>
      <c r="U6350" s="95">
        <v>13936</v>
      </c>
      <c r="V6350" s="148">
        <v>45603</v>
      </c>
      <c r="W6350" s="85" t="s">
        <v>16643</v>
      </c>
      <c r="X6350" s="80"/>
      <c r="Y6350" s="22">
        <v>0</v>
      </c>
      <c r="Z6350" s="80"/>
      <c r="AA6350" s="86"/>
      <c r="AB6350" s="80"/>
      <c r="AC6350" s="80" t="s">
        <v>53</v>
      </c>
      <c r="AD6350" s="80" t="s">
        <v>54</v>
      </c>
      <c r="AE6350" s="80" t="s">
        <v>14737</v>
      </c>
      <c r="AF6350" s="17">
        <v>45727</v>
      </c>
      <c r="AG6350" s="80" t="s">
        <v>8366</v>
      </c>
      <c r="AH6350" s="80"/>
      <c r="AI6350" s="147"/>
      <c r="AJ6350" s="80"/>
      <c r="AK6350" s="80"/>
      <c r="AL6350" s="35"/>
      <c r="AM6350" s="35"/>
      <c r="AN6350" s="35"/>
      <c r="AO6350" s="35"/>
      <c r="AP6350" s="35"/>
    </row>
    <row r="6351" spans="1:42" x14ac:dyDescent="0.2">
      <c r="A6351" s="38">
        <v>45721</v>
      </c>
      <c r="B6351" s="28" t="s">
        <v>37</v>
      </c>
      <c r="C6351" s="41" t="s">
        <v>118</v>
      </c>
      <c r="D6351" s="80" t="s">
        <v>36</v>
      </c>
      <c r="E6351" s="80" t="s">
        <v>139</v>
      </c>
      <c r="F6351" s="80" t="s">
        <v>14200</v>
      </c>
      <c r="G6351" s="80" t="s">
        <v>221</v>
      </c>
      <c r="H6351" s="80" t="s">
        <v>20343</v>
      </c>
      <c r="I6351" s="17">
        <f ca="1">IFERROR(__xludf.DUMMYFUNCTION("""COMPUTED_VALUE"""),45852)</f>
        <v>45852</v>
      </c>
      <c r="J6351" s="143" t="s">
        <v>14277</v>
      </c>
      <c r="K6351" s="80" t="s">
        <v>20344</v>
      </c>
      <c r="L6351" s="30">
        <v>978951035</v>
      </c>
      <c r="M6351" s="80" t="s">
        <v>5518</v>
      </c>
      <c r="N6351" s="80" t="s">
        <v>12380</v>
      </c>
      <c r="O6351" s="80" t="s">
        <v>14279</v>
      </c>
      <c r="P6351" s="80" t="s">
        <v>5462</v>
      </c>
      <c r="Q6351" s="20">
        <v>15936</v>
      </c>
      <c r="R6351" s="80" t="s">
        <v>70</v>
      </c>
      <c r="S6351" s="95">
        <f>200+1800</f>
        <v>2000</v>
      </c>
      <c r="T6351" s="83" t="s">
        <v>14280</v>
      </c>
      <c r="U6351" s="95">
        <v>13836</v>
      </c>
      <c r="V6351" s="148">
        <v>45573</v>
      </c>
      <c r="W6351" s="85" t="s">
        <v>14281</v>
      </c>
      <c r="X6351" s="80"/>
      <c r="Y6351" s="22">
        <v>100</v>
      </c>
      <c r="Z6351" s="80" t="s">
        <v>50</v>
      </c>
      <c r="AA6351" s="82"/>
      <c r="AB6351" s="80"/>
      <c r="AC6351" s="80" t="s">
        <v>53</v>
      </c>
      <c r="AD6351" s="80" t="s">
        <v>138</v>
      </c>
      <c r="AE6351" s="80" t="s">
        <v>14200</v>
      </c>
      <c r="AF6351" s="17">
        <v>45729</v>
      </c>
      <c r="AG6351" s="80" t="s">
        <v>8366</v>
      </c>
      <c r="AH6351" s="80"/>
      <c r="AI6351" s="147"/>
      <c r="AJ6351" s="80"/>
      <c r="AK6351" s="80"/>
      <c r="AL6351" s="35"/>
      <c r="AM6351" s="35"/>
      <c r="AN6351" s="35"/>
      <c r="AO6351" s="35"/>
      <c r="AP6351" s="35"/>
    </row>
    <row r="6352" spans="1:42" x14ac:dyDescent="0.2">
      <c r="A6352" s="38">
        <v>45721</v>
      </c>
      <c r="B6352" s="137" t="s">
        <v>37</v>
      </c>
      <c r="C6352" s="41" t="s">
        <v>118</v>
      </c>
      <c r="D6352" s="80" t="s">
        <v>36</v>
      </c>
      <c r="E6352" s="80" t="s">
        <v>119</v>
      </c>
      <c r="F6352" s="80" t="s">
        <v>13913</v>
      </c>
      <c r="G6352" s="80" t="s">
        <v>221</v>
      </c>
      <c r="H6352" s="80" t="s">
        <v>20305</v>
      </c>
      <c r="I6352" s="17">
        <f ca="1">IFERROR(__xludf.DUMMYFUNCTION("""COMPUTED_VALUE"""),45749)</f>
        <v>45749</v>
      </c>
      <c r="J6352" s="143" t="s">
        <v>17762</v>
      </c>
      <c r="K6352" s="80" t="s">
        <v>20345</v>
      </c>
      <c r="L6352" s="30">
        <v>854002006</v>
      </c>
      <c r="M6352" s="80" t="s">
        <v>17759</v>
      </c>
      <c r="N6352" s="80" t="s">
        <v>2756</v>
      </c>
      <c r="O6352" s="80" t="s">
        <v>8140</v>
      </c>
      <c r="P6352" s="80" t="s">
        <v>17764</v>
      </c>
      <c r="Q6352" s="20">
        <v>13968</v>
      </c>
      <c r="R6352" s="80" t="s">
        <v>36</v>
      </c>
      <c r="S6352" s="95">
        <v>4000</v>
      </c>
      <c r="T6352" s="148">
        <v>45597</v>
      </c>
      <c r="U6352" s="95">
        <v>9968</v>
      </c>
      <c r="V6352" s="148">
        <v>45613</v>
      </c>
      <c r="W6352" s="85" t="s">
        <v>17765</v>
      </c>
      <c r="X6352" s="80"/>
      <c r="Y6352" s="22">
        <v>0</v>
      </c>
      <c r="Z6352" s="80" t="s">
        <v>50</v>
      </c>
      <c r="AA6352" s="86" t="s">
        <v>14723</v>
      </c>
      <c r="AB6352" s="80"/>
      <c r="AC6352" s="80" t="s">
        <v>53</v>
      </c>
      <c r="AD6352" s="80" t="s">
        <v>138</v>
      </c>
      <c r="AE6352" s="80" t="s">
        <v>13913</v>
      </c>
      <c r="AF6352" s="17">
        <v>45737</v>
      </c>
      <c r="AG6352" s="80"/>
      <c r="AH6352" s="80"/>
      <c r="AI6352" s="147"/>
      <c r="AJ6352" s="80"/>
      <c r="AK6352" s="80"/>
      <c r="AL6352" s="35"/>
      <c r="AM6352" s="35"/>
      <c r="AN6352" s="35"/>
      <c r="AO6352" s="35"/>
      <c r="AP6352" s="35"/>
    </row>
    <row r="6353" spans="1:42" x14ac:dyDescent="0.2">
      <c r="A6353" s="38">
        <v>45721</v>
      </c>
      <c r="B6353" s="137" t="s">
        <v>37</v>
      </c>
      <c r="C6353" s="41" t="s">
        <v>118</v>
      </c>
      <c r="D6353" s="80" t="s">
        <v>36</v>
      </c>
      <c r="E6353" s="80" t="s">
        <v>139</v>
      </c>
      <c r="F6353" s="80" t="s">
        <v>8088</v>
      </c>
      <c r="G6353" s="80" t="s">
        <v>221</v>
      </c>
      <c r="H6353" s="80" t="s">
        <v>20219</v>
      </c>
      <c r="I6353" s="17">
        <f ca="1">IFERROR(__xludf.DUMMYFUNCTION("""COMPUTED_VALUE"""),45737)</f>
        <v>45737</v>
      </c>
      <c r="J6353" s="172" t="s">
        <v>14285</v>
      </c>
      <c r="K6353" s="80" t="s">
        <v>14286</v>
      </c>
      <c r="L6353" s="30">
        <v>913164728</v>
      </c>
      <c r="M6353" s="80" t="s">
        <v>12529</v>
      </c>
      <c r="N6353" s="80" t="s">
        <v>9750</v>
      </c>
      <c r="O6353" s="80"/>
      <c r="P6353" s="80" t="s">
        <v>14287</v>
      </c>
      <c r="Q6353" s="20">
        <v>15936</v>
      </c>
      <c r="R6353" s="80" t="s">
        <v>36</v>
      </c>
      <c r="S6353" s="95">
        <f>200+1800</f>
        <v>2000</v>
      </c>
      <c r="T6353" s="83" t="s">
        <v>14288</v>
      </c>
      <c r="U6353" s="95">
        <v>13936</v>
      </c>
      <c r="V6353" s="148">
        <v>45595</v>
      </c>
      <c r="W6353" s="80" t="s">
        <v>14289</v>
      </c>
      <c r="X6353" s="80"/>
      <c r="Y6353" s="22">
        <v>0</v>
      </c>
      <c r="Z6353" s="80" t="s">
        <v>50</v>
      </c>
      <c r="AA6353" s="82"/>
      <c r="AB6353" s="80"/>
      <c r="AC6353" s="80" t="s">
        <v>53</v>
      </c>
      <c r="AD6353" s="80" t="s">
        <v>54</v>
      </c>
      <c r="AE6353" s="80" t="s">
        <v>8088</v>
      </c>
      <c r="AF6353" s="17">
        <v>45737</v>
      </c>
      <c r="AG6353" s="80"/>
      <c r="AH6353" s="80"/>
      <c r="AI6353" s="147"/>
      <c r="AJ6353" s="80"/>
      <c r="AK6353" s="80"/>
      <c r="AL6353" s="35"/>
      <c r="AM6353" s="35"/>
      <c r="AN6353" s="35"/>
      <c r="AO6353" s="35"/>
      <c r="AP6353" s="35"/>
    </row>
    <row r="6354" spans="1:42" x14ac:dyDescent="0.2">
      <c r="A6354" s="38">
        <v>45721</v>
      </c>
      <c r="B6354" s="137" t="s">
        <v>37</v>
      </c>
      <c r="C6354" s="41" t="s">
        <v>118</v>
      </c>
      <c r="D6354" s="80" t="s">
        <v>36</v>
      </c>
      <c r="E6354" s="80" t="s">
        <v>119</v>
      </c>
      <c r="F6354" s="80" t="s">
        <v>8088</v>
      </c>
      <c r="G6354" s="80" t="s">
        <v>221</v>
      </c>
      <c r="H6354" s="80" t="s">
        <v>20219</v>
      </c>
      <c r="I6354" s="17">
        <f ca="1">IFERROR(__xludf.DUMMYFUNCTION("""COMPUTED_VALUE"""),45737)</f>
        <v>45737</v>
      </c>
      <c r="J6354" s="143" t="s">
        <v>18717</v>
      </c>
      <c r="K6354" s="80" t="s">
        <v>18718</v>
      </c>
      <c r="L6354" s="30">
        <v>378786258</v>
      </c>
      <c r="M6354" s="80" t="s">
        <v>12529</v>
      </c>
      <c r="N6354" s="80" t="s">
        <v>13566</v>
      </c>
      <c r="O6354" s="80" t="s">
        <v>18719</v>
      </c>
      <c r="P6354" s="80" t="s">
        <v>12578</v>
      </c>
      <c r="Q6354" s="20">
        <v>13968</v>
      </c>
      <c r="R6354" s="80" t="s">
        <v>36</v>
      </c>
      <c r="S6354" s="95">
        <v>4000</v>
      </c>
      <c r="T6354" s="148">
        <v>45594</v>
      </c>
      <c r="U6354" s="77">
        <v>9968</v>
      </c>
      <c r="V6354" s="80" t="s">
        <v>18720</v>
      </c>
      <c r="W6354" s="80" t="s">
        <v>18721</v>
      </c>
      <c r="X6354" s="80"/>
      <c r="Y6354" s="22">
        <v>0</v>
      </c>
      <c r="Z6354" s="80" t="s">
        <v>50</v>
      </c>
      <c r="AA6354" s="35" t="s">
        <v>18579</v>
      </c>
      <c r="AB6354" s="82"/>
      <c r="AC6354" s="80" t="s">
        <v>53</v>
      </c>
      <c r="AD6354" s="80" t="s">
        <v>54</v>
      </c>
      <c r="AE6354" s="80" t="s">
        <v>8088</v>
      </c>
      <c r="AF6354" s="17">
        <v>45737</v>
      </c>
      <c r="AG6354" s="80"/>
      <c r="AH6354" s="80"/>
      <c r="AI6354" s="147"/>
      <c r="AJ6354" s="80"/>
      <c r="AK6354" s="80"/>
      <c r="AL6354" s="35"/>
      <c r="AM6354" s="35"/>
      <c r="AN6354" s="35"/>
      <c r="AO6354" s="35"/>
      <c r="AP6354" s="35"/>
    </row>
    <row r="6355" spans="1:42" x14ac:dyDescent="0.2">
      <c r="A6355" s="38">
        <v>45721</v>
      </c>
      <c r="B6355" s="137" t="s">
        <v>37</v>
      </c>
      <c r="C6355" s="41" t="s">
        <v>118</v>
      </c>
      <c r="D6355" s="80" t="s">
        <v>36</v>
      </c>
      <c r="E6355" s="80" t="s">
        <v>139</v>
      </c>
      <c r="F6355" s="80" t="s">
        <v>8088</v>
      </c>
      <c r="G6355" s="80" t="s">
        <v>221</v>
      </c>
      <c r="H6355" s="80" t="s">
        <v>20219</v>
      </c>
      <c r="I6355" s="17">
        <f ca="1">IFERROR(__xludf.DUMMYFUNCTION("""COMPUTED_VALUE"""),45737)</f>
        <v>45737</v>
      </c>
      <c r="J6355" s="143" t="s">
        <v>14295</v>
      </c>
      <c r="K6355" s="80" t="s">
        <v>20346</v>
      </c>
      <c r="L6355" s="30">
        <v>966828344</v>
      </c>
      <c r="M6355" s="80" t="s">
        <v>3498</v>
      </c>
      <c r="N6355" s="80" t="s">
        <v>2756</v>
      </c>
      <c r="O6355" s="80" t="s">
        <v>4503</v>
      </c>
      <c r="P6355" s="80" t="s">
        <v>7649</v>
      </c>
      <c r="Q6355" s="20">
        <v>15936</v>
      </c>
      <c r="R6355" s="80" t="s">
        <v>36</v>
      </c>
      <c r="S6355" s="95">
        <v>2000</v>
      </c>
      <c r="T6355" s="148">
        <v>45541</v>
      </c>
      <c r="U6355" s="95">
        <v>13936</v>
      </c>
      <c r="V6355" s="148">
        <v>45576</v>
      </c>
      <c r="W6355" s="79" t="s">
        <v>14297</v>
      </c>
      <c r="X6355" s="80"/>
      <c r="Y6355" s="22">
        <v>0</v>
      </c>
      <c r="Z6355" s="80" t="s">
        <v>50</v>
      </c>
      <c r="AA6355" s="82"/>
      <c r="AB6355" s="80"/>
      <c r="AC6355" s="80" t="s">
        <v>53</v>
      </c>
      <c r="AD6355" s="80" t="s">
        <v>138</v>
      </c>
      <c r="AE6355" s="80" t="s">
        <v>8088</v>
      </c>
      <c r="AF6355" s="17">
        <v>45737</v>
      </c>
      <c r="AG6355" s="80"/>
      <c r="AH6355" s="80"/>
      <c r="AI6355" s="147"/>
      <c r="AJ6355" s="80"/>
      <c r="AK6355" s="80"/>
      <c r="AL6355" s="35"/>
      <c r="AM6355" s="35"/>
      <c r="AN6355" s="35"/>
      <c r="AO6355" s="35"/>
      <c r="AP6355" s="35"/>
    </row>
    <row r="6356" spans="1:42" x14ac:dyDescent="0.2">
      <c r="A6356" s="38">
        <v>45721</v>
      </c>
      <c r="B6356" s="137" t="s">
        <v>37</v>
      </c>
      <c r="C6356" s="41" t="s">
        <v>118</v>
      </c>
      <c r="D6356" s="80" t="s">
        <v>36</v>
      </c>
      <c r="E6356" s="80" t="s">
        <v>119</v>
      </c>
      <c r="F6356" s="80" t="s">
        <v>8088</v>
      </c>
      <c r="G6356" s="80" t="s">
        <v>221</v>
      </c>
      <c r="H6356" s="80" t="s">
        <v>20219</v>
      </c>
      <c r="I6356" s="17">
        <f ca="1">IFERROR(__xludf.DUMMYFUNCTION("""COMPUTED_VALUE"""),45737)</f>
        <v>45737</v>
      </c>
      <c r="J6356" s="143" t="s">
        <v>17576</v>
      </c>
      <c r="K6356" s="80" t="s">
        <v>20347</v>
      </c>
      <c r="L6356" s="30">
        <v>826976566</v>
      </c>
      <c r="M6356" s="80" t="s">
        <v>348</v>
      </c>
      <c r="N6356" s="80" t="s">
        <v>68</v>
      </c>
      <c r="O6356" s="80" t="s">
        <v>17578</v>
      </c>
      <c r="P6356" s="80" t="s">
        <v>12687</v>
      </c>
      <c r="Q6356" s="20">
        <v>13968</v>
      </c>
      <c r="R6356" s="80" t="s">
        <v>36</v>
      </c>
      <c r="S6356" s="95">
        <v>4000</v>
      </c>
      <c r="T6356" s="148">
        <v>45585</v>
      </c>
      <c r="U6356" s="95">
        <v>9968</v>
      </c>
      <c r="V6356" s="148">
        <v>45655</v>
      </c>
      <c r="W6356" s="85" t="s">
        <v>17579</v>
      </c>
      <c r="X6356" s="80"/>
      <c r="Y6356" s="22">
        <v>0</v>
      </c>
      <c r="Z6356" s="80" t="s">
        <v>50</v>
      </c>
      <c r="AA6356" s="86" t="s">
        <v>14723</v>
      </c>
      <c r="AB6356" s="80"/>
      <c r="AC6356" s="80" t="s">
        <v>53</v>
      </c>
      <c r="AD6356" s="80" t="s">
        <v>138</v>
      </c>
      <c r="AE6356" s="80" t="s">
        <v>8088</v>
      </c>
      <c r="AF6356" s="17">
        <v>45737</v>
      </c>
      <c r="AG6356" s="80"/>
      <c r="AH6356" s="80"/>
      <c r="AI6356" s="147"/>
      <c r="AJ6356" s="80"/>
      <c r="AK6356" s="80"/>
      <c r="AL6356" s="35"/>
      <c r="AM6356" s="35"/>
      <c r="AN6356" s="35"/>
      <c r="AO6356" s="35"/>
      <c r="AP6356" s="35"/>
    </row>
    <row r="6357" spans="1:42" x14ac:dyDescent="0.2">
      <c r="A6357" s="38">
        <v>45721</v>
      </c>
      <c r="B6357" s="137" t="s">
        <v>37</v>
      </c>
      <c r="C6357" s="41" t="s">
        <v>118</v>
      </c>
      <c r="D6357" s="80" t="s">
        <v>36</v>
      </c>
      <c r="E6357" s="80" t="s">
        <v>139</v>
      </c>
      <c r="F6357" s="80" t="s">
        <v>14387</v>
      </c>
      <c r="G6357" s="80" t="s">
        <v>221</v>
      </c>
      <c r="H6357" s="80" t="s">
        <v>18208</v>
      </c>
      <c r="I6357" s="17">
        <f ca="1">IFERROR(__xludf.DUMMYFUNCTION("""COMPUTED_VALUE"""),45715)</f>
        <v>45715</v>
      </c>
      <c r="J6357" s="143" t="s">
        <v>13414</v>
      </c>
      <c r="K6357" s="80" t="s">
        <v>13415</v>
      </c>
      <c r="L6357" s="30">
        <v>328359969</v>
      </c>
      <c r="M6357" s="80" t="s">
        <v>123</v>
      </c>
      <c r="N6357" s="80" t="s">
        <v>327</v>
      </c>
      <c r="O6357" s="80" t="s">
        <v>4503</v>
      </c>
      <c r="P6357" s="80" t="s">
        <v>5794</v>
      </c>
      <c r="Q6357" s="20">
        <v>15936</v>
      </c>
      <c r="R6357" s="80" t="s">
        <v>36</v>
      </c>
      <c r="S6357" s="95">
        <f>400+15536</f>
        <v>15936</v>
      </c>
      <c r="T6357" s="83" t="s">
        <v>13416</v>
      </c>
      <c r="U6357" s="77"/>
      <c r="V6357" s="78"/>
      <c r="W6357" s="85" t="s">
        <v>13417</v>
      </c>
      <c r="X6357" s="80">
        <v>0</v>
      </c>
      <c r="Y6357" s="22">
        <v>0</v>
      </c>
      <c r="Z6357" s="80" t="s">
        <v>50</v>
      </c>
      <c r="AA6357" s="96" t="s">
        <v>3291</v>
      </c>
      <c r="AB6357" s="80"/>
      <c r="AC6357" s="80" t="s">
        <v>53</v>
      </c>
      <c r="AD6357" s="80" t="s">
        <v>138</v>
      </c>
      <c r="AE6357" s="80" t="s">
        <v>14387</v>
      </c>
      <c r="AF6357" s="17">
        <v>45728</v>
      </c>
      <c r="AG6357" s="80" t="s">
        <v>20348</v>
      </c>
      <c r="AH6357" s="80"/>
      <c r="AI6357" s="147" t="s">
        <v>147</v>
      </c>
      <c r="AJ6357" s="80"/>
      <c r="AK6357" s="80"/>
      <c r="AL6357" s="35"/>
      <c r="AM6357" s="35"/>
      <c r="AN6357" s="35"/>
      <c r="AO6357" s="35"/>
      <c r="AP6357" s="35"/>
    </row>
    <row r="6358" spans="1:42" x14ac:dyDescent="0.2">
      <c r="A6358" s="38">
        <v>45721</v>
      </c>
      <c r="B6358" s="28" t="s">
        <v>37</v>
      </c>
      <c r="C6358" s="41" t="s">
        <v>118</v>
      </c>
      <c r="D6358" s="80" t="s">
        <v>36</v>
      </c>
      <c r="E6358" s="80" t="s">
        <v>139</v>
      </c>
      <c r="F6358" s="80" t="s">
        <v>14298</v>
      </c>
      <c r="G6358" s="161" t="s">
        <v>221</v>
      </c>
      <c r="H6358" s="80" t="s">
        <v>16949</v>
      </c>
      <c r="I6358" s="17">
        <f ca="1">IFERROR(__xludf.DUMMYFUNCTION("""COMPUTED_VALUE"""),45758)</f>
        <v>45758</v>
      </c>
      <c r="J6358" s="143" t="s">
        <v>14299</v>
      </c>
      <c r="K6358" s="80" t="s">
        <v>14300</v>
      </c>
      <c r="L6358" s="30">
        <v>329652613</v>
      </c>
      <c r="M6358" s="80" t="s">
        <v>3728</v>
      </c>
      <c r="N6358" s="80" t="s">
        <v>5277</v>
      </c>
      <c r="O6358" s="80" t="s">
        <v>14301</v>
      </c>
      <c r="P6358" s="80" t="s">
        <v>20349</v>
      </c>
      <c r="Q6358" s="20">
        <v>15936</v>
      </c>
      <c r="R6358" s="80" t="s">
        <v>36</v>
      </c>
      <c r="S6358" s="95">
        <v>2000</v>
      </c>
      <c r="T6358" s="148">
        <v>45544</v>
      </c>
      <c r="U6358" s="95">
        <v>13936</v>
      </c>
      <c r="V6358" s="148">
        <v>45594</v>
      </c>
      <c r="W6358" s="85" t="s">
        <v>14303</v>
      </c>
      <c r="X6358" s="80"/>
      <c r="Y6358" s="22">
        <v>0</v>
      </c>
      <c r="Z6358" s="81" t="s">
        <v>50</v>
      </c>
      <c r="AA6358" s="86"/>
      <c r="AB6358" s="80"/>
      <c r="AC6358" s="80" t="s">
        <v>53</v>
      </c>
      <c r="AD6358" s="80" t="s">
        <v>54</v>
      </c>
      <c r="AE6358" s="80" t="s">
        <v>14298</v>
      </c>
      <c r="AF6358" s="17">
        <v>45755</v>
      </c>
      <c r="AG6358" s="80"/>
      <c r="AH6358" s="80"/>
      <c r="AI6358" s="147"/>
      <c r="AJ6358" s="80"/>
      <c r="AK6358" s="80"/>
      <c r="AL6358" s="86"/>
      <c r="AM6358" s="86"/>
      <c r="AN6358" s="86"/>
      <c r="AO6358" s="86"/>
      <c r="AP6358" s="86"/>
    </row>
    <row r="6359" spans="1:42" x14ac:dyDescent="0.2">
      <c r="A6359" s="38">
        <v>45721</v>
      </c>
      <c r="B6359" s="137" t="s">
        <v>37</v>
      </c>
      <c r="C6359" s="41" t="s">
        <v>118</v>
      </c>
      <c r="D6359" s="80" t="s">
        <v>36</v>
      </c>
      <c r="E6359" s="80" t="s">
        <v>139</v>
      </c>
      <c r="F6359" s="80" t="s">
        <v>14298</v>
      </c>
      <c r="G6359" s="161" t="s">
        <v>221</v>
      </c>
      <c r="H6359" s="80" t="s">
        <v>20144</v>
      </c>
      <c r="I6359" s="17">
        <f ca="1">IFERROR(__xludf.DUMMYFUNCTION("""COMPUTED_VALUE"""),45785)</f>
        <v>45785</v>
      </c>
      <c r="J6359" s="143" t="s">
        <v>14447</v>
      </c>
      <c r="K6359" s="80" t="s">
        <v>20350</v>
      </c>
      <c r="L6359" s="30">
        <v>859998815</v>
      </c>
      <c r="M6359" s="80" t="s">
        <v>2755</v>
      </c>
      <c r="N6359" s="80" t="s">
        <v>2756</v>
      </c>
      <c r="O6359" s="80" t="s">
        <v>4503</v>
      </c>
      <c r="P6359" s="144" t="s">
        <v>20351</v>
      </c>
      <c r="Q6359" s="20">
        <v>15936</v>
      </c>
      <c r="R6359" s="80" t="s">
        <v>70</v>
      </c>
      <c r="S6359" s="95">
        <v>3000</v>
      </c>
      <c r="T6359" s="148">
        <v>45574</v>
      </c>
      <c r="U6359" s="95">
        <v>12936</v>
      </c>
      <c r="V6359" s="148">
        <v>45590</v>
      </c>
      <c r="W6359" s="85" t="s">
        <v>14450</v>
      </c>
      <c r="X6359" s="80"/>
      <c r="Y6359" s="22">
        <v>0</v>
      </c>
      <c r="Z6359" s="81" t="s">
        <v>50</v>
      </c>
      <c r="AA6359" s="82"/>
      <c r="AB6359" s="80"/>
      <c r="AC6359" s="80" t="s">
        <v>53</v>
      </c>
      <c r="AD6359" s="80" t="s">
        <v>138</v>
      </c>
      <c r="AE6359" s="80" t="s">
        <v>14298</v>
      </c>
      <c r="AF6359" s="17">
        <v>45728</v>
      </c>
      <c r="AG6359" s="80"/>
      <c r="AH6359" s="80"/>
      <c r="AI6359" s="147"/>
      <c r="AJ6359" s="80"/>
      <c r="AK6359" s="80"/>
      <c r="AL6359" s="86"/>
      <c r="AM6359" s="86"/>
      <c r="AN6359" s="86"/>
      <c r="AO6359" s="86"/>
      <c r="AP6359" s="86"/>
    </row>
    <row r="6360" spans="1:42" x14ac:dyDescent="0.2">
      <c r="A6360" s="38">
        <v>45721</v>
      </c>
      <c r="B6360" s="137" t="s">
        <v>37</v>
      </c>
      <c r="C6360" s="41" t="s">
        <v>118</v>
      </c>
      <c r="D6360" s="80" t="s">
        <v>36</v>
      </c>
      <c r="E6360" s="80" t="s">
        <v>139</v>
      </c>
      <c r="F6360" s="86" t="s">
        <v>14298</v>
      </c>
      <c r="G6360" s="161" t="s">
        <v>221</v>
      </c>
      <c r="H6360" s="80" t="s">
        <v>19435</v>
      </c>
      <c r="I6360" s="17">
        <f ca="1">IFERROR(__xludf.DUMMYFUNCTION("""COMPUTED_VALUE"""),45733)</f>
        <v>45733</v>
      </c>
      <c r="J6360" s="143" t="s">
        <v>12580</v>
      </c>
      <c r="K6360" s="80" t="s">
        <v>12581</v>
      </c>
      <c r="L6360" s="30">
        <v>388455976</v>
      </c>
      <c r="M6360" s="80" t="s">
        <v>9422</v>
      </c>
      <c r="N6360" s="80" t="s">
        <v>2157</v>
      </c>
      <c r="O6360" s="80" t="s">
        <v>12582</v>
      </c>
      <c r="P6360" s="144" t="s">
        <v>14511</v>
      </c>
      <c r="Q6360" s="20">
        <v>15936</v>
      </c>
      <c r="R6360" s="80" t="s">
        <v>11421</v>
      </c>
      <c r="S6360" s="95">
        <v>2000</v>
      </c>
      <c r="T6360" s="148">
        <v>45533</v>
      </c>
      <c r="U6360" s="95">
        <v>13636</v>
      </c>
      <c r="V6360" s="148">
        <v>45560</v>
      </c>
      <c r="W6360" s="85" t="s">
        <v>12584</v>
      </c>
      <c r="X6360" s="83">
        <v>300</v>
      </c>
      <c r="Y6360" s="22">
        <v>0</v>
      </c>
      <c r="Z6360" s="81" t="s">
        <v>50</v>
      </c>
      <c r="AA6360" s="86" t="s">
        <v>3291</v>
      </c>
      <c r="AB6360" s="80"/>
      <c r="AC6360" s="80" t="s">
        <v>53</v>
      </c>
      <c r="AD6360" s="80" t="s">
        <v>54</v>
      </c>
      <c r="AE6360" s="86" t="s">
        <v>14298</v>
      </c>
      <c r="AF6360" s="17">
        <v>45728</v>
      </c>
      <c r="AG6360" s="80"/>
      <c r="AH6360" s="80"/>
      <c r="AI6360" s="147" t="s">
        <v>147</v>
      </c>
      <c r="AJ6360" s="80"/>
      <c r="AK6360" s="80"/>
      <c r="AL6360" s="86"/>
      <c r="AM6360" s="86"/>
      <c r="AN6360" s="86"/>
      <c r="AO6360" s="86"/>
      <c r="AP6360" s="86"/>
    </row>
    <row r="6361" spans="1:42" x14ac:dyDescent="0.2">
      <c r="A6361" s="38">
        <v>45721</v>
      </c>
      <c r="B6361" s="137" t="s">
        <v>37</v>
      </c>
      <c r="C6361" s="41" t="s">
        <v>118</v>
      </c>
      <c r="D6361" s="80" t="s">
        <v>36</v>
      </c>
      <c r="E6361" s="80" t="s">
        <v>56</v>
      </c>
      <c r="F6361" s="80" t="s">
        <v>14298</v>
      </c>
      <c r="G6361" s="161" t="s">
        <v>221</v>
      </c>
      <c r="H6361" s="80" t="s">
        <v>19435</v>
      </c>
      <c r="I6361" s="17">
        <f ca="1">IFERROR(__xludf.DUMMYFUNCTION("""COMPUTED_VALUE"""),45733)</f>
        <v>45733</v>
      </c>
      <c r="J6361" s="143" t="s">
        <v>12743</v>
      </c>
      <c r="K6361" s="80" t="s">
        <v>20352</v>
      </c>
      <c r="L6361" s="30">
        <v>967938367</v>
      </c>
      <c r="M6361" s="80" t="s">
        <v>123</v>
      </c>
      <c r="N6361" s="80" t="s">
        <v>327</v>
      </c>
      <c r="O6361" s="80" t="s">
        <v>4503</v>
      </c>
      <c r="P6361" s="144" t="s">
        <v>16621</v>
      </c>
      <c r="Q6361" s="20">
        <v>9317</v>
      </c>
      <c r="R6361" s="80" t="s">
        <v>36</v>
      </c>
      <c r="S6361" s="95">
        <v>2000</v>
      </c>
      <c r="T6361" s="148">
        <v>45539</v>
      </c>
      <c r="U6361" s="95">
        <v>7317</v>
      </c>
      <c r="V6361" s="148">
        <v>45553</v>
      </c>
      <c r="W6361" s="85" t="s">
        <v>12746</v>
      </c>
      <c r="X6361" s="83">
        <v>0</v>
      </c>
      <c r="Y6361" s="22">
        <v>0</v>
      </c>
      <c r="Z6361" s="81" t="s">
        <v>50</v>
      </c>
      <c r="AA6361" s="82" t="s">
        <v>3291</v>
      </c>
      <c r="AB6361" s="80"/>
      <c r="AC6361" s="80" t="s">
        <v>53</v>
      </c>
      <c r="AD6361" s="80" t="s">
        <v>54</v>
      </c>
      <c r="AE6361" s="80" t="s">
        <v>14298</v>
      </c>
      <c r="AF6361" s="17">
        <v>45728</v>
      </c>
      <c r="AG6361" s="80"/>
      <c r="AH6361" s="80"/>
      <c r="AI6361" s="147" t="s">
        <v>64</v>
      </c>
      <c r="AJ6361" s="80"/>
      <c r="AK6361" s="80"/>
      <c r="AL6361" s="86"/>
      <c r="AM6361" s="86"/>
      <c r="AN6361" s="86"/>
      <c r="AO6361" s="86"/>
      <c r="AP6361" s="86"/>
    </row>
    <row r="6362" spans="1:42" x14ac:dyDescent="0.2">
      <c r="A6362" s="38">
        <v>45721</v>
      </c>
      <c r="B6362" s="137" t="s">
        <v>37</v>
      </c>
      <c r="C6362" s="41" t="s">
        <v>118</v>
      </c>
      <c r="D6362" s="80" t="s">
        <v>36</v>
      </c>
      <c r="E6362" s="80" t="s">
        <v>56</v>
      </c>
      <c r="F6362" s="80" t="s">
        <v>14298</v>
      </c>
      <c r="G6362" s="161" t="s">
        <v>221</v>
      </c>
      <c r="H6362" s="80" t="s">
        <v>19435</v>
      </c>
      <c r="I6362" s="17">
        <f ca="1">IFERROR(__xludf.DUMMYFUNCTION("""COMPUTED_VALUE"""),45733)</f>
        <v>45733</v>
      </c>
      <c r="J6362" s="143" t="s">
        <v>4134</v>
      </c>
      <c r="K6362" s="80" t="s">
        <v>4135</v>
      </c>
      <c r="L6362" s="30">
        <v>584505732</v>
      </c>
      <c r="M6362" s="80" t="s">
        <v>1245</v>
      </c>
      <c r="N6362" s="80" t="s">
        <v>4957</v>
      </c>
      <c r="O6362" s="80" t="s">
        <v>4137</v>
      </c>
      <c r="P6362" s="80" t="s">
        <v>4138</v>
      </c>
      <c r="Q6362" s="20">
        <v>9317</v>
      </c>
      <c r="R6362" s="80" t="s">
        <v>36</v>
      </c>
      <c r="S6362" s="77">
        <v>9317</v>
      </c>
      <c r="T6362" s="78">
        <v>45208</v>
      </c>
      <c r="U6362" s="77"/>
      <c r="V6362" s="78"/>
      <c r="W6362" s="85" t="s">
        <v>4139</v>
      </c>
      <c r="X6362" s="80"/>
      <c r="Y6362" s="22">
        <v>0</v>
      </c>
      <c r="Z6362" s="41" t="s">
        <v>118</v>
      </c>
      <c r="AA6362" s="86" t="s">
        <v>3454</v>
      </c>
      <c r="AB6362" s="80" t="s">
        <v>104</v>
      </c>
      <c r="AC6362" s="80" t="s">
        <v>53</v>
      </c>
      <c r="AD6362" s="86" t="s">
        <v>138</v>
      </c>
      <c r="AE6362" s="80" t="s">
        <v>14298</v>
      </c>
      <c r="AF6362" s="17">
        <v>45728</v>
      </c>
      <c r="AG6362" s="80"/>
      <c r="AH6362" s="80"/>
      <c r="AI6362" s="147"/>
      <c r="AJ6362" s="80"/>
      <c r="AK6362" s="80"/>
      <c r="AL6362" s="86"/>
      <c r="AM6362" s="86"/>
      <c r="AN6362" s="86"/>
      <c r="AO6362" s="86"/>
      <c r="AP6362" s="86"/>
    </row>
    <row r="6363" spans="1:42" x14ac:dyDescent="0.2">
      <c r="A6363" s="38">
        <v>45721</v>
      </c>
      <c r="B6363" s="137" t="s">
        <v>37</v>
      </c>
      <c r="C6363" s="41" t="s">
        <v>118</v>
      </c>
      <c r="D6363" s="26" t="s">
        <v>36</v>
      </c>
      <c r="E6363" s="80" t="s">
        <v>1704</v>
      </c>
      <c r="F6363" s="80" t="s">
        <v>8403</v>
      </c>
      <c r="G6363" s="80" t="s">
        <v>1705</v>
      </c>
      <c r="H6363" s="80" t="s">
        <v>20185</v>
      </c>
      <c r="I6363" s="17">
        <f ca="1">IFERROR(__xludf.DUMMYFUNCTION("""COMPUTED_VALUE"""),45735)</f>
        <v>45735</v>
      </c>
      <c r="J6363" s="143" t="s">
        <v>4303</v>
      </c>
      <c r="K6363" s="80" t="s">
        <v>11439</v>
      </c>
      <c r="L6363" s="30">
        <v>395476207</v>
      </c>
      <c r="M6363" s="80" t="s">
        <v>11413</v>
      </c>
      <c r="N6363" s="80" t="s">
        <v>1246</v>
      </c>
      <c r="O6363" s="80" t="s">
        <v>4305</v>
      </c>
      <c r="P6363" s="144" t="s">
        <v>11440</v>
      </c>
      <c r="Q6363" s="20">
        <v>7729</v>
      </c>
      <c r="R6363" s="80" t="s">
        <v>36</v>
      </c>
      <c r="S6363" s="95">
        <v>7729</v>
      </c>
      <c r="T6363" s="148">
        <v>45519</v>
      </c>
      <c r="U6363" s="77"/>
      <c r="V6363" s="78"/>
      <c r="W6363" s="85" t="s">
        <v>11441</v>
      </c>
      <c r="X6363" s="80">
        <v>0</v>
      </c>
      <c r="Y6363" s="22">
        <v>0</v>
      </c>
      <c r="Z6363" s="80" t="s">
        <v>50</v>
      </c>
      <c r="AA6363" s="96" t="s">
        <v>10314</v>
      </c>
      <c r="AB6363" s="26" t="s">
        <v>36</v>
      </c>
      <c r="AC6363" s="80" t="s">
        <v>53</v>
      </c>
      <c r="AD6363" s="80" t="s">
        <v>138</v>
      </c>
      <c r="AE6363" s="80" t="s">
        <v>8403</v>
      </c>
      <c r="AF6363" s="17">
        <v>45735</v>
      </c>
      <c r="AG6363" s="80"/>
      <c r="AH6363" s="80"/>
      <c r="AI6363" s="147"/>
      <c r="AJ6363" s="80"/>
      <c r="AK6363" s="80"/>
      <c r="AL6363" s="35"/>
      <c r="AM6363" s="35"/>
      <c r="AN6363" s="35"/>
      <c r="AO6363" s="35"/>
      <c r="AP6363" s="35"/>
    </row>
    <row r="6364" spans="1:42" x14ac:dyDescent="0.2">
      <c r="A6364" s="38">
        <v>45721</v>
      </c>
      <c r="B6364" s="137" t="s">
        <v>37</v>
      </c>
      <c r="C6364" s="41" t="s">
        <v>118</v>
      </c>
      <c r="D6364" s="80" t="s">
        <v>36</v>
      </c>
      <c r="E6364" s="80" t="s">
        <v>139</v>
      </c>
      <c r="F6364" s="80" t="s">
        <v>14200</v>
      </c>
      <c r="G6364" s="80" t="s">
        <v>221</v>
      </c>
      <c r="H6364" s="80" t="s">
        <v>20353</v>
      </c>
      <c r="I6364" s="17">
        <f ca="1">IFERROR(__xludf.DUMMYFUNCTION("""COMPUTED_VALUE"""),45866)</f>
        <v>45866</v>
      </c>
      <c r="J6364" s="143" t="s">
        <v>14757</v>
      </c>
      <c r="K6364" s="80" t="s">
        <v>20354</v>
      </c>
      <c r="L6364" s="30">
        <v>857352057</v>
      </c>
      <c r="M6364" s="80" t="s">
        <v>5429</v>
      </c>
      <c r="N6364" s="80" t="s">
        <v>9251</v>
      </c>
      <c r="O6364" s="80" t="s">
        <v>14759</v>
      </c>
      <c r="P6364" s="144" t="s">
        <v>14760</v>
      </c>
      <c r="Q6364" s="20">
        <v>15936</v>
      </c>
      <c r="R6364" s="80" t="s">
        <v>36</v>
      </c>
      <c r="S6364" s="95">
        <f>100+1900</f>
        <v>2000</v>
      </c>
      <c r="T6364" s="83" t="s">
        <v>14761</v>
      </c>
      <c r="U6364" s="95">
        <v>13936</v>
      </c>
      <c r="V6364" s="148">
        <v>45575</v>
      </c>
      <c r="W6364" s="85" t="s">
        <v>14762</v>
      </c>
      <c r="X6364" s="80"/>
      <c r="Y6364" s="22">
        <v>0</v>
      </c>
      <c r="Z6364" s="80" t="s">
        <v>50</v>
      </c>
      <c r="AA6364" s="35" t="s">
        <v>9905</v>
      </c>
      <c r="AB6364" s="80"/>
      <c r="AC6364" s="80" t="s">
        <v>53</v>
      </c>
      <c r="AD6364" s="80" t="s">
        <v>138</v>
      </c>
      <c r="AE6364" s="80" t="s">
        <v>14200</v>
      </c>
      <c r="AF6364" s="17">
        <v>45750</v>
      </c>
      <c r="AG6364" s="80"/>
      <c r="AH6364" s="80"/>
      <c r="AI6364" s="147"/>
      <c r="AJ6364" s="80"/>
      <c r="AK6364" s="80"/>
      <c r="AL6364" s="35"/>
      <c r="AM6364" s="35"/>
      <c r="AN6364" s="35"/>
      <c r="AO6364" s="35"/>
      <c r="AP6364" s="35"/>
    </row>
    <row r="6365" spans="1:42" x14ac:dyDescent="0.2">
      <c r="A6365" s="38">
        <v>45721</v>
      </c>
      <c r="B6365" s="137" t="s">
        <v>37</v>
      </c>
      <c r="C6365" s="41" t="s">
        <v>118</v>
      </c>
      <c r="D6365" s="80" t="s">
        <v>36</v>
      </c>
      <c r="E6365" s="80" t="s">
        <v>139</v>
      </c>
      <c r="F6365" s="80" t="s">
        <v>8088</v>
      </c>
      <c r="G6365" s="80" t="s">
        <v>108</v>
      </c>
      <c r="H6365" s="80" t="s">
        <v>10297</v>
      </c>
      <c r="I6365" s="17">
        <f ca="1">IFERROR(__xludf.DUMMYFUNCTION("""COMPUTED_VALUE"""),45727)</f>
        <v>45727</v>
      </c>
      <c r="J6365" s="143" t="s">
        <v>14323</v>
      </c>
      <c r="K6365" s="80" t="s">
        <v>20355</v>
      </c>
      <c r="L6365" s="30">
        <v>961906726</v>
      </c>
      <c r="M6365" s="80" t="s">
        <v>5558</v>
      </c>
      <c r="N6365" s="80" t="s">
        <v>5559</v>
      </c>
      <c r="O6365" s="80" t="s">
        <v>4503</v>
      </c>
      <c r="P6365" s="80" t="s">
        <v>14325</v>
      </c>
      <c r="Q6365" s="20">
        <v>15936</v>
      </c>
      <c r="R6365" s="80" t="s">
        <v>36</v>
      </c>
      <c r="S6365" s="95">
        <v>2000</v>
      </c>
      <c r="T6365" s="148">
        <v>45541</v>
      </c>
      <c r="U6365" s="95">
        <v>13936</v>
      </c>
      <c r="V6365" s="148">
        <v>45575</v>
      </c>
      <c r="W6365" s="85" t="s">
        <v>14326</v>
      </c>
      <c r="X6365" s="80"/>
      <c r="Y6365" s="22">
        <v>0</v>
      </c>
      <c r="Z6365" s="80" t="s">
        <v>50</v>
      </c>
      <c r="AA6365" s="82"/>
      <c r="AB6365" s="80"/>
      <c r="AC6365" s="80" t="s">
        <v>53</v>
      </c>
      <c r="AD6365" s="80" t="s">
        <v>138</v>
      </c>
      <c r="AE6365" s="80" t="s">
        <v>8088</v>
      </c>
      <c r="AF6365" s="181">
        <v>45611</v>
      </c>
      <c r="AG6365" s="80" t="s">
        <v>14199</v>
      </c>
      <c r="AH6365" s="80"/>
      <c r="AI6365" s="147"/>
      <c r="AJ6365" s="80"/>
      <c r="AK6365" s="80"/>
      <c r="AL6365" s="35"/>
      <c r="AM6365" s="35"/>
      <c r="AN6365" s="35"/>
      <c r="AO6365" s="35"/>
      <c r="AP6365" s="35"/>
    </row>
    <row r="6366" spans="1:42" x14ac:dyDescent="0.2">
      <c r="A6366" s="38">
        <v>45721</v>
      </c>
      <c r="B6366" s="137" t="s">
        <v>37</v>
      </c>
      <c r="C6366" s="41" t="s">
        <v>118</v>
      </c>
      <c r="D6366" s="80" t="s">
        <v>36</v>
      </c>
      <c r="E6366" s="80" t="s">
        <v>119</v>
      </c>
      <c r="F6366" s="80" t="s">
        <v>13913</v>
      </c>
      <c r="G6366" s="80" t="s">
        <v>221</v>
      </c>
      <c r="H6366" s="80" t="s">
        <v>20219</v>
      </c>
      <c r="I6366" s="17">
        <f ca="1">IFERROR(__xludf.DUMMYFUNCTION("""COMPUTED_VALUE"""),45737)</f>
        <v>45737</v>
      </c>
      <c r="J6366" s="143" t="s">
        <v>18703</v>
      </c>
      <c r="K6366" s="80" t="s">
        <v>20356</v>
      </c>
      <c r="L6366" s="30">
        <v>362292684</v>
      </c>
      <c r="M6366" s="80" t="s">
        <v>12529</v>
      </c>
      <c r="N6366" s="80" t="s">
        <v>466</v>
      </c>
      <c r="O6366" s="80" t="s">
        <v>18705</v>
      </c>
      <c r="P6366" s="80" t="s">
        <v>18706</v>
      </c>
      <c r="Q6366" s="20">
        <v>13968</v>
      </c>
      <c r="R6366" s="80" t="s">
        <v>36</v>
      </c>
      <c r="S6366" s="95">
        <f>200+3800</f>
        <v>4000</v>
      </c>
      <c r="T6366" s="83" t="s">
        <v>18707</v>
      </c>
      <c r="U6366" s="95">
        <v>9968</v>
      </c>
      <c r="V6366" s="148">
        <v>45634</v>
      </c>
      <c r="W6366" s="85" t="s">
        <v>18708</v>
      </c>
      <c r="X6366" s="80"/>
      <c r="Y6366" s="22">
        <v>0</v>
      </c>
      <c r="Z6366" s="80" t="s">
        <v>50</v>
      </c>
      <c r="AA6366" s="35" t="s">
        <v>18579</v>
      </c>
      <c r="AB6366" s="82"/>
      <c r="AC6366" s="80" t="s">
        <v>53</v>
      </c>
      <c r="AD6366" s="80" t="s">
        <v>138</v>
      </c>
      <c r="AE6366" s="80" t="s">
        <v>13913</v>
      </c>
      <c r="AF6366" s="17">
        <v>45737</v>
      </c>
      <c r="AG6366" s="80"/>
      <c r="AH6366" s="80"/>
      <c r="AI6366" s="147"/>
      <c r="AJ6366" s="80"/>
      <c r="AK6366" s="80"/>
      <c r="AL6366" s="35"/>
      <c r="AM6366" s="35"/>
      <c r="AN6366" s="35"/>
      <c r="AO6366" s="35"/>
      <c r="AP6366" s="35"/>
    </row>
    <row r="6367" spans="1:42" x14ac:dyDescent="0.2">
      <c r="A6367" s="38">
        <v>45721</v>
      </c>
      <c r="B6367" s="28" t="s">
        <v>37</v>
      </c>
      <c r="C6367" s="41" t="s">
        <v>118</v>
      </c>
      <c r="D6367" s="26" t="s">
        <v>36</v>
      </c>
      <c r="E6367" s="26" t="s">
        <v>139</v>
      </c>
      <c r="F6367" s="26" t="s">
        <v>6919</v>
      </c>
      <c r="G6367" s="80" t="s">
        <v>221</v>
      </c>
      <c r="H6367" s="80" t="s">
        <v>20208</v>
      </c>
      <c r="I6367" s="17">
        <f ca="1">IFERROR(__xludf.DUMMYFUNCTION("""COMPUTED_VALUE"""),45736)</f>
        <v>45736</v>
      </c>
      <c r="J6367" s="29" t="s">
        <v>10075</v>
      </c>
      <c r="K6367" s="19" t="s">
        <v>10076</v>
      </c>
      <c r="L6367" s="30">
        <v>386683732</v>
      </c>
      <c r="M6367" s="26" t="s">
        <v>123</v>
      </c>
      <c r="N6367" s="26" t="s">
        <v>186</v>
      </c>
      <c r="O6367" s="26" t="s">
        <v>4503</v>
      </c>
      <c r="P6367" s="42" t="s">
        <v>10077</v>
      </c>
      <c r="Q6367" s="20">
        <v>15936</v>
      </c>
      <c r="R6367" s="26" t="s">
        <v>70</v>
      </c>
      <c r="S6367" s="95">
        <f>200+5000</f>
        <v>5200</v>
      </c>
      <c r="T6367" s="83" t="s">
        <v>10078</v>
      </c>
      <c r="U6367" s="95">
        <v>10736</v>
      </c>
      <c r="V6367" s="148">
        <v>45516</v>
      </c>
      <c r="W6367" s="33" t="s">
        <v>10079</v>
      </c>
      <c r="X6367" s="26">
        <v>100</v>
      </c>
      <c r="Y6367" s="22">
        <v>-100</v>
      </c>
      <c r="Z6367" s="26" t="s">
        <v>50</v>
      </c>
      <c r="AA6367" s="96"/>
      <c r="AB6367" s="26" t="s">
        <v>36</v>
      </c>
      <c r="AC6367" s="26" t="s">
        <v>53</v>
      </c>
      <c r="AD6367" s="26" t="s">
        <v>138</v>
      </c>
      <c r="AE6367" s="26" t="s">
        <v>6919</v>
      </c>
      <c r="AF6367" s="17">
        <v>45736</v>
      </c>
      <c r="AG6367" s="26"/>
      <c r="AH6367" s="26"/>
      <c r="AI6367" s="40"/>
      <c r="AJ6367" s="26"/>
      <c r="AK6367" s="26"/>
      <c r="AL6367" s="35"/>
      <c r="AM6367" s="35"/>
      <c r="AN6367" s="35"/>
      <c r="AO6367" s="35"/>
      <c r="AP6367" s="35"/>
    </row>
    <row r="6368" spans="1:42" x14ac:dyDescent="0.2">
      <c r="A6368" s="38">
        <v>45721</v>
      </c>
      <c r="B6368" s="137" t="s">
        <v>37</v>
      </c>
      <c r="C6368" s="41" t="s">
        <v>118</v>
      </c>
      <c r="D6368" s="80" t="s">
        <v>36</v>
      </c>
      <c r="E6368" s="80" t="s">
        <v>139</v>
      </c>
      <c r="F6368" s="26" t="s">
        <v>8403</v>
      </c>
      <c r="G6368" s="80" t="s">
        <v>1705</v>
      </c>
      <c r="H6368" s="80" t="s">
        <v>20357</v>
      </c>
      <c r="I6368" s="17">
        <f ca="1">IFERROR(__xludf.DUMMYFUNCTION("""COMPUTED_VALUE"""),45567)</f>
        <v>45567</v>
      </c>
      <c r="J6368" s="143" t="s">
        <v>5375</v>
      </c>
      <c r="K6368" s="80" t="s">
        <v>20358</v>
      </c>
      <c r="L6368" s="30">
        <v>329863371</v>
      </c>
      <c r="M6368" s="80" t="s">
        <v>3728</v>
      </c>
      <c r="N6368" s="80" t="s">
        <v>5377</v>
      </c>
      <c r="O6368" s="85" t="s">
        <v>5378</v>
      </c>
      <c r="P6368" s="144" t="s">
        <v>20359</v>
      </c>
      <c r="Q6368" s="20">
        <v>15936</v>
      </c>
      <c r="R6368" s="80" t="s">
        <v>36</v>
      </c>
      <c r="S6368" s="77">
        <v>2000</v>
      </c>
      <c r="T6368" s="78">
        <v>45216</v>
      </c>
      <c r="U6368" s="77">
        <v>14000</v>
      </c>
      <c r="V6368" s="78">
        <v>45243</v>
      </c>
      <c r="W6368" s="85" t="s">
        <v>5379</v>
      </c>
      <c r="X6368" s="80"/>
      <c r="Y6368" s="22">
        <v>-64</v>
      </c>
      <c r="Z6368" s="41" t="s">
        <v>118</v>
      </c>
      <c r="AA6368" s="145" t="s">
        <v>5785</v>
      </c>
      <c r="AB6368" s="26" t="s">
        <v>36</v>
      </c>
      <c r="AC6368" s="80" t="s">
        <v>53</v>
      </c>
      <c r="AD6368" s="157" t="s">
        <v>138</v>
      </c>
      <c r="AE6368" s="26" t="s">
        <v>8403</v>
      </c>
      <c r="AF6368" s="17">
        <v>45727</v>
      </c>
      <c r="AG6368" s="147"/>
      <c r="AH6368" s="80"/>
      <c r="AI6368" s="147" t="s">
        <v>147</v>
      </c>
      <c r="AJ6368" s="80"/>
      <c r="AK6368" s="80"/>
      <c r="AL6368" s="86"/>
      <c r="AM6368" s="86"/>
      <c r="AN6368" s="86"/>
      <c r="AO6368" s="86"/>
      <c r="AP6368" s="86"/>
    </row>
    <row r="6369" spans="1:42" x14ac:dyDescent="0.2">
      <c r="A6369" s="38">
        <v>45721</v>
      </c>
      <c r="B6369" s="137" t="s">
        <v>37</v>
      </c>
      <c r="C6369" s="41" t="s">
        <v>118</v>
      </c>
      <c r="D6369" s="26" t="s">
        <v>36</v>
      </c>
      <c r="E6369" s="26" t="s">
        <v>139</v>
      </c>
      <c r="F6369" s="80" t="s">
        <v>8608</v>
      </c>
      <c r="G6369" s="26" t="s">
        <v>1847</v>
      </c>
      <c r="H6369" s="80" t="s">
        <v>20206</v>
      </c>
      <c r="I6369" s="17">
        <f ca="1">IFERROR(__xludf.DUMMYFUNCTION("""COMPUTED_VALUE"""),45726)</f>
        <v>45726</v>
      </c>
      <c r="J6369" s="29" t="s">
        <v>6693</v>
      </c>
      <c r="K6369" s="26" t="s">
        <v>6694</v>
      </c>
      <c r="L6369" s="30">
        <v>918464995</v>
      </c>
      <c r="M6369" s="26" t="s">
        <v>3728</v>
      </c>
      <c r="N6369" s="26" t="s">
        <v>5377</v>
      </c>
      <c r="O6369" s="26" t="s">
        <v>6695</v>
      </c>
      <c r="P6369" s="42" t="s">
        <v>8996</v>
      </c>
      <c r="Q6369" s="20">
        <v>15936</v>
      </c>
      <c r="R6369" s="26" t="s">
        <v>36</v>
      </c>
      <c r="S6369" s="31">
        <v>2000</v>
      </c>
      <c r="T6369" s="32">
        <v>45287</v>
      </c>
      <c r="U6369" s="31">
        <v>13936</v>
      </c>
      <c r="V6369" s="32">
        <v>45322</v>
      </c>
      <c r="W6369" s="33" t="s">
        <v>6697</v>
      </c>
      <c r="X6369" s="26">
        <v>0</v>
      </c>
      <c r="Y6369" s="22">
        <v>0</v>
      </c>
      <c r="Z6369" s="98" t="s">
        <v>118</v>
      </c>
      <c r="AA6369" s="19" t="s">
        <v>6079</v>
      </c>
      <c r="AB6369" s="26" t="s">
        <v>36</v>
      </c>
      <c r="AC6369" s="26" t="s">
        <v>53</v>
      </c>
      <c r="AD6369" s="19" t="s">
        <v>54</v>
      </c>
      <c r="AE6369" s="80" t="s">
        <v>8608</v>
      </c>
      <c r="AF6369" s="17">
        <v>45722</v>
      </c>
      <c r="AG6369" s="26"/>
      <c r="AH6369" s="26"/>
      <c r="AI6369" s="40" t="s">
        <v>147</v>
      </c>
      <c r="AJ6369" s="26"/>
      <c r="AK6369" s="26"/>
      <c r="AL6369" s="35"/>
      <c r="AM6369" s="35"/>
      <c r="AN6369" s="35"/>
      <c r="AO6369" s="35"/>
      <c r="AP6369" s="35"/>
    </row>
    <row r="6370" spans="1:42" x14ac:dyDescent="0.2">
      <c r="A6370" s="38">
        <v>45721</v>
      </c>
      <c r="B6370" s="137" t="s">
        <v>37</v>
      </c>
      <c r="C6370" s="41" t="s">
        <v>118</v>
      </c>
      <c r="D6370" s="80" t="s">
        <v>36</v>
      </c>
      <c r="E6370" s="80" t="s">
        <v>1704</v>
      </c>
      <c r="F6370" s="80" t="s">
        <v>6989</v>
      </c>
      <c r="G6370" s="26" t="s">
        <v>1847</v>
      </c>
      <c r="H6370" s="80" t="s">
        <v>1848</v>
      </c>
      <c r="I6370" s="17">
        <f ca="1">IFERROR(__xludf.DUMMYFUNCTION("""COMPUTED_VALUE"""),45728)</f>
        <v>45728</v>
      </c>
      <c r="J6370" s="143" t="s">
        <v>18128</v>
      </c>
      <c r="K6370" s="80" t="s">
        <v>1679</v>
      </c>
      <c r="L6370" s="30">
        <v>373388886</v>
      </c>
      <c r="M6370" s="80" t="s">
        <v>9422</v>
      </c>
      <c r="N6370" s="80" t="s">
        <v>87</v>
      </c>
      <c r="O6370" s="80" t="s">
        <v>18129</v>
      </c>
      <c r="P6370" s="144" t="s">
        <v>20360</v>
      </c>
      <c r="Q6370" s="20">
        <v>7729</v>
      </c>
      <c r="R6370" s="80" t="s">
        <v>36</v>
      </c>
      <c r="S6370" s="95">
        <v>7729</v>
      </c>
      <c r="T6370" s="148">
        <v>45619</v>
      </c>
      <c r="U6370" s="77"/>
      <c r="V6370" s="78"/>
      <c r="W6370" s="80"/>
      <c r="X6370" s="80"/>
      <c r="Y6370" s="22">
        <v>0</v>
      </c>
      <c r="Z6370" s="80" t="s">
        <v>50</v>
      </c>
      <c r="AA6370" s="86" t="s">
        <v>14723</v>
      </c>
      <c r="AB6370" s="80"/>
      <c r="AC6370" s="80" t="s">
        <v>53</v>
      </c>
      <c r="AD6370" s="80" t="s">
        <v>54</v>
      </c>
      <c r="AE6370" s="80" t="s">
        <v>6989</v>
      </c>
      <c r="AF6370" s="17">
        <v>45722</v>
      </c>
      <c r="AG6370" s="80"/>
      <c r="AH6370" s="80"/>
      <c r="AI6370" s="147"/>
      <c r="AJ6370" s="80"/>
      <c r="AK6370" s="80"/>
      <c r="AL6370" s="35"/>
      <c r="AM6370" s="35"/>
      <c r="AN6370" s="35"/>
      <c r="AO6370" s="35"/>
      <c r="AP6370" s="35"/>
    </row>
    <row r="6371" spans="1:42" x14ac:dyDescent="0.2">
      <c r="A6371" s="38">
        <v>45722</v>
      </c>
      <c r="B6371" s="137" t="s">
        <v>37</v>
      </c>
      <c r="C6371" s="41" t="s">
        <v>118</v>
      </c>
      <c r="D6371" s="80" t="s">
        <v>36</v>
      </c>
      <c r="E6371" s="80" t="s">
        <v>119</v>
      </c>
      <c r="F6371" s="80" t="s">
        <v>10843</v>
      </c>
      <c r="G6371" s="80" t="s">
        <v>1705</v>
      </c>
      <c r="H6371" s="80" t="s">
        <v>20357</v>
      </c>
      <c r="I6371" s="17">
        <f ca="1">IFERROR(__xludf.DUMMYFUNCTION("""COMPUTED_VALUE"""),45567)</f>
        <v>45567</v>
      </c>
      <c r="J6371" s="143" t="s">
        <v>10714</v>
      </c>
      <c r="K6371" s="80" t="s">
        <v>20361</v>
      </c>
      <c r="L6371" s="30">
        <v>941672906</v>
      </c>
      <c r="M6371" s="80" t="s">
        <v>80</v>
      </c>
      <c r="N6371" s="80" t="s">
        <v>466</v>
      </c>
      <c r="O6371" s="80" t="s">
        <v>10716</v>
      </c>
      <c r="P6371" s="144" t="s">
        <v>10717</v>
      </c>
      <c r="Q6371" s="20">
        <v>13968</v>
      </c>
      <c r="R6371" s="80" t="s">
        <v>36</v>
      </c>
      <c r="S6371" s="95">
        <f>200+3600</f>
        <v>3800</v>
      </c>
      <c r="T6371" s="148" t="s">
        <v>10718</v>
      </c>
      <c r="U6371" s="95">
        <v>10168</v>
      </c>
      <c r="V6371" s="148">
        <v>45525</v>
      </c>
      <c r="W6371" s="85" t="s">
        <v>10719</v>
      </c>
      <c r="X6371" s="80">
        <v>0</v>
      </c>
      <c r="Y6371" s="22">
        <v>0</v>
      </c>
      <c r="Z6371" s="81" t="s">
        <v>50</v>
      </c>
      <c r="AA6371" s="82" t="s">
        <v>10314</v>
      </c>
      <c r="AB6371" s="80"/>
      <c r="AC6371" s="80" t="s">
        <v>53</v>
      </c>
      <c r="AD6371" s="80" t="s">
        <v>54</v>
      </c>
      <c r="AE6371" s="80" t="s">
        <v>10843</v>
      </c>
      <c r="AF6371" s="17">
        <v>45722</v>
      </c>
      <c r="AG6371" s="80"/>
      <c r="AH6371" s="80"/>
      <c r="AI6371" s="147"/>
      <c r="AJ6371" s="80"/>
      <c r="AK6371" s="80"/>
      <c r="AL6371" s="86"/>
      <c r="AM6371" s="86"/>
      <c r="AN6371" s="86"/>
      <c r="AO6371" s="86"/>
      <c r="AP6371" s="86"/>
    </row>
    <row r="6372" spans="1:42" x14ac:dyDescent="0.2">
      <c r="A6372" s="38">
        <v>45722</v>
      </c>
      <c r="B6372" s="28" t="s">
        <v>37</v>
      </c>
      <c r="C6372" s="41" t="s">
        <v>118</v>
      </c>
      <c r="D6372" s="80" t="s">
        <v>36</v>
      </c>
      <c r="E6372" s="80" t="s">
        <v>1704</v>
      </c>
      <c r="F6372" s="80" t="s">
        <v>9050</v>
      </c>
      <c r="G6372" s="80" t="s">
        <v>1705</v>
      </c>
      <c r="H6372" s="26" t="s">
        <v>20362</v>
      </c>
      <c r="I6372" s="17">
        <f ca="1">IFERROR(__xludf.DUMMYFUNCTION("""COMPUTED_VALUE"""),45620)</f>
        <v>45620</v>
      </c>
      <c r="J6372" s="143" t="s">
        <v>17884</v>
      </c>
      <c r="K6372" s="145" t="s">
        <v>20363</v>
      </c>
      <c r="L6372" s="30">
        <v>355638204</v>
      </c>
      <c r="M6372" s="80" t="s">
        <v>9422</v>
      </c>
      <c r="N6372" s="80" t="s">
        <v>17886</v>
      </c>
      <c r="O6372" s="80" t="s">
        <v>12356</v>
      </c>
      <c r="P6372" s="80" t="s">
        <v>17887</v>
      </c>
      <c r="Q6372" s="20">
        <v>7729</v>
      </c>
      <c r="R6372" s="80" t="s">
        <v>36</v>
      </c>
      <c r="S6372" s="95">
        <v>7729</v>
      </c>
      <c r="T6372" s="148">
        <v>45602</v>
      </c>
      <c r="U6372" s="77"/>
      <c r="V6372" s="78"/>
      <c r="W6372" s="80"/>
      <c r="X6372" s="80"/>
      <c r="Y6372" s="22">
        <v>0</v>
      </c>
      <c r="Z6372" s="80" t="s">
        <v>50</v>
      </c>
      <c r="AA6372" s="86" t="s">
        <v>14723</v>
      </c>
      <c r="AB6372" s="80"/>
      <c r="AC6372" s="80" t="s">
        <v>53</v>
      </c>
      <c r="AD6372" s="80" t="s">
        <v>138</v>
      </c>
      <c r="AE6372" s="80" t="s">
        <v>9050</v>
      </c>
      <c r="AF6372" s="17">
        <v>45846</v>
      </c>
      <c r="AG6372" s="80"/>
      <c r="AH6372" s="80"/>
      <c r="AI6372" s="147"/>
      <c r="AJ6372" s="80"/>
      <c r="AK6372" s="80"/>
      <c r="AL6372" s="35"/>
      <c r="AM6372" s="35"/>
      <c r="AN6372" s="35"/>
      <c r="AO6372" s="35"/>
      <c r="AP6372" s="35"/>
    </row>
    <row r="6373" spans="1:42" x14ac:dyDescent="0.2">
      <c r="A6373" s="38">
        <v>45722</v>
      </c>
      <c r="B6373" s="137" t="s">
        <v>37</v>
      </c>
      <c r="C6373" s="41" t="s">
        <v>118</v>
      </c>
      <c r="D6373" s="80" t="s">
        <v>36</v>
      </c>
      <c r="E6373" s="80" t="s">
        <v>139</v>
      </c>
      <c r="F6373" s="80" t="s">
        <v>16183</v>
      </c>
      <c r="G6373" s="80" t="s">
        <v>108</v>
      </c>
      <c r="H6373" s="80" t="s">
        <v>19406</v>
      </c>
      <c r="I6373" s="17">
        <f ca="1">IFERROR(__xludf.DUMMYFUNCTION("""COMPUTED_VALUE"""),45723)</f>
        <v>45723</v>
      </c>
      <c r="J6373" s="143" t="s">
        <v>19679</v>
      </c>
      <c r="K6373" s="80" t="s">
        <v>20364</v>
      </c>
      <c r="L6373" s="30">
        <v>363472554</v>
      </c>
      <c r="M6373" s="80" t="s">
        <v>12644</v>
      </c>
      <c r="N6373" s="80" t="s">
        <v>260</v>
      </c>
      <c r="O6373" s="80" t="s">
        <v>19681</v>
      </c>
      <c r="P6373" s="144" t="s">
        <v>20365</v>
      </c>
      <c r="Q6373" s="20">
        <v>15936</v>
      </c>
      <c r="R6373" s="80" t="s">
        <v>36</v>
      </c>
      <c r="S6373" s="95">
        <f>200+1800</f>
        <v>2000</v>
      </c>
      <c r="T6373" s="83" t="s">
        <v>19683</v>
      </c>
      <c r="U6373" s="95">
        <v>13936</v>
      </c>
      <c r="V6373" s="148">
        <v>45668</v>
      </c>
      <c r="W6373" s="85" t="s">
        <v>19684</v>
      </c>
      <c r="X6373" s="80"/>
      <c r="Y6373" s="22">
        <v>0</v>
      </c>
      <c r="Z6373" s="80" t="s">
        <v>50</v>
      </c>
      <c r="AA6373" s="82" t="s">
        <v>18583</v>
      </c>
      <c r="AB6373" s="82"/>
      <c r="AC6373" s="80" t="s">
        <v>53</v>
      </c>
      <c r="AD6373" s="80" t="s">
        <v>54</v>
      </c>
      <c r="AE6373" s="80" t="s">
        <v>16183</v>
      </c>
      <c r="AF6373" s="17">
        <v>45723</v>
      </c>
      <c r="AG6373" s="80"/>
      <c r="AH6373" s="80"/>
      <c r="AI6373" s="147"/>
      <c r="AJ6373" s="80"/>
      <c r="AK6373" s="80"/>
      <c r="AL6373" s="35"/>
      <c r="AM6373" s="35"/>
      <c r="AN6373" s="35"/>
      <c r="AO6373" s="35"/>
      <c r="AP6373" s="35"/>
    </row>
    <row r="6374" spans="1:42" x14ac:dyDescent="0.2">
      <c r="A6374" s="38">
        <v>45722</v>
      </c>
      <c r="B6374" s="28" t="s">
        <v>37</v>
      </c>
      <c r="C6374" s="41" t="s">
        <v>118</v>
      </c>
      <c r="D6374" s="80" t="s">
        <v>36</v>
      </c>
      <c r="E6374" s="80" t="s">
        <v>139</v>
      </c>
      <c r="F6374" s="80" t="s">
        <v>8088</v>
      </c>
      <c r="G6374" s="80" t="s">
        <v>221</v>
      </c>
      <c r="H6374" s="80" t="s">
        <v>20208</v>
      </c>
      <c r="I6374" s="17">
        <f ca="1">IFERROR(__xludf.DUMMYFUNCTION("""COMPUTED_VALUE"""),45736)</f>
        <v>45736</v>
      </c>
      <c r="J6374" s="143" t="s">
        <v>14314</v>
      </c>
      <c r="K6374" s="80" t="s">
        <v>14315</v>
      </c>
      <c r="L6374" s="30">
        <v>334206729</v>
      </c>
      <c r="M6374" s="80" t="s">
        <v>2755</v>
      </c>
      <c r="N6374" s="80" t="s">
        <v>2756</v>
      </c>
      <c r="O6374" s="80" t="s">
        <v>4503</v>
      </c>
      <c r="P6374" s="80" t="s">
        <v>7649</v>
      </c>
      <c r="Q6374" s="20">
        <v>15936</v>
      </c>
      <c r="R6374" s="80" t="s">
        <v>36</v>
      </c>
      <c r="S6374" s="95">
        <v>2000</v>
      </c>
      <c r="T6374" s="148">
        <v>45545</v>
      </c>
      <c r="U6374" s="178">
        <v>13936</v>
      </c>
      <c r="V6374" s="169">
        <v>45575</v>
      </c>
      <c r="W6374" s="85" t="s">
        <v>14316</v>
      </c>
      <c r="X6374" s="80"/>
      <c r="Y6374" s="22">
        <v>0</v>
      </c>
      <c r="Z6374" s="80" t="s">
        <v>50</v>
      </c>
      <c r="AA6374" s="86"/>
      <c r="AB6374" s="80"/>
      <c r="AC6374" s="80" t="s">
        <v>53</v>
      </c>
      <c r="AD6374" s="80" t="s">
        <v>138</v>
      </c>
      <c r="AE6374" s="80" t="s">
        <v>8088</v>
      </c>
      <c r="AF6374" s="17">
        <v>45736</v>
      </c>
      <c r="AG6374" s="80"/>
      <c r="AH6374" s="80"/>
      <c r="AI6374" s="147"/>
      <c r="AJ6374" s="80"/>
      <c r="AK6374" s="80"/>
      <c r="AL6374" s="35"/>
      <c r="AM6374" s="35"/>
      <c r="AN6374" s="35"/>
      <c r="AO6374" s="35"/>
      <c r="AP6374" s="35"/>
    </row>
    <row r="6375" spans="1:42" x14ac:dyDescent="0.2">
      <c r="A6375" s="38">
        <v>45722</v>
      </c>
      <c r="B6375" s="28" t="s">
        <v>37</v>
      </c>
      <c r="C6375" s="41" t="s">
        <v>118</v>
      </c>
      <c r="D6375" s="80" t="s">
        <v>36</v>
      </c>
      <c r="E6375" s="80" t="s">
        <v>56</v>
      </c>
      <c r="F6375" s="80" t="s">
        <v>14177</v>
      </c>
      <c r="G6375" s="80" t="s">
        <v>221</v>
      </c>
      <c r="H6375" s="80" t="s">
        <v>20121</v>
      </c>
      <c r="I6375" s="17">
        <f ca="1">IFERROR(__xludf.DUMMYFUNCTION("""COMPUTED_VALUE"""),45747)</f>
        <v>45747</v>
      </c>
      <c r="J6375" s="143" t="s">
        <v>12464</v>
      </c>
      <c r="K6375" s="145" t="s">
        <v>12465</v>
      </c>
      <c r="L6375" s="30">
        <v>967294936</v>
      </c>
      <c r="M6375" s="80" t="s">
        <v>3728</v>
      </c>
      <c r="N6375" s="80" t="s">
        <v>260</v>
      </c>
      <c r="O6375" s="80" t="s">
        <v>12466</v>
      </c>
      <c r="P6375" s="80" t="s">
        <v>12467</v>
      </c>
      <c r="Q6375" s="20">
        <v>9317</v>
      </c>
      <c r="R6375" s="80" t="s">
        <v>1989</v>
      </c>
      <c r="S6375" s="95">
        <f t="shared" ref="S6375:S6377" si="183">200+1800</f>
        <v>2000</v>
      </c>
      <c r="T6375" s="148" t="s">
        <v>12458</v>
      </c>
      <c r="U6375" s="95">
        <v>7067</v>
      </c>
      <c r="V6375" s="148">
        <v>45564</v>
      </c>
      <c r="W6375" s="85" t="s">
        <v>12468</v>
      </c>
      <c r="X6375" s="83">
        <v>250</v>
      </c>
      <c r="Y6375" s="22">
        <v>0</v>
      </c>
      <c r="Z6375" s="81" t="s">
        <v>50</v>
      </c>
      <c r="AA6375" s="82" t="s">
        <v>3291</v>
      </c>
      <c r="AB6375" s="80"/>
      <c r="AC6375" s="80" t="s">
        <v>53</v>
      </c>
      <c r="AD6375" s="80" t="s">
        <v>138</v>
      </c>
      <c r="AE6375" s="80" t="s">
        <v>14177</v>
      </c>
      <c r="AF6375" s="17">
        <v>45747</v>
      </c>
      <c r="AG6375" s="80"/>
      <c r="AH6375" s="80"/>
      <c r="AI6375" s="147" t="s">
        <v>64</v>
      </c>
      <c r="AJ6375" s="80"/>
      <c r="AK6375" s="80"/>
      <c r="AL6375" s="86"/>
      <c r="AM6375" s="86"/>
      <c r="AN6375" s="86"/>
      <c r="AO6375" s="86"/>
      <c r="AP6375" s="86"/>
    </row>
    <row r="6376" spans="1:42" x14ac:dyDescent="0.2">
      <c r="A6376" s="38">
        <v>45722</v>
      </c>
      <c r="B6376" s="28" t="s">
        <v>37</v>
      </c>
      <c r="C6376" s="41" t="s">
        <v>118</v>
      </c>
      <c r="D6376" s="80" t="s">
        <v>36</v>
      </c>
      <c r="E6376" s="80" t="s">
        <v>56</v>
      </c>
      <c r="F6376" s="80" t="s">
        <v>14177</v>
      </c>
      <c r="G6376" s="80" t="s">
        <v>221</v>
      </c>
      <c r="H6376" s="80" t="s">
        <v>20121</v>
      </c>
      <c r="I6376" s="17">
        <f ca="1">IFERROR(__xludf.DUMMYFUNCTION("""COMPUTED_VALUE"""),45747)</f>
        <v>45747</v>
      </c>
      <c r="J6376" s="143" t="s">
        <v>12460</v>
      </c>
      <c r="K6376" s="145" t="s">
        <v>12461</v>
      </c>
      <c r="L6376" s="30">
        <v>971591203</v>
      </c>
      <c r="M6376" s="80" t="s">
        <v>3728</v>
      </c>
      <c r="N6376" s="80" t="s">
        <v>260</v>
      </c>
      <c r="O6376" s="80" t="s">
        <v>12462</v>
      </c>
      <c r="P6376" s="80" t="s">
        <v>11644</v>
      </c>
      <c r="Q6376" s="20">
        <v>9317</v>
      </c>
      <c r="R6376" s="80" t="s">
        <v>1989</v>
      </c>
      <c r="S6376" s="95">
        <f t="shared" si="183"/>
        <v>2000</v>
      </c>
      <c r="T6376" s="148" t="s">
        <v>12458</v>
      </c>
      <c r="U6376" s="95">
        <v>7067</v>
      </c>
      <c r="V6376" s="148">
        <v>45564</v>
      </c>
      <c r="W6376" s="85" t="s">
        <v>12463</v>
      </c>
      <c r="X6376" s="83">
        <v>250</v>
      </c>
      <c r="Y6376" s="22">
        <v>0</v>
      </c>
      <c r="Z6376" s="81" t="s">
        <v>50</v>
      </c>
      <c r="AA6376" s="86" t="s">
        <v>3291</v>
      </c>
      <c r="AB6376" s="80"/>
      <c r="AC6376" s="80" t="s">
        <v>53</v>
      </c>
      <c r="AD6376" s="80" t="s">
        <v>138</v>
      </c>
      <c r="AE6376" s="80" t="s">
        <v>14177</v>
      </c>
      <c r="AF6376" s="17">
        <v>45747</v>
      </c>
      <c r="AG6376" s="80"/>
      <c r="AH6376" s="80"/>
      <c r="AI6376" s="147" t="s">
        <v>64</v>
      </c>
      <c r="AJ6376" s="80"/>
      <c r="AK6376" s="80"/>
      <c r="AL6376" s="86"/>
      <c r="AM6376" s="86"/>
      <c r="AN6376" s="86"/>
      <c r="AO6376" s="86"/>
      <c r="AP6376" s="86"/>
    </row>
    <row r="6377" spans="1:42" x14ac:dyDescent="0.2">
      <c r="A6377" s="38">
        <v>45722</v>
      </c>
      <c r="B6377" s="28" t="s">
        <v>37</v>
      </c>
      <c r="C6377" s="41" t="s">
        <v>118</v>
      </c>
      <c r="D6377" s="80" t="s">
        <v>36</v>
      </c>
      <c r="E6377" s="80" t="s">
        <v>56</v>
      </c>
      <c r="F6377" s="80" t="s">
        <v>14177</v>
      </c>
      <c r="G6377" s="80" t="s">
        <v>221</v>
      </c>
      <c r="H6377" s="80" t="s">
        <v>20121</v>
      </c>
      <c r="I6377" s="17">
        <f ca="1">IFERROR(__xludf.DUMMYFUNCTION("""COMPUTED_VALUE"""),45747)</f>
        <v>45747</v>
      </c>
      <c r="J6377" s="143" t="s">
        <v>12455</v>
      </c>
      <c r="K6377" s="145" t="s">
        <v>14178</v>
      </c>
      <c r="L6377" s="30">
        <v>368926935</v>
      </c>
      <c r="M6377" s="80" t="s">
        <v>3728</v>
      </c>
      <c r="N6377" s="80" t="s">
        <v>260</v>
      </c>
      <c r="O6377" s="80" t="s">
        <v>12457</v>
      </c>
      <c r="P6377" s="80" t="s">
        <v>11644</v>
      </c>
      <c r="Q6377" s="20">
        <v>9317</v>
      </c>
      <c r="R6377" s="80" t="s">
        <v>1989</v>
      </c>
      <c r="S6377" s="95">
        <f t="shared" si="183"/>
        <v>2000</v>
      </c>
      <c r="T6377" s="148" t="s">
        <v>12458</v>
      </c>
      <c r="U6377" s="95">
        <v>7067</v>
      </c>
      <c r="V6377" s="148">
        <v>45564</v>
      </c>
      <c r="W6377" s="85" t="s">
        <v>12459</v>
      </c>
      <c r="X6377" s="83">
        <v>250</v>
      </c>
      <c r="Y6377" s="22">
        <v>0</v>
      </c>
      <c r="Z6377" s="81" t="s">
        <v>50</v>
      </c>
      <c r="AA6377" s="82" t="s">
        <v>3291</v>
      </c>
      <c r="AB6377" s="80"/>
      <c r="AC6377" s="80" t="s">
        <v>53</v>
      </c>
      <c r="AD6377" s="80" t="s">
        <v>138</v>
      </c>
      <c r="AE6377" s="80" t="s">
        <v>14177</v>
      </c>
      <c r="AF6377" s="17">
        <v>45747</v>
      </c>
      <c r="AG6377" s="80"/>
      <c r="AH6377" s="80"/>
      <c r="AI6377" s="147" t="s">
        <v>64</v>
      </c>
      <c r="AJ6377" s="80"/>
      <c r="AK6377" s="80"/>
      <c r="AL6377" s="86"/>
      <c r="AM6377" s="86"/>
      <c r="AN6377" s="86"/>
      <c r="AO6377" s="86"/>
      <c r="AP6377" s="86"/>
    </row>
    <row r="6378" spans="1:42" x14ac:dyDescent="0.2">
      <c r="A6378" s="38">
        <v>45722</v>
      </c>
      <c r="B6378" s="28" t="s">
        <v>37</v>
      </c>
      <c r="C6378" s="41" t="s">
        <v>118</v>
      </c>
      <c r="D6378" s="80" t="s">
        <v>36</v>
      </c>
      <c r="E6378" s="80" t="s">
        <v>56</v>
      </c>
      <c r="F6378" s="80" t="s">
        <v>14177</v>
      </c>
      <c r="G6378" s="80" t="s">
        <v>221</v>
      </c>
      <c r="H6378" s="80" t="s">
        <v>20121</v>
      </c>
      <c r="I6378" s="17">
        <f ca="1">IFERROR(__xludf.DUMMYFUNCTION("""COMPUTED_VALUE"""),45747)</f>
        <v>45747</v>
      </c>
      <c r="J6378" s="143" t="s">
        <v>13071</v>
      </c>
      <c r="K6378" s="145" t="s">
        <v>13072</v>
      </c>
      <c r="L6378" s="30">
        <v>365138834</v>
      </c>
      <c r="M6378" s="80" t="s">
        <v>45</v>
      </c>
      <c r="N6378" s="80" t="s">
        <v>1472</v>
      </c>
      <c r="O6378" s="80" t="s">
        <v>13073</v>
      </c>
      <c r="P6378" s="80" t="s">
        <v>7743</v>
      </c>
      <c r="Q6378" s="20">
        <v>9317</v>
      </c>
      <c r="R6378" s="80" t="s">
        <v>36</v>
      </c>
      <c r="S6378" s="95">
        <v>9317</v>
      </c>
      <c r="T6378" s="148">
        <v>45547</v>
      </c>
      <c r="U6378" s="77"/>
      <c r="V6378" s="78"/>
      <c r="W6378" s="80" t="s">
        <v>13074</v>
      </c>
      <c r="X6378" s="83">
        <v>0</v>
      </c>
      <c r="Y6378" s="22">
        <v>0</v>
      </c>
      <c r="Z6378" s="81" t="s">
        <v>50</v>
      </c>
      <c r="AA6378" s="86" t="s">
        <v>3291</v>
      </c>
      <c r="AB6378" s="80"/>
      <c r="AC6378" s="80" t="s">
        <v>53</v>
      </c>
      <c r="AD6378" s="80" t="s">
        <v>138</v>
      </c>
      <c r="AE6378" s="80" t="s">
        <v>14177</v>
      </c>
      <c r="AF6378" s="17">
        <v>45747</v>
      </c>
      <c r="AG6378" s="80"/>
      <c r="AH6378" s="80"/>
      <c r="AI6378" s="147" t="s">
        <v>64</v>
      </c>
      <c r="AJ6378" s="80"/>
      <c r="AK6378" s="80"/>
      <c r="AL6378" s="86"/>
      <c r="AM6378" s="86"/>
      <c r="AN6378" s="86"/>
      <c r="AO6378" s="86"/>
      <c r="AP6378" s="86"/>
    </row>
    <row r="6379" spans="1:42" x14ac:dyDescent="0.2">
      <c r="A6379" s="38">
        <v>45722</v>
      </c>
      <c r="B6379" s="28" t="s">
        <v>37</v>
      </c>
      <c r="C6379" s="41" t="s">
        <v>118</v>
      </c>
      <c r="D6379" s="80" t="s">
        <v>36</v>
      </c>
      <c r="E6379" s="80" t="s">
        <v>56</v>
      </c>
      <c r="F6379" s="80" t="s">
        <v>14177</v>
      </c>
      <c r="G6379" s="80" t="s">
        <v>221</v>
      </c>
      <c r="H6379" s="80" t="s">
        <v>20121</v>
      </c>
      <c r="I6379" s="17">
        <f ca="1">IFERROR(__xludf.DUMMYFUNCTION("""COMPUTED_VALUE"""),45747)</f>
        <v>45747</v>
      </c>
      <c r="J6379" s="143" t="s">
        <v>9311</v>
      </c>
      <c r="K6379" s="145" t="s">
        <v>14191</v>
      </c>
      <c r="L6379" s="30">
        <v>373170479</v>
      </c>
      <c r="M6379" s="80" t="s">
        <v>59</v>
      </c>
      <c r="N6379" s="80" t="s">
        <v>68</v>
      </c>
      <c r="O6379" s="80" t="s">
        <v>9313</v>
      </c>
      <c r="P6379" s="80" t="s">
        <v>9314</v>
      </c>
      <c r="Q6379" s="20"/>
      <c r="R6379" s="80" t="s">
        <v>36</v>
      </c>
      <c r="S6379" s="95">
        <v>9317</v>
      </c>
      <c r="T6379" s="148">
        <v>45475</v>
      </c>
      <c r="U6379" s="77"/>
      <c r="V6379" s="78"/>
      <c r="W6379" s="85" t="s">
        <v>9315</v>
      </c>
      <c r="X6379" s="80"/>
      <c r="Y6379" s="22"/>
      <c r="Z6379" s="81" t="s">
        <v>50</v>
      </c>
      <c r="AA6379" s="82" t="s">
        <v>9070</v>
      </c>
      <c r="AB6379" s="80"/>
      <c r="AC6379" s="80" t="s">
        <v>53</v>
      </c>
      <c r="AD6379" s="80" t="s">
        <v>138</v>
      </c>
      <c r="AE6379" s="80" t="s">
        <v>14177</v>
      </c>
      <c r="AF6379" s="17">
        <v>45747</v>
      </c>
      <c r="AG6379" s="80"/>
      <c r="AH6379" s="80"/>
      <c r="AI6379" s="147"/>
      <c r="AJ6379" s="80"/>
      <c r="AK6379" s="80"/>
      <c r="AL6379" s="86"/>
      <c r="AM6379" s="86"/>
      <c r="AN6379" s="86"/>
      <c r="AO6379" s="86"/>
      <c r="AP6379" s="86"/>
    </row>
    <row r="6380" spans="1:42" x14ac:dyDescent="0.2">
      <c r="A6380" s="38">
        <v>45722</v>
      </c>
      <c r="B6380" s="28" t="s">
        <v>37</v>
      </c>
      <c r="C6380" s="41" t="s">
        <v>118</v>
      </c>
      <c r="D6380" s="80" t="s">
        <v>36</v>
      </c>
      <c r="E6380" s="80" t="s">
        <v>139</v>
      </c>
      <c r="F6380" s="80" t="s">
        <v>14177</v>
      </c>
      <c r="G6380" s="80" t="s">
        <v>221</v>
      </c>
      <c r="H6380" s="80" t="s">
        <v>20121</v>
      </c>
      <c r="I6380" s="17">
        <f ca="1">IFERROR(__xludf.DUMMYFUNCTION("""COMPUTED_VALUE"""),45747)</f>
        <v>45747</v>
      </c>
      <c r="J6380" s="143" t="s">
        <v>14337</v>
      </c>
      <c r="K6380" s="145" t="s">
        <v>14338</v>
      </c>
      <c r="L6380" s="30">
        <v>359783526</v>
      </c>
      <c r="M6380" s="80" t="s">
        <v>3728</v>
      </c>
      <c r="N6380" s="80" t="s">
        <v>8725</v>
      </c>
      <c r="O6380" s="80" t="s">
        <v>14339</v>
      </c>
      <c r="P6380" s="80" t="s">
        <v>12452</v>
      </c>
      <c r="Q6380" s="20">
        <v>15936</v>
      </c>
      <c r="R6380" s="80" t="s">
        <v>1106</v>
      </c>
      <c r="S6380" s="95">
        <v>2000</v>
      </c>
      <c r="T6380" s="148" t="s">
        <v>14340</v>
      </c>
      <c r="U6380" s="95">
        <v>13786</v>
      </c>
      <c r="V6380" s="148">
        <v>45575</v>
      </c>
      <c r="W6380" s="80" t="s">
        <v>14341</v>
      </c>
      <c r="X6380" s="80"/>
      <c r="Y6380" s="22">
        <v>150</v>
      </c>
      <c r="Z6380" s="81" t="s">
        <v>50</v>
      </c>
      <c r="AA6380" s="86"/>
      <c r="AB6380" s="80"/>
      <c r="AC6380" s="80" t="s">
        <v>53</v>
      </c>
      <c r="AD6380" s="80" t="s">
        <v>138</v>
      </c>
      <c r="AE6380" s="80" t="s">
        <v>14177</v>
      </c>
      <c r="AF6380" s="17">
        <v>45747</v>
      </c>
      <c r="AG6380" s="80"/>
      <c r="AH6380" s="80"/>
      <c r="AI6380" s="147"/>
      <c r="AJ6380" s="80"/>
      <c r="AK6380" s="80"/>
      <c r="AL6380" s="86"/>
      <c r="AM6380" s="86"/>
      <c r="AN6380" s="86"/>
      <c r="AO6380" s="86"/>
      <c r="AP6380" s="86"/>
    </row>
    <row r="6381" spans="1:42" x14ac:dyDescent="0.2">
      <c r="A6381" s="38">
        <v>45722</v>
      </c>
      <c r="B6381" s="28" t="s">
        <v>37</v>
      </c>
      <c r="C6381" s="41" t="s">
        <v>118</v>
      </c>
      <c r="D6381" s="80" t="s">
        <v>36</v>
      </c>
      <c r="E6381" s="80" t="s">
        <v>139</v>
      </c>
      <c r="F6381" s="80" t="s">
        <v>14177</v>
      </c>
      <c r="G6381" s="80" t="s">
        <v>221</v>
      </c>
      <c r="H6381" s="80" t="s">
        <v>20121</v>
      </c>
      <c r="I6381" s="17">
        <f ca="1">IFERROR(__xludf.DUMMYFUNCTION("""COMPUTED_VALUE"""),45747)</f>
        <v>45747</v>
      </c>
      <c r="J6381" s="143" t="s">
        <v>14367</v>
      </c>
      <c r="K6381" s="145" t="s">
        <v>10428</v>
      </c>
      <c r="L6381" s="30">
        <v>969047156</v>
      </c>
      <c r="M6381" s="80" t="s">
        <v>3728</v>
      </c>
      <c r="N6381" s="80" t="s">
        <v>8725</v>
      </c>
      <c r="O6381" s="80" t="s">
        <v>14368</v>
      </c>
      <c r="P6381" s="80" t="s">
        <v>12452</v>
      </c>
      <c r="Q6381" s="20">
        <v>15936</v>
      </c>
      <c r="R6381" s="80" t="s">
        <v>1106</v>
      </c>
      <c r="S6381" s="178">
        <f t="shared" ref="S6381:S6382" si="184">150+1850</f>
        <v>2000</v>
      </c>
      <c r="T6381" s="148" t="s">
        <v>14340</v>
      </c>
      <c r="U6381" s="95">
        <v>13786</v>
      </c>
      <c r="V6381" s="148">
        <v>45570</v>
      </c>
      <c r="W6381" s="85" t="s">
        <v>14369</v>
      </c>
      <c r="X6381" s="80"/>
      <c r="Y6381" s="22">
        <v>150</v>
      </c>
      <c r="Z6381" s="81" t="s">
        <v>50</v>
      </c>
      <c r="AA6381" s="82"/>
      <c r="AB6381" s="80"/>
      <c r="AC6381" s="80" t="s">
        <v>53</v>
      </c>
      <c r="AD6381" s="80" t="s">
        <v>138</v>
      </c>
      <c r="AE6381" s="80" t="s">
        <v>14177</v>
      </c>
      <c r="AF6381" s="17">
        <v>45747</v>
      </c>
      <c r="AG6381" s="80"/>
      <c r="AH6381" s="80"/>
      <c r="AI6381" s="147"/>
      <c r="AJ6381" s="80"/>
      <c r="AK6381" s="80"/>
      <c r="AL6381" s="86"/>
      <c r="AM6381" s="86"/>
      <c r="AN6381" s="86"/>
      <c r="AO6381" s="86"/>
      <c r="AP6381" s="86"/>
    </row>
    <row r="6382" spans="1:42" x14ac:dyDescent="0.2">
      <c r="A6382" s="38">
        <v>45722</v>
      </c>
      <c r="B6382" s="28" t="s">
        <v>37</v>
      </c>
      <c r="C6382" s="41" t="s">
        <v>118</v>
      </c>
      <c r="D6382" s="80" t="s">
        <v>36</v>
      </c>
      <c r="E6382" s="80" t="s">
        <v>139</v>
      </c>
      <c r="F6382" s="80" t="s">
        <v>14177</v>
      </c>
      <c r="G6382" s="80" t="s">
        <v>221</v>
      </c>
      <c r="H6382" s="80" t="s">
        <v>20121</v>
      </c>
      <c r="I6382" s="17">
        <f ca="1">IFERROR(__xludf.DUMMYFUNCTION("""COMPUTED_VALUE"""),45747)</f>
        <v>45747</v>
      </c>
      <c r="J6382" s="143" t="s">
        <v>14393</v>
      </c>
      <c r="K6382" s="145" t="s">
        <v>14394</v>
      </c>
      <c r="L6382" s="30">
        <v>364550655</v>
      </c>
      <c r="M6382" s="80" t="s">
        <v>3728</v>
      </c>
      <c r="N6382" s="80" t="s">
        <v>5312</v>
      </c>
      <c r="O6382" s="80" t="s">
        <v>14395</v>
      </c>
      <c r="P6382" s="80" t="s">
        <v>12452</v>
      </c>
      <c r="Q6382" s="20">
        <v>15936</v>
      </c>
      <c r="R6382" s="80" t="s">
        <v>1106</v>
      </c>
      <c r="S6382" s="95">
        <f t="shared" si="184"/>
        <v>2000</v>
      </c>
      <c r="T6382" s="148" t="s">
        <v>14396</v>
      </c>
      <c r="U6382" s="95">
        <v>13786</v>
      </c>
      <c r="V6382" s="148">
        <v>45570</v>
      </c>
      <c r="W6382" s="85" t="s">
        <v>14397</v>
      </c>
      <c r="X6382" s="80"/>
      <c r="Y6382" s="22">
        <v>150</v>
      </c>
      <c r="Z6382" s="81" t="s">
        <v>50</v>
      </c>
      <c r="AA6382" s="86"/>
      <c r="AB6382" s="80"/>
      <c r="AC6382" s="80" t="s">
        <v>53</v>
      </c>
      <c r="AD6382" s="80" t="s">
        <v>138</v>
      </c>
      <c r="AE6382" s="80" t="s">
        <v>14177</v>
      </c>
      <c r="AF6382" s="17">
        <v>45747</v>
      </c>
      <c r="AG6382" s="80"/>
      <c r="AH6382" s="80"/>
      <c r="AI6382" s="147"/>
      <c r="AJ6382" s="80"/>
      <c r="AK6382" s="80"/>
      <c r="AL6382" s="86"/>
      <c r="AM6382" s="86"/>
      <c r="AN6382" s="86"/>
      <c r="AO6382" s="86"/>
      <c r="AP6382" s="86"/>
    </row>
    <row r="6383" spans="1:42" x14ac:dyDescent="0.2">
      <c r="A6383" s="38">
        <v>45722</v>
      </c>
      <c r="B6383" s="28" t="s">
        <v>37</v>
      </c>
      <c r="C6383" s="41" t="s">
        <v>118</v>
      </c>
      <c r="D6383" s="80" t="s">
        <v>36</v>
      </c>
      <c r="E6383" s="80" t="s">
        <v>56</v>
      </c>
      <c r="F6383" s="80" t="s">
        <v>14177</v>
      </c>
      <c r="G6383" s="80" t="s">
        <v>221</v>
      </c>
      <c r="H6383" s="80" t="s">
        <v>20121</v>
      </c>
      <c r="I6383" s="17">
        <f ca="1">IFERROR(__xludf.DUMMYFUNCTION("""COMPUTED_VALUE"""),45747)</f>
        <v>45747</v>
      </c>
      <c r="J6383" s="143" t="s">
        <v>12449</v>
      </c>
      <c r="K6383" s="145" t="s">
        <v>1842</v>
      </c>
      <c r="L6383" s="30">
        <v>388354043</v>
      </c>
      <c r="M6383" s="80" t="s">
        <v>3728</v>
      </c>
      <c r="N6383" s="80" t="s">
        <v>5277</v>
      </c>
      <c r="O6383" s="80" t="s">
        <v>12451</v>
      </c>
      <c r="P6383" s="80" t="s">
        <v>12452</v>
      </c>
      <c r="Q6383" s="20">
        <v>9317</v>
      </c>
      <c r="R6383" s="80" t="s">
        <v>1989</v>
      </c>
      <c r="S6383" s="95">
        <f>200+1800</f>
        <v>2000</v>
      </c>
      <c r="T6383" s="148" t="s">
        <v>12453</v>
      </c>
      <c r="U6383" s="95">
        <v>7067</v>
      </c>
      <c r="V6383" s="148">
        <v>45564</v>
      </c>
      <c r="W6383" s="85" t="s">
        <v>12454</v>
      </c>
      <c r="X6383" s="83">
        <v>250</v>
      </c>
      <c r="Y6383" s="22">
        <v>0</v>
      </c>
      <c r="Z6383" s="81" t="s">
        <v>50</v>
      </c>
      <c r="AA6383" s="82" t="s">
        <v>3291</v>
      </c>
      <c r="AB6383" s="80"/>
      <c r="AC6383" s="80" t="s">
        <v>53</v>
      </c>
      <c r="AD6383" s="80" t="s">
        <v>138</v>
      </c>
      <c r="AE6383" s="80" t="s">
        <v>14177</v>
      </c>
      <c r="AF6383" s="17">
        <v>45747</v>
      </c>
      <c r="AG6383" s="80"/>
      <c r="AH6383" s="80"/>
      <c r="AI6383" s="147" t="s">
        <v>64</v>
      </c>
      <c r="AJ6383" s="80"/>
      <c r="AK6383" s="80"/>
      <c r="AL6383" s="86"/>
      <c r="AM6383" s="86"/>
      <c r="AN6383" s="86"/>
      <c r="AO6383" s="86"/>
      <c r="AP6383" s="86"/>
    </row>
    <row r="6384" spans="1:42" x14ac:dyDescent="0.2">
      <c r="A6384" s="38">
        <v>45722</v>
      </c>
      <c r="B6384" s="137" t="s">
        <v>37</v>
      </c>
      <c r="C6384" s="41" t="s">
        <v>118</v>
      </c>
      <c r="D6384" s="80" t="s">
        <v>36</v>
      </c>
      <c r="E6384" s="80" t="s">
        <v>139</v>
      </c>
      <c r="F6384" s="80" t="s">
        <v>14177</v>
      </c>
      <c r="G6384" s="80" t="s">
        <v>221</v>
      </c>
      <c r="H6384" s="80" t="s">
        <v>20366</v>
      </c>
      <c r="I6384" s="17">
        <f ca="1">IFERROR(__xludf.DUMMYFUNCTION("""COMPUTED_VALUE"""),45915)</f>
        <v>45915</v>
      </c>
      <c r="J6384" s="143" t="s">
        <v>20367</v>
      </c>
      <c r="K6384" s="145" t="s">
        <v>20368</v>
      </c>
      <c r="L6384" s="30">
        <v>334683286</v>
      </c>
      <c r="M6384" s="80" t="s">
        <v>3498</v>
      </c>
      <c r="N6384" s="80" t="s">
        <v>2756</v>
      </c>
      <c r="O6384" s="80" t="s">
        <v>4503</v>
      </c>
      <c r="P6384" s="80" t="s">
        <v>3694</v>
      </c>
      <c r="Q6384" s="20">
        <v>15936</v>
      </c>
      <c r="R6384" s="80" t="s">
        <v>36</v>
      </c>
      <c r="S6384" s="95">
        <v>2200</v>
      </c>
      <c r="T6384" s="148">
        <v>45548</v>
      </c>
      <c r="U6384" s="95">
        <v>13736</v>
      </c>
      <c r="V6384" s="148">
        <v>45570</v>
      </c>
      <c r="W6384" s="80" t="s">
        <v>15194</v>
      </c>
      <c r="X6384" s="80"/>
      <c r="Y6384" s="22">
        <v>0</v>
      </c>
      <c r="Z6384" s="81" t="s">
        <v>50</v>
      </c>
      <c r="AA6384" s="86" t="s">
        <v>9905</v>
      </c>
      <c r="AB6384" s="80"/>
      <c r="AC6384" s="80" t="s">
        <v>53</v>
      </c>
      <c r="AD6384" s="80" t="s">
        <v>138</v>
      </c>
      <c r="AE6384" s="80" t="s">
        <v>14177</v>
      </c>
      <c r="AF6384" s="17">
        <v>45747</v>
      </c>
      <c r="AG6384" s="80" t="s">
        <v>8366</v>
      </c>
      <c r="AH6384" s="80"/>
      <c r="AI6384" s="147"/>
      <c r="AJ6384" s="80"/>
      <c r="AK6384" s="80"/>
      <c r="AL6384" s="86"/>
      <c r="AM6384" s="86"/>
      <c r="AN6384" s="86"/>
      <c r="AO6384" s="86"/>
      <c r="AP6384" s="86"/>
    </row>
    <row r="6385" spans="1:42" x14ac:dyDescent="0.2">
      <c r="A6385" s="38">
        <v>45722</v>
      </c>
      <c r="B6385" s="137" t="s">
        <v>37</v>
      </c>
      <c r="C6385" s="41" t="s">
        <v>118</v>
      </c>
      <c r="D6385" s="80" t="s">
        <v>36</v>
      </c>
      <c r="E6385" s="80" t="s">
        <v>139</v>
      </c>
      <c r="F6385" s="80" t="s">
        <v>14177</v>
      </c>
      <c r="G6385" s="80" t="s">
        <v>221</v>
      </c>
      <c r="H6385" s="80" t="s">
        <v>20121</v>
      </c>
      <c r="I6385" s="17">
        <f ca="1">IFERROR(__xludf.DUMMYFUNCTION("""COMPUTED_VALUE"""),45747)</f>
        <v>45747</v>
      </c>
      <c r="J6385" s="143" t="s">
        <v>13249</v>
      </c>
      <c r="K6385" s="145" t="s">
        <v>13250</v>
      </c>
      <c r="L6385" s="30">
        <v>327740228</v>
      </c>
      <c r="M6385" s="80" t="s">
        <v>59</v>
      </c>
      <c r="N6385" s="80" t="s">
        <v>11476</v>
      </c>
      <c r="O6385" s="80" t="s">
        <v>13251</v>
      </c>
      <c r="P6385" s="80" t="s">
        <v>12687</v>
      </c>
      <c r="Q6385" s="20">
        <v>15936</v>
      </c>
      <c r="R6385" s="80" t="s">
        <v>70</v>
      </c>
      <c r="S6385" s="95">
        <f>200+5000+4000</f>
        <v>9200</v>
      </c>
      <c r="T6385" s="148" t="s">
        <v>13252</v>
      </c>
      <c r="U6385" s="95">
        <f>6536+100</f>
        <v>6636</v>
      </c>
      <c r="V6385" s="148">
        <v>45553</v>
      </c>
      <c r="W6385" s="85" t="s">
        <v>13253</v>
      </c>
      <c r="X6385" s="83">
        <v>100</v>
      </c>
      <c r="Y6385" s="22">
        <v>0</v>
      </c>
      <c r="Z6385" s="81" t="s">
        <v>50</v>
      </c>
      <c r="AA6385" s="82" t="s">
        <v>3291</v>
      </c>
      <c r="AB6385" s="80"/>
      <c r="AC6385" s="80" t="s">
        <v>53</v>
      </c>
      <c r="AD6385" s="80" t="s">
        <v>138</v>
      </c>
      <c r="AE6385" s="80" t="s">
        <v>14177</v>
      </c>
      <c r="AF6385" s="17">
        <v>45747</v>
      </c>
      <c r="AG6385" s="80"/>
      <c r="AH6385" s="80"/>
      <c r="AI6385" s="147" t="s">
        <v>147</v>
      </c>
      <c r="AJ6385" s="80"/>
      <c r="AK6385" s="80"/>
      <c r="AL6385" s="86"/>
      <c r="AM6385" s="86"/>
      <c r="AN6385" s="86"/>
      <c r="AO6385" s="86"/>
      <c r="AP6385" s="86"/>
    </row>
    <row r="6386" spans="1:42" x14ac:dyDescent="0.2">
      <c r="A6386" s="38">
        <v>45722</v>
      </c>
      <c r="B6386" s="137" t="s">
        <v>37</v>
      </c>
      <c r="C6386" s="41" t="s">
        <v>118</v>
      </c>
      <c r="D6386" s="80" t="s">
        <v>36</v>
      </c>
      <c r="E6386" s="80" t="s">
        <v>139</v>
      </c>
      <c r="F6386" s="80" t="s">
        <v>14177</v>
      </c>
      <c r="G6386" s="80" t="s">
        <v>221</v>
      </c>
      <c r="H6386" s="80" t="s">
        <v>19616</v>
      </c>
      <c r="I6386" s="17">
        <f ca="1">IFERROR(__xludf.DUMMYFUNCTION("""COMPUTED_VALUE"""),45727)</f>
        <v>45727</v>
      </c>
      <c r="J6386" s="143" t="s">
        <v>13122</v>
      </c>
      <c r="K6386" s="145" t="s">
        <v>20369</v>
      </c>
      <c r="L6386" s="30">
        <v>816520105</v>
      </c>
      <c r="M6386" s="80" t="s">
        <v>348</v>
      </c>
      <c r="N6386" s="80" t="s">
        <v>68</v>
      </c>
      <c r="O6386" s="80" t="s">
        <v>11399</v>
      </c>
      <c r="P6386" s="80" t="s">
        <v>12687</v>
      </c>
      <c r="Q6386" s="20">
        <v>15936</v>
      </c>
      <c r="R6386" s="80" t="s">
        <v>36</v>
      </c>
      <c r="S6386" s="95">
        <f>200+15736</f>
        <v>15936</v>
      </c>
      <c r="T6386" s="148" t="s">
        <v>13124</v>
      </c>
      <c r="U6386" s="77"/>
      <c r="V6386" s="78"/>
      <c r="W6386" s="85" t="s">
        <v>13125</v>
      </c>
      <c r="X6386" s="83">
        <v>0</v>
      </c>
      <c r="Y6386" s="22">
        <v>0</v>
      </c>
      <c r="Z6386" s="81" t="s">
        <v>50</v>
      </c>
      <c r="AA6386" s="86" t="s">
        <v>3291</v>
      </c>
      <c r="AB6386" s="80"/>
      <c r="AC6386" s="80" t="s">
        <v>53</v>
      </c>
      <c r="AD6386" s="80" t="s">
        <v>138</v>
      </c>
      <c r="AE6386" s="80" t="s">
        <v>14177</v>
      </c>
      <c r="AF6386" s="17">
        <v>45727</v>
      </c>
      <c r="AG6386" s="80"/>
      <c r="AH6386" s="80"/>
      <c r="AI6386" s="147" t="s">
        <v>147</v>
      </c>
      <c r="AJ6386" s="80"/>
      <c r="AK6386" s="80"/>
      <c r="AL6386" s="86"/>
      <c r="AM6386" s="86"/>
      <c r="AN6386" s="86"/>
      <c r="AO6386" s="86"/>
      <c r="AP6386" s="86"/>
    </row>
    <row r="6387" spans="1:42" x14ac:dyDescent="0.2">
      <c r="A6387" s="38">
        <v>45722</v>
      </c>
      <c r="B6387" s="137" t="s">
        <v>37</v>
      </c>
      <c r="C6387" s="41" t="s">
        <v>118</v>
      </c>
      <c r="D6387" s="80" t="s">
        <v>77</v>
      </c>
      <c r="E6387" s="80" t="s">
        <v>148</v>
      </c>
      <c r="F6387" s="80" t="s">
        <v>14177</v>
      </c>
      <c r="G6387" s="80" t="s">
        <v>221</v>
      </c>
      <c r="H6387" s="80" t="s">
        <v>18302</v>
      </c>
      <c r="I6387" s="17">
        <f ca="1">IFERROR(__xludf.DUMMYFUNCTION("""COMPUTED_VALUE"""),45755)</f>
        <v>45755</v>
      </c>
      <c r="J6387" s="143" t="s">
        <v>11680</v>
      </c>
      <c r="K6387" s="145" t="s">
        <v>11681</v>
      </c>
      <c r="L6387" s="30">
        <v>338184763</v>
      </c>
      <c r="M6387" s="80" t="s">
        <v>11413</v>
      </c>
      <c r="N6387" s="80" t="s">
        <v>1246</v>
      </c>
      <c r="O6387" s="80" t="s">
        <v>11682</v>
      </c>
      <c r="P6387" s="144" t="s">
        <v>11683</v>
      </c>
      <c r="Q6387" s="20">
        <v>7349</v>
      </c>
      <c r="R6387" s="80" t="s">
        <v>36</v>
      </c>
      <c r="S6387" s="95">
        <v>7349</v>
      </c>
      <c r="T6387" s="148">
        <v>45611</v>
      </c>
      <c r="U6387" s="77"/>
      <c r="V6387" s="78"/>
      <c r="W6387" s="85" t="s">
        <v>18036</v>
      </c>
      <c r="X6387" s="80"/>
      <c r="Y6387" s="22">
        <v>0</v>
      </c>
      <c r="Z6387" s="81" t="s">
        <v>50</v>
      </c>
      <c r="AA6387" s="82" t="s">
        <v>14723</v>
      </c>
      <c r="AB6387" s="80"/>
      <c r="AC6387" s="80" t="s">
        <v>53</v>
      </c>
      <c r="AD6387" s="80" t="s">
        <v>138</v>
      </c>
      <c r="AE6387" s="80" t="s">
        <v>14177</v>
      </c>
      <c r="AF6387" s="17">
        <v>45743</v>
      </c>
      <c r="AG6387" s="80"/>
      <c r="AH6387" s="80"/>
      <c r="AI6387" s="147"/>
      <c r="AJ6387" s="80"/>
      <c r="AK6387" s="80"/>
      <c r="AL6387" s="86"/>
      <c r="AM6387" s="86"/>
      <c r="AN6387" s="86"/>
      <c r="AO6387" s="86"/>
      <c r="AP6387" s="86"/>
    </row>
    <row r="6388" spans="1:42" x14ac:dyDescent="0.2">
      <c r="A6388" s="38">
        <v>45722</v>
      </c>
      <c r="B6388" s="137" t="s">
        <v>37</v>
      </c>
      <c r="C6388" s="41" t="s">
        <v>118</v>
      </c>
      <c r="D6388" s="80" t="s">
        <v>36</v>
      </c>
      <c r="E6388" s="80" t="s">
        <v>139</v>
      </c>
      <c r="F6388" s="80" t="s">
        <v>14177</v>
      </c>
      <c r="G6388" s="80" t="s">
        <v>221</v>
      </c>
      <c r="H6388" s="80" t="s">
        <v>19526</v>
      </c>
      <c r="I6388" s="17">
        <f ca="1">IFERROR(__xludf.DUMMYFUNCTION("""COMPUTED_VALUE"""),45804)</f>
        <v>45804</v>
      </c>
      <c r="J6388" s="143" t="s">
        <v>15401</v>
      </c>
      <c r="K6388" s="145" t="s">
        <v>20370</v>
      </c>
      <c r="L6388" s="30">
        <v>969298119</v>
      </c>
      <c r="M6388" s="80" t="s">
        <v>9422</v>
      </c>
      <c r="N6388" s="80" t="s">
        <v>327</v>
      </c>
      <c r="O6388" s="80" t="s">
        <v>11607</v>
      </c>
      <c r="P6388" s="80" t="s">
        <v>11608</v>
      </c>
      <c r="Q6388" s="20">
        <v>15936</v>
      </c>
      <c r="R6388" s="80" t="s">
        <v>11421</v>
      </c>
      <c r="S6388" s="95">
        <v>1968</v>
      </c>
      <c r="T6388" s="148">
        <v>45555</v>
      </c>
      <c r="U6388" s="95">
        <v>13668</v>
      </c>
      <c r="V6388" s="148">
        <v>45571</v>
      </c>
      <c r="W6388" s="80"/>
      <c r="X6388" s="80"/>
      <c r="Y6388" s="22">
        <v>300</v>
      </c>
      <c r="Z6388" s="41" t="s">
        <v>118</v>
      </c>
      <c r="AA6388" s="86" t="s">
        <v>18243</v>
      </c>
      <c r="AB6388" s="80"/>
      <c r="AC6388" s="80" t="s">
        <v>53</v>
      </c>
      <c r="AD6388" s="80" t="s">
        <v>138</v>
      </c>
      <c r="AE6388" s="80" t="s">
        <v>14177</v>
      </c>
      <c r="AF6388" s="17">
        <v>45727</v>
      </c>
      <c r="AG6388" s="80"/>
      <c r="AH6388" s="80"/>
      <c r="AI6388" s="147"/>
      <c r="AJ6388" s="80"/>
      <c r="AK6388" s="80"/>
      <c r="AL6388" s="86"/>
      <c r="AM6388" s="86"/>
      <c r="AN6388" s="86"/>
      <c r="AO6388" s="86"/>
      <c r="AP6388" s="86"/>
    </row>
    <row r="6389" spans="1:42" x14ac:dyDescent="0.2">
      <c r="A6389" s="38">
        <v>45722</v>
      </c>
      <c r="B6389" s="28" t="s">
        <v>37</v>
      </c>
      <c r="C6389" s="41" t="s">
        <v>118</v>
      </c>
      <c r="D6389" s="80" t="s">
        <v>36</v>
      </c>
      <c r="E6389" s="80" t="s">
        <v>139</v>
      </c>
      <c r="F6389" s="80" t="s">
        <v>14542</v>
      </c>
      <c r="G6389" s="80" t="s">
        <v>221</v>
      </c>
      <c r="H6389" s="80" t="s">
        <v>20371</v>
      </c>
      <c r="I6389" s="17">
        <f ca="1">IFERROR(__xludf.DUMMYFUNCTION("""COMPUTED_VALUE"""),45905)</f>
        <v>45905</v>
      </c>
      <c r="J6389" s="143" t="s">
        <v>14554</v>
      </c>
      <c r="K6389" s="80" t="s">
        <v>20372</v>
      </c>
      <c r="L6389" s="30">
        <v>343127749</v>
      </c>
      <c r="M6389" s="80" t="s">
        <v>80</v>
      </c>
      <c r="N6389" s="80" t="s">
        <v>1073</v>
      </c>
      <c r="O6389" s="80" t="s">
        <v>14556</v>
      </c>
      <c r="P6389" s="80" t="s">
        <v>20373</v>
      </c>
      <c r="Q6389" s="20">
        <v>15936</v>
      </c>
      <c r="R6389" s="80" t="s">
        <v>36</v>
      </c>
      <c r="S6389" s="95">
        <f>170+8030</f>
        <v>8200</v>
      </c>
      <c r="T6389" s="83" t="s">
        <v>14557</v>
      </c>
      <c r="U6389" s="95">
        <v>7736</v>
      </c>
      <c r="V6389" s="148">
        <v>45588</v>
      </c>
      <c r="W6389" s="85" t="s">
        <v>14558</v>
      </c>
      <c r="X6389" s="26"/>
      <c r="Y6389" s="22">
        <v>0</v>
      </c>
      <c r="Z6389" s="26" t="s">
        <v>50</v>
      </c>
      <c r="AA6389" s="96"/>
      <c r="AB6389" s="26"/>
      <c r="AC6389" s="80" t="s">
        <v>53</v>
      </c>
      <c r="AD6389" s="80" t="s">
        <v>138</v>
      </c>
      <c r="AE6389" s="80" t="s">
        <v>14542</v>
      </c>
      <c r="AF6389" s="17">
        <v>45910</v>
      </c>
      <c r="AG6389" s="80" t="s">
        <v>20374</v>
      </c>
      <c r="AH6389" s="26"/>
      <c r="AI6389" s="40"/>
      <c r="AJ6389" s="26"/>
      <c r="AK6389" s="26"/>
      <c r="AL6389" s="35"/>
      <c r="AM6389" s="35"/>
      <c r="AN6389" s="35"/>
      <c r="AO6389" s="35"/>
      <c r="AP6389" s="35"/>
    </row>
    <row r="6390" spans="1:42" x14ac:dyDescent="0.2">
      <c r="A6390" s="38">
        <v>45722</v>
      </c>
      <c r="B6390" s="137" t="s">
        <v>37</v>
      </c>
      <c r="C6390" s="41" t="s">
        <v>118</v>
      </c>
      <c r="D6390" s="80" t="s">
        <v>36</v>
      </c>
      <c r="E6390" s="80" t="s">
        <v>139</v>
      </c>
      <c r="F6390" s="80" t="s">
        <v>12857</v>
      </c>
      <c r="G6390" s="80" t="s">
        <v>221</v>
      </c>
      <c r="H6390" s="80" t="s">
        <v>20375</v>
      </c>
      <c r="I6390" s="17">
        <f ca="1">IFERROR(__xludf.DUMMYFUNCTION("""COMPUTED_VALUE"""),45730)</f>
        <v>45730</v>
      </c>
      <c r="J6390" s="143" t="s">
        <v>14184</v>
      </c>
      <c r="K6390" s="80" t="s">
        <v>20376</v>
      </c>
      <c r="L6390" s="30">
        <v>386460018</v>
      </c>
      <c r="M6390" s="80" t="s">
        <v>12644</v>
      </c>
      <c r="N6390" s="80" t="s">
        <v>8725</v>
      </c>
      <c r="O6390" s="80" t="s">
        <v>14186</v>
      </c>
      <c r="P6390" s="80" t="s">
        <v>14187</v>
      </c>
      <c r="Q6390" s="20">
        <v>15936</v>
      </c>
      <c r="R6390" s="80" t="s">
        <v>36</v>
      </c>
      <c r="S6390" s="95">
        <v>2000</v>
      </c>
      <c r="T6390" s="148">
        <v>45540</v>
      </c>
      <c r="U6390" s="95">
        <v>14000</v>
      </c>
      <c r="V6390" s="148">
        <v>45576</v>
      </c>
      <c r="W6390" s="85" t="s">
        <v>14188</v>
      </c>
      <c r="X6390" s="80"/>
      <c r="Y6390" s="22">
        <v>-64</v>
      </c>
      <c r="Z6390" s="80" t="s">
        <v>50</v>
      </c>
      <c r="AA6390" s="86"/>
      <c r="AB6390" s="80"/>
      <c r="AC6390" s="80" t="s">
        <v>53</v>
      </c>
      <c r="AD6390" s="80" t="s">
        <v>54</v>
      </c>
      <c r="AE6390" s="80" t="s">
        <v>12857</v>
      </c>
      <c r="AF6390" s="17">
        <v>45730</v>
      </c>
      <c r="AG6390" s="80"/>
      <c r="AH6390" s="80"/>
      <c r="AI6390" s="147"/>
      <c r="AJ6390" s="80"/>
      <c r="AK6390" s="80"/>
      <c r="AL6390" s="35"/>
      <c r="AM6390" s="35"/>
      <c r="AN6390" s="35"/>
      <c r="AO6390" s="35"/>
      <c r="AP6390" s="35"/>
    </row>
    <row r="6391" spans="1:42" x14ac:dyDescent="0.2">
      <c r="A6391" s="38">
        <v>45722</v>
      </c>
      <c r="B6391" s="137" t="s">
        <v>37</v>
      </c>
      <c r="C6391" s="41" t="s">
        <v>118</v>
      </c>
      <c r="D6391" s="80" t="s">
        <v>36</v>
      </c>
      <c r="E6391" s="80" t="s">
        <v>139</v>
      </c>
      <c r="F6391" s="80" t="s">
        <v>14637</v>
      </c>
      <c r="G6391" s="161" t="s">
        <v>221</v>
      </c>
      <c r="H6391" s="80" t="s">
        <v>13760</v>
      </c>
      <c r="I6391" s="17">
        <f ca="1">IFERROR(__xludf.DUMMYFUNCTION("""COMPUTED_VALUE"""),45810)</f>
        <v>45810</v>
      </c>
      <c r="J6391" s="143" t="s">
        <v>14640</v>
      </c>
      <c r="K6391" s="145" t="s">
        <v>20377</v>
      </c>
      <c r="L6391" s="30">
        <v>945715066</v>
      </c>
      <c r="M6391" s="80" t="s">
        <v>123</v>
      </c>
      <c r="N6391" s="80" t="s">
        <v>2847</v>
      </c>
      <c r="O6391" s="80" t="s">
        <v>4503</v>
      </c>
      <c r="P6391" s="144" t="s">
        <v>14642</v>
      </c>
      <c r="Q6391" s="20">
        <v>15936</v>
      </c>
      <c r="R6391" s="80" t="s">
        <v>36</v>
      </c>
      <c r="S6391" s="95">
        <f>200+3000</f>
        <v>3200</v>
      </c>
      <c r="T6391" s="148" t="s">
        <v>14643</v>
      </c>
      <c r="U6391" s="95">
        <v>12736</v>
      </c>
      <c r="V6391" s="148">
        <v>45545</v>
      </c>
      <c r="W6391" s="85" t="s">
        <v>14644</v>
      </c>
      <c r="X6391" s="80"/>
      <c r="Y6391" s="22">
        <v>0</v>
      </c>
      <c r="Z6391" s="81" t="s">
        <v>50</v>
      </c>
      <c r="AA6391" s="82"/>
      <c r="AB6391" s="80"/>
      <c r="AC6391" s="80" t="s">
        <v>53</v>
      </c>
      <c r="AD6391" s="80" t="s">
        <v>54</v>
      </c>
      <c r="AE6391" s="80" t="s">
        <v>14637</v>
      </c>
      <c r="AF6391" s="17">
        <v>45727</v>
      </c>
      <c r="AG6391" s="80"/>
      <c r="AH6391" s="80"/>
      <c r="AI6391" s="147"/>
      <c r="AJ6391" s="80"/>
      <c r="AK6391" s="80"/>
      <c r="AL6391" s="86"/>
      <c r="AM6391" s="86"/>
      <c r="AN6391" s="86"/>
      <c r="AO6391" s="86"/>
      <c r="AP6391" s="86"/>
    </row>
    <row r="6392" spans="1:42" x14ac:dyDescent="0.2">
      <c r="A6392" s="38">
        <v>45722</v>
      </c>
      <c r="B6392" s="137" t="s">
        <v>37</v>
      </c>
      <c r="C6392" s="41" t="s">
        <v>118</v>
      </c>
      <c r="D6392" s="80" t="s">
        <v>36</v>
      </c>
      <c r="E6392" s="80" t="s">
        <v>56</v>
      </c>
      <c r="F6392" s="80" t="s">
        <v>14637</v>
      </c>
      <c r="G6392" s="161" t="s">
        <v>221</v>
      </c>
      <c r="H6392" s="80" t="s">
        <v>20375</v>
      </c>
      <c r="I6392" s="17">
        <f ca="1">IFERROR(__xludf.DUMMYFUNCTION("""COMPUTED_VALUE"""),45730)</f>
        <v>45730</v>
      </c>
      <c r="J6392" s="143" t="s">
        <v>14645</v>
      </c>
      <c r="K6392" s="145" t="s">
        <v>14646</v>
      </c>
      <c r="L6392" s="30">
        <v>987451396</v>
      </c>
      <c r="M6392" s="80" t="s">
        <v>5429</v>
      </c>
      <c r="N6392" s="80" t="s">
        <v>81</v>
      </c>
      <c r="O6392" s="80" t="s">
        <v>14647</v>
      </c>
      <c r="P6392" s="144" t="s">
        <v>14648</v>
      </c>
      <c r="Q6392" s="20">
        <v>9317</v>
      </c>
      <c r="R6392" s="80" t="s">
        <v>36</v>
      </c>
      <c r="S6392" s="95">
        <v>2000</v>
      </c>
      <c r="T6392" s="148">
        <v>45542</v>
      </c>
      <c r="U6392" s="95">
        <v>7317</v>
      </c>
      <c r="V6392" s="148">
        <v>45575</v>
      </c>
      <c r="W6392" s="85" t="s">
        <v>14649</v>
      </c>
      <c r="X6392" s="80"/>
      <c r="Y6392" s="22">
        <v>0</v>
      </c>
      <c r="Z6392" s="81" t="s">
        <v>50</v>
      </c>
      <c r="AA6392" s="86"/>
      <c r="AB6392" s="80"/>
      <c r="AC6392" s="80"/>
      <c r="AD6392" s="80" t="s">
        <v>54</v>
      </c>
      <c r="AE6392" s="80" t="s">
        <v>14637</v>
      </c>
      <c r="AF6392" s="17">
        <v>45727</v>
      </c>
      <c r="AG6392" s="80"/>
      <c r="AH6392" s="80"/>
      <c r="AI6392" s="147"/>
      <c r="AJ6392" s="80"/>
      <c r="AK6392" s="80"/>
      <c r="AL6392" s="86"/>
      <c r="AM6392" s="86"/>
      <c r="AN6392" s="86"/>
      <c r="AO6392" s="86"/>
      <c r="AP6392" s="86"/>
    </row>
    <row r="6393" spans="1:42" x14ac:dyDescent="0.2">
      <c r="A6393" s="38">
        <v>45722</v>
      </c>
      <c r="B6393" s="137" t="s">
        <v>37</v>
      </c>
      <c r="C6393" s="41" t="s">
        <v>118</v>
      </c>
      <c r="D6393" s="80" t="s">
        <v>36</v>
      </c>
      <c r="E6393" s="80" t="s">
        <v>56</v>
      </c>
      <c r="F6393" s="80" t="s">
        <v>14637</v>
      </c>
      <c r="G6393" s="161" t="s">
        <v>221</v>
      </c>
      <c r="H6393" s="80" t="s">
        <v>20375</v>
      </c>
      <c r="I6393" s="17">
        <f ca="1">IFERROR(__xludf.DUMMYFUNCTION("""COMPUTED_VALUE"""),45730)</f>
        <v>45730</v>
      </c>
      <c r="J6393" s="143" t="s">
        <v>14650</v>
      </c>
      <c r="K6393" s="145" t="s">
        <v>14651</v>
      </c>
      <c r="L6393" s="30">
        <v>905956179</v>
      </c>
      <c r="M6393" s="80" t="s">
        <v>348</v>
      </c>
      <c r="N6393" s="80" t="s">
        <v>68</v>
      </c>
      <c r="O6393" s="80" t="s">
        <v>11399</v>
      </c>
      <c r="P6393" s="144" t="s">
        <v>14652</v>
      </c>
      <c r="Q6393" s="20">
        <v>9317</v>
      </c>
      <c r="R6393" s="80" t="s">
        <v>36</v>
      </c>
      <c r="S6393" s="95">
        <v>2000</v>
      </c>
      <c r="T6393" s="148">
        <v>45541</v>
      </c>
      <c r="U6393" s="95">
        <v>7317</v>
      </c>
      <c r="V6393" s="148">
        <v>45566</v>
      </c>
      <c r="W6393" s="85" t="s">
        <v>14653</v>
      </c>
      <c r="X6393" s="80"/>
      <c r="Y6393" s="22">
        <v>0</v>
      </c>
      <c r="Z6393" s="81" t="s">
        <v>50</v>
      </c>
      <c r="AA6393" s="82"/>
      <c r="AB6393" s="80"/>
      <c r="AC6393" s="80" t="s">
        <v>53</v>
      </c>
      <c r="AD6393" s="80" t="s">
        <v>54</v>
      </c>
      <c r="AE6393" s="80" t="s">
        <v>14637</v>
      </c>
      <c r="AF6393" s="17">
        <v>45727</v>
      </c>
      <c r="AG6393" s="80"/>
      <c r="AH6393" s="80"/>
      <c r="AI6393" s="147"/>
      <c r="AJ6393" s="80"/>
      <c r="AK6393" s="80"/>
      <c r="AL6393" s="86"/>
      <c r="AM6393" s="86"/>
      <c r="AN6393" s="86"/>
      <c r="AO6393" s="86"/>
      <c r="AP6393" s="86"/>
    </row>
    <row r="6394" spans="1:42" x14ac:dyDescent="0.2">
      <c r="A6394" s="38">
        <v>45722</v>
      </c>
      <c r="B6394" s="137" t="s">
        <v>37</v>
      </c>
      <c r="C6394" s="41" t="s">
        <v>118</v>
      </c>
      <c r="D6394" s="80" t="s">
        <v>36</v>
      </c>
      <c r="E6394" s="80" t="s">
        <v>139</v>
      </c>
      <c r="F6394" s="80" t="s">
        <v>14637</v>
      </c>
      <c r="G6394" s="161" t="s">
        <v>221</v>
      </c>
      <c r="H6394" s="80" t="s">
        <v>20378</v>
      </c>
      <c r="I6394" s="17">
        <f ca="1">IFERROR(__xludf.DUMMYFUNCTION("""COMPUTED_VALUE"""),45799)</f>
        <v>45799</v>
      </c>
      <c r="J6394" s="143" t="s">
        <v>20379</v>
      </c>
      <c r="K6394" s="145" t="s">
        <v>20380</v>
      </c>
      <c r="L6394" s="30">
        <v>338207435</v>
      </c>
      <c r="M6394" s="80" t="s">
        <v>123</v>
      </c>
      <c r="N6394" s="80" t="s">
        <v>2847</v>
      </c>
      <c r="O6394" s="80" t="s">
        <v>4503</v>
      </c>
      <c r="P6394" s="144" t="s">
        <v>20381</v>
      </c>
      <c r="Q6394" s="20">
        <v>15936</v>
      </c>
      <c r="R6394" s="80" t="s">
        <v>36</v>
      </c>
      <c r="S6394" s="95">
        <v>3000</v>
      </c>
      <c r="T6394" s="148">
        <v>45543</v>
      </c>
      <c r="U6394" s="178">
        <v>12936</v>
      </c>
      <c r="V6394" s="169">
        <v>45564</v>
      </c>
      <c r="W6394" s="85" t="s">
        <v>12874</v>
      </c>
      <c r="X6394" s="83">
        <v>0</v>
      </c>
      <c r="Y6394" s="22">
        <v>0</v>
      </c>
      <c r="Z6394" s="81" t="s">
        <v>50</v>
      </c>
      <c r="AA6394" s="86" t="s">
        <v>3291</v>
      </c>
      <c r="AB6394" s="80"/>
      <c r="AC6394" s="80" t="s">
        <v>53</v>
      </c>
      <c r="AD6394" s="80" t="s">
        <v>138</v>
      </c>
      <c r="AE6394" s="80" t="s">
        <v>14637</v>
      </c>
      <c r="AF6394" s="17">
        <v>45831</v>
      </c>
      <c r="AG6394" s="80" t="s">
        <v>20130</v>
      </c>
      <c r="AH6394" s="80"/>
      <c r="AI6394" s="147" t="s">
        <v>147</v>
      </c>
      <c r="AJ6394" s="80"/>
      <c r="AK6394" s="80"/>
      <c r="AL6394" s="86"/>
      <c r="AM6394" s="86"/>
      <c r="AN6394" s="86"/>
      <c r="AO6394" s="86"/>
      <c r="AP6394" s="86"/>
    </row>
    <row r="6395" spans="1:42" x14ac:dyDescent="0.2">
      <c r="A6395" s="38">
        <v>45722</v>
      </c>
      <c r="B6395" s="137" t="s">
        <v>37</v>
      </c>
      <c r="C6395" s="41" t="s">
        <v>118</v>
      </c>
      <c r="D6395" s="80" t="s">
        <v>36</v>
      </c>
      <c r="E6395" s="80" t="s">
        <v>119</v>
      </c>
      <c r="F6395" s="80" t="s">
        <v>14637</v>
      </c>
      <c r="G6395" s="161" t="s">
        <v>221</v>
      </c>
      <c r="H6395" s="80" t="s">
        <v>20375</v>
      </c>
      <c r="I6395" s="17">
        <f ca="1">IFERROR(__xludf.DUMMYFUNCTION("""COMPUTED_VALUE"""),45730)</f>
        <v>45730</v>
      </c>
      <c r="J6395" s="143" t="s">
        <v>18017</v>
      </c>
      <c r="K6395" s="145" t="s">
        <v>20382</v>
      </c>
      <c r="L6395" s="30">
        <v>965357178</v>
      </c>
      <c r="M6395" s="80" t="s">
        <v>5558</v>
      </c>
      <c r="N6395" s="80" t="s">
        <v>5277</v>
      </c>
      <c r="O6395" s="80" t="s">
        <v>4503</v>
      </c>
      <c r="P6395" s="80" t="s">
        <v>18019</v>
      </c>
      <c r="Q6395" s="20">
        <v>13968</v>
      </c>
      <c r="R6395" s="80" t="s">
        <v>36</v>
      </c>
      <c r="S6395" s="95">
        <v>4000</v>
      </c>
      <c r="T6395" s="148">
        <v>45610</v>
      </c>
      <c r="U6395" s="95">
        <v>9968</v>
      </c>
      <c r="V6395" s="148">
        <v>45618</v>
      </c>
      <c r="W6395" s="85" t="s">
        <v>18020</v>
      </c>
      <c r="X6395" s="80"/>
      <c r="Y6395" s="22">
        <v>0</v>
      </c>
      <c r="Z6395" s="81" t="s">
        <v>50</v>
      </c>
      <c r="AA6395" s="82" t="s">
        <v>14723</v>
      </c>
      <c r="AB6395" s="80"/>
      <c r="AC6395" s="80" t="s">
        <v>53</v>
      </c>
      <c r="AD6395" s="80" t="s">
        <v>54</v>
      </c>
      <c r="AE6395" s="80" t="s">
        <v>14637</v>
      </c>
      <c r="AF6395" s="17">
        <v>45727</v>
      </c>
      <c r="AG6395" s="80"/>
      <c r="AH6395" s="80"/>
      <c r="AI6395" s="147"/>
      <c r="AJ6395" s="80"/>
      <c r="AK6395" s="80"/>
      <c r="AL6395" s="86"/>
      <c r="AM6395" s="86"/>
      <c r="AN6395" s="86"/>
      <c r="AO6395" s="86"/>
      <c r="AP6395" s="86"/>
    </row>
    <row r="6396" spans="1:42" x14ac:dyDescent="0.2">
      <c r="A6396" s="38">
        <v>45722</v>
      </c>
      <c r="B6396" s="137" t="s">
        <v>37</v>
      </c>
      <c r="C6396" s="41" t="s">
        <v>118</v>
      </c>
      <c r="D6396" s="80" t="s">
        <v>36</v>
      </c>
      <c r="E6396" s="80" t="s">
        <v>39</v>
      </c>
      <c r="F6396" s="80" t="s">
        <v>15796</v>
      </c>
      <c r="G6396" s="80" t="s">
        <v>108</v>
      </c>
      <c r="H6396" s="80" t="s">
        <v>16632</v>
      </c>
      <c r="I6396" s="17">
        <f ca="1">IFERROR(__xludf.DUMMYFUNCTION("""COMPUTED_VALUE"""),45741)</f>
        <v>45741</v>
      </c>
      <c r="J6396" s="143" t="s">
        <v>17673</v>
      </c>
      <c r="K6396" s="80" t="s">
        <v>17674</v>
      </c>
      <c r="L6396" s="30">
        <v>963088055</v>
      </c>
      <c r="M6396" s="80" t="s">
        <v>5558</v>
      </c>
      <c r="N6396" s="80" t="s">
        <v>5277</v>
      </c>
      <c r="O6396" s="80" t="s">
        <v>4503</v>
      </c>
      <c r="P6396" s="80" t="s">
        <v>20383</v>
      </c>
      <c r="Q6396" s="20">
        <v>5736</v>
      </c>
      <c r="R6396" s="80" t="s">
        <v>36</v>
      </c>
      <c r="S6396" s="95">
        <v>3000</v>
      </c>
      <c r="T6396" s="148">
        <v>45593</v>
      </c>
      <c r="U6396" s="95">
        <v>2736</v>
      </c>
      <c r="V6396" s="148">
        <v>45615</v>
      </c>
      <c r="W6396" s="85" t="s">
        <v>17675</v>
      </c>
      <c r="X6396" s="80"/>
      <c r="Y6396" s="22">
        <v>0</v>
      </c>
      <c r="Z6396" s="80" t="s">
        <v>50</v>
      </c>
      <c r="AA6396" s="86" t="s">
        <v>14723</v>
      </c>
      <c r="AB6396" s="80"/>
      <c r="AC6396" s="80" t="s">
        <v>53</v>
      </c>
      <c r="AD6396" s="80" t="s">
        <v>138</v>
      </c>
      <c r="AE6396" s="80" t="s">
        <v>15796</v>
      </c>
      <c r="AF6396" s="181">
        <v>45741</v>
      </c>
      <c r="AG6396" s="80"/>
      <c r="AH6396" s="80"/>
      <c r="AI6396" s="147"/>
      <c r="AJ6396" s="80"/>
      <c r="AK6396" s="80"/>
      <c r="AL6396" s="35"/>
      <c r="AM6396" s="35"/>
      <c r="AN6396" s="35"/>
      <c r="AO6396" s="35"/>
      <c r="AP6396" s="35"/>
    </row>
    <row r="6397" spans="1:42" x14ac:dyDescent="0.2">
      <c r="A6397" s="38">
        <v>45722</v>
      </c>
      <c r="B6397" s="28" t="s">
        <v>37</v>
      </c>
      <c r="C6397" s="41" t="s">
        <v>118</v>
      </c>
      <c r="D6397" s="80" t="s">
        <v>36</v>
      </c>
      <c r="E6397" s="80" t="s">
        <v>56</v>
      </c>
      <c r="F6397" s="80" t="s">
        <v>13384</v>
      </c>
      <c r="G6397" s="80" t="s">
        <v>108</v>
      </c>
      <c r="H6397" s="80" t="s">
        <v>19174</v>
      </c>
      <c r="I6397" s="17">
        <f ca="1">IFERROR(__xludf.DUMMYFUNCTION("""COMPUTED_VALUE"""),45733)</f>
        <v>45733</v>
      </c>
      <c r="J6397" s="143" t="s">
        <v>15915</v>
      </c>
      <c r="K6397" s="145" t="s">
        <v>20384</v>
      </c>
      <c r="L6397" s="30">
        <v>345971442</v>
      </c>
      <c r="M6397" s="80" t="s">
        <v>9422</v>
      </c>
      <c r="N6397" s="80" t="s">
        <v>13156</v>
      </c>
      <c r="O6397" s="80" t="s">
        <v>91</v>
      </c>
      <c r="P6397" s="80" t="s">
        <v>3117</v>
      </c>
      <c r="Q6397" s="20">
        <v>9317</v>
      </c>
      <c r="R6397" s="80" t="s">
        <v>11421</v>
      </c>
      <c r="S6397" s="95">
        <v>2000</v>
      </c>
      <c r="T6397" s="148">
        <v>45565</v>
      </c>
      <c r="U6397" s="95">
        <v>7017</v>
      </c>
      <c r="V6397" s="148">
        <v>45587</v>
      </c>
      <c r="W6397" s="85" t="s">
        <v>15916</v>
      </c>
      <c r="X6397" s="80"/>
      <c r="Y6397" s="22">
        <v>300</v>
      </c>
      <c r="Z6397" s="80" t="s">
        <v>50</v>
      </c>
      <c r="AA6397" s="96" t="s">
        <v>9905</v>
      </c>
      <c r="AB6397" s="80"/>
      <c r="AC6397" s="80" t="s">
        <v>53</v>
      </c>
      <c r="AD6397" s="80" t="s">
        <v>138</v>
      </c>
      <c r="AE6397" s="80" t="s">
        <v>13384</v>
      </c>
      <c r="AF6397" s="17">
        <v>45733</v>
      </c>
      <c r="AG6397" s="80"/>
      <c r="AH6397" s="80"/>
      <c r="AI6397" s="147"/>
      <c r="AJ6397" s="80"/>
      <c r="AK6397" s="80"/>
      <c r="AL6397" s="35"/>
      <c r="AM6397" s="35"/>
      <c r="AN6397" s="35"/>
      <c r="AO6397" s="35"/>
      <c r="AP6397" s="35"/>
    </row>
    <row r="6398" spans="1:42" x14ac:dyDescent="0.2">
      <c r="A6398" s="38">
        <v>45722</v>
      </c>
      <c r="B6398" s="137" t="s">
        <v>37</v>
      </c>
      <c r="C6398" s="41" t="s">
        <v>118</v>
      </c>
      <c r="D6398" s="26" t="s">
        <v>36</v>
      </c>
      <c r="E6398" s="26" t="s">
        <v>119</v>
      </c>
      <c r="F6398" s="26" t="s">
        <v>17041</v>
      </c>
      <c r="G6398" s="26" t="s">
        <v>1705</v>
      </c>
      <c r="H6398" s="26" t="s">
        <v>20180</v>
      </c>
      <c r="I6398" s="17">
        <f ca="1">IFERROR(__xludf.DUMMYFUNCTION("""COMPUTED_VALUE"""),45566)</f>
        <v>45566</v>
      </c>
      <c r="J6398" s="44" t="s">
        <v>13895</v>
      </c>
      <c r="K6398" s="26" t="s">
        <v>13896</v>
      </c>
      <c r="L6398" s="30">
        <v>326778369</v>
      </c>
      <c r="M6398" s="26" t="s">
        <v>80</v>
      </c>
      <c r="N6398" s="26" t="s">
        <v>1073</v>
      </c>
      <c r="O6398" s="26" t="s">
        <v>10664</v>
      </c>
      <c r="P6398" s="42" t="s">
        <v>20385</v>
      </c>
      <c r="Q6398" s="20">
        <v>13968</v>
      </c>
      <c r="R6398" s="26" t="s">
        <v>36</v>
      </c>
      <c r="S6398" s="95">
        <f>200+3800</f>
        <v>4000</v>
      </c>
      <c r="T6398" s="83" t="s">
        <v>10660</v>
      </c>
      <c r="U6398" s="95">
        <v>9968</v>
      </c>
      <c r="V6398" s="148">
        <v>45513</v>
      </c>
      <c r="W6398" s="33" t="s">
        <v>10666</v>
      </c>
      <c r="X6398" s="26">
        <v>0</v>
      </c>
      <c r="Y6398" s="22">
        <v>0</v>
      </c>
      <c r="Z6398" s="26" t="s">
        <v>50</v>
      </c>
      <c r="AA6398" s="35" t="s">
        <v>10314</v>
      </c>
      <c r="AB6398" s="26"/>
      <c r="AC6398" s="26" t="s">
        <v>53</v>
      </c>
      <c r="AD6398" s="26" t="s">
        <v>54</v>
      </c>
      <c r="AE6398" s="26" t="s">
        <v>17041</v>
      </c>
      <c r="AF6398" s="17">
        <v>45724</v>
      </c>
      <c r="AG6398" s="26"/>
      <c r="AH6398" s="26"/>
      <c r="AI6398" s="40"/>
      <c r="AJ6398" s="26"/>
      <c r="AK6398" s="26"/>
      <c r="AL6398" s="35"/>
      <c r="AM6398" s="35"/>
      <c r="AN6398" s="35"/>
      <c r="AO6398" s="35"/>
      <c r="AP6398" s="35"/>
    </row>
    <row r="6399" spans="1:42" x14ac:dyDescent="0.2">
      <c r="A6399" s="38">
        <v>45722</v>
      </c>
      <c r="B6399" s="137" t="s">
        <v>37</v>
      </c>
      <c r="C6399" s="41" t="s">
        <v>118</v>
      </c>
      <c r="D6399" s="80" t="s">
        <v>36</v>
      </c>
      <c r="E6399" s="80" t="s">
        <v>139</v>
      </c>
      <c r="F6399" s="80" t="s">
        <v>14737</v>
      </c>
      <c r="G6399" s="80" t="s">
        <v>221</v>
      </c>
      <c r="H6399" s="80" t="s">
        <v>20094</v>
      </c>
      <c r="I6399" s="17">
        <f ca="1">IFERROR(__xludf.DUMMYFUNCTION("""COMPUTED_VALUE"""),45768)</f>
        <v>45768</v>
      </c>
      <c r="J6399" s="143" t="s">
        <v>20386</v>
      </c>
      <c r="K6399" s="80" t="s">
        <v>20387</v>
      </c>
      <c r="L6399" s="30">
        <v>562924427</v>
      </c>
      <c r="M6399" s="80" t="s">
        <v>45</v>
      </c>
      <c r="N6399" s="80" t="s">
        <v>1472</v>
      </c>
      <c r="O6399" s="80" t="s">
        <v>13433</v>
      </c>
      <c r="P6399" s="144" t="s">
        <v>20388</v>
      </c>
      <c r="Q6399" s="20">
        <v>15936</v>
      </c>
      <c r="R6399" s="80" t="s">
        <v>36</v>
      </c>
      <c r="S6399" s="95">
        <f>500+15436</f>
        <v>15936</v>
      </c>
      <c r="T6399" s="83" t="s">
        <v>13124</v>
      </c>
      <c r="U6399" s="77"/>
      <c r="V6399" s="78"/>
      <c r="W6399" s="85" t="s">
        <v>13435</v>
      </c>
      <c r="X6399" s="80">
        <v>0</v>
      </c>
      <c r="Y6399" s="22">
        <v>0</v>
      </c>
      <c r="Z6399" s="80" t="s">
        <v>50</v>
      </c>
      <c r="AA6399" s="96" t="s">
        <v>3291</v>
      </c>
      <c r="AB6399" s="80"/>
      <c r="AC6399" s="80" t="s">
        <v>53</v>
      </c>
      <c r="AD6399" s="80" t="s">
        <v>54</v>
      </c>
      <c r="AE6399" s="80" t="s">
        <v>14737</v>
      </c>
      <c r="AF6399" s="17">
        <v>45727</v>
      </c>
      <c r="AG6399" s="80"/>
      <c r="AH6399" s="80"/>
      <c r="AI6399" s="147" t="s">
        <v>147</v>
      </c>
      <c r="AJ6399" s="80"/>
      <c r="AK6399" s="80"/>
      <c r="AL6399" s="35"/>
      <c r="AM6399" s="35"/>
      <c r="AN6399" s="35"/>
      <c r="AO6399" s="35"/>
      <c r="AP6399" s="35"/>
    </row>
    <row r="6400" spans="1:42" x14ac:dyDescent="0.2">
      <c r="A6400" s="38">
        <v>45722</v>
      </c>
      <c r="B6400" s="137" t="s">
        <v>37</v>
      </c>
      <c r="C6400" s="41" t="s">
        <v>118</v>
      </c>
      <c r="D6400" s="26" t="s">
        <v>36</v>
      </c>
      <c r="E6400" s="26" t="s">
        <v>119</v>
      </c>
      <c r="F6400" s="26" t="s">
        <v>9820</v>
      </c>
      <c r="G6400" s="26" t="s">
        <v>1847</v>
      </c>
      <c r="H6400" s="26" t="s">
        <v>1848</v>
      </c>
      <c r="I6400" s="17">
        <f ca="1">IFERROR(__xludf.DUMMYFUNCTION("""COMPUTED_VALUE"""),45728)</f>
        <v>45728</v>
      </c>
      <c r="J6400" s="29" t="s">
        <v>20389</v>
      </c>
      <c r="K6400" s="26" t="s">
        <v>20390</v>
      </c>
      <c r="L6400" s="30">
        <v>338434598</v>
      </c>
      <c r="M6400" s="26" t="s">
        <v>80</v>
      </c>
      <c r="N6400" s="26" t="s">
        <v>1073</v>
      </c>
      <c r="O6400" s="26" t="s">
        <v>9215</v>
      </c>
      <c r="P6400" s="42" t="s">
        <v>13686</v>
      </c>
      <c r="Q6400" s="20"/>
      <c r="R6400" s="26" t="s">
        <v>36</v>
      </c>
      <c r="S6400" s="95">
        <f t="shared" ref="S6400:S6401" si="185">200+3800</f>
        <v>4000</v>
      </c>
      <c r="T6400" s="83" t="s">
        <v>9217</v>
      </c>
      <c r="U6400" s="95">
        <v>9968</v>
      </c>
      <c r="V6400" s="148">
        <v>45502</v>
      </c>
      <c r="W6400" s="33" t="s">
        <v>9218</v>
      </c>
      <c r="X6400" s="26"/>
      <c r="Y6400" s="22"/>
      <c r="Z6400" s="26" t="s">
        <v>50</v>
      </c>
      <c r="AA6400" s="70" t="s">
        <v>9070</v>
      </c>
      <c r="AB6400" s="26"/>
      <c r="AC6400" s="26" t="s">
        <v>53</v>
      </c>
      <c r="AD6400" s="26" t="s">
        <v>54</v>
      </c>
      <c r="AE6400" s="26" t="s">
        <v>9820</v>
      </c>
      <c r="AF6400" s="17">
        <v>45724</v>
      </c>
      <c r="AG6400" s="26"/>
      <c r="AH6400" s="26"/>
      <c r="AI6400" s="40"/>
      <c r="AJ6400" s="26"/>
      <c r="AK6400" s="26"/>
      <c r="AL6400" s="35"/>
      <c r="AM6400" s="35"/>
      <c r="AN6400" s="35"/>
      <c r="AO6400" s="35"/>
      <c r="AP6400" s="35"/>
    </row>
    <row r="6401" spans="1:42" x14ac:dyDescent="0.2">
      <c r="A6401" s="38">
        <v>45722</v>
      </c>
      <c r="B6401" s="28"/>
      <c r="C6401" s="41" t="s">
        <v>118</v>
      </c>
      <c r="D6401" s="26" t="s">
        <v>36</v>
      </c>
      <c r="E6401" s="26" t="s">
        <v>119</v>
      </c>
      <c r="F6401" s="26" t="s">
        <v>9820</v>
      </c>
      <c r="G6401" s="26" t="s">
        <v>1705</v>
      </c>
      <c r="H6401" s="26" t="s">
        <v>865</v>
      </c>
      <c r="I6401" s="17" t="str">
        <f ca="1">IFERROR(__xludf.DUMMYFUNCTION("""COMPUTED_VALUE""")," ")</f>
        <v xml:space="preserve"> </v>
      </c>
      <c r="J6401" s="143" t="s">
        <v>20389</v>
      </c>
      <c r="K6401" s="19" t="s">
        <v>20391</v>
      </c>
      <c r="L6401" s="30">
        <v>338434598</v>
      </c>
      <c r="M6401" s="26" t="s">
        <v>80</v>
      </c>
      <c r="N6401" s="26" t="s">
        <v>1073</v>
      </c>
      <c r="O6401" s="26" t="s">
        <v>9215</v>
      </c>
      <c r="P6401" s="42" t="s">
        <v>20392</v>
      </c>
      <c r="Q6401" s="20"/>
      <c r="R6401" s="26" t="s">
        <v>36</v>
      </c>
      <c r="S6401" s="95">
        <f t="shared" si="185"/>
        <v>4000</v>
      </c>
      <c r="T6401" s="83" t="s">
        <v>9217</v>
      </c>
      <c r="U6401" s="95">
        <v>9968</v>
      </c>
      <c r="V6401" s="148">
        <v>45502</v>
      </c>
      <c r="W6401" s="33" t="s">
        <v>9218</v>
      </c>
      <c r="X6401" s="26"/>
      <c r="Y6401" s="22"/>
      <c r="Z6401" s="26" t="s">
        <v>50</v>
      </c>
      <c r="AA6401" s="70" t="s">
        <v>9070</v>
      </c>
      <c r="AB6401" s="26"/>
      <c r="AC6401" s="26" t="s">
        <v>53</v>
      </c>
      <c r="AD6401" s="26" t="s">
        <v>54</v>
      </c>
      <c r="AE6401" s="26" t="s">
        <v>9820</v>
      </c>
      <c r="AF6401" s="17"/>
      <c r="AG6401" s="26"/>
      <c r="AH6401" s="26"/>
      <c r="AI6401" s="40"/>
      <c r="AJ6401" s="26"/>
      <c r="AK6401" s="26"/>
      <c r="AL6401" s="35"/>
      <c r="AM6401" s="35"/>
      <c r="AN6401" s="35"/>
      <c r="AO6401" s="35"/>
      <c r="AP6401" s="35"/>
    </row>
    <row r="6402" spans="1:42" x14ac:dyDescent="0.2">
      <c r="A6402" s="38">
        <v>45722</v>
      </c>
      <c r="B6402" s="28" t="s">
        <v>37</v>
      </c>
      <c r="C6402" s="41" t="s">
        <v>118</v>
      </c>
      <c r="D6402" s="26" t="s">
        <v>36</v>
      </c>
      <c r="E6402" s="26" t="s">
        <v>139</v>
      </c>
      <c r="F6402" s="26" t="s">
        <v>7024</v>
      </c>
      <c r="G6402" s="26" t="s">
        <v>1705</v>
      </c>
      <c r="H6402" s="26" t="s">
        <v>20251</v>
      </c>
      <c r="I6402" s="17">
        <f ca="1">IFERROR(__xludf.DUMMYFUNCTION("""COMPUTED_VALUE"""),45772)</f>
        <v>45772</v>
      </c>
      <c r="J6402" s="29" t="s">
        <v>7356</v>
      </c>
      <c r="K6402" s="26" t="s">
        <v>20393</v>
      </c>
      <c r="L6402" s="30">
        <v>965295107</v>
      </c>
      <c r="M6402" s="26" t="s">
        <v>123</v>
      </c>
      <c r="N6402" s="26" t="s">
        <v>186</v>
      </c>
      <c r="O6402" s="26" t="s">
        <v>4503</v>
      </c>
      <c r="P6402" s="26" t="s">
        <v>10097</v>
      </c>
      <c r="Q6402" s="20">
        <v>15936</v>
      </c>
      <c r="R6402" s="26" t="s">
        <v>36</v>
      </c>
      <c r="S6402" s="31">
        <f>70+5000</f>
        <v>5070</v>
      </c>
      <c r="T6402" s="26" t="s">
        <v>7358</v>
      </c>
      <c r="U6402" s="31">
        <f>10766+100</f>
        <v>10866</v>
      </c>
      <c r="V6402" s="26" t="s">
        <v>7359</v>
      </c>
      <c r="W6402" s="33" t="s">
        <v>7360</v>
      </c>
      <c r="X6402" s="26"/>
      <c r="Y6402" s="22">
        <v>0</v>
      </c>
      <c r="Z6402" s="26" t="s">
        <v>50</v>
      </c>
      <c r="AA6402" s="19" t="s">
        <v>7361</v>
      </c>
      <c r="AB6402" s="26" t="s">
        <v>4503</v>
      </c>
      <c r="AC6402" s="26" t="s">
        <v>53</v>
      </c>
      <c r="AD6402" s="19" t="s">
        <v>138</v>
      </c>
      <c r="AE6402" s="26" t="s">
        <v>7024</v>
      </c>
      <c r="AF6402" s="17">
        <v>45772</v>
      </c>
      <c r="AG6402" s="26"/>
      <c r="AH6402" s="26"/>
      <c r="AI6402" s="40" t="s">
        <v>147</v>
      </c>
      <c r="AJ6402" s="26"/>
      <c r="AK6402" s="26"/>
      <c r="AL6402" s="35"/>
      <c r="AM6402" s="35"/>
      <c r="AN6402" s="35"/>
      <c r="AO6402" s="35"/>
      <c r="AP6402" s="35"/>
    </row>
    <row r="6403" spans="1:42" x14ac:dyDescent="0.2">
      <c r="A6403" s="38">
        <v>45722</v>
      </c>
      <c r="B6403" s="28" t="s">
        <v>37</v>
      </c>
      <c r="C6403" s="41" t="s">
        <v>118</v>
      </c>
      <c r="D6403" s="80" t="s">
        <v>36</v>
      </c>
      <c r="E6403" s="80" t="s">
        <v>139</v>
      </c>
      <c r="F6403" s="80" t="s">
        <v>18110</v>
      </c>
      <c r="G6403" s="80" t="s">
        <v>108</v>
      </c>
      <c r="H6403" s="80" t="s">
        <v>20394</v>
      </c>
      <c r="I6403" s="17">
        <f ca="1">IFERROR(__xludf.DUMMYFUNCTION("""COMPUTED_VALUE"""),45847)</f>
        <v>45847</v>
      </c>
      <c r="J6403" s="143" t="s">
        <v>18111</v>
      </c>
      <c r="K6403" s="80" t="s">
        <v>20395</v>
      </c>
      <c r="L6403" s="30">
        <v>981902709</v>
      </c>
      <c r="M6403" s="80" t="s">
        <v>9422</v>
      </c>
      <c r="N6403" s="80" t="s">
        <v>438</v>
      </c>
      <c r="O6403" s="80" t="s">
        <v>18113</v>
      </c>
      <c r="P6403" s="144" t="s">
        <v>18114</v>
      </c>
      <c r="Q6403" s="20">
        <v>15936</v>
      </c>
      <c r="R6403" s="80" t="s">
        <v>36</v>
      </c>
      <c r="S6403" s="95">
        <v>8000</v>
      </c>
      <c r="T6403" s="148">
        <v>45617</v>
      </c>
      <c r="U6403" s="95">
        <v>7938</v>
      </c>
      <c r="V6403" s="148">
        <v>45625</v>
      </c>
      <c r="W6403" s="85" t="s">
        <v>18115</v>
      </c>
      <c r="X6403" s="80"/>
      <c r="Y6403" s="22">
        <v>-2</v>
      </c>
      <c r="Z6403" s="80" t="s">
        <v>50</v>
      </c>
      <c r="AA6403" s="82" t="s">
        <v>14723</v>
      </c>
      <c r="AB6403" s="80"/>
      <c r="AC6403" s="80" t="s">
        <v>53</v>
      </c>
      <c r="AD6403" s="80" t="s">
        <v>138</v>
      </c>
      <c r="AE6403" s="80" t="s">
        <v>18110</v>
      </c>
      <c r="AF6403" s="17">
        <v>45742</v>
      </c>
      <c r="AG6403" s="80"/>
      <c r="AH6403" s="80"/>
      <c r="AI6403" s="147"/>
      <c r="AJ6403" s="80"/>
      <c r="AK6403" s="80"/>
      <c r="AL6403" s="35"/>
      <c r="AM6403" s="35"/>
      <c r="AN6403" s="35"/>
      <c r="AO6403" s="35"/>
      <c r="AP6403" s="35"/>
    </row>
    <row r="6404" spans="1:42" x14ac:dyDescent="0.2">
      <c r="A6404" s="38">
        <v>45723</v>
      </c>
      <c r="B6404" s="137" t="s">
        <v>37</v>
      </c>
      <c r="C6404" s="41" t="s">
        <v>118</v>
      </c>
      <c r="D6404" s="80" t="s">
        <v>36</v>
      </c>
      <c r="E6404" s="80" t="s">
        <v>148</v>
      </c>
      <c r="F6404" s="80" t="s">
        <v>10223</v>
      </c>
      <c r="G6404" s="80" t="s">
        <v>221</v>
      </c>
      <c r="H6404" s="80" t="s">
        <v>8400</v>
      </c>
      <c r="I6404" s="17">
        <f ca="1">IFERROR(__xludf.DUMMYFUNCTION("""COMPUTED_VALUE"""),45750)</f>
        <v>45750</v>
      </c>
      <c r="J6404" s="143" t="s">
        <v>9532</v>
      </c>
      <c r="K6404" s="80" t="s">
        <v>20396</v>
      </c>
      <c r="L6404" s="30">
        <v>333388721</v>
      </c>
      <c r="M6404" s="80" t="s">
        <v>80</v>
      </c>
      <c r="N6404" s="80" t="s">
        <v>466</v>
      </c>
      <c r="O6404" s="80" t="s">
        <v>9534</v>
      </c>
      <c r="P6404" s="80" t="s">
        <v>11503</v>
      </c>
      <c r="Q6404" s="20">
        <v>7349</v>
      </c>
      <c r="R6404" s="80" t="s">
        <v>36</v>
      </c>
      <c r="S6404" s="95">
        <v>7349</v>
      </c>
      <c r="T6404" s="148">
        <v>45524</v>
      </c>
      <c r="U6404" s="77"/>
      <c r="V6404" s="78"/>
      <c r="W6404" s="85" t="s">
        <v>11504</v>
      </c>
      <c r="X6404" s="80">
        <v>0</v>
      </c>
      <c r="Y6404" s="22">
        <v>0</v>
      </c>
      <c r="Z6404" s="80" t="s">
        <v>50</v>
      </c>
      <c r="AA6404" s="35" t="s">
        <v>10314</v>
      </c>
      <c r="AB6404" s="80"/>
      <c r="AC6404" s="80" t="s">
        <v>53</v>
      </c>
      <c r="AD6404" s="80" t="s">
        <v>54</v>
      </c>
      <c r="AE6404" s="80" t="s">
        <v>10223</v>
      </c>
      <c r="AF6404" s="17">
        <v>45750</v>
      </c>
      <c r="AG6404" s="26" t="s">
        <v>10229</v>
      </c>
      <c r="AH6404" s="80"/>
      <c r="AI6404" s="147"/>
      <c r="AJ6404" s="80"/>
      <c r="AK6404" s="80"/>
      <c r="AL6404" s="35"/>
      <c r="AM6404" s="35"/>
      <c r="AN6404" s="35"/>
      <c r="AO6404" s="35"/>
      <c r="AP6404" s="35"/>
    </row>
    <row r="6405" spans="1:42" x14ac:dyDescent="0.2">
      <c r="A6405" s="38">
        <v>45723</v>
      </c>
      <c r="B6405" s="137"/>
      <c r="C6405" s="41" t="s">
        <v>118</v>
      </c>
      <c r="D6405" s="80" t="s">
        <v>36</v>
      </c>
      <c r="E6405" s="80" t="s">
        <v>139</v>
      </c>
      <c r="F6405" s="80" t="s">
        <v>14387</v>
      </c>
      <c r="G6405" s="80" t="s">
        <v>108</v>
      </c>
      <c r="H6405" s="80" t="s">
        <v>20397</v>
      </c>
      <c r="I6405" s="17">
        <f ca="1">IFERROR(__xludf.DUMMYFUNCTION("""COMPUTED_VALUE"""),45853)</f>
        <v>45853</v>
      </c>
      <c r="J6405" s="143" t="s">
        <v>15580</v>
      </c>
      <c r="K6405" s="80" t="s">
        <v>20398</v>
      </c>
      <c r="L6405" s="30">
        <v>376360106</v>
      </c>
      <c r="M6405" s="80" t="s">
        <v>3498</v>
      </c>
      <c r="N6405" s="80" t="s">
        <v>4402</v>
      </c>
      <c r="O6405" s="80" t="s">
        <v>4503</v>
      </c>
      <c r="P6405" s="80" t="s">
        <v>5794</v>
      </c>
      <c r="Q6405" s="20">
        <v>15936</v>
      </c>
      <c r="R6405" s="80" t="s">
        <v>1106</v>
      </c>
      <c r="S6405" s="95">
        <f>200+5000</f>
        <v>5200</v>
      </c>
      <c r="T6405" s="83" t="s">
        <v>15582</v>
      </c>
      <c r="U6405" s="95">
        <v>10586</v>
      </c>
      <c r="V6405" s="169">
        <v>45593</v>
      </c>
      <c r="W6405" s="85" t="s">
        <v>15583</v>
      </c>
      <c r="X6405" s="80"/>
      <c r="Y6405" s="22">
        <v>150</v>
      </c>
      <c r="Z6405" s="80" t="s">
        <v>50</v>
      </c>
      <c r="AA6405" s="96" t="s">
        <v>9905</v>
      </c>
      <c r="AB6405" s="80"/>
      <c r="AC6405" s="80" t="s">
        <v>53</v>
      </c>
      <c r="AD6405" s="80" t="s">
        <v>138</v>
      </c>
      <c r="AE6405" s="80" t="s">
        <v>14387</v>
      </c>
      <c r="AF6405" s="17">
        <v>45615</v>
      </c>
      <c r="AG6405" s="80" t="s">
        <v>8366</v>
      </c>
      <c r="AH6405" s="80"/>
      <c r="AI6405" s="147"/>
      <c r="AJ6405" s="80"/>
      <c r="AK6405" s="80"/>
      <c r="AL6405" s="35"/>
      <c r="AM6405" s="35"/>
      <c r="AN6405" s="35"/>
      <c r="AO6405" s="35"/>
      <c r="AP6405" s="35"/>
    </row>
    <row r="6406" spans="1:42" x14ac:dyDescent="0.2">
      <c r="A6406" s="38">
        <v>45723</v>
      </c>
      <c r="B6406" s="137" t="s">
        <v>37</v>
      </c>
      <c r="C6406" s="41" t="s">
        <v>118</v>
      </c>
      <c r="D6406" s="80" t="s">
        <v>36</v>
      </c>
      <c r="E6406" s="80" t="s">
        <v>139</v>
      </c>
      <c r="F6406" s="80" t="s">
        <v>14542</v>
      </c>
      <c r="G6406" s="161" t="s">
        <v>221</v>
      </c>
      <c r="H6406" s="80" t="s">
        <v>20399</v>
      </c>
      <c r="I6406" s="17">
        <f ca="1">IFERROR(__xludf.DUMMYFUNCTION("""COMPUTED_VALUE"""),45873)</f>
        <v>45873</v>
      </c>
      <c r="J6406" s="143" t="s">
        <v>14543</v>
      </c>
      <c r="K6406" s="145" t="s">
        <v>20400</v>
      </c>
      <c r="L6406" s="30">
        <v>962510713</v>
      </c>
      <c r="M6406" s="80" t="s">
        <v>5558</v>
      </c>
      <c r="N6406" s="80" t="s">
        <v>5559</v>
      </c>
      <c r="O6406" s="80" t="s">
        <v>4503</v>
      </c>
      <c r="P6406" s="80" t="s">
        <v>20401</v>
      </c>
      <c r="Q6406" s="20">
        <v>15936</v>
      </c>
      <c r="R6406" s="80" t="s">
        <v>36</v>
      </c>
      <c r="S6406" s="95">
        <f>200+1800+9936+4000</f>
        <v>15936</v>
      </c>
      <c r="T6406" s="148" t="s">
        <v>14539</v>
      </c>
      <c r="U6406" s="77"/>
      <c r="V6406" s="148">
        <v>45582</v>
      </c>
      <c r="W6406" s="80" t="s">
        <v>14546</v>
      </c>
      <c r="X6406" s="80"/>
      <c r="Y6406" s="22">
        <v>0</v>
      </c>
      <c r="Z6406" s="81" t="s">
        <v>50</v>
      </c>
      <c r="AA6406" s="86"/>
      <c r="AB6406" s="80"/>
      <c r="AC6406" s="80" t="s">
        <v>53</v>
      </c>
      <c r="AD6406" s="80" t="s">
        <v>138</v>
      </c>
      <c r="AE6406" s="80" t="s">
        <v>14542</v>
      </c>
      <c r="AF6406" s="17">
        <v>45880</v>
      </c>
      <c r="AG6406" s="80" t="s">
        <v>20402</v>
      </c>
      <c r="AH6406" s="80"/>
      <c r="AI6406" s="147"/>
      <c r="AJ6406" s="80"/>
      <c r="AK6406" s="80"/>
      <c r="AL6406" s="86"/>
      <c r="AM6406" s="86"/>
      <c r="AN6406" s="86"/>
      <c r="AO6406" s="86"/>
      <c r="AP6406" s="86"/>
    </row>
    <row r="6407" spans="1:42" x14ac:dyDescent="0.2">
      <c r="A6407" s="38">
        <v>45723</v>
      </c>
      <c r="B6407" s="28" t="s">
        <v>37</v>
      </c>
      <c r="C6407" s="41" t="s">
        <v>118</v>
      </c>
      <c r="D6407" s="80" t="s">
        <v>36</v>
      </c>
      <c r="E6407" s="80" t="s">
        <v>139</v>
      </c>
      <c r="F6407" s="80" t="s">
        <v>14542</v>
      </c>
      <c r="G6407" s="161" t="s">
        <v>221</v>
      </c>
      <c r="H6407" s="80" t="s">
        <v>20208</v>
      </c>
      <c r="I6407" s="17">
        <f ca="1">IFERROR(__xludf.DUMMYFUNCTION("""COMPUTED_VALUE"""),45736)</f>
        <v>45736</v>
      </c>
      <c r="J6407" s="143" t="s">
        <v>14559</v>
      </c>
      <c r="K6407" s="145" t="s">
        <v>14560</v>
      </c>
      <c r="L6407" s="30">
        <v>344564202</v>
      </c>
      <c r="M6407" s="80" t="s">
        <v>80</v>
      </c>
      <c r="N6407" s="80" t="s">
        <v>1073</v>
      </c>
      <c r="O6407" s="80" t="s">
        <v>14561</v>
      </c>
      <c r="P6407" s="80" t="s">
        <v>14562</v>
      </c>
      <c r="Q6407" s="20">
        <v>15936</v>
      </c>
      <c r="R6407" s="80" t="s">
        <v>36</v>
      </c>
      <c r="S6407" s="95">
        <f>200+2000+6000</f>
        <v>8200</v>
      </c>
      <c r="T6407" s="148" t="s">
        <v>14563</v>
      </c>
      <c r="U6407" s="95">
        <v>7736</v>
      </c>
      <c r="V6407" s="148">
        <v>45572</v>
      </c>
      <c r="W6407" s="85" t="s">
        <v>14564</v>
      </c>
      <c r="X6407" s="80"/>
      <c r="Y6407" s="22">
        <v>0</v>
      </c>
      <c r="Z6407" s="81" t="s">
        <v>50</v>
      </c>
      <c r="AA6407" s="82"/>
      <c r="AB6407" s="80"/>
      <c r="AC6407" s="80" t="s">
        <v>53</v>
      </c>
      <c r="AD6407" s="80" t="s">
        <v>138</v>
      </c>
      <c r="AE6407" s="80" t="s">
        <v>14542</v>
      </c>
      <c r="AF6407" s="17">
        <v>45736</v>
      </c>
      <c r="AG6407" s="80"/>
      <c r="AH6407" s="80"/>
      <c r="AI6407" s="147"/>
      <c r="AJ6407" s="80"/>
      <c r="AK6407" s="80"/>
      <c r="AL6407" s="86"/>
      <c r="AM6407" s="86"/>
      <c r="AN6407" s="86"/>
      <c r="AO6407" s="86"/>
      <c r="AP6407" s="86"/>
    </row>
    <row r="6408" spans="1:42" x14ac:dyDescent="0.2">
      <c r="A6408" s="38">
        <v>45723</v>
      </c>
      <c r="B6408" s="28" t="s">
        <v>37</v>
      </c>
      <c r="C6408" s="41" t="s">
        <v>118</v>
      </c>
      <c r="D6408" s="80" t="s">
        <v>36</v>
      </c>
      <c r="E6408" s="80" t="s">
        <v>139</v>
      </c>
      <c r="F6408" s="80" t="s">
        <v>14542</v>
      </c>
      <c r="G6408" s="161" t="s">
        <v>221</v>
      </c>
      <c r="H6408" s="80" t="s">
        <v>20208</v>
      </c>
      <c r="I6408" s="17">
        <f ca="1">IFERROR(__xludf.DUMMYFUNCTION("""COMPUTED_VALUE"""),45736)</f>
        <v>45736</v>
      </c>
      <c r="J6408" s="143" t="s">
        <v>12378</v>
      </c>
      <c r="K6408" s="145" t="s">
        <v>12379</v>
      </c>
      <c r="L6408" s="30">
        <v>983739244</v>
      </c>
      <c r="M6408" s="80" t="s">
        <v>5518</v>
      </c>
      <c r="N6408" s="80" t="s">
        <v>12380</v>
      </c>
      <c r="O6408" s="80" t="s">
        <v>1492</v>
      </c>
      <c r="P6408" s="80" t="s">
        <v>9528</v>
      </c>
      <c r="Q6408" s="20">
        <v>15936</v>
      </c>
      <c r="R6408" s="80" t="s">
        <v>36</v>
      </c>
      <c r="S6408" s="95">
        <f>500+15436</f>
        <v>15936</v>
      </c>
      <c r="T6408" s="148">
        <v>45525</v>
      </c>
      <c r="U6408" s="77"/>
      <c r="V6408" s="148">
        <v>45541</v>
      </c>
      <c r="W6408" s="85" t="s">
        <v>12381</v>
      </c>
      <c r="X6408" s="83">
        <v>0</v>
      </c>
      <c r="Y6408" s="22">
        <v>0</v>
      </c>
      <c r="Z6408" s="81" t="s">
        <v>50</v>
      </c>
      <c r="AA6408" s="86" t="s">
        <v>3291</v>
      </c>
      <c r="AB6408" s="80"/>
      <c r="AC6408" s="80" t="s">
        <v>53</v>
      </c>
      <c r="AD6408" s="80" t="s">
        <v>138</v>
      </c>
      <c r="AE6408" s="80" t="s">
        <v>14542</v>
      </c>
      <c r="AF6408" s="17">
        <v>45736</v>
      </c>
      <c r="AG6408" s="80"/>
      <c r="AH6408" s="80"/>
      <c r="AI6408" s="147" t="s">
        <v>147</v>
      </c>
      <c r="AJ6408" s="80"/>
      <c r="AK6408" s="80"/>
      <c r="AL6408" s="86"/>
      <c r="AM6408" s="86"/>
      <c r="AN6408" s="86"/>
      <c r="AO6408" s="86"/>
      <c r="AP6408" s="86"/>
    </row>
    <row r="6409" spans="1:42" x14ac:dyDescent="0.2">
      <c r="A6409" s="38">
        <v>45723</v>
      </c>
      <c r="B6409" s="28" t="s">
        <v>37</v>
      </c>
      <c r="C6409" s="41" t="s">
        <v>118</v>
      </c>
      <c r="D6409" s="80" t="s">
        <v>36</v>
      </c>
      <c r="E6409" s="80" t="s">
        <v>139</v>
      </c>
      <c r="F6409" s="80" t="s">
        <v>14542</v>
      </c>
      <c r="G6409" s="161" t="s">
        <v>221</v>
      </c>
      <c r="H6409" s="80" t="s">
        <v>20208</v>
      </c>
      <c r="I6409" s="17">
        <f ca="1">IFERROR(__xludf.DUMMYFUNCTION("""COMPUTED_VALUE"""),45736)</f>
        <v>45736</v>
      </c>
      <c r="J6409" s="143" t="s">
        <v>14665</v>
      </c>
      <c r="K6409" s="145" t="s">
        <v>20403</v>
      </c>
      <c r="L6409" s="30">
        <v>865414606</v>
      </c>
      <c r="M6409" s="80" t="s">
        <v>80</v>
      </c>
      <c r="N6409" s="80" t="s">
        <v>1073</v>
      </c>
      <c r="O6409" s="80" t="s">
        <v>14667</v>
      </c>
      <c r="P6409" s="80" t="s">
        <v>2641</v>
      </c>
      <c r="Q6409" s="20">
        <v>15936</v>
      </c>
      <c r="R6409" s="80" t="s">
        <v>36</v>
      </c>
      <c r="S6409" s="95">
        <f t="shared" ref="S6409:S6410" si="186">200+1800</f>
        <v>2000</v>
      </c>
      <c r="T6409" s="148" t="s">
        <v>14668</v>
      </c>
      <c r="U6409" s="95">
        <v>13936</v>
      </c>
      <c r="V6409" s="148">
        <v>45571</v>
      </c>
      <c r="W6409" s="85" t="s">
        <v>14669</v>
      </c>
      <c r="X6409" s="80"/>
      <c r="Y6409" s="22">
        <v>0</v>
      </c>
      <c r="Z6409" s="81" t="s">
        <v>50</v>
      </c>
      <c r="AA6409" s="82"/>
      <c r="AB6409" s="80"/>
      <c r="AC6409" s="80" t="s">
        <v>53</v>
      </c>
      <c r="AD6409" s="80" t="s">
        <v>54</v>
      </c>
      <c r="AE6409" s="80" t="s">
        <v>14542</v>
      </c>
      <c r="AF6409" s="17">
        <v>45736</v>
      </c>
      <c r="AG6409" s="80"/>
      <c r="AH6409" s="143" t="s">
        <v>14670</v>
      </c>
      <c r="AI6409" s="147"/>
      <c r="AJ6409" s="80"/>
      <c r="AK6409" s="80"/>
      <c r="AL6409" s="86"/>
      <c r="AM6409" s="86"/>
      <c r="AN6409" s="86"/>
      <c r="AO6409" s="86"/>
      <c r="AP6409" s="86"/>
    </row>
    <row r="6410" spans="1:42" x14ac:dyDescent="0.2">
      <c r="A6410" s="38">
        <v>45723</v>
      </c>
      <c r="B6410" s="28" t="s">
        <v>37</v>
      </c>
      <c r="C6410" s="41" t="s">
        <v>118</v>
      </c>
      <c r="D6410" s="80" t="s">
        <v>36</v>
      </c>
      <c r="E6410" s="80" t="s">
        <v>139</v>
      </c>
      <c r="F6410" s="80" t="s">
        <v>14542</v>
      </c>
      <c r="G6410" s="161" t="s">
        <v>221</v>
      </c>
      <c r="H6410" s="80" t="s">
        <v>20208</v>
      </c>
      <c r="I6410" s="17">
        <f ca="1">IFERROR(__xludf.DUMMYFUNCTION("""COMPUTED_VALUE"""),45736)</f>
        <v>45736</v>
      </c>
      <c r="J6410" s="143" t="s">
        <v>14671</v>
      </c>
      <c r="K6410" s="145" t="s">
        <v>14672</v>
      </c>
      <c r="L6410" s="30">
        <v>357186051</v>
      </c>
      <c r="M6410" s="80" t="s">
        <v>80</v>
      </c>
      <c r="N6410" s="80" t="s">
        <v>186</v>
      </c>
      <c r="O6410" s="80" t="s">
        <v>14673</v>
      </c>
      <c r="P6410" s="80" t="s">
        <v>2641</v>
      </c>
      <c r="Q6410" s="20">
        <v>15936</v>
      </c>
      <c r="R6410" s="80" t="s">
        <v>36</v>
      </c>
      <c r="S6410" s="95">
        <f t="shared" si="186"/>
        <v>2000</v>
      </c>
      <c r="T6410" s="148" t="s">
        <v>14674</v>
      </c>
      <c r="U6410" s="95">
        <v>13936</v>
      </c>
      <c r="V6410" s="148">
        <v>45583</v>
      </c>
      <c r="W6410" s="85" t="s">
        <v>14675</v>
      </c>
      <c r="X6410" s="80"/>
      <c r="Y6410" s="22">
        <v>0</v>
      </c>
      <c r="Z6410" s="81" t="s">
        <v>50</v>
      </c>
      <c r="AA6410" s="86"/>
      <c r="AB6410" s="80"/>
      <c r="AC6410" s="80" t="s">
        <v>53</v>
      </c>
      <c r="AD6410" s="80" t="s">
        <v>138</v>
      </c>
      <c r="AE6410" s="80" t="s">
        <v>14542</v>
      </c>
      <c r="AF6410" s="17">
        <v>45736</v>
      </c>
      <c r="AG6410" s="80"/>
      <c r="AH6410" s="80"/>
      <c r="AI6410" s="147"/>
      <c r="AJ6410" s="80"/>
      <c r="AK6410" s="80"/>
      <c r="AL6410" s="86"/>
      <c r="AM6410" s="86"/>
      <c r="AN6410" s="86"/>
      <c r="AO6410" s="86"/>
      <c r="AP6410" s="86"/>
    </row>
    <row r="6411" spans="1:42" x14ac:dyDescent="0.2">
      <c r="A6411" s="38">
        <v>45723</v>
      </c>
      <c r="B6411" s="28" t="s">
        <v>37</v>
      </c>
      <c r="C6411" s="41" t="s">
        <v>118</v>
      </c>
      <c r="D6411" s="80" t="s">
        <v>36</v>
      </c>
      <c r="E6411" s="80" t="s">
        <v>139</v>
      </c>
      <c r="F6411" s="80" t="s">
        <v>14542</v>
      </c>
      <c r="G6411" s="161" t="s">
        <v>221</v>
      </c>
      <c r="H6411" s="80" t="s">
        <v>20208</v>
      </c>
      <c r="I6411" s="17">
        <f ca="1">IFERROR(__xludf.DUMMYFUNCTION("""COMPUTED_VALUE"""),45736)</f>
        <v>45736</v>
      </c>
      <c r="J6411" s="143" t="s">
        <v>14676</v>
      </c>
      <c r="K6411" s="80" t="s">
        <v>14677</v>
      </c>
      <c r="L6411" s="30">
        <v>965438781</v>
      </c>
      <c r="M6411" s="80" t="s">
        <v>80</v>
      </c>
      <c r="N6411" s="80" t="s">
        <v>1073</v>
      </c>
      <c r="O6411" s="80" t="s">
        <v>14678</v>
      </c>
      <c r="P6411" s="80" t="s">
        <v>2641</v>
      </c>
      <c r="Q6411" s="20">
        <v>15936</v>
      </c>
      <c r="R6411" s="80" t="s">
        <v>36</v>
      </c>
      <c r="S6411" s="95">
        <f>500+1500</f>
        <v>2000</v>
      </c>
      <c r="T6411" s="148" t="s">
        <v>14679</v>
      </c>
      <c r="U6411" s="95">
        <v>13936</v>
      </c>
      <c r="V6411" s="148">
        <v>45569</v>
      </c>
      <c r="W6411" s="85" t="s">
        <v>14680</v>
      </c>
      <c r="X6411" s="80"/>
      <c r="Y6411" s="22">
        <v>0</v>
      </c>
      <c r="Z6411" s="81" t="s">
        <v>50</v>
      </c>
      <c r="AA6411" s="82"/>
      <c r="AB6411" s="80"/>
      <c r="AC6411" s="80" t="s">
        <v>53</v>
      </c>
      <c r="AD6411" s="80" t="s">
        <v>54</v>
      </c>
      <c r="AE6411" s="80" t="s">
        <v>14542</v>
      </c>
      <c r="AF6411" s="17">
        <v>45736</v>
      </c>
      <c r="AG6411" s="80"/>
      <c r="AH6411" s="80"/>
      <c r="AI6411" s="147"/>
      <c r="AJ6411" s="80"/>
      <c r="AK6411" s="80"/>
      <c r="AL6411" s="86"/>
      <c r="AM6411" s="86"/>
      <c r="AN6411" s="86"/>
      <c r="AO6411" s="86"/>
      <c r="AP6411" s="86"/>
    </row>
    <row r="6412" spans="1:42" x14ac:dyDescent="0.2">
      <c r="A6412" s="38">
        <v>45723</v>
      </c>
      <c r="B6412" s="28" t="s">
        <v>37</v>
      </c>
      <c r="C6412" s="41" t="s">
        <v>118</v>
      </c>
      <c r="D6412" s="80" t="s">
        <v>36</v>
      </c>
      <c r="E6412" s="80" t="s">
        <v>56</v>
      </c>
      <c r="F6412" s="80" t="s">
        <v>14542</v>
      </c>
      <c r="G6412" s="161" t="s">
        <v>221</v>
      </c>
      <c r="H6412" s="80" t="s">
        <v>20208</v>
      </c>
      <c r="I6412" s="17">
        <f ca="1">IFERROR(__xludf.DUMMYFUNCTION("""COMPUTED_VALUE"""),45736)</f>
        <v>45736</v>
      </c>
      <c r="J6412" s="143" t="s">
        <v>12917</v>
      </c>
      <c r="K6412" s="145" t="s">
        <v>12918</v>
      </c>
      <c r="L6412" s="30">
        <v>963282713</v>
      </c>
      <c r="M6412" s="80" t="s">
        <v>9422</v>
      </c>
      <c r="N6412" s="80" t="s">
        <v>12670</v>
      </c>
      <c r="O6412" s="80" t="s">
        <v>12919</v>
      </c>
      <c r="P6412" s="80" t="s">
        <v>12920</v>
      </c>
      <c r="Q6412" s="20">
        <v>9317</v>
      </c>
      <c r="R6412" s="80" t="s">
        <v>36</v>
      </c>
      <c r="S6412" s="95">
        <v>9317</v>
      </c>
      <c r="T6412" s="148">
        <v>45544</v>
      </c>
      <c r="U6412" s="77"/>
      <c r="V6412" s="78"/>
      <c r="W6412" s="85" t="s">
        <v>12921</v>
      </c>
      <c r="X6412" s="83">
        <v>0</v>
      </c>
      <c r="Y6412" s="22">
        <v>0</v>
      </c>
      <c r="Z6412" s="81" t="s">
        <v>50</v>
      </c>
      <c r="AA6412" s="86" t="s">
        <v>3291</v>
      </c>
      <c r="AB6412" s="80"/>
      <c r="AC6412" s="80" t="s">
        <v>53</v>
      </c>
      <c r="AD6412" s="80" t="s">
        <v>138</v>
      </c>
      <c r="AE6412" s="80" t="s">
        <v>14542</v>
      </c>
      <c r="AF6412" s="17">
        <v>45736</v>
      </c>
      <c r="AG6412" s="80"/>
      <c r="AH6412" s="80"/>
      <c r="AI6412" s="147" t="s">
        <v>64</v>
      </c>
      <c r="AJ6412" s="80"/>
      <c r="AK6412" s="80"/>
      <c r="AL6412" s="86"/>
      <c r="AM6412" s="86"/>
      <c r="AN6412" s="86"/>
      <c r="AO6412" s="86"/>
      <c r="AP6412" s="86"/>
    </row>
    <row r="6413" spans="1:42" x14ac:dyDescent="0.2">
      <c r="A6413" s="38">
        <v>45723</v>
      </c>
      <c r="B6413" s="28" t="s">
        <v>37</v>
      </c>
      <c r="C6413" s="41" t="s">
        <v>118</v>
      </c>
      <c r="D6413" s="80" t="s">
        <v>36</v>
      </c>
      <c r="E6413" s="80" t="s">
        <v>139</v>
      </c>
      <c r="F6413" s="80" t="s">
        <v>14542</v>
      </c>
      <c r="G6413" s="161" t="s">
        <v>221</v>
      </c>
      <c r="H6413" s="80" t="s">
        <v>20208</v>
      </c>
      <c r="I6413" s="17">
        <f ca="1">IFERROR(__xludf.DUMMYFUNCTION("""COMPUTED_VALUE"""),45736)</f>
        <v>45736</v>
      </c>
      <c r="J6413" s="143" t="s">
        <v>14686</v>
      </c>
      <c r="K6413" s="145" t="s">
        <v>14687</v>
      </c>
      <c r="L6413" s="30">
        <v>983331598</v>
      </c>
      <c r="M6413" s="80" t="s">
        <v>80</v>
      </c>
      <c r="N6413" s="80" t="s">
        <v>1073</v>
      </c>
      <c r="O6413" s="80" t="s">
        <v>14688</v>
      </c>
      <c r="P6413" s="80" t="s">
        <v>2641</v>
      </c>
      <c r="Q6413" s="20">
        <v>15936</v>
      </c>
      <c r="R6413" s="80" t="s">
        <v>36</v>
      </c>
      <c r="S6413" s="95">
        <f>200+1800</f>
        <v>2000</v>
      </c>
      <c r="T6413" s="148" t="s">
        <v>14689</v>
      </c>
      <c r="U6413" s="95">
        <f>10000+3936</f>
        <v>13936</v>
      </c>
      <c r="V6413" s="148" t="s">
        <v>14690</v>
      </c>
      <c r="W6413" s="85" t="s">
        <v>14691</v>
      </c>
      <c r="X6413" s="80"/>
      <c r="Y6413" s="22">
        <v>0</v>
      </c>
      <c r="Z6413" s="81" t="s">
        <v>50</v>
      </c>
      <c r="AA6413" s="82"/>
      <c r="AB6413" s="80"/>
      <c r="AC6413" s="80" t="s">
        <v>53</v>
      </c>
      <c r="AD6413" s="80" t="s">
        <v>138</v>
      </c>
      <c r="AE6413" s="80" t="s">
        <v>14542</v>
      </c>
      <c r="AF6413" s="17">
        <v>45736</v>
      </c>
      <c r="AG6413" s="80"/>
      <c r="AH6413" s="80"/>
      <c r="AI6413" s="147"/>
      <c r="AJ6413" s="80"/>
      <c r="AK6413" s="80"/>
      <c r="AL6413" s="86"/>
      <c r="AM6413" s="86"/>
      <c r="AN6413" s="86"/>
      <c r="AO6413" s="86"/>
      <c r="AP6413" s="86"/>
    </row>
    <row r="6414" spans="1:42" x14ac:dyDescent="0.2">
      <c r="A6414" s="38">
        <v>45723</v>
      </c>
      <c r="B6414" s="137" t="s">
        <v>37</v>
      </c>
      <c r="C6414" s="41" t="s">
        <v>118</v>
      </c>
      <c r="D6414" s="80" t="s">
        <v>36</v>
      </c>
      <c r="E6414" s="80" t="s">
        <v>148</v>
      </c>
      <c r="F6414" s="80" t="s">
        <v>14542</v>
      </c>
      <c r="G6414" s="161" t="s">
        <v>221</v>
      </c>
      <c r="H6414" s="80" t="s">
        <v>8400</v>
      </c>
      <c r="I6414" s="17">
        <f ca="1">IFERROR(__xludf.DUMMYFUNCTION("""COMPUTED_VALUE"""),45750)</f>
        <v>45750</v>
      </c>
      <c r="J6414" s="172" t="s">
        <v>20404</v>
      </c>
      <c r="K6414" s="80" t="s">
        <v>20405</v>
      </c>
      <c r="L6414" s="30">
        <v>343299128</v>
      </c>
      <c r="M6414" s="80" t="s">
        <v>80</v>
      </c>
      <c r="N6414" s="80" t="s">
        <v>1073</v>
      </c>
      <c r="O6414" s="80" t="s">
        <v>10722</v>
      </c>
      <c r="P6414" s="80" t="s">
        <v>17966</v>
      </c>
      <c r="Q6414" s="20">
        <v>7349</v>
      </c>
      <c r="R6414" s="80" t="s">
        <v>36</v>
      </c>
      <c r="S6414" s="95">
        <v>7349</v>
      </c>
      <c r="T6414" s="200">
        <v>45608</v>
      </c>
      <c r="U6414" s="77"/>
      <c r="V6414" s="78"/>
      <c r="W6414" s="85" t="s">
        <v>17967</v>
      </c>
      <c r="X6414" s="80">
        <v>0</v>
      </c>
      <c r="Y6414" s="22">
        <v>0</v>
      </c>
      <c r="Z6414" s="81" t="s">
        <v>50</v>
      </c>
      <c r="AA6414" s="86" t="s">
        <v>14723</v>
      </c>
      <c r="AB6414" s="80"/>
      <c r="AC6414" s="80" t="s">
        <v>53</v>
      </c>
      <c r="AD6414" s="80" t="s">
        <v>54</v>
      </c>
      <c r="AE6414" s="80" t="s">
        <v>14542</v>
      </c>
      <c r="AF6414" s="17">
        <v>45750</v>
      </c>
      <c r="AG6414" s="80"/>
      <c r="AH6414" s="80"/>
      <c r="AI6414" s="147"/>
      <c r="AJ6414" s="80"/>
      <c r="AK6414" s="80"/>
      <c r="AL6414" s="86"/>
      <c r="AM6414" s="86"/>
      <c r="AN6414" s="86"/>
      <c r="AO6414" s="86"/>
      <c r="AP6414" s="86"/>
    </row>
    <row r="6415" spans="1:42" x14ac:dyDescent="0.2">
      <c r="A6415" s="38">
        <v>45723</v>
      </c>
      <c r="B6415" s="137" t="s">
        <v>37</v>
      </c>
      <c r="C6415" s="41" t="s">
        <v>118</v>
      </c>
      <c r="D6415" s="26" t="s">
        <v>36</v>
      </c>
      <c r="E6415" s="26" t="s">
        <v>139</v>
      </c>
      <c r="F6415" s="26" t="s">
        <v>9021</v>
      </c>
      <c r="G6415" s="26" t="s">
        <v>1705</v>
      </c>
      <c r="H6415" s="26" t="s">
        <v>20357</v>
      </c>
      <c r="I6415" s="17">
        <f ca="1">IFERROR(__xludf.DUMMYFUNCTION("""COMPUTED_VALUE"""),45567)</f>
        <v>45567</v>
      </c>
      <c r="J6415" s="29" t="s">
        <v>3523</v>
      </c>
      <c r="K6415" s="26" t="s">
        <v>3524</v>
      </c>
      <c r="L6415" s="30">
        <v>392009475</v>
      </c>
      <c r="M6415" s="26" t="s">
        <v>910</v>
      </c>
      <c r="N6415" s="26" t="s">
        <v>3525</v>
      </c>
      <c r="O6415" s="26" t="s">
        <v>3526</v>
      </c>
      <c r="P6415" s="42" t="s">
        <v>20406</v>
      </c>
      <c r="Q6415" s="20">
        <v>15936</v>
      </c>
      <c r="R6415" s="26" t="s">
        <v>36</v>
      </c>
      <c r="S6415" s="31">
        <v>4000</v>
      </c>
      <c r="T6415" s="32">
        <v>45180</v>
      </c>
      <c r="U6415" s="31">
        <v>11936</v>
      </c>
      <c r="V6415" s="32">
        <v>45205</v>
      </c>
      <c r="W6415" s="33" t="s">
        <v>3528</v>
      </c>
      <c r="X6415" s="26"/>
      <c r="Y6415" s="22">
        <v>0</v>
      </c>
      <c r="Z6415" s="26" t="s">
        <v>118</v>
      </c>
      <c r="AA6415" s="19" t="s">
        <v>4541</v>
      </c>
      <c r="AB6415" s="26" t="s">
        <v>36</v>
      </c>
      <c r="AC6415" s="26" t="s">
        <v>53</v>
      </c>
      <c r="AD6415" s="19" t="s">
        <v>54</v>
      </c>
      <c r="AE6415" s="26" t="s">
        <v>9021</v>
      </c>
      <c r="AF6415" s="17">
        <v>45727</v>
      </c>
      <c r="AG6415" s="26"/>
      <c r="AH6415" s="26"/>
      <c r="AI6415" s="40"/>
      <c r="AJ6415" s="26"/>
      <c r="AK6415" s="26"/>
      <c r="AL6415" s="35"/>
      <c r="AM6415" s="35"/>
      <c r="AN6415" s="35"/>
      <c r="AO6415" s="35"/>
      <c r="AP6415" s="35"/>
    </row>
    <row r="6416" spans="1:42" x14ac:dyDescent="0.2">
      <c r="A6416" s="38">
        <v>45723</v>
      </c>
      <c r="B6416" s="137" t="s">
        <v>37</v>
      </c>
      <c r="C6416" s="41" t="s">
        <v>118</v>
      </c>
      <c r="D6416" s="26" t="s">
        <v>36</v>
      </c>
      <c r="E6416" s="26" t="s">
        <v>139</v>
      </c>
      <c r="F6416" s="26" t="s">
        <v>9021</v>
      </c>
      <c r="G6416" s="26" t="s">
        <v>1705</v>
      </c>
      <c r="H6416" s="26" t="s">
        <v>20357</v>
      </c>
      <c r="I6416" s="17">
        <f ca="1">IFERROR(__xludf.DUMMYFUNCTION("""COMPUTED_VALUE"""),45567)</f>
        <v>45567</v>
      </c>
      <c r="J6416" s="29" t="s">
        <v>3515</v>
      </c>
      <c r="K6416" s="26" t="s">
        <v>3516</v>
      </c>
      <c r="L6416" s="30">
        <v>865794177</v>
      </c>
      <c r="M6416" s="26" t="s">
        <v>80</v>
      </c>
      <c r="N6416" s="26" t="s">
        <v>186</v>
      </c>
      <c r="O6416" s="26" t="s">
        <v>3517</v>
      </c>
      <c r="P6416" s="42" t="s">
        <v>9023</v>
      </c>
      <c r="Q6416" s="20">
        <v>15936</v>
      </c>
      <c r="R6416" s="26" t="s">
        <v>36</v>
      </c>
      <c r="S6416" s="31">
        <v>8000</v>
      </c>
      <c r="T6416" s="32">
        <v>45180</v>
      </c>
      <c r="U6416" s="31">
        <v>7936</v>
      </c>
      <c r="V6416" s="32">
        <v>45200</v>
      </c>
      <c r="W6416" s="33" t="s">
        <v>3518</v>
      </c>
      <c r="X6416" s="26"/>
      <c r="Y6416" s="22">
        <v>0</v>
      </c>
      <c r="Z6416" s="26" t="s">
        <v>118</v>
      </c>
      <c r="AA6416" s="19" t="s">
        <v>4541</v>
      </c>
      <c r="AB6416" s="26" t="s">
        <v>36</v>
      </c>
      <c r="AC6416" s="26" t="s">
        <v>53</v>
      </c>
      <c r="AD6416" s="19" t="s">
        <v>54</v>
      </c>
      <c r="AE6416" s="26" t="s">
        <v>9021</v>
      </c>
      <c r="AF6416" s="17">
        <v>45727</v>
      </c>
      <c r="AG6416" s="26"/>
      <c r="AH6416" s="26"/>
      <c r="AI6416" s="40"/>
      <c r="AJ6416" s="26"/>
      <c r="AK6416" s="26"/>
      <c r="AL6416" s="35"/>
      <c r="AM6416" s="35"/>
      <c r="AN6416" s="35"/>
      <c r="AO6416" s="35"/>
      <c r="AP6416" s="35"/>
    </row>
    <row r="6417" spans="1:42" x14ac:dyDescent="0.2">
      <c r="A6417" s="38">
        <v>45723</v>
      </c>
      <c r="B6417" s="137" t="s">
        <v>37</v>
      </c>
      <c r="C6417" s="41" t="s">
        <v>118</v>
      </c>
      <c r="D6417" s="80" t="s">
        <v>36</v>
      </c>
      <c r="E6417" s="80" t="s">
        <v>139</v>
      </c>
      <c r="F6417" s="26" t="s">
        <v>13755</v>
      </c>
      <c r="G6417" s="26" t="s">
        <v>1705</v>
      </c>
      <c r="H6417" s="26" t="s">
        <v>20357</v>
      </c>
      <c r="I6417" s="17">
        <f ca="1">IFERROR(__xludf.DUMMYFUNCTION("""COMPUTED_VALUE"""),45567)</f>
        <v>45567</v>
      </c>
      <c r="J6417" s="143" t="s">
        <v>5233</v>
      </c>
      <c r="K6417" s="80" t="s">
        <v>13867</v>
      </c>
      <c r="L6417" s="30">
        <v>859088883</v>
      </c>
      <c r="M6417" s="80" t="s">
        <v>80</v>
      </c>
      <c r="N6417" s="80" t="s">
        <v>299</v>
      </c>
      <c r="O6417" s="80" t="s">
        <v>5235</v>
      </c>
      <c r="P6417" s="115" t="s">
        <v>13868</v>
      </c>
      <c r="Q6417" s="20">
        <v>15936</v>
      </c>
      <c r="R6417" s="80" t="s">
        <v>36</v>
      </c>
      <c r="S6417" s="77">
        <v>2000</v>
      </c>
      <c r="T6417" s="78">
        <v>45204</v>
      </c>
      <c r="U6417" s="77">
        <v>13936</v>
      </c>
      <c r="V6417" s="78">
        <v>45246</v>
      </c>
      <c r="W6417" s="85" t="s">
        <v>5237</v>
      </c>
      <c r="X6417" s="80"/>
      <c r="Y6417" s="22">
        <v>0</v>
      </c>
      <c r="Z6417" s="41" t="s">
        <v>118</v>
      </c>
      <c r="AA6417" s="82" t="s">
        <v>5785</v>
      </c>
      <c r="AB6417" s="80" t="s">
        <v>36</v>
      </c>
      <c r="AC6417" s="80" t="s">
        <v>53</v>
      </c>
      <c r="AD6417" s="86" t="s">
        <v>138</v>
      </c>
      <c r="AE6417" s="26" t="s">
        <v>13755</v>
      </c>
      <c r="AF6417" s="17">
        <v>45727</v>
      </c>
      <c r="AG6417" s="80"/>
      <c r="AH6417" s="80"/>
      <c r="AI6417" s="147" t="s">
        <v>147</v>
      </c>
      <c r="AJ6417" s="80"/>
      <c r="AK6417" s="80"/>
      <c r="AL6417" s="86"/>
      <c r="AM6417" s="86"/>
      <c r="AN6417" s="86"/>
      <c r="AO6417" s="86"/>
      <c r="AP6417" s="86"/>
    </row>
    <row r="6418" spans="1:42" x14ac:dyDescent="0.2">
      <c r="A6418" s="38">
        <v>45723</v>
      </c>
      <c r="B6418" s="137" t="s">
        <v>37</v>
      </c>
      <c r="C6418" s="41" t="s">
        <v>118</v>
      </c>
      <c r="D6418" s="80" t="s">
        <v>36</v>
      </c>
      <c r="E6418" s="80" t="s">
        <v>119</v>
      </c>
      <c r="F6418" s="80" t="s">
        <v>10028</v>
      </c>
      <c r="G6418" s="80" t="s">
        <v>221</v>
      </c>
      <c r="H6418" s="80" t="s">
        <v>8400</v>
      </c>
      <c r="I6418" s="17">
        <f ca="1">IFERROR(__xludf.DUMMYFUNCTION("""COMPUTED_VALUE"""),45750)</f>
        <v>45750</v>
      </c>
      <c r="J6418" s="143" t="s">
        <v>20407</v>
      </c>
      <c r="K6418" s="80" t="s">
        <v>20408</v>
      </c>
      <c r="L6418" s="30">
        <v>332778823</v>
      </c>
      <c r="M6418" s="80" t="s">
        <v>12720</v>
      </c>
      <c r="N6418" s="80" t="s">
        <v>1073</v>
      </c>
      <c r="O6418" s="80" t="s">
        <v>15322</v>
      </c>
      <c r="P6418" s="80" t="s">
        <v>15323</v>
      </c>
      <c r="Q6418" s="20">
        <v>13968</v>
      </c>
      <c r="R6418" s="80" t="s">
        <v>36</v>
      </c>
      <c r="S6418" s="95">
        <f>200+3800</f>
        <v>4000</v>
      </c>
      <c r="T6418" s="83" t="s">
        <v>14531</v>
      </c>
      <c r="U6418" s="95">
        <v>9968</v>
      </c>
      <c r="V6418" s="148">
        <v>45582</v>
      </c>
      <c r="W6418" s="85" t="s">
        <v>15324</v>
      </c>
      <c r="X6418" s="80"/>
      <c r="Y6418" s="22">
        <v>0</v>
      </c>
      <c r="Z6418" s="80" t="s">
        <v>50</v>
      </c>
      <c r="AA6418" s="35" t="s">
        <v>9905</v>
      </c>
      <c r="AB6418" s="80"/>
      <c r="AC6418" s="80" t="s">
        <v>53</v>
      </c>
      <c r="AD6418" s="80" t="s">
        <v>138</v>
      </c>
      <c r="AE6418" s="80" t="s">
        <v>10028</v>
      </c>
      <c r="AF6418" s="17">
        <v>45750</v>
      </c>
      <c r="AG6418" s="80"/>
      <c r="AH6418" s="80"/>
      <c r="AI6418" s="147"/>
      <c r="AJ6418" s="80"/>
      <c r="AK6418" s="80"/>
      <c r="AL6418" s="35"/>
      <c r="AM6418" s="35"/>
      <c r="AN6418" s="35"/>
      <c r="AO6418" s="35"/>
      <c r="AP6418" s="35"/>
    </row>
    <row r="6419" spans="1:42" x14ac:dyDescent="0.2">
      <c r="A6419" s="38">
        <v>45724</v>
      </c>
      <c r="B6419" s="137" t="s">
        <v>37</v>
      </c>
      <c r="C6419" s="41" t="s">
        <v>118</v>
      </c>
      <c r="D6419" s="80" t="s">
        <v>36</v>
      </c>
      <c r="E6419" s="80" t="s">
        <v>56</v>
      </c>
      <c r="F6419" s="80" t="s">
        <v>16651</v>
      </c>
      <c r="G6419" s="80" t="s">
        <v>221</v>
      </c>
      <c r="H6419" s="80" t="s">
        <v>18374</v>
      </c>
      <c r="I6419" s="17">
        <f ca="1">IFERROR(__xludf.DUMMYFUNCTION("""COMPUTED_VALUE"""),45729)</f>
        <v>45729</v>
      </c>
      <c r="J6419" s="143" t="s">
        <v>15617</v>
      </c>
      <c r="K6419" s="80" t="s">
        <v>15618</v>
      </c>
      <c r="L6419" s="30">
        <v>962933897</v>
      </c>
      <c r="M6419" s="80" t="s">
        <v>3288</v>
      </c>
      <c r="N6419" s="80" t="s">
        <v>200</v>
      </c>
      <c r="O6419" s="80" t="s">
        <v>91</v>
      </c>
      <c r="P6419" s="144" t="s">
        <v>20409</v>
      </c>
      <c r="Q6419" s="20">
        <v>9317</v>
      </c>
      <c r="R6419" s="80" t="s">
        <v>1106</v>
      </c>
      <c r="S6419" s="95">
        <v>2000</v>
      </c>
      <c r="T6419" s="148">
        <v>45559</v>
      </c>
      <c r="U6419" s="95">
        <v>7167</v>
      </c>
      <c r="V6419" s="148">
        <v>45567</v>
      </c>
      <c r="W6419" s="85" t="s">
        <v>15620</v>
      </c>
      <c r="X6419" s="80"/>
      <c r="Y6419" s="22">
        <v>150</v>
      </c>
      <c r="Z6419" s="81" t="s">
        <v>50</v>
      </c>
      <c r="AA6419" s="82" t="s">
        <v>9905</v>
      </c>
      <c r="AB6419" s="80"/>
      <c r="AC6419" s="80" t="s">
        <v>53</v>
      </c>
      <c r="AD6419" s="80" t="s">
        <v>54</v>
      </c>
      <c r="AE6419" s="80" t="s">
        <v>16651</v>
      </c>
      <c r="AF6419" s="17">
        <v>45727</v>
      </c>
      <c r="AG6419" s="80"/>
      <c r="AH6419" s="80"/>
      <c r="AI6419" s="147"/>
      <c r="AJ6419" s="80"/>
      <c r="AK6419" s="80"/>
      <c r="AL6419" s="86"/>
      <c r="AM6419" s="86"/>
      <c r="AN6419" s="86"/>
      <c r="AO6419" s="86"/>
      <c r="AP6419" s="35"/>
    </row>
    <row r="6420" spans="1:42" x14ac:dyDescent="0.2">
      <c r="A6420" s="38">
        <v>45724</v>
      </c>
      <c r="B6420" s="137" t="s">
        <v>37</v>
      </c>
      <c r="C6420" s="41" t="s">
        <v>118</v>
      </c>
      <c r="D6420" s="80" t="s">
        <v>36</v>
      </c>
      <c r="E6420" s="80" t="s">
        <v>139</v>
      </c>
      <c r="F6420" s="80" t="s">
        <v>16651</v>
      </c>
      <c r="G6420" s="80" t="s">
        <v>221</v>
      </c>
      <c r="H6420" s="80" t="s">
        <v>20211</v>
      </c>
      <c r="I6420" s="17">
        <f ca="1">IFERROR(__xludf.DUMMYFUNCTION("""COMPUTED_VALUE"""),45946)</f>
        <v>45946</v>
      </c>
      <c r="J6420" s="143" t="s">
        <v>16660</v>
      </c>
      <c r="K6420" s="80" t="s">
        <v>20410</v>
      </c>
      <c r="L6420" s="30">
        <v>327352767</v>
      </c>
      <c r="M6420" s="80" t="s">
        <v>12529</v>
      </c>
      <c r="N6420" s="80" t="s">
        <v>13566</v>
      </c>
      <c r="O6420" s="80" t="s">
        <v>16662</v>
      </c>
      <c r="P6420" s="144" t="s">
        <v>16663</v>
      </c>
      <c r="Q6420" s="20">
        <v>9317</v>
      </c>
      <c r="R6420" s="80" t="s">
        <v>36</v>
      </c>
      <c r="S6420" s="95">
        <f>200+1800</f>
        <v>2000</v>
      </c>
      <c r="T6420" s="83" t="s">
        <v>16664</v>
      </c>
      <c r="U6420" s="95">
        <v>7936</v>
      </c>
      <c r="V6420" s="148">
        <v>45611</v>
      </c>
      <c r="W6420" s="85" t="s">
        <v>16665</v>
      </c>
      <c r="X6420" s="80"/>
      <c r="Y6420" s="22">
        <v>0</v>
      </c>
      <c r="Z6420" s="80" t="s">
        <v>50</v>
      </c>
      <c r="AA6420" s="86" t="s">
        <v>14723</v>
      </c>
      <c r="AB6420" s="80"/>
      <c r="AC6420" s="80" t="s">
        <v>53</v>
      </c>
      <c r="AD6420" s="80" t="s">
        <v>138</v>
      </c>
      <c r="AE6420" s="80" t="s">
        <v>16651</v>
      </c>
      <c r="AF6420" s="17">
        <v>45727</v>
      </c>
      <c r="AG6420" s="80"/>
      <c r="AH6420" s="80"/>
      <c r="AI6420" s="147"/>
      <c r="AJ6420" s="80"/>
      <c r="AK6420" s="80"/>
      <c r="AL6420" s="35"/>
      <c r="AM6420" s="35"/>
      <c r="AN6420" s="35"/>
      <c r="AO6420" s="35"/>
      <c r="AP6420" s="35"/>
    </row>
    <row r="6421" spans="1:42" x14ac:dyDescent="0.2">
      <c r="A6421" s="38">
        <v>45724</v>
      </c>
      <c r="B6421" s="137" t="s">
        <v>37</v>
      </c>
      <c r="C6421" s="41" t="s">
        <v>118</v>
      </c>
      <c r="D6421" s="80" t="s">
        <v>36</v>
      </c>
      <c r="E6421" s="80" t="s">
        <v>139</v>
      </c>
      <c r="F6421" s="80" t="s">
        <v>14342</v>
      </c>
      <c r="G6421" s="80" t="s">
        <v>221</v>
      </c>
      <c r="H6421" s="80" t="s">
        <v>18135</v>
      </c>
      <c r="I6421" s="17">
        <f ca="1">IFERROR(__xludf.DUMMYFUNCTION("""COMPUTED_VALUE"""),45729)</f>
        <v>45729</v>
      </c>
      <c r="J6421" s="143" t="s">
        <v>14352</v>
      </c>
      <c r="K6421" s="80" t="s">
        <v>20411</v>
      </c>
      <c r="L6421" s="30">
        <v>867642623</v>
      </c>
      <c r="M6421" s="80" t="s">
        <v>3728</v>
      </c>
      <c r="N6421" s="80" t="s">
        <v>5277</v>
      </c>
      <c r="O6421" s="80" t="s">
        <v>14354</v>
      </c>
      <c r="P6421" s="80" t="s">
        <v>14355</v>
      </c>
      <c r="Q6421" s="20">
        <v>15936</v>
      </c>
      <c r="R6421" s="80" t="s">
        <v>70</v>
      </c>
      <c r="S6421" s="95">
        <f>500+1500</f>
        <v>2000</v>
      </c>
      <c r="T6421" s="83" t="s">
        <v>14356</v>
      </c>
      <c r="U6421" s="95">
        <v>13836</v>
      </c>
      <c r="V6421" s="148">
        <v>45566</v>
      </c>
      <c r="W6421" s="85" t="s">
        <v>14357</v>
      </c>
      <c r="X6421" s="80"/>
      <c r="Y6421" s="22">
        <v>100</v>
      </c>
      <c r="Z6421" s="80" t="s">
        <v>50</v>
      </c>
      <c r="AA6421" s="82"/>
      <c r="AB6421" s="80"/>
      <c r="AC6421" s="80" t="s">
        <v>53</v>
      </c>
      <c r="AD6421" s="80" t="s">
        <v>138</v>
      </c>
      <c r="AE6421" s="80" t="s">
        <v>14342</v>
      </c>
      <c r="AF6421" s="17">
        <v>45729</v>
      </c>
      <c r="AG6421" s="80"/>
      <c r="AH6421" s="80"/>
      <c r="AI6421" s="147"/>
      <c r="AJ6421" s="80"/>
      <c r="AK6421" s="80"/>
      <c r="AL6421" s="35"/>
      <c r="AM6421" s="35"/>
      <c r="AN6421" s="35"/>
      <c r="AO6421" s="35"/>
      <c r="AP6421" s="35"/>
    </row>
    <row r="6422" spans="1:42" x14ac:dyDescent="0.2">
      <c r="A6422" s="38">
        <v>45724</v>
      </c>
      <c r="B6422" s="137" t="s">
        <v>37</v>
      </c>
      <c r="C6422" s="41" t="s">
        <v>118</v>
      </c>
      <c r="D6422" s="80" t="s">
        <v>36</v>
      </c>
      <c r="E6422" s="80" t="s">
        <v>56</v>
      </c>
      <c r="F6422" s="145" t="s">
        <v>14210</v>
      </c>
      <c r="G6422" s="80" t="s">
        <v>221</v>
      </c>
      <c r="H6422" s="80" t="s">
        <v>12804</v>
      </c>
      <c r="I6422" s="17">
        <f ca="1">IFERROR(__xludf.DUMMYFUNCTION("""COMPUTED_VALUE"""),45736)</f>
        <v>45736</v>
      </c>
      <c r="J6422" s="143" t="s">
        <v>13149</v>
      </c>
      <c r="K6422" s="80" t="s">
        <v>20412</v>
      </c>
      <c r="L6422" s="30">
        <v>385019562</v>
      </c>
      <c r="M6422" s="80" t="s">
        <v>45</v>
      </c>
      <c r="N6422" s="80" t="s">
        <v>1472</v>
      </c>
      <c r="O6422" s="80" t="s">
        <v>13151</v>
      </c>
      <c r="P6422" s="144" t="s">
        <v>14520</v>
      </c>
      <c r="Q6422" s="20">
        <v>9317</v>
      </c>
      <c r="R6422" s="80" t="s">
        <v>36</v>
      </c>
      <c r="S6422" s="95">
        <v>9317</v>
      </c>
      <c r="T6422" s="148">
        <v>45549</v>
      </c>
      <c r="U6422" s="77"/>
      <c r="V6422" s="78"/>
      <c r="W6422" s="79" t="s">
        <v>13153</v>
      </c>
      <c r="X6422" s="80">
        <v>0</v>
      </c>
      <c r="Y6422" s="22">
        <v>0</v>
      </c>
      <c r="Z6422" s="80" t="s">
        <v>50</v>
      </c>
      <c r="AA6422" s="35" t="s">
        <v>3291</v>
      </c>
      <c r="AB6422" s="80"/>
      <c r="AC6422" s="80" t="s">
        <v>53</v>
      </c>
      <c r="AD6422" s="80" t="s">
        <v>54</v>
      </c>
      <c r="AE6422" s="145" t="s">
        <v>14210</v>
      </c>
      <c r="AF6422" s="17">
        <v>45736</v>
      </c>
      <c r="AG6422" s="80"/>
      <c r="AH6422" s="80"/>
      <c r="AI6422" s="147" t="s">
        <v>64</v>
      </c>
      <c r="AJ6422" s="80"/>
      <c r="AK6422" s="80"/>
      <c r="AL6422" s="35"/>
      <c r="AM6422" s="35"/>
      <c r="AN6422" s="35"/>
      <c r="AO6422" s="35"/>
      <c r="AP6422" s="35"/>
    </row>
    <row r="6423" spans="1:42" x14ac:dyDescent="0.2">
      <c r="A6423" s="38">
        <v>45724</v>
      </c>
      <c r="B6423" s="137" t="s">
        <v>37</v>
      </c>
      <c r="C6423" s="41" t="s">
        <v>118</v>
      </c>
      <c r="D6423" s="80" t="s">
        <v>36</v>
      </c>
      <c r="E6423" s="80" t="s">
        <v>139</v>
      </c>
      <c r="F6423" s="80" t="s">
        <v>12857</v>
      </c>
      <c r="G6423" s="26" t="s">
        <v>221</v>
      </c>
      <c r="H6423" s="80" t="s">
        <v>20328</v>
      </c>
      <c r="I6423" s="17">
        <f ca="1">IFERROR(__xludf.DUMMYFUNCTION("""COMPUTED_VALUE"""),45845)</f>
        <v>45845</v>
      </c>
      <c r="J6423" s="143" t="s">
        <v>14573</v>
      </c>
      <c r="K6423" s="145" t="s">
        <v>20413</v>
      </c>
      <c r="L6423" s="30">
        <v>337339564</v>
      </c>
      <c r="M6423" s="80" t="s">
        <v>5429</v>
      </c>
      <c r="N6423" s="80" t="s">
        <v>81</v>
      </c>
      <c r="O6423" s="80" t="s">
        <v>61</v>
      </c>
      <c r="P6423" s="144" t="s">
        <v>20414</v>
      </c>
      <c r="Q6423" s="20">
        <v>15936</v>
      </c>
      <c r="R6423" s="80" t="s">
        <v>36</v>
      </c>
      <c r="S6423" s="95">
        <v>2000</v>
      </c>
      <c r="T6423" s="148">
        <v>45544</v>
      </c>
      <c r="U6423" s="95">
        <v>13936</v>
      </c>
      <c r="V6423" s="148">
        <v>45568</v>
      </c>
      <c r="W6423" s="85" t="s">
        <v>14576</v>
      </c>
      <c r="X6423" s="80"/>
      <c r="Y6423" s="22">
        <v>0</v>
      </c>
      <c r="Z6423" s="80" t="s">
        <v>50</v>
      </c>
      <c r="AA6423" s="82"/>
      <c r="AB6423" s="80"/>
      <c r="AC6423" s="80" t="s">
        <v>53</v>
      </c>
      <c r="AD6423" s="80" t="s">
        <v>138</v>
      </c>
      <c r="AE6423" s="80" t="s">
        <v>12857</v>
      </c>
      <c r="AF6423" s="17">
        <v>45839</v>
      </c>
      <c r="AG6423" s="80"/>
      <c r="AH6423" s="80"/>
      <c r="AI6423" s="147"/>
      <c r="AJ6423" s="80"/>
      <c r="AK6423" s="80"/>
      <c r="AL6423" s="35"/>
      <c r="AM6423" s="35"/>
      <c r="AN6423" s="35"/>
      <c r="AO6423" s="35"/>
      <c r="AP6423" s="35"/>
    </row>
    <row r="6424" spans="1:42" x14ac:dyDescent="0.2">
      <c r="A6424" s="38">
        <v>45724</v>
      </c>
      <c r="B6424" s="137" t="s">
        <v>37</v>
      </c>
      <c r="C6424" s="41" t="s">
        <v>118</v>
      </c>
      <c r="D6424" s="80" t="s">
        <v>36</v>
      </c>
      <c r="E6424" s="80" t="s">
        <v>119</v>
      </c>
      <c r="F6424" s="80" t="s">
        <v>13126</v>
      </c>
      <c r="G6424" s="80" t="s">
        <v>221</v>
      </c>
      <c r="H6424" s="80" t="s">
        <v>18302</v>
      </c>
      <c r="I6424" s="17">
        <f ca="1">IFERROR(__xludf.DUMMYFUNCTION("""COMPUTED_VALUE"""),45755)</f>
        <v>45755</v>
      </c>
      <c r="J6424" s="143" t="s">
        <v>13476</v>
      </c>
      <c r="K6424" s="80" t="s">
        <v>20415</v>
      </c>
      <c r="L6424" s="30">
        <v>327648095</v>
      </c>
      <c r="M6424" s="80" t="s">
        <v>9422</v>
      </c>
      <c r="N6424" s="80" t="s">
        <v>186</v>
      </c>
      <c r="O6424" s="80" t="s">
        <v>11607</v>
      </c>
      <c r="P6424" s="144" t="s">
        <v>13478</v>
      </c>
      <c r="Q6424" s="20">
        <v>13968</v>
      </c>
      <c r="R6424" s="80" t="s">
        <v>11421</v>
      </c>
      <c r="S6424" s="95">
        <v>6668</v>
      </c>
      <c r="T6424" s="148">
        <v>45556</v>
      </c>
      <c r="U6424" s="95">
        <v>7000</v>
      </c>
      <c r="V6424" s="148">
        <v>45560</v>
      </c>
      <c r="W6424" s="85" t="s">
        <v>13479</v>
      </c>
      <c r="X6424" s="80">
        <v>300</v>
      </c>
      <c r="Y6424" s="22">
        <v>0</v>
      </c>
      <c r="Z6424" s="80" t="s">
        <v>50</v>
      </c>
      <c r="AA6424" s="35" t="s">
        <v>3291</v>
      </c>
      <c r="AB6424" s="80"/>
      <c r="AC6424" s="80" t="s">
        <v>53</v>
      </c>
      <c r="AD6424" s="80" t="s">
        <v>138</v>
      </c>
      <c r="AE6424" s="80" t="s">
        <v>13126</v>
      </c>
      <c r="AF6424" s="17">
        <v>45749</v>
      </c>
      <c r="AG6424" s="80"/>
      <c r="AH6424" s="80"/>
      <c r="AI6424" s="147">
        <v>4</v>
      </c>
      <c r="AJ6424" s="80"/>
      <c r="AK6424" s="80"/>
      <c r="AL6424" s="35"/>
      <c r="AM6424" s="35"/>
      <c r="AN6424" s="35"/>
      <c r="AO6424" s="35"/>
      <c r="AP6424" s="35"/>
    </row>
    <row r="6425" spans="1:42" x14ac:dyDescent="0.2">
      <c r="A6425" s="38">
        <v>45724</v>
      </c>
      <c r="B6425" s="137" t="s">
        <v>37</v>
      </c>
      <c r="C6425" s="41" t="s">
        <v>118</v>
      </c>
      <c r="D6425" s="80" t="s">
        <v>36</v>
      </c>
      <c r="E6425" s="80" t="s">
        <v>39</v>
      </c>
      <c r="F6425" s="80" t="s">
        <v>11758</v>
      </c>
      <c r="G6425" s="80" t="s">
        <v>108</v>
      </c>
      <c r="H6425" s="80" t="s">
        <v>17002</v>
      </c>
      <c r="I6425" s="17">
        <f ca="1">IFERROR(__xludf.DUMMYFUNCTION("""COMPUTED_VALUE"""),45736)</f>
        <v>45736</v>
      </c>
      <c r="J6425" s="143" t="s">
        <v>12751</v>
      </c>
      <c r="K6425" s="80" t="s">
        <v>20416</v>
      </c>
      <c r="L6425" s="188">
        <v>349751968</v>
      </c>
      <c r="M6425" s="80" t="s">
        <v>45</v>
      </c>
      <c r="N6425" s="80" t="s">
        <v>12753</v>
      </c>
      <c r="O6425" s="80" t="s">
        <v>12754</v>
      </c>
      <c r="P6425" s="144" t="s">
        <v>20417</v>
      </c>
      <c r="Q6425" s="20">
        <v>5736</v>
      </c>
      <c r="R6425" s="80" t="s">
        <v>70</v>
      </c>
      <c r="S6425" s="95">
        <v>5736</v>
      </c>
      <c r="T6425" s="148">
        <v>41881</v>
      </c>
      <c r="U6425" s="77"/>
      <c r="V6425" s="78"/>
      <c r="W6425" s="85" t="s">
        <v>12756</v>
      </c>
      <c r="X6425" s="80">
        <v>100</v>
      </c>
      <c r="Y6425" s="22">
        <v>-100</v>
      </c>
      <c r="Z6425" s="80" t="s">
        <v>50</v>
      </c>
      <c r="AA6425" s="96" t="s">
        <v>3291</v>
      </c>
      <c r="AB6425" s="80"/>
      <c r="AC6425" s="80" t="s">
        <v>53</v>
      </c>
      <c r="AD6425" s="80" t="s">
        <v>54</v>
      </c>
      <c r="AE6425" s="80" t="s">
        <v>17002</v>
      </c>
      <c r="AF6425" s="17">
        <v>45729</v>
      </c>
      <c r="AG6425" s="80"/>
      <c r="AH6425" s="80"/>
      <c r="AI6425" s="147" t="s">
        <v>55</v>
      </c>
      <c r="AJ6425" s="80"/>
      <c r="AK6425" s="80"/>
      <c r="AL6425" s="35"/>
      <c r="AM6425" s="35"/>
      <c r="AN6425" s="35"/>
      <c r="AO6425" s="35"/>
      <c r="AP6425" s="35"/>
    </row>
    <row r="6426" spans="1:42" x14ac:dyDescent="0.2">
      <c r="A6426" s="38">
        <v>45724</v>
      </c>
      <c r="B6426" s="137" t="s">
        <v>37</v>
      </c>
      <c r="C6426" s="41" t="s">
        <v>118</v>
      </c>
      <c r="D6426" s="80" t="s">
        <v>36</v>
      </c>
      <c r="E6426" s="80" t="s">
        <v>139</v>
      </c>
      <c r="F6426" s="80" t="s">
        <v>13976</v>
      </c>
      <c r="G6426" s="26" t="s">
        <v>221</v>
      </c>
      <c r="H6426" s="80" t="s">
        <v>20097</v>
      </c>
      <c r="I6426" s="17">
        <f ca="1">IFERROR(__xludf.DUMMYFUNCTION("""COMPUTED_VALUE"""),45735)</f>
        <v>45735</v>
      </c>
      <c r="J6426" s="143" t="s">
        <v>12484</v>
      </c>
      <c r="K6426" s="80" t="s">
        <v>12485</v>
      </c>
      <c r="L6426" s="30">
        <v>972450746</v>
      </c>
      <c r="M6426" s="80" t="s">
        <v>5518</v>
      </c>
      <c r="N6426" s="80" t="s">
        <v>5252</v>
      </c>
      <c r="O6426" s="80" t="s">
        <v>12486</v>
      </c>
      <c r="P6426" s="144" t="s">
        <v>12487</v>
      </c>
      <c r="Q6426" s="20">
        <v>15936</v>
      </c>
      <c r="R6426" s="80" t="s">
        <v>36</v>
      </c>
      <c r="S6426" s="95">
        <v>2000</v>
      </c>
      <c r="T6426" s="148">
        <v>45531</v>
      </c>
      <c r="U6426" s="95">
        <v>13936</v>
      </c>
      <c r="V6426" s="148">
        <v>45552</v>
      </c>
      <c r="W6426" s="85" t="s">
        <v>12488</v>
      </c>
      <c r="X6426" s="80">
        <v>0</v>
      </c>
      <c r="Y6426" s="22">
        <v>0</v>
      </c>
      <c r="Z6426" s="80" t="s">
        <v>50</v>
      </c>
      <c r="AA6426" s="35" t="s">
        <v>3291</v>
      </c>
      <c r="AB6426" s="80"/>
      <c r="AC6426" s="80" t="s">
        <v>53</v>
      </c>
      <c r="AD6426" s="80" t="s">
        <v>54</v>
      </c>
      <c r="AE6426" s="80" t="s">
        <v>13976</v>
      </c>
      <c r="AF6426" s="17">
        <v>45727</v>
      </c>
      <c r="AG6426" s="80"/>
      <c r="AH6426" s="80"/>
      <c r="AI6426" s="147" t="s">
        <v>147</v>
      </c>
      <c r="AJ6426" s="80"/>
      <c r="AK6426" s="80"/>
      <c r="AL6426" s="35"/>
      <c r="AM6426" s="35"/>
      <c r="AN6426" s="35"/>
      <c r="AO6426" s="35"/>
      <c r="AP6426" s="35"/>
    </row>
    <row r="6427" spans="1:42" x14ac:dyDescent="0.2">
      <c r="A6427" s="38">
        <v>45724</v>
      </c>
      <c r="B6427" s="137" t="s">
        <v>37</v>
      </c>
      <c r="C6427" s="41" t="s">
        <v>118</v>
      </c>
      <c r="D6427" s="80" t="s">
        <v>36</v>
      </c>
      <c r="E6427" s="80" t="s">
        <v>119</v>
      </c>
      <c r="F6427" s="80" t="s">
        <v>9768</v>
      </c>
      <c r="G6427" s="80" t="s">
        <v>221</v>
      </c>
      <c r="H6427" s="80" t="s">
        <v>18302</v>
      </c>
      <c r="I6427" s="17">
        <f ca="1">IFERROR(__xludf.DUMMYFUNCTION("""COMPUTED_VALUE"""),45755)</f>
        <v>45755</v>
      </c>
      <c r="J6427" s="143" t="s">
        <v>15896</v>
      </c>
      <c r="K6427" s="80" t="s">
        <v>20418</v>
      </c>
      <c r="L6427" s="30">
        <v>868219947</v>
      </c>
      <c r="M6427" s="80" t="s">
        <v>9422</v>
      </c>
      <c r="N6427" s="80" t="s">
        <v>13156</v>
      </c>
      <c r="O6427" s="80" t="s">
        <v>8827</v>
      </c>
      <c r="P6427" s="144" t="s">
        <v>15898</v>
      </c>
      <c r="Q6427" s="20">
        <v>13968</v>
      </c>
      <c r="R6427" s="80" t="s">
        <v>11421</v>
      </c>
      <c r="S6427" s="95">
        <v>3768</v>
      </c>
      <c r="T6427" s="148">
        <v>45565</v>
      </c>
      <c r="U6427" s="95">
        <v>9900</v>
      </c>
      <c r="V6427" s="148">
        <v>45595</v>
      </c>
      <c r="W6427" s="85" t="s">
        <v>15899</v>
      </c>
      <c r="X6427" s="80"/>
      <c r="Y6427" s="22">
        <v>300</v>
      </c>
      <c r="Z6427" s="80" t="s">
        <v>50</v>
      </c>
      <c r="AA6427" s="96" t="s">
        <v>9905</v>
      </c>
      <c r="AB6427" s="80"/>
      <c r="AC6427" s="80" t="s">
        <v>53</v>
      </c>
      <c r="AD6427" s="80" t="s">
        <v>138</v>
      </c>
      <c r="AE6427" s="80" t="s">
        <v>9768</v>
      </c>
      <c r="AF6427" s="17">
        <v>45749</v>
      </c>
      <c r="AG6427" s="80"/>
      <c r="AH6427" s="80"/>
      <c r="AI6427" s="147"/>
      <c r="AJ6427" s="80"/>
      <c r="AK6427" s="80"/>
      <c r="AL6427" s="35"/>
      <c r="AM6427" s="35"/>
      <c r="AN6427" s="35"/>
      <c r="AO6427" s="35"/>
      <c r="AP6427" s="35"/>
    </row>
    <row r="6428" spans="1:42" x14ac:dyDescent="0.2">
      <c r="A6428" s="38">
        <v>45724</v>
      </c>
      <c r="B6428" s="137" t="s">
        <v>37</v>
      </c>
      <c r="C6428" s="41" t="s">
        <v>118</v>
      </c>
      <c r="D6428" s="80" t="s">
        <v>36</v>
      </c>
      <c r="E6428" s="80" t="s">
        <v>139</v>
      </c>
      <c r="F6428" s="80" t="s">
        <v>13913</v>
      </c>
      <c r="G6428" s="80" t="s">
        <v>108</v>
      </c>
      <c r="H6428" s="80" t="s">
        <v>18135</v>
      </c>
      <c r="I6428" s="17">
        <f ca="1">IFERROR(__xludf.DUMMYFUNCTION("""COMPUTED_VALUE"""),45729)</f>
        <v>45729</v>
      </c>
      <c r="J6428" s="143" t="s">
        <v>11282</v>
      </c>
      <c r="K6428" s="80" t="s">
        <v>11283</v>
      </c>
      <c r="L6428" s="30">
        <v>988563706</v>
      </c>
      <c r="M6428" s="80" t="s">
        <v>80</v>
      </c>
      <c r="N6428" s="80" t="s">
        <v>1073</v>
      </c>
      <c r="O6428" s="80" t="s">
        <v>11284</v>
      </c>
      <c r="P6428" s="144" t="s">
        <v>13914</v>
      </c>
      <c r="Q6428" s="20">
        <v>15936</v>
      </c>
      <c r="R6428" s="80" t="s">
        <v>3825</v>
      </c>
      <c r="S6428" s="95">
        <v>2000</v>
      </c>
      <c r="T6428" s="148">
        <v>45510</v>
      </c>
      <c r="U6428" s="95">
        <v>13736</v>
      </c>
      <c r="V6428" s="148">
        <v>45527</v>
      </c>
      <c r="W6428" s="85" t="s">
        <v>11285</v>
      </c>
      <c r="X6428" s="80">
        <v>200</v>
      </c>
      <c r="Y6428" s="22">
        <v>0</v>
      </c>
      <c r="Z6428" s="80" t="s">
        <v>50</v>
      </c>
      <c r="AA6428" s="35" t="s">
        <v>10314</v>
      </c>
      <c r="AB6428" s="80"/>
      <c r="AC6428" s="80" t="s">
        <v>53</v>
      </c>
      <c r="AD6428" s="80" t="s">
        <v>54</v>
      </c>
      <c r="AE6428" s="80" t="s">
        <v>13913</v>
      </c>
      <c r="AF6428" s="17">
        <v>45729</v>
      </c>
      <c r="AG6428" s="80"/>
      <c r="AH6428" s="80"/>
      <c r="AI6428" s="147"/>
      <c r="AJ6428" s="80"/>
      <c r="AK6428" s="80"/>
      <c r="AL6428" s="35"/>
      <c r="AM6428" s="35"/>
      <c r="AN6428" s="35"/>
      <c r="AO6428" s="35"/>
      <c r="AP6428" s="35"/>
    </row>
    <row r="6429" spans="1:42" x14ac:dyDescent="0.2">
      <c r="A6429" s="38">
        <v>45724</v>
      </c>
      <c r="B6429" s="137" t="s">
        <v>37</v>
      </c>
      <c r="C6429" s="41" t="s">
        <v>118</v>
      </c>
      <c r="D6429" s="80" t="s">
        <v>36</v>
      </c>
      <c r="E6429" s="80" t="s">
        <v>56</v>
      </c>
      <c r="F6429" s="80" t="s">
        <v>14429</v>
      </c>
      <c r="G6429" s="80" t="s">
        <v>221</v>
      </c>
      <c r="H6429" s="80" t="s">
        <v>18135</v>
      </c>
      <c r="I6429" s="17">
        <f ca="1">IFERROR(__xludf.DUMMYFUNCTION("""COMPUTED_VALUE"""),45729)</f>
        <v>45729</v>
      </c>
      <c r="J6429" s="143" t="s">
        <v>14610</v>
      </c>
      <c r="K6429" s="80" t="s">
        <v>14611</v>
      </c>
      <c r="L6429" s="30">
        <v>384843468</v>
      </c>
      <c r="M6429" s="80" t="s">
        <v>5429</v>
      </c>
      <c r="N6429" s="80" t="s">
        <v>1384</v>
      </c>
      <c r="O6429" s="80" t="s">
        <v>14612</v>
      </c>
      <c r="P6429" s="80" t="s">
        <v>7107</v>
      </c>
      <c r="Q6429" s="20">
        <v>9317</v>
      </c>
      <c r="R6429" s="80" t="s">
        <v>70</v>
      </c>
      <c r="S6429" s="95">
        <f t="shared" ref="S6429:S6430" si="187">200+2000</f>
        <v>2200</v>
      </c>
      <c r="T6429" s="83" t="s">
        <v>14571</v>
      </c>
      <c r="U6429" s="95">
        <v>7117</v>
      </c>
      <c r="V6429" s="148">
        <v>45587</v>
      </c>
      <c r="W6429" s="85" t="s">
        <v>14613</v>
      </c>
      <c r="X6429" s="80"/>
      <c r="Y6429" s="22">
        <v>0</v>
      </c>
      <c r="Z6429" s="80" t="s">
        <v>50</v>
      </c>
      <c r="AA6429" s="82"/>
      <c r="AB6429" s="80"/>
      <c r="AC6429" s="80" t="s">
        <v>53</v>
      </c>
      <c r="AD6429" s="80" t="s">
        <v>138</v>
      </c>
      <c r="AE6429" s="80" t="s">
        <v>14429</v>
      </c>
      <c r="AF6429" s="17">
        <v>45729</v>
      </c>
      <c r="AG6429" s="80"/>
      <c r="AH6429" s="80"/>
      <c r="AI6429" s="147"/>
      <c r="AJ6429" s="80"/>
      <c r="AK6429" s="80"/>
      <c r="AL6429" s="35"/>
      <c r="AM6429" s="35"/>
      <c r="AN6429" s="35"/>
      <c r="AO6429" s="35"/>
      <c r="AP6429" s="35"/>
    </row>
    <row r="6430" spans="1:42" x14ac:dyDescent="0.2">
      <c r="A6430" s="38">
        <v>45724</v>
      </c>
      <c r="B6430" s="137" t="s">
        <v>37</v>
      </c>
      <c r="C6430" s="41" t="s">
        <v>118</v>
      </c>
      <c r="D6430" s="80" t="s">
        <v>36</v>
      </c>
      <c r="E6430" s="80" t="s">
        <v>56</v>
      </c>
      <c r="F6430" s="80" t="s">
        <v>14429</v>
      </c>
      <c r="G6430" s="80" t="s">
        <v>221</v>
      </c>
      <c r="H6430" s="80" t="s">
        <v>18135</v>
      </c>
      <c r="I6430" s="17">
        <f ca="1">IFERROR(__xludf.DUMMYFUNCTION("""COMPUTED_VALUE"""),45729)</f>
        <v>45729</v>
      </c>
      <c r="J6430" s="143" t="s">
        <v>14568</v>
      </c>
      <c r="K6430" s="80" t="s">
        <v>14569</v>
      </c>
      <c r="L6430" s="30">
        <v>359024728</v>
      </c>
      <c r="M6430" s="80" t="s">
        <v>5429</v>
      </c>
      <c r="N6430" s="80" t="s">
        <v>11095</v>
      </c>
      <c r="O6430" s="80" t="s">
        <v>14570</v>
      </c>
      <c r="P6430" s="80" t="s">
        <v>7107</v>
      </c>
      <c r="Q6430" s="20">
        <v>9317</v>
      </c>
      <c r="R6430" s="80" t="s">
        <v>70</v>
      </c>
      <c r="S6430" s="95">
        <f t="shared" si="187"/>
        <v>2200</v>
      </c>
      <c r="T6430" s="83" t="s">
        <v>14571</v>
      </c>
      <c r="U6430" s="95">
        <v>6917</v>
      </c>
      <c r="V6430" s="148">
        <v>45587</v>
      </c>
      <c r="W6430" s="85" t="s">
        <v>14572</v>
      </c>
      <c r="X6430" s="80"/>
      <c r="Y6430" s="22">
        <v>200</v>
      </c>
      <c r="Z6430" s="80" t="s">
        <v>50</v>
      </c>
      <c r="AA6430" s="86"/>
      <c r="AB6430" s="80"/>
      <c r="AC6430" s="80" t="s">
        <v>53</v>
      </c>
      <c r="AD6430" s="80" t="s">
        <v>138</v>
      </c>
      <c r="AE6430" s="80" t="s">
        <v>14429</v>
      </c>
      <c r="AF6430" s="17">
        <v>45729</v>
      </c>
      <c r="AG6430" s="80"/>
      <c r="AH6430" s="80"/>
      <c r="AI6430" s="147"/>
      <c r="AJ6430" s="80"/>
      <c r="AK6430" s="80"/>
      <c r="AL6430" s="35"/>
      <c r="AM6430" s="35"/>
      <c r="AN6430" s="35"/>
      <c r="AO6430" s="35"/>
      <c r="AP6430" s="35"/>
    </row>
    <row r="6431" spans="1:42" x14ac:dyDescent="0.2">
      <c r="A6431" s="38">
        <v>45724</v>
      </c>
      <c r="B6431" s="137" t="s">
        <v>37</v>
      </c>
      <c r="C6431" s="41" t="s">
        <v>118</v>
      </c>
      <c r="D6431" s="26" t="s">
        <v>36</v>
      </c>
      <c r="E6431" s="26" t="s">
        <v>139</v>
      </c>
      <c r="F6431" s="26" t="s">
        <v>10098</v>
      </c>
      <c r="G6431" s="80" t="s">
        <v>221</v>
      </c>
      <c r="H6431" s="80" t="s">
        <v>12804</v>
      </c>
      <c r="I6431" s="17">
        <f ca="1">IFERROR(__xludf.DUMMYFUNCTION("""COMPUTED_VALUE"""),45736)</f>
        <v>45736</v>
      </c>
      <c r="J6431" s="29" t="s">
        <v>10099</v>
      </c>
      <c r="K6431" s="26" t="s">
        <v>20419</v>
      </c>
      <c r="L6431" s="30">
        <v>988392278</v>
      </c>
      <c r="M6431" s="26" t="s">
        <v>5558</v>
      </c>
      <c r="N6431" s="26" t="s">
        <v>5559</v>
      </c>
      <c r="O6431" s="26" t="s">
        <v>4503</v>
      </c>
      <c r="P6431" s="42" t="s">
        <v>10101</v>
      </c>
      <c r="Q6431" s="20">
        <v>15936</v>
      </c>
      <c r="R6431" s="26" t="s">
        <v>36</v>
      </c>
      <c r="S6431" s="95">
        <f>200+1800</f>
        <v>2000</v>
      </c>
      <c r="T6431" s="83" t="s">
        <v>10102</v>
      </c>
      <c r="U6431" s="95">
        <v>13936</v>
      </c>
      <c r="V6431" s="148">
        <v>45507</v>
      </c>
      <c r="W6431" s="33" t="s">
        <v>10103</v>
      </c>
      <c r="X6431" s="26">
        <v>0</v>
      </c>
      <c r="Y6431" s="22">
        <v>0</v>
      </c>
      <c r="Z6431" s="26" t="s">
        <v>50</v>
      </c>
      <c r="AA6431" s="96"/>
      <c r="AB6431" s="26"/>
      <c r="AC6431" s="26" t="s">
        <v>53</v>
      </c>
      <c r="AD6431" s="26" t="s">
        <v>54</v>
      </c>
      <c r="AE6431" s="26" t="s">
        <v>10098</v>
      </c>
      <c r="AF6431" s="17">
        <v>45736</v>
      </c>
      <c r="AG6431" s="26"/>
      <c r="AH6431" s="26"/>
      <c r="AI6431" s="40"/>
      <c r="AJ6431" s="26"/>
      <c r="AK6431" s="26"/>
      <c r="AL6431" s="35"/>
      <c r="AM6431" s="35"/>
      <c r="AN6431" s="35"/>
      <c r="AO6431" s="35"/>
      <c r="AP6431" s="35"/>
    </row>
    <row r="6432" spans="1:42" x14ac:dyDescent="0.2">
      <c r="A6432" s="38">
        <v>45724</v>
      </c>
      <c r="B6432" s="137" t="s">
        <v>37</v>
      </c>
      <c r="C6432" s="41" t="s">
        <v>118</v>
      </c>
      <c r="D6432" s="26" t="s">
        <v>36</v>
      </c>
      <c r="E6432" s="26" t="s">
        <v>139</v>
      </c>
      <c r="F6432" s="26" t="s">
        <v>13976</v>
      </c>
      <c r="G6432" s="26" t="s">
        <v>221</v>
      </c>
      <c r="H6432" s="26" t="s">
        <v>20375</v>
      </c>
      <c r="I6432" s="17">
        <f ca="1">IFERROR(__xludf.DUMMYFUNCTION("""COMPUTED_VALUE"""),45730)</f>
        <v>45730</v>
      </c>
      <c r="J6432" s="29" t="s">
        <v>9995</v>
      </c>
      <c r="K6432" s="26" t="s">
        <v>13977</v>
      </c>
      <c r="L6432" s="47">
        <v>367740064</v>
      </c>
      <c r="M6432" s="26" t="s">
        <v>5429</v>
      </c>
      <c r="N6432" s="26" t="s">
        <v>9997</v>
      </c>
      <c r="O6432" s="26" t="s">
        <v>9998</v>
      </c>
      <c r="P6432" s="26" t="s">
        <v>9999</v>
      </c>
      <c r="Q6432" s="20">
        <v>15936</v>
      </c>
      <c r="R6432" s="26" t="s">
        <v>36</v>
      </c>
      <c r="S6432" s="95">
        <v>2000</v>
      </c>
      <c r="T6432" s="148">
        <v>45474</v>
      </c>
      <c r="U6432" s="95">
        <v>13936</v>
      </c>
      <c r="V6432" s="148">
        <v>45505</v>
      </c>
      <c r="W6432" s="33" t="s">
        <v>10000</v>
      </c>
      <c r="X6432" s="26">
        <v>0</v>
      </c>
      <c r="Y6432" s="22">
        <v>0</v>
      </c>
      <c r="Z6432" s="98" t="s">
        <v>118</v>
      </c>
      <c r="AA6432" s="35"/>
      <c r="AB6432" s="26"/>
      <c r="AC6432" s="26" t="s">
        <v>53</v>
      </c>
      <c r="AD6432" s="26" t="s">
        <v>54</v>
      </c>
      <c r="AE6432" s="26" t="s">
        <v>13976</v>
      </c>
      <c r="AF6432" s="17">
        <v>45727</v>
      </c>
      <c r="AG6432" s="26"/>
      <c r="AH6432" s="26"/>
      <c r="AI6432" s="40"/>
      <c r="AJ6432" s="26"/>
      <c r="AK6432" s="26"/>
      <c r="AL6432" s="35"/>
      <c r="AM6432" s="35"/>
      <c r="AN6432" s="35"/>
      <c r="AO6432" s="35"/>
      <c r="AP6432" s="35"/>
    </row>
    <row r="6433" spans="1:42" x14ac:dyDescent="0.2">
      <c r="A6433" s="38">
        <v>45724</v>
      </c>
      <c r="B6433" s="137" t="s">
        <v>37</v>
      </c>
      <c r="C6433" s="41" t="s">
        <v>118</v>
      </c>
      <c r="D6433" s="80" t="s">
        <v>36</v>
      </c>
      <c r="E6433" s="80" t="s">
        <v>56</v>
      </c>
      <c r="F6433" s="80" t="s">
        <v>14342</v>
      </c>
      <c r="G6433" s="26" t="s">
        <v>221</v>
      </c>
      <c r="H6433" s="80" t="s">
        <v>18135</v>
      </c>
      <c r="I6433" s="17">
        <f ca="1">IFERROR(__xludf.DUMMYFUNCTION("""COMPUTED_VALUE"""),45729)</f>
        <v>45729</v>
      </c>
      <c r="J6433" s="143" t="s">
        <v>14660</v>
      </c>
      <c r="K6433" s="80" t="s">
        <v>20420</v>
      </c>
      <c r="L6433" s="30">
        <v>332708454</v>
      </c>
      <c r="M6433" s="80" t="s">
        <v>9422</v>
      </c>
      <c r="N6433" s="80" t="s">
        <v>1232</v>
      </c>
      <c r="O6433" s="80" t="s">
        <v>14662</v>
      </c>
      <c r="P6433" s="80" t="s">
        <v>14663</v>
      </c>
      <c r="Q6433" s="20">
        <v>9317</v>
      </c>
      <c r="R6433" s="80" t="s">
        <v>36</v>
      </c>
      <c r="S6433" s="95">
        <v>2000</v>
      </c>
      <c r="T6433" s="148">
        <v>45545</v>
      </c>
      <c r="U6433" s="95">
        <v>7317</v>
      </c>
      <c r="V6433" s="78">
        <v>45572</v>
      </c>
      <c r="W6433" s="85" t="s">
        <v>14664</v>
      </c>
      <c r="X6433" s="80"/>
      <c r="Y6433" s="22">
        <v>0</v>
      </c>
      <c r="Z6433" s="80" t="s">
        <v>50</v>
      </c>
      <c r="AA6433" s="82"/>
      <c r="AB6433" s="80"/>
      <c r="AC6433" s="80" t="s">
        <v>53</v>
      </c>
      <c r="AD6433" s="80" t="s">
        <v>138</v>
      </c>
      <c r="AE6433" s="80" t="s">
        <v>14342</v>
      </c>
      <c r="AF6433" s="17">
        <v>45729</v>
      </c>
      <c r="AG6433" s="80"/>
      <c r="AH6433" s="80"/>
      <c r="AI6433" s="147"/>
      <c r="AJ6433" s="80"/>
      <c r="AK6433" s="80"/>
      <c r="AL6433" s="35"/>
      <c r="AM6433" s="35"/>
      <c r="AN6433" s="35"/>
      <c r="AO6433" s="35"/>
      <c r="AP6433" s="35"/>
    </row>
    <row r="6434" spans="1:42" x14ac:dyDescent="0.2">
      <c r="A6434" s="38">
        <v>45725</v>
      </c>
      <c r="B6434" s="28" t="s">
        <v>37</v>
      </c>
      <c r="C6434" s="41" t="s">
        <v>118</v>
      </c>
      <c r="D6434" s="80" t="s">
        <v>36</v>
      </c>
      <c r="E6434" s="80" t="s">
        <v>139</v>
      </c>
      <c r="F6434" s="26" t="s">
        <v>11802</v>
      </c>
      <c r="G6434" s="80" t="s">
        <v>221</v>
      </c>
      <c r="H6434" s="26" t="s">
        <v>20097</v>
      </c>
      <c r="I6434" s="17">
        <f ca="1">IFERROR(__xludf.DUMMYFUNCTION("""COMPUTED_VALUE"""),45735)</f>
        <v>45735</v>
      </c>
      <c r="J6434" s="143" t="s">
        <v>11064</v>
      </c>
      <c r="K6434" s="80" t="s">
        <v>20421</v>
      </c>
      <c r="L6434" s="30">
        <v>911207358</v>
      </c>
      <c r="M6434" s="80" t="s">
        <v>3728</v>
      </c>
      <c r="N6434" s="80" t="s">
        <v>8725</v>
      </c>
      <c r="O6434" s="80" t="s">
        <v>11066</v>
      </c>
      <c r="P6434" s="144" t="s">
        <v>20422</v>
      </c>
      <c r="Q6434" s="20">
        <v>15936</v>
      </c>
      <c r="R6434" s="80" t="s">
        <v>36</v>
      </c>
      <c r="S6434" s="95">
        <f>200+1800</f>
        <v>2000</v>
      </c>
      <c r="T6434" s="83" t="s">
        <v>11068</v>
      </c>
      <c r="U6434" s="95">
        <v>13936</v>
      </c>
      <c r="V6434" s="148">
        <v>45531</v>
      </c>
      <c r="W6434" s="85" t="s">
        <v>11069</v>
      </c>
      <c r="X6434" s="80">
        <v>0</v>
      </c>
      <c r="Y6434" s="22">
        <v>0</v>
      </c>
      <c r="Z6434" s="80" t="s">
        <v>50</v>
      </c>
      <c r="AA6434" s="35" t="s">
        <v>10314</v>
      </c>
      <c r="AB6434" s="80"/>
      <c r="AC6434" s="80" t="s">
        <v>53</v>
      </c>
      <c r="AD6434" s="80" t="s">
        <v>54</v>
      </c>
      <c r="AE6434" s="26" t="s">
        <v>11802</v>
      </c>
      <c r="AF6434" s="17">
        <v>45727</v>
      </c>
      <c r="AG6434" s="80"/>
      <c r="AH6434" s="80"/>
      <c r="AI6434" s="147"/>
      <c r="AJ6434" s="80"/>
      <c r="AK6434" s="80"/>
      <c r="AL6434" s="35"/>
      <c r="AM6434" s="35"/>
      <c r="AN6434" s="35"/>
      <c r="AO6434" s="35"/>
      <c r="AP6434" s="35"/>
    </row>
    <row r="6435" spans="1:42" x14ac:dyDescent="0.2">
      <c r="A6435" s="38">
        <v>45725</v>
      </c>
      <c r="B6435" s="137" t="s">
        <v>37</v>
      </c>
      <c r="C6435" s="41" t="s">
        <v>118</v>
      </c>
      <c r="D6435" s="26" t="s">
        <v>36</v>
      </c>
      <c r="E6435" s="26" t="s">
        <v>139</v>
      </c>
      <c r="F6435" s="26" t="s">
        <v>7016</v>
      </c>
      <c r="G6435" s="26" t="s">
        <v>1705</v>
      </c>
      <c r="H6435" s="26" t="s">
        <v>20357</v>
      </c>
      <c r="I6435" s="17">
        <f ca="1">IFERROR(__xludf.DUMMYFUNCTION("""COMPUTED_VALUE"""),45567)</f>
        <v>45567</v>
      </c>
      <c r="J6435" s="29" t="s">
        <v>7565</v>
      </c>
      <c r="K6435" s="26" t="s">
        <v>7566</v>
      </c>
      <c r="L6435" s="30">
        <v>382868493</v>
      </c>
      <c r="M6435" s="26" t="s">
        <v>3728</v>
      </c>
      <c r="N6435" s="26" t="s">
        <v>5312</v>
      </c>
      <c r="O6435" s="26" t="s">
        <v>7567</v>
      </c>
      <c r="P6435" s="42" t="s">
        <v>7568</v>
      </c>
      <c r="Q6435" s="20">
        <v>15936</v>
      </c>
      <c r="R6435" s="26" t="s">
        <v>36</v>
      </c>
      <c r="S6435" s="31">
        <v>500</v>
      </c>
      <c r="T6435" s="32">
        <v>45306</v>
      </c>
      <c r="U6435" s="31">
        <f>1500+13936</f>
        <v>15436</v>
      </c>
      <c r="V6435" s="26" t="s">
        <v>7569</v>
      </c>
      <c r="W6435" s="33" t="s">
        <v>7570</v>
      </c>
      <c r="X6435" s="26"/>
      <c r="Y6435" s="22">
        <v>0</v>
      </c>
      <c r="Z6435" s="98" t="s">
        <v>118</v>
      </c>
      <c r="AA6435" s="19" t="s">
        <v>7361</v>
      </c>
      <c r="AB6435" s="26" t="s">
        <v>36</v>
      </c>
      <c r="AC6435" s="26" t="s">
        <v>53</v>
      </c>
      <c r="AD6435" s="19" t="s">
        <v>138</v>
      </c>
      <c r="AE6435" s="26" t="s">
        <v>7016</v>
      </c>
      <c r="AF6435" s="17">
        <v>45727</v>
      </c>
      <c r="AG6435" s="26"/>
      <c r="AH6435" s="26"/>
      <c r="AI6435" s="40"/>
      <c r="AJ6435" s="26"/>
      <c r="AK6435" s="26"/>
      <c r="AL6435" s="35"/>
      <c r="AM6435" s="35"/>
      <c r="AN6435" s="35"/>
      <c r="AO6435" s="35"/>
      <c r="AP6435" s="35"/>
    </row>
    <row r="6436" spans="1:42" x14ac:dyDescent="0.2">
      <c r="A6436" s="38">
        <v>45725</v>
      </c>
      <c r="B6436" s="28"/>
      <c r="C6436" s="41" t="s">
        <v>118</v>
      </c>
      <c r="D6436" s="26" t="s">
        <v>36</v>
      </c>
      <c r="E6436" s="26" t="s">
        <v>119</v>
      </c>
      <c r="F6436" s="80" t="s">
        <v>7024</v>
      </c>
      <c r="G6436" s="26" t="s">
        <v>1705</v>
      </c>
      <c r="H6436" s="26" t="s">
        <v>865</v>
      </c>
      <c r="I6436" s="17" t="str">
        <f ca="1">IFERROR(__xludf.DUMMYFUNCTION("""COMPUTED_VALUE""")," ")</f>
        <v xml:space="preserve"> </v>
      </c>
      <c r="J6436" s="29" t="s">
        <v>8734</v>
      </c>
      <c r="K6436" s="19" t="s">
        <v>20423</v>
      </c>
      <c r="L6436" s="127">
        <v>878818999</v>
      </c>
      <c r="M6436" s="26" t="s">
        <v>348</v>
      </c>
      <c r="N6436" s="26" t="s">
        <v>200</v>
      </c>
      <c r="O6436" s="26" t="s">
        <v>8736</v>
      </c>
      <c r="P6436" s="26" t="s">
        <v>3117</v>
      </c>
      <c r="Q6436" s="20">
        <v>13968</v>
      </c>
      <c r="R6436" s="26" t="s">
        <v>36</v>
      </c>
      <c r="S6436" s="31">
        <f>1000+2768</f>
        <v>3768</v>
      </c>
      <c r="T6436" s="26" t="s">
        <v>8737</v>
      </c>
      <c r="U6436" s="31">
        <v>10200</v>
      </c>
      <c r="V6436" s="32">
        <v>45465</v>
      </c>
      <c r="W6436" s="33" t="s">
        <v>8738</v>
      </c>
      <c r="X6436" s="26"/>
      <c r="Y6436" s="22">
        <v>0</v>
      </c>
      <c r="Z6436" s="41" t="s">
        <v>118</v>
      </c>
      <c r="AA6436" s="19" t="s">
        <v>8721</v>
      </c>
      <c r="AB6436" s="26"/>
      <c r="AC6436" s="26" t="s">
        <v>53</v>
      </c>
      <c r="AD6436" s="19" t="s">
        <v>138</v>
      </c>
      <c r="AE6436" s="80" t="s">
        <v>7024</v>
      </c>
      <c r="AF6436" s="17"/>
      <c r="AG6436" s="26"/>
      <c r="AH6436" s="26"/>
      <c r="AI6436" s="40"/>
      <c r="AJ6436" s="26"/>
      <c r="AK6436" s="26"/>
      <c r="AL6436" s="35"/>
      <c r="AM6436" s="35"/>
      <c r="AN6436" s="35"/>
      <c r="AO6436" s="35"/>
      <c r="AP6436" s="35"/>
    </row>
    <row r="6437" spans="1:42" x14ac:dyDescent="0.2">
      <c r="A6437" s="38">
        <v>45725</v>
      </c>
      <c r="B6437" s="137" t="s">
        <v>37</v>
      </c>
      <c r="C6437" s="41" t="s">
        <v>118</v>
      </c>
      <c r="D6437" s="80" t="s">
        <v>36</v>
      </c>
      <c r="E6437" s="80" t="s">
        <v>39</v>
      </c>
      <c r="F6437" s="80" t="s">
        <v>11758</v>
      </c>
      <c r="G6437" s="80" t="s">
        <v>108</v>
      </c>
      <c r="H6437" s="80" t="s">
        <v>17002</v>
      </c>
      <c r="I6437" s="17">
        <f ca="1">IFERROR(__xludf.DUMMYFUNCTION("""COMPUTED_VALUE"""),45736)</f>
        <v>45736</v>
      </c>
      <c r="J6437" s="143" t="s">
        <v>12757</v>
      </c>
      <c r="K6437" s="80" t="s">
        <v>20424</v>
      </c>
      <c r="L6437" s="30">
        <v>347053614</v>
      </c>
      <c r="M6437" s="80" t="s">
        <v>45</v>
      </c>
      <c r="N6437" s="80" t="s">
        <v>12759</v>
      </c>
      <c r="O6437" s="80" t="s">
        <v>12760</v>
      </c>
      <c r="P6437" s="144" t="s">
        <v>20425</v>
      </c>
      <c r="Q6437" s="20">
        <v>5736</v>
      </c>
      <c r="R6437" s="80" t="s">
        <v>70</v>
      </c>
      <c r="S6437" s="95">
        <v>2868</v>
      </c>
      <c r="T6437" s="148">
        <v>45534</v>
      </c>
      <c r="U6437" s="178">
        <v>2768</v>
      </c>
      <c r="V6437" s="169">
        <v>45560</v>
      </c>
      <c r="W6437" s="85" t="s">
        <v>12762</v>
      </c>
      <c r="X6437" s="80">
        <v>100</v>
      </c>
      <c r="Y6437" s="22">
        <v>0</v>
      </c>
      <c r="Z6437" s="80" t="s">
        <v>50</v>
      </c>
      <c r="AA6437" s="96" t="s">
        <v>3291</v>
      </c>
      <c r="AB6437" s="80"/>
      <c r="AC6437" s="80" t="s">
        <v>53</v>
      </c>
      <c r="AD6437" s="80" t="s">
        <v>54</v>
      </c>
      <c r="AE6437" s="80" t="s">
        <v>11758</v>
      </c>
      <c r="AF6437" s="17">
        <v>45729</v>
      </c>
      <c r="AG6437" s="80"/>
      <c r="AH6437" s="80"/>
      <c r="AI6437" s="147" t="s">
        <v>55</v>
      </c>
      <c r="AJ6437" s="80"/>
      <c r="AK6437" s="80"/>
      <c r="AL6437" s="35"/>
      <c r="AM6437" s="35"/>
      <c r="AN6437" s="35"/>
      <c r="AO6437" s="35"/>
      <c r="AP6437" s="35"/>
    </row>
    <row r="6438" spans="1:42" x14ac:dyDescent="0.2">
      <c r="A6438" s="38">
        <v>45725</v>
      </c>
      <c r="B6438" s="137" t="s">
        <v>37</v>
      </c>
      <c r="C6438" s="41" t="s">
        <v>118</v>
      </c>
      <c r="D6438" s="26" t="s">
        <v>36</v>
      </c>
      <c r="E6438" s="26" t="s">
        <v>139</v>
      </c>
      <c r="F6438" s="26" t="s">
        <v>9856</v>
      </c>
      <c r="G6438" s="26" t="s">
        <v>221</v>
      </c>
      <c r="H6438" s="26" t="s">
        <v>19435</v>
      </c>
      <c r="I6438" s="17">
        <f ca="1">IFERROR(__xludf.DUMMYFUNCTION("""COMPUTED_VALUE"""),45733)</f>
        <v>45733</v>
      </c>
      <c r="J6438" s="29" t="s">
        <v>9120</v>
      </c>
      <c r="K6438" s="26" t="s">
        <v>9940</v>
      </c>
      <c r="L6438" s="30">
        <v>367908695</v>
      </c>
      <c r="M6438" s="26" t="s">
        <v>80</v>
      </c>
      <c r="N6438" s="26" t="s">
        <v>466</v>
      </c>
      <c r="O6438" s="26" t="s">
        <v>9122</v>
      </c>
      <c r="P6438" s="42" t="s">
        <v>9123</v>
      </c>
      <c r="Q6438" s="20"/>
      <c r="R6438" s="26" t="s">
        <v>36</v>
      </c>
      <c r="S6438" s="168">
        <f>200+1800</f>
        <v>2000</v>
      </c>
      <c r="T6438" s="83" t="s">
        <v>9124</v>
      </c>
      <c r="U6438" s="95">
        <v>13936</v>
      </c>
      <c r="V6438" s="148">
        <v>45497</v>
      </c>
      <c r="W6438" s="33" t="s">
        <v>9125</v>
      </c>
      <c r="X6438" s="26"/>
      <c r="Y6438" s="22"/>
      <c r="Z6438" s="98" t="s">
        <v>118</v>
      </c>
      <c r="AA6438" s="70" t="s">
        <v>9070</v>
      </c>
      <c r="AB6438" s="26" t="s">
        <v>36</v>
      </c>
      <c r="AC6438" s="26" t="s">
        <v>53</v>
      </c>
      <c r="AD6438" s="26" t="s">
        <v>54</v>
      </c>
      <c r="AE6438" s="26" t="s">
        <v>9856</v>
      </c>
      <c r="AF6438" s="17">
        <v>45728</v>
      </c>
      <c r="AG6438" s="26"/>
      <c r="AH6438" s="26"/>
      <c r="AI6438" s="40"/>
      <c r="AJ6438" s="26"/>
      <c r="AK6438" s="26"/>
      <c r="AL6438" s="35"/>
      <c r="AM6438" s="35"/>
      <c r="AN6438" s="35"/>
      <c r="AO6438" s="35"/>
      <c r="AP6438" s="35"/>
    </row>
    <row r="6439" spans="1:42" x14ac:dyDescent="0.2">
      <c r="A6439" s="38">
        <v>45725</v>
      </c>
      <c r="B6439" s="28" t="s">
        <v>37</v>
      </c>
      <c r="C6439" s="41" t="s">
        <v>118</v>
      </c>
      <c r="D6439" s="80" t="s">
        <v>36</v>
      </c>
      <c r="E6439" s="80" t="s">
        <v>39</v>
      </c>
      <c r="F6439" s="80" t="s">
        <v>11747</v>
      </c>
      <c r="G6439" s="80" t="s">
        <v>108</v>
      </c>
      <c r="H6439" s="80" t="s">
        <v>20426</v>
      </c>
      <c r="I6439" s="17">
        <f ca="1">IFERROR(__xludf.DUMMYFUNCTION("""COMPUTED_VALUE"""),45782)</f>
        <v>45782</v>
      </c>
      <c r="J6439" s="143" t="s">
        <v>11748</v>
      </c>
      <c r="K6439" s="80" t="s">
        <v>20427</v>
      </c>
      <c r="L6439" s="30">
        <v>389951369</v>
      </c>
      <c r="M6439" s="80" t="s">
        <v>59</v>
      </c>
      <c r="N6439" s="80" t="s">
        <v>68</v>
      </c>
      <c r="O6439" s="80" t="s">
        <v>11750</v>
      </c>
      <c r="P6439" s="80" t="s">
        <v>11751</v>
      </c>
      <c r="Q6439" s="20">
        <v>5736</v>
      </c>
      <c r="R6439" s="80" t="s">
        <v>36</v>
      </c>
      <c r="S6439" s="95">
        <v>5736</v>
      </c>
      <c r="T6439" s="148">
        <v>45531</v>
      </c>
      <c r="U6439" s="77"/>
      <c r="V6439" s="78"/>
      <c r="W6439" s="85" t="s">
        <v>11752</v>
      </c>
      <c r="X6439" s="83">
        <v>0</v>
      </c>
      <c r="Y6439" s="22">
        <v>0</v>
      </c>
      <c r="Z6439" s="81" t="s">
        <v>50</v>
      </c>
      <c r="AA6439" s="82" t="s">
        <v>10314</v>
      </c>
      <c r="AB6439" s="80"/>
      <c r="AC6439" s="80" t="s">
        <v>53</v>
      </c>
      <c r="AD6439" s="80" t="s">
        <v>138</v>
      </c>
      <c r="AE6439" s="80" t="s">
        <v>11747</v>
      </c>
      <c r="AF6439" s="17">
        <v>45782</v>
      </c>
      <c r="AG6439" s="80"/>
      <c r="AH6439" s="80"/>
      <c r="AI6439" s="147"/>
      <c r="AJ6439" s="80"/>
      <c r="AK6439" s="80"/>
      <c r="AL6439" s="86"/>
      <c r="AM6439" s="86"/>
      <c r="AN6439" s="86"/>
      <c r="AO6439" s="86"/>
      <c r="AP6439" s="86"/>
    </row>
    <row r="6440" spans="1:42" x14ac:dyDescent="0.2">
      <c r="A6440" s="38">
        <v>45725</v>
      </c>
      <c r="B6440" s="137" t="s">
        <v>37</v>
      </c>
      <c r="C6440" s="41" t="s">
        <v>118</v>
      </c>
      <c r="D6440" s="26" t="s">
        <v>36</v>
      </c>
      <c r="E6440" s="26" t="s">
        <v>139</v>
      </c>
      <c r="F6440" s="86" t="s">
        <v>8662</v>
      </c>
      <c r="G6440" s="166" t="s">
        <v>221</v>
      </c>
      <c r="H6440" s="86" t="s">
        <v>20076</v>
      </c>
      <c r="I6440" s="17">
        <f ca="1">IFERROR(__xludf.DUMMYFUNCTION("""COMPUTED_VALUE"""),45727)</f>
        <v>45727</v>
      </c>
      <c r="J6440" s="29" t="s">
        <v>6562</v>
      </c>
      <c r="K6440" s="26" t="s">
        <v>9066</v>
      </c>
      <c r="L6440" s="30">
        <v>974914851</v>
      </c>
      <c r="M6440" s="26" t="s">
        <v>3498</v>
      </c>
      <c r="N6440" s="26" t="s">
        <v>3668</v>
      </c>
      <c r="O6440" s="26" t="s">
        <v>6564</v>
      </c>
      <c r="P6440" s="42" t="s">
        <v>20428</v>
      </c>
      <c r="Q6440" s="20">
        <v>15936</v>
      </c>
      <c r="R6440" s="26" t="s">
        <v>36</v>
      </c>
      <c r="S6440" s="58">
        <v>4200</v>
      </c>
      <c r="T6440" s="32">
        <v>45248</v>
      </c>
      <c r="U6440" s="31">
        <v>11736</v>
      </c>
      <c r="V6440" s="32">
        <v>45295</v>
      </c>
      <c r="W6440" s="33" t="s">
        <v>6566</v>
      </c>
      <c r="X6440" s="26">
        <v>0</v>
      </c>
      <c r="Y6440" s="22">
        <v>0</v>
      </c>
      <c r="Z6440" s="98" t="s">
        <v>118</v>
      </c>
      <c r="AA6440" s="19" t="s">
        <v>6541</v>
      </c>
      <c r="AB6440" s="26" t="s">
        <v>36</v>
      </c>
      <c r="AC6440" s="26" t="s">
        <v>53</v>
      </c>
      <c r="AD6440" s="14" t="s">
        <v>138</v>
      </c>
      <c r="AE6440" s="86" t="s">
        <v>8662</v>
      </c>
      <c r="AF6440" s="17">
        <v>45727</v>
      </c>
      <c r="AG6440" s="40"/>
      <c r="AH6440" s="26">
        <v>2</v>
      </c>
      <c r="AI6440" s="40" t="s">
        <v>147</v>
      </c>
      <c r="AJ6440" s="26"/>
      <c r="AK6440" s="26"/>
      <c r="AL6440" s="35"/>
      <c r="AM6440" s="35"/>
      <c r="AN6440" s="35"/>
      <c r="AO6440" s="35"/>
      <c r="AP6440" s="35"/>
    </row>
    <row r="6441" spans="1:42" x14ac:dyDescent="0.2">
      <c r="A6441" s="38">
        <v>45725</v>
      </c>
      <c r="B6441" s="137" t="s">
        <v>37</v>
      </c>
      <c r="C6441" s="41" t="s">
        <v>118</v>
      </c>
      <c r="D6441" s="80" t="s">
        <v>36</v>
      </c>
      <c r="E6441" s="80" t="s">
        <v>119</v>
      </c>
      <c r="F6441" s="80" t="s">
        <v>14429</v>
      </c>
      <c r="G6441" s="161" t="s">
        <v>221</v>
      </c>
      <c r="H6441" s="80" t="s">
        <v>20219</v>
      </c>
      <c r="I6441" s="17">
        <f ca="1">IFERROR(__xludf.DUMMYFUNCTION("""COMPUTED_VALUE"""),45737)</f>
        <v>45737</v>
      </c>
      <c r="J6441" s="143" t="s">
        <v>18057</v>
      </c>
      <c r="K6441" s="80" t="s">
        <v>18058</v>
      </c>
      <c r="L6441" s="30">
        <v>569568569</v>
      </c>
      <c r="M6441" s="80" t="s">
        <v>9422</v>
      </c>
      <c r="N6441" s="80" t="s">
        <v>12670</v>
      </c>
      <c r="O6441" s="80" t="s">
        <v>18059</v>
      </c>
      <c r="P6441" s="80" t="s">
        <v>20429</v>
      </c>
      <c r="Q6441" s="20">
        <v>13968</v>
      </c>
      <c r="R6441" s="80" t="s">
        <v>36</v>
      </c>
      <c r="S6441" s="95">
        <f>200+13768</f>
        <v>13968</v>
      </c>
      <c r="T6441" s="148" t="s">
        <v>18060</v>
      </c>
      <c r="U6441" s="77"/>
      <c r="V6441" s="78"/>
      <c r="W6441" s="85" t="s">
        <v>18061</v>
      </c>
      <c r="X6441" s="80"/>
      <c r="Y6441" s="22">
        <v>0</v>
      </c>
      <c r="Z6441" s="81" t="s">
        <v>50</v>
      </c>
      <c r="AA6441" s="82" t="s">
        <v>14723</v>
      </c>
      <c r="AB6441" s="80"/>
      <c r="AC6441" s="80" t="s">
        <v>53</v>
      </c>
      <c r="AD6441" s="80" t="s">
        <v>138</v>
      </c>
      <c r="AE6441" s="80" t="s">
        <v>14429</v>
      </c>
      <c r="AF6441" s="17">
        <v>45737</v>
      </c>
      <c r="AG6441" s="80"/>
      <c r="AH6441" s="80"/>
      <c r="AI6441" s="147"/>
      <c r="AJ6441" s="80"/>
      <c r="AK6441" s="80"/>
      <c r="AL6441" s="86"/>
      <c r="AM6441" s="86"/>
      <c r="AN6441" s="86"/>
      <c r="AO6441" s="86"/>
      <c r="AP6441" s="86"/>
    </row>
    <row r="6442" spans="1:42" x14ac:dyDescent="0.2">
      <c r="A6442" s="38">
        <v>45725</v>
      </c>
      <c r="B6442" s="137" t="s">
        <v>37</v>
      </c>
      <c r="C6442" s="41" t="s">
        <v>118</v>
      </c>
      <c r="D6442" s="80" t="s">
        <v>36</v>
      </c>
      <c r="E6442" s="80" t="s">
        <v>139</v>
      </c>
      <c r="F6442" s="80" t="s">
        <v>14200</v>
      </c>
      <c r="G6442" s="161" t="s">
        <v>221</v>
      </c>
      <c r="H6442" s="80" t="s">
        <v>20343</v>
      </c>
      <c r="I6442" s="17">
        <f ca="1">IFERROR(__xludf.DUMMYFUNCTION("""COMPUTED_VALUE"""),45852)</f>
        <v>45852</v>
      </c>
      <c r="J6442" s="143" t="s">
        <v>14247</v>
      </c>
      <c r="K6442" s="80" t="s">
        <v>20430</v>
      </c>
      <c r="L6442" s="30">
        <v>398507115</v>
      </c>
      <c r="M6442" s="80" t="s">
        <v>3728</v>
      </c>
      <c r="N6442" s="80" t="s">
        <v>5277</v>
      </c>
      <c r="O6442" s="80" t="s">
        <v>14249</v>
      </c>
      <c r="P6442" s="80" t="s">
        <v>20431</v>
      </c>
      <c r="Q6442" s="20">
        <v>15936</v>
      </c>
      <c r="R6442" s="80" t="s">
        <v>36</v>
      </c>
      <c r="S6442" s="95">
        <f>500+1500</f>
        <v>2000</v>
      </c>
      <c r="T6442" s="83" t="s">
        <v>14250</v>
      </c>
      <c r="U6442" s="95">
        <v>13936</v>
      </c>
      <c r="V6442" s="148">
        <v>45571</v>
      </c>
      <c r="W6442" s="85" t="s">
        <v>14251</v>
      </c>
      <c r="X6442" s="80"/>
      <c r="Y6442" s="22">
        <v>0</v>
      </c>
      <c r="Z6442" s="80" t="s">
        <v>50</v>
      </c>
      <c r="AA6442" s="86"/>
      <c r="AB6442" s="80"/>
      <c r="AC6442" s="80" t="s">
        <v>53</v>
      </c>
      <c r="AD6442" s="80" t="s">
        <v>138</v>
      </c>
      <c r="AE6442" s="80" t="s">
        <v>14200</v>
      </c>
      <c r="AF6442" s="17">
        <v>45729</v>
      </c>
      <c r="AG6442" s="80" t="s">
        <v>8366</v>
      </c>
      <c r="AH6442" s="80"/>
      <c r="AI6442" s="147"/>
      <c r="AJ6442" s="80"/>
      <c r="AK6442" s="80"/>
      <c r="AL6442" s="35"/>
      <c r="AM6442" s="35"/>
      <c r="AN6442" s="35"/>
      <c r="AO6442" s="35"/>
      <c r="AP6442" s="35"/>
    </row>
    <row r="6443" spans="1:42" x14ac:dyDescent="0.2">
      <c r="A6443" s="38">
        <v>45725</v>
      </c>
      <c r="B6443" s="137" t="s">
        <v>37</v>
      </c>
      <c r="C6443" s="41" t="s">
        <v>118</v>
      </c>
      <c r="D6443" s="80" t="s">
        <v>36</v>
      </c>
      <c r="E6443" s="80" t="s">
        <v>139</v>
      </c>
      <c r="F6443" s="80" t="s">
        <v>14210</v>
      </c>
      <c r="G6443" s="166" t="s">
        <v>221</v>
      </c>
      <c r="H6443" s="86" t="s">
        <v>20076</v>
      </c>
      <c r="I6443" s="17">
        <f ca="1">IFERROR(__xludf.DUMMYFUNCTION("""COMPUTED_VALUE"""),45727)</f>
        <v>45727</v>
      </c>
      <c r="J6443" s="172" t="s">
        <v>14630</v>
      </c>
      <c r="K6443" s="80" t="s">
        <v>20432</v>
      </c>
      <c r="L6443" s="30">
        <v>818319940</v>
      </c>
      <c r="M6443" s="80" t="s">
        <v>59</v>
      </c>
      <c r="N6443" s="80" t="s">
        <v>9301</v>
      </c>
      <c r="O6443" s="80" t="s">
        <v>11668</v>
      </c>
      <c r="P6443" s="144" t="s">
        <v>14632</v>
      </c>
      <c r="Q6443" s="20">
        <v>15936</v>
      </c>
      <c r="R6443" s="80" t="s">
        <v>36</v>
      </c>
      <c r="S6443" s="95">
        <v>15936</v>
      </c>
      <c r="T6443" s="148">
        <v>45530</v>
      </c>
      <c r="U6443" s="77"/>
      <c r="V6443" s="78"/>
      <c r="W6443" s="80" t="s">
        <v>11670</v>
      </c>
      <c r="X6443" s="80">
        <v>0</v>
      </c>
      <c r="Y6443" s="22">
        <v>0</v>
      </c>
      <c r="Z6443" s="80" t="s">
        <v>50</v>
      </c>
      <c r="AA6443" s="96" t="s">
        <v>10314</v>
      </c>
      <c r="AB6443" s="80"/>
      <c r="AC6443" s="80" t="s">
        <v>53</v>
      </c>
      <c r="AD6443" s="80" t="s">
        <v>54</v>
      </c>
      <c r="AE6443" s="80" t="s">
        <v>14210</v>
      </c>
      <c r="AF6443" s="17">
        <v>45727</v>
      </c>
      <c r="AG6443" s="80"/>
      <c r="AH6443" s="80"/>
      <c r="AI6443" s="147"/>
      <c r="AJ6443" s="80"/>
      <c r="AK6443" s="80"/>
      <c r="AL6443" s="35"/>
      <c r="AM6443" s="35"/>
      <c r="AN6443" s="35"/>
      <c r="AO6443" s="35"/>
      <c r="AP6443" s="35"/>
    </row>
    <row r="6444" spans="1:42" x14ac:dyDescent="0.2">
      <c r="A6444" s="38">
        <v>45725</v>
      </c>
      <c r="B6444" s="137" t="s">
        <v>37</v>
      </c>
      <c r="C6444" s="41" t="s">
        <v>118</v>
      </c>
      <c r="D6444" s="80" t="s">
        <v>36</v>
      </c>
      <c r="E6444" s="80" t="s">
        <v>139</v>
      </c>
      <c r="F6444" s="80" t="s">
        <v>14409</v>
      </c>
      <c r="G6444" s="166" t="s">
        <v>221</v>
      </c>
      <c r="H6444" s="86" t="s">
        <v>20375</v>
      </c>
      <c r="I6444" s="17">
        <f ca="1">IFERROR(__xludf.DUMMYFUNCTION("""COMPUTED_VALUE"""),45730)</f>
        <v>45730</v>
      </c>
      <c r="J6444" s="143" t="s">
        <v>10993</v>
      </c>
      <c r="K6444" s="80" t="s">
        <v>20433</v>
      </c>
      <c r="L6444" s="30">
        <v>345632917</v>
      </c>
      <c r="M6444" s="80" t="s">
        <v>910</v>
      </c>
      <c r="N6444" s="80" t="s">
        <v>3525</v>
      </c>
      <c r="O6444" s="80" t="s">
        <v>10995</v>
      </c>
      <c r="P6444" s="144" t="s">
        <v>16645</v>
      </c>
      <c r="Q6444" s="20">
        <v>15936</v>
      </c>
      <c r="R6444" s="80" t="s">
        <v>36</v>
      </c>
      <c r="S6444" s="95">
        <f>200+2000</f>
        <v>2200</v>
      </c>
      <c r="T6444" s="83" t="s">
        <v>10997</v>
      </c>
      <c r="U6444" s="95">
        <v>13736</v>
      </c>
      <c r="V6444" s="148">
        <v>45523</v>
      </c>
      <c r="W6444" s="85" t="s">
        <v>10998</v>
      </c>
      <c r="X6444" s="80">
        <v>0</v>
      </c>
      <c r="Y6444" s="22">
        <v>0</v>
      </c>
      <c r="Z6444" s="80" t="s">
        <v>50</v>
      </c>
      <c r="AA6444" s="35" t="s">
        <v>10314</v>
      </c>
      <c r="AB6444" s="80"/>
      <c r="AC6444" s="80" t="s">
        <v>53</v>
      </c>
      <c r="AD6444" s="80" t="s">
        <v>54</v>
      </c>
      <c r="AE6444" s="80" t="s">
        <v>14409</v>
      </c>
      <c r="AF6444" s="17">
        <v>45727</v>
      </c>
      <c r="AG6444" s="80"/>
      <c r="AH6444" s="80"/>
      <c r="AI6444" s="147"/>
      <c r="AJ6444" s="80"/>
      <c r="AK6444" s="80"/>
      <c r="AL6444" s="35"/>
      <c r="AM6444" s="35"/>
      <c r="AN6444" s="35"/>
      <c r="AO6444" s="35"/>
      <c r="AP6444" s="35"/>
    </row>
    <row r="6445" spans="1:42" x14ac:dyDescent="0.2">
      <c r="A6445" s="38">
        <v>45725</v>
      </c>
      <c r="B6445" s="137" t="s">
        <v>37</v>
      </c>
      <c r="C6445" s="41" t="s">
        <v>118</v>
      </c>
      <c r="D6445" s="80" t="s">
        <v>36</v>
      </c>
      <c r="E6445" s="80" t="s">
        <v>119</v>
      </c>
      <c r="F6445" s="80" t="s">
        <v>10193</v>
      </c>
      <c r="G6445" s="166" t="s">
        <v>221</v>
      </c>
      <c r="H6445" s="86" t="s">
        <v>19435</v>
      </c>
      <c r="I6445" s="17">
        <f ca="1">IFERROR(__xludf.DUMMYFUNCTION("""COMPUTED_VALUE"""),45733)</f>
        <v>45733</v>
      </c>
      <c r="J6445" s="143" t="s">
        <v>7117</v>
      </c>
      <c r="K6445" s="80" t="s">
        <v>20434</v>
      </c>
      <c r="L6445" s="30">
        <v>389849897</v>
      </c>
      <c r="M6445" s="80" t="s">
        <v>3288</v>
      </c>
      <c r="N6445" s="80" t="s">
        <v>200</v>
      </c>
      <c r="O6445" s="80" t="s">
        <v>36</v>
      </c>
      <c r="P6445" s="80" t="s">
        <v>12927</v>
      </c>
      <c r="Q6445" s="20">
        <v>13968</v>
      </c>
      <c r="R6445" s="80" t="s">
        <v>36</v>
      </c>
      <c r="S6445" s="95">
        <v>4000</v>
      </c>
      <c r="T6445" s="148">
        <v>45544</v>
      </c>
      <c r="U6445" s="95">
        <v>9968</v>
      </c>
      <c r="V6445" s="148">
        <v>45560</v>
      </c>
      <c r="W6445" s="85" t="s">
        <v>12928</v>
      </c>
      <c r="X6445" s="80">
        <v>0</v>
      </c>
      <c r="Y6445" s="22">
        <v>0</v>
      </c>
      <c r="Z6445" s="80" t="s">
        <v>50</v>
      </c>
      <c r="AA6445" s="96" t="s">
        <v>3291</v>
      </c>
      <c r="AB6445" s="80"/>
      <c r="AC6445" s="80" t="s">
        <v>53</v>
      </c>
      <c r="AD6445" s="80" t="s">
        <v>54</v>
      </c>
      <c r="AE6445" s="80" t="s">
        <v>10193</v>
      </c>
      <c r="AF6445" s="17">
        <v>45728</v>
      </c>
      <c r="AG6445" s="80"/>
      <c r="AH6445" s="80"/>
      <c r="AI6445" s="147">
        <v>4</v>
      </c>
      <c r="AJ6445" s="80"/>
      <c r="AK6445" s="80"/>
      <c r="AL6445" s="35"/>
      <c r="AM6445" s="35"/>
      <c r="AN6445" s="35"/>
      <c r="AO6445" s="35"/>
      <c r="AP6445" s="35"/>
    </row>
    <row r="6446" spans="1:42" x14ac:dyDescent="0.2">
      <c r="A6446" s="38">
        <v>45726</v>
      </c>
      <c r="B6446" s="137" t="s">
        <v>37</v>
      </c>
      <c r="C6446" s="41" t="s">
        <v>118</v>
      </c>
      <c r="D6446" s="80" t="s">
        <v>36</v>
      </c>
      <c r="E6446" s="80" t="s">
        <v>139</v>
      </c>
      <c r="F6446" s="80" t="s">
        <v>11707</v>
      </c>
      <c r="G6446" s="80" t="s">
        <v>108</v>
      </c>
      <c r="H6446" s="80" t="s">
        <v>16632</v>
      </c>
      <c r="I6446" s="17">
        <f ca="1">IFERROR(__xludf.DUMMYFUNCTION("""COMPUTED_VALUE"""),45741)</f>
        <v>45741</v>
      </c>
      <c r="J6446" s="143" t="s">
        <v>12899</v>
      </c>
      <c r="K6446" s="80" t="s">
        <v>20435</v>
      </c>
      <c r="L6446" s="30">
        <v>353476457</v>
      </c>
      <c r="M6446" s="80" t="s">
        <v>123</v>
      </c>
      <c r="N6446" s="80" t="s">
        <v>327</v>
      </c>
      <c r="O6446" s="80" t="s">
        <v>4503</v>
      </c>
      <c r="P6446" s="80" t="s">
        <v>3487</v>
      </c>
      <c r="Q6446" s="20">
        <v>15936</v>
      </c>
      <c r="R6446" s="80" t="s">
        <v>36</v>
      </c>
      <c r="S6446" s="95">
        <f t="shared" ref="S6446:S6447" si="188">200+1800</f>
        <v>2000</v>
      </c>
      <c r="T6446" s="83" t="s">
        <v>12901</v>
      </c>
      <c r="U6446" s="95">
        <f>13836+100</f>
        <v>13936</v>
      </c>
      <c r="V6446" s="83" t="s">
        <v>12902</v>
      </c>
      <c r="W6446" s="85" t="s">
        <v>12903</v>
      </c>
      <c r="X6446" s="80">
        <v>0</v>
      </c>
      <c r="Y6446" s="22">
        <v>0</v>
      </c>
      <c r="Z6446" s="80" t="s">
        <v>50</v>
      </c>
      <c r="AA6446" s="35" t="s">
        <v>3291</v>
      </c>
      <c r="AB6446" s="80"/>
      <c r="AC6446" s="80" t="s">
        <v>53</v>
      </c>
      <c r="AD6446" s="80" t="s">
        <v>138</v>
      </c>
      <c r="AE6446" s="80" t="s">
        <v>11707</v>
      </c>
      <c r="AF6446" s="181">
        <v>45741</v>
      </c>
      <c r="AG6446" s="80"/>
      <c r="AH6446" s="80"/>
      <c r="AI6446" s="147" t="s">
        <v>147</v>
      </c>
      <c r="AJ6446" s="80"/>
      <c r="AK6446" s="80"/>
      <c r="AL6446" s="35"/>
      <c r="AM6446" s="35"/>
      <c r="AN6446" s="35"/>
      <c r="AO6446" s="35"/>
      <c r="AP6446" s="35"/>
    </row>
    <row r="6447" spans="1:42" x14ac:dyDescent="0.2">
      <c r="A6447" s="38">
        <v>45726</v>
      </c>
      <c r="B6447" s="28" t="s">
        <v>37</v>
      </c>
      <c r="C6447" s="41" t="s">
        <v>118</v>
      </c>
      <c r="D6447" s="80" t="s">
        <v>36</v>
      </c>
      <c r="E6447" s="80" t="s">
        <v>139</v>
      </c>
      <c r="F6447" s="80" t="s">
        <v>13178</v>
      </c>
      <c r="G6447" s="80" t="s">
        <v>108</v>
      </c>
      <c r="H6447" s="80" t="s">
        <v>5946</v>
      </c>
      <c r="I6447" s="17">
        <f ca="1">IFERROR(__xludf.DUMMYFUNCTION("""COMPUTED_VALUE"""),45742)</f>
        <v>45742</v>
      </c>
      <c r="J6447" s="143" t="s">
        <v>20436</v>
      </c>
      <c r="K6447" s="80" t="s">
        <v>7421</v>
      </c>
      <c r="L6447" s="30">
        <v>964525921</v>
      </c>
      <c r="M6447" s="80" t="s">
        <v>3728</v>
      </c>
      <c r="N6447" s="80" t="s">
        <v>5312</v>
      </c>
      <c r="O6447" s="80" t="s">
        <v>15613</v>
      </c>
      <c r="P6447" s="80" t="s">
        <v>15614</v>
      </c>
      <c r="Q6447" s="20">
        <v>15936</v>
      </c>
      <c r="R6447" s="80" t="s">
        <v>36</v>
      </c>
      <c r="S6447" s="95">
        <f t="shared" si="188"/>
        <v>2000</v>
      </c>
      <c r="T6447" s="83" t="s">
        <v>15615</v>
      </c>
      <c r="U6447" s="95">
        <v>13836</v>
      </c>
      <c r="V6447" s="148">
        <v>45593</v>
      </c>
      <c r="W6447" s="85" t="s">
        <v>15616</v>
      </c>
      <c r="X6447" s="80"/>
      <c r="Y6447" s="22">
        <v>100</v>
      </c>
      <c r="Z6447" s="80" t="s">
        <v>50</v>
      </c>
      <c r="AA6447" s="96" t="s">
        <v>9905</v>
      </c>
      <c r="AB6447" s="80"/>
      <c r="AC6447" s="80" t="s">
        <v>53</v>
      </c>
      <c r="AD6447" s="80" t="s">
        <v>138</v>
      </c>
      <c r="AE6447" s="80" t="s">
        <v>13178</v>
      </c>
      <c r="AF6447" s="17">
        <v>45742</v>
      </c>
      <c r="AG6447" s="80"/>
      <c r="AH6447" s="80"/>
      <c r="AI6447" s="147"/>
      <c r="AJ6447" s="80"/>
      <c r="AK6447" s="80"/>
      <c r="AL6447" s="35"/>
      <c r="AM6447" s="35"/>
      <c r="AN6447" s="35"/>
      <c r="AO6447" s="35"/>
      <c r="AP6447" s="35"/>
    </row>
    <row r="6448" spans="1:42" x14ac:dyDescent="0.2">
      <c r="A6448" s="38">
        <v>45726</v>
      </c>
      <c r="B6448" s="137" t="s">
        <v>37</v>
      </c>
      <c r="C6448" s="41" t="s">
        <v>118</v>
      </c>
      <c r="D6448" s="80"/>
      <c r="E6448" s="80" t="s">
        <v>39</v>
      </c>
      <c r="F6448" s="80" t="s">
        <v>36</v>
      </c>
      <c r="G6448" s="26" t="s">
        <v>41</v>
      </c>
      <c r="H6448" s="80" t="s">
        <v>20437</v>
      </c>
      <c r="I6448" s="17">
        <f ca="1">IFERROR(__xludf.DUMMYFUNCTION("""COMPUTED_VALUE"""),45728)</f>
        <v>45728</v>
      </c>
      <c r="J6448" s="143" t="s">
        <v>20438</v>
      </c>
      <c r="K6448" s="80" t="s">
        <v>20439</v>
      </c>
      <c r="L6448" s="30">
        <v>366670337</v>
      </c>
      <c r="M6448" s="80" t="s">
        <v>3288</v>
      </c>
      <c r="N6448" s="80" t="s">
        <v>20440</v>
      </c>
      <c r="O6448" s="80" t="s">
        <v>20441</v>
      </c>
      <c r="P6448" s="144" t="s">
        <v>20442</v>
      </c>
      <c r="Q6448" s="20">
        <v>13083</v>
      </c>
      <c r="R6448" s="80" t="s">
        <v>36</v>
      </c>
      <c r="S6448" s="95">
        <v>3000</v>
      </c>
      <c r="T6448" s="148">
        <v>45491</v>
      </c>
      <c r="U6448" s="95">
        <v>10083</v>
      </c>
      <c r="V6448" s="148">
        <v>45504</v>
      </c>
      <c r="W6448" s="85" t="s">
        <v>20443</v>
      </c>
      <c r="X6448" s="80"/>
      <c r="Y6448" s="22">
        <v>0</v>
      </c>
      <c r="Z6448" s="80" t="s">
        <v>50</v>
      </c>
      <c r="AA6448" s="86"/>
      <c r="AB6448" s="80"/>
      <c r="AC6448" s="80" t="s">
        <v>53</v>
      </c>
      <c r="AD6448" s="80" t="s">
        <v>54</v>
      </c>
      <c r="AE6448" s="80"/>
      <c r="AF6448" s="17">
        <v>45727</v>
      </c>
      <c r="AG6448" s="143" t="s">
        <v>20444</v>
      </c>
      <c r="AH6448" s="147"/>
      <c r="AI6448" s="147"/>
      <c r="AJ6448" s="80"/>
      <c r="AK6448" s="80"/>
      <c r="AL6448" s="80"/>
      <c r="AM6448" s="86"/>
      <c r="AN6448" s="86"/>
      <c r="AO6448" s="86"/>
      <c r="AP6448" s="86"/>
    </row>
    <row r="6449" spans="1:42" x14ac:dyDescent="0.2">
      <c r="A6449" s="126">
        <v>45643.592455000005</v>
      </c>
      <c r="B6449" s="137" t="s">
        <v>37</v>
      </c>
      <c r="C6449" s="41" t="s">
        <v>118</v>
      </c>
      <c r="D6449" s="80" t="s">
        <v>36</v>
      </c>
      <c r="E6449" s="80" t="s">
        <v>219</v>
      </c>
      <c r="F6449" s="80" t="s">
        <v>2279</v>
      </c>
      <c r="G6449" s="26" t="s">
        <v>221</v>
      </c>
      <c r="H6449" s="80" t="s">
        <v>13807</v>
      </c>
      <c r="I6449" s="17">
        <f ca="1">IFERROR(__xludf.DUMMYFUNCTION("""COMPUTED_VALUE"""),45660)</f>
        <v>45660</v>
      </c>
      <c r="J6449" s="143" t="s">
        <v>20445</v>
      </c>
      <c r="K6449" s="80" t="s">
        <v>20446</v>
      </c>
      <c r="L6449" s="30">
        <v>332767026</v>
      </c>
      <c r="M6449" s="80" t="s">
        <v>11413</v>
      </c>
      <c r="N6449" s="80" t="s">
        <v>1246</v>
      </c>
      <c r="O6449" s="80" t="s">
        <v>3173</v>
      </c>
      <c r="P6449" s="80" t="s">
        <v>3487</v>
      </c>
      <c r="Q6449" s="20">
        <v>3968</v>
      </c>
      <c r="R6449" s="80" t="s">
        <v>36</v>
      </c>
      <c r="S6449" s="95">
        <v>2084</v>
      </c>
      <c r="T6449" s="148">
        <v>45643</v>
      </c>
      <c r="U6449" s="77"/>
      <c r="V6449" s="78"/>
      <c r="W6449" s="85" t="s">
        <v>20447</v>
      </c>
      <c r="X6449" s="80"/>
      <c r="Y6449" s="22">
        <v>1884</v>
      </c>
      <c r="Z6449" s="80" t="s">
        <v>118</v>
      </c>
      <c r="AA6449" s="213" t="s">
        <v>20448</v>
      </c>
      <c r="AB6449" s="80"/>
      <c r="AC6449" s="80" t="s">
        <v>53</v>
      </c>
      <c r="AD6449" s="80" t="s">
        <v>138</v>
      </c>
      <c r="AE6449" s="80" t="s">
        <v>2279</v>
      </c>
      <c r="AF6449" s="17">
        <v>45660</v>
      </c>
      <c r="AG6449" s="80"/>
      <c r="AH6449" s="80"/>
      <c r="AI6449" s="147"/>
      <c r="AJ6449" s="80">
        <f>COUNTIF('[1]TỔNG DATA TOEIC MỚI'!K125:K6394,K6449)</f>
        <v>0</v>
      </c>
      <c r="AK6449" s="80"/>
      <c r="AL6449" s="35"/>
      <c r="AM6449" s="35"/>
      <c r="AN6449" s="35"/>
      <c r="AO6449" s="35"/>
      <c r="AP6449" s="35"/>
    </row>
    <row r="6450" spans="1:42" x14ac:dyDescent="0.2">
      <c r="A6450" s="38">
        <v>45705</v>
      </c>
      <c r="B6450" s="137" t="s">
        <v>37</v>
      </c>
      <c r="C6450" s="41" t="s">
        <v>118</v>
      </c>
      <c r="D6450" s="80" t="s">
        <v>36</v>
      </c>
      <c r="E6450" s="80" t="s">
        <v>106</v>
      </c>
      <c r="F6450" s="80" t="s">
        <v>9825</v>
      </c>
      <c r="G6450" s="26" t="s">
        <v>108</v>
      </c>
      <c r="H6450" s="80" t="s">
        <v>2945</v>
      </c>
      <c r="I6450" s="17">
        <f ca="1">IFERROR(__xludf.DUMMYFUNCTION("""COMPUTED_VALUE"""),45706)</f>
        <v>45706</v>
      </c>
      <c r="J6450" s="143" t="s">
        <v>11443</v>
      </c>
      <c r="K6450" s="80" t="s">
        <v>20449</v>
      </c>
      <c r="L6450" s="30">
        <v>359302271</v>
      </c>
      <c r="M6450" s="80" t="s">
        <v>1245</v>
      </c>
      <c r="N6450" s="80" t="s">
        <v>1750</v>
      </c>
      <c r="O6450" s="80" t="s">
        <v>91</v>
      </c>
      <c r="P6450" s="80" t="s">
        <v>3117</v>
      </c>
      <c r="Q6450" s="20">
        <v>3768</v>
      </c>
      <c r="R6450" s="80" t="s">
        <v>36</v>
      </c>
      <c r="S6450" s="95">
        <v>1984</v>
      </c>
      <c r="T6450" s="148">
        <v>45705</v>
      </c>
      <c r="U6450" s="77"/>
      <c r="V6450" s="78"/>
      <c r="W6450" s="79" t="s">
        <v>20450</v>
      </c>
      <c r="X6450" s="80"/>
      <c r="Y6450" s="22">
        <v>1784</v>
      </c>
      <c r="Z6450" s="80" t="s">
        <v>118</v>
      </c>
      <c r="AA6450" s="72" t="s">
        <v>20448</v>
      </c>
      <c r="AB6450" s="80"/>
      <c r="AC6450" s="80" t="s">
        <v>53</v>
      </c>
      <c r="AD6450" s="80" t="s">
        <v>138</v>
      </c>
      <c r="AE6450" s="80" t="s">
        <v>9825</v>
      </c>
      <c r="AF6450" s="17">
        <v>45706</v>
      </c>
      <c r="AG6450" s="26"/>
      <c r="AH6450" s="80"/>
      <c r="AI6450" s="147"/>
      <c r="AJ6450" s="80"/>
      <c r="AK6450" s="80"/>
      <c r="AL6450" s="35"/>
      <c r="AM6450" s="35"/>
      <c r="AN6450" s="35"/>
      <c r="AO6450" s="35"/>
      <c r="AP6450" s="35"/>
    </row>
    <row r="6451" spans="1:42" x14ac:dyDescent="0.2">
      <c r="A6451" s="38">
        <v>45699</v>
      </c>
      <c r="B6451" s="137" t="s">
        <v>37</v>
      </c>
      <c r="C6451" s="41" t="s">
        <v>118</v>
      </c>
      <c r="D6451" s="80" t="s">
        <v>36</v>
      </c>
      <c r="E6451" s="80" t="s">
        <v>219</v>
      </c>
      <c r="F6451" s="80" t="s">
        <v>36</v>
      </c>
      <c r="G6451" s="80" t="s">
        <v>221</v>
      </c>
      <c r="H6451" s="182" t="s">
        <v>19427</v>
      </c>
      <c r="I6451" s="17">
        <f ca="1">IFERROR(__xludf.DUMMYFUNCTION("""COMPUTED_VALUE"""),45699)</f>
        <v>45699</v>
      </c>
      <c r="J6451" s="29" t="s">
        <v>20451</v>
      </c>
      <c r="K6451" s="80" t="s">
        <v>20452</v>
      </c>
      <c r="L6451" s="30">
        <v>865013950</v>
      </c>
      <c r="M6451" s="80" t="s">
        <v>11413</v>
      </c>
      <c r="N6451" s="80" t="s">
        <v>1750</v>
      </c>
      <c r="O6451" s="80" t="s">
        <v>12573</v>
      </c>
      <c r="P6451" s="42" t="s">
        <v>20453</v>
      </c>
      <c r="Q6451" s="20">
        <v>3968</v>
      </c>
      <c r="R6451" s="80" t="s">
        <v>36</v>
      </c>
      <c r="S6451" s="95">
        <v>3968</v>
      </c>
      <c r="T6451" s="148">
        <v>45534</v>
      </c>
      <c r="U6451" s="77"/>
      <c r="V6451" s="78">
        <v>45541</v>
      </c>
      <c r="W6451" s="85" t="s">
        <v>12574</v>
      </c>
      <c r="X6451" s="80">
        <v>0</v>
      </c>
      <c r="Y6451" s="22">
        <v>0</v>
      </c>
      <c r="Z6451" s="80" t="s">
        <v>118</v>
      </c>
      <c r="AA6451" s="96" t="s">
        <v>3291</v>
      </c>
      <c r="AB6451" s="80"/>
      <c r="AC6451" s="80" t="s">
        <v>53</v>
      </c>
      <c r="AD6451" s="80" t="s">
        <v>138</v>
      </c>
      <c r="AE6451" s="80" t="s">
        <v>36</v>
      </c>
      <c r="AF6451" s="17">
        <v>45699</v>
      </c>
      <c r="AG6451" s="143" t="s">
        <v>12571</v>
      </c>
      <c r="AH6451" s="80"/>
      <c r="AI6451" s="147" t="s">
        <v>64</v>
      </c>
      <c r="AJ6451" s="80"/>
      <c r="AK6451" s="80"/>
      <c r="AL6451" s="35"/>
      <c r="AM6451" s="35"/>
      <c r="AN6451" s="35"/>
      <c r="AO6451" s="35"/>
      <c r="AP6451" s="35"/>
    </row>
    <row r="6452" spans="1:42" x14ac:dyDescent="0.2">
      <c r="A6452" s="126">
        <v>45720.45497471065</v>
      </c>
      <c r="B6452" s="137" t="s">
        <v>37</v>
      </c>
      <c r="C6452" s="41" t="s">
        <v>118</v>
      </c>
      <c r="D6452" s="80" t="s">
        <v>106</v>
      </c>
      <c r="E6452" s="80" t="s">
        <v>106</v>
      </c>
      <c r="F6452" s="80" t="s">
        <v>13957</v>
      </c>
      <c r="G6452" s="80" t="s">
        <v>108</v>
      </c>
      <c r="H6452" s="80" t="s">
        <v>14547</v>
      </c>
      <c r="I6452" s="17">
        <f ca="1">IFERROR(__xludf.DUMMYFUNCTION("""COMPUTED_VALUE"""),45726)</f>
        <v>45726</v>
      </c>
      <c r="J6452" s="143" t="s">
        <v>20454</v>
      </c>
      <c r="K6452" s="80" t="s">
        <v>20455</v>
      </c>
      <c r="L6452" s="30">
        <v>376798541</v>
      </c>
      <c r="M6452" s="80" t="s">
        <v>11413</v>
      </c>
      <c r="N6452" s="80" t="s">
        <v>20456</v>
      </c>
      <c r="O6452" s="80" t="s">
        <v>15557</v>
      </c>
      <c r="P6452" s="80" t="s">
        <v>20457</v>
      </c>
      <c r="Q6452" s="20">
        <v>3768</v>
      </c>
      <c r="R6452" s="80" t="s">
        <v>36</v>
      </c>
      <c r="S6452" s="95">
        <v>1884</v>
      </c>
      <c r="T6452" s="148">
        <v>45750</v>
      </c>
      <c r="U6452" s="77"/>
      <c r="V6452" s="78"/>
      <c r="W6452" s="85" t="s">
        <v>20458</v>
      </c>
      <c r="X6452" s="80"/>
      <c r="Y6452" s="22">
        <v>1884</v>
      </c>
      <c r="Z6452" s="80"/>
      <c r="AA6452" s="175" t="s">
        <v>20448</v>
      </c>
      <c r="AB6452" s="80"/>
      <c r="AC6452" s="80" t="s">
        <v>53</v>
      </c>
      <c r="AD6452" s="80" t="s">
        <v>54</v>
      </c>
      <c r="AE6452" s="80" t="s">
        <v>13957</v>
      </c>
      <c r="AF6452" s="17">
        <v>45720</v>
      </c>
      <c r="AG6452" s="80"/>
      <c r="AH6452" s="80"/>
      <c r="AI6452" s="147"/>
      <c r="AJ6452" s="80"/>
      <c r="AK6452" s="80"/>
      <c r="AL6452" s="35"/>
      <c r="AM6452" s="35"/>
      <c r="AN6452" s="35"/>
      <c r="AO6452" s="35"/>
      <c r="AP6452" s="35"/>
    </row>
    <row r="6453" spans="1:42" x14ac:dyDescent="0.2">
      <c r="A6453" s="38">
        <v>45726</v>
      </c>
      <c r="B6453" s="137" t="s">
        <v>37</v>
      </c>
      <c r="C6453" s="41" t="s">
        <v>118</v>
      </c>
      <c r="D6453" s="26" t="s">
        <v>36</v>
      </c>
      <c r="E6453" s="26" t="s">
        <v>139</v>
      </c>
      <c r="F6453" s="26" t="s">
        <v>9682</v>
      </c>
      <c r="G6453" s="80" t="s">
        <v>108</v>
      </c>
      <c r="H6453" s="26" t="s">
        <v>14002</v>
      </c>
      <c r="I6453" s="17">
        <f ca="1">IFERROR(__xludf.DUMMYFUNCTION("""COMPUTED_VALUE"""),45735)</f>
        <v>45735</v>
      </c>
      <c r="J6453" s="29" t="s">
        <v>11905</v>
      </c>
      <c r="K6453" s="26" t="s">
        <v>20459</v>
      </c>
      <c r="L6453" s="30">
        <v>979903957</v>
      </c>
      <c r="M6453" s="26" t="s">
        <v>3728</v>
      </c>
      <c r="N6453" s="26" t="s">
        <v>8725</v>
      </c>
      <c r="O6453" s="26" t="s">
        <v>11907</v>
      </c>
      <c r="P6453" s="42" t="s">
        <v>20460</v>
      </c>
      <c r="Q6453" s="20">
        <v>15936</v>
      </c>
      <c r="R6453" s="26" t="s">
        <v>36</v>
      </c>
      <c r="S6453" s="95">
        <f>200+1000+800</f>
        <v>2000</v>
      </c>
      <c r="T6453" s="83" t="s">
        <v>11909</v>
      </c>
      <c r="U6453" s="95">
        <v>13936</v>
      </c>
      <c r="V6453" s="148">
        <v>45544</v>
      </c>
      <c r="W6453" s="33" t="s">
        <v>11910</v>
      </c>
      <c r="X6453" s="26">
        <v>0</v>
      </c>
      <c r="Y6453" s="22">
        <v>0</v>
      </c>
      <c r="Z6453" s="26" t="s">
        <v>50</v>
      </c>
      <c r="AA6453" s="96" t="s">
        <v>3291</v>
      </c>
      <c r="AB6453" s="26"/>
      <c r="AC6453" s="26" t="s">
        <v>53</v>
      </c>
      <c r="AD6453" s="26" t="s">
        <v>54</v>
      </c>
      <c r="AE6453" s="26" t="s">
        <v>9682</v>
      </c>
      <c r="AF6453" s="17">
        <v>45727</v>
      </c>
      <c r="AG6453" s="26"/>
      <c r="AH6453" s="26"/>
      <c r="AI6453" s="40" t="s">
        <v>147</v>
      </c>
      <c r="AJ6453" s="26"/>
      <c r="AK6453" s="26"/>
      <c r="AL6453" s="35"/>
      <c r="AM6453" s="35"/>
      <c r="AN6453" s="35"/>
      <c r="AO6453" s="35"/>
      <c r="AP6453" s="35"/>
    </row>
    <row r="6454" spans="1:42" x14ac:dyDescent="0.2">
      <c r="A6454" s="38">
        <v>45726</v>
      </c>
      <c r="B6454" s="137" t="s">
        <v>37</v>
      </c>
      <c r="C6454" s="41" t="s">
        <v>118</v>
      </c>
      <c r="D6454" s="80" t="s">
        <v>36</v>
      </c>
      <c r="E6454" s="80" t="s">
        <v>139</v>
      </c>
      <c r="F6454" s="80" t="s">
        <v>14200</v>
      </c>
      <c r="G6454" s="26" t="s">
        <v>221</v>
      </c>
      <c r="H6454" s="80" t="s">
        <v>20343</v>
      </c>
      <c r="I6454" s="17">
        <f ca="1">IFERROR(__xludf.DUMMYFUNCTION("""COMPUTED_VALUE"""),45852)</f>
        <v>45852</v>
      </c>
      <c r="J6454" s="143" t="s">
        <v>14219</v>
      </c>
      <c r="K6454" s="80" t="s">
        <v>20461</v>
      </c>
      <c r="L6454" s="30">
        <v>912227891</v>
      </c>
      <c r="M6454" s="80" t="s">
        <v>5518</v>
      </c>
      <c r="N6454" s="80" t="s">
        <v>12380</v>
      </c>
      <c r="O6454" s="80" t="s">
        <v>14221</v>
      </c>
      <c r="P6454" s="80" t="s">
        <v>5462</v>
      </c>
      <c r="Q6454" s="20">
        <v>15936</v>
      </c>
      <c r="R6454" s="80" t="s">
        <v>70</v>
      </c>
      <c r="S6454" s="95">
        <f t="shared" ref="S6454:S6455" si="189">500+1500</f>
        <v>2000</v>
      </c>
      <c r="T6454" s="83" t="s">
        <v>12901</v>
      </c>
      <c r="U6454" s="95">
        <v>13836</v>
      </c>
      <c r="V6454" s="148">
        <v>45572</v>
      </c>
      <c r="W6454" s="85" t="s">
        <v>14222</v>
      </c>
      <c r="X6454" s="80"/>
      <c r="Y6454" s="22">
        <v>100</v>
      </c>
      <c r="Z6454" s="80" t="s">
        <v>50</v>
      </c>
      <c r="AA6454" s="86"/>
      <c r="AB6454" s="80"/>
      <c r="AC6454" s="80" t="s">
        <v>53</v>
      </c>
      <c r="AD6454" s="80" t="s">
        <v>138</v>
      </c>
      <c r="AE6454" s="80" t="s">
        <v>14200</v>
      </c>
      <c r="AF6454" s="17">
        <v>45729</v>
      </c>
      <c r="AG6454" s="80" t="s">
        <v>8366</v>
      </c>
      <c r="AH6454" s="80"/>
      <c r="AI6454" s="147"/>
      <c r="AJ6454" s="80"/>
      <c r="AK6454" s="80"/>
      <c r="AL6454" s="35"/>
      <c r="AM6454" s="35"/>
      <c r="AN6454" s="35"/>
      <c r="AO6454" s="35"/>
      <c r="AP6454" s="35"/>
    </row>
    <row r="6455" spans="1:42" x14ac:dyDescent="0.2">
      <c r="A6455" s="38">
        <v>45726</v>
      </c>
      <c r="B6455" s="137" t="s">
        <v>37</v>
      </c>
      <c r="C6455" s="41" t="s">
        <v>118</v>
      </c>
      <c r="D6455" s="80" t="s">
        <v>36</v>
      </c>
      <c r="E6455" s="80" t="s">
        <v>139</v>
      </c>
      <c r="F6455" s="80" t="s">
        <v>14200</v>
      </c>
      <c r="G6455" s="26" t="s">
        <v>221</v>
      </c>
      <c r="H6455" s="80" t="s">
        <v>20343</v>
      </c>
      <c r="I6455" s="17">
        <f ca="1">IFERROR(__xludf.DUMMYFUNCTION("""COMPUTED_VALUE"""),45852)</f>
        <v>45852</v>
      </c>
      <c r="J6455" s="143" t="s">
        <v>20462</v>
      </c>
      <c r="K6455" s="80" t="s">
        <v>20463</v>
      </c>
      <c r="L6455" s="30">
        <v>966727559</v>
      </c>
      <c r="M6455" s="80" t="s">
        <v>5518</v>
      </c>
      <c r="N6455" s="80" t="s">
        <v>12380</v>
      </c>
      <c r="O6455" s="80" t="s">
        <v>14225</v>
      </c>
      <c r="P6455" s="80" t="s">
        <v>5462</v>
      </c>
      <c r="Q6455" s="20">
        <v>15936</v>
      </c>
      <c r="R6455" s="80" t="s">
        <v>70</v>
      </c>
      <c r="S6455" s="95">
        <f t="shared" si="189"/>
        <v>2000</v>
      </c>
      <c r="T6455" s="83" t="s">
        <v>12901</v>
      </c>
      <c r="U6455" s="95">
        <v>13836</v>
      </c>
      <c r="V6455" s="148">
        <v>45572</v>
      </c>
      <c r="W6455" s="85" t="s">
        <v>14226</v>
      </c>
      <c r="X6455" s="80"/>
      <c r="Y6455" s="22">
        <v>100</v>
      </c>
      <c r="Z6455" s="80" t="s">
        <v>50</v>
      </c>
      <c r="AA6455" s="82"/>
      <c r="AB6455" s="80"/>
      <c r="AC6455" s="80" t="s">
        <v>53</v>
      </c>
      <c r="AD6455" s="80" t="s">
        <v>138</v>
      </c>
      <c r="AE6455" s="80" t="s">
        <v>14200</v>
      </c>
      <c r="AF6455" s="17">
        <v>45729</v>
      </c>
      <c r="AG6455" s="80" t="s">
        <v>8366</v>
      </c>
      <c r="AH6455" s="80"/>
      <c r="AI6455" s="147"/>
      <c r="AJ6455" s="80"/>
      <c r="AK6455" s="80"/>
      <c r="AL6455" s="35"/>
      <c r="AM6455" s="35"/>
      <c r="AN6455" s="35"/>
      <c r="AO6455" s="35"/>
      <c r="AP6455" s="35"/>
    </row>
    <row r="6456" spans="1:42" x14ac:dyDescent="0.2">
      <c r="A6456" s="38">
        <v>45726</v>
      </c>
      <c r="B6456" s="137" t="s">
        <v>37</v>
      </c>
      <c r="C6456" s="41" t="s">
        <v>118</v>
      </c>
      <c r="D6456" s="80" t="s">
        <v>36</v>
      </c>
      <c r="E6456" s="80" t="s">
        <v>139</v>
      </c>
      <c r="F6456" s="80" t="s">
        <v>14200</v>
      </c>
      <c r="G6456" s="26" t="s">
        <v>221</v>
      </c>
      <c r="H6456" s="80" t="s">
        <v>18135</v>
      </c>
      <c r="I6456" s="17">
        <f ca="1">IFERROR(__xludf.DUMMYFUNCTION("""COMPUTED_VALUE"""),45729)</f>
        <v>45729</v>
      </c>
      <c r="J6456" s="143" t="s">
        <v>14319</v>
      </c>
      <c r="K6456" s="80" t="s">
        <v>14320</v>
      </c>
      <c r="L6456" s="30">
        <v>388630987</v>
      </c>
      <c r="M6456" s="80" t="s">
        <v>5429</v>
      </c>
      <c r="N6456" s="80" t="s">
        <v>9251</v>
      </c>
      <c r="O6456" s="80" t="s">
        <v>4626</v>
      </c>
      <c r="P6456" s="80" t="s">
        <v>7107</v>
      </c>
      <c r="Q6456" s="20">
        <v>15936</v>
      </c>
      <c r="R6456" s="80" t="s">
        <v>36</v>
      </c>
      <c r="S6456" s="95">
        <f>200+1800</f>
        <v>2000</v>
      </c>
      <c r="T6456" s="83" t="s">
        <v>14321</v>
      </c>
      <c r="U6456" s="95">
        <v>13936</v>
      </c>
      <c r="V6456" s="148">
        <v>45570</v>
      </c>
      <c r="W6456" s="85" t="s">
        <v>14322</v>
      </c>
      <c r="X6456" s="80"/>
      <c r="Y6456" s="22">
        <v>0</v>
      </c>
      <c r="Z6456" s="80" t="s">
        <v>50</v>
      </c>
      <c r="AA6456" s="86"/>
      <c r="AB6456" s="80"/>
      <c r="AC6456" s="80" t="s">
        <v>53</v>
      </c>
      <c r="AD6456" s="80" t="s">
        <v>138</v>
      </c>
      <c r="AE6456" s="80" t="s">
        <v>14200</v>
      </c>
      <c r="AF6456" s="17">
        <v>45729</v>
      </c>
      <c r="AG6456" s="80"/>
      <c r="AH6456" s="80"/>
      <c r="AI6456" s="147"/>
      <c r="AJ6456" s="80"/>
      <c r="AK6456" s="80"/>
      <c r="AL6456" s="35"/>
      <c r="AM6456" s="35"/>
      <c r="AN6456" s="35"/>
      <c r="AO6456" s="35"/>
      <c r="AP6456" s="35"/>
    </row>
    <row r="6457" spans="1:42" x14ac:dyDescent="0.2">
      <c r="A6457" s="38">
        <v>45727</v>
      </c>
      <c r="B6457" s="28"/>
      <c r="C6457" s="41" t="s">
        <v>118</v>
      </c>
      <c r="D6457" s="80" t="s">
        <v>36</v>
      </c>
      <c r="E6457" s="80" t="s">
        <v>139</v>
      </c>
      <c r="F6457" s="26" t="s">
        <v>9900</v>
      </c>
      <c r="G6457" s="26" t="s">
        <v>221</v>
      </c>
      <c r="H6457" s="26" t="s">
        <v>19622</v>
      </c>
      <c r="I6457" s="17">
        <f ca="1">IFERROR(__xludf.DUMMYFUNCTION("""COMPUTED_VALUE"""),45741)</f>
        <v>45741</v>
      </c>
      <c r="J6457" s="143" t="s">
        <v>11222</v>
      </c>
      <c r="K6457" s="80" t="s">
        <v>20464</v>
      </c>
      <c r="L6457" s="30">
        <v>776369392</v>
      </c>
      <c r="M6457" s="80" t="s">
        <v>3728</v>
      </c>
      <c r="N6457" s="80" t="s">
        <v>5277</v>
      </c>
      <c r="O6457" s="80" t="s">
        <v>11224</v>
      </c>
      <c r="P6457" s="144" t="s">
        <v>13627</v>
      </c>
      <c r="Q6457" s="20">
        <v>15936</v>
      </c>
      <c r="R6457" s="80" t="s">
        <v>36</v>
      </c>
      <c r="S6457" s="95">
        <v>2000</v>
      </c>
      <c r="T6457" s="148">
        <v>45508</v>
      </c>
      <c r="U6457" s="95">
        <v>13936</v>
      </c>
      <c r="V6457" s="148">
        <v>45535</v>
      </c>
      <c r="W6457" s="85" t="s">
        <v>11226</v>
      </c>
      <c r="X6457" s="80">
        <v>0</v>
      </c>
      <c r="Y6457" s="22">
        <v>0</v>
      </c>
      <c r="Z6457" s="80" t="s">
        <v>50</v>
      </c>
      <c r="AA6457" s="96" t="s">
        <v>10314</v>
      </c>
      <c r="AB6457" s="80"/>
      <c r="AC6457" s="80" t="s">
        <v>53</v>
      </c>
      <c r="AD6457" s="80" t="s">
        <v>54</v>
      </c>
      <c r="AE6457" s="80" t="s">
        <v>9900</v>
      </c>
      <c r="AF6457" s="17">
        <v>45734</v>
      </c>
      <c r="AG6457" s="80"/>
      <c r="AH6457" s="80"/>
      <c r="AI6457" s="147"/>
      <c r="AJ6457" s="80"/>
      <c r="AK6457" s="80"/>
      <c r="AL6457" s="35"/>
      <c r="AM6457" s="35"/>
      <c r="AN6457" s="35"/>
      <c r="AO6457" s="35"/>
      <c r="AP6457" s="35"/>
    </row>
    <row r="6458" spans="1:42" x14ac:dyDescent="0.2">
      <c r="A6458" s="38">
        <v>45727</v>
      </c>
      <c r="B6458" s="28" t="s">
        <v>37</v>
      </c>
      <c r="C6458" s="41" t="s">
        <v>118</v>
      </c>
      <c r="D6458" s="80" t="s">
        <v>36</v>
      </c>
      <c r="E6458" s="80" t="s">
        <v>56</v>
      </c>
      <c r="F6458" s="80" t="s">
        <v>6919</v>
      </c>
      <c r="G6458" s="26" t="s">
        <v>108</v>
      </c>
      <c r="H6458" s="80" t="s">
        <v>5946</v>
      </c>
      <c r="I6458" s="17">
        <f ca="1">IFERROR(__xludf.DUMMYFUNCTION("""COMPUTED_VALUE"""),45742)</f>
        <v>45742</v>
      </c>
      <c r="J6458" s="143" t="s">
        <v>8783</v>
      </c>
      <c r="K6458" s="80" t="s">
        <v>20465</v>
      </c>
      <c r="L6458" s="30">
        <v>392887089</v>
      </c>
      <c r="M6458" s="80" t="s">
        <v>9422</v>
      </c>
      <c r="N6458" s="80" t="s">
        <v>8785</v>
      </c>
      <c r="O6458" s="80" t="s">
        <v>11607</v>
      </c>
      <c r="P6458" s="144" t="s">
        <v>18251</v>
      </c>
      <c r="Q6458" s="20">
        <v>9317</v>
      </c>
      <c r="R6458" s="80" t="s">
        <v>36</v>
      </c>
      <c r="S6458" s="95">
        <f>1000+8317</f>
        <v>9317</v>
      </c>
      <c r="T6458" s="148">
        <v>45461</v>
      </c>
      <c r="U6458" s="95"/>
      <c r="V6458" s="148">
        <v>45465</v>
      </c>
      <c r="W6458" s="80"/>
      <c r="X6458" s="80"/>
      <c r="Y6458" s="22">
        <v>0</v>
      </c>
      <c r="Z6458" s="80" t="s">
        <v>118</v>
      </c>
      <c r="AA6458" s="35" t="s">
        <v>18243</v>
      </c>
      <c r="AB6458" s="80"/>
      <c r="AC6458" s="80" t="s">
        <v>53</v>
      </c>
      <c r="AD6458" s="80" t="s">
        <v>138</v>
      </c>
      <c r="AE6458" s="80" t="s">
        <v>6919</v>
      </c>
      <c r="AF6458" s="17">
        <v>45742</v>
      </c>
      <c r="AG6458" s="26" t="s">
        <v>20466</v>
      </c>
      <c r="AH6458" s="80"/>
      <c r="AI6458" s="147"/>
      <c r="AJ6458" s="80"/>
      <c r="AK6458" s="80"/>
      <c r="AL6458" s="35"/>
      <c r="AM6458" s="35"/>
      <c r="AN6458" s="35"/>
      <c r="AO6458" s="35"/>
      <c r="AP6458" s="35"/>
    </row>
    <row r="6459" spans="1:42" x14ac:dyDescent="0.2">
      <c r="A6459" s="38">
        <v>45727</v>
      </c>
      <c r="B6459" s="137" t="s">
        <v>37</v>
      </c>
      <c r="C6459" s="41" t="s">
        <v>118</v>
      </c>
      <c r="D6459" s="80" t="s">
        <v>36</v>
      </c>
      <c r="E6459" s="80" t="s">
        <v>139</v>
      </c>
      <c r="F6459" s="80" t="s">
        <v>14038</v>
      </c>
      <c r="G6459" s="161" t="s">
        <v>221</v>
      </c>
      <c r="H6459" s="80" t="s">
        <v>20467</v>
      </c>
      <c r="I6459" s="17">
        <f ca="1">IFERROR(__xludf.DUMMYFUNCTION("""COMPUTED_VALUE"""),45974)</f>
        <v>45974</v>
      </c>
      <c r="J6459" s="143" t="s">
        <v>14039</v>
      </c>
      <c r="K6459" s="145" t="s">
        <v>20468</v>
      </c>
      <c r="L6459" s="30">
        <v>978694033</v>
      </c>
      <c r="M6459" s="80" t="s">
        <v>123</v>
      </c>
      <c r="N6459" s="80" t="s">
        <v>2847</v>
      </c>
      <c r="O6459" s="80" t="s">
        <v>4503</v>
      </c>
      <c r="P6459" s="80" t="s">
        <v>3487</v>
      </c>
      <c r="Q6459" s="20">
        <v>15936</v>
      </c>
      <c r="R6459" s="80" t="s">
        <v>36</v>
      </c>
      <c r="S6459" s="95">
        <f>200+1800</f>
        <v>2000</v>
      </c>
      <c r="T6459" s="148" t="s">
        <v>14041</v>
      </c>
      <c r="U6459" s="95">
        <f>7000+6936</f>
        <v>13936</v>
      </c>
      <c r="V6459" s="148">
        <v>45579</v>
      </c>
      <c r="W6459" s="85" t="s">
        <v>14042</v>
      </c>
      <c r="X6459" s="80"/>
      <c r="Y6459" s="22">
        <v>0</v>
      </c>
      <c r="Z6459" s="41" t="s">
        <v>118</v>
      </c>
      <c r="AA6459" s="82"/>
      <c r="AB6459" s="80"/>
      <c r="AC6459" s="80" t="s">
        <v>53</v>
      </c>
      <c r="AD6459" s="80" t="s">
        <v>138</v>
      </c>
      <c r="AE6459" s="80" t="s">
        <v>14038</v>
      </c>
      <c r="AF6459" s="17">
        <v>45728</v>
      </c>
      <c r="AG6459" s="80"/>
      <c r="AH6459" s="80"/>
      <c r="AI6459" s="147"/>
      <c r="AJ6459" s="80"/>
      <c r="AK6459" s="80"/>
      <c r="AL6459" s="86"/>
      <c r="AM6459" s="86"/>
      <c r="AN6459" s="86"/>
      <c r="AO6459" s="86"/>
      <c r="AP6459" s="86"/>
    </row>
    <row r="6460" spans="1:42" x14ac:dyDescent="0.2">
      <c r="A6460" s="38">
        <v>45727</v>
      </c>
      <c r="B6460" s="28" t="s">
        <v>37</v>
      </c>
      <c r="C6460" s="41" t="s">
        <v>118</v>
      </c>
      <c r="D6460" s="80" t="s">
        <v>36</v>
      </c>
      <c r="E6460" s="80" t="s">
        <v>139</v>
      </c>
      <c r="F6460" s="80" t="s">
        <v>14038</v>
      </c>
      <c r="G6460" s="161" t="s">
        <v>221</v>
      </c>
      <c r="H6460" s="80" t="s">
        <v>19573</v>
      </c>
      <c r="I6460" s="17">
        <f ca="1">IFERROR(__xludf.DUMMYFUNCTION("""COMPUTED_VALUE"""),45736)</f>
        <v>45736</v>
      </c>
      <c r="J6460" s="143" t="s">
        <v>14581</v>
      </c>
      <c r="K6460" s="145" t="s">
        <v>20469</v>
      </c>
      <c r="L6460" s="30">
        <v>338997368</v>
      </c>
      <c r="M6460" s="80" t="s">
        <v>59</v>
      </c>
      <c r="N6460" s="80" t="s">
        <v>9287</v>
      </c>
      <c r="O6460" s="80" t="s">
        <v>14583</v>
      </c>
      <c r="P6460" s="144" t="s">
        <v>20470</v>
      </c>
      <c r="Q6460" s="20">
        <v>15936</v>
      </c>
      <c r="R6460" s="80" t="s">
        <v>36</v>
      </c>
      <c r="S6460" s="95">
        <f>200+2000+5000</f>
        <v>7200</v>
      </c>
      <c r="T6460" s="148" t="s">
        <v>14585</v>
      </c>
      <c r="U6460" s="95">
        <v>8736</v>
      </c>
      <c r="V6460" s="148">
        <v>45582</v>
      </c>
      <c r="W6460" s="85" t="s">
        <v>14586</v>
      </c>
      <c r="X6460" s="80"/>
      <c r="Y6460" s="22">
        <v>0</v>
      </c>
      <c r="Z6460" s="81" t="s">
        <v>50</v>
      </c>
      <c r="AA6460" s="86"/>
      <c r="AB6460" s="80"/>
      <c r="AC6460" s="80" t="s">
        <v>53</v>
      </c>
      <c r="AD6460" s="80" t="s">
        <v>54</v>
      </c>
      <c r="AE6460" s="80" t="s">
        <v>14038</v>
      </c>
      <c r="AF6460" s="17">
        <v>45728</v>
      </c>
      <c r="AG6460" s="80"/>
      <c r="AH6460" s="80"/>
      <c r="AI6460" s="147"/>
      <c r="AJ6460" s="80"/>
      <c r="AK6460" s="80"/>
      <c r="AL6460" s="86"/>
      <c r="AM6460" s="86"/>
      <c r="AN6460" s="86"/>
      <c r="AO6460" s="86"/>
      <c r="AP6460" s="86"/>
    </row>
    <row r="6461" spans="1:42" x14ac:dyDescent="0.2">
      <c r="A6461" s="38">
        <v>45727</v>
      </c>
      <c r="B6461" s="28" t="s">
        <v>37</v>
      </c>
      <c r="C6461" s="41" t="s">
        <v>118</v>
      </c>
      <c r="D6461" s="80" t="s">
        <v>36</v>
      </c>
      <c r="E6461" s="80" t="s">
        <v>56</v>
      </c>
      <c r="F6461" s="80" t="s">
        <v>14038</v>
      </c>
      <c r="G6461" s="161" t="s">
        <v>221</v>
      </c>
      <c r="H6461" s="80" t="s">
        <v>19573</v>
      </c>
      <c r="I6461" s="17">
        <f ca="1">IFERROR(__xludf.DUMMYFUNCTION("""COMPUTED_VALUE"""),45736)</f>
        <v>45736</v>
      </c>
      <c r="J6461" s="143" t="s">
        <v>11759</v>
      </c>
      <c r="K6461" s="145" t="s">
        <v>11760</v>
      </c>
      <c r="L6461" s="30">
        <v>344254155</v>
      </c>
      <c r="M6461" s="80" t="s">
        <v>11252</v>
      </c>
      <c r="N6461" s="80" t="s">
        <v>1306</v>
      </c>
      <c r="O6461" s="80" t="s">
        <v>36</v>
      </c>
      <c r="P6461" s="144" t="s">
        <v>14702</v>
      </c>
      <c r="Q6461" s="20">
        <v>9317</v>
      </c>
      <c r="R6461" s="80" t="s">
        <v>36</v>
      </c>
      <c r="S6461" s="95">
        <v>9317</v>
      </c>
      <c r="T6461" s="148">
        <v>45533</v>
      </c>
      <c r="U6461" s="77"/>
      <c r="V6461" s="78"/>
      <c r="W6461" s="85" t="s">
        <v>11762</v>
      </c>
      <c r="X6461" s="83">
        <v>0</v>
      </c>
      <c r="Y6461" s="22">
        <v>0</v>
      </c>
      <c r="Z6461" s="81" t="s">
        <v>50</v>
      </c>
      <c r="AA6461" s="82" t="s">
        <v>10314</v>
      </c>
      <c r="AB6461" s="80"/>
      <c r="AC6461" s="80" t="s">
        <v>53</v>
      </c>
      <c r="AD6461" s="80" t="s">
        <v>54</v>
      </c>
      <c r="AE6461" s="80" t="s">
        <v>14038</v>
      </c>
      <c r="AF6461" s="17">
        <v>45728</v>
      </c>
      <c r="AG6461" s="80"/>
      <c r="AH6461" s="80"/>
      <c r="AI6461" s="147"/>
      <c r="AJ6461" s="80"/>
      <c r="AK6461" s="80"/>
      <c r="AL6461" s="86"/>
      <c r="AM6461" s="86"/>
      <c r="AN6461" s="86"/>
      <c r="AO6461" s="86"/>
      <c r="AP6461" s="86"/>
    </row>
    <row r="6462" spans="1:42" x14ac:dyDescent="0.2">
      <c r="A6462" s="38">
        <v>45727</v>
      </c>
      <c r="B6462" s="137" t="s">
        <v>37</v>
      </c>
      <c r="C6462" s="41" t="s">
        <v>118</v>
      </c>
      <c r="D6462" s="80" t="s">
        <v>36</v>
      </c>
      <c r="E6462" s="80" t="s">
        <v>139</v>
      </c>
      <c r="F6462" s="80" t="s">
        <v>14038</v>
      </c>
      <c r="G6462" s="161" t="s">
        <v>221</v>
      </c>
      <c r="H6462" s="80" t="s">
        <v>19383</v>
      </c>
      <c r="I6462" s="17">
        <f ca="1">IFERROR(__xludf.DUMMYFUNCTION("""COMPUTED_VALUE"""),45827)</f>
        <v>45827</v>
      </c>
      <c r="J6462" s="143" t="s">
        <v>12615</v>
      </c>
      <c r="K6462" s="145" t="s">
        <v>20471</v>
      </c>
      <c r="L6462" s="30">
        <v>348077506</v>
      </c>
      <c r="M6462" s="80" t="s">
        <v>123</v>
      </c>
      <c r="N6462" s="80" t="s">
        <v>327</v>
      </c>
      <c r="O6462" s="80" t="s">
        <v>4503</v>
      </c>
      <c r="P6462" s="144" t="s">
        <v>20472</v>
      </c>
      <c r="Q6462" s="20">
        <v>15936</v>
      </c>
      <c r="R6462" s="80" t="s">
        <v>36</v>
      </c>
      <c r="S6462" s="95">
        <v>2000</v>
      </c>
      <c r="T6462" s="148">
        <v>45535</v>
      </c>
      <c r="U6462" s="95">
        <v>13936</v>
      </c>
      <c r="V6462" s="148">
        <v>45556</v>
      </c>
      <c r="W6462" s="85" t="s">
        <v>12618</v>
      </c>
      <c r="X6462" s="83">
        <v>0</v>
      </c>
      <c r="Y6462" s="22">
        <v>0</v>
      </c>
      <c r="Z6462" s="81" t="s">
        <v>50</v>
      </c>
      <c r="AA6462" s="86" t="s">
        <v>3291</v>
      </c>
      <c r="AB6462" s="80"/>
      <c r="AC6462" s="80" t="s">
        <v>53</v>
      </c>
      <c r="AD6462" s="80" t="s">
        <v>54</v>
      </c>
      <c r="AE6462" s="80" t="s">
        <v>14038</v>
      </c>
      <c r="AF6462" s="17">
        <v>45848</v>
      </c>
      <c r="AG6462" s="80" t="s">
        <v>20473</v>
      </c>
      <c r="AH6462" s="80"/>
      <c r="AI6462" s="147" t="s">
        <v>147</v>
      </c>
      <c r="AJ6462" s="80"/>
      <c r="AK6462" s="80"/>
      <c r="AL6462" s="86"/>
      <c r="AM6462" s="86"/>
      <c r="AN6462" s="86"/>
      <c r="AO6462" s="86"/>
      <c r="AP6462" s="86"/>
    </row>
    <row r="6463" spans="1:42" x14ac:dyDescent="0.2">
      <c r="A6463" s="38">
        <v>45727</v>
      </c>
      <c r="B6463" s="28" t="s">
        <v>37</v>
      </c>
      <c r="C6463" s="41" t="s">
        <v>118</v>
      </c>
      <c r="D6463" s="80" t="s">
        <v>36</v>
      </c>
      <c r="E6463" s="80" t="s">
        <v>139</v>
      </c>
      <c r="F6463" s="80" t="s">
        <v>14038</v>
      </c>
      <c r="G6463" s="161" t="s">
        <v>221</v>
      </c>
      <c r="H6463" s="80" t="s">
        <v>20474</v>
      </c>
      <c r="I6463" s="17">
        <f ca="1">IFERROR(__xludf.DUMMYFUNCTION("""COMPUTED_VALUE"""),45971)</f>
        <v>45971</v>
      </c>
      <c r="J6463" s="143" t="s">
        <v>12632</v>
      </c>
      <c r="K6463" s="145" t="s">
        <v>20475</v>
      </c>
      <c r="L6463" s="30">
        <v>899989595</v>
      </c>
      <c r="M6463" s="80" t="s">
        <v>123</v>
      </c>
      <c r="N6463" s="80" t="s">
        <v>186</v>
      </c>
      <c r="O6463" s="80" t="s">
        <v>4503</v>
      </c>
      <c r="P6463" s="144" t="s">
        <v>20476</v>
      </c>
      <c r="Q6463" s="20">
        <v>15936</v>
      </c>
      <c r="R6463" s="80" t="s">
        <v>70</v>
      </c>
      <c r="S6463" s="95">
        <v>3000</v>
      </c>
      <c r="T6463" s="148">
        <v>45538</v>
      </c>
      <c r="U6463" s="95">
        <v>12936</v>
      </c>
      <c r="V6463" s="148">
        <v>45551</v>
      </c>
      <c r="W6463" s="85" t="s">
        <v>12635</v>
      </c>
      <c r="X6463" s="83">
        <v>100</v>
      </c>
      <c r="Y6463" s="22">
        <v>-100</v>
      </c>
      <c r="Z6463" s="81" t="s">
        <v>50</v>
      </c>
      <c r="AA6463" s="82" t="s">
        <v>3291</v>
      </c>
      <c r="AB6463" s="80"/>
      <c r="AC6463" s="80" t="s">
        <v>53</v>
      </c>
      <c r="AD6463" s="80" t="s">
        <v>54</v>
      </c>
      <c r="AE6463" s="80" t="s">
        <v>14038</v>
      </c>
      <c r="AF6463" s="17">
        <v>45728</v>
      </c>
      <c r="AG6463" s="80"/>
      <c r="AH6463" s="80"/>
      <c r="AI6463" s="147" t="s">
        <v>147</v>
      </c>
      <c r="AJ6463" s="80"/>
      <c r="AK6463" s="80"/>
      <c r="AL6463" s="86"/>
      <c r="AM6463" s="86"/>
      <c r="AN6463" s="86"/>
      <c r="AO6463" s="86"/>
      <c r="AP6463" s="86"/>
    </row>
    <row r="6464" spans="1:42" x14ac:dyDescent="0.2">
      <c r="A6464" s="38">
        <v>45727</v>
      </c>
      <c r="B6464" s="28" t="s">
        <v>37</v>
      </c>
      <c r="C6464" s="41" t="s">
        <v>118</v>
      </c>
      <c r="D6464" s="80" t="s">
        <v>36</v>
      </c>
      <c r="E6464" s="80" t="s">
        <v>139</v>
      </c>
      <c r="F6464" s="80" t="s">
        <v>14038</v>
      </c>
      <c r="G6464" s="161" t="s">
        <v>221</v>
      </c>
      <c r="H6464" s="80" t="s">
        <v>19573</v>
      </c>
      <c r="I6464" s="17">
        <f ca="1">IFERROR(__xludf.DUMMYFUNCTION("""COMPUTED_VALUE"""),45736)</f>
        <v>45736</v>
      </c>
      <c r="J6464" s="143" t="s">
        <v>14707</v>
      </c>
      <c r="K6464" s="145" t="s">
        <v>14708</v>
      </c>
      <c r="L6464" s="30">
        <v>981962561</v>
      </c>
      <c r="M6464" s="80" t="s">
        <v>3498</v>
      </c>
      <c r="N6464" s="80" t="s">
        <v>4402</v>
      </c>
      <c r="O6464" s="80" t="s">
        <v>4503</v>
      </c>
      <c r="P6464" s="144" t="s">
        <v>14709</v>
      </c>
      <c r="Q6464" s="20">
        <v>15936</v>
      </c>
      <c r="R6464" s="80" t="s">
        <v>36</v>
      </c>
      <c r="S6464" s="95">
        <v>2000</v>
      </c>
      <c r="T6464" s="148">
        <v>45542</v>
      </c>
      <c r="U6464" s="95">
        <v>13936</v>
      </c>
      <c r="V6464" s="148">
        <v>45574</v>
      </c>
      <c r="W6464" s="79" t="s">
        <v>14710</v>
      </c>
      <c r="X6464" s="80"/>
      <c r="Y6464" s="22">
        <v>0</v>
      </c>
      <c r="Z6464" s="81" t="s">
        <v>50</v>
      </c>
      <c r="AA6464" s="86"/>
      <c r="AB6464" s="80"/>
      <c r="AC6464" s="80"/>
      <c r="AD6464" s="80"/>
      <c r="AE6464" s="80" t="s">
        <v>14038</v>
      </c>
      <c r="AF6464" s="17">
        <v>45728</v>
      </c>
      <c r="AG6464" s="80"/>
      <c r="AH6464" s="80"/>
      <c r="AI6464" s="147"/>
      <c r="AJ6464" s="80"/>
      <c r="AK6464" s="80"/>
      <c r="AL6464" s="86"/>
      <c r="AM6464" s="86"/>
      <c r="AN6464" s="86"/>
      <c r="AO6464" s="86"/>
      <c r="AP6464" s="86"/>
    </row>
    <row r="6465" spans="1:42" x14ac:dyDescent="0.2">
      <c r="A6465" s="38">
        <v>45727</v>
      </c>
      <c r="B6465" s="28" t="s">
        <v>37</v>
      </c>
      <c r="C6465" s="41" t="s">
        <v>118</v>
      </c>
      <c r="D6465" s="80" t="s">
        <v>36</v>
      </c>
      <c r="E6465" s="80" t="s">
        <v>139</v>
      </c>
      <c r="F6465" s="80" t="s">
        <v>14038</v>
      </c>
      <c r="G6465" s="161" t="s">
        <v>221</v>
      </c>
      <c r="H6465" s="80" t="s">
        <v>20136</v>
      </c>
      <c r="I6465" s="17">
        <f ca="1">IFERROR(__xludf.DUMMYFUNCTION("""COMPUTED_VALUE"""),45783)</f>
        <v>45783</v>
      </c>
      <c r="J6465" s="143" t="s">
        <v>12938</v>
      </c>
      <c r="K6465" s="80" t="s">
        <v>14736</v>
      </c>
      <c r="L6465" s="30">
        <v>342551792</v>
      </c>
      <c r="M6465" s="80" t="s">
        <v>5558</v>
      </c>
      <c r="N6465" s="80" t="s">
        <v>5559</v>
      </c>
      <c r="O6465" s="80" t="s">
        <v>4503</v>
      </c>
      <c r="P6465" s="115" t="s">
        <v>12940</v>
      </c>
      <c r="Q6465" s="20">
        <v>15936</v>
      </c>
      <c r="R6465" s="80" t="s">
        <v>36</v>
      </c>
      <c r="S6465" s="95">
        <v>1968</v>
      </c>
      <c r="T6465" s="148">
        <v>45545</v>
      </c>
      <c r="U6465" s="95">
        <v>13968</v>
      </c>
      <c r="V6465" s="148">
        <v>45561</v>
      </c>
      <c r="W6465" s="85" t="s">
        <v>12941</v>
      </c>
      <c r="X6465" s="83">
        <v>0</v>
      </c>
      <c r="Y6465" s="22">
        <v>0</v>
      </c>
      <c r="Z6465" s="81" t="s">
        <v>50</v>
      </c>
      <c r="AA6465" s="82" t="s">
        <v>3291</v>
      </c>
      <c r="AB6465" s="80"/>
      <c r="AC6465" s="80" t="s">
        <v>53</v>
      </c>
      <c r="AD6465" s="80" t="s">
        <v>54</v>
      </c>
      <c r="AE6465" s="80" t="s">
        <v>14038</v>
      </c>
      <c r="AF6465" s="17">
        <v>45773</v>
      </c>
      <c r="AG6465" s="80" t="s">
        <v>20477</v>
      </c>
      <c r="AH6465" s="80"/>
      <c r="AI6465" s="147" t="s">
        <v>147</v>
      </c>
      <c r="AJ6465" s="80"/>
      <c r="AK6465" s="80"/>
      <c r="AL6465" s="86"/>
      <c r="AM6465" s="86"/>
      <c r="AN6465" s="86"/>
      <c r="AO6465" s="86"/>
      <c r="AP6465" s="86"/>
    </row>
    <row r="6466" spans="1:42" x14ac:dyDescent="0.2">
      <c r="A6466" s="38">
        <v>45727</v>
      </c>
      <c r="B6466" s="28" t="s">
        <v>37</v>
      </c>
      <c r="C6466" s="41" t="s">
        <v>118</v>
      </c>
      <c r="D6466" s="80" t="s">
        <v>36</v>
      </c>
      <c r="E6466" s="80" t="s">
        <v>119</v>
      </c>
      <c r="F6466" s="80" t="s">
        <v>14038</v>
      </c>
      <c r="G6466" s="161" t="s">
        <v>221</v>
      </c>
      <c r="H6466" s="80" t="s">
        <v>20478</v>
      </c>
      <c r="I6466" s="17" t="str">
        <f ca="1">IFERROR(__xludf.DUMMYFUNCTION("""COMPUTED_VALUE""")," ")</f>
        <v xml:space="preserve"> </v>
      </c>
      <c r="J6466" s="172" t="s">
        <v>9566</v>
      </c>
      <c r="K6466" s="80" t="s">
        <v>20479</v>
      </c>
      <c r="L6466" s="30">
        <v>868191219</v>
      </c>
      <c r="M6466" s="80" t="s">
        <v>5558</v>
      </c>
      <c r="N6466" s="80" t="s">
        <v>5277</v>
      </c>
      <c r="O6466" s="80" t="s">
        <v>4503</v>
      </c>
      <c r="P6466" s="80" t="s">
        <v>20480</v>
      </c>
      <c r="Q6466" s="20">
        <v>13968</v>
      </c>
      <c r="R6466" s="80" t="s">
        <v>36</v>
      </c>
      <c r="S6466" s="95">
        <v>4000</v>
      </c>
      <c r="T6466" s="148">
        <v>45599</v>
      </c>
      <c r="U6466" s="95">
        <v>9968</v>
      </c>
      <c r="V6466" s="148">
        <v>45637</v>
      </c>
      <c r="W6466" s="85" t="s">
        <v>18746</v>
      </c>
      <c r="X6466" s="80"/>
      <c r="Y6466" s="22">
        <v>0</v>
      </c>
      <c r="Z6466" s="81" t="s">
        <v>50</v>
      </c>
      <c r="AA6466" s="86" t="s">
        <v>18579</v>
      </c>
      <c r="AB6466" s="86"/>
      <c r="AC6466" s="80" t="s">
        <v>53</v>
      </c>
      <c r="AD6466" s="80" t="s">
        <v>138</v>
      </c>
      <c r="AE6466" s="80" t="s">
        <v>14038</v>
      </c>
      <c r="AF6466" s="17">
        <v>45762</v>
      </c>
      <c r="AG6466" s="80" t="s">
        <v>8366</v>
      </c>
      <c r="AH6466" s="80"/>
      <c r="AI6466" s="147"/>
      <c r="AJ6466" s="80"/>
      <c r="AK6466" s="80"/>
      <c r="AL6466" s="86"/>
      <c r="AM6466" s="86"/>
      <c r="AN6466" s="86"/>
      <c r="AO6466" s="86"/>
      <c r="AP6466" s="86"/>
    </row>
    <row r="6467" spans="1:42" x14ac:dyDescent="0.2">
      <c r="A6467" s="38">
        <v>45727</v>
      </c>
      <c r="B6467" s="137" t="s">
        <v>37</v>
      </c>
      <c r="C6467" s="41" t="s">
        <v>118</v>
      </c>
      <c r="D6467" s="80" t="s">
        <v>36</v>
      </c>
      <c r="E6467" s="80" t="s">
        <v>56</v>
      </c>
      <c r="F6467" s="80" t="s">
        <v>13987</v>
      </c>
      <c r="G6467" s="161" t="s">
        <v>221</v>
      </c>
      <c r="H6467" s="80" t="s">
        <v>9944</v>
      </c>
      <c r="I6467" s="17">
        <f ca="1">IFERROR(__xludf.DUMMYFUNCTION("""COMPUTED_VALUE"""),45820)</f>
        <v>45820</v>
      </c>
      <c r="J6467" s="143" t="s">
        <v>13988</v>
      </c>
      <c r="K6467" s="80" t="s">
        <v>20481</v>
      </c>
      <c r="L6467" s="30">
        <v>931117806</v>
      </c>
      <c r="M6467" s="80" t="s">
        <v>80</v>
      </c>
      <c r="N6467" s="80" t="s">
        <v>1073</v>
      </c>
      <c r="O6467" s="80" t="s">
        <v>13990</v>
      </c>
      <c r="P6467" s="144" t="s">
        <v>13991</v>
      </c>
      <c r="Q6467" s="20">
        <v>9317</v>
      </c>
      <c r="R6467" s="80" t="s">
        <v>36</v>
      </c>
      <c r="S6467" s="95">
        <f>200+1800</f>
        <v>2000</v>
      </c>
      <c r="T6467" s="148" t="s">
        <v>13992</v>
      </c>
      <c r="U6467" s="95">
        <v>7317</v>
      </c>
      <c r="V6467" s="148">
        <v>45567</v>
      </c>
      <c r="W6467" s="85" t="s">
        <v>13993</v>
      </c>
      <c r="X6467" s="80"/>
      <c r="Y6467" s="22">
        <v>0</v>
      </c>
      <c r="Z6467" s="81" t="s">
        <v>50</v>
      </c>
      <c r="AA6467" s="82"/>
      <c r="AB6467" s="80"/>
      <c r="AC6467" s="80" t="s">
        <v>53</v>
      </c>
      <c r="AD6467" s="80" t="s">
        <v>54</v>
      </c>
      <c r="AE6467" s="80" t="s">
        <v>20482</v>
      </c>
      <c r="AF6467" s="17">
        <v>45734</v>
      </c>
      <c r="AG6467" s="80" t="s">
        <v>8366</v>
      </c>
      <c r="AH6467" s="80"/>
      <c r="AI6467" s="147"/>
      <c r="AJ6467" s="80"/>
      <c r="AK6467" s="80"/>
      <c r="AL6467" s="86"/>
      <c r="AM6467" s="86"/>
      <c r="AN6467" s="86"/>
      <c r="AO6467" s="86"/>
      <c r="AP6467" s="86"/>
    </row>
    <row r="6468" spans="1:42" x14ac:dyDescent="0.2">
      <c r="A6468" s="38">
        <v>45727</v>
      </c>
      <c r="B6468" s="28" t="s">
        <v>37</v>
      </c>
      <c r="C6468" s="41" t="s">
        <v>118</v>
      </c>
      <c r="D6468" s="80" t="s">
        <v>36</v>
      </c>
      <c r="E6468" s="80" t="s">
        <v>139</v>
      </c>
      <c r="F6468" s="80" t="s">
        <v>13987</v>
      </c>
      <c r="G6468" s="161" t="s">
        <v>221</v>
      </c>
      <c r="H6468" s="80" t="s">
        <v>9055</v>
      </c>
      <c r="I6468" s="17">
        <f ca="1">IFERROR(__xludf.DUMMYFUNCTION("""COMPUTED_VALUE"""),45739)</f>
        <v>45739</v>
      </c>
      <c r="J6468" s="143" t="s">
        <v>13994</v>
      </c>
      <c r="K6468" s="145" t="s">
        <v>13995</v>
      </c>
      <c r="L6468" s="30">
        <v>397013023</v>
      </c>
      <c r="M6468" s="80" t="s">
        <v>12529</v>
      </c>
      <c r="N6468" s="80" t="s">
        <v>466</v>
      </c>
      <c r="O6468" s="80" t="s">
        <v>13996</v>
      </c>
      <c r="P6468" s="80" t="s">
        <v>13997</v>
      </c>
      <c r="Q6468" s="20">
        <v>15936</v>
      </c>
      <c r="R6468" s="80" t="s">
        <v>36</v>
      </c>
      <c r="S6468" s="95">
        <v>2000</v>
      </c>
      <c r="T6468" s="148">
        <v>45533</v>
      </c>
      <c r="U6468" s="95">
        <v>13936</v>
      </c>
      <c r="V6468" s="148">
        <v>45570</v>
      </c>
      <c r="W6468" s="85" t="s">
        <v>13998</v>
      </c>
      <c r="X6468" s="80"/>
      <c r="Y6468" s="22">
        <v>0</v>
      </c>
      <c r="Z6468" s="81" t="s">
        <v>50</v>
      </c>
      <c r="AA6468" s="86"/>
      <c r="AB6468" s="80"/>
      <c r="AC6468" s="80" t="s">
        <v>53</v>
      </c>
      <c r="AD6468" s="80" t="s">
        <v>54</v>
      </c>
      <c r="AE6468" s="80" t="s">
        <v>13987</v>
      </c>
      <c r="AF6468" s="17">
        <v>45734</v>
      </c>
      <c r="AG6468" s="80"/>
      <c r="AH6468" s="80"/>
      <c r="AI6468" s="147"/>
      <c r="AJ6468" s="80"/>
      <c r="AK6468" s="80"/>
      <c r="AL6468" s="86"/>
      <c r="AM6468" s="86"/>
      <c r="AN6468" s="86"/>
      <c r="AO6468" s="86"/>
      <c r="AP6468" s="86"/>
    </row>
    <row r="6469" spans="1:42" x14ac:dyDescent="0.2">
      <c r="A6469" s="38">
        <v>45727</v>
      </c>
      <c r="B6469" s="28" t="s">
        <v>37</v>
      </c>
      <c r="C6469" s="41" t="s">
        <v>118</v>
      </c>
      <c r="D6469" s="80" t="s">
        <v>36</v>
      </c>
      <c r="E6469" s="80" t="s">
        <v>139</v>
      </c>
      <c r="F6469" s="80" t="s">
        <v>13987</v>
      </c>
      <c r="G6469" s="161" t="s">
        <v>221</v>
      </c>
      <c r="H6469" s="80" t="s">
        <v>20328</v>
      </c>
      <c r="I6469" s="17">
        <f ca="1">IFERROR(__xludf.DUMMYFUNCTION("""COMPUTED_VALUE"""),45845)</f>
        <v>45845</v>
      </c>
      <c r="J6469" s="143" t="s">
        <v>14153</v>
      </c>
      <c r="K6469" s="145" t="s">
        <v>20483</v>
      </c>
      <c r="L6469" s="30">
        <v>825864735</v>
      </c>
      <c r="M6469" s="80" t="s">
        <v>123</v>
      </c>
      <c r="N6469" s="80" t="s">
        <v>186</v>
      </c>
      <c r="O6469" s="80" t="s">
        <v>4503</v>
      </c>
      <c r="P6469" s="115" t="s">
        <v>14155</v>
      </c>
      <c r="Q6469" s="20">
        <v>15936</v>
      </c>
      <c r="R6469" s="80" t="s">
        <v>36</v>
      </c>
      <c r="S6469" s="95">
        <v>2000</v>
      </c>
      <c r="T6469" s="148">
        <v>45541</v>
      </c>
      <c r="U6469" s="95">
        <v>13936</v>
      </c>
      <c r="V6469" s="148">
        <v>45589</v>
      </c>
      <c r="W6469" s="85" t="s">
        <v>14156</v>
      </c>
      <c r="X6469" s="80"/>
      <c r="Y6469" s="22">
        <v>0</v>
      </c>
      <c r="Z6469" s="81" t="s">
        <v>50</v>
      </c>
      <c r="AA6469" s="82"/>
      <c r="AB6469" s="80"/>
      <c r="AC6469" s="80" t="s">
        <v>53</v>
      </c>
      <c r="AD6469" s="80" t="s">
        <v>54</v>
      </c>
      <c r="AE6469" s="80" t="s">
        <v>13987</v>
      </c>
      <c r="AF6469" s="17">
        <v>45743</v>
      </c>
      <c r="AG6469" s="60" t="s">
        <v>8366</v>
      </c>
      <c r="AH6469" s="80"/>
      <c r="AI6469" s="147"/>
      <c r="AJ6469" s="80"/>
      <c r="AK6469" s="80"/>
      <c r="AL6469" s="86"/>
      <c r="AM6469" s="86"/>
      <c r="AN6469" s="86"/>
      <c r="AO6469" s="86"/>
      <c r="AP6469" s="86"/>
    </row>
    <row r="6470" spans="1:42" x14ac:dyDescent="0.2">
      <c r="A6470" s="38">
        <v>45727</v>
      </c>
      <c r="B6470" s="28" t="s">
        <v>37</v>
      </c>
      <c r="C6470" s="41" t="s">
        <v>118</v>
      </c>
      <c r="D6470" s="80" t="s">
        <v>36</v>
      </c>
      <c r="E6470" s="80" t="s">
        <v>148</v>
      </c>
      <c r="F6470" s="80" t="s">
        <v>13987</v>
      </c>
      <c r="G6470" s="161" t="s">
        <v>221</v>
      </c>
      <c r="H6470" s="80" t="s">
        <v>9055</v>
      </c>
      <c r="I6470" s="17">
        <f ca="1">IFERROR(__xludf.DUMMYFUNCTION("""COMPUTED_VALUE"""),45739)</f>
        <v>45739</v>
      </c>
      <c r="J6470" s="143" t="s">
        <v>17811</v>
      </c>
      <c r="K6470" s="145" t="s">
        <v>20484</v>
      </c>
      <c r="L6470" s="30">
        <v>973434206</v>
      </c>
      <c r="M6470" s="80" t="s">
        <v>348</v>
      </c>
      <c r="N6470" s="80" t="s">
        <v>68</v>
      </c>
      <c r="O6470" s="80" t="s">
        <v>17812</v>
      </c>
      <c r="P6470" s="80" t="s">
        <v>17813</v>
      </c>
      <c r="Q6470" s="20">
        <v>7349</v>
      </c>
      <c r="R6470" s="80" t="s">
        <v>36</v>
      </c>
      <c r="S6470" s="95">
        <v>7349</v>
      </c>
      <c r="T6470" s="148">
        <v>45599</v>
      </c>
      <c r="U6470" s="77"/>
      <c r="V6470" s="78"/>
      <c r="W6470" s="85" t="s">
        <v>17814</v>
      </c>
      <c r="X6470" s="80"/>
      <c r="Y6470" s="22">
        <v>0</v>
      </c>
      <c r="Z6470" s="81" t="s">
        <v>50</v>
      </c>
      <c r="AA6470" s="86" t="s">
        <v>14723</v>
      </c>
      <c r="AB6470" s="80"/>
      <c r="AC6470" s="80" t="s">
        <v>53</v>
      </c>
      <c r="AD6470" s="80" t="s">
        <v>54</v>
      </c>
      <c r="AE6470" s="80" t="s">
        <v>13987</v>
      </c>
      <c r="AF6470" s="17">
        <v>45734</v>
      </c>
      <c r="AG6470" s="80"/>
      <c r="AH6470" s="80"/>
      <c r="AI6470" s="147"/>
      <c r="AJ6470" s="80"/>
      <c r="AK6470" s="80"/>
      <c r="AL6470" s="86"/>
      <c r="AM6470" s="86"/>
      <c r="AN6470" s="86"/>
      <c r="AO6470" s="86"/>
      <c r="AP6470" s="86"/>
    </row>
    <row r="6471" spans="1:42" x14ac:dyDescent="0.2">
      <c r="A6471" s="38">
        <v>45727</v>
      </c>
      <c r="B6471" s="137" t="s">
        <v>37</v>
      </c>
      <c r="C6471" s="41" t="s">
        <v>118</v>
      </c>
      <c r="D6471" s="80" t="s">
        <v>36</v>
      </c>
      <c r="E6471" s="80" t="s">
        <v>139</v>
      </c>
      <c r="F6471" s="80" t="s">
        <v>13782</v>
      </c>
      <c r="G6471" s="161" t="s">
        <v>221</v>
      </c>
      <c r="H6471" s="80" t="s">
        <v>20081</v>
      </c>
      <c r="I6471" s="17">
        <f ca="1">IFERROR(__xludf.DUMMYFUNCTION("""COMPUTED_VALUE"""),45761)</f>
        <v>45761</v>
      </c>
      <c r="J6471" s="143" t="s">
        <v>12345</v>
      </c>
      <c r="K6471" s="80" t="s">
        <v>20485</v>
      </c>
      <c r="L6471" s="30">
        <v>345998707</v>
      </c>
      <c r="M6471" s="80" t="s">
        <v>123</v>
      </c>
      <c r="N6471" s="80" t="s">
        <v>186</v>
      </c>
      <c r="O6471" s="80" t="s">
        <v>4503</v>
      </c>
      <c r="P6471" s="144" t="s">
        <v>13784</v>
      </c>
      <c r="Q6471" s="20">
        <v>15936</v>
      </c>
      <c r="R6471" s="80" t="s">
        <v>36</v>
      </c>
      <c r="S6471" s="95">
        <v>2000</v>
      </c>
      <c r="T6471" s="148">
        <v>45525</v>
      </c>
      <c r="U6471" s="95">
        <v>13936</v>
      </c>
      <c r="V6471" s="148">
        <v>45550</v>
      </c>
      <c r="W6471" s="85" t="s">
        <v>12348</v>
      </c>
      <c r="X6471" s="83">
        <v>0</v>
      </c>
      <c r="Y6471" s="22">
        <v>0</v>
      </c>
      <c r="Z6471" s="81" t="s">
        <v>50</v>
      </c>
      <c r="AA6471" s="82" t="s">
        <v>3291</v>
      </c>
      <c r="AB6471" s="80"/>
      <c r="AC6471" s="80" t="s">
        <v>53</v>
      </c>
      <c r="AD6471" s="80" t="s">
        <v>54</v>
      </c>
      <c r="AE6471" s="80" t="s">
        <v>13782</v>
      </c>
      <c r="AF6471" s="17">
        <v>45756</v>
      </c>
      <c r="AG6471" s="80"/>
      <c r="AH6471" s="80"/>
      <c r="AI6471" s="147" t="s">
        <v>147</v>
      </c>
      <c r="AJ6471" s="80"/>
      <c r="AK6471" s="80"/>
      <c r="AL6471" s="86"/>
      <c r="AM6471" s="86"/>
      <c r="AN6471" s="86"/>
      <c r="AO6471" s="86"/>
      <c r="AP6471" s="86"/>
    </row>
    <row r="6472" spans="1:42" x14ac:dyDescent="0.2">
      <c r="A6472" s="38">
        <v>45727</v>
      </c>
      <c r="B6472" s="28" t="s">
        <v>1703</v>
      </c>
      <c r="C6472" s="41" t="s">
        <v>118</v>
      </c>
      <c r="D6472" s="80" t="s">
        <v>36</v>
      </c>
      <c r="E6472" s="80" t="s">
        <v>139</v>
      </c>
      <c r="F6472" s="80" t="s">
        <v>13782</v>
      </c>
      <c r="G6472" s="161" t="s">
        <v>221</v>
      </c>
      <c r="H6472" s="80" t="s">
        <v>20486</v>
      </c>
      <c r="I6472" s="17" t="str">
        <f ca="1">IFERROR(__xludf.DUMMYFUNCTION("""COMPUTED_VALUE""")," ")</f>
        <v xml:space="preserve"> </v>
      </c>
      <c r="J6472" s="143" t="s">
        <v>12374</v>
      </c>
      <c r="K6472" s="145" t="s">
        <v>20487</v>
      </c>
      <c r="L6472" s="30">
        <v>367490337</v>
      </c>
      <c r="M6472" s="80" t="s">
        <v>123</v>
      </c>
      <c r="N6472" s="80" t="s">
        <v>327</v>
      </c>
      <c r="O6472" s="80" t="s">
        <v>4503</v>
      </c>
      <c r="P6472" s="144" t="s">
        <v>13788</v>
      </c>
      <c r="Q6472" s="20">
        <v>15936</v>
      </c>
      <c r="R6472" s="80" t="s">
        <v>36</v>
      </c>
      <c r="S6472" s="95">
        <f>200+180+1620</f>
        <v>2000</v>
      </c>
      <c r="T6472" s="148">
        <v>45525</v>
      </c>
      <c r="U6472" s="95">
        <v>13936</v>
      </c>
      <c r="V6472" s="148">
        <v>45550</v>
      </c>
      <c r="W6472" s="80" t="s">
        <v>12377</v>
      </c>
      <c r="X6472" s="83">
        <v>0</v>
      </c>
      <c r="Y6472" s="22">
        <v>0</v>
      </c>
      <c r="Z6472" s="81" t="s">
        <v>50</v>
      </c>
      <c r="AA6472" s="86" t="s">
        <v>3291</v>
      </c>
      <c r="AB6472" s="80"/>
      <c r="AC6472" s="80" t="s">
        <v>53</v>
      </c>
      <c r="AD6472" s="80" t="s">
        <v>54</v>
      </c>
      <c r="AE6472" s="80" t="s">
        <v>13782</v>
      </c>
      <c r="AF6472" s="17">
        <v>45734</v>
      </c>
      <c r="AG6472" s="80"/>
      <c r="AH6472" s="80"/>
      <c r="AI6472" s="147" t="s">
        <v>147</v>
      </c>
      <c r="AJ6472" s="80"/>
      <c r="AK6472" s="80"/>
      <c r="AL6472" s="86"/>
      <c r="AM6472" s="86"/>
      <c r="AN6472" s="86"/>
      <c r="AO6472" s="86"/>
      <c r="AP6472" s="86"/>
    </row>
    <row r="6473" spans="1:42" x14ac:dyDescent="0.2">
      <c r="A6473" s="38">
        <v>45727</v>
      </c>
      <c r="B6473" s="28" t="s">
        <v>37</v>
      </c>
      <c r="C6473" s="41" t="s">
        <v>118</v>
      </c>
      <c r="D6473" s="80" t="s">
        <v>36</v>
      </c>
      <c r="E6473" s="80" t="s">
        <v>56</v>
      </c>
      <c r="F6473" s="80" t="s">
        <v>13782</v>
      </c>
      <c r="G6473" s="161" t="s">
        <v>221</v>
      </c>
      <c r="H6473" s="80" t="s">
        <v>9055</v>
      </c>
      <c r="I6473" s="17">
        <f ca="1">IFERROR(__xludf.DUMMYFUNCTION("""COMPUTED_VALUE"""),45739)</f>
        <v>45739</v>
      </c>
      <c r="J6473" s="143" t="s">
        <v>13400</v>
      </c>
      <c r="K6473" s="145" t="s">
        <v>13401</v>
      </c>
      <c r="L6473" s="30">
        <v>355038715</v>
      </c>
      <c r="M6473" s="80" t="s">
        <v>59</v>
      </c>
      <c r="N6473" s="80" t="s">
        <v>13402</v>
      </c>
      <c r="O6473" s="80" t="s">
        <v>13403</v>
      </c>
      <c r="P6473" s="144" t="s">
        <v>13404</v>
      </c>
      <c r="Q6473" s="20">
        <v>9317</v>
      </c>
      <c r="R6473" s="80" t="s">
        <v>36</v>
      </c>
      <c r="S6473" s="95">
        <v>9317</v>
      </c>
      <c r="T6473" s="148">
        <v>45556</v>
      </c>
      <c r="U6473" s="77"/>
      <c r="V6473" s="78"/>
      <c r="W6473" s="85" t="s">
        <v>13405</v>
      </c>
      <c r="X6473" s="83">
        <v>0</v>
      </c>
      <c r="Y6473" s="22">
        <v>0</v>
      </c>
      <c r="Z6473" s="81" t="s">
        <v>50</v>
      </c>
      <c r="AA6473" s="82" t="s">
        <v>3291</v>
      </c>
      <c r="AB6473" s="80"/>
      <c r="AC6473" s="80" t="s">
        <v>53</v>
      </c>
      <c r="AD6473" s="80" t="s">
        <v>54</v>
      </c>
      <c r="AE6473" s="80" t="s">
        <v>13782</v>
      </c>
      <c r="AF6473" s="17">
        <v>45734</v>
      </c>
      <c r="AG6473" s="85"/>
      <c r="AH6473" s="80"/>
      <c r="AI6473" s="147" t="s">
        <v>64</v>
      </c>
      <c r="AJ6473" s="80"/>
      <c r="AK6473" s="80"/>
      <c r="AL6473" s="86"/>
      <c r="AM6473" s="86"/>
      <c r="AN6473" s="86"/>
      <c r="AO6473" s="86"/>
      <c r="AP6473" s="86"/>
    </row>
    <row r="6474" spans="1:42" x14ac:dyDescent="0.2">
      <c r="A6474" s="38">
        <v>45727</v>
      </c>
      <c r="B6474" s="28" t="s">
        <v>37</v>
      </c>
      <c r="C6474" s="41" t="s">
        <v>118</v>
      </c>
      <c r="D6474" s="80" t="s">
        <v>36</v>
      </c>
      <c r="E6474" s="80" t="s">
        <v>139</v>
      </c>
      <c r="F6474" s="80" t="s">
        <v>13782</v>
      </c>
      <c r="G6474" s="161" t="s">
        <v>221</v>
      </c>
      <c r="H6474" s="80" t="s">
        <v>9055</v>
      </c>
      <c r="I6474" s="17">
        <f ca="1">IFERROR(__xludf.DUMMYFUNCTION("""COMPUTED_VALUE"""),45739)</f>
        <v>45739</v>
      </c>
      <c r="J6474" s="143" t="s">
        <v>15680</v>
      </c>
      <c r="K6474" s="145" t="s">
        <v>15681</v>
      </c>
      <c r="L6474" s="30">
        <v>334055801</v>
      </c>
      <c r="M6474" s="80" t="s">
        <v>45</v>
      </c>
      <c r="N6474" s="80" t="s">
        <v>8420</v>
      </c>
      <c r="O6474" s="80" t="s">
        <v>15682</v>
      </c>
      <c r="P6474" s="144" t="s">
        <v>20488</v>
      </c>
      <c r="Q6474" s="20">
        <v>15936</v>
      </c>
      <c r="R6474" s="80" t="s">
        <v>70</v>
      </c>
      <c r="S6474" s="95">
        <v>1000</v>
      </c>
      <c r="T6474" s="148">
        <v>45561</v>
      </c>
      <c r="U6474" s="95">
        <v>14836</v>
      </c>
      <c r="V6474" s="148">
        <v>45576</v>
      </c>
      <c r="W6474" s="80" t="s">
        <v>15684</v>
      </c>
      <c r="X6474" s="80"/>
      <c r="Y6474" s="22">
        <v>100</v>
      </c>
      <c r="Z6474" s="81" t="s">
        <v>50</v>
      </c>
      <c r="AA6474" s="86" t="s">
        <v>9905</v>
      </c>
      <c r="AB6474" s="80"/>
      <c r="AC6474" s="80" t="s">
        <v>53</v>
      </c>
      <c r="AD6474" s="80" t="s">
        <v>54</v>
      </c>
      <c r="AE6474" s="80" t="s">
        <v>13782</v>
      </c>
      <c r="AF6474" s="17">
        <v>45734</v>
      </c>
      <c r="AG6474" s="80"/>
      <c r="AH6474" s="80"/>
      <c r="AI6474" s="147"/>
      <c r="AJ6474" s="80"/>
      <c r="AK6474" s="80"/>
      <c r="AL6474" s="86"/>
      <c r="AM6474" s="86"/>
      <c r="AN6474" s="86"/>
      <c r="AO6474" s="86"/>
      <c r="AP6474" s="86"/>
    </row>
    <row r="6475" spans="1:42" x14ac:dyDescent="0.2">
      <c r="A6475" s="38">
        <v>45727</v>
      </c>
      <c r="B6475" s="28" t="s">
        <v>37</v>
      </c>
      <c r="C6475" s="41" t="s">
        <v>118</v>
      </c>
      <c r="D6475" s="80" t="s">
        <v>36</v>
      </c>
      <c r="E6475" s="80" t="s">
        <v>148</v>
      </c>
      <c r="F6475" s="80" t="s">
        <v>13782</v>
      </c>
      <c r="G6475" s="161" t="s">
        <v>108</v>
      </c>
      <c r="H6475" s="80" t="s">
        <v>14002</v>
      </c>
      <c r="I6475" s="17">
        <f ca="1">IFERROR(__xludf.DUMMYFUNCTION("""COMPUTED_VALUE"""),45735)</f>
        <v>45735</v>
      </c>
      <c r="J6475" s="143" t="s">
        <v>18177</v>
      </c>
      <c r="K6475" s="145" t="s">
        <v>20489</v>
      </c>
      <c r="L6475" s="30">
        <v>386788257</v>
      </c>
      <c r="M6475" s="80" t="s">
        <v>9422</v>
      </c>
      <c r="N6475" s="80" t="s">
        <v>327</v>
      </c>
      <c r="O6475" s="80" t="s">
        <v>8827</v>
      </c>
      <c r="P6475" s="80" t="s">
        <v>18179</v>
      </c>
      <c r="Q6475" s="20">
        <v>7349</v>
      </c>
      <c r="R6475" s="80" t="s">
        <v>36</v>
      </c>
      <c r="S6475" s="95">
        <v>7150</v>
      </c>
      <c r="T6475" s="148">
        <v>45622</v>
      </c>
      <c r="U6475" s="77"/>
      <c r="V6475" s="78"/>
      <c r="W6475" s="85" t="s">
        <v>18180</v>
      </c>
      <c r="X6475" s="80"/>
      <c r="Y6475" s="22">
        <v>199</v>
      </c>
      <c r="Z6475" s="81" t="s">
        <v>50</v>
      </c>
      <c r="AA6475" s="82" t="s">
        <v>14723</v>
      </c>
      <c r="AB6475" s="80"/>
      <c r="AC6475" s="80" t="s">
        <v>1828</v>
      </c>
      <c r="AD6475" s="80" t="s">
        <v>54</v>
      </c>
      <c r="AE6475" s="80" t="s">
        <v>13782</v>
      </c>
      <c r="AF6475" s="17" t="s">
        <v>1829</v>
      </c>
      <c r="AG6475" s="80" t="s">
        <v>1828</v>
      </c>
      <c r="AH6475" s="80"/>
      <c r="AI6475" s="147"/>
      <c r="AJ6475" s="80"/>
      <c r="AK6475" s="80"/>
      <c r="AL6475" s="86"/>
      <c r="AM6475" s="86"/>
      <c r="AN6475" s="86"/>
      <c r="AO6475" s="86"/>
      <c r="AP6475" s="86"/>
    </row>
    <row r="6476" spans="1:42" x14ac:dyDescent="0.2">
      <c r="A6476" s="38">
        <v>45727</v>
      </c>
      <c r="B6476" s="28" t="s">
        <v>37</v>
      </c>
      <c r="C6476" s="41" t="s">
        <v>118</v>
      </c>
      <c r="D6476" s="80" t="s">
        <v>36</v>
      </c>
      <c r="E6476" s="80" t="s">
        <v>139</v>
      </c>
      <c r="F6476" s="80" t="s">
        <v>13678</v>
      </c>
      <c r="G6476" s="161" t="s">
        <v>221</v>
      </c>
      <c r="H6476" s="80" t="s">
        <v>19622</v>
      </c>
      <c r="I6476" s="17">
        <f ca="1">IFERROR(__xludf.DUMMYFUNCTION("""COMPUTED_VALUE"""),45741)</f>
        <v>45741</v>
      </c>
      <c r="J6476" s="143" t="s">
        <v>12243</v>
      </c>
      <c r="K6476" s="145" t="s">
        <v>20490</v>
      </c>
      <c r="L6476" s="30">
        <v>941448518</v>
      </c>
      <c r="M6476" s="80" t="s">
        <v>123</v>
      </c>
      <c r="N6476" s="80" t="s">
        <v>327</v>
      </c>
      <c r="O6476" s="80" t="s">
        <v>4503</v>
      </c>
      <c r="P6476" s="144" t="s">
        <v>20491</v>
      </c>
      <c r="Q6476" s="20">
        <v>15936</v>
      </c>
      <c r="R6476" s="80" t="s">
        <v>36</v>
      </c>
      <c r="S6476" s="95">
        <v>2000</v>
      </c>
      <c r="T6476" s="148">
        <v>45516</v>
      </c>
      <c r="U6476" s="95">
        <v>13936</v>
      </c>
      <c r="V6476" s="148">
        <v>45551</v>
      </c>
      <c r="W6476" s="85" t="s">
        <v>12246</v>
      </c>
      <c r="X6476" s="80"/>
      <c r="Y6476" s="22">
        <v>0</v>
      </c>
      <c r="Z6476" s="81" t="s">
        <v>50</v>
      </c>
      <c r="AA6476" s="86"/>
      <c r="AB6476" s="80"/>
      <c r="AC6476" s="80" t="s">
        <v>53</v>
      </c>
      <c r="AD6476" s="80" t="s">
        <v>54</v>
      </c>
      <c r="AE6476" s="80" t="s">
        <v>13678</v>
      </c>
      <c r="AF6476" s="17">
        <v>45736</v>
      </c>
      <c r="AG6476" s="80"/>
      <c r="AH6476" s="80"/>
      <c r="AI6476" s="147" t="s">
        <v>147</v>
      </c>
      <c r="AJ6476" s="80"/>
      <c r="AK6476" s="80"/>
      <c r="AL6476" s="86"/>
      <c r="AM6476" s="86"/>
      <c r="AN6476" s="86"/>
      <c r="AO6476" s="86"/>
      <c r="AP6476" s="86"/>
    </row>
    <row r="6477" spans="1:42" x14ac:dyDescent="0.2">
      <c r="A6477" s="38">
        <v>45727</v>
      </c>
      <c r="B6477" s="28" t="s">
        <v>37</v>
      </c>
      <c r="C6477" s="41" t="s">
        <v>118</v>
      </c>
      <c r="D6477" s="80" t="s">
        <v>36</v>
      </c>
      <c r="E6477" s="80" t="s">
        <v>139</v>
      </c>
      <c r="F6477" s="80" t="s">
        <v>13678</v>
      </c>
      <c r="G6477" s="161" t="s">
        <v>221</v>
      </c>
      <c r="H6477" s="80" t="s">
        <v>19622</v>
      </c>
      <c r="I6477" s="17">
        <f ca="1">IFERROR(__xludf.DUMMYFUNCTION("""COMPUTED_VALUE"""),45741)</f>
        <v>45741</v>
      </c>
      <c r="J6477" s="143" t="s">
        <v>14713</v>
      </c>
      <c r="K6477" s="145" t="s">
        <v>14714</v>
      </c>
      <c r="L6477" s="30">
        <v>375131459</v>
      </c>
      <c r="M6477" s="80" t="s">
        <v>5429</v>
      </c>
      <c r="N6477" s="80" t="s">
        <v>1384</v>
      </c>
      <c r="O6477" s="80" t="s">
        <v>14715</v>
      </c>
      <c r="P6477" s="144" t="s">
        <v>14716</v>
      </c>
      <c r="Q6477" s="20">
        <v>15936</v>
      </c>
      <c r="R6477" s="80" t="s">
        <v>36</v>
      </c>
      <c r="S6477" s="95">
        <f>200+1800</f>
        <v>2000</v>
      </c>
      <c r="T6477" s="148">
        <v>45557</v>
      </c>
      <c r="U6477" s="95">
        <v>13936</v>
      </c>
      <c r="V6477" s="148">
        <v>45578</v>
      </c>
      <c r="W6477" s="85" t="s">
        <v>14717</v>
      </c>
      <c r="X6477" s="80"/>
      <c r="Y6477" s="22">
        <v>0</v>
      </c>
      <c r="Z6477" s="81" t="s">
        <v>50</v>
      </c>
      <c r="AA6477" s="82"/>
      <c r="AB6477" s="80"/>
      <c r="AC6477" s="80" t="s">
        <v>53</v>
      </c>
      <c r="AD6477" s="80" t="s">
        <v>54</v>
      </c>
      <c r="AE6477" s="80" t="s">
        <v>13678</v>
      </c>
      <c r="AF6477" s="17">
        <v>45736</v>
      </c>
      <c r="AG6477" s="80"/>
      <c r="AH6477" s="80"/>
      <c r="AI6477" s="147"/>
      <c r="AJ6477" s="80"/>
      <c r="AK6477" s="80"/>
      <c r="AL6477" s="86"/>
      <c r="AM6477" s="86"/>
      <c r="AN6477" s="86"/>
      <c r="AO6477" s="86"/>
      <c r="AP6477" s="86"/>
    </row>
    <row r="6478" spans="1:42" x14ac:dyDescent="0.2">
      <c r="A6478" s="38">
        <v>45727</v>
      </c>
      <c r="B6478" s="28" t="s">
        <v>37</v>
      </c>
      <c r="C6478" s="41" t="s">
        <v>118</v>
      </c>
      <c r="D6478" s="80" t="s">
        <v>36</v>
      </c>
      <c r="E6478" s="80" t="s">
        <v>56</v>
      </c>
      <c r="F6478" s="80" t="s">
        <v>13678</v>
      </c>
      <c r="G6478" s="161" t="s">
        <v>221</v>
      </c>
      <c r="H6478" s="80" t="s">
        <v>19387</v>
      </c>
      <c r="I6478" s="17">
        <f ca="1">IFERROR(__xludf.DUMMYFUNCTION("""COMPUTED_VALUE"""),45800)</f>
        <v>45800</v>
      </c>
      <c r="J6478" s="143" t="s">
        <v>14718</v>
      </c>
      <c r="K6478" s="145" t="s">
        <v>14719</v>
      </c>
      <c r="L6478" s="30">
        <v>338400898</v>
      </c>
      <c r="M6478" s="80" t="s">
        <v>5558</v>
      </c>
      <c r="N6478" s="80" t="s">
        <v>5559</v>
      </c>
      <c r="O6478" s="80" t="s">
        <v>4503</v>
      </c>
      <c r="P6478" s="144" t="s">
        <v>14720</v>
      </c>
      <c r="Q6478" s="20">
        <v>15936</v>
      </c>
      <c r="R6478" s="80" t="s">
        <v>36</v>
      </c>
      <c r="S6478" s="95">
        <f>200+9000+117</f>
        <v>9317</v>
      </c>
      <c r="T6478" s="83" t="s">
        <v>14721</v>
      </c>
      <c r="U6478" s="77"/>
      <c r="V6478" s="78"/>
      <c r="W6478" s="85" t="s">
        <v>14722</v>
      </c>
      <c r="X6478" s="80"/>
      <c r="Y6478" s="22">
        <v>0</v>
      </c>
      <c r="Z6478" s="80" t="s">
        <v>50</v>
      </c>
      <c r="AA6478" s="86" t="s">
        <v>14723</v>
      </c>
      <c r="AB6478" s="80"/>
      <c r="AC6478" s="80" t="s">
        <v>53</v>
      </c>
      <c r="AD6478" s="80" t="s">
        <v>54</v>
      </c>
      <c r="AE6478" s="80" t="s">
        <v>13678</v>
      </c>
      <c r="AF6478" s="17">
        <v>45785</v>
      </c>
      <c r="AG6478" s="80"/>
      <c r="AH6478" s="80"/>
      <c r="AI6478" s="147"/>
      <c r="AJ6478" s="80"/>
      <c r="AK6478" s="80"/>
      <c r="AL6478" s="86"/>
      <c r="AM6478" s="86"/>
      <c r="AN6478" s="86"/>
      <c r="AO6478" s="86"/>
      <c r="AP6478" s="86"/>
    </row>
    <row r="6479" spans="1:42" x14ac:dyDescent="0.2">
      <c r="A6479" s="38">
        <v>45727</v>
      </c>
      <c r="B6479" s="28" t="s">
        <v>37</v>
      </c>
      <c r="C6479" s="41" t="s">
        <v>118</v>
      </c>
      <c r="D6479" s="80" t="s">
        <v>36</v>
      </c>
      <c r="E6479" s="80" t="s">
        <v>139</v>
      </c>
      <c r="F6479" s="80" t="s">
        <v>13678</v>
      </c>
      <c r="G6479" s="161" t="s">
        <v>221</v>
      </c>
      <c r="H6479" s="80" t="s">
        <v>20492</v>
      </c>
      <c r="I6479" s="17">
        <f ca="1">IFERROR(__xludf.DUMMYFUNCTION("""COMPUTED_VALUE"""),45743)</f>
        <v>45743</v>
      </c>
      <c r="J6479" s="143" t="s">
        <v>14728</v>
      </c>
      <c r="K6479" s="145" t="s">
        <v>20493</v>
      </c>
      <c r="L6479" s="30">
        <v>356773802</v>
      </c>
      <c r="M6479" s="80" t="s">
        <v>3498</v>
      </c>
      <c r="N6479" s="80" t="s">
        <v>4402</v>
      </c>
      <c r="O6479" s="80" t="s">
        <v>4503</v>
      </c>
      <c r="P6479" s="144" t="s">
        <v>20494</v>
      </c>
      <c r="Q6479" s="20">
        <v>15936</v>
      </c>
      <c r="R6479" s="80" t="s">
        <v>70</v>
      </c>
      <c r="S6479" s="95">
        <v>3000</v>
      </c>
      <c r="T6479" s="148">
        <v>45552</v>
      </c>
      <c r="U6479" s="95">
        <v>12836</v>
      </c>
      <c r="V6479" s="148">
        <v>45580</v>
      </c>
      <c r="W6479" s="85" t="s">
        <v>14731</v>
      </c>
      <c r="X6479" s="80"/>
      <c r="Y6479" s="22">
        <v>100</v>
      </c>
      <c r="Z6479" s="81" t="s">
        <v>50</v>
      </c>
      <c r="AA6479" s="82"/>
      <c r="AB6479" s="80"/>
      <c r="AC6479" s="80" t="s">
        <v>53</v>
      </c>
      <c r="AD6479" s="80" t="s">
        <v>138</v>
      </c>
      <c r="AE6479" s="80" t="s">
        <v>13678</v>
      </c>
      <c r="AF6479" s="17">
        <v>45741</v>
      </c>
      <c r="AG6479" s="80"/>
      <c r="AH6479" s="80"/>
      <c r="AI6479" s="147"/>
      <c r="AJ6479" s="80"/>
      <c r="AK6479" s="80"/>
      <c r="AL6479" s="86"/>
      <c r="AM6479" s="86"/>
      <c r="AN6479" s="86"/>
      <c r="AO6479" s="86"/>
      <c r="AP6479" s="86"/>
    </row>
    <row r="6480" spans="1:42" x14ac:dyDescent="0.2">
      <c r="A6480" s="38">
        <v>45728</v>
      </c>
      <c r="B6480" s="137" t="s">
        <v>37</v>
      </c>
      <c r="C6480" s="41" t="s">
        <v>118</v>
      </c>
      <c r="D6480" s="80" t="s">
        <v>36</v>
      </c>
      <c r="E6480" s="80" t="s">
        <v>139</v>
      </c>
      <c r="F6480" s="80" t="s">
        <v>14495</v>
      </c>
      <c r="G6480" s="161" t="s">
        <v>108</v>
      </c>
      <c r="H6480" s="80" t="s">
        <v>16632</v>
      </c>
      <c r="I6480" s="17">
        <f ca="1">IFERROR(__xludf.DUMMYFUNCTION("""COMPUTED_VALUE"""),45741)</f>
        <v>45741</v>
      </c>
      <c r="J6480" s="143" t="s">
        <v>16240</v>
      </c>
      <c r="K6480" s="80" t="s">
        <v>20495</v>
      </c>
      <c r="L6480" s="30">
        <v>397254032</v>
      </c>
      <c r="M6480" s="80" t="s">
        <v>3498</v>
      </c>
      <c r="N6480" s="80" t="s">
        <v>2756</v>
      </c>
      <c r="O6480" s="80" t="s">
        <v>4503</v>
      </c>
      <c r="P6480" s="80" t="s">
        <v>6390</v>
      </c>
      <c r="Q6480" s="20">
        <v>15936</v>
      </c>
      <c r="R6480" s="80" t="s">
        <v>36</v>
      </c>
      <c r="S6480" s="95">
        <v>3000</v>
      </c>
      <c r="T6480" s="148">
        <v>45575</v>
      </c>
      <c r="U6480" s="95">
        <v>12936</v>
      </c>
      <c r="V6480" s="169">
        <v>45593</v>
      </c>
      <c r="W6480" s="85" t="s">
        <v>16242</v>
      </c>
      <c r="X6480" s="80"/>
      <c r="Y6480" s="22">
        <v>0</v>
      </c>
      <c r="Z6480" s="81" t="s">
        <v>50</v>
      </c>
      <c r="AA6480" s="86" t="s">
        <v>9905</v>
      </c>
      <c r="AB6480" s="80"/>
      <c r="AC6480" s="80" t="s">
        <v>53</v>
      </c>
      <c r="AD6480" s="80" t="s">
        <v>138</v>
      </c>
      <c r="AE6480" s="80" t="s">
        <v>14495</v>
      </c>
      <c r="AF6480" s="17">
        <v>45630</v>
      </c>
      <c r="AG6480" s="26" t="s">
        <v>8366</v>
      </c>
      <c r="AH6480" s="80"/>
      <c r="AI6480" s="147"/>
      <c r="AJ6480" s="80"/>
      <c r="AK6480" s="80"/>
      <c r="AL6480" s="86"/>
      <c r="AM6480" s="86"/>
      <c r="AN6480" s="86"/>
      <c r="AO6480" s="86"/>
      <c r="AP6480" s="86"/>
    </row>
    <row r="6481" spans="1:42" x14ac:dyDescent="0.2">
      <c r="A6481" s="38">
        <v>45728</v>
      </c>
      <c r="B6481" s="28" t="s">
        <v>37</v>
      </c>
      <c r="C6481" s="41" t="s">
        <v>118</v>
      </c>
      <c r="D6481" s="80" t="s">
        <v>36</v>
      </c>
      <c r="E6481" s="80" t="s">
        <v>39</v>
      </c>
      <c r="F6481" s="80" t="s">
        <v>19779</v>
      </c>
      <c r="G6481" s="80" t="s">
        <v>41</v>
      </c>
      <c r="H6481" s="80" t="s">
        <v>20496</v>
      </c>
      <c r="I6481" s="17">
        <f ca="1">IFERROR(__xludf.DUMMYFUNCTION("""COMPUTED_VALUE"""),45735)</f>
        <v>45735</v>
      </c>
      <c r="J6481" s="143" t="s">
        <v>19780</v>
      </c>
      <c r="K6481" s="80" t="s">
        <v>19781</v>
      </c>
      <c r="L6481" s="30">
        <v>379327012</v>
      </c>
      <c r="M6481" s="80" t="s">
        <v>9422</v>
      </c>
      <c r="N6481" s="80" t="s">
        <v>327</v>
      </c>
      <c r="O6481" s="80" t="s">
        <v>91</v>
      </c>
      <c r="P6481" s="80" t="s">
        <v>19782</v>
      </c>
      <c r="Q6481" s="20">
        <v>7349</v>
      </c>
      <c r="R6481" s="80" t="s">
        <v>36</v>
      </c>
      <c r="S6481" s="95">
        <v>7349</v>
      </c>
      <c r="T6481" s="148" t="s">
        <v>19783</v>
      </c>
      <c r="U6481" s="77"/>
      <c r="V6481" s="78"/>
      <c r="W6481" s="85" t="s">
        <v>19784</v>
      </c>
      <c r="X6481" s="80"/>
      <c r="Y6481" s="22">
        <v>0</v>
      </c>
      <c r="Z6481" s="80" t="s">
        <v>50</v>
      </c>
      <c r="AA6481" s="82" t="s">
        <v>18583</v>
      </c>
      <c r="AB6481" s="86"/>
      <c r="AC6481" s="80" t="s">
        <v>53</v>
      </c>
      <c r="AD6481" s="80" t="s">
        <v>54</v>
      </c>
      <c r="AE6481" s="80" t="s">
        <v>19779</v>
      </c>
      <c r="AF6481" s="17">
        <v>45729</v>
      </c>
      <c r="AG6481" s="80" t="s">
        <v>7078</v>
      </c>
      <c r="AH6481" s="80"/>
      <c r="AI6481" s="147"/>
      <c r="AJ6481" s="80"/>
      <c r="AK6481" s="80"/>
      <c r="AL6481" s="35"/>
      <c r="AM6481" s="35"/>
      <c r="AN6481" s="35"/>
      <c r="AO6481" s="35"/>
      <c r="AP6481" s="35"/>
    </row>
    <row r="6482" spans="1:42" x14ac:dyDescent="0.2">
      <c r="A6482" s="38">
        <v>45728</v>
      </c>
      <c r="B6482" s="28" t="s">
        <v>37</v>
      </c>
      <c r="C6482" s="41" t="s">
        <v>118</v>
      </c>
      <c r="D6482" s="80" t="s">
        <v>36</v>
      </c>
      <c r="E6482" s="80" t="s">
        <v>56</v>
      </c>
      <c r="F6482" s="26" t="s">
        <v>16651</v>
      </c>
      <c r="G6482" s="26" t="s">
        <v>221</v>
      </c>
      <c r="H6482" s="26" t="s">
        <v>19573</v>
      </c>
      <c r="I6482" s="17">
        <f ca="1">IFERROR(__xludf.DUMMYFUNCTION("""COMPUTED_VALUE"""),45736)</f>
        <v>45736</v>
      </c>
      <c r="J6482" s="143" t="s">
        <v>11625</v>
      </c>
      <c r="K6482" s="80" t="s">
        <v>15498</v>
      </c>
      <c r="L6482" s="30">
        <v>917615842</v>
      </c>
      <c r="M6482" s="80" t="s">
        <v>59</v>
      </c>
      <c r="N6482" s="80" t="s">
        <v>4299</v>
      </c>
      <c r="O6482" s="80" t="s">
        <v>11627</v>
      </c>
      <c r="P6482" s="80" t="s">
        <v>11628</v>
      </c>
      <c r="Q6482" s="20">
        <v>9317</v>
      </c>
      <c r="R6482" s="80" t="s">
        <v>36</v>
      </c>
      <c r="S6482" s="95">
        <v>9317</v>
      </c>
      <c r="T6482" s="148">
        <v>45528</v>
      </c>
      <c r="U6482" s="95"/>
      <c r="V6482" s="148"/>
      <c r="W6482" s="80" t="s">
        <v>11629</v>
      </c>
      <c r="X6482" s="26">
        <v>0</v>
      </c>
      <c r="Y6482" s="22">
        <v>0</v>
      </c>
      <c r="Z6482" s="26" t="s">
        <v>50</v>
      </c>
      <c r="AA6482" s="35" t="s">
        <v>10314</v>
      </c>
      <c r="AB6482" s="26"/>
      <c r="AC6482" s="80" t="s">
        <v>53</v>
      </c>
      <c r="AD6482" s="80" t="s">
        <v>54</v>
      </c>
      <c r="AE6482" s="26" t="s">
        <v>16651</v>
      </c>
      <c r="AF6482" s="17">
        <v>45728</v>
      </c>
      <c r="AG6482" s="26"/>
      <c r="AH6482" s="26"/>
      <c r="AI6482" s="40"/>
      <c r="AJ6482" s="26"/>
      <c r="AK6482" s="26"/>
      <c r="AL6482" s="35"/>
      <c r="AM6482" s="35"/>
      <c r="AN6482" s="35"/>
      <c r="AO6482" s="35"/>
      <c r="AP6482" s="35"/>
    </row>
    <row r="6483" spans="1:42" x14ac:dyDescent="0.2">
      <c r="A6483" s="38">
        <v>45728</v>
      </c>
      <c r="B6483" s="28" t="s">
        <v>37</v>
      </c>
      <c r="C6483" s="41" t="s">
        <v>118</v>
      </c>
      <c r="D6483" s="80" t="s">
        <v>36</v>
      </c>
      <c r="E6483" s="80" t="s">
        <v>139</v>
      </c>
      <c r="F6483" s="80" t="s">
        <v>14210</v>
      </c>
      <c r="G6483" s="80" t="s">
        <v>221</v>
      </c>
      <c r="H6483" s="80" t="s">
        <v>20097</v>
      </c>
      <c r="I6483" s="17">
        <f ca="1">IFERROR(__xludf.DUMMYFUNCTION("""COMPUTED_VALUE"""),45735)</f>
        <v>45735</v>
      </c>
      <c r="J6483" s="143" t="s">
        <v>15466</v>
      </c>
      <c r="K6483" s="80" t="s">
        <v>16680</v>
      </c>
      <c r="L6483" s="30">
        <v>378088859</v>
      </c>
      <c r="M6483" s="80" t="s">
        <v>12720</v>
      </c>
      <c r="N6483" s="80" t="s">
        <v>1073</v>
      </c>
      <c r="O6483" s="80" t="s">
        <v>15468</v>
      </c>
      <c r="P6483" s="144" t="s">
        <v>16681</v>
      </c>
      <c r="Q6483" s="20">
        <v>15936</v>
      </c>
      <c r="R6483" s="80" t="s">
        <v>36</v>
      </c>
      <c r="S6483" s="95">
        <f>200+1800</f>
        <v>2000</v>
      </c>
      <c r="T6483" s="83" t="s">
        <v>14571</v>
      </c>
      <c r="U6483" s="95">
        <v>13936</v>
      </c>
      <c r="V6483" s="148">
        <v>45593</v>
      </c>
      <c r="W6483" s="85" t="s">
        <v>15469</v>
      </c>
      <c r="X6483" s="80"/>
      <c r="Y6483" s="22">
        <v>0</v>
      </c>
      <c r="Z6483" s="80" t="s">
        <v>50</v>
      </c>
      <c r="AA6483" s="96" t="s">
        <v>9905</v>
      </c>
      <c r="AB6483" s="80"/>
      <c r="AC6483" s="80" t="s">
        <v>53</v>
      </c>
      <c r="AD6483" s="80" t="s">
        <v>138</v>
      </c>
      <c r="AE6483" s="80" t="s">
        <v>14210</v>
      </c>
      <c r="AF6483" s="17">
        <v>45729</v>
      </c>
      <c r="AG6483" s="80"/>
      <c r="AH6483" s="80"/>
      <c r="AI6483" s="147"/>
      <c r="AJ6483" s="80"/>
      <c r="AK6483" s="80"/>
      <c r="AL6483" s="35"/>
      <c r="AM6483" s="35"/>
      <c r="AN6483" s="35"/>
      <c r="AO6483" s="35"/>
      <c r="AP6483" s="35"/>
    </row>
    <row r="6484" spans="1:42" x14ac:dyDescent="0.2">
      <c r="A6484" s="38">
        <v>45729</v>
      </c>
      <c r="B6484" s="28" t="s">
        <v>37</v>
      </c>
      <c r="C6484" s="41" t="s">
        <v>118</v>
      </c>
      <c r="D6484" s="26" t="s">
        <v>36</v>
      </c>
      <c r="E6484" s="26" t="s">
        <v>119</v>
      </c>
      <c r="F6484" s="26" t="s">
        <v>9021</v>
      </c>
      <c r="G6484" s="26" t="s">
        <v>1705</v>
      </c>
      <c r="H6484" s="26" t="s">
        <v>20497</v>
      </c>
      <c r="I6484" s="17">
        <f ca="1">IFERROR(__xludf.DUMMYFUNCTION("""COMPUTED_VALUE"""),45569)</f>
        <v>45569</v>
      </c>
      <c r="J6484" s="29" t="s">
        <v>5321</v>
      </c>
      <c r="K6484" s="26" t="s">
        <v>20498</v>
      </c>
      <c r="L6484" s="30">
        <v>904234619</v>
      </c>
      <c r="M6484" s="26" t="s">
        <v>80</v>
      </c>
      <c r="N6484" s="26" t="s">
        <v>1073</v>
      </c>
      <c r="O6484" s="26" t="s">
        <v>5323</v>
      </c>
      <c r="P6484" s="42" t="s">
        <v>5324</v>
      </c>
      <c r="Q6484" s="20">
        <v>13968</v>
      </c>
      <c r="R6484" s="26" t="s">
        <v>36</v>
      </c>
      <c r="S6484" s="31">
        <v>4000</v>
      </c>
      <c r="T6484" s="32">
        <v>45212</v>
      </c>
      <c r="U6484" s="31">
        <v>9968</v>
      </c>
      <c r="V6484" s="32">
        <v>45240</v>
      </c>
      <c r="W6484" s="26" t="s">
        <v>5325</v>
      </c>
      <c r="X6484" s="26"/>
      <c r="Y6484" s="22">
        <v>0</v>
      </c>
      <c r="Z6484" s="26" t="s">
        <v>118</v>
      </c>
      <c r="AA6484" s="19" t="s">
        <v>5112</v>
      </c>
      <c r="AB6484" s="80" t="s">
        <v>36</v>
      </c>
      <c r="AC6484" s="26" t="s">
        <v>53</v>
      </c>
      <c r="AD6484" s="19" t="s">
        <v>138</v>
      </c>
      <c r="AE6484" s="26" t="s">
        <v>9021</v>
      </c>
      <c r="AF6484" s="17">
        <v>45741</v>
      </c>
      <c r="AG6484" s="26"/>
      <c r="AH6484" s="26"/>
      <c r="AI6484" s="40">
        <v>4</v>
      </c>
      <c r="AJ6484" s="26"/>
      <c r="AK6484" s="26"/>
      <c r="AL6484" s="35"/>
      <c r="AM6484" s="35"/>
      <c r="AN6484" s="35"/>
      <c r="AO6484" s="35"/>
      <c r="AP6484" s="35"/>
    </row>
    <row r="6485" spans="1:42" x14ac:dyDescent="0.2">
      <c r="A6485" s="38">
        <v>45729</v>
      </c>
      <c r="B6485" s="28" t="s">
        <v>37</v>
      </c>
      <c r="C6485" s="41" t="s">
        <v>118</v>
      </c>
      <c r="D6485" s="80" t="s">
        <v>36</v>
      </c>
      <c r="E6485" s="80" t="s">
        <v>119</v>
      </c>
      <c r="F6485" s="80" t="s">
        <v>8063</v>
      </c>
      <c r="G6485" s="26" t="s">
        <v>1705</v>
      </c>
      <c r="H6485" s="26" t="s">
        <v>20185</v>
      </c>
      <c r="I6485" s="17">
        <f ca="1">IFERROR(__xludf.DUMMYFUNCTION("""COMPUTED_VALUE"""),45735)</f>
        <v>45735</v>
      </c>
      <c r="J6485" s="143" t="s">
        <v>5353</v>
      </c>
      <c r="K6485" s="80" t="s">
        <v>16125</v>
      </c>
      <c r="L6485" s="30">
        <v>867951661</v>
      </c>
      <c r="M6485" s="80" t="s">
        <v>80</v>
      </c>
      <c r="N6485" s="80" t="s">
        <v>81</v>
      </c>
      <c r="O6485" s="80" t="s">
        <v>1388</v>
      </c>
      <c r="P6485" s="144" t="s">
        <v>8028</v>
      </c>
      <c r="Q6485" s="20">
        <v>13968</v>
      </c>
      <c r="R6485" s="80" t="s">
        <v>36</v>
      </c>
      <c r="S6485" s="77">
        <v>3968</v>
      </c>
      <c r="T6485" s="78">
        <v>45213</v>
      </c>
      <c r="U6485" s="77">
        <f>4000+4000+2000</f>
        <v>10000</v>
      </c>
      <c r="V6485" s="78" t="s">
        <v>5355</v>
      </c>
      <c r="W6485" s="85" t="s">
        <v>5356</v>
      </c>
      <c r="X6485" s="80"/>
      <c r="Y6485" s="22">
        <v>0</v>
      </c>
      <c r="Z6485" s="41" t="s">
        <v>118</v>
      </c>
      <c r="AA6485" s="82" t="s">
        <v>5112</v>
      </c>
      <c r="AB6485" s="80" t="s">
        <v>36</v>
      </c>
      <c r="AC6485" s="80" t="s">
        <v>53</v>
      </c>
      <c r="AD6485" s="86" t="s">
        <v>138</v>
      </c>
      <c r="AE6485" s="80" t="s">
        <v>8063</v>
      </c>
      <c r="AF6485" s="17">
        <v>45735</v>
      </c>
      <c r="AG6485" s="80"/>
      <c r="AH6485" s="80"/>
      <c r="AI6485" s="147">
        <v>4</v>
      </c>
      <c r="AJ6485" s="80"/>
      <c r="AK6485" s="80"/>
      <c r="AL6485" s="86"/>
      <c r="AM6485" s="86"/>
      <c r="AN6485" s="86"/>
      <c r="AO6485" s="86"/>
      <c r="AP6485" s="86"/>
    </row>
    <row r="6486" spans="1:42" x14ac:dyDescent="0.2">
      <c r="A6486" s="38">
        <v>45729</v>
      </c>
      <c r="B6486" s="28" t="s">
        <v>37</v>
      </c>
      <c r="C6486" s="41" t="s">
        <v>118</v>
      </c>
      <c r="D6486" s="80" t="s">
        <v>36</v>
      </c>
      <c r="E6486" s="80" t="s">
        <v>119</v>
      </c>
      <c r="F6486" s="26" t="s">
        <v>8917</v>
      </c>
      <c r="G6486" s="26" t="s">
        <v>1705</v>
      </c>
      <c r="H6486" s="26" t="s">
        <v>20357</v>
      </c>
      <c r="I6486" s="17">
        <f ca="1">IFERROR(__xludf.DUMMYFUNCTION("""COMPUTED_VALUE"""),45567)</f>
        <v>45567</v>
      </c>
      <c r="J6486" s="143" t="s">
        <v>5580</v>
      </c>
      <c r="K6486" s="80" t="s">
        <v>7368</v>
      </c>
      <c r="L6486" s="30">
        <v>915300201</v>
      </c>
      <c r="M6486" s="80" t="s">
        <v>5518</v>
      </c>
      <c r="N6486" s="80" t="s">
        <v>5582</v>
      </c>
      <c r="O6486" s="80" t="s">
        <v>5583</v>
      </c>
      <c r="P6486" s="144" t="s">
        <v>20499</v>
      </c>
      <c r="Q6486" s="20">
        <v>13968</v>
      </c>
      <c r="R6486" s="80" t="s">
        <v>36</v>
      </c>
      <c r="S6486" s="77">
        <v>4000</v>
      </c>
      <c r="T6486" s="78">
        <v>45238</v>
      </c>
      <c r="U6486" s="77">
        <v>9968</v>
      </c>
      <c r="V6486" s="78">
        <v>45260</v>
      </c>
      <c r="W6486" s="85" t="s">
        <v>5585</v>
      </c>
      <c r="X6486" s="80"/>
      <c r="Y6486" s="22">
        <v>0</v>
      </c>
      <c r="Z6486" s="41" t="s">
        <v>118</v>
      </c>
      <c r="AA6486" s="145" t="s">
        <v>5112</v>
      </c>
      <c r="AB6486" s="26" t="s">
        <v>36</v>
      </c>
      <c r="AC6486" s="80" t="s">
        <v>53</v>
      </c>
      <c r="AD6486" s="157" t="s">
        <v>54</v>
      </c>
      <c r="AE6486" s="80" t="s">
        <v>7367</v>
      </c>
      <c r="AF6486" s="17">
        <v>45733</v>
      </c>
      <c r="AG6486" s="147"/>
      <c r="AH6486" s="80"/>
      <c r="AI6486" s="147">
        <v>4</v>
      </c>
      <c r="AJ6486" s="80"/>
      <c r="AK6486" s="80"/>
      <c r="AL6486" s="86"/>
      <c r="AM6486" s="86"/>
      <c r="AN6486" s="86"/>
      <c r="AO6486" s="86"/>
      <c r="AP6486" s="86"/>
    </row>
    <row r="6487" spans="1:42" x14ac:dyDescent="0.2">
      <c r="A6487" s="74">
        <v>45609</v>
      </c>
      <c r="B6487" s="28" t="s">
        <v>37</v>
      </c>
      <c r="C6487" s="41" t="s">
        <v>118</v>
      </c>
      <c r="D6487" s="80" t="s">
        <v>36</v>
      </c>
      <c r="E6487" s="26" t="s">
        <v>39</v>
      </c>
      <c r="F6487" s="26" t="s">
        <v>20500</v>
      </c>
      <c r="G6487" s="26" t="s">
        <v>41</v>
      </c>
      <c r="H6487" s="182" t="s">
        <v>6523</v>
      </c>
      <c r="I6487" s="17">
        <f ca="1">IFERROR(__xludf.DUMMYFUNCTION("""COMPUTED_VALUE"""),45622)</f>
        <v>45622</v>
      </c>
      <c r="J6487" s="29" t="s">
        <v>20501</v>
      </c>
      <c r="K6487" s="26" t="s">
        <v>20502</v>
      </c>
      <c r="L6487" s="30">
        <v>375163855</v>
      </c>
      <c r="M6487" s="26" t="s">
        <v>3288</v>
      </c>
      <c r="N6487" s="26" t="s">
        <v>5022</v>
      </c>
      <c r="O6487" s="26"/>
      <c r="P6487" s="42" t="s">
        <v>20503</v>
      </c>
      <c r="Q6487" s="20">
        <v>5736</v>
      </c>
      <c r="R6487" s="80" t="s">
        <v>36</v>
      </c>
      <c r="S6487" s="77">
        <v>3768</v>
      </c>
      <c r="T6487" s="78">
        <v>45346</v>
      </c>
      <c r="U6487" s="77">
        <v>9315</v>
      </c>
      <c r="V6487" s="78">
        <v>45379</v>
      </c>
      <c r="W6487" s="85" t="s">
        <v>20504</v>
      </c>
      <c r="X6487" s="80"/>
      <c r="Y6487" s="22">
        <v>-7347</v>
      </c>
      <c r="Z6487" s="26" t="s">
        <v>118</v>
      </c>
      <c r="AA6487" s="96"/>
      <c r="AB6487" s="26"/>
      <c r="AC6487" s="80" t="s">
        <v>53</v>
      </c>
      <c r="AD6487" s="80" t="s">
        <v>54</v>
      </c>
      <c r="AE6487" s="26" t="s">
        <v>20500</v>
      </c>
      <c r="AF6487" s="43">
        <v>45621</v>
      </c>
      <c r="AG6487" s="26" t="s">
        <v>20505</v>
      </c>
      <c r="AH6487" s="26"/>
      <c r="AI6487" s="40"/>
      <c r="AJ6487" s="80"/>
      <c r="AK6487" s="80"/>
      <c r="AL6487" s="35"/>
      <c r="AM6487" s="35"/>
      <c r="AN6487" s="35"/>
      <c r="AO6487" s="35"/>
      <c r="AP6487" s="35"/>
    </row>
    <row r="6488" spans="1:42" x14ac:dyDescent="0.2">
      <c r="A6488" s="38">
        <v>45729</v>
      </c>
      <c r="B6488" s="28" t="s">
        <v>37</v>
      </c>
      <c r="C6488" s="41" t="s">
        <v>118</v>
      </c>
      <c r="D6488" s="80" t="s">
        <v>36</v>
      </c>
      <c r="E6488" s="26" t="s">
        <v>39</v>
      </c>
      <c r="F6488" s="182" t="s">
        <v>6523</v>
      </c>
      <c r="G6488" s="161" t="s">
        <v>108</v>
      </c>
      <c r="H6488" s="182" t="s">
        <v>16695</v>
      </c>
      <c r="I6488" s="17">
        <f ca="1">IFERROR(__xludf.DUMMYFUNCTION("""COMPUTED_VALUE"""),45782)</f>
        <v>45782</v>
      </c>
      <c r="J6488" s="29" t="s">
        <v>20501</v>
      </c>
      <c r="K6488" s="26" t="s">
        <v>20502</v>
      </c>
      <c r="L6488" s="30">
        <v>375163855</v>
      </c>
      <c r="M6488" s="26" t="s">
        <v>3288</v>
      </c>
      <c r="N6488" s="26" t="s">
        <v>5022</v>
      </c>
      <c r="O6488" s="26"/>
      <c r="P6488" s="42" t="s">
        <v>20503</v>
      </c>
      <c r="Q6488" s="20">
        <v>5736</v>
      </c>
      <c r="R6488" s="80" t="s">
        <v>36</v>
      </c>
      <c r="S6488" s="77">
        <v>3768</v>
      </c>
      <c r="T6488" s="78">
        <v>45346</v>
      </c>
      <c r="U6488" s="77">
        <v>9315</v>
      </c>
      <c r="V6488" s="78">
        <v>45379</v>
      </c>
      <c r="W6488" s="85" t="s">
        <v>20504</v>
      </c>
      <c r="X6488" s="80"/>
      <c r="Y6488" s="22">
        <v>-7347</v>
      </c>
      <c r="Z6488" s="26" t="s">
        <v>118</v>
      </c>
      <c r="AA6488" s="35"/>
      <c r="AB6488" s="35"/>
      <c r="AC6488" s="80" t="s">
        <v>53</v>
      </c>
      <c r="AD6488" s="80" t="s">
        <v>54</v>
      </c>
      <c r="AE6488" s="182" t="s">
        <v>6523</v>
      </c>
      <c r="AF6488" s="17">
        <v>45771</v>
      </c>
      <c r="AG6488" s="26" t="s">
        <v>20505</v>
      </c>
      <c r="AH6488" s="26"/>
      <c r="AI6488" s="40"/>
      <c r="AJ6488" s="80"/>
      <c r="AK6488" s="80"/>
      <c r="AL6488" s="35"/>
      <c r="AM6488" s="35"/>
      <c r="AN6488" s="35"/>
      <c r="AO6488" s="35"/>
      <c r="AP6488" s="35"/>
    </row>
    <row r="6489" spans="1:42" x14ac:dyDescent="0.2">
      <c r="A6489" s="126">
        <v>45627.867027569446</v>
      </c>
      <c r="B6489" s="137" t="s">
        <v>37</v>
      </c>
      <c r="C6489" s="41" t="s">
        <v>118</v>
      </c>
      <c r="D6489" s="80" t="s">
        <v>36</v>
      </c>
      <c r="E6489" s="80" t="s">
        <v>915</v>
      </c>
      <c r="F6489" s="80" t="s">
        <v>40</v>
      </c>
      <c r="G6489" s="80" t="s">
        <v>221</v>
      </c>
      <c r="H6489" s="80" t="s">
        <v>20506</v>
      </c>
      <c r="I6489" s="17">
        <f ca="1">IFERROR(__xludf.DUMMYFUNCTION("""COMPUTED_VALUE"""),45940)</f>
        <v>45940</v>
      </c>
      <c r="J6489" s="143" t="s">
        <v>20507</v>
      </c>
      <c r="K6489" s="145" t="s">
        <v>20508</v>
      </c>
      <c r="L6489" s="30">
        <v>375163855</v>
      </c>
      <c r="M6489" s="80" t="s">
        <v>3288</v>
      </c>
      <c r="N6489" s="80" t="s">
        <v>200</v>
      </c>
      <c r="O6489" s="80" t="s">
        <v>91</v>
      </c>
      <c r="P6489" s="211" t="s">
        <v>20509</v>
      </c>
      <c r="Q6489" s="20">
        <v>10894</v>
      </c>
      <c r="R6489" s="80" t="s">
        <v>36</v>
      </c>
      <c r="S6489" s="95">
        <v>10200</v>
      </c>
      <c r="T6489" s="148">
        <v>45626</v>
      </c>
      <c r="U6489" s="77"/>
      <c r="V6489" s="78"/>
      <c r="W6489" s="79" t="s">
        <v>20510</v>
      </c>
      <c r="X6489" s="80"/>
      <c r="Y6489" s="22">
        <v>694</v>
      </c>
      <c r="Z6489" s="80" t="s">
        <v>50</v>
      </c>
      <c r="AA6489" s="86" t="s">
        <v>14723</v>
      </c>
      <c r="AB6489" s="80"/>
      <c r="AC6489" s="80" t="s">
        <v>53</v>
      </c>
      <c r="AD6489" s="80" t="s">
        <v>54</v>
      </c>
      <c r="AE6489" s="80" t="s">
        <v>40</v>
      </c>
      <c r="AF6489" s="17">
        <v>45728</v>
      </c>
      <c r="AG6489" s="26" t="s">
        <v>20505</v>
      </c>
      <c r="AH6489" s="80"/>
      <c r="AI6489" s="147"/>
      <c r="AJ6489" s="80"/>
      <c r="AK6489" s="80"/>
      <c r="AL6489" s="35"/>
      <c r="AM6489" s="35"/>
      <c r="AN6489" s="35"/>
      <c r="AO6489" s="35"/>
      <c r="AP6489" s="35"/>
    </row>
    <row r="6490" spans="1:42" x14ac:dyDescent="0.2">
      <c r="A6490" s="38">
        <v>45729</v>
      </c>
      <c r="B6490" s="28" t="s">
        <v>37</v>
      </c>
      <c r="C6490" s="41" t="s">
        <v>118</v>
      </c>
      <c r="D6490" s="80" t="s">
        <v>36</v>
      </c>
      <c r="E6490" s="80" t="s">
        <v>56</v>
      </c>
      <c r="F6490" s="80" t="s">
        <v>9785</v>
      </c>
      <c r="G6490" s="26" t="s">
        <v>221</v>
      </c>
      <c r="H6490" s="80" t="s">
        <v>19435</v>
      </c>
      <c r="I6490" s="17">
        <f ca="1">IFERROR(__xludf.DUMMYFUNCTION("""COMPUTED_VALUE"""),45733)</f>
        <v>45733</v>
      </c>
      <c r="J6490" s="143" t="s">
        <v>12172</v>
      </c>
      <c r="K6490" s="80" t="s">
        <v>20511</v>
      </c>
      <c r="L6490" s="30">
        <v>818496418</v>
      </c>
      <c r="M6490" s="80" t="s">
        <v>5429</v>
      </c>
      <c r="N6490" s="80" t="s">
        <v>11095</v>
      </c>
      <c r="O6490" s="80" t="s">
        <v>12174</v>
      </c>
      <c r="P6490" s="144" t="s">
        <v>20512</v>
      </c>
      <c r="Q6490" s="20">
        <v>9317</v>
      </c>
      <c r="R6490" s="80" t="s">
        <v>36</v>
      </c>
      <c r="S6490" s="95">
        <f>2000+7317</f>
        <v>9317</v>
      </c>
      <c r="T6490" s="83" t="s">
        <v>12176</v>
      </c>
      <c r="U6490" s="77"/>
      <c r="V6490" s="78"/>
      <c r="W6490" s="85" t="s">
        <v>12177</v>
      </c>
      <c r="X6490" s="80">
        <v>0</v>
      </c>
      <c r="Y6490" s="22">
        <v>0</v>
      </c>
      <c r="Z6490" s="80" t="s">
        <v>50</v>
      </c>
      <c r="AA6490" s="86"/>
      <c r="AB6490" s="80"/>
      <c r="AC6490" s="80" t="s">
        <v>53</v>
      </c>
      <c r="AD6490" s="80" t="s">
        <v>138</v>
      </c>
      <c r="AE6490" s="80" t="s">
        <v>9785</v>
      </c>
      <c r="AF6490" s="17">
        <v>45730</v>
      </c>
      <c r="AG6490" s="39" t="s">
        <v>13744</v>
      </c>
      <c r="AH6490" s="80"/>
      <c r="AI6490" s="147" t="s">
        <v>64</v>
      </c>
      <c r="AJ6490" s="80"/>
      <c r="AK6490" s="80"/>
      <c r="AL6490" s="35"/>
      <c r="AM6490" s="35"/>
      <c r="AN6490" s="35"/>
      <c r="AO6490" s="35"/>
      <c r="AP6490" s="35"/>
    </row>
    <row r="6491" spans="1:42" x14ac:dyDescent="0.2">
      <c r="A6491" s="38">
        <v>45729</v>
      </c>
      <c r="B6491" s="137" t="s">
        <v>37</v>
      </c>
      <c r="C6491" s="41" t="s">
        <v>118</v>
      </c>
      <c r="D6491" s="80" t="s">
        <v>36</v>
      </c>
      <c r="E6491" s="80" t="s">
        <v>56</v>
      </c>
      <c r="F6491" s="80" t="s">
        <v>16656</v>
      </c>
      <c r="G6491" s="80" t="s">
        <v>221</v>
      </c>
      <c r="H6491" s="80" t="s">
        <v>20021</v>
      </c>
      <c r="I6491" s="17">
        <f ca="1">IFERROR(__xludf.DUMMYFUNCTION("""COMPUTED_VALUE"""),45737)</f>
        <v>45737</v>
      </c>
      <c r="J6491" s="143" t="s">
        <v>13158</v>
      </c>
      <c r="K6491" s="80" t="s">
        <v>13159</v>
      </c>
      <c r="L6491" s="30">
        <v>334254506</v>
      </c>
      <c r="M6491" s="80" t="s">
        <v>45</v>
      </c>
      <c r="N6491" s="80" t="s">
        <v>8420</v>
      </c>
      <c r="O6491" s="80" t="s">
        <v>13160</v>
      </c>
      <c r="P6491" s="144" t="s">
        <v>16768</v>
      </c>
      <c r="Q6491" s="20">
        <v>9317</v>
      </c>
      <c r="R6491" s="80" t="s">
        <v>36</v>
      </c>
      <c r="S6491" s="95">
        <v>4000</v>
      </c>
      <c r="T6491" s="148">
        <v>45527</v>
      </c>
      <c r="U6491" s="178">
        <v>5317</v>
      </c>
      <c r="V6491" s="169">
        <v>45557</v>
      </c>
      <c r="W6491" s="85" t="s">
        <v>13161</v>
      </c>
      <c r="X6491" s="80">
        <v>0</v>
      </c>
      <c r="Y6491" s="22">
        <v>0</v>
      </c>
      <c r="Z6491" s="80" t="s">
        <v>50</v>
      </c>
      <c r="AA6491" s="96" t="s">
        <v>3291</v>
      </c>
      <c r="AB6491" s="80"/>
      <c r="AC6491" s="80" t="s">
        <v>53</v>
      </c>
      <c r="AD6491" s="80" t="s">
        <v>138</v>
      </c>
      <c r="AE6491" s="80" t="s">
        <v>16656</v>
      </c>
      <c r="AF6491" s="17">
        <v>45737</v>
      </c>
      <c r="AG6491" s="80"/>
      <c r="AH6491" s="80"/>
      <c r="AI6491" s="147" t="s">
        <v>64</v>
      </c>
      <c r="AJ6491" s="80"/>
      <c r="AK6491" s="80"/>
      <c r="AL6491" s="35"/>
      <c r="AM6491" s="35"/>
      <c r="AN6491" s="35"/>
      <c r="AO6491" s="35"/>
      <c r="AP6491" s="35"/>
    </row>
    <row r="6492" spans="1:42" x14ac:dyDescent="0.2">
      <c r="A6492" s="38">
        <v>45729</v>
      </c>
      <c r="B6492" s="137" t="s">
        <v>90</v>
      </c>
      <c r="C6492" s="41" t="s">
        <v>118</v>
      </c>
      <c r="D6492" s="80" t="s">
        <v>36</v>
      </c>
      <c r="E6492" s="80" t="s">
        <v>139</v>
      </c>
      <c r="F6492" s="80" t="s">
        <v>13089</v>
      </c>
      <c r="G6492" s="80" t="s">
        <v>108</v>
      </c>
      <c r="H6492" s="80" t="s">
        <v>20513</v>
      </c>
      <c r="I6492" s="17">
        <f ca="1">IFERROR(__xludf.DUMMYFUNCTION("""COMPUTED_VALUE"""),45891)</f>
        <v>45891</v>
      </c>
      <c r="J6492" s="143" t="s">
        <v>19690</v>
      </c>
      <c r="K6492" s="80" t="s">
        <v>20514</v>
      </c>
      <c r="L6492" s="30">
        <v>853048865</v>
      </c>
      <c r="M6492" s="80" t="s">
        <v>15996</v>
      </c>
      <c r="N6492" s="80" t="s">
        <v>186</v>
      </c>
      <c r="O6492" s="80" t="s">
        <v>4503</v>
      </c>
      <c r="P6492" s="144" t="s">
        <v>19692</v>
      </c>
      <c r="Q6492" s="20">
        <v>15936</v>
      </c>
      <c r="R6492" s="80" t="s">
        <v>70</v>
      </c>
      <c r="S6492" s="95">
        <f t="shared" ref="S6492:S6493" si="190">200+3000</f>
        <v>3200</v>
      </c>
      <c r="T6492" s="83" t="s">
        <v>19693</v>
      </c>
      <c r="U6492" s="95">
        <v>12636</v>
      </c>
      <c r="V6492" s="148">
        <v>45306</v>
      </c>
      <c r="W6492" s="85" t="s">
        <v>19694</v>
      </c>
      <c r="X6492" s="80"/>
      <c r="Y6492" s="22">
        <v>100</v>
      </c>
      <c r="Z6492" s="80" t="s">
        <v>50</v>
      </c>
      <c r="AA6492" s="86" t="s">
        <v>18583</v>
      </c>
      <c r="AB6492" s="82"/>
      <c r="AC6492" s="80" t="s">
        <v>53</v>
      </c>
      <c r="AD6492" s="80" t="s">
        <v>138</v>
      </c>
      <c r="AE6492" s="80" t="s">
        <v>13089</v>
      </c>
      <c r="AF6492" s="17">
        <v>45730</v>
      </c>
      <c r="AG6492" s="80"/>
      <c r="AH6492" s="80"/>
      <c r="AI6492" s="147"/>
      <c r="AJ6492" s="80"/>
      <c r="AK6492" s="80"/>
      <c r="AL6492" s="35"/>
      <c r="AM6492" s="35"/>
      <c r="AN6492" s="35"/>
      <c r="AO6492" s="35"/>
      <c r="AP6492" s="35"/>
    </row>
    <row r="6493" spans="1:42" x14ac:dyDescent="0.2">
      <c r="A6493" s="38">
        <v>45729</v>
      </c>
      <c r="B6493" s="137" t="s">
        <v>37</v>
      </c>
      <c r="C6493" s="41" t="s">
        <v>118</v>
      </c>
      <c r="D6493" s="80" t="s">
        <v>36</v>
      </c>
      <c r="E6493" s="80" t="s">
        <v>139</v>
      </c>
      <c r="F6493" s="80" t="s">
        <v>13089</v>
      </c>
      <c r="G6493" s="80" t="s">
        <v>108</v>
      </c>
      <c r="H6493" s="80" t="s">
        <v>20513</v>
      </c>
      <c r="I6493" s="17">
        <f ca="1">IFERROR(__xludf.DUMMYFUNCTION("""COMPUTED_VALUE"""),45891)</f>
        <v>45891</v>
      </c>
      <c r="J6493" s="143" t="s">
        <v>19685</v>
      </c>
      <c r="K6493" s="80" t="s">
        <v>20515</v>
      </c>
      <c r="L6493" s="30">
        <v>854958966</v>
      </c>
      <c r="M6493" s="80" t="s">
        <v>15996</v>
      </c>
      <c r="N6493" s="80" t="s">
        <v>186</v>
      </c>
      <c r="O6493" s="80" t="s">
        <v>4503</v>
      </c>
      <c r="P6493" s="144" t="s">
        <v>20516</v>
      </c>
      <c r="Q6493" s="20">
        <v>15936</v>
      </c>
      <c r="R6493" s="80" t="s">
        <v>70</v>
      </c>
      <c r="S6493" s="95">
        <f t="shared" si="190"/>
        <v>3200</v>
      </c>
      <c r="T6493" s="83" t="s">
        <v>19688</v>
      </c>
      <c r="U6493" s="95">
        <v>12636</v>
      </c>
      <c r="V6493" s="148">
        <v>45671</v>
      </c>
      <c r="W6493" s="85" t="s">
        <v>19689</v>
      </c>
      <c r="X6493" s="80"/>
      <c r="Y6493" s="22">
        <v>100</v>
      </c>
      <c r="Z6493" s="80" t="s">
        <v>50</v>
      </c>
      <c r="AA6493" s="82" t="s">
        <v>18583</v>
      </c>
      <c r="AB6493" s="86"/>
      <c r="AC6493" s="80" t="s">
        <v>53</v>
      </c>
      <c r="AD6493" s="80" t="s">
        <v>138</v>
      </c>
      <c r="AE6493" s="80" t="s">
        <v>13089</v>
      </c>
      <c r="AF6493" s="17">
        <v>45730</v>
      </c>
      <c r="AG6493" s="80"/>
      <c r="AH6493" s="80"/>
      <c r="AI6493" s="147"/>
      <c r="AJ6493" s="80"/>
      <c r="AK6493" s="80"/>
      <c r="AL6493" s="35"/>
      <c r="AM6493" s="35"/>
      <c r="AN6493" s="35"/>
      <c r="AO6493" s="35"/>
      <c r="AP6493" s="35"/>
    </row>
    <row r="6494" spans="1:42" x14ac:dyDescent="0.2">
      <c r="A6494" s="38">
        <v>45730</v>
      </c>
      <c r="B6494" s="137" t="s">
        <v>37</v>
      </c>
      <c r="C6494" s="41" t="s">
        <v>118</v>
      </c>
      <c r="D6494" s="80" t="s">
        <v>36</v>
      </c>
      <c r="E6494" s="80" t="s">
        <v>139</v>
      </c>
      <c r="F6494" s="80" t="s">
        <v>8088</v>
      </c>
      <c r="G6494" s="80" t="s">
        <v>221</v>
      </c>
      <c r="H6494" s="80" t="s">
        <v>19622</v>
      </c>
      <c r="I6494" s="17">
        <f ca="1">IFERROR(__xludf.DUMMYFUNCTION("""COMPUTED_VALUE"""),45741)</f>
        <v>45741</v>
      </c>
      <c r="J6494" s="172" t="s">
        <v>14309</v>
      </c>
      <c r="K6494" s="80" t="s">
        <v>14310</v>
      </c>
      <c r="L6494" s="30">
        <v>386019806</v>
      </c>
      <c r="M6494" s="80" t="s">
        <v>5558</v>
      </c>
      <c r="N6494" s="80" t="s">
        <v>5559</v>
      </c>
      <c r="O6494" s="80" t="s">
        <v>4503</v>
      </c>
      <c r="P6494" s="144" t="s">
        <v>20517</v>
      </c>
      <c r="Q6494" s="20">
        <v>15936</v>
      </c>
      <c r="R6494" s="80" t="s">
        <v>36</v>
      </c>
      <c r="S6494" s="95">
        <f>200+1768</f>
        <v>1968</v>
      </c>
      <c r="T6494" s="83" t="s">
        <v>14312</v>
      </c>
      <c r="U6494" s="95">
        <v>13968</v>
      </c>
      <c r="V6494" s="148">
        <v>45576</v>
      </c>
      <c r="W6494" s="85" t="s">
        <v>14313</v>
      </c>
      <c r="X6494" s="80"/>
      <c r="Y6494" s="22">
        <v>0</v>
      </c>
      <c r="Z6494" s="80" t="s">
        <v>50</v>
      </c>
      <c r="AA6494" s="86"/>
      <c r="AB6494" s="80"/>
      <c r="AC6494" s="80" t="s">
        <v>53</v>
      </c>
      <c r="AD6494" s="80" t="s">
        <v>138</v>
      </c>
      <c r="AE6494" s="80" t="s">
        <v>8088</v>
      </c>
      <c r="AF6494" s="17">
        <v>45736</v>
      </c>
      <c r="AG6494" s="80"/>
      <c r="AH6494" s="80"/>
      <c r="AI6494" s="147"/>
      <c r="AJ6494" s="80"/>
      <c r="AK6494" s="80"/>
      <c r="AL6494" s="35"/>
      <c r="AM6494" s="35"/>
      <c r="AN6494" s="35"/>
      <c r="AO6494" s="35"/>
      <c r="AP6494" s="35"/>
    </row>
    <row r="6495" spans="1:42" x14ac:dyDescent="0.2">
      <c r="A6495" s="38">
        <v>45730</v>
      </c>
      <c r="B6495" s="137" t="s">
        <v>37</v>
      </c>
      <c r="C6495" s="41" t="s">
        <v>118</v>
      </c>
      <c r="D6495" s="80" t="s">
        <v>36</v>
      </c>
      <c r="E6495" s="80" t="s">
        <v>119</v>
      </c>
      <c r="F6495" s="80" t="s">
        <v>16656</v>
      </c>
      <c r="G6495" s="80" t="s">
        <v>221</v>
      </c>
      <c r="H6495" s="80" t="s">
        <v>20208</v>
      </c>
      <c r="I6495" s="17">
        <f ca="1">IFERROR(__xludf.DUMMYFUNCTION("""COMPUTED_VALUE"""),45736)</f>
        <v>45736</v>
      </c>
      <c r="J6495" s="143" t="s">
        <v>18192</v>
      </c>
      <c r="K6495" s="80" t="s">
        <v>18193</v>
      </c>
      <c r="L6495" s="30">
        <v>374504395</v>
      </c>
      <c r="M6495" s="80" t="s">
        <v>17759</v>
      </c>
      <c r="N6495" s="80" t="s">
        <v>2756</v>
      </c>
      <c r="O6495" s="80" t="s">
        <v>8140</v>
      </c>
      <c r="P6495" s="144" t="s">
        <v>18194</v>
      </c>
      <c r="Q6495" s="20">
        <v>13968</v>
      </c>
      <c r="R6495" s="80" t="s">
        <v>36</v>
      </c>
      <c r="S6495" s="95">
        <v>14000</v>
      </c>
      <c r="T6495" s="148">
        <v>45622</v>
      </c>
      <c r="U6495" s="77"/>
      <c r="V6495" s="78"/>
      <c r="W6495" s="85" t="s">
        <v>18195</v>
      </c>
      <c r="X6495" s="80"/>
      <c r="Y6495" s="22">
        <v>-32</v>
      </c>
      <c r="Z6495" s="80" t="s">
        <v>50</v>
      </c>
      <c r="AA6495" s="86" t="s">
        <v>14723</v>
      </c>
      <c r="AB6495" s="80"/>
      <c r="AC6495" s="80" t="s">
        <v>53</v>
      </c>
      <c r="AD6495" s="80" t="s">
        <v>138</v>
      </c>
      <c r="AE6495" s="80" t="s">
        <v>16656</v>
      </c>
      <c r="AF6495" s="17">
        <v>45736</v>
      </c>
      <c r="AG6495" s="80"/>
      <c r="AH6495" s="80"/>
      <c r="AI6495" s="147"/>
      <c r="AJ6495" s="80"/>
      <c r="AK6495" s="80"/>
      <c r="AL6495" s="35"/>
      <c r="AM6495" s="35"/>
      <c r="AN6495" s="35"/>
      <c r="AO6495" s="35"/>
      <c r="AP6495" s="35"/>
    </row>
    <row r="6496" spans="1:42" x14ac:dyDescent="0.2">
      <c r="A6496" s="38">
        <v>45730</v>
      </c>
      <c r="B6496" s="137"/>
      <c r="C6496" s="41" t="s">
        <v>118</v>
      </c>
      <c r="D6496" s="80" t="s">
        <v>36</v>
      </c>
      <c r="E6496" s="80" t="s">
        <v>139</v>
      </c>
      <c r="F6496" s="80" t="s">
        <v>6128</v>
      </c>
      <c r="G6496" s="80" t="s">
        <v>1705</v>
      </c>
      <c r="H6496" s="80" t="s">
        <v>1188</v>
      </c>
      <c r="I6496" s="17" t="str">
        <f ca="1">IFERROR(__xludf.DUMMYFUNCTION("""COMPUTED_VALUE""")," ")</f>
        <v xml:space="preserve"> </v>
      </c>
      <c r="J6496" s="143" t="s">
        <v>2522</v>
      </c>
      <c r="K6496" s="80" t="s">
        <v>20518</v>
      </c>
      <c r="L6496" s="30">
        <v>904372750</v>
      </c>
      <c r="M6496" s="80" t="s">
        <v>80</v>
      </c>
      <c r="N6496" s="80" t="s">
        <v>299</v>
      </c>
      <c r="O6496" s="80" t="s">
        <v>2524</v>
      </c>
      <c r="P6496" s="144" t="s">
        <v>6622</v>
      </c>
      <c r="Q6496" s="20">
        <v>15936</v>
      </c>
      <c r="R6496" s="80" t="s">
        <v>36</v>
      </c>
      <c r="S6496" s="77">
        <v>2000</v>
      </c>
      <c r="T6496" s="78">
        <v>45160</v>
      </c>
      <c r="U6496" s="77">
        <v>13936</v>
      </c>
      <c r="V6496" s="78">
        <v>45190</v>
      </c>
      <c r="W6496" s="85" t="s">
        <v>2526</v>
      </c>
      <c r="X6496" s="80"/>
      <c r="Y6496" s="22">
        <v>0</v>
      </c>
      <c r="Z6496" s="41" t="s">
        <v>118</v>
      </c>
      <c r="AA6496" s="86" t="s">
        <v>4541</v>
      </c>
      <c r="AB6496" s="80" t="s">
        <v>104</v>
      </c>
      <c r="AC6496" s="80" t="s">
        <v>53</v>
      </c>
      <c r="AD6496" s="86" t="s">
        <v>138</v>
      </c>
      <c r="AE6496" s="80" t="s">
        <v>6128</v>
      </c>
      <c r="AF6496" s="60" t="s">
        <v>1829</v>
      </c>
      <c r="AG6496" s="80"/>
      <c r="AH6496" s="80"/>
      <c r="AI6496" s="147"/>
      <c r="AJ6496" s="80"/>
      <c r="AK6496" s="80"/>
      <c r="AL6496" s="86"/>
      <c r="AM6496" s="86"/>
      <c r="AN6496" s="86"/>
      <c r="AO6496" s="86"/>
      <c r="AP6496" s="86"/>
    </row>
    <row r="6497" spans="1:42" x14ac:dyDescent="0.2">
      <c r="A6497" s="38">
        <v>45730</v>
      </c>
      <c r="B6497" s="137" t="s">
        <v>37</v>
      </c>
      <c r="C6497" s="41" t="s">
        <v>118</v>
      </c>
      <c r="D6497" s="26" t="s">
        <v>36</v>
      </c>
      <c r="E6497" s="26" t="s">
        <v>139</v>
      </c>
      <c r="F6497" s="26" t="s">
        <v>8997</v>
      </c>
      <c r="G6497" s="26" t="s">
        <v>1705</v>
      </c>
      <c r="H6497" s="26" t="s">
        <v>20185</v>
      </c>
      <c r="I6497" s="17">
        <f ca="1">IFERROR(__xludf.DUMMYFUNCTION("""COMPUTED_VALUE"""),45735)</f>
        <v>45735</v>
      </c>
      <c r="J6497" s="29" t="s">
        <v>5528</v>
      </c>
      <c r="K6497" s="26" t="s">
        <v>5529</v>
      </c>
      <c r="L6497" s="30">
        <v>374653416</v>
      </c>
      <c r="M6497" s="26" t="s">
        <v>5429</v>
      </c>
      <c r="N6497" s="26" t="s">
        <v>81</v>
      </c>
      <c r="O6497" s="26" t="s">
        <v>1492</v>
      </c>
      <c r="P6497" s="42" t="s">
        <v>6617</v>
      </c>
      <c r="Q6497" s="20">
        <v>15936</v>
      </c>
      <c r="R6497" s="26" t="s">
        <v>36</v>
      </c>
      <c r="S6497" s="31">
        <v>15936</v>
      </c>
      <c r="T6497" s="32">
        <v>45233</v>
      </c>
      <c r="U6497" s="31"/>
      <c r="V6497" s="26"/>
      <c r="W6497" s="33" t="s">
        <v>5530</v>
      </c>
      <c r="X6497" s="26"/>
      <c r="Y6497" s="22">
        <v>0</v>
      </c>
      <c r="Z6497" s="26" t="s">
        <v>118</v>
      </c>
      <c r="AA6497" s="19" t="s">
        <v>5112</v>
      </c>
      <c r="AB6497" s="26" t="s">
        <v>36</v>
      </c>
      <c r="AC6497" s="26" t="s">
        <v>53</v>
      </c>
      <c r="AD6497" s="19" t="s">
        <v>138</v>
      </c>
      <c r="AE6497" s="26" t="s">
        <v>8997</v>
      </c>
      <c r="AF6497" s="17">
        <v>45735</v>
      </c>
      <c r="AG6497" s="26" t="s">
        <v>1362</v>
      </c>
      <c r="AH6497" s="26"/>
      <c r="AI6497" s="40" t="s">
        <v>147</v>
      </c>
      <c r="AJ6497" s="26"/>
      <c r="AK6497" s="26"/>
      <c r="AL6497" s="35"/>
      <c r="AM6497" s="35"/>
      <c r="AN6497" s="35"/>
      <c r="AO6497" s="35"/>
      <c r="AP6497" s="35"/>
    </row>
    <row r="6498" spans="1:42" x14ac:dyDescent="0.2">
      <c r="A6498" s="38">
        <v>45730</v>
      </c>
      <c r="B6498" s="137"/>
      <c r="C6498" s="41" t="s">
        <v>118</v>
      </c>
      <c r="D6498" s="80" t="s">
        <v>36</v>
      </c>
      <c r="E6498" s="80" t="s">
        <v>56</v>
      </c>
      <c r="F6498" s="80" t="s">
        <v>5037</v>
      </c>
      <c r="G6498" s="161" t="s">
        <v>221</v>
      </c>
      <c r="H6498" s="80" t="s">
        <v>1188</v>
      </c>
      <c r="I6498" s="17" t="str">
        <f ca="1">IFERROR(__xludf.DUMMYFUNCTION("""COMPUTED_VALUE""")," ")</f>
        <v xml:space="preserve"> </v>
      </c>
      <c r="J6498" s="143" t="s">
        <v>3136</v>
      </c>
      <c r="K6498" s="80" t="s">
        <v>3137</v>
      </c>
      <c r="L6498" s="30">
        <v>896575146</v>
      </c>
      <c r="M6498" s="80" t="s">
        <v>59</v>
      </c>
      <c r="N6498" s="80" t="s">
        <v>260</v>
      </c>
      <c r="O6498" s="80" t="s">
        <v>3138</v>
      </c>
      <c r="P6498" s="144" t="s">
        <v>3139</v>
      </c>
      <c r="Q6498" s="20">
        <v>9317</v>
      </c>
      <c r="R6498" s="80" t="s">
        <v>36</v>
      </c>
      <c r="S6498" s="77">
        <v>9317</v>
      </c>
      <c r="T6498" s="78">
        <v>45187</v>
      </c>
      <c r="U6498" s="77"/>
      <c r="V6498" s="78"/>
      <c r="W6498" s="85" t="s">
        <v>3140</v>
      </c>
      <c r="X6498" s="80"/>
      <c r="Y6498" s="22">
        <v>0</v>
      </c>
      <c r="Z6498" s="41" t="s">
        <v>118</v>
      </c>
      <c r="AA6498" s="86" t="s">
        <v>2449</v>
      </c>
      <c r="AB6498" s="80" t="s">
        <v>36</v>
      </c>
      <c r="AC6498" s="80" t="s">
        <v>53</v>
      </c>
      <c r="AD6498" s="86" t="s">
        <v>54</v>
      </c>
      <c r="AE6498" s="80" t="s">
        <v>3181</v>
      </c>
      <c r="AF6498" s="17">
        <v>45196</v>
      </c>
      <c r="AG6498" s="80" t="s">
        <v>3141</v>
      </c>
      <c r="AH6498" s="80"/>
      <c r="AI6498" s="147"/>
      <c r="AJ6498" s="80"/>
      <c r="AK6498" s="80"/>
      <c r="AL6498" s="86"/>
      <c r="AM6498" s="86"/>
      <c r="AN6498" s="86"/>
      <c r="AO6498" s="86"/>
      <c r="AP6498" s="86"/>
    </row>
    <row r="6499" spans="1:42" x14ac:dyDescent="0.2">
      <c r="A6499" s="38">
        <v>45730</v>
      </c>
      <c r="B6499" s="137" t="s">
        <v>37</v>
      </c>
      <c r="C6499" s="41" t="s">
        <v>118</v>
      </c>
      <c r="D6499" s="80" t="s">
        <v>36</v>
      </c>
      <c r="E6499" s="80" t="s">
        <v>139</v>
      </c>
      <c r="F6499" s="80" t="s">
        <v>16656</v>
      </c>
      <c r="G6499" s="161" t="s">
        <v>221</v>
      </c>
      <c r="H6499" s="80" t="s">
        <v>20219</v>
      </c>
      <c r="I6499" s="17">
        <f ca="1">IFERROR(__xludf.DUMMYFUNCTION("""COMPUTED_VALUE"""),45737)</f>
        <v>45737</v>
      </c>
      <c r="J6499" s="143" t="s">
        <v>15823</v>
      </c>
      <c r="K6499" s="80" t="s">
        <v>15824</v>
      </c>
      <c r="L6499" s="30">
        <v>971810364</v>
      </c>
      <c r="M6499" s="80" t="s">
        <v>5558</v>
      </c>
      <c r="N6499" s="80" t="s">
        <v>5277</v>
      </c>
      <c r="O6499" s="80" t="s">
        <v>4503</v>
      </c>
      <c r="P6499" s="80" t="s">
        <v>15825</v>
      </c>
      <c r="Q6499" s="20">
        <v>15936</v>
      </c>
      <c r="R6499" s="80" t="s">
        <v>36</v>
      </c>
      <c r="S6499" s="95">
        <v>2000</v>
      </c>
      <c r="T6499" s="148">
        <v>45562</v>
      </c>
      <c r="U6499" s="95">
        <v>13936</v>
      </c>
      <c r="V6499" s="169">
        <v>45586</v>
      </c>
      <c r="W6499" s="85" t="s">
        <v>15826</v>
      </c>
      <c r="X6499" s="80"/>
      <c r="Y6499" s="22">
        <v>0</v>
      </c>
      <c r="Z6499" s="80" t="s">
        <v>50</v>
      </c>
      <c r="AA6499" s="96" t="s">
        <v>9905</v>
      </c>
      <c r="AB6499" s="80"/>
      <c r="AC6499" s="80" t="s">
        <v>53</v>
      </c>
      <c r="AD6499" s="80" t="s">
        <v>138</v>
      </c>
      <c r="AE6499" s="80" t="s">
        <v>16656</v>
      </c>
      <c r="AF6499" s="17">
        <v>45737</v>
      </c>
      <c r="AG6499" s="80"/>
      <c r="AH6499" s="80"/>
      <c r="AI6499" s="147"/>
      <c r="AJ6499" s="80"/>
      <c r="AK6499" s="80"/>
      <c r="AL6499" s="35"/>
      <c r="AM6499" s="35"/>
      <c r="AN6499" s="35"/>
      <c r="AO6499" s="35"/>
      <c r="AP6499" s="35"/>
    </row>
    <row r="6500" spans="1:42" x14ac:dyDescent="0.2">
      <c r="A6500" s="38">
        <v>45730</v>
      </c>
      <c r="B6500" s="137" t="s">
        <v>37</v>
      </c>
      <c r="C6500" s="41" t="s">
        <v>118</v>
      </c>
      <c r="D6500" s="80" t="s">
        <v>36</v>
      </c>
      <c r="E6500" s="80" t="s">
        <v>139</v>
      </c>
      <c r="F6500" s="80" t="s">
        <v>8088</v>
      </c>
      <c r="G6500" s="161" t="s">
        <v>221</v>
      </c>
      <c r="H6500" s="80" t="s">
        <v>20219</v>
      </c>
      <c r="I6500" s="17">
        <f ca="1">IFERROR(__xludf.DUMMYFUNCTION("""COMPUTED_VALUE"""),45737)</f>
        <v>45737</v>
      </c>
      <c r="J6500" s="143" t="s">
        <v>14304</v>
      </c>
      <c r="K6500" s="80" t="s">
        <v>14305</v>
      </c>
      <c r="L6500" s="30">
        <v>352068933</v>
      </c>
      <c r="M6500" s="80" t="s">
        <v>5558</v>
      </c>
      <c r="N6500" s="80" t="s">
        <v>5559</v>
      </c>
      <c r="O6500" s="80" t="s">
        <v>4503</v>
      </c>
      <c r="P6500" s="144" t="s">
        <v>14306</v>
      </c>
      <c r="Q6500" s="20">
        <v>15936</v>
      </c>
      <c r="R6500" s="80" t="s">
        <v>36</v>
      </c>
      <c r="S6500" s="95">
        <f t="shared" ref="S6500:S6501" si="191">200+1800</f>
        <v>2000</v>
      </c>
      <c r="T6500" s="83" t="s">
        <v>14307</v>
      </c>
      <c r="U6500" s="95">
        <v>13936</v>
      </c>
      <c r="V6500" s="148">
        <v>45575</v>
      </c>
      <c r="W6500" s="79" t="s">
        <v>14308</v>
      </c>
      <c r="X6500" s="80"/>
      <c r="Y6500" s="22">
        <v>0</v>
      </c>
      <c r="Z6500" s="80" t="s">
        <v>50</v>
      </c>
      <c r="AA6500" s="86"/>
      <c r="AB6500" s="80"/>
      <c r="AC6500" s="80" t="s">
        <v>53</v>
      </c>
      <c r="AD6500" s="80" t="s">
        <v>138</v>
      </c>
      <c r="AE6500" s="80" t="s">
        <v>8088</v>
      </c>
      <c r="AF6500" s="17">
        <v>45737</v>
      </c>
      <c r="AG6500" s="80"/>
      <c r="AH6500" s="80"/>
      <c r="AI6500" s="147"/>
      <c r="AJ6500" s="80"/>
      <c r="AK6500" s="80"/>
      <c r="AL6500" s="35"/>
      <c r="AM6500" s="35"/>
      <c r="AN6500" s="35"/>
      <c r="AO6500" s="35"/>
      <c r="AP6500" s="35"/>
    </row>
    <row r="6501" spans="1:42" x14ac:dyDescent="0.2">
      <c r="A6501" s="38">
        <v>45730</v>
      </c>
      <c r="B6501" s="137" t="s">
        <v>37</v>
      </c>
      <c r="C6501" s="41" t="s">
        <v>118</v>
      </c>
      <c r="D6501" s="80" t="s">
        <v>36</v>
      </c>
      <c r="E6501" s="80" t="s">
        <v>139</v>
      </c>
      <c r="F6501" s="80" t="s">
        <v>16792</v>
      </c>
      <c r="G6501" s="80" t="s">
        <v>221</v>
      </c>
      <c r="H6501" s="80" t="s">
        <v>20097</v>
      </c>
      <c r="I6501" s="17">
        <f ca="1">IFERROR(__xludf.DUMMYFUNCTION("""COMPUTED_VALUE"""),45735)</f>
        <v>45735</v>
      </c>
      <c r="J6501" s="143" t="s">
        <v>15861</v>
      </c>
      <c r="K6501" s="80" t="s">
        <v>16956</v>
      </c>
      <c r="L6501" s="30">
        <v>339504350</v>
      </c>
      <c r="M6501" s="80" t="s">
        <v>12720</v>
      </c>
      <c r="N6501" s="80" t="s">
        <v>1073</v>
      </c>
      <c r="O6501" s="80" t="s">
        <v>15863</v>
      </c>
      <c r="P6501" s="144" t="s">
        <v>16957</v>
      </c>
      <c r="Q6501" s="20">
        <v>15936</v>
      </c>
      <c r="R6501" s="80" t="s">
        <v>36</v>
      </c>
      <c r="S6501" s="95">
        <f t="shared" si="191"/>
        <v>2000</v>
      </c>
      <c r="T6501" s="83" t="s">
        <v>13556</v>
      </c>
      <c r="U6501" s="95">
        <v>13936</v>
      </c>
      <c r="V6501" s="148">
        <v>45589</v>
      </c>
      <c r="W6501" s="80" t="s">
        <v>15865</v>
      </c>
      <c r="X6501" s="80"/>
      <c r="Y6501" s="22">
        <v>0</v>
      </c>
      <c r="Z6501" s="80" t="s">
        <v>50</v>
      </c>
      <c r="AA6501" s="96" t="s">
        <v>9905</v>
      </c>
      <c r="AB6501" s="80"/>
      <c r="AC6501" s="80" t="s">
        <v>53</v>
      </c>
      <c r="AD6501" s="80" t="s">
        <v>54</v>
      </c>
      <c r="AE6501" s="80" t="s">
        <v>16792</v>
      </c>
      <c r="AF6501" s="17">
        <v>45733</v>
      </c>
      <c r="AG6501" s="80"/>
      <c r="AH6501" s="80"/>
      <c r="AI6501" s="147"/>
      <c r="AJ6501" s="80"/>
      <c r="AK6501" s="80"/>
      <c r="AL6501" s="35"/>
      <c r="AM6501" s="35"/>
      <c r="AN6501" s="35"/>
      <c r="AO6501" s="35"/>
      <c r="AP6501" s="35"/>
    </row>
    <row r="6502" spans="1:42" x14ac:dyDescent="0.2">
      <c r="A6502" s="38">
        <v>45730</v>
      </c>
      <c r="B6502" s="137" t="s">
        <v>37</v>
      </c>
      <c r="C6502" s="41" t="s">
        <v>118</v>
      </c>
      <c r="D6502" s="26" t="s">
        <v>36</v>
      </c>
      <c r="E6502" s="26" t="s">
        <v>139</v>
      </c>
      <c r="F6502" s="26" t="s">
        <v>7454</v>
      </c>
      <c r="G6502" s="26" t="s">
        <v>1705</v>
      </c>
      <c r="H6502" s="26" t="s">
        <v>20185</v>
      </c>
      <c r="I6502" s="17">
        <f ca="1">IFERROR(__xludf.DUMMYFUNCTION("""COMPUTED_VALUE"""),45735)</f>
        <v>45735</v>
      </c>
      <c r="J6502" s="29" t="s">
        <v>3931</v>
      </c>
      <c r="K6502" s="26" t="s">
        <v>20519</v>
      </c>
      <c r="L6502" s="30">
        <v>912526137</v>
      </c>
      <c r="M6502" s="26" t="s">
        <v>80</v>
      </c>
      <c r="N6502" s="26" t="s">
        <v>186</v>
      </c>
      <c r="O6502" s="26" t="s">
        <v>3933</v>
      </c>
      <c r="P6502" s="42" t="s">
        <v>5963</v>
      </c>
      <c r="Q6502" s="20">
        <v>15936</v>
      </c>
      <c r="R6502" s="26" t="s">
        <v>36</v>
      </c>
      <c r="S6502" s="31">
        <v>4000</v>
      </c>
      <c r="T6502" s="32">
        <v>45198</v>
      </c>
      <c r="U6502" s="31">
        <v>11836</v>
      </c>
      <c r="V6502" s="32">
        <v>45227</v>
      </c>
      <c r="W6502" s="33" t="s">
        <v>3935</v>
      </c>
      <c r="X6502" s="26"/>
      <c r="Y6502" s="22">
        <v>100</v>
      </c>
      <c r="Z6502" s="26" t="s">
        <v>118</v>
      </c>
      <c r="AA6502" s="19" t="s">
        <v>5785</v>
      </c>
      <c r="AB6502" s="26" t="s">
        <v>36</v>
      </c>
      <c r="AC6502" s="26" t="s">
        <v>53</v>
      </c>
      <c r="AD6502" s="19" t="s">
        <v>138</v>
      </c>
      <c r="AE6502" s="26" t="s">
        <v>7454</v>
      </c>
      <c r="AF6502" s="17">
        <v>45735</v>
      </c>
      <c r="AG6502" s="26"/>
      <c r="AH6502" s="26"/>
      <c r="AI6502" s="40" t="s">
        <v>147</v>
      </c>
      <c r="AJ6502" s="26"/>
      <c r="AK6502" s="26"/>
      <c r="AL6502" s="35"/>
      <c r="AM6502" s="35"/>
      <c r="AN6502" s="35"/>
      <c r="AO6502" s="35"/>
      <c r="AP6502" s="35"/>
    </row>
    <row r="6503" spans="1:42" x14ac:dyDescent="0.2">
      <c r="A6503" s="38">
        <v>45730</v>
      </c>
      <c r="B6503" s="137" t="s">
        <v>37</v>
      </c>
      <c r="C6503" s="41" t="s">
        <v>118</v>
      </c>
      <c r="D6503" s="26" t="s">
        <v>36</v>
      </c>
      <c r="E6503" s="26" t="s">
        <v>139</v>
      </c>
      <c r="F6503" s="26" t="s">
        <v>8997</v>
      </c>
      <c r="G6503" s="26" t="s">
        <v>1705</v>
      </c>
      <c r="H6503" s="26" t="s">
        <v>20185</v>
      </c>
      <c r="I6503" s="17">
        <f ca="1">IFERROR(__xludf.DUMMYFUNCTION("""COMPUTED_VALUE"""),45735)</f>
        <v>45735</v>
      </c>
      <c r="J6503" s="29" t="s">
        <v>5417</v>
      </c>
      <c r="K6503" s="26" t="s">
        <v>5418</v>
      </c>
      <c r="L6503" s="30">
        <v>982648022</v>
      </c>
      <c r="M6503" s="26" t="s">
        <v>80</v>
      </c>
      <c r="N6503" s="26" t="s">
        <v>466</v>
      </c>
      <c r="O6503" s="26" t="s">
        <v>5419</v>
      </c>
      <c r="P6503" s="42" t="s">
        <v>5963</v>
      </c>
      <c r="Q6503" s="20">
        <v>15936</v>
      </c>
      <c r="R6503" s="26" t="s">
        <v>36</v>
      </c>
      <c r="S6503" s="31">
        <v>4000</v>
      </c>
      <c r="T6503" s="32">
        <v>45221</v>
      </c>
      <c r="U6503" s="31">
        <v>11836</v>
      </c>
      <c r="V6503" s="32">
        <v>45246</v>
      </c>
      <c r="W6503" s="33" t="s">
        <v>5420</v>
      </c>
      <c r="X6503" s="26"/>
      <c r="Y6503" s="22">
        <v>100</v>
      </c>
      <c r="Z6503" s="26" t="s">
        <v>118</v>
      </c>
      <c r="AA6503" s="19" t="s">
        <v>5785</v>
      </c>
      <c r="AB6503" s="26" t="s">
        <v>36</v>
      </c>
      <c r="AC6503" s="26" t="s">
        <v>53</v>
      </c>
      <c r="AD6503" s="19" t="s">
        <v>138</v>
      </c>
      <c r="AE6503" s="26" t="s">
        <v>8997</v>
      </c>
      <c r="AF6503" s="17">
        <v>45735</v>
      </c>
      <c r="AG6503" s="26"/>
      <c r="AH6503" s="26"/>
      <c r="AI6503" s="40" t="s">
        <v>147</v>
      </c>
      <c r="AJ6503" s="26"/>
      <c r="AK6503" s="26"/>
      <c r="AL6503" s="35"/>
      <c r="AM6503" s="35"/>
      <c r="AN6503" s="35"/>
      <c r="AO6503" s="35"/>
      <c r="AP6503" s="35"/>
    </row>
    <row r="6504" spans="1:42" x14ac:dyDescent="0.2">
      <c r="A6504" s="38">
        <v>45731</v>
      </c>
      <c r="B6504" s="137" t="s">
        <v>37</v>
      </c>
      <c r="C6504" s="41" t="s">
        <v>118</v>
      </c>
      <c r="D6504" s="26" t="s">
        <v>36</v>
      </c>
      <c r="E6504" s="26" t="s">
        <v>56</v>
      </c>
      <c r="F6504" s="80" t="s">
        <v>14200</v>
      </c>
      <c r="G6504" s="161" t="s">
        <v>221</v>
      </c>
      <c r="H6504" s="80" t="s">
        <v>8400</v>
      </c>
      <c r="I6504" s="17">
        <f ca="1">IFERROR(__xludf.DUMMYFUNCTION("""COMPUTED_VALUE"""),45750)</f>
        <v>45750</v>
      </c>
      <c r="J6504" s="29" t="s">
        <v>4088</v>
      </c>
      <c r="K6504" s="26" t="s">
        <v>4089</v>
      </c>
      <c r="L6504" s="30">
        <v>862613804</v>
      </c>
      <c r="M6504" s="26" t="s">
        <v>3288</v>
      </c>
      <c r="N6504" s="26" t="s">
        <v>200</v>
      </c>
      <c r="O6504" s="26" t="s">
        <v>91</v>
      </c>
      <c r="P6504" s="42" t="s">
        <v>14597</v>
      </c>
      <c r="Q6504" s="20">
        <v>9317</v>
      </c>
      <c r="R6504" s="26" t="s">
        <v>36</v>
      </c>
      <c r="S6504" s="31">
        <v>9317</v>
      </c>
      <c r="T6504" s="32">
        <v>45203</v>
      </c>
      <c r="U6504" s="31"/>
      <c r="V6504" s="26"/>
      <c r="W6504" s="33" t="s">
        <v>4091</v>
      </c>
      <c r="X6504" s="26"/>
      <c r="Y6504" s="22">
        <v>0</v>
      </c>
      <c r="Z6504" s="26" t="s">
        <v>50</v>
      </c>
      <c r="AA6504" s="19" t="s">
        <v>3454</v>
      </c>
      <c r="AB6504" s="26" t="s">
        <v>104</v>
      </c>
      <c r="AC6504" s="26" t="s">
        <v>53</v>
      </c>
      <c r="AD6504" s="19" t="s">
        <v>54</v>
      </c>
      <c r="AE6504" s="80" t="s">
        <v>14200</v>
      </c>
      <c r="AF6504" s="17">
        <v>45750</v>
      </c>
      <c r="AG6504" s="26"/>
      <c r="AH6504" s="26"/>
      <c r="AI6504" s="40"/>
      <c r="AJ6504" s="26"/>
      <c r="AK6504" s="26"/>
      <c r="AL6504" s="35"/>
      <c r="AM6504" s="35"/>
      <c r="AN6504" s="35"/>
      <c r="AO6504" s="35"/>
      <c r="AP6504" s="35"/>
    </row>
    <row r="6505" spans="1:42" x14ac:dyDescent="0.2">
      <c r="A6505" s="126">
        <v>45638.622402534718</v>
      </c>
      <c r="B6505" s="137" t="s">
        <v>37</v>
      </c>
      <c r="C6505" s="41" t="s">
        <v>118</v>
      </c>
      <c r="D6505" s="80" t="s">
        <v>36</v>
      </c>
      <c r="E6505" s="80" t="s">
        <v>139</v>
      </c>
      <c r="F6505" s="80" t="s">
        <v>36</v>
      </c>
      <c r="G6505" s="80" t="s">
        <v>41</v>
      </c>
      <c r="H6505" s="80" t="s">
        <v>19121</v>
      </c>
      <c r="I6505" s="17">
        <f ca="1">IFERROR(__xludf.DUMMYFUNCTION("""COMPUTED_VALUE"""),45659)</f>
        <v>45659</v>
      </c>
      <c r="J6505" s="143" t="s">
        <v>20309</v>
      </c>
      <c r="K6505" s="80" t="s">
        <v>20520</v>
      </c>
      <c r="L6505" s="30">
        <v>837285262</v>
      </c>
      <c r="M6505" s="80" t="s">
        <v>11413</v>
      </c>
      <c r="N6505" s="80" t="s">
        <v>1246</v>
      </c>
      <c r="O6505" s="80" t="s">
        <v>20311</v>
      </c>
      <c r="P6505" s="144" t="s">
        <v>20312</v>
      </c>
      <c r="Q6505" s="20">
        <v>15936</v>
      </c>
      <c r="R6505" s="80" t="s">
        <v>36</v>
      </c>
      <c r="S6505" s="95">
        <f>200+13000</f>
        <v>13200</v>
      </c>
      <c r="T6505" s="83" t="s">
        <v>20313</v>
      </c>
      <c r="U6505" s="77">
        <v>2736</v>
      </c>
      <c r="V6505" s="78">
        <v>45702</v>
      </c>
      <c r="W6505" s="85" t="s">
        <v>20521</v>
      </c>
      <c r="X6505" s="80"/>
      <c r="Y6505" s="22">
        <v>0</v>
      </c>
      <c r="Z6505" s="80" t="s">
        <v>50</v>
      </c>
      <c r="AA6505" s="82" t="s">
        <v>20522</v>
      </c>
      <c r="AB6505" s="86"/>
      <c r="AC6505" s="80" t="s">
        <v>53</v>
      </c>
      <c r="AD6505" s="80" t="s">
        <v>138</v>
      </c>
      <c r="AE6505" s="80"/>
      <c r="AF6505" s="17">
        <v>45659</v>
      </c>
      <c r="AG6505" s="80"/>
      <c r="AH6505" s="80"/>
      <c r="AI6505" s="147"/>
      <c r="AJ6505" s="80">
        <f>COUNTIF(K6505:K6549,K6505)</f>
        <v>1</v>
      </c>
      <c r="AK6505" s="80"/>
      <c r="AL6505" s="35"/>
      <c r="AM6505" s="35"/>
      <c r="AN6505" s="35"/>
      <c r="AO6505" s="35"/>
      <c r="AP6505" s="35"/>
    </row>
    <row r="6506" spans="1:42" x14ac:dyDescent="0.2">
      <c r="A6506" s="126">
        <v>45642.31509694444</v>
      </c>
      <c r="B6506" s="137" t="s">
        <v>37</v>
      </c>
      <c r="C6506" s="41" t="s">
        <v>118</v>
      </c>
      <c r="D6506" s="80" t="s">
        <v>36</v>
      </c>
      <c r="E6506" s="80" t="s">
        <v>77</v>
      </c>
      <c r="F6506" s="80" t="s">
        <v>40</v>
      </c>
      <c r="G6506" s="80" t="s">
        <v>41</v>
      </c>
      <c r="H6506" s="80" t="s">
        <v>19308</v>
      </c>
      <c r="I6506" s="17">
        <f ca="1">IFERROR(__xludf.DUMMYFUNCTION("""COMPUTED_VALUE"""),45709)</f>
        <v>45709</v>
      </c>
      <c r="J6506" s="143" t="s">
        <v>20523</v>
      </c>
      <c r="K6506" s="80" t="s">
        <v>20524</v>
      </c>
      <c r="L6506" s="30">
        <v>941857440</v>
      </c>
      <c r="M6506" s="80" t="s">
        <v>9422</v>
      </c>
      <c r="N6506" s="80" t="s">
        <v>20525</v>
      </c>
      <c r="O6506" s="80" t="s">
        <v>8827</v>
      </c>
      <c r="P6506" s="80" t="s">
        <v>19312</v>
      </c>
      <c r="Q6506" s="20">
        <v>1968</v>
      </c>
      <c r="R6506" s="80" t="s">
        <v>36</v>
      </c>
      <c r="S6506" s="95">
        <f>1000+968</f>
        <v>1968</v>
      </c>
      <c r="T6506" s="83" t="s">
        <v>20526</v>
      </c>
      <c r="U6506" s="77"/>
      <c r="V6506" s="78"/>
      <c r="W6506" s="85" t="s">
        <v>20527</v>
      </c>
      <c r="X6506" s="80"/>
      <c r="Y6506" s="22">
        <v>0</v>
      </c>
      <c r="Z6506" s="80" t="s">
        <v>50</v>
      </c>
      <c r="AA6506" s="86" t="s">
        <v>20522</v>
      </c>
      <c r="AB6506" s="82"/>
      <c r="AC6506" s="80" t="s">
        <v>53</v>
      </c>
      <c r="AD6506" s="80" t="s">
        <v>54</v>
      </c>
      <c r="AE6506" s="80"/>
      <c r="AF6506" s="17">
        <v>45712</v>
      </c>
      <c r="AG6506" s="80" t="s">
        <v>20528</v>
      </c>
      <c r="AH6506" s="80"/>
      <c r="AI6506" s="147"/>
      <c r="AJ6506" s="80"/>
      <c r="AK6506" s="80"/>
      <c r="AL6506" s="35"/>
      <c r="AM6506" s="35"/>
      <c r="AN6506" s="35"/>
      <c r="AO6506" s="35"/>
      <c r="AP6506" s="35"/>
    </row>
    <row r="6507" spans="1:42" x14ac:dyDescent="0.2">
      <c r="A6507" s="126">
        <v>45649.014431574076</v>
      </c>
      <c r="B6507" s="137" t="s">
        <v>37</v>
      </c>
      <c r="C6507" s="41" t="s">
        <v>118</v>
      </c>
      <c r="D6507" s="80" t="s">
        <v>36</v>
      </c>
      <c r="E6507" s="80" t="s">
        <v>139</v>
      </c>
      <c r="F6507" s="80" t="s">
        <v>40</v>
      </c>
      <c r="G6507" s="80" t="s">
        <v>41</v>
      </c>
      <c r="H6507" s="80" t="s">
        <v>19121</v>
      </c>
      <c r="I6507" s="17">
        <f ca="1">IFERROR(__xludf.DUMMYFUNCTION("""COMPUTED_VALUE"""),45659)</f>
        <v>45659</v>
      </c>
      <c r="J6507" s="143" t="s">
        <v>20315</v>
      </c>
      <c r="K6507" s="80" t="s">
        <v>20529</v>
      </c>
      <c r="L6507" s="30">
        <v>965298217</v>
      </c>
      <c r="M6507" s="80" t="s">
        <v>15996</v>
      </c>
      <c r="N6507" s="80" t="s">
        <v>186</v>
      </c>
      <c r="O6507" s="80" t="s">
        <v>4503</v>
      </c>
      <c r="P6507" s="80" t="s">
        <v>3487</v>
      </c>
      <c r="Q6507" s="20">
        <v>15936</v>
      </c>
      <c r="R6507" s="80" t="s">
        <v>70</v>
      </c>
      <c r="S6507" s="95">
        <f>200+3000</f>
        <v>3200</v>
      </c>
      <c r="T6507" s="83" t="s">
        <v>20317</v>
      </c>
      <c r="U6507" s="95">
        <v>12636</v>
      </c>
      <c r="V6507" s="148">
        <v>45697</v>
      </c>
      <c r="W6507" s="85" t="s">
        <v>20318</v>
      </c>
      <c r="X6507" s="80"/>
      <c r="Y6507" s="22">
        <v>100</v>
      </c>
      <c r="Z6507" s="80" t="s">
        <v>50</v>
      </c>
      <c r="AA6507" s="82" t="s">
        <v>20522</v>
      </c>
      <c r="AB6507" s="86"/>
      <c r="AC6507" s="80" t="s">
        <v>53</v>
      </c>
      <c r="AD6507" s="80" t="s">
        <v>138</v>
      </c>
      <c r="AE6507" s="80"/>
      <c r="AF6507" s="17">
        <v>45659</v>
      </c>
      <c r="AG6507" s="80"/>
      <c r="AH6507" s="80"/>
      <c r="AI6507" s="147"/>
      <c r="AJ6507" s="80">
        <f>COUNTIF(K6507:K7365,K6507)</f>
        <v>1</v>
      </c>
      <c r="AK6507" s="80"/>
      <c r="AL6507" s="35"/>
      <c r="AM6507" s="35"/>
      <c r="AN6507" s="35"/>
      <c r="AO6507" s="35"/>
      <c r="AP6507" s="35"/>
    </row>
    <row r="6508" spans="1:42" x14ac:dyDescent="0.2">
      <c r="A6508" s="126">
        <v>45659.892984340273</v>
      </c>
      <c r="B6508" s="137" t="s">
        <v>37</v>
      </c>
      <c r="C6508" s="41" t="s">
        <v>118</v>
      </c>
      <c r="D6508" s="80" t="s">
        <v>36</v>
      </c>
      <c r="E6508" s="80" t="s">
        <v>56</v>
      </c>
      <c r="F6508" s="80" t="s">
        <v>40</v>
      </c>
      <c r="G6508" s="80" t="s">
        <v>41</v>
      </c>
      <c r="H6508" s="80" t="s">
        <v>19699</v>
      </c>
      <c r="I6508" s="17">
        <f ca="1">IFERROR(__xludf.DUMMYFUNCTION("""COMPUTED_VALUE"""),45698)</f>
        <v>45698</v>
      </c>
      <c r="J6508" s="143" t="s">
        <v>20530</v>
      </c>
      <c r="K6508" s="80" t="s">
        <v>20531</v>
      </c>
      <c r="L6508" s="30">
        <v>985589530</v>
      </c>
      <c r="M6508" s="80" t="s">
        <v>18749</v>
      </c>
      <c r="N6508" s="80" t="s">
        <v>5559</v>
      </c>
      <c r="O6508" s="80" t="s">
        <v>4503</v>
      </c>
      <c r="P6508" s="80" t="s">
        <v>20532</v>
      </c>
      <c r="Q6508" s="20">
        <v>9317</v>
      </c>
      <c r="R6508" s="80" t="s">
        <v>36</v>
      </c>
      <c r="S6508" s="95">
        <f>200+1800</f>
        <v>2000</v>
      </c>
      <c r="T6508" s="83" t="s">
        <v>20533</v>
      </c>
      <c r="U6508" s="95">
        <v>7317</v>
      </c>
      <c r="V6508" s="148">
        <v>45691</v>
      </c>
      <c r="W6508" s="85" t="s">
        <v>20534</v>
      </c>
      <c r="X6508" s="80"/>
      <c r="Y6508" s="22">
        <v>0</v>
      </c>
      <c r="Z6508" s="80" t="s">
        <v>50</v>
      </c>
      <c r="AA6508" s="86" t="s">
        <v>20522</v>
      </c>
      <c r="AB6508" s="82"/>
      <c r="AC6508" s="80" t="s">
        <v>53</v>
      </c>
      <c r="AD6508" s="80" t="s">
        <v>54</v>
      </c>
      <c r="AE6508" s="80"/>
      <c r="AF6508" s="17">
        <v>45670</v>
      </c>
      <c r="AG6508" s="80"/>
      <c r="AH6508" s="80"/>
      <c r="AI6508" s="147"/>
      <c r="AJ6508" s="80"/>
      <c r="AK6508" s="80"/>
      <c r="AL6508" s="35"/>
      <c r="AM6508" s="35"/>
      <c r="AN6508" s="35"/>
      <c r="AO6508" s="35"/>
      <c r="AP6508" s="35"/>
    </row>
    <row r="6509" spans="1:42" x14ac:dyDescent="0.2">
      <c r="A6509" s="126">
        <v>45661.86119729167</v>
      </c>
      <c r="B6509" s="137" t="s">
        <v>37</v>
      </c>
      <c r="C6509" s="41" t="s">
        <v>118</v>
      </c>
      <c r="D6509" s="80" t="s">
        <v>36</v>
      </c>
      <c r="E6509" s="80" t="s">
        <v>56</v>
      </c>
      <c r="F6509" s="80" t="s">
        <v>40</v>
      </c>
      <c r="G6509" s="80" t="s">
        <v>41</v>
      </c>
      <c r="H6509" s="80" t="s">
        <v>20535</v>
      </c>
      <c r="I6509" s="17">
        <f ca="1">IFERROR(__xludf.DUMMYFUNCTION("""COMPUTED_VALUE"""),45733)</f>
        <v>45733</v>
      </c>
      <c r="J6509" s="143" t="s">
        <v>20536</v>
      </c>
      <c r="K6509" s="80" t="s">
        <v>20537</v>
      </c>
      <c r="L6509" s="30">
        <v>945624216</v>
      </c>
      <c r="M6509" s="80" t="s">
        <v>17759</v>
      </c>
      <c r="N6509" s="80" t="s">
        <v>2756</v>
      </c>
      <c r="O6509" s="80" t="s">
        <v>4503</v>
      </c>
      <c r="P6509" s="115" t="s">
        <v>20538</v>
      </c>
      <c r="Q6509" s="20">
        <v>9317</v>
      </c>
      <c r="R6509" s="80" t="s">
        <v>36</v>
      </c>
      <c r="S6509" s="95">
        <v>2000</v>
      </c>
      <c r="T6509" s="148">
        <v>45660</v>
      </c>
      <c r="U6509" s="95">
        <v>7317</v>
      </c>
      <c r="V6509" s="148">
        <v>45709</v>
      </c>
      <c r="W6509" s="85" t="s">
        <v>20539</v>
      </c>
      <c r="X6509" s="80"/>
      <c r="Y6509" s="22">
        <v>0</v>
      </c>
      <c r="Z6509" s="80" t="s">
        <v>50</v>
      </c>
      <c r="AA6509" s="82" t="s">
        <v>20522</v>
      </c>
      <c r="AB6509" s="86"/>
      <c r="AC6509" s="80" t="s">
        <v>53</v>
      </c>
      <c r="AD6509" s="80" t="s">
        <v>54</v>
      </c>
      <c r="AE6509" s="80"/>
      <c r="AF6509" s="17">
        <v>45666</v>
      </c>
      <c r="AG6509" s="80"/>
      <c r="AH6509" s="80"/>
      <c r="AI6509" s="147"/>
      <c r="AJ6509" s="80"/>
      <c r="AK6509" s="80"/>
      <c r="AL6509" s="35"/>
      <c r="AM6509" s="35"/>
      <c r="AN6509" s="35"/>
      <c r="AO6509" s="35"/>
      <c r="AP6509" s="35"/>
    </row>
    <row r="6510" spans="1:42" x14ac:dyDescent="0.2">
      <c r="A6510" s="126">
        <v>45670.88937881944</v>
      </c>
      <c r="B6510" s="137" t="s">
        <v>37</v>
      </c>
      <c r="C6510" s="41" t="s">
        <v>118</v>
      </c>
      <c r="D6510" s="80" t="s">
        <v>36</v>
      </c>
      <c r="E6510" s="80" t="s">
        <v>139</v>
      </c>
      <c r="F6510" s="80" t="s">
        <v>36</v>
      </c>
      <c r="G6510" s="80" t="s">
        <v>41</v>
      </c>
      <c r="H6510" s="80" t="s">
        <v>15282</v>
      </c>
      <c r="I6510" s="17">
        <f ca="1">IFERROR(__xludf.DUMMYFUNCTION("""COMPUTED_VALUE"""),45674)</f>
        <v>45674</v>
      </c>
      <c r="J6510" s="143" t="s">
        <v>20540</v>
      </c>
      <c r="K6510" s="80" t="s">
        <v>20541</v>
      </c>
      <c r="L6510" s="30">
        <v>364126880</v>
      </c>
      <c r="M6510" s="80" t="s">
        <v>12529</v>
      </c>
      <c r="N6510" s="80" t="s">
        <v>13566</v>
      </c>
      <c r="O6510" s="80" t="s">
        <v>20542</v>
      </c>
      <c r="P6510" s="80" t="s">
        <v>20543</v>
      </c>
      <c r="Q6510" s="20">
        <v>15936</v>
      </c>
      <c r="R6510" s="80" t="s">
        <v>36</v>
      </c>
      <c r="S6510" s="95">
        <f>200+1800</f>
        <v>2000</v>
      </c>
      <c r="T6510" s="83" t="s">
        <v>20544</v>
      </c>
      <c r="U6510" s="95">
        <v>13936</v>
      </c>
      <c r="V6510" s="148">
        <v>45697</v>
      </c>
      <c r="W6510" s="80" t="s">
        <v>20545</v>
      </c>
      <c r="X6510" s="80"/>
      <c r="Y6510" s="22">
        <v>0</v>
      </c>
      <c r="Z6510" s="80" t="s">
        <v>50</v>
      </c>
      <c r="AA6510" s="86" t="s">
        <v>20522</v>
      </c>
      <c r="AB6510" s="82"/>
      <c r="AC6510" s="80" t="s">
        <v>2218</v>
      </c>
      <c r="AD6510" s="80" t="s">
        <v>54</v>
      </c>
      <c r="AE6510" s="80"/>
      <c r="AF6510" s="17">
        <v>45670</v>
      </c>
      <c r="AG6510" s="80" t="s">
        <v>17715</v>
      </c>
      <c r="AH6510" s="80"/>
      <c r="AI6510" s="147"/>
      <c r="AJ6510" s="80"/>
      <c r="AK6510" s="80"/>
      <c r="AL6510" s="35"/>
      <c r="AM6510" s="35"/>
      <c r="AN6510" s="35"/>
      <c r="AO6510" s="35"/>
      <c r="AP6510" s="35"/>
    </row>
    <row r="6511" spans="1:42" x14ac:dyDescent="0.2">
      <c r="A6511" s="38">
        <v>45672</v>
      </c>
      <c r="B6511" s="137" t="s">
        <v>37</v>
      </c>
      <c r="C6511" s="41" t="s">
        <v>118</v>
      </c>
      <c r="D6511" s="80" t="s">
        <v>36</v>
      </c>
      <c r="E6511" s="80" t="s">
        <v>106</v>
      </c>
      <c r="F6511" s="80" t="s">
        <v>19803</v>
      </c>
      <c r="G6511" s="80" t="s">
        <v>108</v>
      </c>
      <c r="H6511" s="80" t="s">
        <v>18568</v>
      </c>
      <c r="I6511" s="17">
        <f ca="1">IFERROR(__xludf.DUMMYFUNCTION("""COMPUTED_VALUE"""),45699)</f>
        <v>45699</v>
      </c>
      <c r="J6511" s="143" t="s">
        <v>13442</v>
      </c>
      <c r="K6511" s="145" t="s">
        <v>20546</v>
      </c>
      <c r="L6511" s="30">
        <v>984219372</v>
      </c>
      <c r="M6511" s="80" t="s">
        <v>5429</v>
      </c>
      <c r="N6511" s="80" t="s">
        <v>11095</v>
      </c>
      <c r="O6511" s="80" t="s">
        <v>13444</v>
      </c>
      <c r="P6511" s="80" t="s">
        <v>7107</v>
      </c>
      <c r="Q6511" s="20">
        <v>3768</v>
      </c>
      <c r="R6511" s="80" t="s">
        <v>36</v>
      </c>
      <c r="S6511" s="95">
        <v>3768</v>
      </c>
      <c r="T6511" s="148">
        <v>45691</v>
      </c>
      <c r="U6511" s="77"/>
      <c r="V6511" s="78"/>
      <c r="W6511" s="79" t="s">
        <v>20547</v>
      </c>
      <c r="X6511" s="83"/>
      <c r="Y6511" s="22">
        <v>0</v>
      </c>
      <c r="Z6511" s="80" t="s">
        <v>50</v>
      </c>
      <c r="AA6511" s="82" t="s">
        <v>20522</v>
      </c>
      <c r="AB6511" s="80"/>
      <c r="AC6511" s="80" t="s">
        <v>53</v>
      </c>
      <c r="AD6511" s="80" t="s">
        <v>138</v>
      </c>
      <c r="AE6511" s="80" t="s">
        <v>13441</v>
      </c>
      <c r="AF6511" s="17">
        <v>45699</v>
      </c>
      <c r="AG6511" s="80"/>
      <c r="AH6511" s="80"/>
      <c r="AI6511" s="147" t="s">
        <v>84</v>
      </c>
      <c r="AJ6511" s="80"/>
      <c r="AK6511" s="80"/>
      <c r="AL6511" s="86"/>
      <c r="AM6511" s="86"/>
      <c r="AN6511" s="86"/>
      <c r="AO6511" s="86"/>
      <c r="AP6511" s="86"/>
    </row>
    <row r="6512" spans="1:42" x14ac:dyDescent="0.2">
      <c r="A6512" s="38">
        <v>45674</v>
      </c>
      <c r="B6512" s="28" t="s">
        <v>37</v>
      </c>
      <c r="C6512" s="41" t="s">
        <v>118</v>
      </c>
      <c r="D6512" s="80" t="s">
        <v>36</v>
      </c>
      <c r="E6512" s="26" t="s">
        <v>77</v>
      </c>
      <c r="F6512" s="80" t="s">
        <v>40</v>
      </c>
      <c r="G6512" s="80" t="s">
        <v>41</v>
      </c>
      <c r="H6512" s="80" t="s">
        <v>16525</v>
      </c>
      <c r="I6512" s="17">
        <f ca="1">IFERROR(__xludf.DUMMYFUNCTION("""COMPUTED_VALUE"""),45708)</f>
        <v>45708</v>
      </c>
      <c r="J6512" s="143" t="s">
        <v>20548</v>
      </c>
      <c r="K6512" s="182" t="s">
        <v>20549</v>
      </c>
      <c r="L6512" s="30">
        <v>945880368</v>
      </c>
      <c r="M6512" s="26" t="s">
        <v>1245</v>
      </c>
      <c r="N6512" s="26" t="s">
        <v>1246</v>
      </c>
      <c r="O6512" s="26"/>
      <c r="P6512" s="26" t="s">
        <v>20550</v>
      </c>
      <c r="Q6512" s="20">
        <v>1968</v>
      </c>
      <c r="R6512" s="80" t="s">
        <v>36</v>
      </c>
      <c r="S6512" s="95">
        <f>1000+968</f>
        <v>1968</v>
      </c>
      <c r="T6512" s="83" t="s">
        <v>20551</v>
      </c>
      <c r="U6512" s="31"/>
      <c r="V6512" s="32"/>
      <c r="W6512" s="85" t="s">
        <v>20552</v>
      </c>
      <c r="X6512" s="26"/>
      <c r="Y6512" s="22">
        <v>0</v>
      </c>
      <c r="Z6512" s="26" t="s">
        <v>50</v>
      </c>
      <c r="AA6512" s="86" t="s">
        <v>20522</v>
      </c>
      <c r="AB6512" s="26"/>
      <c r="AC6512" s="80" t="s">
        <v>53</v>
      </c>
      <c r="AD6512" s="80" t="s">
        <v>138</v>
      </c>
      <c r="AE6512" s="26"/>
      <c r="AF6512" s="17">
        <v>45708</v>
      </c>
      <c r="AG6512" s="26"/>
      <c r="AH6512" s="26"/>
      <c r="AI6512" s="40"/>
      <c r="AJ6512" s="26"/>
      <c r="AK6512" s="26"/>
      <c r="AL6512" s="35"/>
      <c r="AM6512" s="35"/>
      <c r="AN6512" s="35"/>
      <c r="AO6512" s="35"/>
      <c r="AP6512" s="35"/>
    </row>
    <row r="6513" spans="1:42" x14ac:dyDescent="0.2">
      <c r="A6513" s="126">
        <v>45673.389550335647</v>
      </c>
      <c r="B6513" s="137" t="s">
        <v>37</v>
      </c>
      <c r="C6513" s="41" t="s">
        <v>118</v>
      </c>
      <c r="D6513" s="80" t="s">
        <v>36</v>
      </c>
      <c r="E6513" s="80" t="s">
        <v>56</v>
      </c>
      <c r="F6513" s="80" t="s">
        <v>40</v>
      </c>
      <c r="G6513" s="80" t="s">
        <v>41</v>
      </c>
      <c r="H6513" s="80" t="s">
        <v>20553</v>
      </c>
      <c r="I6513" s="17">
        <f ca="1">IFERROR(__xludf.DUMMYFUNCTION("""COMPUTED_VALUE"""),45751)</f>
        <v>45751</v>
      </c>
      <c r="J6513" s="143" t="s">
        <v>20554</v>
      </c>
      <c r="K6513" s="80" t="s">
        <v>20555</v>
      </c>
      <c r="L6513" s="30">
        <v>392850295</v>
      </c>
      <c r="M6513" s="80" t="s">
        <v>59</v>
      </c>
      <c r="N6513" s="80" t="s">
        <v>11476</v>
      </c>
      <c r="O6513" s="80" t="s">
        <v>20556</v>
      </c>
      <c r="P6513" s="80" t="s">
        <v>12687</v>
      </c>
      <c r="Q6513" s="20">
        <v>9317</v>
      </c>
      <c r="R6513" s="80" t="s">
        <v>36</v>
      </c>
      <c r="S6513" s="95">
        <f>50+9267</f>
        <v>9317</v>
      </c>
      <c r="T6513" s="83" t="s">
        <v>20557</v>
      </c>
      <c r="U6513" s="77"/>
      <c r="V6513" s="78"/>
      <c r="W6513" s="85" t="s">
        <v>20558</v>
      </c>
      <c r="X6513" s="80"/>
      <c r="Y6513" s="22">
        <v>0</v>
      </c>
      <c r="Z6513" s="80" t="s">
        <v>50</v>
      </c>
      <c r="AA6513" s="82" t="s">
        <v>20522</v>
      </c>
      <c r="AB6513" s="80"/>
      <c r="AC6513" s="80" t="s">
        <v>53</v>
      </c>
      <c r="AD6513" s="80" t="s">
        <v>138</v>
      </c>
      <c r="AE6513" s="80"/>
      <c r="AF6513" s="17">
        <v>45708</v>
      </c>
      <c r="AG6513" s="80"/>
      <c r="AH6513" s="80"/>
      <c r="AI6513" s="147"/>
      <c r="AJ6513" s="80"/>
      <c r="AK6513" s="80"/>
      <c r="AL6513" s="35"/>
      <c r="AM6513" s="35"/>
      <c r="AN6513" s="35"/>
      <c r="AO6513" s="35"/>
      <c r="AP6513" s="35"/>
    </row>
    <row r="6514" spans="1:42" x14ac:dyDescent="0.2">
      <c r="A6514" s="38">
        <v>45674</v>
      </c>
      <c r="B6514" s="28" t="s">
        <v>37</v>
      </c>
      <c r="C6514" s="41" t="s">
        <v>118</v>
      </c>
      <c r="D6514" s="80" t="s">
        <v>36</v>
      </c>
      <c r="E6514" s="80" t="s">
        <v>119</v>
      </c>
      <c r="F6514" s="80" t="s">
        <v>14051</v>
      </c>
      <c r="G6514" s="80" t="s">
        <v>108</v>
      </c>
      <c r="H6514" s="80" t="s">
        <v>14088</v>
      </c>
      <c r="I6514" s="17">
        <f ca="1">IFERROR(__xludf.DUMMYFUNCTION("""COMPUTED_VALUE"""),45699)</f>
        <v>45699</v>
      </c>
      <c r="J6514" s="143" t="s">
        <v>14052</v>
      </c>
      <c r="K6514" s="145" t="s">
        <v>10009</v>
      </c>
      <c r="L6514" s="30">
        <v>326646383</v>
      </c>
      <c r="M6514" s="80" t="s">
        <v>910</v>
      </c>
      <c r="N6514" s="80" t="s">
        <v>355</v>
      </c>
      <c r="O6514" s="80" t="s">
        <v>91</v>
      </c>
      <c r="P6514" s="80" t="s">
        <v>12578</v>
      </c>
      <c r="Q6514" s="20">
        <v>13968</v>
      </c>
      <c r="R6514" s="80" t="s">
        <v>36</v>
      </c>
      <c r="S6514" s="95">
        <v>13968</v>
      </c>
      <c r="T6514" s="148">
        <v>45692</v>
      </c>
      <c r="U6514" s="77"/>
      <c r="V6514" s="78"/>
      <c r="W6514" s="79" t="s">
        <v>20559</v>
      </c>
      <c r="X6514" s="80"/>
      <c r="Y6514" s="22">
        <v>0</v>
      </c>
      <c r="Z6514" s="26" t="s">
        <v>50</v>
      </c>
      <c r="AA6514" s="86" t="s">
        <v>20522</v>
      </c>
      <c r="AB6514" s="80"/>
      <c r="AC6514" s="80" t="s">
        <v>53</v>
      </c>
      <c r="AD6514" s="80" t="s">
        <v>138</v>
      </c>
      <c r="AE6514" s="80" t="s">
        <v>14051</v>
      </c>
      <c r="AF6514" s="17">
        <v>45698</v>
      </c>
      <c r="AG6514" s="80"/>
      <c r="AH6514" s="80"/>
      <c r="AI6514" s="147"/>
      <c r="AJ6514" s="80"/>
      <c r="AK6514" s="80"/>
      <c r="AL6514" s="86"/>
      <c r="AM6514" s="86"/>
      <c r="AN6514" s="86"/>
      <c r="AO6514" s="86"/>
      <c r="AP6514" s="86"/>
    </row>
    <row r="6515" spans="1:42" x14ac:dyDescent="0.2">
      <c r="A6515" s="126">
        <v>45674.636813321762</v>
      </c>
      <c r="B6515" s="28" t="s">
        <v>37</v>
      </c>
      <c r="C6515" s="41" t="s">
        <v>118</v>
      </c>
      <c r="D6515" s="80" t="s">
        <v>36</v>
      </c>
      <c r="E6515" s="80" t="s">
        <v>148</v>
      </c>
      <c r="F6515" s="80" t="s">
        <v>36</v>
      </c>
      <c r="G6515" s="80" t="s">
        <v>108</v>
      </c>
      <c r="H6515" s="80" t="s">
        <v>14088</v>
      </c>
      <c r="I6515" s="17">
        <f ca="1">IFERROR(__xludf.DUMMYFUNCTION("""COMPUTED_VALUE"""),45699)</f>
        <v>45699</v>
      </c>
      <c r="J6515" s="143" t="s">
        <v>20560</v>
      </c>
      <c r="K6515" s="80" t="s">
        <v>20561</v>
      </c>
      <c r="L6515" s="30">
        <v>344515608</v>
      </c>
      <c r="M6515" s="80" t="s">
        <v>12644</v>
      </c>
      <c r="N6515" s="80" t="s">
        <v>260</v>
      </c>
      <c r="O6515" s="80" t="s">
        <v>20562</v>
      </c>
      <c r="P6515" s="80" t="s">
        <v>13226</v>
      </c>
      <c r="Q6515" s="20">
        <v>7349</v>
      </c>
      <c r="R6515" s="80" t="s">
        <v>36</v>
      </c>
      <c r="S6515" s="95">
        <f t="shared" ref="S6515:S6516" si="192">200+3800</f>
        <v>4000</v>
      </c>
      <c r="T6515" s="83" t="s">
        <v>20563</v>
      </c>
      <c r="U6515" s="95">
        <v>3349</v>
      </c>
      <c r="V6515" s="148">
        <v>45715</v>
      </c>
      <c r="W6515" s="85" t="s">
        <v>20564</v>
      </c>
      <c r="X6515" s="80"/>
      <c r="Y6515" s="22">
        <v>0</v>
      </c>
      <c r="Z6515" s="80" t="s">
        <v>50</v>
      </c>
      <c r="AA6515" s="82" t="s">
        <v>20522</v>
      </c>
      <c r="AB6515" s="80"/>
      <c r="AC6515" s="80" t="s">
        <v>53</v>
      </c>
      <c r="AD6515" s="80" t="s">
        <v>138</v>
      </c>
      <c r="AE6515" s="80" t="s">
        <v>20565</v>
      </c>
      <c r="AF6515" s="17">
        <v>45698</v>
      </c>
      <c r="AG6515" s="80"/>
      <c r="AH6515" s="80"/>
      <c r="AI6515" s="147"/>
      <c r="AJ6515" s="80"/>
      <c r="AK6515" s="80"/>
      <c r="AL6515" s="35"/>
      <c r="AM6515" s="35"/>
      <c r="AN6515" s="35"/>
      <c r="AO6515" s="35"/>
      <c r="AP6515" s="35"/>
    </row>
    <row r="6516" spans="1:42" x14ac:dyDescent="0.2">
      <c r="A6516" s="126">
        <v>45675.956308078705</v>
      </c>
      <c r="B6516" s="137" t="s">
        <v>37</v>
      </c>
      <c r="C6516" s="41" t="s">
        <v>118</v>
      </c>
      <c r="D6516" s="80" t="s">
        <v>36</v>
      </c>
      <c r="E6516" s="80" t="s">
        <v>119</v>
      </c>
      <c r="F6516" s="80" t="s">
        <v>36</v>
      </c>
      <c r="G6516" s="80" t="s">
        <v>108</v>
      </c>
      <c r="H6516" s="80" t="s">
        <v>18568</v>
      </c>
      <c r="I6516" s="17">
        <f ca="1">IFERROR(__xludf.DUMMYFUNCTION("""COMPUTED_VALUE"""),45699)</f>
        <v>45699</v>
      </c>
      <c r="J6516" s="143" t="s">
        <v>20566</v>
      </c>
      <c r="K6516" s="80" t="s">
        <v>20567</v>
      </c>
      <c r="L6516" s="30">
        <v>936605525</v>
      </c>
      <c r="M6516" s="80" t="s">
        <v>12644</v>
      </c>
      <c r="N6516" s="80" t="s">
        <v>8725</v>
      </c>
      <c r="O6516" s="80" t="s">
        <v>20568</v>
      </c>
      <c r="P6516" s="80" t="s">
        <v>20569</v>
      </c>
      <c r="Q6516" s="20">
        <v>13968</v>
      </c>
      <c r="R6516" s="80" t="s">
        <v>36</v>
      </c>
      <c r="S6516" s="95">
        <f t="shared" si="192"/>
        <v>4000</v>
      </c>
      <c r="T6516" s="83" t="s">
        <v>20570</v>
      </c>
      <c r="U6516" s="95">
        <v>9968</v>
      </c>
      <c r="V6516" s="148">
        <v>45700</v>
      </c>
      <c r="W6516" s="85" t="s">
        <v>20571</v>
      </c>
      <c r="X6516" s="80"/>
      <c r="Y6516" s="22">
        <v>0</v>
      </c>
      <c r="Z6516" s="80" t="s">
        <v>50</v>
      </c>
      <c r="AA6516" s="86" t="s">
        <v>20522</v>
      </c>
      <c r="AB6516" s="80"/>
      <c r="AC6516" s="80" t="s">
        <v>53</v>
      </c>
      <c r="AD6516" s="80" t="s">
        <v>138</v>
      </c>
      <c r="AE6516" s="80" t="s">
        <v>20572</v>
      </c>
      <c r="AF6516" s="17">
        <v>45699</v>
      </c>
      <c r="AG6516" s="80"/>
      <c r="AH6516" s="80"/>
      <c r="AI6516" s="147"/>
      <c r="AJ6516" s="80"/>
      <c r="AK6516" s="80"/>
      <c r="AL6516" s="35"/>
      <c r="AM6516" s="35"/>
      <c r="AN6516" s="35"/>
      <c r="AO6516" s="35"/>
      <c r="AP6516" s="35"/>
    </row>
    <row r="6517" spans="1:42" x14ac:dyDescent="0.2">
      <c r="A6517" s="126">
        <v>45693.995103472218</v>
      </c>
      <c r="B6517" s="28" t="s">
        <v>37</v>
      </c>
      <c r="C6517" s="41" t="s">
        <v>105</v>
      </c>
      <c r="D6517" s="80" t="s">
        <v>36</v>
      </c>
      <c r="E6517" s="80" t="s">
        <v>106</v>
      </c>
      <c r="F6517" s="80" t="s">
        <v>13850</v>
      </c>
      <c r="G6517" s="80" t="s">
        <v>108</v>
      </c>
      <c r="H6517" s="80" t="s">
        <v>14471</v>
      </c>
      <c r="I6517" s="17">
        <f ca="1">IFERROR(__xludf.DUMMYFUNCTION("""COMPUTED_VALUE"""),45701)</f>
        <v>45701</v>
      </c>
      <c r="J6517" s="143" t="s">
        <v>17426</v>
      </c>
      <c r="K6517" s="80" t="s">
        <v>20573</v>
      </c>
      <c r="L6517" s="30">
        <v>976184806</v>
      </c>
      <c r="M6517" s="80" t="s">
        <v>12720</v>
      </c>
      <c r="N6517" s="80" t="s">
        <v>1073</v>
      </c>
      <c r="O6517" s="80" t="s">
        <v>91</v>
      </c>
      <c r="P6517" s="80" t="s">
        <v>17429</v>
      </c>
      <c r="Q6517" s="20">
        <v>3768</v>
      </c>
      <c r="R6517" s="80" t="s">
        <v>36</v>
      </c>
      <c r="S6517" s="95">
        <v>3768</v>
      </c>
      <c r="T6517" s="148">
        <v>45693</v>
      </c>
      <c r="U6517" s="77"/>
      <c r="V6517" s="78"/>
      <c r="W6517" s="85" t="s">
        <v>20574</v>
      </c>
      <c r="X6517" s="80"/>
      <c r="Y6517" s="22">
        <v>0</v>
      </c>
      <c r="Z6517" s="80" t="s">
        <v>50</v>
      </c>
      <c r="AA6517" s="82" t="s">
        <v>20522</v>
      </c>
      <c r="AB6517" s="80"/>
      <c r="AC6517" s="80" t="s">
        <v>53</v>
      </c>
      <c r="AD6517" s="80" t="s">
        <v>138</v>
      </c>
      <c r="AE6517" s="83">
        <v>400</v>
      </c>
      <c r="AF6517" s="17">
        <v>45695</v>
      </c>
      <c r="AG6517" s="80" t="s">
        <v>7078</v>
      </c>
      <c r="AH6517" s="80"/>
      <c r="AI6517" s="147"/>
      <c r="AJ6517" s="80"/>
      <c r="AK6517" s="80"/>
      <c r="AL6517" s="35"/>
      <c r="AM6517" s="35"/>
      <c r="AN6517" s="35"/>
      <c r="AO6517" s="35"/>
      <c r="AP6517" s="35"/>
    </row>
    <row r="6518" spans="1:42" x14ac:dyDescent="0.2">
      <c r="A6518" s="126">
        <v>45679.331140625</v>
      </c>
      <c r="B6518" s="137" t="s">
        <v>37</v>
      </c>
      <c r="C6518" s="41" t="s">
        <v>118</v>
      </c>
      <c r="D6518" s="80" t="s">
        <v>36</v>
      </c>
      <c r="E6518" s="80" t="s">
        <v>106</v>
      </c>
      <c r="F6518" s="80" t="s">
        <v>36</v>
      </c>
      <c r="G6518" s="80" t="s">
        <v>108</v>
      </c>
      <c r="H6518" s="80" t="s">
        <v>2945</v>
      </c>
      <c r="I6518" s="17">
        <f ca="1">IFERROR(__xludf.DUMMYFUNCTION("""COMPUTED_VALUE"""),45706)</f>
        <v>45706</v>
      </c>
      <c r="J6518" s="143" t="s">
        <v>20575</v>
      </c>
      <c r="K6518" s="80" t="s">
        <v>2364</v>
      </c>
      <c r="L6518" s="30">
        <v>984675918</v>
      </c>
      <c r="M6518" s="80" t="s">
        <v>45</v>
      </c>
      <c r="N6518" s="80" t="s">
        <v>1881</v>
      </c>
      <c r="O6518" s="80" t="s">
        <v>20576</v>
      </c>
      <c r="P6518" s="80" t="s">
        <v>3694</v>
      </c>
      <c r="Q6518" s="20">
        <v>3768</v>
      </c>
      <c r="R6518" s="80" t="s">
        <v>36</v>
      </c>
      <c r="S6518" s="95">
        <f>500+3268</f>
        <v>3768</v>
      </c>
      <c r="T6518" s="83" t="s">
        <v>20577</v>
      </c>
      <c r="U6518" s="77"/>
      <c r="V6518" s="78"/>
      <c r="W6518" s="85" t="s">
        <v>20578</v>
      </c>
      <c r="X6518" s="80"/>
      <c r="Y6518" s="22">
        <v>0</v>
      </c>
      <c r="Z6518" s="80" t="s">
        <v>50</v>
      </c>
      <c r="AA6518" s="86" t="s">
        <v>20522</v>
      </c>
      <c r="AB6518" s="80"/>
      <c r="AC6518" s="80" t="s">
        <v>53</v>
      </c>
      <c r="AD6518" s="80" t="s">
        <v>138</v>
      </c>
      <c r="AE6518" s="83">
        <v>400</v>
      </c>
      <c r="AF6518" s="17">
        <v>45706</v>
      </c>
      <c r="AG6518" s="80" t="s">
        <v>7078</v>
      </c>
      <c r="AH6518" s="80"/>
      <c r="AI6518" s="147"/>
      <c r="AJ6518" s="80"/>
      <c r="AK6518" s="80"/>
      <c r="AL6518" s="35"/>
      <c r="AM6518" s="35"/>
      <c r="AN6518" s="35"/>
      <c r="AO6518" s="35"/>
      <c r="AP6518" s="35"/>
    </row>
    <row r="6519" spans="1:42" x14ac:dyDescent="0.2">
      <c r="A6519" s="126">
        <v>45689.914109791665</v>
      </c>
      <c r="B6519" s="137" t="s">
        <v>37</v>
      </c>
      <c r="C6519" s="41" t="s">
        <v>118</v>
      </c>
      <c r="D6519" s="80" t="s">
        <v>36</v>
      </c>
      <c r="E6519" s="80" t="s">
        <v>139</v>
      </c>
      <c r="F6519" s="80" t="s">
        <v>40</v>
      </c>
      <c r="G6519" s="80" t="s">
        <v>41</v>
      </c>
      <c r="H6519" s="80" t="s">
        <v>19830</v>
      </c>
      <c r="I6519" s="17">
        <f ca="1">IFERROR(__xludf.DUMMYFUNCTION("""COMPUTED_VALUE"""),45698)</f>
        <v>45698</v>
      </c>
      <c r="J6519" s="143" t="s">
        <v>20579</v>
      </c>
      <c r="K6519" s="80" t="s">
        <v>20580</v>
      </c>
      <c r="L6519" s="30">
        <v>327077605</v>
      </c>
      <c r="M6519" s="80" t="s">
        <v>45</v>
      </c>
      <c r="N6519" s="80" t="s">
        <v>2847</v>
      </c>
      <c r="O6519" s="80" t="s">
        <v>20581</v>
      </c>
      <c r="P6519" s="80" t="s">
        <v>20582</v>
      </c>
      <c r="Q6519" s="20">
        <v>15936</v>
      </c>
      <c r="R6519" s="80" t="s">
        <v>36</v>
      </c>
      <c r="S6519" s="95">
        <v>15936</v>
      </c>
      <c r="T6519" s="148">
        <v>45689</v>
      </c>
      <c r="U6519" s="77"/>
      <c r="V6519" s="78"/>
      <c r="W6519" s="85" t="s">
        <v>20583</v>
      </c>
      <c r="X6519" s="80"/>
      <c r="Y6519" s="22">
        <v>0</v>
      </c>
      <c r="Z6519" s="80" t="s">
        <v>50</v>
      </c>
      <c r="AA6519" s="82" t="s">
        <v>20522</v>
      </c>
      <c r="AB6519" s="80"/>
      <c r="AC6519" s="80" t="s">
        <v>53</v>
      </c>
      <c r="AD6519" s="80" t="s">
        <v>54</v>
      </c>
      <c r="AE6519" s="83">
        <v>0</v>
      </c>
      <c r="AF6519" s="17">
        <v>45692</v>
      </c>
      <c r="AG6519" s="80" t="s">
        <v>20584</v>
      </c>
      <c r="AH6519" s="80"/>
      <c r="AI6519" s="147"/>
      <c r="AJ6519" s="80"/>
      <c r="AK6519" s="80"/>
      <c r="AL6519" s="35"/>
      <c r="AM6519" s="35"/>
      <c r="AN6519" s="35"/>
      <c r="AO6519" s="35"/>
      <c r="AP6519" s="35"/>
    </row>
    <row r="6520" spans="1:42" x14ac:dyDescent="0.2">
      <c r="A6520" s="126">
        <v>45690.686534768523</v>
      </c>
      <c r="B6520" s="137" t="s">
        <v>37</v>
      </c>
      <c r="C6520" s="41" t="s">
        <v>118</v>
      </c>
      <c r="D6520" s="80" t="s">
        <v>36</v>
      </c>
      <c r="E6520" s="80" t="s">
        <v>39</v>
      </c>
      <c r="F6520" s="80" t="s">
        <v>40</v>
      </c>
      <c r="G6520" s="80" t="s">
        <v>41</v>
      </c>
      <c r="H6520" s="80" t="s">
        <v>19830</v>
      </c>
      <c r="I6520" s="17">
        <f ca="1">IFERROR(__xludf.DUMMYFUNCTION("""COMPUTED_VALUE"""),45698)</f>
        <v>45698</v>
      </c>
      <c r="J6520" s="143" t="s">
        <v>20585</v>
      </c>
      <c r="K6520" s="80" t="s">
        <v>20586</v>
      </c>
      <c r="L6520" s="30">
        <v>358112487</v>
      </c>
      <c r="M6520" s="80" t="s">
        <v>45</v>
      </c>
      <c r="N6520" s="80" t="s">
        <v>16472</v>
      </c>
      <c r="O6520" s="80" t="s">
        <v>9235</v>
      </c>
      <c r="P6520" s="144" t="s">
        <v>20587</v>
      </c>
      <c r="Q6520" s="20">
        <v>5736</v>
      </c>
      <c r="R6520" s="80" t="s">
        <v>36</v>
      </c>
      <c r="S6520" s="95">
        <v>5736</v>
      </c>
      <c r="T6520" s="148">
        <v>45690</v>
      </c>
      <c r="U6520" s="77"/>
      <c r="V6520" s="78"/>
      <c r="W6520" s="85" t="s">
        <v>20588</v>
      </c>
      <c r="X6520" s="80"/>
      <c r="Y6520" s="22">
        <v>0</v>
      </c>
      <c r="Z6520" s="80" t="s">
        <v>50</v>
      </c>
      <c r="AA6520" s="86" t="s">
        <v>20522</v>
      </c>
      <c r="AB6520" s="80"/>
      <c r="AC6520" s="80" t="s">
        <v>53</v>
      </c>
      <c r="AD6520" s="80" t="s">
        <v>54</v>
      </c>
      <c r="AE6520" s="83">
        <v>0</v>
      </c>
      <c r="AF6520" s="17">
        <v>45693</v>
      </c>
      <c r="AG6520" s="80"/>
      <c r="AH6520" s="80"/>
      <c r="AI6520" s="147"/>
      <c r="AJ6520" s="80"/>
      <c r="AK6520" s="80"/>
      <c r="AL6520" s="35"/>
      <c r="AM6520" s="35"/>
      <c r="AN6520" s="35"/>
      <c r="AO6520" s="35"/>
      <c r="AP6520" s="35"/>
    </row>
    <row r="6521" spans="1:42" x14ac:dyDescent="0.2">
      <c r="A6521" s="126">
        <v>45691.415188125</v>
      </c>
      <c r="B6521" s="137" t="s">
        <v>37</v>
      </c>
      <c r="C6521" s="41" t="s">
        <v>118</v>
      </c>
      <c r="D6521" s="80" t="s">
        <v>36</v>
      </c>
      <c r="E6521" s="80" t="s">
        <v>77</v>
      </c>
      <c r="F6521" s="80" t="s">
        <v>36</v>
      </c>
      <c r="G6521" s="80" t="s">
        <v>41</v>
      </c>
      <c r="H6521" s="80" t="s">
        <v>19699</v>
      </c>
      <c r="I6521" s="17">
        <f ca="1">IFERROR(__xludf.DUMMYFUNCTION("""COMPUTED_VALUE"""),45698)</f>
        <v>45698</v>
      </c>
      <c r="J6521" s="143" t="s">
        <v>20589</v>
      </c>
      <c r="K6521" s="80" t="s">
        <v>20590</v>
      </c>
      <c r="L6521" s="30">
        <v>338318006</v>
      </c>
      <c r="M6521" s="80" t="s">
        <v>18358</v>
      </c>
      <c r="N6521" s="80" t="s">
        <v>20591</v>
      </c>
      <c r="O6521" s="80" t="s">
        <v>20592</v>
      </c>
      <c r="P6521" s="80" t="s">
        <v>20593</v>
      </c>
      <c r="Q6521" s="20">
        <v>1968</v>
      </c>
      <c r="R6521" s="80" t="s">
        <v>36</v>
      </c>
      <c r="S6521" s="95">
        <f>200+1768</f>
        <v>1968</v>
      </c>
      <c r="T6521" s="83" t="s">
        <v>20594</v>
      </c>
      <c r="U6521" s="77"/>
      <c r="V6521" s="78"/>
      <c r="W6521" s="85" t="s">
        <v>20595</v>
      </c>
      <c r="X6521" s="80"/>
      <c r="Y6521" s="22">
        <v>0</v>
      </c>
      <c r="Z6521" s="80" t="s">
        <v>50</v>
      </c>
      <c r="AA6521" s="82" t="s">
        <v>20522</v>
      </c>
      <c r="AB6521" s="80"/>
      <c r="AC6521" s="80" t="s">
        <v>53</v>
      </c>
      <c r="AD6521" s="80" t="s">
        <v>54</v>
      </c>
      <c r="AE6521" s="80" t="s">
        <v>20596</v>
      </c>
      <c r="AF6521" s="17">
        <v>45694</v>
      </c>
      <c r="AG6521" s="80"/>
      <c r="AH6521" s="80"/>
      <c r="AI6521" s="147"/>
      <c r="AJ6521" s="80"/>
      <c r="AK6521" s="80"/>
      <c r="AL6521" s="35"/>
      <c r="AM6521" s="35"/>
      <c r="AN6521" s="35"/>
      <c r="AO6521" s="35"/>
      <c r="AP6521" s="35"/>
    </row>
    <row r="6522" spans="1:42" x14ac:dyDescent="0.2">
      <c r="A6522" s="126">
        <v>45691.479479525464</v>
      </c>
      <c r="B6522" s="137" t="s">
        <v>37</v>
      </c>
      <c r="C6522" s="41" t="s">
        <v>118</v>
      </c>
      <c r="D6522" s="80" t="s">
        <v>36</v>
      </c>
      <c r="E6522" s="80" t="s">
        <v>56</v>
      </c>
      <c r="F6522" s="80" t="s">
        <v>40</v>
      </c>
      <c r="G6522" s="80" t="s">
        <v>41</v>
      </c>
      <c r="H6522" s="80" t="s">
        <v>16525</v>
      </c>
      <c r="I6522" s="17">
        <f ca="1">IFERROR(__xludf.DUMMYFUNCTION("""COMPUTED_VALUE"""),45708)</f>
        <v>45708</v>
      </c>
      <c r="J6522" s="143" t="s">
        <v>20597</v>
      </c>
      <c r="K6522" s="80" t="s">
        <v>20598</v>
      </c>
      <c r="L6522" s="30">
        <v>385460133</v>
      </c>
      <c r="M6522" s="80" t="s">
        <v>3288</v>
      </c>
      <c r="N6522" s="80" t="s">
        <v>200</v>
      </c>
      <c r="O6522" s="80" t="s">
        <v>91</v>
      </c>
      <c r="P6522" s="80" t="s">
        <v>3117</v>
      </c>
      <c r="Q6522" s="20">
        <v>9317</v>
      </c>
      <c r="R6522" s="80" t="s">
        <v>36</v>
      </c>
      <c r="S6522" s="95">
        <v>1968</v>
      </c>
      <c r="T6522" s="148">
        <v>45691</v>
      </c>
      <c r="U6522" s="95">
        <v>7349</v>
      </c>
      <c r="V6522" s="148">
        <v>45707</v>
      </c>
      <c r="W6522" s="80" t="s">
        <v>20599</v>
      </c>
      <c r="X6522" s="80"/>
      <c r="Y6522" s="22">
        <v>0</v>
      </c>
      <c r="Z6522" s="80" t="s">
        <v>50</v>
      </c>
      <c r="AA6522" s="86" t="s">
        <v>20522</v>
      </c>
      <c r="AB6522" s="80"/>
      <c r="AC6522" s="80" t="s">
        <v>53</v>
      </c>
      <c r="AD6522" s="80" t="s">
        <v>138</v>
      </c>
      <c r="AE6522" s="80"/>
      <c r="AF6522" s="17">
        <v>45708</v>
      </c>
      <c r="AG6522" s="80"/>
      <c r="AH6522" s="80"/>
      <c r="AI6522" s="147"/>
      <c r="AJ6522" s="80"/>
      <c r="AK6522" s="80"/>
      <c r="AL6522" s="35"/>
      <c r="AM6522" s="35"/>
      <c r="AN6522" s="35"/>
      <c r="AO6522" s="35"/>
      <c r="AP6522" s="35"/>
    </row>
    <row r="6523" spans="1:42" x14ac:dyDescent="0.2">
      <c r="A6523" s="126">
        <v>45691.587969537039</v>
      </c>
      <c r="B6523" s="137" t="s">
        <v>37</v>
      </c>
      <c r="C6523" s="41" t="s">
        <v>118</v>
      </c>
      <c r="D6523" s="80" t="s">
        <v>36</v>
      </c>
      <c r="E6523" s="80" t="s">
        <v>119</v>
      </c>
      <c r="F6523" s="80" t="s">
        <v>36</v>
      </c>
      <c r="G6523" s="80" t="s">
        <v>108</v>
      </c>
      <c r="H6523" s="80" t="s">
        <v>2945</v>
      </c>
      <c r="I6523" s="17">
        <f ca="1">IFERROR(__xludf.DUMMYFUNCTION("""COMPUTED_VALUE"""),45706)</f>
        <v>45706</v>
      </c>
      <c r="J6523" s="143" t="s">
        <v>20600</v>
      </c>
      <c r="K6523" s="80" t="s">
        <v>3524</v>
      </c>
      <c r="L6523" s="30">
        <v>862357366</v>
      </c>
      <c r="M6523" s="80" t="s">
        <v>3288</v>
      </c>
      <c r="N6523" s="80" t="s">
        <v>8331</v>
      </c>
      <c r="O6523" s="80" t="s">
        <v>91</v>
      </c>
      <c r="P6523" s="80" t="s">
        <v>3117</v>
      </c>
      <c r="Q6523" s="20">
        <v>13968</v>
      </c>
      <c r="R6523" s="80" t="s">
        <v>36</v>
      </c>
      <c r="S6523" s="95">
        <f>500+3500</f>
        <v>4000</v>
      </c>
      <c r="T6523" s="83" t="s">
        <v>20601</v>
      </c>
      <c r="U6523" s="95">
        <v>9968</v>
      </c>
      <c r="V6523" s="148">
        <v>45715</v>
      </c>
      <c r="W6523" s="85" t="s">
        <v>20602</v>
      </c>
      <c r="X6523" s="80"/>
      <c r="Y6523" s="22">
        <v>0</v>
      </c>
      <c r="Z6523" s="80" t="s">
        <v>50</v>
      </c>
      <c r="AA6523" s="82" t="s">
        <v>20522</v>
      </c>
      <c r="AB6523" s="80"/>
      <c r="AC6523" s="80" t="s">
        <v>53</v>
      </c>
      <c r="AD6523" s="80" t="s">
        <v>138</v>
      </c>
      <c r="AE6523" s="83">
        <v>500</v>
      </c>
      <c r="AF6523" s="17">
        <v>45706</v>
      </c>
      <c r="AG6523" s="80"/>
      <c r="AH6523" s="80"/>
      <c r="AI6523" s="147"/>
      <c r="AJ6523" s="80"/>
      <c r="AK6523" s="80"/>
      <c r="AL6523" s="35"/>
      <c r="AM6523" s="35"/>
      <c r="AN6523" s="35"/>
      <c r="AO6523" s="35"/>
      <c r="AP6523" s="35"/>
    </row>
    <row r="6524" spans="1:42" x14ac:dyDescent="0.2">
      <c r="A6524" s="126">
        <v>45691.591209189814</v>
      </c>
      <c r="B6524" s="137" t="s">
        <v>37</v>
      </c>
      <c r="C6524" s="41" t="s">
        <v>118</v>
      </c>
      <c r="D6524" s="80" t="s">
        <v>36</v>
      </c>
      <c r="E6524" s="80" t="s">
        <v>56</v>
      </c>
      <c r="F6524" s="80" t="s">
        <v>40</v>
      </c>
      <c r="G6524" s="80" t="s">
        <v>41</v>
      </c>
      <c r="H6524" s="80" t="s">
        <v>19830</v>
      </c>
      <c r="I6524" s="17">
        <f ca="1">IFERROR(__xludf.DUMMYFUNCTION("""COMPUTED_VALUE"""),45698)</f>
        <v>45698</v>
      </c>
      <c r="J6524" s="143" t="s">
        <v>20603</v>
      </c>
      <c r="K6524" s="80" t="s">
        <v>20604</v>
      </c>
      <c r="L6524" s="30">
        <v>966274525</v>
      </c>
      <c r="M6524" s="80" t="s">
        <v>3288</v>
      </c>
      <c r="N6524" s="80" t="s">
        <v>8331</v>
      </c>
      <c r="O6524" s="80" t="s">
        <v>91</v>
      </c>
      <c r="P6524" s="80" t="s">
        <v>20605</v>
      </c>
      <c r="Q6524" s="20">
        <v>9317</v>
      </c>
      <c r="R6524" s="80" t="s">
        <v>36</v>
      </c>
      <c r="S6524" s="95">
        <f>1000+8317</f>
        <v>9317</v>
      </c>
      <c r="T6524" s="83" t="s">
        <v>20606</v>
      </c>
      <c r="U6524" s="77"/>
      <c r="V6524" s="78"/>
      <c r="W6524" s="85" t="s">
        <v>20607</v>
      </c>
      <c r="X6524" s="80"/>
      <c r="Y6524" s="22">
        <v>0</v>
      </c>
      <c r="Z6524" s="80" t="s">
        <v>50</v>
      </c>
      <c r="AA6524" s="86" t="s">
        <v>20522</v>
      </c>
      <c r="AB6524" s="80"/>
      <c r="AC6524" s="80" t="s">
        <v>53</v>
      </c>
      <c r="AD6524" s="80" t="s">
        <v>54</v>
      </c>
      <c r="AE6524" s="80" t="s">
        <v>91</v>
      </c>
      <c r="AF6524" s="17">
        <v>45693</v>
      </c>
      <c r="AG6524" s="80"/>
      <c r="AH6524" s="80"/>
      <c r="AI6524" s="147"/>
      <c r="AJ6524" s="80"/>
      <c r="AK6524" s="80"/>
      <c r="AL6524" s="35"/>
      <c r="AM6524" s="35"/>
      <c r="AN6524" s="35"/>
      <c r="AO6524" s="35"/>
      <c r="AP6524" s="35"/>
    </row>
    <row r="6525" spans="1:42" x14ac:dyDescent="0.2">
      <c r="A6525" s="126">
        <v>45692.336007673613</v>
      </c>
      <c r="B6525" s="137" t="s">
        <v>37</v>
      </c>
      <c r="C6525" s="41" t="s">
        <v>118</v>
      </c>
      <c r="D6525" s="80" t="s">
        <v>36</v>
      </c>
      <c r="E6525" s="80" t="s">
        <v>106</v>
      </c>
      <c r="F6525" s="80" t="s">
        <v>12542</v>
      </c>
      <c r="G6525" s="80" t="s">
        <v>108</v>
      </c>
      <c r="H6525" s="80" t="s">
        <v>18679</v>
      </c>
      <c r="I6525" s="17">
        <f ca="1">IFERROR(__xludf.DUMMYFUNCTION("""COMPUTED_VALUE"""),45709)</f>
        <v>45709</v>
      </c>
      <c r="J6525" s="143" t="s">
        <v>18970</v>
      </c>
      <c r="K6525" s="80" t="s">
        <v>20608</v>
      </c>
      <c r="L6525" s="30">
        <v>357776402</v>
      </c>
      <c r="M6525" s="80" t="s">
        <v>3288</v>
      </c>
      <c r="N6525" s="80" t="s">
        <v>7509</v>
      </c>
      <c r="O6525" s="80" t="s">
        <v>91</v>
      </c>
      <c r="P6525" s="80" t="s">
        <v>18972</v>
      </c>
      <c r="Q6525" s="20">
        <v>3768</v>
      </c>
      <c r="R6525" s="80" t="s">
        <v>36</v>
      </c>
      <c r="S6525" s="95">
        <v>3668</v>
      </c>
      <c r="T6525" s="148">
        <v>45691</v>
      </c>
      <c r="U6525" s="77"/>
      <c r="V6525" s="78"/>
      <c r="W6525" s="85" t="s">
        <v>20609</v>
      </c>
      <c r="X6525" s="80"/>
      <c r="Y6525" s="22">
        <v>100</v>
      </c>
      <c r="Z6525" s="80" t="s">
        <v>50</v>
      </c>
      <c r="AA6525" s="82" t="s">
        <v>20522</v>
      </c>
      <c r="AB6525" s="80"/>
      <c r="AC6525" s="80" t="s">
        <v>53</v>
      </c>
      <c r="AD6525" s="80" t="s">
        <v>54</v>
      </c>
      <c r="AE6525" s="80" t="s">
        <v>19963</v>
      </c>
      <c r="AF6525" s="17">
        <v>45694</v>
      </c>
      <c r="AG6525" s="80"/>
      <c r="AH6525" s="80"/>
      <c r="AI6525" s="147"/>
      <c r="AJ6525" s="80"/>
      <c r="AK6525" s="80"/>
      <c r="AL6525" s="35"/>
      <c r="AM6525" s="35"/>
      <c r="AN6525" s="35"/>
      <c r="AO6525" s="35"/>
      <c r="AP6525" s="35"/>
    </row>
    <row r="6526" spans="1:42" x14ac:dyDescent="0.2">
      <c r="A6526" s="126">
        <v>45692.349777141208</v>
      </c>
      <c r="B6526" s="137" t="s">
        <v>37</v>
      </c>
      <c r="C6526" s="41" t="s">
        <v>118</v>
      </c>
      <c r="D6526" s="80" t="s">
        <v>36</v>
      </c>
      <c r="E6526" s="80" t="s">
        <v>106</v>
      </c>
      <c r="F6526" s="80" t="s">
        <v>36</v>
      </c>
      <c r="G6526" s="80" t="s">
        <v>108</v>
      </c>
      <c r="H6526" s="80" t="s">
        <v>18568</v>
      </c>
      <c r="I6526" s="17">
        <f ca="1">IFERROR(__xludf.DUMMYFUNCTION("""COMPUTED_VALUE"""),45699)</f>
        <v>45699</v>
      </c>
      <c r="J6526" s="143" t="s">
        <v>20610</v>
      </c>
      <c r="K6526" s="80" t="s">
        <v>20611</v>
      </c>
      <c r="L6526" s="30">
        <v>818200335</v>
      </c>
      <c r="M6526" s="80" t="s">
        <v>3288</v>
      </c>
      <c r="N6526" s="80" t="s">
        <v>7509</v>
      </c>
      <c r="O6526" s="80" t="s">
        <v>91</v>
      </c>
      <c r="P6526" s="80" t="s">
        <v>3117</v>
      </c>
      <c r="Q6526" s="20">
        <v>3768</v>
      </c>
      <c r="R6526" s="80" t="s">
        <v>36</v>
      </c>
      <c r="S6526" s="95">
        <f>1900+1868</f>
        <v>3768</v>
      </c>
      <c r="T6526" s="83" t="s">
        <v>20612</v>
      </c>
      <c r="U6526" s="77"/>
      <c r="V6526" s="78"/>
      <c r="W6526" s="85" t="s">
        <v>20613</v>
      </c>
      <c r="X6526" s="80"/>
      <c r="Y6526" s="22">
        <v>0</v>
      </c>
      <c r="Z6526" s="80" t="s">
        <v>50</v>
      </c>
      <c r="AA6526" s="86" t="s">
        <v>20522</v>
      </c>
      <c r="AB6526" s="80"/>
      <c r="AC6526" s="80" t="s">
        <v>53</v>
      </c>
      <c r="AD6526" s="80" t="s">
        <v>138</v>
      </c>
      <c r="AE6526" s="83">
        <v>350</v>
      </c>
      <c r="AF6526" s="17">
        <v>45699</v>
      </c>
      <c r="AG6526" s="80"/>
      <c r="AH6526" s="80"/>
      <c r="AI6526" s="147"/>
      <c r="AJ6526" s="80"/>
      <c r="AK6526" s="80"/>
      <c r="AL6526" s="35"/>
      <c r="AM6526" s="35"/>
      <c r="AN6526" s="35"/>
      <c r="AO6526" s="35"/>
      <c r="AP6526" s="35"/>
    </row>
    <row r="6527" spans="1:42" x14ac:dyDescent="0.2">
      <c r="A6527" s="126">
        <v>45692.45702746528</v>
      </c>
      <c r="B6527" s="137" t="s">
        <v>37</v>
      </c>
      <c r="C6527" s="41" t="s">
        <v>118</v>
      </c>
      <c r="D6527" s="80" t="s">
        <v>36</v>
      </c>
      <c r="E6527" s="80" t="s">
        <v>119</v>
      </c>
      <c r="F6527" s="80" t="s">
        <v>19308</v>
      </c>
      <c r="G6527" s="80" t="s">
        <v>108</v>
      </c>
      <c r="H6527" s="80" t="s">
        <v>20614</v>
      </c>
      <c r="I6527" s="17">
        <f ca="1">IFERROR(__xludf.DUMMYFUNCTION("""COMPUTED_VALUE"""),45762)</f>
        <v>45762</v>
      </c>
      <c r="J6527" s="143" t="s">
        <v>20615</v>
      </c>
      <c r="K6527" s="80" t="s">
        <v>20616</v>
      </c>
      <c r="L6527" s="30">
        <v>896677508</v>
      </c>
      <c r="M6527" s="80" t="s">
        <v>9422</v>
      </c>
      <c r="N6527" s="80" t="s">
        <v>19311</v>
      </c>
      <c r="O6527" s="80" t="s">
        <v>91</v>
      </c>
      <c r="P6527" s="80" t="s">
        <v>19312</v>
      </c>
      <c r="Q6527" s="20">
        <v>13968</v>
      </c>
      <c r="R6527" s="80" t="s">
        <v>36</v>
      </c>
      <c r="S6527" s="95">
        <v>13968</v>
      </c>
      <c r="T6527" s="148">
        <v>45325</v>
      </c>
      <c r="U6527" s="77"/>
      <c r="V6527" s="78"/>
      <c r="W6527" s="85" t="s">
        <v>20617</v>
      </c>
      <c r="X6527" s="80"/>
      <c r="Y6527" s="22">
        <v>0</v>
      </c>
      <c r="Z6527" s="80" t="s">
        <v>50</v>
      </c>
      <c r="AA6527" s="82" t="s">
        <v>20522</v>
      </c>
      <c r="AB6527" s="80"/>
      <c r="AC6527" s="80" t="s">
        <v>53</v>
      </c>
      <c r="AD6527" s="80" t="s">
        <v>54</v>
      </c>
      <c r="AE6527" s="80"/>
      <c r="AF6527" s="17">
        <v>45755</v>
      </c>
      <c r="AG6527" s="80"/>
      <c r="AH6527" s="80"/>
      <c r="AI6527" s="147"/>
      <c r="AJ6527" s="80"/>
      <c r="AK6527" s="80"/>
      <c r="AL6527" s="35"/>
      <c r="AM6527" s="35"/>
      <c r="AN6527" s="35"/>
      <c r="AO6527" s="35"/>
      <c r="AP6527" s="35"/>
    </row>
    <row r="6528" spans="1:42" x14ac:dyDescent="0.2">
      <c r="A6528" s="126">
        <v>45692.458754027779</v>
      </c>
      <c r="B6528" s="28" t="s">
        <v>37</v>
      </c>
      <c r="C6528" s="41" t="s">
        <v>118</v>
      </c>
      <c r="D6528" s="80" t="s">
        <v>36</v>
      </c>
      <c r="E6528" s="80" t="s">
        <v>1704</v>
      </c>
      <c r="F6528" s="80" t="s">
        <v>36</v>
      </c>
      <c r="G6528" s="80" t="s">
        <v>1705</v>
      </c>
      <c r="H6528" s="80" t="s">
        <v>5764</v>
      </c>
      <c r="I6528" s="17" t="str">
        <f ca="1">IFERROR(__xludf.DUMMYFUNCTION("""COMPUTED_VALUE""")," ")</f>
        <v xml:space="preserve"> </v>
      </c>
      <c r="J6528" s="172" t="s">
        <v>19780</v>
      </c>
      <c r="K6528" s="145" t="s">
        <v>20618</v>
      </c>
      <c r="L6528" s="30">
        <v>379327012</v>
      </c>
      <c r="M6528" s="80" t="s">
        <v>9422</v>
      </c>
      <c r="N6528" s="80" t="s">
        <v>19184</v>
      </c>
      <c r="O6528" s="80" t="s">
        <v>91</v>
      </c>
      <c r="P6528" s="80" t="s">
        <v>19782</v>
      </c>
      <c r="Q6528" s="20">
        <v>7729</v>
      </c>
      <c r="R6528" s="80" t="s">
        <v>36</v>
      </c>
      <c r="S6528" s="95">
        <v>6619</v>
      </c>
      <c r="T6528" s="148">
        <v>45692</v>
      </c>
      <c r="U6528" s="77"/>
      <c r="V6528" s="78"/>
      <c r="W6528" s="79" t="s">
        <v>20619</v>
      </c>
      <c r="X6528" s="80"/>
      <c r="Y6528" s="22">
        <v>1110</v>
      </c>
      <c r="Z6528" s="80" t="s">
        <v>50</v>
      </c>
      <c r="AA6528" s="86" t="s">
        <v>20522</v>
      </c>
      <c r="AB6528" s="80"/>
      <c r="AC6528" s="80" t="s">
        <v>53</v>
      </c>
      <c r="AD6528" s="80" t="s">
        <v>54</v>
      </c>
      <c r="AE6528" s="80"/>
      <c r="AF6528" s="60" t="s">
        <v>1829</v>
      </c>
      <c r="AG6528" s="80"/>
      <c r="AH6528" s="80"/>
      <c r="AI6528" s="147"/>
      <c r="AJ6528" s="80"/>
      <c r="AK6528" s="80"/>
      <c r="AL6528" s="35"/>
      <c r="AM6528" s="35"/>
      <c r="AN6528" s="35"/>
      <c r="AO6528" s="35"/>
      <c r="AP6528" s="35"/>
    </row>
    <row r="6529" spans="1:42" x14ac:dyDescent="0.2">
      <c r="A6529" s="126">
        <v>45692.642066087967</v>
      </c>
      <c r="B6529" s="137" t="s">
        <v>37</v>
      </c>
      <c r="C6529" s="41" t="s">
        <v>118</v>
      </c>
      <c r="D6529" s="80" t="s">
        <v>36</v>
      </c>
      <c r="E6529" s="80" t="s">
        <v>77</v>
      </c>
      <c r="F6529" s="80" t="s">
        <v>36</v>
      </c>
      <c r="G6529" s="80" t="s">
        <v>41</v>
      </c>
      <c r="H6529" s="80" t="s">
        <v>19824</v>
      </c>
      <c r="I6529" s="17">
        <f ca="1">IFERROR(__xludf.DUMMYFUNCTION("""COMPUTED_VALUE"""),45701)</f>
        <v>45701</v>
      </c>
      <c r="J6529" s="143" t="s">
        <v>20620</v>
      </c>
      <c r="K6529" s="80" t="s">
        <v>20621</v>
      </c>
      <c r="L6529" s="30">
        <v>338253021</v>
      </c>
      <c r="M6529" s="80" t="s">
        <v>348</v>
      </c>
      <c r="N6529" s="80" t="s">
        <v>4299</v>
      </c>
      <c r="O6529" s="80" t="s">
        <v>20622</v>
      </c>
      <c r="P6529" s="80" t="s">
        <v>20623</v>
      </c>
      <c r="Q6529" s="20">
        <v>1968</v>
      </c>
      <c r="R6529" s="80" t="s">
        <v>36</v>
      </c>
      <c r="S6529" s="95">
        <v>1968</v>
      </c>
      <c r="T6529" s="148">
        <v>45692</v>
      </c>
      <c r="U6529" s="77"/>
      <c r="V6529" s="78"/>
      <c r="W6529" s="85" t="s">
        <v>20624</v>
      </c>
      <c r="X6529" s="80"/>
      <c r="Y6529" s="22">
        <v>0</v>
      </c>
      <c r="Z6529" s="80" t="s">
        <v>50</v>
      </c>
      <c r="AA6529" s="82" t="s">
        <v>20522</v>
      </c>
      <c r="AB6529" s="80"/>
      <c r="AC6529" s="80" t="s">
        <v>53</v>
      </c>
      <c r="AD6529" s="80" t="s">
        <v>54</v>
      </c>
      <c r="AE6529" s="80" t="s">
        <v>16305</v>
      </c>
      <c r="AF6529" s="17">
        <v>45695</v>
      </c>
      <c r="AG6529" s="80"/>
      <c r="AH6529" s="80"/>
      <c r="AI6529" s="147"/>
      <c r="AJ6529" s="80"/>
      <c r="AK6529" s="80"/>
      <c r="AL6529" s="35"/>
      <c r="AM6529" s="35"/>
      <c r="AN6529" s="35"/>
      <c r="AO6529" s="35"/>
      <c r="AP6529" s="35"/>
    </row>
    <row r="6530" spans="1:42" x14ac:dyDescent="0.2">
      <c r="A6530" s="126">
        <v>45692.652379143517</v>
      </c>
      <c r="B6530" s="137" t="s">
        <v>37</v>
      </c>
      <c r="C6530" s="41" t="s">
        <v>118</v>
      </c>
      <c r="D6530" s="80" t="s">
        <v>36</v>
      </c>
      <c r="E6530" s="80" t="s">
        <v>1704</v>
      </c>
      <c r="F6530" s="80" t="s">
        <v>36</v>
      </c>
      <c r="G6530" s="80" t="s">
        <v>1705</v>
      </c>
      <c r="H6530" s="80" t="s">
        <v>8912</v>
      </c>
      <c r="I6530" s="17"/>
      <c r="J6530" s="143" t="s">
        <v>20625</v>
      </c>
      <c r="K6530" s="80" t="s">
        <v>20626</v>
      </c>
      <c r="L6530" s="30">
        <v>357542780</v>
      </c>
      <c r="M6530" s="80" t="s">
        <v>348</v>
      </c>
      <c r="N6530" s="80" t="s">
        <v>4299</v>
      </c>
      <c r="O6530" s="80" t="s">
        <v>20627</v>
      </c>
      <c r="P6530" s="80" t="s">
        <v>20628</v>
      </c>
      <c r="Q6530" s="20">
        <v>7729</v>
      </c>
      <c r="R6530" s="80" t="s">
        <v>36</v>
      </c>
      <c r="S6530" s="95">
        <v>7729</v>
      </c>
      <c r="T6530" s="148">
        <v>45691</v>
      </c>
      <c r="U6530" s="77"/>
      <c r="V6530" s="78"/>
      <c r="W6530" s="85" t="s">
        <v>20629</v>
      </c>
      <c r="X6530" s="80"/>
      <c r="Y6530" s="22">
        <v>0</v>
      </c>
      <c r="Z6530" s="80" t="s">
        <v>50</v>
      </c>
      <c r="AA6530" s="86" t="s">
        <v>20522</v>
      </c>
      <c r="AB6530" s="80"/>
      <c r="AC6530" s="80" t="s">
        <v>53</v>
      </c>
      <c r="AD6530" s="80" t="s">
        <v>54</v>
      </c>
      <c r="AE6530" s="80" t="s">
        <v>20630</v>
      </c>
      <c r="AF6530" s="17">
        <v>45693</v>
      </c>
      <c r="AG6530" s="80"/>
      <c r="AH6530" s="80"/>
      <c r="AI6530" s="147"/>
      <c r="AJ6530" s="80"/>
      <c r="AK6530" s="80"/>
      <c r="AL6530" s="193"/>
      <c r="AM6530" s="193"/>
      <c r="AN6530" s="193"/>
      <c r="AO6530" s="193"/>
      <c r="AP6530" s="193"/>
    </row>
    <row r="6531" spans="1:42" x14ac:dyDescent="0.2">
      <c r="A6531" s="126">
        <v>45692.675085208335</v>
      </c>
      <c r="B6531" s="137" t="s">
        <v>37</v>
      </c>
      <c r="C6531" s="41" t="s">
        <v>118</v>
      </c>
      <c r="D6531" s="80" t="s">
        <v>36</v>
      </c>
      <c r="E6531" s="80" t="s">
        <v>77</v>
      </c>
      <c r="F6531" s="80" t="s">
        <v>36</v>
      </c>
      <c r="G6531" s="80" t="s">
        <v>41</v>
      </c>
      <c r="H6531" s="80" t="s">
        <v>19824</v>
      </c>
      <c r="I6531" s="17">
        <f ca="1">IFERROR(__xludf.DUMMYFUNCTION("""COMPUTED_VALUE"""),45701)</f>
        <v>45701</v>
      </c>
      <c r="J6531" s="143" t="s">
        <v>20631</v>
      </c>
      <c r="K6531" s="80" t="s">
        <v>20632</v>
      </c>
      <c r="L6531" s="30">
        <v>379390434</v>
      </c>
      <c r="M6531" s="80" t="s">
        <v>348</v>
      </c>
      <c r="N6531" s="80" t="s">
        <v>4299</v>
      </c>
      <c r="O6531" s="80" t="s">
        <v>20633</v>
      </c>
      <c r="P6531" s="80" t="s">
        <v>20634</v>
      </c>
      <c r="Q6531" s="20">
        <v>1968</v>
      </c>
      <c r="R6531" s="80" t="s">
        <v>36</v>
      </c>
      <c r="S6531" s="95">
        <v>1968</v>
      </c>
      <c r="T6531" s="148">
        <v>45692</v>
      </c>
      <c r="U6531" s="77"/>
      <c r="V6531" s="78"/>
      <c r="W6531" s="85" t="s">
        <v>20635</v>
      </c>
      <c r="X6531" s="80"/>
      <c r="Y6531" s="22">
        <v>0</v>
      </c>
      <c r="Z6531" s="80" t="s">
        <v>50</v>
      </c>
      <c r="AA6531" s="82" t="s">
        <v>20522</v>
      </c>
      <c r="AB6531" s="80"/>
      <c r="AC6531" s="80" t="s">
        <v>53</v>
      </c>
      <c r="AD6531" s="80" t="s">
        <v>54</v>
      </c>
      <c r="AE6531" s="80" t="s">
        <v>16305</v>
      </c>
      <c r="AF6531" s="17">
        <v>45695</v>
      </c>
      <c r="AG6531" s="80"/>
      <c r="AH6531" s="80"/>
      <c r="AI6531" s="147"/>
      <c r="AJ6531" s="80"/>
      <c r="AK6531" s="80"/>
      <c r="AL6531" s="35"/>
      <c r="AM6531" s="35"/>
      <c r="AN6531" s="35"/>
      <c r="AO6531" s="35"/>
      <c r="AP6531" s="35"/>
    </row>
    <row r="6532" spans="1:42" x14ac:dyDescent="0.2">
      <c r="A6532" s="126">
        <v>45693.344844803243</v>
      </c>
      <c r="B6532" s="137" t="s">
        <v>37</v>
      </c>
      <c r="C6532" s="41" t="s">
        <v>118</v>
      </c>
      <c r="D6532" s="80" t="s">
        <v>77</v>
      </c>
      <c r="E6532" s="80" t="s">
        <v>106</v>
      </c>
      <c r="F6532" s="80" t="s">
        <v>12444</v>
      </c>
      <c r="G6532" s="80" t="s">
        <v>108</v>
      </c>
      <c r="H6532" s="80" t="s">
        <v>13773</v>
      </c>
      <c r="I6532" s="17">
        <f ca="1">IFERROR(__xludf.DUMMYFUNCTION("""COMPUTED_VALUE"""),45699)</f>
        <v>45699</v>
      </c>
      <c r="J6532" s="143" t="s">
        <v>20636</v>
      </c>
      <c r="K6532" s="80" t="s">
        <v>20637</v>
      </c>
      <c r="L6532" s="30">
        <v>961360922</v>
      </c>
      <c r="M6532" s="80" t="s">
        <v>15996</v>
      </c>
      <c r="N6532" s="80" t="s">
        <v>186</v>
      </c>
      <c r="O6532" s="80" t="s">
        <v>4503</v>
      </c>
      <c r="P6532" s="80" t="s">
        <v>20638</v>
      </c>
      <c r="Q6532" s="20">
        <v>3768</v>
      </c>
      <c r="R6532" s="80" t="s">
        <v>36</v>
      </c>
      <c r="S6532" s="95">
        <v>3768</v>
      </c>
      <c r="T6532" s="148">
        <v>45692</v>
      </c>
      <c r="U6532" s="77"/>
      <c r="V6532" s="78"/>
      <c r="W6532" s="85" t="s">
        <v>20639</v>
      </c>
      <c r="X6532" s="80"/>
      <c r="Y6532" s="22">
        <v>0</v>
      </c>
      <c r="Z6532" s="80" t="s">
        <v>50</v>
      </c>
      <c r="AA6532" s="86" t="s">
        <v>20522</v>
      </c>
      <c r="AB6532" s="80"/>
      <c r="AC6532" s="80" t="s">
        <v>53</v>
      </c>
      <c r="AD6532" s="80" t="s">
        <v>54</v>
      </c>
      <c r="AE6532" s="80"/>
      <c r="AF6532" s="17">
        <v>45694</v>
      </c>
      <c r="AG6532" s="80"/>
      <c r="AH6532" s="80"/>
      <c r="AI6532" s="147"/>
      <c r="AJ6532" s="80"/>
      <c r="AK6532" s="80"/>
      <c r="AL6532" s="35"/>
      <c r="AM6532" s="35"/>
      <c r="AN6532" s="35"/>
      <c r="AO6532" s="35"/>
      <c r="AP6532" s="35"/>
    </row>
    <row r="6533" spans="1:42" x14ac:dyDescent="0.2">
      <c r="A6533" s="126">
        <v>45693.469648888888</v>
      </c>
      <c r="B6533" s="137" t="s">
        <v>37</v>
      </c>
      <c r="C6533" s="41" t="s">
        <v>118</v>
      </c>
      <c r="D6533" s="80" t="s">
        <v>36</v>
      </c>
      <c r="E6533" s="80" t="s">
        <v>219</v>
      </c>
      <c r="F6533" s="80" t="s">
        <v>36</v>
      </c>
      <c r="G6533" s="80" t="s">
        <v>221</v>
      </c>
      <c r="H6533" s="80" t="s">
        <v>18322</v>
      </c>
      <c r="I6533" s="17">
        <f ca="1">IFERROR(__xludf.DUMMYFUNCTION("""COMPUTED_VALUE"""),45699)</f>
        <v>45699</v>
      </c>
      <c r="J6533" s="143" t="s">
        <v>20640</v>
      </c>
      <c r="K6533" s="80" t="s">
        <v>20641</v>
      </c>
      <c r="L6533" s="30">
        <v>963368909</v>
      </c>
      <c r="M6533" s="80" t="s">
        <v>348</v>
      </c>
      <c r="N6533" s="80" t="s">
        <v>4299</v>
      </c>
      <c r="O6533" s="80" t="s">
        <v>20642</v>
      </c>
      <c r="P6533" s="80" t="s">
        <v>18083</v>
      </c>
      <c r="Q6533" s="20">
        <v>3968</v>
      </c>
      <c r="R6533" s="80" t="s">
        <v>36</v>
      </c>
      <c r="S6533" s="95">
        <v>3968</v>
      </c>
      <c r="T6533" s="148">
        <v>45692</v>
      </c>
      <c r="U6533" s="77"/>
      <c r="V6533" s="78"/>
      <c r="W6533" s="85" t="s">
        <v>20643</v>
      </c>
      <c r="X6533" s="80"/>
      <c r="Y6533" s="22">
        <v>0</v>
      </c>
      <c r="Z6533" s="80" t="s">
        <v>50</v>
      </c>
      <c r="AA6533" s="82" t="s">
        <v>20522</v>
      </c>
      <c r="AB6533" s="80"/>
      <c r="AC6533" s="80" t="s">
        <v>53</v>
      </c>
      <c r="AD6533" s="80" t="s">
        <v>138</v>
      </c>
      <c r="AE6533" s="80" t="s">
        <v>3554</v>
      </c>
      <c r="AF6533" s="17">
        <v>45699</v>
      </c>
      <c r="AG6533" s="80"/>
      <c r="AH6533" s="80"/>
      <c r="AI6533" s="147"/>
      <c r="AJ6533" s="80"/>
      <c r="AK6533" s="80"/>
      <c r="AL6533" s="35"/>
      <c r="AM6533" s="35"/>
      <c r="AN6533" s="35"/>
      <c r="AO6533" s="35"/>
      <c r="AP6533" s="35"/>
    </row>
    <row r="6534" spans="1:42" x14ac:dyDescent="0.2">
      <c r="A6534" s="126">
        <v>45695.364080254629</v>
      </c>
      <c r="B6534" s="137" t="s">
        <v>37</v>
      </c>
      <c r="C6534" s="41" t="s">
        <v>118</v>
      </c>
      <c r="D6534" s="80" t="s">
        <v>36</v>
      </c>
      <c r="E6534" s="80" t="s">
        <v>56</v>
      </c>
      <c r="F6534" s="80" t="s">
        <v>40</v>
      </c>
      <c r="G6534" s="80" t="s">
        <v>41</v>
      </c>
      <c r="H6534" s="80" t="s">
        <v>16525</v>
      </c>
      <c r="I6534" s="17">
        <f ca="1">IFERROR(__xludf.DUMMYFUNCTION("""COMPUTED_VALUE"""),45708)</f>
        <v>45708</v>
      </c>
      <c r="J6534" s="143" t="s">
        <v>20644</v>
      </c>
      <c r="K6534" s="80" t="s">
        <v>20645</v>
      </c>
      <c r="L6534" s="30">
        <v>818868541</v>
      </c>
      <c r="M6534" s="80" t="s">
        <v>5429</v>
      </c>
      <c r="N6534" s="80" t="s">
        <v>1384</v>
      </c>
      <c r="O6534" s="80" t="s">
        <v>2819</v>
      </c>
      <c r="P6534" s="80" t="s">
        <v>6691</v>
      </c>
      <c r="Q6534" s="20">
        <v>9317</v>
      </c>
      <c r="R6534" s="80" t="s">
        <v>36</v>
      </c>
      <c r="S6534" s="95">
        <v>2000</v>
      </c>
      <c r="T6534" s="148">
        <v>45695</v>
      </c>
      <c r="U6534" s="95">
        <v>7317</v>
      </c>
      <c r="V6534" s="148">
        <v>45708</v>
      </c>
      <c r="W6534" s="85" t="s">
        <v>20646</v>
      </c>
      <c r="X6534" s="80"/>
      <c r="Y6534" s="22">
        <v>0</v>
      </c>
      <c r="Z6534" s="80" t="s">
        <v>50</v>
      </c>
      <c r="AA6534" s="86" t="s">
        <v>20522</v>
      </c>
      <c r="AB6534" s="80"/>
      <c r="AC6534" s="80" t="s">
        <v>53</v>
      </c>
      <c r="AD6534" s="80" t="s">
        <v>138</v>
      </c>
      <c r="AE6534" s="80"/>
      <c r="AF6534" s="17">
        <v>45708</v>
      </c>
      <c r="AG6534" s="80"/>
      <c r="AH6534" s="80"/>
      <c r="AI6534" s="147"/>
      <c r="AJ6534" s="80"/>
      <c r="AK6534" s="80"/>
      <c r="AL6534" s="35"/>
      <c r="AM6534" s="35"/>
      <c r="AN6534" s="35"/>
      <c r="AO6534" s="35"/>
      <c r="AP6534" s="35"/>
    </row>
    <row r="6535" spans="1:42" x14ac:dyDescent="0.2">
      <c r="A6535" s="126">
        <v>45695.853629398145</v>
      </c>
      <c r="B6535" s="137" t="s">
        <v>37</v>
      </c>
      <c r="C6535" s="41" t="s">
        <v>118</v>
      </c>
      <c r="D6535" s="80" t="s">
        <v>36</v>
      </c>
      <c r="E6535" s="80" t="s">
        <v>148</v>
      </c>
      <c r="F6535" s="80" t="s">
        <v>40</v>
      </c>
      <c r="G6535" s="80" t="s">
        <v>108</v>
      </c>
      <c r="H6535" s="80" t="s">
        <v>18568</v>
      </c>
      <c r="I6535" s="17">
        <f ca="1">IFERROR(__xludf.DUMMYFUNCTION("""COMPUTED_VALUE"""),45699)</f>
        <v>45699</v>
      </c>
      <c r="J6535" s="143" t="s">
        <v>20647</v>
      </c>
      <c r="K6535" s="80" t="s">
        <v>20648</v>
      </c>
      <c r="L6535" s="201">
        <v>943189825</v>
      </c>
      <c r="M6535" s="80" t="s">
        <v>59</v>
      </c>
      <c r="N6535" s="80" t="s">
        <v>4299</v>
      </c>
      <c r="O6535" s="80" t="s">
        <v>20649</v>
      </c>
      <c r="P6535" s="80" t="s">
        <v>20650</v>
      </c>
      <c r="Q6535" s="20">
        <v>7349</v>
      </c>
      <c r="R6535" s="80" t="s">
        <v>36</v>
      </c>
      <c r="S6535" s="95">
        <f>50+300+6999</f>
        <v>7349</v>
      </c>
      <c r="T6535" s="83" t="s">
        <v>20651</v>
      </c>
      <c r="U6535" s="95"/>
      <c r="V6535" s="148"/>
      <c r="W6535" s="80" t="s">
        <v>20652</v>
      </c>
      <c r="X6535" s="80"/>
      <c r="Y6535" s="22">
        <v>0</v>
      </c>
      <c r="Z6535" s="80" t="s">
        <v>50</v>
      </c>
      <c r="AA6535" s="82" t="s">
        <v>20522</v>
      </c>
      <c r="AB6535" s="80"/>
      <c r="AC6535" s="80" t="s">
        <v>53</v>
      </c>
      <c r="AD6535" s="80" t="s">
        <v>138</v>
      </c>
      <c r="AE6535" s="80" t="s">
        <v>2705</v>
      </c>
      <c r="AF6535" s="17">
        <v>45699</v>
      </c>
      <c r="AG6535" s="80"/>
      <c r="AH6535" s="80"/>
      <c r="AI6535" s="147"/>
      <c r="AJ6535" s="80"/>
      <c r="AK6535" s="80"/>
      <c r="AL6535" s="35"/>
      <c r="AM6535" s="35"/>
      <c r="AN6535" s="35"/>
      <c r="AO6535" s="35"/>
      <c r="AP6535" s="35"/>
    </row>
    <row r="6536" spans="1:42" x14ac:dyDescent="0.2">
      <c r="A6536" s="126">
        <v>45695.866930219912</v>
      </c>
      <c r="B6536" s="137" t="s">
        <v>37</v>
      </c>
      <c r="C6536" s="41" t="s">
        <v>118</v>
      </c>
      <c r="D6536" s="80" t="s">
        <v>36</v>
      </c>
      <c r="E6536" s="80" t="s">
        <v>56</v>
      </c>
      <c r="F6536" s="80" t="s">
        <v>40</v>
      </c>
      <c r="G6536" s="80" t="s">
        <v>41</v>
      </c>
      <c r="H6536" s="80" t="s">
        <v>16519</v>
      </c>
      <c r="I6536" s="17">
        <f ca="1">IFERROR(__xludf.DUMMYFUNCTION("""COMPUTED_VALUE"""),45707)</f>
        <v>45707</v>
      </c>
      <c r="J6536" s="143" t="s">
        <v>20653</v>
      </c>
      <c r="K6536" s="80" t="s">
        <v>20654</v>
      </c>
      <c r="L6536" s="30">
        <v>337730522</v>
      </c>
      <c r="M6536" s="80" t="s">
        <v>59</v>
      </c>
      <c r="N6536" s="80" t="s">
        <v>9294</v>
      </c>
      <c r="O6536" s="80" t="s">
        <v>20655</v>
      </c>
      <c r="P6536" s="80" t="s">
        <v>18083</v>
      </c>
      <c r="Q6536" s="20">
        <v>9317</v>
      </c>
      <c r="R6536" s="80" t="s">
        <v>36</v>
      </c>
      <c r="S6536" s="95">
        <f>2000+7317</f>
        <v>9317</v>
      </c>
      <c r="T6536" s="83" t="s">
        <v>20656</v>
      </c>
      <c r="U6536" s="77"/>
      <c r="V6536" s="78"/>
      <c r="W6536" s="85" t="s">
        <v>20657</v>
      </c>
      <c r="X6536" s="80"/>
      <c r="Y6536" s="22">
        <v>0</v>
      </c>
      <c r="Z6536" s="80" t="s">
        <v>50</v>
      </c>
      <c r="AA6536" s="86" t="s">
        <v>20522</v>
      </c>
      <c r="AB6536" s="80"/>
      <c r="AC6536" s="80" t="s">
        <v>53</v>
      </c>
      <c r="AD6536" s="80" t="s">
        <v>138</v>
      </c>
      <c r="AE6536" s="80"/>
      <c r="AF6536" s="17">
        <v>45707</v>
      </c>
      <c r="AG6536" s="80"/>
      <c r="AH6536" s="80"/>
      <c r="AI6536" s="147"/>
      <c r="AJ6536" s="80"/>
      <c r="AK6536" s="80"/>
      <c r="AL6536" s="35"/>
      <c r="AM6536" s="35"/>
      <c r="AN6536" s="35"/>
      <c r="AO6536" s="35"/>
      <c r="AP6536" s="35"/>
    </row>
    <row r="6537" spans="1:42" x14ac:dyDescent="0.2">
      <c r="A6537" s="126">
        <v>45695.877930960647</v>
      </c>
      <c r="B6537" s="137" t="s">
        <v>37</v>
      </c>
      <c r="C6537" s="41" t="s">
        <v>118</v>
      </c>
      <c r="D6537" s="80" t="s">
        <v>36</v>
      </c>
      <c r="E6537" s="80" t="s">
        <v>139</v>
      </c>
      <c r="F6537" s="80" t="s">
        <v>40</v>
      </c>
      <c r="G6537" s="80" t="s">
        <v>41</v>
      </c>
      <c r="H6537" s="80" t="s">
        <v>16525</v>
      </c>
      <c r="I6537" s="17">
        <f ca="1">IFERROR(__xludf.DUMMYFUNCTION("""COMPUTED_VALUE"""),45708)</f>
        <v>45708</v>
      </c>
      <c r="J6537" s="143" t="s">
        <v>20658</v>
      </c>
      <c r="K6537" s="80" t="s">
        <v>20659</v>
      </c>
      <c r="L6537" s="30">
        <v>963089597</v>
      </c>
      <c r="M6537" s="80" t="s">
        <v>59</v>
      </c>
      <c r="N6537" s="80" t="s">
        <v>11476</v>
      </c>
      <c r="O6537" s="85" t="s">
        <v>20660</v>
      </c>
      <c r="P6537" s="80" t="s">
        <v>18241</v>
      </c>
      <c r="Q6537" s="20">
        <v>15936</v>
      </c>
      <c r="R6537" s="80" t="s">
        <v>36</v>
      </c>
      <c r="S6537" s="95">
        <f>200+15736</f>
        <v>15936</v>
      </c>
      <c r="T6537" s="83" t="s">
        <v>20661</v>
      </c>
      <c r="U6537" s="77"/>
      <c r="V6537" s="78"/>
      <c r="W6537" s="85" t="s">
        <v>20662</v>
      </c>
      <c r="X6537" s="80"/>
      <c r="Y6537" s="22">
        <v>0</v>
      </c>
      <c r="Z6537" s="80" t="s">
        <v>50</v>
      </c>
      <c r="AA6537" s="82" t="s">
        <v>20522</v>
      </c>
      <c r="AB6537" s="80"/>
      <c r="AC6537" s="80" t="s">
        <v>53</v>
      </c>
      <c r="AD6537" s="80" t="s">
        <v>138</v>
      </c>
      <c r="AE6537" s="80"/>
      <c r="AF6537" s="17">
        <v>45708</v>
      </c>
      <c r="AG6537" s="80"/>
      <c r="AH6537" s="80"/>
      <c r="AI6537" s="147"/>
      <c r="AJ6537" s="80"/>
      <c r="AK6537" s="80"/>
      <c r="AL6537" s="35"/>
      <c r="AM6537" s="35"/>
      <c r="AN6537" s="35"/>
      <c r="AO6537" s="35"/>
      <c r="AP6537" s="35"/>
    </row>
    <row r="6538" spans="1:42" x14ac:dyDescent="0.2">
      <c r="A6538" s="126">
        <v>45696.66122141204</v>
      </c>
      <c r="B6538" s="137" t="s">
        <v>37</v>
      </c>
      <c r="C6538" s="41" t="s">
        <v>118</v>
      </c>
      <c r="D6538" s="80" t="s">
        <v>36</v>
      </c>
      <c r="E6538" s="80" t="s">
        <v>139</v>
      </c>
      <c r="F6538" s="80" t="s">
        <v>36</v>
      </c>
      <c r="G6538" s="80" t="s">
        <v>41</v>
      </c>
      <c r="H6538" s="80" t="s">
        <v>19824</v>
      </c>
      <c r="I6538" s="17">
        <f ca="1">IFERROR(__xludf.DUMMYFUNCTION("""COMPUTED_VALUE"""),45701)</f>
        <v>45701</v>
      </c>
      <c r="J6538" s="143" t="s">
        <v>20663</v>
      </c>
      <c r="K6538" s="80" t="s">
        <v>20664</v>
      </c>
      <c r="L6538" s="30">
        <v>359695518</v>
      </c>
      <c r="M6538" s="80" t="s">
        <v>45</v>
      </c>
      <c r="N6538" s="80" t="s">
        <v>16349</v>
      </c>
      <c r="O6538" s="80" t="s">
        <v>4503</v>
      </c>
      <c r="P6538" s="80" t="s">
        <v>20665</v>
      </c>
      <c r="Q6538" s="20">
        <v>15936</v>
      </c>
      <c r="R6538" s="80" t="s">
        <v>36</v>
      </c>
      <c r="S6538" s="95">
        <v>2000</v>
      </c>
      <c r="T6538" s="148">
        <v>45696</v>
      </c>
      <c r="U6538" s="95">
        <v>13936</v>
      </c>
      <c r="V6538" s="148">
        <v>45710</v>
      </c>
      <c r="W6538" s="85" t="s">
        <v>20666</v>
      </c>
      <c r="X6538" s="80"/>
      <c r="Y6538" s="22">
        <v>0</v>
      </c>
      <c r="Z6538" s="80" t="s">
        <v>50</v>
      </c>
      <c r="AA6538" s="86" t="s">
        <v>20522</v>
      </c>
      <c r="AB6538" s="80"/>
      <c r="AC6538" s="80" t="s">
        <v>53</v>
      </c>
      <c r="AD6538" s="80" t="s">
        <v>54</v>
      </c>
      <c r="AE6538" s="83">
        <v>0</v>
      </c>
      <c r="AF6538" s="17">
        <v>45698</v>
      </c>
      <c r="AG6538" s="80"/>
      <c r="AH6538" s="80"/>
      <c r="AI6538" s="147"/>
      <c r="AJ6538" s="80"/>
      <c r="AK6538" s="80"/>
      <c r="AL6538" s="35"/>
      <c r="AM6538" s="35"/>
      <c r="AN6538" s="35"/>
      <c r="AO6538" s="35"/>
      <c r="AP6538" s="35"/>
    </row>
    <row r="6539" spans="1:42" x14ac:dyDescent="0.2">
      <c r="A6539" s="126">
        <v>45697.500277581014</v>
      </c>
      <c r="B6539" s="137" t="s">
        <v>37</v>
      </c>
      <c r="C6539" s="41" t="s">
        <v>118</v>
      </c>
      <c r="D6539" s="80" t="s">
        <v>36</v>
      </c>
      <c r="E6539" s="80" t="s">
        <v>139</v>
      </c>
      <c r="F6539" s="80" t="s">
        <v>36</v>
      </c>
      <c r="G6539" s="80" t="s">
        <v>41</v>
      </c>
      <c r="H6539" s="80" t="s">
        <v>19824</v>
      </c>
      <c r="I6539" s="17">
        <f ca="1">IFERROR(__xludf.DUMMYFUNCTION("""COMPUTED_VALUE"""),45701)</f>
        <v>45701</v>
      </c>
      <c r="J6539" s="172" t="s">
        <v>20667</v>
      </c>
      <c r="K6539" s="80" t="s">
        <v>20668</v>
      </c>
      <c r="L6539" s="30">
        <v>566217888</v>
      </c>
      <c r="M6539" s="80" t="s">
        <v>15996</v>
      </c>
      <c r="N6539" s="80" t="s">
        <v>186</v>
      </c>
      <c r="O6539" s="80" t="s">
        <v>4503</v>
      </c>
      <c r="P6539" s="80" t="s">
        <v>20669</v>
      </c>
      <c r="Q6539" s="20">
        <v>15936</v>
      </c>
      <c r="R6539" s="80" t="s">
        <v>36</v>
      </c>
      <c r="S6539" s="95">
        <f>200+15736</f>
        <v>15936</v>
      </c>
      <c r="T6539" s="83" t="s">
        <v>20670</v>
      </c>
      <c r="U6539" s="77"/>
      <c r="V6539" s="78"/>
      <c r="W6539" s="85" t="s">
        <v>20671</v>
      </c>
      <c r="X6539" s="80"/>
      <c r="Y6539" s="22">
        <v>0</v>
      </c>
      <c r="Z6539" s="80" t="s">
        <v>50</v>
      </c>
      <c r="AA6539" s="82" t="s">
        <v>20522</v>
      </c>
      <c r="AB6539" s="80"/>
      <c r="AC6539" s="80" t="s">
        <v>53</v>
      </c>
      <c r="AD6539" s="80" t="s">
        <v>54</v>
      </c>
      <c r="AE6539" s="80"/>
      <c r="AF6539" s="17">
        <v>45698</v>
      </c>
      <c r="AG6539" s="80"/>
      <c r="AH6539" s="80"/>
      <c r="AI6539" s="147"/>
      <c r="AJ6539" s="80"/>
      <c r="AK6539" s="80"/>
      <c r="AL6539" s="35"/>
      <c r="AM6539" s="35"/>
      <c r="AN6539" s="35"/>
      <c r="AO6539" s="35"/>
      <c r="AP6539" s="35"/>
    </row>
    <row r="6540" spans="1:42" x14ac:dyDescent="0.2">
      <c r="A6540" s="126">
        <v>45697.997376400468</v>
      </c>
      <c r="B6540" s="137" t="s">
        <v>37</v>
      </c>
      <c r="C6540" s="41" t="s">
        <v>118</v>
      </c>
      <c r="D6540" s="80" t="s">
        <v>36</v>
      </c>
      <c r="E6540" s="80" t="s">
        <v>77</v>
      </c>
      <c r="F6540" s="80" t="s">
        <v>36</v>
      </c>
      <c r="G6540" s="80" t="s">
        <v>41</v>
      </c>
      <c r="H6540" s="80" t="s">
        <v>19824</v>
      </c>
      <c r="I6540" s="17">
        <f ca="1">IFERROR(__xludf.DUMMYFUNCTION("""COMPUTED_VALUE"""),45701)</f>
        <v>45701</v>
      </c>
      <c r="J6540" s="143" t="s">
        <v>20672</v>
      </c>
      <c r="K6540" s="80" t="s">
        <v>20673</v>
      </c>
      <c r="L6540" s="30">
        <v>966339670</v>
      </c>
      <c r="M6540" s="80" t="s">
        <v>59</v>
      </c>
      <c r="N6540" s="80" t="s">
        <v>10947</v>
      </c>
      <c r="O6540" s="80" t="s">
        <v>20674</v>
      </c>
      <c r="P6540" s="80" t="s">
        <v>20675</v>
      </c>
      <c r="Q6540" s="20">
        <v>1968</v>
      </c>
      <c r="R6540" s="80" t="s">
        <v>36</v>
      </c>
      <c r="S6540" s="95">
        <v>2000</v>
      </c>
      <c r="T6540" s="148">
        <v>45697</v>
      </c>
      <c r="U6540" s="77"/>
      <c r="V6540" s="78"/>
      <c r="W6540" s="85" t="s">
        <v>20676</v>
      </c>
      <c r="X6540" s="80"/>
      <c r="Y6540" s="22">
        <v>-32</v>
      </c>
      <c r="Z6540" s="80" t="s">
        <v>50</v>
      </c>
      <c r="AA6540" s="86" t="s">
        <v>20522</v>
      </c>
      <c r="AB6540" s="80"/>
      <c r="AC6540" s="80" t="s">
        <v>53</v>
      </c>
      <c r="AD6540" s="80" t="s">
        <v>54</v>
      </c>
      <c r="AE6540" s="80" t="s">
        <v>16312</v>
      </c>
      <c r="AF6540" s="17">
        <v>45698</v>
      </c>
      <c r="AG6540" s="80" t="s">
        <v>7078</v>
      </c>
      <c r="AH6540" s="80"/>
      <c r="AI6540" s="147"/>
      <c r="AJ6540" s="80"/>
      <c r="AK6540" s="80"/>
      <c r="AL6540" s="35"/>
      <c r="AM6540" s="35"/>
      <c r="AN6540" s="35"/>
      <c r="AO6540" s="35"/>
      <c r="AP6540" s="35"/>
    </row>
    <row r="6541" spans="1:42" x14ac:dyDescent="0.2">
      <c r="A6541" s="126">
        <v>45698.001833263887</v>
      </c>
      <c r="B6541" s="137" t="s">
        <v>37</v>
      </c>
      <c r="C6541" s="41" t="s">
        <v>118</v>
      </c>
      <c r="D6541" s="80" t="s">
        <v>36</v>
      </c>
      <c r="E6541" s="80" t="s">
        <v>148</v>
      </c>
      <c r="F6541" s="80" t="s">
        <v>36</v>
      </c>
      <c r="G6541" s="80" t="s">
        <v>108</v>
      </c>
      <c r="H6541" s="80" t="s">
        <v>2945</v>
      </c>
      <c r="I6541" s="17">
        <f ca="1">IFERROR(__xludf.DUMMYFUNCTION("""COMPUTED_VALUE"""),45706)</f>
        <v>45706</v>
      </c>
      <c r="J6541" s="143" t="s">
        <v>20677</v>
      </c>
      <c r="K6541" s="80" t="s">
        <v>20678</v>
      </c>
      <c r="L6541" s="30">
        <v>962314471</v>
      </c>
      <c r="M6541" s="80" t="s">
        <v>59</v>
      </c>
      <c r="N6541" s="80" t="s">
        <v>4299</v>
      </c>
      <c r="O6541" s="80" t="s">
        <v>20679</v>
      </c>
      <c r="P6541" s="80" t="s">
        <v>20680</v>
      </c>
      <c r="Q6541" s="20">
        <v>7349</v>
      </c>
      <c r="R6541" s="80" t="s">
        <v>36</v>
      </c>
      <c r="S6541" s="95">
        <f>300+7049</f>
        <v>7349</v>
      </c>
      <c r="T6541" s="83" t="s">
        <v>20681</v>
      </c>
      <c r="U6541" s="77"/>
      <c r="V6541" s="78"/>
      <c r="W6541" s="85" t="s">
        <v>20682</v>
      </c>
      <c r="X6541" s="80"/>
      <c r="Y6541" s="22">
        <v>0</v>
      </c>
      <c r="Z6541" s="80" t="s">
        <v>50</v>
      </c>
      <c r="AA6541" s="82" t="s">
        <v>20522</v>
      </c>
      <c r="AB6541" s="80"/>
      <c r="AC6541" s="80" t="s">
        <v>53</v>
      </c>
      <c r="AD6541" s="80" t="s">
        <v>138</v>
      </c>
      <c r="AE6541" s="80" t="s">
        <v>2752</v>
      </c>
      <c r="AF6541" s="17">
        <v>45706</v>
      </c>
      <c r="AG6541" s="80"/>
      <c r="AH6541" s="80"/>
      <c r="AI6541" s="147"/>
      <c r="AJ6541" s="80"/>
      <c r="AK6541" s="80"/>
      <c r="AL6541" s="35"/>
      <c r="AM6541" s="35"/>
      <c r="AN6541" s="35"/>
      <c r="AO6541" s="35"/>
      <c r="AP6541" s="35"/>
    </row>
    <row r="6542" spans="1:42" x14ac:dyDescent="0.2">
      <c r="A6542" s="126">
        <v>45698.005561284721</v>
      </c>
      <c r="B6542" s="137" t="s">
        <v>37</v>
      </c>
      <c r="C6542" s="41" t="s">
        <v>118</v>
      </c>
      <c r="D6542" s="80" t="s">
        <v>36</v>
      </c>
      <c r="E6542" s="80" t="s">
        <v>56</v>
      </c>
      <c r="F6542" s="80" t="s">
        <v>36</v>
      </c>
      <c r="G6542" s="80" t="s">
        <v>41</v>
      </c>
      <c r="H6542" s="80" t="s">
        <v>20683</v>
      </c>
      <c r="I6542" s="17">
        <f ca="1">IFERROR(__xludf.DUMMYFUNCTION("""COMPUTED_VALUE"""),45715)</f>
        <v>45715</v>
      </c>
      <c r="J6542" s="143" t="s">
        <v>20684</v>
      </c>
      <c r="K6542" s="80" t="s">
        <v>20685</v>
      </c>
      <c r="L6542" s="30">
        <v>358810520</v>
      </c>
      <c r="M6542" s="80" t="s">
        <v>59</v>
      </c>
      <c r="N6542" s="80" t="s">
        <v>9294</v>
      </c>
      <c r="O6542" s="80" t="s">
        <v>20686</v>
      </c>
      <c r="P6542" s="80" t="s">
        <v>18083</v>
      </c>
      <c r="Q6542" s="20">
        <v>9317</v>
      </c>
      <c r="R6542" s="80" t="s">
        <v>36</v>
      </c>
      <c r="S6542" s="95">
        <f>200+9117</f>
        <v>9317</v>
      </c>
      <c r="T6542" s="83" t="s">
        <v>20687</v>
      </c>
      <c r="U6542" s="77"/>
      <c r="V6542" s="78"/>
      <c r="W6542" s="85" t="s">
        <v>20688</v>
      </c>
      <c r="X6542" s="80"/>
      <c r="Y6542" s="22">
        <v>0</v>
      </c>
      <c r="Z6542" s="80" t="s">
        <v>50</v>
      </c>
      <c r="AA6542" s="86" t="s">
        <v>20522</v>
      </c>
      <c r="AB6542" s="80"/>
      <c r="AC6542" s="80" t="s">
        <v>53</v>
      </c>
      <c r="AD6542" s="80" t="s">
        <v>138</v>
      </c>
      <c r="AE6542" s="80"/>
      <c r="AF6542" s="17">
        <v>45715</v>
      </c>
      <c r="AG6542" s="80"/>
      <c r="AH6542" s="80"/>
      <c r="AI6542" s="147"/>
      <c r="AJ6542" s="80"/>
      <c r="AK6542" s="80"/>
      <c r="AL6542" s="35"/>
      <c r="AM6542" s="35"/>
      <c r="AN6542" s="35"/>
      <c r="AO6542" s="35"/>
      <c r="AP6542" s="35"/>
    </row>
    <row r="6543" spans="1:42" x14ac:dyDescent="0.2">
      <c r="A6543" s="126">
        <v>45698.378192696764</v>
      </c>
      <c r="B6543" s="137" t="s">
        <v>37</v>
      </c>
      <c r="C6543" s="41" t="s">
        <v>118</v>
      </c>
      <c r="D6543" s="80" t="s">
        <v>36</v>
      </c>
      <c r="E6543" s="80" t="s">
        <v>77</v>
      </c>
      <c r="F6543" s="80" t="s">
        <v>40</v>
      </c>
      <c r="G6543" s="80" t="s">
        <v>41</v>
      </c>
      <c r="H6543" s="80" t="s">
        <v>19308</v>
      </c>
      <c r="I6543" s="17">
        <f ca="1">IFERROR(__xludf.DUMMYFUNCTION("""COMPUTED_VALUE"""),45709)</f>
        <v>45709</v>
      </c>
      <c r="J6543" s="143" t="s">
        <v>20689</v>
      </c>
      <c r="K6543" s="80" t="s">
        <v>20690</v>
      </c>
      <c r="L6543" s="30">
        <v>399231891</v>
      </c>
      <c r="M6543" s="80" t="s">
        <v>348</v>
      </c>
      <c r="N6543" s="80" t="s">
        <v>7509</v>
      </c>
      <c r="O6543" s="80" t="s">
        <v>91</v>
      </c>
      <c r="P6543" s="80" t="s">
        <v>20691</v>
      </c>
      <c r="Q6543" s="20">
        <v>1968</v>
      </c>
      <c r="R6543" s="80" t="s">
        <v>36</v>
      </c>
      <c r="S6543" s="95">
        <v>1968</v>
      </c>
      <c r="T6543" s="148">
        <v>45697</v>
      </c>
      <c r="U6543" s="77"/>
      <c r="V6543" s="78"/>
      <c r="W6543" s="85" t="s">
        <v>20692</v>
      </c>
      <c r="X6543" s="80"/>
      <c r="Y6543" s="22">
        <v>0</v>
      </c>
      <c r="Z6543" s="80" t="s">
        <v>50</v>
      </c>
      <c r="AA6543" s="82" t="s">
        <v>20522</v>
      </c>
      <c r="AB6543" s="80"/>
      <c r="AC6543" s="80" t="s">
        <v>53</v>
      </c>
      <c r="AD6543" s="80" t="s">
        <v>54</v>
      </c>
      <c r="AE6543" s="80" t="s">
        <v>91</v>
      </c>
      <c r="AF6543" s="17">
        <v>45701</v>
      </c>
      <c r="AG6543" s="80"/>
      <c r="AH6543" s="80"/>
      <c r="AI6543" s="147"/>
      <c r="AJ6543" s="80"/>
      <c r="AK6543" s="80"/>
      <c r="AL6543" s="35"/>
      <c r="AM6543" s="35"/>
      <c r="AN6543" s="35"/>
      <c r="AO6543" s="35"/>
      <c r="AP6543" s="35"/>
    </row>
    <row r="6544" spans="1:42" x14ac:dyDescent="0.2">
      <c r="A6544" s="126">
        <v>45698.380276689815</v>
      </c>
      <c r="B6544" s="137" t="s">
        <v>37</v>
      </c>
      <c r="C6544" s="41" t="s">
        <v>118</v>
      </c>
      <c r="D6544" s="80" t="s">
        <v>36</v>
      </c>
      <c r="E6544" s="80" t="s">
        <v>77</v>
      </c>
      <c r="F6544" s="80" t="s">
        <v>36</v>
      </c>
      <c r="G6544" s="80" t="s">
        <v>41</v>
      </c>
      <c r="H6544" s="80" t="s">
        <v>19824</v>
      </c>
      <c r="I6544" s="17">
        <f ca="1">IFERROR(__xludf.DUMMYFUNCTION("""COMPUTED_VALUE"""),45701)</f>
        <v>45701</v>
      </c>
      <c r="J6544" s="172" t="s">
        <v>20693</v>
      </c>
      <c r="K6544" s="80" t="s">
        <v>20694</v>
      </c>
      <c r="L6544" s="30">
        <v>367877656</v>
      </c>
      <c r="M6544" s="80" t="s">
        <v>59</v>
      </c>
      <c r="N6544" s="80" t="s">
        <v>9294</v>
      </c>
      <c r="O6544" s="80" t="s">
        <v>20695</v>
      </c>
      <c r="P6544" s="80" t="s">
        <v>20696</v>
      </c>
      <c r="Q6544" s="20">
        <v>1968</v>
      </c>
      <c r="R6544" s="80" t="s">
        <v>36</v>
      </c>
      <c r="S6544" s="95">
        <v>2000</v>
      </c>
      <c r="T6544" s="148">
        <v>45698</v>
      </c>
      <c r="U6544" s="77"/>
      <c r="V6544" s="78"/>
      <c r="W6544" s="85" t="s">
        <v>20697</v>
      </c>
      <c r="X6544" s="80"/>
      <c r="Y6544" s="22">
        <v>-32</v>
      </c>
      <c r="Z6544" s="80" t="s">
        <v>50</v>
      </c>
      <c r="AA6544" s="86" t="s">
        <v>20522</v>
      </c>
      <c r="AB6544" s="80"/>
      <c r="AC6544" s="80" t="s">
        <v>53</v>
      </c>
      <c r="AD6544" s="80" t="s">
        <v>54</v>
      </c>
      <c r="AE6544" s="80"/>
      <c r="AF6544" s="17">
        <v>45698</v>
      </c>
      <c r="AG6544" s="80" t="s">
        <v>7078</v>
      </c>
      <c r="AH6544" s="80"/>
      <c r="AI6544" s="147"/>
      <c r="AJ6544" s="80"/>
      <c r="AK6544" s="80"/>
      <c r="AL6544" s="35"/>
      <c r="AM6544" s="35"/>
      <c r="AN6544" s="35"/>
      <c r="AO6544" s="35"/>
      <c r="AP6544" s="35"/>
    </row>
    <row r="6545" spans="1:42" x14ac:dyDescent="0.2">
      <c r="A6545" s="126">
        <v>45698.590059120368</v>
      </c>
      <c r="B6545" s="28" t="s">
        <v>37</v>
      </c>
      <c r="C6545" s="41" t="s">
        <v>118</v>
      </c>
      <c r="D6545" s="80" t="s">
        <v>36</v>
      </c>
      <c r="E6545" s="80" t="s">
        <v>139</v>
      </c>
      <c r="F6545" s="80" t="s">
        <v>40</v>
      </c>
      <c r="G6545" s="80" t="s">
        <v>41</v>
      </c>
      <c r="H6545" s="80" t="s">
        <v>19308</v>
      </c>
      <c r="I6545" s="17">
        <f ca="1">IFERROR(__xludf.DUMMYFUNCTION("""COMPUTED_VALUE"""),45709)</f>
        <v>45709</v>
      </c>
      <c r="J6545" s="143" t="s">
        <v>20698</v>
      </c>
      <c r="K6545" s="80" t="s">
        <v>20699</v>
      </c>
      <c r="L6545" s="30">
        <v>974753681</v>
      </c>
      <c r="M6545" s="80" t="s">
        <v>9422</v>
      </c>
      <c r="N6545" s="80" t="s">
        <v>2157</v>
      </c>
      <c r="O6545" s="80" t="s">
        <v>8827</v>
      </c>
      <c r="P6545" s="80" t="s">
        <v>20700</v>
      </c>
      <c r="Q6545" s="20">
        <v>15936</v>
      </c>
      <c r="R6545" s="80" t="s">
        <v>36</v>
      </c>
      <c r="S6545" s="95">
        <v>15936</v>
      </c>
      <c r="T6545" s="148">
        <v>45697</v>
      </c>
      <c r="U6545" s="77"/>
      <c r="V6545" s="78"/>
      <c r="W6545" s="85" t="s">
        <v>20701</v>
      </c>
      <c r="X6545" s="80"/>
      <c r="Y6545" s="22">
        <v>0</v>
      </c>
      <c r="Z6545" s="80" t="s">
        <v>50</v>
      </c>
      <c r="AA6545" s="82" t="s">
        <v>20522</v>
      </c>
      <c r="AB6545" s="80"/>
      <c r="AC6545" s="80" t="s">
        <v>53</v>
      </c>
      <c r="AD6545" s="80" t="s">
        <v>54</v>
      </c>
      <c r="AE6545" s="80"/>
      <c r="AF6545" s="17">
        <v>45700</v>
      </c>
      <c r="AG6545" s="80" t="s">
        <v>20702</v>
      </c>
      <c r="AH6545" s="80"/>
      <c r="AI6545" s="147"/>
      <c r="AJ6545" s="80"/>
      <c r="AK6545" s="80"/>
      <c r="AL6545" s="35"/>
      <c r="AM6545" s="35"/>
      <c r="AN6545" s="35"/>
      <c r="AO6545" s="35"/>
      <c r="AP6545" s="35"/>
    </row>
    <row r="6546" spans="1:42" x14ac:dyDescent="0.2">
      <c r="A6546" s="126">
        <v>45698.595801238422</v>
      </c>
      <c r="B6546" s="137" t="s">
        <v>37</v>
      </c>
      <c r="C6546" s="41" t="s">
        <v>118</v>
      </c>
      <c r="D6546" s="80" t="s">
        <v>36</v>
      </c>
      <c r="E6546" s="80" t="s">
        <v>77</v>
      </c>
      <c r="F6546" s="80" t="s">
        <v>36</v>
      </c>
      <c r="G6546" s="80" t="s">
        <v>41</v>
      </c>
      <c r="H6546" s="80" t="s">
        <v>18102</v>
      </c>
      <c r="I6546" s="17">
        <f ca="1">IFERROR(__xludf.DUMMYFUNCTION("""COMPUTED_VALUE"""),45712)</f>
        <v>45712</v>
      </c>
      <c r="J6546" s="143" t="s">
        <v>20703</v>
      </c>
      <c r="K6546" s="80" t="s">
        <v>20704</v>
      </c>
      <c r="L6546" s="30">
        <v>343798976</v>
      </c>
      <c r="M6546" s="80" t="s">
        <v>9422</v>
      </c>
      <c r="N6546" s="80" t="s">
        <v>12310</v>
      </c>
      <c r="O6546" s="80" t="s">
        <v>36</v>
      </c>
      <c r="P6546" s="80" t="s">
        <v>20705</v>
      </c>
      <c r="Q6546" s="20">
        <v>1968</v>
      </c>
      <c r="R6546" s="80" t="s">
        <v>36</v>
      </c>
      <c r="S6546" s="95">
        <v>1968</v>
      </c>
      <c r="T6546" s="148">
        <v>45698</v>
      </c>
      <c r="U6546" s="77"/>
      <c r="V6546" s="78"/>
      <c r="W6546" s="85" t="s">
        <v>20706</v>
      </c>
      <c r="X6546" s="80"/>
      <c r="Y6546" s="22">
        <v>0</v>
      </c>
      <c r="Z6546" s="80" t="s">
        <v>50</v>
      </c>
      <c r="AA6546" s="86" t="s">
        <v>20522</v>
      </c>
      <c r="AB6546" s="80"/>
      <c r="AC6546" s="80" t="s">
        <v>53</v>
      </c>
      <c r="AD6546" s="80" t="s">
        <v>54</v>
      </c>
      <c r="AE6546" s="80"/>
      <c r="AF6546" s="17">
        <v>45700</v>
      </c>
      <c r="AG6546" s="80" t="s">
        <v>20707</v>
      </c>
      <c r="AH6546" s="80"/>
      <c r="AI6546" s="147"/>
      <c r="AJ6546" s="80"/>
      <c r="AK6546" s="80"/>
      <c r="AL6546" s="35"/>
      <c r="AM6546" s="35"/>
      <c r="AN6546" s="35"/>
      <c r="AO6546" s="35"/>
      <c r="AP6546" s="35"/>
    </row>
    <row r="6547" spans="1:42" x14ac:dyDescent="0.2">
      <c r="A6547" s="38">
        <v>45698</v>
      </c>
      <c r="B6547" s="137" t="s">
        <v>37</v>
      </c>
      <c r="C6547" s="41" t="s">
        <v>118</v>
      </c>
      <c r="D6547" s="80" t="s">
        <v>36</v>
      </c>
      <c r="E6547" s="26" t="s">
        <v>219</v>
      </c>
      <c r="F6547" s="80" t="s">
        <v>10144</v>
      </c>
      <c r="G6547" s="161" t="s">
        <v>221</v>
      </c>
      <c r="H6547" s="80" t="s">
        <v>9005</v>
      </c>
      <c r="I6547" s="17">
        <f ca="1">IFERROR(__xludf.DUMMYFUNCTION("""COMPUTED_VALUE"""),45712)</f>
        <v>45712</v>
      </c>
      <c r="J6547" s="143" t="s">
        <v>13971</v>
      </c>
      <c r="K6547" s="145" t="s">
        <v>20708</v>
      </c>
      <c r="L6547" s="30">
        <v>918195958</v>
      </c>
      <c r="M6547" s="80" t="s">
        <v>5558</v>
      </c>
      <c r="N6547" s="80" t="s">
        <v>5559</v>
      </c>
      <c r="O6547" s="80" t="s">
        <v>4503</v>
      </c>
      <c r="P6547" s="144" t="s">
        <v>13973</v>
      </c>
      <c r="Q6547" s="20">
        <v>3968</v>
      </c>
      <c r="R6547" s="80" t="s">
        <v>36</v>
      </c>
      <c r="S6547" s="95">
        <v>3868</v>
      </c>
      <c r="T6547" s="148">
        <v>45709</v>
      </c>
      <c r="U6547" s="77"/>
      <c r="V6547" s="78"/>
      <c r="W6547" s="79" t="s">
        <v>20709</v>
      </c>
      <c r="X6547" s="86"/>
      <c r="Y6547" s="22">
        <v>100</v>
      </c>
      <c r="Z6547" s="80" t="s">
        <v>50</v>
      </c>
      <c r="AA6547" s="82" t="s">
        <v>20522</v>
      </c>
      <c r="AB6547" s="175" t="s">
        <v>20710</v>
      </c>
      <c r="AC6547" s="80" t="s">
        <v>53</v>
      </c>
      <c r="AD6547" s="80" t="s">
        <v>138</v>
      </c>
      <c r="AE6547" s="80" t="s">
        <v>10144</v>
      </c>
      <c r="AF6547" s="17">
        <v>45712</v>
      </c>
      <c r="AG6547" s="80"/>
      <c r="AH6547" s="80"/>
      <c r="AI6547" s="147" t="s">
        <v>64</v>
      </c>
      <c r="AJ6547" s="80"/>
      <c r="AK6547" s="80"/>
      <c r="AL6547" s="86"/>
      <c r="AM6547" s="86"/>
      <c r="AN6547" s="86"/>
      <c r="AO6547" s="86"/>
      <c r="AP6547" s="86"/>
    </row>
    <row r="6548" spans="1:42" x14ac:dyDescent="0.2">
      <c r="A6548" s="126">
        <v>45698.66687163194</v>
      </c>
      <c r="B6548" s="137" t="s">
        <v>37</v>
      </c>
      <c r="C6548" s="41" t="s">
        <v>118</v>
      </c>
      <c r="D6548" s="80" t="s">
        <v>36</v>
      </c>
      <c r="E6548" s="80" t="s">
        <v>77</v>
      </c>
      <c r="F6548" s="80" t="s">
        <v>40</v>
      </c>
      <c r="G6548" s="80" t="s">
        <v>41</v>
      </c>
      <c r="H6548" s="80" t="s">
        <v>19849</v>
      </c>
      <c r="I6548" s="17">
        <f ca="1">IFERROR(__xludf.DUMMYFUNCTION("""COMPUTED_VALUE"""),45713)</f>
        <v>45713</v>
      </c>
      <c r="J6548" s="143" t="s">
        <v>20711</v>
      </c>
      <c r="K6548" s="80" t="s">
        <v>1634</v>
      </c>
      <c r="L6548" s="30">
        <v>909556379</v>
      </c>
      <c r="M6548" s="80" t="s">
        <v>348</v>
      </c>
      <c r="N6548" s="80" t="s">
        <v>7509</v>
      </c>
      <c r="O6548" s="80" t="s">
        <v>91</v>
      </c>
      <c r="P6548" s="80" t="s">
        <v>20712</v>
      </c>
      <c r="Q6548" s="20">
        <v>1968</v>
      </c>
      <c r="R6548" s="80" t="s">
        <v>36</v>
      </c>
      <c r="S6548" s="95">
        <v>1968</v>
      </c>
      <c r="T6548" s="148">
        <v>45698</v>
      </c>
      <c r="U6548" s="77"/>
      <c r="V6548" s="78"/>
      <c r="W6548" s="85" t="s">
        <v>20713</v>
      </c>
      <c r="X6548" s="80"/>
      <c r="Y6548" s="22">
        <v>0</v>
      </c>
      <c r="Z6548" s="80" t="s">
        <v>50</v>
      </c>
      <c r="AA6548" s="86" t="s">
        <v>20522</v>
      </c>
      <c r="AB6548" s="80"/>
      <c r="AC6548" s="80" t="s">
        <v>53</v>
      </c>
      <c r="AD6548" s="80" t="s">
        <v>54</v>
      </c>
      <c r="AE6548" s="80" t="s">
        <v>91</v>
      </c>
      <c r="AF6548" s="17">
        <v>45701</v>
      </c>
      <c r="AG6548" s="80"/>
      <c r="AH6548" s="80"/>
      <c r="AI6548" s="147"/>
      <c r="AJ6548" s="80"/>
      <c r="AK6548" s="80"/>
      <c r="AL6548" s="35"/>
      <c r="AM6548" s="35"/>
      <c r="AN6548" s="35"/>
      <c r="AO6548" s="35"/>
      <c r="AP6548" s="35"/>
    </row>
    <row r="6549" spans="1:42" x14ac:dyDescent="0.2">
      <c r="A6549" s="126">
        <v>45698.940935115737</v>
      </c>
      <c r="B6549" s="137" t="s">
        <v>37</v>
      </c>
      <c r="C6549" s="41" t="s">
        <v>118</v>
      </c>
      <c r="D6549" s="80" t="s">
        <v>36</v>
      </c>
      <c r="E6549" s="80" t="s">
        <v>219</v>
      </c>
      <c r="F6549" s="80" t="s">
        <v>10144</v>
      </c>
      <c r="G6549" s="161" t="s">
        <v>221</v>
      </c>
      <c r="H6549" s="80" t="s">
        <v>9005</v>
      </c>
      <c r="I6549" s="17">
        <f ca="1">IFERROR(__xludf.DUMMYFUNCTION("""COMPUTED_VALUE"""),45712)</f>
        <v>45712</v>
      </c>
      <c r="J6549" s="143" t="s">
        <v>16481</v>
      </c>
      <c r="K6549" s="80" t="s">
        <v>12625</v>
      </c>
      <c r="L6549" s="30">
        <v>793225861</v>
      </c>
      <c r="M6549" s="80" t="s">
        <v>3288</v>
      </c>
      <c r="N6549" s="80" t="s">
        <v>7509</v>
      </c>
      <c r="O6549" s="80" t="s">
        <v>91</v>
      </c>
      <c r="P6549" s="80" t="s">
        <v>3117</v>
      </c>
      <c r="Q6549" s="20">
        <v>3968</v>
      </c>
      <c r="R6549" s="80" t="s">
        <v>36</v>
      </c>
      <c r="S6549" s="95">
        <f>700+3268</f>
        <v>3968</v>
      </c>
      <c r="T6549" s="83" t="s">
        <v>20714</v>
      </c>
      <c r="U6549" s="77"/>
      <c r="V6549" s="78"/>
      <c r="W6549" s="85" t="s">
        <v>20715</v>
      </c>
      <c r="X6549" s="80"/>
      <c r="Y6549" s="22">
        <v>0</v>
      </c>
      <c r="Z6549" s="80" t="s">
        <v>50</v>
      </c>
      <c r="AA6549" s="82" t="s">
        <v>20522</v>
      </c>
      <c r="AB6549" s="80"/>
      <c r="AC6549" s="80" t="s">
        <v>53</v>
      </c>
      <c r="AD6549" s="80" t="s">
        <v>138</v>
      </c>
      <c r="AE6549" s="80" t="s">
        <v>10144</v>
      </c>
      <c r="AF6549" s="17">
        <v>45712</v>
      </c>
      <c r="AG6549" s="80"/>
      <c r="AH6549" s="80"/>
      <c r="AI6549" s="147"/>
      <c r="AJ6549" s="80"/>
      <c r="AK6549" s="80"/>
      <c r="AL6549" s="35"/>
      <c r="AM6549" s="35"/>
      <c r="AN6549" s="35"/>
      <c r="AO6549" s="35"/>
      <c r="AP6549" s="35"/>
    </row>
    <row r="6550" spans="1:42" x14ac:dyDescent="0.2">
      <c r="A6550" s="38">
        <v>45699</v>
      </c>
      <c r="B6550" s="137" t="s">
        <v>37</v>
      </c>
      <c r="C6550" s="41" t="s">
        <v>118</v>
      </c>
      <c r="D6550" s="80" t="s">
        <v>36</v>
      </c>
      <c r="E6550" s="80" t="s">
        <v>106</v>
      </c>
      <c r="F6550" s="26" t="s">
        <v>19075</v>
      </c>
      <c r="G6550" s="80" t="s">
        <v>108</v>
      </c>
      <c r="H6550" s="80" t="s">
        <v>14131</v>
      </c>
      <c r="I6550" s="17">
        <f ca="1">IFERROR(__xludf.DUMMYFUNCTION("""COMPUTED_VALUE"""),45705)</f>
        <v>45705</v>
      </c>
      <c r="J6550" s="143" t="s">
        <v>19096</v>
      </c>
      <c r="K6550" s="80" t="s">
        <v>19097</v>
      </c>
      <c r="L6550" s="30">
        <v>854011343</v>
      </c>
      <c r="M6550" s="80" t="s">
        <v>11413</v>
      </c>
      <c r="N6550" s="80" t="s">
        <v>1246</v>
      </c>
      <c r="O6550" s="80" t="s">
        <v>19098</v>
      </c>
      <c r="P6550" s="80" t="s">
        <v>19099</v>
      </c>
      <c r="Q6550" s="20">
        <v>3768</v>
      </c>
      <c r="R6550" s="80" t="s">
        <v>36</v>
      </c>
      <c r="S6550" s="95">
        <v>3768</v>
      </c>
      <c r="T6550" s="148">
        <v>45698</v>
      </c>
      <c r="U6550" s="77"/>
      <c r="V6550" s="78"/>
      <c r="W6550" s="85" t="s">
        <v>20716</v>
      </c>
      <c r="X6550" s="80"/>
      <c r="Y6550" s="22">
        <v>0</v>
      </c>
      <c r="Z6550" s="80" t="s">
        <v>50</v>
      </c>
      <c r="AA6550" s="86" t="s">
        <v>20522</v>
      </c>
      <c r="AB6550" s="86"/>
      <c r="AC6550" s="80" t="s">
        <v>53</v>
      </c>
      <c r="AD6550" s="80" t="s">
        <v>54</v>
      </c>
      <c r="AE6550" s="80"/>
      <c r="AF6550" s="17">
        <v>45699</v>
      </c>
      <c r="AG6550" s="80"/>
      <c r="AH6550" s="80"/>
      <c r="AI6550" s="147"/>
      <c r="AJ6550" s="80"/>
      <c r="AK6550" s="80"/>
      <c r="AL6550" s="35"/>
      <c r="AM6550" s="35"/>
      <c r="AN6550" s="35"/>
      <c r="AO6550" s="35"/>
      <c r="AP6550" s="35"/>
    </row>
    <row r="6551" spans="1:42" x14ac:dyDescent="0.2">
      <c r="A6551" s="126">
        <v>45699.321186747686</v>
      </c>
      <c r="B6551" s="137" t="s">
        <v>37</v>
      </c>
      <c r="C6551" s="41" t="s">
        <v>118</v>
      </c>
      <c r="D6551" s="80" t="s">
        <v>36</v>
      </c>
      <c r="E6551" s="80" t="s">
        <v>106</v>
      </c>
      <c r="F6551" s="80" t="s">
        <v>36</v>
      </c>
      <c r="G6551" s="80" t="s">
        <v>108</v>
      </c>
      <c r="H6551" s="80" t="s">
        <v>9970</v>
      </c>
      <c r="I6551" s="17">
        <f ca="1">IFERROR(__xludf.DUMMYFUNCTION("""COMPUTED_VALUE"""),45714)</f>
        <v>45714</v>
      </c>
      <c r="J6551" s="143" t="s">
        <v>20717</v>
      </c>
      <c r="K6551" s="80" t="s">
        <v>20718</v>
      </c>
      <c r="L6551" s="30">
        <v>345566251</v>
      </c>
      <c r="M6551" s="80" t="s">
        <v>9422</v>
      </c>
      <c r="N6551" s="80" t="s">
        <v>2157</v>
      </c>
      <c r="O6551" s="80" t="s">
        <v>20719</v>
      </c>
      <c r="P6551" s="80" t="s">
        <v>20720</v>
      </c>
      <c r="Q6551" s="20">
        <v>3768</v>
      </c>
      <c r="R6551" s="80" t="s">
        <v>36</v>
      </c>
      <c r="S6551" s="95">
        <v>3768</v>
      </c>
      <c r="T6551" s="148">
        <v>45698</v>
      </c>
      <c r="U6551" s="77"/>
      <c r="V6551" s="78"/>
      <c r="W6551" s="85" t="s">
        <v>20721</v>
      </c>
      <c r="X6551" s="80"/>
      <c r="Y6551" s="22">
        <v>0</v>
      </c>
      <c r="Z6551" s="80" t="s">
        <v>50</v>
      </c>
      <c r="AA6551" s="82" t="s">
        <v>20522</v>
      </c>
      <c r="AB6551" s="82"/>
      <c r="AC6551" s="80" t="s">
        <v>53</v>
      </c>
      <c r="AD6551" s="80" t="s">
        <v>54</v>
      </c>
      <c r="AE6551" s="80"/>
      <c r="AF6551" s="17">
        <v>45708</v>
      </c>
      <c r="AG6551" s="80"/>
      <c r="AH6551" s="80"/>
      <c r="AI6551" s="147"/>
      <c r="AJ6551" s="80"/>
      <c r="AK6551" s="80"/>
      <c r="AL6551" s="35"/>
      <c r="AM6551" s="35"/>
      <c r="AN6551" s="35"/>
      <c r="AO6551" s="35"/>
      <c r="AP6551" s="35"/>
    </row>
    <row r="6552" spans="1:42" x14ac:dyDescent="0.2">
      <c r="A6552" s="126">
        <v>45699.441922037033</v>
      </c>
      <c r="B6552" s="137" t="s">
        <v>37</v>
      </c>
      <c r="C6552" s="41" t="s">
        <v>118</v>
      </c>
      <c r="D6552" s="80" t="s">
        <v>36</v>
      </c>
      <c r="E6552" s="80" t="s">
        <v>139</v>
      </c>
      <c r="F6552" s="80" t="s">
        <v>40</v>
      </c>
      <c r="G6552" s="80" t="s">
        <v>41</v>
      </c>
      <c r="H6552" s="80" t="s">
        <v>20722</v>
      </c>
      <c r="I6552" s="17">
        <f ca="1">IFERROR(__xludf.DUMMYFUNCTION("""COMPUTED_VALUE"""),45806)</f>
        <v>45806</v>
      </c>
      <c r="J6552" s="143" t="s">
        <v>20723</v>
      </c>
      <c r="K6552" s="80" t="s">
        <v>20724</v>
      </c>
      <c r="L6552" s="30">
        <v>342197816</v>
      </c>
      <c r="M6552" s="80" t="s">
        <v>15996</v>
      </c>
      <c r="N6552" s="80" t="s">
        <v>186</v>
      </c>
      <c r="O6552" s="80" t="s">
        <v>4503</v>
      </c>
      <c r="P6552" s="80" t="s">
        <v>3056</v>
      </c>
      <c r="Q6552" s="20">
        <v>15936</v>
      </c>
      <c r="R6552" s="80" t="s">
        <v>1106</v>
      </c>
      <c r="S6552" s="95">
        <f t="shared" ref="S6552:S6553" si="193">200+15586</f>
        <v>15786</v>
      </c>
      <c r="T6552" s="83" t="s">
        <v>20725</v>
      </c>
      <c r="U6552" s="77"/>
      <c r="V6552" s="78"/>
      <c r="W6552" s="85" t="s">
        <v>20726</v>
      </c>
      <c r="X6552" s="80"/>
      <c r="Y6552" s="22">
        <v>150</v>
      </c>
      <c r="Z6552" s="80" t="s">
        <v>50</v>
      </c>
      <c r="AA6552" s="86" t="s">
        <v>20522</v>
      </c>
      <c r="AB6552" s="80"/>
      <c r="AC6552" s="80" t="s">
        <v>53</v>
      </c>
      <c r="AD6552" s="80" t="s">
        <v>138</v>
      </c>
      <c r="AE6552" s="80"/>
      <c r="AF6552" s="17">
        <v>45712</v>
      </c>
      <c r="AG6552" s="80"/>
      <c r="AH6552" s="80"/>
      <c r="AI6552" s="147"/>
      <c r="AJ6552" s="80"/>
      <c r="AK6552" s="80"/>
      <c r="AL6552" s="35"/>
      <c r="AM6552" s="35"/>
      <c r="AN6552" s="35"/>
      <c r="AO6552" s="35"/>
      <c r="AP6552" s="35"/>
    </row>
    <row r="6553" spans="1:42" x14ac:dyDescent="0.2">
      <c r="A6553" s="126">
        <v>45699.445554687496</v>
      </c>
      <c r="B6553" s="137" t="s">
        <v>37</v>
      </c>
      <c r="C6553" s="41" t="s">
        <v>118</v>
      </c>
      <c r="D6553" s="80" t="s">
        <v>36</v>
      </c>
      <c r="E6553" s="80" t="s">
        <v>139</v>
      </c>
      <c r="F6553" s="80" t="s">
        <v>40</v>
      </c>
      <c r="G6553" s="80" t="s">
        <v>41</v>
      </c>
      <c r="H6553" s="80" t="s">
        <v>19366</v>
      </c>
      <c r="I6553" s="17">
        <f ca="1">IFERROR(__xludf.DUMMYFUNCTION("""COMPUTED_VALUE"""),45712)</f>
        <v>45712</v>
      </c>
      <c r="J6553" s="143" t="s">
        <v>20727</v>
      </c>
      <c r="K6553" s="80" t="s">
        <v>1811</v>
      </c>
      <c r="L6553" s="30">
        <v>367917092</v>
      </c>
      <c r="M6553" s="80" t="s">
        <v>15996</v>
      </c>
      <c r="N6553" s="80" t="s">
        <v>186</v>
      </c>
      <c r="O6553" s="80" t="s">
        <v>4503</v>
      </c>
      <c r="P6553" s="80" t="s">
        <v>3056</v>
      </c>
      <c r="Q6553" s="20">
        <v>15936</v>
      </c>
      <c r="R6553" s="80" t="s">
        <v>1106</v>
      </c>
      <c r="S6553" s="95">
        <f t="shared" si="193"/>
        <v>15786</v>
      </c>
      <c r="T6553" s="83" t="s">
        <v>20728</v>
      </c>
      <c r="U6553" s="77"/>
      <c r="V6553" s="78"/>
      <c r="W6553" s="85" t="s">
        <v>20729</v>
      </c>
      <c r="X6553" s="80"/>
      <c r="Y6553" s="22">
        <v>150</v>
      </c>
      <c r="Z6553" s="80" t="s">
        <v>50</v>
      </c>
      <c r="AA6553" s="82" t="s">
        <v>20522</v>
      </c>
      <c r="AB6553" s="80"/>
      <c r="AC6553" s="80" t="s">
        <v>53</v>
      </c>
      <c r="AD6553" s="80" t="s">
        <v>138</v>
      </c>
      <c r="AE6553" s="80"/>
      <c r="AF6553" s="17">
        <v>45712</v>
      </c>
      <c r="AG6553" s="80"/>
      <c r="AH6553" s="80"/>
      <c r="AI6553" s="147"/>
      <c r="AJ6553" s="80"/>
      <c r="AK6553" s="80"/>
      <c r="AL6553" s="35"/>
      <c r="AM6553" s="35"/>
      <c r="AN6553" s="35"/>
      <c r="AO6553" s="35"/>
      <c r="AP6553" s="35"/>
    </row>
    <row r="6554" spans="1:42" x14ac:dyDescent="0.2">
      <c r="A6554" s="126">
        <v>45699.566819293977</v>
      </c>
      <c r="B6554" s="137" t="s">
        <v>37</v>
      </c>
      <c r="C6554" s="41" t="s">
        <v>118</v>
      </c>
      <c r="D6554" s="80" t="s">
        <v>36</v>
      </c>
      <c r="E6554" s="80" t="s">
        <v>119</v>
      </c>
      <c r="F6554" s="80" t="s">
        <v>13441</v>
      </c>
      <c r="G6554" s="80" t="s">
        <v>108</v>
      </c>
      <c r="H6554" s="80" t="s">
        <v>18568</v>
      </c>
      <c r="I6554" s="17">
        <f ca="1">IFERROR(__xludf.DUMMYFUNCTION("""COMPUTED_VALUE"""),45699)</f>
        <v>45699</v>
      </c>
      <c r="J6554" s="143" t="s">
        <v>20730</v>
      </c>
      <c r="K6554" s="80" t="s">
        <v>18686</v>
      </c>
      <c r="L6554" s="30">
        <v>964269859</v>
      </c>
      <c r="M6554" s="80" t="s">
        <v>12644</v>
      </c>
      <c r="N6554" s="80" t="s">
        <v>8725</v>
      </c>
      <c r="O6554" s="80" t="s">
        <v>20731</v>
      </c>
      <c r="P6554" s="80" t="s">
        <v>18633</v>
      </c>
      <c r="Q6554" s="20">
        <v>13968</v>
      </c>
      <c r="R6554" s="80" t="s">
        <v>36</v>
      </c>
      <c r="S6554" s="95">
        <v>13936</v>
      </c>
      <c r="T6554" s="148">
        <v>45699</v>
      </c>
      <c r="U6554" s="77"/>
      <c r="V6554" s="78"/>
      <c r="W6554" s="79" t="s">
        <v>20732</v>
      </c>
      <c r="X6554" s="80"/>
      <c r="Y6554" s="22">
        <v>32</v>
      </c>
      <c r="Z6554" s="80" t="s">
        <v>50</v>
      </c>
      <c r="AA6554" s="86" t="s">
        <v>20522</v>
      </c>
      <c r="AB6554" s="80"/>
      <c r="AC6554" s="80" t="s">
        <v>53</v>
      </c>
      <c r="AD6554" s="80" t="s">
        <v>138</v>
      </c>
      <c r="AE6554" s="80" t="s">
        <v>13441</v>
      </c>
      <c r="AF6554" s="17">
        <v>45699</v>
      </c>
      <c r="AG6554" s="80"/>
      <c r="AH6554" s="80"/>
      <c r="AI6554" s="147"/>
      <c r="AJ6554" s="80"/>
      <c r="AK6554" s="80"/>
      <c r="AL6554" s="35"/>
      <c r="AM6554" s="35"/>
      <c r="AN6554" s="35"/>
      <c r="AO6554" s="35"/>
      <c r="AP6554" s="35"/>
    </row>
    <row r="6555" spans="1:42" x14ac:dyDescent="0.2">
      <c r="A6555" s="38">
        <v>45700</v>
      </c>
      <c r="B6555" s="28" t="s">
        <v>37</v>
      </c>
      <c r="C6555" s="41" t="s">
        <v>118</v>
      </c>
      <c r="D6555" s="26" t="s">
        <v>36</v>
      </c>
      <c r="E6555" s="80" t="s">
        <v>219</v>
      </c>
      <c r="F6555" s="26" t="s">
        <v>9897</v>
      </c>
      <c r="G6555" s="80" t="s">
        <v>221</v>
      </c>
      <c r="H6555" s="26" t="s">
        <v>19514</v>
      </c>
      <c r="I6555" s="17">
        <f ca="1">IFERROR(__xludf.DUMMYFUNCTION("""COMPUTED_VALUE"""),45709)</f>
        <v>45709</v>
      </c>
      <c r="J6555" s="29" t="s">
        <v>10517</v>
      </c>
      <c r="K6555" s="26" t="s">
        <v>10518</v>
      </c>
      <c r="L6555" s="30">
        <v>768479019</v>
      </c>
      <c r="M6555" s="26"/>
      <c r="N6555" s="26"/>
      <c r="O6555" s="26" t="s">
        <v>10519</v>
      </c>
      <c r="P6555" s="42" t="s">
        <v>20733</v>
      </c>
      <c r="Q6555" s="20">
        <v>3968</v>
      </c>
      <c r="R6555" s="26" t="s">
        <v>36</v>
      </c>
      <c r="S6555" s="95">
        <v>3968</v>
      </c>
      <c r="T6555" s="148">
        <v>45707</v>
      </c>
      <c r="U6555" s="95"/>
      <c r="V6555" s="148"/>
      <c r="W6555" s="33"/>
      <c r="X6555" s="26">
        <v>0</v>
      </c>
      <c r="Y6555" s="22">
        <v>0</v>
      </c>
      <c r="Z6555" s="26" t="s">
        <v>50</v>
      </c>
      <c r="AA6555" s="82" t="s">
        <v>20522</v>
      </c>
      <c r="AB6555" s="26"/>
      <c r="AC6555" s="26" t="s">
        <v>53</v>
      </c>
      <c r="AD6555" s="26" t="s">
        <v>54</v>
      </c>
      <c r="AE6555" s="80"/>
      <c r="AF6555" s="17">
        <v>45707</v>
      </c>
      <c r="AG6555" s="26"/>
      <c r="AH6555" s="26"/>
      <c r="AI6555" s="40"/>
      <c r="AJ6555" s="26"/>
      <c r="AK6555" s="26"/>
      <c r="AL6555" s="35"/>
      <c r="AM6555" s="35"/>
      <c r="AN6555" s="35"/>
      <c r="AO6555" s="35"/>
      <c r="AP6555" s="35"/>
    </row>
    <row r="6556" spans="1:42" x14ac:dyDescent="0.2">
      <c r="A6556" s="126">
        <v>45700.413847025462</v>
      </c>
      <c r="B6556" s="137" t="s">
        <v>37</v>
      </c>
      <c r="C6556" s="41" t="s">
        <v>118</v>
      </c>
      <c r="D6556" s="80" t="s">
        <v>36</v>
      </c>
      <c r="E6556" s="80" t="s">
        <v>139</v>
      </c>
      <c r="F6556" s="80" t="s">
        <v>36</v>
      </c>
      <c r="G6556" s="80" t="s">
        <v>41</v>
      </c>
      <c r="H6556" s="80" t="s">
        <v>16519</v>
      </c>
      <c r="I6556" s="17">
        <f ca="1">IFERROR(__xludf.DUMMYFUNCTION("""COMPUTED_VALUE"""),45707)</f>
        <v>45707</v>
      </c>
      <c r="J6556" s="143" t="s">
        <v>20734</v>
      </c>
      <c r="K6556" s="80" t="s">
        <v>20735</v>
      </c>
      <c r="L6556" s="30">
        <v>374618179</v>
      </c>
      <c r="M6556" s="80" t="s">
        <v>59</v>
      </c>
      <c r="N6556" s="80" t="s">
        <v>68</v>
      </c>
      <c r="O6556" s="80" t="s">
        <v>20736</v>
      </c>
      <c r="P6556" s="80" t="s">
        <v>18083</v>
      </c>
      <c r="Q6556" s="20">
        <v>15936</v>
      </c>
      <c r="R6556" s="80" t="s">
        <v>70</v>
      </c>
      <c r="S6556" s="95">
        <f t="shared" ref="S6556:S6557" si="194">50+15786</f>
        <v>15836</v>
      </c>
      <c r="T6556" s="83" t="s">
        <v>20737</v>
      </c>
      <c r="U6556" s="77"/>
      <c r="V6556" s="78"/>
      <c r="W6556" s="85" t="s">
        <v>20738</v>
      </c>
      <c r="X6556" s="80"/>
      <c r="Y6556" s="22">
        <v>100</v>
      </c>
      <c r="Z6556" s="80" t="s">
        <v>50</v>
      </c>
      <c r="AA6556" s="86" t="s">
        <v>20522</v>
      </c>
      <c r="AB6556" s="80"/>
      <c r="AC6556" s="80" t="s">
        <v>53</v>
      </c>
      <c r="AD6556" s="80" t="s">
        <v>138</v>
      </c>
      <c r="AE6556" s="80"/>
      <c r="AF6556" s="17">
        <v>45707</v>
      </c>
      <c r="AG6556" s="80"/>
      <c r="AH6556" s="80"/>
      <c r="AI6556" s="147"/>
      <c r="AJ6556" s="80"/>
      <c r="AK6556" s="80"/>
      <c r="AL6556" s="35"/>
      <c r="AM6556" s="35"/>
      <c r="AN6556" s="35"/>
      <c r="AO6556" s="35"/>
      <c r="AP6556" s="35"/>
    </row>
    <row r="6557" spans="1:42" x14ac:dyDescent="0.2">
      <c r="A6557" s="126">
        <v>45700.415648888884</v>
      </c>
      <c r="B6557" s="137" t="s">
        <v>37</v>
      </c>
      <c r="C6557" s="41" t="s">
        <v>118</v>
      </c>
      <c r="D6557" s="80" t="s">
        <v>36</v>
      </c>
      <c r="E6557" s="80" t="s">
        <v>139</v>
      </c>
      <c r="F6557" s="80" t="s">
        <v>36</v>
      </c>
      <c r="G6557" s="80" t="s">
        <v>41</v>
      </c>
      <c r="H6557" s="80" t="s">
        <v>16519</v>
      </c>
      <c r="I6557" s="17">
        <f ca="1">IFERROR(__xludf.DUMMYFUNCTION("""COMPUTED_VALUE"""),45707)</f>
        <v>45707</v>
      </c>
      <c r="J6557" s="143" t="s">
        <v>20739</v>
      </c>
      <c r="K6557" s="80" t="s">
        <v>20740</v>
      </c>
      <c r="L6557" s="30">
        <v>354037448</v>
      </c>
      <c r="M6557" s="80" t="s">
        <v>59</v>
      </c>
      <c r="N6557" s="80" t="s">
        <v>68</v>
      </c>
      <c r="O6557" s="80" t="s">
        <v>20741</v>
      </c>
      <c r="P6557" s="80" t="s">
        <v>16383</v>
      </c>
      <c r="Q6557" s="20">
        <v>15936</v>
      </c>
      <c r="R6557" s="80" t="s">
        <v>70</v>
      </c>
      <c r="S6557" s="95">
        <f t="shared" si="194"/>
        <v>15836</v>
      </c>
      <c r="T6557" s="83" t="s">
        <v>20737</v>
      </c>
      <c r="U6557" s="77"/>
      <c r="V6557" s="78"/>
      <c r="W6557" s="85" t="s">
        <v>20742</v>
      </c>
      <c r="X6557" s="80"/>
      <c r="Y6557" s="22">
        <v>100</v>
      </c>
      <c r="Z6557" s="80" t="s">
        <v>50</v>
      </c>
      <c r="AA6557" s="82" t="s">
        <v>20522</v>
      </c>
      <c r="AB6557" s="80"/>
      <c r="AC6557" s="80" t="s">
        <v>53</v>
      </c>
      <c r="AD6557" s="80" t="s">
        <v>138</v>
      </c>
      <c r="AE6557" s="80"/>
      <c r="AF6557" s="17">
        <v>45707</v>
      </c>
      <c r="AG6557" s="80"/>
      <c r="AH6557" s="80"/>
      <c r="AI6557" s="147"/>
      <c r="AJ6557" s="80"/>
      <c r="AK6557" s="80"/>
      <c r="AL6557" s="35"/>
      <c r="AM6557" s="35"/>
      <c r="AN6557" s="35"/>
      <c r="AO6557" s="35"/>
      <c r="AP6557" s="35"/>
    </row>
    <row r="6558" spans="1:42" x14ac:dyDescent="0.2">
      <c r="A6558" s="126">
        <v>45700.428614166667</v>
      </c>
      <c r="B6558" s="137" t="s">
        <v>37</v>
      </c>
      <c r="C6558" s="41" t="s">
        <v>118</v>
      </c>
      <c r="D6558" s="80" t="s">
        <v>36</v>
      </c>
      <c r="E6558" s="80" t="s">
        <v>56</v>
      </c>
      <c r="F6558" s="80" t="s">
        <v>36</v>
      </c>
      <c r="G6558" s="80" t="s">
        <v>41</v>
      </c>
      <c r="H6558" s="80" t="s">
        <v>20683</v>
      </c>
      <c r="I6558" s="17">
        <f ca="1">IFERROR(__xludf.DUMMYFUNCTION("""COMPUTED_VALUE"""),45715)</f>
        <v>45715</v>
      </c>
      <c r="J6558" s="143" t="s">
        <v>20743</v>
      </c>
      <c r="K6558" s="80" t="s">
        <v>20744</v>
      </c>
      <c r="L6558" s="30">
        <v>397815110</v>
      </c>
      <c r="M6558" s="80" t="s">
        <v>59</v>
      </c>
      <c r="N6558" s="80" t="s">
        <v>4299</v>
      </c>
      <c r="O6558" s="80" t="s">
        <v>20745</v>
      </c>
      <c r="P6558" s="80" t="s">
        <v>18083</v>
      </c>
      <c r="Q6558" s="20">
        <v>9317</v>
      </c>
      <c r="R6558" s="80" t="s">
        <v>1106</v>
      </c>
      <c r="S6558" s="95">
        <f>300+8867</f>
        <v>9167</v>
      </c>
      <c r="T6558" s="83" t="s">
        <v>20746</v>
      </c>
      <c r="U6558" s="77"/>
      <c r="V6558" s="78"/>
      <c r="W6558" s="85" t="s">
        <v>20747</v>
      </c>
      <c r="X6558" s="80"/>
      <c r="Y6558" s="22">
        <v>150</v>
      </c>
      <c r="Z6558" s="80" t="s">
        <v>50</v>
      </c>
      <c r="AA6558" s="86" t="s">
        <v>20522</v>
      </c>
      <c r="AB6558" s="80"/>
      <c r="AC6558" s="80" t="s">
        <v>53</v>
      </c>
      <c r="AD6558" s="80" t="s">
        <v>138</v>
      </c>
      <c r="AE6558" s="80"/>
      <c r="AF6558" s="17">
        <v>45715</v>
      </c>
      <c r="AG6558" s="80"/>
      <c r="AH6558" s="80"/>
      <c r="AI6558" s="147"/>
      <c r="AJ6558" s="80"/>
      <c r="AK6558" s="80"/>
      <c r="AL6558" s="35"/>
      <c r="AM6558" s="35"/>
      <c r="AN6558" s="35"/>
      <c r="AO6558" s="35"/>
      <c r="AP6558" s="35"/>
    </row>
    <row r="6559" spans="1:42" x14ac:dyDescent="0.2">
      <c r="A6559" s="126">
        <v>45700.43099375</v>
      </c>
      <c r="B6559" s="137" t="s">
        <v>37</v>
      </c>
      <c r="C6559" s="41" t="s">
        <v>118</v>
      </c>
      <c r="D6559" s="80" t="s">
        <v>36</v>
      </c>
      <c r="E6559" s="80" t="s">
        <v>56</v>
      </c>
      <c r="F6559" s="80" t="s">
        <v>36</v>
      </c>
      <c r="G6559" s="80" t="s">
        <v>41</v>
      </c>
      <c r="H6559" s="80" t="s">
        <v>20683</v>
      </c>
      <c r="I6559" s="17">
        <f ca="1">IFERROR(__xludf.DUMMYFUNCTION("""COMPUTED_VALUE"""),45715)</f>
        <v>45715</v>
      </c>
      <c r="J6559" s="143" t="s">
        <v>20748</v>
      </c>
      <c r="K6559" s="80" t="s">
        <v>20749</v>
      </c>
      <c r="L6559" s="30">
        <v>982983005</v>
      </c>
      <c r="M6559" s="80" t="s">
        <v>59</v>
      </c>
      <c r="N6559" s="80" t="s">
        <v>68</v>
      </c>
      <c r="O6559" s="80" t="s">
        <v>20750</v>
      </c>
      <c r="P6559" s="80" t="s">
        <v>18083</v>
      </c>
      <c r="Q6559" s="20">
        <v>9317</v>
      </c>
      <c r="R6559" s="80" t="s">
        <v>1106</v>
      </c>
      <c r="S6559" s="95">
        <f>300+9167</f>
        <v>9467</v>
      </c>
      <c r="T6559" s="83" t="s">
        <v>20751</v>
      </c>
      <c r="U6559" s="77"/>
      <c r="V6559" s="78"/>
      <c r="W6559" s="85" t="s">
        <v>20752</v>
      </c>
      <c r="X6559" s="80"/>
      <c r="Y6559" s="22">
        <v>-150</v>
      </c>
      <c r="Z6559" s="80" t="s">
        <v>50</v>
      </c>
      <c r="AA6559" s="82" t="s">
        <v>20522</v>
      </c>
      <c r="AB6559" s="80"/>
      <c r="AC6559" s="80" t="s">
        <v>53</v>
      </c>
      <c r="AD6559" s="80" t="s">
        <v>138</v>
      </c>
      <c r="AE6559" s="80"/>
      <c r="AF6559" s="17">
        <v>45715</v>
      </c>
      <c r="AG6559" s="80"/>
      <c r="AH6559" s="80"/>
      <c r="AI6559" s="147"/>
      <c r="AJ6559" s="80"/>
      <c r="AK6559" s="80"/>
      <c r="AL6559" s="35"/>
      <c r="AM6559" s="35"/>
      <c r="AN6559" s="35"/>
      <c r="AO6559" s="35"/>
      <c r="AP6559" s="35"/>
    </row>
    <row r="6560" spans="1:42" x14ac:dyDescent="0.2">
      <c r="A6560" s="126">
        <v>45700.432203032411</v>
      </c>
      <c r="B6560" s="137" t="s">
        <v>37</v>
      </c>
      <c r="C6560" s="41" t="s">
        <v>118</v>
      </c>
      <c r="D6560" s="80" t="s">
        <v>36</v>
      </c>
      <c r="E6560" s="80" t="s">
        <v>56</v>
      </c>
      <c r="F6560" s="80" t="s">
        <v>36</v>
      </c>
      <c r="G6560" s="80" t="s">
        <v>41</v>
      </c>
      <c r="H6560" s="80" t="s">
        <v>20683</v>
      </c>
      <c r="I6560" s="17">
        <f ca="1">IFERROR(__xludf.DUMMYFUNCTION("""COMPUTED_VALUE"""),45715)</f>
        <v>45715</v>
      </c>
      <c r="J6560" s="143" t="s">
        <v>20753</v>
      </c>
      <c r="K6560" s="80" t="s">
        <v>20754</v>
      </c>
      <c r="L6560" s="30">
        <v>837203402</v>
      </c>
      <c r="M6560" s="80" t="s">
        <v>59</v>
      </c>
      <c r="N6560" s="80" t="s">
        <v>68</v>
      </c>
      <c r="O6560" s="80" t="s">
        <v>20755</v>
      </c>
      <c r="P6560" s="80" t="s">
        <v>3694</v>
      </c>
      <c r="Q6560" s="20">
        <v>9317</v>
      </c>
      <c r="R6560" s="80" t="s">
        <v>1106</v>
      </c>
      <c r="S6560" s="178">
        <f>300+8867</f>
        <v>9167</v>
      </c>
      <c r="T6560" s="169">
        <v>45699</v>
      </c>
      <c r="U6560" s="77"/>
      <c r="V6560" s="78">
        <v>45707</v>
      </c>
      <c r="W6560" s="85" t="s">
        <v>20756</v>
      </c>
      <c r="X6560" s="80"/>
      <c r="Y6560" s="22">
        <v>150</v>
      </c>
      <c r="Z6560" s="80" t="s">
        <v>50</v>
      </c>
      <c r="AA6560" s="86" t="s">
        <v>20522</v>
      </c>
      <c r="AB6560" s="80"/>
      <c r="AC6560" s="80" t="s">
        <v>53</v>
      </c>
      <c r="AD6560" s="80" t="s">
        <v>138</v>
      </c>
      <c r="AE6560" s="80"/>
      <c r="AF6560" s="17">
        <v>45715</v>
      </c>
      <c r="AG6560" s="80"/>
      <c r="AH6560" s="80"/>
      <c r="AI6560" s="147"/>
      <c r="AJ6560" s="80"/>
      <c r="AK6560" s="80"/>
      <c r="AL6560" s="35"/>
      <c r="AM6560" s="35"/>
      <c r="AN6560" s="35"/>
      <c r="AO6560" s="35"/>
      <c r="AP6560" s="35"/>
    </row>
    <row r="6561" spans="1:42" x14ac:dyDescent="0.2">
      <c r="A6561" s="126">
        <v>45700.444408310184</v>
      </c>
      <c r="B6561" s="137" t="s">
        <v>37</v>
      </c>
      <c r="C6561" s="41" t="s">
        <v>118</v>
      </c>
      <c r="D6561" s="80" t="s">
        <v>36</v>
      </c>
      <c r="E6561" s="80" t="s">
        <v>106</v>
      </c>
      <c r="F6561" s="80" t="s">
        <v>36</v>
      </c>
      <c r="G6561" s="80" t="s">
        <v>108</v>
      </c>
      <c r="H6561" s="80" t="s">
        <v>2945</v>
      </c>
      <c r="I6561" s="17">
        <f ca="1">IFERROR(__xludf.DUMMYFUNCTION("""COMPUTED_VALUE"""),45706)</f>
        <v>45706</v>
      </c>
      <c r="J6561" s="143" t="s">
        <v>20757</v>
      </c>
      <c r="K6561" s="80" t="s">
        <v>20758</v>
      </c>
      <c r="L6561" s="30">
        <v>325879950</v>
      </c>
      <c r="M6561" s="80" t="s">
        <v>348</v>
      </c>
      <c r="N6561" s="80" t="s">
        <v>68</v>
      </c>
      <c r="O6561" s="80" t="s">
        <v>20759</v>
      </c>
      <c r="P6561" s="80" t="s">
        <v>20760</v>
      </c>
      <c r="Q6561" s="20">
        <v>3768</v>
      </c>
      <c r="R6561" s="80" t="s">
        <v>36</v>
      </c>
      <c r="S6561" s="95">
        <v>3768</v>
      </c>
      <c r="T6561" s="148">
        <v>45699</v>
      </c>
      <c r="U6561" s="77"/>
      <c r="V6561" s="78"/>
      <c r="W6561" s="85" t="s">
        <v>20761</v>
      </c>
      <c r="X6561" s="80"/>
      <c r="Y6561" s="22">
        <v>0</v>
      </c>
      <c r="Z6561" s="80" t="s">
        <v>50</v>
      </c>
      <c r="AA6561" s="82" t="s">
        <v>20522</v>
      </c>
      <c r="AB6561" s="80"/>
      <c r="AC6561" s="80" t="s">
        <v>53</v>
      </c>
      <c r="AD6561" s="80" t="s">
        <v>138</v>
      </c>
      <c r="AE6561" s="80" t="s">
        <v>16312</v>
      </c>
      <c r="AF6561" s="17">
        <v>45706</v>
      </c>
      <c r="AG6561" s="80"/>
      <c r="AH6561" s="80"/>
      <c r="AI6561" s="147"/>
      <c r="AJ6561" s="80"/>
      <c r="AK6561" s="80"/>
      <c r="AL6561" s="35"/>
      <c r="AM6561" s="35"/>
      <c r="AN6561" s="35"/>
      <c r="AO6561" s="35"/>
      <c r="AP6561" s="35"/>
    </row>
    <row r="6562" spans="1:42" x14ac:dyDescent="0.2">
      <c r="A6562" s="126">
        <v>45700.829962465279</v>
      </c>
      <c r="B6562" s="137" t="s">
        <v>37</v>
      </c>
      <c r="C6562" s="41" t="s">
        <v>118</v>
      </c>
      <c r="D6562" s="80" t="s">
        <v>36</v>
      </c>
      <c r="E6562" s="80" t="s">
        <v>77</v>
      </c>
      <c r="F6562" s="80" t="s">
        <v>36</v>
      </c>
      <c r="G6562" s="80" t="s">
        <v>41</v>
      </c>
      <c r="H6562" s="80" t="s">
        <v>19816</v>
      </c>
      <c r="I6562" s="17">
        <f ca="1">IFERROR(__xludf.DUMMYFUNCTION("""COMPUTED_VALUE"""),45720)</f>
        <v>45720</v>
      </c>
      <c r="J6562" s="143" t="s">
        <v>20762</v>
      </c>
      <c r="K6562" s="80" t="s">
        <v>20763</v>
      </c>
      <c r="L6562" s="30">
        <v>352077465</v>
      </c>
      <c r="M6562" s="80" t="s">
        <v>5429</v>
      </c>
      <c r="N6562" s="80" t="s">
        <v>1384</v>
      </c>
      <c r="O6562" s="80" t="s">
        <v>2819</v>
      </c>
      <c r="P6562" s="80" t="s">
        <v>6368</v>
      </c>
      <c r="Q6562" s="20">
        <v>1968</v>
      </c>
      <c r="R6562" s="80" t="s">
        <v>36</v>
      </c>
      <c r="S6562" s="95">
        <v>2000</v>
      </c>
      <c r="T6562" s="148">
        <v>45710</v>
      </c>
      <c r="U6562" s="77"/>
      <c r="V6562" s="78"/>
      <c r="W6562" s="85" t="s">
        <v>20764</v>
      </c>
      <c r="X6562" s="80"/>
      <c r="Y6562" s="22">
        <v>-32</v>
      </c>
      <c r="Z6562" s="80" t="s">
        <v>50</v>
      </c>
      <c r="AA6562" s="86" t="s">
        <v>20522</v>
      </c>
      <c r="AB6562" s="80"/>
      <c r="AC6562" s="80" t="s">
        <v>53</v>
      </c>
      <c r="AD6562" s="80" t="s">
        <v>138</v>
      </c>
      <c r="AE6562" s="80"/>
      <c r="AF6562" s="17">
        <v>45720</v>
      </c>
      <c r="AG6562" s="80"/>
      <c r="AH6562" s="80"/>
      <c r="AI6562" s="147"/>
      <c r="AJ6562" s="80"/>
      <c r="AK6562" s="80"/>
      <c r="AL6562" s="35"/>
      <c r="AM6562" s="35"/>
      <c r="AN6562" s="35"/>
      <c r="AO6562" s="35"/>
      <c r="AP6562" s="35"/>
    </row>
    <row r="6563" spans="1:42" x14ac:dyDescent="0.2">
      <c r="A6563" s="126">
        <v>45700.909606469912</v>
      </c>
      <c r="B6563" s="137" t="s">
        <v>37</v>
      </c>
      <c r="C6563" s="41" t="s">
        <v>118</v>
      </c>
      <c r="D6563" s="80" t="s">
        <v>36</v>
      </c>
      <c r="E6563" s="80" t="s">
        <v>139</v>
      </c>
      <c r="F6563" s="80" t="s">
        <v>36</v>
      </c>
      <c r="G6563" s="80" t="s">
        <v>41</v>
      </c>
      <c r="H6563" s="80" t="s">
        <v>20683</v>
      </c>
      <c r="I6563" s="17">
        <f ca="1">IFERROR(__xludf.DUMMYFUNCTION("""COMPUTED_VALUE"""),45715)</f>
        <v>45715</v>
      </c>
      <c r="J6563" s="143" t="s">
        <v>20765</v>
      </c>
      <c r="K6563" s="80" t="s">
        <v>20766</v>
      </c>
      <c r="L6563" s="30">
        <v>971831753</v>
      </c>
      <c r="M6563" s="80" t="s">
        <v>3288</v>
      </c>
      <c r="N6563" s="80" t="s">
        <v>7509</v>
      </c>
      <c r="O6563" s="80" t="s">
        <v>91</v>
      </c>
      <c r="P6563" s="80" t="s">
        <v>3117</v>
      </c>
      <c r="Q6563" s="20">
        <v>15936</v>
      </c>
      <c r="R6563" s="80" t="s">
        <v>36</v>
      </c>
      <c r="S6563" s="95">
        <v>8000</v>
      </c>
      <c r="T6563" s="148">
        <v>45700</v>
      </c>
      <c r="U6563" s="95">
        <v>7936</v>
      </c>
      <c r="V6563" s="148">
        <v>45701</v>
      </c>
      <c r="W6563" s="85" t="s">
        <v>20767</v>
      </c>
      <c r="X6563" s="80"/>
      <c r="Y6563" s="22">
        <v>0</v>
      </c>
      <c r="Z6563" s="80" t="s">
        <v>50</v>
      </c>
      <c r="AA6563" s="82" t="s">
        <v>20522</v>
      </c>
      <c r="AB6563" s="80"/>
      <c r="AC6563" s="80" t="s">
        <v>53</v>
      </c>
      <c r="AD6563" s="80" t="s">
        <v>138</v>
      </c>
      <c r="AE6563" s="80"/>
      <c r="AF6563" s="17">
        <v>45715</v>
      </c>
      <c r="AG6563" s="80"/>
      <c r="AH6563" s="80"/>
      <c r="AI6563" s="147"/>
      <c r="AJ6563" s="80"/>
      <c r="AK6563" s="80"/>
      <c r="AL6563" s="35"/>
      <c r="AM6563" s="35"/>
      <c r="AN6563" s="35"/>
      <c r="AO6563" s="35"/>
      <c r="AP6563" s="35"/>
    </row>
    <row r="6564" spans="1:42" x14ac:dyDescent="0.2">
      <c r="A6564" s="126">
        <v>45700.973621620375</v>
      </c>
      <c r="B6564" s="137" t="s">
        <v>37</v>
      </c>
      <c r="C6564" s="41" t="s">
        <v>118</v>
      </c>
      <c r="D6564" s="80" t="s">
        <v>36</v>
      </c>
      <c r="E6564" s="80" t="s">
        <v>139</v>
      </c>
      <c r="F6564" s="80" t="s">
        <v>36</v>
      </c>
      <c r="G6564" s="80" t="s">
        <v>41</v>
      </c>
      <c r="H6564" s="80" t="s">
        <v>20768</v>
      </c>
      <c r="I6564" s="17">
        <f ca="1">IFERROR(__xludf.DUMMYFUNCTION("""COMPUTED_VALUE"""),45708)</f>
        <v>45708</v>
      </c>
      <c r="J6564" s="143" t="s">
        <v>20769</v>
      </c>
      <c r="K6564" s="80" t="s">
        <v>20770</v>
      </c>
      <c r="L6564" s="30">
        <v>886710112</v>
      </c>
      <c r="M6564" s="80" t="s">
        <v>59</v>
      </c>
      <c r="N6564" s="80" t="s">
        <v>11476</v>
      </c>
      <c r="O6564" s="80" t="s">
        <v>20771</v>
      </c>
      <c r="P6564" s="80" t="s">
        <v>20772</v>
      </c>
      <c r="Q6564" s="20">
        <v>15936</v>
      </c>
      <c r="R6564" s="80" t="s">
        <v>36</v>
      </c>
      <c r="S6564" s="95">
        <f>300+15636</f>
        <v>15936</v>
      </c>
      <c r="T6564" s="83" t="s">
        <v>20773</v>
      </c>
      <c r="U6564" s="77"/>
      <c r="V6564" s="78"/>
      <c r="W6564" s="85" t="s">
        <v>20774</v>
      </c>
      <c r="X6564" s="80"/>
      <c r="Y6564" s="22">
        <v>0</v>
      </c>
      <c r="Z6564" s="80" t="s">
        <v>50</v>
      </c>
      <c r="AA6564" s="86" t="s">
        <v>20522</v>
      </c>
      <c r="AB6564" s="80"/>
      <c r="AC6564" s="80" t="s">
        <v>53</v>
      </c>
      <c r="AD6564" s="80" t="s">
        <v>54</v>
      </c>
      <c r="AE6564" s="80"/>
      <c r="AF6564" s="17">
        <v>45705</v>
      </c>
      <c r="AG6564" s="80"/>
      <c r="AH6564" s="80"/>
      <c r="AI6564" s="147"/>
      <c r="AJ6564" s="80"/>
      <c r="AK6564" s="80"/>
      <c r="AL6564" s="35"/>
      <c r="AM6564" s="35"/>
      <c r="AN6564" s="35"/>
      <c r="AO6564" s="35"/>
      <c r="AP6564" s="35"/>
    </row>
    <row r="6565" spans="1:42" x14ac:dyDescent="0.2">
      <c r="A6565" s="126">
        <v>45700.992564074069</v>
      </c>
      <c r="B6565" s="137" t="s">
        <v>37</v>
      </c>
      <c r="C6565" s="41" t="s">
        <v>118</v>
      </c>
      <c r="D6565" s="80" t="s">
        <v>106</v>
      </c>
      <c r="E6565" s="80" t="s">
        <v>219</v>
      </c>
      <c r="F6565" s="80" t="s">
        <v>10144</v>
      </c>
      <c r="G6565" s="161" t="s">
        <v>221</v>
      </c>
      <c r="H6565" s="80" t="s">
        <v>18280</v>
      </c>
      <c r="I6565" s="17">
        <f ca="1">IFERROR(__xludf.DUMMYFUNCTION("""COMPUTED_VALUE"""),45722)</f>
        <v>45722</v>
      </c>
      <c r="J6565" s="143" t="s">
        <v>11481</v>
      </c>
      <c r="K6565" s="80" t="s">
        <v>20775</v>
      </c>
      <c r="L6565" s="30">
        <v>354079220</v>
      </c>
      <c r="M6565" s="80" t="s">
        <v>348</v>
      </c>
      <c r="N6565" s="80" t="s">
        <v>4299</v>
      </c>
      <c r="O6565" s="80" t="s">
        <v>11483</v>
      </c>
      <c r="P6565" s="144" t="s">
        <v>11484</v>
      </c>
      <c r="Q6565" s="20">
        <v>3968</v>
      </c>
      <c r="R6565" s="80" t="s">
        <v>36</v>
      </c>
      <c r="S6565" s="95">
        <v>3868</v>
      </c>
      <c r="T6565" s="148">
        <v>45700</v>
      </c>
      <c r="U6565" s="77"/>
      <c r="V6565" s="78"/>
      <c r="W6565" s="85" t="s">
        <v>20776</v>
      </c>
      <c r="X6565" s="80"/>
      <c r="Y6565" s="22">
        <v>100</v>
      </c>
      <c r="Z6565" s="80" t="s">
        <v>50</v>
      </c>
      <c r="AA6565" s="82" t="s">
        <v>20522</v>
      </c>
      <c r="AB6565" s="80"/>
      <c r="AC6565" s="80" t="s">
        <v>53</v>
      </c>
      <c r="AD6565" s="80" t="s">
        <v>138</v>
      </c>
      <c r="AE6565" s="80" t="s">
        <v>10144</v>
      </c>
      <c r="AF6565" s="17">
        <v>45712</v>
      </c>
      <c r="AG6565" s="80"/>
      <c r="AH6565" s="80"/>
      <c r="AI6565" s="147"/>
      <c r="AJ6565" s="80"/>
      <c r="AK6565" s="80"/>
      <c r="AL6565" s="35"/>
      <c r="AM6565" s="35"/>
      <c r="AN6565" s="35"/>
      <c r="AO6565" s="35"/>
      <c r="AP6565" s="35"/>
    </row>
    <row r="6566" spans="1:42" x14ac:dyDescent="0.2">
      <c r="A6566" s="126">
        <v>45700.994776851847</v>
      </c>
      <c r="B6566" s="137" t="s">
        <v>37</v>
      </c>
      <c r="C6566" s="41" t="s">
        <v>118</v>
      </c>
      <c r="D6566" s="80" t="s">
        <v>36</v>
      </c>
      <c r="E6566" s="80" t="s">
        <v>39</v>
      </c>
      <c r="F6566" s="80" t="s">
        <v>40</v>
      </c>
      <c r="G6566" s="80" t="s">
        <v>41</v>
      </c>
      <c r="H6566" s="80" t="s">
        <v>20768</v>
      </c>
      <c r="I6566" s="17">
        <f ca="1">IFERROR(__xludf.DUMMYFUNCTION("""COMPUTED_VALUE"""),45708)</f>
        <v>45708</v>
      </c>
      <c r="J6566" s="143" t="s">
        <v>20777</v>
      </c>
      <c r="K6566" s="80" t="s">
        <v>20778</v>
      </c>
      <c r="L6566" s="30">
        <v>346539668</v>
      </c>
      <c r="M6566" s="80" t="s">
        <v>348</v>
      </c>
      <c r="N6566" s="80" t="s">
        <v>4299</v>
      </c>
      <c r="O6566" s="80" t="s">
        <v>20779</v>
      </c>
      <c r="P6566" s="80" t="s">
        <v>20780</v>
      </c>
      <c r="Q6566" s="20">
        <v>5736</v>
      </c>
      <c r="R6566" s="80" t="s">
        <v>36</v>
      </c>
      <c r="S6566" s="95">
        <v>5736</v>
      </c>
      <c r="T6566" s="148">
        <v>45700</v>
      </c>
      <c r="U6566" s="77"/>
      <c r="V6566" s="78"/>
      <c r="W6566" s="85" t="s">
        <v>20781</v>
      </c>
      <c r="X6566" s="80"/>
      <c r="Y6566" s="22">
        <v>0</v>
      </c>
      <c r="Z6566" s="80" t="s">
        <v>50</v>
      </c>
      <c r="AA6566" s="86" t="s">
        <v>20522</v>
      </c>
      <c r="AB6566" s="80"/>
      <c r="AC6566" s="80" t="s">
        <v>53</v>
      </c>
      <c r="AD6566" s="80" t="s">
        <v>54</v>
      </c>
      <c r="AE6566" s="80"/>
      <c r="AF6566" s="17">
        <v>45701</v>
      </c>
      <c r="AG6566" s="80"/>
      <c r="AH6566" s="80"/>
      <c r="AI6566" s="147"/>
      <c r="AJ6566" s="80"/>
      <c r="AK6566" s="80"/>
      <c r="AL6566" s="35"/>
      <c r="AM6566" s="35"/>
      <c r="AN6566" s="35"/>
      <c r="AO6566" s="35"/>
      <c r="AP6566" s="35"/>
    </row>
    <row r="6567" spans="1:42" x14ac:dyDescent="0.2">
      <c r="A6567" s="126">
        <v>45700.997286319442</v>
      </c>
      <c r="B6567" s="137" t="s">
        <v>37</v>
      </c>
      <c r="C6567" s="41" t="s">
        <v>118</v>
      </c>
      <c r="D6567" s="80" t="s">
        <v>36</v>
      </c>
      <c r="E6567" s="80" t="s">
        <v>148</v>
      </c>
      <c r="F6567" s="80" t="s">
        <v>36</v>
      </c>
      <c r="G6567" s="80" t="s">
        <v>108</v>
      </c>
      <c r="H6567" s="80" t="s">
        <v>2945</v>
      </c>
      <c r="I6567" s="17">
        <f ca="1">IFERROR(__xludf.DUMMYFUNCTION("""COMPUTED_VALUE"""),45706)</f>
        <v>45706</v>
      </c>
      <c r="J6567" s="143" t="s">
        <v>20782</v>
      </c>
      <c r="K6567" s="80" t="s">
        <v>20783</v>
      </c>
      <c r="L6567" s="30">
        <v>812401567</v>
      </c>
      <c r="M6567" s="80" t="s">
        <v>348</v>
      </c>
      <c r="N6567" s="80" t="s">
        <v>4299</v>
      </c>
      <c r="O6567" s="80" t="s">
        <v>20784</v>
      </c>
      <c r="P6567" s="80" t="s">
        <v>18241</v>
      </c>
      <c r="Q6567" s="20">
        <v>7349</v>
      </c>
      <c r="R6567" s="80" t="s">
        <v>36</v>
      </c>
      <c r="S6567" s="95">
        <f>200+7149</f>
        <v>7349</v>
      </c>
      <c r="T6567" s="83" t="s">
        <v>20785</v>
      </c>
      <c r="U6567" s="77"/>
      <c r="V6567" s="78"/>
      <c r="W6567" s="85" t="s">
        <v>20786</v>
      </c>
      <c r="X6567" s="80"/>
      <c r="Y6567" s="22">
        <v>0</v>
      </c>
      <c r="Z6567" s="80" t="s">
        <v>50</v>
      </c>
      <c r="AA6567" s="82" t="s">
        <v>20522</v>
      </c>
      <c r="AB6567" s="80"/>
      <c r="AC6567" s="80" t="s">
        <v>53</v>
      </c>
      <c r="AD6567" s="80" t="s">
        <v>138</v>
      </c>
      <c r="AE6567" s="80" t="s">
        <v>2752</v>
      </c>
      <c r="AF6567" s="17">
        <v>45706</v>
      </c>
      <c r="AG6567" s="80"/>
      <c r="AH6567" s="80"/>
      <c r="AI6567" s="147"/>
      <c r="AJ6567" s="80"/>
      <c r="AK6567" s="80"/>
      <c r="AL6567" s="35"/>
      <c r="AM6567" s="35"/>
      <c r="AN6567" s="35"/>
      <c r="AO6567" s="35"/>
      <c r="AP6567" s="35"/>
    </row>
    <row r="6568" spans="1:42" x14ac:dyDescent="0.2">
      <c r="A6568" s="126">
        <v>45701.775692557872</v>
      </c>
      <c r="B6568" s="137" t="s">
        <v>37</v>
      </c>
      <c r="C6568" s="41" t="s">
        <v>118</v>
      </c>
      <c r="D6568" s="80" t="s">
        <v>36</v>
      </c>
      <c r="E6568" s="80" t="s">
        <v>139</v>
      </c>
      <c r="F6568" s="80" t="s">
        <v>36</v>
      </c>
      <c r="G6568" s="80" t="s">
        <v>41</v>
      </c>
      <c r="H6568" s="80" t="s">
        <v>19849</v>
      </c>
      <c r="I6568" s="17">
        <f ca="1">IFERROR(__xludf.DUMMYFUNCTION("""COMPUTED_VALUE"""),45713)</f>
        <v>45713</v>
      </c>
      <c r="J6568" s="143" t="s">
        <v>20787</v>
      </c>
      <c r="K6568" s="80" t="s">
        <v>20788</v>
      </c>
      <c r="L6568" s="30">
        <v>399961932</v>
      </c>
      <c r="M6568" s="80" t="s">
        <v>45</v>
      </c>
      <c r="N6568" s="80" t="s">
        <v>20789</v>
      </c>
      <c r="O6568" s="80" t="s">
        <v>20790</v>
      </c>
      <c r="P6568" s="80" t="s">
        <v>20791</v>
      </c>
      <c r="Q6568" s="20">
        <v>15936</v>
      </c>
      <c r="R6568" s="80" t="s">
        <v>36</v>
      </c>
      <c r="S6568" s="95">
        <v>15936</v>
      </c>
      <c r="T6568" s="148">
        <v>45701</v>
      </c>
      <c r="U6568" s="77"/>
      <c r="V6568" s="78"/>
      <c r="W6568" s="85" t="s">
        <v>20792</v>
      </c>
      <c r="X6568" s="80"/>
      <c r="Y6568" s="22">
        <v>0</v>
      </c>
      <c r="Z6568" s="80" t="s">
        <v>50</v>
      </c>
      <c r="AA6568" s="86" t="s">
        <v>20522</v>
      </c>
      <c r="AB6568" s="80"/>
      <c r="AC6568" s="80" t="s">
        <v>53</v>
      </c>
      <c r="AD6568" s="80" t="s">
        <v>54</v>
      </c>
      <c r="AE6568" s="83">
        <v>0</v>
      </c>
      <c r="AF6568" s="17">
        <v>45702</v>
      </c>
      <c r="AG6568" s="80" t="s">
        <v>20793</v>
      </c>
      <c r="AH6568" s="80"/>
      <c r="AI6568" s="147"/>
      <c r="AJ6568" s="80"/>
      <c r="AK6568" s="80"/>
      <c r="AL6568" s="35"/>
      <c r="AM6568" s="35"/>
      <c r="AN6568" s="35"/>
      <c r="AO6568" s="35"/>
      <c r="AP6568" s="35"/>
    </row>
    <row r="6569" spans="1:42" x14ac:dyDescent="0.2">
      <c r="A6569" s="126">
        <v>45701.957627233794</v>
      </c>
      <c r="B6569" s="137" t="s">
        <v>37</v>
      </c>
      <c r="C6569" s="41" t="s">
        <v>118</v>
      </c>
      <c r="D6569" s="80" t="s">
        <v>36</v>
      </c>
      <c r="E6569" s="80" t="s">
        <v>56</v>
      </c>
      <c r="F6569" s="80" t="s">
        <v>36</v>
      </c>
      <c r="G6569" s="80" t="s">
        <v>41</v>
      </c>
      <c r="H6569" s="80" t="s">
        <v>20683</v>
      </c>
      <c r="I6569" s="17">
        <f ca="1">IFERROR(__xludf.DUMMYFUNCTION("""COMPUTED_VALUE"""),45715)</f>
        <v>45715</v>
      </c>
      <c r="J6569" s="143" t="s">
        <v>20794</v>
      </c>
      <c r="K6569" s="80" t="s">
        <v>20795</v>
      </c>
      <c r="L6569" s="30">
        <v>383053448</v>
      </c>
      <c r="M6569" s="80" t="s">
        <v>59</v>
      </c>
      <c r="N6569" s="80" t="s">
        <v>17488</v>
      </c>
      <c r="O6569" s="80" t="s">
        <v>20796</v>
      </c>
      <c r="P6569" s="80" t="s">
        <v>7743</v>
      </c>
      <c r="Q6569" s="20">
        <v>9317</v>
      </c>
      <c r="R6569" s="80" t="s">
        <v>36</v>
      </c>
      <c r="S6569" s="95">
        <v>9317</v>
      </c>
      <c r="T6569" s="148">
        <v>45701</v>
      </c>
      <c r="U6569" s="77"/>
      <c r="V6569" s="78"/>
      <c r="W6569" s="85" t="s">
        <v>20797</v>
      </c>
      <c r="X6569" s="80"/>
      <c r="Y6569" s="22">
        <v>0</v>
      </c>
      <c r="Z6569" s="80" t="s">
        <v>50</v>
      </c>
      <c r="AA6569" s="82" t="s">
        <v>20522</v>
      </c>
      <c r="AB6569" s="80"/>
      <c r="AC6569" s="80" t="s">
        <v>53</v>
      </c>
      <c r="AD6569" s="80" t="s">
        <v>138</v>
      </c>
      <c r="AE6569" s="80"/>
      <c r="AF6569" s="17">
        <v>45715</v>
      </c>
      <c r="AG6569" s="80"/>
      <c r="AH6569" s="80"/>
      <c r="AI6569" s="147"/>
      <c r="AJ6569" s="80"/>
      <c r="AK6569" s="80"/>
      <c r="AL6569" s="35"/>
      <c r="AM6569" s="35"/>
      <c r="AN6569" s="35"/>
      <c r="AO6569" s="35"/>
      <c r="AP6569" s="35"/>
    </row>
    <row r="6570" spans="1:42" x14ac:dyDescent="0.2">
      <c r="A6570" s="126">
        <v>45701.973413148153</v>
      </c>
      <c r="B6570" s="137" t="s">
        <v>37</v>
      </c>
      <c r="C6570" s="41" t="s">
        <v>118</v>
      </c>
      <c r="D6570" s="80" t="s">
        <v>36</v>
      </c>
      <c r="E6570" s="80" t="s">
        <v>39</v>
      </c>
      <c r="F6570" s="80" t="s">
        <v>36</v>
      </c>
      <c r="G6570" s="80" t="s">
        <v>41</v>
      </c>
      <c r="H6570" s="80" t="s">
        <v>20768</v>
      </c>
      <c r="I6570" s="17">
        <f ca="1">IFERROR(__xludf.DUMMYFUNCTION("""COMPUTED_VALUE"""),45708)</f>
        <v>45708</v>
      </c>
      <c r="J6570" s="143" t="s">
        <v>20798</v>
      </c>
      <c r="K6570" s="80" t="s">
        <v>20799</v>
      </c>
      <c r="L6570" s="30">
        <v>366117847</v>
      </c>
      <c r="M6570" s="80" t="s">
        <v>59</v>
      </c>
      <c r="N6570" s="80" t="s">
        <v>9287</v>
      </c>
      <c r="O6570" s="80" t="s">
        <v>20800</v>
      </c>
      <c r="P6570" s="80" t="s">
        <v>20801</v>
      </c>
      <c r="Q6570" s="20">
        <v>5736</v>
      </c>
      <c r="R6570" s="80" t="s">
        <v>36</v>
      </c>
      <c r="S6570" s="95">
        <f>50+5668</f>
        <v>5718</v>
      </c>
      <c r="T6570" s="83" t="s">
        <v>20802</v>
      </c>
      <c r="U6570" s="77"/>
      <c r="V6570" s="78"/>
      <c r="W6570" s="85" t="s">
        <v>20803</v>
      </c>
      <c r="X6570" s="80"/>
      <c r="Y6570" s="22">
        <v>18</v>
      </c>
      <c r="Z6570" s="80" t="s">
        <v>50</v>
      </c>
      <c r="AA6570" s="86" t="s">
        <v>20522</v>
      </c>
      <c r="AB6570" s="80"/>
      <c r="AC6570" s="80" t="s">
        <v>53</v>
      </c>
      <c r="AD6570" s="80" t="s">
        <v>54</v>
      </c>
      <c r="AE6570" s="80"/>
      <c r="AF6570" s="17">
        <v>45706</v>
      </c>
      <c r="AG6570" s="80"/>
      <c r="AH6570" s="80"/>
      <c r="AI6570" s="147"/>
      <c r="AJ6570" s="80"/>
      <c r="AK6570" s="80"/>
      <c r="AL6570" s="35"/>
      <c r="AM6570" s="35"/>
      <c r="AN6570" s="35"/>
      <c r="AO6570" s="35"/>
      <c r="AP6570" s="35"/>
    </row>
    <row r="6571" spans="1:42" x14ac:dyDescent="0.2">
      <c r="A6571" s="126">
        <v>45702.331196273153</v>
      </c>
      <c r="B6571" s="137" t="s">
        <v>37</v>
      </c>
      <c r="C6571" s="41" t="s">
        <v>118</v>
      </c>
      <c r="D6571" s="80" t="s">
        <v>36</v>
      </c>
      <c r="E6571" s="80" t="s">
        <v>20804</v>
      </c>
      <c r="F6571" s="80" t="s">
        <v>36</v>
      </c>
      <c r="G6571" s="80" t="s">
        <v>108</v>
      </c>
      <c r="H6571" s="80" t="s">
        <v>13727</v>
      </c>
      <c r="I6571" s="17">
        <f ca="1">IFERROR(__xludf.DUMMYFUNCTION("""COMPUTED_VALUE"""),45705)</f>
        <v>45705</v>
      </c>
      <c r="J6571" s="143" t="s">
        <v>20805</v>
      </c>
      <c r="K6571" s="80" t="s">
        <v>20806</v>
      </c>
      <c r="L6571" s="30">
        <v>945669758</v>
      </c>
      <c r="M6571" s="80" t="s">
        <v>9422</v>
      </c>
      <c r="N6571" s="80" t="s">
        <v>186</v>
      </c>
      <c r="O6571" s="80" t="s">
        <v>8827</v>
      </c>
      <c r="P6571" s="80" t="s">
        <v>20807</v>
      </c>
      <c r="Q6571" s="20">
        <v>10714</v>
      </c>
      <c r="R6571" s="80" t="s">
        <v>36</v>
      </c>
      <c r="S6571" s="95">
        <f>500+10214</f>
        <v>10714</v>
      </c>
      <c r="T6571" s="148">
        <v>45335</v>
      </c>
      <c r="U6571" s="95"/>
      <c r="V6571" s="148"/>
      <c r="W6571" s="79" t="s">
        <v>20808</v>
      </c>
      <c r="X6571" s="80"/>
      <c r="Y6571" s="22">
        <v>0</v>
      </c>
      <c r="Z6571" s="80" t="s">
        <v>50</v>
      </c>
      <c r="AA6571" s="82" t="s">
        <v>20522</v>
      </c>
      <c r="AB6571" s="80"/>
      <c r="AC6571" s="80" t="s">
        <v>53</v>
      </c>
      <c r="AD6571" s="80" t="s">
        <v>54</v>
      </c>
      <c r="AE6571" s="83">
        <v>590</v>
      </c>
      <c r="AF6571" s="17">
        <v>45702</v>
      </c>
      <c r="AG6571" s="80"/>
      <c r="AH6571" s="80"/>
      <c r="AI6571" s="147"/>
      <c r="AJ6571" s="80"/>
      <c r="AK6571" s="80"/>
      <c r="AL6571" s="35"/>
      <c r="AM6571" s="35"/>
      <c r="AN6571" s="35"/>
      <c r="AO6571" s="35"/>
      <c r="AP6571" s="35"/>
    </row>
    <row r="6572" spans="1:42" x14ac:dyDescent="0.2">
      <c r="A6572" s="126">
        <v>45702.467803159721</v>
      </c>
      <c r="B6572" s="137" t="s">
        <v>37</v>
      </c>
      <c r="C6572" s="41" t="s">
        <v>118</v>
      </c>
      <c r="D6572" s="80" t="s">
        <v>36</v>
      </c>
      <c r="E6572" s="80" t="s">
        <v>77</v>
      </c>
      <c r="F6572" s="80" t="s">
        <v>40</v>
      </c>
      <c r="G6572" s="80" t="s">
        <v>41</v>
      </c>
      <c r="H6572" s="80" t="s">
        <v>19366</v>
      </c>
      <c r="I6572" s="17">
        <f ca="1">IFERROR(__xludf.DUMMYFUNCTION("""COMPUTED_VALUE"""),45712)</f>
        <v>45712</v>
      </c>
      <c r="J6572" s="143" t="s">
        <v>20809</v>
      </c>
      <c r="K6572" s="80" t="s">
        <v>20810</v>
      </c>
      <c r="L6572" s="30">
        <v>353536315</v>
      </c>
      <c r="M6572" s="80" t="s">
        <v>348</v>
      </c>
      <c r="N6572" s="80" t="s">
        <v>68</v>
      </c>
      <c r="O6572" s="80" t="s">
        <v>20811</v>
      </c>
      <c r="P6572" s="80" t="s">
        <v>20812</v>
      </c>
      <c r="Q6572" s="20">
        <v>1968</v>
      </c>
      <c r="R6572" s="80" t="s">
        <v>36</v>
      </c>
      <c r="S6572" s="95">
        <v>1968</v>
      </c>
      <c r="T6572" s="148">
        <v>45702</v>
      </c>
      <c r="U6572" s="77"/>
      <c r="V6572" s="78"/>
      <c r="W6572" s="85" t="s">
        <v>20813</v>
      </c>
      <c r="X6572" s="80"/>
      <c r="Y6572" s="22">
        <v>0</v>
      </c>
      <c r="Z6572" s="80" t="s">
        <v>50</v>
      </c>
      <c r="AA6572" s="86" t="s">
        <v>20522</v>
      </c>
      <c r="AB6572" s="80"/>
      <c r="AC6572" s="80" t="s">
        <v>53</v>
      </c>
      <c r="AD6572" s="80" t="s">
        <v>138</v>
      </c>
      <c r="AE6572" s="80"/>
      <c r="AF6572" s="17">
        <v>45712</v>
      </c>
      <c r="AG6572" s="80"/>
      <c r="AH6572" s="80"/>
      <c r="AI6572" s="147"/>
      <c r="AJ6572" s="80"/>
      <c r="AK6572" s="80"/>
      <c r="AL6572" s="35"/>
      <c r="AM6572" s="35"/>
      <c r="AN6572" s="35"/>
      <c r="AO6572" s="35"/>
      <c r="AP6572" s="35"/>
    </row>
    <row r="6573" spans="1:42" x14ac:dyDescent="0.2">
      <c r="A6573" s="126">
        <v>45702.470628449075</v>
      </c>
      <c r="B6573" s="137" t="s">
        <v>37</v>
      </c>
      <c r="C6573" s="41" t="s">
        <v>118</v>
      </c>
      <c r="D6573" s="80" t="s">
        <v>36</v>
      </c>
      <c r="E6573" s="80" t="s">
        <v>77</v>
      </c>
      <c r="F6573" s="80" t="s">
        <v>40</v>
      </c>
      <c r="G6573" s="80" t="s">
        <v>41</v>
      </c>
      <c r="H6573" s="80" t="s">
        <v>19366</v>
      </c>
      <c r="I6573" s="17">
        <f ca="1">IFERROR(__xludf.DUMMYFUNCTION("""COMPUTED_VALUE"""),45712)</f>
        <v>45712</v>
      </c>
      <c r="J6573" s="143" t="s">
        <v>20814</v>
      </c>
      <c r="K6573" s="80" t="s">
        <v>20815</v>
      </c>
      <c r="L6573" s="201">
        <v>386171389</v>
      </c>
      <c r="M6573" s="80" t="s">
        <v>348</v>
      </c>
      <c r="N6573" s="80" t="s">
        <v>4299</v>
      </c>
      <c r="O6573" s="80" t="s">
        <v>20816</v>
      </c>
      <c r="P6573" s="80" t="s">
        <v>20817</v>
      </c>
      <c r="Q6573" s="20">
        <v>1968</v>
      </c>
      <c r="R6573" s="80" t="s">
        <v>36</v>
      </c>
      <c r="S6573" s="95">
        <v>1968</v>
      </c>
      <c r="T6573" s="148">
        <v>45702</v>
      </c>
      <c r="U6573" s="77"/>
      <c r="V6573" s="78"/>
      <c r="W6573" s="85" t="s">
        <v>20818</v>
      </c>
      <c r="X6573" s="80"/>
      <c r="Y6573" s="22">
        <v>0</v>
      </c>
      <c r="Z6573" s="80" t="s">
        <v>50</v>
      </c>
      <c r="AA6573" s="82" t="s">
        <v>20522</v>
      </c>
      <c r="AB6573" s="80"/>
      <c r="AC6573" s="80" t="s">
        <v>53</v>
      </c>
      <c r="AD6573" s="80" t="s">
        <v>138</v>
      </c>
      <c r="AE6573" s="80"/>
      <c r="AF6573" s="17">
        <v>45712</v>
      </c>
      <c r="AG6573" s="80"/>
      <c r="AH6573" s="80"/>
      <c r="AI6573" s="147"/>
      <c r="AJ6573" s="80"/>
      <c r="AK6573" s="80"/>
      <c r="AL6573" s="35"/>
      <c r="AM6573" s="35"/>
      <c r="AN6573" s="35"/>
      <c r="AO6573" s="35"/>
      <c r="AP6573" s="35"/>
    </row>
    <row r="6574" spans="1:42" x14ac:dyDescent="0.2">
      <c r="A6574" s="126">
        <v>45702.482102534719</v>
      </c>
      <c r="B6574" s="137" t="s">
        <v>37</v>
      </c>
      <c r="C6574" s="41" t="s">
        <v>118</v>
      </c>
      <c r="D6574" s="80" t="s">
        <v>36</v>
      </c>
      <c r="E6574" s="80" t="s">
        <v>56</v>
      </c>
      <c r="F6574" s="80" t="s">
        <v>36</v>
      </c>
      <c r="G6574" s="80" t="s">
        <v>41</v>
      </c>
      <c r="H6574" s="80" t="s">
        <v>16525</v>
      </c>
      <c r="I6574" s="17">
        <f ca="1">IFERROR(__xludf.DUMMYFUNCTION("""COMPUTED_VALUE"""),45708)</f>
        <v>45708</v>
      </c>
      <c r="J6574" s="79" t="s">
        <v>20819</v>
      </c>
      <c r="K6574" s="80" t="s">
        <v>8851</v>
      </c>
      <c r="L6574" s="83">
        <v>934035333</v>
      </c>
      <c r="M6574" s="80" t="s">
        <v>9422</v>
      </c>
      <c r="N6574" s="80" t="s">
        <v>2157</v>
      </c>
      <c r="O6574" s="80" t="s">
        <v>8827</v>
      </c>
      <c r="P6574" s="80" t="s">
        <v>20820</v>
      </c>
      <c r="Q6574" s="20">
        <v>9317</v>
      </c>
      <c r="R6574" s="80" t="s">
        <v>36</v>
      </c>
      <c r="S6574" s="83">
        <v>9318</v>
      </c>
      <c r="T6574" s="148">
        <v>45702</v>
      </c>
      <c r="U6574" s="80"/>
      <c r="V6574" s="80"/>
      <c r="W6574" s="85" t="s">
        <v>20821</v>
      </c>
      <c r="X6574" s="80"/>
      <c r="Y6574" s="22">
        <v>-1</v>
      </c>
      <c r="Z6574" s="80" t="s">
        <v>50</v>
      </c>
      <c r="AA6574" s="86" t="s">
        <v>20522</v>
      </c>
      <c r="AB6574" s="80"/>
      <c r="AC6574" s="80" t="s">
        <v>53</v>
      </c>
      <c r="AD6574" s="80" t="s">
        <v>54</v>
      </c>
      <c r="AE6574" s="80"/>
      <c r="AF6574" s="17">
        <v>45708</v>
      </c>
      <c r="AG6574" s="80"/>
      <c r="AH6574" s="80"/>
      <c r="AI6574" s="80"/>
      <c r="AJ6574" s="80"/>
      <c r="AK6574" s="80"/>
      <c r="AL6574" s="35"/>
      <c r="AM6574" s="35"/>
      <c r="AN6574" s="35"/>
      <c r="AO6574" s="35"/>
      <c r="AP6574" s="35"/>
    </row>
    <row r="6575" spans="1:42" x14ac:dyDescent="0.2">
      <c r="A6575" s="126">
        <v>45702.630058703704</v>
      </c>
      <c r="B6575" s="137" t="s">
        <v>37</v>
      </c>
      <c r="C6575" s="41" t="s">
        <v>118</v>
      </c>
      <c r="D6575" s="80" t="s">
        <v>36</v>
      </c>
      <c r="E6575" s="80" t="s">
        <v>139</v>
      </c>
      <c r="F6575" s="80" t="s">
        <v>36</v>
      </c>
      <c r="G6575" s="80" t="s">
        <v>41</v>
      </c>
      <c r="H6575" s="80" t="s">
        <v>20683</v>
      </c>
      <c r="I6575" s="17">
        <f ca="1">IFERROR(__xludf.DUMMYFUNCTION("""COMPUTED_VALUE"""),45715)</f>
        <v>45715</v>
      </c>
      <c r="J6575" s="143" t="s">
        <v>20822</v>
      </c>
      <c r="K6575" s="80" t="s">
        <v>10009</v>
      </c>
      <c r="L6575" s="30">
        <v>344158862</v>
      </c>
      <c r="M6575" s="80" t="s">
        <v>45</v>
      </c>
      <c r="N6575" s="80" t="s">
        <v>260</v>
      </c>
      <c r="O6575" s="80" t="s">
        <v>20823</v>
      </c>
      <c r="P6575" s="80" t="s">
        <v>3694</v>
      </c>
      <c r="Q6575" s="20">
        <v>15936</v>
      </c>
      <c r="R6575" s="80" t="s">
        <v>70</v>
      </c>
      <c r="S6575" s="95">
        <v>15936</v>
      </c>
      <c r="T6575" s="148">
        <v>45698</v>
      </c>
      <c r="U6575" s="77"/>
      <c r="V6575" s="78"/>
      <c r="W6575" s="85" t="s">
        <v>20824</v>
      </c>
      <c r="X6575" s="80"/>
      <c r="Y6575" s="22">
        <v>0</v>
      </c>
      <c r="Z6575" s="80" t="s">
        <v>50</v>
      </c>
      <c r="AA6575" s="82" t="s">
        <v>20522</v>
      </c>
      <c r="AB6575" s="80"/>
      <c r="AC6575" s="80" t="s">
        <v>53</v>
      </c>
      <c r="AD6575" s="80" t="s">
        <v>138</v>
      </c>
      <c r="AE6575" s="83"/>
      <c r="AF6575" s="17">
        <v>45715</v>
      </c>
      <c r="AG6575" s="80"/>
      <c r="AH6575" s="80"/>
      <c r="AI6575" s="147"/>
      <c r="AJ6575" s="80"/>
      <c r="AK6575" s="80"/>
      <c r="AL6575" s="35"/>
      <c r="AM6575" s="35"/>
      <c r="AN6575" s="35"/>
      <c r="AO6575" s="35"/>
      <c r="AP6575" s="35"/>
    </row>
    <row r="6576" spans="1:42" x14ac:dyDescent="0.2">
      <c r="A6576" s="126">
        <v>45703.539000023149</v>
      </c>
      <c r="B6576" s="137" t="s">
        <v>37</v>
      </c>
      <c r="C6576" s="41" t="s">
        <v>118</v>
      </c>
      <c r="D6576" s="80" t="s">
        <v>36</v>
      </c>
      <c r="E6576" s="80" t="s">
        <v>56</v>
      </c>
      <c r="F6576" s="80" t="s">
        <v>36</v>
      </c>
      <c r="G6576" s="80" t="s">
        <v>41</v>
      </c>
      <c r="H6576" s="80" t="s">
        <v>20683</v>
      </c>
      <c r="I6576" s="17">
        <f ca="1">IFERROR(__xludf.DUMMYFUNCTION("""COMPUTED_VALUE"""),45715)</f>
        <v>45715</v>
      </c>
      <c r="J6576" s="143" t="s">
        <v>20825</v>
      </c>
      <c r="K6576" s="80" t="s">
        <v>20826</v>
      </c>
      <c r="L6576" s="201">
        <v>347695444</v>
      </c>
      <c r="M6576" s="80" t="s">
        <v>348</v>
      </c>
      <c r="N6576" s="80" t="s">
        <v>4299</v>
      </c>
      <c r="O6576" s="80" t="s">
        <v>20827</v>
      </c>
      <c r="P6576" s="80" t="s">
        <v>18083</v>
      </c>
      <c r="Q6576" s="20">
        <v>9317</v>
      </c>
      <c r="R6576" s="80" t="s">
        <v>36</v>
      </c>
      <c r="S6576" s="95">
        <f>50+9267</f>
        <v>9317</v>
      </c>
      <c r="T6576" s="83" t="s">
        <v>20828</v>
      </c>
      <c r="U6576" s="77"/>
      <c r="V6576" s="78"/>
      <c r="W6576" s="85" t="s">
        <v>20829</v>
      </c>
      <c r="X6576" s="80"/>
      <c r="Y6576" s="22">
        <v>0</v>
      </c>
      <c r="Z6576" s="80" t="s">
        <v>50</v>
      </c>
      <c r="AA6576" s="86" t="s">
        <v>20522</v>
      </c>
      <c r="AB6576" s="80"/>
      <c r="AC6576" s="80" t="s">
        <v>53</v>
      </c>
      <c r="AD6576" s="80" t="s">
        <v>138</v>
      </c>
      <c r="AE6576" s="80"/>
      <c r="AF6576" s="17">
        <v>45715</v>
      </c>
      <c r="AG6576" s="80"/>
      <c r="AH6576" s="80"/>
      <c r="AI6576" s="147"/>
      <c r="AJ6576" s="80"/>
      <c r="AK6576" s="80"/>
      <c r="AL6576" s="35"/>
      <c r="AM6576" s="35"/>
      <c r="AN6576" s="35"/>
      <c r="AO6576" s="35"/>
      <c r="AP6576" s="35"/>
    </row>
    <row r="6577" spans="1:42" x14ac:dyDescent="0.2">
      <c r="A6577" s="126">
        <v>45703.670203402777</v>
      </c>
      <c r="B6577" s="137" t="s">
        <v>37</v>
      </c>
      <c r="C6577" s="41" t="s">
        <v>118</v>
      </c>
      <c r="D6577" s="80" t="s">
        <v>36</v>
      </c>
      <c r="E6577" s="80" t="s">
        <v>39</v>
      </c>
      <c r="F6577" s="80" t="s">
        <v>36</v>
      </c>
      <c r="G6577" s="80" t="s">
        <v>41</v>
      </c>
      <c r="H6577" s="80" t="s">
        <v>19816</v>
      </c>
      <c r="I6577" s="17">
        <f ca="1">IFERROR(__xludf.DUMMYFUNCTION("""COMPUTED_VALUE"""),45720)</f>
        <v>45720</v>
      </c>
      <c r="J6577" s="172" t="s">
        <v>20830</v>
      </c>
      <c r="K6577" s="80" t="s">
        <v>20831</v>
      </c>
      <c r="L6577" s="30">
        <v>356646552</v>
      </c>
      <c r="M6577" s="80" t="s">
        <v>45</v>
      </c>
      <c r="N6577" s="80" t="s">
        <v>299</v>
      </c>
      <c r="O6577" s="80" t="s">
        <v>20832</v>
      </c>
      <c r="P6577" s="80" t="s">
        <v>3694</v>
      </c>
      <c r="Q6577" s="20">
        <v>5736</v>
      </c>
      <c r="R6577" s="80" t="s">
        <v>70</v>
      </c>
      <c r="S6577" s="95">
        <v>5636</v>
      </c>
      <c r="T6577" s="148">
        <v>45703</v>
      </c>
      <c r="U6577" s="77"/>
      <c r="V6577" s="78"/>
      <c r="W6577" s="85" t="s">
        <v>20833</v>
      </c>
      <c r="X6577" s="80"/>
      <c r="Y6577" s="22">
        <v>100</v>
      </c>
      <c r="Z6577" s="80" t="s">
        <v>50</v>
      </c>
      <c r="AA6577" s="82" t="s">
        <v>20522</v>
      </c>
      <c r="AB6577" s="80"/>
      <c r="AC6577" s="80" t="s">
        <v>53</v>
      </c>
      <c r="AD6577" s="80" t="s">
        <v>138</v>
      </c>
      <c r="AE6577" s="83"/>
      <c r="AF6577" s="17">
        <v>45720</v>
      </c>
      <c r="AG6577" s="80"/>
      <c r="AH6577" s="80"/>
      <c r="AI6577" s="147"/>
      <c r="AJ6577" s="80"/>
      <c r="AK6577" s="80"/>
      <c r="AL6577" s="35"/>
      <c r="AM6577" s="35"/>
      <c r="AN6577" s="35"/>
      <c r="AO6577" s="35"/>
      <c r="AP6577" s="35"/>
    </row>
    <row r="6578" spans="1:42" x14ac:dyDescent="0.2">
      <c r="A6578" s="126">
        <v>45703.818304189816</v>
      </c>
      <c r="B6578" s="137" t="s">
        <v>37</v>
      </c>
      <c r="C6578" s="41" t="s">
        <v>118</v>
      </c>
      <c r="D6578" s="80" t="s">
        <v>36</v>
      </c>
      <c r="E6578" s="80" t="s">
        <v>56</v>
      </c>
      <c r="F6578" s="80" t="s">
        <v>36</v>
      </c>
      <c r="G6578" s="80" t="s">
        <v>41</v>
      </c>
      <c r="H6578" s="80" t="s">
        <v>20683</v>
      </c>
      <c r="I6578" s="17">
        <f ca="1">IFERROR(__xludf.DUMMYFUNCTION("""COMPUTED_VALUE"""),45715)</f>
        <v>45715</v>
      </c>
      <c r="J6578" s="143" t="s">
        <v>20834</v>
      </c>
      <c r="K6578" s="80" t="s">
        <v>20835</v>
      </c>
      <c r="L6578" s="30">
        <v>942276303</v>
      </c>
      <c r="M6578" s="80" t="s">
        <v>59</v>
      </c>
      <c r="N6578" s="80" t="s">
        <v>9660</v>
      </c>
      <c r="O6578" s="80" t="s">
        <v>20836</v>
      </c>
      <c r="P6578" s="80" t="s">
        <v>7743</v>
      </c>
      <c r="Q6578" s="20">
        <v>9317</v>
      </c>
      <c r="R6578" s="80" t="s">
        <v>36</v>
      </c>
      <c r="S6578" s="95">
        <f>200+9117</f>
        <v>9317</v>
      </c>
      <c r="T6578" s="83" t="s">
        <v>20837</v>
      </c>
      <c r="U6578" s="77"/>
      <c r="V6578" s="78"/>
      <c r="W6578" s="85" t="s">
        <v>20838</v>
      </c>
      <c r="X6578" s="80"/>
      <c r="Y6578" s="22">
        <v>0</v>
      </c>
      <c r="Z6578" s="80" t="s">
        <v>50</v>
      </c>
      <c r="AA6578" s="86" t="s">
        <v>20522</v>
      </c>
      <c r="AB6578" s="80"/>
      <c r="AC6578" s="80" t="s">
        <v>53</v>
      </c>
      <c r="AD6578" s="80" t="s">
        <v>138</v>
      </c>
      <c r="AE6578" s="80"/>
      <c r="AF6578" s="17">
        <v>45715</v>
      </c>
      <c r="AG6578" s="80"/>
      <c r="AH6578" s="80"/>
      <c r="AI6578" s="147"/>
      <c r="AJ6578" s="80"/>
      <c r="AK6578" s="80"/>
      <c r="AL6578" s="35"/>
      <c r="AM6578" s="35"/>
      <c r="AN6578" s="35"/>
      <c r="AO6578" s="35"/>
      <c r="AP6578" s="35"/>
    </row>
    <row r="6579" spans="1:42" x14ac:dyDescent="0.2">
      <c r="A6579" s="126">
        <v>45703.857800428239</v>
      </c>
      <c r="B6579" s="137" t="s">
        <v>37</v>
      </c>
      <c r="C6579" s="41" t="s">
        <v>118</v>
      </c>
      <c r="D6579" s="80" t="s">
        <v>36</v>
      </c>
      <c r="E6579" s="80" t="s">
        <v>77</v>
      </c>
      <c r="F6579" s="80" t="s">
        <v>40</v>
      </c>
      <c r="G6579" s="80" t="s">
        <v>41</v>
      </c>
      <c r="H6579" s="80" t="s">
        <v>20768</v>
      </c>
      <c r="I6579" s="17">
        <f ca="1">IFERROR(__xludf.DUMMYFUNCTION("""COMPUTED_VALUE"""),45708)</f>
        <v>45708</v>
      </c>
      <c r="J6579" s="143" t="s">
        <v>20839</v>
      </c>
      <c r="K6579" s="80" t="s">
        <v>20840</v>
      </c>
      <c r="L6579" s="30">
        <v>866401445</v>
      </c>
      <c r="M6579" s="80" t="s">
        <v>5558</v>
      </c>
      <c r="N6579" s="80" t="s">
        <v>5277</v>
      </c>
      <c r="O6579" s="80" t="s">
        <v>4503</v>
      </c>
      <c r="P6579" s="80" t="s">
        <v>20841</v>
      </c>
      <c r="Q6579" s="20">
        <v>1968</v>
      </c>
      <c r="R6579" s="80" t="s">
        <v>36</v>
      </c>
      <c r="S6579" s="95">
        <v>1968</v>
      </c>
      <c r="T6579" s="148">
        <v>45701</v>
      </c>
      <c r="U6579" s="77"/>
      <c r="V6579" s="78"/>
      <c r="W6579" s="85" t="s">
        <v>20842</v>
      </c>
      <c r="X6579" s="80"/>
      <c r="Y6579" s="22">
        <v>0</v>
      </c>
      <c r="Z6579" s="80" t="s">
        <v>50</v>
      </c>
      <c r="AA6579" s="82" t="s">
        <v>20522</v>
      </c>
      <c r="AB6579" s="80"/>
      <c r="AC6579" s="80" t="s">
        <v>53</v>
      </c>
      <c r="AD6579" s="80" t="s">
        <v>54</v>
      </c>
      <c r="AE6579" s="80"/>
      <c r="AF6579" s="17">
        <v>45705</v>
      </c>
      <c r="AG6579" s="80"/>
      <c r="AH6579" s="80"/>
      <c r="AI6579" s="147"/>
      <c r="AJ6579" s="80"/>
      <c r="AK6579" s="80"/>
      <c r="AL6579" s="35"/>
      <c r="AM6579" s="35"/>
      <c r="AN6579" s="35"/>
      <c r="AO6579" s="35"/>
      <c r="AP6579" s="35"/>
    </row>
    <row r="6580" spans="1:42" x14ac:dyDescent="0.2">
      <c r="A6580" s="126">
        <v>45703.861400520836</v>
      </c>
      <c r="B6580" s="137" t="s">
        <v>37</v>
      </c>
      <c r="C6580" s="41" t="s">
        <v>118</v>
      </c>
      <c r="D6580" s="80" t="s">
        <v>36</v>
      </c>
      <c r="E6580" s="80" t="s">
        <v>39</v>
      </c>
      <c r="F6580" s="80" t="s">
        <v>40</v>
      </c>
      <c r="G6580" s="80" t="s">
        <v>41</v>
      </c>
      <c r="H6580" s="80" t="s">
        <v>19301</v>
      </c>
      <c r="I6580" s="17">
        <f ca="1">IFERROR(__xludf.DUMMYFUNCTION("""COMPUTED_VALUE"""),45712)</f>
        <v>45712</v>
      </c>
      <c r="J6580" s="143" t="s">
        <v>20843</v>
      </c>
      <c r="K6580" s="80" t="s">
        <v>20844</v>
      </c>
      <c r="L6580" s="30">
        <v>947763909</v>
      </c>
      <c r="M6580" s="80" t="s">
        <v>59</v>
      </c>
      <c r="N6580" s="80" t="s">
        <v>10947</v>
      </c>
      <c r="O6580" s="80" t="s">
        <v>20845</v>
      </c>
      <c r="P6580" s="80" t="s">
        <v>20846</v>
      </c>
      <c r="Q6580" s="20">
        <v>5736</v>
      </c>
      <c r="R6580" s="80" t="s">
        <v>36</v>
      </c>
      <c r="S6580" s="95">
        <v>5736</v>
      </c>
      <c r="T6580" s="148">
        <v>45703</v>
      </c>
      <c r="U6580" s="77"/>
      <c r="V6580" s="78"/>
      <c r="W6580" s="85" t="s">
        <v>20847</v>
      </c>
      <c r="X6580" s="80"/>
      <c r="Y6580" s="22">
        <v>0</v>
      </c>
      <c r="Z6580" s="80" t="s">
        <v>50</v>
      </c>
      <c r="AA6580" s="86" t="s">
        <v>20522</v>
      </c>
      <c r="AB6580" s="80"/>
      <c r="AC6580" s="80" t="s">
        <v>53</v>
      </c>
      <c r="AD6580" s="80" t="s">
        <v>54</v>
      </c>
      <c r="AE6580" s="80" t="s">
        <v>5672</v>
      </c>
      <c r="AF6580" s="17">
        <v>45705</v>
      </c>
      <c r="AG6580" s="80"/>
      <c r="AH6580" s="80"/>
      <c r="AI6580" s="147"/>
      <c r="AJ6580" s="80"/>
      <c r="AK6580" s="80"/>
      <c r="AL6580" s="35"/>
      <c r="AM6580" s="35"/>
      <c r="AN6580" s="35"/>
      <c r="AO6580" s="35"/>
      <c r="AP6580" s="35"/>
    </row>
    <row r="6581" spans="1:42" x14ac:dyDescent="0.2">
      <c r="A6581" s="126">
        <v>45704.854258749998</v>
      </c>
      <c r="B6581" s="137" t="s">
        <v>37</v>
      </c>
      <c r="C6581" s="41" t="s">
        <v>118</v>
      </c>
      <c r="D6581" s="80" t="s">
        <v>36</v>
      </c>
      <c r="E6581" s="80" t="s">
        <v>139</v>
      </c>
      <c r="F6581" s="80" t="s">
        <v>36</v>
      </c>
      <c r="G6581" s="80" t="s">
        <v>41</v>
      </c>
      <c r="H6581" s="80" t="s">
        <v>20683</v>
      </c>
      <c r="I6581" s="17">
        <f ca="1">IFERROR(__xludf.DUMMYFUNCTION("""COMPUTED_VALUE"""),45715)</f>
        <v>45715</v>
      </c>
      <c r="J6581" s="143" t="s">
        <v>20848</v>
      </c>
      <c r="K6581" s="80" t="s">
        <v>20849</v>
      </c>
      <c r="L6581" s="30">
        <v>839751256</v>
      </c>
      <c r="M6581" s="80" t="s">
        <v>59</v>
      </c>
      <c r="N6581" s="80" t="s">
        <v>68</v>
      </c>
      <c r="O6581" s="80" t="s">
        <v>20850</v>
      </c>
      <c r="P6581" s="80" t="s">
        <v>7743</v>
      </c>
      <c r="Q6581" s="20">
        <v>15936</v>
      </c>
      <c r="R6581" s="80" t="s">
        <v>36</v>
      </c>
      <c r="S6581" s="95">
        <f>300+15636</f>
        <v>15936</v>
      </c>
      <c r="T6581" s="83" t="s">
        <v>20851</v>
      </c>
      <c r="U6581" s="77"/>
      <c r="V6581" s="78"/>
      <c r="W6581" s="85" t="s">
        <v>20852</v>
      </c>
      <c r="X6581" s="80"/>
      <c r="Y6581" s="22">
        <v>0</v>
      </c>
      <c r="Z6581" s="80" t="s">
        <v>50</v>
      </c>
      <c r="AA6581" s="82" t="s">
        <v>20522</v>
      </c>
      <c r="AB6581" s="80"/>
      <c r="AC6581" s="80" t="s">
        <v>53</v>
      </c>
      <c r="AD6581" s="80" t="s">
        <v>138</v>
      </c>
      <c r="AE6581" s="80"/>
      <c r="AF6581" s="17">
        <v>45715</v>
      </c>
      <c r="AG6581" s="80"/>
      <c r="AH6581" s="80"/>
      <c r="AI6581" s="147"/>
      <c r="AJ6581" s="80"/>
      <c r="AK6581" s="80"/>
      <c r="AL6581" s="35"/>
      <c r="AM6581" s="35"/>
      <c r="AN6581" s="35"/>
      <c r="AO6581" s="35"/>
      <c r="AP6581" s="35"/>
    </row>
    <row r="6582" spans="1:42" x14ac:dyDescent="0.2">
      <c r="A6582" s="126">
        <v>45704.856446122685</v>
      </c>
      <c r="B6582" s="137" t="s">
        <v>37</v>
      </c>
      <c r="C6582" s="41" t="s">
        <v>118</v>
      </c>
      <c r="D6582" s="80" t="s">
        <v>36</v>
      </c>
      <c r="E6582" s="80" t="s">
        <v>56</v>
      </c>
      <c r="F6582" s="80" t="s">
        <v>40</v>
      </c>
      <c r="G6582" s="80" t="s">
        <v>41</v>
      </c>
      <c r="H6582" s="80" t="s">
        <v>19366</v>
      </c>
      <c r="I6582" s="17">
        <f ca="1">IFERROR(__xludf.DUMMYFUNCTION("""COMPUTED_VALUE"""),45712)</f>
        <v>45712</v>
      </c>
      <c r="J6582" s="143" t="s">
        <v>20853</v>
      </c>
      <c r="K6582" s="80" t="s">
        <v>20854</v>
      </c>
      <c r="L6582" s="30">
        <v>981374426</v>
      </c>
      <c r="M6582" s="80" t="s">
        <v>59</v>
      </c>
      <c r="N6582" s="80" t="s">
        <v>9287</v>
      </c>
      <c r="O6582" s="80" t="s">
        <v>20855</v>
      </c>
      <c r="P6582" s="80" t="s">
        <v>7743</v>
      </c>
      <c r="Q6582" s="20">
        <v>9317</v>
      </c>
      <c r="R6582" s="80" t="s">
        <v>36</v>
      </c>
      <c r="S6582" s="95">
        <f>50+9267</f>
        <v>9317</v>
      </c>
      <c r="T6582" s="83" t="s">
        <v>20856</v>
      </c>
      <c r="U6582" s="77"/>
      <c r="V6582" s="78"/>
      <c r="W6582" s="85" t="s">
        <v>20857</v>
      </c>
      <c r="X6582" s="80"/>
      <c r="Y6582" s="22">
        <v>0</v>
      </c>
      <c r="Z6582" s="80" t="s">
        <v>50</v>
      </c>
      <c r="AA6582" s="86" t="s">
        <v>20522</v>
      </c>
      <c r="AB6582" s="80"/>
      <c r="AC6582" s="80" t="s">
        <v>53</v>
      </c>
      <c r="AD6582" s="80" t="s">
        <v>138</v>
      </c>
      <c r="AE6582" s="80"/>
      <c r="AF6582" s="17">
        <v>45712</v>
      </c>
      <c r="AG6582" s="80"/>
      <c r="AH6582" s="80"/>
      <c r="AI6582" s="147"/>
      <c r="AJ6582" s="80"/>
      <c r="AK6582" s="80"/>
      <c r="AL6582" s="35"/>
      <c r="AM6582" s="35"/>
      <c r="AN6582" s="35"/>
      <c r="AO6582" s="35"/>
      <c r="AP6582" s="35"/>
    </row>
    <row r="6583" spans="1:42" x14ac:dyDescent="0.2">
      <c r="A6583" s="126">
        <v>45704.85796606481</v>
      </c>
      <c r="B6583" s="137" t="s">
        <v>37</v>
      </c>
      <c r="C6583" s="41" t="s">
        <v>118</v>
      </c>
      <c r="D6583" s="80" t="s">
        <v>36</v>
      </c>
      <c r="E6583" s="80" t="s">
        <v>56</v>
      </c>
      <c r="F6583" s="80" t="s">
        <v>40</v>
      </c>
      <c r="G6583" s="80" t="s">
        <v>41</v>
      </c>
      <c r="H6583" s="80" t="s">
        <v>19366</v>
      </c>
      <c r="I6583" s="17">
        <f ca="1">IFERROR(__xludf.DUMMYFUNCTION("""COMPUTED_VALUE"""),45712)</f>
        <v>45712</v>
      </c>
      <c r="J6583" s="143" t="s">
        <v>20858</v>
      </c>
      <c r="K6583" s="80" t="s">
        <v>20859</v>
      </c>
      <c r="L6583" s="30">
        <v>382871377</v>
      </c>
      <c r="M6583" s="80" t="s">
        <v>59</v>
      </c>
      <c r="N6583" s="80" t="s">
        <v>10947</v>
      </c>
      <c r="O6583" s="80" t="s">
        <v>7310</v>
      </c>
      <c r="P6583" s="80" t="s">
        <v>7743</v>
      </c>
      <c r="Q6583" s="20">
        <v>9317</v>
      </c>
      <c r="R6583" s="80" t="s">
        <v>36</v>
      </c>
      <c r="S6583" s="95">
        <f>300+9017</f>
        <v>9317</v>
      </c>
      <c r="T6583" s="83" t="s">
        <v>20856</v>
      </c>
      <c r="U6583" s="77"/>
      <c r="V6583" s="78"/>
      <c r="W6583" s="85" t="s">
        <v>20860</v>
      </c>
      <c r="X6583" s="80"/>
      <c r="Y6583" s="22">
        <v>0</v>
      </c>
      <c r="Z6583" s="80" t="s">
        <v>50</v>
      </c>
      <c r="AA6583" s="82" t="s">
        <v>20522</v>
      </c>
      <c r="AB6583" s="80"/>
      <c r="AC6583" s="80" t="s">
        <v>53</v>
      </c>
      <c r="AD6583" s="80" t="s">
        <v>138</v>
      </c>
      <c r="AE6583" s="80"/>
      <c r="AF6583" s="17">
        <v>45712</v>
      </c>
      <c r="AG6583" s="80"/>
      <c r="AH6583" s="80"/>
      <c r="AI6583" s="147"/>
      <c r="AJ6583" s="80"/>
      <c r="AK6583" s="80"/>
      <c r="AL6583" s="35"/>
      <c r="AM6583" s="35"/>
      <c r="AN6583" s="35"/>
      <c r="AO6583" s="35"/>
      <c r="AP6583" s="35"/>
    </row>
    <row r="6584" spans="1:42" x14ac:dyDescent="0.2">
      <c r="A6584" s="126">
        <v>45705.863548958332</v>
      </c>
      <c r="B6584" s="137" t="s">
        <v>37</v>
      </c>
      <c r="C6584" s="41" t="s">
        <v>118</v>
      </c>
      <c r="D6584" s="80" t="s">
        <v>36</v>
      </c>
      <c r="E6584" s="80" t="s">
        <v>39</v>
      </c>
      <c r="F6584" s="80" t="s">
        <v>36</v>
      </c>
      <c r="G6584" s="80" t="s">
        <v>41</v>
      </c>
      <c r="H6584" s="80" t="s">
        <v>19816</v>
      </c>
      <c r="I6584" s="17">
        <f ca="1">IFERROR(__xludf.DUMMYFUNCTION("""COMPUTED_VALUE"""),45720)</f>
        <v>45720</v>
      </c>
      <c r="J6584" s="143" t="s">
        <v>20861</v>
      </c>
      <c r="K6584" s="80" t="s">
        <v>20862</v>
      </c>
      <c r="L6584" s="30">
        <v>869439271</v>
      </c>
      <c r="M6584" s="80" t="s">
        <v>45</v>
      </c>
      <c r="N6584" s="80" t="s">
        <v>299</v>
      </c>
      <c r="O6584" s="80" t="s">
        <v>20863</v>
      </c>
      <c r="P6584" s="80" t="s">
        <v>3694</v>
      </c>
      <c r="Q6584" s="20">
        <v>5736</v>
      </c>
      <c r="R6584" s="80" t="s">
        <v>70</v>
      </c>
      <c r="S6584" s="95">
        <v>5636</v>
      </c>
      <c r="T6584" s="148">
        <v>45705</v>
      </c>
      <c r="U6584" s="77"/>
      <c r="V6584" s="78"/>
      <c r="W6584" s="85" t="s">
        <v>20864</v>
      </c>
      <c r="X6584" s="80"/>
      <c r="Y6584" s="22">
        <v>100</v>
      </c>
      <c r="Z6584" s="80" t="s">
        <v>50</v>
      </c>
      <c r="AA6584" s="86" t="s">
        <v>20522</v>
      </c>
      <c r="AB6584" s="80"/>
      <c r="AC6584" s="80" t="s">
        <v>53</v>
      </c>
      <c r="AD6584" s="80" t="s">
        <v>138</v>
      </c>
      <c r="AE6584" s="83"/>
      <c r="AF6584" s="17">
        <v>45720</v>
      </c>
      <c r="AG6584" s="80"/>
      <c r="AH6584" s="80"/>
      <c r="AI6584" s="147"/>
      <c r="AJ6584" s="80"/>
      <c r="AK6584" s="80"/>
      <c r="AL6584" s="35"/>
      <c r="AM6584" s="35"/>
      <c r="AN6584" s="35"/>
      <c r="AO6584" s="35"/>
      <c r="AP6584" s="35"/>
    </row>
    <row r="6585" spans="1:42" x14ac:dyDescent="0.2">
      <c r="A6585" s="126">
        <v>45705.993727905094</v>
      </c>
      <c r="B6585" s="137" t="s">
        <v>37</v>
      </c>
      <c r="C6585" s="41" t="s">
        <v>118</v>
      </c>
      <c r="D6585" s="80" t="s">
        <v>36</v>
      </c>
      <c r="E6585" s="80" t="s">
        <v>77</v>
      </c>
      <c r="F6585" s="80" t="s">
        <v>36</v>
      </c>
      <c r="G6585" s="80" t="s">
        <v>41</v>
      </c>
      <c r="H6585" s="80" t="s">
        <v>20768</v>
      </c>
      <c r="I6585" s="17">
        <f ca="1">IFERROR(__xludf.DUMMYFUNCTION("""COMPUTED_VALUE"""),45708)</f>
        <v>45708</v>
      </c>
      <c r="J6585" s="143" t="s">
        <v>20865</v>
      </c>
      <c r="K6585" s="80" t="s">
        <v>20866</v>
      </c>
      <c r="L6585" s="30">
        <v>912367618</v>
      </c>
      <c r="M6585" s="80" t="s">
        <v>348</v>
      </c>
      <c r="N6585" s="80" t="s">
        <v>4299</v>
      </c>
      <c r="O6585" s="80" t="s">
        <v>20867</v>
      </c>
      <c r="P6585" s="80" t="s">
        <v>20868</v>
      </c>
      <c r="Q6585" s="20">
        <v>1968</v>
      </c>
      <c r="R6585" s="80" t="s">
        <v>36</v>
      </c>
      <c r="S6585" s="95">
        <v>1968</v>
      </c>
      <c r="T6585" s="148">
        <v>45705</v>
      </c>
      <c r="U6585" s="77"/>
      <c r="V6585" s="78"/>
      <c r="W6585" s="85" t="s">
        <v>20869</v>
      </c>
      <c r="X6585" s="80"/>
      <c r="Y6585" s="22">
        <v>0</v>
      </c>
      <c r="Z6585" s="80" t="s">
        <v>50</v>
      </c>
      <c r="AA6585" s="82" t="s">
        <v>20522</v>
      </c>
      <c r="AB6585" s="80"/>
      <c r="AC6585" s="80" t="s">
        <v>53</v>
      </c>
      <c r="AD6585" s="80" t="s">
        <v>54</v>
      </c>
      <c r="AE6585" s="80"/>
      <c r="AF6585" s="17">
        <v>45706</v>
      </c>
      <c r="AG6585" s="80"/>
      <c r="AH6585" s="80"/>
      <c r="AI6585" s="147"/>
      <c r="AJ6585" s="80"/>
      <c r="AK6585" s="80"/>
      <c r="AL6585" s="35"/>
      <c r="AM6585" s="35"/>
      <c r="AN6585" s="35"/>
      <c r="AO6585" s="35"/>
      <c r="AP6585" s="35"/>
    </row>
    <row r="6586" spans="1:42" x14ac:dyDescent="0.2">
      <c r="A6586" s="126">
        <v>45706.585957592593</v>
      </c>
      <c r="B6586" s="137" t="s">
        <v>37</v>
      </c>
      <c r="C6586" s="41" t="s">
        <v>118</v>
      </c>
      <c r="D6586" s="80" t="s">
        <v>36</v>
      </c>
      <c r="E6586" s="80" t="s">
        <v>39</v>
      </c>
      <c r="F6586" s="80" t="s">
        <v>91</v>
      </c>
      <c r="G6586" s="80" t="s">
        <v>41</v>
      </c>
      <c r="H6586" s="80" t="s">
        <v>19301</v>
      </c>
      <c r="I6586" s="17">
        <f ca="1">IFERROR(__xludf.DUMMYFUNCTION("""COMPUTED_VALUE"""),45712)</f>
        <v>45712</v>
      </c>
      <c r="J6586" s="143" t="s">
        <v>20870</v>
      </c>
      <c r="K6586" s="80" t="s">
        <v>20871</v>
      </c>
      <c r="L6586" s="30">
        <v>945275925</v>
      </c>
      <c r="M6586" s="80" t="s">
        <v>15996</v>
      </c>
      <c r="N6586" s="80" t="s">
        <v>186</v>
      </c>
      <c r="O6586" s="80" t="s">
        <v>4503</v>
      </c>
      <c r="P6586" s="80" t="s">
        <v>3056</v>
      </c>
      <c r="Q6586" s="20">
        <v>5736</v>
      </c>
      <c r="R6586" s="80" t="s">
        <v>70</v>
      </c>
      <c r="S6586" s="95">
        <f>200+3000</f>
        <v>3200</v>
      </c>
      <c r="T6586" s="83" t="s">
        <v>20872</v>
      </c>
      <c r="U6586" s="95">
        <v>2536</v>
      </c>
      <c r="V6586" s="148">
        <v>45716</v>
      </c>
      <c r="W6586" s="85" t="s">
        <v>20873</v>
      </c>
      <c r="X6586" s="80"/>
      <c r="Y6586" s="22">
        <v>0</v>
      </c>
      <c r="Z6586" s="80" t="s">
        <v>50</v>
      </c>
      <c r="AA6586" s="86" t="s">
        <v>20522</v>
      </c>
      <c r="AB6586" s="80"/>
      <c r="AC6586" s="80" t="s">
        <v>53</v>
      </c>
      <c r="AD6586" s="80" t="s">
        <v>138</v>
      </c>
      <c r="AE6586" s="80"/>
      <c r="AF6586" s="17">
        <v>45712</v>
      </c>
      <c r="AG6586" s="80" t="s">
        <v>7078</v>
      </c>
      <c r="AH6586" s="80"/>
      <c r="AI6586" s="147"/>
      <c r="AJ6586" s="80"/>
      <c r="AK6586" s="80"/>
      <c r="AL6586" s="35"/>
      <c r="AM6586" s="35"/>
      <c r="AN6586" s="35"/>
      <c r="AO6586" s="35"/>
      <c r="AP6586" s="35"/>
    </row>
    <row r="6587" spans="1:42" x14ac:dyDescent="0.2">
      <c r="A6587" s="126">
        <v>45706.61755826389</v>
      </c>
      <c r="B6587" s="137" t="s">
        <v>37</v>
      </c>
      <c r="C6587" s="41" t="s">
        <v>118</v>
      </c>
      <c r="D6587" s="80" t="s">
        <v>36</v>
      </c>
      <c r="E6587" s="80" t="s">
        <v>77</v>
      </c>
      <c r="F6587" s="80" t="s">
        <v>36</v>
      </c>
      <c r="G6587" s="80" t="s">
        <v>41</v>
      </c>
      <c r="H6587" s="80" t="s">
        <v>19816</v>
      </c>
      <c r="I6587" s="17">
        <f ca="1">IFERROR(__xludf.DUMMYFUNCTION("""COMPUTED_VALUE"""),45720)</f>
        <v>45720</v>
      </c>
      <c r="J6587" s="143" t="s">
        <v>20874</v>
      </c>
      <c r="K6587" s="80" t="s">
        <v>20875</v>
      </c>
      <c r="L6587" s="30">
        <v>383641847</v>
      </c>
      <c r="M6587" s="80" t="s">
        <v>348</v>
      </c>
      <c r="N6587" s="80" t="s">
        <v>4299</v>
      </c>
      <c r="O6587" s="80" t="s">
        <v>20876</v>
      </c>
      <c r="P6587" s="80" t="s">
        <v>12677</v>
      </c>
      <c r="Q6587" s="20">
        <v>1968</v>
      </c>
      <c r="R6587" s="80" t="s">
        <v>36</v>
      </c>
      <c r="S6587" s="95">
        <v>1968</v>
      </c>
      <c r="T6587" s="148">
        <v>45706</v>
      </c>
      <c r="U6587" s="77"/>
      <c r="V6587" s="78"/>
      <c r="W6587" s="85" t="s">
        <v>20877</v>
      </c>
      <c r="X6587" s="80"/>
      <c r="Y6587" s="22">
        <v>0</v>
      </c>
      <c r="Z6587" s="80" t="s">
        <v>50</v>
      </c>
      <c r="AA6587" s="82" t="s">
        <v>20522</v>
      </c>
      <c r="AB6587" s="80"/>
      <c r="AC6587" s="80" t="s">
        <v>53</v>
      </c>
      <c r="AD6587" s="80" t="s">
        <v>138</v>
      </c>
      <c r="AE6587" s="80"/>
      <c r="AF6587" s="17">
        <v>45720</v>
      </c>
      <c r="AG6587" s="80"/>
      <c r="AH6587" s="80"/>
      <c r="AI6587" s="147"/>
      <c r="AJ6587" s="80"/>
      <c r="AK6587" s="80"/>
      <c r="AL6587" s="35"/>
      <c r="AM6587" s="35"/>
      <c r="AN6587" s="35"/>
      <c r="AO6587" s="35"/>
      <c r="AP6587" s="35"/>
    </row>
    <row r="6588" spans="1:42" x14ac:dyDescent="0.2">
      <c r="A6588" s="126">
        <v>45706.619342384263</v>
      </c>
      <c r="B6588" s="137" t="s">
        <v>37</v>
      </c>
      <c r="C6588" s="41" t="s">
        <v>118</v>
      </c>
      <c r="D6588" s="80" t="s">
        <v>36</v>
      </c>
      <c r="E6588" s="80" t="s">
        <v>77</v>
      </c>
      <c r="F6588" s="80" t="s">
        <v>36</v>
      </c>
      <c r="G6588" s="80" t="s">
        <v>41</v>
      </c>
      <c r="H6588" s="80" t="s">
        <v>19816</v>
      </c>
      <c r="I6588" s="17">
        <f ca="1">IFERROR(__xludf.DUMMYFUNCTION("""COMPUTED_VALUE"""),45720)</f>
        <v>45720</v>
      </c>
      <c r="J6588" s="143" t="s">
        <v>20878</v>
      </c>
      <c r="K6588" s="80" t="s">
        <v>20879</v>
      </c>
      <c r="L6588" s="30">
        <v>342219267</v>
      </c>
      <c r="M6588" s="80" t="s">
        <v>348</v>
      </c>
      <c r="N6588" s="80" t="s">
        <v>4299</v>
      </c>
      <c r="O6588" s="80" t="s">
        <v>20880</v>
      </c>
      <c r="P6588" s="80" t="s">
        <v>20881</v>
      </c>
      <c r="Q6588" s="20">
        <v>1968</v>
      </c>
      <c r="R6588" s="80" t="s">
        <v>36</v>
      </c>
      <c r="S6588" s="95">
        <v>1968</v>
      </c>
      <c r="T6588" s="148">
        <v>45706</v>
      </c>
      <c r="U6588" s="77"/>
      <c r="V6588" s="78"/>
      <c r="W6588" s="85" t="s">
        <v>20882</v>
      </c>
      <c r="X6588" s="80"/>
      <c r="Y6588" s="22">
        <v>0</v>
      </c>
      <c r="Z6588" s="80" t="s">
        <v>50</v>
      </c>
      <c r="AA6588" s="86" t="s">
        <v>20522</v>
      </c>
      <c r="AB6588" s="80"/>
      <c r="AC6588" s="80" t="s">
        <v>53</v>
      </c>
      <c r="AD6588" s="80" t="s">
        <v>138</v>
      </c>
      <c r="AE6588" s="80"/>
      <c r="AF6588" s="17">
        <v>45720</v>
      </c>
      <c r="AG6588" s="80"/>
      <c r="AH6588" s="80"/>
      <c r="AI6588" s="147"/>
      <c r="AJ6588" s="80"/>
      <c r="AK6588" s="80"/>
      <c r="AL6588" s="35"/>
      <c r="AM6588" s="35"/>
      <c r="AN6588" s="35"/>
      <c r="AO6588" s="35"/>
      <c r="AP6588" s="35"/>
    </row>
    <row r="6589" spans="1:42" x14ac:dyDescent="0.2">
      <c r="A6589" s="126">
        <v>45707.351308865742</v>
      </c>
      <c r="B6589" s="28" t="s">
        <v>37</v>
      </c>
      <c r="C6589" s="41" t="s">
        <v>118</v>
      </c>
      <c r="D6589" s="80" t="s">
        <v>36</v>
      </c>
      <c r="E6589" s="80" t="s">
        <v>106</v>
      </c>
      <c r="F6589" s="80" t="s">
        <v>36</v>
      </c>
      <c r="G6589" s="80" t="s">
        <v>108</v>
      </c>
      <c r="H6589" s="80" t="s">
        <v>10246</v>
      </c>
      <c r="I6589" s="17">
        <f ca="1">IFERROR(__xludf.DUMMYFUNCTION("""COMPUTED_VALUE"""),45716)</f>
        <v>45716</v>
      </c>
      <c r="J6589" s="143" t="s">
        <v>20883</v>
      </c>
      <c r="K6589" s="80" t="s">
        <v>20884</v>
      </c>
      <c r="L6589" s="30">
        <v>702693157</v>
      </c>
      <c r="M6589" s="80" t="s">
        <v>9422</v>
      </c>
      <c r="N6589" s="80" t="s">
        <v>327</v>
      </c>
      <c r="O6589" s="80" t="s">
        <v>8827</v>
      </c>
      <c r="P6589" s="80" t="s">
        <v>20885</v>
      </c>
      <c r="Q6589" s="20">
        <v>3768</v>
      </c>
      <c r="R6589" s="80" t="s">
        <v>36</v>
      </c>
      <c r="S6589" s="95">
        <v>3768</v>
      </c>
      <c r="T6589" s="148">
        <v>45341</v>
      </c>
      <c r="U6589" s="77"/>
      <c r="V6589" s="78"/>
      <c r="W6589" s="85" t="s">
        <v>20886</v>
      </c>
      <c r="X6589" s="80"/>
      <c r="Y6589" s="22">
        <v>0</v>
      </c>
      <c r="Z6589" s="80" t="s">
        <v>50</v>
      </c>
      <c r="AA6589" s="82" t="s">
        <v>20522</v>
      </c>
      <c r="AB6589" s="80"/>
      <c r="AC6589" s="80" t="s">
        <v>53</v>
      </c>
      <c r="AD6589" s="80" t="s">
        <v>54</v>
      </c>
      <c r="AE6589" s="83">
        <v>490</v>
      </c>
      <c r="AF6589" s="17">
        <v>45709</v>
      </c>
      <c r="AG6589" s="80"/>
      <c r="AH6589" s="80"/>
      <c r="AI6589" s="147"/>
      <c r="AJ6589" s="80"/>
      <c r="AK6589" s="80"/>
      <c r="AL6589" s="35"/>
      <c r="AM6589" s="35"/>
      <c r="AN6589" s="35"/>
      <c r="AO6589" s="35"/>
      <c r="AP6589" s="35"/>
    </row>
    <row r="6590" spans="1:42" x14ac:dyDescent="0.2">
      <c r="A6590" s="99">
        <v>45707</v>
      </c>
      <c r="B6590" s="28" t="s">
        <v>37</v>
      </c>
      <c r="C6590" s="41" t="s">
        <v>118</v>
      </c>
      <c r="D6590" s="26" t="s">
        <v>36</v>
      </c>
      <c r="E6590" s="26" t="s">
        <v>4128</v>
      </c>
      <c r="F6590" s="26" t="s">
        <v>8581</v>
      </c>
      <c r="G6590" s="26" t="s">
        <v>221</v>
      </c>
      <c r="H6590" s="26" t="s">
        <v>8998</v>
      </c>
      <c r="I6590" s="17">
        <f ca="1">IFERROR(__xludf.DUMMYFUNCTION("""COMPUTED_VALUE"""),45714)</f>
        <v>45714</v>
      </c>
      <c r="J6590" s="29" t="s">
        <v>6224</v>
      </c>
      <c r="K6590" s="26" t="s">
        <v>6553</v>
      </c>
      <c r="L6590" s="30">
        <v>877765981</v>
      </c>
      <c r="M6590" s="26"/>
      <c r="N6590" s="26"/>
      <c r="O6590" s="26" t="s">
        <v>91</v>
      </c>
      <c r="P6590" s="42" t="s">
        <v>8649</v>
      </c>
      <c r="Q6590" s="20">
        <v>3868</v>
      </c>
      <c r="R6590" s="26" t="s">
        <v>36</v>
      </c>
      <c r="S6590" s="31">
        <v>3868</v>
      </c>
      <c r="T6590" s="32">
        <v>45706</v>
      </c>
      <c r="U6590" s="31"/>
      <c r="V6590" s="32"/>
      <c r="W6590" s="33"/>
      <c r="X6590" s="26">
        <v>0</v>
      </c>
      <c r="Y6590" s="22">
        <v>0</v>
      </c>
      <c r="Z6590" s="80" t="s">
        <v>50</v>
      </c>
      <c r="AA6590" s="86" t="s">
        <v>20522</v>
      </c>
      <c r="AB6590" s="26"/>
      <c r="AC6590" s="26" t="s">
        <v>53</v>
      </c>
      <c r="AD6590" s="14" t="s">
        <v>54</v>
      </c>
      <c r="AE6590" s="26" t="s">
        <v>8581</v>
      </c>
      <c r="AF6590" s="17">
        <v>45714</v>
      </c>
      <c r="AG6590" s="40"/>
      <c r="AH6590" s="26">
        <v>2</v>
      </c>
      <c r="AI6590" s="40" t="s">
        <v>64</v>
      </c>
      <c r="AJ6590" s="26"/>
      <c r="AK6590" s="26"/>
      <c r="AL6590" s="35"/>
      <c r="AM6590" s="35"/>
      <c r="AN6590" s="35"/>
      <c r="AO6590" s="35"/>
      <c r="AP6590" s="35"/>
    </row>
    <row r="6591" spans="1:42" x14ac:dyDescent="0.2">
      <c r="A6591" s="126">
        <v>45707.98247018519</v>
      </c>
      <c r="B6591" s="137" t="s">
        <v>37</v>
      </c>
      <c r="C6591" s="41" t="s">
        <v>118</v>
      </c>
      <c r="D6591" s="80" t="s">
        <v>36</v>
      </c>
      <c r="E6591" s="80" t="s">
        <v>77</v>
      </c>
      <c r="F6591" s="80" t="s">
        <v>36</v>
      </c>
      <c r="G6591" s="80" t="s">
        <v>41</v>
      </c>
      <c r="H6591" s="80" t="s">
        <v>19849</v>
      </c>
      <c r="I6591" s="17">
        <f ca="1">IFERROR(__xludf.DUMMYFUNCTION("""COMPUTED_VALUE"""),45713)</f>
        <v>45713</v>
      </c>
      <c r="J6591" s="143" t="s">
        <v>20887</v>
      </c>
      <c r="K6591" s="80" t="s">
        <v>11292</v>
      </c>
      <c r="L6591" s="30">
        <v>335528802</v>
      </c>
      <c r="M6591" s="80" t="s">
        <v>348</v>
      </c>
      <c r="N6591" s="80" t="s">
        <v>68</v>
      </c>
      <c r="O6591" s="80" t="s">
        <v>20888</v>
      </c>
      <c r="P6591" s="80" t="s">
        <v>20889</v>
      </c>
      <c r="Q6591" s="20">
        <v>1968</v>
      </c>
      <c r="R6591" s="80" t="s">
        <v>36</v>
      </c>
      <c r="S6591" s="95">
        <v>1968</v>
      </c>
      <c r="T6591" s="148">
        <v>45707</v>
      </c>
      <c r="U6591" s="77"/>
      <c r="V6591" s="78"/>
      <c r="W6591" s="85" t="s">
        <v>20890</v>
      </c>
      <c r="X6591" s="80"/>
      <c r="Y6591" s="22">
        <v>0</v>
      </c>
      <c r="Z6591" s="80" t="s">
        <v>50</v>
      </c>
      <c r="AA6591" s="82" t="s">
        <v>20522</v>
      </c>
      <c r="AB6591" s="80"/>
      <c r="AC6591" s="80" t="s">
        <v>53</v>
      </c>
      <c r="AD6591" s="80" t="s">
        <v>54</v>
      </c>
      <c r="AE6591" s="80" t="s">
        <v>20891</v>
      </c>
      <c r="AF6591" s="17">
        <v>45708</v>
      </c>
      <c r="AG6591" s="80"/>
      <c r="AH6591" s="80"/>
      <c r="AI6591" s="147"/>
      <c r="AJ6591" s="80"/>
      <c r="AK6591" s="80"/>
      <c r="AL6591" s="35"/>
      <c r="AM6591" s="35"/>
      <c r="AN6591" s="35"/>
      <c r="AO6591" s="35"/>
      <c r="AP6591" s="35"/>
    </row>
    <row r="6592" spans="1:42" x14ac:dyDescent="0.2">
      <c r="A6592" s="126">
        <v>45707.988193877318</v>
      </c>
      <c r="B6592" s="137" t="s">
        <v>37</v>
      </c>
      <c r="C6592" s="41" t="s">
        <v>118</v>
      </c>
      <c r="D6592" s="80" t="s">
        <v>36</v>
      </c>
      <c r="E6592" s="80" t="s">
        <v>77</v>
      </c>
      <c r="F6592" s="80" t="s">
        <v>40</v>
      </c>
      <c r="G6592" s="80" t="s">
        <v>41</v>
      </c>
      <c r="H6592" s="80" t="s">
        <v>19366</v>
      </c>
      <c r="I6592" s="17">
        <f ca="1">IFERROR(__xludf.DUMMYFUNCTION("""COMPUTED_VALUE"""),45712)</f>
        <v>45712</v>
      </c>
      <c r="J6592" s="143" t="s">
        <v>20892</v>
      </c>
      <c r="K6592" s="80" t="s">
        <v>20893</v>
      </c>
      <c r="L6592" s="30">
        <v>395796113</v>
      </c>
      <c r="M6592" s="80" t="s">
        <v>59</v>
      </c>
      <c r="N6592" s="80" t="s">
        <v>9660</v>
      </c>
      <c r="O6592" s="80" t="s">
        <v>20894</v>
      </c>
      <c r="P6592" s="80" t="s">
        <v>7743</v>
      </c>
      <c r="Q6592" s="20">
        <v>1968</v>
      </c>
      <c r="R6592" s="80" t="s">
        <v>36</v>
      </c>
      <c r="S6592" s="95">
        <f>20+1968</f>
        <v>1988</v>
      </c>
      <c r="T6592" s="170">
        <v>45709</v>
      </c>
      <c r="U6592" s="77"/>
      <c r="V6592" s="78"/>
      <c r="W6592" s="85" t="s">
        <v>20895</v>
      </c>
      <c r="X6592" s="80"/>
      <c r="Y6592" s="22">
        <v>-20</v>
      </c>
      <c r="Z6592" s="80" t="s">
        <v>50</v>
      </c>
      <c r="AA6592" s="86" t="s">
        <v>20522</v>
      </c>
      <c r="AB6592" s="80"/>
      <c r="AC6592" s="80" t="s">
        <v>53</v>
      </c>
      <c r="AD6592" s="80" t="s">
        <v>138</v>
      </c>
      <c r="AE6592" s="80"/>
      <c r="AF6592" s="17">
        <v>45712</v>
      </c>
      <c r="AG6592" s="80" t="s">
        <v>7078</v>
      </c>
      <c r="AH6592" s="80"/>
      <c r="AI6592" s="147"/>
      <c r="AJ6592" s="80"/>
      <c r="AK6592" s="80"/>
      <c r="AL6592" s="35"/>
      <c r="AM6592" s="35"/>
      <c r="AN6592" s="35"/>
      <c r="AO6592" s="35"/>
      <c r="AP6592" s="35"/>
    </row>
    <row r="6593" spans="1:42" x14ac:dyDescent="0.2">
      <c r="A6593" s="126">
        <v>45708.315229537038</v>
      </c>
      <c r="B6593" s="137" t="s">
        <v>37</v>
      </c>
      <c r="C6593" s="41" t="s">
        <v>118</v>
      </c>
      <c r="D6593" s="80" t="s">
        <v>36</v>
      </c>
      <c r="E6593" s="80" t="s">
        <v>39</v>
      </c>
      <c r="F6593" s="80" t="s">
        <v>40</v>
      </c>
      <c r="G6593" s="80" t="s">
        <v>41</v>
      </c>
      <c r="H6593" s="80" t="s">
        <v>19366</v>
      </c>
      <c r="I6593" s="17">
        <f ca="1">IFERROR(__xludf.DUMMYFUNCTION("""COMPUTED_VALUE"""),45712)</f>
        <v>45712</v>
      </c>
      <c r="J6593" s="172" t="s">
        <v>20896</v>
      </c>
      <c r="K6593" s="80" t="s">
        <v>20897</v>
      </c>
      <c r="L6593" s="30">
        <v>392056775</v>
      </c>
      <c r="M6593" s="80" t="s">
        <v>348</v>
      </c>
      <c r="N6593" s="80" t="s">
        <v>7509</v>
      </c>
      <c r="O6593" s="80" t="s">
        <v>91</v>
      </c>
      <c r="P6593" s="80" t="s">
        <v>3117</v>
      </c>
      <c r="Q6593" s="20">
        <v>5736</v>
      </c>
      <c r="R6593" s="80" t="s">
        <v>36</v>
      </c>
      <c r="S6593" s="95">
        <f>50+5686</f>
        <v>5736</v>
      </c>
      <c r="T6593" s="83" t="s">
        <v>20898</v>
      </c>
      <c r="U6593" s="77"/>
      <c r="V6593" s="78"/>
      <c r="W6593" s="85" t="s">
        <v>20899</v>
      </c>
      <c r="X6593" s="80"/>
      <c r="Y6593" s="22">
        <v>0</v>
      </c>
      <c r="Z6593" s="80" t="s">
        <v>50</v>
      </c>
      <c r="AA6593" s="82" t="s">
        <v>20522</v>
      </c>
      <c r="AB6593" s="80"/>
      <c r="AC6593" s="80" t="s">
        <v>53</v>
      </c>
      <c r="AD6593" s="80" t="s">
        <v>138</v>
      </c>
      <c r="AE6593" s="80"/>
      <c r="AF6593" s="17">
        <v>45712</v>
      </c>
      <c r="AG6593" s="80"/>
      <c r="AH6593" s="80"/>
      <c r="AI6593" s="147"/>
      <c r="AJ6593" s="80"/>
      <c r="AK6593" s="80"/>
      <c r="AL6593" s="35"/>
      <c r="AM6593" s="35"/>
      <c r="AN6593" s="35"/>
      <c r="AO6593" s="35"/>
      <c r="AP6593" s="35"/>
    </row>
    <row r="6594" spans="1:42" x14ac:dyDescent="0.2">
      <c r="A6594" s="126">
        <v>45708.317368935182</v>
      </c>
      <c r="B6594" s="137" t="s">
        <v>37</v>
      </c>
      <c r="C6594" s="41" t="s">
        <v>118</v>
      </c>
      <c r="D6594" s="80" t="s">
        <v>36</v>
      </c>
      <c r="E6594" s="80" t="s">
        <v>77</v>
      </c>
      <c r="F6594" s="80" t="s">
        <v>36</v>
      </c>
      <c r="G6594" s="80" t="s">
        <v>41</v>
      </c>
      <c r="H6594" s="80" t="s">
        <v>19816</v>
      </c>
      <c r="I6594" s="17">
        <f ca="1">IFERROR(__xludf.DUMMYFUNCTION("""COMPUTED_VALUE"""),45720)</f>
        <v>45720</v>
      </c>
      <c r="J6594" s="143" t="s">
        <v>20900</v>
      </c>
      <c r="K6594" s="80" t="s">
        <v>20901</v>
      </c>
      <c r="L6594" s="30">
        <v>962816560</v>
      </c>
      <c r="M6594" s="80" t="s">
        <v>3288</v>
      </c>
      <c r="N6594" s="80" t="s">
        <v>7509</v>
      </c>
      <c r="O6594" s="80" t="s">
        <v>91</v>
      </c>
      <c r="P6594" s="80" t="s">
        <v>3117</v>
      </c>
      <c r="Q6594" s="20">
        <v>1968</v>
      </c>
      <c r="R6594" s="80" t="s">
        <v>36</v>
      </c>
      <c r="S6594" s="95">
        <f>50+1918</f>
        <v>1968</v>
      </c>
      <c r="T6594" s="83" t="s">
        <v>20902</v>
      </c>
      <c r="U6594" s="77"/>
      <c r="V6594" s="78"/>
      <c r="W6594" s="85" t="s">
        <v>20903</v>
      </c>
      <c r="X6594" s="80"/>
      <c r="Y6594" s="22">
        <v>0</v>
      </c>
      <c r="Z6594" s="80" t="s">
        <v>50</v>
      </c>
      <c r="AA6594" s="86" t="s">
        <v>20522</v>
      </c>
      <c r="AB6594" s="80"/>
      <c r="AC6594" s="80" t="s">
        <v>53</v>
      </c>
      <c r="AD6594" s="80" t="s">
        <v>138</v>
      </c>
      <c r="AE6594" s="83"/>
      <c r="AF6594" s="17">
        <v>45720</v>
      </c>
      <c r="AG6594" s="80"/>
      <c r="AH6594" s="80"/>
      <c r="AI6594" s="147"/>
      <c r="AJ6594" s="80"/>
      <c r="AK6594" s="80"/>
      <c r="AL6594" s="35"/>
      <c r="AM6594" s="35"/>
      <c r="AN6594" s="35"/>
      <c r="AO6594" s="35"/>
      <c r="AP6594" s="35"/>
    </row>
    <row r="6595" spans="1:42" x14ac:dyDescent="0.2">
      <c r="A6595" s="126">
        <v>45708.336988726849</v>
      </c>
      <c r="B6595" s="137" t="s">
        <v>1703</v>
      </c>
      <c r="C6595" s="41" t="s">
        <v>118</v>
      </c>
      <c r="D6595" s="80" t="s">
        <v>36</v>
      </c>
      <c r="E6595" s="80" t="s">
        <v>1704</v>
      </c>
      <c r="F6595" s="80" t="s">
        <v>36</v>
      </c>
      <c r="G6595" s="80" t="s">
        <v>1705</v>
      </c>
      <c r="H6595" s="26" t="s">
        <v>865</v>
      </c>
      <c r="I6595" s="17" t="str">
        <f ca="1">IFERROR(__xludf.DUMMYFUNCTION("""COMPUTED_VALUE""")," ")</f>
        <v xml:space="preserve"> </v>
      </c>
      <c r="J6595" s="143" t="s">
        <v>19700</v>
      </c>
      <c r="K6595" s="145" t="s">
        <v>20904</v>
      </c>
      <c r="L6595" s="30">
        <v>783891497</v>
      </c>
      <c r="M6595" s="80" t="s">
        <v>9422</v>
      </c>
      <c r="N6595" s="80" t="s">
        <v>19311</v>
      </c>
      <c r="O6595" s="80" t="s">
        <v>8827</v>
      </c>
      <c r="P6595" s="80" t="s">
        <v>20905</v>
      </c>
      <c r="Q6595" s="20">
        <v>7729</v>
      </c>
      <c r="R6595" s="80" t="s">
        <v>36</v>
      </c>
      <c r="S6595" s="95">
        <v>6619</v>
      </c>
      <c r="T6595" s="148">
        <v>45707</v>
      </c>
      <c r="U6595" s="77"/>
      <c r="V6595" s="78"/>
      <c r="W6595" s="85" t="s">
        <v>20906</v>
      </c>
      <c r="X6595" s="80"/>
      <c r="Y6595" s="22">
        <v>1110</v>
      </c>
      <c r="Z6595" s="80" t="s">
        <v>50</v>
      </c>
      <c r="AA6595" s="82" t="s">
        <v>20522</v>
      </c>
      <c r="AB6595" s="80"/>
      <c r="AC6595" s="80" t="s">
        <v>53</v>
      </c>
      <c r="AD6595" s="80" t="s">
        <v>54</v>
      </c>
      <c r="AE6595" s="80"/>
      <c r="AF6595" s="17"/>
      <c r="AG6595" s="80"/>
      <c r="AH6595" s="80"/>
      <c r="AI6595" s="147"/>
      <c r="AJ6595" s="80"/>
      <c r="AK6595" s="80"/>
      <c r="AL6595" s="35"/>
      <c r="AM6595" s="35"/>
      <c r="AN6595" s="35"/>
      <c r="AO6595" s="35"/>
      <c r="AP6595" s="35"/>
    </row>
    <row r="6596" spans="1:42" x14ac:dyDescent="0.2">
      <c r="A6596" s="126">
        <v>45708.445695787035</v>
      </c>
      <c r="B6596" s="137" t="s">
        <v>37</v>
      </c>
      <c r="C6596" s="41" t="s">
        <v>118</v>
      </c>
      <c r="D6596" s="80" t="s">
        <v>36</v>
      </c>
      <c r="E6596" s="80" t="s">
        <v>77</v>
      </c>
      <c r="F6596" s="80" t="s">
        <v>40</v>
      </c>
      <c r="G6596" s="80" t="s">
        <v>41</v>
      </c>
      <c r="H6596" s="80" t="s">
        <v>19366</v>
      </c>
      <c r="I6596" s="17">
        <f ca="1">IFERROR(__xludf.DUMMYFUNCTION("""COMPUTED_VALUE"""),45712)</f>
        <v>45712</v>
      </c>
      <c r="J6596" s="143" t="s">
        <v>20907</v>
      </c>
      <c r="K6596" s="80" t="s">
        <v>20908</v>
      </c>
      <c r="L6596" s="30">
        <v>974973650</v>
      </c>
      <c r="M6596" s="80" t="s">
        <v>348</v>
      </c>
      <c r="N6596" s="80" t="s">
        <v>4299</v>
      </c>
      <c r="O6596" s="80" t="s">
        <v>20909</v>
      </c>
      <c r="P6596" s="80" t="s">
        <v>3694</v>
      </c>
      <c r="Q6596" s="20">
        <v>1968</v>
      </c>
      <c r="R6596" s="80" t="s">
        <v>36</v>
      </c>
      <c r="S6596" s="95">
        <v>1968</v>
      </c>
      <c r="T6596" s="148">
        <v>45708</v>
      </c>
      <c r="U6596" s="77"/>
      <c r="V6596" s="78"/>
      <c r="W6596" s="85" t="s">
        <v>20910</v>
      </c>
      <c r="X6596" s="80"/>
      <c r="Y6596" s="22">
        <v>0</v>
      </c>
      <c r="Z6596" s="80" t="s">
        <v>50</v>
      </c>
      <c r="AA6596" s="86" t="s">
        <v>20522</v>
      </c>
      <c r="AB6596" s="80"/>
      <c r="AC6596" s="80" t="s">
        <v>53</v>
      </c>
      <c r="AD6596" s="80" t="s">
        <v>138</v>
      </c>
      <c r="AE6596" s="80"/>
      <c r="AF6596" s="17">
        <v>45712</v>
      </c>
      <c r="AG6596" s="80"/>
      <c r="AH6596" s="80"/>
      <c r="AI6596" s="147"/>
      <c r="AJ6596" s="80"/>
      <c r="AK6596" s="80"/>
      <c r="AL6596" s="35"/>
      <c r="AM6596" s="35"/>
      <c r="AN6596" s="35"/>
      <c r="AO6596" s="35"/>
      <c r="AP6596" s="35"/>
    </row>
    <row r="6597" spans="1:42" x14ac:dyDescent="0.2">
      <c r="A6597" s="126">
        <v>45708.473893923612</v>
      </c>
      <c r="B6597" s="137" t="s">
        <v>37</v>
      </c>
      <c r="C6597" s="41" t="s">
        <v>118</v>
      </c>
      <c r="D6597" s="80" t="s">
        <v>36</v>
      </c>
      <c r="E6597" s="80" t="s">
        <v>39</v>
      </c>
      <c r="F6597" s="80" t="s">
        <v>36</v>
      </c>
      <c r="G6597" s="80" t="s">
        <v>41</v>
      </c>
      <c r="H6597" s="80" t="s">
        <v>19816</v>
      </c>
      <c r="I6597" s="17">
        <f ca="1">IFERROR(__xludf.DUMMYFUNCTION("""COMPUTED_VALUE"""),45720)</f>
        <v>45720</v>
      </c>
      <c r="J6597" s="143" t="s">
        <v>20911</v>
      </c>
      <c r="K6597" s="80" t="s">
        <v>1817</v>
      </c>
      <c r="L6597" s="30">
        <v>345896605</v>
      </c>
      <c r="M6597" s="80" t="s">
        <v>348</v>
      </c>
      <c r="N6597" s="80" t="s">
        <v>4299</v>
      </c>
      <c r="O6597" s="80" t="s">
        <v>20912</v>
      </c>
      <c r="P6597" s="80" t="s">
        <v>20913</v>
      </c>
      <c r="Q6597" s="20">
        <v>5736</v>
      </c>
      <c r="R6597" s="80" t="s">
        <v>36</v>
      </c>
      <c r="S6597" s="95">
        <v>5736</v>
      </c>
      <c r="T6597" s="148">
        <v>45708</v>
      </c>
      <c r="U6597" s="77"/>
      <c r="V6597" s="78"/>
      <c r="W6597" s="85" t="s">
        <v>20914</v>
      </c>
      <c r="X6597" s="80"/>
      <c r="Y6597" s="22">
        <v>0</v>
      </c>
      <c r="Z6597" s="80" t="s">
        <v>50</v>
      </c>
      <c r="AA6597" s="82" t="s">
        <v>20522</v>
      </c>
      <c r="AB6597" s="80"/>
      <c r="AC6597" s="80" t="s">
        <v>53</v>
      </c>
      <c r="AD6597" s="80" t="s">
        <v>138</v>
      </c>
      <c r="AE6597" s="80"/>
      <c r="AF6597" s="17">
        <v>45720</v>
      </c>
      <c r="AG6597" s="80"/>
      <c r="AH6597" s="80"/>
      <c r="AI6597" s="147"/>
      <c r="AJ6597" s="80"/>
      <c r="AK6597" s="80"/>
      <c r="AL6597" s="35"/>
      <c r="AM6597" s="35"/>
      <c r="AN6597" s="35"/>
      <c r="AO6597" s="35"/>
      <c r="AP6597" s="35"/>
    </row>
    <row r="6598" spans="1:42" x14ac:dyDescent="0.2">
      <c r="A6598" s="126">
        <v>45708.777618148146</v>
      </c>
      <c r="B6598" s="137" t="s">
        <v>37</v>
      </c>
      <c r="C6598" s="41" t="s">
        <v>118</v>
      </c>
      <c r="D6598" s="80" t="s">
        <v>36</v>
      </c>
      <c r="E6598" s="80" t="s">
        <v>77</v>
      </c>
      <c r="F6598" s="80" t="s">
        <v>40</v>
      </c>
      <c r="G6598" s="80" t="s">
        <v>41</v>
      </c>
      <c r="H6598" s="80" t="s">
        <v>19301</v>
      </c>
      <c r="I6598" s="17">
        <f ca="1">IFERROR(__xludf.DUMMYFUNCTION("""COMPUTED_VALUE"""),45712)</f>
        <v>45712</v>
      </c>
      <c r="J6598" s="143" t="s">
        <v>20915</v>
      </c>
      <c r="K6598" s="80" t="s">
        <v>20916</v>
      </c>
      <c r="L6598" s="30">
        <v>343076647</v>
      </c>
      <c r="M6598" s="80" t="s">
        <v>348</v>
      </c>
      <c r="N6598" s="80" t="s">
        <v>4299</v>
      </c>
      <c r="O6598" s="80" t="s">
        <v>17476</v>
      </c>
      <c r="P6598" s="80" t="s">
        <v>7743</v>
      </c>
      <c r="Q6598" s="20">
        <v>1968</v>
      </c>
      <c r="R6598" s="80" t="s">
        <v>36</v>
      </c>
      <c r="S6598" s="95">
        <v>1968</v>
      </c>
      <c r="T6598" s="148">
        <v>45708</v>
      </c>
      <c r="U6598" s="77"/>
      <c r="V6598" s="78"/>
      <c r="W6598" s="85" t="s">
        <v>20917</v>
      </c>
      <c r="X6598" s="80"/>
      <c r="Y6598" s="22">
        <v>0</v>
      </c>
      <c r="Z6598" s="80" t="s">
        <v>50</v>
      </c>
      <c r="AA6598" s="86" t="s">
        <v>20522</v>
      </c>
      <c r="AB6598" s="80"/>
      <c r="AC6598" s="80" t="s">
        <v>53</v>
      </c>
      <c r="AD6598" s="80" t="s">
        <v>138</v>
      </c>
      <c r="AE6598" s="80" t="s">
        <v>16305</v>
      </c>
      <c r="AF6598" s="17">
        <v>45712</v>
      </c>
      <c r="AG6598" s="80"/>
      <c r="AH6598" s="80"/>
      <c r="AI6598" s="147"/>
      <c r="AJ6598" s="80"/>
      <c r="AK6598" s="80"/>
      <c r="AL6598" s="35"/>
      <c r="AM6598" s="35"/>
      <c r="AN6598" s="35"/>
      <c r="AO6598" s="35"/>
      <c r="AP6598" s="35"/>
    </row>
    <row r="6599" spans="1:42" x14ac:dyDescent="0.2">
      <c r="A6599" s="126">
        <v>45709.347711319446</v>
      </c>
      <c r="B6599" s="137" t="s">
        <v>37</v>
      </c>
      <c r="C6599" s="41" t="s">
        <v>118</v>
      </c>
      <c r="D6599" s="80" t="s">
        <v>36</v>
      </c>
      <c r="E6599" s="80" t="s">
        <v>77</v>
      </c>
      <c r="F6599" s="80" t="s">
        <v>36</v>
      </c>
      <c r="G6599" s="80" t="s">
        <v>41</v>
      </c>
      <c r="H6599" s="80" t="s">
        <v>19301</v>
      </c>
      <c r="I6599" s="17">
        <f ca="1">IFERROR(__xludf.DUMMYFUNCTION("""COMPUTED_VALUE"""),45712)</f>
        <v>45712</v>
      </c>
      <c r="J6599" s="172" t="s">
        <v>20918</v>
      </c>
      <c r="K6599" s="80" t="s">
        <v>20919</v>
      </c>
      <c r="L6599" s="30">
        <v>987311625</v>
      </c>
      <c r="M6599" s="80" t="s">
        <v>348</v>
      </c>
      <c r="N6599" s="80" t="s">
        <v>68</v>
      </c>
      <c r="O6599" s="80" t="s">
        <v>20920</v>
      </c>
      <c r="P6599" s="80" t="s">
        <v>20921</v>
      </c>
      <c r="Q6599" s="20">
        <v>1968</v>
      </c>
      <c r="R6599" s="80" t="s">
        <v>36</v>
      </c>
      <c r="S6599" s="95">
        <v>1968</v>
      </c>
      <c r="T6599" s="148">
        <v>45708</v>
      </c>
      <c r="U6599" s="77"/>
      <c r="V6599" s="78"/>
      <c r="W6599" s="85" t="s">
        <v>20922</v>
      </c>
      <c r="X6599" s="80"/>
      <c r="Y6599" s="22">
        <v>0</v>
      </c>
      <c r="Z6599" s="80" t="s">
        <v>50</v>
      </c>
      <c r="AA6599" s="82" t="s">
        <v>20522</v>
      </c>
      <c r="AB6599" s="80"/>
      <c r="AC6599" s="80" t="s">
        <v>53</v>
      </c>
      <c r="AD6599" s="80" t="s">
        <v>138</v>
      </c>
      <c r="AE6599" s="80"/>
      <c r="AF6599" s="17">
        <v>45712</v>
      </c>
      <c r="AG6599" s="80"/>
      <c r="AH6599" s="80"/>
      <c r="AI6599" s="147"/>
      <c r="AJ6599" s="80"/>
      <c r="AK6599" s="80"/>
      <c r="AL6599" s="35"/>
      <c r="AM6599" s="35"/>
      <c r="AN6599" s="35"/>
      <c r="AO6599" s="35"/>
      <c r="AP6599" s="35"/>
    </row>
    <row r="6600" spans="1:42" x14ac:dyDescent="0.2">
      <c r="A6600" s="126">
        <v>45709.35038920139</v>
      </c>
      <c r="B6600" s="137" t="s">
        <v>37</v>
      </c>
      <c r="C6600" s="41" t="s">
        <v>118</v>
      </c>
      <c r="D6600" s="80" t="s">
        <v>36</v>
      </c>
      <c r="E6600" s="80" t="s">
        <v>148</v>
      </c>
      <c r="F6600" s="80" t="s">
        <v>36</v>
      </c>
      <c r="G6600" s="80" t="s">
        <v>108</v>
      </c>
      <c r="H6600" s="80" t="s">
        <v>10246</v>
      </c>
      <c r="I6600" s="17">
        <f ca="1">IFERROR(__xludf.DUMMYFUNCTION("""COMPUTED_VALUE"""),45716)</f>
        <v>45716</v>
      </c>
      <c r="J6600" s="172" t="s">
        <v>20923</v>
      </c>
      <c r="K6600" s="80" t="s">
        <v>20924</v>
      </c>
      <c r="L6600" s="30">
        <v>779517764</v>
      </c>
      <c r="M6600" s="80" t="s">
        <v>348</v>
      </c>
      <c r="N6600" s="80" t="s">
        <v>68</v>
      </c>
      <c r="O6600" s="80" t="s">
        <v>20925</v>
      </c>
      <c r="P6600" s="80" t="s">
        <v>20926</v>
      </c>
      <c r="Q6600" s="20">
        <v>7349</v>
      </c>
      <c r="R6600" s="80" t="s">
        <v>36</v>
      </c>
      <c r="S6600" s="95">
        <v>7349</v>
      </c>
      <c r="T6600" s="148">
        <v>45708</v>
      </c>
      <c r="U6600" s="77"/>
      <c r="V6600" s="78"/>
      <c r="W6600" s="85" t="s">
        <v>20927</v>
      </c>
      <c r="X6600" s="80"/>
      <c r="Y6600" s="22">
        <v>0</v>
      </c>
      <c r="Z6600" s="80" t="s">
        <v>50</v>
      </c>
      <c r="AA6600" s="86" t="s">
        <v>20522</v>
      </c>
      <c r="AB6600" s="80"/>
      <c r="AC6600" s="80" t="s">
        <v>53</v>
      </c>
      <c r="AD6600" s="80" t="s">
        <v>54</v>
      </c>
      <c r="AE6600" s="80" t="s">
        <v>20928</v>
      </c>
      <c r="AF6600" s="17">
        <v>45709</v>
      </c>
      <c r="AG6600" s="80"/>
      <c r="AH6600" s="80"/>
      <c r="AI6600" s="147"/>
      <c r="AJ6600" s="80"/>
      <c r="AK6600" s="80"/>
      <c r="AL6600" s="35"/>
      <c r="AM6600" s="35"/>
      <c r="AN6600" s="35"/>
      <c r="AO6600" s="35"/>
      <c r="AP6600" s="35"/>
    </row>
    <row r="6601" spans="1:42" x14ac:dyDescent="0.2">
      <c r="A6601" s="126">
        <v>45710.802633136569</v>
      </c>
      <c r="B6601" s="137" t="s">
        <v>37</v>
      </c>
      <c r="C6601" s="41" t="s">
        <v>118</v>
      </c>
      <c r="D6601" s="80" t="s">
        <v>36</v>
      </c>
      <c r="E6601" s="80" t="s">
        <v>77</v>
      </c>
      <c r="F6601" s="80" t="s">
        <v>36</v>
      </c>
      <c r="G6601" s="80" t="s">
        <v>41</v>
      </c>
      <c r="H6601" s="80" t="s">
        <v>20683</v>
      </c>
      <c r="I6601" s="17">
        <f ca="1">IFERROR(__xludf.DUMMYFUNCTION("""COMPUTED_VALUE"""),45715)</f>
        <v>45715</v>
      </c>
      <c r="J6601" s="143" t="s">
        <v>20929</v>
      </c>
      <c r="K6601" s="80" t="s">
        <v>20930</v>
      </c>
      <c r="L6601" s="30">
        <v>352757566</v>
      </c>
      <c r="M6601" s="80" t="s">
        <v>11413</v>
      </c>
      <c r="N6601" s="80" t="s">
        <v>20456</v>
      </c>
      <c r="O6601" s="80" t="s">
        <v>61</v>
      </c>
      <c r="P6601" s="80" t="s">
        <v>20931</v>
      </c>
      <c r="Q6601" s="20">
        <v>1968</v>
      </c>
      <c r="R6601" s="80" t="s">
        <v>36</v>
      </c>
      <c r="S6601" s="95">
        <v>1968</v>
      </c>
      <c r="T6601" s="148">
        <v>45710</v>
      </c>
      <c r="U6601" s="77"/>
      <c r="V6601" s="78"/>
      <c r="W6601" s="85" t="s">
        <v>20932</v>
      </c>
      <c r="X6601" s="80"/>
      <c r="Y6601" s="22">
        <v>0</v>
      </c>
      <c r="Z6601" s="80" t="s">
        <v>50</v>
      </c>
      <c r="AA6601" s="82" t="s">
        <v>20522</v>
      </c>
      <c r="AB6601" s="80"/>
      <c r="AC6601" s="80" t="s">
        <v>53</v>
      </c>
      <c r="AD6601" s="80" t="s">
        <v>138</v>
      </c>
      <c r="AE6601" s="80"/>
      <c r="AF6601" s="17">
        <v>45715</v>
      </c>
      <c r="AG6601" s="80"/>
      <c r="AH6601" s="80"/>
      <c r="AI6601" s="147"/>
      <c r="AJ6601" s="80"/>
      <c r="AK6601" s="80"/>
      <c r="AL6601" s="35"/>
      <c r="AM6601" s="35"/>
      <c r="AN6601" s="35"/>
      <c r="AO6601" s="35"/>
      <c r="AP6601" s="35"/>
    </row>
    <row r="6602" spans="1:42" x14ac:dyDescent="0.2">
      <c r="A6602" s="126">
        <v>45711.56610358796</v>
      </c>
      <c r="B6602" s="28" t="s">
        <v>37</v>
      </c>
      <c r="C6602" s="41" t="s">
        <v>118</v>
      </c>
      <c r="D6602" s="80" t="s">
        <v>36</v>
      </c>
      <c r="E6602" s="80" t="s">
        <v>106</v>
      </c>
      <c r="F6602" s="80" t="s">
        <v>3336</v>
      </c>
      <c r="G6602" s="80" t="s">
        <v>108</v>
      </c>
      <c r="H6602" s="80" t="s">
        <v>10246</v>
      </c>
      <c r="I6602" s="17">
        <f ca="1">IFERROR(__xludf.DUMMYFUNCTION("""COMPUTED_VALUE"""),45716)</f>
        <v>45716</v>
      </c>
      <c r="J6602" s="143" t="s">
        <v>4286</v>
      </c>
      <c r="K6602" s="80" t="s">
        <v>748</v>
      </c>
      <c r="L6602" s="30">
        <v>345085002</v>
      </c>
      <c r="M6602" s="80" t="s">
        <v>3288</v>
      </c>
      <c r="N6602" s="80" t="s">
        <v>8331</v>
      </c>
      <c r="O6602" s="80" t="s">
        <v>61</v>
      </c>
      <c r="P6602" s="80" t="s">
        <v>20933</v>
      </c>
      <c r="Q6602" s="20">
        <v>3768</v>
      </c>
      <c r="R6602" s="80" t="s">
        <v>36</v>
      </c>
      <c r="S6602" s="95">
        <v>3768</v>
      </c>
      <c r="T6602" s="148">
        <v>45710</v>
      </c>
      <c r="U6602" s="77"/>
      <c r="V6602" s="78"/>
      <c r="W6602" s="85" t="s">
        <v>20934</v>
      </c>
      <c r="X6602" s="80"/>
      <c r="Y6602" s="22">
        <v>0</v>
      </c>
      <c r="Z6602" s="80" t="s">
        <v>50</v>
      </c>
      <c r="AA6602" s="86" t="s">
        <v>20522</v>
      </c>
      <c r="AB6602" s="80"/>
      <c r="AC6602" s="80" t="s">
        <v>53</v>
      </c>
      <c r="AD6602" s="80" t="s">
        <v>54</v>
      </c>
      <c r="AE6602" s="80"/>
      <c r="AF6602" s="17">
        <v>45713</v>
      </c>
      <c r="AG6602" s="80"/>
      <c r="AH6602" s="80"/>
      <c r="AI6602" s="147"/>
      <c r="AJ6602" s="80"/>
      <c r="AK6602" s="80"/>
      <c r="AL6602" s="35"/>
      <c r="AM6602" s="35"/>
      <c r="AN6602" s="35"/>
      <c r="AO6602" s="35"/>
      <c r="AP6602" s="35"/>
    </row>
    <row r="6603" spans="1:42" x14ac:dyDescent="0.2">
      <c r="A6603" s="126">
        <v>45712.619746249999</v>
      </c>
      <c r="B6603" s="137" t="s">
        <v>37</v>
      </c>
      <c r="C6603" s="41" t="s">
        <v>118</v>
      </c>
      <c r="D6603" s="80" t="s">
        <v>77</v>
      </c>
      <c r="E6603" s="80" t="s">
        <v>148</v>
      </c>
      <c r="F6603" s="80" t="s">
        <v>41</v>
      </c>
      <c r="G6603" s="80" t="s">
        <v>108</v>
      </c>
      <c r="H6603" s="80" t="s">
        <v>19406</v>
      </c>
      <c r="I6603" s="17">
        <f ca="1">IFERROR(__xludf.DUMMYFUNCTION("""COMPUTED_VALUE"""),45723)</f>
        <v>45723</v>
      </c>
      <c r="J6603" s="143" t="s">
        <v>9615</v>
      </c>
      <c r="K6603" s="80" t="s">
        <v>20935</v>
      </c>
      <c r="L6603" s="30">
        <v>335463953</v>
      </c>
      <c r="M6603" s="80" t="s">
        <v>59</v>
      </c>
      <c r="N6603" s="80" t="s">
        <v>8342</v>
      </c>
      <c r="O6603" s="80" t="s">
        <v>20936</v>
      </c>
      <c r="P6603" s="144" t="s">
        <v>20937</v>
      </c>
      <c r="Q6603" s="20">
        <v>7349</v>
      </c>
      <c r="R6603" s="80" t="s">
        <v>36</v>
      </c>
      <c r="S6603" s="95">
        <v>7349</v>
      </c>
      <c r="T6603" s="148">
        <v>45711</v>
      </c>
      <c r="U6603" s="77"/>
      <c r="V6603" s="78"/>
      <c r="W6603" s="85" t="s">
        <v>20938</v>
      </c>
      <c r="X6603" s="80"/>
      <c r="Y6603" s="22">
        <v>0</v>
      </c>
      <c r="Z6603" s="80" t="s">
        <v>50</v>
      </c>
      <c r="AA6603" s="82" t="s">
        <v>20522</v>
      </c>
      <c r="AB6603" s="80"/>
      <c r="AC6603" s="80" t="s">
        <v>53</v>
      </c>
      <c r="AD6603" s="80" t="s">
        <v>54</v>
      </c>
      <c r="AE6603" s="80" t="s">
        <v>2752</v>
      </c>
      <c r="AF6603" s="17">
        <v>45720</v>
      </c>
      <c r="AG6603" s="80"/>
      <c r="AH6603" s="80"/>
      <c r="AI6603" s="147"/>
      <c r="AJ6603" s="80"/>
      <c r="AK6603" s="80"/>
      <c r="AL6603" s="35"/>
      <c r="AM6603" s="35"/>
      <c r="AN6603" s="35"/>
      <c r="AO6603" s="35"/>
      <c r="AP6603" s="35"/>
    </row>
    <row r="6604" spans="1:42" x14ac:dyDescent="0.2">
      <c r="A6604" s="126">
        <v>45712.621688020838</v>
      </c>
      <c r="B6604" s="137" t="s">
        <v>37</v>
      </c>
      <c r="C6604" s="41" t="s">
        <v>118</v>
      </c>
      <c r="D6604" s="80" t="s">
        <v>36</v>
      </c>
      <c r="E6604" s="80" t="s">
        <v>39</v>
      </c>
      <c r="F6604" s="80" t="s">
        <v>36</v>
      </c>
      <c r="G6604" s="80" t="s">
        <v>41</v>
      </c>
      <c r="H6604" s="80" t="s">
        <v>20939</v>
      </c>
      <c r="I6604" s="17">
        <f ca="1">IFERROR(__xludf.DUMMYFUNCTION("""COMPUTED_VALUE"""),45716)</f>
        <v>45716</v>
      </c>
      <c r="J6604" s="143" t="s">
        <v>20940</v>
      </c>
      <c r="K6604" s="80" t="s">
        <v>20941</v>
      </c>
      <c r="L6604" s="30">
        <v>812116880</v>
      </c>
      <c r="M6604" s="80" t="s">
        <v>9422</v>
      </c>
      <c r="N6604" s="80" t="s">
        <v>2847</v>
      </c>
      <c r="O6604" s="80" t="s">
        <v>8827</v>
      </c>
      <c r="P6604" s="80" t="s">
        <v>20942</v>
      </c>
      <c r="Q6604" s="20">
        <v>5736</v>
      </c>
      <c r="R6604" s="80" t="s">
        <v>36</v>
      </c>
      <c r="S6604" s="95">
        <f>500+5236</f>
        <v>5736</v>
      </c>
      <c r="T6604" s="83" t="s">
        <v>20943</v>
      </c>
      <c r="U6604" s="77"/>
      <c r="V6604" s="78"/>
      <c r="W6604" s="85" t="s">
        <v>20944</v>
      </c>
      <c r="X6604" s="80"/>
      <c r="Y6604" s="22">
        <v>0</v>
      </c>
      <c r="Z6604" s="80" t="s">
        <v>50</v>
      </c>
      <c r="AA6604" s="86" t="s">
        <v>20522</v>
      </c>
      <c r="AB6604" s="80"/>
      <c r="AC6604" s="80" t="s">
        <v>53</v>
      </c>
      <c r="AD6604" s="80" t="s">
        <v>54</v>
      </c>
      <c r="AE6604" s="80"/>
      <c r="AF6604" s="17">
        <v>45713</v>
      </c>
      <c r="AG6604" s="80"/>
      <c r="AH6604" s="80"/>
      <c r="AI6604" s="147"/>
      <c r="AJ6604" s="80"/>
      <c r="AK6604" s="80"/>
      <c r="AL6604" s="35"/>
      <c r="AM6604" s="35"/>
      <c r="AN6604" s="35"/>
      <c r="AO6604" s="35"/>
      <c r="AP6604" s="35"/>
    </row>
    <row r="6605" spans="1:42" x14ac:dyDescent="0.2">
      <c r="A6605" s="126">
        <v>45713.002285312497</v>
      </c>
      <c r="B6605" s="137" t="s">
        <v>37</v>
      </c>
      <c r="C6605" s="41" t="s">
        <v>118</v>
      </c>
      <c r="D6605" s="80" t="s">
        <v>77</v>
      </c>
      <c r="E6605" s="80" t="s">
        <v>148</v>
      </c>
      <c r="F6605" s="80" t="s">
        <v>6516</v>
      </c>
      <c r="G6605" s="80" t="s">
        <v>108</v>
      </c>
      <c r="H6605" s="80" t="s">
        <v>19174</v>
      </c>
      <c r="I6605" s="17">
        <f ca="1">IFERROR(__xludf.DUMMYFUNCTION("""COMPUTED_VALUE"""),45733)</f>
        <v>45733</v>
      </c>
      <c r="J6605" s="143" t="s">
        <v>19224</v>
      </c>
      <c r="K6605" s="80" t="s">
        <v>20945</v>
      </c>
      <c r="L6605" s="30">
        <v>867400561</v>
      </c>
      <c r="M6605" s="80" t="s">
        <v>59</v>
      </c>
      <c r="N6605" s="80" t="s">
        <v>4299</v>
      </c>
      <c r="O6605" s="80" t="s">
        <v>19226</v>
      </c>
      <c r="P6605" s="80" t="s">
        <v>3694</v>
      </c>
      <c r="Q6605" s="20">
        <v>7349</v>
      </c>
      <c r="R6605" s="80" t="s">
        <v>36</v>
      </c>
      <c r="S6605" s="95">
        <v>7249</v>
      </c>
      <c r="T6605" s="148">
        <v>45712</v>
      </c>
      <c r="U6605" s="77"/>
      <c r="V6605" s="78"/>
      <c r="W6605" s="85" t="s">
        <v>20946</v>
      </c>
      <c r="X6605" s="80"/>
      <c r="Y6605" s="22">
        <v>100</v>
      </c>
      <c r="Z6605" s="80" t="s">
        <v>50</v>
      </c>
      <c r="AA6605" s="82" t="s">
        <v>20522</v>
      </c>
      <c r="AB6605" s="80"/>
      <c r="AC6605" s="80" t="s">
        <v>53</v>
      </c>
      <c r="AD6605" s="80" t="s">
        <v>138</v>
      </c>
      <c r="AE6605" s="80" t="s">
        <v>2752</v>
      </c>
      <c r="AF6605" s="17">
        <v>45733</v>
      </c>
      <c r="AG6605" s="80"/>
      <c r="AH6605" s="80"/>
      <c r="AI6605" s="147"/>
      <c r="AJ6605" s="80"/>
      <c r="AK6605" s="80"/>
      <c r="AL6605" s="35"/>
      <c r="AM6605" s="35"/>
      <c r="AN6605" s="35"/>
      <c r="AO6605" s="35"/>
      <c r="AP6605" s="35"/>
    </row>
    <row r="6606" spans="1:42" x14ac:dyDescent="0.2">
      <c r="A6606" s="126">
        <v>45713.679463807872</v>
      </c>
      <c r="B6606" s="137" t="s">
        <v>37</v>
      </c>
      <c r="C6606" s="41" t="s">
        <v>118</v>
      </c>
      <c r="D6606" s="80" t="s">
        <v>36</v>
      </c>
      <c r="E6606" s="80" t="s">
        <v>56</v>
      </c>
      <c r="F6606" s="80" t="s">
        <v>36</v>
      </c>
      <c r="G6606" s="80" t="s">
        <v>41</v>
      </c>
      <c r="H6606" s="80" t="s">
        <v>19816</v>
      </c>
      <c r="I6606" s="17">
        <f ca="1">IFERROR(__xludf.DUMMYFUNCTION("""COMPUTED_VALUE"""),45720)</f>
        <v>45720</v>
      </c>
      <c r="J6606" s="143" t="s">
        <v>20947</v>
      </c>
      <c r="K6606" s="80" t="s">
        <v>20948</v>
      </c>
      <c r="L6606" s="30">
        <v>329602745</v>
      </c>
      <c r="M6606" s="80" t="s">
        <v>59</v>
      </c>
      <c r="N6606" s="80" t="s">
        <v>68</v>
      </c>
      <c r="O6606" s="80" t="s">
        <v>20949</v>
      </c>
      <c r="P6606" s="80" t="s">
        <v>3694</v>
      </c>
      <c r="Q6606" s="20">
        <v>9317</v>
      </c>
      <c r="R6606" s="80" t="s">
        <v>70</v>
      </c>
      <c r="S6606" s="95">
        <f t="shared" ref="S6606:S6607" si="195">50+9167</f>
        <v>9217</v>
      </c>
      <c r="T6606" s="148">
        <v>45712</v>
      </c>
      <c r="U6606" s="95"/>
      <c r="V6606" s="148">
        <v>45713</v>
      </c>
      <c r="W6606" s="80" t="s">
        <v>20950</v>
      </c>
      <c r="X6606" s="80"/>
      <c r="Y6606" s="22">
        <v>100</v>
      </c>
      <c r="Z6606" s="80" t="s">
        <v>50</v>
      </c>
      <c r="AA6606" s="86" t="s">
        <v>20522</v>
      </c>
      <c r="AB6606" s="80"/>
      <c r="AC6606" s="80" t="s">
        <v>53</v>
      </c>
      <c r="AD6606" s="80" t="s">
        <v>138</v>
      </c>
      <c r="AE6606" s="80"/>
      <c r="AF6606" s="17">
        <v>45720</v>
      </c>
      <c r="AG6606" s="80"/>
      <c r="AH6606" s="80"/>
      <c r="AI6606" s="147"/>
      <c r="AJ6606" s="80"/>
      <c r="AK6606" s="80"/>
      <c r="AL6606" s="35"/>
      <c r="AM6606" s="35"/>
      <c r="AN6606" s="35"/>
      <c r="AO6606" s="35"/>
      <c r="AP6606" s="35"/>
    </row>
    <row r="6607" spans="1:42" x14ac:dyDescent="0.2">
      <c r="A6607" s="126">
        <v>45713.684479085648</v>
      </c>
      <c r="B6607" s="137" t="s">
        <v>37</v>
      </c>
      <c r="C6607" s="41" t="s">
        <v>118</v>
      </c>
      <c r="D6607" s="80" t="s">
        <v>36</v>
      </c>
      <c r="E6607" s="80" t="s">
        <v>56</v>
      </c>
      <c r="F6607" s="80" t="s">
        <v>36</v>
      </c>
      <c r="G6607" s="80" t="s">
        <v>41</v>
      </c>
      <c r="H6607" s="80" t="s">
        <v>19816</v>
      </c>
      <c r="I6607" s="17">
        <f ca="1">IFERROR(__xludf.DUMMYFUNCTION("""COMPUTED_VALUE"""),45720)</f>
        <v>45720</v>
      </c>
      <c r="J6607" s="143" t="s">
        <v>20951</v>
      </c>
      <c r="K6607" s="80" t="s">
        <v>20952</v>
      </c>
      <c r="L6607" s="30">
        <v>944421335</v>
      </c>
      <c r="M6607" s="80" t="s">
        <v>59</v>
      </c>
      <c r="N6607" s="80" t="s">
        <v>68</v>
      </c>
      <c r="O6607" s="80" t="s">
        <v>20953</v>
      </c>
      <c r="P6607" s="80" t="s">
        <v>12692</v>
      </c>
      <c r="Q6607" s="20">
        <v>9317</v>
      </c>
      <c r="R6607" s="80" t="s">
        <v>70</v>
      </c>
      <c r="S6607" s="95">
        <f t="shared" si="195"/>
        <v>9217</v>
      </c>
      <c r="T6607" s="148">
        <v>45712</v>
      </c>
      <c r="U6607" s="95"/>
      <c r="V6607" s="148">
        <v>45713</v>
      </c>
      <c r="W6607" s="80" t="s">
        <v>20954</v>
      </c>
      <c r="X6607" s="80"/>
      <c r="Y6607" s="22">
        <v>100</v>
      </c>
      <c r="Z6607" s="80" t="s">
        <v>50</v>
      </c>
      <c r="AA6607" s="82" t="s">
        <v>20522</v>
      </c>
      <c r="AB6607" s="80"/>
      <c r="AC6607" s="80" t="s">
        <v>53</v>
      </c>
      <c r="AD6607" s="80" t="s">
        <v>138</v>
      </c>
      <c r="AE6607" s="80"/>
      <c r="AF6607" s="17">
        <v>45720</v>
      </c>
      <c r="AG6607" s="80"/>
      <c r="AH6607" s="80"/>
      <c r="AI6607" s="147"/>
      <c r="AJ6607" s="80"/>
      <c r="AK6607" s="80"/>
      <c r="AL6607" s="35"/>
      <c r="AM6607" s="35"/>
      <c r="AN6607" s="35"/>
      <c r="AO6607" s="35"/>
      <c r="AP6607" s="35"/>
    </row>
    <row r="6608" spans="1:42" x14ac:dyDescent="0.2">
      <c r="A6608" s="126">
        <v>45713.688708541667</v>
      </c>
      <c r="B6608" s="137" t="s">
        <v>37</v>
      </c>
      <c r="C6608" s="41" t="s">
        <v>118</v>
      </c>
      <c r="D6608" s="80" t="s">
        <v>36</v>
      </c>
      <c r="E6608" s="80" t="s">
        <v>39</v>
      </c>
      <c r="F6608" s="80" t="s">
        <v>36</v>
      </c>
      <c r="G6608" s="80" t="s">
        <v>41</v>
      </c>
      <c r="H6608" s="80" t="s">
        <v>19816</v>
      </c>
      <c r="I6608" s="17">
        <f ca="1">IFERROR(__xludf.DUMMYFUNCTION("""COMPUTED_VALUE"""),45720)</f>
        <v>45720</v>
      </c>
      <c r="J6608" s="143" t="s">
        <v>20955</v>
      </c>
      <c r="K6608" s="182" t="s">
        <v>20956</v>
      </c>
      <c r="L6608" s="30">
        <v>366094854</v>
      </c>
      <c r="M6608" s="80" t="s">
        <v>59</v>
      </c>
      <c r="N6608" s="80" t="s">
        <v>9294</v>
      </c>
      <c r="O6608" s="80" t="s">
        <v>20957</v>
      </c>
      <c r="P6608" s="80" t="s">
        <v>18083</v>
      </c>
      <c r="Q6608" s="20">
        <v>5736</v>
      </c>
      <c r="R6608" s="80" t="s">
        <v>70</v>
      </c>
      <c r="S6608" s="95">
        <f>400+5236</f>
        <v>5636</v>
      </c>
      <c r="T6608" s="148">
        <v>45713</v>
      </c>
      <c r="U6608" s="77"/>
      <c r="V6608" s="78"/>
      <c r="W6608" s="85" t="s">
        <v>20958</v>
      </c>
      <c r="X6608" s="80"/>
      <c r="Y6608" s="22">
        <v>100</v>
      </c>
      <c r="Z6608" s="80" t="s">
        <v>50</v>
      </c>
      <c r="AA6608" s="86" t="s">
        <v>20522</v>
      </c>
      <c r="AB6608" s="80"/>
      <c r="AC6608" s="80" t="s">
        <v>53</v>
      </c>
      <c r="AD6608" s="80" t="s">
        <v>138</v>
      </c>
      <c r="AE6608" s="80"/>
      <c r="AF6608" s="17">
        <v>45720</v>
      </c>
      <c r="AG6608" s="80"/>
      <c r="AH6608" s="80"/>
      <c r="AI6608" s="147"/>
      <c r="AJ6608" s="80"/>
      <c r="AK6608" s="80"/>
      <c r="AL6608" s="35"/>
      <c r="AM6608" s="35"/>
      <c r="AN6608" s="35"/>
      <c r="AO6608" s="35"/>
      <c r="AP6608" s="35"/>
    </row>
    <row r="6609" spans="1:42" x14ac:dyDescent="0.2">
      <c r="A6609" s="126">
        <v>45713.693742013886</v>
      </c>
      <c r="B6609" s="137" t="s">
        <v>37</v>
      </c>
      <c r="C6609" s="41" t="s">
        <v>118</v>
      </c>
      <c r="D6609" s="80" t="s">
        <v>36</v>
      </c>
      <c r="E6609" s="80" t="s">
        <v>56</v>
      </c>
      <c r="F6609" s="80" t="s">
        <v>36</v>
      </c>
      <c r="G6609" s="80" t="s">
        <v>41</v>
      </c>
      <c r="H6609" s="80" t="s">
        <v>19839</v>
      </c>
      <c r="I6609" s="17">
        <f ca="1">IFERROR(__xludf.DUMMYFUNCTION("""COMPUTED_VALUE"""),45741)</f>
        <v>45741</v>
      </c>
      <c r="J6609" s="143" t="s">
        <v>20959</v>
      </c>
      <c r="K6609" s="80" t="s">
        <v>20960</v>
      </c>
      <c r="L6609" s="30">
        <v>367507363</v>
      </c>
      <c r="M6609" s="80" t="s">
        <v>59</v>
      </c>
      <c r="N6609" s="80" t="s">
        <v>4299</v>
      </c>
      <c r="O6609" s="80" t="s">
        <v>20961</v>
      </c>
      <c r="P6609" s="80" t="s">
        <v>7743</v>
      </c>
      <c r="Q6609" s="20">
        <v>9317</v>
      </c>
      <c r="R6609" s="80" t="s">
        <v>36</v>
      </c>
      <c r="S6609" s="95">
        <f>50+9267</f>
        <v>9317</v>
      </c>
      <c r="T6609" s="83" t="s">
        <v>20962</v>
      </c>
      <c r="U6609" s="77"/>
      <c r="V6609" s="78"/>
      <c r="W6609" s="85" t="s">
        <v>20963</v>
      </c>
      <c r="X6609" s="80"/>
      <c r="Y6609" s="22">
        <v>0</v>
      </c>
      <c r="Z6609" s="80" t="s">
        <v>50</v>
      </c>
      <c r="AA6609" s="82" t="s">
        <v>20522</v>
      </c>
      <c r="AB6609" s="80"/>
      <c r="AC6609" s="80" t="s">
        <v>53</v>
      </c>
      <c r="AD6609" s="80" t="s">
        <v>138</v>
      </c>
      <c r="AE6609" s="80"/>
      <c r="AF6609" s="17">
        <v>45741</v>
      </c>
      <c r="AG6609" s="80"/>
      <c r="AH6609" s="80"/>
      <c r="AI6609" s="147"/>
      <c r="AJ6609" s="80"/>
      <c r="AK6609" s="80"/>
      <c r="AL6609" s="35"/>
      <c r="AM6609" s="35"/>
      <c r="AN6609" s="35"/>
      <c r="AO6609" s="35"/>
      <c r="AP6609" s="35"/>
    </row>
    <row r="6610" spans="1:42" x14ac:dyDescent="0.2">
      <c r="A6610" s="126">
        <v>45713.939855034725</v>
      </c>
      <c r="B6610" s="137" t="s">
        <v>37</v>
      </c>
      <c r="C6610" s="41" t="s">
        <v>118</v>
      </c>
      <c r="D6610" s="80" t="s">
        <v>36</v>
      </c>
      <c r="E6610" s="80" t="s">
        <v>39</v>
      </c>
      <c r="F6610" s="80" t="s">
        <v>36</v>
      </c>
      <c r="G6610" s="80" t="s">
        <v>41</v>
      </c>
      <c r="H6610" s="80" t="s">
        <v>19816</v>
      </c>
      <c r="I6610" s="17">
        <f ca="1">IFERROR(__xludf.DUMMYFUNCTION("""COMPUTED_VALUE"""),45720)</f>
        <v>45720</v>
      </c>
      <c r="J6610" s="143" t="s">
        <v>20964</v>
      </c>
      <c r="K6610" s="80" t="s">
        <v>20965</v>
      </c>
      <c r="L6610" s="30">
        <v>904231056</v>
      </c>
      <c r="M6610" s="80" t="s">
        <v>59</v>
      </c>
      <c r="N6610" s="80" t="s">
        <v>9294</v>
      </c>
      <c r="O6610" s="80" t="s">
        <v>20966</v>
      </c>
      <c r="P6610" s="80" t="s">
        <v>7743</v>
      </c>
      <c r="Q6610" s="20">
        <v>5736</v>
      </c>
      <c r="R6610" s="80" t="s">
        <v>70</v>
      </c>
      <c r="S6610" s="95">
        <v>5636</v>
      </c>
      <c r="T6610" s="148">
        <v>45713</v>
      </c>
      <c r="U6610" s="77"/>
      <c r="V6610" s="78"/>
      <c r="W6610" s="85" t="s">
        <v>20967</v>
      </c>
      <c r="X6610" s="80"/>
      <c r="Y6610" s="22">
        <v>100</v>
      </c>
      <c r="Z6610" s="80" t="s">
        <v>50</v>
      </c>
      <c r="AA6610" s="86" t="s">
        <v>20522</v>
      </c>
      <c r="AB6610" s="80"/>
      <c r="AC6610" s="80" t="s">
        <v>53</v>
      </c>
      <c r="AD6610" s="80" t="s">
        <v>138</v>
      </c>
      <c r="AE6610" s="80"/>
      <c r="AF6610" s="17">
        <v>45720</v>
      </c>
      <c r="AG6610" s="80"/>
      <c r="AH6610" s="80"/>
      <c r="AI6610" s="147"/>
      <c r="AJ6610" s="80"/>
      <c r="AK6610" s="80"/>
      <c r="AL6610" s="35"/>
      <c r="AM6610" s="35"/>
      <c r="AN6610" s="35"/>
      <c r="AO6610" s="35"/>
      <c r="AP6610" s="35"/>
    </row>
    <row r="6611" spans="1:42" x14ac:dyDescent="0.2">
      <c r="A6611" s="126">
        <v>45714.379898391198</v>
      </c>
      <c r="B6611" s="137" t="s">
        <v>37</v>
      </c>
      <c r="C6611" s="41" t="s">
        <v>118</v>
      </c>
      <c r="D6611" s="80" t="s">
        <v>36</v>
      </c>
      <c r="E6611" s="80" t="s">
        <v>56</v>
      </c>
      <c r="F6611" s="80" t="s">
        <v>36</v>
      </c>
      <c r="G6611" s="80" t="s">
        <v>41</v>
      </c>
      <c r="H6611" s="80" t="s">
        <v>20968</v>
      </c>
      <c r="I6611" s="17">
        <f ca="1">IFERROR(__xludf.DUMMYFUNCTION("""COMPUTED_VALUE"""),45727)</f>
        <v>45727</v>
      </c>
      <c r="J6611" s="143" t="s">
        <v>20969</v>
      </c>
      <c r="K6611" s="80" t="s">
        <v>20970</v>
      </c>
      <c r="L6611" s="30">
        <v>364870714</v>
      </c>
      <c r="M6611" s="80" t="s">
        <v>59</v>
      </c>
      <c r="N6611" s="80" t="s">
        <v>9294</v>
      </c>
      <c r="O6611" s="80" t="s">
        <v>20971</v>
      </c>
      <c r="P6611" s="80" t="s">
        <v>20972</v>
      </c>
      <c r="Q6611" s="20">
        <v>9317</v>
      </c>
      <c r="R6611" s="80" t="s">
        <v>36</v>
      </c>
      <c r="S6611" s="95">
        <f>50+9267</f>
        <v>9317</v>
      </c>
      <c r="T6611" s="83" t="s">
        <v>20973</v>
      </c>
      <c r="U6611" s="77"/>
      <c r="V6611" s="78"/>
      <c r="W6611" s="85" t="s">
        <v>20974</v>
      </c>
      <c r="X6611" s="80"/>
      <c r="Y6611" s="22">
        <v>0</v>
      </c>
      <c r="Z6611" s="80" t="s">
        <v>50</v>
      </c>
      <c r="AA6611" s="82" t="s">
        <v>20522</v>
      </c>
      <c r="AB6611" s="80"/>
      <c r="AC6611" s="80" t="s">
        <v>53</v>
      </c>
      <c r="AD6611" s="80" t="s">
        <v>54</v>
      </c>
      <c r="AE6611" s="80" t="s">
        <v>430</v>
      </c>
      <c r="AF6611" s="17">
        <v>45722</v>
      </c>
      <c r="AG6611" s="80"/>
      <c r="AH6611" s="80"/>
      <c r="AI6611" s="147"/>
      <c r="AJ6611" s="80"/>
      <c r="AK6611" s="80"/>
      <c r="AL6611" s="35"/>
      <c r="AM6611" s="35"/>
      <c r="AN6611" s="35"/>
      <c r="AO6611" s="35"/>
      <c r="AP6611" s="35"/>
    </row>
    <row r="6612" spans="1:42" x14ac:dyDescent="0.2">
      <c r="A6612" s="126">
        <v>45714.545504224538</v>
      </c>
      <c r="B6612" s="137" t="s">
        <v>37</v>
      </c>
      <c r="C6612" s="41" t="s">
        <v>118</v>
      </c>
      <c r="D6612" s="80" t="s">
        <v>106</v>
      </c>
      <c r="E6612" s="80" t="s">
        <v>219</v>
      </c>
      <c r="F6612" s="80" t="s">
        <v>889</v>
      </c>
      <c r="G6612" s="80" t="s">
        <v>221</v>
      </c>
      <c r="H6612" s="80" t="s">
        <v>16949</v>
      </c>
      <c r="I6612" s="17">
        <f ca="1">IFERROR(__xludf.DUMMYFUNCTION("""COMPUTED_VALUE"""),45758)</f>
        <v>45758</v>
      </c>
      <c r="J6612" s="143" t="s">
        <v>20975</v>
      </c>
      <c r="K6612" s="80" t="s">
        <v>20976</v>
      </c>
      <c r="L6612" s="30">
        <v>326940276</v>
      </c>
      <c r="M6612" s="80" t="s">
        <v>59</v>
      </c>
      <c r="N6612" s="80" t="s">
        <v>9287</v>
      </c>
      <c r="O6612" s="80" t="s">
        <v>7127</v>
      </c>
      <c r="P6612" s="80" t="s">
        <v>7128</v>
      </c>
      <c r="Q6612" s="20">
        <v>3968</v>
      </c>
      <c r="R6612" s="80" t="s">
        <v>36</v>
      </c>
      <c r="S6612" s="95">
        <v>3868</v>
      </c>
      <c r="T6612" s="148">
        <v>45714</v>
      </c>
      <c r="U6612" s="77"/>
      <c r="V6612" s="78"/>
      <c r="W6612" s="80" t="s">
        <v>20977</v>
      </c>
      <c r="X6612" s="80"/>
      <c r="Y6612" s="22">
        <v>100</v>
      </c>
      <c r="Z6612" s="80" t="s">
        <v>50</v>
      </c>
      <c r="AA6612" s="86" t="s">
        <v>20522</v>
      </c>
      <c r="AB6612" s="80"/>
      <c r="AC6612" s="80" t="s">
        <v>53</v>
      </c>
      <c r="AD6612" s="80" t="s">
        <v>54</v>
      </c>
      <c r="AE6612" s="80" t="s">
        <v>16312</v>
      </c>
      <c r="AF6612" s="17">
        <v>45720</v>
      </c>
      <c r="AG6612" s="80"/>
      <c r="AH6612" s="80"/>
      <c r="AI6612" s="147"/>
      <c r="AJ6612" s="80"/>
      <c r="AK6612" s="80"/>
      <c r="AL6612" s="35"/>
      <c r="AM6612" s="35"/>
      <c r="AN6612" s="35"/>
      <c r="AO6612" s="35"/>
      <c r="AP6612" s="35"/>
    </row>
    <row r="6613" spans="1:42" x14ac:dyDescent="0.2">
      <c r="A6613" s="126">
        <v>45714.554095185187</v>
      </c>
      <c r="B6613" s="137" t="s">
        <v>37</v>
      </c>
      <c r="C6613" s="41" t="s">
        <v>118</v>
      </c>
      <c r="D6613" s="80" t="s">
        <v>36</v>
      </c>
      <c r="E6613" s="80" t="s">
        <v>77</v>
      </c>
      <c r="F6613" s="80" t="s">
        <v>36</v>
      </c>
      <c r="G6613" s="80" t="s">
        <v>41</v>
      </c>
      <c r="H6613" s="80" t="s">
        <v>20978</v>
      </c>
      <c r="I6613" s="17">
        <f ca="1">IFERROR(__xludf.DUMMYFUNCTION("""COMPUTED_VALUE"""),45727)</f>
        <v>45727</v>
      </c>
      <c r="J6613" s="143" t="s">
        <v>20979</v>
      </c>
      <c r="K6613" s="80" t="s">
        <v>20980</v>
      </c>
      <c r="L6613" s="30">
        <v>818995852</v>
      </c>
      <c r="M6613" s="80" t="s">
        <v>348</v>
      </c>
      <c r="N6613" s="80" t="s">
        <v>4299</v>
      </c>
      <c r="O6613" s="80" t="s">
        <v>20981</v>
      </c>
      <c r="P6613" s="80" t="s">
        <v>20982</v>
      </c>
      <c r="Q6613" s="20">
        <v>1968</v>
      </c>
      <c r="R6613" s="80" t="s">
        <v>36</v>
      </c>
      <c r="S6613" s="95">
        <v>1968</v>
      </c>
      <c r="T6613" s="148">
        <v>45714</v>
      </c>
      <c r="U6613" s="77"/>
      <c r="V6613" s="78"/>
      <c r="W6613" s="85" t="s">
        <v>20983</v>
      </c>
      <c r="X6613" s="80"/>
      <c r="Y6613" s="22">
        <v>0</v>
      </c>
      <c r="Z6613" s="80" t="s">
        <v>50</v>
      </c>
      <c r="AA6613" s="82" t="s">
        <v>20522</v>
      </c>
      <c r="AB6613" s="80"/>
      <c r="AC6613" s="80" t="s">
        <v>53</v>
      </c>
      <c r="AD6613" s="80" t="s">
        <v>54</v>
      </c>
      <c r="AE6613" s="80" t="s">
        <v>16305</v>
      </c>
      <c r="AF6613" s="17">
        <v>45722</v>
      </c>
      <c r="AG6613" s="80"/>
      <c r="AH6613" s="80"/>
      <c r="AI6613" s="147"/>
      <c r="AJ6613" s="80"/>
      <c r="AK6613" s="80"/>
      <c r="AL6613" s="35"/>
      <c r="AM6613" s="35"/>
      <c r="AN6613" s="35"/>
      <c r="AO6613" s="35"/>
      <c r="AP6613" s="35"/>
    </row>
    <row r="6614" spans="1:42" x14ac:dyDescent="0.2">
      <c r="A6614" s="126">
        <v>45714.559871296296</v>
      </c>
      <c r="B6614" s="137" t="s">
        <v>37</v>
      </c>
      <c r="C6614" s="41" t="s">
        <v>118</v>
      </c>
      <c r="D6614" s="80" t="s">
        <v>36</v>
      </c>
      <c r="E6614" s="80" t="s">
        <v>148</v>
      </c>
      <c r="F6614" s="80" t="s">
        <v>36</v>
      </c>
      <c r="G6614" s="80" t="s">
        <v>108</v>
      </c>
      <c r="H6614" s="80" t="s">
        <v>19174</v>
      </c>
      <c r="I6614" s="17">
        <f ca="1">IFERROR(__xludf.DUMMYFUNCTION("""COMPUTED_VALUE"""),45733)</f>
        <v>45733</v>
      </c>
      <c r="J6614" s="143" t="s">
        <v>19239</v>
      </c>
      <c r="K6614" s="80" t="s">
        <v>20984</v>
      </c>
      <c r="L6614" s="30">
        <v>343702826</v>
      </c>
      <c r="M6614" s="80" t="s">
        <v>59</v>
      </c>
      <c r="N6614" s="80" t="s">
        <v>4299</v>
      </c>
      <c r="O6614" s="80" t="s">
        <v>19241</v>
      </c>
      <c r="P6614" s="80" t="s">
        <v>7743</v>
      </c>
      <c r="Q6614" s="20">
        <v>7349</v>
      </c>
      <c r="R6614" s="80" t="s">
        <v>36</v>
      </c>
      <c r="S6614" s="95">
        <v>7249</v>
      </c>
      <c r="T6614" s="148">
        <v>45714</v>
      </c>
      <c r="U6614" s="77"/>
      <c r="V6614" s="78"/>
      <c r="W6614" s="85" t="s">
        <v>20985</v>
      </c>
      <c r="X6614" s="80"/>
      <c r="Y6614" s="22">
        <v>100</v>
      </c>
      <c r="Z6614" s="80" t="s">
        <v>50</v>
      </c>
      <c r="AA6614" s="86" t="s">
        <v>20522</v>
      </c>
      <c r="AB6614" s="80"/>
      <c r="AC6614" s="80" t="s">
        <v>53</v>
      </c>
      <c r="AD6614" s="80" t="s">
        <v>138</v>
      </c>
      <c r="AE6614" s="80" t="s">
        <v>20986</v>
      </c>
      <c r="AF6614" s="17">
        <v>45733</v>
      </c>
      <c r="AG6614" s="80"/>
      <c r="AH6614" s="80"/>
      <c r="AI6614" s="147"/>
      <c r="AJ6614" s="80"/>
      <c r="AK6614" s="80"/>
      <c r="AL6614" s="35"/>
      <c r="AM6614" s="35"/>
      <c r="AN6614" s="35"/>
      <c r="AO6614" s="35"/>
      <c r="AP6614" s="35"/>
    </row>
    <row r="6615" spans="1:42" x14ac:dyDescent="0.2">
      <c r="A6615" s="126">
        <v>45714.63967300926</v>
      </c>
      <c r="B6615" s="137" t="s">
        <v>37</v>
      </c>
      <c r="C6615" s="41" t="s">
        <v>118</v>
      </c>
      <c r="D6615" s="80" t="s">
        <v>106</v>
      </c>
      <c r="E6615" s="80" t="s">
        <v>219</v>
      </c>
      <c r="F6615" s="80" t="s">
        <v>13600</v>
      </c>
      <c r="G6615" s="161" t="s">
        <v>221</v>
      </c>
      <c r="H6615" s="80" t="s">
        <v>18208</v>
      </c>
      <c r="I6615" s="17">
        <f ca="1">IFERROR(__xludf.DUMMYFUNCTION("""COMPUTED_VALUE"""),45715)</f>
        <v>45715</v>
      </c>
      <c r="J6615" s="143" t="s">
        <v>20987</v>
      </c>
      <c r="K6615" s="80" t="s">
        <v>20988</v>
      </c>
      <c r="L6615" s="30">
        <v>987062606</v>
      </c>
      <c r="M6615" s="80" t="s">
        <v>12720</v>
      </c>
      <c r="N6615" s="80" t="s">
        <v>1073</v>
      </c>
      <c r="O6615" s="80" t="s">
        <v>11186</v>
      </c>
      <c r="P6615" s="80" t="s">
        <v>20989</v>
      </c>
      <c r="Q6615" s="20">
        <v>3968</v>
      </c>
      <c r="R6615" s="80" t="s">
        <v>36</v>
      </c>
      <c r="S6615" s="95">
        <v>3968</v>
      </c>
      <c r="T6615" s="148">
        <v>45714</v>
      </c>
      <c r="U6615" s="77"/>
      <c r="V6615" s="78"/>
      <c r="W6615" s="85" t="s">
        <v>20990</v>
      </c>
      <c r="X6615" s="80"/>
      <c r="Y6615" s="22">
        <v>0</v>
      </c>
      <c r="Z6615" s="80" t="s">
        <v>50</v>
      </c>
      <c r="AA6615" s="82" t="s">
        <v>20522</v>
      </c>
      <c r="AB6615" s="80"/>
      <c r="AC6615" s="80" t="s">
        <v>53</v>
      </c>
      <c r="AD6615" s="80" t="s">
        <v>138</v>
      </c>
      <c r="AE6615" s="80" t="s">
        <v>13600</v>
      </c>
      <c r="AF6615" s="17">
        <v>45715</v>
      </c>
      <c r="AG6615" s="80"/>
      <c r="AH6615" s="80"/>
      <c r="AI6615" s="147"/>
      <c r="AJ6615" s="80"/>
      <c r="AK6615" s="80"/>
      <c r="AL6615" s="35"/>
      <c r="AM6615" s="35"/>
      <c r="AN6615" s="35"/>
      <c r="AO6615" s="35"/>
      <c r="AP6615" s="35"/>
    </row>
    <row r="6616" spans="1:42" x14ac:dyDescent="0.2">
      <c r="A6616" s="126">
        <v>45714.819111423611</v>
      </c>
      <c r="B6616" s="137" t="s">
        <v>37</v>
      </c>
      <c r="C6616" s="41" t="s">
        <v>118</v>
      </c>
      <c r="D6616" s="80" t="s">
        <v>36</v>
      </c>
      <c r="E6616" s="80" t="s">
        <v>148</v>
      </c>
      <c r="F6616" s="80" t="s">
        <v>36</v>
      </c>
      <c r="G6616" s="80" t="s">
        <v>108</v>
      </c>
      <c r="H6616" s="80" t="s">
        <v>10297</v>
      </c>
      <c r="I6616" s="17">
        <f ca="1">IFERROR(__xludf.DUMMYFUNCTION("""COMPUTED_VALUE"""),45727)</f>
        <v>45727</v>
      </c>
      <c r="J6616" s="172" t="s">
        <v>20991</v>
      </c>
      <c r="K6616" s="80" t="s">
        <v>20992</v>
      </c>
      <c r="L6616" s="30">
        <v>866542155</v>
      </c>
      <c r="M6616" s="80" t="s">
        <v>9422</v>
      </c>
      <c r="N6616" s="80" t="s">
        <v>20993</v>
      </c>
      <c r="O6616" s="80" t="s">
        <v>11607</v>
      </c>
      <c r="P6616" s="80" t="s">
        <v>20994</v>
      </c>
      <c r="Q6616" s="20">
        <v>7349</v>
      </c>
      <c r="R6616" s="80" t="s">
        <v>70</v>
      </c>
      <c r="S6616" s="95">
        <v>7149</v>
      </c>
      <c r="T6616" s="148">
        <v>45714</v>
      </c>
      <c r="U6616" s="77"/>
      <c r="V6616" s="78"/>
      <c r="W6616" s="85" t="s">
        <v>20995</v>
      </c>
      <c r="X6616" s="80"/>
      <c r="Y6616" s="22">
        <v>200</v>
      </c>
      <c r="Z6616" s="80" t="s">
        <v>50</v>
      </c>
      <c r="AA6616" s="86" t="s">
        <v>20522</v>
      </c>
      <c r="AB6616" s="80"/>
      <c r="AC6616" s="80" t="s">
        <v>53</v>
      </c>
      <c r="AD6616" s="80" t="s">
        <v>54</v>
      </c>
      <c r="AE6616" s="80"/>
      <c r="AF6616" s="17">
        <v>45722</v>
      </c>
      <c r="AG6616" s="80"/>
      <c r="AH6616" s="80"/>
      <c r="AI6616" s="147"/>
      <c r="AJ6616" s="80"/>
      <c r="AK6616" s="80"/>
      <c r="AL6616" s="35"/>
      <c r="AM6616" s="35"/>
      <c r="AN6616" s="35"/>
      <c r="AO6616" s="35"/>
      <c r="AP6616" s="35"/>
    </row>
    <row r="6617" spans="1:42" x14ac:dyDescent="0.2">
      <c r="A6617" s="126">
        <v>45714.940546331018</v>
      </c>
      <c r="B6617" s="137" t="s">
        <v>37</v>
      </c>
      <c r="C6617" s="41" t="s">
        <v>118</v>
      </c>
      <c r="D6617" s="80" t="s">
        <v>77</v>
      </c>
      <c r="E6617" s="80" t="s">
        <v>148</v>
      </c>
      <c r="F6617" s="80" t="s">
        <v>18043</v>
      </c>
      <c r="G6617" s="80" t="s">
        <v>108</v>
      </c>
      <c r="H6617" s="80" t="s">
        <v>19174</v>
      </c>
      <c r="I6617" s="17">
        <f ca="1">IFERROR(__xludf.DUMMYFUNCTION("""COMPUTED_VALUE"""),45733)</f>
        <v>45733</v>
      </c>
      <c r="J6617" s="143" t="s">
        <v>19234</v>
      </c>
      <c r="K6617" s="80" t="s">
        <v>20996</v>
      </c>
      <c r="L6617" s="30">
        <v>396487789</v>
      </c>
      <c r="M6617" s="80" t="s">
        <v>59</v>
      </c>
      <c r="N6617" s="80" t="s">
        <v>4299</v>
      </c>
      <c r="O6617" s="80" t="s">
        <v>19236</v>
      </c>
      <c r="P6617" s="80" t="s">
        <v>3694</v>
      </c>
      <c r="Q6617" s="20">
        <v>7349</v>
      </c>
      <c r="R6617" s="80" t="s">
        <v>36</v>
      </c>
      <c r="S6617" s="95">
        <v>7249</v>
      </c>
      <c r="T6617" s="148">
        <v>45714</v>
      </c>
      <c r="U6617" s="77"/>
      <c r="V6617" s="78"/>
      <c r="W6617" s="85" t="s">
        <v>20997</v>
      </c>
      <c r="X6617" s="80"/>
      <c r="Y6617" s="22">
        <v>100</v>
      </c>
      <c r="Z6617" s="80" t="s">
        <v>50</v>
      </c>
      <c r="AA6617" s="82" t="s">
        <v>20522</v>
      </c>
      <c r="AB6617" s="80"/>
      <c r="AC6617" s="80" t="s">
        <v>53</v>
      </c>
      <c r="AD6617" s="80" t="s">
        <v>138</v>
      </c>
      <c r="AE6617" s="80" t="s">
        <v>2752</v>
      </c>
      <c r="AF6617" s="17">
        <v>45733</v>
      </c>
      <c r="AG6617" s="80"/>
      <c r="AH6617" s="80"/>
      <c r="AI6617" s="147"/>
      <c r="AJ6617" s="80"/>
      <c r="AK6617" s="80"/>
      <c r="AL6617" s="35"/>
      <c r="AM6617" s="35"/>
      <c r="AN6617" s="35"/>
      <c r="AO6617" s="35"/>
      <c r="AP6617" s="35"/>
    </row>
    <row r="6618" spans="1:42" x14ac:dyDescent="0.2">
      <c r="A6618" s="126">
        <v>45715.392145081016</v>
      </c>
      <c r="B6618" s="137" t="s">
        <v>1703</v>
      </c>
      <c r="C6618" s="41" t="s">
        <v>118</v>
      </c>
      <c r="D6618" s="80" t="s">
        <v>36</v>
      </c>
      <c r="E6618" s="80" t="s">
        <v>1704</v>
      </c>
      <c r="F6618" s="80" t="s">
        <v>36</v>
      </c>
      <c r="G6618" s="80" t="s">
        <v>9728</v>
      </c>
      <c r="H6618" s="80" t="s">
        <v>865</v>
      </c>
      <c r="I6618" s="17" t="str">
        <f ca="1">IFERROR(__xludf.DUMMYFUNCTION("""COMPUTED_VALUE""")," ")</f>
        <v xml:space="preserve"> </v>
      </c>
      <c r="J6618" s="143" t="s">
        <v>19298</v>
      </c>
      <c r="K6618" s="145" t="s">
        <v>20998</v>
      </c>
      <c r="L6618" s="30">
        <v>339939481</v>
      </c>
      <c r="M6618" s="80" t="s">
        <v>45</v>
      </c>
      <c r="N6618" s="80" t="s">
        <v>16472</v>
      </c>
      <c r="O6618" s="80" t="s">
        <v>4503</v>
      </c>
      <c r="P6618" s="80" t="s">
        <v>3694</v>
      </c>
      <c r="Q6618" s="20">
        <v>7729</v>
      </c>
      <c r="R6618" s="80" t="s">
        <v>36</v>
      </c>
      <c r="S6618" s="95">
        <v>6619</v>
      </c>
      <c r="T6618" s="148">
        <v>45712</v>
      </c>
      <c r="U6618" s="77"/>
      <c r="V6618" s="78"/>
      <c r="W6618" s="85" t="s">
        <v>20999</v>
      </c>
      <c r="X6618" s="80"/>
      <c r="Y6618" s="22">
        <v>1110</v>
      </c>
      <c r="Z6618" s="80" t="s">
        <v>50</v>
      </c>
      <c r="AA6618" s="86" t="s">
        <v>20522</v>
      </c>
      <c r="AB6618" s="80"/>
      <c r="AC6618" s="80" t="s">
        <v>53</v>
      </c>
      <c r="AD6618" s="80" t="s">
        <v>138</v>
      </c>
      <c r="AE6618" s="83">
        <v>650</v>
      </c>
      <c r="AF6618" s="17"/>
      <c r="AG6618" s="80"/>
      <c r="AH6618" s="80"/>
      <c r="AI6618" s="147"/>
      <c r="AJ6618" s="80"/>
      <c r="AK6618" s="80"/>
      <c r="AL6618" s="35"/>
      <c r="AM6618" s="35"/>
      <c r="AN6618" s="35"/>
      <c r="AO6618" s="35"/>
      <c r="AP6618" s="35"/>
    </row>
    <row r="6619" spans="1:42" x14ac:dyDescent="0.2">
      <c r="A6619" s="126">
        <v>45715.468958703699</v>
      </c>
      <c r="B6619" s="137" t="s">
        <v>37</v>
      </c>
      <c r="C6619" s="41" t="s">
        <v>118</v>
      </c>
      <c r="D6619" s="80" t="s">
        <v>36</v>
      </c>
      <c r="E6619" s="80" t="s">
        <v>106</v>
      </c>
      <c r="F6619" s="80" t="s">
        <v>36</v>
      </c>
      <c r="G6619" s="80" t="s">
        <v>108</v>
      </c>
      <c r="H6619" s="80" t="s">
        <v>2945</v>
      </c>
      <c r="I6619" s="17">
        <f ca="1">IFERROR(__xludf.DUMMYFUNCTION("""COMPUTED_VALUE"""),45706)</f>
        <v>45706</v>
      </c>
      <c r="J6619" s="143" t="s">
        <v>21000</v>
      </c>
      <c r="K6619" s="80" t="s">
        <v>21001</v>
      </c>
      <c r="L6619" s="30">
        <v>327965494</v>
      </c>
      <c r="M6619" s="80" t="s">
        <v>348</v>
      </c>
      <c r="N6619" s="80" t="s">
        <v>7509</v>
      </c>
      <c r="O6619" s="80" t="s">
        <v>91</v>
      </c>
      <c r="P6619" s="80" t="s">
        <v>3117</v>
      </c>
      <c r="Q6619" s="20">
        <v>3768</v>
      </c>
      <c r="R6619" s="80" t="s">
        <v>36</v>
      </c>
      <c r="S6619" s="95">
        <v>2868</v>
      </c>
      <c r="T6619" s="148">
        <v>45715</v>
      </c>
      <c r="U6619" s="77"/>
      <c r="V6619" s="78"/>
      <c r="W6619" s="85" t="s">
        <v>21002</v>
      </c>
      <c r="X6619" s="80"/>
      <c r="Y6619" s="22">
        <v>900</v>
      </c>
      <c r="Z6619" s="80" t="s">
        <v>50</v>
      </c>
      <c r="AA6619" s="82" t="s">
        <v>20522</v>
      </c>
      <c r="AB6619" s="80"/>
      <c r="AC6619" s="80" t="s">
        <v>53</v>
      </c>
      <c r="AD6619" s="80" t="s">
        <v>138</v>
      </c>
      <c r="AE6619" s="80" t="s">
        <v>21003</v>
      </c>
      <c r="AF6619" s="17">
        <v>45715</v>
      </c>
      <c r="AG6619" s="80" t="s">
        <v>21004</v>
      </c>
      <c r="AH6619" s="80"/>
      <c r="AI6619" s="147"/>
      <c r="AJ6619" s="80"/>
      <c r="AK6619" s="80"/>
      <c r="AL6619" s="35"/>
      <c r="AM6619" s="35"/>
      <c r="AN6619" s="35"/>
      <c r="AO6619" s="35"/>
      <c r="AP6619" s="35"/>
    </row>
    <row r="6620" spans="1:42" x14ac:dyDescent="0.2">
      <c r="A6620" s="126">
        <v>45715.744603796295</v>
      </c>
      <c r="B6620" s="137" t="s">
        <v>37</v>
      </c>
      <c r="C6620" s="41" t="s">
        <v>118</v>
      </c>
      <c r="D6620" s="80" t="s">
        <v>36</v>
      </c>
      <c r="E6620" s="80" t="s">
        <v>77</v>
      </c>
      <c r="F6620" s="80" t="s">
        <v>36</v>
      </c>
      <c r="G6620" s="80" t="s">
        <v>41</v>
      </c>
      <c r="H6620" s="80" t="s">
        <v>20978</v>
      </c>
      <c r="I6620" s="17">
        <f ca="1">IFERROR(__xludf.DUMMYFUNCTION("""COMPUTED_VALUE"""),45727)</f>
        <v>45727</v>
      </c>
      <c r="J6620" s="143" t="s">
        <v>21005</v>
      </c>
      <c r="K6620" s="80" t="s">
        <v>21006</v>
      </c>
      <c r="L6620" s="30">
        <v>388451033</v>
      </c>
      <c r="M6620" s="80" t="s">
        <v>348</v>
      </c>
      <c r="N6620" s="80" t="s">
        <v>4299</v>
      </c>
      <c r="O6620" s="80" t="s">
        <v>21007</v>
      </c>
      <c r="P6620" s="80" t="s">
        <v>21008</v>
      </c>
      <c r="Q6620" s="20">
        <v>1968</v>
      </c>
      <c r="R6620" s="80" t="s">
        <v>36</v>
      </c>
      <c r="S6620" s="95">
        <v>1968</v>
      </c>
      <c r="T6620" s="148">
        <v>45715</v>
      </c>
      <c r="U6620" s="77"/>
      <c r="V6620" s="78"/>
      <c r="W6620" s="85" t="s">
        <v>21009</v>
      </c>
      <c r="X6620" s="80"/>
      <c r="Y6620" s="22">
        <v>0</v>
      </c>
      <c r="Z6620" s="80" t="s">
        <v>50</v>
      </c>
      <c r="AA6620" s="86" t="s">
        <v>20522</v>
      </c>
      <c r="AB6620" s="80"/>
      <c r="AC6620" s="80" t="s">
        <v>53</v>
      </c>
      <c r="AD6620" s="80" t="s">
        <v>54</v>
      </c>
      <c r="AE6620" s="80" t="s">
        <v>16312</v>
      </c>
      <c r="AF6620" s="17">
        <v>45722</v>
      </c>
      <c r="AG6620" s="80"/>
      <c r="AH6620" s="80"/>
      <c r="AI6620" s="147"/>
      <c r="AJ6620" s="80"/>
      <c r="AK6620" s="80"/>
      <c r="AL6620" s="35"/>
      <c r="AM6620" s="35"/>
      <c r="AN6620" s="35"/>
      <c r="AO6620" s="35"/>
      <c r="AP6620" s="35"/>
    </row>
    <row r="6621" spans="1:42" x14ac:dyDescent="0.2">
      <c r="A6621" s="126">
        <v>45715.910690983801</v>
      </c>
      <c r="B6621" s="137" t="s">
        <v>37</v>
      </c>
      <c r="C6621" s="41" t="s">
        <v>118</v>
      </c>
      <c r="D6621" s="80" t="s">
        <v>36</v>
      </c>
      <c r="E6621" s="80" t="s">
        <v>77</v>
      </c>
      <c r="F6621" s="80" t="s">
        <v>36</v>
      </c>
      <c r="G6621" s="80" t="s">
        <v>41</v>
      </c>
      <c r="H6621" s="80" t="s">
        <v>20968</v>
      </c>
      <c r="I6621" s="17">
        <f ca="1">IFERROR(__xludf.DUMMYFUNCTION("""COMPUTED_VALUE"""),45727)</f>
        <v>45727</v>
      </c>
      <c r="J6621" s="143" t="s">
        <v>21010</v>
      </c>
      <c r="K6621" s="80" t="s">
        <v>21011</v>
      </c>
      <c r="L6621" s="30">
        <v>326840603</v>
      </c>
      <c r="M6621" s="80" t="s">
        <v>348</v>
      </c>
      <c r="N6621" s="80" t="s">
        <v>4299</v>
      </c>
      <c r="O6621" s="80" t="s">
        <v>21012</v>
      </c>
      <c r="P6621" s="80" t="s">
        <v>21013</v>
      </c>
      <c r="Q6621" s="20">
        <v>1968</v>
      </c>
      <c r="R6621" s="80" t="s">
        <v>36</v>
      </c>
      <c r="S6621" s="95">
        <v>1968</v>
      </c>
      <c r="T6621" s="148">
        <v>45715</v>
      </c>
      <c r="U6621" s="77"/>
      <c r="V6621" s="78"/>
      <c r="W6621" s="85" t="s">
        <v>21014</v>
      </c>
      <c r="X6621" s="80"/>
      <c r="Y6621" s="22">
        <v>0</v>
      </c>
      <c r="Z6621" s="80" t="s">
        <v>50</v>
      </c>
      <c r="AA6621" s="82" t="s">
        <v>20522</v>
      </c>
      <c r="AB6621" s="80"/>
      <c r="AC6621" s="80" t="s">
        <v>53</v>
      </c>
      <c r="AD6621" s="80" t="s">
        <v>54</v>
      </c>
      <c r="AE6621" s="80" t="s">
        <v>21015</v>
      </c>
      <c r="AF6621" s="17">
        <v>45722</v>
      </c>
      <c r="AG6621" s="80"/>
      <c r="AH6621" s="80"/>
      <c r="AI6621" s="147"/>
      <c r="AJ6621" s="80"/>
      <c r="AK6621" s="80"/>
      <c r="AL6621" s="35"/>
      <c r="AM6621" s="35"/>
      <c r="AN6621" s="35"/>
      <c r="AO6621" s="35"/>
      <c r="AP6621" s="35"/>
    </row>
    <row r="6622" spans="1:42" x14ac:dyDescent="0.2">
      <c r="A6622" s="126">
        <v>45716.34476688657</v>
      </c>
      <c r="B6622" s="137" t="s">
        <v>37</v>
      </c>
      <c r="C6622" s="41" t="s">
        <v>118</v>
      </c>
      <c r="D6622" s="80" t="s">
        <v>36</v>
      </c>
      <c r="E6622" s="80" t="s">
        <v>56</v>
      </c>
      <c r="F6622" s="80" t="s">
        <v>36</v>
      </c>
      <c r="G6622" s="80" t="s">
        <v>41</v>
      </c>
      <c r="H6622" s="80" t="s">
        <v>20535</v>
      </c>
      <c r="I6622" s="17">
        <f ca="1">IFERROR(__xludf.DUMMYFUNCTION("""COMPUTED_VALUE"""),45733)</f>
        <v>45733</v>
      </c>
      <c r="J6622" s="143" t="s">
        <v>21016</v>
      </c>
      <c r="K6622" s="80" t="s">
        <v>21017</v>
      </c>
      <c r="L6622" s="30">
        <v>348028647</v>
      </c>
      <c r="M6622" s="80" t="s">
        <v>59</v>
      </c>
      <c r="N6622" s="80" t="s">
        <v>10947</v>
      </c>
      <c r="O6622" s="80" t="s">
        <v>21018</v>
      </c>
      <c r="P6622" s="80" t="s">
        <v>21019</v>
      </c>
      <c r="Q6622" s="20">
        <v>9317</v>
      </c>
      <c r="R6622" s="80" t="s">
        <v>36</v>
      </c>
      <c r="S6622" s="95">
        <v>9317</v>
      </c>
      <c r="T6622" s="148">
        <v>45715</v>
      </c>
      <c r="U6622" s="77"/>
      <c r="V6622" s="78"/>
      <c r="W6622" s="85" t="s">
        <v>21020</v>
      </c>
      <c r="X6622" s="80"/>
      <c r="Y6622" s="22">
        <v>0</v>
      </c>
      <c r="Z6622" s="80" t="s">
        <v>50</v>
      </c>
      <c r="AA6622" s="86" t="s">
        <v>20522</v>
      </c>
      <c r="AB6622" s="80"/>
      <c r="AC6622" s="80" t="s">
        <v>53</v>
      </c>
      <c r="AD6622" s="80" t="s">
        <v>54</v>
      </c>
      <c r="AE6622" s="80" t="s">
        <v>16305</v>
      </c>
      <c r="AF6622" s="17">
        <v>45728</v>
      </c>
      <c r="AG6622" s="80"/>
      <c r="AH6622" s="80"/>
      <c r="AI6622" s="147"/>
      <c r="AJ6622" s="80"/>
      <c r="AK6622" s="80"/>
      <c r="AL6622" s="35"/>
      <c r="AM6622" s="35"/>
      <c r="AN6622" s="35"/>
      <c r="AO6622" s="35"/>
      <c r="AP6622" s="35"/>
    </row>
    <row r="6623" spans="1:42" x14ac:dyDescent="0.2">
      <c r="A6623" s="126">
        <v>45716.348139548616</v>
      </c>
      <c r="B6623" s="137" t="s">
        <v>37</v>
      </c>
      <c r="C6623" s="41" t="s">
        <v>118</v>
      </c>
      <c r="D6623" s="80" t="s">
        <v>36</v>
      </c>
      <c r="E6623" s="80" t="s">
        <v>148</v>
      </c>
      <c r="F6623" s="80" t="s">
        <v>36</v>
      </c>
      <c r="G6623" s="80" t="s">
        <v>108</v>
      </c>
      <c r="H6623" s="80" t="s">
        <v>10297</v>
      </c>
      <c r="I6623" s="17">
        <f ca="1">IFERROR(__xludf.DUMMYFUNCTION("""COMPUTED_VALUE"""),45727)</f>
        <v>45727</v>
      </c>
      <c r="J6623" s="143" t="s">
        <v>21021</v>
      </c>
      <c r="K6623" s="80" t="s">
        <v>21022</v>
      </c>
      <c r="L6623" s="30">
        <v>363797507</v>
      </c>
      <c r="M6623" s="80" t="s">
        <v>348</v>
      </c>
      <c r="N6623" s="80" t="s">
        <v>4299</v>
      </c>
      <c r="O6623" s="80" t="s">
        <v>21023</v>
      </c>
      <c r="P6623" s="80" t="s">
        <v>21024</v>
      </c>
      <c r="Q6623" s="20">
        <v>7349</v>
      </c>
      <c r="R6623" s="80" t="s">
        <v>36</v>
      </c>
      <c r="S6623" s="95">
        <v>7349</v>
      </c>
      <c r="T6623" s="148">
        <v>45716</v>
      </c>
      <c r="U6623" s="77"/>
      <c r="V6623" s="78"/>
      <c r="W6623" s="85" t="s">
        <v>21025</v>
      </c>
      <c r="X6623" s="80"/>
      <c r="Y6623" s="22">
        <v>0</v>
      </c>
      <c r="Z6623" s="80" t="s">
        <v>50</v>
      </c>
      <c r="AA6623" s="82" t="s">
        <v>20522</v>
      </c>
      <c r="AB6623" s="80"/>
      <c r="AC6623" s="80" t="s">
        <v>53</v>
      </c>
      <c r="AD6623" s="80" t="s">
        <v>54</v>
      </c>
      <c r="AE6623" s="80" t="s">
        <v>4500</v>
      </c>
      <c r="AF6623" s="17">
        <v>45722</v>
      </c>
      <c r="AG6623" s="80"/>
      <c r="AH6623" s="80"/>
      <c r="AI6623" s="147"/>
      <c r="AJ6623" s="80"/>
      <c r="AK6623" s="80"/>
      <c r="AL6623" s="35"/>
      <c r="AM6623" s="35"/>
      <c r="AN6623" s="35"/>
      <c r="AO6623" s="35"/>
      <c r="AP6623" s="35"/>
    </row>
    <row r="6624" spans="1:42" x14ac:dyDescent="0.2">
      <c r="A6624" s="126">
        <v>45726.701318749998</v>
      </c>
      <c r="B6624" s="137" t="s">
        <v>37</v>
      </c>
      <c r="C6624" s="41" t="s">
        <v>118</v>
      </c>
      <c r="D6624" s="80" t="s">
        <v>36</v>
      </c>
      <c r="E6624" s="80" t="s">
        <v>77</v>
      </c>
      <c r="F6624" s="80" t="s">
        <v>36</v>
      </c>
      <c r="G6624" s="80" t="s">
        <v>41</v>
      </c>
      <c r="H6624" s="80" t="s">
        <v>19839</v>
      </c>
      <c r="I6624" s="17">
        <f ca="1">IFERROR(__xludf.DUMMYFUNCTION("""COMPUTED_VALUE"""),45741)</f>
        <v>45741</v>
      </c>
      <c r="J6624" s="143" t="s">
        <v>21026</v>
      </c>
      <c r="K6624" s="80" t="s">
        <v>21027</v>
      </c>
      <c r="L6624" s="30">
        <v>392760155</v>
      </c>
      <c r="M6624" s="80" t="s">
        <v>11413</v>
      </c>
      <c r="N6624" s="80" t="s">
        <v>1246</v>
      </c>
      <c r="O6624" s="80" t="s">
        <v>21028</v>
      </c>
      <c r="P6624" s="80" t="s">
        <v>21029</v>
      </c>
      <c r="Q6624" s="20">
        <v>1968</v>
      </c>
      <c r="R6624" s="80" t="s">
        <v>36</v>
      </c>
      <c r="S6624" s="95">
        <v>1968</v>
      </c>
      <c r="T6624" s="148">
        <v>45716</v>
      </c>
      <c r="U6624" s="77"/>
      <c r="V6624" s="78"/>
      <c r="W6624" s="85" t="s">
        <v>21030</v>
      </c>
      <c r="X6624" s="80"/>
      <c r="Y6624" s="22">
        <v>0</v>
      </c>
      <c r="Z6624" s="80" t="s">
        <v>50</v>
      </c>
      <c r="AA6624" s="86" t="s">
        <v>20522</v>
      </c>
      <c r="AB6624" s="80"/>
      <c r="AC6624" s="80" t="s">
        <v>53</v>
      </c>
      <c r="AD6624" s="80" t="s">
        <v>138</v>
      </c>
      <c r="AE6624" s="80"/>
      <c r="AF6624" s="17">
        <v>45741</v>
      </c>
      <c r="AG6624" s="80"/>
      <c r="AH6624" s="80"/>
      <c r="AI6624" s="147"/>
      <c r="AJ6624" s="80"/>
      <c r="AK6624" s="80"/>
      <c r="AL6624" s="35"/>
      <c r="AM6624" s="35"/>
      <c r="AN6624" s="35"/>
      <c r="AO6624" s="35"/>
      <c r="AP6624" s="35"/>
    </row>
    <row r="6625" spans="1:42" x14ac:dyDescent="0.2">
      <c r="A6625" s="38">
        <v>45716</v>
      </c>
      <c r="B6625" s="137" t="s">
        <v>37</v>
      </c>
      <c r="C6625" s="41" t="s">
        <v>118</v>
      </c>
      <c r="D6625" s="80"/>
      <c r="E6625" s="80" t="s">
        <v>219</v>
      </c>
      <c r="F6625" s="80" t="s">
        <v>13674</v>
      </c>
      <c r="G6625" s="80" t="s">
        <v>221</v>
      </c>
      <c r="H6625" s="80" t="s">
        <v>20076</v>
      </c>
      <c r="I6625" s="17">
        <f ca="1">IFERROR(__xludf.DUMMYFUNCTION("""COMPUTED_VALUE"""),45727)</f>
        <v>45727</v>
      </c>
      <c r="J6625" s="143" t="s">
        <v>11145</v>
      </c>
      <c r="K6625" s="80" t="s">
        <v>16190</v>
      </c>
      <c r="L6625" s="30">
        <v>325453298</v>
      </c>
      <c r="M6625" s="80" t="s">
        <v>11413</v>
      </c>
      <c r="N6625" s="80" t="s">
        <v>1246</v>
      </c>
      <c r="O6625" s="80" t="s">
        <v>11147</v>
      </c>
      <c r="P6625" s="80" t="s">
        <v>11148</v>
      </c>
      <c r="Q6625" s="20">
        <v>3968</v>
      </c>
      <c r="R6625" s="80" t="s">
        <v>36</v>
      </c>
      <c r="S6625" s="95">
        <v>3968</v>
      </c>
      <c r="T6625" s="170">
        <v>45716</v>
      </c>
      <c r="U6625" s="77"/>
      <c r="V6625" s="78"/>
      <c r="W6625" s="85" t="s">
        <v>21031</v>
      </c>
      <c r="X6625" s="80"/>
      <c r="Y6625" s="22">
        <v>0</v>
      </c>
      <c r="Z6625" s="80" t="s">
        <v>50</v>
      </c>
      <c r="AA6625" s="82" t="s">
        <v>20522</v>
      </c>
      <c r="AB6625" s="80"/>
      <c r="AC6625" s="80" t="s">
        <v>53</v>
      </c>
      <c r="AD6625" s="80" t="s">
        <v>54</v>
      </c>
      <c r="AE6625" s="80" t="s">
        <v>13674</v>
      </c>
      <c r="AF6625" s="17">
        <v>45722</v>
      </c>
      <c r="AG6625" s="80"/>
      <c r="AH6625" s="80"/>
      <c r="AI6625" s="147"/>
      <c r="AJ6625" s="80"/>
      <c r="AK6625" s="80"/>
      <c r="AL6625" s="35"/>
      <c r="AM6625" s="35"/>
      <c r="AN6625" s="35"/>
      <c r="AO6625" s="35"/>
      <c r="AP6625" s="35"/>
    </row>
    <row r="6626" spans="1:42" x14ac:dyDescent="0.2">
      <c r="A6626" s="126">
        <v>45717.993168854169</v>
      </c>
      <c r="B6626" s="137" t="s">
        <v>37</v>
      </c>
      <c r="C6626" s="41" t="s">
        <v>118</v>
      </c>
      <c r="D6626" s="80" t="s">
        <v>36</v>
      </c>
      <c r="E6626" s="80" t="s">
        <v>77</v>
      </c>
      <c r="F6626" s="80" t="s">
        <v>36</v>
      </c>
      <c r="G6626" s="80" t="s">
        <v>41</v>
      </c>
      <c r="H6626" s="80" t="s">
        <v>20437</v>
      </c>
      <c r="I6626" s="17">
        <f ca="1">IFERROR(__xludf.DUMMYFUNCTION("""COMPUTED_VALUE"""),45728)</f>
        <v>45728</v>
      </c>
      <c r="J6626" s="143" t="s">
        <v>21032</v>
      </c>
      <c r="K6626" s="80" t="s">
        <v>21033</v>
      </c>
      <c r="L6626" s="30">
        <v>326648389</v>
      </c>
      <c r="M6626" s="80" t="s">
        <v>348</v>
      </c>
      <c r="N6626" s="80" t="s">
        <v>4299</v>
      </c>
      <c r="O6626" s="80" t="s">
        <v>21034</v>
      </c>
      <c r="P6626" s="80" t="s">
        <v>21035</v>
      </c>
      <c r="Q6626" s="20">
        <v>1968</v>
      </c>
      <c r="R6626" s="80" t="s">
        <v>36</v>
      </c>
      <c r="S6626" s="95">
        <v>1968</v>
      </c>
      <c r="T6626" s="148">
        <v>45717</v>
      </c>
      <c r="U6626" s="77"/>
      <c r="V6626" s="78"/>
      <c r="W6626" s="85" t="s">
        <v>21036</v>
      </c>
      <c r="X6626" s="80"/>
      <c r="Y6626" s="22">
        <v>0</v>
      </c>
      <c r="Z6626" s="80" t="s">
        <v>50</v>
      </c>
      <c r="AA6626" s="86" t="s">
        <v>20522</v>
      </c>
      <c r="AB6626" s="80"/>
      <c r="AC6626" s="80" t="s">
        <v>53</v>
      </c>
      <c r="AD6626" s="80" t="s">
        <v>54</v>
      </c>
      <c r="AE6626" s="80" t="s">
        <v>13558</v>
      </c>
      <c r="AF6626" s="17">
        <v>45722</v>
      </c>
      <c r="AG6626" s="80"/>
      <c r="AH6626" s="80"/>
      <c r="AI6626" s="147"/>
      <c r="AJ6626" s="80"/>
      <c r="AK6626" s="80"/>
      <c r="AL6626" s="35"/>
      <c r="AM6626" s="35"/>
      <c r="AN6626" s="35"/>
      <c r="AO6626" s="35"/>
      <c r="AP6626" s="35"/>
    </row>
    <row r="6627" spans="1:42" x14ac:dyDescent="0.2">
      <c r="A6627" s="126">
        <v>45718.002727222221</v>
      </c>
      <c r="B6627" s="137" t="s">
        <v>37</v>
      </c>
      <c r="C6627" s="41" t="s">
        <v>118</v>
      </c>
      <c r="D6627" s="80" t="s">
        <v>106</v>
      </c>
      <c r="E6627" s="80" t="s">
        <v>219</v>
      </c>
      <c r="F6627" s="80" t="s">
        <v>14387</v>
      </c>
      <c r="G6627" s="80" t="s">
        <v>221</v>
      </c>
      <c r="H6627" s="80" t="s">
        <v>20000</v>
      </c>
      <c r="I6627" s="17">
        <f ca="1">IFERROR(__xludf.DUMMYFUNCTION("""COMPUTED_VALUE"""),45719)</f>
        <v>45719</v>
      </c>
      <c r="J6627" s="143" t="s">
        <v>18044</v>
      </c>
      <c r="K6627" s="80" t="s">
        <v>21037</v>
      </c>
      <c r="L6627" s="30">
        <v>926222006</v>
      </c>
      <c r="M6627" s="80" t="s">
        <v>59</v>
      </c>
      <c r="N6627" s="80" t="s">
        <v>21038</v>
      </c>
      <c r="O6627" s="80" t="s">
        <v>13462</v>
      </c>
      <c r="P6627" s="80" t="s">
        <v>12687</v>
      </c>
      <c r="Q6627" s="20">
        <v>3968</v>
      </c>
      <c r="R6627" s="80" t="s">
        <v>36</v>
      </c>
      <c r="S6627" s="95">
        <v>3868</v>
      </c>
      <c r="T6627" s="148">
        <v>45716</v>
      </c>
      <c r="U6627" s="77"/>
      <c r="V6627" s="78"/>
      <c r="W6627" s="85" t="s">
        <v>21039</v>
      </c>
      <c r="X6627" s="80"/>
      <c r="Y6627" s="22">
        <v>100</v>
      </c>
      <c r="Z6627" s="80" t="s">
        <v>50</v>
      </c>
      <c r="AA6627" s="82" t="s">
        <v>20522</v>
      </c>
      <c r="AB6627" s="80"/>
      <c r="AC6627" s="80" t="s">
        <v>53</v>
      </c>
      <c r="AD6627" s="80" t="s">
        <v>138</v>
      </c>
      <c r="AE6627" s="80" t="s">
        <v>14387</v>
      </c>
      <c r="AF6627" s="17">
        <v>45719</v>
      </c>
      <c r="AG6627" s="80"/>
      <c r="AH6627" s="80"/>
      <c r="AI6627" s="147"/>
      <c r="AJ6627" s="80"/>
      <c r="AK6627" s="80"/>
      <c r="AL6627" s="35"/>
      <c r="AM6627" s="35"/>
      <c r="AN6627" s="35"/>
      <c r="AO6627" s="35"/>
      <c r="AP6627" s="35"/>
    </row>
    <row r="6628" spans="1:42" x14ac:dyDescent="0.2">
      <c r="A6628" s="126">
        <v>45718.006429722227</v>
      </c>
      <c r="B6628" s="137" t="s">
        <v>37</v>
      </c>
      <c r="C6628" s="41" t="s">
        <v>118</v>
      </c>
      <c r="D6628" s="80" t="s">
        <v>106</v>
      </c>
      <c r="E6628" s="80" t="s">
        <v>219</v>
      </c>
      <c r="F6628" s="80" t="s">
        <v>14387</v>
      </c>
      <c r="G6628" s="80" t="s">
        <v>221</v>
      </c>
      <c r="H6628" s="80" t="s">
        <v>20000</v>
      </c>
      <c r="I6628" s="17">
        <f ca="1">IFERROR(__xludf.DUMMYFUNCTION("""COMPUTED_VALUE"""),45719)</f>
        <v>45719</v>
      </c>
      <c r="J6628" s="143" t="s">
        <v>18051</v>
      </c>
      <c r="K6628" s="80" t="s">
        <v>21040</v>
      </c>
      <c r="L6628" s="30">
        <v>968103687</v>
      </c>
      <c r="M6628" s="80" t="s">
        <v>59</v>
      </c>
      <c r="N6628" s="80" t="s">
        <v>21041</v>
      </c>
      <c r="O6628" s="80" t="s">
        <v>18054</v>
      </c>
      <c r="P6628" s="80" t="s">
        <v>18241</v>
      </c>
      <c r="Q6628" s="20">
        <v>3968</v>
      </c>
      <c r="R6628" s="80" t="s">
        <v>36</v>
      </c>
      <c r="S6628" s="95">
        <v>3868</v>
      </c>
      <c r="T6628" s="148">
        <v>45716</v>
      </c>
      <c r="U6628" s="77"/>
      <c r="V6628" s="78"/>
      <c r="W6628" s="85" t="s">
        <v>21042</v>
      </c>
      <c r="X6628" s="80"/>
      <c r="Y6628" s="22">
        <v>100</v>
      </c>
      <c r="Z6628" s="80" t="s">
        <v>50</v>
      </c>
      <c r="AA6628" s="86" t="s">
        <v>20522</v>
      </c>
      <c r="AB6628" s="80"/>
      <c r="AC6628" s="80" t="s">
        <v>53</v>
      </c>
      <c r="AD6628" s="80" t="s">
        <v>138</v>
      </c>
      <c r="AE6628" s="80" t="s">
        <v>14387</v>
      </c>
      <c r="AF6628" s="17">
        <v>45719</v>
      </c>
      <c r="AG6628" s="80"/>
      <c r="AH6628" s="80"/>
      <c r="AI6628" s="147"/>
      <c r="AJ6628" s="80"/>
      <c r="AK6628" s="80"/>
      <c r="AL6628" s="35"/>
      <c r="AM6628" s="35"/>
      <c r="AN6628" s="35"/>
      <c r="AO6628" s="35"/>
      <c r="AP6628" s="35"/>
    </row>
    <row r="6629" spans="1:42" x14ac:dyDescent="0.2">
      <c r="A6629" s="126">
        <v>45718.948935127315</v>
      </c>
      <c r="B6629" s="137" t="s">
        <v>37</v>
      </c>
      <c r="C6629" s="41" t="s">
        <v>118</v>
      </c>
      <c r="D6629" s="80" t="s">
        <v>36</v>
      </c>
      <c r="E6629" s="80" t="s">
        <v>39</v>
      </c>
      <c r="F6629" s="80" t="s">
        <v>36</v>
      </c>
      <c r="G6629" s="80" t="s">
        <v>41</v>
      </c>
      <c r="H6629" s="80" t="s">
        <v>20978</v>
      </c>
      <c r="I6629" s="17">
        <f ca="1">IFERROR(__xludf.DUMMYFUNCTION("""COMPUTED_VALUE"""),45727)</f>
        <v>45727</v>
      </c>
      <c r="J6629" s="143" t="s">
        <v>21043</v>
      </c>
      <c r="K6629" s="80" t="s">
        <v>21044</v>
      </c>
      <c r="L6629" s="30">
        <v>987830387</v>
      </c>
      <c r="M6629" s="80" t="s">
        <v>9422</v>
      </c>
      <c r="N6629" s="80" t="s">
        <v>327</v>
      </c>
      <c r="O6629" s="80" t="s">
        <v>21045</v>
      </c>
      <c r="P6629" s="144" t="s">
        <v>21046</v>
      </c>
      <c r="Q6629" s="20">
        <v>5736</v>
      </c>
      <c r="R6629" s="80" t="s">
        <v>11421</v>
      </c>
      <c r="S6629" s="95">
        <v>5436</v>
      </c>
      <c r="T6629" s="148">
        <v>45716</v>
      </c>
      <c r="U6629" s="77"/>
      <c r="V6629" s="78"/>
      <c r="W6629" s="85" t="s">
        <v>21047</v>
      </c>
      <c r="X6629" s="80"/>
      <c r="Y6629" s="22">
        <v>300</v>
      </c>
      <c r="Z6629" s="80" t="s">
        <v>50</v>
      </c>
      <c r="AA6629" s="82" t="s">
        <v>20522</v>
      </c>
      <c r="AB6629" s="80"/>
      <c r="AC6629" s="80" t="s">
        <v>53</v>
      </c>
      <c r="AD6629" s="80" t="s">
        <v>54</v>
      </c>
      <c r="AE6629" s="80"/>
      <c r="AF6629" s="17">
        <v>45724</v>
      </c>
      <c r="AG6629" s="80"/>
      <c r="AH6629" s="80"/>
      <c r="AI6629" s="147"/>
      <c r="AJ6629" s="80"/>
      <c r="AK6629" s="80"/>
      <c r="AL6629" s="35"/>
      <c r="AM6629" s="35"/>
      <c r="AN6629" s="35"/>
      <c r="AO6629" s="35"/>
      <c r="AP6629" s="35"/>
    </row>
    <row r="6630" spans="1:42" x14ac:dyDescent="0.2">
      <c r="A6630" s="126">
        <v>45718.950083587959</v>
      </c>
      <c r="B6630" s="137" t="s">
        <v>37</v>
      </c>
      <c r="C6630" s="41" t="s">
        <v>118</v>
      </c>
      <c r="D6630" s="80" t="s">
        <v>36</v>
      </c>
      <c r="E6630" s="80" t="s">
        <v>39</v>
      </c>
      <c r="F6630" s="80" t="s">
        <v>36</v>
      </c>
      <c r="G6630" s="80" t="s">
        <v>41</v>
      </c>
      <c r="H6630" s="80" t="s">
        <v>20496</v>
      </c>
      <c r="I6630" s="17">
        <f ca="1">IFERROR(__xludf.DUMMYFUNCTION("""COMPUTED_VALUE"""),45735)</f>
        <v>45735</v>
      </c>
      <c r="J6630" s="143" t="s">
        <v>21048</v>
      </c>
      <c r="K6630" s="80" t="s">
        <v>21049</v>
      </c>
      <c r="L6630" s="30">
        <v>387168534</v>
      </c>
      <c r="M6630" s="80" t="s">
        <v>9422</v>
      </c>
      <c r="N6630" s="80" t="s">
        <v>327</v>
      </c>
      <c r="O6630" s="80" t="s">
        <v>21050</v>
      </c>
      <c r="P6630" s="80" t="s">
        <v>21051</v>
      </c>
      <c r="Q6630" s="20">
        <v>5736</v>
      </c>
      <c r="R6630" s="80" t="s">
        <v>11421</v>
      </c>
      <c r="S6630" s="95">
        <v>5436</v>
      </c>
      <c r="T6630" s="148">
        <v>45716</v>
      </c>
      <c r="U6630" s="77"/>
      <c r="V6630" s="78"/>
      <c r="W6630" s="85" t="s">
        <v>21052</v>
      </c>
      <c r="X6630" s="80"/>
      <c r="Y6630" s="22">
        <v>300</v>
      </c>
      <c r="Z6630" s="80" t="s">
        <v>50</v>
      </c>
      <c r="AA6630" s="86" t="s">
        <v>20522</v>
      </c>
      <c r="AB6630" s="80"/>
      <c r="AC6630" s="80" t="s">
        <v>53</v>
      </c>
      <c r="AD6630" s="80" t="s">
        <v>54</v>
      </c>
      <c r="AE6630" s="80"/>
      <c r="AF6630" s="17">
        <v>45729</v>
      </c>
      <c r="AG6630" s="80"/>
      <c r="AH6630" s="80"/>
      <c r="AI6630" s="147"/>
      <c r="AJ6630" s="80"/>
      <c r="AK6630" s="80"/>
      <c r="AL6630" s="35"/>
      <c r="AM6630" s="35"/>
      <c r="AN6630" s="35"/>
      <c r="AO6630" s="35"/>
      <c r="AP6630" s="35"/>
    </row>
    <row r="6631" spans="1:42" x14ac:dyDescent="0.2">
      <c r="A6631" s="126">
        <v>45718.951073229167</v>
      </c>
      <c r="B6631" s="137" t="s">
        <v>37</v>
      </c>
      <c r="C6631" s="41" t="s">
        <v>118</v>
      </c>
      <c r="D6631" s="80" t="s">
        <v>36</v>
      </c>
      <c r="E6631" s="80" t="s">
        <v>39</v>
      </c>
      <c r="F6631" s="80" t="s">
        <v>36</v>
      </c>
      <c r="G6631" s="80" t="s">
        <v>41</v>
      </c>
      <c r="H6631" s="80" t="s">
        <v>20978</v>
      </c>
      <c r="I6631" s="17">
        <f ca="1">IFERROR(__xludf.DUMMYFUNCTION("""COMPUTED_VALUE"""),45727)</f>
        <v>45727</v>
      </c>
      <c r="J6631" s="143" t="s">
        <v>21053</v>
      </c>
      <c r="K6631" s="80" t="s">
        <v>21054</v>
      </c>
      <c r="L6631" s="30">
        <v>584724725</v>
      </c>
      <c r="M6631" s="80" t="s">
        <v>9422</v>
      </c>
      <c r="N6631" s="80" t="s">
        <v>327</v>
      </c>
      <c r="O6631" s="80" t="s">
        <v>21055</v>
      </c>
      <c r="P6631" s="80" t="s">
        <v>21046</v>
      </c>
      <c r="Q6631" s="20">
        <v>5736</v>
      </c>
      <c r="R6631" s="80" t="s">
        <v>11421</v>
      </c>
      <c r="S6631" s="95">
        <v>5436</v>
      </c>
      <c r="T6631" s="148">
        <v>45716</v>
      </c>
      <c r="U6631" s="77"/>
      <c r="V6631" s="78"/>
      <c r="W6631" s="85" t="s">
        <v>21056</v>
      </c>
      <c r="X6631" s="80"/>
      <c r="Y6631" s="22">
        <v>300</v>
      </c>
      <c r="Z6631" s="80" t="s">
        <v>50</v>
      </c>
      <c r="AA6631" s="82" t="s">
        <v>20522</v>
      </c>
      <c r="AB6631" s="80"/>
      <c r="AC6631" s="80" t="s">
        <v>53</v>
      </c>
      <c r="AD6631" s="80" t="s">
        <v>54</v>
      </c>
      <c r="AE6631" s="80"/>
      <c r="AF6631" s="17">
        <v>45724</v>
      </c>
      <c r="AG6631" s="80"/>
      <c r="AH6631" s="80"/>
      <c r="AI6631" s="147"/>
      <c r="AJ6631" s="80"/>
      <c r="AK6631" s="80"/>
      <c r="AL6631" s="35"/>
      <c r="AM6631" s="35"/>
      <c r="AN6631" s="35"/>
      <c r="AO6631" s="35"/>
      <c r="AP6631" s="35"/>
    </row>
    <row r="6632" spans="1:42" x14ac:dyDescent="0.2">
      <c r="A6632" s="38">
        <v>45732</v>
      </c>
      <c r="B6632" s="137" t="s">
        <v>37</v>
      </c>
      <c r="C6632" s="41" t="s">
        <v>118</v>
      </c>
      <c r="D6632" s="80" t="s">
        <v>36</v>
      </c>
      <c r="E6632" s="80" t="s">
        <v>139</v>
      </c>
      <c r="F6632" s="80" t="s">
        <v>10098</v>
      </c>
      <c r="G6632" s="80" t="s">
        <v>221</v>
      </c>
      <c r="H6632" s="80" t="s">
        <v>20117</v>
      </c>
      <c r="I6632" s="17">
        <f ca="1">IFERROR(__xludf.DUMMYFUNCTION("""COMPUTED_VALUE"""),45796)</f>
        <v>45796</v>
      </c>
      <c r="J6632" s="143" t="s">
        <v>15634</v>
      </c>
      <c r="K6632" s="80" t="s">
        <v>21057</v>
      </c>
      <c r="L6632" s="30">
        <v>347662995</v>
      </c>
      <c r="M6632" s="80" t="s">
        <v>910</v>
      </c>
      <c r="N6632" s="80" t="s">
        <v>3525</v>
      </c>
      <c r="O6632" s="80" t="s">
        <v>91</v>
      </c>
      <c r="P6632" s="144" t="s">
        <v>21058</v>
      </c>
      <c r="Q6632" s="20">
        <v>15936</v>
      </c>
      <c r="R6632" s="80" t="s">
        <v>70</v>
      </c>
      <c r="S6632" s="95">
        <v>2000</v>
      </c>
      <c r="T6632" s="148">
        <v>45560</v>
      </c>
      <c r="U6632" s="95">
        <v>13836</v>
      </c>
      <c r="V6632" s="148">
        <v>45587</v>
      </c>
      <c r="W6632" s="85" t="s">
        <v>15636</v>
      </c>
      <c r="X6632" s="80"/>
      <c r="Y6632" s="22">
        <v>100</v>
      </c>
      <c r="Z6632" s="80" t="s">
        <v>50</v>
      </c>
      <c r="AA6632" s="35" t="s">
        <v>9905</v>
      </c>
      <c r="AB6632" s="80"/>
      <c r="AC6632" s="80" t="s">
        <v>53</v>
      </c>
      <c r="AD6632" s="80" t="s">
        <v>138</v>
      </c>
      <c r="AE6632" s="80" t="s">
        <v>10098</v>
      </c>
      <c r="AF6632" s="17">
        <v>45791</v>
      </c>
      <c r="AG6632" s="80"/>
      <c r="AH6632" s="80"/>
      <c r="AI6632" s="147"/>
      <c r="AJ6632" s="80"/>
      <c r="AK6632" s="80"/>
      <c r="AL6632" s="35"/>
      <c r="AM6632" s="35"/>
      <c r="AN6632" s="35"/>
      <c r="AO6632" s="35"/>
      <c r="AP6632" s="35"/>
    </row>
    <row r="6633" spans="1:42" x14ac:dyDescent="0.2">
      <c r="A6633" s="38">
        <v>45732</v>
      </c>
      <c r="B6633" s="137" t="s">
        <v>37</v>
      </c>
      <c r="C6633" s="41" t="s">
        <v>118</v>
      </c>
      <c r="D6633" s="26" t="s">
        <v>36</v>
      </c>
      <c r="E6633" s="26" t="s">
        <v>139</v>
      </c>
      <c r="F6633" s="26" t="s">
        <v>9044</v>
      </c>
      <c r="G6633" s="153" t="s">
        <v>1705</v>
      </c>
      <c r="H6633" s="26" t="s">
        <v>20357</v>
      </c>
      <c r="I6633" s="17">
        <f ca="1">IFERROR(__xludf.DUMMYFUNCTION("""COMPUTED_VALUE"""),45567)</f>
        <v>45567</v>
      </c>
      <c r="J6633" s="29" t="s">
        <v>5244</v>
      </c>
      <c r="K6633" s="26" t="s">
        <v>5245</v>
      </c>
      <c r="L6633" s="30">
        <v>386723413</v>
      </c>
      <c r="M6633" s="26" t="s">
        <v>80</v>
      </c>
      <c r="N6633" s="26" t="s">
        <v>1073</v>
      </c>
      <c r="O6633" s="26" t="s">
        <v>5246</v>
      </c>
      <c r="P6633" s="42" t="s">
        <v>6096</v>
      </c>
      <c r="Q6633" s="20">
        <v>15936</v>
      </c>
      <c r="R6633" s="26" t="s">
        <v>36</v>
      </c>
      <c r="S6633" s="31">
        <v>200</v>
      </c>
      <c r="T6633" s="32">
        <v>45205</v>
      </c>
      <c r="U6633" s="31">
        <f>1800+13936</f>
        <v>15736</v>
      </c>
      <c r="V6633" s="26" t="s">
        <v>5248</v>
      </c>
      <c r="W6633" s="33" t="s">
        <v>5249</v>
      </c>
      <c r="X6633" s="26"/>
      <c r="Y6633" s="22">
        <v>0</v>
      </c>
      <c r="Z6633" s="26" t="s">
        <v>118</v>
      </c>
      <c r="AA6633" s="19" t="s">
        <v>5112</v>
      </c>
      <c r="AB6633" s="26" t="s">
        <v>36</v>
      </c>
      <c r="AC6633" s="26" t="s">
        <v>53</v>
      </c>
      <c r="AD6633" s="19" t="s">
        <v>54</v>
      </c>
      <c r="AE6633" s="26" t="s">
        <v>9044</v>
      </c>
      <c r="AF6633" s="17">
        <v>45733</v>
      </c>
      <c r="AG6633" s="26"/>
      <c r="AH6633" s="26"/>
      <c r="AI6633" s="40" t="s">
        <v>147</v>
      </c>
      <c r="AJ6633" s="26"/>
      <c r="AK6633" s="26"/>
      <c r="AL6633" s="35"/>
      <c r="AM6633" s="35"/>
      <c r="AN6633" s="35"/>
      <c r="AO6633" s="35"/>
      <c r="AP6633" s="35"/>
    </row>
    <row r="6634" spans="1:42" x14ac:dyDescent="0.2">
      <c r="A6634" s="38">
        <v>45732</v>
      </c>
      <c r="B6634" s="137" t="s">
        <v>37</v>
      </c>
      <c r="C6634" s="41" t="s">
        <v>118</v>
      </c>
      <c r="D6634" s="80" t="s">
        <v>36</v>
      </c>
      <c r="E6634" s="80" t="s">
        <v>139</v>
      </c>
      <c r="F6634" s="80" t="s">
        <v>16656</v>
      </c>
      <c r="G6634" s="80" t="s">
        <v>221</v>
      </c>
      <c r="H6634" s="80" t="s">
        <v>20208</v>
      </c>
      <c r="I6634" s="17">
        <f ca="1">IFERROR(__xludf.DUMMYFUNCTION("""COMPUTED_VALUE"""),45736)</f>
        <v>45736</v>
      </c>
      <c r="J6634" s="143" t="s">
        <v>15025</v>
      </c>
      <c r="K6634" s="80" t="s">
        <v>16760</v>
      </c>
      <c r="L6634" s="30">
        <v>357686640</v>
      </c>
      <c r="M6634" s="80" t="s">
        <v>5429</v>
      </c>
      <c r="N6634" s="80" t="s">
        <v>756</v>
      </c>
      <c r="O6634" s="80" t="s">
        <v>15027</v>
      </c>
      <c r="P6634" s="80" t="s">
        <v>16761</v>
      </c>
      <c r="Q6634" s="20">
        <v>15936</v>
      </c>
      <c r="R6634" s="80" t="s">
        <v>36</v>
      </c>
      <c r="S6634" s="95">
        <f>200+1800</f>
        <v>2000</v>
      </c>
      <c r="T6634" s="83" t="s">
        <v>15028</v>
      </c>
      <c r="U6634" s="95">
        <v>13936</v>
      </c>
      <c r="V6634" s="148">
        <v>45571</v>
      </c>
      <c r="W6634" s="85" t="s">
        <v>15029</v>
      </c>
      <c r="X6634" s="80"/>
      <c r="Y6634" s="22">
        <v>0</v>
      </c>
      <c r="Z6634" s="80" t="s">
        <v>50</v>
      </c>
      <c r="AA6634" s="35" t="s">
        <v>9905</v>
      </c>
      <c r="AB6634" s="80"/>
      <c r="AC6634" s="80" t="s">
        <v>53</v>
      </c>
      <c r="AD6634" s="80" t="s">
        <v>138</v>
      </c>
      <c r="AE6634" s="80" t="s">
        <v>16656</v>
      </c>
      <c r="AF6634" s="17">
        <v>45736</v>
      </c>
      <c r="AG6634" s="80"/>
      <c r="AH6634" s="80"/>
      <c r="AI6634" s="147"/>
      <c r="AJ6634" s="80"/>
      <c r="AK6634" s="80"/>
      <c r="AL6634" s="35"/>
      <c r="AM6634" s="35"/>
      <c r="AN6634" s="35"/>
      <c r="AO6634" s="35"/>
      <c r="AP6634" s="35"/>
    </row>
    <row r="6635" spans="1:42" x14ac:dyDescent="0.2">
      <c r="A6635" s="38">
        <v>45732</v>
      </c>
      <c r="B6635" s="137" t="s">
        <v>37</v>
      </c>
      <c r="C6635" s="41" t="s">
        <v>118</v>
      </c>
      <c r="D6635" s="80" t="s">
        <v>36</v>
      </c>
      <c r="E6635" s="80" t="s">
        <v>139</v>
      </c>
      <c r="F6635" s="80" t="s">
        <v>14082</v>
      </c>
      <c r="G6635" s="80" t="s">
        <v>221</v>
      </c>
      <c r="H6635" s="80" t="s">
        <v>20146</v>
      </c>
      <c r="I6635" s="17">
        <f ca="1">IFERROR(__xludf.DUMMYFUNCTION("""COMPUTED_VALUE"""),45747)</f>
        <v>45747</v>
      </c>
      <c r="J6635" s="143" t="s">
        <v>15657</v>
      </c>
      <c r="K6635" s="145" t="s">
        <v>21059</v>
      </c>
      <c r="L6635" s="30">
        <v>984037461</v>
      </c>
      <c r="M6635" s="80" t="s">
        <v>3498</v>
      </c>
      <c r="N6635" s="80" t="s">
        <v>2756</v>
      </c>
      <c r="O6635" s="80" t="s">
        <v>4503</v>
      </c>
      <c r="P6635" s="80" t="s">
        <v>8055</v>
      </c>
      <c r="Q6635" s="20">
        <v>15936</v>
      </c>
      <c r="R6635" s="80" t="s">
        <v>36</v>
      </c>
      <c r="S6635" s="95">
        <f>200+3000</f>
        <v>3200</v>
      </c>
      <c r="T6635" s="83" t="s">
        <v>15659</v>
      </c>
      <c r="U6635" s="95">
        <v>12736</v>
      </c>
      <c r="V6635" s="148">
        <v>45583</v>
      </c>
      <c r="W6635" s="85" t="s">
        <v>15660</v>
      </c>
      <c r="X6635" s="80"/>
      <c r="Y6635" s="22">
        <v>0</v>
      </c>
      <c r="Z6635" s="80" t="s">
        <v>50</v>
      </c>
      <c r="AA6635" s="96" t="s">
        <v>9905</v>
      </c>
      <c r="AB6635" s="80"/>
      <c r="AC6635" s="80" t="s">
        <v>53</v>
      </c>
      <c r="AD6635" s="80" t="s">
        <v>138</v>
      </c>
      <c r="AE6635" s="80" t="s">
        <v>14082</v>
      </c>
      <c r="AF6635" s="17">
        <v>45747</v>
      </c>
      <c r="AG6635" s="80"/>
      <c r="AH6635" s="80"/>
      <c r="AI6635" s="147"/>
      <c r="AJ6635" s="80"/>
      <c r="AK6635" s="80"/>
      <c r="AL6635" s="35"/>
      <c r="AM6635" s="35"/>
      <c r="AN6635" s="35"/>
      <c r="AO6635" s="35"/>
      <c r="AP6635" s="35"/>
    </row>
    <row r="6636" spans="1:42" x14ac:dyDescent="0.2">
      <c r="A6636" s="38">
        <v>45732</v>
      </c>
      <c r="B6636" s="137" t="s">
        <v>37</v>
      </c>
      <c r="C6636" s="41" t="s">
        <v>118</v>
      </c>
      <c r="D6636" s="26" t="s">
        <v>36</v>
      </c>
      <c r="E6636" s="26" t="s">
        <v>119</v>
      </c>
      <c r="F6636" s="26" t="s">
        <v>11436</v>
      </c>
      <c r="G6636" s="26" t="s">
        <v>1705</v>
      </c>
      <c r="H6636" s="26" t="s">
        <v>20185</v>
      </c>
      <c r="I6636" s="17">
        <f ca="1">IFERROR(__xludf.DUMMYFUNCTION("""COMPUTED_VALUE"""),45735)</f>
        <v>45735</v>
      </c>
      <c r="J6636" s="29" t="s">
        <v>10556</v>
      </c>
      <c r="K6636" s="26" t="s">
        <v>21060</v>
      </c>
      <c r="L6636" s="30">
        <v>971214206</v>
      </c>
      <c r="M6636" s="26" t="s">
        <v>5429</v>
      </c>
      <c r="N6636" s="26" t="s">
        <v>9997</v>
      </c>
      <c r="O6636" s="26" t="s">
        <v>10558</v>
      </c>
      <c r="P6636" s="26" t="s">
        <v>10559</v>
      </c>
      <c r="Q6636" s="20">
        <v>13968</v>
      </c>
      <c r="R6636" s="26" t="s">
        <v>36</v>
      </c>
      <c r="S6636" s="95">
        <f>200+3800</f>
        <v>4000</v>
      </c>
      <c r="T6636" s="83" t="s">
        <v>10560</v>
      </c>
      <c r="U6636" s="95">
        <v>9968</v>
      </c>
      <c r="V6636" s="148">
        <v>45524</v>
      </c>
      <c r="W6636" s="33" t="s">
        <v>10561</v>
      </c>
      <c r="X6636" s="26">
        <v>0</v>
      </c>
      <c r="Y6636" s="22">
        <v>0</v>
      </c>
      <c r="Z6636" s="26" t="s">
        <v>50</v>
      </c>
      <c r="AA6636" s="35" t="s">
        <v>10314</v>
      </c>
      <c r="AB6636" s="26"/>
      <c r="AC6636" s="26" t="s">
        <v>53</v>
      </c>
      <c r="AD6636" s="26" t="s">
        <v>54</v>
      </c>
      <c r="AE6636" s="26" t="s">
        <v>11436</v>
      </c>
      <c r="AF6636" s="17">
        <v>45735</v>
      </c>
      <c r="AG6636" s="26"/>
      <c r="AH6636" s="26"/>
      <c r="AI6636" s="40"/>
      <c r="AJ6636" s="26"/>
      <c r="AK6636" s="26"/>
      <c r="AL6636" s="35"/>
      <c r="AM6636" s="35"/>
      <c r="AN6636" s="35"/>
      <c r="AO6636" s="35"/>
      <c r="AP6636" s="35"/>
    </row>
    <row r="6637" spans="1:42" x14ac:dyDescent="0.2">
      <c r="A6637" s="38">
        <v>45733</v>
      </c>
      <c r="B6637" s="28" t="s">
        <v>37</v>
      </c>
      <c r="C6637" s="41" t="s">
        <v>118</v>
      </c>
      <c r="D6637" s="80" t="s">
        <v>36</v>
      </c>
      <c r="E6637" s="80" t="s">
        <v>139</v>
      </c>
      <c r="F6637" s="80" t="s">
        <v>13913</v>
      </c>
      <c r="G6637" s="80" t="s">
        <v>108</v>
      </c>
      <c r="H6637" s="80" t="s">
        <v>21061</v>
      </c>
      <c r="I6637" s="17">
        <f ca="1">IFERROR(__xludf.DUMMYFUNCTION("""COMPUTED_VALUE"""),45842)</f>
        <v>45842</v>
      </c>
      <c r="J6637" s="172" t="s">
        <v>12271</v>
      </c>
      <c r="K6637" s="80" t="s">
        <v>21062</v>
      </c>
      <c r="L6637" s="30">
        <v>372502534</v>
      </c>
      <c r="M6637" s="80" t="s">
        <v>5429</v>
      </c>
      <c r="N6637" s="80" t="s">
        <v>1384</v>
      </c>
      <c r="O6637" s="80" t="s">
        <v>12272</v>
      </c>
      <c r="P6637" s="80" t="s">
        <v>12273</v>
      </c>
      <c r="Q6637" s="20">
        <v>15936</v>
      </c>
      <c r="R6637" s="80" t="s">
        <v>36</v>
      </c>
      <c r="S6637" s="95">
        <v>2000</v>
      </c>
      <c r="T6637" s="148">
        <v>45519</v>
      </c>
      <c r="U6637" s="95">
        <v>13936</v>
      </c>
      <c r="V6637" s="148">
        <v>45553</v>
      </c>
      <c r="W6637" s="85" t="s">
        <v>12274</v>
      </c>
      <c r="X6637" s="80">
        <v>0</v>
      </c>
      <c r="Y6637" s="22">
        <v>0</v>
      </c>
      <c r="Z6637" s="80" t="s">
        <v>50</v>
      </c>
      <c r="AA6637" s="96" t="s">
        <v>3291</v>
      </c>
      <c r="AB6637" s="80"/>
      <c r="AC6637" s="80" t="s">
        <v>53</v>
      </c>
      <c r="AD6637" s="80" t="s">
        <v>54</v>
      </c>
      <c r="AE6637" s="80" t="s">
        <v>13913</v>
      </c>
      <c r="AF6637" s="17">
        <v>45742</v>
      </c>
      <c r="AG6637" s="80" t="s">
        <v>21063</v>
      </c>
      <c r="AH6637" s="80"/>
      <c r="AI6637" s="147" t="s">
        <v>147</v>
      </c>
      <c r="AJ6637" s="80"/>
      <c r="AK6637" s="80"/>
      <c r="AL6637" s="35"/>
      <c r="AM6637" s="35"/>
      <c r="AN6637" s="35"/>
      <c r="AO6637" s="35"/>
      <c r="AP6637" s="35"/>
    </row>
    <row r="6638" spans="1:42" x14ac:dyDescent="0.2">
      <c r="A6638" s="38">
        <v>45733</v>
      </c>
      <c r="B6638" s="137" t="s">
        <v>37</v>
      </c>
      <c r="C6638" s="41" t="s">
        <v>118</v>
      </c>
      <c r="D6638" s="80" t="s">
        <v>36</v>
      </c>
      <c r="E6638" s="80" t="s">
        <v>139</v>
      </c>
      <c r="F6638" s="26" t="s">
        <v>13976</v>
      </c>
      <c r="G6638" s="26" t="s">
        <v>221</v>
      </c>
      <c r="H6638" s="26" t="s">
        <v>20332</v>
      </c>
      <c r="I6638" s="17">
        <f ca="1">IFERROR(__xludf.DUMMYFUNCTION("""COMPUTED_VALUE"""),45834)</f>
        <v>45834</v>
      </c>
      <c r="J6638" s="143" t="s">
        <v>21064</v>
      </c>
      <c r="K6638" s="80" t="s">
        <v>21065</v>
      </c>
      <c r="L6638" s="30">
        <v>911045978</v>
      </c>
      <c r="M6638" s="80" t="s">
        <v>5518</v>
      </c>
      <c r="N6638" s="80" t="s">
        <v>253</v>
      </c>
      <c r="O6638" s="80" t="s">
        <v>13984</v>
      </c>
      <c r="P6638" s="80" t="s">
        <v>13985</v>
      </c>
      <c r="Q6638" s="20">
        <v>15936</v>
      </c>
      <c r="R6638" s="80" t="s">
        <v>36</v>
      </c>
      <c r="S6638" s="95">
        <v>2000</v>
      </c>
      <c r="T6638" s="148">
        <v>45542</v>
      </c>
      <c r="U6638" s="95">
        <v>13936</v>
      </c>
      <c r="V6638" s="148">
        <v>45571</v>
      </c>
      <c r="W6638" s="85" t="s">
        <v>13986</v>
      </c>
      <c r="X6638" s="80"/>
      <c r="Y6638" s="22">
        <v>0</v>
      </c>
      <c r="Z6638" s="80" t="s">
        <v>50</v>
      </c>
      <c r="AA6638" s="86"/>
      <c r="AB6638" s="80"/>
      <c r="AC6638" s="80" t="s">
        <v>53</v>
      </c>
      <c r="AD6638" s="80" t="s">
        <v>54</v>
      </c>
      <c r="AE6638" s="26" t="s">
        <v>13976</v>
      </c>
      <c r="AF6638" s="17">
        <v>45733</v>
      </c>
      <c r="AG6638" s="80"/>
      <c r="AH6638" s="80"/>
      <c r="AI6638" s="147"/>
      <c r="AJ6638" s="80"/>
      <c r="AK6638" s="80"/>
      <c r="AL6638" s="35"/>
      <c r="AM6638" s="35"/>
      <c r="AN6638" s="35"/>
      <c r="AO6638" s="35"/>
      <c r="AP6638" s="35"/>
    </row>
    <row r="6639" spans="1:42" x14ac:dyDescent="0.2">
      <c r="A6639" s="38">
        <v>45733</v>
      </c>
      <c r="B6639" s="137" t="s">
        <v>37</v>
      </c>
      <c r="C6639" s="41" t="s">
        <v>118</v>
      </c>
      <c r="D6639" s="80" t="s">
        <v>36</v>
      </c>
      <c r="E6639" s="80" t="s">
        <v>56</v>
      </c>
      <c r="F6639" s="80" t="s">
        <v>14082</v>
      </c>
      <c r="G6639" s="80" t="s">
        <v>221</v>
      </c>
      <c r="H6639" s="80" t="s">
        <v>20146</v>
      </c>
      <c r="I6639" s="17">
        <f ca="1">IFERROR(__xludf.DUMMYFUNCTION("""COMPUTED_VALUE"""),45747)</f>
        <v>45747</v>
      </c>
      <c r="J6639" s="143" t="s">
        <v>13552</v>
      </c>
      <c r="K6639" s="80" t="s">
        <v>21066</v>
      </c>
      <c r="L6639" s="30">
        <v>333462071</v>
      </c>
      <c r="M6639" s="80" t="s">
        <v>59</v>
      </c>
      <c r="N6639" s="80" t="s">
        <v>4299</v>
      </c>
      <c r="O6639" s="80" t="s">
        <v>13554</v>
      </c>
      <c r="P6639" s="80" t="s">
        <v>13555</v>
      </c>
      <c r="Q6639" s="20">
        <v>9317</v>
      </c>
      <c r="R6639" s="80" t="s">
        <v>70</v>
      </c>
      <c r="S6639" s="95">
        <f>200+9017</f>
        <v>9217</v>
      </c>
      <c r="T6639" s="83" t="s">
        <v>13556</v>
      </c>
      <c r="U6639" s="77"/>
      <c r="V6639" s="78"/>
      <c r="W6639" s="85" t="s">
        <v>13557</v>
      </c>
      <c r="X6639" s="80">
        <v>100</v>
      </c>
      <c r="Y6639" s="22">
        <v>0</v>
      </c>
      <c r="Z6639" s="80" t="s">
        <v>50</v>
      </c>
      <c r="AA6639" s="96" t="s">
        <v>3291</v>
      </c>
      <c r="AB6639" s="80"/>
      <c r="AC6639" s="80" t="s">
        <v>53</v>
      </c>
      <c r="AD6639" s="80" t="s">
        <v>138</v>
      </c>
      <c r="AE6639" s="80" t="s">
        <v>14082</v>
      </c>
      <c r="AF6639" s="17">
        <v>45747</v>
      </c>
      <c r="AG6639" s="80"/>
      <c r="AH6639" s="80"/>
      <c r="AI6639" s="147" t="s">
        <v>64</v>
      </c>
      <c r="AJ6639" s="80"/>
      <c r="AK6639" s="80"/>
      <c r="AL6639" s="35"/>
      <c r="AM6639" s="35"/>
      <c r="AN6639" s="35"/>
      <c r="AO6639" s="35"/>
      <c r="AP6639" s="35"/>
    </row>
    <row r="6640" spans="1:42" x14ac:dyDescent="0.2">
      <c r="A6640" s="38">
        <v>45733</v>
      </c>
      <c r="B6640" s="137" t="s">
        <v>37</v>
      </c>
      <c r="C6640" s="41" t="s">
        <v>118</v>
      </c>
      <c r="D6640" s="80" t="s">
        <v>36</v>
      </c>
      <c r="E6640" s="80" t="s">
        <v>139</v>
      </c>
      <c r="F6640" s="80" t="s">
        <v>14342</v>
      </c>
      <c r="G6640" s="80" t="s">
        <v>221</v>
      </c>
      <c r="H6640" s="80" t="s">
        <v>8400</v>
      </c>
      <c r="I6640" s="17">
        <f ca="1">IFERROR(__xludf.DUMMYFUNCTION("""COMPUTED_VALUE"""),45750)</f>
        <v>45750</v>
      </c>
      <c r="J6640" s="143" t="s">
        <v>12904</v>
      </c>
      <c r="K6640" s="80" t="s">
        <v>14351</v>
      </c>
      <c r="L6640" s="30">
        <v>399769205</v>
      </c>
      <c r="M6640" s="80" t="s">
        <v>5558</v>
      </c>
      <c r="N6640" s="80" t="s">
        <v>5559</v>
      </c>
      <c r="O6640" s="80" t="s">
        <v>4503</v>
      </c>
      <c r="P6640" s="80" t="s">
        <v>12906</v>
      </c>
      <c r="Q6640" s="20">
        <v>15936</v>
      </c>
      <c r="R6640" s="80" t="s">
        <v>36</v>
      </c>
      <c r="S6640" s="95">
        <f>200+2000</f>
        <v>2200</v>
      </c>
      <c r="T6640" s="83" t="s">
        <v>12907</v>
      </c>
      <c r="U6640" s="95">
        <v>13736</v>
      </c>
      <c r="V6640" s="148">
        <v>45556</v>
      </c>
      <c r="W6640" s="85" t="s">
        <v>12908</v>
      </c>
      <c r="X6640" s="80">
        <v>0</v>
      </c>
      <c r="Y6640" s="22">
        <v>0</v>
      </c>
      <c r="Z6640" s="80" t="s">
        <v>50</v>
      </c>
      <c r="AA6640" s="35" t="s">
        <v>3291</v>
      </c>
      <c r="AB6640" s="80"/>
      <c r="AC6640" s="80" t="s">
        <v>53</v>
      </c>
      <c r="AD6640" s="80" t="s">
        <v>138</v>
      </c>
      <c r="AE6640" s="80" t="s">
        <v>14342</v>
      </c>
      <c r="AF6640" s="17">
        <v>45750</v>
      </c>
      <c r="AG6640" s="80"/>
      <c r="AH6640" s="80"/>
      <c r="AI6640" s="147" t="s">
        <v>147</v>
      </c>
      <c r="AJ6640" s="80"/>
      <c r="AK6640" s="80"/>
      <c r="AL6640" s="35"/>
      <c r="AM6640" s="35"/>
      <c r="AN6640" s="35"/>
      <c r="AO6640" s="35"/>
      <c r="AP6640" s="35"/>
    </row>
    <row r="6641" spans="1:42" x14ac:dyDescent="0.2">
      <c r="A6641" s="38">
        <v>45733</v>
      </c>
      <c r="B6641" s="137" t="s">
        <v>37</v>
      </c>
      <c r="C6641" s="41" t="s">
        <v>118</v>
      </c>
      <c r="D6641" s="80" t="s">
        <v>36</v>
      </c>
      <c r="E6641" s="80" t="s">
        <v>56</v>
      </c>
      <c r="F6641" s="80" t="s">
        <v>14429</v>
      </c>
      <c r="G6641" s="80" t="s">
        <v>221</v>
      </c>
      <c r="H6641" s="80" t="s">
        <v>8400</v>
      </c>
      <c r="I6641" s="17">
        <f ca="1">IFERROR(__xludf.DUMMYFUNCTION("""COMPUTED_VALUE"""),45750)</f>
        <v>45750</v>
      </c>
      <c r="J6641" s="172" t="s">
        <v>14533</v>
      </c>
      <c r="K6641" s="80" t="s">
        <v>21067</v>
      </c>
      <c r="L6641" s="30">
        <v>343729621</v>
      </c>
      <c r="M6641" s="80" t="s">
        <v>45</v>
      </c>
      <c r="N6641" s="80" t="s">
        <v>1472</v>
      </c>
      <c r="O6641" s="80" t="s">
        <v>12802</v>
      </c>
      <c r="P6641" s="80" t="s">
        <v>3694</v>
      </c>
      <c r="Q6641" s="20">
        <v>9317</v>
      </c>
      <c r="R6641" s="80" t="s">
        <v>36</v>
      </c>
      <c r="S6641" s="95">
        <v>9317</v>
      </c>
      <c r="T6641" s="148">
        <v>45534</v>
      </c>
      <c r="U6641" s="77"/>
      <c r="V6641" s="78"/>
      <c r="W6641" s="85" t="s">
        <v>12803</v>
      </c>
      <c r="X6641" s="80">
        <v>0</v>
      </c>
      <c r="Y6641" s="22">
        <v>0</v>
      </c>
      <c r="Z6641" s="80" t="s">
        <v>50</v>
      </c>
      <c r="AA6641" s="96" t="s">
        <v>3291</v>
      </c>
      <c r="AB6641" s="80"/>
      <c r="AC6641" s="80" t="s">
        <v>53</v>
      </c>
      <c r="AD6641" s="80" t="s">
        <v>138</v>
      </c>
      <c r="AE6641" s="80" t="s">
        <v>14429</v>
      </c>
      <c r="AF6641" s="17">
        <v>45750</v>
      </c>
      <c r="AG6641" s="80"/>
      <c r="AH6641" s="80"/>
      <c r="AI6641" s="147" t="s">
        <v>64</v>
      </c>
      <c r="AJ6641" s="80"/>
      <c r="AK6641" s="80"/>
      <c r="AL6641" s="35"/>
      <c r="AM6641" s="35"/>
      <c r="AN6641" s="35"/>
      <c r="AO6641" s="35"/>
      <c r="AP6641" s="35"/>
    </row>
    <row r="6642" spans="1:42" x14ac:dyDescent="0.2">
      <c r="A6642" s="38">
        <v>45733</v>
      </c>
      <c r="B6642" s="137" t="s">
        <v>37</v>
      </c>
      <c r="C6642" s="41" t="s">
        <v>118</v>
      </c>
      <c r="D6642" s="80" t="s">
        <v>36</v>
      </c>
      <c r="E6642" s="80" t="s">
        <v>139</v>
      </c>
      <c r="F6642" s="80" t="s">
        <v>16651</v>
      </c>
      <c r="G6642" s="80" t="s">
        <v>221</v>
      </c>
      <c r="H6642" s="80" t="s">
        <v>20097</v>
      </c>
      <c r="I6642" s="17">
        <f ca="1">IFERROR(__xludf.DUMMYFUNCTION("""COMPUTED_VALUE"""),45735)</f>
        <v>45735</v>
      </c>
      <c r="J6642" s="143" t="s">
        <v>13187</v>
      </c>
      <c r="K6642" s="80" t="s">
        <v>16652</v>
      </c>
      <c r="L6642" s="30">
        <v>837987735</v>
      </c>
      <c r="M6642" s="80" t="s">
        <v>45</v>
      </c>
      <c r="N6642" s="80" t="s">
        <v>11703</v>
      </c>
      <c r="O6642" s="80" t="s">
        <v>13189</v>
      </c>
      <c r="P6642" s="115" t="s">
        <v>21068</v>
      </c>
      <c r="Q6642" s="20">
        <v>15936</v>
      </c>
      <c r="R6642" s="80" t="s">
        <v>36</v>
      </c>
      <c r="S6642" s="178">
        <f>500+15436</f>
        <v>15936</v>
      </c>
      <c r="T6642" s="83" t="s">
        <v>13191</v>
      </c>
      <c r="U6642" s="77"/>
      <c r="V6642" s="174"/>
      <c r="W6642" s="80" t="s">
        <v>13192</v>
      </c>
      <c r="X6642" s="83">
        <v>0</v>
      </c>
      <c r="Y6642" s="22">
        <v>0</v>
      </c>
      <c r="Z6642" s="81" t="s">
        <v>50</v>
      </c>
      <c r="AA6642" s="86" t="s">
        <v>3291</v>
      </c>
      <c r="AB6642" s="80"/>
      <c r="AC6642" s="80" t="s">
        <v>53</v>
      </c>
      <c r="AD6642" s="80" t="s">
        <v>138</v>
      </c>
      <c r="AE6642" s="80" t="s">
        <v>16651</v>
      </c>
      <c r="AF6642" s="17">
        <v>45733</v>
      </c>
      <c r="AG6642" s="80"/>
      <c r="AH6642" s="80"/>
      <c r="AI6642" s="147" t="s">
        <v>147</v>
      </c>
      <c r="AJ6642" s="80"/>
      <c r="AK6642" s="80"/>
      <c r="AL6642" s="86"/>
      <c r="AM6642" s="86"/>
      <c r="AN6642" s="86"/>
      <c r="AO6642" s="86"/>
      <c r="AP6642" s="35"/>
    </row>
    <row r="6643" spans="1:42" x14ac:dyDescent="0.2">
      <c r="A6643" s="38">
        <v>45733</v>
      </c>
      <c r="B6643" s="137" t="s">
        <v>37</v>
      </c>
      <c r="C6643" s="41" t="s">
        <v>118</v>
      </c>
      <c r="D6643" s="80" t="s">
        <v>36</v>
      </c>
      <c r="E6643" s="80" t="s">
        <v>139</v>
      </c>
      <c r="F6643" s="80" t="s">
        <v>16651</v>
      </c>
      <c r="G6643" s="80" t="s">
        <v>221</v>
      </c>
      <c r="H6643" s="80" t="s">
        <v>20144</v>
      </c>
      <c r="I6643" s="17">
        <f ca="1">IFERROR(__xludf.DUMMYFUNCTION("""COMPUTED_VALUE"""),45785)</f>
        <v>45785</v>
      </c>
      <c r="J6643" s="143" t="s">
        <v>15563</v>
      </c>
      <c r="K6643" s="80" t="s">
        <v>21069</v>
      </c>
      <c r="L6643" s="30">
        <v>866429655</v>
      </c>
      <c r="M6643" s="80" t="s">
        <v>2755</v>
      </c>
      <c r="N6643" s="80" t="s">
        <v>4402</v>
      </c>
      <c r="O6643" s="80" t="s">
        <v>4503</v>
      </c>
      <c r="P6643" s="144" t="s">
        <v>21070</v>
      </c>
      <c r="Q6643" s="20">
        <v>15936</v>
      </c>
      <c r="R6643" s="80" t="s">
        <v>36</v>
      </c>
      <c r="S6643" s="95">
        <v>2000</v>
      </c>
      <c r="T6643" s="83" t="s">
        <v>15566</v>
      </c>
      <c r="U6643" s="95">
        <v>13936</v>
      </c>
      <c r="V6643" s="148" t="s">
        <v>15567</v>
      </c>
      <c r="W6643" s="80" t="s">
        <v>15568</v>
      </c>
      <c r="X6643" s="80"/>
      <c r="Y6643" s="22">
        <v>0</v>
      </c>
      <c r="Z6643" s="81" t="s">
        <v>50</v>
      </c>
      <c r="AA6643" s="82" t="s">
        <v>9905</v>
      </c>
      <c r="AB6643" s="80"/>
      <c r="AC6643" s="80" t="s">
        <v>53</v>
      </c>
      <c r="AD6643" s="80" t="s">
        <v>54</v>
      </c>
      <c r="AE6643" s="80" t="s">
        <v>16651</v>
      </c>
      <c r="AF6643" s="17">
        <v>45733</v>
      </c>
      <c r="AG6643" s="80"/>
      <c r="AH6643" s="80"/>
      <c r="AI6643" s="147"/>
      <c r="AJ6643" s="80"/>
      <c r="AK6643" s="80"/>
      <c r="AL6643" s="86"/>
      <c r="AM6643" s="86"/>
      <c r="AN6643" s="86"/>
      <c r="AO6643" s="86"/>
      <c r="AP6643" s="35"/>
    </row>
    <row r="6644" spans="1:42" x14ac:dyDescent="0.2">
      <c r="A6644" s="38">
        <v>45733</v>
      </c>
      <c r="B6644" s="28" t="s">
        <v>37</v>
      </c>
      <c r="C6644" s="41" t="s">
        <v>118</v>
      </c>
      <c r="D6644" s="26" t="s">
        <v>36</v>
      </c>
      <c r="E6644" s="26" t="s">
        <v>148</v>
      </c>
      <c r="F6644" s="26" t="s">
        <v>4576</v>
      </c>
      <c r="G6644" s="26" t="s">
        <v>221</v>
      </c>
      <c r="H6644" s="26" t="s">
        <v>9055</v>
      </c>
      <c r="I6644" s="17">
        <f ca="1">IFERROR(__xludf.DUMMYFUNCTION("""COMPUTED_VALUE"""),45739)</f>
        <v>45739</v>
      </c>
      <c r="J6644" s="29" t="s">
        <v>4591</v>
      </c>
      <c r="K6644" s="26" t="s">
        <v>21071</v>
      </c>
      <c r="L6644" s="30">
        <v>878915855</v>
      </c>
      <c r="M6644" s="26" t="s">
        <v>391</v>
      </c>
      <c r="N6644" s="26" t="s">
        <v>584</v>
      </c>
      <c r="O6644" s="26" t="s">
        <v>91</v>
      </c>
      <c r="P6644" s="26" t="s">
        <v>4593</v>
      </c>
      <c r="Q6644" s="20">
        <v>7349</v>
      </c>
      <c r="R6644" s="26" t="s">
        <v>36</v>
      </c>
      <c r="S6644" s="31">
        <v>16968</v>
      </c>
      <c r="T6644" s="32">
        <v>45132</v>
      </c>
      <c r="U6644" s="31"/>
      <c r="V6644" s="26"/>
      <c r="W6644" s="33" t="s">
        <v>4594</v>
      </c>
      <c r="X6644" s="26"/>
      <c r="Y6644" s="22">
        <v>-9619</v>
      </c>
      <c r="Z6644" s="26" t="s">
        <v>118</v>
      </c>
      <c r="AA6644" s="19" t="s">
        <v>4541</v>
      </c>
      <c r="AB6644" s="80"/>
      <c r="AC6644" s="26" t="s">
        <v>53</v>
      </c>
      <c r="AD6644" s="19" t="s">
        <v>54</v>
      </c>
      <c r="AE6644" s="72" t="s">
        <v>21072</v>
      </c>
      <c r="AF6644" s="43">
        <v>45257</v>
      </c>
      <c r="AG6644" s="72"/>
      <c r="AH6644" s="26"/>
      <c r="AI6644" s="40"/>
      <c r="AJ6644" s="26"/>
      <c r="AK6644" s="26"/>
      <c r="AL6644" s="35"/>
      <c r="AM6644" s="35"/>
      <c r="AN6644" s="35"/>
      <c r="AO6644" s="35"/>
      <c r="AP6644" s="35"/>
    </row>
    <row r="6645" spans="1:42" x14ac:dyDescent="0.2">
      <c r="A6645" s="38">
        <v>45733</v>
      </c>
      <c r="B6645" s="28" t="s">
        <v>37</v>
      </c>
      <c r="C6645" s="41" t="s">
        <v>118</v>
      </c>
      <c r="D6645" s="80" t="s">
        <v>36</v>
      </c>
      <c r="E6645" s="80" t="s">
        <v>56</v>
      </c>
      <c r="F6645" s="80" t="s">
        <v>13976</v>
      </c>
      <c r="G6645" s="80" t="s">
        <v>221</v>
      </c>
      <c r="H6645" s="80" t="s">
        <v>19622</v>
      </c>
      <c r="I6645" s="17">
        <f ca="1">IFERROR(__xludf.DUMMYFUNCTION("""COMPUTED_VALUE"""),45741)</f>
        <v>45741</v>
      </c>
      <c r="J6645" s="143" t="s">
        <v>12831</v>
      </c>
      <c r="K6645" s="145" t="s">
        <v>14151</v>
      </c>
      <c r="L6645" s="30">
        <v>522232166</v>
      </c>
      <c r="M6645" s="80" t="s">
        <v>59</v>
      </c>
      <c r="N6645" s="80" t="s">
        <v>68</v>
      </c>
      <c r="O6645" s="80" t="s">
        <v>12833</v>
      </c>
      <c r="P6645" s="144" t="s">
        <v>14152</v>
      </c>
      <c r="Q6645" s="20">
        <v>9317</v>
      </c>
      <c r="R6645" s="80" t="s">
        <v>36</v>
      </c>
      <c r="S6645" s="95">
        <v>9317</v>
      </c>
      <c r="T6645" s="148">
        <v>45541</v>
      </c>
      <c r="U6645" s="77"/>
      <c r="V6645" s="78"/>
      <c r="W6645" s="85" t="s">
        <v>12835</v>
      </c>
      <c r="X6645" s="80">
        <v>0</v>
      </c>
      <c r="Y6645" s="22">
        <v>0</v>
      </c>
      <c r="Z6645" s="80" t="s">
        <v>50</v>
      </c>
      <c r="AA6645" s="96" t="s">
        <v>3291</v>
      </c>
      <c r="AB6645" s="80"/>
      <c r="AC6645" s="80" t="s">
        <v>53</v>
      </c>
      <c r="AD6645" s="80" t="s">
        <v>54</v>
      </c>
      <c r="AE6645" s="80" t="s">
        <v>13976</v>
      </c>
      <c r="AF6645" s="17">
        <v>45736</v>
      </c>
      <c r="AG6645" s="80"/>
      <c r="AH6645" s="80"/>
      <c r="AI6645" s="147" t="s">
        <v>64</v>
      </c>
      <c r="AJ6645" s="80"/>
      <c r="AK6645" s="80"/>
      <c r="AL6645" s="35"/>
      <c r="AM6645" s="35"/>
      <c r="AN6645" s="35"/>
      <c r="AO6645" s="35"/>
      <c r="AP6645" s="35"/>
    </row>
    <row r="6646" spans="1:42" x14ac:dyDescent="0.2">
      <c r="A6646" s="38">
        <v>45733</v>
      </c>
      <c r="B6646" s="137" t="s">
        <v>37</v>
      </c>
      <c r="C6646" s="41" t="s">
        <v>118</v>
      </c>
      <c r="D6646" s="80" t="s">
        <v>36</v>
      </c>
      <c r="E6646" s="80" t="s">
        <v>56</v>
      </c>
      <c r="F6646" s="80" t="s">
        <v>14140</v>
      </c>
      <c r="G6646" s="161" t="s">
        <v>221</v>
      </c>
      <c r="H6646" s="80" t="s">
        <v>20141</v>
      </c>
      <c r="I6646" s="17">
        <f ca="1">IFERROR(__xludf.DUMMYFUNCTION("""COMPUTED_VALUE"""),45757)</f>
        <v>45757</v>
      </c>
      <c r="J6646" s="143" t="s">
        <v>14141</v>
      </c>
      <c r="K6646" s="145" t="s">
        <v>21073</v>
      </c>
      <c r="L6646" s="30">
        <v>364563802</v>
      </c>
      <c r="M6646" s="80" t="s">
        <v>9422</v>
      </c>
      <c r="N6646" s="80" t="s">
        <v>5574</v>
      </c>
      <c r="O6646" s="80" t="s">
        <v>14143</v>
      </c>
      <c r="P6646" s="80" t="s">
        <v>14144</v>
      </c>
      <c r="Q6646" s="20">
        <v>9317</v>
      </c>
      <c r="R6646" s="80" t="s">
        <v>11421</v>
      </c>
      <c r="S6646" s="95">
        <v>2000</v>
      </c>
      <c r="T6646" s="148">
        <v>45554</v>
      </c>
      <c r="U6646" s="95">
        <v>7017</v>
      </c>
      <c r="V6646" s="148">
        <v>45567</v>
      </c>
      <c r="W6646" s="85" t="s">
        <v>14145</v>
      </c>
      <c r="X6646" s="80"/>
      <c r="Y6646" s="22">
        <v>300</v>
      </c>
      <c r="Z6646" s="81" t="s">
        <v>50</v>
      </c>
      <c r="AA6646" s="86"/>
      <c r="AB6646" s="80"/>
      <c r="AC6646" s="80" t="s">
        <v>53</v>
      </c>
      <c r="AD6646" s="80" t="s">
        <v>138</v>
      </c>
      <c r="AE6646" s="80" t="s">
        <v>14140</v>
      </c>
      <c r="AF6646" s="17">
        <v>45757</v>
      </c>
      <c r="AG6646" s="166"/>
      <c r="AH6646" s="80"/>
      <c r="AI6646" s="147"/>
      <c r="AJ6646" s="80"/>
      <c r="AK6646" s="80"/>
      <c r="AL6646" s="86"/>
      <c r="AM6646" s="86"/>
      <c r="AN6646" s="86"/>
      <c r="AO6646" s="86"/>
      <c r="AP6646" s="86"/>
    </row>
    <row r="6647" spans="1:42" x14ac:dyDescent="0.2">
      <c r="A6647" s="38">
        <v>45733</v>
      </c>
      <c r="B6647" s="137" t="s">
        <v>37</v>
      </c>
      <c r="C6647" s="41" t="s">
        <v>118</v>
      </c>
      <c r="D6647" s="80" t="s">
        <v>36</v>
      </c>
      <c r="E6647" s="80" t="s">
        <v>139</v>
      </c>
      <c r="F6647" s="80" t="s">
        <v>14140</v>
      </c>
      <c r="G6647" s="161" t="s">
        <v>221</v>
      </c>
      <c r="H6647" s="80" t="s">
        <v>18302</v>
      </c>
      <c r="I6647" s="17">
        <f ca="1">IFERROR(__xludf.DUMMYFUNCTION("""COMPUTED_VALUE"""),45755)</f>
        <v>45755</v>
      </c>
      <c r="J6647" s="143" t="s">
        <v>12707</v>
      </c>
      <c r="K6647" s="145" t="s">
        <v>21074</v>
      </c>
      <c r="L6647" s="30">
        <v>376827623</v>
      </c>
      <c r="M6647" s="80" t="s">
        <v>910</v>
      </c>
      <c r="N6647" s="80" t="s">
        <v>3525</v>
      </c>
      <c r="O6647" s="80" t="s">
        <v>91</v>
      </c>
      <c r="P6647" s="80" t="s">
        <v>3694</v>
      </c>
      <c r="Q6647" s="20">
        <v>15936</v>
      </c>
      <c r="R6647" s="80" t="s">
        <v>36</v>
      </c>
      <c r="S6647" s="95">
        <f>200+1800</f>
        <v>2000</v>
      </c>
      <c r="T6647" s="148" t="s">
        <v>12708</v>
      </c>
      <c r="U6647" s="95">
        <f>13000+936</f>
        <v>13936</v>
      </c>
      <c r="V6647" s="148">
        <v>45565</v>
      </c>
      <c r="W6647" s="85" t="s">
        <v>12709</v>
      </c>
      <c r="X6647" s="83">
        <v>0</v>
      </c>
      <c r="Y6647" s="22">
        <v>0</v>
      </c>
      <c r="Z6647" s="81" t="s">
        <v>50</v>
      </c>
      <c r="AA6647" s="82" t="s">
        <v>3291</v>
      </c>
      <c r="AB6647" s="80"/>
      <c r="AC6647" s="80" t="s">
        <v>53</v>
      </c>
      <c r="AD6647" s="80" t="s">
        <v>138</v>
      </c>
      <c r="AE6647" s="80" t="s">
        <v>14140</v>
      </c>
      <c r="AF6647" s="17">
        <v>45747</v>
      </c>
      <c r="AG6647" s="80"/>
      <c r="AH6647" s="80"/>
      <c r="AI6647" s="147" t="s">
        <v>147</v>
      </c>
      <c r="AJ6647" s="80"/>
      <c r="AK6647" s="80"/>
      <c r="AL6647" s="86"/>
      <c r="AM6647" s="86"/>
      <c r="AN6647" s="86"/>
      <c r="AO6647" s="86"/>
      <c r="AP6647" s="86"/>
    </row>
    <row r="6648" spans="1:42" x14ac:dyDescent="0.2">
      <c r="A6648" s="38">
        <v>45733</v>
      </c>
      <c r="B6648" s="137" t="s">
        <v>37</v>
      </c>
      <c r="C6648" s="41" t="s">
        <v>118</v>
      </c>
      <c r="D6648" s="80" t="s">
        <v>36</v>
      </c>
      <c r="E6648" s="80" t="s">
        <v>56</v>
      </c>
      <c r="F6648" s="80" t="s">
        <v>14140</v>
      </c>
      <c r="G6648" s="161" t="s">
        <v>221</v>
      </c>
      <c r="H6648" s="80" t="s">
        <v>20141</v>
      </c>
      <c r="I6648" s="17">
        <f ca="1">IFERROR(__xludf.DUMMYFUNCTION("""COMPUTED_VALUE"""),45757)</f>
        <v>45757</v>
      </c>
      <c r="J6648" s="143" t="s">
        <v>13425</v>
      </c>
      <c r="K6648" s="145" t="s">
        <v>16966</v>
      </c>
      <c r="L6648" s="30">
        <v>386291242</v>
      </c>
      <c r="M6648" s="80" t="s">
        <v>12644</v>
      </c>
      <c r="N6648" s="80" t="s">
        <v>8725</v>
      </c>
      <c r="O6648" s="80" t="s">
        <v>13427</v>
      </c>
      <c r="P6648" s="80" t="s">
        <v>13428</v>
      </c>
      <c r="Q6648" s="20">
        <v>9317</v>
      </c>
      <c r="R6648" s="80" t="s">
        <v>36</v>
      </c>
      <c r="S6648" s="95">
        <v>9317</v>
      </c>
      <c r="T6648" s="148">
        <v>45557</v>
      </c>
      <c r="U6648" s="77"/>
      <c r="V6648" s="78"/>
      <c r="W6648" s="85" t="s">
        <v>13429</v>
      </c>
      <c r="X6648" s="83">
        <v>0</v>
      </c>
      <c r="Y6648" s="22">
        <v>0</v>
      </c>
      <c r="Z6648" s="81" t="s">
        <v>50</v>
      </c>
      <c r="AA6648" s="86" t="s">
        <v>3291</v>
      </c>
      <c r="AB6648" s="80"/>
      <c r="AC6648" s="80" t="s">
        <v>53</v>
      </c>
      <c r="AD6648" s="80" t="s">
        <v>138</v>
      </c>
      <c r="AE6648" s="80" t="s">
        <v>14140</v>
      </c>
      <c r="AF6648" s="17">
        <v>45757</v>
      </c>
      <c r="AG6648" s="80"/>
      <c r="AH6648" s="80"/>
      <c r="AI6648" s="147" t="s">
        <v>64</v>
      </c>
      <c r="AJ6648" s="80"/>
      <c r="AK6648" s="80"/>
      <c r="AL6648" s="86"/>
      <c r="AM6648" s="86"/>
      <c r="AN6648" s="86"/>
      <c r="AO6648" s="86"/>
      <c r="AP6648" s="86"/>
    </row>
    <row r="6649" spans="1:42" x14ac:dyDescent="0.2">
      <c r="A6649" s="38">
        <v>45733</v>
      </c>
      <c r="B6649" s="137" t="s">
        <v>37</v>
      </c>
      <c r="C6649" s="41" t="s">
        <v>118</v>
      </c>
      <c r="D6649" s="80" t="s">
        <v>36</v>
      </c>
      <c r="E6649" s="80" t="s">
        <v>139</v>
      </c>
      <c r="F6649" s="80" t="s">
        <v>14140</v>
      </c>
      <c r="G6649" s="161" t="s">
        <v>221</v>
      </c>
      <c r="H6649" s="80" t="s">
        <v>20141</v>
      </c>
      <c r="I6649" s="17">
        <f ca="1">IFERROR(__xludf.DUMMYFUNCTION("""COMPUTED_VALUE"""),45757)</f>
        <v>45757</v>
      </c>
      <c r="J6649" s="143" t="s">
        <v>13450</v>
      </c>
      <c r="K6649" s="145" t="s">
        <v>13451</v>
      </c>
      <c r="L6649" s="30">
        <v>372742589</v>
      </c>
      <c r="M6649" s="80" t="s">
        <v>9422</v>
      </c>
      <c r="N6649" s="80" t="s">
        <v>13452</v>
      </c>
      <c r="O6649" s="80" t="s">
        <v>13453</v>
      </c>
      <c r="P6649" s="80" t="s">
        <v>13454</v>
      </c>
      <c r="Q6649" s="20">
        <v>15936</v>
      </c>
      <c r="R6649" s="80" t="s">
        <v>11421</v>
      </c>
      <c r="S6649" s="95">
        <v>15686</v>
      </c>
      <c r="T6649" s="148">
        <v>45558</v>
      </c>
      <c r="U6649" s="77"/>
      <c r="V6649" s="78"/>
      <c r="W6649" s="85" t="s">
        <v>13455</v>
      </c>
      <c r="X6649" s="83">
        <v>300</v>
      </c>
      <c r="Y6649" s="22">
        <v>-50</v>
      </c>
      <c r="Z6649" s="81" t="s">
        <v>50</v>
      </c>
      <c r="AA6649" s="82" t="s">
        <v>3291</v>
      </c>
      <c r="AB6649" s="80"/>
      <c r="AC6649" s="80" t="s">
        <v>53</v>
      </c>
      <c r="AD6649" s="80" t="s">
        <v>138</v>
      </c>
      <c r="AE6649" s="80" t="s">
        <v>14140</v>
      </c>
      <c r="AF6649" s="17">
        <v>45757</v>
      </c>
      <c r="AG6649" s="80"/>
      <c r="AH6649" s="80"/>
      <c r="AI6649" s="147" t="s">
        <v>147</v>
      </c>
      <c r="AJ6649" s="80"/>
      <c r="AK6649" s="80"/>
      <c r="AL6649" s="86"/>
      <c r="AM6649" s="86"/>
      <c r="AN6649" s="86"/>
      <c r="AO6649" s="86"/>
      <c r="AP6649" s="86"/>
    </row>
    <row r="6650" spans="1:42" x14ac:dyDescent="0.2">
      <c r="A6650" s="38">
        <v>45733</v>
      </c>
      <c r="B6650" s="137" t="s">
        <v>37</v>
      </c>
      <c r="C6650" s="41" t="s">
        <v>118</v>
      </c>
      <c r="D6650" s="80" t="s">
        <v>36</v>
      </c>
      <c r="E6650" s="80" t="s">
        <v>56</v>
      </c>
      <c r="F6650" s="80" t="s">
        <v>14140</v>
      </c>
      <c r="G6650" s="161" t="s">
        <v>221</v>
      </c>
      <c r="H6650" s="80" t="s">
        <v>20141</v>
      </c>
      <c r="I6650" s="17">
        <f ca="1">IFERROR(__xludf.DUMMYFUNCTION("""COMPUTED_VALUE"""),45757)</f>
        <v>45757</v>
      </c>
      <c r="J6650" s="143" t="s">
        <v>16970</v>
      </c>
      <c r="K6650" s="145" t="s">
        <v>16971</v>
      </c>
      <c r="L6650" s="30">
        <v>393802070</v>
      </c>
      <c r="M6650" s="80" t="s">
        <v>5558</v>
      </c>
      <c r="N6650" s="80" t="s">
        <v>850</v>
      </c>
      <c r="O6650" s="80" t="s">
        <v>16972</v>
      </c>
      <c r="P6650" s="80" t="s">
        <v>13226</v>
      </c>
      <c r="Q6650" s="20">
        <v>9317</v>
      </c>
      <c r="R6650" s="80" t="s">
        <v>36</v>
      </c>
      <c r="S6650" s="95">
        <f>200+1800</f>
        <v>2000</v>
      </c>
      <c r="T6650" s="148" t="s">
        <v>16973</v>
      </c>
      <c r="U6650" s="95">
        <f>3371+3946</f>
        <v>7317</v>
      </c>
      <c r="V6650" s="148" t="s">
        <v>16974</v>
      </c>
      <c r="W6650" s="85" t="s">
        <v>16975</v>
      </c>
      <c r="X6650" s="80"/>
      <c r="Y6650" s="22">
        <v>0</v>
      </c>
      <c r="Z6650" s="81" t="s">
        <v>50</v>
      </c>
      <c r="AA6650" s="86"/>
      <c r="AB6650" s="80"/>
      <c r="AC6650" s="80" t="s">
        <v>53</v>
      </c>
      <c r="AD6650" s="80" t="s">
        <v>138</v>
      </c>
      <c r="AE6650" s="80" t="s">
        <v>14140</v>
      </c>
      <c r="AF6650" s="17">
        <v>45757</v>
      </c>
      <c r="AG6650" s="80"/>
      <c r="AH6650" s="80"/>
      <c r="AI6650" s="147"/>
      <c r="AJ6650" s="80"/>
      <c r="AK6650" s="80"/>
      <c r="AL6650" s="86"/>
      <c r="AM6650" s="86"/>
      <c r="AN6650" s="86"/>
      <c r="AO6650" s="86"/>
      <c r="AP6650" s="86"/>
    </row>
    <row r="6651" spans="1:42" x14ac:dyDescent="0.2">
      <c r="A6651" s="38">
        <v>45733</v>
      </c>
      <c r="B6651" s="137" t="s">
        <v>37</v>
      </c>
      <c r="C6651" s="41" t="s">
        <v>118</v>
      </c>
      <c r="D6651" s="80" t="s">
        <v>36</v>
      </c>
      <c r="E6651" s="80" t="s">
        <v>56</v>
      </c>
      <c r="F6651" s="80" t="s">
        <v>14140</v>
      </c>
      <c r="G6651" s="161" t="s">
        <v>221</v>
      </c>
      <c r="H6651" s="80" t="s">
        <v>20141</v>
      </c>
      <c r="I6651" s="17">
        <f ca="1">IFERROR(__xludf.DUMMYFUNCTION("""COMPUTED_VALUE"""),45757)</f>
        <v>45757</v>
      </c>
      <c r="J6651" s="143" t="s">
        <v>16976</v>
      </c>
      <c r="K6651" s="145" t="s">
        <v>16977</v>
      </c>
      <c r="L6651" s="30">
        <v>971932603</v>
      </c>
      <c r="M6651" s="80" t="s">
        <v>59</v>
      </c>
      <c r="N6651" s="80" t="s">
        <v>4299</v>
      </c>
      <c r="O6651" s="80" t="s">
        <v>16978</v>
      </c>
      <c r="P6651" s="80" t="s">
        <v>12692</v>
      </c>
      <c r="Q6651" s="20">
        <v>9317</v>
      </c>
      <c r="R6651" s="80" t="s">
        <v>70</v>
      </c>
      <c r="S6651" s="95">
        <v>4217</v>
      </c>
      <c r="T6651" s="148">
        <v>45575</v>
      </c>
      <c r="U6651" s="95">
        <v>5000</v>
      </c>
      <c r="V6651" s="148">
        <v>45601</v>
      </c>
      <c r="W6651" s="85" t="s">
        <v>16979</v>
      </c>
      <c r="X6651" s="80"/>
      <c r="Y6651" s="22">
        <v>100</v>
      </c>
      <c r="Z6651" s="81" t="s">
        <v>50</v>
      </c>
      <c r="AA6651" s="82"/>
      <c r="AB6651" s="80"/>
      <c r="AC6651" s="80" t="s">
        <v>53</v>
      </c>
      <c r="AD6651" s="80" t="s">
        <v>138</v>
      </c>
      <c r="AE6651" s="80" t="s">
        <v>14140</v>
      </c>
      <c r="AF6651" s="17">
        <v>45757</v>
      </c>
      <c r="AG6651" s="80"/>
      <c r="AH6651" s="80"/>
      <c r="AI6651" s="147"/>
      <c r="AJ6651" s="80"/>
      <c r="AK6651" s="80"/>
      <c r="AL6651" s="86"/>
      <c r="AM6651" s="86"/>
      <c r="AN6651" s="86"/>
      <c r="AO6651" s="86"/>
      <c r="AP6651" s="86"/>
    </row>
    <row r="6652" spans="1:42" x14ac:dyDescent="0.2">
      <c r="A6652" s="38">
        <v>45733</v>
      </c>
      <c r="B6652" s="137" t="s">
        <v>1703</v>
      </c>
      <c r="C6652" s="41" t="s">
        <v>118</v>
      </c>
      <c r="D6652" s="80" t="s">
        <v>36</v>
      </c>
      <c r="E6652" s="80" t="s">
        <v>139</v>
      </c>
      <c r="F6652" s="80" t="s">
        <v>14140</v>
      </c>
      <c r="G6652" s="161" t="s">
        <v>221</v>
      </c>
      <c r="H6652" s="80" t="s">
        <v>865</v>
      </c>
      <c r="I6652" s="17" t="str">
        <f ca="1">IFERROR(__xludf.DUMMYFUNCTION("""COMPUTED_VALUE""")," ")</f>
        <v xml:space="preserve"> </v>
      </c>
      <c r="J6652" s="143" t="s">
        <v>16981</v>
      </c>
      <c r="K6652" s="145" t="s">
        <v>21075</v>
      </c>
      <c r="L6652" s="30">
        <v>973820326</v>
      </c>
      <c r="M6652" s="80" t="s">
        <v>5558</v>
      </c>
      <c r="N6652" s="80" t="s">
        <v>5559</v>
      </c>
      <c r="O6652" s="80" t="s">
        <v>4503</v>
      </c>
      <c r="P6652" s="80" t="s">
        <v>14107</v>
      </c>
      <c r="Q6652" s="20">
        <v>15936</v>
      </c>
      <c r="R6652" s="80" t="s">
        <v>36</v>
      </c>
      <c r="S6652" s="95">
        <v>4000</v>
      </c>
      <c r="T6652" s="148">
        <v>45576</v>
      </c>
      <c r="U6652" s="95">
        <v>11936</v>
      </c>
      <c r="V6652" s="148">
        <v>45609</v>
      </c>
      <c r="W6652" s="85" t="s">
        <v>16983</v>
      </c>
      <c r="X6652" s="80"/>
      <c r="Y6652" s="22">
        <v>0</v>
      </c>
      <c r="Z6652" s="81" t="s">
        <v>50</v>
      </c>
      <c r="AA6652" s="86"/>
      <c r="AB6652" s="80"/>
      <c r="AC6652" s="80" t="s">
        <v>53</v>
      </c>
      <c r="AD6652" s="80" t="s">
        <v>138</v>
      </c>
      <c r="AE6652" s="80" t="s">
        <v>14140</v>
      </c>
      <c r="AF6652" s="17"/>
      <c r="AG6652" s="80"/>
      <c r="AH6652" s="80"/>
      <c r="AI6652" s="147"/>
      <c r="AJ6652" s="80"/>
      <c r="AK6652" s="80"/>
      <c r="AL6652" s="86"/>
      <c r="AM6652" s="86"/>
      <c r="AN6652" s="86"/>
      <c r="AO6652" s="86"/>
      <c r="AP6652" s="86"/>
    </row>
    <row r="6653" spans="1:42" x14ac:dyDescent="0.2">
      <c r="A6653" s="38">
        <v>45733</v>
      </c>
      <c r="B6653" s="137" t="s">
        <v>37</v>
      </c>
      <c r="C6653" s="41" t="s">
        <v>118</v>
      </c>
      <c r="D6653" s="80" t="s">
        <v>36</v>
      </c>
      <c r="E6653" s="80" t="s">
        <v>56</v>
      </c>
      <c r="F6653" s="80" t="s">
        <v>14140</v>
      </c>
      <c r="G6653" s="161" t="s">
        <v>221</v>
      </c>
      <c r="H6653" s="80" t="s">
        <v>20141</v>
      </c>
      <c r="I6653" s="17">
        <f ca="1">IFERROR(__xludf.DUMMYFUNCTION("""COMPUTED_VALUE"""),45757)</f>
        <v>45757</v>
      </c>
      <c r="J6653" s="143" t="s">
        <v>16259</v>
      </c>
      <c r="K6653" s="145" t="s">
        <v>16260</v>
      </c>
      <c r="L6653" s="30">
        <v>961460056</v>
      </c>
      <c r="M6653" s="80" t="s">
        <v>59</v>
      </c>
      <c r="N6653" s="80" t="s">
        <v>68</v>
      </c>
      <c r="O6653" s="80" t="s">
        <v>16261</v>
      </c>
      <c r="P6653" s="80" t="s">
        <v>12692</v>
      </c>
      <c r="Q6653" s="20">
        <v>9317</v>
      </c>
      <c r="R6653" s="80" t="s">
        <v>70</v>
      </c>
      <c r="S6653" s="95">
        <v>9217</v>
      </c>
      <c r="T6653" s="148">
        <v>45575</v>
      </c>
      <c r="U6653" s="77"/>
      <c r="V6653" s="78"/>
      <c r="W6653" s="85" t="s">
        <v>16262</v>
      </c>
      <c r="X6653" s="80"/>
      <c r="Y6653" s="22">
        <v>100</v>
      </c>
      <c r="Z6653" s="81" t="s">
        <v>50</v>
      </c>
      <c r="AA6653" s="82" t="s">
        <v>9905</v>
      </c>
      <c r="AB6653" s="80"/>
      <c r="AC6653" s="80" t="s">
        <v>53</v>
      </c>
      <c r="AD6653" s="80" t="s">
        <v>138</v>
      </c>
      <c r="AE6653" s="80" t="s">
        <v>14140</v>
      </c>
      <c r="AF6653" s="17">
        <v>45757</v>
      </c>
      <c r="AG6653" s="80"/>
      <c r="AH6653" s="80"/>
      <c r="AI6653" s="147"/>
      <c r="AJ6653" s="80"/>
      <c r="AK6653" s="80"/>
      <c r="AL6653" s="86"/>
      <c r="AM6653" s="86"/>
      <c r="AN6653" s="86"/>
      <c r="AO6653" s="86"/>
      <c r="AP6653" s="86"/>
    </row>
    <row r="6654" spans="1:42" x14ac:dyDescent="0.2">
      <c r="A6654" s="38">
        <v>45733</v>
      </c>
      <c r="B6654" s="137" t="s">
        <v>37</v>
      </c>
      <c r="C6654" s="41" t="s">
        <v>118</v>
      </c>
      <c r="D6654" s="80" t="s">
        <v>36</v>
      </c>
      <c r="E6654" s="80" t="s">
        <v>139</v>
      </c>
      <c r="F6654" s="80" t="s">
        <v>14140</v>
      </c>
      <c r="G6654" s="161" t="s">
        <v>221</v>
      </c>
      <c r="H6654" s="80" t="s">
        <v>20164</v>
      </c>
      <c r="I6654" s="17">
        <f ca="1">IFERROR(__xludf.DUMMYFUNCTION("""COMPUTED_VALUE"""),45861)</f>
        <v>45861</v>
      </c>
      <c r="J6654" s="143" t="s">
        <v>16984</v>
      </c>
      <c r="K6654" s="145" t="s">
        <v>21076</v>
      </c>
      <c r="L6654" s="30">
        <v>363748375</v>
      </c>
      <c r="M6654" s="80" t="s">
        <v>5558</v>
      </c>
      <c r="N6654" s="80" t="s">
        <v>5277</v>
      </c>
      <c r="O6654" s="80" t="s">
        <v>4503</v>
      </c>
      <c r="P6654" s="80" t="s">
        <v>16986</v>
      </c>
      <c r="Q6654" s="20">
        <v>15936</v>
      </c>
      <c r="R6654" s="80" t="s">
        <v>36</v>
      </c>
      <c r="S6654" s="95">
        <f>200+5000</f>
        <v>5200</v>
      </c>
      <c r="T6654" s="148" t="s">
        <v>16987</v>
      </c>
      <c r="U6654" s="95">
        <v>10736</v>
      </c>
      <c r="V6654" s="148">
        <v>45604</v>
      </c>
      <c r="W6654" s="85" t="s">
        <v>16988</v>
      </c>
      <c r="X6654" s="80"/>
      <c r="Y6654" s="22">
        <v>0</v>
      </c>
      <c r="Z6654" s="81" t="s">
        <v>50</v>
      </c>
      <c r="AA6654" s="86"/>
      <c r="AB6654" s="80"/>
      <c r="AC6654" s="80" t="s">
        <v>53</v>
      </c>
      <c r="AD6654" s="80" t="s">
        <v>138</v>
      </c>
      <c r="AE6654" s="80" t="s">
        <v>14140</v>
      </c>
      <c r="AF6654" s="17">
        <v>45757</v>
      </c>
      <c r="AG6654" s="80" t="s">
        <v>8366</v>
      </c>
      <c r="AH6654" s="80"/>
      <c r="AI6654" s="147"/>
      <c r="AJ6654" s="80"/>
      <c r="AK6654" s="80"/>
      <c r="AL6654" s="86"/>
      <c r="AM6654" s="86"/>
      <c r="AN6654" s="86"/>
      <c r="AO6654" s="86"/>
      <c r="AP6654" s="86"/>
    </row>
    <row r="6655" spans="1:42" x14ac:dyDescent="0.2">
      <c r="A6655" s="38">
        <v>45733</v>
      </c>
      <c r="B6655" s="28" t="s">
        <v>37</v>
      </c>
      <c r="C6655" s="41" t="s">
        <v>118</v>
      </c>
      <c r="D6655" s="80" t="s">
        <v>36</v>
      </c>
      <c r="E6655" s="80" t="s">
        <v>139</v>
      </c>
      <c r="F6655" s="80" t="s">
        <v>14140</v>
      </c>
      <c r="G6655" s="161" t="s">
        <v>221</v>
      </c>
      <c r="H6655" s="80" t="s">
        <v>18302</v>
      </c>
      <c r="I6655" s="17">
        <f ca="1">IFERROR(__xludf.DUMMYFUNCTION("""COMPUTED_VALUE"""),45755)</f>
        <v>45755</v>
      </c>
      <c r="J6655" s="143" t="s">
        <v>16995</v>
      </c>
      <c r="K6655" s="145" t="s">
        <v>10188</v>
      </c>
      <c r="L6655" s="30">
        <v>869635155</v>
      </c>
      <c r="M6655" s="80" t="s">
        <v>12644</v>
      </c>
      <c r="N6655" s="80" t="s">
        <v>260</v>
      </c>
      <c r="O6655" s="80" t="s">
        <v>16996</v>
      </c>
      <c r="P6655" s="144" t="s">
        <v>21077</v>
      </c>
      <c r="Q6655" s="20">
        <v>15936</v>
      </c>
      <c r="R6655" s="80" t="s">
        <v>36</v>
      </c>
      <c r="S6655" s="95">
        <v>2000</v>
      </c>
      <c r="T6655" s="148">
        <v>45579</v>
      </c>
      <c r="U6655" s="95">
        <v>13936</v>
      </c>
      <c r="V6655" s="148">
        <v>45607</v>
      </c>
      <c r="W6655" s="85" t="s">
        <v>16997</v>
      </c>
      <c r="X6655" s="80"/>
      <c r="Y6655" s="22">
        <v>0</v>
      </c>
      <c r="Z6655" s="81" t="s">
        <v>50</v>
      </c>
      <c r="AA6655" s="82"/>
      <c r="AB6655" s="80"/>
      <c r="AC6655" s="80" t="s">
        <v>53</v>
      </c>
      <c r="AD6655" s="80" t="s">
        <v>138</v>
      </c>
      <c r="AE6655" s="80" t="s">
        <v>14140</v>
      </c>
      <c r="AF6655" s="17">
        <v>45743</v>
      </c>
      <c r="AG6655" s="80"/>
      <c r="AH6655" s="80"/>
      <c r="AI6655" s="147"/>
      <c r="AJ6655" s="80"/>
      <c r="AK6655" s="80"/>
      <c r="AL6655" s="86"/>
      <c r="AM6655" s="86"/>
      <c r="AN6655" s="86"/>
      <c r="AO6655" s="86"/>
      <c r="AP6655" s="86"/>
    </row>
    <row r="6656" spans="1:42" x14ac:dyDescent="0.2">
      <c r="A6656" s="38">
        <v>45733</v>
      </c>
      <c r="B6656" s="28"/>
      <c r="C6656" s="41" t="s">
        <v>118</v>
      </c>
      <c r="D6656" s="80" t="s">
        <v>36</v>
      </c>
      <c r="E6656" s="80" t="s">
        <v>139</v>
      </c>
      <c r="F6656" s="80" t="s">
        <v>14140</v>
      </c>
      <c r="G6656" s="161" t="s">
        <v>221</v>
      </c>
      <c r="H6656" s="80" t="s">
        <v>21078</v>
      </c>
      <c r="I6656" s="17" t="str">
        <f ca="1">IFERROR(__xludf.DUMMYFUNCTION("""COMPUTED_VALUE""")," ")</f>
        <v xml:space="preserve"> </v>
      </c>
      <c r="J6656" s="143" t="s">
        <v>16395</v>
      </c>
      <c r="K6656" s="145" t="s">
        <v>21079</v>
      </c>
      <c r="L6656" s="30">
        <v>349948085</v>
      </c>
      <c r="M6656" s="80" t="s">
        <v>9422</v>
      </c>
      <c r="N6656" s="80" t="s">
        <v>327</v>
      </c>
      <c r="O6656" s="80" t="s">
        <v>16397</v>
      </c>
      <c r="P6656" s="80" t="s">
        <v>3694</v>
      </c>
      <c r="Q6656" s="20">
        <v>15936</v>
      </c>
      <c r="R6656" s="80" t="s">
        <v>36</v>
      </c>
      <c r="S6656" s="95">
        <v>15936</v>
      </c>
      <c r="T6656" s="148">
        <v>45583</v>
      </c>
      <c r="U6656" s="77"/>
      <c r="V6656" s="78"/>
      <c r="W6656" s="85" t="s">
        <v>16398</v>
      </c>
      <c r="X6656" s="80"/>
      <c r="Y6656" s="22">
        <v>0</v>
      </c>
      <c r="Z6656" s="81" t="s">
        <v>50</v>
      </c>
      <c r="AA6656" s="86" t="s">
        <v>9905</v>
      </c>
      <c r="AB6656" s="80"/>
      <c r="AC6656" s="80" t="s">
        <v>53</v>
      </c>
      <c r="AD6656" s="80" t="s">
        <v>138</v>
      </c>
      <c r="AE6656" s="80" t="s">
        <v>14140</v>
      </c>
      <c r="AF6656" s="17">
        <v>45804</v>
      </c>
      <c r="AG6656" s="80"/>
      <c r="AH6656" s="80"/>
      <c r="AI6656" s="147"/>
      <c r="AJ6656" s="80"/>
      <c r="AK6656" s="80"/>
      <c r="AL6656" s="86"/>
      <c r="AM6656" s="86"/>
      <c r="AN6656" s="86"/>
      <c r="AO6656" s="86"/>
      <c r="AP6656" s="86"/>
    </row>
    <row r="6657" spans="1:42" x14ac:dyDescent="0.2">
      <c r="A6657" s="38">
        <v>45733</v>
      </c>
      <c r="B6657" s="137" t="s">
        <v>37</v>
      </c>
      <c r="C6657" s="41" t="s">
        <v>118</v>
      </c>
      <c r="D6657" s="80" t="s">
        <v>36</v>
      </c>
      <c r="E6657" s="80" t="s">
        <v>139</v>
      </c>
      <c r="F6657" s="80" t="s">
        <v>14140</v>
      </c>
      <c r="G6657" s="161" t="s">
        <v>221</v>
      </c>
      <c r="H6657" s="80" t="s">
        <v>20141</v>
      </c>
      <c r="I6657" s="17">
        <f ca="1">IFERROR(__xludf.DUMMYFUNCTION("""COMPUTED_VALUE"""),45757)</f>
        <v>45757</v>
      </c>
      <c r="J6657" s="143" t="s">
        <v>17008</v>
      </c>
      <c r="K6657" s="145" t="s">
        <v>17009</v>
      </c>
      <c r="L6657" s="30">
        <v>326329641</v>
      </c>
      <c r="M6657" s="80" t="s">
        <v>15996</v>
      </c>
      <c r="N6657" s="80" t="s">
        <v>186</v>
      </c>
      <c r="O6657" s="80" t="s">
        <v>4503</v>
      </c>
      <c r="P6657" s="80" t="s">
        <v>4503</v>
      </c>
      <c r="Q6657" s="20">
        <v>15936</v>
      </c>
      <c r="R6657" s="80" t="s">
        <v>36</v>
      </c>
      <c r="S6657" s="95">
        <f>200+5000</f>
        <v>5200</v>
      </c>
      <c r="T6657" s="148" t="s">
        <v>17010</v>
      </c>
      <c r="U6657" s="95">
        <f>10000+736</f>
        <v>10736</v>
      </c>
      <c r="V6657" s="148" t="s">
        <v>17011</v>
      </c>
      <c r="W6657" s="85" t="s">
        <v>17012</v>
      </c>
      <c r="X6657" s="80"/>
      <c r="Y6657" s="22">
        <v>0</v>
      </c>
      <c r="Z6657" s="81" t="s">
        <v>50</v>
      </c>
      <c r="AA6657" s="82"/>
      <c r="AB6657" s="80"/>
      <c r="AC6657" s="80" t="s">
        <v>53</v>
      </c>
      <c r="AD6657" s="80" t="s">
        <v>138</v>
      </c>
      <c r="AE6657" s="80" t="s">
        <v>14140</v>
      </c>
      <c r="AF6657" s="17">
        <v>45757</v>
      </c>
      <c r="AG6657" s="80"/>
      <c r="AH6657" s="80"/>
      <c r="AI6657" s="147"/>
      <c r="AJ6657" s="80"/>
      <c r="AK6657" s="80"/>
      <c r="AL6657" s="86"/>
      <c r="AM6657" s="86"/>
      <c r="AN6657" s="86"/>
      <c r="AO6657" s="86"/>
      <c r="AP6657" s="86"/>
    </row>
    <row r="6658" spans="1:42" x14ac:dyDescent="0.2">
      <c r="A6658" s="38">
        <v>45733</v>
      </c>
      <c r="B6658" s="28" t="s">
        <v>37</v>
      </c>
      <c r="C6658" s="41" t="s">
        <v>118</v>
      </c>
      <c r="D6658" s="80" t="s">
        <v>36</v>
      </c>
      <c r="E6658" s="80" t="s">
        <v>56</v>
      </c>
      <c r="F6658" s="80" t="s">
        <v>14140</v>
      </c>
      <c r="G6658" s="161" t="s">
        <v>221</v>
      </c>
      <c r="H6658" s="80" t="s">
        <v>20146</v>
      </c>
      <c r="I6658" s="17">
        <f ca="1">IFERROR(__xludf.DUMMYFUNCTION("""COMPUTED_VALUE"""),45747)</f>
        <v>45747</v>
      </c>
      <c r="J6658" s="143" t="s">
        <v>21080</v>
      </c>
      <c r="K6658" s="145" t="s">
        <v>17014</v>
      </c>
      <c r="L6658" s="30">
        <v>813145806</v>
      </c>
      <c r="M6658" s="80" t="s">
        <v>12644</v>
      </c>
      <c r="N6658" s="80" t="s">
        <v>8725</v>
      </c>
      <c r="O6658" s="80" t="s">
        <v>17015</v>
      </c>
      <c r="P6658" s="80" t="s">
        <v>3694</v>
      </c>
      <c r="Q6658" s="20">
        <v>9317</v>
      </c>
      <c r="R6658" s="80" t="s">
        <v>70</v>
      </c>
      <c r="S6658" s="95">
        <f>400+1600+4000</f>
        <v>6000</v>
      </c>
      <c r="T6658" s="148" t="s">
        <v>17016</v>
      </c>
      <c r="U6658" s="95">
        <v>3217</v>
      </c>
      <c r="V6658" s="148">
        <v>45618</v>
      </c>
      <c r="W6658" s="85" t="s">
        <v>17017</v>
      </c>
      <c r="X6658" s="80"/>
      <c r="Y6658" s="22">
        <v>100</v>
      </c>
      <c r="Z6658" s="81" t="s">
        <v>50</v>
      </c>
      <c r="AA6658" s="86"/>
      <c r="AB6658" s="80"/>
      <c r="AC6658" s="80" t="s">
        <v>53</v>
      </c>
      <c r="AD6658" s="80" t="s">
        <v>138</v>
      </c>
      <c r="AE6658" s="80" t="s">
        <v>14140</v>
      </c>
      <c r="AF6658" s="17">
        <v>45747</v>
      </c>
      <c r="AG6658" s="80"/>
      <c r="AH6658" s="80"/>
      <c r="AI6658" s="147"/>
      <c r="AJ6658" s="80"/>
      <c r="AK6658" s="80"/>
      <c r="AL6658" s="86"/>
      <c r="AM6658" s="86"/>
      <c r="AN6658" s="86"/>
      <c r="AO6658" s="86"/>
      <c r="AP6658" s="86"/>
    </row>
    <row r="6659" spans="1:42" x14ac:dyDescent="0.2">
      <c r="A6659" s="38">
        <v>45733</v>
      </c>
      <c r="B6659" s="137" t="s">
        <v>37</v>
      </c>
      <c r="C6659" s="41" t="s">
        <v>118</v>
      </c>
      <c r="D6659" s="80" t="s">
        <v>36</v>
      </c>
      <c r="E6659" s="80" t="s">
        <v>56</v>
      </c>
      <c r="F6659" s="80" t="s">
        <v>14140</v>
      </c>
      <c r="G6659" s="161" t="s">
        <v>221</v>
      </c>
      <c r="H6659" s="80" t="s">
        <v>20141</v>
      </c>
      <c r="I6659" s="17">
        <f ca="1">IFERROR(__xludf.DUMMYFUNCTION("""COMPUTED_VALUE"""),45757)</f>
        <v>45757</v>
      </c>
      <c r="J6659" s="143" t="s">
        <v>17018</v>
      </c>
      <c r="K6659" s="145" t="s">
        <v>17019</v>
      </c>
      <c r="L6659" s="30">
        <v>981610411</v>
      </c>
      <c r="M6659" s="80" t="s">
        <v>59</v>
      </c>
      <c r="N6659" s="80" t="s">
        <v>11476</v>
      </c>
      <c r="O6659" s="80" t="s">
        <v>17020</v>
      </c>
      <c r="P6659" s="80" t="s">
        <v>12687</v>
      </c>
      <c r="Q6659" s="20">
        <v>9317</v>
      </c>
      <c r="R6659" s="80" t="s">
        <v>70</v>
      </c>
      <c r="S6659" s="95">
        <f>100+1900+4000</f>
        <v>6000</v>
      </c>
      <c r="T6659" s="148" t="s">
        <v>17016</v>
      </c>
      <c r="U6659" s="95">
        <v>3217</v>
      </c>
      <c r="V6659" s="148">
        <v>45618</v>
      </c>
      <c r="W6659" s="85" t="s">
        <v>17021</v>
      </c>
      <c r="X6659" s="80"/>
      <c r="Y6659" s="22">
        <v>100</v>
      </c>
      <c r="Z6659" s="81" t="s">
        <v>50</v>
      </c>
      <c r="AA6659" s="82"/>
      <c r="AB6659" s="80"/>
      <c r="AC6659" s="80" t="s">
        <v>53</v>
      </c>
      <c r="AD6659" s="80" t="s">
        <v>138</v>
      </c>
      <c r="AE6659" s="80" t="s">
        <v>14140</v>
      </c>
      <c r="AF6659" s="17">
        <v>45757</v>
      </c>
      <c r="AG6659" s="80"/>
      <c r="AH6659" s="80"/>
      <c r="AI6659" s="147"/>
      <c r="AJ6659" s="80"/>
      <c r="AK6659" s="80"/>
      <c r="AL6659" s="86"/>
      <c r="AM6659" s="86"/>
      <c r="AN6659" s="86"/>
      <c r="AO6659" s="86"/>
      <c r="AP6659" s="86"/>
    </row>
    <row r="6660" spans="1:42" x14ac:dyDescent="0.2">
      <c r="A6660" s="38">
        <v>45733</v>
      </c>
      <c r="B6660" s="28" t="s">
        <v>37</v>
      </c>
      <c r="C6660" s="41" t="s">
        <v>118</v>
      </c>
      <c r="D6660" s="80" t="s">
        <v>36</v>
      </c>
      <c r="E6660" s="80" t="s">
        <v>139</v>
      </c>
      <c r="F6660" s="80" t="s">
        <v>14140</v>
      </c>
      <c r="G6660" s="161" t="s">
        <v>221</v>
      </c>
      <c r="H6660" s="80" t="s">
        <v>20141</v>
      </c>
      <c r="I6660" s="17">
        <f ca="1">IFERROR(__xludf.DUMMYFUNCTION("""COMPUTED_VALUE"""),45757)</f>
        <v>45757</v>
      </c>
      <c r="J6660" s="143" t="s">
        <v>17026</v>
      </c>
      <c r="K6660" s="80" t="s">
        <v>17027</v>
      </c>
      <c r="L6660" s="30">
        <v>355847110</v>
      </c>
      <c r="M6660" s="80" t="s">
        <v>9422</v>
      </c>
      <c r="N6660" s="80" t="s">
        <v>1881</v>
      </c>
      <c r="O6660" s="80" t="s">
        <v>11607</v>
      </c>
      <c r="P6660" s="80" t="s">
        <v>11608</v>
      </c>
      <c r="Q6660" s="20">
        <v>15936</v>
      </c>
      <c r="R6660" s="80" t="s">
        <v>36</v>
      </c>
      <c r="S6660" s="95">
        <v>4000</v>
      </c>
      <c r="T6660" s="148">
        <v>45591</v>
      </c>
      <c r="U6660" s="95">
        <v>11936</v>
      </c>
      <c r="V6660" s="148">
        <v>45610</v>
      </c>
      <c r="W6660" s="85" t="s">
        <v>17028</v>
      </c>
      <c r="X6660" s="80"/>
      <c r="Y6660" s="22">
        <v>0</v>
      </c>
      <c r="Z6660" s="81" t="s">
        <v>50</v>
      </c>
      <c r="AA6660" s="86"/>
      <c r="AB6660" s="80"/>
      <c r="AC6660" s="80" t="s">
        <v>53</v>
      </c>
      <c r="AD6660" s="80" t="s">
        <v>138</v>
      </c>
      <c r="AE6660" s="80" t="s">
        <v>14140</v>
      </c>
      <c r="AF6660" s="17">
        <v>45757</v>
      </c>
      <c r="AG6660" s="80"/>
      <c r="AH6660" s="80"/>
      <c r="AI6660" s="147"/>
      <c r="AJ6660" s="80"/>
      <c r="AK6660" s="80"/>
      <c r="AL6660" s="86"/>
      <c r="AM6660" s="86"/>
      <c r="AN6660" s="86"/>
      <c r="AO6660" s="86"/>
      <c r="AP6660" s="86"/>
    </row>
    <row r="6661" spans="1:42" x14ac:dyDescent="0.2">
      <c r="A6661" s="38">
        <v>45733</v>
      </c>
      <c r="B6661" s="28" t="s">
        <v>37</v>
      </c>
      <c r="C6661" s="41" t="s">
        <v>118</v>
      </c>
      <c r="D6661" s="80" t="s">
        <v>36</v>
      </c>
      <c r="E6661" s="80" t="s">
        <v>139</v>
      </c>
      <c r="F6661" s="80" t="s">
        <v>14140</v>
      </c>
      <c r="G6661" s="161" t="s">
        <v>221</v>
      </c>
      <c r="H6661" s="80" t="s">
        <v>21081</v>
      </c>
      <c r="I6661" s="17">
        <f ca="1">IFERROR(__xludf.DUMMYFUNCTION("""COMPUTED_VALUE"""),45818)</f>
        <v>45818</v>
      </c>
      <c r="J6661" s="143" t="s">
        <v>17529</v>
      </c>
      <c r="K6661" s="145" t="s">
        <v>21082</v>
      </c>
      <c r="L6661" s="30">
        <v>342194772</v>
      </c>
      <c r="M6661" s="80" t="s">
        <v>5518</v>
      </c>
      <c r="N6661" s="80" t="s">
        <v>5252</v>
      </c>
      <c r="O6661" s="80" t="s">
        <v>17531</v>
      </c>
      <c r="P6661" s="144" t="s">
        <v>21083</v>
      </c>
      <c r="Q6661" s="20">
        <v>15936</v>
      </c>
      <c r="R6661" s="80" t="s">
        <v>36</v>
      </c>
      <c r="S6661" s="95">
        <v>2000</v>
      </c>
      <c r="T6661" s="148">
        <v>45581</v>
      </c>
      <c r="U6661" s="95">
        <v>13936</v>
      </c>
      <c r="V6661" s="148">
        <v>45608</v>
      </c>
      <c r="W6661" s="85" t="s">
        <v>17533</v>
      </c>
      <c r="X6661" s="80"/>
      <c r="Y6661" s="22">
        <v>0</v>
      </c>
      <c r="Z6661" s="81" t="s">
        <v>50</v>
      </c>
      <c r="AA6661" s="82" t="s">
        <v>14723</v>
      </c>
      <c r="AB6661" s="80"/>
      <c r="AC6661" s="80" t="s">
        <v>53</v>
      </c>
      <c r="AD6661" s="80" t="s">
        <v>54</v>
      </c>
      <c r="AE6661" s="80" t="s">
        <v>14140</v>
      </c>
      <c r="AF6661" s="17">
        <v>45812</v>
      </c>
      <c r="AG6661" s="80"/>
      <c r="AH6661" s="80"/>
      <c r="AI6661" s="147"/>
      <c r="AJ6661" s="80"/>
      <c r="AK6661" s="80"/>
      <c r="AL6661" s="86"/>
      <c r="AM6661" s="86"/>
      <c r="AN6661" s="86"/>
      <c r="AO6661" s="86"/>
      <c r="AP6661" s="86"/>
    </row>
    <row r="6662" spans="1:42" x14ac:dyDescent="0.2">
      <c r="A6662" s="38">
        <v>45733</v>
      </c>
      <c r="B6662" s="137" t="s">
        <v>37</v>
      </c>
      <c r="C6662" s="41" t="s">
        <v>118</v>
      </c>
      <c r="D6662" s="80" t="s">
        <v>36</v>
      </c>
      <c r="E6662" s="80" t="s">
        <v>139</v>
      </c>
      <c r="F6662" s="80" t="s">
        <v>14140</v>
      </c>
      <c r="G6662" s="161" t="s">
        <v>221</v>
      </c>
      <c r="H6662" s="80" t="s">
        <v>20141</v>
      </c>
      <c r="I6662" s="17">
        <f ca="1">IFERROR(__xludf.DUMMYFUNCTION("""COMPUTED_VALUE"""),45757)</f>
        <v>45757</v>
      </c>
      <c r="J6662" s="143" t="s">
        <v>15266</v>
      </c>
      <c r="K6662" s="145" t="s">
        <v>15267</v>
      </c>
      <c r="L6662" s="30">
        <v>339615670</v>
      </c>
      <c r="M6662" s="80" t="s">
        <v>910</v>
      </c>
      <c r="N6662" s="80" t="s">
        <v>3525</v>
      </c>
      <c r="O6662" s="80" t="s">
        <v>91</v>
      </c>
      <c r="P6662" s="80" t="s">
        <v>12578</v>
      </c>
      <c r="Q6662" s="20">
        <v>15936</v>
      </c>
      <c r="R6662" s="80" t="s">
        <v>70</v>
      </c>
      <c r="S6662" s="95">
        <v>2000</v>
      </c>
      <c r="T6662" s="148">
        <v>45551</v>
      </c>
      <c r="U6662" s="95">
        <v>13936</v>
      </c>
      <c r="V6662" s="148">
        <v>45573</v>
      </c>
      <c r="W6662" s="85" t="s">
        <v>15268</v>
      </c>
      <c r="X6662" s="80"/>
      <c r="Y6662" s="22">
        <v>0</v>
      </c>
      <c r="Z6662" s="81" t="s">
        <v>50</v>
      </c>
      <c r="AA6662" s="86" t="s">
        <v>9905</v>
      </c>
      <c r="AB6662" s="80"/>
      <c r="AC6662" s="80" t="s">
        <v>53</v>
      </c>
      <c r="AD6662" s="80" t="s">
        <v>138</v>
      </c>
      <c r="AE6662" s="80" t="s">
        <v>14140</v>
      </c>
      <c r="AF6662" s="17">
        <v>45757</v>
      </c>
      <c r="AG6662" s="80"/>
      <c r="AH6662" s="80"/>
      <c r="AI6662" s="147"/>
      <c r="AJ6662" s="80"/>
      <c r="AK6662" s="80"/>
      <c r="AL6662" s="86"/>
      <c r="AM6662" s="86"/>
      <c r="AN6662" s="86"/>
      <c r="AO6662" s="86"/>
      <c r="AP6662" s="86"/>
    </row>
    <row r="6663" spans="1:42" x14ac:dyDescent="0.2">
      <c r="A6663" s="38">
        <v>45733</v>
      </c>
      <c r="B6663" s="28" t="s">
        <v>37</v>
      </c>
      <c r="C6663" s="41" t="s">
        <v>118</v>
      </c>
      <c r="D6663" s="80" t="s">
        <v>36</v>
      </c>
      <c r="E6663" s="80" t="s">
        <v>139</v>
      </c>
      <c r="F6663" s="80" t="s">
        <v>14082</v>
      </c>
      <c r="G6663" s="161" t="s">
        <v>221</v>
      </c>
      <c r="H6663" s="80" t="s">
        <v>20146</v>
      </c>
      <c r="I6663" s="17">
        <f ca="1">IFERROR(__xludf.DUMMYFUNCTION("""COMPUTED_VALUE"""),45747)</f>
        <v>45747</v>
      </c>
      <c r="J6663" s="143" t="s">
        <v>14083</v>
      </c>
      <c r="K6663" s="145" t="s">
        <v>21084</v>
      </c>
      <c r="L6663" s="30">
        <v>812141662</v>
      </c>
      <c r="M6663" s="80" t="s">
        <v>3728</v>
      </c>
      <c r="N6663" s="80" t="s">
        <v>5312</v>
      </c>
      <c r="O6663" s="80" t="s">
        <v>134</v>
      </c>
      <c r="P6663" s="80" t="s">
        <v>14085</v>
      </c>
      <c r="Q6663" s="20">
        <v>15936</v>
      </c>
      <c r="R6663" s="80" t="s">
        <v>36</v>
      </c>
      <c r="S6663" s="95">
        <f>200+1800+7000</f>
        <v>9000</v>
      </c>
      <c r="T6663" s="148" t="s">
        <v>14086</v>
      </c>
      <c r="U6663" s="95">
        <v>6936</v>
      </c>
      <c r="V6663" s="148">
        <v>45586</v>
      </c>
      <c r="W6663" s="85" t="s">
        <v>14087</v>
      </c>
      <c r="X6663" s="80"/>
      <c r="Y6663" s="22">
        <v>0</v>
      </c>
      <c r="Z6663" s="81" t="s">
        <v>50</v>
      </c>
      <c r="AA6663" s="82"/>
      <c r="AB6663" s="80"/>
      <c r="AC6663" s="80" t="s">
        <v>53</v>
      </c>
      <c r="AD6663" s="80" t="s">
        <v>138</v>
      </c>
      <c r="AE6663" s="80" t="s">
        <v>14082</v>
      </c>
      <c r="AF6663" s="17">
        <v>45747</v>
      </c>
      <c r="AG6663" s="80"/>
      <c r="AH6663" s="80"/>
      <c r="AI6663" s="147"/>
      <c r="AJ6663" s="80"/>
      <c r="AK6663" s="80"/>
      <c r="AL6663" s="86"/>
      <c r="AM6663" s="86"/>
      <c r="AN6663" s="86"/>
      <c r="AO6663" s="86"/>
      <c r="AP6663" s="86"/>
    </row>
    <row r="6664" spans="1:42" x14ac:dyDescent="0.2">
      <c r="A6664" s="38">
        <v>45733</v>
      </c>
      <c r="B6664" s="28" t="s">
        <v>37</v>
      </c>
      <c r="C6664" s="41" t="s">
        <v>118</v>
      </c>
      <c r="D6664" s="80" t="s">
        <v>36</v>
      </c>
      <c r="E6664" s="80" t="s">
        <v>56</v>
      </c>
      <c r="F6664" s="80" t="s">
        <v>14082</v>
      </c>
      <c r="G6664" s="161" t="s">
        <v>221</v>
      </c>
      <c r="H6664" s="80" t="s">
        <v>20146</v>
      </c>
      <c r="I6664" s="17">
        <f ca="1">IFERROR(__xludf.DUMMYFUNCTION("""COMPUTED_VALUE"""),45747)</f>
        <v>45747</v>
      </c>
      <c r="J6664" s="143" t="s">
        <v>15157</v>
      </c>
      <c r="K6664" s="145" t="s">
        <v>16639</v>
      </c>
      <c r="L6664" s="30">
        <v>982771096</v>
      </c>
      <c r="M6664" s="80" t="s">
        <v>12644</v>
      </c>
      <c r="N6664" s="80" t="s">
        <v>8725</v>
      </c>
      <c r="O6664" s="80" t="s">
        <v>15159</v>
      </c>
      <c r="P6664" s="80" t="s">
        <v>13226</v>
      </c>
      <c r="Q6664" s="20">
        <v>9317</v>
      </c>
      <c r="R6664" s="80" t="s">
        <v>36</v>
      </c>
      <c r="S6664" s="95">
        <v>2000</v>
      </c>
      <c r="T6664" s="148">
        <v>45545</v>
      </c>
      <c r="U6664" s="95">
        <v>7317</v>
      </c>
      <c r="V6664" s="148">
        <v>45596</v>
      </c>
      <c r="W6664" s="85" t="s">
        <v>15160</v>
      </c>
      <c r="X6664" s="80"/>
      <c r="Y6664" s="22">
        <v>0</v>
      </c>
      <c r="Z6664" s="81" t="s">
        <v>50</v>
      </c>
      <c r="AA6664" s="86" t="s">
        <v>9905</v>
      </c>
      <c r="AB6664" s="80"/>
      <c r="AC6664" s="80" t="s">
        <v>53</v>
      </c>
      <c r="AD6664" s="80" t="s">
        <v>138</v>
      </c>
      <c r="AE6664" s="80" t="s">
        <v>14082</v>
      </c>
      <c r="AF6664" s="17">
        <v>45747</v>
      </c>
      <c r="AG6664" s="80"/>
      <c r="AH6664" s="80"/>
      <c r="AI6664" s="147"/>
      <c r="AJ6664" s="80"/>
      <c r="AK6664" s="80"/>
      <c r="AL6664" s="86"/>
      <c r="AM6664" s="86"/>
      <c r="AN6664" s="86"/>
      <c r="AO6664" s="86"/>
      <c r="AP6664" s="86"/>
    </row>
    <row r="6665" spans="1:42" x14ac:dyDescent="0.2">
      <c r="A6665" s="38">
        <v>45733</v>
      </c>
      <c r="B6665" s="28"/>
      <c r="C6665" s="41" t="s">
        <v>118</v>
      </c>
      <c r="D6665" s="80" t="s">
        <v>36</v>
      </c>
      <c r="E6665" s="80" t="s">
        <v>139</v>
      </c>
      <c r="F6665" s="80" t="s">
        <v>14082</v>
      </c>
      <c r="G6665" s="161" t="s">
        <v>108</v>
      </c>
      <c r="H6665" s="80" t="s">
        <v>865</v>
      </c>
      <c r="I6665" s="17" t="str">
        <f ca="1">IFERROR(__xludf.DUMMYFUNCTION("""COMPUTED_VALUE""")," ")</f>
        <v xml:space="preserve"> </v>
      </c>
      <c r="J6665" s="143" t="s">
        <v>12088</v>
      </c>
      <c r="K6665" s="145" t="s">
        <v>21085</v>
      </c>
      <c r="L6665" s="30">
        <v>362184703</v>
      </c>
      <c r="M6665" s="80" t="s">
        <v>2755</v>
      </c>
      <c r="N6665" s="80" t="s">
        <v>2756</v>
      </c>
      <c r="O6665" s="80" t="s">
        <v>12090</v>
      </c>
      <c r="P6665" s="80" t="s">
        <v>12091</v>
      </c>
      <c r="Q6665" s="20">
        <v>15936</v>
      </c>
      <c r="R6665" s="80" t="s">
        <v>36</v>
      </c>
      <c r="S6665" s="95">
        <v>2000</v>
      </c>
      <c r="T6665" s="148">
        <v>45505</v>
      </c>
      <c r="U6665" s="95">
        <v>13936</v>
      </c>
      <c r="V6665" s="148">
        <v>45541</v>
      </c>
      <c r="W6665" s="80" t="s">
        <v>12092</v>
      </c>
      <c r="X6665" s="83">
        <v>0</v>
      </c>
      <c r="Y6665" s="22">
        <v>0</v>
      </c>
      <c r="Z6665" s="81" t="s">
        <v>50</v>
      </c>
      <c r="AA6665" s="82" t="s">
        <v>3291</v>
      </c>
      <c r="AB6665" s="80"/>
      <c r="AC6665" s="80" t="s">
        <v>53</v>
      </c>
      <c r="AD6665" s="80" t="s">
        <v>54</v>
      </c>
      <c r="AE6665" s="80" t="s">
        <v>14082</v>
      </c>
      <c r="AF6665" s="43"/>
      <c r="AG6665" s="80"/>
      <c r="AH6665" s="80"/>
      <c r="AI6665" s="147" t="s">
        <v>147</v>
      </c>
      <c r="AJ6665" s="80"/>
      <c r="AK6665" s="80"/>
      <c r="AL6665" s="86"/>
      <c r="AM6665" s="86"/>
      <c r="AN6665" s="86"/>
      <c r="AO6665" s="86"/>
      <c r="AP6665" s="86"/>
    </row>
    <row r="6666" spans="1:42" x14ac:dyDescent="0.2">
      <c r="A6666" s="38">
        <v>45733</v>
      </c>
      <c r="B6666" s="28" t="s">
        <v>37</v>
      </c>
      <c r="C6666" s="41" t="s">
        <v>118</v>
      </c>
      <c r="D6666" s="80" t="s">
        <v>36</v>
      </c>
      <c r="E6666" s="80" t="s">
        <v>139</v>
      </c>
      <c r="F6666" s="80" t="s">
        <v>14082</v>
      </c>
      <c r="G6666" s="161" t="s">
        <v>221</v>
      </c>
      <c r="H6666" s="80" t="s">
        <v>20146</v>
      </c>
      <c r="I6666" s="17">
        <f ca="1">IFERROR(__xludf.DUMMYFUNCTION("""COMPUTED_VALUE"""),45747)</f>
        <v>45747</v>
      </c>
      <c r="J6666" s="143" t="s">
        <v>15342</v>
      </c>
      <c r="K6666" s="145" t="s">
        <v>15343</v>
      </c>
      <c r="L6666" s="30">
        <v>342920313</v>
      </c>
      <c r="M6666" s="80" t="s">
        <v>5558</v>
      </c>
      <c r="N6666" s="80" t="s">
        <v>850</v>
      </c>
      <c r="O6666" s="80" t="s">
        <v>4503</v>
      </c>
      <c r="P6666" s="80" t="s">
        <v>5794</v>
      </c>
      <c r="Q6666" s="20">
        <v>15936</v>
      </c>
      <c r="R6666" s="80" t="s">
        <v>70</v>
      </c>
      <c r="S6666" s="95">
        <f>100+1900</f>
        <v>2000</v>
      </c>
      <c r="T6666" s="148" t="s">
        <v>15340</v>
      </c>
      <c r="U6666" s="95">
        <v>13836</v>
      </c>
      <c r="V6666" s="148">
        <v>45593</v>
      </c>
      <c r="W6666" s="80" t="s">
        <v>15344</v>
      </c>
      <c r="X6666" s="80"/>
      <c r="Y6666" s="22">
        <v>100</v>
      </c>
      <c r="Z6666" s="81" t="s">
        <v>50</v>
      </c>
      <c r="AA6666" s="86" t="s">
        <v>9905</v>
      </c>
      <c r="AB6666" s="80"/>
      <c r="AC6666" s="80" t="s">
        <v>53</v>
      </c>
      <c r="AD6666" s="80" t="s">
        <v>138</v>
      </c>
      <c r="AE6666" s="80" t="s">
        <v>14082</v>
      </c>
      <c r="AF6666" s="17">
        <v>45747</v>
      </c>
      <c r="AG6666" s="80"/>
      <c r="AH6666" s="80"/>
      <c r="AI6666" s="147"/>
      <c r="AJ6666" s="80"/>
      <c r="AK6666" s="80"/>
      <c r="AL6666" s="86"/>
      <c r="AM6666" s="86"/>
      <c r="AN6666" s="86"/>
      <c r="AO6666" s="86"/>
      <c r="AP6666" s="86"/>
    </row>
    <row r="6667" spans="1:42" x14ac:dyDescent="0.2">
      <c r="A6667" s="38">
        <v>45733</v>
      </c>
      <c r="B6667" s="28" t="s">
        <v>37</v>
      </c>
      <c r="C6667" s="41" t="s">
        <v>118</v>
      </c>
      <c r="D6667" s="80" t="s">
        <v>36</v>
      </c>
      <c r="E6667" s="80" t="s">
        <v>139</v>
      </c>
      <c r="F6667" s="80" t="s">
        <v>14082</v>
      </c>
      <c r="G6667" s="161" t="s">
        <v>221</v>
      </c>
      <c r="H6667" s="80" t="s">
        <v>20146</v>
      </c>
      <c r="I6667" s="17">
        <f ca="1">IFERROR(__xludf.DUMMYFUNCTION("""COMPUTED_VALUE"""),45747)</f>
        <v>45747</v>
      </c>
      <c r="J6667" s="143" t="s">
        <v>15369</v>
      </c>
      <c r="K6667" s="80" t="s">
        <v>15370</v>
      </c>
      <c r="L6667" s="30">
        <v>911996288</v>
      </c>
      <c r="M6667" s="80" t="s">
        <v>59</v>
      </c>
      <c r="N6667" s="80" t="s">
        <v>7298</v>
      </c>
      <c r="O6667" s="80" t="s">
        <v>15371</v>
      </c>
      <c r="P6667" s="80" t="s">
        <v>12687</v>
      </c>
      <c r="Q6667" s="20">
        <v>15936</v>
      </c>
      <c r="R6667" s="80" t="s">
        <v>70</v>
      </c>
      <c r="S6667" s="95">
        <v>2000</v>
      </c>
      <c r="T6667" s="148">
        <v>45554</v>
      </c>
      <c r="U6667" s="95">
        <v>13836</v>
      </c>
      <c r="V6667" s="148">
        <v>45587</v>
      </c>
      <c r="W6667" s="85" t="s">
        <v>15372</v>
      </c>
      <c r="X6667" s="80"/>
      <c r="Y6667" s="22">
        <v>100</v>
      </c>
      <c r="Z6667" s="81" t="s">
        <v>50</v>
      </c>
      <c r="AA6667" s="82" t="s">
        <v>9905</v>
      </c>
      <c r="AB6667" s="80"/>
      <c r="AC6667" s="80" t="s">
        <v>53</v>
      </c>
      <c r="AD6667" s="80" t="s">
        <v>138</v>
      </c>
      <c r="AE6667" s="80" t="s">
        <v>14082</v>
      </c>
      <c r="AF6667" s="17">
        <v>45747</v>
      </c>
      <c r="AG6667" s="80"/>
      <c r="AH6667" s="80"/>
      <c r="AI6667" s="147"/>
      <c r="AJ6667" s="80"/>
      <c r="AK6667" s="80"/>
      <c r="AL6667" s="86"/>
      <c r="AM6667" s="86"/>
      <c r="AN6667" s="86"/>
      <c r="AO6667" s="86"/>
      <c r="AP6667" s="86"/>
    </row>
    <row r="6668" spans="1:42" x14ac:dyDescent="0.2">
      <c r="A6668" s="38">
        <v>45733</v>
      </c>
      <c r="B6668" s="28" t="s">
        <v>37</v>
      </c>
      <c r="C6668" s="41" t="s">
        <v>118</v>
      </c>
      <c r="D6668" s="80" t="s">
        <v>36</v>
      </c>
      <c r="E6668" s="80" t="s">
        <v>139</v>
      </c>
      <c r="F6668" s="80" t="s">
        <v>14082</v>
      </c>
      <c r="G6668" s="161" t="s">
        <v>221</v>
      </c>
      <c r="H6668" s="80" t="s">
        <v>20146</v>
      </c>
      <c r="I6668" s="17">
        <f ca="1">IFERROR(__xludf.DUMMYFUNCTION("""COMPUTED_VALUE"""),45747)</f>
        <v>45747</v>
      </c>
      <c r="J6668" s="143" t="s">
        <v>14840</v>
      </c>
      <c r="K6668" s="80" t="s">
        <v>16711</v>
      </c>
      <c r="L6668" s="30">
        <v>339387599</v>
      </c>
      <c r="M6668" s="80" t="s">
        <v>3728</v>
      </c>
      <c r="N6668" s="80" t="s">
        <v>5277</v>
      </c>
      <c r="O6668" s="80" t="s">
        <v>14842</v>
      </c>
      <c r="P6668" s="80" t="s">
        <v>14843</v>
      </c>
      <c r="Q6668" s="20">
        <v>15936</v>
      </c>
      <c r="R6668" s="80" t="s">
        <v>36</v>
      </c>
      <c r="S6668" s="95">
        <f t="shared" ref="S6668:S6669" si="196">200+1800</f>
        <v>2000</v>
      </c>
      <c r="T6668" s="148" t="s">
        <v>14844</v>
      </c>
      <c r="U6668" s="95">
        <v>13936</v>
      </c>
      <c r="V6668" s="148">
        <v>45582</v>
      </c>
      <c r="W6668" s="85" t="s">
        <v>14845</v>
      </c>
      <c r="X6668" s="80"/>
      <c r="Y6668" s="22">
        <v>0</v>
      </c>
      <c r="Z6668" s="81" t="s">
        <v>50</v>
      </c>
      <c r="AA6668" s="86" t="s">
        <v>9905</v>
      </c>
      <c r="AB6668" s="80"/>
      <c r="AC6668" s="80" t="s">
        <v>53</v>
      </c>
      <c r="AD6668" s="80" t="s">
        <v>54</v>
      </c>
      <c r="AE6668" s="80" t="s">
        <v>14082</v>
      </c>
      <c r="AF6668" s="17">
        <v>45747</v>
      </c>
      <c r="AG6668" s="80"/>
      <c r="AH6668" s="80"/>
      <c r="AI6668" s="147"/>
      <c r="AJ6668" s="80"/>
      <c r="AK6668" s="80"/>
      <c r="AL6668" s="86"/>
      <c r="AM6668" s="86"/>
      <c r="AN6668" s="86"/>
      <c r="AO6668" s="86"/>
      <c r="AP6668" s="86"/>
    </row>
    <row r="6669" spans="1:42" x14ac:dyDescent="0.2">
      <c r="A6669" s="38">
        <v>45733</v>
      </c>
      <c r="B6669" s="28" t="s">
        <v>37</v>
      </c>
      <c r="C6669" s="41" t="s">
        <v>118</v>
      </c>
      <c r="D6669" s="80" t="s">
        <v>36</v>
      </c>
      <c r="E6669" s="80" t="s">
        <v>56</v>
      </c>
      <c r="F6669" s="80" t="s">
        <v>14082</v>
      </c>
      <c r="G6669" s="161" t="s">
        <v>221</v>
      </c>
      <c r="H6669" s="80" t="s">
        <v>20146</v>
      </c>
      <c r="I6669" s="17">
        <f ca="1">IFERROR(__xludf.DUMMYFUNCTION("""COMPUTED_VALUE"""),45747)</f>
        <v>45747</v>
      </c>
      <c r="J6669" s="143" t="s">
        <v>16712</v>
      </c>
      <c r="K6669" s="80" t="s">
        <v>21086</v>
      </c>
      <c r="L6669" s="30">
        <v>966295687</v>
      </c>
      <c r="M6669" s="80" t="s">
        <v>80</v>
      </c>
      <c r="N6669" s="80" t="s">
        <v>466</v>
      </c>
      <c r="O6669" s="80" t="s">
        <v>16714</v>
      </c>
      <c r="P6669" s="80" t="s">
        <v>2641</v>
      </c>
      <c r="Q6669" s="20">
        <v>9317</v>
      </c>
      <c r="R6669" s="80" t="s">
        <v>36</v>
      </c>
      <c r="S6669" s="95">
        <f t="shared" si="196"/>
        <v>2000</v>
      </c>
      <c r="T6669" s="148" t="s">
        <v>16715</v>
      </c>
      <c r="U6669" s="95">
        <v>7317</v>
      </c>
      <c r="V6669" s="148">
        <v>45607</v>
      </c>
      <c r="W6669" s="85" t="s">
        <v>16716</v>
      </c>
      <c r="X6669" s="80"/>
      <c r="Y6669" s="22">
        <v>0</v>
      </c>
      <c r="Z6669" s="80"/>
      <c r="AA6669" s="82"/>
      <c r="AB6669" s="80"/>
      <c r="AC6669" s="80" t="s">
        <v>53</v>
      </c>
      <c r="AD6669" s="80" t="s">
        <v>54</v>
      </c>
      <c r="AE6669" s="80" t="s">
        <v>14082</v>
      </c>
      <c r="AF6669" s="17">
        <v>45747</v>
      </c>
      <c r="AG6669" s="80"/>
      <c r="AH6669" s="80"/>
      <c r="AI6669" s="147"/>
      <c r="AJ6669" s="80"/>
      <c r="AK6669" s="80"/>
      <c r="AL6669" s="86"/>
      <c r="AM6669" s="86"/>
      <c r="AN6669" s="86"/>
      <c r="AO6669" s="86"/>
      <c r="AP6669" s="86"/>
    </row>
    <row r="6670" spans="1:42" x14ac:dyDescent="0.2">
      <c r="A6670" s="38">
        <v>45733</v>
      </c>
      <c r="B6670" s="28" t="s">
        <v>37</v>
      </c>
      <c r="C6670" s="41" t="s">
        <v>118</v>
      </c>
      <c r="D6670" s="80" t="s">
        <v>36</v>
      </c>
      <c r="E6670" s="80" t="s">
        <v>56</v>
      </c>
      <c r="F6670" s="80" t="s">
        <v>14082</v>
      </c>
      <c r="G6670" s="161" t="s">
        <v>221</v>
      </c>
      <c r="H6670" s="80" t="s">
        <v>20146</v>
      </c>
      <c r="I6670" s="17">
        <f ca="1">IFERROR(__xludf.DUMMYFUNCTION("""COMPUTED_VALUE"""),45747)</f>
        <v>45747</v>
      </c>
      <c r="J6670" s="143" t="s">
        <v>13519</v>
      </c>
      <c r="K6670" s="80" t="s">
        <v>13520</v>
      </c>
      <c r="L6670" s="30">
        <v>325480233</v>
      </c>
      <c r="M6670" s="80" t="s">
        <v>45</v>
      </c>
      <c r="N6670" s="80" t="s">
        <v>1472</v>
      </c>
      <c r="O6670" s="80" t="s">
        <v>13521</v>
      </c>
      <c r="P6670" s="80" t="s">
        <v>7743</v>
      </c>
      <c r="Q6670" s="20">
        <v>9317</v>
      </c>
      <c r="R6670" s="80" t="s">
        <v>36</v>
      </c>
      <c r="S6670" s="95">
        <f>500+8817</f>
        <v>9317</v>
      </c>
      <c r="T6670" s="148" t="s">
        <v>13522</v>
      </c>
      <c r="U6670" s="77"/>
      <c r="V6670" s="78"/>
      <c r="W6670" s="85" t="s">
        <v>13523</v>
      </c>
      <c r="X6670" s="83">
        <v>0</v>
      </c>
      <c r="Y6670" s="22">
        <v>0</v>
      </c>
      <c r="Z6670" s="81" t="s">
        <v>50</v>
      </c>
      <c r="AA6670" s="86" t="s">
        <v>3291</v>
      </c>
      <c r="AB6670" s="80"/>
      <c r="AC6670" s="80" t="s">
        <v>53</v>
      </c>
      <c r="AD6670" s="80" t="s">
        <v>138</v>
      </c>
      <c r="AE6670" s="80" t="s">
        <v>14082</v>
      </c>
      <c r="AF6670" s="17">
        <v>45747</v>
      </c>
      <c r="AG6670" s="80"/>
      <c r="AH6670" s="80"/>
      <c r="AI6670" s="147" t="s">
        <v>64</v>
      </c>
      <c r="AJ6670" s="80"/>
      <c r="AK6670" s="80"/>
      <c r="AL6670" s="86"/>
      <c r="AM6670" s="86"/>
      <c r="AN6670" s="86"/>
      <c r="AO6670" s="86"/>
      <c r="AP6670" s="86"/>
    </row>
    <row r="6671" spans="1:42" x14ac:dyDescent="0.2">
      <c r="A6671" s="38">
        <v>45733</v>
      </c>
      <c r="B6671" s="28" t="s">
        <v>37</v>
      </c>
      <c r="C6671" s="41" t="s">
        <v>118</v>
      </c>
      <c r="D6671" s="80" t="s">
        <v>36</v>
      </c>
      <c r="E6671" s="80" t="s">
        <v>139</v>
      </c>
      <c r="F6671" s="80" t="s">
        <v>14082</v>
      </c>
      <c r="G6671" s="161" t="s">
        <v>221</v>
      </c>
      <c r="H6671" s="80" t="s">
        <v>20146</v>
      </c>
      <c r="I6671" s="17">
        <f ca="1">IFERROR(__xludf.DUMMYFUNCTION("""COMPUTED_VALUE"""),45747)</f>
        <v>45747</v>
      </c>
      <c r="J6671" s="143" t="s">
        <v>15661</v>
      </c>
      <c r="K6671" s="80" t="s">
        <v>15662</v>
      </c>
      <c r="L6671" s="30">
        <v>852359898</v>
      </c>
      <c r="M6671" s="80" t="s">
        <v>2755</v>
      </c>
      <c r="N6671" s="80" t="s">
        <v>4402</v>
      </c>
      <c r="O6671" s="80" t="s">
        <v>4503</v>
      </c>
      <c r="P6671" s="80" t="s">
        <v>15663</v>
      </c>
      <c r="Q6671" s="20">
        <v>15936</v>
      </c>
      <c r="R6671" s="80" t="s">
        <v>36</v>
      </c>
      <c r="S6671" s="95">
        <f>200+3000</f>
        <v>3200</v>
      </c>
      <c r="T6671" s="148" t="s">
        <v>15664</v>
      </c>
      <c r="U6671" s="95">
        <v>12736</v>
      </c>
      <c r="V6671" s="148">
        <v>45589</v>
      </c>
      <c r="W6671" s="85" t="s">
        <v>15665</v>
      </c>
      <c r="X6671" s="80"/>
      <c r="Y6671" s="22">
        <v>0</v>
      </c>
      <c r="Z6671" s="81" t="s">
        <v>50</v>
      </c>
      <c r="AA6671" s="82" t="s">
        <v>9905</v>
      </c>
      <c r="AB6671" s="80"/>
      <c r="AC6671" s="80" t="s">
        <v>53</v>
      </c>
      <c r="AD6671" s="80" t="s">
        <v>138</v>
      </c>
      <c r="AE6671" s="80" t="s">
        <v>14082</v>
      </c>
      <c r="AF6671" s="17">
        <v>45747</v>
      </c>
      <c r="AG6671" s="80"/>
      <c r="AH6671" s="80"/>
      <c r="AI6671" s="147"/>
      <c r="AJ6671" s="80"/>
      <c r="AK6671" s="80"/>
      <c r="AL6671" s="86"/>
      <c r="AM6671" s="86"/>
      <c r="AN6671" s="86"/>
      <c r="AO6671" s="86"/>
      <c r="AP6671" s="86"/>
    </row>
    <row r="6672" spans="1:42" x14ac:dyDescent="0.2">
      <c r="A6672" s="38">
        <v>45733</v>
      </c>
      <c r="B6672" s="28" t="s">
        <v>37</v>
      </c>
      <c r="C6672" s="41" t="s">
        <v>118</v>
      </c>
      <c r="D6672" s="80" t="s">
        <v>36</v>
      </c>
      <c r="E6672" s="80" t="s">
        <v>139</v>
      </c>
      <c r="F6672" s="80" t="s">
        <v>14082</v>
      </c>
      <c r="G6672" s="161" t="s">
        <v>221</v>
      </c>
      <c r="H6672" s="80" t="s">
        <v>20146</v>
      </c>
      <c r="I6672" s="17">
        <f ca="1">IFERROR(__xludf.DUMMYFUNCTION("""COMPUTED_VALUE"""),45747)</f>
        <v>45747</v>
      </c>
      <c r="J6672" s="143" t="s">
        <v>16717</v>
      </c>
      <c r="K6672" s="80" t="s">
        <v>21087</v>
      </c>
      <c r="L6672" s="30">
        <v>328412800</v>
      </c>
      <c r="M6672" s="80" t="s">
        <v>5558</v>
      </c>
      <c r="N6672" s="80" t="s">
        <v>850</v>
      </c>
      <c r="O6672" s="80" t="s">
        <v>4503</v>
      </c>
      <c r="P6672" s="80" t="s">
        <v>3056</v>
      </c>
      <c r="Q6672" s="20">
        <v>15936</v>
      </c>
      <c r="R6672" s="80" t="s">
        <v>70</v>
      </c>
      <c r="S6672" s="95">
        <f>100+1900</f>
        <v>2000</v>
      </c>
      <c r="T6672" s="148" t="s">
        <v>15340</v>
      </c>
      <c r="U6672" s="95">
        <v>13836</v>
      </c>
      <c r="V6672" s="148">
        <v>45593</v>
      </c>
      <c r="W6672" s="80" t="s">
        <v>15341</v>
      </c>
      <c r="X6672" s="80"/>
      <c r="Y6672" s="22">
        <v>100</v>
      </c>
      <c r="Z6672" s="81" t="s">
        <v>50</v>
      </c>
      <c r="AA6672" s="86" t="s">
        <v>9905</v>
      </c>
      <c r="AB6672" s="80"/>
      <c r="AC6672" s="80" t="s">
        <v>53</v>
      </c>
      <c r="AD6672" s="80" t="s">
        <v>138</v>
      </c>
      <c r="AE6672" s="80" t="s">
        <v>14082</v>
      </c>
      <c r="AF6672" s="17">
        <v>45747</v>
      </c>
      <c r="AG6672" s="80"/>
      <c r="AH6672" s="80"/>
      <c r="AI6672" s="147"/>
      <c r="AJ6672" s="80"/>
      <c r="AK6672" s="80"/>
      <c r="AL6672" s="86"/>
      <c r="AM6672" s="86"/>
      <c r="AN6672" s="86"/>
      <c r="AO6672" s="86"/>
      <c r="AP6672" s="86"/>
    </row>
    <row r="6673" spans="1:42" x14ac:dyDescent="0.2">
      <c r="A6673" s="38">
        <v>45733</v>
      </c>
      <c r="B6673" s="28" t="s">
        <v>37</v>
      </c>
      <c r="C6673" s="41" t="s">
        <v>118</v>
      </c>
      <c r="D6673" s="80" t="s">
        <v>36</v>
      </c>
      <c r="E6673" s="80" t="s">
        <v>139</v>
      </c>
      <c r="F6673" s="80" t="s">
        <v>14082</v>
      </c>
      <c r="G6673" s="161" t="s">
        <v>221</v>
      </c>
      <c r="H6673" s="80" t="s">
        <v>20146</v>
      </c>
      <c r="I6673" s="17">
        <f ca="1">IFERROR(__xludf.DUMMYFUNCTION("""COMPUTED_VALUE"""),45747)</f>
        <v>45747</v>
      </c>
      <c r="J6673" s="143" t="s">
        <v>15214</v>
      </c>
      <c r="K6673" s="80" t="s">
        <v>21088</v>
      </c>
      <c r="L6673" s="30">
        <v>386253319</v>
      </c>
      <c r="M6673" s="80" t="s">
        <v>12720</v>
      </c>
      <c r="N6673" s="80" t="s">
        <v>1073</v>
      </c>
      <c r="O6673" s="80" t="s">
        <v>15216</v>
      </c>
      <c r="P6673" s="80" t="s">
        <v>15217</v>
      </c>
      <c r="Q6673" s="20">
        <v>15936</v>
      </c>
      <c r="R6673" s="80" t="s">
        <v>36</v>
      </c>
      <c r="S6673" s="95">
        <f t="shared" ref="S6673:S6674" si="197">200+1800</f>
        <v>2000</v>
      </c>
      <c r="T6673" s="148" t="s">
        <v>15218</v>
      </c>
      <c r="U6673" s="95">
        <v>13936</v>
      </c>
      <c r="V6673" s="148">
        <v>45585</v>
      </c>
      <c r="W6673" s="85" t="s">
        <v>15219</v>
      </c>
      <c r="X6673" s="80"/>
      <c r="Y6673" s="22">
        <v>0</v>
      </c>
      <c r="Z6673" s="81" t="s">
        <v>50</v>
      </c>
      <c r="AA6673" s="82" t="s">
        <v>9905</v>
      </c>
      <c r="AB6673" s="80"/>
      <c r="AC6673" s="80" t="s">
        <v>53</v>
      </c>
      <c r="AD6673" s="80" t="s">
        <v>138</v>
      </c>
      <c r="AE6673" s="80" t="s">
        <v>14082</v>
      </c>
      <c r="AF6673" s="17">
        <v>45747</v>
      </c>
      <c r="AG6673" s="80"/>
      <c r="AH6673" s="80"/>
      <c r="AI6673" s="147"/>
      <c r="AJ6673" s="80"/>
      <c r="AK6673" s="80"/>
      <c r="AL6673" s="86"/>
      <c r="AM6673" s="86"/>
      <c r="AN6673" s="86"/>
      <c r="AO6673" s="86"/>
      <c r="AP6673" s="86"/>
    </row>
    <row r="6674" spans="1:42" x14ac:dyDescent="0.2">
      <c r="A6674" s="38">
        <v>45733</v>
      </c>
      <c r="B6674" s="28" t="s">
        <v>37</v>
      </c>
      <c r="C6674" s="41" t="s">
        <v>118</v>
      </c>
      <c r="D6674" s="80" t="s">
        <v>36</v>
      </c>
      <c r="E6674" s="80" t="s">
        <v>139</v>
      </c>
      <c r="F6674" s="80" t="s">
        <v>14082</v>
      </c>
      <c r="G6674" s="161" t="s">
        <v>221</v>
      </c>
      <c r="H6674" s="80" t="s">
        <v>20146</v>
      </c>
      <c r="I6674" s="17">
        <f ca="1">IFERROR(__xludf.DUMMYFUNCTION("""COMPUTED_VALUE"""),45747)</f>
        <v>45747</v>
      </c>
      <c r="J6674" s="143" t="s">
        <v>16721</v>
      </c>
      <c r="K6674" s="80" t="s">
        <v>16722</v>
      </c>
      <c r="L6674" s="30">
        <v>868875930</v>
      </c>
      <c r="M6674" s="80" t="s">
        <v>3728</v>
      </c>
      <c r="N6674" s="80" t="s">
        <v>5312</v>
      </c>
      <c r="O6674" s="80" t="s">
        <v>16723</v>
      </c>
      <c r="P6674" s="80" t="s">
        <v>11644</v>
      </c>
      <c r="Q6674" s="20">
        <v>15936</v>
      </c>
      <c r="R6674" s="80" t="s">
        <v>1106</v>
      </c>
      <c r="S6674" s="95">
        <f t="shared" si="197"/>
        <v>2000</v>
      </c>
      <c r="T6674" s="148" t="s">
        <v>16724</v>
      </c>
      <c r="U6674" s="95">
        <v>13786</v>
      </c>
      <c r="V6674" s="148">
        <v>45601</v>
      </c>
      <c r="W6674" s="85" t="s">
        <v>16725</v>
      </c>
      <c r="X6674" s="80"/>
      <c r="Y6674" s="22">
        <v>150</v>
      </c>
      <c r="Z6674" s="80"/>
      <c r="AA6674" s="86"/>
      <c r="AB6674" s="80"/>
      <c r="AC6674" s="80" t="s">
        <v>53</v>
      </c>
      <c r="AD6674" s="80" t="s">
        <v>138</v>
      </c>
      <c r="AE6674" s="80" t="s">
        <v>14082</v>
      </c>
      <c r="AF6674" s="17">
        <v>45747</v>
      </c>
      <c r="AG6674" s="80"/>
      <c r="AH6674" s="80"/>
      <c r="AI6674" s="147"/>
      <c r="AJ6674" s="80"/>
      <c r="AK6674" s="80"/>
      <c r="AL6674" s="86"/>
      <c r="AM6674" s="86"/>
      <c r="AN6674" s="86"/>
      <c r="AO6674" s="86"/>
      <c r="AP6674" s="86"/>
    </row>
    <row r="6675" spans="1:42" x14ac:dyDescent="0.2">
      <c r="A6675" s="38">
        <v>45733</v>
      </c>
      <c r="B6675" s="28" t="s">
        <v>37</v>
      </c>
      <c r="C6675" s="41" t="s">
        <v>118</v>
      </c>
      <c r="D6675" s="80" t="s">
        <v>36</v>
      </c>
      <c r="E6675" s="80" t="s">
        <v>139</v>
      </c>
      <c r="F6675" s="80" t="s">
        <v>14082</v>
      </c>
      <c r="G6675" s="161" t="s">
        <v>221</v>
      </c>
      <c r="H6675" s="80" t="s">
        <v>20146</v>
      </c>
      <c r="I6675" s="17">
        <f ca="1">IFERROR(__xludf.DUMMYFUNCTION("""COMPUTED_VALUE"""),45747)</f>
        <v>45747</v>
      </c>
      <c r="J6675" s="143" t="s">
        <v>15365</v>
      </c>
      <c r="K6675" s="80" t="s">
        <v>15366</v>
      </c>
      <c r="L6675" s="30">
        <v>394389706</v>
      </c>
      <c r="M6675" s="80" t="s">
        <v>59</v>
      </c>
      <c r="N6675" s="80" t="s">
        <v>7298</v>
      </c>
      <c r="O6675" s="80" t="s">
        <v>15367</v>
      </c>
      <c r="P6675" s="80" t="s">
        <v>12687</v>
      </c>
      <c r="Q6675" s="20">
        <v>15936</v>
      </c>
      <c r="R6675" s="80" t="s">
        <v>70</v>
      </c>
      <c r="S6675" s="95">
        <v>2000</v>
      </c>
      <c r="T6675" s="148">
        <v>45554</v>
      </c>
      <c r="U6675" s="95">
        <v>13836</v>
      </c>
      <c r="V6675" s="148">
        <v>45579</v>
      </c>
      <c r="W6675" s="85" t="s">
        <v>15368</v>
      </c>
      <c r="X6675" s="80"/>
      <c r="Y6675" s="22">
        <v>100</v>
      </c>
      <c r="Z6675" s="81" t="s">
        <v>50</v>
      </c>
      <c r="AA6675" s="82" t="s">
        <v>9905</v>
      </c>
      <c r="AB6675" s="80"/>
      <c r="AC6675" s="80" t="s">
        <v>53</v>
      </c>
      <c r="AD6675" s="80" t="s">
        <v>138</v>
      </c>
      <c r="AE6675" s="80" t="s">
        <v>14082</v>
      </c>
      <c r="AF6675" s="17">
        <v>45747</v>
      </c>
      <c r="AG6675" s="80"/>
      <c r="AH6675" s="80"/>
      <c r="AI6675" s="147"/>
      <c r="AJ6675" s="80"/>
      <c r="AK6675" s="80"/>
      <c r="AL6675" s="86"/>
      <c r="AM6675" s="86"/>
      <c r="AN6675" s="86"/>
      <c r="AO6675" s="86"/>
      <c r="AP6675" s="86"/>
    </row>
    <row r="6676" spans="1:42" x14ac:dyDescent="0.2">
      <c r="A6676" s="38">
        <v>45733</v>
      </c>
      <c r="B6676" s="28" t="s">
        <v>37</v>
      </c>
      <c r="C6676" s="41" t="s">
        <v>118</v>
      </c>
      <c r="D6676" s="80" t="s">
        <v>36</v>
      </c>
      <c r="E6676" s="80" t="s">
        <v>139</v>
      </c>
      <c r="F6676" s="80" t="s">
        <v>14082</v>
      </c>
      <c r="G6676" s="161" t="s">
        <v>221</v>
      </c>
      <c r="H6676" s="80" t="s">
        <v>20146</v>
      </c>
      <c r="I6676" s="17">
        <f ca="1">IFERROR(__xludf.DUMMYFUNCTION("""COMPUTED_VALUE"""),45747)</f>
        <v>45747</v>
      </c>
      <c r="J6676" s="143" t="s">
        <v>15210</v>
      </c>
      <c r="K6676" s="80" t="s">
        <v>15211</v>
      </c>
      <c r="L6676" s="30">
        <v>368937229</v>
      </c>
      <c r="M6676" s="80" t="s">
        <v>3728</v>
      </c>
      <c r="N6676" s="80" t="s">
        <v>5312</v>
      </c>
      <c r="O6676" s="80" t="s">
        <v>15212</v>
      </c>
      <c r="P6676" s="80" t="s">
        <v>11644</v>
      </c>
      <c r="Q6676" s="20">
        <v>15936</v>
      </c>
      <c r="R6676" s="80" t="s">
        <v>1106</v>
      </c>
      <c r="S6676" s="95">
        <f>200+1800</f>
        <v>2000</v>
      </c>
      <c r="T6676" s="148" t="s">
        <v>13119</v>
      </c>
      <c r="U6676" s="95">
        <v>13786</v>
      </c>
      <c r="V6676" s="169">
        <v>45594</v>
      </c>
      <c r="W6676" s="85" t="s">
        <v>15213</v>
      </c>
      <c r="X6676" s="80"/>
      <c r="Y6676" s="22">
        <v>150</v>
      </c>
      <c r="Z6676" s="81" t="s">
        <v>50</v>
      </c>
      <c r="AA6676" s="86" t="s">
        <v>9905</v>
      </c>
      <c r="AB6676" s="80"/>
      <c r="AC6676" s="80" t="s">
        <v>53</v>
      </c>
      <c r="AD6676" s="80" t="s">
        <v>138</v>
      </c>
      <c r="AE6676" s="80" t="s">
        <v>14082</v>
      </c>
      <c r="AF6676" s="17">
        <v>45747</v>
      </c>
      <c r="AG6676" s="80"/>
      <c r="AH6676" s="80"/>
      <c r="AI6676" s="147"/>
      <c r="AJ6676" s="80"/>
      <c r="AK6676" s="80"/>
      <c r="AL6676" s="86"/>
      <c r="AM6676" s="86"/>
      <c r="AN6676" s="86"/>
      <c r="AO6676" s="86"/>
      <c r="AP6676" s="86"/>
    </row>
    <row r="6677" spans="1:42" x14ac:dyDescent="0.2">
      <c r="A6677" s="38">
        <v>45733</v>
      </c>
      <c r="B6677" s="28" t="s">
        <v>37</v>
      </c>
      <c r="C6677" s="41" t="s">
        <v>118</v>
      </c>
      <c r="D6677" s="80" t="s">
        <v>36</v>
      </c>
      <c r="E6677" s="80" t="s">
        <v>139</v>
      </c>
      <c r="F6677" s="80" t="s">
        <v>10098</v>
      </c>
      <c r="G6677" s="161" t="s">
        <v>221</v>
      </c>
      <c r="H6677" s="80" t="s">
        <v>20127</v>
      </c>
      <c r="I6677" s="17">
        <f ca="1">IFERROR(__xludf.DUMMYFUNCTION("""COMPUTED_VALUE"""),45891)</f>
        <v>45891</v>
      </c>
      <c r="J6677" s="143" t="s">
        <v>16719</v>
      </c>
      <c r="K6677" s="145" t="s">
        <v>21089</v>
      </c>
      <c r="L6677" s="30">
        <v>333753026</v>
      </c>
      <c r="M6677" s="80" t="s">
        <v>59</v>
      </c>
      <c r="N6677" s="80" t="s">
        <v>10947</v>
      </c>
      <c r="O6677" s="80" t="s">
        <v>13313</v>
      </c>
      <c r="P6677" s="80" t="s">
        <v>12687</v>
      </c>
      <c r="Q6677" s="20">
        <v>15936</v>
      </c>
      <c r="R6677" s="80" t="s">
        <v>70</v>
      </c>
      <c r="S6677" s="95">
        <v>15936</v>
      </c>
      <c r="T6677" s="148">
        <v>45551</v>
      </c>
      <c r="U6677" s="77"/>
      <c r="V6677" s="78"/>
      <c r="W6677" s="85" t="s">
        <v>13314</v>
      </c>
      <c r="X6677" s="83">
        <v>100</v>
      </c>
      <c r="Y6677" s="22">
        <v>-100</v>
      </c>
      <c r="Z6677" s="81" t="s">
        <v>50</v>
      </c>
      <c r="AA6677" s="82" t="s">
        <v>3291</v>
      </c>
      <c r="AB6677" s="80"/>
      <c r="AC6677" s="80" t="s">
        <v>53</v>
      </c>
      <c r="AD6677" s="80" t="s">
        <v>138</v>
      </c>
      <c r="AE6677" s="80" t="s">
        <v>10098</v>
      </c>
      <c r="AF6677" s="17">
        <v>45891</v>
      </c>
      <c r="AG6677" s="80"/>
      <c r="AH6677" s="80"/>
      <c r="AI6677" s="147" t="s">
        <v>147</v>
      </c>
      <c r="AJ6677" s="80"/>
      <c r="AK6677" s="80"/>
      <c r="AL6677" s="86"/>
      <c r="AM6677" s="86"/>
      <c r="AN6677" s="86"/>
      <c r="AO6677" s="86"/>
      <c r="AP6677" s="86"/>
    </row>
    <row r="6678" spans="1:42" x14ac:dyDescent="0.2">
      <c r="A6678" s="38">
        <v>45733</v>
      </c>
      <c r="B6678" s="28" t="s">
        <v>37</v>
      </c>
      <c r="C6678" s="41" t="s">
        <v>118</v>
      </c>
      <c r="D6678" s="80" t="s">
        <v>36</v>
      </c>
      <c r="E6678" s="80" t="s">
        <v>139</v>
      </c>
      <c r="F6678" s="80" t="s">
        <v>10098</v>
      </c>
      <c r="G6678" s="161" t="s">
        <v>221</v>
      </c>
      <c r="H6678" s="80" t="s">
        <v>12804</v>
      </c>
      <c r="I6678" s="17">
        <f ca="1">IFERROR(__xludf.DUMMYFUNCTION("""COMPUTED_VALUE"""),45736)</f>
        <v>45736</v>
      </c>
      <c r="J6678" s="143" t="s">
        <v>15457</v>
      </c>
      <c r="K6678" s="145" t="s">
        <v>15458</v>
      </c>
      <c r="L6678" s="30">
        <v>979702596</v>
      </c>
      <c r="M6678" s="80" t="s">
        <v>12644</v>
      </c>
      <c r="N6678" s="80" t="s">
        <v>8725</v>
      </c>
      <c r="O6678" s="80" t="s">
        <v>15459</v>
      </c>
      <c r="P6678" s="80" t="s">
        <v>15460</v>
      </c>
      <c r="Q6678" s="20">
        <v>15936</v>
      </c>
      <c r="R6678" s="80" t="s">
        <v>70</v>
      </c>
      <c r="S6678" s="95">
        <v>2000</v>
      </c>
      <c r="T6678" s="148">
        <v>45556</v>
      </c>
      <c r="U6678" s="95">
        <v>13836</v>
      </c>
      <c r="V6678" s="148">
        <v>45587</v>
      </c>
      <c r="W6678" s="85" t="s">
        <v>15461</v>
      </c>
      <c r="X6678" s="80"/>
      <c r="Y6678" s="22">
        <v>100</v>
      </c>
      <c r="Z6678" s="81" t="s">
        <v>50</v>
      </c>
      <c r="AA6678" s="86" t="s">
        <v>9905</v>
      </c>
      <c r="AB6678" s="80"/>
      <c r="AC6678" s="80" t="s">
        <v>53</v>
      </c>
      <c r="AD6678" s="80" t="s">
        <v>138</v>
      </c>
      <c r="AE6678" s="80" t="s">
        <v>10098</v>
      </c>
      <c r="AF6678" s="17">
        <v>45736</v>
      </c>
      <c r="AG6678" s="80"/>
      <c r="AH6678" s="80"/>
      <c r="AI6678" s="147"/>
      <c r="AJ6678" s="80"/>
      <c r="AK6678" s="80"/>
      <c r="AL6678" s="86"/>
      <c r="AM6678" s="86"/>
      <c r="AN6678" s="86"/>
      <c r="AO6678" s="86"/>
      <c r="AP6678" s="86"/>
    </row>
    <row r="6679" spans="1:42" x14ac:dyDescent="0.2">
      <c r="A6679" s="38">
        <v>45733</v>
      </c>
      <c r="B6679" s="137" t="s">
        <v>37</v>
      </c>
      <c r="C6679" s="41" t="s">
        <v>118</v>
      </c>
      <c r="D6679" s="80" t="s">
        <v>36</v>
      </c>
      <c r="E6679" s="80" t="s">
        <v>139</v>
      </c>
      <c r="F6679" s="80" t="s">
        <v>10098</v>
      </c>
      <c r="G6679" s="161" t="s">
        <v>221</v>
      </c>
      <c r="H6679" s="80" t="s">
        <v>18072</v>
      </c>
      <c r="I6679" s="17">
        <f ca="1">IFERROR(__xludf.DUMMYFUNCTION("""COMPUTED_VALUE"""),45804)</f>
        <v>45804</v>
      </c>
      <c r="J6679" s="143" t="s">
        <v>15600</v>
      </c>
      <c r="K6679" s="145" t="s">
        <v>15601</v>
      </c>
      <c r="L6679" s="30">
        <v>388282615</v>
      </c>
      <c r="M6679" s="80" t="s">
        <v>12644</v>
      </c>
      <c r="N6679" s="80" t="s">
        <v>8725</v>
      </c>
      <c r="O6679" s="80" t="s">
        <v>15602</v>
      </c>
      <c r="P6679" s="80" t="s">
        <v>15603</v>
      </c>
      <c r="Q6679" s="20">
        <v>15936</v>
      </c>
      <c r="R6679" s="80" t="s">
        <v>36</v>
      </c>
      <c r="S6679" s="95">
        <f>200+1800</f>
        <v>2000</v>
      </c>
      <c r="T6679" s="148" t="s">
        <v>15604</v>
      </c>
      <c r="U6679" s="95">
        <v>13936</v>
      </c>
      <c r="V6679" s="148">
        <v>45587</v>
      </c>
      <c r="W6679" s="85" t="s">
        <v>15605</v>
      </c>
      <c r="X6679" s="80"/>
      <c r="Y6679" s="22">
        <v>0</v>
      </c>
      <c r="Z6679" s="81" t="s">
        <v>50</v>
      </c>
      <c r="AA6679" s="82" t="s">
        <v>9905</v>
      </c>
      <c r="AB6679" s="80"/>
      <c r="AC6679" s="80" t="s">
        <v>53</v>
      </c>
      <c r="AD6679" s="80" t="s">
        <v>138</v>
      </c>
      <c r="AE6679" s="80" t="s">
        <v>10098</v>
      </c>
      <c r="AF6679" s="17">
        <v>45792</v>
      </c>
      <c r="AG6679" s="80" t="s">
        <v>21090</v>
      </c>
      <c r="AH6679" s="80"/>
      <c r="AI6679" s="147"/>
      <c r="AJ6679" s="80"/>
      <c r="AK6679" s="80"/>
      <c r="AL6679" s="86"/>
      <c r="AM6679" s="86"/>
      <c r="AN6679" s="86"/>
      <c r="AO6679" s="86"/>
      <c r="AP6679" s="86"/>
    </row>
    <row r="6680" spans="1:42" x14ac:dyDescent="0.2">
      <c r="A6680" s="38">
        <v>45733</v>
      </c>
      <c r="B6680" s="28" t="s">
        <v>37</v>
      </c>
      <c r="C6680" s="41" t="s">
        <v>118</v>
      </c>
      <c r="D6680" s="80" t="s">
        <v>36</v>
      </c>
      <c r="E6680" s="80" t="s">
        <v>139</v>
      </c>
      <c r="F6680" s="80" t="s">
        <v>10098</v>
      </c>
      <c r="G6680" s="161" t="s">
        <v>221</v>
      </c>
      <c r="H6680" s="80" t="s">
        <v>19526</v>
      </c>
      <c r="I6680" s="17">
        <f ca="1">IFERROR(__xludf.DUMMYFUNCTION("""COMPUTED_VALUE"""),45804)</f>
        <v>45804</v>
      </c>
      <c r="J6680" s="143" t="s">
        <v>15631</v>
      </c>
      <c r="K6680" s="145" t="s">
        <v>21091</v>
      </c>
      <c r="L6680" s="30">
        <v>332610600</v>
      </c>
      <c r="M6680" s="80" t="s">
        <v>910</v>
      </c>
      <c r="N6680" s="80" t="s">
        <v>3525</v>
      </c>
      <c r="O6680" s="80" t="s">
        <v>91</v>
      </c>
      <c r="P6680" s="80" t="s">
        <v>12578</v>
      </c>
      <c r="Q6680" s="20">
        <v>15936</v>
      </c>
      <c r="R6680" s="80" t="s">
        <v>70</v>
      </c>
      <c r="S6680" s="95">
        <v>2000</v>
      </c>
      <c r="T6680" s="148">
        <v>45560</v>
      </c>
      <c r="U6680" s="95">
        <v>13836</v>
      </c>
      <c r="V6680" s="148">
        <v>45588</v>
      </c>
      <c r="W6680" s="85" t="s">
        <v>15633</v>
      </c>
      <c r="X6680" s="80"/>
      <c r="Y6680" s="22">
        <v>100</v>
      </c>
      <c r="Z6680" s="81" t="s">
        <v>50</v>
      </c>
      <c r="AA6680" s="86" t="s">
        <v>9905</v>
      </c>
      <c r="AB6680" s="80"/>
      <c r="AC6680" s="80" t="s">
        <v>53</v>
      </c>
      <c r="AD6680" s="80" t="s">
        <v>138</v>
      </c>
      <c r="AE6680" s="80" t="s">
        <v>10098</v>
      </c>
      <c r="AF6680" s="17">
        <v>45804</v>
      </c>
      <c r="AG6680" s="80"/>
      <c r="AH6680" s="80"/>
      <c r="AI6680" s="147"/>
      <c r="AJ6680" s="80"/>
      <c r="AK6680" s="80"/>
      <c r="AL6680" s="86"/>
      <c r="AM6680" s="86"/>
      <c r="AN6680" s="86"/>
      <c r="AO6680" s="86"/>
      <c r="AP6680" s="86"/>
    </row>
    <row r="6681" spans="1:42" x14ac:dyDescent="0.2">
      <c r="A6681" s="38">
        <v>45733</v>
      </c>
      <c r="B6681" s="28" t="s">
        <v>37</v>
      </c>
      <c r="C6681" s="41" t="s">
        <v>118</v>
      </c>
      <c r="D6681" s="80" t="s">
        <v>36</v>
      </c>
      <c r="E6681" s="80" t="s">
        <v>139</v>
      </c>
      <c r="F6681" s="80" t="s">
        <v>10098</v>
      </c>
      <c r="G6681" s="161" t="s">
        <v>221</v>
      </c>
      <c r="H6681" s="80" t="s">
        <v>12804</v>
      </c>
      <c r="I6681" s="17">
        <f ca="1">IFERROR(__xludf.DUMMYFUNCTION("""COMPUTED_VALUE"""),45736)</f>
        <v>45736</v>
      </c>
      <c r="J6681" s="143" t="s">
        <v>15637</v>
      </c>
      <c r="K6681" s="145" t="s">
        <v>15638</v>
      </c>
      <c r="L6681" s="30">
        <v>388423919</v>
      </c>
      <c r="M6681" s="80" t="s">
        <v>12644</v>
      </c>
      <c r="N6681" s="80" t="s">
        <v>8725</v>
      </c>
      <c r="O6681" s="80" t="s">
        <v>15639</v>
      </c>
      <c r="P6681" s="80" t="s">
        <v>13226</v>
      </c>
      <c r="Q6681" s="20">
        <v>15936</v>
      </c>
      <c r="R6681" s="80" t="s">
        <v>70</v>
      </c>
      <c r="S6681" s="95">
        <f>200+1800</f>
        <v>2000</v>
      </c>
      <c r="T6681" s="148" t="s">
        <v>15640</v>
      </c>
      <c r="U6681" s="95">
        <v>13836</v>
      </c>
      <c r="V6681" s="148">
        <v>45588</v>
      </c>
      <c r="W6681" s="85" t="s">
        <v>15641</v>
      </c>
      <c r="X6681" s="80"/>
      <c r="Y6681" s="22">
        <v>100</v>
      </c>
      <c r="Z6681" s="81" t="s">
        <v>50</v>
      </c>
      <c r="AA6681" s="82" t="s">
        <v>9905</v>
      </c>
      <c r="AB6681" s="80"/>
      <c r="AC6681" s="80" t="s">
        <v>53</v>
      </c>
      <c r="AD6681" s="80" t="s">
        <v>138</v>
      </c>
      <c r="AE6681" s="80" t="s">
        <v>10098</v>
      </c>
      <c r="AF6681" s="17">
        <v>45736</v>
      </c>
      <c r="AG6681" s="80"/>
      <c r="AH6681" s="80"/>
      <c r="AI6681" s="147"/>
      <c r="AJ6681" s="80"/>
      <c r="AK6681" s="80"/>
      <c r="AL6681" s="86"/>
      <c r="AM6681" s="86"/>
      <c r="AN6681" s="86"/>
      <c r="AO6681" s="86"/>
      <c r="AP6681" s="86"/>
    </row>
    <row r="6682" spans="1:42" x14ac:dyDescent="0.2">
      <c r="A6682" s="38">
        <v>45733</v>
      </c>
      <c r="B6682" s="28" t="s">
        <v>37</v>
      </c>
      <c r="C6682" s="41" t="s">
        <v>118</v>
      </c>
      <c r="D6682" s="80" t="s">
        <v>36</v>
      </c>
      <c r="E6682" s="80" t="s">
        <v>139</v>
      </c>
      <c r="F6682" s="80" t="s">
        <v>10098</v>
      </c>
      <c r="G6682" s="161" t="s">
        <v>221</v>
      </c>
      <c r="H6682" s="80" t="s">
        <v>12804</v>
      </c>
      <c r="I6682" s="17">
        <f ca="1">IFERROR(__xludf.DUMMYFUNCTION("""COMPUTED_VALUE"""),45736)</f>
        <v>45736</v>
      </c>
      <c r="J6682" s="172" t="s">
        <v>21092</v>
      </c>
      <c r="K6682" s="145" t="s">
        <v>15667</v>
      </c>
      <c r="L6682" s="30">
        <v>329523506</v>
      </c>
      <c r="M6682" s="80" t="s">
        <v>3728</v>
      </c>
      <c r="N6682" s="80" t="s">
        <v>5277</v>
      </c>
      <c r="O6682" s="80" t="s">
        <v>15668</v>
      </c>
      <c r="P6682" s="80" t="s">
        <v>15669</v>
      </c>
      <c r="Q6682" s="20">
        <v>15936</v>
      </c>
      <c r="R6682" s="80" t="s">
        <v>36</v>
      </c>
      <c r="S6682" s="95">
        <f t="shared" ref="S6682:S6683" si="198">500+1500</f>
        <v>2000</v>
      </c>
      <c r="T6682" s="148" t="s">
        <v>15670</v>
      </c>
      <c r="U6682" s="95">
        <v>13936</v>
      </c>
      <c r="V6682" s="148">
        <v>45589</v>
      </c>
      <c r="W6682" s="85" t="s">
        <v>15671</v>
      </c>
      <c r="X6682" s="80"/>
      <c r="Y6682" s="22">
        <v>0</v>
      </c>
      <c r="Z6682" s="81" t="s">
        <v>50</v>
      </c>
      <c r="AA6682" s="86" t="s">
        <v>9905</v>
      </c>
      <c r="AB6682" s="80"/>
      <c r="AC6682" s="80" t="s">
        <v>53</v>
      </c>
      <c r="AD6682" s="80" t="s">
        <v>138</v>
      </c>
      <c r="AE6682" s="80" t="s">
        <v>10098</v>
      </c>
      <c r="AF6682" s="17">
        <v>45736</v>
      </c>
      <c r="AG6682" s="143" t="s">
        <v>15666</v>
      </c>
      <c r="AH6682" s="80"/>
      <c r="AI6682" s="147"/>
      <c r="AJ6682" s="80"/>
      <c r="AK6682" s="80"/>
      <c r="AL6682" s="86"/>
      <c r="AM6682" s="86"/>
      <c r="AN6682" s="86"/>
      <c r="AO6682" s="86"/>
      <c r="AP6682" s="86"/>
    </row>
    <row r="6683" spans="1:42" x14ac:dyDescent="0.2">
      <c r="A6683" s="38">
        <v>45854</v>
      </c>
      <c r="B6683" s="28" t="s">
        <v>37</v>
      </c>
      <c r="C6683" s="41" t="s">
        <v>118</v>
      </c>
      <c r="D6683" s="80" t="s">
        <v>36</v>
      </c>
      <c r="E6683" s="80" t="s">
        <v>139</v>
      </c>
      <c r="F6683" s="80" t="s">
        <v>12804</v>
      </c>
      <c r="G6683" s="161" t="s">
        <v>1705</v>
      </c>
      <c r="H6683" s="80" t="s">
        <v>21093</v>
      </c>
      <c r="I6683" s="17">
        <f ca="1">IFERROR(__xludf.DUMMYFUNCTION("""COMPUTED_VALUE"""),45623)</f>
        <v>45623</v>
      </c>
      <c r="J6683" s="172" t="s">
        <v>21092</v>
      </c>
      <c r="K6683" s="145" t="s">
        <v>15667</v>
      </c>
      <c r="L6683" s="30">
        <v>329523506</v>
      </c>
      <c r="M6683" s="80" t="s">
        <v>3728</v>
      </c>
      <c r="N6683" s="80" t="s">
        <v>5277</v>
      </c>
      <c r="O6683" s="80" t="s">
        <v>15668</v>
      </c>
      <c r="P6683" s="214" t="s">
        <v>21094</v>
      </c>
      <c r="Q6683" s="20">
        <v>15936</v>
      </c>
      <c r="R6683" s="80" t="s">
        <v>36</v>
      </c>
      <c r="S6683" s="95">
        <f t="shared" si="198"/>
        <v>2000</v>
      </c>
      <c r="T6683" s="148" t="s">
        <v>15670</v>
      </c>
      <c r="U6683" s="95">
        <v>13936</v>
      </c>
      <c r="V6683" s="148">
        <v>45589</v>
      </c>
      <c r="W6683" s="85" t="s">
        <v>15671</v>
      </c>
      <c r="X6683" s="80"/>
      <c r="Y6683" s="22">
        <v>0</v>
      </c>
      <c r="Z6683" s="81" t="s">
        <v>50</v>
      </c>
      <c r="AA6683" s="82" t="s">
        <v>9905</v>
      </c>
      <c r="AB6683" s="80"/>
      <c r="AC6683" s="80" t="s">
        <v>53</v>
      </c>
      <c r="AD6683" s="80" t="s">
        <v>138</v>
      </c>
      <c r="AE6683" s="80" t="s">
        <v>12804</v>
      </c>
      <c r="AF6683" s="17">
        <v>45854</v>
      </c>
      <c r="AG6683" s="143"/>
      <c r="AH6683" s="80"/>
      <c r="AI6683" s="147"/>
      <c r="AJ6683" s="80"/>
      <c r="AK6683" s="80"/>
      <c r="AL6683" s="86"/>
      <c r="AM6683" s="86"/>
      <c r="AN6683" s="86"/>
      <c r="AO6683" s="86"/>
      <c r="AP6683" s="86"/>
    </row>
    <row r="6684" spans="1:42" x14ac:dyDescent="0.2">
      <c r="A6684" s="38">
        <v>45733</v>
      </c>
      <c r="B6684" s="28" t="s">
        <v>37</v>
      </c>
      <c r="C6684" s="41" t="s">
        <v>118</v>
      </c>
      <c r="D6684" s="80" t="s">
        <v>36</v>
      </c>
      <c r="E6684" s="80" t="s">
        <v>56</v>
      </c>
      <c r="F6684" s="80" t="s">
        <v>10098</v>
      </c>
      <c r="G6684" s="161" t="s">
        <v>221</v>
      </c>
      <c r="H6684" s="80" t="s">
        <v>12804</v>
      </c>
      <c r="I6684" s="17">
        <f ca="1">IFERROR(__xludf.DUMMYFUNCTION("""COMPUTED_VALUE"""),45736)</f>
        <v>45736</v>
      </c>
      <c r="J6684" s="143" t="s">
        <v>15735</v>
      </c>
      <c r="K6684" s="145" t="s">
        <v>15020</v>
      </c>
      <c r="L6684" s="30">
        <v>962601390</v>
      </c>
      <c r="M6684" s="80" t="s">
        <v>9422</v>
      </c>
      <c r="N6684" s="80" t="s">
        <v>186</v>
      </c>
      <c r="O6684" s="80" t="s">
        <v>11607</v>
      </c>
      <c r="P6684" s="80" t="s">
        <v>15736</v>
      </c>
      <c r="Q6684" s="20">
        <v>9317</v>
      </c>
      <c r="R6684" s="80" t="s">
        <v>11421</v>
      </c>
      <c r="S6684" s="95">
        <v>2000</v>
      </c>
      <c r="T6684" s="148">
        <v>45561</v>
      </c>
      <c r="U6684" s="95">
        <v>7017</v>
      </c>
      <c r="V6684" s="148">
        <v>45586</v>
      </c>
      <c r="W6684" s="85" t="s">
        <v>15737</v>
      </c>
      <c r="X6684" s="80"/>
      <c r="Y6684" s="22">
        <v>300</v>
      </c>
      <c r="Z6684" s="81" t="s">
        <v>50</v>
      </c>
      <c r="AA6684" s="86" t="s">
        <v>9905</v>
      </c>
      <c r="AB6684" s="80"/>
      <c r="AC6684" s="80" t="s">
        <v>53</v>
      </c>
      <c r="AD6684" s="80" t="s">
        <v>138</v>
      </c>
      <c r="AE6684" s="80" t="s">
        <v>10098</v>
      </c>
      <c r="AF6684" s="17">
        <v>45736</v>
      </c>
      <c r="AG6684" s="80"/>
      <c r="AH6684" s="80"/>
      <c r="AI6684" s="147"/>
      <c r="AJ6684" s="80"/>
      <c r="AK6684" s="80"/>
      <c r="AL6684" s="86"/>
      <c r="AM6684" s="86"/>
      <c r="AN6684" s="86"/>
      <c r="AO6684" s="86"/>
      <c r="AP6684" s="86"/>
    </row>
    <row r="6685" spans="1:42" x14ac:dyDescent="0.2">
      <c r="A6685" s="38">
        <v>45733</v>
      </c>
      <c r="B6685" s="28" t="s">
        <v>37</v>
      </c>
      <c r="C6685" s="41" t="s">
        <v>118</v>
      </c>
      <c r="D6685" s="80" t="s">
        <v>36</v>
      </c>
      <c r="E6685" s="80" t="s">
        <v>56</v>
      </c>
      <c r="F6685" s="80" t="s">
        <v>10098</v>
      </c>
      <c r="G6685" s="161" t="s">
        <v>221</v>
      </c>
      <c r="H6685" s="80" t="s">
        <v>12804</v>
      </c>
      <c r="I6685" s="17">
        <f ca="1">IFERROR(__xludf.DUMMYFUNCTION("""COMPUTED_VALUE"""),45736)</f>
        <v>45736</v>
      </c>
      <c r="J6685" s="143" t="s">
        <v>15738</v>
      </c>
      <c r="K6685" s="145" t="s">
        <v>15739</v>
      </c>
      <c r="L6685" s="30">
        <v>333172445</v>
      </c>
      <c r="M6685" s="80" t="s">
        <v>9422</v>
      </c>
      <c r="N6685" s="80" t="s">
        <v>186</v>
      </c>
      <c r="O6685" s="80" t="s">
        <v>11607</v>
      </c>
      <c r="P6685" s="80" t="s">
        <v>15740</v>
      </c>
      <c r="Q6685" s="20">
        <v>9317</v>
      </c>
      <c r="R6685" s="80" t="s">
        <v>11421</v>
      </c>
      <c r="S6685" s="95">
        <v>2000</v>
      </c>
      <c r="T6685" s="170">
        <v>45561</v>
      </c>
      <c r="U6685" s="95">
        <v>7017</v>
      </c>
      <c r="V6685" s="148">
        <v>45586</v>
      </c>
      <c r="W6685" s="85" t="s">
        <v>15741</v>
      </c>
      <c r="X6685" s="80"/>
      <c r="Y6685" s="22">
        <v>300</v>
      </c>
      <c r="Z6685" s="81" t="s">
        <v>50</v>
      </c>
      <c r="AA6685" s="82" t="s">
        <v>9905</v>
      </c>
      <c r="AB6685" s="80"/>
      <c r="AC6685" s="80" t="s">
        <v>53</v>
      </c>
      <c r="AD6685" s="80" t="s">
        <v>138</v>
      </c>
      <c r="AE6685" s="80" t="s">
        <v>10098</v>
      </c>
      <c r="AF6685" s="17">
        <v>45736</v>
      </c>
      <c r="AG6685" s="80"/>
      <c r="AH6685" s="80"/>
      <c r="AI6685" s="147"/>
      <c r="AJ6685" s="80"/>
      <c r="AK6685" s="80"/>
      <c r="AL6685" s="86"/>
      <c r="AM6685" s="86"/>
      <c r="AN6685" s="86"/>
      <c r="AO6685" s="86"/>
      <c r="AP6685" s="86"/>
    </row>
    <row r="6686" spans="1:42" x14ac:dyDescent="0.2">
      <c r="A6686" s="38">
        <v>45733</v>
      </c>
      <c r="B6686" s="28" t="s">
        <v>37</v>
      </c>
      <c r="C6686" s="41" t="s">
        <v>118</v>
      </c>
      <c r="D6686" s="80" t="s">
        <v>36</v>
      </c>
      <c r="E6686" s="80" t="s">
        <v>119</v>
      </c>
      <c r="F6686" s="80" t="s">
        <v>10098</v>
      </c>
      <c r="G6686" s="161" t="s">
        <v>221</v>
      </c>
      <c r="H6686" s="80" t="s">
        <v>12804</v>
      </c>
      <c r="I6686" s="17">
        <f ca="1">IFERROR(__xludf.DUMMYFUNCTION("""COMPUTED_VALUE"""),45736)</f>
        <v>45736</v>
      </c>
      <c r="J6686" s="143" t="s">
        <v>19008</v>
      </c>
      <c r="K6686" s="145" t="s">
        <v>19009</v>
      </c>
      <c r="L6686" s="30">
        <v>975738266</v>
      </c>
      <c r="M6686" s="80" t="s">
        <v>15996</v>
      </c>
      <c r="N6686" s="80" t="s">
        <v>186</v>
      </c>
      <c r="O6686" s="80" t="s">
        <v>4503</v>
      </c>
      <c r="P6686" s="80" t="s">
        <v>3056</v>
      </c>
      <c r="Q6686" s="20">
        <v>13968</v>
      </c>
      <c r="R6686" s="80" t="s">
        <v>36</v>
      </c>
      <c r="S6686" s="95">
        <f>3000+768</f>
        <v>3768</v>
      </c>
      <c r="T6686" s="148" t="s">
        <v>19010</v>
      </c>
      <c r="U6686" s="95">
        <v>10200</v>
      </c>
      <c r="V6686" s="148">
        <v>45651</v>
      </c>
      <c r="W6686" s="85" t="s">
        <v>19011</v>
      </c>
      <c r="X6686" s="80"/>
      <c r="Y6686" s="22">
        <v>0</v>
      </c>
      <c r="Z6686" s="81" t="s">
        <v>50</v>
      </c>
      <c r="AA6686" s="86" t="s">
        <v>18579</v>
      </c>
      <c r="AB6686" s="86"/>
      <c r="AC6686" s="80" t="s">
        <v>53</v>
      </c>
      <c r="AD6686" s="80" t="s">
        <v>138</v>
      </c>
      <c r="AE6686" s="80" t="s">
        <v>10098</v>
      </c>
      <c r="AF6686" s="17">
        <v>45736</v>
      </c>
      <c r="AG6686" s="80"/>
      <c r="AH6686" s="80"/>
      <c r="AI6686" s="147"/>
      <c r="AJ6686" s="80"/>
      <c r="AK6686" s="80"/>
      <c r="AL6686" s="86"/>
      <c r="AM6686" s="86"/>
      <c r="AN6686" s="86"/>
      <c r="AO6686" s="86"/>
      <c r="AP6686" s="86"/>
    </row>
    <row r="6687" spans="1:42" x14ac:dyDescent="0.2">
      <c r="A6687" s="38">
        <v>45733</v>
      </c>
      <c r="B6687" s="28" t="s">
        <v>37</v>
      </c>
      <c r="C6687" s="41" t="s">
        <v>118</v>
      </c>
      <c r="D6687" s="80" t="s">
        <v>36</v>
      </c>
      <c r="E6687" s="80" t="s">
        <v>139</v>
      </c>
      <c r="F6687" s="80" t="s">
        <v>10098</v>
      </c>
      <c r="G6687" s="161" t="s">
        <v>221</v>
      </c>
      <c r="H6687" s="80" t="s">
        <v>20127</v>
      </c>
      <c r="I6687" s="17">
        <f ca="1">IFERROR(__xludf.DUMMYFUNCTION("""COMPUTED_VALUE"""),45891)</f>
        <v>45891</v>
      </c>
      <c r="J6687" s="143" t="s">
        <v>16146</v>
      </c>
      <c r="K6687" s="145" t="s">
        <v>21095</v>
      </c>
      <c r="L6687" s="30">
        <v>967038205</v>
      </c>
      <c r="M6687" s="80" t="s">
        <v>11413</v>
      </c>
      <c r="N6687" s="80" t="s">
        <v>1246</v>
      </c>
      <c r="O6687" s="80" t="s">
        <v>16147</v>
      </c>
      <c r="P6687" s="80" t="s">
        <v>16148</v>
      </c>
      <c r="Q6687" s="20">
        <v>15936</v>
      </c>
      <c r="R6687" s="80" t="s">
        <v>36</v>
      </c>
      <c r="S6687" s="95">
        <f>2000+13936</f>
        <v>15936</v>
      </c>
      <c r="T6687" s="148">
        <v>45571</v>
      </c>
      <c r="U6687" s="95"/>
      <c r="V6687" s="148">
        <v>45586</v>
      </c>
      <c r="W6687" s="85" t="s">
        <v>16149</v>
      </c>
      <c r="X6687" s="80"/>
      <c r="Y6687" s="22">
        <v>0</v>
      </c>
      <c r="Z6687" s="81" t="s">
        <v>50</v>
      </c>
      <c r="AA6687" s="82" t="s">
        <v>9905</v>
      </c>
      <c r="AB6687" s="80"/>
      <c r="AC6687" s="80" t="s">
        <v>53</v>
      </c>
      <c r="AD6687" s="80" t="s">
        <v>54</v>
      </c>
      <c r="AE6687" s="80" t="s">
        <v>10098</v>
      </c>
      <c r="AF6687" s="17">
        <v>45891</v>
      </c>
      <c r="AG6687" s="80"/>
      <c r="AH6687" s="80"/>
      <c r="AI6687" s="147"/>
      <c r="AJ6687" s="80"/>
      <c r="AK6687" s="80"/>
      <c r="AL6687" s="86"/>
      <c r="AM6687" s="86"/>
      <c r="AN6687" s="86"/>
      <c r="AO6687" s="86"/>
      <c r="AP6687" s="86"/>
    </row>
    <row r="6688" spans="1:42" x14ac:dyDescent="0.2">
      <c r="A6688" s="38">
        <v>45733</v>
      </c>
      <c r="B6688" s="28" t="s">
        <v>37</v>
      </c>
      <c r="C6688" s="41" t="s">
        <v>118</v>
      </c>
      <c r="D6688" s="80" t="s">
        <v>36</v>
      </c>
      <c r="E6688" s="80" t="s">
        <v>139</v>
      </c>
      <c r="F6688" s="80" t="s">
        <v>14210</v>
      </c>
      <c r="G6688" s="80" t="s">
        <v>221</v>
      </c>
      <c r="H6688" s="80" t="s">
        <v>20199</v>
      </c>
      <c r="I6688" s="17">
        <f ca="1">IFERROR(__xludf.DUMMYFUNCTION("""COMPUTED_VALUE"""),45905)</f>
        <v>45905</v>
      </c>
      <c r="J6688" s="143" t="s">
        <v>13196</v>
      </c>
      <c r="K6688" s="80" t="s">
        <v>21096</v>
      </c>
      <c r="L6688" s="30">
        <v>968208165</v>
      </c>
      <c r="M6688" s="80" t="s">
        <v>5429</v>
      </c>
      <c r="N6688" s="80" t="s">
        <v>1594</v>
      </c>
      <c r="O6688" s="80" t="s">
        <v>4626</v>
      </c>
      <c r="P6688" s="144" t="s">
        <v>16710</v>
      </c>
      <c r="Q6688" s="20">
        <v>15936</v>
      </c>
      <c r="R6688" s="80" t="s">
        <v>70</v>
      </c>
      <c r="S6688" s="95">
        <v>12000</v>
      </c>
      <c r="T6688" s="148">
        <v>45551</v>
      </c>
      <c r="U6688" s="95">
        <v>3836</v>
      </c>
      <c r="V6688" s="148">
        <v>45551</v>
      </c>
      <c r="W6688" s="85" t="s">
        <v>13198</v>
      </c>
      <c r="X6688" s="80">
        <v>100</v>
      </c>
      <c r="Y6688" s="22">
        <v>0</v>
      </c>
      <c r="Z6688" s="80" t="s">
        <v>50</v>
      </c>
      <c r="AA6688" s="35" t="s">
        <v>3291</v>
      </c>
      <c r="AB6688" s="80"/>
      <c r="AC6688" s="80" t="s">
        <v>53</v>
      </c>
      <c r="AD6688" s="80" t="s">
        <v>138</v>
      </c>
      <c r="AE6688" s="80" t="s">
        <v>14210</v>
      </c>
      <c r="AF6688" s="17">
        <v>45733</v>
      </c>
      <c r="AG6688" s="80" t="s">
        <v>8366</v>
      </c>
      <c r="AH6688" s="80"/>
      <c r="AI6688" s="147" t="s">
        <v>147</v>
      </c>
      <c r="AJ6688" s="80"/>
      <c r="AK6688" s="80"/>
      <c r="AL6688" s="35"/>
      <c r="AM6688" s="35"/>
      <c r="AN6688" s="35"/>
      <c r="AO6688" s="35"/>
      <c r="AP6688" s="35"/>
    </row>
    <row r="6689" spans="1:42" x14ac:dyDescent="0.2">
      <c r="A6689" s="38">
        <v>45733</v>
      </c>
      <c r="B6689" s="137" t="s">
        <v>37</v>
      </c>
      <c r="C6689" s="41" t="s">
        <v>118</v>
      </c>
      <c r="D6689" s="80" t="s">
        <v>36</v>
      </c>
      <c r="E6689" s="80" t="s">
        <v>139</v>
      </c>
      <c r="F6689" s="80" t="s">
        <v>16656</v>
      </c>
      <c r="G6689" s="80" t="s">
        <v>221</v>
      </c>
      <c r="H6689" s="80" t="s">
        <v>21097</v>
      </c>
      <c r="I6689" s="17">
        <f ca="1">IFERROR(__xludf.DUMMYFUNCTION("""COMPUTED_VALUE"""),45890)</f>
        <v>45890</v>
      </c>
      <c r="J6689" s="143" t="s">
        <v>15569</v>
      </c>
      <c r="K6689" s="80" t="s">
        <v>21098</v>
      </c>
      <c r="L6689" s="30">
        <v>789387607</v>
      </c>
      <c r="M6689" s="80" t="s">
        <v>5558</v>
      </c>
      <c r="N6689" s="80" t="s">
        <v>5559</v>
      </c>
      <c r="O6689" s="80" t="s">
        <v>4503</v>
      </c>
      <c r="P6689" s="144" t="s">
        <v>16658</v>
      </c>
      <c r="Q6689" s="20">
        <v>15936</v>
      </c>
      <c r="R6689" s="80" t="s">
        <v>70</v>
      </c>
      <c r="S6689" s="95">
        <f>200+2800</f>
        <v>3000</v>
      </c>
      <c r="T6689" s="83" t="s">
        <v>14501</v>
      </c>
      <c r="U6689" s="95">
        <v>12836</v>
      </c>
      <c r="V6689" s="148">
        <v>45576</v>
      </c>
      <c r="W6689" s="85" t="s">
        <v>15571</v>
      </c>
      <c r="X6689" s="80"/>
      <c r="Y6689" s="22">
        <v>100</v>
      </c>
      <c r="Z6689" s="81" t="s">
        <v>50</v>
      </c>
      <c r="AA6689" s="82" t="s">
        <v>9905</v>
      </c>
      <c r="AB6689" s="80"/>
      <c r="AC6689" s="80" t="s">
        <v>53</v>
      </c>
      <c r="AD6689" s="80" t="s">
        <v>54</v>
      </c>
      <c r="AE6689" s="80" t="s">
        <v>16656</v>
      </c>
      <c r="AF6689" s="17">
        <v>45894</v>
      </c>
      <c r="AG6689" s="80" t="s">
        <v>21099</v>
      </c>
      <c r="AH6689" s="80"/>
      <c r="AI6689" s="147"/>
      <c r="AJ6689" s="80"/>
      <c r="AK6689" s="80"/>
      <c r="AL6689" s="86"/>
      <c r="AM6689" s="86"/>
      <c r="AN6689" s="86"/>
      <c r="AO6689" s="86"/>
      <c r="AP6689" s="86"/>
    </row>
    <row r="6690" spans="1:42" x14ac:dyDescent="0.2">
      <c r="A6690" s="38">
        <v>45733</v>
      </c>
      <c r="B6690" s="137" t="s">
        <v>37</v>
      </c>
      <c r="C6690" s="41" t="s">
        <v>118</v>
      </c>
      <c r="D6690" s="80" t="s">
        <v>36</v>
      </c>
      <c r="E6690" s="80" t="s">
        <v>139</v>
      </c>
      <c r="F6690" s="80" t="s">
        <v>14200</v>
      </c>
      <c r="G6690" s="80" t="s">
        <v>221</v>
      </c>
      <c r="H6690" s="80" t="s">
        <v>8400</v>
      </c>
      <c r="I6690" s="17">
        <f ca="1">IFERROR(__xludf.DUMMYFUNCTION("""COMPUTED_VALUE"""),45750)</f>
        <v>45750</v>
      </c>
      <c r="J6690" s="143" t="s">
        <v>14282</v>
      </c>
      <c r="K6690" s="80" t="s">
        <v>14283</v>
      </c>
      <c r="L6690" s="30">
        <v>853118306</v>
      </c>
      <c r="M6690" s="80" t="s">
        <v>3728</v>
      </c>
      <c r="N6690" s="80" t="s">
        <v>5312</v>
      </c>
      <c r="O6690" s="80" t="s">
        <v>134</v>
      </c>
      <c r="P6690" s="80" t="s">
        <v>11644</v>
      </c>
      <c r="Q6690" s="20">
        <v>15936</v>
      </c>
      <c r="R6690" s="80" t="s">
        <v>36</v>
      </c>
      <c r="S6690" s="95">
        <v>2000</v>
      </c>
      <c r="T6690" s="148">
        <v>45541</v>
      </c>
      <c r="U6690" s="95">
        <v>13936</v>
      </c>
      <c r="V6690" s="148">
        <v>45572</v>
      </c>
      <c r="W6690" s="85" t="s">
        <v>14284</v>
      </c>
      <c r="X6690" s="80"/>
      <c r="Y6690" s="22">
        <v>0</v>
      </c>
      <c r="Z6690" s="80" t="s">
        <v>50</v>
      </c>
      <c r="AA6690" s="86"/>
      <c r="AB6690" s="80"/>
      <c r="AC6690" s="80" t="s">
        <v>53</v>
      </c>
      <c r="AD6690" s="80" t="s">
        <v>138</v>
      </c>
      <c r="AE6690" s="80" t="s">
        <v>14200</v>
      </c>
      <c r="AF6690" s="17">
        <v>45750</v>
      </c>
      <c r="AG6690" s="80"/>
      <c r="AH6690" s="80"/>
      <c r="AI6690" s="147"/>
      <c r="AJ6690" s="80"/>
      <c r="AK6690" s="80"/>
      <c r="AL6690" s="35"/>
      <c r="AM6690" s="35"/>
      <c r="AN6690" s="35"/>
      <c r="AO6690" s="35"/>
      <c r="AP6690" s="35"/>
    </row>
    <row r="6691" spans="1:42" x14ac:dyDescent="0.2">
      <c r="A6691" s="38">
        <v>45733</v>
      </c>
      <c r="B6691" s="137" t="s">
        <v>37</v>
      </c>
      <c r="C6691" s="41" t="s">
        <v>118</v>
      </c>
      <c r="D6691" s="80" t="s">
        <v>36</v>
      </c>
      <c r="E6691" s="80" t="s">
        <v>139</v>
      </c>
      <c r="F6691" s="80" t="s">
        <v>16656</v>
      </c>
      <c r="G6691" s="80" t="s">
        <v>221</v>
      </c>
      <c r="H6691" s="80" t="s">
        <v>20208</v>
      </c>
      <c r="I6691" s="17">
        <f ca="1">IFERROR(__xludf.DUMMYFUNCTION("""COMPUTED_VALUE"""),45736)</f>
        <v>45736</v>
      </c>
      <c r="J6691" s="143" t="s">
        <v>15956</v>
      </c>
      <c r="K6691" s="80" t="s">
        <v>16797</v>
      </c>
      <c r="L6691" s="30">
        <v>936161006</v>
      </c>
      <c r="M6691" s="80" t="s">
        <v>3498</v>
      </c>
      <c r="N6691" s="80" t="s">
        <v>4402</v>
      </c>
      <c r="O6691" s="80" t="s">
        <v>4503</v>
      </c>
      <c r="P6691" s="80" t="s">
        <v>7743</v>
      </c>
      <c r="Q6691" s="20">
        <v>15936</v>
      </c>
      <c r="R6691" s="80" t="s">
        <v>36</v>
      </c>
      <c r="S6691" s="95">
        <v>2000</v>
      </c>
      <c r="T6691" s="148">
        <v>45553</v>
      </c>
      <c r="U6691" s="95">
        <v>13960</v>
      </c>
      <c r="V6691" s="169">
        <v>45590</v>
      </c>
      <c r="W6691" s="80" t="s">
        <v>15958</v>
      </c>
      <c r="X6691" s="80"/>
      <c r="Y6691" s="22">
        <v>-24</v>
      </c>
      <c r="Z6691" s="80" t="s">
        <v>50</v>
      </c>
      <c r="AA6691" s="96" t="s">
        <v>9905</v>
      </c>
      <c r="AB6691" s="80"/>
      <c r="AC6691" s="80" t="s">
        <v>53</v>
      </c>
      <c r="AD6691" s="80" t="s">
        <v>138</v>
      </c>
      <c r="AE6691" s="80" t="s">
        <v>16656</v>
      </c>
      <c r="AF6691" s="17">
        <v>45736</v>
      </c>
      <c r="AG6691" s="80"/>
      <c r="AH6691" s="80"/>
      <c r="AI6691" s="147"/>
      <c r="AJ6691" s="80"/>
      <c r="AK6691" s="80"/>
      <c r="AL6691" s="35"/>
      <c r="AM6691" s="35"/>
      <c r="AN6691" s="35"/>
      <c r="AO6691" s="35"/>
      <c r="AP6691" s="35"/>
    </row>
    <row r="6692" spans="1:42" x14ac:dyDescent="0.2">
      <c r="A6692" s="38">
        <v>45734</v>
      </c>
      <c r="B6692" s="28" t="s">
        <v>37</v>
      </c>
      <c r="C6692" s="41" t="s">
        <v>118</v>
      </c>
      <c r="D6692" s="80" t="s">
        <v>36</v>
      </c>
      <c r="E6692" s="80" t="s">
        <v>56</v>
      </c>
      <c r="F6692" s="80" t="s">
        <v>16810</v>
      </c>
      <c r="G6692" s="161" t="s">
        <v>221</v>
      </c>
      <c r="H6692" s="80" t="s">
        <v>20492</v>
      </c>
      <c r="I6692" s="17">
        <f ca="1">IFERROR(__xludf.DUMMYFUNCTION("""COMPUTED_VALUE"""),45743)</f>
        <v>45743</v>
      </c>
      <c r="J6692" s="143" t="s">
        <v>16006</v>
      </c>
      <c r="K6692" s="145" t="s">
        <v>16007</v>
      </c>
      <c r="L6692" s="30">
        <v>971418187</v>
      </c>
      <c r="M6692" s="80" t="s">
        <v>9422</v>
      </c>
      <c r="N6692" s="80" t="s">
        <v>5574</v>
      </c>
      <c r="O6692" s="80" t="s">
        <v>16008</v>
      </c>
      <c r="P6692" s="144" t="s">
        <v>16811</v>
      </c>
      <c r="Q6692" s="20">
        <v>9317</v>
      </c>
      <c r="R6692" s="80" t="s">
        <v>36</v>
      </c>
      <c r="S6692" s="95">
        <v>9317</v>
      </c>
      <c r="T6692" s="148">
        <v>45567</v>
      </c>
      <c r="U6692" s="77"/>
      <c r="V6692" s="78"/>
      <c r="W6692" s="85" t="s">
        <v>16010</v>
      </c>
      <c r="X6692" s="80"/>
      <c r="Y6692" s="22">
        <v>0</v>
      </c>
      <c r="Z6692" s="81" t="s">
        <v>50</v>
      </c>
      <c r="AA6692" s="86" t="s">
        <v>9905</v>
      </c>
      <c r="AB6692" s="80"/>
      <c r="AC6692" s="80" t="s">
        <v>53</v>
      </c>
      <c r="AD6692" s="80" t="s">
        <v>54</v>
      </c>
      <c r="AE6692" s="80" t="s">
        <v>16810</v>
      </c>
      <c r="AF6692" s="17">
        <v>45741</v>
      </c>
      <c r="AG6692" s="80"/>
      <c r="AH6692" s="80"/>
      <c r="AI6692" s="147"/>
      <c r="AJ6692" s="80"/>
      <c r="AK6692" s="80"/>
      <c r="AL6692" s="86"/>
      <c r="AM6692" s="86"/>
      <c r="AN6692" s="86"/>
      <c r="AO6692" s="86"/>
      <c r="AP6692" s="86"/>
    </row>
    <row r="6693" spans="1:42" x14ac:dyDescent="0.2">
      <c r="A6693" s="38">
        <v>45734</v>
      </c>
      <c r="B6693" s="137" t="s">
        <v>37</v>
      </c>
      <c r="C6693" s="41" t="s">
        <v>118</v>
      </c>
      <c r="D6693" s="80" t="s">
        <v>36</v>
      </c>
      <c r="E6693" s="80" t="s">
        <v>139</v>
      </c>
      <c r="F6693" s="80" t="s">
        <v>20492</v>
      </c>
      <c r="G6693" s="161" t="s">
        <v>221</v>
      </c>
      <c r="H6693" s="80" t="s">
        <v>20144</v>
      </c>
      <c r="I6693" s="17">
        <f ca="1">IFERROR(__xludf.DUMMYFUNCTION("""COMPUTED_VALUE"""),45785)</f>
        <v>45785</v>
      </c>
      <c r="J6693" s="143" t="s">
        <v>15994</v>
      </c>
      <c r="K6693" s="145" t="s">
        <v>21100</v>
      </c>
      <c r="L6693" s="30">
        <v>971700006</v>
      </c>
      <c r="M6693" s="80" t="s">
        <v>15996</v>
      </c>
      <c r="N6693" s="80" t="s">
        <v>207</v>
      </c>
      <c r="O6693" s="80" t="s">
        <v>4503</v>
      </c>
      <c r="P6693" s="144" t="s">
        <v>16812</v>
      </c>
      <c r="Q6693" s="20">
        <v>15936</v>
      </c>
      <c r="R6693" s="80" t="s">
        <v>36</v>
      </c>
      <c r="S6693" s="95">
        <f>200+1800+7000</f>
        <v>9000</v>
      </c>
      <c r="T6693" s="148" t="s">
        <v>15998</v>
      </c>
      <c r="U6693" s="95">
        <v>6936</v>
      </c>
      <c r="V6693" s="148">
        <v>45596</v>
      </c>
      <c r="W6693" s="85" t="s">
        <v>15999</v>
      </c>
      <c r="X6693" s="80"/>
      <c r="Y6693" s="22">
        <v>0</v>
      </c>
      <c r="Z6693" s="81" t="s">
        <v>50</v>
      </c>
      <c r="AA6693" s="82" t="s">
        <v>9905</v>
      </c>
      <c r="AB6693" s="80"/>
      <c r="AC6693" s="80" t="s">
        <v>53</v>
      </c>
      <c r="AD6693" s="80" t="s">
        <v>54</v>
      </c>
      <c r="AE6693" s="80" t="s">
        <v>16810</v>
      </c>
      <c r="AF6693" s="17">
        <v>45741</v>
      </c>
      <c r="AG6693" s="80"/>
      <c r="AH6693" s="80"/>
      <c r="AI6693" s="147"/>
      <c r="AJ6693" s="80"/>
      <c r="AK6693" s="80"/>
      <c r="AL6693" s="86"/>
      <c r="AM6693" s="86"/>
      <c r="AN6693" s="86"/>
      <c r="AO6693" s="86"/>
      <c r="AP6693" s="86"/>
    </row>
    <row r="6694" spans="1:42" x14ac:dyDescent="0.2">
      <c r="A6694" s="38">
        <v>45734</v>
      </c>
      <c r="B6694" s="28"/>
      <c r="C6694" s="41" t="s">
        <v>118</v>
      </c>
      <c r="D6694" s="80" t="s">
        <v>36</v>
      </c>
      <c r="E6694" s="80" t="s">
        <v>56</v>
      </c>
      <c r="F6694" s="80" t="s">
        <v>16810</v>
      </c>
      <c r="G6694" s="161" t="s">
        <v>221</v>
      </c>
      <c r="H6694" s="80" t="s">
        <v>21101</v>
      </c>
      <c r="I6694" s="17" t="str">
        <f ca="1">IFERROR(__xludf.DUMMYFUNCTION("""COMPUTED_VALUE""")," ")</f>
        <v xml:space="preserve"> </v>
      </c>
      <c r="J6694" s="143" t="s">
        <v>16000</v>
      </c>
      <c r="K6694" s="145" t="s">
        <v>21102</v>
      </c>
      <c r="L6694" s="30">
        <v>836372286</v>
      </c>
      <c r="M6694" s="80" t="s">
        <v>59</v>
      </c>
      <c r="N6694" s="80" t="s">
        <v>8342</v>
      </c>
      <c r="O6694" s="80" t="s">
        <v>16002</v>
      </c>
      <c r="P6694" s="144" t="s">
        <v>16813</v>
      </c>
      <c r="Q6694" s="20">
        <v>9317</v>
      </c>
      <c r="R6694" s="80" t="s">
        <v>36</v>
      </c>
      <c r="S6694" s="95">
        <f>200+9117</f>
        <v>9317</v>
      </c>
      <c r="T6694" s="148" t="s">
        <v>16004</v>
      </c>
      <c r="U6694" s="77"/>
      <c r="V6694" s="78"/>
      <c r="W6694" s="85" t="s">
        <v>16005</v>
      </c>
      <c r="X6694" s="80"/>
      <c r="Y6694" s="22">
        <v>0</v>
      </c>
      <c r="Z6694" s="81" t="s">
        <v>50</v>
      </c>
      <c r="AA6694" s="86" t="s">
        <v>9905</v>
      </c>
      <c r="AB6694" s="80"/>
      <c r="AC6694" s="80" t="s">
        <v>53</v>
      </c>
      <c r="AD6694" s="80" t="s">
        <v>54</v>
      </c>
      <c r="AE6694" s="80" t="s">
        <v>16810</v>
      </c>
      <c r="AF6694" s="17">
        <v>45741</v>
      </c>
      <c r="AG6694" s="80"/>
      <c r="AH6694" s="80"/>
      <c r="AI6694" s="147"/>
      <c r="AJ6694" s="80"/>
      <c r="AK6694" s="80"/>
      <c r="AL6694" s="86"/>
      <c r="AM6694" s="86"/>
      <c r="AN6694" s="86"/>
      <c r="AO6694" s="86"/>
      <c r="AP6694" s="86"/>
    </row>
    <row r="6695" spans="1:42" x14ac:dyDescent="0.2">
      <c r="A6695" s="38">
        <v>45734</v>
      </c>
      <c r="B6695" s="28" t="s">
        <v>37</v>
      </c>
      <c r="C6695" s="41" t="s">
        <v>118</v>
      </c>
      <c r="D6695" s="80" t="s">
        <v>36</v>
      </c>
      <c r="E6695" s="80" t="s">
        <v>56</v>
      </c>
      <c r="F6695" s="80" t="s">
        <v>16810</v>
      </c>
      <c r="G6695" s="161" t="s">
        <v>221</v>
      </c>
      <c r="H6695" s="80" t="s">
        <v>20492</v>
      </c>
      <c r="I6695" s="17">
        <f ca="1">IFERROR(__xludf.DUMMYFUNCTION("""COMPUTED_VALUE"""),45743)</f>
        <v>45743</v>
      </c>
      <c r="J6695" s="143" t="s">
        <v>15922</v>
      </c>
      <c r="K6695" s="145" t="s">
        <v>15923</v>
      </c>
      <c r="L6695" s="30">
        <v>973719706</v>
      </c>
      <c r="M6695" s="80" t="s">
        <v>59</v>
      </c>
      <c r="N6695" s="80" t="s">
        <v>9301</v>
      </c>
      <c r="O6695" s="80" t="s">
        <v>15924</v>
      </c>
      <c r="P6695" s="144" t="s">
        <v>16814</v>
      </c>
      <c r="Q6695" s="20">
        <v>9317</v>
      </c>
      <c r="R6695" s="80" t="s">
        <v>36</v>
      </c>
      <c r="S6695" s="95">
        <f>200+4117</f>
        <v>4317</v>
      </c>
      <c r="T6695" s="148" t="s">
        <v>15926</v>
      </c>
      <c r="U6695" s="95">
        <v>5000</v>
      </c>
      <c r="V6695" s="148">
        <v>45586</v>
      </c>
      <c r="W6695" s="85" t="s">
        <v>15927</v>
      </c>
      <c r="X6695" s="80"/>
      <c r="Y6695" s="22">
        <v>0</v>
      </c>
      <c r="Z6695" s="81" t="s">
        <v>50</v>
      </c>
      <c r="AA6695" s="82" t="s">
        <v>9905</v>
      </c>
      <c r="AB6695" s="80"/>
      <c r="AC6695" s="80" t="s">
        <v>53</v>
      </c>
      <c r="AD6695" s="80" t="s">
        <v>54</v>
      </c>
      <c r="AE6695" s="80" t="s">
        <v>16810</v>
      </c>
      <c r="AF6695" s="17">
        <v>45741</v>
      </c>
      <c r="AG6695" s="80"/>
      <c r="AH6695" s="80"/>
      <c r="AI6695" s="147"/>
      <c r="AJ6695" s="80"/>
      <c r="AK6695" s="80"/>
      <c r="AL6695" s="86"/>
      <c r="AM6695" s="86"/>
      <c r="AN6695" s="86"/>
      <c r="AO6695" s="86"/>
      <c r="AP6695" s="86"/>
    </row>
    <row r="6696" spans="1:42" x14ac:dyDescent="0.2">
      <c r="A6696" s="38">
        <v>45734</v>
      </c>
      <c r="B6696" s="28" t="s">
        <v>37</v>
      </c>
      <c r="C6696" s="41" t="s">
        <v>118</v>
      </c>
      <c r="D6696" s="80" t="s">
        <v>36</v>
      </c>
      <c r="E6696" s="80" t="s">
        <v>139</v>
      </c>
      <c r="F6696" s="80" t="s">
        <v>16810</v>
      </c>
      <c r="G6696" s="161" t="s">
        <v>221</v>
      </c>
      <c r="H6696" s="80" t="s">
        <v>20492</v>
      </c>
      <c r="I6696" s="17">
        <f ca="1">IFERROR(__xludf.DUMMYFUNCTION("""COMPUTED_VALUE"""),45743)</f>
        <v>45743</v>
      </c>
      <c r="J6696" s="143" t="s">
        <v>16178</v>
      </c>
      <c r="K6696" s="145" t="s">
        <v>16179</v>
      </c>
      <c r="L6696" s="30">
        <v>837767667</v>
      </c>
      <c r="M6696" s="80" t="s">
        <v>45</v>
      </c>
      <c r="N6696" s="80" t="s">
        <v>87</v>
      </c>
      <c r="O6696" s="80" t="s">
        <v>16180</v>
      </c>
      <c r="P6696" s="144" t="s">
        <v>16815</v>
      </c>
      <c r="Q6696" s="20">
        <v>15936</v>
      </c>
      <c r="R6696" s="80" t="s">
        <v>36</v>
      </c>
      <c r="S6696" s="95">
        <v>1000</v>
      </c>
      <c r="T6696" s="148">
        <v>45573</v>
      </c>
      <c r="U6696" s="95">
        <v>14936</v>
      </c>
      <c r="V6696" s="148">
        <v>45573</v>
      </c>
      <c r="W6696" s="85" t="s">
        <v>16182</v>
      </c>
      <c r="X6696" s="80"/>
      <c r="Y6696" s="22">
        <v>0</v>
      </c>
      <c r="Z6696" s="81" t="s">
        <v>50</v>
      </c>
      <c r="AA6696" s="86" t="s">
        <v>9905</v>
      </c>
      <c r="AB6696" s="80"/>
      <c r="AC6696" s="80" t="s">
        <v>53</v>
      </c>
      <c r="AD6696" s="80" t="s">
        <v>54</v>
      </c>
      <c r="AE6696" s="80" t="s">
        <v>16810</v>
      </c>
      <c r="AF6696" s="17">
        <v>45741</v>
      </c>
      <c r="AG6696" s="80"/>
      <c r="AH6696" s="80"/>
      <c r="AI6696" s="147"/>
      <c r="AJ6696" s="80"/>
      <c r="AK6696" s="80"/>
      <c r="AL6696" s="86"/>
      <c r="AM6696" s="86"/>
      <c r="AN6696" s="86"/>
      <c r="AO6696" s="86"/>
      <c r="AP6696" s="86"/>
    </row>
    <row r="6697" spans="1:42" x14ac:dyDescent="0.2">
      <c r="A6697" s="38">
        <v>45734</v>
      </c>
      <c r="B6697" s="28"/>
      <c r="C6697" s="41" t="s">
        <v>118</v>
      </c>
      <c r="D6697" s="80" t="s">
        <v>36</v>
      </c>
      <c r="E6697" s="80" t="s">
        <v>139</v>
      </c>
      <c r="F6697" s="80" t="s">
        <v>16810</v>
      </c>
      <c r="G6697" s="161" t="s">
        <v>221</v>
      </c>
      <c r="H6697" s="80" t="s">
        <v>865</v>
      </c>
      <c r="I6697" s="17" t="str">
        <f ca="1">IFERROR(__xludf.DUMMYFUNCTION("""COMPUTED_VALUE""")," ")</f>
        <v xml:space="preserve"> </v>
      </c>
      <c r="J6697" s="143" t="s">
        <v>12399</v>
      </c>
      <c r="K6697" s="145" t="s">
        <v>16828</v>
      </c>
      <c r="L6697" s="30">
        <v>345736615</v>
      </c>
      <c r="M6697" s="80" t="s">
        <v>3728</v>
      </c>
      <c r="N6697" s="80" t="s">
        <v>8725</v>
      </c>
      <c r="O6697" s="80" t="s">
        <v>12401</v>
      </c>
      <c r="P6697" s="144" t="s">
        <v>16829</v>
      </c>
      <c r="Q6697" s="20">
        <v>15936</v>
      </c>
      <c r="R6697" s="80" t="s">
        <v>36</v>
      </c>
      <c r="S6697" s="95">
        <f>200+1800</f>
        <v>2000</v>
      </c>
      <c r="T6697" s="148" t="s">
        <v>12403</v>
      </c>
      <c r="U6697" s="95">
        <v>13936</v>
      </c>
      <c r="V6697" s="148">
        <v>45559</v>
      </c>
      <c r="W6697" s="85" t="s">
        <v>12404</v>
      </c>
      <c r="X6697" s="83">
        <v>0</v>
      </c>
      <c r="Y6697" s="22">
        <v>0</v>
      </c>
      <c r="Z6697" s="81" t="s">
        <v>50</v>
      </c>
      <c r="AA6697" s="82" t="s">
        <v>3291</v>
      </c>
      <c r="AB6697" s="80"/>
      <c r="AC6697" s="80" t="s">
        <v>53</v>
      </c>
      <c r="AD6697" s="80" t="s">
        <v>54</v>
      </c>
      <c r="AE6697" s="80" t="s">
        <v>16810</v>
      </c>
      <c r="AF6697" s="43"/>
      <c r="AG6697" s="80"/>
      <c r="AH6697" s="80"/>
      <c r="AI6697" s="147" t="s">
        <v>147</v>
      </c>
      <c r="AJ6697" s="80"/>
      <c r="AK6697" s="80"/>
      <c r="AL6697" s="86"/>
      <c r="AM6697" s="86"/>
      <c r="AN6697" s="86"/>
      <c r="AO6697" s="86"/>
      <c r="AP6697" s="86"/>
    </row>
    <row r="6698" spans="1:42" x14ac:dyDescent="0.2">
      <c r="A6698" s="38">
        <v>45734</v>
      </c>
      <c r="B6698" s="137" t="s">
        <v>37</v>
      </c>
      <c r="C6698" s="41" t="s">
        <v>118</v>
      </c>
      <c r="D6698" s="80" t="s">
        <v>36</v>
      </c>
      <c r="E6698" s="80" t="s">
        <v>139</v>
      </c>
      <c r="F6698" s="80" t="s">
        <v>16656</v>
      </c>
      <c r="G6698" s="80" t="s">
        <v>221</v>
      </c>
      <c r="H6698" s="80" t="s">
        <v>21097</v>
      </c>
      <c r="I6698" s="17">
        <f ca="1">IFERROR(__xludf.DUMMYFUNCTION("""COMPUTED_VALUE"""),45890)</f>
        <v>45890</v>
      </c>
      <c r="J6698" s="143" t="s">
        <v>15572</v>
      </c>
      <c r="K6698" s="80" t="s">
        <v>21103</v>
      </c>
      <c r="L6698" s="30">
        <v>847035283</v>
      </c>
      <c r="M6698" s="80" t="s">
        <v>5558</v>
      </c>
      <c r="N6698" s="80" t="s">
        <v>5559</v>
      </c>
      <c r="O6698" s="80" t="s">
        <v>4503</v>
      </c>
      <c r="P6698" s="144" t="s">
        <v>15573</v>
      </c>
      <c r="Q6698" s="20">
        <v>15936</v>
      </c>
      <c r="R6698" s="80" t="s">
        <v>70</v>
      </c>
      <c r="S6698" s="95">
        <f>200+2800</f>
        <v>3000</v>
      </c>
      <c r="T6698" s="83" t="s">
        <v>14501</v>
      </c>
      <c r="U6698" s="95">
        <v>12836</v>
      </c>
      <c r="V6698" s="148">
        <v>45584</v>
      </c>
      <c r="W6698" s="85" t="s">
        <v>15574</v>
      </c>
      <c r="X6698" s="80"/>
      <c r="Y6698" s="22">
        <v>100</v>
      </c>
      <c r="Z6698" s="81" t="s">
        <v>50</v>
      </c>
      <c r="AA6698" s="86" t="s">
        <v>9905</v>
      </c>
      <c r="AB6698" s="80"/>
      <c r="AC6698" s="80" t="s">
        <v>53</v>
      </c>
      <c r="AD6698" s="80" t="s">
        <v>54</v>
      </c>
      <c r="AE6698" s="80" t="s">
        <v>16656</v>
      </c>
      <c r="AF6698" s="17">
        <v>45894</v>
      </c>
      <c r="AG6698" s="80" t="s">
        <v>20374</v>
      </c>
      <c r="AH6698" s="80"/>
      <c r="AI6698" s="147"/>
      <c r="AJ6698" s="80"/>
      <c r="AK6698" s="80"/>
      <c r="AL6698" s="86"/>
      <c r="AM6698" s="86"/>
      <c r="AN6698" s="86"/>
      <c r="AO6698" s="86"/>
      <c r="AP6698" s="86"/>
    </row>
    <row r="6699" spans="1:42" x14ac:dyDescent="0.2">
      <c r="A6699" s="38">
        <v>45734</v>
      </c>
      <c r="B6699" s="137"/>
      <c r="C6699" s="41" t="s">
        <v>118</v>
      </c>
      <c r="D6699" s="80" t="s">
        <v>36</v>
      </c>
      <c r="E6699" s="80" t="s">
        <v>56</v>
      </c>
      <c r="F6699" s="80" t="s">
        <v>14429</v>
      </c>
      <c r="G6699" s="80" t="s">
        <v>108</v>
      </c>
      <c r="H6699" s="80" t="s">
        <v>21104</v>
      </c>
      <c r="I6699" s="17" t="str">
        <f ca="1">IFERROR(__xludf.DUMMYFUNCTION("""COMPUTED_VALUE""")," ")</f>
        <v xml:space="preserve"> </v>
      </c>
      <c r="J6699" s="143" t="s">
        <v>14619</v>
      </c>
      <c r="K6699" s="80" t="s">
        <v>21105</v>
      </c>
      <c r="L6699" s="30">
        <v>866974902</v>
      </c>
      <c r="M6699" s="80" t="s">
        <v>45</v>
      </c>
      <c r="N6699" s="80" t="s">
        <v>299</v>
      </c>
      <c r="O6699" s="80" t="s">
        <v>14621</v>
      </c>
      <c r="P6699" s="80" t="s">
        <v>7743</v>
      </c>
      <c r="Q6699" s="20">
        <v>9317</v>
      </c>
      <c r="R6699" s="80" t="s">
        <v>36</v>
      </c>
      <c r="S6699" s="95">
        <v>2000</v>
      </c>
      <c r="T6699" s="148">
        <v>45557</v>
      </c>
      <c r="U6699" s="95">
        <v>7317</v>
      </c>
      <c r="V6699" s="148">
        <v>45575</v>
      </c>
      <c r="W6699" s="85" t="s">
        <v>14622</v>
      </c>
      <c r="X6699" s="80"/>
      <c r="Y6699" s="22">
        <v>0</v>
      </c>
      <c r="Z6699" s="80" t="s">
        <v>50</v>
      </c>
      <c r="AA6699" s="82"/>
      <c r="AB6699" s="80"/>
      <c r="AC6699" s="80" t="s">
        <v>53</v>
      </c>
      <c r="AD6699" s="80" t="s">
        <v>138</v>
      </c>
      <c r="AE6699" s="80" t="s">
        <v>14429</v>
      </c>
      <c r="AF6699" s="17">
        <v>45615</v>
      </c>
      <c r="AG6699" s="80" t="s">
        <v>8366</v>
      </c>
      <c r="AH6699" s="80"/>
      <c r="AI6699" s="147"/>
      <c r="AJ6699" s="80"/>
      <c r="AK6699" s="80"/>
      <c r="AL6699" s="35"/>
      <c r="AM6699" s="35"/>
      <c r="AN6699" s="35"/>
      <c r="AO6699" s="35"/>
      <c r="AP6699" s="35"/>
    </row>
    <row r="6700" spans="1:42" x14ac:dyDescent="0.2">
      <c r="A6700" s="38">
        <v>45734</v>
      </c>
      <c r="B6700" s="28" t="s">
        <v>90</v>
      </c>
      <c r="C6700" s="41" t="s">
        <v>118</v>
      </c>
      <c r="D6700" s="80" t="s">
        <v>36</v>
      </c>
      <c r="E6700" s="80" t="s">
        <v>139</v>
      </c>
      <c r="F6700" s="80" t="s">
        <v>14737</v>
      </c>
      <c r="G6700" s="80" t="s">
        <v>221</v>
      </c>
      <c r="H6700" s="80" t="s">
        <v>20097</v>
      </c>
      <c r="I6700" s="17">
        <f ca="1">IFERROR(__xludf.DUMMYFUNCTION("""COMPUTED_VALUE"""),45735)</f>
        <v>45735</v>
      </c>
      <c r="J6700" s="172" t="s">
        <v>21106</v>
      </c>
      <c r="K6700" s="80" t="s">
        <v>16648</v>
      </c>
      <c r="L6700" s="30">
        <v>392973512</v>
      </c>
      <c r="M6700" s="80" t="s">
        <v>123</v>
      </c>
      <c r="N6700" s="80" t="s">
        <v>327</v>
      </c>
      <c r="O6700" s="80" t="s">
        <v>4503</v>
      </c>
      <c r="P6700" s="80" t="s">
        <v>11062</v>
      </c>
      <c r="Q6700" s="20">
        <v>15936</v>
      </c>
      <c r="R6700" s="80" t="s">
        <v>36</v>
      </c>
      <c r="S6700" s="95">
        <v>2000</v>
      </c>
      <c r="T6700" s="148">
        <v>45498</v>
      </c>
      <c r="U6700" s="77">
        <f>10000+3936</f>
        <v>13936</v>
      </c>
      <c r="V6700" s="78">
        <v>45525</v>
      </c>
      <c r="W6700" s="85" t="s">
        <v>11063</v>
      </c>
      <c r="X6700" s="80">
        <v>0</v>
      </c>
      <c r="Y6700" s="22">
        <v>0</v>
      </c>
      <c r="Z6700" s="80" t="s">
        <v>50</v>
      </c>
      <c r="AA6700" s="35" t="s">
        <v>10314</v>
      </c>
      <c r="AB6700" s="80"/>
      <c r="AC6700" s="80" t="s">
        <v>53</v>
      </c>
      <c r="AD6700" s="80" t="s">
        <v>54</v>
      </c>
      <c r="AE6700" s="80" t="s">
        <v>14737</v>
      </c>
      <c r="AF6700" s="17">
        <v>45734</v>
      </c>
      <c r="AG6700" s="80"/>
      <c r="AH6700" s="80"/>
      <c r="AI6700" s="147"/>
      <c r="AJ6700" s="80"/>
      <c r="AK6700" s="80"/>
      <c r="AL6700" s="35"/>
      <c r="AM6700" s="35"/>
      <c r="AN6700" s="35"/>
      <c r="AO6700" s="35"/>
      <c r="AP6700" s="35"/>
    </row>
    <row r="6701" spans="1:42" x14ac:dyDescent="0.2">
      <c r="A6701" s="38">
        <v>45734</v>
      </c>
      <c r="B6701" s="28" t="s">
        <v>37</v>
      </c>
      <c r="C6701" s="41" t="s">
        <v>118</v>
      </c>
      <c r="D6701" s="80" t="s">
        <v>36</v>
      </c>
      <c r="E6701" s="80" t="s">
        <v>139</v>
      </c>
      <c r="F6701" s="80" t="s">
        <v>14387</v>
      </c>
      <c r="G6701" s="80" t="s">
        <v>221</v>
      </c>
      <c r="H6701" s="80" t="s">
        <v>21107</v>
      </c>
      <c r="I6701" s="17">
        <f ca="1">IFERROR(__xludf.DUMMYFUNCTION("""COMPUTED_VALUE"""),45860)</f>
        <v>45860</v>
      </c>
      <c r="J6701" s="172" t="s">
        <v>14415</v>
      </c>
      <c r="K6701" s="80" t="s">
        <v>21108</v>
      </c>
      <c r="L6701" s="30">
        <v>866855569</v>
      </c>
      <c r="M6701" s="80" t="s">
        <v>123</v>
      </c>
      <c r="N6701" s="80" t="s">
        <v>2847</v>
      </c>
      <c r="O6701" s="80" t="s">
        <v>4503</v>
      </c>
      <c r="P6701" s="144" t="s">
        <v>21109</v>
      </c>
      <c r="Q6701" s="20">
        <v>15936</v>
      </c>
      <c r="R6701" s="80" t="s">
        <v>36</v>
      </c>
      <c r="S6701" s="95">
        <f>200+1800</f>
        <v>2000</v>
      </c>
      <c r="T6701" s="83" t="s">
        <v>14417</v>
      </c>
      <c r="U6701" s="95">
        <v>13936</v>
      </c>
      <c r="V6701" s="148">
        <v>45596</v>
      </c>
      <c r="W6701" s="85" t="s">
        <v>14418</v>
      </c>
      <c r="X6701" s="80"/>
      <c r="Y6701" s="22">
        <v>0</v>
      </c>
      <c r="Z6701" s="80" t="s">
        <v>50</v>
      </c>
      <c r="AA6701" s="82"/>
      <c r="AB6701" s="80"/>
      <c r="AC6701" s="80" t="s">
        <v>53</v>
      </c>
      <c r="AD6701" s="80" t="s">
        <v>138</v>
      </c>
      <c r="AE6701" s="80" t="s">
        <v>14387</v>
      </c>
      <c r="AF6701" s="17">
        <v>45736</v>
      </c>
      <c r="AG6701" s="80" t="s">
        <v>8366</v>
      </c>
      <c r="AH6701" s="80"/>
      <c r="AI6701" s="147"/>
      <c r="AJ6701" s="80"/>
      <c r="AK6701" s="80"/>
      <c r="AL6701" s="35"/>
      <c r="AM6701" s="35"/>
      <c r="AN6701" s="35"/>
      <c r="AO6701" s="35"/>
      <c r="AP6701" s="35"/>
    </row>
    <row r="6702" spans="1:42" x14ac:dyDescent="0.2">
      <c r="A6702" s="38">
        <v>45734</v>
      </c>
      <c r="B6702" s="137" t="s">
        <v>37</v>
      </c>
      <c r="C6702" s="41" t="s">
        <v>118</v>
      </c>
      <c r="D6702" s="26" t="s">
        <v>36</v>
      </c>
      <c r="E6702" s="26" t="s">
        <v>119</v>
      </c>
      <c r="F6702" s="80" t="s">
        <v>13745</v>
      </c>
      <c r="G6702" s="80" t="s">
        <v>1847</v>
      </c>
      <c r="H6702" s="80" t="s">
        <v>14451</v>
      </c>
      <c r="I6702" s="17">
        <f ca="1">IFERROR(__xludf.DUMMYFUNCTION("""COMPUTED_VALUE"""),45750)</f>
        <v>45750</v>
      </c>
      <c r="J6702" s="29" t="s">
        <v>9085</v>
      </c>
      <c r="K6702" s="19" t="s">
        <v>13764</v>
      </c>
      <c r="L6702" s="47">
        <v>343143987</v>
      </c>
      <c r="M6702" s="19" t="s">
        <v>80</v>
      </c>
      <c r="N6702" s="19" t="s">
        <v>466</v>
      </c>
      <c r="O6702" s="26" t="s">
        <v>9087</v>
      </c>
      <c r="P6702" s="42" t="s">
        <v>9088</v>
      </c>
      <c r="Q6702" s="20"/>
      <c r="R6702" s="26" t="s">
        <v>36</v>
      </c>
      <c r="S6702" s="95">
        <v>3800</v>
      </c>
      <c r="T6702" s="148">
        <v>45464</v>
      </c>
      <c r="U6702" s="95">
        <v>10168</v>
      </c>
      <c r="V6702" s="148">
        <v>45500</v>
      </c>
      <c r="W6702" s="33" t="s">
        <v>9089</v>
      </c>
      <c r="X6702" s="26"/>
      <c r="Y6702" s="22"/>
      <c r="Z6702" s="26" t="s">
        <v>50</v>
      </c>
      <c r="AA6702" s="70" t="s">
        <v>9070</v>
      </c>
      <c r="AB6702" s="26" t="s">
        <v>36</v>
      </c>
      <c r="AC6702" s="26" t="s">
        <v>53</v>
      </c>
      <c r="AD6702" s="26" t="s">
        <v>54</v>
      </c>
      <c r="AE6702" s="80" t="s">
        <v>13745</v>
      </c>
      <c r="AF6702" s="17">
        <v>45716</v>
      </c>
      <c r="AG6702" s="26"/>
      <c r="AH6702" s="26"/>
      <c r="AI6702" s="40"/>
      <c r="AJ6702" s="26"/>
      <c r="AK6702" s="26"/>
      <c r="AL6702" s="35"/>
      <c r="AM6702" s="35"/>
      <c r="AN6702" s="35"/>
      <c r="AO6702" s="35"/>
      <c r="AP6702" s="35"/>
    </row>
    <row r="6703" spans="1:42" x14ac:dyDescent="0.2">
      <c r="A6703" s="38">
        <v>45734</v>
      </c>
      <c r="B6703" s="137" t="s">
        <v>37</v>
      </c>
      <c r="C6703" s="41" t="s">
        <v>118</v>
      </c>
      <c r="D6703" s="80" t="s">
        <v>36</v>
      </c>
      <c r="E6703" s="80" t="s">
        <v>39</v>
      </c>
      <c r="F6703" s="80" t="s">
        <v>15282</v>
      </c>
      <c r="G6703" s="80" t="s">
        <v>108</v>
      </c>
      <c r="H6703" s="80" t="s">
        <v>13798</v>
      </c>
      <c r="I6703" s="17">
        <f ca="1">IFERROR(__xludf.DUMMYFUNCTION("""COMPUTED_VALUE"""),45741)</f>
        <v>45741</v>
      </c>
      <c r="J6703" s="143" t="s">
        <v>16347</v>
      </c>
      <c r="K6703" s="80" t="s">
        <v>21110</v>
      </c>
      <c r="L6703" s="30">
        <v>987619506</v>
      </c>
      <c r="M6703" s="80" t="s">
        <v>45</v>
      </c>
      <c r="N6703" s="80" t="s">
        <v>16349</v>
      </c>
      <c r="O6703" s="80" t="s">
        <v>16350</v>
      </c>
      <c r="P6703" s="144" t="s">
        <v>16351</v>
      </c>
      <c r="Q6703" s="20">
        <v>5736</v>
      </c>
      <c r="R6703" s="80" t="s">
        <v>36</v>
      </c>
      <c r="S6703" s="95">
        <v>5736</v>
      </c>
      <c r="T6703" s="148">
        <v>45578</v>
      </c>
      <c r="U6703" s="77"/>
      <c r="V6703" s="78"/>
      <c r="W6703" s="85" t="s">
        <v>16352</v>
      </c>
      <c r="X6703" s="80"/>
      <c r="Y6703" s="22">
        <v>0</v>
      </c>
      <c r="Z6703" s="80" t="s">
        <v>50</v>
      </c>
      <c r="AA6703" s="96" t="s">
        <v>9905</v>
      </c>
      <c r="AB6703" s="80"/>
      <c r="AC6703" s="80" t="s">
        <v>53</v>
      </c>
      <c r="AD6703" s="80" t="s">
        <v>54</v>
      </c>
      <c r="AE6703" s="80" t="s">
        <v>15282</v>
      </c>
      <c r="AF6703" s="17">
        <v>45736</v>
      </c>
      <c r="AG6703" s="80"/>
      <c r="AH6703" s="80"/>
      <c r="AI6703" s="147"/>
      <c r="AJ6703" s="80"/>
      <c r="AK6703" s="80"/>
      <c r="AL6703" s="35"/>
      <c r="AM6703" s="35"/>
      <c r="AN6703" s="35"/>
      <c r="AO6703" s="35"/>
      <c r="AP6703" s="35"/>
    </row>
    <row r="6704" spans="1:42" x14ac:dyDescent="0.2">
      <c r="A6704" s="38">
        <v>45734</v>
      </c>
      <c r="B6704" s="28" t="s">
        <v>37</v>
      </c>
      <c r="C6704" s="41" t="s">
        <v>118</v>
      </c>
      <c r="D6704" s="80" t="s">
        <v>36</v>
      </c>
      <c r="E6704" s="80" t="s">
        <v>119</v>
      </c>
      <c r="F6704" s="80" t="s">
        <v>14210</v>
      </c>
      <c r="G6704" s="80" t="s">
        <v>221</v>
      </c>
      <c r="H6704" s="80" t="s">
        <v>20492</v>
      </c>
      <c r="I6704" s="17">
        <f ca="1">IFERROR(__xludf.DUMMYFUNCTION("""COMPUTED_VALUE"""),45743)</f>
        <v>45743</v>
      </c>
      <c r="J6704" s="143" t="s">
        <v>18879</v>
      </c>
      <c r="K6704" s="80" t="s">
        <v>18880</v>
      </c>
      <c r="L6704" s="30">
        <v>397234092</v>
      </c>
      <c r="M6704" s="80" t="s">
        <v>9422</v>
      </c>
      <c r="N6704" s="80" t="s">
        <v>1881</v>
      </c>
      <c r="O6704" s="80" t="s">
        <v>36</v>
      </c>
      <c r="P6704" s="80" t="s">
        <v>18881</v>
      </c>
      <c r="Q6704" s="20">
        <v>13968</v>
      </c>
      <c r="R6704" s="80" t="s">
        <v>11421</v>
      </c>
      <c r="S6704" s="95">
        <v>4000</v>
      </c>
      <c r="T6704" s="148">
        <v>45617</v>
      </c>
      <c r="U6704" s="95">
        <v>9668</v>
      </c>
      <c r="V6704" s="148">
        <v>45626</v>
      </c>
      <c r="W6704" s="85" t="s">
        <v>18882</v>
      </c>
      <c r="X6704" s="80"/>
      <c r="Y6704" s="22">
        <v>300</v>
      </c>
      <c r="Z6704" s="80" t="s">
        <v>50</v>
      </c>
      <c r="AA6704" s="35" t="s">
        <v>18579</v>
      </c>
      <c r="AB6704" s="82"/>
      <c r="AC6704" s="80" t="s">
        <v>53</v>
      </c>
      <c r="AD6704" s="80" t="s">
        <v>54</v>
      </c>
      <c r="AE6704" s="80" t="s">
        <v>14210</v>
      </c>
      <c r="AF6704" s="17">
        <v>45741</v>
      </c>
      <c r="AG6704" s="80"/>
      <c r="AH6704" s="80"/>
      <c r="AI6704" s="147"/>
      <c r="AJ6704" s="80"/>
      <c r="AK6704" s="80"/>
      <c r="AL6704" s="35"/>
      <c r="AM6704" s="35"/>
      <c r="AN6704" s="35"/>
      <c r="AO6704" s="35"/>
      <c r="AP6704" s="35"/>
    </row>
    <row r="6705" spans="1:42" x14ac:dyDescent="0.2">
      <c r="A6705" s="38">
        <v>45734</v>
      </c>
      <c r="B6705" s="137" t="s">
        <v>37</v>
      </c>
      <c r="C6705" s="41" t="s">
        <v>118</v>
      </c>
      <c r="D6705" s="80" t="s">
        <v>36</v>
      </c>
      <c r="E6705" s="80" t="s">
        <v>139</v>
      </c>
      <c r="F6705" s="80" t="s">
        <v>15282</v>
      </c>
      <c r="G6705" s="80" t="s">
        <v>108</v>
      </c>
      <c r="H6705" s="80" t="s">
        <v>17002</v>
      </c>
      <c r="I6705" s="17">
        <f ca="1">IFERROR(__xludf.DUMMYFUNCTION("""COMPUTED_VALUE"""),45736)</f>
        <v>45736</v>
      </c>
      <c r="J6705" s="143" t="s">
        <v>19355</v>
      </c>
      <c r="K6705" s="80" t="s">
        <v>19356</v>
      </c>
      <c r="L6705" s="30">
        <v>886330019</v>
      </c>
      <c r="M6705" s="80" t="s">
        <v>348</v>
      </c>
      <c r="N6705" s="80" t="s">
        <v>4299</v>
      </c>
      <c r="O6705" s="80" t="s">
        <v>19357</v>
      </c>
      <c r="P6705" s="144" t="s">
        <v>21111</v>
      </c>
      <c r="Q6705" s="20">
        <v>15936</v>
      </c>
      <c r="R6705" s="80" t="s">
        <v>36</v>
      </c>
      <c r="S6705" s="95">
        <v>15936</v>
      </c>
      <c r="T6705" s="148">
        <v>45657</v>
      </c>
      <c r="U6705" s="77"/>
      <c r="V6705" s="78"/>
      <c r="W6705" s="85" t="s">
        <v>19359</v>
      </c>
      <c r="X6705" s="80"/>
      <c r="Y6705" s="22">
        <v>0</v>
      </c>
      <c r="Z6705" s="80" t="s">
        <v>50</v>
      </c>
      <c r="AA6705" s="96" t="s">
        <v>18579</v>
      </c>
      <c r="AB6705" s="82"/>
      <c r="AC6705" s="80" t="s">
        <v>53</v>
      </c>
      <c r="AD6705" s="80" t="s">
        <v>54</v>
      </c>
      <c r="AE6705" s="80" t="s">
        <v>15282</v>
      </c>
      <c r="AF6705" s="17">
        <v>45736</v>
      </c>
      <c r="AG6705" s="80"/>
      <c r="AH6705" s="80"/>
      <c r="AI6705" s="147"/>
      <c r="AJ6705" s="80"/>
      <c r="AK6705" s="80"/>
      <c r="AL6705" s="35"/>
      <c r="AM6705" s="35"/>
      <c r="AN6705" s="35"/>
      <c r="AO6705" s="35"/>
      <c r="AP6705" s="35"/>
    </row>
    <row r="6706" spans="1:42" x14ac:dyDescent="0.2">
      <c r="A6706" s="38">
        <v>45734</v>
      </c>
      <c r="B6706" s="137" t="s">
        <v>37</v>
      </c>
      <c r="C6706" s="41" t="s">
        <v>118</v>
      </c>
      <c r="D6706" s="80" t="s">
        <v>36</v>
      </c>
      <c r="E6706" s="80" t="s">
        <v>139</v>
      </c>
      <c r="F6706" s="80" t="s">
        <v>16656</v>
      </c>
      <c r="G6706" s="80" t="s">
        <v>221</v>
      </c>
      <c r="H6706" s="80" t="s">
        <v>20219</v>
      </c>
      <c r="I6706" s="17">
        <f ca="1">IFERROR(__xludf.DUMMYFUNCTION("""COMPUTED_VALUE"""),45737)</f>
        <v>45737</v>
      </c>
      <c r="J6706" s="143" t="s">
        <v>15953</v>
      </c>
      <c r="K6706" s="80" t="s">
        <v>15954</v>
      </c>
      <c r="L6706" s="30">
        <v>374980423</v>
      </c>
      <c r="M6706" s="80" t="s">
        <v>2755</v>
      </c>
      <c r="N6706" s="80" t="s">
        <v>2756</v>
      </c>
      <c r="O6706" s="80" t="s">
        <v>4503</v>
      </c>
      <c r="P6706" s="80" t="s">
        <v>8120</v>
      </c>
      <c r="Q6706" s="20">
        <v>15936</v>
      </c>
      <c r="R6706" s="80" t="s">
        <v>36</v>
      </c>
      <c r="S6706" s="95">
        <v>3200</v>
      </c>
      <c r="T6706" s="148">
        <v>45561</v>
      </c>
      <c r="U6706" s="95">
        <v>12736</v>
      </c>
      <c r="V6706" s="169">
        <v>45592</v>
      </c>
      <c r="W6706" s="80" t="s">
        <v>15955</v>
      </c>
      <c r="X6706" s="80"/>
      <c r="Y6706" s="22">
        <v>0</v>
      </c>
      <c r="Z6706" s="80" t="s">
        <v>50</v>
      </c>
      <c r="AA6706" s="35" t="s">
        <v>9905</v>
      </c>
      <c r="AB6706" s="80"/>
      <c r="AC6706" s="80" t="s">
        <v>53</v>
      </c>
      <c r="AD6706" s="80" t="s">
        <v>138</v>
      </c>
      <c r="AE6706" s="80" t="s">
        <v>16656</v>
      </c>
      <c r="AF6706" s="17">
        <v>45737</v>
      </c>
      <c r="AG6706" s="80"/>
      <c r="AH6706" s="80"/>
      <c r="AI6706" s="147"/>
      <c r="AJ6706" s="80"/>
      <c r="AK6706" s="80"/>
      <c r="AL6706" s="35"/>
      <c r="AM6706" s="35"/>
      <c r="AN6706" s="35"/>
      <c r="AO6706" s="35"/>
      <c r="AP6706" s="35"/>
    </row>
    <row r="6707" spans="1:42" x14ac:dyDescent="0.2">
      <c r="A6707" s="38">
        <v>45734</v>
      </c>
      <c r="B6707" s="137" t="s">
        <v>37</v>
      </c>
      <c r="C6707" s="41" t="s">
        <v>118</v>
      </c>
      <c r="D6707" s="26" t="s">
        <v>36</v>
      </c>
      <c r="E6707" s="26" t="s">
        <v>139</v>
      </c>
      <c r="F6707" s="26" t="s">
        <v>16959</v>
      </c>
      <c r="G6707" s="26" t="s">
        <v>1847</v>
      </c>
      <c r="H6707" s="26" t="s">
        <v>14451</v>
      </c>
      <c r="I6707" s="17">
        <f ca="1">IFERROR(__xludf.DUMMYFUNCTION("""COMPUTED_VALUE"""),45750)</f>
        <v>45750</v>
      </c>
      <c r="J6707" s="29" t="s">
        <v>4118</v>
      </c>
      <c r="K6707" s="26" t="s">
        <v>5073</v>
      </c>
      <c r="L6707" s="30">
        <v>367450851</v>
      </c>
      <c r="M6707" s="26" t="s">
        <v>123</v>
      </c>
      <c r="N6707" s="26" t="s">
        <v>4957</v>
      </c>
      <c r="O6707" s="26" t="s">
        <v>1313</v>
      </c>
      <c r="P6707" s="42" t="s">
        <v>16960</v>
      </c>
      <c r="Q6707" s="20">
        <v>15936</v>
      </c>
      <c r="R6707" s="26" t="s">
        <v>36</v>
      </c>
      <c r="S6707" s="31">
        <v>2000</v>
      </c>
      <c r="T6707" s="32">
        <v>45206</v>
      </c>
      <c r="U6707" s="31">
        <v>13936</v>
      </c>
      <c r="V6707" s="32">
        <v>45207</v>
      </c>
      <c r="W6707" s="33" t="s">
        <v>4121</v>
      </c>
      <c r="X6707" s="26"/>
      <c r="Y6707" s="22">
        <v>0</v>
      </c>
      <c r="Z6707" s="98" t="s">
        <v>118</v>
      </c>
      <c r="AA6707" s="19" t="s">
        <v>3454</v>
      </c>
      <c r="AB6707" s="26" t="s">
        <v>36</v>
      </c>
      <c r="AC6707" s="26" t="s">
        <v>53</v>
      </c>
      <c r="AD6707" s="14" t="s">
        <v>54</v>
      </c>
      <c r="AE6707" s="26" t="s">
        <v>16959</v>
      </c>
      <c r="AF6707" s="17">
        <v>45716</v>
      </c>
      <c r="AG6707" s="40"/>
      <c r="AH6707" s="26"/>
      <c r="AI6707" s="40"/>
      <c r="AJ6707" s="26"/>
      <c r="AK6707" s="26"/>
      <c r="AL6707" s="35"/>
      <c r="AM6707" s="35"/>
      <c r="AN6707" s="35"/>
      <c r="AO6707" s="35"/>
      <c r="AP6707" s="35"/>
    </row>
    <row r="6708" spans="1:42" x14ac:dyDescent="0.2">
      <c r="A6708" s="38">
        <v>45735</v>
      </c>
      <c r="B6708" s="137" t="s">
        <v>37</v>
      </c>
      <c r="C6708" s="41" t="s">
        <v>118</v>
      </c>
      <c r="D6708" s="26" t="s">
        <v>36</v>
      </c>
      <c r="E6708" s="26" t="s">
        <v>915</v>
      </c>
      <c r="F6708" s="26" t="s">
        <v>6959</v>
      </c>
      <c r="G6708" s="26" t="s">
        <v>1847</v>
      </c>
      <c r="H6708" s="26" t="s">
        <v>14451</v>
      </c>
      <c r="I6708" s="17">
        <f ca="1">IFERROR(__xludf.DUMMYFUNCTION("""COMPUTED_VALUE"""),45750)</f>
        <v>45750</v>
      </c>
      <c r="J6708" s="29" t="s">
        <v>8214</v>
      </c>
      <c r="K6708" s="26" t="s">
        <v>8215</v>
      </c>
      <c r="L6708" s="30">
        <v>975097861</v>
      </c>
      <c r="M6708" s="26" t="s">
        <v>6309</v>
      </c>
      <c r="N6708" s="26" t="s">
        <v>1400</v>
      </c>
      <c r="O6708" s="26" t="s">
        <v>91</v>
      </c>
      <c r="P6708" s="42" t="s">
        <v>21112</v>
      </c>
      <c r="Q6708" s="20">
        <v>10894</v>
      </c>
      <c r="R6708" s="26" t="s">
        <v>36</v>
      </c>
      <c r="S6708" s="31">
        <v>10894</v>
      </c>
      <c r="T6708" s="32">
        <v>45384</v>
      </c>
      <c r="U6708" s="31"/>
      <c r="V6708" s="32"/>
      <c r="W6708" s="33" t="s">
        <v>8216</v>
      </c>
      <c r="X6708" s="26"/>
      <c r="Y6708" s="22">
        <v>0</v>
      </c>
      <c r="Z6708" s="26" t="s">
        <v>50</v>
      </c>
      <c r="AA6708" s="19" t="s">
        <v>8102</v>
      </c>
      <c r="AB6708" s="26"/>
      <c r="AC6708" s="26" t="s">
        <v>53</v>
      </c>
      <c r="AD6708" s="19" t="s">
        <v>138</v>
      </c>
      <c r="AE6708" s="26" t="s">
        <v>6959</v>
      </c>
      <c r="AF6708" s="17">
        <v>45716</v>
      </c>
      <c r="AG6708" s="26"/>
      <c r="AH6708" s="26"/>
      <c r="AI6708" s="40"/>
      <c r="AJ6708" s="26"/>
      <c r="AK6708" s="26"/>
      <c r="AL6708" s="35"/>
      <c r="AM6708" s="35"/>
      <c r="AN6708" s="35"/>
      <c r="AO6708" s="35"/>
      <c r="AP6708" s="35"/>
    </row>
    <row r="6709" spans="1:42" x14ac:dyDescent="0.2">
      <c r="A6709" s="38">
        <v>45735</v>
      </c>
      <c r="B6709" s="137" t="s">
        <v>37</v>
      </c>
      <c r="C6709" s="41" t="s">
        <v>118</v>
      </c>
      <c r="D6709" s="80" t="s">
        <v>36</v>
      </c>
      <c r="E6709" s="80" t="s">
        <v>139</v>
      </c>
      <c r="F6709" s="80" t="s">
        <v>18110</v>
      </c>
      <c r="G6709" s="80" t="s">
        <v>108</v>
      </c>
      <c r="H6709" s="80" t="s">
        <v>13798</v>
      </c>
      <c r="I6709" s="17">
        <f ca="1">IFERROR(__xludf.DUMMYFUNCTION("""COMPUTED_VALUE"""),45741)</f>
        <v>45741</v>
      </c>
      <c r="J6709" s="143" t="s">
        <v>18889</v>
      </c>
      <c r="K6709" s="80" t="s">
        <v>21113</v>
      </c>
      <c r="L6709" s="30">
        <v>983101809</v>
      </c>
      <c r="M6709" s="80" t="s">
        <v>12720</v>
      </c>
      <c r="N6709" s="80" t="s">
        <v>1073</v>
      </c>
      <c r="O6709" s="80" t="s">
        <v>18891</v>
      </c>
      <c r="P6709" s="80" t="s">
        <v>18892</v>
      </c>
      <c r="Q6709" s="20">
        <v>15936</v>
      </c>
      <c r="R6709" s="80" t="s">
        <v>36</v>
      </c>
      <c r="S6709" s="95">
        <v>2000</v>
      </c>
      <c r="T6709" s="148">
        <v>45620</v>
      </c>
      <c r="U6709" s="95">
        <v>13936</v>
      </c>
      <c r="V6709" s="148">
        <v>45654</v>
      </c>
      <c r="W6709" s="85" t="s">
        <v>18893</v>
      </c>
      <c r="X6709" s="80"/>
      <c r="Y6709" s="22">
        <v>0</v>
      </c>
      <c r="Z6709" s="80" t="s">
        <v>50</v>
      </c>
      <c r="AA6709" s="96" t="s">
        <v>18579</v>
      </c>
      <c r="AB6709" s="82"/>
      <c r="AC6709" s="80" t="s">
        <v>53</v>
      </c>
      <c r="AD6709" s="80" t="s">
        <v>54</v>
      </c>
      <c r="AE6709" s="80" t="s">
        <v>18110</v>
      </c>
      <c r="AF6709" s="17">
        <v>45736</v>
      </c>
      <c r="AG6709" s="80"/>
      <c r="AH6709" s="80"/>
      <c r="AI6709" s="147"/>
      <c r="AJ6709" s="80"/>
      <c r="AK6709" s="80"/>
      <c r="AL6709" s="35"/>
      <c r="AM6709" s="35"/>
      <c r="AN6709" s="35"/>
      <c r="AO6709" s="35"/>
      <c r="AP6709" s="35"/>
    </row>
    <row r="6710" spans="1:42" x14ac:dyDescent="0.2">
      <c r="A6710" s="38">
        <v>45735</v>
      </c>
      <c r="B6710" s="28" t="s">
        <v>37</v>
      </c>
      <c r="C6710" s="41" t="s">
        <v>118</v>
      </c>
      <c r="D6710" s="80" t="s">
        <v>36</v>
      </c>
      <c r="E6710" s="80" t="s">
        <v>139</v>
      </c>
      <c r="F6710" s="145" t="s">
        <v>14465</v>
      </c>
      <c r="G6710" s="80" t="s">
        <v>221</v>
      </c>
      <c r="H6710" s="145" t="s">
        <v>19622</v>
      </c>
      <c r="I6710" s="17">
        <f ca="1">IFERROR(__xludf.DUMMYFUNCTION("""COMPUTED_VALUE"""),45741)</f>
        <v>45741</v>
      </c>
      <c r="J6710" s="143" t="s">
        <v>14503</v>
      </c>
      <c r="K6710" s="80" t="s">
        <v>14504</v>
      </c>
      <c r="L6710" s="30">
        <v>878759626</v>
      </c>
      <c r="M6710" s="80" t="s">
        <v>9422</v>
      </c>
      <c r="N6710" s="80" t="s">
        <v>4136</v>
      </c>
      <c r="O6710" s="80" t="s">
        <v>11607</v>
      </c>
      <c r="P6710" s="80" t="s">
        <v>14505</v>
      </c>
      <c r="Q6710" s="20">
        <v>15936</v>
      </c>
      <c r="R6710" s="80" t="s">
        <v>11421</v>
      </c>
      <c r="S6710" s="95">
        <f>500+5000</f>
        <v>5500</v>
      </c>
      <c r="T6710" s="83" t="s">
        <v>14506</v>
      </c>
      <c r="U6710" s="95">
        <v>10436</v>
      </c>
      <c r="V6710" s="148">
        <v>45580</v>
      </c>
      <c r="W6710" s="85" t="s">
        <v>14507</v>
      </c>
      <c r="X6710" s="80"/>
      <c r="Y6710" s="22">
        <v>0</v>
      </c>
      <c r="Z6710" s="80" t="s">
        <v>50</v>
      </c>
      <c r="AA6710" s="86"/>
      <c r="AB6710" s="80"/>
      <c r="AC6710" s="80" t="s">
        <v>53</v>
      </c>
      <c r="AD6710" s="80" t="s">
        <v>54</v>
      </c>
      <c r="AE6710" s="145" t="s">
        <v>14465</v>
      </c>
      <c r="AF6710" s="17">
        <v>45736</v>
      </c>
      <c r="AG6710" s="80"/>
      <c r="AH6710" s="80"/>
      <c r="AI6710" s="147"/>
      <c r="AJ6710" s="80"/>
      <c r="AK6710" s="80"/>
      <c r="AL6710" s="35"/>
      <c r="AM6710" s="35"/>
      <c r="AN6710" s="35"/>
      <c r="AO6710" s="35"/>
      <c r="AP6710" s="35"/>
    </row>
    <row r="6711" spans="1:42" x14ac:dyDescent="0.2">
      <c r="A6711" s="38">
        <v>45735</v>
      </c>
      <c r="B6711" s="137" t="s">
        <v>37</v>
      </c>
      <c r="C6711" s="41" t="s">
        <v>118</v>
      </c>
      <c r="D6711" s="80" t="s">
        <v>36</v>
      </c>
      <c r="E6711" s="80" t="s">
        <v>119</v>
      </c>
      <c r="F6711" s="80" t="s">
        <v>10199</v>
      </c>
      <c r="G6711" s="80" t="s">
        <v>221</v>
      </c>
      <c r="H6711" s="80" t="s">
        <v>9055</v>
      </c>
      <c r="I6711" s="17">
        <f ca="1">IFERROR(__xludf.DUMMYFUNCTION("""COMPUTED_VALUE"""),45739)</f>
        <v>45739</v>
      </c>
      <c r="J6711" s="143" t="s">
        <v>16535</v>
      </c>
      <c r="K6711" s="80" t="s">
        <v>16536</v>
      </c>
      <c r="L6711" s="30">
        <v>384650115</v>
      </c>
      <c r="M6711" s="80" t="s">
        <v>9422</v>
      </c>
      <c r="N6711" s="80" t="s">
        <v>12670</v>
      </c>
      <c r="O6711" s="80" t="s">
        <v>16537</v>
      </c>
      <c r="P6711" s="80" t="s">
        <v>16538</v>
      </c>
      <c r="Q6711" s="20">
        <v>13968</v>
      </c>
      <c r="R6711" s="80" t="s">
        <v>36</v>
      </c>
      <c r="S6711" s="95">
        <v>13968</v>
      </c>
      <c r="T6711" s="148">
        <v>45591</v>
      </c>
      <c r="U6711" s="77"/>
      <c r="V6711" s="78"/>
      <c r="W6711" s="85" t="s">
        <v>16539</v>
      </c>
      <c r="X6711" s="80"/>
      <c r="Y6711" s="22">
        <v>0</v>
      </c>
      <c r="Z6711" s="80" t="s">
        <v>50</v>
      </c>
      <c r="AA6711" s="96" t="s">
        <v>9905</v>
      </c>
      <c r="AB6711" s="80"/>
      <c r="AC6711" s="80" t="s">
        <v>53</v>
      </c>
      <c r="AD6711" s="80" t="s">
        <v>54</v>
      </c>
      <c r="AE6711" s="80" t="s">
        <v>10199</v>
      </c>
      <c r="AF6711" s="17">
        <v>45736</v>
      </c>
      <c r="AG6711" s="80"/>
      <c r="AH6711" s="80"/>
      <c r="AI6711" s="147"/>
      <c r="AJ6711" s="80"/>
      <c r="AK6711" s="80"/>
      <c r="AL6711" s="35"/>
      <c r="AM6711" s="35"/>
      <c r="AN6711" s="35"/>
      <c r="AO6711" s="35"/>
      <c r="AP6711" s="35"/>
    </row>
    <row r="6712" spans="1:42" x14ac:dyDescent="0.2">
      <c r="A6712" s="38">
        <v>45735</v>
      </c>
      <c r="B6712" s="137"/>
      <c r="C6712" s="41" t="s">
        <v>118</v>
      </c>
      <c r="D6712" s="80" t="s">
        <v>36</v>
      </c>
      <c r="E6712" s="80" t="s">
        <v>106</v>
      </c>
      <c r="F6712" s="80" t="s">
        <v>21114</v>
      </c>
      <c r="G6712" s="41" t="s">
        <v>108</v>
      </c>
      <c r="H6712" s="80" t="s">
        <v>5764</v>
      </c>
      <c r="I6712" s="164" t="str">
        <f ca="1">IFERROR(__xludf.DUMMYFUNCTION("""COMPUTED_VALUE""")," ")</f>
        <v xml:space="preserve"> </v>
      </c>
      <c r="J6712" s="143" t="s">
        <v>21115</v>
      </c>
      <c r="K6712" s="145" t="s">
        <v>21116</v>
      </c>
      <c r="L6712" s="30">
        <v>971355790</v>
      </c>
      <c r="M6712" s="80" t="s">
        <v>1245</v>
      </c>
      <c r="N6712" s="80" t="s">
        <v>21117</v>
      </c>
      <c r="O6712" s="80" t="s">
        <v>91</v>
      </c>
      <c r="P6712" s="80" t="s">
        <v>21118</v>
      </c>
      <c r="Q6712" s="20">
        <v>10804</v>
      </c>
      <c r="R6712" s="80" t="s">
        <v>36</v>
      </c>
      <c r="S6712" s="77">
        <v>11000</v>
      </c>
      <c r="T6712" s="78">
        <v>44919</v>
      </c>
      <c r="U6712" s="77"/>
      <c r="V6712" s="78"/>
      <c r="W6712" s="85" t="s">
        <v>21119</v>
      </c>
      <c r="X6712" s="80">
        <v>0</v>
      </c>
      <c r="Y6712" s="22">
        <v>-196</v>
      </c>
      <c r="Z6712" s="41" t="s">
        <v>118</v>
      </c>
      <c r="AA6712" s="86" t="s">
        <v>3307</v>
      </c>
      <c r="AB6712" s="80"/>
      <c r="AC6712" s="80" t="s">
        <v>53</v>
      </c>
      <c r="AD6712" s="80" t="s">
        <v>54</v>
      </c>
      <c r="AE6712" s="80" t="s">
        <v>21114</v>
      </c>
      <c r="AF6712" s="43"/>
      <c r="AG6712" s="82"/>
      <c r="AH6712" s="185"/>
      <c r="AI6712" s="185"/>
      <c r="AJ6712" s="165">
        <v>45028.954515671299</v>
      </c>
      <c r="AK6712" s="82"/>
      <c r="AL6712" s="177" t="s">
        <v>21120</v>
      </c>
      <c r="AM6712" s="82"/>
      <c r="AN6712" s="82"/>
      <c r="AO6712" s="80"/>
      <c r="AP6712" s="80"/>
    </row>
    <row r="6713" spans="1:42" x14ac:dyDescent="0.2">
      <c r="A6713" s="38">
        <v>45735</v>
      </c>
      <c r="B6713" s="137" t="s">
        <v>37</v>
      </c>
      <c r="C6713" s="41" t="s">
        <v>118</v>
      </c>
      <c r="D6713" s="26" t="s">
        <v>36</v>
      </c>
      <c r="E6713" s="26" t="s">
        <v>119</v>
      </c>
      <c r="F6713" s="80" t="s">
        <v>8063</v>
      </c>
      <c r="G6713" s="80" t="s">
        <v>1705</v>
      </c>
      <c r="H6713" s="80" t="s">
        <v>21121</v>
      </c>
      <c r="I6713" s="17">
        <f ca="1">IFERROR(__xludf.DUMMYFUNCTION("""COMPUTED_VALUE"""),45714)</f>
        <v>45714</v>
      </c>
      <c r="J6713" s="49" t="s">
        <v>10397</v>
      </c>
      <c r="K6713" s="26" t="s">
        <v>21122</v>
      </c>
      <c r="L6713" s="47">
        <v>375509943</v>
      </c>
      <c r="M6713" s="26" t="s">
        <v>5558</v>
      </c>
      <c r="N6713" s="26" t="s">
        <v>850</v>
      </c>
      <c r="O6713" s="26" t="s">
        <v>4503</v>
      </c>
      <c r="P6713" s="42" t="s">
        <v>21123</v>
      </c>
      <c r="Q6713" s="20">
        <v>13968</v>
      </c>
      <c r="R6713" s="55" t="s">
        <v>36</v>
      </c>
      <c r="S6713" s="95">
        <f>2000+2000</f>
        <v>4000</v>
      </c>
      <c r="T6713" s="83" t="s">
        <v>10400</v>
      </c>
      <c r="U6713" s="95">
        <v>9968</v>
      </c>
      <c r="V6713" s="148">
        <v>45497</v>
      </c>
      <c r="W6713" s="33" t="s">
        <v>10401</v>
      </c>
      <c r="X6713" s="26">
        <v>0</v>
      </c>
      <c r="Y6713" s="22">
        <v>0</v>
      </c>
      <c r="Z6713" s="26" t="s">
        <v>50</v>
      </c>
      <c r="AA6713" s="96" t="s">
        <v>10314</v>
      </c>
      <c r="AB6713" s="26"/>
      <c r="AC6713" s="26" t="s">
        <v>53</v>
      </c>
      <c r="AD6713" s="26" t="s">
        <v>54</v>
      </c>
      <c r="AE6713" s="80" t="s">
        <v>8063</v>
      </c>
      <c r="AF6713" s="17">
        <v>45741</v>
      </c>
      <c r="AG6713" s="26"/>
      <c r="AH6713" s="26"/>
      <c r="AI6713" s="40"/>
      <c r="AJ6713" s="26"/>
      <c r="AK6713" s="26"/>
      <c r="AL6713" s="35"/>
      <c r="AM6713" s="35"/>
      <c r="AN6713" s="35"/>
      <c r="AO6713" s="35"/>
      <c r="AP6713" s="35"/>
    </row>
    <row r="6714" spans="1:42" x14ac:dyDescent="0.2">
      <c r="A6714" s="38">
        <v>45735</v>
      </c>
      <c r="B6714" s="137" t="s">
        <v>37</v>
      </c>
      <c r="C6714" s="41" t="s">
        <v>118</v>
      </c>
      <c r="D6714" s="80" t="s">
        <v>36</v>
      </c>
      <c r="E6714" s="80" t="s">
        <v>39</v>
      </c>
      <c r="F6714" s="80" t="s">
        <v>16705</v>
      </c>
      <c r="G6714" s="80" t="s">
        <v>108</v>
      </c>
      <c r="H6714" s="80" t="s">
        <v>17002</v>
      </c>
      <c r="I6714" s="17">
        <f ca="1">IFERROR(__xludf.DUMMYFUNCTION("""COMPUTED_VALUE"""),45736)</f>
        <v>45736</v>
      </c>
      <c r="J6714" s="143" t="s">
        <v>18846</v>
      </c>
      <c r="K6714" s="80" t="s">
        <v>21124</v>
      </c>
      <c r="L6714" s="30">
        <v>375289493</v>
      </c>
      <c r="M6714" s="80" t="s">
        <v>15970</v>
      </c>
      <c r="N6714" s="80" t="s">
        <v>18848</v>
      </c>
      <c r="O6714" s="80" t="s">
        <v>18849</v>
      </c>
      <c r="P6714" s="144" t="s">
        <v>18850</v>
      </c>
      <c r="Q6714" s="20">
        <v>5736</v>
      </c>
      <c r="R6714" s="80" t="s">
        <v>36</v>
      </c>
      <c r="S6714" s="95">
        <f>100+1868</f>
        <v>1968</v>
      </c>
      <c r="T6714" s="83" t="s">
        <v>18851</v>
      </c>
      <c r="U6714" s="95">
        <v>3768</v>
      </c>
      <c r="V6714" s="148">
        <v>45646</v>
      </c>
      <c r="W6714" s="85" t="s">
        <v>18852</v>
      </c>
      <c r="X6714" s="80"/>
      <c r="Y6714" s="22">
        <v>0</v>
      </c>
      <c r="Z6714" s="80" t="s">
        <v>50</v>
      </c>
      <c r="AA6714" s="35" t="s">
        <v>18579</v>
      </c>
      <c r="AB6714" s="82"/>
      <c r="AC6714" s="80" t="s">
        <v>53</v>
      </c>
      <c r="AD6714" s="80" t="s">
        <v>54</v>
      </c>
      <c r="AE6714" s="80" t="s">
        <v>16705</v>
      </c>
      <c r="AF6714" s="17">
        <v>45736</v>
      </c>
      <c r="AG6714" s="80"/>
      <c r="AH6714" s="80"/>
      <c r="AI6714" s="147"/>
      <c r="AJ6714" s="80"/>
      <c r="AK6714" s="80"/>
      <c r="AL6714" s="35"/>
      <c r="AM6714" s="35"/>
      <c r="AN6714" s="35"/>
      <c r="AO6714" s="35"/>
      <c r="AP6714" s="35"/>
    </row>
    <row r="6715" spans="1:42" x14ac:dyDescent="0.2">
      <c r="A6715" s="38">
        <v>45735</v>
      </c>
      <c r="B6715" s="137" t="s">
        <v>37</v>
      </c>
      <c r="C6715" s="41" t="s">
        <v>118</v>
      </c>
      <c r="D6715" s="80" t="s">
        <v>36</v>
      </c>
      <c r="E6715" s="80" t="s">
        <v>1704</v>
      </c>
      <c r="F6715" s="80" t="s">
        <v>16959</v>
      </c>
      <c r="G6715" s="26" t="s">
        <v>1847</v>
      </c>
      <c r="H6715" s="26" t="s">
        <v>14451</v>
      </c>
      <c r="I6715" s="17">
        <f ca="1">IFERROR(__xludf.DUMMYFUNCTION("""COMPUTED_VALUE"""),45750)</f>
        <v>45750</v>
      </c>
      <c r="J6715" s="143" t="s">
        <v>19149</v>
      </c>
      <c r="K6715" s="80" t="s">
        <v>3220</v>
      </c>
      <c r="L6715" s="30">
        <v>343005409</v>
      </c>
      <c r="M6715" s="80" t="s">
        <v>9422</v>
      </c>
      <c r="N6715" s="80" t="s">
        <v>19150</v>
      </c>
      <c r="O6715" s="80" t="s">
        <v>8827</v>
      </c>
      <c r="P6715" s="80" t="s">
        <v>19151</v>
      </c>
      <c r="Q6715" s="20">
        <v>7729</v>
      </c>
      <c r="R6715" s="80" t="s">
        <v>70</v>
      </c>
      <c r="S6715" s="95">
        <v>7729</v>
      </c>
      <c r="T6715" s="148">
        <v>45639</v>
      </c>
      <c r="U6715" s="77"/>
      <c r="V6715" s="78"/>
      <c r="W6715" s="85" t="s">
        <v>19152</v>
      </c>
      <c r="X6715" s="80"/>
      <c r="Y6715" s="22">
        <v>0</v>
      </c>
      <c r="Z6715" s="80" t="s">
        <v>50</v>
      </c>
      <c r="AA6715" s="96" t="s">
        <v>18579</v>
      </c>
      <c r="AB6715" s="86"/>
      <c r="AC6715" s="80" t="s">
        <v>53</v>
      </c>
      <c r="AD6715" s="80" t="s">
        <v>54</v>
      </c>
      <c r="AE6715" s="80" t="s">
        <v>16959</v>
      </c>
      <c r="AF6715" s="17">
        <v>45736</v>
      </c>
      <c r="AG6715" s="80" t="s">
        <v>2075</v>
      </c>
      <c r="AH6715" s="80"/>
      <c r="AI6715" s="147"/>
      <c r="AJ6715" s="80"/>
      <c r="AK6715" s="80"/>
      <c r="AL6715" s="35"/>
      <c r="AM6715" s="35"/>
      <c r="AN6715" s="35"/>
      <c r="AO6715" s="35"/>
      <c r="AP6715" s="35"/>
    </row>
    <row r="6716" spans="1:42" x14ac:dyDescent="0.2">
      <c r="A6716" s="38">
        <v>45735</v>
      </c>
      <c r="B6716" s="137" t="s">
        <v>37</v>
      </c>
      <c r="C6716" s="41" t="s">
        <v>118</v>
      </c>
      <c r="D6716" s="26" t="s">
        <v>36</v>
      </c>
      <c r="E6716" s="26" t="s">
        <v>139</v>
      </c>
      <c r="F6716" s="26" t="s">
        <v>6825</v>
      </c>
      <c r="G6716" s="26" t="s">
        <v>1847</v>
      </c>
      <c r="H6716" s="26" t="s">
        <v>14451</v>
      </c>
      <c r="I6716" s="17">
        <f ca="1">IFERROR(__xludf.DUMMYFUNCTION("""COMPUTED_VALUE"""),45750)</f>
        <v>45750</v>
      </c>
      <c r="J6716" s="29" t="s">
        <v>760</v>
      </c>
      <c r="K6716" s="26" t="s">
        <v>2420</v>
      </c>
      <c r="L6716" s="30">
        <v>964065205</v>
      </c>
      <c r="M6716" s="26" t="s">
        <v>123</v>
      </c>
      <c r="N6716" s="26" t="s">
        <v>151</v>
      </c>
      <c r="O6716" s="26" t="s">
        <v>134</v>
      </c>
      <c r="P6716" s="42" t="s">
        <v>762</v>
      </c>
      <c r="Q6716" s="20">
        <v>15936</v>
      </c>
      <c r="R6716" s="26" t="s">
        <v>36</v>
      </c>
      <c r="S6716" s="31">
        <v>15936</v>
      </c>
      <c r="T6716" s="32">
        <v>45134</v>
      </c>
      <c r="U6716" s="31"/>
      <c r="V6716" s="26"/>
      <c r="W6716" s="33" t="s">
        <v>763</v>
      </c>
      <c r="X6716" s="26">
        <v>0</v>
      </c>
      <c r="Y6716" s="22">
        <v>0</v>
      </c>
      <c r="Z6716" s="26" t="s">
        <v>118</v>
      </c>
      <c r="AA6716" s="19" t="s">
        <v>51</v>
      </c>
      <c r="AB6716" s="26" t="s">
        <v>104</v>
      </c>
      <c r="AC6716" s="26" t="s">
        <v>53</v>
      </c>
      <c r="AD6716" s="19" t="s">
        <v>54</v>
      </c>
      <c r="AE6716" s="26" t="s">
        <v>6825</v>
      </c>
      <c r="AF6716" s="17">
        <v>45716</v>
      </c>
      <c r="AG6716" s="26"/>
      <c r="AH6716" s="26">
        <v>1</v>
      </c>
      <c r="AI6716" s="40" t="s">
        <v>147</v>
      </c>
      <c r="AJ6716" s="26"/>
      <c r="AK6716" s="26"/>
      <c r="AL6716" s="35"/>
      <c r="AM6716" s="35"/>
      <c r="AN6716" s="35"/>
      <c r="AO6716" s="35"/>
      <c r="AP6716" s="35"/>
    </row>
    <row r="6717" spans="1:42" x14ac:dyDescent="0.2">
      <c r="A6717" s="38">
        <v>45736</v>
      </c>
      <c r="B6717" s="28" t="s">
        <v>37</v>
      </c>
      <c r="C6717" s="41" t="s">
        <v>118</v>
      </c>
      <c r="D6717" s="26" t="s">
        <v>36</v>
      </c>
      <c r="E6717" s="26" t="s">
        <v>139</v>
      </c>
      <c r="F6717" s="26" t="s">
        <v>13652</v>
      </c>
      <c r="G6717" s="26" t="s">
        <v>1847</v>
      </c>
      <c r="H6717" s="26" t="s">
        <v>14451</v>
      </c>
      <c r="I6717" s="17">
        <f ca="1">IFERROR(__xludf.DUMMYFUNCTION("""COMPUTED_VALUE"""),45750)</f>
        <v>45750</v>
      </c>
      <c r="J6717" s="29" t="s">
        <v>3618</v>
      </c>
      <c r="K6717" s="26" t="s">
        <v>3619</v>
      </c>
      <c r="L6717" s="30">
        <v>917441898</v>
      </c>
      <c r="M6717" s="26" t="s">
        <v>112</v>
      </c>
      <c r="N6717" s="26" t="s">
        <v>3330</v>
      </c>
      <c r="O6717" s="26" t="s">
        <v>125</v>
      </c>
      <c r="P6717" s="42" t="s">
        <v>21125</v>
      </c>
      <c r="Q6717" s="20">
        <v>15936</v>
      </c>
      <c r="R6717" s="26" t="s">
        <v>36</v>
      </c>
      <c r="S6717" s="31">
        <v>4000</v>
      </c>
      <c r="T6717" s="32">
        <v>45185</v>
      </c>
      <c r="U6717" s="31">
        <v>11936</v>
      </c>
      <c r="V6717" s="32">
        <v>45213</v>
      </c>
      <c r="W6717" s="33" t="s">
        <v>3622</v>
      </c>
      <c r="X6717" s="26"/>
      <c r="Y6717" s="22">
        <v>0</v>
      </c>
      <c r="Z6717" s="26" t="s">
        <v>118</v>
      </c>
      <c r="AA6717" s="19" t="s">
        <v>5785</v>
      </c>
      <c r="AB6717" s="26" t="s">
        <v>104</v>
      </c>
      <c r="AC6717" s="26" t="s">
        <v>53</v>
      </c>
      <c r="AD6717" s="19" t="s">
        <v>138</v>
      </c>
      <c r="AE6717" s="26" t="s">
        <v>13652</v>
      </c>
      <c r="AF6717" s="17">
        <v>45716</v>
      </c>
      <c r="AG6717" s="26"/>
      <c r="AH6717" s="26"/>
      <c r="AI6717" s="40" t="s">
        <v>147</v>
      </c>
      <c r="AJ6717" s="26"/>
      <c r="AK6717" s="26"/>
      <c r="AL6717" s="35"/>
      <c r="AM6717" s="35"/>
      <c r="AN6717" s="35"/>
      <c r="AO6717" s="35"/>
      <c r="AP6717" s="35"/>
    </row>
    <row r="6718" spans="1:42" x14ac:dyDescent="0.2">
      <c r="A6718" s="38">
        <v>45736</v>
      </c>
      <c r="B6718" s="137" t="s">
        <v>37</v>
      </c>
      <c r="C6718" s="41" t="s">
        <v>118</v>
      </c>
      <c r="D6718" s="26" t="s">
        <v>36</v>
      </c>
      <c r="E6718" s="26" t="s">
        <v>119</v>
      </c>
      <c r="F6718" s="26" t="s">
        <v>2017</v>
      </c>
      <c r="G6718" s="26" t="s">
        <v>108</v>
      </c>
      <c r="H6718" s="26" t="s">
        <v>16632</v>
      </c>
      <c r="I6718" s="17">
        <f ca="1">IFERROR(__xludf.DUMMYFUNCTION("""COMPUTED_VALUE"""),45741)</f>
        <v>45741</v>
      </c>
      <c r="J6718" s="29" t="s">
        <v>21126</v>
      </c>
      <c r="K6718" s="26" t="s">
        <v>21127</v>
      </c>
      <c r="L6718" s="30">
        <v>393577256</v>
      </c>
      <c r="M6718" s="26" t="s">
        <v>80</v>
      </c>
      <c r="N6718" s="26" t="s">
        <v>1073</v>
      </c>
      <c r="O6718" s="26" t="s">
        <v>10371</v>
      </c>
      <c r="P6718" s="42" t="s">
        <v>10372</v>
      </c>
      <c r="Q6718" s="20">
        <v>13968</v>
      </c>
      <c r="R6718" s="26" t="s">
        <v>36</v>
      </c>
      <c r="S6718" s="95">
        <f>200+3800</f>
        <v>4000</v>
      </c>
      <c r="T6718" s="83" t="s">
        <v>9169</v>
      </c>
      <c r="U6718" s="95">
        <v>9968</v>
      </c>
      <c r="V6718" s="148">
        <v>45523</v>
      </c>
      <c r="W6718" s="33" t="s">
        <v>10373</v>
      </c>
      <c r="X6718" s="26">
        <v>0</v>
      </c>
      <c r="Y6718" s="22">
        <v>0</v>
      </c>
      <c r="Z6718" s="26" t="s">
        <v>50</v>
      </c>
      <c r="AA6718" s="35" t="s">
        <v>10314</v>
      </c>
      <c r="AB6718" s="26"/>
      <c r="AC6718" s="26" t="s">
        <v>53</v>
      </c>
      <c r="AD6718" s="26" t="s">
        <v>54</v>
      </c>
      <c r="AE6718" s="26" t="s">
        <v>2017</v>
      </c>
      <c r="AF6718" s="181">
        <v>45744</v>
      </c>
      <c r="AG6718" s="26" t="s">
        <v>21128</v>
      </c>
      <c r="AH6718" s="26"/>
      <c r="AI6718" s="40"/>
      <c r="AJ6718" s="26"/>
      <c r="AK6718" s="26"/>
      <c r="AL6718" s="35"/>
      <c r="AM6718" s="35"/>
      <c r="AN6718" s="35"/>
      <c r="AO6718" s="35"/>
      <c r="AP6718" s="35"/>
    </row>
    <row r="6719" spans="1:42" x14ac:dyDescent="0.2">
      <c r="A6719" s="38">
        <v>45736</v>
      </c>
      <c r="B6719" s="28" t="s">
        <v>37</v>
      </c>
      <c r="C6719" s="41" t="s">
        <v>118</v>
      </c>
      <c r="D6719" s="26" t="s">
        <v>36</v>
      </c>
      <c r="E6719" s="26" t="s">
        <v>139</v>
      </c>
      <c r="F6719" s="26" t="s">
        <v>13652</v>
      </c>
      <c r="G6719" s="26" t="s">
        <v>1847</v>
      </c>
      <c r="H6719" s="26" t="s">
        <v>14451</v>
      </c>
      <c r="I6719" s="17">
        <f ca="1">IFERROR(__xludf.DUMMYFUNCTION("""COMPUTED_VALUE"""),45750)</f>
        <v>45750</v>
      </c>
      <c r="J6719" s="29" t="s">
        <v>3623</v>
      </c>
      <c r="K6719" s="26" t="s">
        <v>3624</v>
      </c>
      <c r="L6719" s="30">
        <v>775270270</v>
      </c>
      <c r="M6719" s="26" t="s">
        <v>80</v>
      </c>
      <c r="N6719" s="26" t="s">
        <v>81</v>
      </c>
      <c r="O6719" s="26" t="s">
        <v>3625</v>
      </c>
      <c r="P6719" s="42" t="s">
        <v>21129</v>
      </c>
      <c r="Q6719" s="20">
        <v>15936</v>
      </c>
      <c r="R6719" s="26" t="s">
        <v>36</v>
      </c>
      <c r="S6719" s="31">
        <v>4000</v>
      </c>
      <c r="T6719" s="32">
        <v>45185</v>
      </c>
      <c r="U6719" s="31">
        <v>11936</v>
      </c>
      <c r="V6719" s="32">
        <v>45212</v>
      </c>
      <c r="W6719" s="33" t="s">
        <v>3626</v>
      </c>
      <c r="X6719" s="26"/>
      <c r="Y6719" s="22">
        <v>0</v>
      </c>
      <c r="Z6719" s="26" t="s">
        <v>118</v>
      </c>
      <c r="AA6719" s="19" t="s">
        <v>5785</v>
      </c>
      <c r="AB6719" s="26" t="s">
        <v>104</v>
      </c>
      <c r="AC6719" s="26" t="s">
        <v>53</v>
      </c>
      <c r="AD6719" s="19" t="s">
        <v>138</v>
      </c>
      <c r="AE6719" s="26" t="s">
        <v>13652</v>
      </c>
      <c r="AF6719" s="17">
        <v>45716</v>
      </c>
      <c r="AG6719" s="26"/>
      <c r="AH6719" s="26"/>
      <c r="AI6719" s="40" t="s">
        <v>147</v>
      </c>
      <c r="AJ6719" s="26"/>
      <c r="AK6719" s="26"/>
      <c r="AL6719" s="35"/>
      <c r="AM6719" s="35"/>
      <c r="AN6719" s="35"/>
      <c r="AO6719" s="35"/>
      <c r="AP6719" s="35"/>
    </row>
    <row r="6720" spans="1:42" x14ac:dyDescent="0.2">
      <c r="A6720" s="38">
        <v>45737</v>
      </c>
      <c r="B6720" s="137" t="s">
        <v>37</v>
      </c>
      <c r="C6720" s="41" t="s">
        <v>118</v>
      </c>
      <c r="D6720" s="80" t="s">
        <v>36</v>
      </c>
      <c r="E6720" s="80" t="s">
        <v>219</v>
      </c>
      <c r="F6720" s="80" t="s">
        <v>13513</v>
      </c>
      <c r="G6720" s="142" t="s">
        <v>221</v>
      </c>
      <c r="H6720" s="80" t="s">
        <v>21130</v>
      </c>
      <c r="I6720" s="17" t="str">
        <f ca="1">IFERROR(__xludf.DUMMYFUNCTION("""COMPUTED_VALUE""")," ")</f>
        <v xml:space="preserve"> </v>
      </c>
      <c r="J6720" s="143" t="s">
        <v>8297</v>
      </c>
      <c r="K6720" s="80" t="s">
        <v>21131</v>
      </c>
      <c r="L6720" s="30">
        <v>365383222</v>
      </c>
      <c r="M6720" s="80" t="s">
        <v>3288</v>
      </c>
      <c r="N6720" s="80" t="s">
        <v>200</v>
      </c>
      <c r="O6720" s="80" t="s">
        <v>8814</v>
      </c>
      <c r="P6720" s="144" t="s">
        <v>13864</v>
      </c>
      <c r="Q6720" s="20">
        <v>7349</v>
      </c>
      <c r="R6720" s="80" t="s">
        <v>36</v>
      </c>
      <c r="S6720" s="77">
        <v>2084</v>
      </c>
      <c r="T6720" s="78">
        <v>45756</v>
      </c>
      <c r="U6720" s="77"/>
      <c r="V6720" s="78"/>
      <c r="W6720" s="33" t="s">
        <v>21132</v>
      </c>
      <c r="X6720" s="80"/>
      <c r="Y6720" s="22">
        <v>0</v>
      </c>
      <c r="Z6720" s="81" t="s">
        <v>50</v>
      </c>
      <c r="AA6720" s="86" t="s">
        <v>8721</v>
      </c>
      <c r="AB6720" s="80" t="s">
        <v>36</v>
      </c>
      <c r="AC6720" s="80" t="s">
        <v>53</v>
      </c>
      <c r="AD6720" s="86" t="s">
        <v>54</v>
      </c>
      <c r="AE6720" s="80" t="s">
        <v>8238</v>
      </c>
      <c r="AF6720" s="17">
        <v>45757</v>
      </c>
      <c r="AG6720" s="80" t="s">
        <v>21133</v>
      </c>
      <c r="AH6720" s="80"/>
      <c r="AI6720" s="147"/>
      <c r="AJ6720" s="80"/>
      <c r="AK6720" s="80"/>
      <c r="AL6720" s="86"/>
      <c r="AM6720" s="86"/>
      <c r="AN6720" s="86"/>
      <c r="AO6720" s="86"/>
      <c r="AP6720" s="86"/>
    </row>
    <row r="6721" spans="1:42" x14ac:dyDescent="0.2">
      <c r="A6721" s="38">
        <v>45737</v>
      </c>
      <c r="B6721" s="28" t="s">
        <v>37</v>
      </c>
      <c r="C6721" s="41" t="s">
        <v>118</v>
      </c>
      <c r="D6721" s="80" t="s">
        <v>36</v>
      </c>
      <c r="E6721" s="80" t="s">
        <v>139</v>
      </c>
      <c r="F6721" s="80" t="s">
        <v>16656</v>
      </c>
      <c r="G6721" s="161" t="s">
        <v>221</v>
      </c>
      <c r="H6721" s="80" t="s">
        <v>20208</v>
      </c>
      <c r="I6721" s="17">
        <f ca="1">IFERROR(__xludf.DUMMYFUNCTION("""COMPUTED_VALUE"""),45736)</f>
        <v>45736</v>
      </c>
      <c r="J6721" s="143" t="s">
        <v>15359</v>
      </c>
      <c r="K6721" s="80" t="s">
        <v>16795</v>
      </c>
      <c r="L6721" s="30">
        <v>346512396</v>
      </c>
      <c r="M6721" s="80" t="s">
        <v>5558</v>
      </c>
      <c r="N6721" s="80" t="s">
        <v>850</v>
      </c>
      <c r="O6721" s="80" t="s">
        <v>15361</v>
      </c>
      <c r="P6721" s="80" t="s">
        <v>15362</v>
      </c>
      <c r="Q6721" s="20">
        <v>15936</v>
      </c>
      <c r="R6721" s="80" t="s">
        <v>36</v>
      </c>
      <c r="S6721" s="95">
        <v>2000</v>
      </c>
      <c r="T6721" s="148">
        <v>45554</v>
      </c>
      <c r="U6721" s="95">
        <v>13936</v>
      </c>
      <c r="V6721" s="169">
        <v>45588</v>
      </c>
      <c r="W6721" s="85" t="s">
        <v>15363</v>
      </c>
      <c r="X6721" s="80"/>
      <c r="Y6721" s="22">
        <v>0</v>
      </c>
      <c r="Z6721" s="81" t="s">
        <v>50</v>
      </c>
      <c r="AA6721" s="82" t="s">
        <v>9905</v>
      </c>
      <c r="AB6721" s="80"/>
      <c r="AC6721" s="80" t="s">
        <v>53</v>
      </c>
      <c r="AD6721" s="80" t="s">
        <v>138</v>
      </c>
      <c r="AE6721" s="80" t="s">
        <v>16656</v>
      </c>
      <c r="AF6721" s="17">
        <v>45736</v>
      </c>
      <c r="AG6721" s="80"/>
      <c r="AH6721" s="80"/>
      <c r="AI6721" s="147"/>
      <c r="AJ6721" s="80"/>
      <c r="AK6721" s="80"/>
      <c r="AL6721" s="86"/>
      <c r="AM6721" s="86"/>
      <c r="AN6721" s="86"/>
      <c r="AO6721" s="86"/>
      <c r="AP6721" s="86"/>
    </row>
    <row r="6722" spans="1:42" x14ac:dyDescent="0.2">
      <c r="A6722" s="38">
        <v>45738</v>
      </c>
      <c r="B6722" s="137" t="s">
        <v>37</v>
      </c>
      <c r="C6722" s="41" t="s">
        <v>118</v>
      </c>
      <c r="D6722" s="80" t="s">
        <v>36</v>
      </c>
      <c r="E6722" s="80" t="s">
        <v>119</v>
      </c>
      <c r="F6722" s="80" t="s">
        <v>12857</v>
      </c>
      <c r="G6722" s="161" t="s">
        <v>221</v>
      </c>
      <c r="H6722" s="80" t="s">
        <v>20492</v>
      </c>
      <c r="I6722" s="17">
        <f ca="1">IFERROR(__xludf.DUMMYFUNCTION("""COMPUTED_VALUE"""),45743)</f>
        <v>45743</v>
      </c>
      <c r="J6722" s="143" t="s">
        <v>14330</v>
      </c>
      <c r="K6722" s="80" t="s">
        <v>21134</v>
      </c>
      <c r="L6722" s="30">
        <v>338090014</v>
      </c>
      <c r="M6722" s="80" t="s">
        <v>123</v>
      </c>
      <c r="N6722" s="80" t="s">
        <v>310</v>
      </c>
      <c r="O6722" s="80" t="s">
        <v>1288</v>
      </c>
      <c r="P6722" s="80" t="s">
        <v>21135</v>
      </c>
      <c r="Q6722" s="20">
        <v>13968</v>
      </c>
      <c r="R6722" s="80" t="s">
        <v>36</v>
      </c>
      <c r="S6722" s="77">
        <v>4000</v>
      </c>
      <c r="T6722" s="78">
        <v>45143</v>
      </c>
      <c r="U6722" s="77">
        <v>9968</v>
      </c>
      <c r="V6722" s="153">
        <v>45161</v>
      </c>
      <c r="W6722" s="80" t="s">
        <v>1290</v>
      </c>
      <c r="X6722" s="80">
        <v>0</v>
      </c>
      <c r="Y6722" s="22">
        <v>0</v>
      </c>
      <c r="Z6722" s="81" t="s">
        <v>50</v>
      </c>
      <c r="AA6722" s="86" t="s">
        <v>901</v>
      </c>
      <c r="AB6722" s="80"/>
      <c r="AC6722" s="80" t="s">
        <v>53</v>
      </c>
      <c r="AD6722" s="86" t="s">
        <v>54</v>
      </c>
      <c r="AE6722" s="80" t="s">
        <v>12857</v>
      </c>
      <c r="AF6722" s="17">
        <v>45741</v>
      </c>
      <c r="AG6722" s="80"/>
      <c r="AH6722" s="80">
        <v>1</v>
      </c>
      <c r="AI6722" s="147">
        <v>4</v>
      </c>
      <c r="AJ6722" s="80"/>
      <c r="AK6722" s="80"/>
      <c r="AL6722" s="86"/>
      <c r="AM6722" s="86"/>
      <c r="AN6722" s="86"/>
      <c r="AO6722" s="86"/>
      <c r="AP6722" s="86"/>
    </row>
    <row r="6723" spans="1:42" x14ac:dyDescent="0.2">
      <c r="A6723" s="38">
        <v>45738</v>
      </c>
      <c r="B6723" s="137"/>
      <c r="C6723" s="41" t="s">
        <v>118</v>
      </c>
      <c r="D6723" s="26" t="s">
        <v>36</v>
      </c>
      <c r="E6723" s="26" t="s">
        <v>56</v>
      </c>
      <c r="F6723" s="26" t="s">
        <v>9865</v>
      </c>
      <c r="G6723" s="26" t="s">
        <v>221</v>
      </c>
      <c r="H6723" s="80" t="s">
        <v>21136</v>
      </c>
      <c r="I6723" s="17" t="str">
        <f ca="1">IFERROR(__xludf.DUMMYFUNCTION("""COMPUTED_VALUE""")," ")</f>
        <v xml:space="preserve"> </v>
      </c>
      <c r="J6723" s="29" t="s">
        <v>9891</v>
      </c>
      <c r="K6723" s="26" t="s">
        <v>9892</v>
      </c>
      <c r="L6723" s="30">
        <v>836222584</v>
      </c>
      <c r="M6723" s="26" t="s">
        <v>910</v>
      </c>
      <c r="N6723" s="26" t="s">
        <v>253</v>
      </c>
      <c r="O6723" s="26" t="s">
        <v>9893</v>
      </c>
      <c r="P6723" s="42" t="s">
        <v>21137</v>
      </c>
      <c r="Q6723" s="20">
        <v>15936</v>
      </c>
      <c r="R6723" s="26" t="s">
        <v>36</v>
      </c>
      <c r="S6723" s="95">
        <v>1968</v>
      </c>
      <c r="T6723" s="148">
        <v>45478</v>
      </c>
      <c r="U6723" s="31">
        <v>7349</v>
      </c>
      <c r="V6723" s="32">
        <v>45539</v>
      </c>
      <c r="W6723" s="33" t="s">
        <v>9895</v>
      </c>
      <c r="X6723" s="26">
        <v>0</v>
      </c>
      <c r="Y6723" s="22">
        <v>0</v>
      </c>
      <c r="Z6723" s="26" t="s">
        <v>118</v>
      </c>
      <c r="AA6723" s="96"/>
      <c r="AB6723" s="26" t="s">
        <v>36</v>
      </c>
      <c r="AC6723" s="26" t="s">
        <v>53</v>
      </c>
      <c r="AD6723" s="26" t="s">
        <v>54</v>
      </c>
      <c r="AE6723" s="26" t="s">
        <v>9865</v>
      </c>
      <c r="AF6723" s="17">
        <v>45750</v>
      </c>
      <c r="AG6723" s="26"/>
      <c r="AH6723" s="26"/>
      <c r="AI6723" s="40"/>
      <c r="AJ6723" s="26"/>
      <c r="AK6723" s="26"/>
      <c r="AL6723" s="35"/>
      <c r="AM6723" s="35"/>
      <c r="AN6723" s="35"/>
      <c r="AO6723" s="35"/>
      <c r="AP6723" s="35"/>
    </row>
    <row r="6724" spans="1:42" x14ac:dyDescent="0.2">
      <c r="A6724" s="38">
        <v>45740</v>
      </c>
      <c r="B6724" s="137" t="s">
        <v>37</v>
      </c>
      <c r="C6724" s="41" t="s">
        <v>118</v>
      </c>
      <c r="D6724" s="80" t="s">
        <v>36</v>
      </c>
      <c r="E6724" s="80" t="s">
        <v>56</v>
      </c>
      <c r="F6724" s="80" t="s">
        <v>14409</v>
      </c>
      <c r="G6724" s="26" t="s">
        <v>221</v>
      </c>
      <c r="H6724" s="80" t="s">
        <v>20071</v>
      </c>
      <c r="I6724" s="17">
        <f ca="1">IFERROR(__xludf.DUMMYFUNCTION("""COMPUTED_VALUE"""),45757)</f>
        <v>45757</v>
      </c>
      <c r="J6724" s="143" t="s">
        <v>14410</v>
      </c>
      <c r="K6724" s="145" t="s">
        <v>14411</v>
      </c>
      <c r="L6724" s="30">
        <v>868105728</v>
      </c>
      <c r="M6724" s="80" t="s">
        <v>123</v>
      </c>
      <c r="N6724" s="80" t="s">
        <v>2847</v>
      </c>
      <c r="O6724" s="80" t="s">
        <v>4503</v>
      </c>
      <c r="P6724" s="115" t="s">
        <v>14412</v>
      </c>
      <c r="Q6724" s="20">
        <v>9317</v>
      </c>
      <c r="R6724" s="80" t="s">
        <v>36</v>
      </c>
      <c r="S6724" s="95">
        <f>200+2000+3000</f>
        <v>5200</v>
      </c>
      <c r="T6724" s="148" t="s">
        <v>14413</v>
      </c>
      <c r="U6724" s="95">
        <v>4117</v>
      </c>
      <c r="V6724" s="148">
        <v>45578</v>
      </c>
      <c r="W6724" s="85" t="s">
        <v>14414</v>
      </c>
      <c r="X6724" s="80"/>
      <c r="Y6724" s="22">
        <v>0</v>
      </c>
      <c r="Z6724" s="81" t="s">
        <v>50</v>
      </c>
      <c r="AA6724" s="86"/>
      <c r="AB6724" s="80"/>
      <c r="AC6724" s="80" t="s">
        <v>53</v>
      </c>
      <c r="AD6724" s="80" t="s">
        <v>138</v>
      </c>
      <c r="AE6724" s="80" t="s">
        <v>14409</v>
      </c>
      <c r="AF6724" s="17">
        <v>45750</v>
      </c>
      <c r="AG6724" s="80"/>
      <c r="AH6724" s="80"/>
      <c r="AI6724" s="147"/>
      <c r="AJ6724" s="80"/>
      <c r="AK6724" s="80"/>
      <c r="AL6724" s="86"/>
      <c r="AM6724" s="86"/>
      <c r="AN6724" s="86"/>
      <c r="AO6724" s="86"/>
      <c r="AP6724" s="86"/>
    </row>
    <row r="6725" spans="1:42" x14ac:dyDescent="0.2">
      <c r="A6725" s="38">
        <v>45740</v>
      </c>
      <c r="B6725" s="137" t="s">
        <v>37</v>
      </c>
      <c r="C6725" s="41" t="s">
        <v>118</v>
      </c>
      <c r="D6725" s="80" t="s">
        <v>36</v>
      </c>
      <c r="E6725" s="80" t="s">
        <v>139</v>
      </c>
      <c r="F6725" s="80" t="s">
        <v>14409</v>
      </c>
      <c r="G6725" s="26" t="s">
        <v>221</v>
      </c>
      <c r="H6725" s="80" t="s">
        <v>20136</v>
      </c>
      <c r="I6725" s="17">
        <f ca="1">IFERROR(__xludf.DUMMYFUNCTION("""COMPUTED_VALUE"""),45783)</f>
        <v>45783</v>
      </c>
      <c r="J6725" s="143" t="s">
        <v>14516</v>
      </c>
      <c r="K6725" s="145" t="s">
        <v>21138</v>
      </c>
      <c r="L6725" s="30">
        <v>349348036</v>
      </c>
      <c r="M6725" s="26" t="s">
        <v>3498</v>
      </c>
      <c r="N6725" s="80" t="s">
        <v>4402</v>
      </c>
      <c r="O6725" s="80" t="s">
        <v>4503</v>
      </c>
      <c r="P6725" s="80" t="s">
        <v>14518</v>
      </c>
      <c r="Q6725" s="20">
        <v>15936</v>
      </c>
      <c r="R6725" s="80" t="s">
        <v>36</v>
      </c>
      <c r="S6725" s="95">
        <v>5200</v>
      </c>
      <c r="T6725" s="148">
        <v>45555</v>
      </c>
      <c r="U6725" s="77">
        <v>10736</v>
      </c>
      <c r="V6725" s="78">
        <v>45597</v>
      </c>
      <c r="W6725" s="80" t="s">
        <v>14519</v>
      </c>
      <c r="X6725" s="80"/>
      <c r="Y6725" s="22">
        <v>0</v>
      </c>
      <c r="Z6725" s="41" t="s">
        <v>118</v>
      </c>
      <c r="AA6725" s="82"/>
      <c r="AB6725" s="80"/>
      <c r="AC6725" s="80" t="s">
        <v>53</v>
      </c>
      <c r="AD6725" s="80" t="s">
        <v>54</v>
      </c>
      <c r="AE6725" s="80" t="s">
        <v>14409</v>
      </c>
      <c r="AF6725" s="17">
        <v>45750</v>
      </c>
      <c r="AG6725" s="80"/>
      <c r="AH6725" s="80"/>
      <c r="AI6725" s="147"/>
      <c r="AJ6725" s="80"/>
      <c r="AK6725" s="80"/>
      <c r="AL6725" s="86"/>
      <c r="AM6725" s="86"/>
      <c r="AN6725" s="86"/>
      <c r="AO6725" s="86"/>
      <c r="AP6725" s="86"/>
    </row>
    <row r="6726" spans="1:42" x14ac:dyDescent="0.2">
      <c r="A6726" s="38">
        <v>45740</v>
      </c>
      <c r="B6726" s="137" t="s">
        <v>37</v>
      </c>
      <c r="C6726" s="41" t="s">
        <v>118</v>
      </c>
      <c r="D6726" s="80" t="s">
        <v>36</v>
      </c>
      <c r="E6726" s="80" t="s">
        <v>56</v>
      </c>
      <c r="F6726" s="80" t="s">
        <v>14409</v>
      </c>
      <c r="G6726" s="26" t="s">
        <v>221</v>
      </c>
      <c r="H6726" s="80" t="s">
        <v>16949</v>
      </c>
      <c r="I6726" s="17">
        <f ca="1">IFERROR(__xludf.DUMMYFUNCTION("""COMPUTED_VALUE"""),45758)</f>
        <v>45758</v>
      </c>
      <c r="J6726" s="143" t="s">
        <v>15462</v>
      </c>
      <c r="K6726" s="80" t="s">
        <v>16611</v>
      </c>
      <c r="L6726" s="30">
        <v>868117925</v>
      </c>
      <c r="M6726" s="80" t="s">
        <v>5558</v>
      </c>
      <c r="N6726" s="80" t="s">
        <v>5559</v>
      </c>
      <c r="O6726" s="80" t="s">
        <v>4503</v>
      </c>
      <c r="P6726" s="144" t="s">
        <v>15464</v>
      </c>
      <c r="Q6726" s="20">
        <v>9317</v>
      </c>
      <c r="R6726" s="80" t="s">
        <v>36</v>
      </c>
      <c r="S6726" s="95">
        <v>2000</v>
      </c>
      <c r="T6726" s="148">
        <v>45556</v>
      </c>
      <c r="U6726" s="95">
        <v>7317</v>
      </c>
      <c r="V6726" s="148">
        <v>45583</v>
      </c>
      <c r="W6726" s="85" t="s">
        <v>15465</v>
      </c>
      <c r="X6726" s="80"/>
      <c r="Y6726" s="22">
        <v>0</v>
      </c>
      <c r="Z6726" s="81" t="s">
        <v>50</v>
      </c>
      <c r="AA6726" s="86" t="s">
        <v>9905</v>
      </c>
      <c r="AB6726" s="80"/>
      <c r="AC6726" s="80" t="s">
        <v>53</v>
      </c>
      <c r="AD6726" s="80" t="s">
        <v>54</v>
      </c>
      <c r="AE6726" s="80" t="s">
        <v>14409</v>
      </c>
      <c r="AF6726" s="17">
        <v>45755</v>
      </c>
      <c r="AG6726" s="80"/>
      <c r="AH6726" s="80"/>
      <c r="AI6726" s="147"/>
      <c r="AJ6726" s="80"/>
      <c r="AK6726" s="80"/>
      <c r="AL6726" s="86"/>
      <c r="AM6726" s="86"/>
      <c r="AN6726" s="86"/>
      <c r="AO6726" s="86"/>
      <c r="AP6726" s="86"/>
    </row>
    <row r="6727" spans="1:42" x14ac:dyDescent="0.2">
      <c r="A6727" s="38">
        <v>45740</v>
      </c>
      <c r="B6727" s="137" t="s">
        <v>37</v>
      </c>
      <c r="C6727" s="41" t="s">
        <v>118</v>
      </c>
      <c r="D6727" s="80" t="s">
        <v>36</v>
      </c>
      <c r="E6727" s="80" t="s">
        <v>139</v>
      </c>
      <c r="F6727" s="80" t="s">
        <v>14409</v>
      </c>
      <c r="G6727" s="26" t="s">
        <v>221</v>
      </c>
      <c r="H6727" s="80" t="s">
        <v>18072</v>
      </c>
      <c r="I6727" s="17">
        <f ca="1">IFERROR(__xludf.DUMMYFUNCTION("""COMPUTED_VALUE"""),45804)</f>
        <v>45804</v>
      </c>
      <c r="J6727" s="143" t="s">
        <v>11177</v>
      </c>
      <c r="K6727" s="80" t="s">
        <v>16682</v>
      </c>
      <c r="L6727" s="57">
        <v>988703929</v>
      </c>
      <c r="M6727" s="80" t="s">
        <v>80</v>
      </c>
      <c r="N6727" s="80" t="s">
        <v>1073</v>
      </c>
      <c r="O6727" s="86" t="s">
        <v>11179</v>
      </c>
      <c r="P6727" s="175" t="s">
        <v>16683</v>
      </c>
      <c r="Q6727" s="20">
        <v>15936</v>
      </c>
      <c r="R6727" s="80" t="s">
        <v>36</v>
      </c>
      <c r="S6727" s="95">
        <f>200+1800</f>
        <v>2000</v>
      </c>
      <c r="T6727" s="148" t="s">
        <v>11181</v>
      </c>
      <c r="U6727" s="95">
        <v>13936</v>
      </c>
      <c r="V6727" s="148">
        <v>45535</v>
      </c>
      <c r="W6727" s="85" t="s">
        <v>11182</v>
      </c>
      <c r="X6727" s="83">
        <v>0</v>
      </c>
      <c r="Y6727" s="22">
        <v>0</v>
      </c>
      <c r="Z6727" s="81" t="s">
        <v>50</v>
      </c>
      <c r="AA6727" s="82" t="s">
        <v>10314</v>
      </c>
      <c r="AB6727" s="80"/>
      <c r="AC6727" s="80" t="s">
        <v>53</v>
      </c>
      <c r="AD6727" s="80" t="s">
        <v>54</v>
      </c>
      <c r="AE6727" s="80" t="s">
        <v>14409</v>
      </c>
      <c r="AF6727" s="17">
        <v>45798</v>
      </c>
      <c r="AG6727" s="80"/>
      <c r="AH6727" s="80"/>
      <c r="AI6727" s="147"/>
      <c r="AJ6727" s="80"/>
      <c r="AK6727" s="80"/>
      <c r="AL6727" s="86"/>
      <c r="AM6727" s="86"/>
      <c r="AN6727" s="86"/>
      <c r="AO6727" s="86"/>
      <c r="AP6727" s="86"/>
    </row>
    <row r="6728" spans="1:42" x14ac:dyDescent="0.2">
      <c r="A6728" s="38">
        <v>45740</v>
      </c>
      <c r="B6728" s="137" t="s">
        <v>37</v>
      </c>
      <c r="C6728" s="41" t="s">
        <v>118</v>
      </c>
      <c r="D6728" s="80" t="s">
        <v>36</v>
      </c>
      <c r="E6728" s="80" t="s">
        <v>139</v>
      </c>
      <c r="F6728" s="80" t="s">
        <v>14409</v>
      </c>
      <c r="G6728" s="26" t="s">
        <v>221</v>
      </c>
      <c r="H6728" s="80" t="s">
        <v>21139</v>
      </c>
      <c r="I6728" s="17">
        <f ca="1">IFERROR(__xludf.DUMMYFUNCTION("""COMPUTED_VALUE"""),45929)</f>
        <v>45929</v>
      </c>
      <c r="J6728" s="172" t="s">
        <v>15753</v>
      </c>
      <c r="K6728" s="80" t="s">
        <v>21140</v>
      </c>
      <c r="L6728" s="30">
        <v>988469785</v>
      </c>
      <c r="M6728" s="80" t="s">
        <v>3498</v>
      </c>
      <c r="N6728" s="80" t="s">
        <v>4402</v>
      </c>
      <c r="O6728" s="80" t="s">
        <v>4503</v>
      </c>
      <c r="P6728" s="144" t="s">
        <v>21141</v>
      </c>
      <c r="Q6728" s="20">
        <v>15936</v>
      </c>
      <c r="R6728" s="80" t="s">
        <v>36</v>
      </c>
      <c r="S6728" s="95">
        <v>3000</v>
      </c>
      <c r="T6728" s="148">
        <v>45562</v>
      </c>
      <c r="U6728" s="95">
        <v>12936</v>
      </c>
      <c r="V6728" s="148">
        <v>45585</v>
      </c>
      <c r="W6728" s="80" t="s">
        <v>15756</v>
      </c>
      <c r="X6728" s="80"/>
      <c r="Y6728" s="22">
        <v>0</v>
      </c>
      <c r="Z6728" s="81" t="s">
        <v>50</v>
      </c>
      <c r="AA6728" s="86" t="s">
        <v>9905</v>
      </c>
      <c r="AB6728" s="80"/>
      <c r="AC6728" s="80" t="s">
        <v>53</v>
      </c>
      <c r="AD6728" s="80" t="s">
        <v>54</v>
      </c>
      <c r="AE6728" s="80" t="s">
        <v>14409</v>
      </c>
      <c r="AF6728" s="17">
        <v>45773</v>
      </c>
      <c r="AG6728" s="80" t="s">
        <v>8366</v>
      </c>
      <c r="AH6728" s="80"/>
      <c r="AI6728" s="147"/>
      <c r="AJ6728" s="80"/>
      <c r="AK6728" s="80"/>
      <c r="AL6728" s="86"/>
      <c r="AM6728" s="86"/>
      <c r="AN6728" s="86"/>
      <c r="AO6728" s="86"/>
      <c r="AP6728" s="86"/>
    </row>
    <row r="6729" spans="1:42" x14ac:dyDescent="0.2">
      <c r="A6729" s="38">
        <v>45740</v>
      </c>
      <c r="B6729" s="28" t="s">
        <v>37</v>
      </c>
      <c r="C6729" s="41" t="s">
        <v>118</v>
      </c>
      <c r="D6729" s="80" t="s">
        <v>36</v>
      </c>
      <c r="E6729" s="80" t="s">
        <v>148</v>
      </c>
      <c r="F6729" s="80" t="s">
        <v>14409</v>
      </c>
      <c r="G6729" s="26" t="s">
        <v>221</v>
      </c>
      <c r="H6729" s="80" t="s">
        <v>20371</v>
      </c>
      <c r="I6729" s="17">
        <f ca="1">IFERROR(__xludf.DUMMYFUNCTION("""COMPUTED_VALUE"""),45905)</f>
        <v>45905</v>
      </c>
      <c r="J6729" s="143" t="s">
        <v>18026</v>
      </c>
      <c r="K6729" s="80" t="s">
        <v>21142</v>
      </c>
      <c r="L6729" s="30">
        <v>348847001</v>
      </c>
      <c r="M6729" s="80" t="s">
        <v>5558</v>
      </c>
      <c r="N6729" s="80" t="s">
        <v>5277</v>
      </c>
      <c r="O6729" s="80" t="s">
        <v>18028</v>
      </c>
      <c r="P6729" s="80" t="s">
        <v>18029</v>
      </c>
      <c r="Q6729" s="20">
        <v>7349</v>
      </c>
      <c r="R6729" s="80" t="s">
        <v>70</v>
      </c>
      <c r="S6729" s="95">
        <v>7249</v>
      </c>
      <c r="T6729" s="148">
        <v>45611</v>
      </c>
      <c r="U6729" s="77"/>
      <c r="V6729" s="78"/>
      <c r="W6729" s="85" t="s">
        <v>18030</v>
      </c>
      <c r="X6729" s="80"/>
      <c r="Y6729" s="22">
        <v>100</v>
      </c>
      <c r="Z6729" s="81" t="s">
        <v>50</v>
      </c>
      <c r="AA6729" s="82" t="s">
        <v>14723</v>
      </c>
      <c r="AB6729" s="80"/>
      <c r="AC6729" s="80" t="s">
        <v>53</v>
      </c>
      <c r="AD6729" s="80" t="s">
        <v>54</v>
      </c>
      <c r="AE6729" s="80" t="s">
        <v>14409</v>
      </c>
      <c r="AF6729" s="17">
        <v>45821</v>
      </c>
      <c r="AG6729" s="80" t="s">
        <v>21143</v>
      </c>
      <c r="AH6729" s="80"/>
      <c r="AI6729" s="147"/>
      <c r="AJ6729" s="80"/>
      <c r="AK6729" s="80"/>
      <c r="AL6729" s="86"/>
      <c r="AM6729" s="86"/>
      <c r="AN6729" s="86"/>
      <c r="AO6729" s="86"/>
      <c r="AP6729" s="86"/>
    </row>
    <row r="6730" spans="1:42" x14ac:dyDescent="0.2">
      <c r="A6730" s="38">
        <v>45740</v>
      </c>
      <c r="B6730" s="137" t="s">
        <v>90</v>
      </c>
      <c r="C6730" s="41" t="s">
        <v>118</v>
      </c>
      <c r="D6730" s="80" t="s">
        <v>36</v>
      </c>
      <c r="E6730" s="80" t="s">
        <v>139</v>
      </c>
      <c r="F6730" s="80" t="s">
        <v>16676</v>
      </c>
      <c r="G6730" s="161" t="s">
        <v>221</v>
      </c>
      <c r="H6730" s="80" t="s">
        <v>18271</v>
      </c>
      <c r="I6730" s="17">
        <f ca="1">IFERROR(__xludf.DUMMYFUNCTION("""COMPUTED_VALUE"""),45806)</f>
        <v>45806</v>
      </c>
      <c r="J6730" s="143" t="s">
        <v>10335</v>
      </c>
      <c r="K6730" s="80" t="s">
        <v>10336</v>
      </c>
      <c r="L6730" s="30">
        <v>342484956</v>
      </c>
      <c r="M6730" s="80" t="s">
        <v>5429</v>
      </c>
      <c r="N6730" s="80" t="s">
        <v>9166</v>
      </c>
      <c r="O6730" s="80" t="s">
        <v>10337</v>
      </c>
      <c r="P6730" s="80" t="s">
        <v>7107</v>
      </c>
      <c r="Q6730" s="20">
        <v>15936</v>
      </c>
      <c r="R6730" s="80" t="s">
        <v>3825</v>
      </c>
      <c r="S6730" s="95">
        <f t="shared" ref="S6730:S6731" si="199">200+1800</f>
        <v>2000</v>
      </c>
      <c r="T6730" s="148" t="s">
        <v>10338</v>
      </c>
      <c r="U6730" s="95">
        <v>13736</v>
      </c>
      <c r="V6730" s="148">
        <v>45526</v>
      </c>
      <c r="W6730" s="85" t="s">
        <v>10339</v>
      </c>
      <c r="X6730" s="80">
        <v>200</v>
      </c>
      <c r="Y6730" s="22">
        <v>0</v>
      </c>
      <c r="Z6730" s="81" t="s">
        <v>50</v>
      </c>
      <c r="AA6730" s="86" t="s">
        <v>10314</v>
      </c>
      <c r="AB6730" s="80"/>
      <c r="AC6730" s="80" t="s">
        <v>53</v>
      </c>
      <c r="AD6730" s="80" t="s">
        <v>138</v>
      </c>
      <c r="AE6730" s="80" t="s">
        <v>16676</v>
      </c>
      <c r="AF6730" s="17">
        <v>45806</v>
      </c>
      <c r="AG6730" s="80"/>
      <c r="AH6730" s="80"/>
      <c r="AI6730" s="147"/>
      <c r="AJ6730" s="80"/>
      <c r="AK6730" s="80"/>
      <c r="AL6730" s="86"/>
      <c r="AM6730" s="86"/>
      <c r="AN6730" s="86"/>
      <c r="AO6730" s="86"/>
      <c r="AP6730" s="86"/>
    </row>
    <row r="6731" spans="1:42" x14ac:dyDescent="0.2">
      <c r="A6731" s="38">
        <v>45740</v>
      </c>
      <c r="B6731" s="137" t="s">
        <v>37</v>
      </c>
      <c r="C6731" s="41" t="s">
        <v>118</v>
      </c>
      <c r="D6731" s="80" t="s">
        <v>36</v>
      </c>
      <c r="E6731" s="80" t="s">
        <v>139</v>
      </c>
      <c r="F6731" s="80" t="s">
        <v>16676</v>
      </c>
      <c r="G6731" s="161" t="s">
        <v>221</v>
      </c>
      <c r="H6731" s="80" t="s">
        <v>18271</v>
      </c>
      <c r="I6731" s="17">
        <f ca="1">IFERROR(__xludf.DUMMYFUNCTION("""COMPUTED_VALUE"""),45806)</f>
        <v>45806</v>
      </c>
      <c r="J6731" s="143" t="s">
        <v>10340</v>
      </c>
      <c r="K6731" s="80" t="s">
        <v>10341</v>
      </c>
      <c r="L6731" s="30">
        <v>981595683</v>
      </c>
      <c r="M6731" s="80" t="s">
        <v>5429</v>
      </c>
      <c r="N6731" s="80" t="s">
        <v>9166</v>
      </c>
      <c r="O6731" s="80" t="s">
        <v>10342</v>
      </c>
      <c r="P6731" s="80" t="s">
        <v>7107</v>
      </c>
      <c r="Q6731" s="20">
        <v>15936</v>
      </c>
      <c r="R6731" s="80" t="s">
        <v>3825</v>
      </c>
      <c r="S6731" s="95">
        <f t="shared" si="199"/>
        <v>2000</v>
      </c>
      <c r="T6731" s="148" t="s">
        <v>10338</v>
      </c>
      <c r="U6731" s="95">
        <v>13736</v>
      </c>
      <c r="V6731" s="148">
        <v>45526</v>
      </c>
      <c r="W6731" s="85" t="s">
        <v>10343</v>
      </c>
      <c r="X6731" s="80">
        <v>200</v>
      </c>
      <c r="Y6731" s="22">
        <v>0</v>
      </c>
      <c r="Z6731" s="81" t="s">
        <v>50</v>
      </c>
      <c r="AA6731" s="82" t="s">
        <v>10314</v>
      </c>
      <c r="AB6731" s="80"/>
      <c r="AC6731" s="80" t="s">
        <v>53</v>
      </c>
      <c r="AD6731" s="80" t="s">
        <v>138</v>
      </c>
      <c r="AE6731" s="80" t="s">
        <v>16676</v>
      </c>
      <c r="AF6731" s="17">
        <v>45806</v>
      </c>
      <c r="AG6731" s="80"/>
      <c r="AH6731" s="80"/>
      <c r="AI6731" s="147"/>
      <c r="AJ6731" s="80"/>
      <c r="AK6731" s="80"/>
      <c r="AL6731" s="86"/>
      <c r="AM6731" s="86"/>
      <c r="AN6731" s="86"/>
      <c r="AO6731" s="86"/>
      <c r="AP6731" s="86"/>
    </row>
    <row r="6732" spans="1:42" x14ac:dyDescent="0.2">
      <c r="A6732" s="38">
        <v>45740</v>
      </c>
      <c r="B6732" s="137" t="s">
        <v>37</v>
      </c>
      <c r="C6732" s="41" t="s">
        <v>118</v>
      </c>
      <c r="D6732" s="80" t="s">
        <v>36</v>
      </c>
      <c r="E6732" s="80" t="s">
        <v>139</v>
      </c>
      <c r="F6732" s="80" t="s">
        <v>16676</v>
      </c>
      <c r="G6732" s="161" t="s">
        <v>221</v>
      </c>
      <c r="H6732" s="80" t="s">
        <v>20343</v>
      </c>
      <c r="I6732" s="17">
        <f ca="1">IFERROR(__xludf.DUMMYFUNCTION("""COMPUTED_VALUE"""),45852)</f>
        <v>45852</v>
      </c>
      <c r="J6732" s="143" t="s">
        <v>12417</v>
      </c>
      <c r="K6732" s="80" t="s">
        <v>21144</v>
      </c>
      <c r="L6732" s="30">
        <v>969022325</v>
      </c>
      <c r="M6732" s="80" t="s">
        <v>9422</v>
      </c>
      <c r="N6732" s="80" t="s">
        <v>2157</v>
      </c>
      <c r="O6732" s="80" t="s">
        <v>12419</v>
      </c>
      <c r="P6732" s="144" t="s">
        <v>21145</v>
      </c>
      <c r="Q6732" s="20">
        <v>15936</v>
      </c>
      <c r="R6732" s="80" t="s">
        <v>11421</v>
      </c>
      <c r="S6732" s="95">
        <v>2000</v>
      </c>
      <c r="T6732" s="148">
        <v>45529</v>
      </c>
      <c r="U6732" s="95">
        <v>13636</v>
      </c>
      <c r="V6732" s="148">
        <v>45560</v>
      </c>
      <c r="W6732" s="85" t="s">
        <v>12421</v>
      </c>
      <c r="X6732" s="83">
        <v>300</v>
      </c>
      <c r="Y6732" s="22">
        <v>0</v>
      </c>
      <c r="Z6732" s="81" t="s">
        <v>50</v>
      </c>
      <c r="AA6732" s="86" t="s">
        <v>3291</v>
      </c>
      <c r="AB6732" s="80"/>
      <c r="AC6732" s="80" t="s">
        <v>53</v>
      </c>
      <c r="AD6732" s="80" t="s">
        <v>138</v>
      </c>
      <c r="AE6732" s="80" t="s">
        <v>16676</v>
      </c>
      <c r="AF6732" s="17">
        <v>45756</v>
      </c>
      <c r="AG6732" s="80" t="s">
        <v>8366</v>
      </c>
      <c r="AH6732" s="80"/>
      <c r="AI6732" s="147" t="s">
        <v>147</v>
      </c>
      <c r="AJ6732" s="80"/>
      <c r="AK6732" s="80"/>
      <c r="AL6732" s="86"/>
      <c r="AM6732" s="86"/>
      <c r="AN6732" s="86"/>
      <c r="AO6732" s="86"/>
      <c r="AP6732" s="86"/>
    </row>
    <row r="6733" spans="1:42" x14ac:dyDescent="0.2">
      <c r="A6733" s="38">
        <v>45740</v>
      </c>
      <c r="B6733" s="137" t="s">
        <v>37</v>
      </c>
      <c r="C6733" s="41" t="s">
        <v>118</v>
      </c>
      <c r="D6733" s="80" t="s">
        <v>36</v>
      </c>
      <c r="E6733" s="80" t="s">
        <v>139</v>
      </c>
      <c r="F6733" s="80" t="s">
        <v>20305</v>
      </c>
      <c r="G6733" s="161" t="s">
        <v>221</v>
      </c>
      <c r="H6733" s="80" t="s">
        <v>21146</v>
      </c>
      <c r="I6733" s="17">
        <f ca="1">IFERROR(__xludf.DUMMYFUNCTION("""COMPUTED_VALUE"""),45929)</f>
        <v>45929</v>
      </c>
      <c r="J6733" s="143" t="s">
        <v>15558</v>
      </c>
      <c r="K6733" s="145" t="s">
        <v>21147</v>
      </c>
      <c r="L6733" s="30">
        <v>973812080</v>
      </c>
      <c r="M6733" s="80" t="s">
        <v>5429</v>
      </c>
      <c r="N6733" s="80" t="s">
        <v>1384</v>
      </c>
      <c r="O6733" s="80" t="s">
        <v>4626</v>
      </c>
      <c r="P6733" s="80" t="s">
        <v>7107</v>
      </c>
      <c r="Q6733" s="20">
        <v>15936</v>
      </c>
      <c r="R6733" s="80" t="s">
        <v>70</v>
      </c>
      <c r="S6733" s="95">
        <v>2000</v>
      </c>
      <c r="T6733" s="148">
        <v>45558</v>
      </c>
      <c r="U6733" s="95">
        <v>13836</v>
      </c>
      <c r="V6733" s="148">
        <v>45596</v>
      </c>
      <c r="W6733" s="80" t="s">
        <v>15560</v>
      </c>
      <c r="X6733" s="80"/>
      <c r="Y6733" s="22">
        <v>100</v>
      </c>
      <c r="Z6733" s="81" t="s">
        <v>50</v>
      </c>
      <c r="AA6733" s="82" t="s">
        <v>9905</v>
      </c>
      <c r="AB6733" s="80"/>
      <c r="AC6733" s="80" t="s">
        <v>53</v>
      </c>
      <c r="AD6733" s="80" t="s">
        <v>138</v>
      </c>
      <c r="AE6733" s="80" t="s">
        <v>16676</v>
      </c>
      <c r="AF6733" s="17">
        <v>45749</v>
      </c>
      <c r="AG6733" s="80" t="s">
        <v>8366</v>
      </c>
      <c r="AH6733" s="80"/>
      <c r="AI6733" s="147"/>
      <c r="AJ6733" s="80"/>
      <c r="AK6733" s="80"/>
      <c r="AL6733" s="86"/>
      <c r="AM6733" s="86"/>
      <c r="AN6733" s="86"/>
      <c r="AO6733" s="86"/>
      <c r="AP6733" s="86"/>
    </row>
    <row r="6734" spans="1:42" x14ac:dyDescent="0.2">
      <c r="A6734" s="38">
        <v>45740</v>
      </c>
      <c r="B6734" s="137" t="s">
        <v>37</v>
      </c>
      <c r="C6734" s="41" t="s">
        <v>118</v>
      </c>
      <c r="D6734" s="80" t="s">
        <v>36</v>
      </c>
      <c r="E6734" s="80" t="s">
        <v>139</v>
      </c>
      <c r="F6734" s="80" t="s">
        <v>20305</v>
      </c>
      <c r="G6734" s="161" t="s">
        <v>221</v>
      </c>
      <c r="H6734" s="80" t="s">
        <v>21146</v>
      </c>
      <c r="I6734" s="17">
        <f ca="1">IFERROR(__xludf.DUMMYFUNCTION("""COMPUTED_VALUE"""),45929)</f>
        <v>45929</v>
      </c>
      <c r="J6734" s="143" t="s">
        <v>15561</v>
      </c>
      <c r="K6734" s="145" t="s">
        <v>21148</v>
      </c>
      <c r="L6734" s="30">
        <v>348881426</v>
      </c>
      <c r="M6734" s="80" t="s">
        <v>5429</v>
      </c>
      <c r="N6734" s="80" t="s">
        <v>1384</v>
      </c>
      <c r="O6734" s="80" t="s">
        <v>61</v>
      </c>
      <c r="P6734" s="80" t="s">
        <v>6368</v>
      </c>
      <c r="Q6734" s="20">
        <v>15936</v>
      </c>
      <c r="R6734" s="80" t="s">
        <v>70</v>
      </c>
      <c r="S6734" s="95">
        <v>2000</v>
      </c>
      <c r="T6734" s="148">
        <v>45558</v>
      </c>
      <c r="U6734" s="95">
        <v>13836</v>
      </c>
      <c r="V6734" s="148">
        <v>45596</v>
      </c>
      <c r="W6734" s="85" t="s">
        <v>15562</v>
      </c>
      <c r="X6734" s="80"/>
      <c r="Y6734" s="22">
        <v>100</v>
      </c>
      <c r="Z6734" s="81" t="s">
        <v>50</v>
      </c>
      <c r="AA6734" s="86" t="s">
        <v>9905</v>
      </c>
      <c r="AB6734" s="80"/>
      <c r="AC6734" s="80" t="s">
        <v>53</v>
      </c>
      <c r="AD6734" s="80" t="s">
        <v>138</v>
      </c>
      <c r="AE6734" s="80" t="s">
        <v>16676</v>
      </c>
      <c r="AF6734" s="17">
        <v>45749</v>
      </c>
      <c r="AG6734" s="80" t="s">
        <v>8366</v>
      </c>
      <c r="AH6734" s="80"/>
      <c r="AI6734" s="147"/>
      <c r="AJ6734" s="80"/>
      <c r="AK6734" s="80"/>
      <c r="AL6734" s="86"/>
      <c r="AM6734" s="86"/>
      <c r="AN6734" s="86"/>
      <c r="AO6734" s="86"/>
      <c r="AP6734" s="86"/>
    </row>
    <row r="6735" spans="1:42" x14ac:dyDescent="0.2">
      <c r="A6735" s="38">
        <v>45740</v>
      </c>
      <c r="B6735" s="137" t="s">
        <v>37</v>
      </c>
      <c r="C6735" s="41" t="s">
        <v>118</v>
      </c>
      <c r="D6735" s="80" t="s">
        <v>36</v>
      </c>
      <c r="E6735" s="80" t="s">
        <v>56</v>
      </c>
      <c r="F6735" s="80" t="s">
        <v>16676</v>
      </c>
      <c r="G6735" s="161" t="s">
        <v>221</v>
      </c>
      <c r="H6735" s="80" t="s">
        <v>20305</v>
      </c>
      <c r="I6735" s="17">
        <f ca="1">IFERROR(__xludf.DUMMYFUNCTION("""COMPUTED_VALUE"""),45749)</f>
        <v>45749</v>
      </c>
      <c r="J6735" s="143" t="s">
        <v>15724</v>
      </c>
      <c r="K6735" s="145" t="s">
        <v>15725</v>
      </c>
      <c r="L6735" s="30">
        <v>368643620</v>
      </c>
      <c r="M6735" s="80" t="s">
        <v>5429</v>
      </c>
      <c r="N6735" s="80" t="s">
        <v>81</v>
      </c>
      <c r="O6735" s="80" t="s">
        <v>15726</v>
      </c>
      <c r="P6735" s="144" t="s">
        <v>15727</v>
      </c>
      <c r="Q6735" s="20">
        <v>9317</v>
      </c>
      <c r="R6735" s="80" t="s">
        <v>36</v>
      </c>
      <c r="S6735" s="95">
        <f>200+1800</f>
        <v>2000</v>
      </c>
      <c r="T6735" s="148" t="s">
        <v>15728</v>
      </c>
      <c r="U6735" s="95">
        <v>7317</v>
      </c>
      <c r="V6735" s="169">
        <v>45594</v>
      </c>
      <c r="W6735" s="85" t="s">
        <v>15729</v>
      </c>
      <c r="X6735" s="80"/>
      <c r="Y6735" s="22">
        <v>0</v>
      </c>
      <c r="Z6735" s="81" t="s">
        <v>50</v>
      </c>
      <c r="AA6735" s="82" t="s">
        <v>9905</v>
      </c>
      <c r="AB6735" s="80"/>
      <c r="AC6735" s="80" t="s">
        <v>53</v>
      </c>
      <c r="AD6735" s="80" t="s">
        <v>138</v>
      </c>
      <c r="AE6735" s="80" t="s">
        <v>16676</v>
      </c>
      <c r="AF6735" s="17">
        <v>45749</v>
      </c>
      <c r="AG6735" s="80"/>
      <c r="AH6735" s="80"/>
      <c r="AI6735" s="147"/>
      <c r="AJ6735" s="80"/>
      <c r="AK6735" s="80"/>
      <c r="AL6735" s="86"/>
      <c r="AM6735" s="86"/>
      <c r="AN6735" s="86"/>
      <c r="AO6735" s="86"/>
      <c r="AP6735" s="86"/>
    </row>
    <row r="6736" spans="1:42" x14ac:dyDescent="0.2">
      <c r="A6736" s="38">
        <v>45740</v>
      </c>
      <c r="B6736" s="137" t="s">
        <v>37</v>
      </c>
      <c r="C6736" s="41" t="s">
        <v>118</v>
      </c>
      <c r="D6736" s="80" t="s">
        <v>36</v>
      </c>
      <c r="E6736" s="80" t="s">
        <v>139</v>
      </c>
      <c r="F6736" s="80" t="s">
        <v>16676</v>
      </c>
      <c r="G6736" s="161" t="s">
        <v>221</v>
      </c>
      <c r="H6736" s="80" t="s">
        <v>20305</v>
      </c>
      <c r="I6736" s="17">
        <f ca="1">IFERROR(__xludf.DUMMYFUNCTION("""COMPUTED_VALUE"""),45749)</f>
        <v>45749</v>
      </c>
      <c r="J6736" s="143" t="s">
        <v>15811</v>
      </c>
      <c r="K6736" s="145" t="s">
        <v>13732</v>
      </c>
      <c r="L6736" s="30">
        <v>562907113</v>
      </c>
      <c r="M6736" s="80" t="s">
        <v>12720</v>
      </c>
      <c r="N6736" s="80" t="s">
        <v>1073</v>
      </c>
      <c r="O6736" s="80" t="s">
        <v>15813</v>
      </c>
      <c r="P6736" s="80" t="s">
        <v>15814</v>
      </c>
      <c r="Q6736" s="20">
        <v>15936</v>
      </c>
      <c r="R6736" s="80" t="s">
        <v>36</v>
      </c>
      <c r="S6736" s="95">
        <f>200+5936</f>
        <v>6136</v>
      </c>
      <c r="T6736" s="148" t="s">
        <v>15815</v>
      </c>
      <c r="U6736" s="95">
        <v>9800</v>
      </c>
      <c r="V6736" s="169">
        <v>45594</v>
      </c>
      <c r="W6736" s="85" t="s">
        <v>15816</v>
      </c>
      <c r="X6736" s="80"/>
      <c r="Y6736" s="22">
        <v>0</v>
      </c>
      <c r="Z6736" s="81" t="s">
        <v>50</v>
      </c>
      <c r="AA6736" s="86" t="s">
        <v>9905</v>
      </c>
      <c r="AB6736" s="80"/>
      <c r="AC6736" s="80" t="s">
        <v>53</v>
      </c>
      <c r="AD6736" s="80" t="s">
        <v>138</v>
      </c>
      <c r="AE6736" s="80" t="s">
        <v>16676</v>
      </c>
      <c r="AF6736" s="17">
        <v>45749</v>
      </c>
      <c r="AG6736" s="80"/>
      <c r="AH6736" s="80"/>
      <c r="AI6736" s="147"/>
      <c r="AJ6736" s="80"/>
      <c r="AK6736" s="80"/>
      <c r="AL6736" s="86"/>
      <c r="AM6736" s="86"/>
      <c r="AN6736" s="86"/>
      <c r="AO6736" s="86"/>
      <c r="AP6736" s="86"/>
    </row>
    <row r="6737" spans="1:42" x14ac:dyDescent="0.2">
      <c r="A6737" s="38">
        <v>45740</v>
      </c>
      <c r="B6737" s="137" t="s">
        <v>37</v>
      </c>
      <c r="C6737" s="41" t="s">
        <v>118</v>
      </c>
      <c r="D6737" s="80" t="s">
        <v>36</v>
      </c>
      <c r="E6737" s="80" t="s">
        <v>139</v>
      </c>
      <c r="F6737" s="80" t="s">
        <v>16676</v>
      </c>
      <c r="G6737" s="161" t="s">
        <v>221</v>
      </c>
      <c r="H6737" s="80" t="s">
        <v>20305</v>
      </c>
      <c r="I6737" s="17">
        <f ca="1">IFERROR(__xludf.DUMMYFUNCTION("""COMPUTED_VALUE"""),45749)</f>
        <v>45749</v>
      </c>
      <c r="J6737" s="143" t="s">
        <v>15827</v>
      </c>
      <c r="K6737" s="145" t="s">
        <v>16817</v>
      </c>
      <c r="L6737" s="30">
        <v>349667860</v>
      </c>
      <c r="M6737" s="80" t="s">
        <v>12720</v>
      </c>
      <c r="N6737" s="80" t="s">
        <v>1073</v>
      </c>
      <c r="O6737" s="80" t="s">
        <v>15829</v>
      </c>
      <c r="P6737" s="80" t="s">
        <v>15830</v>
      </c>
      <c r="Q6737" s="20">
        <v>15936</v>
      </c>
      <c r="R6737" s="80" t="s">
        <v>36</v>
      </c>
      <c r="S6737" s="95">
        <f>200+1800</f>
        <v>2000</v>
      </c>
      <c r="T6737" s="148" t="s">
        <v>15831</v>
      </c>
      <c r="U6737" s="95">
        <v>13936</v>
      </c>
      <c r="V6737" s="148">
        <v>45595</v>
      </c>
      <c r="W6737" s="85" t="s">
        <v>15832</v>
      </c>
      <c r="X6737" s="80"/>
      <c r="Y6737" s="22">
        <v>0</v>
      </c>
      <c r="Z6737" s="81" t="s">
        <v>50</v>
      </c>
      <c r="AA6737" s="82" t="s">
        <v>9905</v>
      </c>
      <c r="AB6737" s="80"/>
      <c r="AC6737" s="80" t="s">
        <v>53</v>
      </c>
      <c r="AD6737" s="80" t="s">
        <v>138</v>
      </c>
      <c r="AE6737" s="80" t="s">
        <v>16676</v>
      </c>
      <c r="AF6737" s="17">
        <v>45749</v>
      </c>
      <c r="AG6737" s="80"/>
      <c r="AH6737" s="80"/>
      <c r="AI6737" s="147"/>
      <c r="AJ6737" s="80"/>
      <c r="AK6737" s="80"/>
      <c r="AL6737" s="86"/>
      <c r="AM6737" s="86"/>
      <c r="AN6737" s="86"/>
      <c r="AO6737" s="86"/>
      <c r="AP6737" s="86"/>
    </row>
    <row r="6738" spans="1:42" x14ac:dyDescent="0.2">
      <c r="A6738" s="38">
        <v>45740</v>
      </c>
      <c r="B6738" s="137" t="s">
        <v>37</v>
      </c>
      <c r="C6738" s="41" t="s">
        <v>118</v>
      </c>
      <c r="D6738" s="80" t="s">
        <v>36</v>
      </c>
      <c r="E6738" s="80" t="s">
        <v>139</v>
      </c>
      <c r="F6738" s="80" t="s">
        <v>20305</v>
      </c>
      <c r="G6738" s="161" t="s">
        <v>221</v>
      </c>
      <c r="H6738" s="80" t="s">
        <v>21146</v>
      </c>
      <c r="I6738" s="17">
        <f ca="1">IFERROR(__xludf.DUMMYFUNCTION("""COMPUTED_VALUE"""),45929)</f>
        <v>45929</v>
      </c>
      <c r="J6738" s="143" t="s">
        <v>16084</v>
      </c>
      <c r="K6738" s="145" t="s">
        <v>21149</v>
      </c>
      <c r="L6738" s="30">
        <v>869683062</v>
      </c>
      <c r="M6738" s="80" t="s">
        <v>3728</v>
      </c>
      <c r="N6738" s="80" t="s">
        <v>5277</v>
      </c>
      <c r="O6738" s="80" t="s">
        <v>16085</v>
      </c>
      <c r="P6738" s="80" t="s">
        <v>11644</v>
      </c>
      <c r="Q6738" s="20">
        <v>15936</v>
      </c>
      <c r="R6738" s="80" t="s">
        <v>70</v>
      </c>
      <c r="S6738" s="95">
        <v>2000</v>
      </c>
      <c r="T6738" s="148">
        <v>45569</v>
      </c>
      <c r="U6738" s="95">
        <v>13936</v>
      </c>
      <c r="V6738" s="148">
        <v>45593</v>
      </c>
      <c r="W6738" s="85" t="s">
        <v>16086</v>
      </c>
      <c r="X6738" s="80"/>
      <c r="Y6738" s="22">
        <v>0</v>
      </c>
      <c r="Z6738" s="81" t="s">
        <v>50</v>
      </c>
      <c r="AA6738" s="86" t="s">
        <v>9905</v>
      </c>
      <c r="AB6738" s="80"/>
      <c r="AC6738" s="80" t="s">
        <v>53</v>
      </c>
      <c r="AD6738" s="80" t="s">
        <v>138</v>
      </c>
      <c r="AE6738" s="80" t="s">
        <v>16676</v>
      </c>
      <c r="AF6738" s="17">
        <v>45933</v>
      </c>
      <c r="AG6738" s="80" t="s">
        <v>20402</v>
      </c>
      <c r="AH6738" s="80"/>
      <c r="AI6738" s="147"/>
      <c r="AJ6738" s="80"/>
      <c r="AK6738" s="80"/>
      <c r="AL6738" s="86"/>
      <c r="AM6738" s="86"/>
      <c r="AN6738" s="86"/>
      <c r="AO6738" s="86"/>
      <c r="AP6738" s="86"/>
    </row>
    <row r="6739" spans="1:42" x14ac:dyDescent="0.2">
      <c r="A6739" s="38">
        <v>45740</v>
      </c>
      <c r="B6739" s="137" t="s">
        <v>37</v>
      </c>
      <c r="C6739" s="41" t="s">
        <v>118</v>
      </c>
      <c r="D6739" s="80" t="s">
        <v>36</v>
      </c>
      <c r="E6739" s="80" t="s">
        <v>139</v>
      </c>
      <c r="F6739" s="80" t="s">
        <v>20305</v>
      </c>
      <c r="G6739" s="161" t="s">
        <v>221</v>
      </c>
      <c r="H6739" s="80" t="s">
        <v>21146</v>
      </c>
      <c r="I6739" s="17">
        <f ca="1">IFERROR(__xludf.DUMMYFUNCTION("""COMPUTED_VALUE"""),45929)</f>
        <v>45929</v>
      </c>
      <c r="J6739" s="143" t="s">
        <v>16087</v>
      </c>
      <c r="K6739" s="145" t="s">
        <v>21150</v>
      </c>
      <c r="L6739" s="30">
        <v>966115106</v>
      </c>
      <c r="M6739" s="80" t="s">
        <v>3728</v>
      </c>
      <c r="N6739" s="80" t="s">
        <v>5277</v>
      </c>
      <c r="O6739" s="80" t="s">
        <v>16089</v>
      </c>
      <c r="P6739" s="80" t="s">
        <v>11644</v>
      </c>
      <c r="Q6739" s="20">
        <v>15936</v>
      </c>
      <c r="R6739" s="80" t="s">
        <v>70</v>
      </c>
      <c r="S6739" s="95">
        <v>2000</v>
      </c>
      <c r="T6739" s="148">
        <v>45569</v>
      </c>
      <c r="U6739" s="95">
        <v>13936</v>
      </c>
      <c r="V6739" s="169">
        <v>45594</v>
      </c>
      <c r="W6739" s="85" t="s">
        <v>16090</v>
      </c>
      <c r="X6739" s="80"/>
      <c r="Y6739" s="22">
        <v>0</v>
      </c>
      <c r="Z6739" s="81" t="s">
        <v>50</v>
      </c>
      <c r="AA6739" s="82" t="s">
        <v>9905</v>
      </c>
      <c r="AB6739" s="80"/>
      <c r="AC6739" s="80" t="s">
        <v>53</v>
      </c>
      <c r="AD6739" s="80" t="s">
        <v>138</v>
      </c>
      <c r="AE6739" s="80" t="s">
        <v>16676</v>
      </c>
      <c r="AF6739" s="17">
        <v>45933</v>
      </c>
      <c r="AG6739" s="80" t="s">
        <v>20402</v>
      </c>
      <c r="AH6739" s="80"/>
      <c r="AI6739" s="147"/>
      <c r="AJ6739" s="80"/>
      <c r="AK6739" s="80"/>
      <c r="AL6739" s="86"/>
      <c r="AM6739" s="86"/>
      <c r="AN6739" s="86"/>
      <c r="AO6739" s="86"/>
      <c r="AP6739" s="86"/>
    </row>
    <row r="6740" spans="1:42" x14ac:dyDescent="0.2">
      <c r="A6740" s="38">
        <v>45740</v>
      </c>
      <c r="B6740" s="137" t="s">
        <v>37</v>
      </c>
      <c r="C6740" s="41" t="s">
        <v>118</v>
      </c>
      <c r="D6740" s="80" t="s">
        <v>36</v>
      </c>
      <c r="E6740" s="80" t="s">
        <v>139</v>
      </c>
      <c r="F6740" s="80" t="s">
        <v>16676</v>
      </c>
      <c r="G6740" s="161" t="s">
        <v>221</v>
      </c>
      <c r="H6740" s="80" t="s">
        <v>19618</v>
      </c>
      <c r="I6740" s="17">
        <f ca="1">IFERROR(__xludf.DUMMYFUNCTION("""COMPUTED_VALUE"""),45835)</f>
        <v>45835</v>
      </c>
      <c r="J6740" s="143" t="s">
        <v>16134</v>
      </c>
      <c r="K6740" s="145" t="s">
        <v>21151</v>
      </c>
      <c r="L6740" s="30">
        <v>359802189</v>
      </c>
      <c r="M6740" s="80" t="s">
        <v>5518</v>
      </c>
      <c r="N6740" s="80" t="s">
        <v>253</v>
      </c>
      <c r="O6740" s="80" t="s">
        <v>16136</v>
      </c>
      <c r="P6740" s="80" t="s">
        <v>5462</v>
      </c>
      <c r="Q6740" s="20">
        <v>15936</v>
      </c>
      <c r="R6740" s="80" t="s">
        <v>36</v>
      </c>
      <c r="S6740" s="95">
        <v>2000</v>
      </c>
      <c r="T6740" s="148">
        <v>45571</v>
      </c>
      <c r="U6740" s="95">
        <v>13936</v>
      </c>
      <c r="V6740" s="148">
        <v>45592</v>
      </c>
      <c r="W6740" s="85" t="s">
        <v>16137</v>
      </c>
      <c r="X6740" s="80"/>
      <c r="Y6740" s="22">
        <v>0</v>
      </c>
      <c r="Z6740" s="81" t="s">
        <v>50</v>
      </c>
      <c r="AA6740" s="86" t="s">
        <v>9905</v>
      </c>
      <c r="AB6740" s="80"/>
      <c r="AC6740" s="80" t="s">
        <v>53</v>
      </c>
      <c r="AD6740" s="80" t="s">
        <v>138</v>
      </c>
      <c r="AE6740" s="80" t="s">
        <v>16676</v>
      </c>
      <c r="AF6740" s="17">
        <v>45749</v>
      </c>
      <c r="AG6740" s="80" t="s">
        <v>8366</v>
      </c>
      <c r="AH6740" s="80"/>
      <c r="AI6740" s="147"/>
      <c r="AJ6740" s="80"/>
      <c r="AK6740" s="80"/>
      <c r="AL6740" s="86"/>
      <c r="AM6740" s="86"/>
      <c r="AN6740" s="86"/>
      <c r="AO6740" s="86"/>
      <c r="AP6740" s="86"/>
    </row>
    <row r="6741" spans="1:42" x14ac:dyDescent="0.2">
      <c r="A6741" s="38">
        <v>45740</v>
      </c>
      <c r="B6741" s="137" t="s">
        <v>37</v>
      </c>
      <c r="C6741" s="41" t="s">
        <v>118</v>
      </c>
      <c r="D6741" s="80" t="s">
        <v>36</v>
      </c>
      <c r="E6741" s="80" t="s">
        <v>139</v>
      </c>
      <c r="F6741" s="80" t="s">
        <v>16676</v>
      </c>
      <c r="G6741" s="161" t="s">
        <v>221</v>
      </c>
      <c r="H6741" s="80" t="s">
        <v>20305</v>
      </c>
      <c r="I6741" s="17">
        <f ca="1">IFERROR(__xludf.DUMMYFUNCTION("""COMPUTED_VALUE"""),45749)</f>
        <v>45749</v>
      </c>
      <c r="J6741" s="143" t="s">
        <v>16824</v>
      </c>
      <c r="K6741" s="145" t="s">
        <v>16825</v>
      </c>
      <c r="L6741" s="30">
        <v>989158823</v>
      </c>
      <c r="M6741" s="80" t="s">
        <v>348</v>
      </c>
      <c r="N6741" s="80" t="s">
        <v>4299</v>
      </c>
      <c r="O6741" s="80" t="s">
        <v>16826</v>
      </c>
      <c r="P6741" s="80" t="s">
        <v>7743</v>
      </c>
      <c r="Q6741" s="20">
        <v>15936</v>
      </c>
      <c r="R6741" s="80" t="s">
        <v>36</v>
      </c>
      <c r="S6741" s="95">
        <v>2000</v>
      </c>
      <c r="T6741" s="148">
        <v>45572</v>
      </c>
      <c r="U6741" s="95">
        <v>13936</v>
      </c>
      <c r="V6741" s="148">
        <v>45613</v>
      </c>
      <c r="W6741" s="85" t="s">
        <v>16827</v>
      </c>
      <c r="X6741" s="80"/>
      <c r="Y6741" s="22">
        <v>0</v>
      </c>
      <c r="Z6741" s="81" t="s">
        <v>50</v>
      </c>
      <c r="AA6741" s="82"/>
      <c r="AB6741" s="80"/>
      <c r="AC6741" s="80" t="s">
        <v>53</v>
      </c>
      <c r="AD6741" s="80" t="s">
        <v>138</v>
      </c>
      <c r="AE6741" s="80" t="s">
        <v>16676</v>
      </c>
      <c r="AF6741" s="17">
        <v>45749</v>
      </c>
      <c r="AG6741" s="80"/>
      <c r="AH6741" s="80"/>
      <c r="AI6741" s="147"/>
      <c r="AJ6741" s="80"/>
      <c r="AK6741" s="80"/>
      <c r="AL6741" s="86"/>
      <c r="AM6741" s="86"/>
      <c r="AN6741" s="86"/>
      <c r="AO6741" s="86"/>
      <c r="AP6741" s="86"/>
    </row>
    <row r="6742" spans="1:42" x14ac:dyDescent="0.2">
      <c r="A6742" s="38">
        <v>45740</v>
      </c>
      <c r="B6742" s="137" t="s">
        <v>37</v>
      </c>
      <c r="C6742" s="41" t="s">
        <v>118</v>
      </c>
      <c r="D6742" s="80" t="s">
        <v>36</v>
      </c>
      <c r="E6742" s="80" t="s">
        <v>139</v>
      </c>
      <c r="F6742" s="80" t="s">
        <v>16676</v>
      </c>
      <c r="G6742" s="161" t="s">
        <v>221</v>
      </c>
      <c r="H6742" s="80" t="s">
        <v>19536</v>
      </c>
      <c r="I6742" s="17">
        <f ca="1">IFERROR(__xludf.DUMMYFUNCTION("""COMPUTED_VALUE"""),45891)</f>
        <v>45891</v>
      </c>
      <c r="J6742" s="143" t="s">
        <v>12101</v>
      </c>
      <c r="K6742" s="145" t="s">
        <v>21152</v>
      </c>
      <c r="L6742" s="57">
        <v>337424898</v>
      </c>
      <c r="M6742" s="80" t="s">
        <v>123</v>
      </c>
      <c r="N6742" s="80" t="s">
        <v>186</v>
      </c>
      <c r="O6742" s="86" t="s">
        <v>12103</v>
      </c>
      <c r="P6742" s="86" t="s">
        <v>3487</v>
      </c>
      <c r="Q6742" s="20">
        <v>15936</v>
      </c>
      <c r="R6742" s="80" t="s">
        <v>70</v>
      </c>
      <c r="S6742" s="95">
        <f t="shared" ref="S6742:S6743" si="200">200+1800</f>
        <v>2000</v>
      </c>
      <c r="T6742" s="78" t="s">
        <v>12104</v>
      </c>
      <c r="U6742" s="95">
        <v>13836</v>
      </c>
      <c r="V6742" s="148">
        <v>45544</v>
      </c>
      <c r="W6742" s="79" t="s">
        <v>12105</v>
      </c>
      <c r="X6742" s="83">
        <v>100</v>
      </c>
      <c r="Y6742" s="22">
        <v>0</v>
      </c>
      <c r="Z6742" s="81" t="s">
        <v>50</v>
      </c>
      <c r="AA6742" s="86" t="s">
        <v>3291</v>
      </c>
      <c r="AB6742" s="80"/>
      <c r="AC6742" s="80" t="s">
        <v>53</v>
      </c>
      <c r="AD6742" s="80" t="s">
        <v>138</v>
      </c>
      <c r="AE6742" s="80" t="s">
        <v>16676</v>
      </c>
      <c r="AF6742" s="17">
        <v>45891</v>
      </c>
      <c r="AG6742" s="80" t="s">
        <v>20402</v>
      </c>
      <c r="AH6742" s="80"/>
      <c r="AI6742" s="147" t="s">
        <v>147</v>
      </c>
      <c r="AJ6742" s="80"/>
      <c r="AK6742" s="80"/>
      <c r="AL6742" s="86"/>
      <c r="AM6742" s="86"/>
      <c r="AN6742" s="86"/>
      <c r="AO6742" s="86"/>
      <c r="AP6742" s="86"/>
    </row>
    <row r="6743" spans="1:42" x14ac:dyDescent="0.2">
      <c r="A6743" s="38">
        <v>45740</v>
      </c>
      <c r="B6743" s="137" t="s">
        <v>37</v>
      </c>
      <c r="C6743" s="41" t="s">
        <v>118</v>
      </c>
      <c r="D6743" s="80" t="s">
        <v>36</v>
      </c>
      <c r="E6743" s="80" t="s">
        <v>139</v>
      </c>
      <c r="F6743" s="80" t="s">
        <v>16676</v>
      </c>
      <c r="G6743" s="161" t="s">
        <v>221</v>
      </c>
      <c r="H6743" s="80" t="s">
        <v>19536</v>
      </c>
      <c r="I6743" s="17">
        <f ca="1">IFERROR(__xludf.DUMMYFUNCTION("""COMPUTED_VALUE"""),45891)</f>
        <v>45891</v>
      </c>
      <c r="J6743" s="143" t="s">
        <v>12111</v>
      </c>
      <c r="K6743" s="145" t="s">
        <v>21153</v>
      </c>
      <c r="L6743" s="30">
        <v>393576387</v>
      </c>
      <c r="M6743" s="80" t="s">
        <v>123</v>
      </c>
      <c r="N6743" s="80" t="s">
        <v>186</v>
      </c>
      <c r="O6743" s="80" t="s">
        <v>4503</v>
      </c>
      <c r="P6743" s="80" t="s">
        <v>3487</v>
      </c>
      <c r="Q6743" s="20">
        <v>15936</v>
      </c>
      <c r="R6743" s="80" t="s">
        <v>70</v>
      </c>
      <c r="S6743" s="95">
        <f t="shared" si="200"/>
        <v>2000</v>
      </c>
      <c r="T6743" s="148" t="s">
        <v>12113</v>
      </c>
      <c r="U6743" s="95">
        <v>13836</v>
      </c>
      <c r="V6743" s="148">
        <v>45544</v>
      </c>
      <c r="W6743" s="80" t="s">
        <v>12114</v>
      </c>
      <c r="X6743" s="83">
        <v>100</v>
      </c>
      <c r="Y6743" s="22">
        <v>0</v>
      </c>
      <c r="Z6743" s="81" t="s">
        <v>50</v>
      </c>
      <c r="AA6743" s="82" t="s">
        <v>3291</v>
      </c>
      <c r="AB6743" s="80"/>
      <c r="AC6743" s="80" t="s">
        <v>53</v>
      </c>
      <c r="AD6743" s="80" t="s">
        <v>138</v>
      </c>
      <c r="AE6743" s="80" t="s">
        <v>16676</v>
      </c>
      <c r="AF6743" s="17">
        <v>45891</v>
      </c>
      <c r="AG6743" s="80" t="s">
        <v>20402</v>
      </c>
      <c r="AH6743" s="80"/>
      <c r="AI6743" s="147" t="s">
        <v>147</v>
      </c>
      <c r="AJ6743" s="80"/>
      <c r="AK6743" s="80"/>
      <c r="AL6743" s="86"/>
      <c r="AM6743" s="86"/>
      <c r="AN6743" s="86"/>
      <c r="AO6743" s="86"/>
      <c r="AP6743" s="86"/>
    </row>
    <row r="6744" spans="1:42" x14ac:dyDescent="0.2">
      <c r="A6744" s="38">
        <v>45740</v>
      </c>
      <c r="B6744" s="137" t="s">
        <v>37</v>
      </c>
      <c r="C6744" s="41" t="s">
        <v>118</v>
      </c>
      <c r="D6744" s="80" t="s">
        <v>36</v>
      </c>
      <c r="E6744" s="80" t="s">
        <v>139</v>
      </c>
      <c r="F6744" s="80" t="s">
        <v>16676</v>
      </c>
      <c r="G6744" s="161" t="s">
        <v>221</v>
      </c>
      <c r="H6744" s="80" t="s">
        <v>20343</v>
      </c>
      <c r="I6744" s="17">
        <f ca="1">IFERROR(__xludf.DUMMYFUNCTION("""COMPUTED_VALUE"""),45852)</f>
        <v>45852</v>
      </c>
      <c r="J6744" s="143" t="s">
        <v>15596</v>
      </c>
      <c r="K6744" s="145" t="s">
        <v>21154</v>
      </c>
      <c r="L6744" s="30">
        <v>363676298</v>
      </c>
      <c r="M6744" s="80" t="s">
        <v>3728</v>
      </c>
      <c r="N6744" s="80" t="s">
        <v>5277</v>
      </c>
      <c r="O6744" s="80" t="s">
        <v>15598</v>
      </c>
      <c r="P6744" s="80" t="s">
        <v>21155</v>
      </c>
      <c r="Q6744" s="20">
        <v>15936</v>
      </c>
      <c r="R6744" s="80" t="s">
        <v>36</v>
      </c>
      <c r="S6744" s="95">
        <v>2000</v>
      </c>
      <c r="T6744" s="148">
        <v>45559</v>
      </c>
      <c r="U6744" s="95">
        <v>13936</v>
      </c>
      <c r="V6744" s="148">
        <v>45593</v>
      </c>
      <c r="W6744" s="85" t="s">
        <v>15599</v>
      </c>
      <c r="X6744" s="80"/>
      <c r="Y6744" s="22">
        <v>0</v>
      </c>
      <c r="Z6744" s="81" t="s">
        <v>50</v>
      </c>
      <c r="AA6744" s="86" t="s">
        <v>9905</v>
      </c>
      <c r="AB6744" s="80"/>
      <c r="AC6744" s="80" t="s">
        <v>53</v>
      </c>
      <c r="AD6744" s="80" t="s">
        <v>138</v>
      </c>
      <c r="AE6744" s="80" t="s">
        <v>16676</v>
      </c>
      <c r="AF6744" s="17">
        <v>45756</v>
      </c>
      <c r="AG6744" s="80" t="s">
        <v>8366</v>
      </c>
      <c r="AH6744" s="80"/>
      <c r="AI6744" s="147"/>
      <c r="AJ6744" s="80"/>
      <c r="AK6744" s="80"/>
      <c r="AL6744" s="86"/>
      <c r="AM6744" s="86"/>
      <c r="AN6744" s="86"/>
      <c r="AO6744" s="86"/>
      <c r="AP6744" s="86"/>
    </row>
    <row r="6745" spans="1:42" x14ac:dyDescent="0.2">
      <c r="A6745" s="38">
        <v>45740</v>
      </c>
      <c r="B6745" s="137" t="s">
        <v>37</v>
      </c>
      <c r="C6745" s="41" t="s">
        <v>118</v>
      </c>
      <c r="D6745" s="26" t="s">
        <v>36</v>
      </c>
      <c r="E6745" s="26" t="s">
        <v>119</v>
      </c>
      <c r="F6745" s="26" t="s">
        <v>9021</v>
      </c>
      <c r="G6745" s="26" t="s">
        <v>1705</v>
      </c>
      <c r="H6745" s="26" t="s">
        <v>21156</v>
      </c>
      <c r="I6745" s="17" t="str">
        <f ca="1">IFERROR(__xludf.DUMMYFUNCTION("""COMPUTED_VALUE""")," ")</f>
        <v xml:space="preserve"> </v>
      </c>
      <c r="J6745" s="29" t="s">
        <v>5326</v>
      </c>
      <c r="K6745" s="26" t="s">
        <v>5327</v>
      </c>
      <c r="L6745" s="30">
        <v>818458386</v>
      </c>
      <c r="M6745" s="26" t="s">
        <v>80</v>
      </c>
      <c r="N6745" s="26" t="s">
        <v>186</v>
      </c>
      <c r="O6745" s="26" t="s">
        <v>5328</v>
      </c>
      <c r="P6745" s="42" t="s">
        <v>21157</v>
      </c>
      <c r="Q6745" s="20">
        <v>13968</v>
      </c>
      <c r="R6745" s="26" t="s">
        <v>36</v>
      </c>
      <c r="S6745" s="31">
        <v>4000</v>
      </c>
      <c r="T6745" s="32">
        <v>45214</v>
      </c>
      <c r="U6745" s="31">
        <v>9968</v>
      </c>
      <c r="V6745" s="32">
        <v>45232</v>
      </c>
      <c r="W6745" s="33" t="s">
        <v>5330</v>
      </c>
      <c r="X6745" s="26"/>
      <c r="Y6745" s="22">
        <v>0</v>
      </c>
      <c r="Z6745" s="26" t="s">
        <v>118</v>
      </c>
      <c r="AA6745" s="19" t="s">
        <v>5112</v>
      </c>
      <c r="AB6745" s="26" t="s">
        <v>36</v>
      </c>
      <c r="AC6745" s="26" t="s">
        <v>53</v>
      </c>
      <c r="AD6745" s="19" t="s">
        <v>138</v>
      </c>
      <c r="AE6745" s="26" t="s">
        <v>9021</v>
      </c>
      <c r="AF6745" s="17">
        <v>45741</v>
      </c>
      <c r="AG6745" s="26"/>
      <c r="AH6745" s="26"/>
      <c r="AI6745" s="40">
        <v>4</v>
      </c>
      <c r="AJ6745" s="26"/>
      <c r="AK6745" s="26"/>
      <c r="AL6745" s="35"/>
      <c r="AM6745" s="35"/>
      <c r="AN6745" s="35"/>
      <c r="AO6745" s="35"/>
      <c r="AP6745" s="35"/>
    </row>
    <row r="6746" spans="1:42" x14ac:dyDescent="0.2">
      <c r="A6746" s="38">
        <v>45740</v>
      </c>
      <c r="B6746" s="137" t="s">
        <v>37</v>
      </c>
      <c r="C6746" s="41" t="s">
        <v>118</v>
      </c>
      <c r="D6746" s="80" t="s">
        <v>36</v>
      </c>
      <c r="E6746" s="80" t="s">
        <v>139</v>
      </c>
      <c r="F6746" s="80" t="s">
        <v>16763</v>
      </c>
      <c r="G6746" s="80" t="s">
        <v>221</v>
      </c>
      <c r="H6746" s="80" t="s">
        <v>21158</v>
      </c>
      <c r="I6746" s="17">
        <f ca="1">IFERROR(__xludf.DUMMYFUNCTION("""COMPUTED_VALUE"""),45761)</f>
        <v>45761</v>
      </c>
      <c r="J6746" s="172" t="s">
        <v>16129</v>
      </c>
      <c r="K6746" s="80" t="s">
        <v>21159</v>
      </c>
      <c r="L6746" s="30">
        <v>355780206</v>
      </c>
      <c r="M6746" s="80" t="s">
        <v>59</v>
      </c>
      <c r="N6746" s="80" t="s">
        <v>68</v>
      </c>
      <c r="O6746" s="80" t="s">
        <v>16131</v>
      </c>
      <c r="P6746" s="144" t="s">
        <v>21160</v>
      </c>
      <c r="Q6746" s="20">
        <v>15936</v>
      </c>
      <c r="R6746" s="80" t="s">
        <v>70</v>
      </c>
      <c r="S6746" s="95">
        <v>2000</v>
      </c>
      <c r="T6746" s="148">
        <v>45570</v>
      </c>
      <c r="U6746" s="95">
        <v>13836</v>
      </c>
      <c r="V6746" s="148">
        <v>45588</v>
      </c>
      <c r="W6746" s="85" t="s">
        <v>16133</v>
      </c>
      <c r="X6746" s="80"/>
      <c r="Y6746" s="22">
        <v>100</v>
      </c>
      <c r="Z6746" s="80" t="s">
        <v>50</v>
      </c>
      <c r="AA6746" s="35" t="s">
        <v>9905</v>
      </c>
      <c r="AB6746" s="80"/>
      <c r="AC6746" s="80" t="s">
        <v>53</v>
      </c>
      <c r="AD6746" s="80" t="s">
        <v>54</v>
      </c>
      <c r="AE6746" s="80" t="s">
        <v>16763</v>
      </c>
      <c r="AF6746" s="17">
        <v>45756</v>
      </c>
      <c r="AG6746" s="80"/>
      <c r="AH6746" s="80"/>
      <c r="AI6746" s="147"/>
      <c r="AJ6746" s="80"/>
      <c r="AK6746" s="80"/>
      <c r="AL6746" s="35"/>
      <c r="AM6746" s="35"/>
      <c r="AN6746" s="35"/>
      <c r="AO6746" s="35"/>
      <c r="AP6746" s="35"/>
    </row>
    <row r="6747" spans="1:42" x14ac:dyDescent="0.2">
      <c r="A6747" s="38">
        <v>45740</v>
      </c>
      <c r="B6747" s="137" t="s">
        <v>37</v>
      </c>
      <c r="C6747" s="41" t="s">
        <v>118</v>
      </c>
      <c r="D6747" s="80" t="s">
        <v>36</v>
      </c>
      <c r="E6747" s="80" t="s">
        <v>139</v>
      </c>
      <c r="F6747" s="80" t="s">
        <v>16763</v>
      </c>
      <c r="G6747" s="80" t="s">
        <v>221</v>
      </c>
      <c r="H6747" s="80" t="s">
        <v>21158</v>
      </c>
      <c r="I6747" s="17">
        <f ca="1">IFERROR(__xludf.DUMMYFUNCTION("""COMPUTED_VALUE"""),45761)</f>
        <v>45761</v>
      </c>
      <c r="J6747" s="143" t="s">
        <v>21161</v>
      </c>
      <c r="K6747" s="80" t="s">
        <v>21162</v>
      </c>
      <c r="L6747" s="30">
        <v>961375834</v>
      </c>
      <c r="M6747" s="80" t="s">
        <v>59</v>
      </c>
      <c r="N6747" s="80" t="s">
        <v>68</v>
      </c>
      <c r="O6747" s="80" t="s">
        <v>16126</v>
      </c>
      <c r="P6747" s="144" t="s">
        <v>21163</v>
      </c>
      <c r="Q6747" s="20">
        <v>15936</v>
      </c>
      <c r="R6747" s="80" t="s">
        <v>70</v>
      </c>
      <c r="S6747" s="95">
        <v>2000</v>
      </c>
      <c r="T6747" s="148">
        <v>45570</v>
      </c>
      <c r="U6747" s="95">
        <v>13863</v>
      </c>
      <c r="V6747" s="148">
        <v>45582</v>
      </c>
      <c r="W6747" s="85" t="s">
        <v>16128</v>
      </c>
      <c r="X6747" s="80"/>
      <c r="Y6747" s="22">
        <v>73</v>
      </c>
      <c r="Z6747" s="80" t="s">
        <v>50</v>
      </c>
      <c r="AA6747" s="96" t="s">
        <v>9905</v>
      </c>
      <c r="AB6747" s="80"/>
      <c r="AC6747" s="80" t="s">
        <v>53</v>
      </c>
      <c r="AD6747" s="80" t="s">
        <v>54</v>
      </c>
      <c r="AE6747" s="80" t="s">
        <v>16763</v>
      </c>
      <c r="AF6747" s="17">
        <v>45756</v>
      </c>
      <c r="AG6747" s="80"/>
      <c r="AH6747" s="80"/>
      <c r="AI6747" s="147"/>
      <c r="AJ6747" s="80"/>
      <c r="AK6747" s="80"/>
      <c r="AL6747" s="35"/>
      <c r="AM6747" s="35"/>
      <c r="AN6747" s="35"/>
      <c r="AO6747" s="35"/>
      <c r="AP6747" s="35"/>
    </row>
    <row r="6748" spans="1:42" x14ac:dyDescent="0.2">
      <c r="A6748" s="38">
        <v>45741</v>
      </c>
      <c r="B6748" s="137" t="s">
        <v>37</v>
      </c>
      <c r="C6748" s="41" t="s">
        <v>118</v>
      </c>
      <c r="D6748" s="26" t="s">
        <v>36</v>
      </c>
      <c r="E6748" s="26" t="s">
        <v>139</v>
      </c>
      <c r="F6748" s="26" t="s">
        <v>2128</v>
      </c>
      <c r="G6748" s="80" t="s">
        <v>221</v>
      </c>
      <c r="H6748" s="80" t="s">
        <v>20158</v>
      </c>
      <c r="I6748" s="17">
        <f ca="1">IFERROR(__xludf.DUMMYFUNCTION("""COMPUTED_VALUE"""),45916)</f>
        <v>45916</v>
      </c>
      <c r="J6748" s="29" t="s">
        <v>1529</v>
      </c>
      <c r="K6748" s="26" t="s">
        <v>21164</v>
      </c>
      <c r="L6748" s="30">
        <v>377102005</v>
      </c>
      <c r="M6748" s="26" t="s">
        <v>112</v>
      </c>
      <c r="N6748" s="26" t="s">
        <v>3330</v>
      </c>
      <c r="O6748" s="26" t="s">
        <v>125</v>
      </c>
      <c r="P6748" s="42" t="s">
        <v>21165</v>
      </c>
      <c r="Q6748" s="20">
        <v>15936</v>
      </c>
      <c r="R6748" s="26" t="s">
        <v>36</v>
      </c>
      <c r="S6748" s="31">
        <v>2000</v>
      </c>
      <c r="T6748" s="32">
        <v>45153</v>
      </c>
      <c r="U6748" s="31">
        <v>13936</v>
      </c>
      <c r="V6748" s="26"/>
      <c r="W6748" s="26"/>
      <c r="X6748" s="26"/>
      <c r="Y6748" s="22">
        <v>0</v>
      </c>
      <c r="Z6748" s="26" t="s">
        <v>118</v>
      </c>
      <c r="AA6748" s="19" t="s">
        <v>4541</v>
      </c>
      <c r="AB6748" s="26" t="s">
        <v>137</v>
      </c>
      <c r="AC6748" s="26" t="s">
        <v>53</v>
      </c>
      <c r="AD6748" s="19" t="s">
        <v>54</v>
      </c>
      <c r="AE6748" s="26" t="s">
        <v>2128</v>
      </c>
      <c r="AF6748" s="17">
        <v>45750</v>
      </c>
      <c r="AG6748" s="26"/>
      <c r="AH6748" s="26"/>
      <c r="AI6748" s="40"/>
      <c r="AJ6748" s="26"/>
      <c r="AK6748" s="26"/>
      <c r="AL6748" s="35"/>
      <c r="AM6748" s="35"/>
      <c r="AN6748" s="35"/>
      <c r="AO6748" s="35"/>
      <c r="AP6748" s="35"/>
    </row>
    <row r="6749" spans="1:42" x14ac:dyDescent="0.2">
      <c r="A6749" s="38">
        <v>45741</v>
      </c>
      <c r="B6749" s="137" t="s">
        <v>37</v>
      </c>
      <c r="C6749" s="41" t="s">
        <v>118</v>
      </c>
      <c r="D6749" s="26" t="s">
        <v>36</v>
      </c>
      <c r="E6749" s="26" t="s">
        <v>139</v>
      </c>
      <c r="F6749" s="26" t="s">
        <v>2128</v>
      </c>
      <c r="G6749" s="80" t="s">
        <v>221</v>
      </c>
      <c r="H6749" s="80" t="s">
        <v>20071</v>
      </c>
      <c r="I6749" s="17">
        <f ca="1">IFERROR(__xludf.DUMMYFUNCTION("""COMPUTED_VALUE"""),45757)</f>
        <v>45757</v>
      </c>
      <c r="J6749" s="29" t="s">
        <v>21166</v>
      </c>
      <c r="K6749" s="26" t="s">
        <v>21167</v>
      </c>
      <c r="L6749" s="30">
        <v>366098587</v>
      </c>
      <c r="M6749" s="26" t="s">
        <v>112</v>
      </c>
      <c r="N6749" s="26" t="s">
        <v>3330</v>
      </c>
      <c r="O6749" s="26" t="s">
        <v>2477</v>
      </c>
      <c r="P6749" s="42" t="s">
        <v>21168</v>
      </c>
      <c r="Q6749" s="20">
        <v>15936</v>
      </c>
      <c r="R6749" s="26" t="s">
        <v>36</v>
      </c>
      <c r="S6749" s="31">
        <v>2000</v>
      </c>
      <c r="T6749" s="32">
        <v>45151</v>
      </c>
      <c r="U6749" s="31">
        <v>13936</v>
      </c>
      <c r="V6749" s="32">
        <v>45176</v>
      </c>
      <c r="W6749" s="26"/>
      <c r="X6749" s="26"/>
      <c r="Y6749" s="22">
        <v>0</v>
      </c>
      <c r="Z6749" s="26" t="s">
        <v>118</v>
      </c>
      <c r="AA6749" s="19" t="s">
        <v>4541</v>
      </c>
      <c r="AB6749" s="26" t="s">
        <v>128</v>
      </c>
      <c r="AC6749" s="26" t="s">
        <v>53</v>
      </c>
      <c r="AD6749" s="19" t="s">
        <v>54</v>
      </c>
      <c r="AE6749" s="26" t="s">
        <v>2128</v>
      </c>
      <c r="AF6749" s="17">
        <v>45750</v>
      </c>
      <c r="AG6749" s="26"/>
      <c r="AH6749" s="26"/>
      <c r="AI6749" s="40"/>
      <c r="AJ6749" s="26"/>
      <c r="AK6749" s="26"/>
      <c r="AL6749" s="35"/>
      <c r="AM6749" s="35"/>
      <c r="AN6749" s="35"/>
      <c r="AO6749" s="35"/>
      <c r="AP6749" s="35"/>
    </row>
    <row r="6750" spans="1:42" x14ac:dyDescent="0.2">
      <c r="A6750" s="38">
        <v>45741</v>
      </c>
      <c r="B6750" s="137" t="s">
        <v>90</v>
      </c>
      <c r="C6750" s="41" t="s">
        <v>118</v>
      </c>
      <c r="D6750" s="80" t="s">
        <v>36</v>
      </c>
      <c r="E6750" s="80" t="s">
        <v>139</v>
      </c>
      <c r="F6750" s="80" t="s">
        <v>16903</v>
      </c>
      <c r="G6750" s="80" t="s">
        <v>221</v>
      </c>
      <c r="H6750" s="80" t="s">
        <v>20265</v>
      </c>
      <c r="I6750" s="17">
        <f ca="1">IFERROR(__xludf.DUMMYFUNCTION("""COMPUTED_VALUE"""),45937)</f>
        <v>45937</v>
      </c>
      <c r="J6750" s="143" t="s">
        <v>16906</v>
      </c>
      <c r="K6750" s="80" t="s">
        <v>21169</v>
      </c>
      <c r="L6750" s="30">
        <v>869729553</v>
      </c>
      <c r="M6750" s="80" t="s">
        <v>3498</v>
      </c>
      <c r="N6750" s="80" t="s">
        <v>4402</v>
      </c>
      <c r="O6750" s="80" t="s">
        <v>4503</v>
      </c>
      <c r="P6750" s="144" t="s">
        <v>16908</v>
      </c>
      <c r="Q6750" s="20">
        <v>15936</v>
      </c>
      <c r="R6750" s="80" t="s">
        <v>36</v>
      </c>
      <c r="S6750" s="95">
        <f>200+8000</f>
        <v>8200</v>
      </c>
      <c r="T6750" s="148" t="s">
        <v>16909</v>
      </c>
      <c r="U6750" s="95">
        <v>7736</v>
      </c>
      <c r="V6750" s="148">
        <v>45597</v>
      </c>
      <c r="W6750" s="85" t="s">
        <v>16910</v>
      </c>
      <c r="X6750" s="80"/>
      <c r="Y6750" s="22">
        <v>0</v>
      </c>
      <c r="Z6750" s="81" t="s">
        <v>50</v>
      </c>
      <c r="AA6750" s="86"/>
      <c r="AB6750" s="80" t="s">
        <v>4503</v>
      </c>
      <c r="AC6750" s="80" t="s">
        <v>53</v>
      </c>
      <c r="AD6750" s="80" t="s">
        <v>54</v>
      </c>
      <c r="AE6750" s="80" t="s">
        <v>16903</v>
      </c>
      <c r="AF6750" s="17">
        <v>45756</v>
      </c>
      <c r="AG6750" s="80"/>
      <c r="AH6750" s="80"/>
      <c r="AI6750" s="147"/>
      <c r="AJ6750" s="80"/>
      <c r="AK6750" s="80"/>
      <c r="AL6750" s="86"/>
      <c r="AM6750" s="86"/>
      <c r="AN6750" s="86"/>
      <c r="AO6750" s="86"/>
      <c r="AP6750" s="86"/>
    </row>
    <row r="6751" spans="1:42" x14ac:dyDescent="0.2">
      <c r="A6751" s="38">
        <v>45741</v>
      </c>
      <c r="B6751" s="137" t="s">
        <v>37</v>
      </c>
      <c r="C6751" s="41" t="s">
        <v>118</v>
      </c>
      <c r="D6751" s="80" t="s">
        <v>36</v>
      </c>
      <c r="E6751" s="80" t="s">
        <v>56</v>
      </c>
      <c r="F6751" s="80" t="s">
        <v>16903</v>
      </c>
      <c r="G6751" s="80" t="s">
        <v>221</v>
      </c>
      <c r="H6751" s="80" t="s">
        <v>20081</v>
      </c>
      <c r="I6751" s="17">
        <f ca="1">IFERROR(__xludf.DUMMYFUNCTION("""COMPUTED_VALUE"""),45761)</f>
        <v>45761</v>
      </c>
      <c r="J6751" s="143" t="s">
        <v>16173</v>
      </c>
      <c r="K6751" s="80" t="s">
        <v>3905</v>
      </c>
      <c r="L6751" s="30">
        <v>348673496</v>
      </c>
      <c r="M6751" s="80" t="s">
        <v>59</v>
      </c>
      <c r="N6751" s="80" t="s">
        <v>9301</v>
      </c>
      <c r="O6751" s="80" t="s">
        <v>16175</v>
      </c>
      <c r="P6751" s="144" t="s">
        <v>21170</v>
      </c>
      <c r="Q6751" s="20">
        <v>9317</v>
      </c>
      <c r="R6751" s="80" t="s">
        <v>36</v>
      </c>
      <c r="S6751" s="95">
        <v>2000</v>
      </c>
      <c r="T6751" s="148">
        <v>45572</v>
      </c>
      <c r="U6751" s="95">
        <v>7317</v>
      </c>
      <c r="V6751" s="148">
        <v>45592</v>
      </c>
      <c r="W6751" s="85" t="s">
        <v>16177</v>
      </c>
      <c r="X6751" s="80"/>
      <c r="Y6751" s="22">
        <v>0</v>
      </c>
      <c r="Z6751" s="81" t="s">
        <v>50</v>
      </c>
      <c r="AA6751" s="82" t="s">
        <v>9905</v>
      </c>
      <c r="AB6751" s="80"/>
      <c r="AC6751" s="80" t="s">
        <v>53</v>
      </c>
      <c r="AD6751" s="80" t="s">
        <v>54</v>
      </c>
      <c r="AE6751" s="80" t="s">
        <v>16903</v>
      </c>
      <c r="AF6751" s="17">
        <v>45756</v>
      </c>
      <c r="AG6751" s="80"/>
      <c r="AH6751" s="80"/>
      <c r="AI6751" s="147"/>
      <c r="AJ6751" s="80"/>
      <c r="AK6751" s="80"/>
      <c r="AL6751" s="86"/>
      <c r="AM6751" s="86"/>
      <c r="AN6751" s="86"/>
      <c r="AO6751" s="86"/>
      <c r="AP6751" s="86"/>
    </row>
    <row r="6752" spans="1:42" x14ac:dyDescent="0.2">
      <c r="A6752" s="38">
        <v>45741</v>
      </c>
      <c r="B6752" s="137" t="s">
        <v>37</v>
      </c>
      <c r="C6752" s="41" t="s">
        <v>118</v>
      </c>
      <c r="D6752" s="80" t="s">
        <v>36</v>
      </c>
      <c r="E6752" s="80" t="s">
        <v>139</v>
      </c>
      <c r="F6752" s="80" t="s">
        <v>16903</v>
      </c>
      <c r="G6752" s="80" t="s">
        <v>221</v>
      </c>
      <c r="H6752" s="80" t="s">
        <v>20081</v>
      </c>
      <c r="I6752" s="17">
        <f ca="1">IFERROR(__xludf.DUMMYFUNCTION("""COMPUTED_VALUE"""),45761)</f>
        <v>45761</v>
      </c>
      <c r="J6752" s="143" t="s">
        <v>16912</v>
      </c>
      <c r="K6752" s="80" t="s">
        <v>16913</v>
      </c>
      <c r="L6752" s="30">
        <v>826222523</v>
      </c>
      <c r="M6752" s="80" t="s">
        <v>15970</v>
      </c>
      <c r="N6752" s="80" t="s">
        <v>327</v>
      </c>
      <c r="O6752" s="80" t="s">
        <v>16914</v>
      </c>
      <c r="P6752" s="144" t="s">
        <v>16915</v>
      </c>
      <c r="Q6752" s="20">
        <v>15936</v>
      </c>
      <c r="R6752" s="80" t="s">
        <v>36</v>
      </c>
      <c r="S6752" s="95">
        <f>500+4500</f>
        <v>5000</v>
      </c>
      <c r="T6752" s="148" t="s">
        <v>16916</v>
      </c>
      <c r="U6752" s="95">
        <v>10936</v>
      </c>
      <c r="V6752" s="148">
        <v>45597</v>
      </c>
      <c r="W6752" s="85" t="s">
        <v>16917</v>
      </c>
      <c r="X6752" s="80"/>
      <c r="Y6752" s="22">
        <v>0</v>
      </c>
      <c r="Z6752" s="81" t="s">
        <v>50</v>
      </c>
      <c r="AA6752" s="86"/>
      <c r="AB6752" s="80"/>
      <c r="AC6752" s="80" t="s">
        <v>53</v>
      </c>
      <c r="AD6752" s="80" t="s">
        <v>54</v>
      </c>
      <c r="AE6752" s="80" t="s">
        <v>16903</v>
      </c>
      <c r="AF6752" s="17">
        <v>45756</v>
      </c>
      <c r="AG6752" s="80"/>
      <c r="AH6752" s="80"/>
      <c r="AI6752" s="147"/>
      <c r="AJ6752" s="80"/>
      <c r="AK6752" s="80"/>
      <c r="AL6752" s="86"/>
      <c r="AM6752" s="86"/>
      <c r="AN6752" s="86"/>
      <c r="AO6752" s="86"/>
      <c r="AP6752" s="86"/>
    </row>
    <row r="6753" spans="1:42" x14ac:dyDescent="0.2">
      <c r="A6753" s="38">
        <v>45741</v>
      </c>
      <c r="B6753" s="137"/>
      <c r="C6753" s="41" t="s">
        <v>118</v>
      </c>
      <c r="D6753" s="80" t="s">
        <v>36</v>
      </c>
      <c r="E6753" s="80" t="s">
        <v>139</v>
      </c>
      <c r="F6753" s="80" t="s">
        <v>16903</v>
      </c>
      <c r="G6753" s="80" t="s">
        <v>221</v>
      </c>
      <c r="H6753" s="80" t="s">
        <v>865</v>
      </c>
      <c r="I6753" s="17" t="str">
        <f ca="1">IFERROR(__xludf.DUMMYFUNCTION("""COMPUTED_VALUE""")," ")</f>
        <v xml:space="preserve"> </v>
      </c>
      <c r="J6753" s="143" t="s">
        <v>16918</v>
      </c>
      <c r="K6753" s="145" t="s">
        <v>21171</v>
      </c>
      <c r="L6753" s="30">
        <v>913764815</v>
      </c>
      <c r="M6753" s="80" t="s">
        <v>12644</v>
      </c>
      <c r="N6753" s="80" t="s">
        <v>260</v>
      </c>
      <c r="O6753" s="80" t="s">
        <v>16920</v>
      </c>
      <c r="P6753" s="144" t="s">
        <v>16921</v>
      </c>
      <c r="Q6753" s="20">
        <v>15936</v>
      </c>
      <c r="R6753" s="80" t="s">
        <v>36</v>
      </c>
      <c r="S6753" s="95">
        <f>200+2000</f>
        <v>2200</v>
      </c>
      <c r="T6753" s="148" t="s">
        <v>16104</v>
      </c>
      <c r="U6753" s="95">
        <v>13736</v>
      </c>
      <c r="V6753" s="148">
        <v>45597</v>
      </c>
      <c r="W6753" s="85" t="s">
        <v>16922</v>
      </c>
      <c r="X6753" s="80"/>
      <c r="Y6753" s="22">
        <v>0</v>
      </c>
      <c r="Z6753" s="81" t="s">
        <v>50</v>
      </c>
      <c r="AA6753" s="82"/>
      <c r="AB6753" s="80"/>
      <c r="AC6753" s="80" t="s">
        <v>53</v>
      </c>
      <c r="AD6753" s="80" t="s">
        <v>54</v>
      </c>
      <c r="AE6753" s="80" t="s">
        <v>16903</v>
      </c>
      <c r="AF6753" s="17">
        <v>45629</v>
      </c>
      <c r="AG6753" s="80" t="s">
        <v>21172</v>
      </c>
      <c r="AH6753" s="80"/>
      <c r="AI6753" s="147"/>
      <c r="AJ6753" s="80"/>
      <c r="AK6753" s="80"/>
      <c r="AL6753" s="86"/>
      <c r="AM6753" s="86"/>
      <c r="AN6753" s="86"/>
      <c r="AO6753" s="86"/>
      <c r="AP6753" s="86"/>
    </row>
    <row r="6754" spans="1:42" x14ac:dyDescent="0.2">
      <c r="A6754" s="38">
        <v>45741</v>
      </c>
      <c r="B6754" s="28"/>
      <c r="C6754" s="41" t="s">
        <v>118</v>
      </c>
      <c r="D6754" s="80" t="s">
        <v>36</v>
      </c>
      <c r="E6754" s="80" t="s">
        <v>56</v>
      </c>
      <c r="F6754" s="80" t="s">
        <v>16903</v>
      </c>
      <c r="G6754" s="80" t="s">
        <v>221</v>
      </c>
      <c r="H6754" s="80" t="s">
        <v>21173</v>
      </c>
      <c r="I6754" s="17" t="str">
        <f ca="1">IFERROR(__xludf.DUMMYFUNCTION("""COMPUTED_VALUE""")," ")</f>
        <v xml:space="preserve"> </v>
      </c>
      <c r="J6754" s="143" t="s">
        <v>16096</v>
      </c>
      <c r="K6754" s="80" t="s">
        <v>21174</v>
      </c>
      <c r="L6754" s="30">
        <v>375919673</v>
      </c>
      <c r="M6754" s="80" t="s">
        <v>59</v>
      </c>
      <c r="N6754" s="80" t="s">
        <v>9294</v>
      </c>
      <c r="O6754" s="80" t="s">
        <v>16098</v>
      </c>
      <c r="P6754" s="80" t="s">
        <v>16099</v>
      </c>
      <c r="Q6754" s="20">
        <v>9317</v>
      </c>
      <c r="R6754" s="80" t="s">
        <v>36</v>
      </c>
      <c r="S6754" s="95">
        <v>9017</v>
      </c>
      <c r="T6754" s="148">
        <v>45569</v>
      </c>
      <c r="U6754" s="77"/>
      <c r="V6754" s="78"/>
      <c r="W6754" s="85" t="s">
        <v>16100</v>
      </c>
      <c r="X6754" s="80"/>
      <c r="Y6754" s="22">
        <v>300</v>
      </c>
      <c r="Z6754" s="81" t="s">
        <v>50</v>
      </c>
      <c r="AA6754" s="86" t="s">
        <v>9905</v>
      </c>
      <c r="AB6754" s="80"/>
      <c r="AC6754" s="80" t="s">
        <v>1828</v>
      </c>
      <c r="AD6754" s="80" t="s">
        <v>54</v>
      </c>
      <c r="AE6754" s="80" t="s">
        <v>16903</v>
      </c>
      <c r="AF6754" s="17" t="s">
        <v>1829</v>
      </c>
      <c r="AG6754" s="80" t="s">
        <v>1828</v>
      </c>
      <c r="AH6754" s="80"/>
      <c r="AI6754" s="147"/>
      <c r="AJ6754" s="80"/>
      <c r="AK6754" s="80"/>
      <c r="AL6754" s="86"/>
      <c r="AM6754" s="86"/>
      <c r="AN6754" s="86"/>
      <c r="AO6754" s="86"/>
      <c r="AP6754" s="86"/>
    </row>
    <row r="6755" spans="1:42" x14ac:dyDescent="0.2">
      <c r="A6755" s="38">
        <v>45741</v>
      </c>
      <c r="B6755" s="137" t="s">
        <v>37</v>
      </c>
      <c r="C6755" s="41" t="s">
        <v>118</v>
      </c>
      <c r="D6755" s="80" t="s">
        <v>36</v>
      </c>
      <c r="E6755" s="80" t="s">
        <v>56</v>
      </c>
      <c r="F6755" s="80" t="s">
        <v>16903</v>
      </c>
      <c r="G6755" s="80" t="s">
        <v>221</v>
      </c>
      <c r="H6755" s="80" t="s">
        <v>20081</v>
      </c>
      <c r="I6755" s="17">
        <f ca="1">IFERROR(__xludf.DUMMYFUNCTION("""COMPUTED_VALUE"""),45761)</f>
        <v>45761</v>
      </c>
      <c r="J6755" s="172" t="s">
        <v>21175</v>
      </c>
      <c r="K6755" s="80" t="s">
        <v>16958</v>
      </c>
      <c r="L6755" s="30">
        <v>377769969</v>
      </c>
      <c r="M6755" s="80" t="s">
        <v>59</v>
      </c>
      <c r="N6755" s="80" t="s">
        <v>9294</v>
      </c>
      <c r="O6755" s="80" t="s">
        <v>11395</v>
      </c>
      <c r="P6755" s="115" t="s">
        <v>21176</v>
      </c>
      <c r="Q6755" s="20">
        <v>9317</v>
      </c>
      <c r="R6755" s="80" t="s">
        <v>36</v>
      </c>
      <c r="S6755" s="95">
        <f>200+9117</f>
        <v>9317</v>
      </c>
      <c r="T6755" s="148">
        <v>45516</v>
      </c>
      <c r="U6755" s="77"/>
      <c r="V6755" s="148">
        <v>45534</v>
      </c>
      <c r="W6755" s="85" t="s">
        <v>11397</v>
      </c>
      <c r="X6755" s="83">
        <v>0</v>
      </c>
      <c r="Y6755" s="22">
        <v>0</v>
      </c>
      <c r="Z6755" s="81" t="s">
        <v>50</v>
      </c>
      <c r="AA6755" s="82" t="s">
        <v>10314</v>
      </c>
      <c r="AB6755" s="80"/>
      <c r="AC6755" s="80" t="s">
        <v>53</v>
      </c>
      <c r="AD6755" s="80" t="s">
        <v>138</v>
      </c>
      <c r="AE6755" s="80" t="s">
        <v>16903</v>
      </c>
      <c r="AF6755" s="17">
        <v>45756</v>
      </c>
      <c r="AG6755" s="80"/>
      <c r="AH6755" s="80"/>
      <c r="AI6755" s="147"/>
      <c r="AJ6755" s="80"/>
      <c r="AK6755" s="80"/>
      <c r="AL6755" s="86"/>
      <c r="AM6755" s="86"/>
      <c r="AN6755" s="86"/>
      <c r="AO6755" s="86"/>
      <c r="AP6755" s="86"/>
    </row>
    <row r="6756" spans="1:42" x14ac:dyDescent="0.2">
      <c r="A6756" s="38">
        <v>45741</v>
      </c>
      <c r="B6756" s="137"/>
      <c r="C6756" s="41" t="s">
        <v>118</v>
      </c>
      <c r="D6756" s="80" t="s">
        <v>36</v>
      </c>
      <c r="E6756" s="80" t="s">
        <v>119</v>
      </c>
      <c r="F6756" s="80" t="s">
        <v>16903</v>
      </c>
      <c r="G6756" s="80" t="s">
        <v>221</v>
      </c>
      <c r="H6756" s="80" t="s">
        <v>21177</v>
      </c>
      <c r="I6756" s="17">
        <f ca="1">IFERROR(__xludf.DUMMYFUNCTION("""COMPUTED_VALUE"""),45949)</f>
        <v>45949</v>
      </c>
      <c r="J6756" s="143" t="s">
        <v>18903</v>
      </c>
      <c r="K6756" s="145" t="s">
        <v>21178</v>
      </c>
      <c r="L6756" s="30">
        <v>338001739</v>
      </c>
      <c r="M6756" s="80" t="s">
        <v>5429</v>
      </c>
      <c r="N6756" s="80" t="s">
        <v>1384</v>
      </c>
      <c r="O6756" s="80" t="s">
        <v>61</v>
      </c>
      <c r="P6756" s="144" t="s">
        <v>21179</v>
      </c>
      <c r="Q6756" s="20">
        <v>13968</v>
      </c>
      <c r="R6756" s="80" t="s">
        <v>70</v>
      </c>
      <c r="S6756" s="95">
        <f t="shared" ref="S6756:S6757" si="201">200+3800</f>
        <v>4000</v>
      </c>
      <c r="T6756" s="148" t="s">
        <v>18906</v>
      </c>
      <c r="U6756" s="95">
        <v>9868</v>
      </c>
      <c r="V6756" s="148">
        <v>45655</v>
      </c>
      <c r="W6756" s="85" t="s">
        <v>18907</v>
      </c>
      <c r="X6756" s="80"/>
      <c r="Y6756" s="22">
        <v>100</v>
      </c>
      <c r="Z6756" s="81" t="s">
        <v>50</v>
      </c>
      <c r="AA6756" s="86" t="s">
        <v>18579</v>
      </c>
      <c r="AB6756" s="86"/>
      <c r="AC6756" s="80" t="s">
        <v>53</v>
      </c>
      <c r="AD6756" s="80" t="s">
        <v>54</v>
      </c>
      <c r="AE6756" s="80" t="s">
        <v>16903</v>
      </c>
      <c r="AF6756" s="17">
        <v>45839</v>
      </c>
      <c r="AG6756" s="80"/>
      <c r="AH6756" s="80"/>
      <c r="AI6756" s="147"/>
      <c r="AJ6756" s="80"/>
      <c r="AK6756" s="80"/>
      <c r="AL6756" s="86"/>
      <c r="AM6756" s="86"/>
      <c r="AN6756" s="86"/>
      <c r="AO6756" s="86"/>
      <c r="AP6756" s="86"/>
    </row>
    <row r="6757" spans="1:42" x14ac:dyDescent="0.2">
      <c r="A6757" s="38">
        <v>45741</v>
      </c>
      <c r="B6757" s="137" t="s">
        <v>37</v>
      </c>
      <c r="C6757" s="41" t="s">
        <v>118</v>
      </c>
      <c r="D6757" s="80" t="s">
        <v>36</v>
      </c>
      <c r="E6757" s="80" t="s">
        <v>119</v>
      </c>
      <c r="F6757" s="80" t="s">
        <v>16903</v>
      </c>
      <c r="G6757" s="80" t="s">
        <v>221</v>
      </c>
      <c r="H6757" s="80" t="s">
        <v>9944</v>
      </c>
      <c r="I6757" s="17">
        <f ca="1">IFERROR(__xludf.DUMMYFUNCTION("""COMPUTED_VALUE"""),45820)</f>
        <v>45820</v>
      </c>
      <c r="J6757" s="143" t="s">
        <v>18908</v>
      </c>
      <c r="K6757" s="145" t="s">
        <v>21180</v>
      </c>
      <c r="L6757" s="30">
        <v>976652787</v>
      </c>
      <c r="M6757" s="80" t="s">
        <v>5429</v>
      </c>
      <c r="N6757" s="80" t="s">
        <v>1384</v>
      </c>
      <c r="O6757" s="80" t="s">
        <v>61</v>
      </c>
      <c r="P6757" s="144" t="s">
        <v>21181</v>
      </c>
      <c r="Q6757" s="20">
        <v>13968</v>
      </c>
      <c r="R6757" s="80" t="s">
        <v>70</v>
      </c>
      <c r="S6757" s="95">
        <f t="shared" si="201"/>
        <v>4000</v>
      </c>
      <c r="T6757" s="148" t="s">
        <v>18910</v>
      </c>
      <c r="U6757" s="95">
        <v>9868</v>
      </c>
      <c r="V6757" s="148">
        <v>45656</v>
      </c>
      <c r="W6757" s="85" t="s">
        <v>18911</v>
      </c>
      <c r="X6757" s="80"/>
      <c r="Y6757" s="22">
        <v>100</v>
      </c>
      <c r="Z6757" s="81" t="s">
        <v>50</v>
      </c>
      <c r="AA6757" s="82" t="s">
        <v>18579</v>
      </c>
      <c r="AB6757" s="82"/>
      <c r="AC6757" s="80" t="s">
        <v>53</v>
      </c>
      <c r="AD6757" s="80" t="s">
        <v>54</v>
      </c>
      <c r="AE6757" s="80" t="s">
        <v>16903</v>
      </c>
      <c r="AF6757" s="17">
        <v>45818</v>
      </c>
      <c r="AG6757" s="80"/>
      <c r="AH6757" s="80"/>
      <c r="AI6757" s="147"/>
      <c r="AJ6757" s="80"/>
      <c r="AK6757" s="80"/>
      <c r="AL6757" s="86"/>
      <c r="AM6757" s="86"/>
      <c r="AN6757" s="86"/>
      <c r="AO6757" s="86"/>
      <c r="AP6757" s="86"/>
    </row>
    <row r="6758" spans="1:42" x14ac:dyDescent="0.2">
      <c r="A6758" s="38">
        <v>45741</v>
      </c>
      <c r="B6758" s="137" t="s">
        <v>37</v>
      </c>
      <c r="C6758" s="41" t="s">
        <v>118</v>
      </c>
      <c r="D6758" s="80" t="s">
        <v>36</v>
      </c>
      <c r="E6758" s="80" t="s">
        <v>139</v>
      </c>
      <c r="F6758" s="80" t="s">
        <v>19830</v>
      </c>
      <c r="G6758" s="80" t="s">
        <v>108</v>
      </c>
      <c r="H6758" s="80" t="s">
        <v>14135</v>
      </c>
      <c r="I6758" s="17">
        <f ca="1">IFERROR(__xludf.DUMMYFUNCTION("""COMPUTED_VALUE"""),45757)</f>
        <v>45757</v>
      </c>
      <c r="J6758" s="143" t="s">
        <v>19831</v>
      </c>
      <c r="K6758" s="145" t="s">
        <v>19832</v>
      </c>
      <c r="L6758" s="30">
        <v>972312312</v>
      </c>
      <c r="M6758" s="80" t="s">
        <v>5518</v>
      </c>
      <c r="N6758" s="80" t="s">
        <v>5252</v>
      </c>
      <c r="O6758" s="80" t="s">
        <v>19833</v>
      </c>
      <c r="P6758" s="80" t="s">
        <v>9019</v>
      </c>
      <c r="Q6758" s="20">
        <v>15936</v>
      </c>
      <c r="R6758" s="80" t="s">
        <v>36</v>
      </c>
      <c r="S6758" s="95">
        <v>14436</v>
      </c>
      <c r="T6758" s="148">
        <v>45686</v>
      </c>
      <c r="U6758" s="77"/>
      <c r="V6758" s="78"/>
      <c r="W6758" s="85" t="s">
        <v>19834</v>
      </c>
      <c r="X6758" s="80"/>
      <c r="Y6758" s="22">
        <v>1500</v>
      </c>
      <c r="Z6758" s="81" t="s">
        <v>50</v>
      </c>
      <c r="AA6758" s="86" t="s">
        <v>18583</v>
      </c>
      <c r="AB6758" s="80"/>
      <c r="AC6758" s="80" t="s">
        <v>53</v>
      </c>
      <c r="AD6758" s="80" t="s">
        <v>54</v>
      </c>
      <c r="AE6758" s="80" t="s">
        <v>19830</v>
      </c>
      <c r="AF6758" s="17">
        <v>45750</v>
      </c>
      <c r="AG6758" s="80"/>
      <c r="AH6758" s="80"/>
      <c r="AI6758" s="147"/>
      <c r="AJ6758" s="80"/>
      <c r="AK6758" s="80"/>
      <c r="AL6758" s="86"/>
      <c r="AM6758" s="86"/>
      <c r="AN6758" s="86"/>
      <c r="AO6758" s="86"/>
      <c r="AP6758" s="86"/>
    </row>
    <row r="6759" spans="1:42" x14ac:dyDescent="0.2">
      <c r="A6759" s="38">
        <v>45741</v>
      </c>
      <c r="B6759" s="137" t="s">
        <v>37</v>
      </c>
      <c r="C6759" s="41" t="s">
        <v>118</v>
      </c>
      <c r="D6759" s="80" t="s">
        <v>36</v>
      </c>
      <c r="E6759" s="80" t="s">
        <v>56</v>
      </c>
      <c r="F6759" s="80" t="s">
        <v>19830</v>
      </c>
      <c r="G6759" s="80" t="s">
        <v>108</v>
      </c>
      <c r="H6759" s="80" t="s">
        <v>14135</v>
      </c>
      <c r="I6759" s="17">
        <f ca="1">IFERROR(__xludf.DUMMYFUNCTION("""COMPUTED_VALUE"""),45757)</f>
        <v>45757</v>
      </c>
      <c r="J6759" s="143" t="s">
        <v>19881</v>
      </c>
      <c r="K6759" s="145" t="s">
        <v>21182</v>
      </c>
      <c r="L6759" s="30">
        <v>369103136</v>
      </c>
      <c r="M6759" s="80" t="s">
        <v>910</v>
      </c>
      <c r="N6759" s="80" t="s">
        <v>15912</v>
      </c>
      <c r="O6759" s="80" t="s">
        <v>91</v>
      </c>
      <c r="P6759" s="80" t="s">
        <v>19883</v>
      </c>
      <c r="Q6759" s="20">
        <v>9317</v>
      </c>
      <c r="R6759" s="80" t="s">
        <v>36</v>
      </c>
      <c r="S6759" s="95">
        <v>8317</v>
      </c>
      <c r="T6759" s="148">
        <v>45686</v>
      </c>
      <c r="U6759" s="77"/>
      <c r="V6759" s="78"/>
      <c r="W6759" s="85" t="s">
        <v>19884</v>
      </c>
      <c r="X6759" s="80"/>
      <c r="Y6759" s="22">
        <v>1000</v>
      </c>
      <c r="Z6759" s="81" t="s">
        <v>50</v>
      </c>
      <c r="AA6759" s="82" t="s">
        <v>18583</v>
      </c>
      <c r="AB6759" s="80"/>
      <c r="AC6759" s="80" t="s">
        <v>53</v>
      </c>
      <c r="AD6759" s="80" t="s">
        <v>54</v>
      </c>
      <c r="AE6759" s="80" t="s">
        <v>19830</v>
      </c>
      <c r="AF6759" s="17">
        <v>45750</v>
      </c>
      <c r="AG6759" s="80"/>
      <c r="AH6759" s="80"/>
      <c r="AI6759" s="147"/>
      <c r="AJ6759" s="80"/>
      <c r="AK6759" s="80"/>
      <c r="AL6759" s="86"/>
      <c r="AM6759" s="86"/>
      <c r="AN6759" s="86"/>
      <c r="AO6759" s="86"/>
      <c r="AP6759" s="86"/>
    </row>
    <row r="6760" spans="1:42" x14ac:dyDescent="0.2">
      <c r="A6760" s="38">
        <v>45741</v>
      </c>
      <c r="B6760" s="137" t="s">
        <v>37</v>
      </c>
      <c r="C6760" s="41" t="s">
        <v>118</v>
      </c>
      <c r="D6760" s="80" t="s">
        <v>36</v>
      </c>
      <c r="E6760" s="80" t="s">
        <v>139</v>
      </c>
      <c r="F6760" s="80" t="s">
        <v>19830</v>
      </c>
      <c r="G6760" s="80" t="s">
        <v>108</v>
      </c>
      <c r="H6760" s="80" t="s">
        <v>19578</v>
      </c>
      <c r="I6760" s="17">
        <f ca="1">IFERROR(__xludf.DUMMYFUNCTION("""COMPUTED_VALUE"""),45879)</f>
        <v>45879</v>
      </c>
      <c r="J6760" s="143" t="s">
        <v>19945</v>
      </c>
      <c r="K6760" s="145" t="s">
        <v>21183</v>
      </c>
      <c r="L6760" s="30">
        <v>703200486</v>
      </c>
      <c r="M6760" s="80" t="s">
        <v>15996</v>
      </c>
      <c r="N6760" s="80" t="s">
        <v>186</v>
      </c>
      <c r="O6760" s="80" t="s">
        <v>4503</v>
      </c>
      <c r="P6760" s="115" t="s">
        <v>21184</v>
      </c>
      <c r="Q6760" s="20">
        <v>15936</v>
      </c>
      <c r="R6760" s="80" t="s">
        <v>36</v>
      </c>
      <c r="S6760" s="95">
        <v>14436</v>
      </c>
      <c r="T6760" s="148">
        <v>45686</v>
      </c>
      <c r="U6760" s="77"/>
      <c r="V6760" s="78"/>
      <c r="W6760" s="85" t="s">
        <v>19948</v>
      </c>
      <c r="X6760" s="80"/>
      <c r="Y6760" s="22">
        <v>1500</v>
      </c>
      <c r="Z6760" s="81" t="s">
        <v>50</v>
      </c>
      <c r="AA6760" s="86" t="s">
        <v>18583</v>
      </c>
      <c r="AB6760" s="80"/>
      <c r="AC6760" s="80" t="s">
        <v>53</v>
      </c>
      <c r="AD6760" s="80" t="s">
        <v>54</v>
      </c>
      <c r="AE6760" s="80" t="s">
        <v>19830</v>
      </c>
      <c r="AF6760" s="17">
        <v>45750</v>
      </c>
      <c r="AG6760" s="80"/>
      <c r="AH6760" s="80"/>
      <c r="AI6760" s="147"/>
      <c r="AJ6760" s="80"/>
      <c r="AK6760" s="80"/>
      <c r="AL6760" s="86"/>
      <c r="AM6760" s="86"/>
      <c r="AN6760" s="86"/>
      <c r="AO6760" s="86"/>
      <c r="AP6760" s="86"/>
    </row>
    <row r="6761" spans="1:42" x14ac:dyDescent="0.2">
      <c r="A6761" s="38">
        <v>45741</v>
      </c>
      <c r="B6761" s="137" t="s">
        <v>37</v>
      </c>
      <c r="C6761" s="41" t="s">
        <v>118</v>
      </c>
      <c r="D6761" s="80" t="s">
        <v>36</v>
      </c>
      <c r="E6761" s="80" t="s">
        <v>139</v>
      </c>
      <c r="F6761" s="80" t="s">
        <v>19830</v>
      </c>
      <c r="G6761" s="80" t="s">
        <v>108</v>
      </c>
      <c r="H6761" s="80" t="s">
        <v>14135</v>
      </c>
      <c r="I6761" s="17">
        <f ca="1">IFERROR(__xludf.DUMMYFUNCTION("""COMPUTED_VALUE"""),45757)</f>
        <v>45757</v>
      </c>
      <c r="J6761" s="143" t="s">
        <v>20579</v>
      </c>
      <c r="K6761" s="145" t="s">
        <v>21185</v>
      </c>
      <c r="L6761" s="30">
        <v>327077605</v>
      </c>
      <c r="M6761" s="80" t="s">
        <v>45</v>
      </c>
      <c r="N6761" s="80" t="s">
        <v>2847</v>
      </c>
      <c r="O6761" s="80" t="s">
        <v>20581</v>
      </c>
      <c r="P6761" s="80" t="s">
        <v>20582</v>
      </c>
      <c r="Q6761" s="20">
        <v>15936</v>
      </c>
      <c r="R6761" s="80" t="s">
        <v>36</v>
      </c>
      <c r="S6761" s="95">
        <v>15936</v>
      </c>
      <c r="T6761" s="148">
        <v>45689</v>
      </c>
      <c r="U6761" s="77"/>
      <c r="V6761" s="78"/>
      <c r="W6761" s="85" t="s">
        <v>20583</v>
      </c>
      <c r="X6761" s="80"/>
      <c r="Y6761" s="22">
        <v>0</v>
      </c>
      <c r="Z6761" s="81" t="s">
        <v>50</v>
      </c>
      <c r="AA6761" s="82" t="s">
        <v>20522</v>
      </c>
      <c r="AB6761" s="80"/>
      <c r="AC6761" s="80" t="s">
        <v>53</v>
      </c>
      <c r="AD6761" s="80" t="s">
        <v>54</v>
      </c>
      <c r="AE6761" s="80" t="s">
        <v>19830</v>
      </c>
      <c r="AF6761" s="17">
        <v>45750</v>
      </c>
      <c r="AG6761" s="80"/>
      <c r="AH6761" s="80"/>
      <c r="AI6761" s="147"/>
      <c r="AJ6761" s="80"/>
      <c r="AK6761" s="80"/>
      <c r="AL6761" s="86"/>
      <c r="AM6761" s="86"/>
      <c r="AN6761" s="86"/>
      <c r="AO6761" s="86"/>
      <c r="AP6761" s="86"/>
    </row>
    <row r="6762" spans="1:42" x14ac:dyDescent="0.2">
      <c r="A6762" s="38">
        <v>45741</v>
      </c>
      <c r="B6762" s="137" t="s">
        <v>37</v>
      </c>
      <c r="C6762" s="41" t="s">
        <v>118</v>
      </c>
      <c r="D6762" s="80" t="s">
        <v>36</v>
      </c>
      <c r="E6762" s="80" t="s">
        <v>56</v>
      </c>
      <c r="F6762" s="80" t="s">
        <v>19830</v>
      </c>
      <c r="G6762" s="80" t="s">
        <v>108</v>
      </c>
      <c r="H6762" s="80" t="s">
        <v>14135</v>
      </c>
      <c r="I6762" s="17">
        <f ca="1">IFERROR(__xludf.DUMMYFUNCTION("""COMPUTED_VALUE"""),45757)</f>
        <v>45757</v>
      </c>
      <c r="J6762" s="143" t="s">
        <v>20603</v>
      </c>
      <c r="K6762" s="145" t="s">
        <v>20604</v>
      </c>
      <c r="L6762" s="30">
        <v>966274525</v>
      </c>
      <c r="M6762" s="80" t="s">
        <v>3288</v>
      </c>
      <c r="N6762" s="80" t="s">
        <v>8331</v>
      </c>
      <c r="O6762" s="80" t="s">
        <v>91</v>
      </c>
      <c r="P6762" s="80" t="s">
        <v>20605</v>
      </c>
      <c r="Q6762" s="20">
        <v>9317</v>
      </c>
      <c r="R6762" s="80" t="s">
        <v>36</v>
      </c>
      <c r="S6762" s="95">
        <f>1000+8317</f>
        <v>9317</v>
      </c>
      <c r="T6762" s="148" t="s">
        <v>20606</v>
      </c>
      <c r="U6762" s="77"/>
      <c r="V6762" s="78"/>
      <c r="W6762" s="85" t="s">
        <v>20607</v>
      </c>
      <c r="X6762" s="80"/>
      <c r="Y6762" s="22">
        <v>0</v>
      </c>
      <c r="Z6762" s="81" t="s">
        <v>50</v>
      </c>
      <c r="AA6762" s="86" t="s">
        <v>20522</v>
      </c>
      <c r="AB6762" s="80"/>
      <c r="AC6762" s="80" t="s">
        <v>53</v>
      </c>
      <c r="AD6762" s="80" t="s">
        <v>54</v>
      </c>
      <c r="AE6762" s="80" t="s">
        <v>19830</v>
      </c>
      <c r="AF6762" s="17">
        <v>45750</v>
      </c>
      <c r="AG6762" s="80"/>
      <c r="AH6762" s="80"/>
      <c r="AI6762" s="147"/>
      <c r="AJ6762" s="80"/>
      <c r="AK6762" s="80"/>
      <c r="AL6762" s="86"/>
      <c r="AM6762" s="86"/>
      <c r="AN6762" s="86"/>
      <c r="AO6762" s="86"/>
      <c r="AP6762" s="86"/>
    </row>
    <row r="6763" spans="1:42" x14ac:dyDescent="0.2">
      <c r="A6763" s="38">
        <v>45741</v>
      </c>
      <c r="B6763" s="137" t="s">
        <v>37</v>
      </c>
      <c r="C6763" s="41" t="s">
        <v>118</v>
      </c>
      <c r="D6763" s="80" t="s">
        <v>36</v>
      </c>
      <c r="E6763" s="80" t="s">
        <v>56</v>
      </c>
      <c r="F6763" s="80" t="s">
        <v>19830</v>
      </c>
      <c r="G6763" s="80" t="s">
        <v>108</v>
      </c>
      <c r="H6763" s="80" t="s">
        <v>21186</v>
      </c>
      <c r="I6763" s="17">
        <f ca="1">IFERROR(__xludf.DUMMYFUNCTION("""COMPUTED_VALUE"""),45789)</f>
        <v>45789</v>
      </c>
      <c r="J6763" s="172" t="s">
        <v>21187</v>
      </c>
      <c r="K6763" s="145" t="s">
        <v>21188</v>
      </c>
      <c r="L6763" s="30">
        <v>976715662</v>
      </c>
      <c r="M6763" s="80" t="s">
        <v>15970</v>
      </c>
      <c r="N6763" s="80" t="s">
        <v>466</v>
      </c>
      <c r="O6763" s="80" t="s">
        <v>21189</v>
      </c>
      <c r="P6763" s="80" t="s">
        <v>21190</v>
      </c>
      <c r="Q6763" s="20">
        <v>9317</v>
      </c>
      <c r="R6763" s="80" t="s">
        <v>36</v>
      </c>
      <c r="S6763" s="95">
        <v>9217</v>
      </c>
      <c r="T6763" s="148">
        <v>45693</v>
      </c>
      <c r="U6763" s="95">
        <v>100</v>
      </c>
      <c r="V6763" s="148">
        <v>45717</v>
      </c>
      <c r="W6763" s="85" t="s">
        <v>21191</v>
      </c>
      <c r="X6763" s="80"/>
      <c r="Y6763" s="22">
        <v>0</v>
      </c>
      <c r="Z6763" s="81" t="s">
        <v>50</v>
      </c>
      <c r="AA6763" s="82"/>
      <c r="AB6763" s="80"/>
      <c r="AC6763" s="80" t="s">
        <v>53</v>
      </c>
      <c r="AD6763" s="80" t="s">
        <v>54</v>
      </c>
      <c r="AE6763" s="80" t="s">
        <v>19830</v>
      </c>
      <c r="AF6763" s="17">
        <v>45783</v>
      </c>
      <c r="AG6763" s="80"/>
      <c r="AH6763" s="80"/>
      <c r="AI6763" s="147"/>
      <c r="AJ6763" s="80"/>
      <c r="AK6763" s="80"/>
      <c r="AL6763" s="35"/>
      <c r="AM6763" s="35"/>
      <c r="AN6763" s="35"/>
      <c r="AO6763" s="35"/>
      <c r="AP6763" s="35"/>
    </row>
    <row r="6764" spans="1:42" x14ac:dyDescent="0.2">
      <c r="A6764" s="38">
        <v>45741</v>
      </c>
      <c r="B6764" s="137" t="s">
        <v>37</v>
      </c>
      <c r="C6764" s="41" t="s">
        <v>118</v>
      </c>
      <c r="D6764" s="80" t="s">
        <v>36</v>
      </c>
      <c r="E6764" s="80" t="s">
        <v>39</v>
      </c>
      <c r="F6764" s="80" t="s">
        <v>19830</v>
      </c>
      <c r="G6764" s="80" t="s">
        <v>108</v>
      </c>
      <c r="H6764" s="80" t="s">
        <v>14135</v>
      </c>
      <c r="I6764" s="17">
        <f ca="1">IFERROR(__xludf.DUMMYFUNCTION("""COMPUTED_VALUE"""),45757)</f>
        <v>45757</v>
      </c>
      <c r="J6764" s="143" t="s">
        <v>19964</v>
      </c>
      <c r="K6764" s="80" t="s">
        <v>19965</v>
      </c>
      <c r="L6764" s="30">
        <v>383658005</v>
      </c>
      <c r="M6764" s="80" t="s">
        <v>910</v>
      </c>
      <c r="N6764" s="80" t="s">
        <v>355</v>
      </c>
      <c r="O6764" s="80" t="s">
        <v>91</v>
      </c>
      <c r="P6764" s="80" t="s">
        <v>19966</v>
      </c>
      <c r="Q6764" s="20">
        <v>5736</v>
      </c>
      <c r="R6764" s="80" t="s">
        <v>36</v>
      </c>
      <c r="S6764" s="95">
        <v>5436</v>
      </c>
      <c r="T6764" s="148">
        <v>45686</v>
      </c>
      <c r="U6764" s="77"/>
      <c r="V6764" s="78"/>
      <c r="W6764" s="85" t="s">
        <v>19967</v>
      </c>
      <c r="X6764" s="80"/>
      <c r="Y6764" s="22">
        <v>300</v>
      </c>
      <c r="Z6764" s="81" t="s">
        <v>50</v>
      </c>
      <c r="AA6764" s="86" t="s">
        <v>18583</v>
      </c>
      <c r="AB6764" s="80"/>
      <c r="AC6764" s="80" t="s">
        <v>53</v>
      </c>
      <c r="AD6764" s="80" t="s">
        <v>54</v>
      </c>
      <c r="AE6764" s="80" t="s">
        <v>19830</v>
      </c>
      <c r="AF6764" s="17">
        <v>45750</v>
      </c>
      <c r="AG6764" s="80"/>
      <c r="AH6764" s="80"/>
      <c r="AI6764" s="147"/>
      <c r="AJ6764" s="80"/>
      <c r="AK6764" s="80"/>
      <c r="AL6764" s="86"/>
      <c r="AM6764" s="86"/>
      <c r="AN6764" s="86"/>
      <c r="AO6764" s="86"/>
      <c r="AP6764" s="86"/>
    </row>
    <row r="6765" spans="1:42" x14ac:dyDescent="0.2">
      <c r="A6765" s="38">
        <v>45741</v>
      </c>
      <c r="B6765" s="137" t="s">
        <v>37</v>
      </c>
      <c r="C6765" s="41" t="s">
        <v>118</v>
      </c>
      <c r="D6765" s="80" t="s">
        <v>36</v>
      </c>
      <c r="E6765" s="80" t="s">
        <v>39</v>
      </c>
      <c r="F6765" s="80" t="s">
        <v>19830</v>
      </c>
      <c r="G6765" s="80" t="s">
        <v>108</v>
      </c>
      <c r="H6765" s="80" t="s">
        <v>14135</v>
      </c>
      <c r="I6765" s="17">
        <f ca="1">IFERROR(__xludf.DUMMYFUNCTION("""COMPUTED_VALUE"""),45757)</f>
        <v>45757</v>
      </c>
      <c r="J6765" s="143" t="s">
        <v>20585</v>
      </c>
      <c r="K6765" s="80" t="s">
        <v>21192</v>
      </c>
      <c r="L6765" s="30">
        <v>358112487</v>
      </c>
      <c r="M6765" s="80" t="s">
        <v>45</v>
      </c>
      <c r="N6765" s="80" t="s">
        <v>16472</v>
      </c>
      <c r="O6765" s="80" t="s">
        <v>9235</v>
      </c>
      <c r="P6765" s="144" t="s">
        <v>21193</v>
      </c>
      <c r="Q6765" s="20">
        <v>5736</v>
      </c>
      <c r="R6765" s="80" t="s">
        <v>36</v>
      </c>
      <c r="S6765" s="95">
        <v>5736</v>
      </c>
      <c r="T6765" s="148">
        <v>45690</v>
      </c>
      <c r="U6765" s="77"/>
      <c r="V6765" s="78"/>
      <c r="W6765" s="85" t="s">
        <v>20588</v>
      </c>
      <c r="X6765" s="80"/>
      <c r="Y6765" s="22">
        <v>0</v>
      </c>
      <c r="Z6765" s="80" t="s">
        <v>50</v>
      </c>
      <c r="AA6765" s="82" t="s">
        <v>20522</v>
      </c>
      <c r="AB6765" s="80"/>
      <c r="AC6765" s="80" t="s">
        <v>53</v>
      </c>
      <c r="AD6765" s="80" t="s">
        <v>54</v>
      </c>
      <c r="AE6765" s="80" t="s">
        <v>19830</v>
      </c>
      <c r="AF6765" s="17">
        <v>45750</v>
      </c>
      <c r="AG6765" s="80"/>
      <c r="AH6765" s="80"/>
      <c r="AI6765" s="147"/>
      <c r="AJ6765" s="80"/>
      <c r="AK6765" s="80"/>
      <c r="AL6765" s="35"/>
      <c r="AM6765" s="35"/>
      <c r="AN6765" s="35"/>
      <c r="AO6765" s="35"/>
      <c r="AP6765" s="35"/>
    </row>
    <row r="6766" spans="1:42" x14ac:dyDescent="0.2">
      <c r="A6766" s="38">
        <v>45741</v>
      </c>
      <c r="B6766" s="137" t="s">
        <v>37</v>
      </c>
      <c r="C6766" s="41" t="s">
        <v>118</v>
      </c>
      <c r="D6766" s="80" t="s">
        <v>36</v>
      </c>
      <c r="E6766" s="80" t="s">
        <v>139</v>
      </c>
      <c r="F6766" s="80" t="s">
        <v>9900</v>
      </c>
      <c r="G6766" s="26" t="s">
        <v>221</v>
      </c>
      <c r="H6766" s="80" t="s">
        <v>20121</v>
      </c>
      <c r="I6766" s="17">
        <f ca="1">IFERROR(__xludf.DUMMYFUNCTION("""COMPUTED_VALUE"""),45747)</f>
        <v>45747</v>
      </c>
      <c r="J6766" s="143" t="s">
        <v>11000</v>
      </c>
      <c r="K6766" s="80" t="s">
        <v>11001</v>
      </c>
      <c r="L6766" s="30">
        <v>325035997</v>
      </c>
      <c r="M6766" s="80" t="s">
        <v>3728</v>
      </c>
      <c r="N6766" s="80" t="s">
        <v>8725</v>
      </c>
      <c r="O6766" s="80" t="s">
        <v>11002</v>
      </c>
      <c r="P6766" s="144" t="s">
        <v>13644</v>
      </c>
      <c r="Q6766" s="20">
        <v>15936</v>
      </c>
      <c r="R6766" s="80" t="s">
        <v>36</v>
      </c>
      <c r="S6766" s="95">
        <v>2000</v>
      </c>
      <c r="T6766" s="148">
        <v>45497</v>
      </c>
      <c r="U6766" s="95">
        <v>13936</v>
      </c>
      <c r="V6766" s="148">
        <v>45533</v>
      </c>
      <c r="W6766" s="85" t="s">
        <v>11004</v>
      </c>
      <c r="X6766" s="80">
        <v>0</v>
      </c>
      <c r="Y6766" s="22">
        <v>0</v>
      </c>
      <c r="Z6766" s="80" t="s">
        <v>50</v>
      </c>
      <c r="AA6766" s="35" t="s">
        <v>10314</v>
      </c>
      <c r="AB6766" s="80"/>
      <c r="AC6766" s="80" t="s">
        <v>53</v>
      </c>
      <c r="AD6766" s="80" t="s">
        <v>54</v>
      </c>
      <c r="AE6766" s="80" t="s">
        <v>9900</v>
      </c>
      <c r="AF6766" s="17">
        <v>45747</v>
      </c>
      <c r="AG6766" s="80"/>
      <c r="AH6766" s="80"/>
      <c r="AI6766" s="147"/>
      <c r="AJ6766" s="80"/>
      <c r="AK6766" s="80"/>
      <c r="AL6766" s="35"/>
      <c r="AM6766" s="35"/>
      <c r="AN6766" s="35"/>
      <c r="AO6766" s="35"/>
      <c r="AP6766" s="35"/>
    </row>
    <row r="6767" spans="1:42" x14ac:dyDescent="0.2">
      <c r="A6767" s="38">
        <v>45741</v>
      </c>
      <c r="B6767" s="137" t="s">
        <v>37</v>
      </c>
      <c r="C6767" s="41" t="s">
        <v>118</v>
      </c>
      <c r="D6767" s="80" t="s">
        <v>36</v>
      </c>
      <c r="E6767" s="80" t="s">
        <v>139</v>
      </c>
      <c r="F6767" s="80" t="s">
        <v>13674</v>
      </c>
      <c r="G6767" s="26" t="s">
        <v>221</v>
      </c>
      <c r="H6767" s="80" t="s">
        <v>21194</v>
      </c>
      <c r="I6767" s="17">
        <f ca="1">IFERROR(__xludf.DUMMYFUNCTION("""COMPUTED_VALUE"""),45881)</f>
        <v>45881</v>
      </c>
      <c r="J6767" s="143" t="s">
        <v>10801</v>
      </c>
      <c r="K6767" s="19" t="s">
        <v>21195</v>
      </c>
      <c r="L6767" s="30">
        <v>949758555</v>
      </c>
      <c r="M6767" s="80" t="s">
        <v>3728</v>
      </c>
      <c r="N6767" s="80" t="s">
        <v>8725</v>
      </c>
      <c r="O6767" s="80" t="s">
        <v>10803</v>
      </c>
      <c r="P6767" s="144" t="s">
        <v>21196</v>
      </c>
      <c r="Q6767" s="20">
        <v>15936</v>
      </c>
      <c r="R6767" s="80" t="s">
        <v>36</v>
      </c>
      <c r="S6767" s="95">
        <f>200+1800</f>
        <v>2000</v>
      </c>
      <c r="T6767" s="148" t="s">
        <v>10805</v>
      </c>
      <c r="U6767" s="95">
        <v>13936</v>
      </c>
      <c r="V6767" s="148">
        <v>45525</v>
      </c>
      <c r="W6767" s="85" t="s">
        <v>10806</v>
      </c>
      <c r="X6767" s="80">
        <v>0</v>
      </c>
      <c r="Y6767" s="22">
        <v>0</v>
      </c>
      <c r="Z6767" s="81" t="s">
        <v>50</v>
      </c>
      <c r="AA6767" s="82" t="s">
        <v>10314</v>
      </c>
      <c r="AB6767" s="80"/>
      <c r="AC6767" s="80" t="s">
        <v>53</v>
      </c>
      <c r="AD6767" s="80" t="s">
        <v>54</v>
      </c>
      <c r="AE6767" s="80" t="s">
        <v>13674</v>
      </c>
      <c r="AF6767" s="17">
        <v>45756</v>
      </c>
      <c r="AG6767" s="80" t="s">
        <v>8366</v>
      </c>
      <c r="AH6767" s="80"/>
      <c r="AI6767" s="147"/>
      <c r="AJ6767" s="80"/>
      <c r="AK6767" s="80"/>
      <c r="AL6767" s="86"/>
      <c r="AM6767" s="86"/>
      <c r="AN6767" s="86"/>
      <c r="AO6767" s="86"/>
      <c r="AP6767" s="86"/>
    </row>
    <row r="6768" spans="1:42" x14ac:dyDescent="0.2">
      <c r="A6768" s="38">
        <v>45742</v>
      </c>
      <c r="B6768" s="137" t="s">
        <v>37</v>
      </c>
      <c r="C6768" s="41" t="s">
        <v>118</v>
      </c>
      <c r="D6768" s="80" t="s">
        <v>36</v>
      </c>
      <c r="E6768" s="80" t="s">
        <v>56</v>
      </c>
      <c r="F6768" s="80" t="s">
        <v>14210</v>
      </c>
      <c r="G6768" s="26" t="s">
        <v>221</v>
      </c>
      <c r="H6768" s="80" t="s">
        <v>20081</v>
      </c>
      <c r="I6768" s="17">
        <f ca="1">IFERROR(__xludf.DUMMYFUNCTION("""COMPUTED_VALUE"""),45761)</f>
        <v>45761</v>
      </c>
      <c r="J6768" s="143" t="s">
        <v>12952</v>
      </c>
      <c r="K6768" s="80" t="s">
        <v>12953</v>
      </c>
      <c r="L6768" s="30">
        <v>983925476</v>
      </c>
      <c r="M6768" s="80" t="s">
        <v>59</v>
      </c>
      <c r="N6768" s="80" t="s">
        <v>11476</v>
      </c>
      <c r="O6768" s="80" t="s">
        <v>12954</v>
      </c>
      <c r="P6768" s="115" t="s">
        <v>21197</v>
      </c>
      <c r="Q6768" s="20">
        <v>9317</v>
      </c>
      <c r="R6768" s="80" t="s">
        <v>36</v>
      </c>
      <c r="S6768" s="95">
        <f>200+9117</f>
        <v>9317</v>
      </c>
      <c r="T6768" s="83" t="s">
        <v>12956</v>
      </c>
      <c r="U6768" s="77"/>
      <c r="V6768" s="78"/>
      <c r="W6768" s="85" t="s">
        <v>12957</v>
      </c>
      <c r="X6768" s="80">
        <v>0</v>
      </c>
      <c r="Y6768" s="22">
        <v>0</v>
      </c>
      <c r="Z6768" s="80" t="s">
        <v>50</v>
      </c>
      <c r="AA6768" s="35" t="s">
        <v>3291</v>
      </c>
      <c r="AB6768" s="80"/>
      <c r="AC6768" s="80" t="s">
        <v>53</v>
      </c>
      <c r="AD6768" s="80" t="s">
        <v>54</v>
      </c>
      <c r="AE6768" s="80" t="s">
        <v>14210</v>
      </c>
      <c r="AF6768" s="17">
        <v>45756</v>
      </c>
      <c r="AG6768" s="80"/>
      <c r="AH6768" s="80"/>
      <c r="AI6768" s="147" t="s">
        <v>64</v>
      </c>
      <c r="AJ6768" s="80"/>
      <c r="AK6768" s="80"/>
      <c r="AL6768" s="35"/>
      <c r="AM6768" s="35"/>
      <c r="AN6768" s="35"/>
      <c r="AO6768" s="35"/>
      <c r="AP6768" s="35"/>
    </row>
    <row r="6769" spans="1:42" x14ac:dyDescent="0.2">
      <c r="A6769" s="38">
        <v>45742</v>
      </c>
      <c r="B6769" s="137" t="s">
        <v>37</v>
      </c>
      <c r="C6769" s="41" t="s">
        <v>118</v>
      </c>
      <c r="D6769" s="80" t="s">
        <v>36</v>
      </c>
      <c r="E6769" s="80" t="s">
        <v>139</v>
      </c>
      <c r="F6769" s="80" t="s">
        <v>17063</v>
      </c>
      <c r="G6769" s="26" t="s">
        <v>221</v>
      </c>
      <c r="H6769" s="80" t="s">
        <v>21198</v>
      </c>
      <c r="I6769" s="17">
        <f ca="1">IFERROR(__xludf.DUMMYFUNCTION("""COMPUTED_VALUE"""),45842)</f>
        <v>45842</v>
      </c>
      <c r="J6769" s="143" t="s">
        <v>17064</v>
      </c>
      <c r="K6769" s="145" t="s">
        <v>17065</v>
      </c>
      <c r="L6769" s="30">
        <v>879513191</v>
      </c>
      <c r="M6769" s="80" t="s">
        <v>15996</v>
      </c>
      <c r="N6769" s="80" t="s">
        <v>186</v>
      </c>
      <c r="O6769" s="80" t="s">
        <v>4503</v>
      </c>
      <c r="P6769" s="144" t="s">
        <v>21199</v>
      </c>
      <c r="Q6769" s="20">
        <v>15936</v>
      </c>
      <c r="R6769" s="80" t="s">
        <v>36</v>
      </c>
      <c r="S6769" s="95">
        <v>2000</v>
      </c>
      <c r="T6769" s="148">
        <v>45580</v>
      </c>
      <c r="U6769" s="95">
        <v>13936</v>
      </c>
      <c r="V6769" s="148">
        <v>45604</v>
      </c>
      <c r="W6769" s="85" t="s">
        <v>17067</v>
      </c>
      <c r="X6769" s="80"/>
      <c r="Y6769" s="22">
        <v>0</v>
      </c>
      <c r="Z6769" s="81" t="s">
        <v>50</v>
      </c>
      <c r="AA6769" s="82"/>
      <c r="AB6769" s="80"/>
      <c r="AC6769" s="80" t="s">
        <v>53</v>
      </c>
      <c r="AD6769" s="80" t="s">
        <v>54</v>
      </c>
      <c r="AE6769" s="80" t="s">
        <v>17063</v>
      </c>
      <c r="AF6769" s="17">
        <v>45839</v>
      </c>
      <c r="AG6769" s="80"/>
      <c r="AH6769" s="80"/>
      <c r="AI6769" s="147"/>
      <c r="AJ6769" s="80"/>
      <c r="AK6769" s="80"/>
      <c r="AL6769" s="86"/>
      <c r="AM6769" s="86"/>
      <c r="AN6769" s="86"/>
      <c r="AO6769" s="86"/>
      <c r="AP6769" s="86"/>
    </row>
    <row r="6770" spans="1:42" x14ac:dyDescent="0.2">
      <c r="A6770" s="38">
        <v>45742</v>
      </c>
      <c r="B6770" s="28" t="s">
        <v>37</v>
      </c>
      <c r="C6770" s="41" t="s">
        <v>118</v>
      </c>
      <c r="D6770" s="80" t="s">
        <v>36</v>
      </c>
      <c r="E6770" s="80" t="s">
        <v>56</v>
      </c>
      <c r="F6770" s="80" t="s">
        <v>17063</v>
      </c>
      <c r="G6770" s="26" t="s">
        <v>221</v>
      </c>
      <c r="H6770" s="80" t="s">
        <v>16949</v>
      </c>
      <c r="I6770" s="17">
        <f ca="1">IFERROR(__xludf.DUMMYFUNCTION("""COMPUTED_VALUE"""),45758)</f>
        <v>45758</v>
      </c>
      <c r="J6770" s="143" t="s">
        <v>15143</v>
      </c>
      <c r="K6770" s="145" t="s">
        <v>17078</v>
      </c>
      <c r="L6770" s="30">
        <v>359508100</v>
      </c>
      <c r="M6770" s="80" t="s">
        <v>5558</v>
      </c>
      <c r="N6770" s="80" t="s">
        <v>5559</v>
      </c>
      <c r="O6770" s="80" t="s">
        <v>4503</v>
      </c>
      <c r="P6770" s="80" t="s">
        <v>15145</v>
      </c>
      <c r="Q6770" s="20">
        <v>9317</v>
      </c>
      <c r="R6770" s="80" t="s">
        <v>36</v>
      </c>
      <c r="S6770" s="95">
        <v>2000</v>
      </c>
      <c r="T6770" s="148">
        <v>45545</v>
      </c>
      <c r="U6770" s="95">
        <v>7317</v>
      </c>
      <c r="V6770" s="148">
        <v>45568</v>
      </c>
      <c r="W6770" s="85" t="s">
        <v>15146</v>
      </c>
      <c r="X6770" s="80"/>
      <c r="Y6770" s="22">
        <v>0</v>
      </c>
      <c r="Z6770" s="81" t="s">
        <v>50</v>
      </c>
      <c r="AA6770" s="86" t="s">
        <v>9905</v>
      </c>
      <c r="AB6770" s="80"/>
      <c r="AC6770" s="80" t="s">
        <v>53</v>
      </c>
      <c r="AD6770" s="80" t="s">
        <v>54</v>
      </c>
      <c r="AE6770" s="80" t="s">
        <v>17063</v>
      </c>
      <c r="AF6770" s="17">
        <v>45755</v>
      </c>
      <c r="AG6770" s="80"/>
      <c r="AH6770" s="80"/>
      <c r="AI6770" s="147"/>
      <c r="AJ6770" s="80"/>
      <c r="AK6770" s="80"/>
      <c r="AL6770" s="86"/>
      <c r="AM6770" s="86"/>
      <c r="AN6770" s="86"/>
      <c r="AO6770" s="86"/>
      <c r="AP6770" s="86"/>
    </row>
    <row r="6771" spans="1:42" x14ac:dyDescent="0.2">
      <c r="A6771" s="38">
        <v>45742</v>
      </c>
      <c r="B6771" s="137" t="s">
        <v>37</v>
      </c>
      <c r="C6771" s="41" t="s">
        <v>118</v>
      </c>
      <c r="D6771" s="80" t="s">
        <v>36</v>
      </c>
      <c r="E6771" s="80" t="s">
        <v>139</v>
      </c>
      <c r="F6771" s="80" t="s">
        <v>17063</v>
      </c>
      <c r="G6771" s="26" t="s">
        <v>221</v>
      </c>
      <c r="H6771" s="80" t="s">
        <v>21200</v>
      </c>
      <c r="I6771" s="17" t="str">
        <f ca="1">IFERROR(__xludf.DUMMYFUNCTION("""COMPUTED_VALUE""")," ")</f>
        <v xml:space="preserve"> </v>
      </c>
      <c r="J6771" s="143" t="s">
        <v>16417</v>
      </c>
      <c r="K6771" s="145" t="s">
        <v>17079</v>
      </c>
      <c r="L6771" s="30">
        <v>967099343</v>
      </c>
      <c r="M6771" s="80" t="s">
        <v>9422</v>
      </c>
      <c r="N6771" s="80" t="s">
        <v>260</v>
      </c>
      <c r="O6771" s="80" t="s">
        <v>16419</v>
      </c>
      <c r="P6771" s="137" t="s">
        <v>16420</v>
      </c>
      <c r="Q6771" s="20">
        <v>15936</v>
      </c>
      <c r="R6771" s="80" t="s">
        <v>36</v>
      </c>
      <c r="S6771" s="95">
        <v>15936</v>
      </c>
      <c r="T6771" s="148">
        <v>45585</v>
      </c>
      <c r="U6771" s="77"/>
      <c r="V6771" s="78"/>
      <c r="W6771" s="85" t="s">
        <v>16421</v>
      </c>
      <c r="X6771" s="80"/>
      <c r="Y6771" s="22">
        <v>0</v>
      </c>
      <c r="Z6771" s="81" t="s">
        <v>50</v>
      </c>
      <c r="AA6771" s="82" t="s">
        <v>9905</v>
      </c>
      <c r="AB6771" s="80"/>
      <c r="AC6771" s="80" t="s">
        <v>53</v>
      </c>
      <c r="AD6771" s="80" t="s">
        <v>138</v>
      </c>
      <c r="AE6771" s="80" t="s">
        <v>17063</v>
      </c>
      <c r="AF6771" s="17">
        <v>45755</v>
      </c>
      <c r="AG6771" s="80"/>
      <c r="AH6771" s="80"/>
      <c r="AI6771" s="147"/>
      <c r="AJ6771" s="80"/>
      <c r="AK6771" s="80"/>
      <c r="AL6771" s="86"/>
      <c r="AM6771" s="86"/>
      <c r="AN6771" s="86"/>
      <c r="AO6771" s="86"/>
      <c r="AP6771" s="86"/>
    </row>
    <row r="6772" spans="1:42" x14ac:dyDescent="0.2">
      <c r="A6772" s="38">
        <v>45742</v>
      </c>
      <c r="B6772" s="137" t="s">
        <v>37</v>
      </c>
      <c r="C6772" s="41" t="s">
        <v>118</v>
      </c>
      <c r="D6772" s="80" t="s">
        <v>36</v>
      </c>
      <c r="E6772" s="80" t="s">
        <v>56</v>
      </c>
      <c r="F6772" s="80" t="s">
        <v>17063</v>
      </c>
      <c r="G6772" s="26" t="s">
        <v>221</v>
      </c>
      <c r="H6772" s="80" t="s">
        <v>16949</v>
      </c>
      <c r="I6772" s="17">
        <f ca="1">IFERROR(__xludf.DUMMYFUNCTION("""COMPUTED_VALUE"""),45758)</f>
        <v>45758</v>
      </c>
      <c r="J6772" s="143" t="s">
        <v>16495</v>
      </c>
      <c r="K6772" s="145" t="s">
        <v>16496</v>
      </c>
      <c r="L6772" s="30">
        <v>986270260</v>
      </c>
      <c r="M6772" s="80" t="s">
        <v>9422</v>
      </c>
      <c r="N6772" s="80" t="s">
        <v>327</v>
      </c>
      <c r="O6772" s="80" t="s">
        <v>8827</v>
      </c>
      <c r="P6772" s="80" t="s">
        <v>11654</v>
      </c>
      <c r="Q6772" s="20">
        <v>9317</v>
      </c>
      <c r="R6772" s="80" t="s">
        <v>36</v>
      </c>
      <c r="S6772" s="95">
        <v>2000</v>
      </c>
      <c r="T6772" s="148">
        <v>45589</v>
      </c>
      <c r="U6772" s="95">
        <v>7317</v>
      </c>
      <c r="V6772" s="148">
        <v>45596</v>
      </c>
      <c r="W6772" s="85" t="s">
        <v>16497</v>
      </c>
      <c r="X6772" s="80"/>
      <c r="Y6772" s="22">
        <v>0</v>
      </c>
      <c r="Z6772" s="81" t="s">
        <v>50</v>
      </c>
      <c r="AA6772" s="86" t="s">
        <v>9905</v>
      </c>
      <c r="AB6772" s="80"/>
      <c r="AC6772" s="80" t="s">
        <v>1828</v>
      </c>
      <c r="AD6772" s="80" t="s">
        <v>54</v>
      </c>
      <c r="AE6772" s="80" t="s">
        <v>17063</v>
      </c>
      <c r="AF6772" s="60" t="s">
        <v>1829</v>
      </c>
      <c r="AG6772" s="80"/>
      <c r="AH6772" s="80"/>
      <c r="AI6772" s="147"/>
      <c r="AJ6772" s="80"/>
      <c r="AK6772" s="80"/>
      <c r="AL6772" s="86"/>
      <c r="AM6772" s="86"/>
      <c r="AN6772" s="86"/>
      <c r="AO6772" s="86"/>
      <c r="AP6772" s="86"/>
    </row>
    <row r="6773" spans="1:42" x14ac:dyDescent="0.2">
      <c r="A6773" s="38">
        <v>45742</v>
      </c>
      <c r="B6773" s="68" t="s">
        <v>37</v>
      </c>
      <c r="C6773" s="41" t="s">
        <v>118</v>
      </c>
      <c r="D6773" s="80" t="s">
        <v>36</v>
      </c>
      <c r="E6773" s="80" t="s">
        <v>56</v>
      </c>
      <c r="F6773" s="80" t="s">
        <v>17063</v>
      </c>
      <c r="G6773" s="26" t="s">
        <v>221</v>
      </c>
      <c r="H6773" s="80" t="s">
        <v>21201</v>
      </c>
      <c r="I6773" s="17">
        <f ca="1">IFERROR(__xludf.DUMMYFUNCTION("""COMPUTED_VALUE"""),45854)</f>
        <v>45854</v>
      </c>
      <c r="J6773" s="143" t="s">
        <v>12187</v>
      </c>
      <c r="K6773" s="145" t="s">
        <v>21202</v>
      </c>
      <c r="L6773" s="30">
        <v>866689785</v>
      </c>
      <c r="M6773" s="80" t="s">
        <v>80</v>
      </c>
      <c r="N6773" s="80" t="s">
        <v>1073</v>
      </c>
      <c r="O6773" s="80" t="s">
        <v>12189</v>
      </c>
      <c r="P6773" s="144" t="s">
        <v>21203</v>
      </c>
      <c r="Q6773" s="20">
        <v>9317</v>
      </c>
      <c r="R6773" s="80" t="s">
        <v>36</v>
      </c>
      <c r="S6773" s="95">
        <f>200+1800+7317</f>
        <v>9317</v>
      </c>
      <c r="T6773" s="148" t="s">
        <v>12191</v>
      </c>
      <c r="U6773" s="95"/>
      <c r="V6773" s="148">
        <v>45560</v>
      </c>
      <c r="W6773" s="85" t="s">
        <v>12192</v>
      </c>
      <c r="X6773" s="83">
        <v>0</v>
      </c>
      <c r="Y6773" s="22">
        <v>0</v>
      </c>
      <c r="Z6773" s="81" t="s">
        <v>50</v>
      </c>
      <c r="AA6773" s="82" t="s">
        <v>3291</v>
      </c>
      <c r="AB6773" s="80"/>
      <c r="AC6773" s="80" t="s">
        <v>53</v>
      </c>
      <c r="AD6773" s="80" t="s">
        <v>54</v>
      </c>
      <c r="AE6773" s="80" t="s">
        <v>17063</v>
      </c>
      <c r="AF6773" s="17">
        <v>45871</v>
      </c>
      <c r="AG6773" s="80" t="s">
        <v>21204</v>
      </c>
      <c r="AH6773" s="80"/>
      <c r="AI6773" s="147" t="s">
        <v>64</v>
      </c>
      <c r="AJ6773" s="80"/>
      <c r="AK6773" s="80"/>
      <c r="AL6773" s="86"/>
      <c r="AM6773" s="86"/>
      <c r="AN6773" s="86"/>
      <c r="AO6773" s="86"/>
      <c r="AP6773" s="86"/>
    </row>
    <row r="6774" spans="1:42" x14ac:dyDescent="0.2">
      <c r="A6774" s="38">
        <v>45742</v>
      </c>
      <c r="B6774" s="137" t="s">
        <v>37</v>
      </c>
      <c r="C6774" s="41" t="s">
        <v>118</v>
      </c>
      <c r="D6774" s="80" t="s">
        <v>36</v>
      </c>
      <c r="E6774" s="80" t="s">
        <v>56</v>
      </c>
      <c r="F6774" s="80" t="s">
        <v>17063</v>
      </c>
      <c r="G6774" s="26" t="s">
        <v>108</v>
      </c>
      <c r="H6774" s="80" t="s">
        <v>21205</v>
      </c>
      <c r="I6774" s="17" t="str">
        <f ca="1">IFERROR(__xludf.DUMMYFUNCTION("""COMPUTED_VALUE""")," ")</f>
        <v xml:space="preserve"> </v>
      </c>
      <c r="J6774" s="143" t="s">
        <v>11205</v>
      </c>
      <c r="K6774" s="145" t="s">
        <v>18267</v>
      </c>
      <c r="L6774" s="30">
        <v>343372006</v>
      </c>
      <c r="M6774" s="80" t="s">
        <v>910</v>
      </c>
      <c r="N6774" s="80" t="s">
        <v>3525</v>
      </c>
      <c r="O6774" s="80" t="s">
        <v>11207</v>
      </c>
      <c r="P6774" s="144" t="s">
        <v>18268</v>
      </c>
      <c r="Q6774" s="20">
        <v>9317</v>
      </c>
      <c r="R6774" s="80" t="s">
        <v>36</v>
      </c>
      <c r="S6774" s="95">
        <f>200+9117</f>
        <v>9317</v>
      </c>
      <c r="T6774" s="148" t="s">
        <v>11209</v>
      </c>
      <c r="U6774" s="77"/>
      <c r="V6774" s="78"/>
      <c r="W6774" s="80" t="s">
        <v>11210</v>
      </c>
      <c r="X6774" s="83">
        <v>0</v>
      </c>
      <c r="Y6774" s="22">
        <v>0</v>
      </c>
      <c r="Z6774" s="81" t="s">
        <v>50</v>
      </c>
      <c r="AA6774" s="86" t="s">
        <v>10314</v>
      </c>
      <c r="AB6774" s="80"/>
      <c r="AC6774" s="80" t="s">
        <v>53</v>
      </c>
      <c r="AD6774" s="80" t="s">
        <v>54</v>
      </c>
      <c r="AE6774" s="80" t="s">
        <v>17063</v>
      </c>
      <c r="AF6774" s="17">
        <v>45890</v>
      </c>
      <c r="AG6774" s="80"/>
      <c r="AH6774" s="80"/>
      <c r="AI6774" s="147"/>
      <c r="AJ6774" s="80"/>
      <c r="AK6774" s="80"/>
      <c r="AL6774" s="86"/>
      <c r="AM6774" s="86"/>
      <c r="AN6774" s="86"/>
      <c r="AO6774" s="86"/>
      <c r="AP6774" s="86"/>
    </row>
    <row r="6775" spans="1:42" x14ac:dyDescent="0.2">
      <c r="A6775" s="38">
        <v>45742</v>
      </c>
      <c r="B6775" s="137" t="s">
        <v>37</v>
      </c>
      <c r="C6775" s="41" t="s">
        <v>118</v>
      </c>
      <c r="D6775" s="80" t="s">
        <v>36</v>
      </c>
      <c r="E6775" s="80" t="s">
        <v>139</v>
      </c>
      <c r="F6775" s="80" t="s">
        <v>16890</v>
      </c>
      <c r="G6775" s="26" t="s">
        <v>221</v>
      </c>
      <c r="H6775" s="80" t="s">
        <v>13932</v>
      </c>
      <c r="I6775" s="17">
        <f ca="1">IFERROR(__xludf.DUMMYFUNCTION("""COMPUTED_VALUE"""),45762)</f>
        <v>45762</v>
      </c>
      <c r="J6775" s="143" t="s">
        <v>16891</v>
      </c>
      <c r="K6775" s="145" t="s">
        <v>16892</v>
      </c>
      <c r="L6775" s="30">
        <v>328641984</v>
      </c>
      <c r="M6775" s="80" t="s">
        <v>15970</v>
      </c>
      <c r="N6775" s="80" t="s">
        <v>327</v>
      </c>
      <c r="O6775" s="80" t="s">
        <v>16893</v>
      </c>
      <c r="P6775" s="144" t="s">
        <v>16894</v>
      </c>
      <c r="Q6775" s="20">
        <v>15936</v>
      </c>
      <c r="R6775" s="80" t="s">
        <v>1106</v>
      </c>
      <c r="S6775" s="95">
        <f>200+2800</f>
        <v>3000</v>
      </c>
      <c r="T6775" s="148" t="s">
        <v>16895</v>
      </c>
      <c r="U6775" s="95">
        <v>12786</v>
      </c>
      <c r="V6775" s="148">
        <v>45598</v>
      </c>
      <c r="W6775" s="85" t="s">
        <v>16896</v>
      </c>
      <c r="X6775" s="80"/>
      <c r="Y6775" s="22">
        <v>150</v>
      </c>
      <c r="Z6775" s="81" t="s">
        <v>50</v>
      </c>
      <c r="AA6775" s="82"/>
      <c r="AB6775" s="80"/>
      <c r="AC6775" s="80" t="s">
        <v>53</v>
      </c>
      <c r="AD6775" s="80" t="s">
        <v>54</v>
      </c>
      <c r="AE6775" s="80" t="s">
        <v>16890</v>
      </c>
      <c r="AF6775" s="17">
        <v>45756</v>
      </c>
      <c r="AG6775" s="80"/>
      <c r="AH6775" s="80"/>
      <c r="AI6775" s="147"/>
      <c r="AJ6775" s="80"/>
      <c r="AK6775" s="80"/>
      <c r="AL6775" s="86"/>
      <c r="AM6775" s="86"/>
      <c r="AN6775" s="86"/>
      <c r="AO6775" s="86"/>
      <c r="AP6775" s="86"/>
    </row>
    <row r="6776" spans="1:42" x14ac:dyDescent="0.2">
      <c r="A6776" s="38">
        <v>45742</v>
      </c>
      <c r="B6776" s="137" t="s">
        <v>37</v>
      </c>
      <c r="C6776" s="41" t="s">
        <v>118</v>
      </c>
      <c r="D6776" s="80" t="s">
        <v>36</v>
      </c>
      <c r="E6776" s="80" t="s">
        <v>139</v>
      </c>
      <c r="F6776" s="80" t="s">
        <v>16890</v>
      </c>
      <c r="G6776" s="26" t="s">
        <v>221</v>
      </c>
      <c r="H6776" s="80" t="s">
        <v>13932</v>
      </c>
      <c r="I6776" s="17">
        <f ca="1">IFERROR(__xludf.DUMMYFUNCTION("""COMPUTED_VALUE"""),45762)</f>
        <v>45762</v>
      </c>
      <c r="J6776" s="143" t="s">
        <v>16898</v>
      </c>
      <c r="K6776" s="145" t="s">
        <v>18503</v>
      </c>
      <c r="L6776" s="30">
        <v>911400667</v>
      </c>
      <c r="M6776" s="80" t="s">
        <v>15970</v>
      </c>
      <c r="N6776" s="80" t="s">
        <v>16079</v>
      </c>
      <c r="O6776" s="80" t="s">
        <v>16900</v>
      </c>
      <c r="P6776" s="144" t="s">
        <v>16901</v>
      </c>
      <c r="Q6776" s="20">
        <v>15936</v>
      </c>
      <c r="R6776" s="80" t="s">
        <v>1106</v>
      </c>
      <c r="S6776" s="95">
        <v>3000</v>
      </c>
      <c r="T6776" s="148">
        <v>45571</v>
      </c>
      <c r="U6776" s="95">
        <v>12936</v>
      </c>
      <c r="V6776" s="148">
        <v>45600</v>
      </c>
      <c r="W6776" s="85" t="s">
        <v>16902</v>
      </c>
      <c r="X6776" s="80"/>
      <c r="Y6776" s="22">
        <v>0</v>
      </c>
      <c r="Z6776" s="81" t="s">
        <v>50</v>
      </c>
      <c r="AA6776" s="86"/>
      <c r="AB6776" s="80"/>
      <c r="AC6776" s="80" t="s">
        <v>53</v>
      </c>
      <c r="AD6776" s="80" t="s">
        <v>54</v>
      </c>
      <c r="AE6776" s="80" t="s">
        <v>16890</v>
      </c>
      <c r="AF6776" s="17">
        <v>45756</v>
      </c>
      <c r="AG6776" s="80"/>
      <c r="AH6776" s="80"/>
      <c r="AI6776" s="147"/>
      <c r="AJ6776" s="80"/>
      <c r="AK6776" s="80"/>
      <c r="AL6776" s="86"/>
      <c r="AM6776" s="86"/>
      <c r="AN6776" s="86"/>
      <c r="AO6776" s="86"/>
      <c r="AP6776" s="86"/>
    </row>
    <row r="6777" spans="1:42" x14ac:dyDescent="0.2">
      <c r="A6777" s="38">
        <v>45742</v>
      </c>
      <c r="B6777" s="137" t="s">
        <v>37</v>
      </c>
      <c r="C6777" s="41" t="s">
        <v>118</v>
      </c>
      <c r="D6777" s="80" t="s">
        <v>36</v>
      </c>
      <c r="E6777" s="80" t="s">
        <v>139</v>
      </c>
      <c r="F6777" s="80" t="s">
        <v>16890</v>
      </c>
      <c r="G6777" s="26" t="s">
        <v>221</v>
      </c>
      <c r="H6777" s="80" t="s">
        <v>13932</v>
      </c>
      <c r="I6777" s="17">
        <f ca="1">IFERROR(__xludf.DUMMYFUNCTION("""COMPUTED_VALUE"""),45762)</f>
        <v>45762</v>
      </c>
      <c r="J6777" s="143" t="s">
        <v>15177</v>
      </c>
      <c r="K6777" s="145" t="s">
        <v>16923</v>
      </c>
      <c r="L6777" s="30">
        <v>865994085</v>
      </c>
      <c r="M6777" s="80" t="s">
        <v>12529</v>
      </c>
      <c r="N6777" s="80" t="s">
        <v>466</v>
      </c>
      <c r="O6777" s="80" t="s">
        <v>15179</v>
      </c>
      <c r="P6777" s="144" t="s">
        <v>16924</v>
      </c>
      <c r="Q6777" s="20">
        <v>15936</v>
      </c>
      <c r="R6777" s="80" t="s">
        <v>36</v>
      </c>
      <c r="S6777" s="95">
        <v>2000</v>
      </c>
      <c r="T6777" s="148">
        <v>45546</v>
      </c>
      <c r="U6777" s="95">
        <v>13936</v>
      </c>
      <c r="V6777" s="169">
        <v>45586</v>
      </c>
      <c r="W6777" s="85" t="s">
        <v>15181</v>
      </c>
      <c r="X6777" s="80"/>
      <c r="Y6777" s="22">
        <v>0</v>
      </c>
      <c r="Z6777" s="81" t="s">
        <v>50</v>
      </c>
      <c r="AA6777" s="82" t="s">
        <v>9905</v>
      </c>
      <c r="AB6777" s="80"/>
      <c r="AC6777" s="80" t="s">
        <v>53</v>
      </c>
      <c r="AD6777" s="80" t="s">
        <v>54</v>
      </c>
      <c r="AE6777" s="80" t="s">
        <v>16890</v>
      </c>
      <c r="AF6777" s="17">
        <v>45756</v>
      </c>
      <c r="AG6777" s="80"/>
      <c r="AH6777" s="80"/>
      <c r="AI6777" s="147"/>
      <c r="AJ6777" s="80"/>
      <c r="AK6777" s="80"/>
      <c r="AL6777" s="86"/>
      <c r="AM6777" s="86"/>
      <c r="AN6777" s="86"/>
      <c r="AO6777" s="86"/>
      <c r="AP6777" s="86"/>
    </row>
    <row r="6778" spans="1:42" x14ac:dyDescent="0.2">
      <c r="A6778" s="38">
        <v>45742</v>
      </c>
      <c r="B6778" s="137" t="s">
        <v>37</v>
      </c>
      <c r="C6778" s="41" t="s">
        <v>118</v>
      </c>
      <c r="D6778" s="80" t="s">
        <v>36</v>
      </c>
      <c r="E6778" s="80" t="s">
        <v>139</v>
      </c>
      <c r="F6778" s="80" t="s">
        <v>16890</v>
      </c>
      <c r="G6778" s="26" t="s">
        <v>221</v>
      </c>
      <c r="H6778" s="80" t="s">
        <v>18072</v>
      </c>
      <c r="I6778" s="17">
        <f ca="1">IFERROR(__xludf.DUMMYFUNCTION("""COMPUTED_VALUE"""),45804)</f>
        <v>45804</v>
      </c>
      <c r="J6778" s="143" t="s">
        <v>16077</v>
      </c>
      <c r="K6778" s="145" t="s">
        <v>21206</v>
      </c>
      <c r="L6778" s="30">
        <v>973963450</v>
      </c>
      <c r="M6778" s="80" t="s">
        <v>15970</v>
      </c>
      <c r="N6778" s="80" t="s">
        <v>16079</v>
      </c>
      <c r="O6778" s="80" t="s">
        <v>16080</v>
      </c>
      <c r="P6778" s="144" t="s">
        <v>16928</v>
      </c>
      <c r="Q6778" s="20">
        <v>15936</v>
      </c>
      <c r="R6778" s="80" t="s">
        <v>36</v>
      </c>
      <c r="S6778" s="95">
        <f>300+1968</f>
        <v>2268</v>
      </c>
      <c r="T6778" s="148" t="s">
        <v>16082</v>
      </c>
      <c r="U6778" s="95">
        <v>13668</v>
      </c>
      <c r="V6778" s="148">
        <v>45578</v>
      </c>
      <c r="W6778" s="85" t="s">
        <v>16083</v>
      </c>
      <c r="X6778" s="80"/>
      <c r="Y6778" s="22">
        <v>0</v>
      </c>
      <c r="Z6778" s="81" t="s">
        <v>50</v>
      </c>
      <c r="AA6778" s="86" t="s">
        <v>9905</v>
      </c>
      <c r="AB6778" s="80"/>
      <c r="AC6778" s="80" t="s">
        <v>53</v>
      </c>
      <c r="AD6778" s="80" t="s">
        <v>54</v>
      </c>
      <c r="AE6778" s="80" t="s">
        <v>16890</v>
      </c>
      <c r="AF6778" s="17">
        <v>45803</v>
      </c>
      <c r="AG6778" s="80"/>
      <c r="AH6778" s="80"/>
      <c r="AI6778" s="147"/>
      <c r="AJ6778" s="80"/>
      <c r="AK6778" s="80"/>
      <c r="AL6778" s="86"/>
      <c r="AM6778" s="86"/>
      <c r="AN6778" s="86"/>
      <c r="AO6778" s="86"/>
      <c r="AP6778" s="86"/>
    </row>
    <row r="6779" spans="1:42" x14ac:dyDescent="0.2">
      <c r="A6779" s="38">
        <v>45742</v>
      </c>
      <c r="B6779" s="137"/>
      <c r="C6779" s="41" t="s">
        <v>118</v>
      </c>
      <c r="D6779" s="80" t="s">
        <v>36</v>
      </c>
      <c r="E6779" s="80" t="s">
        <v>56</v>
      </c>
      <c r="F6779" s="80" t="s">
        <v>16890</v>
      </c>
      <c r="G6779" s="26" t="s">
        <v>221</v>
      </c>
      <c r="H6779" s="80" t="s">
        <v>865</v>
      </c>
      <c r="I6779" s="17" t="str">
        <f ca="1">IFERROR(__xludf.DUMMYFUNCTION("""COMPUTED_VALUE""")," ")</f>
        <v xml:space="preserve"> </v>
      </c>
      <c r="J6779" s="143" t="s">
        <v>16051</v>
      </c>
      <c r="K6779" s="145" t="s">
        <v>16052</v>
      </c>
      <c r="L6779" s="30">
        <v>352312394</v>
      </c>
      <c r="M6779" s="80" t="s">
        <v>9422</v>
      </c>
      <c r="N6779" s="80" t="s">
        <v>13156</v>
      </c>
      <c r="O6779" s="80" t="s">
        <v>16053</v>
      </c>
      <c r="P6779" s="144" t="s">
        <v>16897</v>
      </c>
      <c r="Q6779" s="20">
        <v>9317</v>
      </c>
      <c r="R6779" s="80" t="s">
        <v>11421</v>
      </c>
      <c r="S6779" s="95">
        <v>2000</v>
      </c>
      <c r="T6779" s="148">
        <v>45569</v>
      </c>
      <c r="U6779" s="95">
        <v>7017</v>
      </c>
      <c r="V6779" s="148">
        <v>45593</v>
      </c>
      <c r="W6779" s="85" t="s">
        <v>16055</v>
      </c>
      <c r="X6779" s="80"/>
      <c r="Y6779" s="22">
        <v>300</v>
      </c>
      <c r="Z6779" s="81" t="s">
        <v>50</v>
      </c>
      <c r="AA6779" s="82" t="s">
        <v>9905</v>
      </c>
      <c r="AB6779" s="80"/>
      <c r="AC6779" s="80" t="s">
        <v>53</v>
      </c>
      <c r="AD6779" s="80" t="s">
        <v>54</v>
      </c>
      <c r="AE6779" s="80" t="s">
        <v>16890</v>
      </c>
      <c r="AF6779" s="17"/>
      <c r="AG6779" s="80"/>
      <c r="AH6779" s="80"/>
      <c r="AI6779" s="147"/>
      <c r="AJ6779" s="80"/>
      <c r="AK6779" s="80"/>
      <c r="AL6779" s="86"/>
      <c r="AM6779" s="86"/>
      <c r="AN6779" s="86"/>
      <c r="AO6779" s="86"/>
      <c r="AP6779" s="86"/>
    </row>
    <row r="6780" spans="1:42" x14ac:dyDescent="0.2">
      <c r="A6780" s="38">
        <v>45742</v>
      </c>
      <c r="B6780" s="137" t="s">
        <v>37</v>
      </c>
      <c r="C6780" s="41" t="s">
        <v>118</v>
      </c>
      <c r="D6780" s="80" t="s">
        <v>36</v>
      </c>
      <c r="E6780" s="80" t="s">
        <v>56</v>
      </c>
      <c r="F6780" s="80" t="s">
        <v>16890</v>
      </c>
      <c r="G6780" s="26" t="s">
        <v>221</v>
      </c>
      <c r="H6780" s="80" t="s">
        <v>16939</v>
      </c>
      <c r="I6780" s="17">
        <f ca="1">IFERROR(__xludf.DUMMYFUNCTION("""COMPUTED_VALUE"""),45769)</f>
        <v>45769</v>
      </c>
      <c r="J6780" s="143" t="s">
        <v>12140</v>
      </c>
      <c r="K6780" s="80" t="s">
        <v>16925</v>
      </c>
      <c r="L6780" s="30">
        <v>915233135</v>
      </c>
      <c r="M6780" s="80" t="s">
        <v>123</v>
      </c>
      <c r="N6780" s="80" t="s">
        <v>327</v>
      </c>
      <c r="O6780" s="80"/>
      <c r="P6780" s="144" t="s">
        <v>21207</v>
      </c>
      <c r="Q6780" s="20">
        <v>9317</v>
      </c>
      <c r="R6780" s="80" t="s">
        <v>36</v>
      </c>
      <c r="S6780" s="95">
        <v>2000</v>
      </c>
      <c r="T6780" s="148">
        <v>45510</v>
      </c>
      <c r="U6780" s="178">
        <v>7317</v>
      </c>
      <c r="V6780" s="169">
        <v>45540</v>
      </c>
      <c r="W6780" s="85" t="s">
        <v>12143</v>
      </c>
      <c r="X6780" s="83">
        <v>0</v>
      </c>
      <c r="Y6780" s="22">
        <v>0</v>
      </c>
      <c r="Z6780" s="81" t="s">
        <v>50</v>
      </c>
      <c r="AA6780" s="86" t="s">
        <v>3291</v>
      </c>
      <c r="AB6780" s="80"/>
      <c r="AC6780" s="80" t="s">
        <v>53</v>
      </c>
      <c r="AD6780" s="80" t="s">
        <v>54</v>
      </c>
      <c r="AE6780" s="80" t="s">
        <v>16890</v>
      </c>
      <c r="AF6780" s="17">
        <v>45763</v>
      </c>
      <c r="AG6780" s="80"/>
      <c r="AH6780" s="80"/>
      <c r="AI6780" s="147" t="s">
        <v>64</v>
      </c>
      <c r="AJ6780" s="80"/>
      <c r="AK6780" s="80"/>
      <c r="AL6780" s="86"/>
      <c r="AM6780" s="86"/>
      <c r="AN6780" s="86"/>
      <c r="AO6780" s="86"/>
      <c r="AP6780" s="86"/>
    </row>
    <row r="6781" spans="1:42" x14ac:dyDescent="0.2">
      <c r="A6781" s="38">
        <v>45742</v>
      </c>
      <c r="B6781" s="137" t="s">
        <v>37</v>
      </c>
      <c r="C6781" s="41" t="s">
        <v>118</v>
      </c>
      <c r="D6781" s="26" t="s">
        <v>36</v>
      </c>
      <c r="E6781" s="26" t="s">
        <v>119</v>
      </c>
      <c r="F6781" s="26" t="s">
        <v>13755</v>
      </c>
      <c r="G6781" s="26" t="s">
        <v>1705</v>
      </c>
      <c r="H6781" s="26" t="s">
        <v>20497</v>
      </c>
      <c r="I6781" s="17">
        <f ca="1">IFERROR(__xludf.DUMMYFUNCTION("""COMPUTED_VALUE"""),45569)</f>
        <v>45569</v>
      </c>
      <c r="J6781" s="29" t="s">
        <v>10904</v>
      </c>
      <c r="K6781" s="26" t="s">
        <v>21208</v>
      </c>
      <c r="L6781" s="30">
        <v>812279006</v>
      </c>
      <c r="M6781" s="26" t="s">
        <v>123</v>
      </c>
      <c r="N6781" s="26" t="s">
        <v>186</v>
      </c>
      <c r="O6781" s="26" t="s">
        <v>4503</v>
      </c>
      <c r="P6781" s="42" t="s">
        <v>13767</v>
      </c>
      <c r="Q6781" s="20">
        <v>13968</v>
      </c>
      <c r="R6781" s="26" t="s">
        <v>36</v>
      </c>
      <c r="S6781" s="95">
        <f>2000+1768</f>
        <v>3768</v>
      </c>
      <c r="T6781" s="83" t="s">
        <v>10907</v>
      </c>
      <c r="U6781" s="95">
        <v>10200</v>
      </c>
      <c r="V6781" s="148">
        <v>45529</v>
      </c>
      <c r="W6781" s="33" t="s">
        <v>10908</v>
      </c>
      <c r="X6781" s="26">
        <v>0</v>
      </c>
      <c r="Y6781" s="22">
        <v>0</v>
      </c>
      <c r="Z6781" s="26" t="s">
        <v>50</v>
      </c>
      <c r="AA6781" s="96" t="s">
        <v>10314</v>
      </c>
      <c r="AB6781" s="26"/>
      <c r="AC6781" s="26" t="s">
        <v>53</v>
      </c>
      <c r="AD6781" s="26" t="s">
        <v>54</v>
      </c>
      <c r="AE6781" s="26" t="s">
        <v>13755</v>
      </c>
      <c r="AF6781" s="17">
        <v>45743</v>
      </c>
      <c r="AG6781" s="26"/>
      <c r="AH6781" s="26"/>
      <c r="AI6781" s="40"/>
      <c r="AJ6781" s="26"/>
      <c r="AK6781" s="26"/>
      <c r="AL6781" s="35"/>
      <c r="AM6781" s="35"/>
      <c r="AN6781" s="35"/>
      <c r="AO6781" s="35"/>
      <c r="AP6781" s="35"/>
    </row>
    <row r="6782" spans="1:42" x14ac:dyDescent="0.2">
      <c r="A6782" s="38">
        <v>45863</v>
      </c>
      <c r="B6782" s="137" t="s">
        <v>37</v>
      </c>
      <c r="C6782" s="41" t="s">
        <v>118</v>
      </c>
      <c r="D6782" s="26" t="s">
        <v>36</v>
      </c>
      <c r="E6782" s="26" t="s">
        <v>139</v>
      </c>
      <c r="F6782" s="80" t="s">
        <v>9785</v>
      </c>
      <c r="G6782" s="80" t="s">
        <v>221</v>
      </c>
      <c r="H6782" s="80" t="s">
        <v>21209</v>
      </c>
      <c r="I6782" s="17">
        <f ca="1">IFERROR(__xludf.DUMMYFUNCTION("""COMPUTED_VALUE"""),45874)</f>
        <v>45874</v>
      </c>
      <c r="J6782" s="29" t="s">
        <v>11993</v>
      </c>
      <c r="K6782" s="19" t="s">
        <v>21210</v>
      </c>
      <c r="L6782" s="30">
        <v>983220806</v>
      </c>
      <c r="M6782" s="26" t="s">
        <v>3728</v>
      </c>
      <c r="N6782" s="26" t="s">
        <v>5277</v>
      </c>
      <c r="O6782" s="26" t="s">
        <v>11995</v>
      </c>
      <c r="P6782" s="175" t="s">
        <v>21211</v>
      </c>
      <c r="Q6782" s="20">
        <v>15936</v>
      </c>
      <c r="R6782" s="26" t="s">
        <v>36</v>
      </c>
      <c r="S6782" s="95">
        <f t="shared" ref="S6782:S6783" si="202">200+1800</f>
        <v>2000</v>
      </c>
      <c r="T6782" s="83" t="s">
        <v>11997</v>
      </c>
      <c r="U6782" s="95">
        <v>13936</v>
      </c>
      <c r="V6782" s="148">
        <v>45554</v>
      </c>
      <c r="W6782" s="33" t="s">
        <v>11998</v>
      </c>
      <c r="X6782" s="26">
        <v>0</v>
      </c>
      <c r="Y6782" s="22">
        <v>0</v>
      </c>
      <c r="Z6782" s="26" t="s">
        <v>50</v>
      </c>
      <c r="AA6782" s="35" t="s">
        <v>3291</v>
      </c>
      <c r="AB6782" s="26"/>
      <c r="AC6782" s="26" t="s">
        <v>53</v>
      </c>
      <c r="AD6782" s="26" t="s">
        <v>54</v>
      </c>
      <c r="AE6782" s="80" t="s">
        <v>9785</v>
      </c>
      <c r="AF6782" s="17">
        <v>45867</v>
      </c>
      <c r="AG6782" s="26"/>
      <c r="AH6782" s="26"/>
      <c r="AI6782" s="40" t="s">
        <v>147</v>
      </c>
      <c r="AJ6782" s="26"/>
      <c r="AK6782" s="26"/>
      <c r="AL6782" s="35"/>
      <c r="AM6782" s="35"/>
      <c r="AN6782" s="35"/>
      <c r="AO6782" s="35"/>
      <c r="AP6782" s="35"/>
    </row>
    <row r="6783" spans="1:42" x14ac:dyDescent="0.2">
      <c r="A6783" s="38">
        <v>45742</v>
      </c>
      <c r="B6783" s="137" t="s">
        <v>37</v>
      </c>
      <c r="C6783" s="41" t="s">
        <v>118</v>
      </c>
      <c r="D6783" s="80" t="s">
        <v>36</v>
      </c>
      <c r="E6783" s="80" t="s">
        <v>139</v>
      </c>
      <c r="F6783" s="80" t="s">
        <v>14495</v>
      </c>
      <c r="G6783" s="80" t="s">
        <v>221</v>
      </c>
      <c r="H6783" s="80" t="s">
        <v>20121</v>
      </c>
      <c r="I6783" s="17">
        <f ca="1">IFERROR(__xludf.DUMMYFUNCTION("""COMPUTED_VALUE"""),45747)</f>
        <v>45747</v>
      </c>
      <c r="J6783" s="143" t="s">
        <v>15742</v>
      </c>
      <c r="K6783" s="80" t="s">
        <v>151</v>
      </c>
      <c r="L6783" s="30">
        <v>974712006</v>
      </c>
      <c r="M6783" s="80" t="s">
        <v>12644</v>
      </c>
      <c r="N6783" s="80" t="s">
        <v>60</v>
      </c>
      <c r="O6783" s="80" t="s">
        <v>15744</v>
      </c>
      <c r="P6783" s="80" t="s">
        <v>13226</v>
      </c>
      <c r="Q6783" s="20">
        <v>15936</v>
      </c>
      <c r="R6783" s="80" t="s">
        <v>36</v>
      </c>
      <c r="S6783" s="95">
        <f t="shared" si="202"/>
        <v>2000</v>
      </c>
      <c r="T6783" s="83" t="s">
        <v>15745</v>
      </c>
      <c r="U6783" s="95">
        <v>13968</v>
      </c>
      <c r="V6783" s="148">
        <v>45591</v>
      </c>
      <c r="W6783" s="85" t="s">
        <v>15746</v>
      </c>
      <c r="X6783" s="80"/>
      <c r="Y6783" s="22">
        <v>-32</v>
      </c>
      <c r="Z6783" s="80" t="s">
        <v>50</v>
      </c>
      <c r="AA6783" s="96" t="s">
        <v>9905</v>
      </c>
      <c r="AB6783" s="80"/>
      <c r="AC6783" s="80" t="s">
        <v>53</v>
      </c>
      <c r="AD6783" s="80" t="s">
        <v>138</v>
      </c>
      <c r="AE6783" s="80" t="s">
        <v>14495</v>
      </c>
      <c r="AF6783" s="17">
        <v>45747</v>
      </c>
      <c r="AG6783" s="80"/>
      <c r="AH6783" s="80"/>
      <c r="AI6783" s="147"/>
      <c r="AJ6783" s="80"/>
      <c r="AK6783" s="80"/>
      <c r="AL6783" s="35"/>
      <c r="AM6783" s="35"/>
      <c r="AN6783" s="35"/>
      <c r="AO6783" s="35"/>
      <c r="AP6783" s="35"/>
    </row>
    <row r="6784" spans="1:42" x14ac:dyDescent="0.2">
      <c r="A6784" s="38">
        <v>45744</v>
      </c>
      <c r="B6784" s="28" t="s">
        <v>37</v>
      </c>
      <c r="C6784" s="41" t="s">
        <v>118</v>
      </c>
      <c r="D6784" s="80" t="s">
        <v>77</v>
      </c>
      <c r="E6784" s="80" t="s">
        <v>119</v>
      </c>
      <c r="F6784" s="80" t="s">
        <v>16656</v>
      </c>
      <c r="G6784" s="80" t="s">
        <v>221</v>
      </c>
      <c r="H6784" s="80" t="s">
        <v>20371</v>
      </c>
      <c r="I6784" s="17">
        <f ca="1">IFERROR(__xludf.DUMMYFUNCTION("""COMPUTED_VALUE"""),45905)</f>
        <v>45905</v>
      </c>
      <c r="J6784" s="143" t="s">
        <v>17235</v>
      </c>
      <c r="K6784" s="80" t="s">
        <v>21212</v>
      </c>
      <c r="L6784" s="30">
        <v>384463358</v>
      </c>
      <c r="M6784" s="80" t="s">
        <v>5429</v>
      </c>
      <c r="N6784" s="80" t="s">
        <v>1384</v>
      </c>
      <c r="O6784" s="80" t="s">
        <v>17237</v>
      </c>
      <c r="P6784" s="144" t="s">
        <v>21213</v>
      </c>
      <c r="Q6784" s="20">
        <v>13968</v>
      </c>
      <c r="R6784" s="80" t="s">
        <v>36</v>
      </c>
      <c r="S6784" s="95">
        <v>10000</v>
      </c>
      <c r="T6784" s="148">
        <v>45623</v>
      </c>
      <c r="U6784" s="95">
        <v>3968</v>
      </c>
      <c r="V6784" s="148">
        <v>45648</v>
      </c>
      <c r="W6784" s="85" t="s">
        <v>18902</v>
      </c>
      <c r="X6784" s="80"/>
      <c r="Y6784" s="22">
        <v>0</v>
      </c>
      <c r="Z6784" s="80" t="s">
        <v>50</v>
      </c>
      <c r="AA6784" s="35" t="s">
        <v>18579</v>
      </c>
      <c r="AB6784" s="82"/>
      <c r="AC6784" s="80" t="s">
        <v>53</v>
      </c>
      <c r="AD6784" s="80" t="s">
        <v>138</v>
      </c>
      <c r="AE6784" s="80" t="s">
        <v>16656</v>
      </c>
      <c r="AF6784" s="17">
        <v>45755</v>
      </c>
      <c r="AG6784" s="80" t="s">
        <v>8366</v>
      </c>
      <c r="AH6784" s="80"/>
      <c r="AI6784" s="147"/>
      <c r="AJ6784" s="80"/>
      <c r="AK6784" s="80"/>
      <c r="AL6784" s="35"/>
      <c r="AM6784" s="35"/>
      <c r="AN6784" s="35"/>
      <c r="AO6784" s="35"/>
      <c r="AP6784" s="35"/>
    </row>
    <row r="6785" spans="1:42" x14ac:dyDescent="0.2">
      <c r="A6785" s="38">
        <v>45744</v>
      </c>
      <c r="B6785" s="28" t="s">
        <v>37</v>
      </c>
      <c r="C6785" s="41" t="s">
        <v>118</v>
      </c>
      <c r="D6785" s="80" t="s">
        <v>36</v>
      </c>
      <c r="E6785" s="80" t="s">
        <v>139</v>
      </c>
      <c r="F6785" s="80" t="s">
        <v>19699</v>
      </c>
      <c r="G6785" s="80" t="s">
        <v>108</v>
      </c>
      <c r="H6785" s="80" t="s">
        <v>14227</v>
      </c>
      <c r="I6785" s="17">
        <f ca="1">IFERROR(__xludf.DUMMYFUNCTION("""COMPUTED_VALUE"""),45811)</f>
        <v>45811</v>
      </c>
      <c r="J6785" s="143" t="s">
        <v>19974</v>
      </c>
      <c r="K6785" s="80" t="s">
        <v>21214</v>
      </c>
      <c r="L6785" s="30">
        <v>865030489</v>
      </c>
      <c r="M6785" s="80" t="s">
        <v>15996</v>
      </c>
      <c r="N6785" s="80" t="s">
        <v>19940</v>
      </c>
      <c r="O6785" s="80" t="s">
        <v>4503</v>
      </c>
      <c r="P6785" s="80" t="s">
        <v>21215</v>
      </c>
      <c r="Q6785" s="20">
        <v>15936</v>
      </c>
      <c r="R6785" s="80" t="s">
        <v>36</v>
      </c>
      <c r="S6785" s="95">
        <v>14436</v>
      </c>
      <c r="T6785" s="148">
        <v>45686</v>
      </c>
      <c r="U6785" s="77"/>
      <c r="V6785" s="78"/>
      <c r="W6785" s="85" t="s">
        <v>19977</v>
      </c>
      <c r="X6785" s="80"/>
      <c r="Y6785" s="22">
        <v>1500</v>
      </c>
      <c r="Z6785" s="81" t="s">
        <v>50</v>
      </c>
      <c r="AA6785" s="82" t="s">
        <v>18583</v>
      </c>
      <c r="AB6785" s="80"/>
      <c r="AC6785" s="80" t="s">
        <v>53</v>
      </c>
      <c r="AD6785" s="80" t="s">
        <v>54</v>
      </c>
      <c r="AE6785" s="80" t="s">
        <v>19699</v>
      </c>
      <c r="AF6785" s="17">
        <v>45755</v>
      </c>
      <c r="AG6785" s="80"/>
      <c r="AH6785" s="80"/>
      <c r="AI6785" s="147"/>
      <c r="AJ6785" s="80"/>
      <c r="AK6785" s="80"/>
      <c r="AL6785" s="86"/>
      <c r="AM6785" s="86"/>
      <c r="AN6785" s="86"/>
      <c r="AO6785" s="86"/>
      <c r="AP6785" s="86"/>
    </row>
    <row r="6786" spans="1:42" x14ac:dyDescent="0.2">
      <c r="A6786" s="38">
        <v>45744</v>
      </c>
      <c r="B6786" s="137" t="s">
        <v>37</v>
      </c>
      <c r="C6786" s="41" t="s">
        <v>118</v>
      </c>
      <c r="D6786" s="80" t="s">
        <v>36</v>
      </c>
      <c r="E6786" s="80" t="s">
        <v>915</v>
      </c>
      <c r="F6786" s="80" t="s">
        <v>9820</v>
      </c>
      <c r="G6786" s="26" t="s">
        <v>1705</v>
      </c>
      <c r="H6786" s="26" t="s">
        <v>20497</v>
      </c>
      <c r="I6786" s="17">
        <f ca="1">IFERROR(__xludf.DUMMYFUNCTION("""COMPUTED_VALUE"""),45569)</f>
        <v>45569</v>
      </c>
      <c r="J6786" s="29" t="s">
        <v>9821</v>
      </c>
      <c r="K6786" s="80" t="s">
        <v>9822</v>
      </c>
      <c r="L6786" s="30">
        <v>379512182</v>
      </c>
      <c r="M6786" s="80" t="s">
        <v>1245</v>
      </c>
      <c r="N6786" s="80" t="s">
        <v>6606</v>
      </c>
      <c r="O6786" s="26" t="s">
        <v>9823</v>
      </c>
      <c r="P6786" s="144" t="s">
        <v>21216</v>
      </c>
      <c r="Q6786" s="20">
        <v>15936</v>
      </c>
      <c r="R6786" s="80" t="s">
        <v>36</v>
      </c>
      <c r="S6786" s="77">
        <v>15936</v>
      </c>
      <c r="T6786" s="78">
        <v>45184</v>
      </c>
      <c r="U6786" s="77"/>
      <c r="V6786" s="78"/>
      <c r="W6786" s="85" t="s">
        <v>2883</v>
      </c>
      <c r="X6786" s="80"/>
      <c r="Y6786" s="22">
        <v>0</v>
      </c>
      <c r="Z6786" s="41" t="s">
        <v>118</v>
      </c>
      <c r="AA6786" s="86" t="s">
        <v>5785</v>
      </c>
      <c r="AB6786" s="26" t="s">
        <v>36</v>
      </c>
      <c r="AC6786" s="80" t="s">
        <v>53</v>
      </c>
      <c r="AD6786" s="19" t="s">
        <v>54</v>
      </c>
      <c r="AE6786" s="80" t="s">
        <v>9820</v>
      </c>
      <c r="AF6786" s="17">
        <v>45755</v>
      </c>
      <c r="AG6786" s="143" t="s">
        <v>2879</v>
      </c>
      <c r="AH6786" s="80"/>
      <c r="AI6786" s="147" t="s">
        <v>147</v>
      </c>
      <c r="AJ6786" s="80"/>
      <c r="AK6786" s="80"/>
      <c r="AL6786" s="86"/>
      <c r="AM6786" s="86"/>
      <c r="AN6786" s="86"/>
      <c r="AO6786" s="86"/>
      <c r="AP6786" s="35"/>
    </row>
    <row r="6787" spans="1:42" x14ac:dyDescent="0.2">
      <c r="A6787" s="38">
        <v>45744</v>
      </c>
      <c r="B6787" s="137" t="s">
        <v>37</v>
      </c>
      <c r="C6787" s="41" t="s">
        <v>118</v>
      </c>
      <c r="D6787" s="80" t="s">
        <v>36</v>
      </c>
      <c r="E6787" s="80" t="s">
        <v>139</v>
      </c>
      <c r="F6787" s="80" t="s">
        <v>16183</v>
      </c>
      <c r="G6787" s="80" t="s">
        <v>108</v>
      </c>
      <c r="H6787" s="80" t="s">
        <v>21217</v>
      </c>
      <c r="I6787" s="17">
        <f ca="1">IFERROR(__xludf.DUMMYFUNCTION("""COMPUTED_VALUE"""),45841)</f>
        <v>45841</v>
      </c>
      <c r="J6787" s="143" t="s">
        <v>19717</v>
      </c>
      <c r="K6787" s="80" t="s">
        <v>21218</v>
      </c>
      <c r="L6787" s="30">
        <v>359634727</v>
      </c>
      <c r="M6787" s="80" t="s">
        <v>5429</v>
      </c>
      <c r="N6787" s="80" t="s">
        <v>81</v>
      </c>
      <c r="O6787" s="80" t="s">
        <v>61</v>
      </c>
      <c r="P6787" s="144" t="s">
        <v>21219</v>
      </c>
      <c r="Q6787" s="20">
        <v>15936</v>
      </c>
      <c r="R6787" s="80" t="s">
        <v>36</v>
      </c>
      <c r="S6787" s="95">
        <v>2000</v>
      </c>
      <c r="T6787" s="148">
        <v>45651</v>
      </c>
      <c r="U6787" s="95">
        <v>13936</v>
      </c>
      <c r="V6787" s="148">
        <v>45677</v>
      </c>
      <c r="W6787" s="85" t="s">
        <v>19720</v>
      </c>
      <c r="X6787" s="80"/>
      <c r="Y6787" s="22">
        <v>0</v>
      </c>
      <c r="Z6787" s="80" t="s">
        <v>50</v>
      </c>
      <c r="AA6787" s="82" t="s">
        <v>18583</v>
      </c>
      <c r="AB6787" s="86"/>
      <c r="AC6787" s="80" t="s">
        <v>53</v>
      </c>
      <c r="AD6787" s="80" t="s">
        <v>54</v>
      </c>
      <c r="AE6787" s="80" t="s">
        <v>16183</v>
      </c>
      <c r="AF6787" s="17">
        <v>45755</v>
      </c>
      <c r="AG6787" s="80"/>
      <c r="AH6787" s="80"/>
      <c r="AI6787" s="147"/>
      <c r="AJ6787" s="80"/>
      <c r="AK6787" s="80"/>
      <c r="AL6787" s="35"/>
      <c r="AM6787" s="35"/>
      <c r="AN6787" s="35"/>
      <c r="AO6787" s="35"/>
      <c r="AP6787" s="35"/>
    </row>
    <row r="6788" spans="1:42" x14ac:dyDescent="0.2">
      <c r="A6788" s="38">
        <v>45744</v>
      </c>
      <c r="B6788" s="137" t="s">
        <v>37</v>
      </c>
      <c r="C6788" s="41" t="s">
        <v>118</v>
      </c>
      <c r="D6788" s="80" t="s">
        <v>36</v>
      </c>
      <c r="E6788" s="80" t="s">
        <v>139</v>
      </c>
      <c r="F6788" s="80" t="s">
        <v>16792</v>
      </c>
      <c r="G6788" s="80" t="s">
        <v>221</v>
      </c>
      <c r="H6788" s="80" t="s">
        <v>13932</v>
      </c>
      <c r="I6788" s="17">
        <f ca="1">IFERROR(__xludf.DUMMYFUNCTION("""COMPUTED_VALUE"""),45762)</f>
        <v>45762</v>
      </c>
      <c r="J6788" s="143" t="s">
        <v>15833</v>
      </c>
      <c r="K6788" s="80" t="s">
        <v>16954</v>
      </c>
      <c r="L6788" s="30">
        <v>862016198</v>
      </c>
      <c r="M6788" s="80" t="s">
        <v>12720</v>
      </c>
      <c r="N6788" s="80" t="s">
        <v>1073</v>
      </c>
      <c r="O6788" s="80" t="s">
        <v>15835</v>
      </c>
      <c r="P6788" s="144" t="s">
        <v>21220</v>
      </c>
      <c r="Q6788" s="20">
        <v>15936</v>
      </c>
      <c r="R6788" s="80" t="s">
        <v>36</v>
      </c>
      <c r="S6788" s="95">
        <v>2000</v>
      </c>
      <c r="T6788" s="148">
        <v>45563</v>
      </c>
      <c r="U6788" s="95">
        <f>6000+7936</f>
        <v>13936</v>
      </c>
      <c r="V6788" s="179" t="s">
        <v>15837</v>
      </c>
      <c r="W6788" s="85" t="s">
        <v>15838</v>
      </c>
      <c r="X6788" s="80"/>
      <c r="Y6788" s="22">
        <v>0</v>
      </c>
      <c r="Z6788" s="80" t="s">
        <v>50</v>
      </c>
      <c r="AA6788" s="35" t="s">
        <v>9905</v>
      </c>
      <c r="AB6788" s="80"/>
      <c r="AC6788" s="80" t="s">
        <v>53</v>
      </c>
      <c r="AD6788" s="80" t="s">
        <v>54</v>
      </c>
      <c r="AE6788" s="80" t="s">
        <v>16792</v>
      </c>
      <c r="AF6788" s="17">
        <v>45756</v>
      </c>
      <c r="AG6788" s="80"/>
      <c r="AH6788" s="80"/>
      <c r="AI6788" s="147"/>
      <c r="AJ6788" s="80"/>
      <c r="AK6788" s="80"/>
      <c r="AL6788" s="35"/>
      <c r="AM6788" s="35"/>
      <c r="AN6788" s="35"/>
      <c r="AO6788" s="35"/>
      <c r="AP6788" s="35"/>
    </row>
    <row r="6789" spans="1:42" x14ac:dyDescent="0.2">
      <c r="A6789" s="38">
        <v>45744</v>
      </c>
      <c r="B6789" s="137" t="s">
        <v>37</v>
      </c>
      <c r="C6789" s="41" t="s">
        <v>118</v>
      </c>
      <c r="D6789" s="80" t="s">
        <v>36</v>
      </c>
      <c r="E6789" s="80" t="s">
        <v>56</v>
      </c>
      <c r="F6789" s="26" t="s">
        <v>14234</v>
      </c>
      <c r="G6789" s="26" t="s">
        <v>221</v>
      </c>
      <c r="H6789" s="26" t="s">
        <v>8400</v>
      </c>
      <c r="I6789" s="17">
        <f ca="1">IFERROR(__xludf.DUMMYFUNCTION("""COMPUTED_VALUE"""),45750)</f>
        <v>45750</v>
      </c>
      <c r="J6789" s="143" t="s">
        <v>9688</v>
      </c>
      <c r="K6789" s="80" t="s">
        <v>21221</v>
      </c>
      <c r="L6789" s="30">
        <v>347023303</v>
      </c>
      <c r="M6789" s="80" t="s">
        <v>59</v>
      </c>
      <c r="N6789" s="80" t="s">
        <v>68</v>
      </c>
      <c r="O6789" s="80" t="s">
        <v>9690</v>
      </c>
      <c r="P6789" s="80" t="s">
        <v>9691</v>
      </c>
      <c r="Q6789" s="20"/>
      <c r="R6789" s="80" t="s">
        <v>70</v>
      </c>
      <c r="S6789" s="95">
        <v>9217</v>
      </c>
      <c r="T6789" s="148">
        <v>45493</v>
      </c>
      <c r="U6789" s="77"/>
      <c r="V6789" s="78"/>
      <c r="W6789" s="85" t="s">
        <v>9692</v>
      </c>
      <c r="X6789" s="80"/>
      <c r="Y6789" s="22"/>
      <c r="Z6789" s="80" t="s">
        <v>50</v>
      </c>
      <c r="AA6789" s="70" t="s">
        <v>9070</v>
      </c>
      <c r="AB6789" s="80"/>
      <c r="AC6789" s="80" t="s">
        <v>53</v>
      </c>
      <c r="AD6789" s="80" t="s">
        <v>138</v>
      </c>
      <c r="AE6789" s="26" t="s">
        <v>14234</v>
      </c>
      <c r="AF6789" s="17">
        <v>45750</v>
      </c>
      <c r="AG6789" s="26"/>
      <c r="AH6789" s="80"/>
      <c r="AI6789" s="147"/>
      <c r="AJ6789" s="80"/>
      <c r="AK6789" s="80"/>
      <c r="AL6789" s="35"/>
      <c r="AM6789" s="35"/>
      <c r="AN6789" s="35"/>
      <c r="AO6789" s="35"/>
      <c r="AP6789" s="35"/>
    </row>
    <row r="6790" spans="1:42" x14ac:dyDescent="0.2">
      <c r="A6790" s="38">
        <v>45744</v>
      </c>
      <c r="B6790" s="28" t="s">
        <v>37</v>
      </c>
      <c r="C6790" s="41" t="s">
        <v>118</v>
      </c>
      <c r="D6790" s="80" t="s">
        <v>36</v>
      </c>
      <c r="E6790" s="80" t="s">
        <v>139</v>
      </c>
      <c r="F6790" s="80" t="s">
        <v>15282</v>
      </c>
      <c r="G6790" s="80" t="s">
        <v>108</v>
      </c>
      <c r="H6790" s="80" t="s">
        <v>16628</v>
      </c>
      <c r="I6790" s="17">
        <f ca="1">IFERROR(__xludf.DUMMYFUNCTION("""COMPUTED_VALUE"""),45758)</f>
        <v>45758</v>
      </c>
      <c r="J6790" s="143" t="s">
        <v>20540</v>
      </c>
      <c r="K6790" s="80" t="s">
        <v>20541</v>
      </c>
      <c r="L6790" s="30">
        <v>364126880</v>
      </c>
      <c r="M6790" s="80" t="s">
        <v>12529</v>
      </c>
      <c r="N6790" s="80" t="s">
        <v>13566</v>
      </c>
      <c r="O6790" s="80" t="s">
        <v>20542</v>
      </c>
      <c r="P6790" s="80" t="s">
        <v>21222</v>
      </c>
      <c r="Q6790" s="20">
        <v>15936</v>
      </c>
      <c r="R6790" s="80" t="s">
        <v>36</v>
      </c>
      <c r="S6790" s="95">
        <f>200+1800</f>
        <v>2000</v>
      </c>
      <c r="T6790" s="83" t="s">
        <v>20544</v>
      </c>
      <c r="U6790" s="95">
        <v>13936</v>
      </c>
      <c r="V6790" s="148">
        <v>45697</v>
      </c>
      <c r="W6790" s="80" t="s">
        <v>20545</v>
      </c>
      <c r="X6790" s="80"/>
      <c r="Y6790" s="22">
        <v>0</v>
      </c>
      <c r="Z6790" s="80" t="s">
        <v>50</v>
      </c>
      <c r="AA6790" s="86" t="s">
        <v>20522</v>
      </c>
      <c r="AB6790" s="82"/>
      <c r="AC6790" s="80" t="s">
        <v>53</v>
      </c>
      <c r="AD6790" s="80" t="s">
        <v>54</v>
      </c>
      <c r="AE6790" s="80" t="s">
        <v>15282</v>
      </c>
      <c r="AF6790" s="17">
        <v>45755</v>
      </c>
      <c r="AG6790" s="80"/>
      <c r="AH6790" s="80"/>
      <c r="AI6790" s="147"/>
      <c r="AJ6790" s="80"/>
      <c r="AK6790" s="80"/>
      <c r="AL6790" s="35"/>
      <c r="AM6790" s="35"/>
      <c r="AN6790" s="35"/>
      <c r="AO6790" s="35"/>
      <c r="AP6790" s="35"/>
    </row>
    <row r="6791" spans="1:42" x14ac:dyDescent="0.2">
      <c r="A6791" s="38">
        <v>45744</v>
      </c>
      <c r="B6791" s="137" t="s">
        <v>37</v>
      </c>
      <c r="C6791" s="41" t="s">
        <v>118</v>
      </c>
      <c r="D6791" s="80" t="s">
        <v>36</v>
      </c>
      <c r="E6791" s="80" t="s">
        <v>139</v>
      </c>
      <c r="F6791" s="145" t="s">
        <v>14465</v>
      </c>
      <c r="G6791" s="80" t="s">
        <v>221</v>
      </c>
      <c r="H6791" s="80" t="s">
        <v>13932</v>
      </c>
      <c r="I6791" s="17">
        <f ca="1">IFERROR(__xludf.DUMMYFUNCTION("""COMPUTED_VALUE"""),45762)</f>
        <v>45762</v>
      </c>
      <c r="J6791" s="143" t="s">
        <v>12738</v>
      </c>
      <c r="K6791" s="80" t="s">
        <v>14509</v>
      </c>
      <c r="L6791" s="30">
        <v>374432510</v>
      </c>
      <c r="M6791" s="80" t="s">
        <v>9422</v>
      </c>
      <c r="N6791" s="80" t="s">
        <v>68</v>
      </c>
      <c r="O6791" s="80" t="s">
        <v>12740</v>
      </c>
      <c r="P6791" s="137" t="s">
        <v>12741</v>
      </c>
      <c r="Q6791" s="20">
        <v>15936</v>
      </c>
      <c r="R6791" s="80" t="s">
        <v>36</v>
      </c>
      <c r="S6791" s="95">
        <v>7800</v>
      </c>
      <c r="T6791" s="148">
        <v>45539</v>
      </c>
      <c r="U6791" s="95">
        <v>8136</v>
      </c>
      <c r="V6791" s="148">
        <v>45563</v>
      </c>
      <c r="W6791" s="85" t="s">
        <v>12742</v>
      </c>
      <c r="X6791" s="80">
        <v>0</v>
      </c>
      <c r="Y6791" s="22">
        <v>0</v>
      </c>
      <c r="Z6791" s="80" t="s">
        <v>50</v>
      </c>
      <c r="AA6791" s="96" t="s">
        <v>3291</v>
      </c>
      <c r="AB6791" s="80"/>
      <c r="AC6791" s="80" t="s">
        <v>53</v>
      </c>
      <c r="AD6791" s="80" t="s">
        <v>54</v>
      </c>
      <c r="AE6791" s="145" t="s">
        <v>14465</v>
      </c>
      <c r="AF6791" s="17">
        <v>45756</v>
      </c>
      <c r="AG6791" s="80"/>
      <c r="AH6791" s="80"/>
      <c r="AI6791" s="147" t="s">
        <v>147</v>
      </c>
      <c r="AJ6791" s="80"/>
      <c r="AK6791" s="80"/>
      <c r="AL6791" s="35"/>
      <c r="AM6791" s="35"/>
      <c r="AN6791" s="35"/>
      <c r="AO6791" s="35"/>
      <c r="AP6791" s="35"/>
    </row>
    <row r="6792" spans="1:42" x14ac:dyDescent="0.2">
      <c r="A6792" s="38">
        <v>45744</v>
      </c>
      <c r="B6792" s="137" t="s">
        <v>37</v>
      </c>
      <c r="C6792" s="41" t="s">
        <v>118</v>
      </c>
      <c r="D6792" s="26" t="s">
        <v>36</v>
      </c>
      <c r="E6792" s="26" t="s">
        <v>139</v>
      </c>
      <c r="F6792" s="26" t="s">
        <v>6623</v>
      </c>
      <c r="G6792" s="26" t="s">
        <v>1847</v>
      </c>
      <c r="H6792" s="26" t="s">
        <v>14451</v>
      </c>
      <c r="I6792" s="17">
        <f ca="1">IFERROR(__xludf.DUMMYFUNCTION("""COMPUTED_VALUE"""),45750)</f>
        <v>45750</v>
      </c>
      <c r="J6792" s="29" t="s">
        <v>3782</v>
      </c>
      <c r="K6792" s="26" t="s">
        <v>3783</v>
      </c>
      <c r="L6792" s="30">
        <v>349136310</v>
      </c>
      <c r="M6792" s="26" t="s">
        <v>80</v>
      </c>
      <c r="N6792" s="26" t="s">
        <v>186</v>
      </c>
      <c r="O6792" s="26" t="s">
        <v>3784</v>
      </c>
      <c r="P6792" s="42" t="s">
        <v>21223</v>
      </c>
      <c r="Q6792" s="20">
        <v>15936</v>
      </c>
      <c r="R6792" s="26" t="s">
        <v>36</v>
      </c>
      <c r="S6792" s="31">
        <v>2000</v>
      </c>
      <c r="T6792" s="32">
        <v>45191</v>
      </c>
      <c r="U6792" s="31">
        <v>13936</v>
      </c>
      <c r="V6792" s="32">
        <v>45218</v>
      </c>
      <c r="W6792" s="33" t="s">
        <v>3786</v>
      </c>
      <c r="X6792" s="26"/>
      <c r="Y6792" s="22">
        <v>0</v>
      </c>
      <c r="Z6792" s="26" t="s">
        <v>118</v>
      </c>
      <c r="AA6792" s="19" t="s">
        <v>3454</v>
      </c>
      <c r="AB6792" s="26" t="s">
        <v>36</v>
      </c>
      <c r="AC6792" s="26" t="s">
        <v>53</v>
      </c>
      <c r="AD6792" s="19" t="s">
        <v>54</v>
      </c>
      <c r="AE6792" s="26" t="s">
        <v>6623</v>
      </c>
      <c r="AF6792" s="17">
        <v>45383</v>
      </c>
      <c r="AG6792" s="26"/>
      <c r="AH6792" s="26"/>
      <c r="AI6792" s="40"/>
      <c r="AJ6792" s="26"/>
      <c r="AK6792" s="26"/>
      <c r="AL6792" s="35"/>
      <c r="AM6792" s="35"/>
      <c r="AN6792" s="35"/>
      <c r="AO6792" s="35"/>
      <c r="AP6792" s="35"/>
    </row>
    <row r="6793" spans="1:42" x14ac:dyDescent="0.2">
      <c r="A6793" s="38">
        <v>45744</v>
      </c>
      <c r="B6793" s="137" t="s">
        <v>37</v>
      </c>
      <c r="C6793" s="41" t="s">
        <v>118</v>
      </c>
      <c r="D6793" s="26" t="s">
        <v>36</v>
      </c>
      <c r="E6793" s="26" t="s">
        <v>139</v>
      </c>
      <c r="F6793" s="26" t="s">
        <v>9032</v>
      </c>
      <c r="G6793" s="26" t="s">
        <v>1705</v>
      </c>
      <c r="H6793" s="26" t="s">
        <v>20497</v>
      </c>
      <c r="I6793" s="17">
        <f ca="1">IFERROR(__xludf.DUMMYFUNCTION("""COMPUTED_VALUE"""),45569)</f>
        <v>45569</v>
      </c>
      <c r="J6793" s="29" t="s">
        <v>3151</v>
      </c>
      <c r="K6793" s="26" t="s">
        <v>3152</v>
      </c>
      <c r="L6793" s="30">
        <v>973927321</v>
      </c>
      <c r="M6793" s="26" t="s">
        <v>1245</v>
      </c>
      <c r="N6793" s="26" t="s">
        <v>4957</v>
      </c>
      <c r="O6793" s="26" t="s">
        <v>1226</v>
      </c>
      <c r="P6793" s="26" t="s">
        <v>21224</v>
      </c>
      <c r="Q6793" s="20">
        <v>15936</v>
      </c>
      <c r="R6793" s="26" t="s">
        <v>36</v>
      </c>
      <c r="S6793" s="31">
        <v>200</v>
      </c>
      <c r="T6793" s="32">
        <v>45191</v>
      </c>
      <c r="U6793" s="31">
        <v>15736</v>
      </c>
      <c r="V6793" s="32">
        <v>45195</v>
      </c>
      <c r="W6793" s="33" t="s">
        <v>3154</v>
      </c>
      <c r="X6793" s="26"/>
      <c r="Y6793" s="22">
        <v>0</v>
      </c>
      <c r="Z6793" s="26" t="s">
        <v>118</v>
      </c>
      <c r="AA6793" s="19" t="s">
        <v>2449</v>
      </c>
      <c r="AB6793" s="80" t="s">
        <v>36</v>
      </c>
      <c r="AC6793" s="26" t="s">
        <v>53</v>
      </c>
      <c r="AD6793" s="19" t="s">
        <v>138</v>
      </c>
      <c r="AE6793" s="26" t="s">
        <v>9032</v>
      </c>
      <c r="AF6793" s="17">
        <v>45755</v>
      </c>
      <c r="AG6793" s="26"/>
      <c r="AH6793" s="26"/>
      <c r="AI6793" s="40"/>
      <c r="AJ6793" s="26"/>
      <c r="AK6793" s="26"/>
      <c r="AL6793" s="35"/>
      <c r="AM6793" s="35"/>
      <c r="AN6793" s="35"/>
      <c r="AO6793" s="35"/>
      <c r="AP6793" s="35"/>
    </row>
    <row r="6794" spans="1:42" x14ac:dyDescent="0.2">
      <c r="A6794" s="38">
        <v>45744</v>
      </c>
      <c r="B6794" s="28" t="s">
        <v>37</v>
      </c>
      <c r="C6794" s="41" t="s">
        <v>118</v>
      </c>
      <c r="D6794" s="80" t="s">
        <v>36</v>
      </c>
      <c r="E6794" s="80" t="s">
        <v>56</v>
      </c>
      <c r="F6794" s="80" t="s">
        <v>12542</v>
      </c>
      <c r="G6794" s="80" t="s">
        <v>108</v>
      </c>
      <c r="H6794" s="80" t="s">
        <v>16628</v>
      </c>
      <c r="I6794" s="17">
        <f ca="1">IFERROR(__xludf.DUMMYFUNCTION("""COMPUTED_VALUE"""),45758)</f>
        <v>45758</v>
      </c>
      <c r="J6794" s="143" t="s">
        <v>12747</v>
      </c>
      <c r="K6794" s="80" t="s">
        <v>21225</v>
      </c>
      <c r="L6794" s="80">
        <v>868413466</v>
      </c>
      <c r="M6794" s="80" t="s">
        <v>3288</v>
      </c>
      <c r="N6794" s="80" t="s">
        <v>200</v>
      </c>
      <c r="O6794" s="80" t="s">
        <v>91</v>
      </c>
      <c r="P6794" s="144" t="s">
        <v>12749</v>
      </c>
      <c r="Q6794" s="20">
        <v>9317</v>
      </c>
      <c r="R6794" s="80" t="s">
        <v>36</v>
      </c>
      <c r="S6794" s="95">
        <v>9317</v>
      </c>
      <c r="T6794" s="148">
        <v>45540</v>
      </c>
      <c r="U6794" s="77"/>
      <c r="V6794" s="78"/>
      <c r="W6794" s="85" t="s">
        <v>12750</v>
      </c>
      <c r="X6794" s="80">
        <v>0</v>
      </c>
      <c r="Y6794" s="22">
        <v>0</v>
      </c>
      <c r="Z6794" s="80" t="s">
        <v>50</v>
      </c>
      <c r="AA6794" s="35" t="s">
        <v>3291</v>
      </c>
      <c r="AB6794" s="80"/>
      <c r="AC6794" s="80" t="s">
        <v>53</v>
      </c>
      <c r="AD6794" s="80" t="s">
        <v>54</v>
      </c>
      <c r="AE6794" s="80" t="s">
        <v>12542</v>
      </c>
      <c r="AF6794" s="17">
        <v>45751</v>
      </c>
      <c r="AG6794" s="80"/>
      <c r="AH6794" s="80"/>
      <c r="AI6794" s="147" t="s">
        <v>64</v>
      </c>
      <c r="AJ6794" s="80"/>
      <c r="AK6794" s="80"/>
      <c r="AL6794" s="35"/>
      <c r="AM6794" s="35"/>
      <c r="AN6794" s="35"/>
      <c r="AO6794" s="35"/>
      <c r="AP6794" s="35"/>
    </row>
    <row r="6795" spans="1:42" x14ac:dyDescent="0.2">
      <c r="A6795" s="38">
        <v>45744</v>
      </c>
      <c r="B6795" s="137" t="s">
        <v>37</v>
      </c>
      <c r="C6795" s="41" t="s">
        <v>118</v>
      </c>
      <c r="D6795" s="80" t="s">
        <v>36</v>
      </c>
      <c r="E6795" s="80" t="s">
        <v>139</v>
      </c>
      <c r="F6795" s="26" t="s">
        <v>815</v>
      </c>
      <c r="G6795" s="26" t="s">
        <v>221</v>
      </c>
      <c r="H6795" s="80" t="s">
        <v>20081</v>
      </c>
      <c r="I6795" s="17">
        <f ca="1">IFERROR(__xludf.DUMMYFUNCTION("""COMPUTED_VALUE"""),45761)</f>
        <v>45761</v>
      </c>
      <c r="J6795" s="143" t="s">
        <v>11212</v>
      </c>
      <c r="K6795" s="80" t="s">
        <v>14719</v>
      </c>
      <c r="L6795" s="30">
        <v>865871518</v>
      </c>
      <c r="M6795" s="80" t="s">
        <v>1245</v>
      </c>
      <c r="N6795" s="80" t="s">
        <v>1246</v>
      </c>
      <c r="O6795" s="80" t="s">
        <v>11214</v>
      </c>
      <c r="P6795" s="144" t="s">
        <v>11215</v>
      </c>
      <c r="Q6795" s="20">
        <v>15936</v>
      </c>
      <c r="R6795" s="80" t="s">
        <v>36</v>
      </c>
      <c r="S6795" s="95">
        <v>2000</v>
      </c>
      <c r="T6795" s="148">
        <v>45507</v>
      </c>
      <c r="U6795" s="77">
        <v>13936</v>
      </c>
      <c r="V6795" s="78">
        <v>45534</v>
      </c>
      <c r="W6795" s="79" t="s">
        <v>11216</v>
      </c>
      <c r="X6795" s="80">
        <v>0</v>
      </c>
      <c r="Y6795" s="22">
        <v>0</v>
      </c>
      <c r="Z6795" s="80" t="s">
        <v>50</v>
      </c>
      <c r="AA6795" s="96" t="s">
        <v>10314</v>
      </c>
      <c r="AB6795" s="26" t="s">
        <v>36</v>
      </c>
      <c r="AC6795" s="80" t="s">
        <v>53</v>
      </c>
      <c r="AD6795" s="80" t="s">
        <v>54</v>
      </c>
      <c r="AE6795" s="26" t="s">
        <v>815</v>
      </c>
      <c r="AF6795" s="17">
        <v>45756</v>
      </c>
      <c r="AG6795" s="80"/>
      <c r="AH6795" s="80"/>
      <c r="AI6795" s="147"/>
      <c r="AJ6795" s="80"/>
      <c r="AK6795" s="80"/>
      <c r="AL6795" s="35"/>
      <c r="AM6795" s="35"/>
      <c r="AN6795" s="35"/>
      <c r="AO6795" s="35"/>
      <c r="AP6795" s="35"/>
    </row>
    <row r="6796" spans="1:42" x14ac:dyDescent="0.2">
      <c r="A6796" s="38">
        <v>45745</v>
      </c>
      <c r="B6796" s="137" t="s">
        <v>37</v>
      </c>
      <c r="C6796" s="41" t="s">
        <v>118</v>
      </c>
      <c r="D6796" s="26" t="s">
        <v>36</v>
      </c>
      <c r="E6796" s="26" t="s">
        <v>139</v>
      </c>
      <c r="F6796" s="26" t="s">
        <v>815</v>
      </c>
      <c r="G6796" s="80" t="s">
        <v>221</v>
      </c>
      <c r="H6796" s="80" t="s">
        <v>13932</v>
      </c>
      <c r="I6796" s="17">
        <f ca="1">IFERROR(__xludf.DUMMYFUNCTION("""COMPUTED_VALUE"""),45762)</f>
        <v>45762</v>
      </c>
      <c r="J6796" s="29" t="s">
        <v>9242</v>
      </c>
      <c r="K6796" s="26" t="s">
        <v>13608</v>
      </c>
      <c r="L6796" s="30">
        <v>889363888</v>
      </c>
      <c r="M6796" s="26" t="s">
        <v>5429</v>
      </c>
      <c r="N6796" s="26" t="s">
        <v>9180</v>
      </c>
      <c r="O6796" s="26" t="s">
        <v>9244</v>
      </c>
      <c r="P6796" s="26" t="s">
        <v>21226</v>
      </c>
      <c r="Q6796" s="20"/>
      <c r="R6796" s="26" t="s">
        <v>36</v>
      </c>
      <c r="S6796" s="95">
        <f>2000+13936</f>
        <v>15936</v>
      </c>
      <c r="T6796" s="83" t="s">
        <v>9246</v>
      </c>
      <c r="U6796" s="31"/>
      <c r="V6796" s="32"/>
      <c r="W6796" s="33" t="s">
        <v>9247</v>
      </c>
      <c r="X6796" s="26"/>
      <c r="Y6796" s="22"/>
      <c r="Z6796" s="26" t="s">
        <v>50</v>
      </c>
      <c r="AA6796" s="70" t="s">
        <v>9070</v>
      </c>
      <c r="AB6796" s="26"/>
      <c r="AC6796" s="26" t="s">
        <v>53</v>
      </c>
      <c r="AD6796" s="26" t="s">
        <v>54</v>
      </c>
      <c r="AE6796" s="26" t="s">
        <v>815</v>
      </c>
      <c r="AF6796" s="17">
        <v>45756</v>
      </c>
      <c r="AG6796" s="26"/>
      <c r="AH6796" s="26"/>
      <c r="AI6796" s="40"/>
      <c r="AJ6796" s="26"/>
      <c r="AK6796" s="26"/>
      <c r="AL6796" s="35"/>
      <c r="AM6796" s="35"/>
      <c r="AN6796" s="35"/>
      <c r="AO6796" s="35"/>
      <c r="AP6796" s="35"/>
    </row>
    <row r="6797" spans="1:42" x14ac:dyDescent="0.2">
      <c r="A6797" s="38">
        <v>45745</v>
      </c>
      <c r="B6797" s="137" t="s">
        <v>37</v>
      </c>
      <c r="C6797" s="41" t="s">
        <v>118</v>
      </c>
      <c r="D6797" s="80" t="s">
        <v>36</v>
      </c>
      <c r="E6797" s="80" t="s">
        <v>119</v>
      </c>
      <c r="F6797" s="80" t="s">
        <v>12857</v>
      </c>
      <c r="G6797" s="80" t="s">
        <v>221</v>
      </c>
      <c r="H6797" s="80" t="s">
        <v>18302</v>
      </c>
      <c r="I6797" s="17">
        <f ca="1">IFERROR(__xludf.DUMMYFUNCTION("""COMPUTED_VALUE"""),45755)</f>
        <v>45755</v>
      </c>
      <c r="J6797" s="143" t="s">
        <v>17854</v>
      </c>
      <c r="K6797" s="80" t="s">
        <v>17855</v>
      </c>
      <c r="L6797" s="30">
        <v>913698756</v>
      </c>
      <c r="M6797" s="80" t="s">
        <v>45</v>
      </c>
      <c r="N6797" s="80" t="s">
        <v>12712</v>
      </c>
      <c r="O6797" s="80" t="s">
        <v>17856</v>
      </c>
      <c r="P6797" s="80" t="s">
        <v>17857</v>
      </c>
      <c r="Q6797" s="20">
        <v>13968</v>
      </c>
      <c r="R6797" s="80" t="s">
        <v>36</v>
      </c>
      <c r="S6797" s="95">
        <v>13968</v>
      </c>
      <c r="T6797" s="148">
        <v>45601</v>
      </c>
      <c r="U6797" s="77"/>
      <c r="V6797" s="78"/>
      <c r="W6797" s="85" t="s">
        <v>17858</v>
      </c>
      <c r="X6797" s="80"/>
      <c r="Y6797" s="22">
        <v>0</v>
      </c>
      <c r="Z6797" s="80" t="s">
        <v>50</v>
      </c>
      <c r="AA6797" s="86" t="s">
        <v>14723</v>
      </c>
      <c r="AB6797" s="80"/>
      <c r="AC6797" s="80" t="s">
        <v>53</v>
      </c>
      <c r="AD6797" s="80" t="s">
        <v>54</v>
      </c>
      <c r="AE6797" s="80" t="s">
        <v>12857</v>
      </c>
      <c r="AF6797" s="17">
        <v>45383</v>
      </c>
      <c r="AG6797" s="80"/>
      <c r="AH6797" s="80"/>
      <c r="AI6797" s="147"/>
      <c r="AJ6797" s="80"/>
      <c r="AK6797" s="80"/>
      <c r="AL6797" s="35"/>
      <c r="AM6797" s="35"/>
      <c r="AN6797" s="35"/>
      <c r="AO6797" s="35"/>
      <c r="AP6797" s="35"/>
    </row>
    <row r="6798" spans="1:42" x14ac:dyDescent="0.2">
      <c r="A6798" s="38">
        <v>45745</v>
      </c>
      <c r="B6798" s="137" t="s">
        <v>37</v>
      </c>
      <c r="C6798" s="41" t="s">
        <v>118</v>
      </c>
      <c r="D6798" s="26" t="s">
        <v>36</v>
      </c>
      <c r="E6798" s="26" t="s">
        <v>119</v>
      </c>
      <c r="F6798" s="26" t="s">
        <v>9820</v>
      </c>
      <c r="G6798" s="26" t="s">
        <v>1705</v>
      </c>
      <c r="H6798" s="26" t="s">
        <v>20497</v>
      </c>
      <c r="I6798" s="17">
        <f ca="1">IFERROR(__xludf.DUMMYFUNCTION("""COMPUTED_VALUE"""),45569)</f>
        <v>45569</v>
      </c>
      <c r="J6798" s="29" t="s">
        <v>21227</v>
      </c>
      <c r="K6798" s="39" t="s">
        <v>21228</v>
      </c>
      <c r="L6798" s="47">
        <v>973936302</v>
      </c>
      <c r="M6798" s="26" t="s">
        <v>80</v>
      </c>
      <c r="N6798" s="26" t="s">
        <v>466</v>
      </c>
      <c r="O6798" s="26" t="s">
        <v>9199</v>
      </c>
      <c r="P6798" s="42" t="s">
        <v>9200</v>
      </c>
      <c r="Q6798" s="20"/>
      <c r="R6798" s="26" t="s">
        <v>36</v>
      </c>
      <c r="S6798" s="95">
        <f>200+3600</f>
        <v>3800</v>
      </c>
      <c r="T6798" s="83" t="s">
        <v>9201</v>
      </c>
      <c r="U6798" s="31">
        <v>10168</v>
      </c>
      <c r="V6798" s="32">
        <v>45502</v>
      </c>
      <c r="W6798" s="33" t="s">
        <v>9202</v>
      </c>
      <c r="X6798" s="26"/>
      <c r="Y6798" s="22"/>
      <c r="Z6798" s="26" t="s">
        <v>50</v>
      </c>
      <c r="AA6798" s="70" t="s">
        <v>9070</v>
      </c>
      <c r="AB6798" s="26"/>
      <c r="AC6798" s="26" t="s">
        <v>53</v>
      </c>
      <c r="AD6798" s="26" t="s">
        <v>54</v>
      </c>
      <c r="AE6798" s="26" t="s">
        <v>9820</v>
      </c>
      <c r="AF6798" s="17">
        <v>45750</v>
      </c>
      <c r="AG6798" s="26"/>
      <c r="AH6798" s="26"/>
      <c r="AI6798" s="40"/>
      <c r="AJ6798" s="26"/>
      <c r="AK6798" s="26"/>
      <c r="AL6798" s="35"/>
      <c r="AM6798" s="35"/>
      <c r="AN6798" s="35"/>
      <c r="AO6798" s="35"/>
      <c r="AP6798" s="35"/>
    </row>
    <row r="6799" spans="1:42" x14ac:dyDescent="0.2">
      <c r="A6799" s="38">
        <v>45747</v>
      </c>
      <c r="B6799" s="137" t="s">
        <v>37</v>
      </c>
      <c r="C6799" s="41" t="s">
        <v>118</v>
      </c>
      <c r="D6799" s="80" t="s">
        <v>36</v>
      </c>
      <c r="E6799" s="80" t="s">
        <v>139</v>
      </c>
      <c r="F6799" s="80" t="s">
        <v>13902</v>
      </c>
      <c r="G6799" s="161" t="s">
        <v>221</v>
      </c>
      <c r="H6799" s="80" t="s">
        <v>20004</v>
      </c>
      <c r="I6799" s="17">
        <f ca="1">IFERROR(__xludf.DUMMYFUNCTION("""COMPUTED_VALUE"""),45755)</f>
        <v>45755</v>
      </c>
      <c r="J6799" s="143" t="s">
        <v>12710</v>
      </c>
      <c r="K6799" s="145" t="s">
        <v>21229</v>
      </c>
      <c r="L6799" s="30">
        <v>343259413</v>
      </c>
      <c r="M6799" s="80" t="s">
        <v>45</v>
      </c>
      <c r="N6799" s="80" t="s">
        <v>12712</v>
      </c>
      <c r="O6799" s="80" t="s">
        <v>12713</v>
      </c>
      <c r="P6799" s="144" t="s">
        <v>13904</v>
      </c>
      <c r="Q6799" s="20">
        <v>15936</v>
      </c>
      <c r="R6799" s="80" t="s">
        <v>36</v>
      </c>
      <c r="S6799" s="95">
        <v>15963</v>
      </c>
      <c r="T6799" s="148">
        <v>45532</v>
      </c>
      <c r="U6799" s="77"/>
      <c r="V6799" s="78"/>
      <c r="W6799" s="85" t="s">
        <v>12714</v>
      </c>
      <c r="X6799" s="83">
        <v>0</v>
      </c>
      <c r="Y6799" s="22">
        <v>-27</v>
      </c>
      <c r="Z6799" s="81" t="s">
        <v>50</v>
      </c>
      <c r="AA6799" s="82" t="s">
        <v>3291</v>
      </c>
      <c r="AB6799" s="80"/>
      <c r="AC6799" s="80" t="s">
        <v>53</v>
      </c>
      <c r="AD6799" s="80" t="s">
        <v>54</v>
      </c>
      <c r="AE6799" s="80" t="s">
        <v>13902</v>
      </c>
      <c r="AF6799" s="17">
        <v>45755</v>
      </c>
      <c r="AG6799" s="80"/>
      <c r="AH6799" s="80"/>
      <c r="AI6799" s="147" t="s">
        <v>147</v>
      </c>
      <c r="AJ6799" s="80"/>
      <c r="AK6799" s="80"/>
      <c r="AL6799" s="86"/>
      <c r="AM6799" s="86"/>
      <c r="AN6799" s="86"/>
      <c r="AO6799" s="86"/>
      <c r="AP6799" s="86"/>
    </row>
    <row r="6800" spans="1:42" x14ac:dyDescent="0.2">
      <c r="A6800" s="38">
        <v>45747</v>
      </c>
      <c r="B6800" s="137" t="s">
        <v>37</v>
      </c>
      <c r="C6800" s="41" t="s">
        <v>118</v>
      </c>
      <c r="D6800" s="80" t="s">
        <v>36</v>
      </c>
      <c r="E6800" s="80" t="s">
        <v>139</v>
      </c>
      <c r="F6800" s="80" t="s">
        <v>13902</v>
      </c>
      <c r="G6800" s="161" t="s">
        <v>221</v>
      </c>
      <c r="H6800" s="80" t="s">
        <v>20004</v>
      </c>
      <c r="I6800" s="17">
        <f ca="1">IFERROR(__xludf.DUMMYFUNCTION("""COMPUTED_VALUE"""),45755)</f>
        <v>45755</v>
      </c>
      <c r="J6800" s="143" t="s">
        <v>17389</v>
      </c>
      <c r="K6800" s="145" t="s">
        <v>18272</v>
      </c>
      <c r="L6800" s="30">
        <v>346769564</v>
      </c>
      <c r="M6800" s="80" t="s">
        <v>15996</v>
      </c>
      <c r="N6800" s="80" t="s">
        <v>186</v>
      </c>
      <c r="O6800" s="80" t="s">
        <v>4503</v>
      </c>
      <c r="P6800" s="80" t="s">
        <v>5794</v>
      </c>
      <c r="Q6800" s="20">
        <v>15936</v>
      </c>
      <c r="R6800" s="80" t="s">
        <v>70</v>
      </c>
      <c r="S6800" s="95">
        <f t="shared" ref="S6800:S6801" si="203">200+2800</f>
        <v>3000</v>
      </c>
      <c r="T6800" s="148" t="s">
        <v>17391</v>
      </c>
      <c r="U6800" s="95">
        <v>12836</v>
      </c>
      <c r="V6800" s="148">
        <v>45607</v>
      </c>
      <c r="W6800" s="85" t="s">
        <v>17392</v>
      </c>
      <c r="X6800" s="80"/>
      <c r="Y6800" s="22">
        <v>100</v>
      </c>
      <c r="Z6800" s="81" t="s">
        <v>50</v>
      </c>
      <c r="AA6800" s="86" t="s">
        <v>14723</v>
      </c>
      <c r="AB6800" s="80"/>
      <c r="AC6800" s="80" t="s">
        <v>53</v>
      </c>
      <c r="AD6800" s="80" t="s">
        <v>138</v>
      </c>
      <c r="AE6800" s="80" t="s">
        <v>13902</v>
      </c>
      <c r="AF6800" s="17">
        <v>45755</v>
      </c>
      <c r="AG6800" s="80"/>
      <c r="AH6800" s="80"/>
      <c r="AI6800" s="147"/>
      <c r="AJ6800" s="80"/>
      <c r="AK6800" s="80"/>
      <c r="AL6800" s="86"/>
      <c r="AM6800" s="86"/>
      <c r="AN6800" s="86"/>
      <c r="AO6800" s="86"/>
      <c r="AP6800" s="86"/>
    </row>
    <row r="6801" spans="1:42" x14ac:dyDescent="0.2">
      <c r="A6801" s="38">
        <v>45747</v>
      </c>
      <c r="B6801" s="137" t="s">
        <v>37</v>
      </c>
      <c r="C6801" s="41" t="s">
        <v>118</v>
      </c>
      <c r="D6801" s="80" t="s">
        <v>36</v>
      </c>
      <c r="E6801" s="80" t="s">
        <v>139</v>
      </c>
      <c r="F6801" s="80" t="s">
        <v>13902</v>
      </c>
      <c r="G6801" s="161" t="s">
        <v>221</v>
      </c>
      <c r="H6801" s="80" t="s">
        <v>20004</v>
      </c>
      <c r="I6801" s="17">
        <f ca="1">IFERROR(__xludf.DUMMYFUNCTION("""COMPUTED_VALUE"""),45755)</f>
        <v>45755</v>
      </c>
      <c r="J6801" s="143" t="s">
        <v>17393</v>
      </c>
      <c r="K6801" s="145" t="s">
        <v>18273</v>
      </c>
      <c r="L6801" s="30">
        <v>906108476</v>
      </c>
      <c r="M6801" s="80" t="s">
        <v>15996</v>
      </c>
      <c r="N6801" s="80" t="s">
        <v>186</v>
      </c>
      <c r="O6801" s="80" t="s">
        <v>4503</v>
      </c>
      <c r="P6801" s="80" t="s">
        <v>3056</v>
      </c>
      <c r="Q6801" s="20">
        <v>15936</v>
      </c>
      <c r="R6801" s="80" t="s">
        <v>70</v>
      </c>
      <c r="S6801" s="95">
        <f t="shared" si="203"/>
        <v>3000</v>
      </c>
      <c r="T6801" s="148" t="s">
        <v>17391</v>
      </c>
      <c r="U6801" s="95">
        <v>12836</v>
      </c>
      <c r="V6801" s="148">
        <v>45610</v>
      </c>
      <c r="W6801" s="85" t="s">
        <v>17395</v>
      </c>
      <c r="X6801" s="80"/>
      <c r="Y6801" s="22">
        <v>100</v>
      </c>
      <c r="Z6801" s="81" t="s">
        <v>50</v>
      </c>
      <c r="AA6801" s="82" t="s">
        <v>14723</v>
      </c>
      <c r="AB6801" s="80"/>
      <c r="AC6801" s="80" t="s">
        <v>53</v>
      </c>
      <c r="AD6801" s="80" t="s">
        <v>138</v>
      </c>
      <c r="AE6801" s="80" t="s">
        <v>13902</v>
      </c>
      <c r="AF6801" s="17">
        <v>45755</v>
      </c>
      <c r="AG6801" s="80"/>
      <c r="AH6801" s="80"/>
      <c r="AI6801" s="147"/>
      <c r="AJ6801" s="80"/>
      <c r="AK6801" s="80"/>
      <c r="AL6801" s="86"/>
      <c r="AM6801" s="86"/>
      <c r="AN6801" s="86"/>
      <c r="AO6801" s="86"/>
      <c r="AP6801" s="86"/>
    </row>
    <row r="6802" spans="1:42" x14ac:dyDescent="0.2">
      <c r="A6802" s="38">
        <v>45747</v>
      </c>
      <c r="B6802" s="137" t="s">
        <v>37</v>
      </c>
      <c r="C6802" s="41" t="s">
        <v>118</v>
      </c>
      <c r="D6802" s="80" t="s">
        <v>36</v>
      </c>
      <c r="E6802" s="80" t="s">
        <v>56</v>
      </c>
      <c r="F6802" s="80" t="s">
        <v>13902</v>
      </c>
      <c r="G6802" s="161" t="s">
        <v>221</v>
      </c>
      <c r="H6802" s="80" t="s">
        <v>20004</v>
      </c>
      <c r="I6802" s="17">
        <f ca="1">IFERROR(__xludf.DUMMYFUNCTION("""COMPUTED_VALUE"""),45755)</f>
        <v>45755</v>
      </c>
      <c r="J6802" s="143" t="s">
        <v>18274</v>
      </c>
      <c r="K6802" s="145" t="s">
        <v>17441</v>
      </c>
      <c r="L6802" s="30">
        <v>867744725</v>
      </c>
      <c r="M6802" s="80" t="s">
        <v>59</v>
      </c>
      <c r="N6802" s="80" t="s">
        <v>9294</v>
      </c>
      <c r="O6802" s="80" t="s">
        <v>17442</v>
      </c>
      <c r="P6802" s="80" t="s">
        <v>12687</v>
      </c>
      <c r="Q6802" s="20">
        <v>9317</v>
      </c>
      <c r="R6802" s="80" t="s">
        <v>70</v>
      </c>
      <c r="S6802" s="95">
        <v>2000</v>
      </c>
      <c r="T6802" s="148">
        <v>45574</v>
      </c>
      <c r="U6802" s="95">
        <v>7217</v>
      </c>
      <c r="V6802" s="148">
        <v>45623</v>
      </c>
      <c r="W6802" s="85" t="s">
        <v>17443</v>
      </c>
      <c r="X6802" s="80"/>
      <c r="Y6802" s="22">
        <v>100</v>
      </c>
      <c r="Z6802" s="81" t="s">
        <v>50</v>
      </c>
      <c r="AA6802" s="86" t="s">
        <v>14723</v>
      </c>
      <c r="AB6802" s="80"/>
      <c r="AC6802" s="80" t="s">
        <v>53</v>
      </c>
      <c r="AD6802" s="80" t="s">
        <v>138</v>
      </c>
      <c r="AE6802" s="80" t="s">
        <v>13902</v>
      </c>
      <c r="AF6802" s="17">
        <v>45755</v>
      </c>
      <c r="AG6802" s="80"/>
      <c r="AH6802" s="80"/>
      <c r="AI6802" s="147"/>
      <c r="AJ6802" s="80"/>
      <c r="AK6802" s="80"/>
      <c r="AL6802" s="86"/>
      <c r="AM6802" s="86"/>
      <c r="AN6802" s="86"/>
      <c r="AO6802" s="86"/>
      <c r="AP6802" s="86"/>
    </row>
    <row r="6803" spans="1:42" x14ac:dyDescent="0.2">
      <c r="A6803" s="38">
        <v>45747</v>
      </c>
      <c r="B6803" s="137" t="s">
        <v>90</v>
      </c>
      <c r="C6803" s="41" t="s">
        <v>118</v>
      </c>
      <c r="D6803" s="80" t="s">
        <v>36</v>
      </c>
      <c r="E6803" s="80" t="s">
        <v>56</v>
      </c>
      <c r="F6803" s="80" t="s">
        <v>13902</v>
      </c>
      <c r="G6803" s="161" t="s">
        <v>221</v>
      </c>
      <c r="H6803" s="80" t="s">
        <v>20004</v>
      </c>
      <c r="I6803" s="17">
        <f ca="1">IFERROR(__xludf.DUMMYFUNCTION("""COMPUTED_VALUE"""),45755)</f>
        <v>45755</v>
      </c>
      <c r="J6803" s="143" t="s">
        <v>17444</v>
      </c>
      <c r="K6803" s="145" t="s">
        <v>21230</v>
      </c>
      <c r="L6803" s="30">
        <v>968785535</v>
      </c>
      <c r="M6803" s="80" t="s">
        <v>59</v>
      </c>
      <c r="N6803" s="80" t="s">
        <v>9660</v>
      </c>
      <c r="O6803" s="80" t="s">
        <v>17446</v>
      </c>
      <c r="P6803" s="80" t="s">
        <v>7743</v>
      </c>
      <c r="Q6803" s="20">
        <v>9317</v>
      </c>
      <c r="R6803" s="80" t="s">
        <v>70</v>
      </c>
      <c r="S6803" s="95">
        <v>2000</v>
      </c>
      <c r="T6803" s="148">
        <v>45574</v>
      </c>
      <c r="U6803" s="95">
        <v>7217</v>
      </c>
      <c r="V6803" s="148">
        <v>45623</v>
      </c>
      <c r="W6803" s="85" t="s">
        <v>17447</v>
      </c>
      <c r="X6803" s="80"/>
      <c r="Y6803" s="22">
        <v>100</v>
      </c>
      <c r="Z6803" s="81" t="s">
        <v>50</v>
      </c>
      <c r="AA6803" s="82" t="s">
        <v>14723</v>
      </c>
      <c r="AB6803" s="80"/>
      <c r="AC6803" s="80" t="s">
        <v>53</v>
      </c>
      <c r="AD6803" s="80" t="s">
        <v>138</v>
      </c>
      <c r="AE6803" s="80" t="s">
        <v>13902</v>
      </c>
      <c r="AF6803" s="17">
        <v>45755</v>
      </c>
      <c r="AG6803" s="80"/>
      <c r="AH6803" s="80"/>
      <c r="AI6803" s="147"/>
      <c r="AJ6803" s="80"/>
      <c r="AK6803" s="80"/>
      <c r="AL6803" s="86"/>
      <c r="AM6803" s="86"/>
      <c r="AN6803" s="86"/>
      <c r="AO6803" s="86"/>
      <c r="AP6803" s="86"/>
    </row>
    <row r="6804" spans="1:42" x14ac:dyDescent="0.2">
      <c r="A6804" s="38">
        <v>45747</v>
      </c>
      <c r="B6804" s="137" t="s">
        <v>37</v>
      </c>
      <c r="C6804" s="41" t="s">
        <v>118</v>
      </c>
      <c r="D6804" s="80" t="s">
        <v>36</v>
      </c>
      <c r="E6804" s="80" t="s">
        <v>56</v>
      </c>
      <c r="F6804" s="80" t="s">
        <v>13902</v>
      </c>
      <c r="G6804" s="161" t="s">
        <v>221</v>
      </c>
      <c r="H6804" s="80" t="s">
        <v>20004</v>
      </c>
      <c r="I6804" s="17">
        <f ca="1">IFERROR(__xludf.DUMMYFUNCTION("""COMPUTED_VALUE"""),45755)</f>
        <v>45755</v>
      </c>
      <c r="J6804" s="143" t="s">
        <v>21231</v>
      </c>
      <c r="K6804" s="145" t="s">
        <v>17487</v>
      </c>
      <c r="L6804" s="30">
        <v>347022063</v>
      </c>
      <c r="M6804" s="80" t="s">
        <v>59</v>
      </c>
      <c r="N6804" s="80" t="s">
        <v>17488</v>
      </c>
      <c r="O6804" s="80" t="s">
        <v>17489</v>
      </c>
      <c r="P6804" s="80" t="s">
        <v>12692</v>
      </c>
      <c r="Q6804" s="20">
        <v>9317</v>
      </c>
      <c r="R6804" s="80" t="s">
        <v>36</v>
      </c>
      <c r="S6804" s="95">
        <v>2000</v>
      </c>
      <c r="T6804" s="148">
        <v>45579</v>
      </c>
      <c r="U6804" s="95">
        <v>7317</v>
      </c>
      <c r="V6804" s="148">
        <v>45613</v>
      </c>
      <c r="W6804" s="85" t="s">
        <v>17490</v>
      </c>
      <c r="X6804" s="80"/>
      <c r="Y6804" s="22">
        <v>0</v>
      </c>
      <c r="Z6804" s="81" t="s">
        <v>50</v>
      </c>
      <c r="AA6804" s="86" t="s">
        <v>14723</v>
      </c>
      <c r="AB6804" s="80"/>
      <c r="AC6804" s="80" t="s">
        <v>53</v>
      </c>
      <c r="AD6804" s="80" t="s">
        <v>138</v>
      </c>
      <c r="AE6804" s="80" t="s">
        <v>13902</v>
      </c>
      <c r="AF6804" s="17">
        <v>45755</v>
      </c>
      <c r="AG6804" s="80"/>
      <c r="AH6804" s="80"/>
      <c r="AI6804" s="147"/>
      <c r="AJ6804" s="80"/>
      <c r="AK6804" s="80"/>
      <c r="AL6804" s="86"/>
      <c r="AM6804" s="86"/>
      <c r="AN6804" s="86"/>
      <c r="AO6804" s="86"/>
      <c r="AP6804" s="86"/>
    </row>
    <row r="6805" spans="1:42" x14ac:dyDescent="0.2">
      <c r="A6805" s="38">
        <v>45747</v>
      </c>
      <c r="B6805" s="137" t="s">
        <v>37</v>
      </c>
      <c r="C6805" s="41" t="s">
        <v>118</v>
      </c>
      <c r="D6805" s="80" t="s">
        <v>36</v>
      </c>
      <c r="E6805" s="80" t="s">
        <v>139</v>
      </c>
      <c r="F6805" s="80" t="s">
        <v>13902</v>
      </c>
      <c r="G6805" s="161" t="s">
        <v>221</v>
      </c>
      <c r="H6805" s="80" t="s">
        <v>20004</v>
      </c>
      <c r="I6805" s="17">
        <f ca="1">IFERROR(__xludf.DUMMYFUNCTION("""COMPUTED_VALUE"""),45755)</f>
        <v>45755</v>
      </c>
      <c r="J6805" s="143" t="s">
        <v>17540</v>
      </c>
      <c r="K6805" s="145" t="s">
        <v>17541</v>
      </c>
      <c r="L6805" s="30">
        <v>826625228</v>
      </c>
      <c r="M6805" s="80" t="s">
        <v>3728</v>
      </c>
      <c r="N6805" s="80" t="s">
        <v>5312</v>
      </c>
      <c r="O6805" s="80" t="s">
        <v>17542</v>
      </c>
      <c r="P6805" s="80" t="s">
        <v>11644</v>
      </c>
      <c r="Q6805" s="20">
        <v>15936</v>
      </c>
      <c r="R6805" s="80" t="s">
        <v>36</v>
      </c>
      <c r="S6805" s="95">
        <f>200+1800</f>
        <v>2000</v>
      </c>
      <c r="T6805" s="148" t="s">
        <v>17543</v>
      </c>
      <c r="U6805" s="95">
        <v>13936</v>
      </c>
      <c r="V6805" s="148">
        <v>45618</v>
      </c>
      <c r="W6805" s="85" t="s">
        <v>17544</v>
      </c>
      <c r="X6805" s="80"/>
      <c r="Y6805" s="22">
        <v>0</v>
      </c>
      <c r="Z6805" s="81" t="s">
        <v>50</v>
      </c>
      <c r="AA6805" s="82" t="s">
        <v>14723</v>
      </c>
      <c r="AB6805" s="80"/>
      <c r="AC6805" s="80" t="s">
        <v>53</v>
      </c>
      <c r="AD6805" s="80" t="s">
        <v>138</v>
      </c>
      <c r="AE6805" s="80" t="s">
        <v>13902</v>
      </c>
      <c r="AF6805" s="17">
        <v>45755</v>
      </c>
      <c r="AG6805" s="80"/>
      <c r="AH6805" s="80"/>
      <c r="AI6805" s="147"/>
      <c r="AJ6805" s="80"/>
      <c r="AK6805" s="80"/>
      <c r="AL6805" s="86"/>
      <c r="AM6805" s="86"/>
      <c r="AN6805" s="86"/>
      <c r="AO6805" s="86"/>
      <c r="AP6805" s="86"/>
    </row>
    <row r="6806" spans="1:42" x14ac:dyDescent="0.2">
      <c r="A6806" s="38">
        <v>45747</v>
      </c>
      <c r="B6806" s="137" t="s">
        <v>37</v>
      </c>
      <c r="C6806" s="41" t="s">
        <v>118</v>
      </c>
      <c r="D6806" s="80" t="s">
        <v>36</v>
      </c>
      <c r="E6806" s="80" t="s">
        <v>139</v>
      </c>
      <c r="F6806" s="80" t="s">
        <v>13902</v>
      </c>
      <c r="G6806" s="161" t="s">
        <v>221</v>
      </c>
      <c r="H6806" s="80" t="s">
        <v>21232</v>
      </c>
      <c r="I6806" s="17">
        <f ca="1">IFERROR(__xludf.DUMMYFUNCTION("""COMPUTED_VALUE"""),45876)</f>
        <v>45876</v>
      </c>
      <c r="J6806" s="143" t="s">
        <v>17581</v>
      </c>
      <c r="K6806" s="145" t="s">
        <v>21233</v>
      </c>
      <c r="L6806" s="30">
        <v>969585335</v>
      </c>
      <c r="M6806" s="80" t="s">
        <v>15996</v>
      </c>
      <c r="N6806" s="80" t="s">
        <v>186</v>
      </c>
      <c r="O6806" s="80" t="s">
        <v>4503</v>
      </c>
      <c r="P6806" s="80" t="s">
        <v>3056</v>
      </c>
      <c r="Q6806" s="20">
        <v>15936</v>
      </c>
      <c r="R6806" s="80" t="s">
        <v>36</v>
      </c>
      <c r="S6806" s="95">
        <f t="shared" ref="S6806:S6807" si="204">200+3000</f>
        <v>3200</v>
      </c>
      <c r="T6806" s="148" t="s">
        <v>17583</v>
      </c>
      <c r="U6806" s="95">
        <f>12000+736</f>
        <v>12736</v>
      </c>
      <c r="V6806" s="215">
        <v>45626</v>
      </c>
      <c r="W6806" s="85" t="s">
        <v>17584</v>
      </c>
      <c r="X6806" s="80"/>
      <c r="Y6806" s="22">
        <v>0</v>
      </c>
      <c r="Z6806" s="81" t="s">
        <v>50</v>
      </c>
      <c r="AA6806" s="86" t="s">
        <v>14723</v>
      </c>
      <c r="AB6806" s="80"/>
      <c r="AC6806" s="80" t="s">
        <v>53</v>
      </c>
      <c r="AD6806" s="80" t="s">
        <v>138</v>
      </c>
      <c r="AE6806" s="80" t="s">
        <v>13902</v>
      </c>
      <c r="AF6806" s="17">
        <v>45755</v>
      </c>
      <c r="AG6806" s="80" t="s">
        <v>8366</v>
      </c>
      <c r="AH6806" s="80"/>
      <c r="AI6806" s="147"/>
      <c r="AJ6806" s="80"/>
      <c r="AK6806" s="80"/>
      <c r="AL6806" s="86"/>
      <c r="AM6806" s="86"/>
      <c r="AN6806" s="86"/>
      <c r="AO6806" s="86"/>
      <c r="AP6806" s="86"/>
    </row>
    <row r="6807" spans="1:42" x14ac:dyDescent="0.2">
      <c r="A6807" s="38">
        <v>45747</v>
      </c>
      <c r="B6807" s="137" t="s">
        <v>37</v>
      </c>
      <c r="C6807" s="41" t="s">
        <v>118</v>
      </c>
      <c r="D6807" s="80" t="s">
        <v>36</v>
      </c>
      <c r="E6807" s="80" t="s">
        <v>139</v>
      </c>
      <c r="F6807" s="80" t="s">
        <v>13902</v>
      </c>
      <c r="G6807" s="161" t="s">
        <v>221</v>
      </c>
      <c r="H6807" s="80" t="s">
        <v>21232</v>
      </c>
      <c r="I6807" s="17">
        <f ca="1">IFERROR(__xludf.DUMMYFUNCTION("""COMPUTED_VALUE"""),45876)</f>
        <v>45876</v>
      </c>
      <c r="J6807" s="143" t="s">
        <v>17658</v>
      </c>
      <c r="K6807" s="145" t="s">
        <v>21234</v>
      </c>
      <c r="L6807" s="30">
        <v>965162305</v>
      </c>
      <c r="M6807" s="80" t="s">
        <v>5558</v>
      </c>
      <c r="N6807" s="80" t="s">
        <v>5277</v>
      </c>
      <c r="O6807" s="80" t="s">
        <v>4503</v>
      </c>
      <c r="P6807" s="80" t="s">
        <v>17660</v>
      </c>
      <c r="Q6807" s="20">
        <v>15936</v>
      </c>
      <c r="R6807" s="80" t="s">
        <v>70</v>
      </c>
      <c r="S6807" s="95">
        <f t="shared" si="204"/>
        <v>3200</v>
      </c>
      <c r="T6807" s="148" t="s">
        <v>17661</v>
      </c>
      <c r="U6807" s="95">
        <v>12636</v>
      </c>
      <c r="V6807" s="148">
        <v>45626</v>
      </c>
      <c r="W6807" s="85" t="s">
        <v>17662</v>
      </c>
      <c r="X6807" s="80"/>
      <c r="Y6807" s="22">
        <v>100</v>
      </c>
      <c r="Z6807" s="81" t="s">
        <v>50</v>
      </c>
      <c r="AA6807" s="82" t="s">
        <v>14723</v>
      </c>
      <c r="AB6807" s="80"/>
      <c r="AC6807" s="80" t="s">
        <v>53</v>
      </c>
      <c r="AD6807" s="80" t="s">
        <v>138</v>
      </c>
      <c r="AE6807" s="80" t="s">
        <v>13902</v>
      </c>
      <c r="AF6807" s="17">
        <v>45755</v>
      </c>
      <c r="AG6807" s="80" t="s">
        <v>8366</v>
      </c>
      <c r="AH6807" s="80"/>
      <c r="AI6807" s="147"/>
      <c r="AJ6807" s="80"/>
      <c r="AK6807" s="80"/>
      <c r="AL6807" s="86"/>
      <c r="AM6807" s="86"/>
      <c r="AN6807" s="86"/>
      <c r="AO6807" s="86"/>
      <c r="AP6807" s="86"/>
    </row>
    <row r="6808" spans="1:42" x14ac:dyDescent="0.2">
      <c r="A6808" s="38">
        <v>45747</v>
      </c>
      <c r="B6808" s="137" t="s">
        <v>37</v>
      </c>
      <c r="C6808" s="41" t="s">
        <v>118</v>
      </c>
      <c r="D6808" s="80" t="s">
        <v>36</v>
      </c>
      <c r="E6808" s="80" t="s">
        <v>139</v>
      </c>
      <c r="F6808" s="80" t="s">
        <v>13902</v>
      </c>
      <c r="G6808" s="161" t="s">
        <v>221</v>
      </c>
      <c r="H6808" s="80" t="s">
        <v>20004</v>
      </c>
      <c r="I6808" s="17">
        <f ca="1">IFERROR(__xludf.DUMMYFUNCTION("""COMPUTED_VALUE"""),45755)</f>
        <v>45755</v>
      </c>
      <c r="J6808" s="143" t="s">
        <v>17669</v>
      </c>
      <c r="K6808" s="145" t="s">
        <v>17670</v>
      </c>
      <c r="L6808" s="30">
        <v>815289326</v>
      </c>
      <c r="M6808" s="80" t="s">
        <v>5558</v>
      </c>
      <c r="N6808" s="80" t="s">
        <v>850</v>
      </c>
      <c r="O6808" s="80" t="s">
        <v>4503</v>
      </c>
      <c r="P6808" s="80" t="s">
        <v>3487</v>
      </c>
      <c r="Q6808" s="20">
        <v>15936</v>
      </c>
      <c r="R6808" s="80" t="s">
        <v>36</v>
      </c>
      <c r="S6808" s="95">
        <v>5000</v>
      </c>
      <c r="T6808" s="148">
        <v>45591</v>
      </c>
      <c r="U6808" s="95">
        <v>10936</v>
      </c>
      <c r="V6808" s="148">
        <v>45610</v>
      </c>
      <c r="W6808" s="85" t="s">
        <v>17671</v>
      </c>
      <c r="X6808" s="80"/>
      <c r="Y6808" s="22">
        <v>0</v>
      </c>
      <c r="Z6808" s="81" t="s">
        <v>50</v>
      </c>
      <c r="AA6808" s="86" t="s">
        <v>14723</v>
      </c>
      <c r="AB6808" s="80"/>
      <c r="AC6808" s="80" t="s">
        <v>53</v>
      </c>
      <c r="AD6808" s="80" t="s">
        <v>138</v>
      </c>
      <c r="AE6808" s="80" t="s">
        <v>13902</v>
      </c>
      <c r="AF6808" s="17">
        <v>45755</v>
      </c>
      <c r="AG6808" s="80"/>
      <c r="AH6808" s="80"/>
      <c r="AI6808" s="147"/>
      <c r="AJ6808" s="80"/>
      <c r="AK6808" s="80"/>
      <c r="AL6808" s="86"/>
      <c r="AM6808" s="86"/>
      <c r="AN6808" s="86"/>
      <c r="AO6808" s="86"/>
      <c r="AP6808" s="86"/>
    </row>
    <row r="6809" spans="1:42" x14ac:dyDescent="0.2">
      <c r="A6809" s="38">
        <v>45747</v>
      </c>
      <c r="B6809" s="28" t="s">
        <v>37</v>
      </c>
      <c r="C6809" s="41" t="s">
        <v>118</v>
      </c>
      <c r="D6809" s="80" t="s">
        <v>36</v>
      </c>
      <c r="E6809" s="80" t="s">
        <v>56</v>
      </c>
      <c r="F6809" s="80" t="s">
        <v>13902</v>
      </c>
      <c r="G6809" s="161" t="s">
        <v>221</v>
      </c>
      <c r="H6809" s="80" t="s">
        <v>20141</v>
      </c>
      <c r="I6809" s="17">
        <f ca="1">IFERROR(__xludf.DUMMYFUNCTION("""COMPUTED_VALUE"""),45757)</f>
        <v>45757</v>
      </c>
      <c r="J6809" s="143" t="s">
        <v>15234</v>
      </c>
      <c r="K6809" s="145" t="s">
        <v>15235</v>
      </c>
      <c r="L6809" s="30">
        <v>369407924</v>
      </c>
      <c r="M6809" s="80" t="s">
        <v>123</v>
      </c>
      <c r="N6809" s="80" t="s">
        <v>2847</v>
      </c>
      <c r="O6809" s="80" t="s">
        <v>15236</v>
      </c>
      <c r="P6809" s="80" t="s">
        <v>5794</v>
      </c>
      <c r="Q6809" s="20">
        <v>9317</v>
      </c>
      <c r="R6809" s="80" t="s">
        <v>1106</v>
      </c>
      <c r="S6809" s="95">
        <v>3000</v>
      </c>
      <c r="T6809" s="148">
        <v>45550</v>
      </c>
      <c r="U6809" s="95">
        <v>6167</v>
      </c>
      <c r="V6809" s="148">
        <v>45590</v>
      </c>
      <c r="W6809" s="85" t="s">
        <v>15237</v>
      </c>
      <c r="X6809" s="80"/>
      <c r="Y6809" s="22">
        <v>150</v>
      </c>
      <c r="Z6809" s="81" t="s">
        <v>50</v>
      </c>
      <c r="AA6809" s="82" t="s">
        <v>9905</v>
      </c>
      <c r="AB6809" s="80"/>
      <c r="AC6809" s="80" t="s">
        <v>53</v>
      </c>
      <c r="AD6809" s="80" t="s">
        <v>138</v>
      </c>
      <c r="AE6809" s="80" t="s">
        <v>13902</v>
      </c>
      <c r="AF6809" s="17">
        <v>45757</v>
      </c>
      <c r="AG6809" s="80"/>
      <c r="AH6809" s="80"/>
      <c r="AI6809" s="147"/>
      <c r="AJ6809" s="80"/>
      <c r="AK6809" s="80"/>
      <c r="AL6809" s="86"/>
      <c r="AM6809" s="86"/>
      <c r="AN6809" s="86"/>
      <c r="AO6809" s="86"/>
      <c r="AP6809" s="86"/>
    </row>
    <row r="6810" spans="1:42" x14ac:dyDescent="0.2">
      <c r="A6810" s="38">
        <v>45747</v>
      </c>
      <c r="B6810" s="28" t="s">
        <v>37</v>
      </c>
      <c r="C6810" s="41" t="s">
        <v>118</v>
      </c>
      <c r="D6810" s="80" t="s">
        <v>36</v>
      </c>
      <c r="E6810" s="80" t="s">
        <v>56</v>
      </c>
      <c r="F6810" s="80" t="s">
        <v>13902</v>
      </c>
      <c r="G6810" s="161" t="s">
        <v>221</v>
      </c>
      <c r="H6810" s="80" t="s">
        <v>20141</v>
      </c>
      <c r="I6810" s="17">
        <f ca="1">IFERROR(__xludf.DUMMYFUNCTION("""COMPUTED_VALUE"""),45757)</f>
        <v>45757</v>
      </c>
      <c r="J6810" s="143" t="s">
        <v>17203</v>
      </c>
      <c r="K6810" s="145" t="s">
        <v>17204</v>
      </c>
      <c r="L6810" s="30">
        <v>862558843</v>
      </c>
      <c r="M6810" s="80" t="s">
        <v>123</v>
      </c>
      <c r="N6810" s="80" t="s">
        <v>2847</v>
      </c>
      <c r="O6810" s="80" t="s">
        <v>4503</v>
      </c>
      <c r="P6810" s="80" t="s">
        <v>3056</v>
      </c>
      <c r="Q6810" s="20">
        <v>9317</v>
      </c>
      <c r="R6810" s="80" t="s">
        <v>1106</v>
      </c>
      <c r="S6810" s="95">
        <v>3000</v>
      </c>
      <c r="T6810" s="148">
        <v>45550</v>
      </c>
      <c r="U6810" s="95">
        <f>6067+100</f>
        <v>6167</v>
      </c>
      <c r="V6810" s="148" t="s">
        <v>17205</v>
      </c>
      <c r="W6810" s="85" t="s">
        <v>17206</v>
      </c>
      <c r="X6810" s="80"/>
      <c r="Y6810" s="22">
        <v>150</v>
      </c>
      <c r="Z6810" s="81" t="s">
        <v>50</v>
      </c>
      <c r="AA6810" s="86" t="s">
        <v>14723</v>
      </c>
      <c r="AB6810" s="80"/>
      <c r="AC6810" s="80" t="s">
        <v>53</v>
      </c>
      <c r="AD6810" s="80" t="s">
        <v>138</v>
      </c>
      <c r="AE6810" s="80" t="s">
        <v>13902</v>
      </c>
      <c r="AF6810" s="17">
        <v>45757</v>
      </c>
      <c r="AG6810" s="80"/>
      <c r="AH6810" s="80"/>
      <c r="AI6810" s="147"/>
      <c r="AJ6810" s="80"/>
      <c r="AK6810" s="80"/>
      <c r="AL6810" s="86"/>
      <c r="AM6810" s="86"/>
      <c r="AN6810" s="86"/>
      <c r="AO6810" s="86"/>
      <c r="AP6810" s="86"/>
    </row>
    <row r="6811" spans="1:42" x14ac:dyDescent="0.2">
      <c r="A6811" s="38">
        <v>45747</v>
      </c>
      <c r="B6811" s="137" t="s">
        <v>37</v>
      </c>
      <c r="C6811" s="41" t="s">
        <v>118</v>
      </c>
      <c r="D6811" s="80" t="s">
        <v>36</v>
      </c>
      <c r="E6811" s="80" t="s">
        <v>148</v>
      </c>
      <c r="F6811" s="80" t="s">
        <v>13902</v>
      </c>
      <c r="G6811" s="161" t="s">
        <v>221</v>
      </c>
      <c r="H6811" s="80" t="s">
        <v>20004</v>
      </c>
      <c r="I6811" s="17">
        <f ca="1">IFERROR(__xludf.DUMMYFUNCTION("""COMPUTED_VALUE"""),45755)</f>
        <v>45755</v>
      </c>
      <c r="J6811" s="143" t="s">
        <v>16385</v>
      </c>
      <c r="K6811" s="145" t="s">
        <v>16386</v>
      </c>
      <c r="L6811" s="30">
        <v>382260206</v>
      </c>
      <c r="M6811" s="80" t="s">
        <v>11413</v>
      </c>
      <c r="N6811" s="80" t="s">
        <v>1246</v>
      </c>
      <c r="O6811" s="80" t="s">
        <v>16387</v>
      </c>
      <c r="P6811" s="80" t="s">
        <v>19056</v>
      </c>
      <c r="Q6811" s="20">
        <v>7349</v>
      </c>
      <c r="R6811" s="80" t="s">
        <v>36</v>
      </c>
      <c r="S6811" s="95">
        <v>7349</v>
      </c>
      <c r="T6811" s="148">
        <v>45629</v>
      </c>
      <c r="U6811" s="77"/>
      <c r="V6811" s="78"/>
      <c r="W6811" s="85" t="s">
        <v>19057</v>
      </c>
      <c r="X6811" s="80"/>
      <c r="Y6811" s="22">
        <v>0</v>
      </c>
      <c r="Z6811" s="81" t="s">
        <v>50</v>
      </c>
      <c r="AA6811" s="82" t="s">
        <v>18579</v>
      </c>
      <c r="AB6811" s="86"/>
      <c r="AC6811" s="80" t="s">
        <v>53</v>
      </c>
      <c r="AD6811" s="80" t="s">
        <v>138</v>
      </c>
      <c r="AE6811" s="80" t="s">
        <v>13902</v>
      </c>
      <c r="AF6811" s="17">
        <v>45755</v>
      </c>
      <c r="AG6811" s="80"/>
      <c r="AH6811" s="80"/>
      <c r="AI6811" s="147"/>
      <c r="AJ6811" s="80"/>
      <c r="AK6811" s="80"/>
      <c r="AL6811" s="86"/>
      <c r="AM6811" s="86"/>
      <c r="AN6811" s="86"/>
      <c r="AO6811" s="86"/>
      <c r="AP6811" s="86"/>
    </row>
    <row r="6812" spans="1:42" x14ac:dyDescent="0.2">
      <c r="A6812" s="38">
        <v>45747</v>
      </c>
      <c r="B6812" s="137" t="s">
        <v>37</v>
      </c>
      <c r="C6812" s="41" t="s">
        <v>118</v>
      </c>
      <c r="D6812" s="80" t="s">
        <v>36</v>
      </c>
      <c r="E6812" s="80" t="s">
        <v>148</v>
      </c>
      <c r="F6812" s="80" t="s">
        <v>13902</v>
      </c>
      <c r="G6812" s="161" t="s">
        <v>221</v>
      </c>
      <c r="H6812" s="80" t="s">
        <v>20004</v>
      </c>
      <c r="I6812" s="17">
        <f ca="1">IFERROR(__xludf.DUMMYFUNCTION("""COMPUTED_VALUE"""),45755)</f>
        <v>45755</v>
      </c>
      <c r="J6812" s="143" t="s">
        <v>16390</v>
      </c>
      <c r="K6812" s="145" t="s">
        <v>16391</v>
      </c>
      <c r="L6812" s="30">
        <v>369514003</v>
      </c>
      <c r="M6812" s="80" t="s">
        <v>123</v>
      </c>
      <c r="N6812" s="80" t="s">
        <v>19147</v>
      </c>
      <c r="O6812" s="80" t="s">
        <v>16393</v>
      </c>
      <c r="P6812" s="80" t="s">
        <v>16394</v>
      </c>
      <c r="Q6812" s="20">
        <v>7349</v>
      </c>
      <c r="R6812" s="80" t="s">
        <v>36</v>
      </c>
      <c r="S6812" s="95">
        <v>7349</v>
      </c>
      <c r="T6812" s="148">
        <v>45652</v>
      </c>
      <c r="U6812" s="77"/>
      <c r="V6812" s="78"/>
      <c r="W6812" s="85" t="s">
        <v>19148</v>
      </c>
      <c r="X6812" s="80"/>
      <c r="Y6812" s="22">
        <v>0</v>
      </c>
      <c r="Z6812" s="81" t="s">
        <v>50</v>
      </c>
      <c r="AA6812" s="86" t="s">
        <v>18579</v>
      </c>
      <c r="AB6812" s="82"/>
      <c r="AC6812" s="80" t="s">
        <v>53</v>
      </c>
      <c r="AD6812" s="80" t="s">
        <v>138</v>
      </c>
      <c r="AE6812" s="80" t="s">
        <v>13902</v>
      </c>
      <c r="AF6812" s="17">
        <v>45755</v>
      </c>
      <c r="AG6812" s="80"/>
      <c r="AH6812" s="80"/>
      <c r="AI6812" s="147"/>
      <c r="AJ6812" s="80"/>
      <c r="AK6812" s="80"/>
      <c r="AL6812" s="86"/>
      <c r="AM6812" s="86"/>
      <c r="AN6812" s="86"/>
      <c r="AO6812" s="86"/>
      <c r="AP6812" s="86"/>
    </row>
    <row r="6813" spans="1:42" x14ac:dyDescent="0.2">
      <c r="A6813" s="38">
        <v>45747</v>
      </c>
      <c r="B6813" s="137" t="s">
        <v>37</v>
      </c>
      <c r="C6813" s="41" t="s">
        <v>118</v>
      </c>
      <c r="D6813" s="80" t="s">
        <v>36</v>
      </c>
      <c r="E6813" s="80" t="s">
        <v>119</v>
      </c>
      <c r="F6813" s="80" t="s">
        <v>13902</v>
      </c>
      <c r="G6813" s="161" t="s">
        <v>221</v>
      </c>
      <c r="H6813" s="80" t="s">
        <v>20004</v>
      </c>
      <c r="I6813" s="17">
        <f ca="1">IFERROR(__xludf.DUMMYFUNCTION("""COMPUTED_VALUE"""),45755)</f>
        <v>45755</v>
      </c>
      <c r="J6813" s="143" t="s">
        <v>19640</v>
      </c>
      <c r="K6813" s="145" t="s">
        <v>21235</v>
      </c>
      <c r="L6813" s="30">
        <v>945551323</v>
      </c>
      <c r="M6813" s="80" t="s">
        <v>5558</v>
      </c>
      <c r="N6813" s="80" t="s">
        <v>850</v>
      </c>
      <c r="O6813" s="80" t="s">
        <v>4503</v>
      </c>
      <c r="P6813" s="80" t="s">
        <v>3056</v>
      </c>
      <c r="Q6813" s="20">
        <v>13968</v>
      </c>
      <c r="R6813" s="80" t="s">
        <v>36</v>
      </c>
      <c r="S6813" s="95">
        <f>200+4800</f>
        <v>5000</v>
      </c>
      <c r="T6813" s="148" t="s">
        <v>16020</v>
      </c>
      <c r="U6813" s="95">
        <v>9268</v>
      </c>
      <c r="V6813" s="170">
        <v>45665</v>
      </c>
      <c r="W6813" s="85" t="s">
        <v>19642</v>
      </c>
      <c r="X6813" s="80"/>
      <c r="Y6813" s="22">
        <v>-300</v>
      </c>
      <c r="Z6813" s="81" t="s">
        <v>50</v>
      </c>
      <c r="AA6813" s="82" t="s">
        <v>18583</v>
      </c>
      <c r="AB6813" s="86"/>
      <c r="AC6813" s="80" t="s">
        <v>53</v>
      </c>
      <c r="AD6813" s="80" t="s">
        <v>138</v>
      </c>
      <c r="AE6813" s="80" t="s">
        <v>13902</v>
      </c>
      <c r="AF6813" s="17">
        <v>45755</v>
      </c>
      <c r="AG6813" s="80"/>
      <c r="AH6813" s="80"/>
      <c r="AI6813" s="147"/>
      <c r="AJ6813" s="83">
        <f>COUNTIF(K6813:K7144,K6813)</f>
        <v>1</v>
      </c>
      <c r="AK6813" s="80"/>
      <c r="AL6813" s="86"/>
      <c r="AM6813" s="86"/>
      <c r="AN6813" s="86"/>
      <c r="AO6813" s="86"/>
      <c r="AP6813" s="86"/>
    </row>
    <row r="6814" spans="1:42" x14ac:dyDescent="0.2">
      <c r="A6814" s="38">
        <v>45747</v>
      </c>
      <c r="B6814" s="137" t="s">
        <v>37</v>
      </c>
      <c r="C6814" s="41" t="s">
        <v>118</v>
      </c>
      <c r="D6814" s="80" t="s">
        <v>36</v>
      </c>
      <c r="E6814" s="80" t="s">
        <v>39</v>
      </c>
      <c r="F6814" s="145" t="s">
        <v>16525</v>
      </c>
      <c r="G6814" s="166" t="s">
        <v>108</v>
      </c>
      <c r="H6814" s="80" t="s">
        <v>21236</v>
      </c>
      <c r="I6814" s="17">
        <f ca="1">IFERROR(__xludf.DUMMYFUNCTION("""COMPUTED_VALUE"""),45768)</f>
        <v>45768</v>
      </c>
      <c r="J6814" s="143" t="s">
        <v>18563</v>
      </c>
      <c r="K6814" s="80" t="s">
        <v>18564</v>
      </c>
      <c r="L6814" s="30">
        <v>343819820</v>
      </c>
      <c r="M6814" s="80" t="s">
        <v>3288</v>
      </c>
      <c r="N6814" s="80" t="s">
        <v>5846</v>
      </c>
      <c r="O6814" s="80" t="s">
        <v>36</v>
      </c>
      <c r="P6814" s="80" t="s">
        <v>18565</v>
      </c>
      <c r="Q6814" s="20">
        <v>13083</v>
      </c>
      <c r="R6814" s="80" t="s">
        <v>36</v>
      </c>
      <c r="S6814" s="95">
        <v>2000</v>
      </c>
      <c r="T6814" s="148">
        <v>45454</v>
      </c>
      <c r="U6814" s="95">
        <v>11083</v>
      </c>
      <c r="V6814" s="148">
        <v>45486</v>
      </c>
      <c r="W6814" s="85" t="s">
        <v>18566</v>
      </c>
      <c r="X6814" s="80"/>
      <c r="Y6814" s="22">
        <v>0</v>
      </c>
      <c r="Z6814" s="81" t="s">
        <v>50</v>
      </c>
      <c r="AA6814" s="86" t="s">
        <v>9070</v>
      </c>
      <c r="AB6814" s="80" t="s">
        <v>3421</v>
      </c>
      <c r="AC6814" s="80" t="s">
        <v>53</v>
      </c>
      <c r="AD6814" s="80" t="s">
        <v>138</v>
      </c>
      <c r="AE6814" s="80" t="s">
        <v>16525</v>
      </c>
      <c r="AF6814" s="17">
        <v>45768</v>
      </c>
      <c r="AG6814" s="80" t="s">
        <v>18567</v>
      </c>
      <c r="AH6814" s="147"/>
      <c r="AI6814" s="147"/>
      <c r="AJ6814" s="80"/>
      <c r="AK6814" s="80"/>
      <c r="AL6814" s="80"/>
      <c r="AM6814" s="86"/>
      <c r="AN6814" s="86"/>
      <c r="AO6814" s="86"/>
      <c r="AP6814" s="86"/>
    </row>
    <row r="6815" spans="1:42" x14ac:dyDescent="0.2">
      <c r="A6815" s="38">
        <v>45747</v>
      </c>
      <c r="B6815" s="137" t="s">
        <v>37</v>
      </c>
      <c r="C6815" s="41" t="s">
        <v>118</v>
      </c>
      <c r="D6815" s="80" t="s">
        <v>36</v>
      </c>
      <c r="E6815" s="80" t="s">
        <v>139</v>
      </c>
      <c r="F6815" s="80" t="s">
        <v>16525</v>
      </c>
      <c r="G6815" s="80" t="s">
        <v>108</v>
      </c>
      <c r="H6815" s="80" t="s">
        <v>6339</v>
      </c>
      <c r="I6815" s="17">
        <f ca="1">IFERROR(__xludf.DUMMYFUNCTION("""COMPUTED_VALUE"""),45761)</f>
        <v>45761</v>
      </c>
      <c r="J6815" s="143" t="s">
        <v>19813</v>
      </c>
      <c r="K6815" s="145" t="s">
        <v>19814</v>
      </c>
      <c r="L6815" s="30">
        <v>357052044</v>
      </c>
      <c r="M6815" s="80" t="s">
        <v>5429</v>
      </c>
      <c r="N6815" s="80" t="s">
        <v>1384</v>
      </c>
      <c r="O6815" s="80" t="s">
        <v>61</v>
      </c>
      <c r="P6815" s="80" t="s">
        <v>6368</v>
      </c>
      <c r="Q6815" s="20">
        <v>15936</v>
      </c>
      <c r="R6815" s="80" t="s">
        <v>36</v>
      </c>
      <c r="S6815" s="95">
        <v>14436</v>
      </c>
      <c r="T6815" s="148">
        <v>45686</v>
      </c>
      <c r="U6815" s="77"/>
      <c r="V6815" s="78"/>
      <c r="W6815" s="85" t="s">
        <v>19815</v>
      </c>
      <c r="X6815" s="80"/>
      <c r="Y6815" s="22">
        <v>1500</v>
      </c>
      <c r="Z6815" s="81" t="s">
        <v>50</v>
      </c>
      <c r="AA6815" s="82" t="s">
        <v>18583</v>
      </c>
      <c r="AB6815" s="80"/>
      <c r="AC6815" s="80" t="s">
        <v>53</v>
      </c>
      <c r="AD6815" s="80" t="s">
        <v>138</v>
      </c>
      <c r="AE6815" s="80" t="s">
        <v>16525</v>
      </c>
      <c r="AF6815" s="17">
        <v>45761</v>
      </c>
      <c r="AG6815" s="80"/>
      <c r="AH6815" s="80"/>
      <c r="AI6815" s="147"/>
      <c r="AJ6815" s="80"/>
      <c r="AK6815" s="80"/>
      <c r="AL6815" s="86"/>
      <c r="AM6815" s="86"/>
      <c r="AN6815" s="86"/>
      <c r="AO6815" s="86"/>
      <c r="AP6815" s="86"/>
    </row>
    <row r="6816" spans="1:42" x14ac:dyDescent="0.2">
      <c r="A6816" s="38">
        <v>45747</v>
      </c>
      <c r="B6816" s="137" t="s">
        <v>37</v>
      </c>
      <c r="C6816" s="41" t="s">
        <v>118</v>
      </c>
      <c r="D6816" s="80" t="s">
        <v>36</v>
      </c>
      <c r="E6816" s="80" t="s">
        <v>139</v>
      </c>
      <c r="F6816" s="80" t="s">
        <v>16525</v>
      </c>
      <c r="G6816" s="80" t="s">
        <v>108</v>
      </c>
      <c r="H6816" s="80" t="s">
        <v>21237</v>
      </c>
      <c r="I6816" s="17">
        <f ca="1">IFERROR(__xludf.DUMMYFUNCTION("""COMPUTED_VALUE"""),45853)</f>
        <v>45853</v>
      </c>
      <c r="J6816" s="143" t="s">
        <v>19821</v>
      </c>
      <c r="K6816" s="145" t="s">
        <v>19822</v>
      </c>
      <c r="L6816" s="30">
        <v>344121340</v>
      </c>
      <c r="M6816" s="80" t="s">
        <v>5429</v>
      </c>
      <c r="N6816" s="80" t="s">
        <v>3065</v>
      </c>
      <c r="O6816" s="80" t="s">
        <v>61</v>
      </c>
      <c r="P6816" s="144" t="s">
        <v>21238</v>
      </c>
      <c r="Q6816" s="20">
        <v>15936</v>
      </c>
      <c r="R6816" s="80" t="s">
        <v>36</v>
      </c>
      <c r="S6816" s="95">
        <v>14436</v>
      </c>
      <c r="T6816" s="148">
        <v>45686</v>
      </c>
      <c r="U6816" s="77"/>
      <c r="V6816" s="78"/>
      <c r="W6816" s="80" t="s">
        <v>19823</v>
      </c>
      <c r="X6816" s="80"/>
      <c r="Y6816" s="22">
        <v>1500</v>
      </c>
      <c r="Z6816" s="81" t="s">
        <v>50</v>
      </c>
      <c r="AA6816" s="86" t="s">
        <v>18583</v>
      </c>
      <c r="AB6816" s="80"/>
      <c r="AC6816" s="80" t="s">
        <v>53</v>
      </c>
      <c r="AD6816" s="80" t="s">
        <v>138</v>
      </c>
      <c r="AE6816" s="80" t="s">
        <v>16525</v>
      </c>
      <c r="AF6816" s="17">
        <v>45848</v>
      </c>
      <c r="AG6816" s="80"/>
      <c r="AH6816" s="80"/>
      <c r="AI6816" s="147"/>
      <c r="AJ6816" s="80"/>
      <c r="AK6816" s="80"/>
      <c r="AL6816" s="86"/>
      <c r="AM6816" s="86"/>
      <c r="AN6816" s="86"/>
      <c r="AO6816" s="86"/>
      <c r="AP6816" s="86"/>
    </row>
    <row r="6817" spans="1:42" x14ac:dyDescent="0.2">
      <c r="A6817" s="38">
        <v>45747</v>
      </c>
      <c r="B6817" s="137" t="s">
        <v>37</v>
      </c>
      <c r="C6817" s="41" t="s">
        <v>118</v>
      </c>
      <c r="D6817" s="80" t="s">
        <v>36</v>
      </c>
      <c r="E6817" s="80" t="s">
        <v>139</v>
      </c>
      <c r="F6817" s="80" t="s">
        <v>16525</v>
      </c>
      <c r="G6817" s="80" t="s">
        <v>108</v>
      </c>
      <c r="H6817" s="80" t="s">
        <v>6339</v>
      </c>
      <c r="I6817" s="17">
        <f ca="1">IFERROR(__xludf.DUMMYFUNCTION("""COMPUTED_VALUE"""),45761)</f>
        <v>45761</v>
      </c>
      <c r="J6817" s="143" t="s">
        <v>19885</v>
      </c>
      <c r="K6817" s="145" t="s">
        <v>19886</v>
      </c>
      <c r="L6817" s="30">
        <v>354203651</v>
      </c>
      <c r="M6817" s="80" t="s">
        <v>910</v>
      </c>
      <c r="N6817" s="80" t="s">
        <v>355</v>
      </c>
      <c r="O6817" s="80" t="s">
        <v>91</v>
      </c>
      <c r="P6817" s="80" t="s">
        <v>19887</v>
      </c>
      <c r="Q6817" s="20">
        <v>15936</v>
      </c>
      <c r="R6817" s="80" t="s">
        <v>36</v>
      </c>
      <c r="S6817" s="95">
        <v>14436</v>
      </c>
      <c r="T6817" s="148">
        <v>45686</v>
      </c>
      <c r="U6817" s="77"/>
      <c r="V6817" s="78"/>
      <c r="W6817" s="85" t="s">
        <v>19888</v>
      </c>
      <c r="X6817" s="80"/>
      <c r="Y6817" s="22">
        <v>1500</v>
      </c>
      <c r="Z6817" s="81" t="s">
        <v>50</v>
      </c>
      <c r="AA6817" s="82" t="s">
        <v>18583</v>
      </c>
      <c r="AB6817" s="80"/>
      <c r="AC6817" s="80" t="s">
        <v>53</v>
      </c>
      <c r="AD6817" s="80" t="s">
        <v>138</v>
      </c>
      <c r="AE6817" s="80" t="s">
        <v>16525</v>
      </c>
      <c r="AF6817" s="17">
        <v>45761</v>
      </c>
      <c r="AG6817" s="80"/>
      <c r="AH6817" s="80"/>
      <c r="AI6817" s="147"/>
      <c r="AJ6817" s="80"/>
      <c r="AK6817" s="80"/>
      <c r="AL6817" s="86"/>
      <c r="AM6817" s="86"/>
      <c r="AN6817" s="86"/>
      <c r="AO6817" s="86"/>
      <c r="AP6817" s="86"/>
    </row>
    <row r="6818" spans="1:42" x14ac:dyDescent="0.2">
      <c r="A6818" s="38">
        <v>45747</v>
      </c>
      <c r="B6818" s="137" t="s">
        <v>37</v>
      </c>
      <c r="C6818" s="41" t="s">
        <v>118</v>
      </c>
      <c r="D6818" s="80" t="s">
        <v>36</v>
      </c>
      <c r="E6818" s="80" t="s">
        <v>56</v>
      </c>
      <c r="F6818" s="145" t="s">
        <v>16525</v>
      </c>
      <c r="G6818" s="166" t="s">
        <v>108</v>
      </c>
      <c r="H6818" s="80" t="s">
        <v>21236</v>
      </c>
      <c r="I6818" s="17">
        <f ca="1">IFERROR(__xludf.DUMMYFUNCTION("""COMPUTED_VALUE"""),45768)</f>
        <v>45768</v>
      </c>
      <c r="J6818" s="143" t="s">
        <v>19932</v>
      </c>
      <c r="K6818" s="145" t="s">
        <v>19933</v>
      </c>
      <c r="L6818" s="30">
        <v>927024581</v>
      </c>
      <c r="M6818" s="80" t="s">
        <v>3288</v>
      </c>
      <c r="N6818" s="80" t="s">
        <v>200</v>
      </c>
      <c r="O6818" s="80" t="s">
        <v>91</v>
      </c>
      <c r="P6818" s="80" t="s">
        <v>3117</v>
      </c>
      <c r="Q6818" s="20">
        <v>9317</v>
      </c>
      <c r="R6818" s="80" t="s">
        <v>36</v>
      </c>
      <c r="S6818" s="95">
        <v>8317</v>
      </c>
      <c r="T6818" s="148">
        <v>45686</v>
      </c>
      <c r="U6818" s="77"/>
      <c r="V6818" s="78"/>
      <c r="W6818" s="85" t="s">
        <v>19934</v>
      </c>
      <c r="X6818" s="80"/>
      <c r="Y6818" s="22">
        <v>1000</v>
      </c>
      <c r="Z6818" s="81" t="s">
        <v>50</v>
      </c>
      <c r="AA6818" s="86" t="s">
        <v>18583</v>
      </c>
      <c r="AB6818" s="80"/>
      <c r="AC6818" s="80" t="s">
        <v>53</v>
      </c>
      <c r="AD6818" s="80" t="s">
        <v>138</v>
      </c>
      <c r="AE6818" s="80" t="s">
        <v>16525</v>
      </c>
      <c r="AF6818" s="17">
        <v>45768</v>
      </c>
      <c r="AG6818" s="80"/>
      <c r="AH6818" s="80"/>
      <c r="AI6818" s="147"/>
      <c r="AJ6818" s="80"/>
      <c r="AK6818" s="80"/>
      <c r="AL6818" s="86"/>
      <c r="AM6818" s="86"/>
      <c r="AN6818" s="86"/>
      <c r="AO6818" s="86"/>
      <c r="AP6818" s="86"/>
    </row>
    <row r="6819" spans="1:42" x14ac:dyDescent="0.2">
      <c r="A6819" s="38">
        <v>45747</v>
      </c>
      <c r="B6819" s="137" t="s">
        <v>37</v>
      </c>
      <c r="C6819" s="41" t="s">
        <v>118</v>
      </c>
      <c r="D6819" s="80" t="s">
        <v>36</v>
      </c>
      <c r="E6819" s="80" t="s">
        <v>56</v>
      </c>
      <c r="F6819" s="80" t="s">
        <v>16525</v>
      </c>
      <c r="G6819" s="80" t="s">
        <v>108</v>
      </c>
      <c r="H6819" s="80" t="s">
        <v>6339</v>
      </c>
      <c r="I6819" s="17">
        <f ca="1">IFERROR(__xludf.DUMMYFUNCTION("""COMPUTED_VALUE"""),45761)</f>
        <v>45761</v>
      </c>
      <c r="J6819" s="143" t="s">
        <v>19949</v>
      </c>
      <c r="K6819" s="145" t="s">
        <v>19950</v>
      </c>
      <c r="L6819" s="30">
        <v>958033797</v>
      </c>
      <c r="M6819" s="80" t="s">
        <v>3288</v>
      </c>
      <c r="N6819" s="80" t="s">
        <v>200</v>
      </c>
      <c r="O6819" s="80" t="s">
        <v>91</v>
      </c>
      <c r="P6819" s="80" t="s">
        <v>3117</v>
      </c>
      <c r="Q6819" s="20">
        <v>9317</v>
      </c>
      <c r="R6819" s="80" t="s">
        <v>36</v>
      </c>
      <c r="S6819" s="95">
        <v>8317</v>
      </c>
      <c r="T6819" s="148">
        <v>45686</v>
      </c>
      <c r="U6819" s="77"/>
      <c r="V6819" s="78"/>
      <c r="W6819" s="85" t="s">
        <v>19951</v>
      </c>
      <c r="X6819" s="80"/>
      <c r="Y6819" s="22">
        <v>1000</v>
      </c>
      <c r="Z6819" s="81" t="s">
        <v>50</v>
      </c>
      <c r="AA6819" s="82" t="s">
        <v>18583</v>
      </c>
      <c r="AB6819" s="80"/>
      <c r="AC6819" s="80" t="s">
        <v>53</v>
      </c>
      <c r="AD6819" s="80" t="s">
        <v>138</v>
      </c>
      <c r="AE6819" s="80" t="s">
        <v>16525</v>
      </c>
      <c r="AF6819" s="17">
        <v>45761</v>
      </c>
      <c r="AG6819" s="80"/>
      <c r="AH6819" s="80"/>
      <c r="AI6819" s="147"/>
      <c r="AJ6819" s="80"/>
      <c r="AK6819" s="80"/>
      <c r="AL6819" s="86"/>
      <c r="AM6819" s="86"/>
      <c r="AN6819" s="86"/>
      <c r="AO6819" s="86"/>
      <c r="AP6819" s="86"/>
    </row>
    <row r="6820" spans="1:42" x14ac:dyDescent="0.2">
      <c r="A6820" s="38">
        <v>45747</v>
      </c>
      <c r="B6820" s="137" t="s">
        <v>37</v>
      </c>
      <c r="C6820" s="41" t="s">
        <v>118</v>
      </c>
      <c r="D6820" s="80" t="s">
        <v>36</v>
      </c>
      <c r="E6820" s="80" t="s">
        <v>39</v>
      </c>
      <c r="F6820" s="80" t="s">
        <v>16525</v>
      </c>
      <c r="G6820" s="80" t="s">
        <v>108</v>
      </c>
      <c r="H6820" s="80" t="s">
        <v>6339</v>
      </c>
      <c r="I6820" s="17">
        <f ca="1">IFERROR(__xludf.DUMMYFUNCTION("""COMPUTED_VALUE"""),45761)</f>
        <v>45761</v>
      </c>
      <c r="J6820" s="143" t="s">
        <v>19992</v>
      </c>
      <c r="K6820" s="145" t="s">
        <v>19993</v>
      </c>
      <c r="L6820" s="30">
        <v>968751351</v>
      </c>
      <c r="M6820" s="80" t="s">
        <v>3288</v>
      </c>
      <c r="N6820" s="80" t="s">
        <v>7509</v>
      </c>
      <c r="O6820" s="80" t="s">
        <v>91</v>
      </c>
      <c r="P6820" s="80" t="s">
        <v>3117</v>
      </c>
      <c r="Q6820" s="20">
        <v>5736</v>
      </c>
      <c r="R6820" s="80" t="s">
        <v>36</v>
      </c>
      <c r="S6820" s="95">
        <v>5862</v>
      </c>
      <c r="T6820" s="148">
        <v>45685</v>
      </c>
      <c r="U6820" s="77"/>
      <c r="V6820" s="78"/>
      <c r="W6820" s="85" t="s">
        <v>19994</v>
      </c>
      <c r="X6820" s="80"/>
      <c r="Y6820" s="22">
        <v>-126</v>
      </c>
      <c r="Z6820" s="81" t="s">
        <v>50</v>
      </c>
      <c r="AA6820" s="86" t="s">
        <v>18583</v>
      </c>
      <c r="AB6820" s="80"/>
      <c r="AC6820" s="80" t="s">
        <v>53</v>
      </c>
      <c r="AD6820" s="80" t="s">
        <v>138</v>
      </c>
      <c r="AE6820" s="80" t="s">
        <v>16525</v>
      </c>
      <c r="AF6820" s="17">
        <v>45761</v>
      </c>
      <c r="AG6820" s="80"/>
      <c r="AH6820" s="80"/>
      <c r="AI6820" s="147"/>
      <c r="AJ6820" s="80"/>
      <c r="AK6820" s="80"/>
      <c r="AL6820" s="86"/>
      <c r="AM6820" s="86"/>
      <c r="AN6820" s="86"/>
      <c r="AO6820" s="86"/>
      <c r="AP6820" s="86"/>
    </row>
    <row r="6821" spans="1:42" x14ac:dyDescent="0.2">
      <c r="A6821" s="38">
        <v>45747</v>
      </c>
      <c r="B6821" s="137" t="s">
        <v>37</v>
      </c>
      <c r="C6821" s="41" t="s">
        <v>118</v>
      </c>
      <c r="D6821" s="80" t="s">
        <v>36</v>
      </c>
      <c r="E6821" s="80" t="s">
        <v>56</v>
      </c>
      <c r="F6821" s="145" t="s">
        <v>16525</v>
      </c>
      <c r="G6821" s="166" t="s">
        <v>108</v>
      </c>
      <c r="H6821" s="80" t="s">
        <v>21236</v>
      </c>
      <c r="I6821" s="17">
        <f ca="1">IFERROR(__xludf.DUMMYFUNCTION("""COMPUTED_VALUE"""),45768)</f>
        <v>45768</v>
      </c>
      <c r="J6821" s="143" t="s">
        <v>20597</v>
      </c>
      <c r="K6821" s="145" t="s">
        <v>21239</v>
      </c>
      <c r="L6821" s="30">
        <v>385460133</v>
      </c>
      <c r="M6821" s="80" t="s">
        <v>3288</v>
      </c>
      <c r="N6821" s="80" t="s">
        <v>200</v>
      </c>
      <c r="O6821" s="80" t="s">
        <v>91</v>
      </c>
      <c r="P6821" s="80" t="s">
        <v>3117</v>
      </c>
      <c r="Q6821" s="20">
        <v>9317</v>
      </c>
      <c r="R6821" s="80" t="s">
        <v>36</v>
      </c>
      <c r="S6821" s="95">
        <v>1968</v>
      </c>
      <c r="T6821" s="148">
        <v>45691</v>
      </c>
      <c r="U6821" s="95">
        <v>7349</v>
      </c>
      <c r="V6821" s="148">
        <v>45707</v>
      </c>
      <c r="W6821" s="80" t="s">
        <v>20599</v>
      </c>
      <c r="X6821" s="80"/>
      <c r="Y6821" s="22">
        <v>0</v>
      </c>
      <c r="Z6821" s="81" t="s">
        <v>50</v>
      </c>
      <c r="AA6821" s="82" t="s">
        <v>20522</v>
      </c>
      <c r="AB6821" s="80"/>
      <c r="AC6821" s="80" t="s">
        <v>53</v>
      </c>
      <c r="AD6821" s="80" t="s">
        <v>138</v>
      </c>
      <c r="AE6821" s="80" t="s">
        <v>16525</v>
      </c>
      <c r="AF6821" s="17">
        <v>45768</v>
      </c>
      <c r="AG6821" s="80"/>
      <c r="AH6821" s="80"/>
      <c r="AI6821" s="147"/>
      <c r="AJ6821" s="80"/>
      <c r="AK6821" s="80"/>
      <c r="AL6821" s="86"/>
      <c r="AM6821" s="86"/>
      <c r="AN6821" s="86"/>
      <c r="AO6821" s="86"/>
      <c r="AP6821" s="86"/>
    </row>
    <row r="6822" spans="1:42" x14ac:dyDescent="0.2">
      <c r="A6822" s="38">
        <v>45747</v>
      </c>
      <c r="B6822" s="137" t="s">
        <v>37</v>
      </c>
      <c r="C6822" s="41" t="s">
        <v>118</v>
      </c>
      <c r="D6822" s="80" t="s">
        <v>36</v>
      </c>
      <c r="E6822" s="80" t="s">
        <v>56</v>
      </c>
      <c r="F6822" s="80" t="s">
        <v>16525</v>
      </c>
      <c r="G6822" s="80" t="s">
        <v>108</v>
      </c>
      <c r="H6822" s="80" t="s">
        <v>6339</v>
      </c>
      <c r="I6822" s="17">
        <f ca="1">IFERROR(__xludf.DUMMYFUNCTION("""COMPUTED_VALUE"""),45761)</f>
        <v>45761</v>
      </c>
      <c r="J6822" s="143" t="s">
        <v>20644</v>
      </c>
      <c r="K6822" s="145" t="s">
        <v>20645</v>
      </c>
      <c r="L6822" s="30">
        <v>818868541</v>
      </c>
      <c r="M6822" s="80" t="s">
        <v>5429</v>
      </c>
      <c r="N6822" s="80" t="s">
        <v>1384</v>
      </c>
      <c r="O6822" s="80" t="s">
        <v>2819</v>
      </c>
      <c r="P6822" s="80" t="s">
        <v>6691</v>
      </c>
      <c r="Q6822" s="20">
        <v>9317</v>
      </c>
      <c r="R6822" s="80" t="s">
        <v>36</v>
      </c>
      <c r="S6822" s="95">
        <v>2000</v>
      </c>
      <c r="T6822" s="148">
        <v>45695</v>
      </c>
      <c r="U6822" s="95">
        <v>7317</v>
      </c>
      <c r="V6822" s="148">
        <v>45708</v>
      </c>
      <c r="W6822" s="85" t="s">
        <v>20646</v>
      </c>
      <c r="X6822" s="80"/>
      <c r="Y6822" s="22">
        <v>0</v>
      </c>
      <c r="Z6822" s="81" t="s">
        <v>50</v>
      </c>
      <c r="AA6822" s="86" t="s">
        <v>20522</v>
      </c>
      <c r="AB6822" s="80"/>
      <c r="AC6822" s="80" t="s">
        <v>53</v>
      </c>
      <c r="AD6822" s="80" t="s">
        <v>138</v>
      </c>
      <c r="AE6822" s="80" t="s">
        <v>16525</v>
      </c>
      <c r="AF6822" s="17">
        <v>45761</v>
      </c>
      <c r="AG6822" s="80"/>
      <c r="AH6822" s="80"/>
      <c r="AI6822" s="147"/>
      <c r="AJ6822" s="80"/>
      <c r="AK6822" s="80"/>
      <c r="AL6822" s="86"/>
      <c r="AM6822" s="86"/>
      <c r="AN6822" s="86"/>
      <c r="AO6822" s="86"/>
      <c r="AP6822" s="86"/>
    </row>
    <row r="6823" spans="1:42" x14ac:dyDescent="0.2">
      <c r="A6823" s="38">
        <v>45747</v>
      </c>
      <c r="B6823" s="137" t="s">
        <v>37</v>
      </c>
      <c r="C6823" s="41" t="s">
        <v>118</v>
      </c>
      <c r="D6823" s="80" t="s">
        <v>36</v>
      </c>
      <c r="E6823" s="80" t="s">
        <v>139</v>
      </c>
      <c r="F6823" s="80" t="s">
        <v>16525</v>
      </c>
      <c r="G6823" s="80" t="s">
        <v>108</v>
      </c>
      <c r="H6823" s="80" t="s">
        <v>21240</v>
      </c>
      <c r="I6823" s="17">
        <f ca="1">IFERROR(__xludf.DUMMYFUNCTION("""COMPUTED_VALUE"""),45783)</f>
        <v>45783</v>
      </c>
      <c r="J6823" s="143" t="s">
        <v>20658</v>
      </c>
      <c r="K6823" s="145" t="s">
        <v>20659</v>
      </c>
      <c r="L6823" s="30">
        <v>963089597</v>
      </c>
      <c r="M6823" s="80" t="s">
        <v>59</v>
      </c>
      <c r="N6823" s="80" t="s">
        <v>11476</v>
      </c>
      <c r="O6823" s="79" t="s">
        <v>20660</v>
      </c>
      <c r="P6823" s="144" t="s">
        <v>21241</v>
      </c>
      <c r="Q6823" s="20">
        <v>15936</v>
      </c>
      <c r="R6823" s="80" t="s">
        <v>36</v>
      </c>
      <c r="S6823" s="95">
        <f>200+15736</f>
        <v>15936</v>
      </c>
      <c r="T6823" s="148" t="s">
        <v>20661</v>
      </c>
      <c r="U6823" s="77"/>
      <c r="V6823" s="78"/>
      <c r="W6823" s="85" t="s">
        <v>20662</v>
      </c>
      <c r="X6823" s="80"/>
      <c r="Y6823" s="22">
        <v>0</v>
      </c>
      <c r="Z6823" s="81" t="s">
        <v>50</v>
      </c>
      <c r="AA6823" s="82" t="s">
        <v>20522</v>
      </c>
      <c r="AB6823" s="80"/>
      <c r="AC6823" s="80" t="s">
        <v>53</v>
      </c>
      <c r="AD6823" s="80" t="s">
        <v>138</v>
      </c>
      <c r="AE6823" s="80" t="s">
        <v>16525</v>
      </c>
      <c r="AF6823" s="17">
        <v>45764</v>
      </c>
      <c r="AG6823" s="80" t="s">
        <v>21242</v>
      </c>
      <c r="AH6823" s="80"/>
      <c r="AI6823" s="147"/>
      <c r="AJ6823" s="80"/>
      <c r="AK6823" s="80"/>
      <c r="AL6823" s="86"/>
      <c r="AM6823" s="86"/>
      <c r="AN6823" s="86"/>
      <c r="AO6823" s="86"/>
      <c r="AP6823" s="86"/>
    </row>
    <row r="6824" spans="1:42" x14ac:dyDescent="0.2">
      <c r="A6824" s="38">
        <v>45747</v>
      </c>
      <c r="B6824" s="137" t="s">
        <v>37</v>
      </c>
      <c r="C6824" s="41" t="s">
        <v>118</v>
      </c>
      <c r="D6824" s="80" t="s">
        <v>36</v>
      </c>
      <c r="E6824" s="80" t="s">
        <v>56</v>
      </c>
      <c r="F6824" s="80" t="s">
        <v>16525</v>
      </c>
      <c r="G6824" s="80" t="s">
        <v>108</v>
      </c>
      <c r="H6824" s="80" t="s">
        <v>6339</v>
      </c>
      <c r="I6824" s="17">
        <f ca="1">IFERROR(__xludf.DUMMYFUNCTION("""COMPUTED_VALUE"""),45761)</f>
        <v>45761</v>
      </c>
      <c r="J6824" s="143" t="s">
        <v>20819</v>
      </c>
      <c r="K6824" s="145" t="s">
        <v>8851</v>
      </c>
      <c r="L6824" s="30">
        <v>934035333</v>
      </c>
      <c r="M6824" s="80" t="s">
        <v>9422</v>
      </c>
      <c r="N6824" s="80" t="s">
        <v>2157</v>
      </c>
      <c r="O6824" s="80" t="s">
        <v>8827</v>
      </c>
      <c r="P6824" s="80" t="s">
        <v>20820</v>
      </c>
      <c r="Q6824" s="20">
        <v>9317</v>
      </c>
      <c r="R6824" s="80" t="s">
        <v>36</v>
      </c>
      <c r="S6824" s="95">
        <v>9318</v>
      </c>
      <c r="T6824" s="148">
        <v>45702</v>
      </c>
      <c r="U6824" s="77"/>
      <c r="V6824" s="78"/>
      <c r="W6824" s="85" t="s">
        <v>20821</v>
      </c>
      <c r="X6824" s="80"/>
      <c r="Y6824" s="22">
        <v>-1</v>
      </c>
      <c r="Z6824" s="81" t="s">
        <v>50</v>
      </c>
      <c r="AA6824" s="86" t="s">
        <v>20522</v>
      </c>
      <c r="AB6824" s="80"/>
      <c r="AC6824" s="80" t="s">
        <v>53</v>
      </c>
      <c r="AD6824" s="80" t="s">
        <v>54</v>
      </c>
      <c r="AE6824" s="80" t="s">
        <v>16525</v>
      </c>
      <c r="AF6824" s="17">
        <v>45761</v>
      </c>
      <c r="AG6824" s="80"/>
      <c r="AH6824" s="80"/>
      <c r="AI6824" s="147"/>
      <c r="AJ6824" s="80"/>
      <c r="AK6824" s="80"/>
      <c r="AL6824" s="86"/>
      <c r="AM6824" s="86"/>
      <c r="AN6824" s="86"/>
      <c r="AO6824" s="86"/>
      <c r="AP6824" s="86"/>
    </row>
    <row r="6825" spans="1:42" x14ac:dyDescent="0.2">
      <c r="A6825" s="38">
        <v>45747</v>
      </c>
      <c r="B6825" s="137" t="s">
        <v>37</v>
      </c>
      <c r="C6825" s="41" t="s">
        <v>118</v>
      </c>
      <c r="D6825" s="80" t="s">
        <v>36</v>
      </c>
      <c r="E6825" s="80" t="s">
        <v>39</v>
      </c>
      <c r="F6825" s="80" t="s">
        <v>16525</v>
      </c>
      <c r="G6825" s="80" t="s">
        <v>108</v>
      </c>
      <c r="H6825" s="80" t="s">
        <v>6339</v>
      </c>
      <c r="I6825" s="17">
        <f ca="1">IFERROR(__xludf.DUMMYFUNCTION("""COMPUTED_VALUE"""),45761)</f>
        <v>45761</v>
      </c>
      <c r="J6825" s="143" t="s">
        <v>21243</v>
      </c>
      <c r="K6825" s="145" t="s">
        <v>21244</v>
      </c>
      <c r="L6825" s="30">
        <v>363655245</v>
      </c>
      <c r="M6825" s="80" t="s">
        <v>17759</v>
      </c>
      <c r="N6825" s="80" t="s">
        <v>2756</v>
      </c>
      <c r="O6825" s="80" t="s">
        <v>4503</v>
      </c>
      <c r="P6825" s="80" t="s">
        <v>21245</v>
      </c>
      <c r="Q6825" s="20">
        <v>5736</v>
      </c>
      <c r="R6825" s="80" t="s">
        <v>70</v>
      </c>
      <c r="S6825" s="95">
        <f>100+3600</f>
        <v>3700</v>
      </c>
      <c r="T6825" s="83" t="s">
        <v>21246</v>
      </c>
      <c r="U6825" s="95">
        <v>2036</v>
      </c>
      <c r="V6825" s="148">
        <v>45727</v>
      </c>
      <c r="W6825" s="85" t="s">
        <v>21247</v>
      </c>
      <c r="X6825" s="80"/>
      <c r="Y6825" s="22">
        <v>0</v>
      </c>
      <c r="Z6825" s="80" t="s">
        <v>50</v>
      </c>
      <c r="AA6825" s="82"/>
      <c r="AB6825" s="86"/>
      <c r="AC6825" s="80" t="s">
        <v>53</v>
      </c>
      <c r="AD6825" s="80" t="s">
        <v>138</v>
      </c>
      <c r="AE6825" s="80" t="s">
        <v>16525</v>
      </c>
      <c r="AF6825" s="17">
        <v>45761</v>
      </c>
      <c r="AG6825" s="80"/>
      <c r="AH6825" s="80"/>
      <c r="AI6825" s="147"/>
      <c r="AJ6825" s="80"/>
      <c r="AK6825" s="80"/>
      <c r="AL6825" s="35"/>
      <c r="AM6825" s="35"/>
      <c r="AN6825" s="35"/>
      <c r="AO6825" s="35"/>
      <c r="AP6825" s="35"/>
    </row>
    <row r="6826" spans="1:42" x14ac:dyDescent="0.2">
      <c r="A6826" s="38">
        <v>45747</v>
      </c>
      <c r="B6826" s="137" t="s">
        <v>37</v>
      </c>
      <c r="C6826" s="41" t="s">
        <v>118</v>
      </c>
      <c r="D6826" s="80" t="s">
        <v>36</v>
      </c>
      <c r="E6826" s="80" t="s">
        <v>39</v>
      </c>
      <c r="F6826" s="80" t="s">
        <v>16525</v>
      </c>
      <c r="G6826" s="80" t="s">
        <v>108</v>
      </c>
      <c r="H6826" s="80" t="s">
        <v>6339</v>
      </c>
      <c r="I6826" s="17">
        <f ca="1">IFERROR(__xludf.DUMMYFUNCTION("""COMPUTED_VALUE"""),45761)</f>
        <v>45761</v>
      </c>
      <c r="J6826" s="143" t="s">
        <v>21248</v>
      </c>
      <c r="K6826" s="145" t="s">
        <v>21249</v>
      </c>
      <c r="L6826" s="30">
        <v>375873196</v>
      </c>
      <c r="M6826" s="80" t="s">
        <v>17759</v>
      </c>
      <c r="N6826" s="80" t="s">
        <v>2756</v>
      </c>
      <c r="O6826" s="80" t="s">
        <v>8140</v>
      </c>
      <c r="P6826" s="80" t="s">
        <v>21250</v>
      </c>
      <c r="Q6826" s="20">
        <v>5736</v>
      </c>
      <c r="R6826" s="80" t="s">
        <v>70</v>
      </c>
      <c r="S6826" s="95">
        <f>100+5000</f>
        <v>5100</v>
      </c>
      <c r="T6826" s="83" t="s">
        <v>21251</v>
      </c>
      <c r="U6826" s="95">
        <v>636</v>
      </c>
      <c r="V6826" s="148">
        <v>45726</v>
      </c>
      <c r="W6826" s="85" t="s">
        <v>21252</v>
      </c>
      <c r="X6826" s="80"/>
      <c r="Y6826" s="22">
        <v>0</v>
      </c>
      <c r="Z6826" s="80" t="s">
        <v>50</v>
      </c>
      <c r="AA6826" s="86"/>
      <c r="AB6826" s="80"/>
      <c r="AC6826" s="80" t="s">
        <v>53</v>
      </c>
      <c r="AD6826" s="80" t="s">
        <v>138</v>
      </c>
      <c r="AE6826" s="80" t="s">
        <v>16525</v>
      </c>
      <c r="AF6826" s="17">
        <v>45761</v>
      </c>
      <c r="AG6826" s="80"/>
      <c r="AH6826" s="80"/>
      <c r="AI6826" s="147"/>
      <c r="AJ6826" s="80"/>
      <c r="AK6826" s="80"/>
      <c r="AL6826" s="35"/>
      <c r="AM6826" s="35"/>
      <c r="AN6826" s="35"/>
      <c r="AO6826" s="35"/>
      <c r="AP6826" s="35"/>
    </row>
    <row r="6827" spans="1:42" x14ac:dyDescent="0.2">
      <c r="A6827" s="38">
        <v>45747</v>
      </c>
      <c r="B6827" s="137" t="s">
        <v>37</v>
      </c>
      <c r="C6827" s="41" t="s">
        <v>118</v>
      </c>
      <c r="D6827" s="80" t="s">
        <v>36</v>
      </c>
      <c r="E6827" s="80" t="s">
        <v>39</v>
      </c>
      <c r="F6827" s="80" t="s">
        <v>16525</v>
      </c>
      <c r="G6827" s="80" t="s">
        <v>108</v>
      </c>
      <c r="H6827" s="80" t="s">
        <v>6339</v>
      </c>
      <c r="I6827" s="17">
        <f ca="1">IFERROR(__xludf.DUMMYFUNCTION("""COMPUTED_VALUE"""),45761)</f>
        <v>45761</v>
      </c>
      <c r="J6827" s="143" t="s">
        <v>21253</v>
      </c>
      <c r="K6827" s="145" t="s">
        <v>21254</v>
      </c>
      <c r="L6827" s="30">
        <v>947153462</v>
      </c>
      <c r="M6827" s="80" t="s">
        <v>5429</v>
      </c>
      <c r="N6827" s="80" t="s">
        <v>3065</v>
      </c>
      <c r="O6827" s="80" t="s">
        <v>21255</v>
      </c>
      <c r="P6827" s="80" t="s">
        <v>6368</v>
      </c>
      <c r="Q6827" s="20">
        <v>5736</v>
      </c>
      <c r="R6827" s="80" t="s">
        <v>36</v>
      </c>
      <c r="S6827" s="95">
        <f>200+1800</f>
        <v>2000</v>
      </c>
      <c r="T6827" s="83" t="s">
        <v>21256</v>
      </c>
      <c r="U6827" s="95">
        <v>3736</v>
      </c>
      <c r="V6827" s="148">
        <v>45727</v>
      </c>
      <c r="W6827" s="85" t="s">
        <v>21257</v>
      </c>
      <c r="X6827" s="80"/>
      <c r="Y6827" s="22">
        <v>0</v>
      </c>
      <c r="Z6827" s="80" t="s">
        <v>50</v>
      </c>
      <c r="AA6827" s="82"/>
      <c r="AB6827" s="80"/>
      <c r="AC6827" s="80" t="s">
        <v>53</v>
      </c>
      <c r="AD6827" s="80" t="s">
        <v>138</v>
      </c>
      <c r="AE6827" s="80" t="s">
        <v>16525</v>
      </c>
      <c r="AF6827" s="17">
        <v>45761</v>
      </c>
      <c r="AG6827" s="80"/>
      <c r="AH6827" s="80"/>
      <c r="AI6827" s="147"/>
      <c r="AJ6827" s="80"/>
      <c r="AK6827" s="80"/>
      <c r="AL6827" s="35"/>
      <c r="AM6827" s="35"/>
      <c r="AN6827" s="35"/>
      <c r="AO6827" s="35"/>
      <c r="AP6827" s="35"/>
    </row>
    <row r="6828" spans="1:42" x14ac:dyDescent="0.2">
      <c r="A6828" s="38">
        <v>45747</v>
      </c>
      <c r="B6828" s="137" t="s">
        <v>37</v>
      </c>
      <c r="C6828" s="41" t="s">
        <v>118</v>
      </c>
      <c r="D6828" s="80" t="s">
        <v>36</v>
      </c>
      <c r="E6828" s="80" t="s">
        <v>139</v>
      </c>
      <c r="F6828" s="80" t="s">
        <v>16525</v>
      </c>
      <c r="G6828" s="80" t="s">
        <v>108</v>
      </c>
      <c r="H6828" s="80" t="s">
        <v>21061</v>
      </c>
      <c r="I6828" s="17">
        <f ca="1">IFERROR(__xludf.DUMMYFUNCTION("""COMPUTED_VALUE"""),45842)</f>
        <v>45842</v>
      </c>
      <c r="J6828" s="143" t="s">
        <v>21258</v>
      </c>
      <c r="K6828" s="145" t="s">
        <v>21259</v>
      </c>
      <c r="L6828" s="30">
        <v>393159312</v>
      </c>
      <c r="M6828" s="80" t="s">
        <v>5518</v>
      </c>
      <c r="N6828" s="80" t="s">
        <v>12380</v>
      </c>
      <c r="O6828" s="80" t="s">
        <v>21260</v>
      </c>
      <c r="P6828" s="214" t="s">
        <v>21261</v>
      </c>
      <c r="Q6828" s="20">
        <v>15936</v>
      </c>
      <c r="R6828" s="80" t="s">
        <v>36</v>
      </c>
      <c r="S6828" s="95">
        <f>500+1500</f>
        <v>2000</v>
      </c>
      <c r="T6828" s="83" t="s">
        <v>21262</v>
      </c>
      <c r="U6828" s="95">
        <v>13936</v>
      </c>
      <c r="V6828" s="148">
        <v>45717</v>
      </c>
      <c r="W6828" s="85" t="s">
        <v>21263</v>
      </c>
      <c r="X6828" s="80"/>
      <c r="Y6828" s="22">
        <v>0</v>
      </c>
      <c r="Z6828" s="80" t="s">
        <v>50</v>
      </c>
      <c r="AA6828" s="86"/>
      <c r="AB6828" s="80"/>
      <c r="AC6828" s="80" t="s">
        <v>53</v>
      </c>
      <c r="AD6828" s="80" t="s">
        <v>138</v>
      </c>
      <c r="AE6828" s="80" t="s">
        <v>16525</v>
      </c>
      <c r="AF6828" s="17">
        <v>45845</v>
      </c>
      <c r="AG6828" s="80" t="s">
        <v>2075</v>
      </c>
      <c r="AH6828" s="80"/>
      <c r="AI6828" s="147"/>
      <c r="AJ6828" s="80"/>
      <c r="AK6828" s="80"/>
      <c r="AL6828" s="35"/>
      <c r="AM6828" s="35"/>
      <c r="AN6828" s="35"/>
      <c r="AO6828" s="35"/>
      <c r="AP6828" s="35"/>
    </row>
    <row r="6829" spans="1:42" x14ac:dyDescent="0.2">
      <c r="A6829" s="38">
        <v>45747</v>
      </c>
      <c r="B6829" s="137" t="s">
        <v>37</v>
      </c>
      <c r="C6829" s="41" t="s">
        <v>118</v>
      </c>
      <c r="D6829" s="80" t="s">
        <v>36</v>
      </c>
      <c r="E6829" s="80" t="s">
        <v>39</v>
      </c>
      <c r="F6829" s="80" t="s">
        <v>16525</v>
      </c>
      <c r="G6829" s="80" t="s">
        <v>108</v>
      </c>
      <c r="H6829" s="80" t="s">
        <v>6339</v>
      </c>
      <c r="I6829" s="17">
        <f ca="1">IFERROR(__xludf.DUMMYFUNCTION("""COMPUTED_VALUE"""),45761)</f>
        <v>45761</v>
      </c>
      <c r="J6829" s="143" t="s">
        <v>21264</v>
      </c>
      <c r="K6829" s="145" t="s">
        <v>21265</v>
      </c>
      <c r="L6829" s="30">
        <v>963211103</v>
      </c>
      <c r="M6829" s="80" t="s">
        <v>17759</v>
      </c>
      <c r="N6829" s="80" t="s">
        <v>21266</v>
      </c>
      <c r="O6829" s="80" t="s">
        <v>8140</v>
      </c>
      <c r="P6829" s="80" t="s">
        <v>3694</v>
      </c>
      <c r="Q6829" s="20">
        <v>5736</v>
      </c>
      <c r="R6829" s="80" t="s">
        <v>36</v>
      </c>
      <c r="S6829" s="95">
        <v>2000</v>
      </c>
      <c r="T6829" s="148">
        <v>45698</v>
      </c>
      <c r="U6829" s="95">
        <v>3736</v>
      </c>
      <c r="V6829" s="148">
        <v>45726</v>
      </c>
      <c r="W6829" s="85" t="s">
        <v>21267</v>
      </c>
      <c r="X6829" s="80"/>
      <c r="Y6829" s="22">
        <v>0</v>
      </c>
      <c r="Z6829" s="80" t="s">
        <v>50</v>
      </c>
      <c r="AA6829" s="82"/>
      <c r="AB6829" s="80"/>
      <c r="AC6829" s="80" t="s">
        <v>53</v>
      </c>
      <c r="AD6829" s="80" t="s">
        <v>138</v>
      </c>
      <c r="AE6829" s="80" t="s">
        <v>16525</v>
      </c>
      <c r="AF6829" s="17">
        <v>45761</v>
      </c>
      <c r="AG6829" s="80"/>
      <c r="AH6829" s="80"/>
      <c r="AI6829" s="147"/>
      <c r="AJ6829" s="80"/>
      <c r="AK6829" s="80"/>
      <c r="AL6829" s="35"/>
      <c r="AM6829" s="35"/>
      <c r="AN6829" s="35"/>
      <c r="AO6829" s="35"/>
      <c r="AP6829" s="35"/>
    </row>
    <row r="6830" spans="1:42" x14ac:dyDescent="0.2">
      <c r="A6830" s="38">
        <v>45747</v>
      </c>
      <c r="B6830" s="137" t="s">
        <v>37</v>
      </c>
      <c r="C6830" s="41" t="s">
        <v>118</v>
      </c>
      <c r="D6830" s="80" t="s">
        <v>36</v>
      </c>
      <c r="E6830" s="80" t="s">
        <v>139</v>
      </c>
      <c r="F6830" s="80" t="s">
        <v>16519</v>
      </c>
      <c r="G6830" s="80" t="s">
        <v>108</v>
      </c>
      <c r="H6830" s="80" t="s">
        <v>16968</v>
      </c>
      <c r="I6830" s="17">
        <f ca="1">IFERROR(__xludf.DUMMYFUNCTION("""COMPUTED_VALUE"""),45763)</f>
        <v>45763</v>
      </c>
      <c r="J6830" s="143" t="s">
        <v>16520</v>
      </c>
      <c r="K6830" s="80" t="s">
        <v>16521</v>
      </c>
      <c r="L6830" s="30">
        <v>363222614</v>
      </c>
      <c r="M6830" s="80" t="s">
        <v>9422</v>
      </c>
      <c r="N6830" s="80" t="s">
        <v>327</v>
      </c>
      <c r="O6830" s="80" t="s">
        <v>16522</v>
      </c>
      <c r="P6830" s="144" t="s">
        <v>16523</v>
      </c>
      <c r="Q6830" s="20">
        <v>15936</v>
      </c>
      <c r="R6830" s="80" t="s">
        <v>36</v>
      </c>
      <c r="S6830" s="95">
        <v>1000</v>
      </c>
      <c r="T6830" s="148">
        <v>45579</v>
      </c>
      <c r="U6830" s="95">
        <v>14936</v>
      </c>
      <c r="V6830" s="148">
        <v>45589</v>
      </c>
      <c r="W6830" s="80" t="s">
        <v>16524</v>
      </c>
      <c r="X6830" s="80"/>
      <c r="Y6830" s="22">
        <v>0</v>
      </c>
      <c r="Z6830" s="80" t="s">
        <v>50</v>
      </c>
      <c r="AA6830" s="35" t="s">
        <v>9905</v>
      </c>
      <c r="AB6830" s="80"/>
      <c r="AC6830" s="80" t="s">
        <v>53</v>
      </c>
      <c r="AD6830" s="80" t="s">
        <v>54</v>
      </c>
      <c r="AE6830" s="80" t="s">
        <v>16519</v>
      </c>
      <c r="AF6830" s="17">
        <v>45763</v>
      </c>
      <c r="AG6830" s="80"/>
      <c r="AH6830" s="80"/>
      <c r="AI6830" s="147"/>
      <c r="AJ6830" s="80"/>
      <c r="AK6830" s="80"/>
      <c r="AL6830" s="35"/>
      <c r="AM6830" s="35"/>
      <c r="AN6830" s="35"/>
      <c r="AO6830" s="35"/>
      <c r="AP6830" s="35"/>
    </row>
    <row r="6831" spans="1:42" x14ac:dyDescent="0.2">
      <c r="A6831" s="38">
        <v>45747</v>
      </c>
      <c r="B6831" s="137" t="s">
        <v>37</v>
      </c>
      <c r="C6831" s="41" t="s">
        <v>118</v>
      </c>
      <c r="D6831" s="80" t="s">
        <v>36</v>
      </c>
      <c r="E6831" s="80" t="s">
        <v>56</v>
      </c>
      <c r="F6831" s="80" t="s">
        <v>16519</v>
      </c>
      <c r="G6831" s="80" t="s">
        <v>108</v>
      </c>
      <c r="H6831" s="80" t="s">
        <v>16968</v>
      </c>
      <c r="I6831" s="17">
        <f ca="1">IFERROR(__xludf.DUMMYFUNCTION("""COMPUTED_VALUE"""),45763)</f>
        <v>45763</v>
      </c>
      <c r="J6831" s="143" t="s">
        <v>19298</v>
      </c>
      <c r="K6831" s="80" t="s">
        <v>19299</v>
      </c>
      <c r="L6831" s="30">
        <v>339939481</v>
      </c>
      <c r="M6831" s="80" t="s">
        <v>45</v>
      </c>
      <c r="N6831" s="80" t="s">
        <v>16349</v>
      </c>
      <c r="O6831" s="80" t="s">
        <v>4503</v>
      </c>
      <c r="P6831" s="80" t="s">
        <v>3694</v>
      </c>
      <c r="Q6831" s="20">
        <v>9317</v>
      </c>
      <c r="R6831" s="80" t="s">
        <v>36</v>
      </c>
      <c r="S6831" s="95">
        <v>9317</v>
      </c>
      <c r="T6831" s="148">
        <v>45653</v>
      </c>
      <c r="U6831" s="77"/>
      <c r="V6831" s="78"/>
      <c r="W6831" s="85" t="s">
        <v>19300</v>
      </c>
      <c r="X6831" s="80"/>
      <c r="Y6831" s="22">
        <v>0</v>
      </c>
      <c r="Z6831" s="80" t="s">
        <v>50</v>
      </c>
      <c r="AA6831" s="96" t="s">
        <v>18579</v>
      </c>
      <c r="AB6831" s="86"/>
      <c r="AC6831" s="80" t="s">
        <v>53</v>
      </c>
      <c r="AD6831" s="80" t="s">
        <v>138</v>
      </c>
      <c r="AE6831" s="80" t="s">
        <v>16519</v>
      </c>
      <c r="AF6831" s="17">
        <v>45763</v>
      </c>
      <c r="AG6831" s="80"/>
      <c r="AH6831" s="80"/>
      <c r="AI6831" s="147"/>
      <c r="AJ6831" s="80"/>
      <c r="AK6831" s="80"/>
      <c r="AL6831" s="35"/>
      <c r="AM6831" s="35"/>
      <c r="AN6831" s="35"/>
      <c r="AO6831" s="35"/>
      <c r="AP6831" s="35"/>
    </row>
    <row r="6832" spans="1:42" x14ac:dyDescent="0.2">
      <c r="A6832" s="38">
        <v>45747</v>
      </c>
      <c r="B6832" s="137" t="s">
        <v>37</v>
      </c>
      <c r="C6832" s="41" t="s">
        <v>118</v>
      </c>
      <c r="D6832" s="80" t="s">
        <v>36</v>
      </c>
      <c r="E6832" s="80" t="s">
        <v>139</v>
      </c>
      <c r="F6832" s="80" t="s">
        <v>16519</v>
      </c>
      <c r="G6832" s="80" t="s">
        <v>108</v>
      </c>
      <c r="H6832" s="80" t="s">
        <v>16968</v>
      </c>
      <c r="I6832" s="17">
        <f ca="1">IFERROR(__xludf.DUMMYFUNCTION("""COMPUTED_VALUE"""),45763)</f>
        <v>45763</v>
      </c>
      <c r="J6832" s="143" t="s">
        <v>19750</v>
      </c>
      <c r="K6832" s="80" t="s">
        <v>19751</v>
      </c>
      <c r="L6832" s="30">
        <v>979815570</v>
      </c>
      <c r="M6832" s="80" t="s">
        <v>59</v>
      </c>
      <c r="N6832" s="80" t="s">
        <v>9660</v>
      </c>
      <c r="O6832" s="80" t="s">
        <v>19752</v>
      </c>
      <c r="P6832" s="80" t="s">
        <v>12692</v>
      </c>
      <c r="Q6832" s="20">
        <v>15936</v>
      </c>
      <c r="R6832" s="80" t="s">
        <v>36</v>
      </c>
      <c r="S6832" s="95">
        <v>15936</v>
      </c>
      <c r="T6832" s="148">
        <v>45660</v>
      </c>
      <c r="U6832" s="77"/>
      <c r="V6832" s="78"/>
      <c r="W6832" s="85" t="s">
        <v>19753</v>
      </c>
      <c r="X6832" s="80"/>
      <c r="Y6832" s="22">
        <v>0</v>
      </c>
      <c r="Z6832" s="80" t="s">
        <v>50</v>
      </c>
      <c r="AA6832" s="86" t="s">
        <v>18583</v>
      </c>
      <c r="AB6832" s="86"/>
      <c r="AC6832" s="80" t="s">
        <v>53</v>
      </c>
      <c r="AD6832" s="80" t="s">
        <v>138</v>
      </c>
      <c r="AE6832" s="80" t="s">
        <v>16519</v>
      </c>
      <c r="AF6832" s="17">
        <v>45763</v>
      </c>
      <c r="AG6832" s="80"/>
      <c r="AH6832" s="80"/>
      <c r="AI6832" s="147"/>
      <c r="AJ6832" s="80"/>
      <c r="AK6832" s="80"/>
      <c r="AL6832" s="35"/>
      <c r="AM6832" s="35"/>
      <c r="AN6832" s="35"/>
      <c r="AO6832" s="35"/>
      <c r="AP6832" s="35"/>
    </row>
    <row r="6833" spans="1:42" x14ac:dyDescent="0.2">
      <c r="A6833" s="38">
        <v>45747</v>
      </c>
      <c r="B6833" s="137" t="s">
        <v>37</v>
      </c>
      <c r="C6833" s="41" t="s">
        <v>118</v>
      </c>
      <c r="D6833" s="80" t="s">
        <v>36</v>
      </c>
      <c r="E6833" s="80" t="s">
        <v>139</v>
      </c>
      <c r="F6833" s="80" t="s">
        <v>16519</v>
      </c>
      <c r="G6833" s="80" t="s">
        <v>108</v>
      </c>
      <c r="H6833" s="80" t="s">
        <v>16968</v>
      </c>
      <c r="I6833" s="17">
        <f ca="1">IFERROR(__xludf.DUMMYFUNCTION("""COMPUTED_VALUE"""),45763)</f>
        <v>45763</v>
      </c>
      <c r="J6833" s="143" t="s">
        <v>19835</v>
      </c>
      <c r="K6833" s="80" t="s">
        <v>19836</v>
      </c>
      <c r="L6833" s="30">
        <v>972905269</v>
      </c>
      <c r="M6833" s="80" t="s">
        <v>12529</v>
      </c>
      <c r="N6833" s="80" t="s">
        <v>466</v>
      </c>
      <c r="O6833" s="80" t="s">
        <v>19837</v>
      </c>
      <c r="P6833" s="80" t="s">
        <v>18706</v>
      </c>
      <c r="Q6833" s="20">
        <v>15936</v>
      </c>
      <c r="R6833" s="80" t="s">
        <v>36</v>
      </c>
      <c r="S6833" s="95">
        <v>14468</v>
      </c>
      <c r="T6833" s="148">
        <v>45320</v>
      </c>
      <c r="U6833" s="77"/>
      <c r="V6833" s="78"/>
      <c r="W6833" s="85" t="s">
        <v>19838</v>
      </c>
      <c r="X6833" s="80"/>
      <c r="Y6833" s="22">
        <v>1468</v>
      </c>
      <c r="Z6833" s="80" t="s">
        <v>50</v>
      </c>
      <c r="AA6833" s="82" t="s">
        <v>18583</v>
      </c>
      <c r="AB6833" s="80"/>
      <c r="AC6833" s="80" t="s">
        <v>53</v>
      </c>
      <c r="AD6833" s="80" t="s">
        <v>138</v>
      </c>
      <c r="AE6833" s="80" t="s">
        <v>16519</v>
      </c>
      <c r="AF6833" s="17">
        <v>45763</v>
      </c>
      <c r="AG6833" s="80"/>
      <c r="AH6833" s="80"/>
      <c r="AI6833" s="147"/>
      <c r="AJ6833" s="80"/>
      <c r="AK6833" s="80"/>
      <c r="AL6833" s="35"/>
      <c r="AM6833" s="35"/>
      <c r="AN6833" s="35"/>
      <c r="AO6833" s="35"/>
      <c r="AP6833" s="35"/>
    </row>
    <row r="6834" spans="1:42" x14ac:dyDescent="0.2">
      <c r="A6834" s="38">
        <v>45747</v>
      </c>
      <c r="B6834" s="137" t="s">
        <v>37</v>
      </c>
      <c r="C6834" s="41" t="s">
        <v>118</v>
      </c>
      <c r="D6834" s="80" t="s">
        <v>36</v>
      </c>
      <c r="E6834" s="80" t="s">
        <v>56</v>
      </c>
      <c r="F6834" s="80" t="s">
        <v>16519</v>
      </c>
      <c r="G6834" s="80" t="s">
        <v>108</v>
      </c>
      <c r="H6834" s="80" t="s">
        <v>16968</v>
      </c>
      <c r="I6834" s="17">
        <f ca="1">IFERROR(__xludf.DUMMYFUNCTION("""COMPUTED_VALUE"""),45763)</f>
        <v>45763</v>
      </c>
      <c r="J6834" s="172" t="s">
        <v>19869</v>
      </c>
      <c r="K6834" s="80" t="s">
        <v>19870</v>
      </c>
      <c r="L6834" s="30">
        <v>981683430</v>
      </c>
      <c r="M6834" s="80" t="s">
        <v>9422</v>
      </c>
      <c r="N6834" s="80" t="s">
        <v>5574</v>
      </c>
      <c r="O6834" s="80" t="s">
        <v>19871</v>
      </c>
      <c r="P6834" s="80" t="s">
        <v>19872</v>
      </c>
      <c r="Q6834" s="20">
        <v>9317</v>
      </c>
      <c r="R6834" s="80" t="s">
        <v>36</v>
      </c>
      <c r="S6834" s="95">
        <v>8317</v>
      </c>
      <c r="T6834" s="148">
        <v>45686</v>
      </c>
      <c r="U6834" s="77"/>
      <c r="V6834" s="78"/>
      <c r="W6834" s="85" t="s">
        <v>19873</v>
      </c>
      <c r="X6834" s="80"/>
      <c r="Y6834" s="22">
        <v>1000</v>
      </c>
      <c r="Z6834" s="80" t="s">
        <v>50</v>
      </c>
      <c r="AA6834" s="86" t="s">
        <v>18583</v>
      </c>
      <c r="AB6834" s="80"/>
      <c r="AC6834" s="80" t="s">
        <v>53</v>
      </c>
      <c r="AD6834" s="80" t="s">
        <v>138</v>
      </c>
      <c r="AE6834" s="80" t="s">
        <v>16519</v>
      </c>
      <c r="AF6834" s="17">
        <v>45763</v>
      </c>
      <c r="AG6834" s="80"/>
      <c r="AH6834" s="80"/>
      <c r="AI6834" s="147"/>
      <c r="AJ6834" s="80"/>
      <c r="AK6834" s="80"/>
      <c r="AL6834" s="35"/>
      <c r="AM6834" s="35"/>
      <c r="AN6834" s="35"/>
      <c r="AO6834" s="35"/>
      <c r="AP6834" s="35"/>
    </row>
    <row r="6835" spans="1:42" x14ac:dyDescent="0.2">
      <c r="A6835" s="38">
        <v>45747</v>
      </c>
      <c r="B6835" s="137" t="s">
        <v>37</v>
      </c>
      <c r="C6835" s="41" t="s">
        <v>118</v>
      </c>
      <c r="D6835" s="80" t="s">
        <v>36</v>
      </c>
      <c r="E6835" s="80" t="s">
        <v>139</v>
      </c>
      <c r="F6835" s="80" t="s">
        <v>16519</v>
      </c>
      <c r="G6835" s="80" t="s">
        <v>108</v>
      </c>
      <c r="H6835" s="80" t="s">
        <v>16968</v>
      </c>
      <c r="I6835" s="17">
        <f ca="1">IFERROR(__xludf.DUMMYFUNCTION("""COMPUTED_VALUE"""),45763)</f>
        <v>45763</v>
      </c>
      <c r="J6835" s="143" t="s">
        <v>19877</v>
      </c>
      <c r="K6835" s="80" t="s">
        <v>21268</v>
      </c>
      <c r="L6835" s="30">
        <v>335619006</v>
      </c>
      <c r="M6835" s="80" t="s">
        <v>910</v>
      </c>
      <c r="N6835" s="80" t="s">
        <v>355</v>
      </c>
      <c r="O6835" s="80" t="s">
        <v>91</v>
      </c>
      <c r="P6835" s="80" t="s">
        <v>19879</v>
      </c>
      <c r="Q6835" s="20">
        <v>15936</v>
      </c>
      <c r="R6835" s="80" t="s">
        <v>36</v>
      </c>
      <c r="S6835" s="95">
        <v>14436</v>
      </c>
      <c r="T6835" s="148">
        <v>45686</v>
      </c>
      <c r="U6835" s="77"/>
      <c r="V6835" s="78"/>
      <c r="W6835" s="85" t="s">
        <v>19880</v>
      </c>
      <c r="X6835" s="80"/>
      <c r="Y6835" s="22">
        <v>1500</v>
      </c>
      <c r="Z6835" s="80" t="s">
        <v>50</v>
      </c>
      <c r="AA6835" s="82" t="s">
        <v>18583</v>
      </c>
      <c r="AB6835" s="80"/>
      <c r="AC6835" s="80" t="s">
        <v>53</v>
      </c>
      <c r="AD6835" s="80" t="s">
        <v>138</v>
      </c>
      <c r="AE6835" s="80" t="s">
        <v>16519</v>
      </c>
      <c r="AF6835" s="17">
        <v>45763</v>
      </c>
      <c r="AG6835" s="80"/>
      <c r="AH6835" s="80"/>
      <c r="AI6835" s="147"/>
      <c r="AJ6835" s="80"/>
      <c r="AK6835" s="80"/>
      <c r="AL6835" s="35"/>
      <c r="AM6835" s="35"/>
      <c r="AN6835" s="35"/>
      <c r="AO6835" s="35"/>
      <c r="AP6835" s="35"/>
    </row>
    <row r="6836" spans="1:42" x14ac:dyDescent="0.2">
      <c r="A6836" s="38">
        <v>45747</v>
      </c>
      <c r="B6836" s="137" t="s">
        <v>37</v>
      </c>
      <c r="C6836" s="41" t="s">
        <v>118</v>
      </c>
      <c r="D6836" s="80" t="s">
        <v>36</v>
      </c>
      <c r="E6836" s="80" t="s">
        <v>56</v>
      </c>
      <c r="F6836" s="80" t="s">
        <v>16519</v>
      </c>
      <c r="G6836" s="80" t="s">
        <v>108</v>
      </c>
      <c r="H6836" s="80" t="s">
        <v>16968</v>
      </c>
      <c r="I6836" s="17">
        <f ca="1">IFERROR(__xludf.DUMMYFUNCTION("""COMPUTED_VALUE"""),45763)</f>
        <v>45763</v>
      </c>
      <c r="J6836" s="143" t="s">
        <v>19928</v>
      </c>
      <c r="K6836" s="80" t="s">
        <v>19929</v>
      </c>
      <c r="L6836" s="30">
        <v>373773735</v>
      </c>
      <c r="M6836" s="80" t="s">
        <v>3288</v>
      </c>
      <c r="N6836" s="80" t="s">
        <v>200</v>
      </c>
      <c r="O6836" s="80" t="s">
        <v>91</v>
      </c>
      <c r="P6836" s="80" t="s">
        <v>3117</v>
      </c>
      <c r="Q6836" s="20">
        <v>9317</v>
      </c>
      <c r="R6836" s="80" t="s">
        <v>36</v>
      </c>
      <c r="S6836" s="95">
        <v>8317</v>
      </c>
      <c r="T6836" s="148" t="s">
        <v>19930</v>
      </c>
      <c r="U6836" s="77"/>
      <c r="V6836" s="78"/>
      <c r="W6836" s="85" t="s">
        <v>19931</v>
      </c>
      <c r="X6836" s="80"/>
      <c r="Y6836" s="22">
        <v>1000</v>
      </c>
      <c r="Z6836" s="80" t="s">
        <v>50</v>
      </c>
      <c r="AA6836" s="86" t="s">
        <v>18583</v>
      </c>
      <c r="AB6836" s="80"/>
      <c r="AC6836" s="80" t="s">
        <v>53</v>
      </c>
      <c r="AD6836" s="80" t="s">
        <v>138</v>
      </c>
      <c r="AE6836" s="80" t="s">
        <v>16519</v>
      </c>
      <c r="AF6836" s="17">
        <v>45763</v>
      </c>
      <c r="AG6836" s="80"/>
      <c r="AH6836" s="80"/>
      <c r="AI6836" s="147"/>
      <c r="AJ6836" s="80"/>
      <c r="AK6836" s="80"/>
      <c r="AL6836" s="35"/>
      <c r="AM6836" s="35"/>
      <c r="AN6836" s="35"/>
      <c r="AO6836" s="35"/>
      <c r="AP6836" s="35"/>
    </row>
    <row r="6837" spans="1:42" x14ac:dyDescent="0.2">
      <c r="A6837" s="38">
        <v>45747</v>
      </c>
      <c r="B6837" s="137" t="s">
        <v>37</v>
      </c>
      <c r="C6837" s="41" t="s">
        <v>118</v>
      </c>
      <c r="D6837" s="80" t="s">
        <v>36</v>
      </c>
      <c r="E6837" s="80" t="s">
        <v>56</v>
      </c>
      <c r="F6837" s="80" t="s">
        <v>16519</v>
      </c>
      <c r="G6837" s="80" t="s">
        <v>108</v>
      </c>
      <c r="H6837" s="80" t="s">
        <v>16968</v>
      </c>
      <c r="I6837" s="17">
        <f ca="1">IFERROR(__xludf.DUMMYFUNCTION("""COMPUTED_VALUE"""),45763)</f>
        <v>45763</v>
      </c>
      <c r="J6837" s="143" t="s">
        <v>20653</v>
      </c>
      <c r="K6837" s="80" t="s">
        <v>20654</v>
      </c>
      <c r="L6837" s="30">
        <v>337730522</v>
      </c>
      <c r="M6837" s="80" t="s">
        <v>59</v>
      </c>
      <c r="N6837" s="80" t="s">
        <v>9294</v>
      </c>
      <c r="O6837" s="80" t="s">
        <v>20655</v>
      </c>
      <c r="P6837" s="80" t="s">
        <v>18083</v>
      </c>
      <c r="Q6837" s="20">
        <v>9317</v>
      </c>
      <c r="R6837" s="80" t="s">
        <v>36</v>
      </c>
      <c r="S6837" s="95">
        <f>2000+7317</f>
        <v>9317</v>
      </c>
      <c r="T6837" s="83" t="s">
        <v>20656</v>
      </c>
      <c r="U6837" s="77"/>
      <c r="V6837" s="78"/>
      <c r="W6837" s="85" t="s">
        <v>20657</v>
      </c>
      <c r="X6837" s="80"/>
      <c r="Y6837" s="22">
        <v>0</v>
      </c>
      <c r="Z6837" s="80" t="s">
        <v>50</v>
      </c>
      <c r="AA6837" s="82" t="s">
        <v>20522</v>
      </c>
      <c r="AB6837" s="80"/>
      <c r="AC6837" s="80" t="s">
        <v>53</v>
      </c>
      <c r="AD6837" s="80" t="s">
        <v>138</v>
      </c>
      <c r="AE6837" s="80" t="s">
        <v>16519</v>
      </c>
      <c r="AF6837" s="17">
        <v>45763</v>
      </c>
      <c r="AG6837" s="80"/>
      <c r="AH6837" s="80"/>
      <c r="AI6837" s="147"/>
      <c r="AJ6837" s="80"/>
      <c r="AK6837" s="80"/>
      <c r="AL6837" s="35"/>
      <c r="AM6837" s="35"/>
      <c r="AN6837" s="35"/>
      <c r="AO6837" s="35"/>
      <c r="AP6837" s="35"/>
    </row>
    <row r="6838" spans="1:42" x14ac:dyDescent="0.2">
      <c r="A6838" s="38">
        <v>45747</v>
      </c>
      <c r="B6838" s="137" t="s">
        <v>37</v>
      </c>
      <c r="C6838" s="41" t="s">
        <v>118</v>
      </c>
      <c r="D6838" s="80" t="s">
        <v>36</v>
      </c>
      <c r="E6838" s="80" t="s">
        <v>139</v>
      </c>
      <c r="F6838" s="80" t="s">
        <v>16519</v>
      </c>
      <c r="G6838" s="80" t="s">
        <v>108</v>
      </c>
      <c r="H6838" s="80" t="s">
        <v>16968</v>
      </c>
      <c r="I6838" s="17">
        <f ca="1">IFERROR(__xludf.DUMMYFUNCTION("""COMPUTED_VALUE"""),45763)</f>
        <v>45763</v>
      </c>
      <c r="J6838" s="143" t="s">
        <v>21269</v>
      </c>
      <c r="K6838" s="80" t="s">
        <v>20735</v>
      </c>
      <c r="L6838" s="30">
        <v>374618179</v>
      </c>
      <c r="M6838" s="80" t="s">
        <v>59</v>
      </c>
      <c r="N6838" s="80" t="s">
        <v>68</v>
      </c>
      <c r="O6838" s="80" t="s">
        <v>20736</v>
      </c>
      <c r="P6838" s="80" t="s">
        <v>18083</v>
      </c>
      <c r="Q6838" s="20">
        <v>15936</v>
      </c>
      <c r="R6838" s="80" t="s">
        <v>70</v>
      </c>
      <c r="S6838" s="95">
        <f t="shared" ref="S6838:S6839" si="205">50+15786</f>
        <v>15836</v>
      </c>
      <c r="T6838" s="83" t="s">
        <v>20737</v>
      </c>
      <c r="U6838" s="77"/>
      <c r="V6838" s="78"/>
      <c r="W6838" s="85" t="s">
        <v>20738</v>
      </c>
      <c r="X6838" s="80"/>
      <c r="Y6838" s="22">
        <v>100</v>
      </c>
      <c r="Z6838" s="80" t="s">
        <v>50</v>
      </c>
      <c r="AA6838" s="86" t="s">
        <v>20522</v>
      </c>
      <c r="AB6838" s="80"/>
      <c r="AC6838" s="80" t="s">
        <v>53</v>
      </c>
      <c r="AD6838" s="80" t="s">
        <v>138</v>
      </c>
      <c r="AE6838" s="80" t="s">
        <v>16519</v>
      </c>
      <c r="AF6838" s="17">
        <v>45763</v>
      </c>
      <c r="AG6838" s="80"/>
      <c r="AH6838" s="80"/>
      <c r="AI6838" s="147"/>
      <c r="AJ6838" s="80"/>
      <c r="AK6838" s="80"/>
      <c r="AL6838" s="35"/>
      <c r="AM6838" s="35"/>
      <c r="AN6838" s="35"/>
      <c r="AO6838" s="35"/>
      <c r="AP6838" s="35"/>
    </row>
    <row r="6839" spans="1:42" x14ac:dyDescent="0.2">
      <c r="A6839" s="38">
        <v>45747</v>
      </c>
      <c r="B6839" s="137" t="s">
        <v>37</v>
      </c>
      <c r="C6839" s="41" t="s">
        <v>118</v>
      </c>
      <c r="D6839" s="80" t="s">
        <v>36</v>
      </c>
      <c r="E6839" s="80" t="s">
        <v>139</v>
      </c>
      <c r="F6839" s="80" t="s">
        <v>16519</v>
      </c>
      <c r="G6839" s="80" t="s">
        <v>108</v>
      </c>
      <c r="H6839" s="80" t="s">
        <v>16968</v>
      </c>
      <c r="I6839" s="17">
        <f ca="1">IFERROR(__xludf.DUMMYFUNCTION("""COMPUTED_VALUE"""),45763)</f>
        <v>45763</v>
      </c>
      <c r="J6839" s="143" t="s">
        <v>20739</v>
      </c>
      <c r="K6839" s="80" t="s">
        <v>20740</v>
      </c>
      <c r="L6839" s="30">
        <v>354037448</v>
      </c>
      <c r="M6839" s="80" t="s">
        <v>59</v>
      </c>
      <c r="N6839" s="80" t="s">
        <v>68</v>
      </c>
      <c r="O6839" s="80" t="s">
        <v>20741</v>
      </c>
      <c r="P6839" s="80" t="s">
        <v>16383</v>
      </c>
      <c r="Q6839" s="20">
        <v>15936</v>
      </c>
      <c r="R6839" s="80" t="s">
        <v>70</v>
      </c>
      <c r="S6839" s="95">
        <f t="shared" si="205"/>
        <v>15836</v>
      </c>
      <c r="T6839" s="83" t="s">
        <v>20737</v>
      </c>
      <c r="U6839" s="77"/>
      <c r="V6839" s="78"/>
      <c r="W6839" s="85" t="s">
        <v>20742</v>
      </c>
      <c r="X6839" s="80"/>
      <c r="Y6839" s="22">
        <v>100</v>
      </c>
      <c r="Z6839" s="80" t="s">
        <v>50</v>
      </c>
      <c r="AA6839" s="82" t="s">
        <v>20522</v>
      </c>
      <c r="AB6839" s="80"/>
      <c r="AC6839" s="80" t="s">
        <v>53</v>
      </c>
      <c r="AD6839" s="80" t="s">
        <v>138</v>
      </c>
      <c r="AE6839" s="80" t="s">
        <v>16519</v>
      </c>
      <c r="AF6839" s="17">
        <v>45763</v>
      </c>
      <c r="AG6839" s="80"/>
      <c r="AH6839" s="80"/>
      <c r="AI6839" s="147"/>
      <c r="AJ6839" s="80"/>
      <c r="AK6839" s="80"/>
      <c r="AL6839" s="35"/>
      <c r="AM6839" s="35"/>
      <c r="AN6839" s="35"/>
      <c r="AO6839" s="35"/>
      <c r="AP6839" s="35"/>
    </row>
    <row r="6840" spans="1:42" x14ac:dyDescent="0.2">
      <c r="A6840" s="38">
        <v>45747</v>
      </c>
      <c r="B6840" s="137" t="s">
        <v>37</v>
      </c>
      <c r="C6840" s="41" t="s">
        <v>118</v>
      </c>
      <c r="D6840" s="80" t="s">
        <v>36</v>
      </c>
      <c r="E6840" s="80" t="s">
        <v>139</v>
      </c>
      <c r="F6840" s="80" t="s">
        <v>16519</v>
      </c>
      <c r="G6840" s="80" t="s">
        <v>108</v>
      </c>
      <c r="H6840" s="80" t="s">
        <v>16968</v>
      </c>
      <c r="I6840" s="17">
        <f ca="1">IFERROR(__xludf.DUMMYFUNCTION("""COMPUTED_VALUE"""),45763)</f>
        <v>45763</v>
      </c>
      <c r="J6840" s="143" t="s">
        <v>21270</v>
      </c>
      <c r="K6840" s="80" t="s">
        <v>21271</v>
      </c>
      <c r="L6840" s="30">
        <v>836539688</v>
      </c>
      <c r="M6840" s="80" t="s">
        <v>12644</v>
      </c>
      <c r="N6840" s="80" t="s">
        <v>260</v>
      </c>
      <c r="O6840" s="80" t="s">
        <v>21272</v>
      </c>
      <c r="P6840" s="80" t="s">
        <v>13226</v>
      </c>
      <c r="Q6840" s="20">
        <v>15936</v>
      </c>
      <c r="R6840" s="80" t="s">
        <v>36</v>
      </c>
      <c r="S6840" s="95">
        <f>200+1800</f>
        <v>2000</v>
      </c>
      <c r="T6840" s="83" t="s">
        <v>21273</v>
      </c>
      <c r="U6840" s="95">
        <v>13968</v>
      </c>
      <c r="V6840" s="148">
        <v>45723</v>
      </c>
      <c r="W6840" s="85" t="s">
        <v>21274</v>
      </c>
      <c r="X6840" s="80"/>
      <c r="Y6840" s="22">
        <v>-32</v>
      </c>
      <c r="Z6840" s="80" t="s">
        <v>50</v>
      </c>
      <c r="AA6840" s="86"/>
      <c r="AB6840" s="86"/>
      <c r="AC6840" s="80" t="s">
        <v>53</v>
      </c>
      <c r="AD6840" s="80" t="s">
        <v>138</v>
      </c>
      <c r="AE6840" s="80" t="s">
        <v>16519</v>
      </c>
      <c r="AF6840" s="17">
        <v>45763</v>
      </c>
      <c r="AG6840" s="80"/>
      <c r="AH6840" s="80"/>
      <c r="AI6840" s="147"/>
      <c r="AJ6840" s="80"/>
      <c r="AK6840" s="80"/>
      <c r="AL6840" s="35"/>
      <c r="AM6840" s="35"/>
      <c r="AN6840" s="35"/>
      <c r="AO6840" s="35"/>
      <c r="AP6840" s="35"/>
    </row>
    <row r="6841" spans="1:42" x14ac:dyDescent="0.2">
      <c r="A6841" s="38">
        <v>45747</v>
      </c>
      <c r="B6841" s="137" t="s">
        <v>37</v>
      </c>
      <c r="C6841" s="41" t="s">
        <v>118</v>
      </c>
      <c r="D6841" s="80" t="s">
        <v>36</v>
      </c>
      <c r="E6841" s="80" t="s">
        <v>139</v>
      </c>
      <c r="F6841" s="80" t="s">
        <v>16519</v>
      </c>
      <c r="G6841" s="80" t="s">
        <v>108</v>
      </c>
      <c r="H6841" s="80" t="s">
        <v>16968</v>
      </c>
      <c r="I6841" s="17">
        <f ca="1">IFERROR(__xludf.DUMMYFUNCTION("""COMPUTED_VALUE"""),45763)</f>
        <v>45763</v>
      </c>
      <c r="J6841" s="143" t="s">
        <v>21275</v>
      </c>
      <c r="K6841" s="80" t="s">
        <v>21276</v>
      </c>
      <c r="L6841" s="30">
        <v>969137806</v>
      </c>
      <c r="M6841" s="80" t="s">
        <v>12644</v>
      </c>
      <c r="N6841" s="80" t="s">
        <v>8725</v>
      </c>
      <c r="O6841" s="80" t="s">
        <v>21277</v>
      </c>
      <c r="P6841" s="80" t="s">
        <v>14107</v>
      </c>
      <c r="Q6841" s="20">
        <v>15936</v>
      </c>
      <c r="R6841" s="80" t="s">
        <v>36</v>
      </c>
      <c r="S6841" s="95">
        <v>2000</v>
      </c>
      <c r="T6841" s="148">
        <v>45694</v>
      </c>
      <c r="U6841" s="95">
        <v>13936</v>
      </c>
      <c r="V6841" s="148">
        <v>45743</v>
      </c>
      <c r="W6841" s="85" t="s">
        <v>21278</v>
      </c>
      <c r="X6841" s="80"/>
      <c r="Y6841" s="22">
        <v>0</v>
      </c>
      <c r="Z6841" s="80" t="s">
        <v>50</v>
      </c>
      <c r="AA6841" s="82"/>
      <c r="AB6841" s="80"/>
      <c r="AC6841" s="80" t="s">
        <v>53</v>
      </c>
      <c r="AD6841" s="80" t="s">
        <v>138</v>
      </c>
      <c r="AE6841" s="80" t="s">
        <v>16519</v>
      </c>
      <c r="AF6841" s="17">
        <v>45763</v>
      </c>
      <c r="AG6841" s="80"/>
      <c r="AH6841" s="80"/>
      <c r="AI6841" s="147"/>
      <c r="AJ6841" s="80"/>
      <c r="AK6841" s="80"/>
      <c r="AL6841" s="35"/>
      <c r="AM6841" s="35"/>
      <c r="AN6841" s="35"/>
      <c r="AO6841" s="35"/>
      <c r="AP6841" s="35"/>
    </row>
    <row r="6842" spans="1:42" x14ac:dyDescent="0.2">
      <c r="A6842" s="38">
        <v>45747</v>
      </c>
      <c r="B6842" s="137" t="s">
        <v>37</v>
      </c>
      <c r="C6842" s="41" t="s">
        <v>118</v>
      </c>
      <c r="D6842" s="80" t="s">
        <v>36</v>
      </c>
      <c r="E6842" s="80" t="s">
        <v>139</v>
      </c>
      <c r="F6842" s="80" t="s">
        <v>16519</v>
      </c>
      <c r="G6842" s="80" t="s">
        <v>108</v>
      </c>
      <c r="H6842" s="80" t="s">
        <v>16968</v>
      </c>
      <c r="I6842" s="17">
        <f ca="1">IFERROR(__xludf.DUMMYFUNCTION("""COMPUTED_VALUE"""),45763)</f>
        <v>45763</v>
      </c>
      <c r="J6842" s="143" t="s">
        <v>21279</v>
      </c>
      <c r="K6842" s="80" t="s">
        <v>9374</v>
      </c>
      <c r="L6842" s="201">
        <v>365657306</v>
      </c>
      <c r="M6842" s="80" t="s">
        <v>15996</v>
      </c>
      <c r="N6842" s="80" t="s">
        <v>186</v>
      </c>
      <c r="O6842" s="80" t="s">
        <v>4503</v>
      </c>
      <c r="P6842" s="80" t="s">
        <v>3487</v>
      </c>
      <c r="Q6842" s="20">
        <v>15936</v>
      </c>
      <c r="R6842" s="80" t="s">
        <v>36</v>
      </c>
      <c r="S6842" s="95">
        <f>200+3000</f>
        <v>3200</v>
      </c>
      <c r="T6842" s="83" t="s">
        <v>21280</v>
      </c>
      <c r="U6842" s="95">
        <v>12736</v>
      </c>
      <c r="V6842" s="148">
        <v>45726</v>
      </c>
      <c r="W6842" s="85" t="s">
        <v>21281</v>
      </c>
      <c r="X6842" s="80"/>
      <c r="Y6842" s="22">
        <v>0</v>
      </c>
      <c r="Z6842" s="80" t="s">
        <v>50</v>
      </c>
      <c r="AA6842" s="86"/>
      <c r="AB6842" s="80"/>
      <c r="AC6842" s="80" t="s">
        <v>53</v>
      </c>
      <c r="AD6842" s="80" t="s">
        <v>138</v>
      </c>
      <c r="AE6842" s="80" t="s">
        <v>16519</v>
      </c>
      <c r="AF6842" s="17">
        <v>45763</v>
      </c>
      <c r="AG6842" s="80"/>
      <c r="AH6842" s="80"/>
      <c r="AI6842" s="147"/>
      <c r="AJ6842" s="80"/>
      <c r="AK6842" s="80"/>
      <c r="AL6842" s="35"/>
      <c r="AM6842" s="35"/>
      <c r="AN6842" s="35"/>
      <c r="AO6842" s="35"/>
      <c r="AP6842" s="35"/>
    </row>
    <row r="6843" spans="1:42" x14ac:dyDescent="0.2">
      <c r="A6843" s="38">
        <v>45747</v>
      </c>
      <c r="B6843" s="137" t="s">
        <v>90</v>
      </c>
      <c r="C6843" s="41" t="s">
        <v>118</v>
      </c>
      <c r="D6843" s="80" t="s">
        <v>36</v>
      </c>
      <c r="E6843" s="80" t="s">
        <v>139</v>
      </c>
      <c r="F6843" s="80" t="s">
        <v>16656</v>
      </c>
      <c r="G6843" s="80" t="s">
        <v>221</v>
      </c>
      <c r="H6843" s="80" t="s">
        <v>20146</v>
      </c>
      <c r="I6843" s="17">
        <f ca="1">IFERROR(__xludf.DUMMYFUNCTION("""COMPUTED_VALUE"""),45747)</f>
        <v>45747</v>
      </c>
      <c r="J6843" s="143" t="s">
        <v>15373</v>
      </c>
      <c r="K6843" s="80" t="s">
        <v>16796</v>
      </c>
      <c r="L6843" s="30">
        <v>393642462</v>
      </c>
      <c r="M6843" s="80" t="s">
        <v>59</v>
      </c>
      <c r="N6843" s="80" t="s">
        <v>7298</v>
      </c>
      <c r="O6843" s="80" t="s">
        <v>15375</v>
      </c>
      <c r="P6843" s="80" t="s">
        <v>21282</v>
      </c>
      <c r="Q6843" s="20">
        <v>15936</v>
      </c>
      <c r="R6843" s="80" t="s">
        <v>36</v>
      </c>
      <c r="S6843" s="95">
        <f>200+2000</f>
        <v>2200</v>
      </c>
      <c r="T6843" s="83" t="s">
        <v>15377</v>
      </c>
      <c r="U6843" s="95">
        <v>13736</v>
      </c>
      <c r="V6843" s="148">
        <v>45573</v>
      </c>
      <c r="W6843" s="85" t="s">
        <v>15378</v>
      </c>
      <c r="X6843" s="80"/>
      <c r="Y6843" s="22">
        <v>0</v>
      </c>
      <c r="Z6843" s="80" t="s">
        <v>50</v>
      </c>
      <c r="AA6843" s="96" t="s">
        <v>9905</v>
      </c>
      <c r="AB6843" s="80"/>
      <c r="AC6843" s="80" t="s">
        <v>53</v>
      </c>
      <c r="AD6843" s="80" t="s">
        <v>138</v>
      </c>
      <c r="AE6843" s="80" t="s">
        <v>16656</v>
      </c>
      <c r="AF6843" s="17">
        <v>45747</v>
      </c>
      <c r="AG6843" s="80"/>
      <c r="AH6843" s="80"/>
      <c r="AI6843" s="147"/>
      <c r="AJ6843" s="80"/>
      <c r="AK6843" s="80"/>
      <c r="AL6843" s="35"/>
      <c r="AM6843" s="35"/>
      <c r="AN6843" s="35"/>
      <c r="AO6843" s="35"/>
      <c r="AP6843" s="35"/>
    </row>
    <row r="6844" spans="1:42" x14ac:dyDescent="0.2">
      <c r="A6844" s="38">
        <v>45747</v>
      </c>
      <c r="B6844" s="137" t="s">
        <v>37</v>
      </c>
      <c r="C6844" s="41" t="s">
        <v>118</v>
      </c>
      <c r="D6844" s="80" t="s">
        <v>36</v>
      </c>
      <c r="E6844" s="80" t="s">
        <v>139</v>
      </c>
      <c r="F6844" s="80" t="s">
        <v>14495</v>
      </c>
      <c r="G6844" s="80" t="s">
        <v>221</v>
      </c>
      <c r="H6844" s="80" t="s">
        <v>21283</v>
      </c>
      <c r="I6844" s="17">
        <f ca="1">IFERROR(__xludf.DUMMYFUNCTION("""COMPUTED_VALUE"""),45797)</f>
        <v>45797</v>
      </c>
      <c r="J6844" s="143" t="s">
        <v>13421</v>
      </c>
      <c r="K6844" s="80" t="s">
        <v>21284</v>
      </c>
      <c r="L6844" s="30">
        <v>374612006</v>
      </c>
      <c r="M6844" s="80" t="s">
        <v>123</v>
      </c>
      <c r="N6844" s="80" t="s">
        <v>327</v>
      </c>
      <c r="O6844" s="80" t="s">
        <v>4503</v>
      </c>
      <c r="P6844" s="80" t="s">
        <v>3056</v>
      </c>
      <c r="Q6844" s="20">
        <v>15936</v>
      </c>
      <c r="R6844" s="80" t="s">
        <v>36</v>
      </c>
      <c r="S6844" s="95">
        <f>400+15536</f>
        <v>15936</v>
      </c>
      <c r="T6844" s="148" t="s">
        <v>13422</v>
      </c>
      <c r="U6844" s="77"/>
      <c r="V6844" s="78"/>
      <c r="W6844" s="85" t="s">
        <v>13423</v>
      </c>
      <c r="X6844" s="83">
        <v>0</v>
      </c>
      <c r="Y6844" s="22">
        <v>0</v>
      </c>
      <c r="Z6844" s="81" t="s">
        <v>50</v>
      </c>
      <c r="AA6844" s="86" t="s">
        <v>3291</v>
      </c>
      <c r="AB6844" s="80"/>
      <c r="AC6844" s="80" t="s">
        <v>53</v>
      </c>
      <c r="AD6844" s="80" t="s">
        <v>138</v>
      </c>
      <c r="AE6844" s="80" t="s">
        <v>14495</v>
      </c>
      <c r="AF6844" s="17">
        <v>45797</v>
      </c>
      <c r="AG6844" s="80"/>
      <c r="AH6844" s="80"/>
      <c r="AI6844" s="147" t="s">
        <v>147</v>
      </c>
      <c r="AJ6844" s="80"/>
      <c r="AK6844" s="80"/>
      <c r="AL6844" s="86"/>
      <c r="AM6844" s="86"/>
      <c r="AN6844" s="86"/>
      <c r="AO6844" s="86"/>
      <c r="AP6844" s="86"/>
    </row>
    <row r="6845" spans="1:42" x14ac:dyDescent="0.2">
      <c r="A6845" s="38">
        <v>45747</v>
      </c>
      <c r="B6845" s="137" t="s">
        <v>37</v>
      </c>
      <c r="C6845" s="41" t="s">
        <v>118</v>
      </c>
      <c r="D6845" s="80" t="s">
        <v>36</v>
      </c>
      <c r="E6845" s="80" t="s">
        <v>56</v>
      </c>
      <c r="F6845" s="80" t="s">
        <v>14495</v>
      </c>
      <c r="G6845" s="80" t="s">
        <v>221</v>
      </c>
      <c r="H6845" s="80" t="s">
        <v>20004</v>
      </c>
      <c r="I6845" s="17">
        <f ca="1">IFERROR(__xludf.DUMMYFUNCTION("""COMPUTED_VALUE"""),45755)</f>
        <v>45755</v>
      </c>
      <c r="J6845" s="143" t="s">
        <v>15647</v>
      </c>
      <c r="K6845" s="80" t="s">
        <v>15648</v>
      </c>
      <c r="L6845" s="30">
        <v>866443705</v>
      </c>
      <c r="M6845" s="80" t="s">
        <v>59</v>
      </c>
      <c r="N6845" s="80" t="s">
        <v>9294</v>
      </c>
      <c r="O6845" s="80" t="s">
        <v>15649</v>
      </c>
      <c r="P6845" s="144" t="s">
        <v>21285</v>
      </c>
      <c r="Q6845" s="20">
        <v>9317</v>
      </c>
      <c r="R6845" s="80" t="s">
        <v>36</v>
      </c>
      <c r="S6845" s="95">
        <f>200+9117</f>
        <v>9317</v>
      </c>
      <c r="T6845" s="148" t="s">
        <v>15650</v>
      </c>
      <c r="U6845" s="77"/>
      <c r="V6845" s="78"/>
      <c r="W6845" s="85" t="s">
        <v>15651</v>
      </c>
      <c r="X6845" s="80"/>
      <c r="Y6845" s="22">
        <v>0</v>
      </c>
      <c r="Z6845" s="81" t="s">
        <v>50</v>
      </c>
      <c r="AA6845" s="82" t="s">
        <v>9905</v>
      </c>
      <c r="AB6845" s="80"/>
      <c r="AC6845" s="80" t="s">
        <v>53</v>
      </c>
      <c r="AD6845" s="80" t="s">
        <v>138</v>
      </c>
      <c r="AE6845" s="80" t="s">
        <v>14495</v>
      </c>
      <c r="AF6845" s="17">
        <v>45755</v>
      </c>
      <c r="AG6845" s="80"/>
      <c r="AH6845" s="80"/>
      <c r="AI6845" s="147"/>
      <c r="AJ6845" s="80"/>
      <c r="AK6845" s="80"/>
      <c r="AL6845" s="86"/>
      <c r="AM6845" s="86"/>
      <c r="AN6845" s="86"/>
      <c r="AO6845" s="86"/>
      <c r="AP6845" s="86"/>
    </row>
    <row r="6846" spans="1:42" x14ac:dyDescent="0.2">
      <c r="A6846" s="38">
        <v>45747</v>
      </c>
      <c r="B6846" s="137" t="s">
        <v>37</v>
      </c>
      <c r="C6846" s="41" t="s">
        <v>118</v>
      </c>
      <c r="D6846" s="80" t="s">
        <v>36</v>
      </c>
      <c r="E6846" s="80" t="s">
        <v>139</v>
      </c>
      <c r="F6846" s="80" t="s">
        <v>14495</v>
      </c>
      <c r="G6846" s="80" t="s">
        <v>221</v>
      </c>
      <c r="H6846" s="80" t="s">
        <v>20011</v>
      </c>
      <c r="I6846" s="17">
        <f ca="1">IFERROR(__xludf.DUMMYFUNCTION("""COMPUTED_VALUE"""),45869)</f>
        <v>45869</v>
      </c>
      <c r="J6846" s="143" t="s">
        <v>15985</v>
      </c>
      <c r="K6846" s="80" t="s">
        <v>21286</v>
      </c>
      <c r="L6846" s="30">
        <v>328705276</v>
      </c>
      <c r="M6846" s="80" t="s">
        <v>59</v>
      </c>
      <c r="N6846" s="80" t="s">
        <v>68</v>
      </c>
      <c r="O6846" s="80" t="s">
        <v>15987</v>
      </c>
      <c r="P6846" s="80" t="s">
        <v>21287</v>
      </c>
      <c r="Q6846" s="20">
        <v>15936</v>
      </c>
      <c r="R6846" s="80" t="s">
        <v>36</v>
      </c>
      <c r="S6846" s="95">
        <f>200+3000</f>
        <v>3200</v>
      </c>
      <c r="T6846" s="148" t="s">
        <v>15942</v>
      </c>
      <c r="U6846" s="95">
        <v>12736</v>
      </c>
      <c r="V6846" s="148">
        <v>45586</v>
      </c>
      <c r="W6846" s="85" t="s">
        <v>15989</v>
      </c>
      <c r="X6846" s="80"/>
      <c r="Y6846" s="22">
        <v>0</v>
      </c>
      <c r="Z6846" s="81" t="s">
        <v>50</v>
      </c>
      <c r="AA6846" s="86" t="s">
        <v>9905</v>
      </c>
      <c r="AB6846" s="80"/>
      <c r="AC6846" s="80" t="s">
        <v>53</v>
      </c>
      <c r="AD6846" s="80"/>
      <c r="AE6846" s="80" t="s">
        <v>14495</v>
      </c>
      <c r="AF6846" s="17">
        <v>45869</v>
      </c>
      <c r="AG6846" s="80" t="s">
        <v>21288</v>
      </c>
      <c r="AH6846" s="80"/>
      <c r="AI6846" s="147"/>
      <c r="AJ6846" s="80"/>
      <c r="AK6846" s="80"/>
      <c r="AL6846" s="86"/>
      <c r="AM6846" s="86"/>
      <c r="AN6846" s="86"/>
      <c r="AO6846" s="86"/>
      <c r="AP6846" s="86"/>
    </row>
    <row r="6847" spans="1:42" x14ac:dyDescent="0.2">
      <c r="A6847" s="38">
        <v>45747</v>
      </c>
      <c r="B6847" s="137" t="s">
        <v>37</v>
      </c>
      <c r="C6847" s="41" t="s">
        <v>118</v>
      </c>
      <c r="D6847" s="80" t="s">
        <v>36</v>
      </c>
      <c r="E6847" s="80" t="s">
        <v>139</v>
      </c>
      <c r="F6847" s="80" t="s">
        <v>14495</v>
      </c>
      <c r="G6847" s="80" t="s">
        <v>221</v>
      </c>
      <c r="H6847" s="80" t="s">
        <v>21283</v>
      </c>
      <c r="I6847" s="17">
        <f ca="1">IFERROR(__xludf.DUMMYFUNCTION("""COMPUTED_VALUE"""),45797)</f>
        <v>45797</v>
      </c>
      <c r="J6847" s="143" t="s">
        <v>16742</v>
      </c>
      <c r="K6847" s="80" t="s">
        <v>21289</v>
      </c>
      <c r="L6847" s="30">
        <v>395247864</v>
      </c>
      <c r="M6847" s="26" t="s">
        <v>3498</v>
      </c>
      <c r="N6847" s="80" t="s">
        <v>2756</v>
      </c>
      <c r="O6847" s="80" t="s">
        <v>4503</v>
      </c>
      <c r="P6847" s="80" t="s">
        <v>3056</v>
      </c>
      <c r="Q6847" s="20">
        <v>15936</v>
      </c>
      <c r="R6847" s="80" t="s">
        <v>36</v>
      </c>
      <c r="S6847" s="95">
        <f>200+4800</f>
        <v>5000</v>
      </c>
      <c r="T6847" s="148" t="s">
        <v>16744</v>
      </c>
      <c r="U6847" s="95">
        <v>10936</v>
      </c>
      <c r="V6847" s="148">
        <v>45610</v>
      </c>
      <c r="W6847" s="85" t="s">
        <v>16745</v>
      </c>
      <c r="X6847" s="80"/>
      <c r="Y6847" s="22">
        <v>0</v>
      </c>
      <c r="Z6847" s="80"/>
      <c r="AA6847" s="82"/>
      <c r="AB6847" s="80"/>
      <c r="AC6847" s="80" t="s">
        <v>53</v>
      </c>
      <c r="AD6847" s="80" t="s">
        <v>138</v>
      </c>
      <c r="AE6847" s="80" t="s">
        <v>14495</v>
      </c>
      <c r="AF6847" s="17">
        <v>45797</v>
      </c>
      <c r="AG6847" s="80"/>
      <c r="AH6847" s="80"/>
      <c r="AI6847" s="147"/>
      <c r="AJ6847" s="80"/>
      <c r="AK6847" s="80"/>
      <c r="AL6847" s="86"/>
      <c r="AM6847" s="86"/>
      <c r="AN6847" s="86"/>
      <c r="AO6847" s="86"/>
      <c r="AP6847" s="86"/>
    </row>
    <row r="6848" spans="1:42" x14ac:dyDescent="0.2">
      <c r="A6848" s="38">
        <v>45747</v>
      </c>
      <c r="B6848" s="137" t="s">
        <v>37</v>
      </c>
      <c r="C6848" s="41" t="s">
        <v>118</v>
      </c>
      <c r="D6848" s="80" t="s">
        <v>36</v>
      </c>
      <c r="E6848" s="80" t="s">
        <v>139</v>
      </c>
      <c r="F6848" s="80" t="s">
        <v>14495</v>
      </c>
      <c r="G6848" s="80" t="s">
        <v>221</v>
      </c>
      <c r="H6848" s="80" t="s">
        <v>18382</v>
      </c>
      <c r="I6848" s="17">
        <f ca="1">IFERROR(__xludf.DUMMYFUNCTION("""COMPUTED_VALUE"""),45835)</f>
        <v>45835</v>
      </c>
      <c r="J6848" s="143" t="s">
        <v>16018</v>
      </c>
      <c r="K6848" s="145" t="s">
        <v>16019</v>
      </c>
      <c r="L6848" s="30">
        <v>372219846</v>
      </c>
      <c r="M6848" s="80" t="s">
        <v>15996</v>
      </c>
      <c r="N6848" s="80" t="s">
        <v>186</v>
      </c>
      <c r="O6848" s="80" t="s">
        <v>4503</v>
      </c>
      <c r="P6848" s="80" t="s">
        <v>21290</v>
      </c>
      <c r="Q6848" s="20">
        <v>15936</v>
      </c>
      <c r="R6848" s="80" t="s">
        <v>36</v>
      </c>
      <c r="S6848" s="95">
        <f>200+3000</f>
        <v>3200</v>
      </c>
      <c r="T6848" s="148" t="s">
        <v>16020</v>
      </c>
      <c r="U6848" s="95">
        <v>12736</v>
      </c>
      <c r="V6848" s="148">
        <v>45595</v>
      </c>
      <c r="W6848" s="85" t="s">
        <v>16021</v>
      </c>
      <c r="X6848" s="80"/>
      <c r="Y6848" s="22">
        <v>0</v>
      </c>
      <c r="Z6848" s="81" t="s">
        <v>50</v>
      </c>
      <c r="AA6848" s="86" t="s">
        <v>9905</v>
      </c>
      <c r="AB6848" s="80"/>
      <c r="AC6848" s="80" t="s">
        <v>53</v>
      </c>
      <c r="AD6848" s="80" t="s">
        <v>138</v>
      </c>
      <c r="AE6848" s="80" t="s">
        <v>14495</v>
      </c>
      <c r="AF6848" s="17">
        <v>45831</v>
      </c>
      <c r="AG6848" s="80"/>
      <c r="AH6848" s="80"/>
      <c r="AI6848" s="147"/>
      <c r="AJ6848" s="80"/>
      <c r="AK6848" s="80"/>
      <c r="AL6848" s="86"/>
      <c r="AM6848" s="86"/>
      <c r="AN6848" s="86"/>
      <c r="AO6848" s="86"/>
      <c r="AP6848" s="86"/>
    </row>
    <row r="6849" spans="1:42" x14ac:dyDescent="0.2">
      <c r="A6849" s="38">
        <v>45747</v>
      </c>
      <c r="B6849" s="137" t="s">
        <v>37</v>
      </c>
      <c r="C6849" s="41" t="s">
        <v>118</v>
      </c>
      <c r="D6849" s="80" t="s">
        <v>36</v>
      </c>
      <c r="E6849" s="80" t="s">
        <v>139</v>
      </c>
      <c r="F6849" s="80" t="s">
        <v>14495</v>
      </c>
      <c r="G6849" s="80" t="s">
        <v>221</v>
      </c>
      <c r="H6849" s="80" t="s">
        <v>19247</v>
      </c>
      <c r="I6849" s="17">
        <f ca="1">IFERROR(__xludf.DUMMYFUNCTION("""COMPUTED_VALUE"""),45783)</f>
        <v>45783</v>
      </c>
      <c r="J6849" s="143" t="s">
        <v>16746</v>
      </c>
      <c r="K6849" s="80" t="s">
        <v>21291</v>
      </c>
      <c r="L6849" s="30">
        <v>842147696</v>
      </c>
      <c r="M6849" s="80" t="s">
        <v>5429</v>
      </c>
      <c r="N6849" s="80" t="s">
        <v>81</v>
      </c>
      <c r="O6849" s="80" t="s">
        <v>4626</v>
      </c>
      <c r="P6849" s="144" t="s">
        <v>21292</v>
      </c>
      <c r="Q6849" s="20">
        <v>15936</v>
      </c>
      <c r="R6849" s="80" t="s">
        <v>36</v>
      </c>
      <c r="S6849" s="95">
        <v>2000</v>
      </c>
      <c r="T6849" s="148">
        <v>45570</v>
      </c>
      <c r="U6849" s="95">
        <v>13936</v>
      </c>
      <c r="V6849" s="148">
        <v>45602</v>
      </c>
      <c r="W6849" s="85" t="s">
        <v>16748</v>
      </c>
      <c r="X6849" s="80"/>
      <c r="Y6849" s="22">
        <v>0</v>
      </c>
      <c r="Z6849" s="80"/>
      <c r="AA6849" s="82"/>
      <c r="AB6849" s="80"/>
      <c r="AC6849" s="80" t="s">
        <v>53</v>
      </c>
      <c r="AD6849" s="80" t="s">
        <v>138</v>
      </c>
      <c r="AE6849" s="80" t="s">
        <v>14495</v>
      </c>
      <c r="AF6849" s="17">
        <v>45783</v>
      </c>
      <c r="AG6849" s="80"/>
      <c r="AH6849" s="80"/>
      <c r="AI6849" s="147"/>
      <c r="AJ6849" s="80"/>
      <c r="AK6849" s="80"/>
      <c r="AL6849" s="86"/>
      <c r="AM6849" s="86"/>
      <c r="AN6849" s="86"/>
      <c r="AO6849" s="86"/>
      <c r="AP6849" s="86"/>
    </row>
    <row r="6850" spans="1:42" x14ac:dyDescent="0.2">
      <c r="A6850" s="38">
        <v>45747</v>
      </c>
      <c r="B6850" s="137"/>
      <c r="C6850" s="41" t="s">
        <v>118</v>
      </c>
      <c r="D6850" s="80" t="s">
        <v>36</v>
      </c>
      <c r="E6850" s="80" t="s">
        <v>139</v>
      </c>
      <c r="F6850" s="80" t="s">
        <v>14495</v>
      </c>
      <c r="G6850" s="80" t="s">
        <v>221</v>
      </c>
      <c r="H6850" s="80" t="s">
        <v>865</v>
      </c>
      <c r="I6850" s="17" t="str">
        <f ca="1">IFERROR(__xludf.DUMMYFUNCTION("""COMPUTED_VALUE""")," ")</f>
        <v xml:space="preserve"> </v>
      </c>
      <c r="J6850" s="143" t="s">
        <v>16755</v>
      </c>
      <c r="K6850" s="145" t="s">
        <v>8856</v>
      </c>
      <c r="L6850" s="30">
        <v>392944602</v>
      </c>
      <c r="M6850" s="80" t="s">
        <v>16756</v>
      </c>
      <c r="N6850" s="80" t="s">
        <v>3525</v>
      </c>
      <c r="O6850" s="80" t="s">
        <v>91</v>
      </c>
      <c r="P6850" s="80" t="s">
        <v>16757</v>
      </c>
      <c r="Q6850" s="20">
        <v>15936</v>
      </c>
      <c r="R6850" s="80" t="s">
        <v>36</v>
      </c>
      <c r="S6850" s="95">
        <v>2000</v>
      </c>
      <c r="T6850" s="148">
        <v>45572</v>
      </c>
      <c r="U6850" s="95">
        <v>13968</v>
      </c>
      <c r="V6850" s="148">
        <v>45598</v>
      </c>
      <c r="W6850" s="85" t="s">
        <v>16758</v>
      </c>
      <c r="X6850" s="80"/>
      <c r="Y6850" s="22">
        <v>-32</v>
      </c>
      <c r="Z6850" s="80"/>
      <c r="AA6850" s="86"/>
      <c r="AB6850" s="80" t="s">
        <v>16759</v>
      </c>
      <c r="AC6850" s="80" t="s">
        <v>53</v>
      </c>
      <c r="AD6850" s="80" t="s">
        <v>138</v>
      </c>
      <c r="AE6850" s="80" t="s">
        <v>14495</v>
      </c>
      <c r="AF6850" s="17"/>
      <c r="AG6850" s="80"/>
      <c r="AH6850" s="80"/>
      <c r="AI6850" s="147"/>
      <c r="AJ6850" s="80"/>
      <c r="AK6850" s="80"/>
      <c r="AL6850" s="86"/>
      <c r="AM6850" s="86"/>
      <c r="AN6850" s="86"/>
      <c r="AO6850" s="86"/>
      <c r="AP6850" s="86"/>
    </row>
    <row r="6851" spans="1:42" x14ac:dyDescent="0.2">
      <c r="A6851" s="38">
        <v>45747</v>
      </c>
      <c r="B6851" s="137" t="s">
        <v>37</v>
      </c>
      <c r="C6851" s="41" t="s">
        <v>118</v>
      </c>
      <c r="D6851" s="80" t="s">
        <v>36</v>
      </c>
      <c r="E6851" s="80" t="s">
        <v>139</v>
      </c>
      <c r="F6851" s="80" t="s">
        <v>14495</v>
      </c>
      <c r="G6851" s="80" t="s">
        <v>221</v>
      </c>
      <c r="H6851" s="80" t="s">
        <v>21293</v>
      </c>
      <c r="I6851" s="17">
        <f ca="1">IFERROR(__xludf.DUMMYFUNCTION("""COMPUTED_VALUE"""),45844)</f>
        <v>45844</v>
      </c>
      <c r="J6851" s="172" t="s">
        <v>16202</v>
      </c>
      <c r="K6851" s="80" t="s">
        <v>21294</v>
      </c>
      <c r="L6851" s="30">
        <v>868369706</v>
      </c>
      <c r="M6851" s="80" t="s">
        <v>3498</v>
      </c>
      <c r="N6851" s="80" t="s">
        <v>4402</v>
      </c>
      <c r="O6851" s="80" t="s">
        <v>4503</v>
      </c>
      <c r="P6851" s="80" t="s">
        <v>21295</v>
      </c>
      <c r="Q6851" s="20">
        <v>15936</v>
      </c>
      <c r="R6851" s="80" t="s">
        <v>36</v>
      </c>
      <c r="S6851" s="95">
        <f>200+5000</f>
        <v>5200</v>
      </c>
      <c r="T6851" s="148" t="s">
        <v>16204</v>
      </c>
      <c r="U6851" s="95">
        <v>10736</v>
      </c>
      <c r="V6851" s="148">
        <v>45596</v>
      </c>
      <c r="W6851" s="85" t="s">
        <v>16205</v>
      </c>
      <c r="X6851" s="80"/>
      <c r="Y6851" s="22">
        <v>0</v>
      </c>
      <c r="Z6851" s="81" t="s">
        <v>50</v>
      </c>
      <c r="AA6851" s="82" t="s">
        <v>9905</v>
      </c>
      <c r="AB6851" s="80"/>
      <c r="AC6851" s="80" t="s">
        <v>53</v>
      </c>
      <c r="AD6851" s="80" t="s">
        <v>138</v>
      </c>
      <c r="AE6851" s="80" t="s">
        <v>14495</v>
      </c>
      <c r="AF6851" s="17">
        <v>45831</v>
      </c>
      <c r="AG6851" s="80" t="s">
        <v>21296</v>
      </c>
      <c r="AH6851" s="80"/>
      <c r="AI6851" s="147"/>
      <c r="AJ6851" s="80"/>
      <c r="AK6851" s="80"/>
      <c r="AL6851" s="86"/>
      <c r="AM6851" s="86"/>
      <c r="AN6851" s="86"/>
      <c r="AO6851" s="86"/>
      <c r="AP6851" s="86"/>
    </row>
    <row r="6852" spans="1:42" x14ac:dyDescent="0.2">
      <c r="A6852" s="38">
        <v>45747</v>
      </c>
      <c r="B6852" s="137" t="s">
        <v>37</v>
      </c>
      <c r="C6852" s="41" t="s">
        <v>118</v>
      </c>
      <c r="D6852" s="80" t="s">
        <v>36</v>
      </c>
      <c r="E6852" s="80" t="s">
        <v>139</v>
      </c>
      <c r="F6852" s="80" t="s">
        <v>14495</v>
      </c>
      <c r="G6852" s="80" t="s">
        <v>221</v>
      </c>
      <c r="H6852" s="80" t="s">
        <v>21139</v>
      </c>
      <c r="I6852" s="17">
        <f ca="1">IFERROR(__xludf.DUMMYFUNCTION("""COMPUTED_VALUE"""),45929)</f>
        <v>45929</v>
      </c>
      <c r="J6852" s="143" t="s">
        <v>16240</v>
      </c>
      <c r="K6852" s="216" t="s">
        <v>21297</v>
      </c>
      <c r="L6852" s="30">
        <v>397254032</v>
      </c>
      <c r="M6852" s="80" t="s">
        <v>3498</v>
      </c>
      <c r="N6852" s="80" t="s">
        <v>2756</v>
      </c>
      <c r="O6852" s="80" t="s">
        <v>4503</v>
      </c>
      <c r="P6852" s="80" t="s">
        <v>6390</v>
      </c>
      <c r="Q6852" s="20">
        <v>15936</v>
      </c>
      <c r="R6852" s="80" t="s">
        <v>36</v>
      </c>
      <c r="S6852" s="95">
        <v>3000</v>
      </c>
      <c r="T6852" s="148">
        <v>45575</v>
      </c>
      <c r="U6852" s="95">
        <v>12936</v>
      </c>
      <c r="V6852" s="169">
        <v>45593</v>
      </c>
      <c r="W6852" s="85" t="s">
        <v>16242</v>
      </c>
      <c r="X6852" s="80"/>
      <c r="Y6852" s="22">
        <v>0</v>
      </c>
      <c r="Z6852" s="81" t="s">
        <v>50</v>
      </c>
      <c r="AA6852" s="86" t="s">
        <v>9905</v>
      </c>
      <c r="AB6852" s="80"/>
      <c r="AC6852" s="80" t="s">
        <v>53</v>
      </c>
      <c r="AD6852" s="80" t="s">
        <v>138</v>
      </c>
      <c r="AE6852" s="80" t="s">
        <v>14495</v>
      </c>
      <c r="AF6852" s="17">
        <v>45905</v>
      </c>
      <c r="AG6852" s="80"/>
      <c r="AH6852" s="80"/>
      <c r="AI6852" s="147"/>
      <c r="AJ6852" s="80"/>
      <c r="AK6852" s="80"/>
      <c r="AL6852" s="86"/>
      <c r="AM6852" s="86"/>
      <c r="AN6852" s="86"/>
      <c r="AO6852" s="86"/>
      <c r="AP6852" s="86"/>
    </row>
    <row r="6853" spans="1:42" x14ac:dyDescent="0.2">
      <c r="A6853" s="38">
        <v>45747</v>
      </c>
      <c r="B6853" s="137"/>
      <c r="C6853" s="41" t="s">
        <v>118</v>
      </c>
      <c r="D6853" s="80" t="s">
        <v>36</v>
      </c>
      <c r="E6853" s="80" t="s">
        <v>139</v>
      </c>
      <c r="F6853" s="80" t="s">
        <v>14495</v>
      </c>
      <c r="G6853" s="80" t="s">
        <v>221</v>
      </c>
      <c r="H6853" s="80" t="s">
        <v>865</v>
      </c>
      <c r="I6853" s="17" t="str">
        <f ca="1">IFERROR(__xludf.DUMMYFUNCTION("""COMPUTED_VALUE""")," ")</f>
        <v xml:space="preserve"> </v>
      </c>
      <c r="J6853" s="143" t="s">
        <v>16243</v>
      </c>
      <c r="K6853" s="145" t="s">
        <v>16244</v>
      </c>
      <c r="L6853" s="30">
        <v>869653032</v>
      </c>
      <c r="M6853" s="80" t="s">
        <v>59</v>
      </c>
      <c r="N6853" s="80" t="s">
        <v>68</v>
      </c>
      <c r="O6853" s="80" t="s">
        <v>16245</v>
      </c>
      <c r="P6853" s="80" t="s">
        <v>16246</v>
      </c>
      <c r="Q6853" s="20">
        <v>15936</v>
      </c>
      <c r="R6853" s="80" t="s">
        <v>36</v>
      </c>
      <c r="S6853" s="95">
        <f>200+15763</f>
        <v>15963</v>
      </c>
      <c r="T6853" s="148" t="s">
        <v>16247</v>
      </c>
      <c r="U6853" s="77"/>
      <c r="V6853" s="78"/>
      <c r="W6853" s="85" t="s">
        <v>16248</v>
      </c>
      <c r="X6853" s="80"/>
      <c r="Y6853" s="22">
        <v>-27</v>
      </c>
      <c r="Z6853" s="81" t="s">
        <v>50</v>
      </c>
      <c r="AA6853" s="82" t="s">
        <v>9905</v>
      </c>
      <c r="AB6853" s="80"/>
      <c r="AC6853" s="80" t="s">
        <v>53</v>
      </c>
      <c r="AD6853" s="80" t="s">
        <v>138</v>
      </c>
      <c r="AE6853" s="80" t="s">
        <v>14495</v>
      </c>
      <c r="AF6853" s="17"/>
      <c r="AG6853" s="80"/>
      <c r="AH6853" s="80"/>
      <c r="AI6853" s="147"/>
      <c r="AJ6853" s="80"/>
      <c r="AK6853" s="80"/>
      <c r="AL6853" s="86"/>
      <c r="AM6853" s="86"/>
      <c r="AN6853" s="86"/>
      <c r="AO6853" s="86"/>
      <c r="AP6853" s="86"/>
    </row>
    <row r="6854" spans="1:42" x14ac:dyDescent="0.2">
      <c r="A6854" s="38">
        <v>45747</v>
      </c>
      <c r="B6854" s="137" t="s">
        <v>37</v>
      </c>
      <c r="C6854" s="41" t="s">
        <v>118</v>
      </c>
      <c r="D6854" s="80" t="s">
        <v>36</v>
      </c>
      <c r="E6854" s="80" t="s">
        <v>139</v>
      </c>
      <c r="F6854" s="80" t="s">
        <v>14495</v>
      </c>
      <c r="G6854" s="80" t="s">
        <v>221</v>
      </c>
      <c r="H6854" s="80" t="s">
        <v>21283</v>
      </c>
      <c r="I6854" s="17">
        <f ca="1">IFERROR(__xludf.DUMMYFUNCTION("""COMPUTED_VALUE"""),45797)</f>
        <v>45797</v>
      </c>
      <c r="J6854" s="143" t="s">
        <v>16034</v>
      </c>
      <c r="K6854" s="80" t="s">
        <v>21298</v>
      </c>
      <c r="L6854" s="30">
        <v>974501976</v>
      </c>
      <c r="M6854" s="80" t="s">
        <v>15970</v>
      </c>
      <c r="N6854" s="80" t="s">
        <v>327</v>
      </c>
      <c r="O6854" s="80" t="s">
        <v>4503</v>
      </c>
      <c r="P6854" s="80" t="s">
        <v>3056</v>
      </c>
      <c r="Q6854" s="20">
        <v>15936</v>
      </c>
      <c r="R6854" s="80" t="s">
        <v>36</v>
      </c>
      <c r="S6854" s="95">
        <v>15936</v>
      </c>
      <c r="T6854" s="148">
        <v>45568</v>
      </c>
      <c r="U6854" s="77"/>
      <c r="V6854" s="78"/>
      <c r="W6854" s="85" t="s">
        <v>16036</v>
      </c>
      <c r="X6854" s="80"/>
      <c r="Y6854" s="22">
        <v>0</v>
      </c>
      <c r="Z6854" s="81" t="s">
        <v>50</v>
      </c>
      <c r="AA6854" s="86" t="s">
        <v>9905</v>
      </c>
      <c r="AB6854" s="80"/>
      <c r="AC6854" s="80" t="s">
        <v>53</v>
      </c>
      <c r="AD6854" s="80" t="s">
        <v>138</v>
      </c>
      <c r="AE6854" s="80" t="s">
        <v>14495</v>
      </c>
      <c r="AF6854" s="17">
        <v>45797</v>
      </c>
      <c r="AG6854" s="80"/>
      <c r="AH6854" s="80"/>
      <c r="AI6854" s="147"/>
      <c r="AJ6854" s="80"/>
      <c r="AK6854" s="80"/>
      <c r="AL6854" s="86"/>
      <c r="AM6854" s="86"/>
      <c r="AN6854" s="86"/>
      <c r="AO6854" s="86"/>
      <c r="AP6854" s="86"/>
    </row>
    <row r="6855" spans="1:42" x14ac:dyDescent="0.2">
      <c r="A6855" s="38">
        <v>45747</v>
      </c>
      <c r="B6855" s="137" t="s">
        <v>37</v>
      </c>
      <c r="C6855" s="41" t="s">
        <v>118</v>
      </c>
      <c r="D6855" s="80" t="s">
        <v>36</v>
      </c>
      <c r="E6855" s="80" t="s">
        <v>139</v>
      </c>
      <c r="F6855" s="80" t="s">
        <v>14495</v>
      </c>
      <c r="G6855" s="80" t="s">
        <v>221</v>
      </c>
      <c r="H6855" s="80" t="s">
        <v>18382</v>
      </c>
      <c r="I6855" s="17">
        <f ca="1">IFERROR(__xludf.DUMMYFUNCTION("""COMPUTED_VALUE"""),45835)</f>
        <v>45835</v>
      </c>
      <c r="J6855" s="143" t="s">
        <v>16769</v>
      </c>
      <c r="K6855" s="145" t="s">
        <v>16770</v>
      </c>
      <c r="L6855" s="30">
        <v>869230365</v>
      </c>
      <c r="M6855" s="80" t="s">
        <v>123</v>
      </c>
      <c r="N6855" s="80" t="s">
        <v>2847</v>
      </c>
      <c r="O6855" s="80" t="s">
        <v>4503</v>
      </c>
      <c r="P6855" s="80" t="s">
        <v>21299</v>
      </c>
      <c r="Q6855" s="20">
        <v>15936</v>
      </c>
      <c r="R6855" s="80" t="s">
        <v>36</v>
      </c>
      <c r="S6855" s="95">
        <f>100+5000</f>
        <v>5100</v>
      </c>
      <c r="T6855" s="148" t="s">
        <v>16771</v>
      </c>
      <c r="U6855" s="95">
        <v>10836</v>
      </c>
      <c r="V6855" s="148">
        <v>45610</v>
      </c>
      <c r="W6855" s="85" t="s">
        <v>16772</v>
      </c>
      <c r="X6855" s="80"/>
      <c r="Y6855" s="22">
        <v>0</v>
      </c>
      <c r="Z6855" s="80"/>
      <c r="AA6855" s="82"/>
      <c r="AB6855" s="80"/>
      <c r="AC6855" s="80" t="s">
        <v>53</v>
      </c>
      <c r="AD6855" s="80" t="s">
        <v>138</v>
      </c>
      <c r="AE6855" s="80" t="s">
        <v>14495</v>
      </c>
      <c r="AF6855" s="17">
        <v>45831</v>
      </c>
      <c r="AG6855" s="80"/>
      <c r="AH6855" s="80"/>
      <c r="AI6855" s="147"/>
      <c r="AJ6855" s="80"/>
      <c r="AK6855" s="80"/>
      <c r="AL6855" s="86"/>
      <c r="AM6855" s="86"/>
      <c r="AN6855" s="86"/>
      <c r="AO6855" s="86"/>
      <c r="AP6855" s="86"/>
    </row>
    <row r="6856" spans="1:42" x14ac:dyDescent="0.2">
      <c r="A6856" s="38">
        <v>45747</v>
      </c>
      <c r="B6856" s="137" t="s">
        <v>37</v>
      </c>
      <c r="C6856" s="41" t="s">
        <v>118</v>
      </c>
      <c r="D6856" s="26" t="s">
        <v>36</v>
      </c>
      <c r="E6856" s="26" t="s">
        <v>119</v>
      </c>
      <c r="F6856" s="26" t="s">
        <v>20497</v>
      </c>
      <c r="G6856" s="26" t="s">
        <v>1847</v>
      </c>
      <c r="H6856" s="26" t="s">
        <v>8889</v>
      </c>
      <c r="I6856" s="17">
        <f ca="1">IFERROR(__xludf.DUMMYFUNCTION("""COMPUTED_VALUE"""),45764)</f>
        <v>45764</v>
      </c>
      <c r="J6856" s="29" t="s">
        <v>21227</v>
      </c>
      <c r="K6856" s="39" t="s">
        <v>21228</v>
      </c>
      <c r="L6856" s="47">
        <v>973936302</v>
      </c>
      <c r="M6856" s="26" t="s">
        <v>80</v>
      </c>
      <c r="N6856" s="26" t="s">
        <v>466</v>
      </c>
      <c r="O6856" s="26" t="s">
        <v>9199</v>
      </c>
      <c r="P6856" s="42" t="s">
        <v>9200</v>
      </c>
      <c r="Q6856" s="20"/>
      <c r="R6856" s="26" t="s">
        <v>36</v>
      </c>
      <c r="S6856" s="95">
        <f>200+3600</f>
        <v>3800</v>
      </c>
      <c r="T6856" s="83" t="s">
        <v>9201</v>
      </c>
      <c r="U6856" s="31">
        <v>10168</v>
      </c>
      <c r="V6856" s="32">
        <v>45502</v>
      </c>
      <c r="W6856" s="33" t="s">
        <v>9202</v>
      </c>
      <c r="X6856" s="26"/>
      <c r="Y6856" s="22"/>
      <c r="Z6856" s="26" t="s">
        <v>50</v>
      </c>
      <c r="AA6856" s="70" t="s">
        <v>9070</v>
      </c>
      <c r="AB6856" s="26"/>
      <c r="AC6856" s="26" t="s">
        <v>53</v>
      </c>
      <c r="AD6856" s="26" t="s">
        <v>54</v>
      </c>
      <c r="AE6856" s="26" t="s">
        <v>20497</v>
      </c>
      <c r="AF6856" s="17">
        <v>45750</v>
      </c>
      <c r="AG6856" s="26"/>
      <c r="AH6856" s="26"/>
      <c r="AI6856" s="40"/>
      <c r="AJ6856" s="26"/>
      <c r="AK6856" s="26"/>
      <c r="AL6856" s="35"/>
      <c r="AM6856" s="35"/>
      <c r="AN6856" s="35"/>
      <c r="AO6856" s="35"/>
      <c r="AP6856" s="35"/>
    </row>
    <row r="6857" spans="1:42" x14ac:dyDescent="0.2">
      <c r="A6857" s="38">
        <v>45747</v>
      </c>
      <c r="B6857" s="137" t="s">
        <v>37</v>
      </c>
      <c r="C6857" s="41" t="s">
        <v>118</v>
      </c>
      <c r="D6857" s="80" t="s">
        <v>36</v>
      </c>
      <c r="E6857" s="80" t="s">
        <v>119</v>
      </c>
      <c r="F6857" s="80" t="s">
        <v>8536</v>
      </c>
      <c r="G6857" s="26" t="s">
        <v>1847</v>
      </c>
      <c r="H6857" s="26" t="s">
        <v>21300</v>
      </c>
      <c r="I6857" s="17">
        <f ca="1">IFERROR(__xludf.DUMMYFUNCTION("""COMPUTED_VALUE"""),45765)</f>
        <v>45765</v>
      </c>
      <c r="J6857" s="143" t="s">
        <v>7630</v>
      </c>
      <c r="K6857" s="26" t="s">
        <v>7631</v>
      </c>
      <c r="L6857" s="30">
        <v>375111308</v>
      </c>
      <c r="M6857" s="80" t="s">
        <v>5429</v>
      </c>
      <c r="N6857" s="80" t="s">
        <v>81</v>
      </c>
      <c r="O6857" s="80" t="s">
        <v>7632</v>
      </c>
      <c r="P6857" s="144" t="s">
        <v>21301</v>
      </c>
      <c r="Q6857" s="20">
        <v>13968</v>
      </c>
      <c r="R6857" s="80" t="s">
        <v>36</v>
      </c>
      <c r="S6857" s="77">
        <v>4000</v>
      </c>
      <c r="T6857" s="78">
        <v>45343</v>
      </c>
      <c r="U6857" s="77">
        <v>9968</v>
      </c>
      <c r="V6857" s="78">
        <v>45367</v>
      </c>
      <c r="W6857" s="85" t="s">
        <v>7634</v>
      </c>
      <c r="X6857" s="80"/>
      <c r="Y6857" s="22">
        <v>0</v>
      </c>
      <c r="Z6857" s="41" t="s">
        <v>118</v>
      </c>
      <c r="AA6857" s="82" t="s">
        <v>7361</v>
      </c>
      <c r="AB6857" s="80" t="s">
        <v>36</v>
      </c>
      <c r="AC6857" s="80" t="s">
        <v>53</v>
      </c>
      <c r="AD6857" s="86" t="s">
        <v>138</v>
      </c>
      <c r="AE6857" s="80" t="s">
        <v>8536</v>
      </c>
      <c r="AF6857" s="17">
        <v>45755</v>
      </c>
      <c r="AG6857" s="80"/>
      <c r="AH6857" s="80"/>
      <c r="AI6857" s="147"/>
      <c r="AJ6857" s="80"/>
      <c r="AK6857" s="80"/>
      <c r="AL6857" s="86"/>
      <c r="AM6857" s="86"/>
      <c r="AN6857" s="86"/>
      <c r="AO6857" s="86"/>
      <c r="AP6857" s="86"/>
    </row>
    <row r="6858" spans="1:42" x14ac:dyDescent="0.2">
      <c r="A6858" s="38">
        <v>45747</v>
      </c>
      <c r="B6858" s="137" t="s">
        <v>37</v>
      </c>
      <c r="C6858" s="41" t="s">
        <v>118</v>
      </c>
      <c r="D6858" s="80" t="s">
        <v>36</v>
      </c>
      <c r="E6858" s="80" t="s">
        <v>119</v>
      </c>
      <c r="F6858" s="80" t="s">
        <v>13745</v>
      </c>
      <c r="G6858" s="26" t="s">
        <v>1847</v>
      </c>
      <c r="H6858" s="26" t="s">
        <v>21300</v>
      </c>
      <c r="I6858" s="17">
        <f ca="1">IFERROR(__xludf.DUMMYFUNCTION("""COMPUTED_VALUE"""),45765)</f>
        <v>45765</v>
      </c>
      <c r="J6858" s="143" t="s">
        <v>10983</v>
      </c>
      <c r="K6858" s="80" t="s">
        <v>13746</v>
      </c>
      <c r="L6858" s="30">
        <v>946131225</v>
      </c>
      <c r="M6858" s="80" t="s">
        <v>5558</v>
      </c>
      <c r="N6858" s="80" t="s">
        <v>850</v>
      </c>
      <c r="O6858" s="80" t="s">
        <v>4503</v>
      </c>
      <c r="P6858" s="144" t="s">
        <v>21302</v>
      </c>
      <c r="Q6858" s="20">
        <v>13968</v>
      </c>
      <c r="R6858" s="80" t="s">
        <v>36</v>
      </c>
      <c r="S6858" s="95">
        <v>4000</v>
      </c>
      <c r="T6858" s="148">
        <v>45496</v>
      </c>
      <c r="U6858" s="95">
        <v>9968</v>
      </c>
      <c r="V6858" s="148">
        <v>45520</v>
      </c>
      <c r="W6858" s="85" t="s">
        <v>10986</v>
      </c>
      <c r="X6858" s="83">
        <v>0</v>
      </c>
      <c r="Y6858" s="22">
        <v>0</v>
      </c>
      <c r="Z6858" s="81" t="s">
        <v>50</v>
      </c>
      <c r="AA6858" s="86" t="s">
        <v>10314</v>
      </c>
      <c r="AB6858" s="80"/>
      <c r="AC6858" s="80" t="s">
        <v>53</v>
      </c>
      <c r="AD6858" s="80" t="s">
        <v>54</v>
      </c>
      <c r="AE6858" s="80" t="s">
        <v>13745</v>
      </c>
      <c r="AF6858" s="17">
        <v>45755</v>
      </c>
      <c r="AG6858" s="80"/>
      <c r="AH6858" s="80"/>
      <c r="AI6858" s="147"/>
      <c r="AJ6858" s="80"/>
      <c r="AK6858" s="80"/>
      <c r="AL6858" s="86"/>
      <c r="AM6858" s="86"/>
      <c r="AN6858" s="86"/>
      <c r="AO6858" s="86"/>
      <c r="AP6858" s="86"/>
    </row>
    <row r="6859" spans="1:42" x14ac:dyDescent="0.2">
      <c r="A6859" s="38">
        <v>45747</v>
      </c>
      <c r="B6859" s="137" t="s">
        <v>37</v>
      </c>
      <c r="C6859" s="41" t="s">
        <v>118</v>
      </c>
      <c r="D6859" s="26" t="s">
        <v>36</v>
      </c>
      <c r="E6859" s="26" t="s">
        <v>139</v>
      </c>
      <c r="F6859" s="80" t="s">
        <v>8927</v>
      </c>
      <c r="G6859" s="26" t="s">
        <v>1847</v>
      </c>
      <c r="H6859" s="26" t="s">
        <v>21303</v>
      </c>
      <c r="I6859" s="17">
        <f ca="1">IFERROR(__xludf.DUMMYFUNCTION("""COMPUTED_VALUE"""),45905)</f>
        <v>45905</v>
      </c>
      <c r="J6859" s="29" t="s">
        <v>2554</v>
      </c>
      <c r="K6859" s="26" t="s">
        <v>21304</v>
      </c>
      <c r="L6859" s="30">
        <v>973852521</v>
      </c>
      <c r="M6859" s="26" t="s">
        <v>123</v>
      </c>
      <c r="N6859" s="26" t="s">
        <v>850</v>
      </c>
      <c r="O6859" s="26" t="s">
        <v>125</v>
      </c>
      <c r="P6859" s="42" t="s">
        <v>21305</v>
      </c>
      <c r="Q6859" s="20">
        <v>15936</v>
      </c>
      <c r="R6859" s="26" t="s">
        <v>36</v>
      </c>
      <c r="S6859" s="31">
        <v>200</v>
      </c>
      <c r="T6859" s="32">
        <v>45155</v>
      </c>
      <c r="U6859" s="31">
        <f>4000+11736</f>
        <v>15736</v>
      </c>
      <c r="V6859" s="26" t="s">
        <v>2557</v>
      </c>
      <c r="W6859" s="26" t="s">
        <v>2558</v>
      </c>
      <c r="X6859" s="26"/>
      <c r="Y6859" s="22">
        <v>0</v>
      </c>
      <c r="Z6859" s="26" t="s">
        <v>118</v>
      </c>
      <c r="AA6859" s="19" t="s">
        <v>4541</v>
      </c>
      <c r="AB6859" s="26" t="s">
        <v>104</v>
      </c>
      <c r="AC6859" s="26" t="s">
        <v>53</v>
      </c>
      <c r="AD6859" s="19" t="s">
        <v>138</v>
      </c>
      <c r="AE6859" s="80" t="s">
        <v>8927</v>
      </c>
      <c r="AF6859" s="17">
        <v>45755</v>
      </c>
      <c r="AG6859" s="26"/>
      <c r="AH6859" s="26"/>
      <c r="AI6859" s="40"/>
      <c r="AJ6859" s="26"/>
      <c r="AK6859" s="26"/>
      <c r="AL6859" s="35"/>
      <c r="AM6859" s="35"/>
      <c r="AN6859" s="35"/>
      <c r="AO6859" s="35"/>
      <c r="AP6859" s="35"/>
    </row>
    <row r="6860" spans="1:42" x14ac:dyDescent="0.2">
      <c r="A6860" s="38">
        <v>45747</v>
      </c>
      <c r="B6860" s="137" t="s">
        <v>37</v>
      </c>
      <c r="C6860" s="41" t="s">
        <v>118</v>
      </c>
      <c r="D6860" s="26" t="s">
        <v>36</v>
      </c>
      <c r="E6860" s="26" t="s">
        <v>119</v>
      </c>
      <c r="F6860" s="26" t="s">
        <v>13889</v>
      </c>
      <c r="G6860" s="26" t="s">
        <v>1847</v>
      </c>
      <c r="H6860" s="26" t="s">
        <v>21300</v>
      </c>
      <c r="I6860" s="17">
        <f ca="1">IFERROR(__xludf.DUMMYFUNCTION("""COMPUTED_VALUE"""),45765)</f>
        <v>45765</v>
      </c>
      <c r="J6860" s="29" t="s">
        <v>10696</v>
      </c>
      <c r="K6860" s="26" t="s">
        <v>13891</v>
      </c>
      <c r="L6860" s="30">
        <v>967007462</v>
      </c>
      <c r="M6860" s="26" t="s">
        <v>5518</v>
      </c>
      <c r="N6860" s="26" t="s">
        <v>10698</v>
      </c>
      <c r="O6860" s="26" t="s">
        <v>10699</v>
      </c>
      <c r="P6860" s="42" t="s">
        <v>13892</v>
      </c>
      <c r="Q6860" s="20">
        <v>13968</v>
      </c>
      <c r="R6860" s="26" t="s">
        <v>36</v>
      </c>
      <c r="S6860" s="95">
        <f>500+3500</f>
        <v>4000</v>
      </c>
      <c r="T6860" s="148">
        <v>45485</v>
      </c>
      <c r="U6860" s="95">
        <v>9968</v>
      </c>
      <c r="V6860" s="148">
        <v>45510</v>
      </c>
      <c r="W6860" s="33" t="s">
        <v>10701</v>
      </c>
      <c r="X6860" s="26">
        <v>0</v>
      </c>
      <c r="Y6860" s="22">
        <v>0</v>
      </c>
      <c r="Z6860" s="26" t="s">
        <v>50</v>
      </c>
      <c r="AA6860" s="35" t="s">
        <v>10314</v>
      </c>
      <c r="AB6860" s="26"/>
      <c r="AC6860" s="26" t="s">
        <v>53</v>
      </c>
      <c r="AD6860" s="26" t="s">
        <v>54</v>
      </c>
      <c r="AE6860" s="26" t="s">
        <v>13889</v>
      </c>
      <c r="AF6860" s="17">
        <v>45755</v>
      </c>
      <c r="AG6860" s="26"/>
      <c r="AH6860" s="26"/>
      <c r="AI6860" s="40"/>
      <c r="AJ6860" s="26"/>
      <c r="AK6860" s="26"/>
      <c r="AL6860" s="35"/>
      <c r="AM6860" s="35"/>
      <c r="AN6860" s="35"/>
      <c r="AO6860" s="35"/>
      <c r="AP6860" s="35"/>
    </row>
    <row r="6861" spans="1:42" x14ac:dyDescent="0.2">
      <c r="A6861" s="38">
        <v>45747</v>
      </c>
      <c r="B6861" s="28" t="s">
        <v>37</v>
      </c>
      <c r="C6861" s="41" t="s">
        <v>118</v>
      </c>
      <c r="D6861" s="80" t="s">
        <v>36</v>
      </c>
      <c r="E6861" s="80" t="s">
        <v>56</v>
      </c>
      <c r="F6861" s="80" t="s">
        <v>19824</v>
      </c>
      <c r="G6861" s="80" t="s">
        <v>108</v>
      </c>
      <c r="H6861" s="80" t="s">
        <v>16692</v>
      </c>
      <c r="I6861" s="17">
        <f ca="1">IFERROR(__xludf.DUMMYFUNCTION("""COMPUTED_VALUE"""),45757)</f>
        <v>45757</v>
      </c>
      <c r="J6861" s="143" t="s">
        <v>19825</v>
      </c>
      <c r="K6861" s="80" t="s">
        <v>21306</v>
      </c>
      <c r="L6861" s="30">
        <v>966143625</v>
      </c>
      <c r="M6861" s="80" t="s">
        <v>5518</v>
      </c>
      <c r="N6861" s="80" t="s">
        <v>5252</v>
      </c>
      <c r="O6861" s="80" t="s">
        <v>19827</v>
      </c>
      <c r="P6861" s="144" t="s">
        <v>21307</v>
      </c>
      <c r="Q6861" s="20">
        <v>9317</v>
      </c>
      <c r="R6861" s="80" t="s">
        <v>36</v>
      </c>
      <c r="S6861" s="95">
        <v>8317</v>
      </c>
      <c r="T6861" s="148">
        <v>45686</v>
      </c>
      <c r="U6861" s="77"/>
      <c r="V6861" s="78"/>
      <c r="W6861" s="85" t="s">
        <v>19829</v>
      </c>
      <c r="X6861" s="80"/>
      <c r="Y6861" s="22">
        <v>1000</v>
      </c>
      <c r="Z6861" s="80" t="s">
        <v>50</v>
      </c>
      <c r="AA6861" s="82" t="s">
        <v>18583</v>
      </c>
      <c r="AB6861" s="80"/>
      <c r="AC6861" s="80" t="s">
        <v>53</v>
      </c>
      <c r="AD6861" s="80" t="s">
        <v>138</v>
      </c>
      <c r="AE6861" s="80" t="s">
        <v>19824</v>
      </c>
      <c r="AF6861" s="17">
        <v>45750</v>
      </c>
      <c r="AG6861" s="80"/>
      <c r="AH6861" s="80"/>
      <c r="AI6861" s="147"/>
      <c r="AJ6861" s="80"/>
      <c r="AK6861" s="80"/>
      <c r="AL6861" s="35"/>
      <c r="AM6861" s="35"/>
      <c r="AN6861" s="35"/>
      <c r="AO6861" s="35"/>
      <c r="AP6861" s="35"/>
    </row>
    <row r="6862" spans="1:42" x14ac:dyDescent="0.2">
      <c r="A6862" s="38">
        <v>45747</v>
      </c>
      <c r="B6862" s="28" t="s">
        <v>37</v>
      </c>
      <c r="C6862" s="41" t="s">
        <v>118</v>
      </c>
      <c r="D6862" s="80" t="s">
        <v>36</v>
      </c>
      <c r="E6862" s="80" t="s">
        <v>139</v>
      </c>
      <c r="F6862" s="80" t="s">
        <v>19699</v>
      </c>
      <c r="G6862" s="80" t="s">
        <v>108</v>
      </c>
      <c r="H6862" s="80" t="s">
        <v>21308</v>
      </c>
      <c r="I6862" s="17">
        <f ca="1">IFERROR(__xludf.DUMMYFUNCTION("""COMPUTED_VALUE"""),45852)</f>
        <v>45852</v>
      </c>
      <c r="J6862" s="143" t="s">
        <v>21309</v>
      </c>
      <c r="K6862" s="145" t="s">
        <v>21310</v>
      </c>
      <c r="L6862" s="30">
        <v>359168651</v>
      </c>
      <c r="M6862" s="80" t="s">
        <v>5518</v>
      </c>
      <c r="N6862" s="80" t="s">
        <v>12380</v>
      </c>
      <c r="O6862" s="80" t="s">
        <v>21311</v>
      </c>
      <c r="P6862" s="144" t="s">
        <v>21312</v>
      </c>
      <c r="Q6862" s="20">
        <v>15936</v>
      </c>
      <c r="R6862" s="80" t="s">
        <v>36</v>
      </c>
      <c r="S6862" s="95">
        <f>500+1500</f>
        <v>2000</v>
      </c>
      <c r="T6862" s="83" t="s">
        <v>21313</v>
      </c>
      <c r="U6862" s="95">
        <v>13936</v>
      </c>
      <c r="V6862" s="148">
        <v>45717</v>
      </c>
      <c r="W6862" s="85" t="s">
        <v>21314</v>
      </c>
      <c r="X6862" s="80"/>
      <c r="Y6862" s="22">
        <v>0</v>
      </c>
      <c r="Z6862" s="80" t="s">
        <v>50</v>
      </c>
      <c r="AA6862" s="86"/>
      <c r="AB6862" s="80"/>
      <c r="AC6862" s="80" t="s">
        <v>53</v>
      </c>
      <c r="AD6862" s="80" t="s">
        <v>54</v>
      </c>
      <c r="AE6862" s="80" t="s">
        <v>19699</v>
      </c>
      <c r="AF6862" s="17">
        <v>45750</v>
      </c>
      <c r="AG6862" s="80"/>
      <c r="AH6862" s="80"/>
      <c r="AI6862" s="147"/>
      <c r="AJ6862" s="80"/>
      <c r="AK6862" s="80"/>
      <c r="AL6862" s="35"/>
      <c r="AM6862" s="35"/>
      <c r="AN6862" s="35"/>
      <c r="AO6862" s="35"/>
      <c r="AP6862" s="35"/>
    </row>
    <row r="6863" spans="1:42" x14ac:dyDescent="0.2">
      <c r="A6863" s="38">
        <v>45747</v>
      </c>
      <c r="B6863" s="137" t="s">
        <v>37</v>
      </c>
      <c r="C6863" s="41" t="s">
        <v>118</v>
      </c>
      <c r="D6863" s="80" t="s">
        <v>36</v>
      </c>
      <c r="E6863" s="80" t="s">
        <v>139</v>
      </c>
      <c r="F6863" s="80" t="s">
        <v>15974</v>
      </c>
      <c r="G6863" s="80" t="s">
        <v>221</v>
      </c>
      <c r="H6863" s="80" t="s">
        <v>19387</v>
      </c>
      <c r="I6863" s="17">
        <f ca="1">IFERROR(__xludf.DUMMYFUNCTION("""COMPUTED_VALUE"""),45800)</f>
        <v>45800</v>
      </c>
      <c r="J6863" s="143" t="s">
        <v>16284</v>
      </c>
      <c r="K6863" s="80" t="s">
        <v>21315</v>
      </c>
      <c r="L6863" s="30">
        <v>868965351</v>
      </c>
      <c r="M6863" s="80" t="s">
        <v>3498</v>
      </c>
      <c r="N6863" s="80" t="s">
        <v>2756</v>
      </c>
      <c r="O6863" s="80" t="s">
        <v>4503</v>
      </c>
      <c r="P6863" s="144" t="s">
        <v>21316</v>
      </c>
      <c r="Q6863" s="20">
        <v>15936</v>
      </c>
      <c r="R6863" s="80" t="s">
        <v>70</v>
      </c>
      <c r="S6863" s="95">
        <v>5000</v>
      </c>
      <c r="T6863" s="148">
        <v>45576</v>
      </c>
      <c r="U6863" s="95">
        <v>10836</v>
      </c>
      <c r="V6863" s="148">
        <v>45594</v>
      </c>
      <c r="W6863" s="80" t="s">
        <v>16287</v>
      </c>
      <c r="X6863" s="80"/>
      <c r="Y6863" s="22">
        <v>100</v>
      </c>
      <c r="Z6863" s="80" t="s">
        <v>50</v>
      </c>
      <c r="AA6863" s="96" t="s">
        <v>9905</v>
      </c>
      <c r="AB6863" s="80"/>
      <c r="AC6863" s="80" t="s">
        <v>53</v>
      </c>
      <c r="AD6863" s="80" t="s">
        <v>54</v>
      </c>
      <c r="AE6863" s="80" t="s">
        <v>15974</v>
      </c>
      <c r="AF6863" s="17">
        <v>45785</v>
      </c>
      <c r="AG6863" s="80" t="s">
        <v>21296</v>
      </c>
      <c r="AH6863" s="80"/>
      <c r="AI6863" s="147"/>
      <c r="AJ6863" s="80"/>
      <c r="AK6863" s="80"/>
      <c r="AL6863" s="35"/>
      <c r="AM6863" s="35"/>
      <c r="AN6863" s="35"/>
      <c r="AO6863" s="35"/>
      <c r="AP6863" s="35"/>
    </row>
    <row r="6864" spans="1:42" x14ac:dyDescent="0.2">
      <c r="A6864" s="38">
        <v>45747</v>
      </c>
      <c r="B6864" s="137" t="s">
        <v>37</v>
      </c>
      <c r="C6864" s="41" t="s">
        <v>118</v>
      </c>
      <c r="D6864" s="80" t="s">
        <v>36</v>
      </c>
      <c r="E6864" s="80" t="s">
        <v>56</v>
      </c>
      <c r="F6864" s="80" t="s">
        <v>13089</v>
      </c>
      <c r="G6864" s="80" t="s">
        <v>108</v>
      </c>
      <c r="H6864" s="80" t="s">
        <v>21317</v>
      </c>
      <c r="I6864" s="17" t="str">
        <f ca="1">IFERROR(__xludf.DUMMYFUNCTION("""COMPUTED_VALUE""")," ")</f>
        <v xml:space="preserve"> </v>
      </c>
      <c r="J6864" s="143" t="s">
        <v>19188</v>
      </c>
      <c r="K6864" s="80" t="s">
        <v>19189</v>
      </c>
      <c r="L6864" s="30">
        <v>362462291</v>
      </c>
      <c r="M6864" s="80" t="s">
        <v>9422</v>
      </c>
      <c r="N6864" s="80" t="s">
        <v>7509</v>
      </c>
      <c r="O6864" s="80" t="s">
        <v>19190</v>
      </c>
      <c r="P6864" s="144" t="s">
        <v>21318</v>
      </c>
      <c r="Q6864" s="20">
        <v>9317</v>
      </c>
      <c r="R6864" s="80" t="s">
        <v>36</v>
      </c>
      <c r="S6864" s="95">
        <v>9317</v>
      </c>
      <c r="T6864" s="148">
        <v>45644</v>
      </c>
      <c r="U6864" s="77"/>
      <c r="V6864" s="78"/>
      <c r="W6864" s="85" t="s">
        <v>19192</v>
      </c>
      <c r="X6864" s="80"/>
      <c r="Y6864" s="22">
        <v>0</v>
      </c>
      <c r="Z6864" s="80" t="s">
        <v>50</v>
      </c>
      <c r="AA6864" s="35" t="s">
        <v>18579</v>
      </c>
      <c r="AB6864" s="82"/>
      <c r="AC6864" s="80" t="s">
        <v>53</v>
      </c>
      <c r="AD6864" s="80" t="s">
        <v>54</v>
      </c>
      <c r="AE6864" s="80" t="s">
        <v>13089</v>
      </c>
      <c r="AF6864" s="17">
        <v>45383</v>
      </c>
      <c r="AG6864" s="80"/>
      <c r="AH6864" s="80"/>
      <c r="AI6864" s="147"/>
      <c r="AJ6864" s="80"/>
      <c r="AK6864" s="80"/>
      <c r="AL6864" s="35"/>
      <c r="AM6864" s="35"/>
      <c r="AN6864" s="35"/>
      <c r="AO6864" s="35"/>
      <c r="AP6864" s="35"/>
    </row>
    <row r="6865" spans="1:42" x14ac:dyDescent="0.2">
      <c r="A6865" s="38">
        <v>45748</v>
      </c>
      <c r="B6865" s="137"/>
      <c r="C6865" s="41" t="s">
        <v>118</v>
      </c>
      <c r="D6865" s="80" t="s">
        <v>36</v>
      </c>
      <c r="E6865" s="80" t="s">
        <v>56</v>
      </c>
      <c r="F6865" s="26" t="s">
        <v>14234</v>
      </c>
      <c r="G6865" s="26" t="s">
        <v>221</v>
      </c>
      <c r="H6865" s="26" t="s">
        <v>21319</v>
      </c>
      <c r="I6865" s="17" t="str">
        <f ca="1">IFERROR(__xludf.DUMMYFUNCTION("""COMPUTED_VALUE""")," ")</f>
        <v xml:space="preserve"> </v>
      </c>
      <c r="J6865" s="143" t="s">
        <v>16363</v>
      </c>
      <c r="K6865" s="80" t="s">
        <v>16364</v>
      </c>
      <c r="L6865" s="30">
        <v>364047463</v>
      </c>
      <c r="M6865" s="80" t="s">
        <v>59</v>
      </c>
      <c r="N6865" s="80" t="s">
        <v>11476</v>
      </c>
      <c r="O6865" s="80" t="s">
        <v>16365</v>
      </c>
      <c r="P6865" s="144" t="s">
        <v>21320</v>
      </c>
      <c r="Q6865" s="20">
        <v>9317</v>
      </c>
      <c r="R6865" s="80" t="s">
        <v>36</v>
      </c>
      <c r="S6865" s="95">
        <f>200+9117</f>
        <v>9317</v>
      </c>
      <c r="T6865" s="83" t="s">
        <v>16366</v>
      </c>
      <c r="U6865" s="77"/>
      <c r="V6865" s="78"/>
      <c r="W6865" s="85" t="s">
        <v>16367</v>
      </c>
      <c r="X6865" s="80"/>
      <c r="Y6865" s="22">
        <v>0</v>
      </c>
      <c r="Z6865" s="80" t="s">
        <v>50</v>
      </c>
      <c r="AA6865" s="96" t="s">
        <v>9905</v>
      </c>
      <c r="AB6865" s="80"/>
      <c r="AC6865" s="80" t="s">
        <v>53</v>
      </c>
      <c r="AD6865" s="80" t="s">
        <v>138</v>
      </c>
      <c r="AE6865" s="26" t="s">
        <v>14234</v>
      </c>
      <c r="AF6865" s="17">
        <v>45750</v>
      </c>
      <c r="AG6865" s="80"/>
      <c r="AH6865" s="80"/>
      <c r="AI6865" s="147"/>
      <c r="AJ6865" s="80"/>
      <c r="AK6865" s="80"/>
      <c r="AL6865" s="35"/>
      <c r="AM6865" s="35"/>
      <c r="AN6865" s="35"/>
      <c r="AO6865" s="35"/>
      <c r="AP6865" s="35"/>
    </row>
    <row r="6866" spans="1:42" x14ac:dyDescent="0.2">
      <c r="A6866" s="38">
        <v>45748</v>
      </c>
      <c r="B6866" s="137" t="s">
        <v>37</v>
      </c>
      <c r="C6866" s="41" t="s">
        <v>118</v>
      </c>
      <c r="D6866" s="80" t="s">
        <v>36</v>
      </c>
      <c r="E6866" s="80" t="s">
        <v>139</v>
      </c>
      <c r="F6866" s="26" t="s">
        <v>14234</v>
      </c>
      <c r="G6866" s="26" t="s">
        <v>221</v>
      </c>
      <c r="H6866" s="26" t="s">
        <v>18271</v>
      </c>
      <c r="I6866" s="17">
        <f ca="1">IFERROR(__xludf.DUMMYFUNCTION("""COMPUTED_VALUE"""),45806)</f>
        <v>45806</v>
      </c>
      <c r="J6866" s="143" t="s">
        <v>16839</v>
      </c>
      <c r="K6866" s="80" t="s">
        <v>21321</v>
      </c>
      <c r="L6866" s="30">
        <v>964773828</v>
      </c>
      <c r="M6866" s="80" t="s">
        <v>12644</v>
      </c>
      <c r="N6866" s="80" t="s">
        <v>8725</v>
      </c>
      <c r="O6866" s="80" t="s">
        <v>16841</v>
      </c>
      <c r="P6866" s="144" t="s">
        <v>21322</v>
      </c>
      <c r="Q6866" s="20">
        <v>15936</v>
      </c>
      <c r="R6866" s="80" t="s">
        <v>70</v>
      </c>
      <c r="S6866" s="95">
        <f>200+1800</f>
        <v>2000</v>
      </c>
      <c r="T6866" s="83" t="s">
        <v>16842</v>
      </c>
      <c r="U6866" s="95">
        <v>13836</v>
      </c>
      <c r="V6866" s="148">
        <v>45614</v>
      </c>
      <c r="W6866" s="85" t="s">
        <v>16843</v>
      </c>
      <c r="X6866" s="80"/>
      <c r="Y6866" s="22">
        <v>100</v>
      </c>
      <c r="Z6866" s="80" t="s">
        <v>50</v>
      </c>
      <c r="AA6866" s="86"/>
      <c r="AB6866" s="80"/>
      <c r="AC6866" s="80" t="s">
        <v>53</v>
      </c>
      <c r="AD6866" s="80" t="s">
        <v>138</v>
      </c>
      <c r="AE6866" s="26" t="s">
        <v>14234</v>
      </c>
      <c r="AF6866" s="17">
        <v>45806</v>
      </c>
      <c r="AG6866" s="80"/>
      <c r="AH6866" s="80"/>
      <c r="AI6866" s="147"/>
      <c r="AJ6866" s="80"/>
      <c r="AK6866" s="80"/>
      <c r="AL6866" s="35"/>
      <c r="AM6866" s="35"/>
      <c r="AN6866" s="35"/>
      <c r="AO6866" s="35"/>
      <c r="AP6866" s="35"/>
    </row>
    <row r="6867" spans="1:42" x14ac:dyDescent="0.2">
      <c r="A6867" s="38">
        <v>45748</v>
      </c>
      <c r="B6867" s="137" t="s">
        <v>37</v>
      </c>
      <c r="C6867" s="41" t="s">
        <v>118</v>
      </c>
      <c r="D6867" s="80" t="s">
        <v>36</v>
      </c>
      <c r="E6867" s="80" t="s">
        <v>139</v>
      </c>
      <c r="F6867" s="26" t="s">
        <v>14234</v>
      </c>
      <c r="G6867" s="26" t="s">
        <v>221</v>
      </c>
      <c r="H6867" s="26" t="s">
        <v>18271</v>
      </c>
      <c r="I6867" s="17">
        <f ca="1">IFERROR(__xludf.DUMMYFUNCTION("""COMPUTED_VALUE"""),45806)</f>
        <v>45806</v>
      </c>
      <c r="J6867" s="143" t="s">
        <v>15167</v>
      </c>
      <c r="K6867" s="80" t="s">
        <v>15168</v>
      </c>
      <c r="L6867" s="30">
        <v>925852165</v>
      </c>
      <c r="M6867" s="80" t="s">
        <v>12644</v>
      </c>
      <c r="N6867" s="80" t="s">
        <v>8725</v>
      </c>
      <c r="O6867" s="80" t="s">
        <v>15169</v>
      </c>
      <c r="P6867" s="144" t="s">
        <v>21323</v>
      </c>
      <c r="Q6867" s="20">
        <v>15936</v>
      </c>
      <c r="R6867" s="80" t="s">
        <v>70</v>
      </c>
      <c r="S6867" s="178">
        <f>200+15636</f>
        <v>15836</v>
      </c>
      <c r="T6867" s="83" t="s">
        <v>15170</v>
      </c>
      <c r="U6867" s="77"/>
      <c r="V6867" s="78"/>
      <c r="W6867" s="85" t="s">
        <v>15171</v>
      </c>
      <c r="X6867" s="80"/>
      <c r="Y6867" s="22">
        <v>100</v>
      </c>
      <c r="Z6867" s="80" t="s">
        <v>50</v>
      </c>
      <c r="AA6867" s="96" t="s">
        <v>9905</v>
      </c>
      <c r="AB6867" s="80"/>
      <c r="AC6867" s="80" t="s">
        <v>53</v>
      </c>
      <c r="AD6867" s="80" t="s">
        <v>138</v>
      </c>
      <c r="AE6867" s="26" t="s">
        <v>14234</v>
      </c>
      <c r="AF6867" s="17">
        <v>45806</v>
      </c>
      <c r="AG6867" s="80"/>
      <c r="AH6867" s="80"/>
      <c r="AI6867" s="147"/>
      <c r="AJ6867" s="80"/>
      <c r="AK6867" s="80"/>
      <c r="AL6867" s="35"/>
      <c r="AM6867" s="35"/>
      <c r="AN6867" s="35"/>
      <c r="AO6867" s="35"/>
      <c r="AP6867" s="35"/>
    </row>
    <row r="6868" spans="1:42" x14ac:dyDescent="0.2">
      <c r="A6868" s="38">
        <v>45748</v>
      </c>
      <c r="B6868" s="137"/>
      <c r="C6868" s="41" t="s">
        <v>118</v>
      </c>
      <c r="D6868" s="26" t="s">
        <v>36</v>
      </c>
      <c r="E6868" s="26" t="s">
        <v>139</v>
      </c>
      <c r="F6868" s="80" t="s">
        <v>9900</v>
      </c>
      <c r="G6868" s="26" t="s">
        <v>221</v>
      </c>
      <c r="H6868" s="26" t="s">
        <v>21324</v>
      </c>
      <c r="I6868" s="17" t="str">
        <f ca="1">IFERROR(__xludf.DUMMYFUNCTION("""COMPUTED_VALUE""")," ")</f>
        <v xml:space="preserve"> </v>
      </c>
      <c r="J6868" s="29" t="s">
        <v>8723</v>
      </c>
      <c r="K6868" s="26" t="s">
        <v>21325</v>
      </c>
      <c r="L6868" s="30">
        <v>869245801</v>
      </c>
      <c r="M6868" s="26" t="s">
        <v>3728</v>
      </c>
      <c r="N6868" s="26" t="s">
        <v>8725</v>
      </c>
      <c r="O6868" s="26" t="s">
        <v>8726</v>
      </c>
      <c r="P6868" s="42" t="s">
        <v>8727</v>
      </c>
      <c r="Q6868" s="20">
        <v>15936</v>
      </c>
      <c r="R6868" s="26" t="s">
        <v>36</v>
      </c>
      <c r="S6868" s="31">
        <v>2000</v>
      </c>
      <c r="T6868" s="32">
        <v>45432</v>
      </c>
      <c r="U6868" s="31">
        <v>13936</v>
      </c>
      <c r="V6868" s="32">
        <v>45467</v>
      </c>
      <c r="W6868" s="33" t="s">
        <v>8728</v>
      </c>
      <c r="X6868" s="26"/>
      <c r="Y6868" s="22">
        <v>0</v>
      </c>
      <c r="Z6868" s="26" t="s">
        <v>50</v>
      </c>
      <c r="AA6868" s="19" t="s">
        <v>8721</v>
      </c>
      <c r="AB6868" s="80"/>
      <c r="AC6868" s="26" t="s">
        <v>53</v>
      </c>
      <c r="AD6868" s="19" t="s">
        <v>54</v>
      </c>
      <c r="AE6868" s="80" t="s">
        <v>9900</v>
      </c>
      <c r="AF6868" s="17">
        <v>45806</v>
      </c>
      <c r="AG6868" s="26"/>
      <c r="AH6868" s="26"/>
      <c r="AI6868" s="40"/>
      <c r="AJ6868" s="26"/>
      <c r="AK6868" s="26"/>
      <c r="AL6868" s="35"/>
      <c r="AM6868" s="35"/>
      <c r="AN6868" s="35"/>
      <c r="AO6868" s="35"/>
      <c r="AP6868" s="35"/>
    </row>
    <row r="6869" spans="1:42" x14ac:dyDescent="0.2">
      <c r="A6869" s="38">
        <v>45748</v>
      </c>
      <c r="B6869" s="137" t="s">
        <v>37</v>
      </c>
      <c r="C6869" s="41" t="s">
        <v>118</v>
      </c>
      <c r="D6869" s="80" t="s">
        <v>36</v>
      </c>
      <c r="E6869" s="80" t="s">
        <v>119</v>
      </c>
      <c r="F6869" s="80" t="s">
        <v>14234</v>
      </c>
      <c r="G6869" s="26" t="s">
        <v>221</v>
      </c>
      <c r="H6869" s="26" t="s">
        <v>8400</v>
      </c>
      <c r="I6869" s="17">
        <f ca="1">IFERROR(__xludf.DUMMYFUNCTION("""COMPUTED_VALUE"""),45750)</f>
        <v>45750</v>
      </c>
      <c r="J6869" s="143" t="s">
        <v>19673</v>
      </c>
      <c r="K6869" s="80" t="s">
        <v>19674</v>
      </c>
      <c r="L6869" s="30">
        <v>866181106</v>
      </c>
      <c r="M6869" s="80" t="s">
        <v>18749</v>
      </c>
      <c r="N6869" s="80" t="s">
        <v>6144</v>
      </c>
      <c r="O6869" s="80" t="s">
        <v>4503</v>
      </c>
      <c r="P6869" s="80" t="s">
        <v>21326</v>
      </c>
      <c r="Q6869" s="20">
        <v>13968</v>
      </c>
      <c r="R6869" s="80" t="s">
        <v>36</v>
      </c>
      <c r="S6869" s="95">
        <v>4000</v>
      </c>
      <c r="T6869" s="148">
        <v>45634</v>
      </c>
      <c r="U6869" s="95">
        <v>9968</v>
      </c>
      <c r="V6869" s="148">
        <v>45665</v>
      </c>
      <c r="W6869" s="85" t="s">
        <v>19676</v>
      </c>
      <c r="X6869" s="80"/>
      <c r="Y6869" s="22">
        <v>0</v>
      </c>
      <c r="Z6869" s="80" t="s">
        <v>50</v>
      </c>
      <c r="AA6869" s="82" t="s">
        <v>18583</v>
      </c>
      <c r="AB6869" s="82"/>
      <c r="AC6869" s="80" t="s">
        <v>53</v>
      </c>
      <c r="AD6869" s="80" t="s">
        <v>138</v>
      </c>
      <c r="AE6869" s="80" t="s">
        <v>14234</v>
      </c>
      <c r="AF6869" s="17">
        <v>45750</v>
      </c>
      <c r="AG6869" s="80"/>
      <c r="AH6869" s="80"/>
      <c r="AI6869" s="147"/>
      <c r="AJ6869" s="80">
        <f>COUNTIF(K6869:K6948,K6869)</f>
        <v>1</v>
      </c>
      <c r="AK6869" s="80"/>
      <c r="AL6869" s="35"/>
      <c r="AM6869" s="35"/>
      <c r="AN6869" s="35"/>
      <c r="AO6869" s="35"/>
      <c r="AP6869" s="35"/>
    </row>
    <row r="6870" spans="1:42" x14ac:dyDescent="0.2">
      <c r="A6870" s="38">
        <v>45748</v>
      </c>
      <c r="B6870" s="137" t="s">
        <v>37</v>
      </c>
      <c r="C6870" s="41" t="s">
        <v>118</v>
      </c>
      <c r="D6870" s="80" t="s">
        <v>36</v>
      </c>
      <c r="E6870" s="80" t="s">
        <v>139</v>
      </c>
      <c r="F6870" s="80" t="s">
        <v>14234</v>
      </c>
      <c r="G6870" s="26" t="s">
        <v>221</v>
      </c>
      <c r="H6870" s="26" t="s">
        <v>8400</v>
      </c>
      <c r="I6870" s="17">
        <f ca="1">IFERROR(__xludf.DUMMYFUNCTION("""COMPUTED_VALUE"""),45750)</f>
        <v>45750</v>
      </c>
      <c r="J6870" s="143" t="s">
        <v>16868</v>
      </c>
      <c r="K6870" s="80" t="s">
        <v>16869</v>
      </c>
      <c r="L6870" s="30">
        <v>862014119</v>
      </c>
      <c r="M6870" s="80" t="s">
        <v>5429</v>
      </c>
      <c r="N6870" s="80" t="s">
        <v>756</v>
      </c>
      <c r="O6870" s="80" t="s">
        <v>16870</v>
      </c>
      <c r="P6870" s="80" t="s">
        <v>6368</v>
      </c>
      <c r="Q6870" s="20">
        <v>15936</v>
      </c>
      <c r="R6870" s="80" t="s">
        <v>36</v>
      </c>
      <c r="S6870" s="95">
        <f>200+1800</f>
        <v>2000</v>
      </c>
      <c r="T6870" s="83" t="s">
        <v>16871</v>
      </c>
      <c r="U6870" s="95">
        <v>13936</v>
      </c>
      <c r="V6870" s="148">
        <v>45605</v>
      </c>
      <c r="W6870" s="85" t="s">
        <v>16872</v>
      </c>
      <c r="X6870" s="80"/>
      <c r="Y6870" s="22">
        <v>0</v>
      </c>
      <c r="Z6870" s="80" t="s">
        <v>50</v>
      </c>
      <c r="AA6870" s="86"/>
      <c r="AB6870" s="80"/>
      <c r="AC6870" s="80" t="s">
        <v>53</v>
      </c>
      <c r="AD6870" s="80" t="s">
        <v>138</v>
      </c>
      <c r="AE6870" s="80" t="s">
        <v>14234</v>
      </c>
      <c r="AF6870" s="17">
        <v>45750</v>
      </c>
      <c r="AG6870" s="80"/>
      <c r="AH6870" s="80"/>
      <c r="AI6870" s="147"/>
      <c r="AJ6870" s="80"/>
      <c r="AK6870" s="80"/>
      <c r="AL6870" s="35"/>
      <c r="AM6870" s="35"/>
      <c r="AN6870" s="35"/>
      <c r="AO6870" s="35"/>
      <c r="AP6870" s="35"/>
    </row>
    <row r="6871" spans="1:42" x14ac:dyDescent="0.2">
      <c r="A6871" s="38">
        <v>45748</v>
      </c>
      <c r="B6871" s="137" t="s">
        <v>37</v>
      </c>
      <c r="C6871" s="41" t="s">
        <v>118</v>
      </c>
      <c r="D6871" s="80" t="s">
        <v>36</v>
      </c>
      <c r="E6871" s="80" t="s">
        <v>139</v>
      </c>
      <c r="F6871" s="26" t="s">
        <v>14234</v>
      </c>
      <c r="G6871" s="26" t="s">
        <v>221</v>
      </c>
      <c r="H6871" s="26" t="s">
        <v>18382</v>
      </c>
      <c r="I6871" s="17">
        <f ca="1">IFERROR(__xludf.DUMMYFUNCTION("""COMPUTED_VALUE"""),45835)</f>
        <v>45835</v>
      </c>
      <c r="J6871" s="143" t="s">
        <v>16431</v>
      </c>
      <c r="K6871" s="80" t="s">
        <v>21327</v>
      </c>
      <c r="L6871" s="30">
        <v>386170236</v>
      </c>
      <c r="M6871" s="80" t="s">
        <v>9422</v>
      </c>
      <c r="N6871" s="80" t="s">
        <v>12670</v>
      </c>
      <c r="O6871" s="80"/>
      <c r="P6871" s="80" t="s">
        <v>21328</v>
      </c>
      <c r="Q6871" s="20">
        <v>15936</v>
      </c>
      <c r="R6871" s="80" t="s">
        <v>11421</v>
      </c>
      <c r="S6871" s="95">
        <v>15636</v>
      </c>
      <c r="T6871" s="148">
        <v>45586</v>
      </c>
      <c r="U6871" s="77"/>
      <c r="V6871" s="78"/>
      <c r="W6871" s="85" t="s">
        <v>16433</v>
      </c>
      <c r="X6871" s="80"/>
      <c r="Y6871" s="22">
        <v>300</v>
      </c>
      <c r="Z6871" s="80" t="s">
        <v>50</v>
      </c>
      <c r="AA6871" s="96" t="s">
        <v>9905</v>
      </c>
      <c r="AB6871" s="80"/>
      <c r="AC6871" s="80" t="s">
        <v>53</v>
      </c>
      <c r="AD6871" s="80" t="s">
        <v>138</v>
      </c>
      <c r="AE6871" s="26" t="s">
        <v>14234</v>
      </c>
      <c r="AF6871" s="17">
        <v>45756</v>
      </c>
      <c r="AG6871" s="80" t="s">
        <v>8366</v>
      </c>
      <c r="AH6871" s="80"/>
      <c r="AI6871" s="147"/>
      <c r="AJ6871" s="80"/>
      <c r="AK6871" s="80"/>
      <c r="AL6871" s="35"/>
      <c r="AM6871" s="35"/>
      <c r="AN6871" s="35"/>
      <c r="AO6871" s="35"/>
      <c r="AP6871" s="35"/>
    </row>
    <row r="6872" spans="1:42" x14ac:dyDescent="0.2">
      <c r="A6872" s="38">
        <v>45748</v>
      </c>
      <c r="B6872" s="137" t="s">
        <v>37</v>
      </c>
      <c r="C6872" s="41" t="s">
        <v>118</v>
      </c>
      <c r="D6872" s="26" t="s">
        <v>36</v>
      </c>
      <c r="E6872" s="26" t="s">
        <v>119</v>
      </c>
      <c r="F6872" s="26" t="s">
        <v>8927</v>
      </c>
      <c r="G6872" s="26" t="s">
        <v>1847</v>
      </c>
      <c r="H6872" s="26" t="s">
        <v>8889</v>
      </c>
      <c r="I6872" s="17">
        <f ca="1">IFERROR(__xludf.DUMMYFUNCTION("""COMPUTED_VALUE"""),45764)</f>
        <v>45764</v>
      </c>
      <c r="J6872" s="29" t="s">
        <v>3941</v>
      </c>
      <c r="K6872" s="26" t="s">
        <v>6581</v>
      </c>
      <c r="L6872" s="30">
        <v>327557518</v>
      </c>
      <c r="M6872" s="26" t="s">
        <v>3498</v>
      </c>
      <c r="N6872" s="26" t="s">
        <v>3874</v>
      </c>
      <c r="O6872" s="26" t="s">
        <v>3943</v>
      </c>
      <c r="P6872" s="42" t="s">
        <v>13885</v>
      </c>
      <c r="Q6872" s="20">
        <v>13968</v>
      </c>
      <c r="R6872" s="26" t="s">
        <v>70</v>
      </c>
      <c r="S6872" s="31">
        <v>200</v>
      </c>
      <c r="T6872" s="32">
        <v>45198</v>
      </c>
      <c r="U6872" s="31">
        <f>4000+9668</f>
        <v>13668</v>
      </c>
      <c r="V6872" s="26" t="s">
        <v>3945</v>
      </c>
      <c r="W6872" s="33" t="s">
        <v>3946</v>
      </c>
      <c r="X6872" s="26"/>
      <c r="Y6872" s="22">
        <v>100</v>
      </c>
      <c r="Z6872" s="98" t="s">
        <v>118</v>
      </c>
      <c r="AA6872" s="19" t="s">
        <v>3454</v>
      </c>
      <c r="AB6872" s="80"/>
      <c r="AC6872" s="26" t="s">
        <v>53</v>
      </c>
      <c r="AD6872" s="19" t="s">
        <v>54</v>
      </c>
      <c r="AE6872" s="26" t="s">
        <v>8927</v>
      </c>
      <c r="AF6872" s="17">
        <v>45750</v>
      </c>
      <c r="AG6872" s="26"/>
      <c r="AH6872" s="26"/>
      <c r="AI6872" s="40"/>
      <c r="AJ6872" s="26"/>
      <c r="AK6872" s="26"/>
      <c r="AL6872" s="35"/>
      <c r="AM6872" s="35"/>
      <c r="AN6872" s="35"/>
      <c r="AO6872" s="35"/>
      <c r="AP6872" s="35"/>
    </row>
    <row r="6873" spans="1:42" x14ac:dyDescent="0.2">
      <c r="A6873" s="38">
        <v>45748</v>
      </c>
      <c r="B6873" s="137" t="s">
        <v>37</v>
      </c>
      <c r="C6873" s="41" t="s">
        <v>118</v>
      </c>
      <c r="D6873" s="80" t="s">
        <v>36</v>
      </c>
      <c r="E6873" s="80" t="s">
        <v>119</v>
      </c>
      <c r="F6873" s="80" t="s">
        <v>8927</v>
      </c>
      <c r="G6873" s="26" t="s">
        <v>1847</v>
      </c>
      <c r="H6873" s="26" t="s">
        <v>8889</v>
      </c>
      <c r="I6873" s="17">
        <f ca="1">IFERROR(__xludf.DUMMYFUNCTION("""COMPUTED_VALUE"""),45764)</f>
        <v>45764</v>
      </c>
      <c r="J6873" s="143" t="s">
        <v>3936</v>
      </c>
      <c r="K6873" s="26" t="s">
        <v>3937</v>
      </c>
      <c r="L6873" s="30">
        <v>793427625</v>
      </c>
      <c r="M6873" s="26" t="s">
        <v>3498</v>
      </c>
      <c r="N6873" s="80" t="s">
        <v>3874</v>
      </c>
      <c r="O6873" s="80" t="s">
        <v>2144</v>
      </c>
      <c r="P6873" s="144" t="s">
        <v>6580</v>
      </c>
      <c r="Q6873" s="20">
        <v>13968</v>
      </c>
      <c r="R6873" s="80" t="s">
        <v>70</v>
      </c>
      <c r="S6873" s="77">
        <v>200</v>
      </c>
      <c r="T6873" s="78">
        <v>45197</v>
      </c>
      <c r="U6873" s="77">
        <f>9868+3800</f>
        <v>13668</v>
      </c>
      <c r="V6873" s="78" t="s">
        <v>3939</v>
      </c>
      <c r="W6873" s="85" t="s">
        <v>3940</v>
      </c>
      <c r="X6873" s="80"/>
      <c r="Y6873" s="22">
        <v>100</v>
      </c>
      <c r="Z6873" s="41" t="s">
        <v>118</v>
      </c>
      <c r="AA6873" s="82" t="s">
        <v>3454</v>
      </c>
      <c r="AB6873" s="80"/>
      <c r="AC6873" s="80" t="s">
        <v>53</v>
      </c>
      <c r="AD6873" s="86" t="s">
        <v>138</v>
      </c>
      <c r="AE6873" s="26" t="s">
        <v>8927</v>
      </c>
      <c r="AF6873" s="17">
        <v>45750</v>
      </c>
      <c r="AG6873" s="80"/>
      <c r="AH6873" s="80"/>
      <c r="AI6873" s="147"/>
      <c r="AJ6873" s="80"/>
      <c r="AK6873" s="80"/>
      <c r="AL6873" s="86"/>
      <c r="AM6873" s="86"/>
      <c r="AN6873" s="86"/>
      <c r="AO6873" s="86"/>
      <c r="AP6873" s="86"/>
    </row>
    <row r="6874" spans="1:42" x14ac:dyDescent="0.2">
      <c r="A6874" s="38">
        <v>45748</v>
      </c>
      <c r="B6874" s="137" t="s">
        <v>37</v>
      </c>
      <c r="C6874" s="41" t="s">
        <v>118</v>
      </c>
      <c r="D6874" s="80" t="s">
        <v>36</v>
      </c>
      <c r="E6874" s="80" t="s">
        <v>139</v>
      </c>
      <c r="F6874" s="80" t="s">
        <v>16763</v>
      </c>
      <c r="G6874" s="80" t="s">
        <v>221</v>
      </c>
      <c r="H6874" s="80" t="s">
        <v>21158</v>
      </c>
      <c r="I6874" s="17">
        <f ca="1">IFERROR(__xludf.DUMMYFUNCTION("""COMPUTED_VALUE"""),45761)</f>
        <v>45761</v>
      </c>
      <c r="J6874" s="143" t="s">
        <v>16802</v>
      </c>
      <c r="K6874" s="80" t="s">
        <v>21329</v>
      </c>
      <c r="L6874" s="30">
        <v>919711765</v>
      </c>
      <c r="M6874" s="80" t="s">
        <v>5558</v>
      </c>
      <c r="N6874" s="80" t="s">
        <v>5277</v>
      </c>
      <c r="O6874" s="80" t="s">
        <v>4503</v>
      </c>
      <c r="P6874" s="144" t="s">
        <v>21330</v>
      </c>
      <c r="Q6874" s="20">
        <v>15936</v>
      </c>
      <c r="R6874" s="80" t="s">
        <v>36</v>
      </c>
      <c r="S6874" s="95">
        <f>200+1800</f>
        <v>2000</v>
      </c>
      <c r="T6874" s="83" t="s">
        <v>16805</v>
      </c>
      <c r="U6874" s="95">
        <v>13936</v>
      </c>
      <c r="V6874" s="148">
        <v>45600</v>
      </c>
      <c r="W6874" s="85" t="s">
        <v>16806</v>
      </c>
      <c r="X6874" s="80"/>
      <c r="Y6874" s="22">
        <v>0</v>
      </c>
      <c r="Z6874" s="80" t="s">
        <v>50</v>
      </c>
      <c r="AA6874" s="86"/>
      <c r="AB6874" s="80"/>
      <c r="AC6874" s="80" t="s">
        <v>53</v>
      </c>
      <c r="AD6874" s="80" t="s">
        <v>54</v>
      </c>
      <c r="AE6874" s="80" t="s">
        <v>16763</v>
      </c>
      <c r="AF6874" s="17">
        <v>45756</v>
      </c>
      <c r="AG6874" s="80"/>
      <c r="AH6874" s="80"/>
      <c r="AI6874" s="147"/>
      <c r="AJ6874" s="80"/>
      <c r="AK6874" s="80"/>
      <c r="AL6874" s="35"/>
      <c r="AM6874" s="35"/>
      <c r="AN6874" s="35"/>
      <c r="AO6874" s="35"/>
      <c r="AP6874" s="35"/>
    </row>
    <row r="6875" spans="1:42" x14ac:dyDescent="0.2">
      <c r="A6875" s="38">
        <v>45748</v>
      </c>
      <c r="B6875" s="137"/>
      <c r="C6875" s="41" t="s">
        <v>118</v>
      </c>
      <c r="D6875" s="80" t="s">
        <v>36</v>
      </c>
      <c r="E6875" s="80" t="s">
        <v>139</v>
      </c>
      <c r="F6875" s="80" t="s">
        <v>14234</v>
      </c>
      <c r="G6875" s="80" t="s">
        <v>221</v>
      </c>
      <c r="H6875" s="80" t="s">
        <v>865</v>
      </c>
      <c r="I6875" s="17" t="str">
        <f ca="1">IFERROR(__xludf.DUMMYFUNCTION("""COMPUTED_VALUE""")," ")</f>
        <v xml:space="preserve"> </v>
      </c>
      <c r="J6875" s="143" t="s">
        <v>12822</v>
      </c>
      <c r="K6875" s="145" t="s">
        <v>21331</v>
      </c>
      <c r="L6875" s="30">
        <v>398025674</v>
      </c>
      <c r="M6875" s="80" t="s">
        <v>11413</v>
      </c>
      <c r="N6875" s="80" t="s">
        <v>5092</v>
      </c>
      <c r="O6875" s="80" t="s">
        <v>61</v>
      </c>
      <c r="P6875" s="80" t="s">
        <v>21332</v>
      </c>
      <c r="Q6875" s="20">
        <v>15936</v>
      </c>
      <c r="R6875" s="80" t="s">
        <v>36</v>
      </c>
      <c r="S6875" s="95">
        <v>15936</v>
      </c>
      <c r="T6875" s="148">
        <v>45541</v>
      </c>
      <c r="U6875" s="77"/>
      <c r="V6875" s="78"/>
      <c r="W6875" s="85" t="s">
        <v>12824</v>
      </c>
      <c r="X6875" s="83">
        <v>0</v>
      </c>
      <c r="Y6875" s="22">
        <v>0</v>
      </c>
      <c r="Z6875" s="81" t="s">
        <v>50</v>
      </c>
      <c r="AA6875" s="82" t="s">
        <v>3291</v>
      </c>
      <c r="AB6875" s="80"/>
      <c r="AC6875" s="80" t="s">
        <v>53</v>
      </c>
      <c r="AD6875" s="80" t="s">
        <v>54</v>
      </c>
      <c r="AE6875" s="80" t="s">
        <v>14234</v>
      </c>
      <c r="AF6875" s="17">
        <v>45831</v>
      </c>
      <c r="AG6875" s="80" t="s">
        <v>2075</v>
      </c>
      <c r="AH6875" s="80"/>
      <c r="AI6875" s="147" t="s">
        <v>147</v>
      </c>
      <c r="AJ6875" s="80"/>
      <c r="AK6875" s="80"/>
      <c r="AL6875" s="86"/>
      <c r="AM6875" s="86"/>
      <c r="AN6875" s="86"/>
      <c r="AO6875" s="86"/>
      <c r="AP6875" s="86"/>
    </row>
    <row r="6876" spans="1:42" x14ac:dyDescent="0.2">
      <c r="A6876" s="38">
        <v>45748</v>
      </c>
      <c r="B6876" s="137" t="s">
        <v>37</v>
      </c>
      <c r="C6876" s="41" t="s">
        <v>118</v>
      </c>
      <c r="D6876" s="80" t="s">
        <v>36</v>
      </c>
      <c r="E6876" s="80" t="s">
        <v>139</v>
      </c>
      <c r="F6876" s="80" t="s">
        <v>14234</v>
      </c>
      <c r="G6876" s="80" t="s">
        <v>221</v>
      </c>
      <c r="H6876" s="80" t="s">
        <v>20328</v>
      </c>
      <c r="I6876" s="17">
        <f ca="1">IFERROR(__xludf.DUMMYFUNCTION("""COMPUTED_VALUE"""),45845)</f>
        <v>45845</v>
      </c>
      <c r="J6876" s="143" t="s">
        <v>16844</v>
      </c>
      <c r="K6876" s="145" t="s">
        <v>16845</v>
      </c>
      <c r="L6876" s="30">
        <v>916235863</v>
      </c>
      <c r="M6876" s="80" t="s">
        <v>15970</v>
      </c>
      <c r="N6876" s="80" t="s">
        <v>327</v>
      </c>
      <c r="O6876" s="80" t="s">
        <v>4503</v>
      </c>
      <c r="P6876" s="81" t="s">
        <v>21333</v>
      </c>
      <c r="Q6876" s="20">
        <v>15936</v>
      </c>
      <c r="R6876" s="80" t="s">
        <v>36</v>
      </c>
      <c r="S6876" s="95">
        <v>2000</v>
      </c>
      <c r="T6876" s="148">
        <v>45555</v>
      </c>
      <c r="U6876" s="95">
        <v>13936</v>
      </c>
      <c r="V6876" s="148">
        <v>45623</v>
      </c>
      <c r="W6876" s="85" t="s">
        <v>16846</v>
      </c>
      <c r="X6876" s="80"/>
      <c r="Y6876" s="22">
        <v>0</v>
      </c>
      <c r="Z6876" s="80"/>
      <c r="AA6876" s="86"/>
      <c r="AB6876" s="80"/>
      <c r="AC6876" s="80" t="s">
        <v>53</v>
      </c>
      <c r="AD6876" s="80" t="s">
        <v>138</v>
      </c>
      <c r="AE6876" s="80" t="s">
        <v>14234</v>
      </c>
      <c r="AF6876" s="17">
        <v>45839</v>
      </c>
      <c r="AG6876" s="80"/>
      <c r="AH6876" s="80"/>
      <c r="AI6876" s="147"/>
      <c r="AJ6876" s="80"/>
      <c r="AK6876" s="80"/>
      <c r="AL6876" s="86"/>
      <c r="AM6876" s="86"/>
      <c r="AN6876" s="86"/>
      <c r="AO6876" s="86"/>
      <c r="AP6876" s="86"/>
    </row>
    <row r="6877" spans="1:42" x14ac:dyDescent="0.2">
      <c r="A6877" s="38">
        <v>45748</v>
      </c>
      <c r="B6877" s="137" t="s">
        <v>37</v>
      </c>
      <c r="C6877" s="41" t="s">
        <v>118</v>
      </c>
      <c r="D6877" s="80" t="s">
        <v>36</v>
      </c>
      <c r="E6877" s="80" t="s">
        <v>139</v>
      </c>
      <c r="F6877" s="80" t="s">
        <v>14234</v>
      </c>
      <c r="G6877" s="80" t="s">
        <v>221</v>
      </c>
      <c r="H6877" s="80" t="s">
        <v>19383</v>
      </c>
      <c r="I6877" s="17">
        <f ca="1">IFERROR(__xludf.DUMMYFUNCTION("""COMPUTED_VALUE"""),45827)</f>
        <v>45827</v>
      </c>
      <c r="J6877" s="143" t="s">
        <v>16855</v>
      </c>
      <c r="K6877" s="80" t="s">
        <v>16856</v>
      </c>
      <c r="L6877" s="30">
        <v>869760362</v>
      </c>
      <c r="M6877" s="80" t="s">
        <v>16756</v>
      </c>
      <c r="N6877" s="80" t="s">
        <v>3525</v>
      </c>
      <c r="O6877" s="80" t="s">
        <v>4911</v>
      </c>
      <c r="P6877" s="80" t="s">
        <v>21334</v>
      </c>
      <c r="Q6877" s="20">
        <v>15936</v>
      </c>
      <c r="R6877" s="80" t="s">
        <v>36</v>
      </c>
      <c r="S6877" s="95">
        <v>2000</v>
      </c>
      <c r="T6877" s="148">
        <v>45579</v>
      </c>
      <c r="U6877" s="95">
        <v>13936</v>
      </c>
      <c r="V6877" s="148">
        <v>45607</v>
      </c>
      <c r="W6877" s="85" t="s">
        <v>16857</v>
      </c>
      <c r="X6877" s="80"/>
      <c r="Y6877" s="22">
        <v>0</v>
      </c>
      <c r="Z6877" s="81" t="s">
        <v>50</v>
      </c>
      <c r="AA6877" s="82"/>
      <c r="AB6877" s="80"/>
      <c r="AC6877" s="80" t="s">
        <v>53</v>
      </c>
      <c r="AD6877" s="80" t="s">
        <v>138</v>
      </c>
      <c r="AE6877" s="80" t="s">
        <v>14234</v>
      </c>
      <c r="AF6877" s="17">
        <v>45821</v>
      </c>
      <c r="AG6877" s="80"/>
      <c r="AH6877" s="80"/>
      <c r="AI6877" s="147"/>
      <c r="AJ6877" s="80"/>
      <c r="AK6877" s="80"/>
      <c r="AL6877" s="86"/>
      <c r="AM6877" s="86"/>
      <c r="AN6877" s="86"/>
      <c r="AO6877" s="86"/>
      <c r="AP6877" s="86"/>
    </row>
    <row r="6878" spans="1:42" x14ac:dyDescent="0.2">
      <c r="A6878" s="38">
        <v>45748</v>
      </c>
      <c r="B6878" s="137" t="s">
        <v>37</v>
      </c>
      <c r="C6878" s="41" t="s">
        <v>118</v>
      </c>
      <c r="D6878" s="80" t="s">
        <v>36</v>
      </c>
      <c r="E6878" s="80" t="s">
        <v>139</v>
      </c>
      <c r="F6878" s="80" t="s">
        <v>14234</v>
      </c>
      <c r="G6878" s="80" t="s">
        <v>221</v>
      </c>
      <c r="H6878" s="80" t="s">
        <v>21335</v>
      </c>
      <c r="I6878" s="17">
        <f ca="1">IFERROR(__xludf.DUMMYFUNCTION("""COMPUTED_VALUE"""),45881)</f>
        <v>45881</v>
      </c>
      <c r="J6878" s="143" t="s">
        <v>16858</v>
      </c>
      <c r="K6878" s="145" t="s">
        <v>16859</v>
      </c>
      <c r="L6878" s="30">
        <v>944290086</v>
      </c>
      <c r="M6878" s="80" t="s">
        <v>3728</v>
      </c>
      <c r="N6878" s="80" t="s">
        <v>5277</v>
      </c>
      <c r="O6878" s="80" t="s">
        <v>16860</v>
      </c>
      <c r="P6878" s="80" t="s">
        <v>11644</v>
      </c>
      <c r="Q6878" s="20">
        <v>15936</v>
      </c>
      <c r="R6878" s="80" t="s">
        <v>36</v>
      </c>
      <c r="S6878" s="95">
        <v>2000</v>
      </c>
      <c r="T6878" s="148">
        <v>45582</v>
      </c>
      <c r="U6878" s="95">
        <v>13936</v>
      </c>
      <c r="V6878" s="148">
        <v>45601</v>
      </c>
      <c r="W6878" s="85" t="s">
        <v>16861</v>
      </c>
      <c r="X6878" s="80"/>
      <c r="Y6878" s="22">
        <v>0</v>
      </c>
      <c r="Z6878" s="81" t="s">
        <v>50</v>
      </c>
      <c r="AA6878" s="86"/>
      <c r="AB6878" s="80"/>
      <c r="AC6878" s="80" t="s">
        <v>53</v>
      </c>
      <c r="AD6878" s="80" t="s">
        <v>138</v>
      </c>
      <c r="AE6878" s="80" t="s">
        <v>14234</v>
      </c>
      <c r="AF6878" s="17">
        <v>45881</v>
      </c>
      <c r="AG6878" s="80"/>
      <c r="AH6878" s="80"/>
      <c r="AI6878" s="147"/>
      <c r="AJ6878" s="80"/>
      <c r="AK6878" s="80"/>
      <c r="AL6878" s="86"/>
      <c r="AM6878" s="86"/>
      <c r="AN6878" s="86"/>
      <c r="AO6878" s="86"/>
      <c r="AP6878" s="86"/>
    </row>
    <row r="6879" spans="1:42" x14ac:dyDescent="0.2">
      <c r="A6879" s="38">
        <v>45748</v>
      </c>
      <c r="B6879" s="137" t="s">
        <v>37</v>
      </c>
      <c r="C6879" s="41" t="s">
        <v>118</v>
      </c>
      <c r="D6879" s="80" t="s">
        <v>36</v>
      </c>
      <c r="E6879" s="80" t="s">
        <v>139</v>
      </c>
      <c r="F6879" s="80" t="s">
        <v>14234</v>
      </c>
      <c r="G6879" s="80" t="s">
        <v>221</v>
      </c>
      <c r="H6879" s="80" t="s">
        <v>18271</v>
      </c>
      <c r="I6879" s="17">
        <f ca="1">IFERROR(__xludf.DUMMYFUNCTION("""COMPUTED_VALUE"""),45806)</f>
        <v>45806</v>
      </c>
      <c r="J6879" s="143" t="s">
        <v>16408</v>
      </c>
      <c r="K6879" s="80" t="s">
        <v>16409</v>
      </c>
      <c r="L6879" s="30">
        <v>385617455</v>
      </c>
      <c r="M6879" s="80" t="s">
        <v>3498</v>
      </c>
      <c r="N6879" s="80" t="s">
        <v>4402</v>
      </c>
      <c r="O6879" s="80" t="s">
        <v>4503</v>
      </c>
      <c r="P6879" s="80" t="s">
        <v>16410</v>
      </c>
      <c r="Q6879" s="20">
        <v>15936</v>
      </c>
      <c r="R6879" s="80" t="s">
        <v>36</v>
      </c>
      <c r="S6879" s="95">
        <v>15936</v>
      </c>
      <c r="T6879" s="148">
        <v>45583</v>
      </c>
      <c r="U6879" s="77"/>
      <c r="V6879" s="78"/>
      <c r="W6879" s="85" t="s">
        <v>16411</v>
      </c>
      <c r="X6879" s="80"/>
      <c r="Y6879" s="22">
        <v>0</v>
      </c>
      <c r="Z6879" s="81" t="s">
        <v>50</v>
      </c>
      <c r="AA6879" s="82" t="s">
        <v>9905</v>
      </c>
      <c r="AB6879" s="80"/>
      <c r="AC6879" s="80" t="s">
        <v>53</v>
      </c>
      <c r="AD6879" s="80" t="s">
        <v>138</v>
      </c>
      <c r="AE6879" s="80" t="s">
        <v>14234</v>
      </c>
      <c r="AF6879" s="17">
        <v>45806</v>
      </c>
      <c r="AG6879" s="80"/>
      <c r="AH6879" s="80"/>
      <c r="AI6879" s="147"/>
      <c r="AJ6879" s="80"/>
      <c r="AK6879" s="80"/>
      <c r="AL6879" s="86"/>
      <c r="AM6879" s="86"/>
      <c r="AN6879" s="86"/>
      <c r="AO6879" s="86"/>
      <c r="AP6879" s="86"/>
    </row>
    <row r="6880" spans="1:42" x14ac:dyDescent="0.2">
      <c r="A6880" s="38">
        <v>45748</v>
      </c>
      <c r="B6880" s="137" t="s">
        <v>37</v>
      </c>
      <c r="C6880" s="41" t="s">
        <v>118</v>
      </c>
      <c r="D6880" s="80" t="s">
        <v>36</v>
      </c>
      <c r="E6880" s="80" t="s">
        <v>148</v>
      </c>
      <c r="F6880" s="80" t="s">
        <v>14234</v>
      </c>
      <c r="G6880" s="80" t="s">
        <v>221</v>
      </c>
      <c r="H6880" s="80" t="s">
        <v>8400</v>
      </c>
      <c r="I6880" s="17">
        <f ca="1">IFERROR(__xludf.DUMMYFUNCTION("""COMPUTED_VALUE"""),45750)</f>
        <v>45750</v>
      </c>
      <c r="J6880" s="143" t="s">
        <v>6449</v>
      </c>
      <c r="K6880" s="80" t="s">
        <v>17080</v>
      </c>
      <c r="L6880" s="30">
        <v>344686100</v>
      </c>
      <c r="M6880" s="80" t="s">
        <v>123</v>
      </c>
      <c r="N6880" s="80" t="s">
        <v>17081</v>
      </c>
      <c r="O6880" s="80" t="s">
        <v>4503</v>
      </c>
      <c r="P6880" s="144" t="s">
        <v>13412</v>
      </c>
      <c r="Q6880" s="20">
        <v>13968</v>
      </c>
      <c r="R6880" s="80" t="s">
        <v>36</v>
      </c>
      <c r="S6880" s="95">
        <v>13936</v>
      </c>
      <c r="T6880" s="148">
        <v>45267</v>
      </c>
      <c r="U6880" s="77"/>
      <c r="V6880" s="78" t="s">
        <v>6447</v>
      </c>
      <c r="W6880" s="85" t="s">
        <v>6448</v>
      </c>
      <c r="X6880" s="80"/>
      <c r="Y6880" s="22">
        <v>32</v>
      </c>
      <c r="Z6880" s="81" t="s">
        <v>50</v>
      </c>
      <c r="AA6880" s="86" t="s">
        <v>5961</v>
      </c>
      <c r="AB6880" s="80"/>
      <c r="AC6880" s="80" t="s">
        <v>53</v>
      </c>
      <c r="AD6880" s="86" t="s">
        <v>138</v>
      </c>
      <c r="AE6880" s="80" t="s">
        <v>14234</v>
      </c>
      <c r="AF6880" s="17">
        <v>45750</v>
      </c>
      <c r="AG6880" s="80" t="s">
        <v>17082</v>
      </c>
      <c r="AH6880" s="83">
        <v>2</v>
      </c>
      <c r="AI6880" s="147"/>
      <c r="AJ6880" s="80"/>
      <c r="AK6880" s="80"/>
      <c r="AL6880" s="86"/>
      <c r="AM6880" s="86"/>
      <c r="AN6880" s="86"/>
      <c r="AO6880" s="86"/>
      <c r="AP6880" s="86"/>
    </row>
    <row r="6881" spans="1:42" x14ac:dyDescent="0.2">
      <c r="A6881" s="38">
        <v>45748</v>
      </c>
      <c r="B6881" s="137"/>
      <c r="C6881" s="41" t="s">
        <v>118</v>
      </c>
      <c r="D6881" s="80" t="s">
        <v>36</v>
      </c>
      <c r="E6881" s="80" t="s">
        <v>148</v>
      </c>
      <c r="F6881" s="80" t="s">
        <v>14234</v>
      </c>
      <c r="G6881" s="80" t="s">
        <v>221</v>
      </c>
      <c r="H6881" s="80" t="s">
        <v>21336</v>
      </c>
      <c r="I6881" s="17" t="str">
        <f ca="1">IFERROR(__xludf.DUMMYFUNCTION("""COMPUTED_VALUE""")," ")</f>
        <v xml:space="preserve"> </v>
      </c>
      <c r="J6881" s="143" t="s">
        <v>17220</v>
      </c>
      <c r="K6881" s="80" t="s">
        <v>21337</v>
      </c>
      <c r="L6881" s="30">
        <v>971817508</v>
      </c>
      <c r="M6881" s="80" t="s">
        <v>12529</v>
      </c>
      <c r="N6881" s="80" t="s">
        <v>466</v>
      </c>
      <c r="O6881" s="80" t="s">
        <v>17222</v>
      </c>
      <c r="P6881" s="80" t="s">
        <v>3178</v>
      </c>
      <c r="Q6881" s="20">
        <v>7349</v>
      </c>
      <c r="R6881" s="80" t="s">
        <v>36</v>
      </c>
      <c r="S6881" s="95">
        <v>4017</v>
      </c>
      <c r="T6881" s="148">
        <v>45609</v>
      </c>
      <c r="U6881" s="95">
        <f>1800+1500</f>
        <v>3300</v>
      </c>
      <c r="V6881" s="78" t="s">
        <v>18763</v>
      </c>
      <c r="W6881" s="85" t="s">
        <v>18764</v>
      </c>
      <c r="X6881" s="80"/>
      <c r="Y6881" s="22">
        <v>32</v>
      </c>
      <c r="Z6881" s="81" t="s">
        <v>50</v>
      </c>
      <c r="AA6881" s="82" t="s">
        <v>18579</v>
      </c>
      <c r="AB6881" s="86" t="s">
        <v>18765</v>
      </c>
      <c r="AC6881" s="80" t="s">
        <v>53</v>
      </c>
      <c r="AD6881" s="80" t="s">
        <v>138</v>
      </c>
      <c r="AE6881" s="80" t="s">
        <v>14234</v>
      </c>
      <c r="AF6881" s="17">
        <v>45765</v>
      </c>
      <c r="AG6881" s="80"/>
      <c r="AH6881" s="80"/>
      <c r="AI6881" s="147"/>
      <c r="AJ6881" s="80"/>
      <c r="AK6881" s="80"/>
      <c r="AL6881" s="86"/>
      <c r="AM6881" s="86"/>
      <c r="AN6881" s="86"/>
      <c r="AO6881" s="86"/>
      <c r="AP6881" s="86"/>
    </row>
    <row r="6882" spans="1:42" x14ac:dyDescent="0.2">
      <c r="A6882" s="38">
        <v>45748</v>
      </c>
      <c r="B6882" s="137" t="s">
        <v>37</v>
      </c>
      <c r="C6882" s="41" t="s">
        <v>118</v>
      </c>
      <c r="D6882" s="80" t="s">
        <v>36</v>
      </c>
      <c r="E6882" s="80" t="s">
        <v>139</v>
      </c>
      <c r="F6882" s="80" t="s">
        <v>16763</v>
      </c>
      <c r="G6882" s="80" t="s">
        <v>221</v>
      </c>
      <c r="H6882" s="80" t="s">
        <v>20094</v>
      </c>
      <c r="I6882" s="17">
        <f ca="1">IFERROR(__xludf.DUMMYFUNCTION("""COMPUTED_VALUE"""),45768)</f>
        <v>45768</v>
      </c>
      <c r="J6882" s="143" t="s">
        <v>15429</v>
      </c>
      <c r="K6882" s="80" t="s">
        <v>15430</v>
      </c>
      <c r="L6882" s="30">
        <v>399877131</v>
      </c>
      <c r="M6882" s="80" t="s">
        <v>12644</v>
      </c>
      <c r="N6882" s="80" t="s">
        <v>8725</v>
      </c>
      <c r="O6882" s="80" t="s">
        <v>15431</v>
      </c>
      <c r="P6882" s="144" t="s">
        <v>16765</v>
      </c>
      <c r="Q6882" s="20">
        <v>15936</v>
      </c>
      <c r="R6882" s="80" t="s">
        <v>36</v>
      </c>
      <c r="S6882" s="95">
        <v>2000</v>
      </c>
      <c r="T6882" s="148">
        <v>45556</v>
      </c>
      <c r="U6882" s="95">
        <v>13936</v>
      </c>
      <c r="V6882" s="148">
        <v>45591</v>
      </c>
      <c r="W6882" s="85" t="s">
        <v>15433</v>
      </c>
      <c r="X6882" s="80"/>
      <c r="Y6882" s="22">
        <v>0</v>
      </c>
      <c r="Z6882" s="80" t="s">
        <v>50</v>
      </c>
      <c r="AA6882" s="35" t="s">
        <v>9905</v>
      </c>
      <c r="AB6882" s="80"/>
      <c r="AC6882" s="80" t="s">
        <v>53</v>
      </c>
      <c r="AD6882" s="80" t="s">
        <v>138</v>
      </c>
      <c r="AE6882" s="80" t="s">
        <v>16763</v>
      </c>
      <c r="AF6882" s="17">
        <v>45756</v>
      </c>
      <c r="AG6882" s="80"/>
      <c r="AH6882" s="80"/>
      <c r="AI6882" s="147"/>
      <c r="AJ6882" s="80"/>
      <c r="AK6882" s="80"/>
      <c r="AL6882" s="35"/>
      <c r="AM6882" s="35"/>
      <c r="AN6882" s="35"/>
      <c r="AO6882" s="35"/>
      <c r="AP6882" s="35"/>
    </row>
    <row r="6883" spans="1:42" x14ac:dyDescent="0.2">
      <c r="A6883" s="38">
        <v>45748</v>
      </c>
      <c r="B6883" s="137" t="s">
        <v>37</v>
      </c>
      <c r="C6883" s="41" t="s">
        <v>118</v>
      </c>
      <c r="D6883" s="80" t="s">
        <v>36</v>
      </c>
      <c r="E6883" s="80" t="s">
        <v>119</v>
      </c>
      <c r="F6883" s="80" t="s">
        <v>9865</v>
      </c>
      <c r="G6883" s="80" t="s">
        <v>221</v>
      </c>
      <c r="H6883" s="80" t="s">
        <v>21158</v>
      </c>
      <c r="I6883" s="17">
        <f ca="1">IFERROR(__xludf.DUMMYFUNCTION("""COMPUTED_VALUE"""),45761)</f>
        <v>45761</v>
      </c>
      <c r="J6883" s="143" t="s">
        <v>11551</v>
      </c>
      <c r="K6883" s="80" t="s">
        <v>21338</v>
      </c>
      <c r="L6883" s="30">
        <v>774793622</v>
      </c>
      <c r="M6883" s="80" t="s">
        <v>59</v>
      </c>
      <c r="N6883" s="80" t="s">
        <v>68</v>
      </c>
      <c r="O6883" s="80" t="s">
        <v>11553</v>
      </c>
      <c r="P6883" s="144" t="s">
        <v>21339</v>
      </c>
      <c r="Q6883" s="20">
        <v>13968</v>
      </c>
      <c r="R6883" s="80" t="s">
        <v>36</v>
      </c>
      <c r="S6883" s="95">
        <v>13968</v>
      </c>
      <c r="T6883" s="148">
        <v>45524</v>
      </c>
      <c r="U6883" s="77"/>
      <c r="V6883" s="78"/>
      <c r="W6883" s="85" t="s">
        <v>11555</v>
      </c>
      <c r="X6883" s="80">
        <v>0</v>
      </c>
      <c r="Y6883" s="22">
        <v>0</v>
      </c>
      <c r="Z6883" s="80" t="s">
        <v>50</v>
      </c>
      <c r="AA6883" s="96" t="s">
        <v>10314</v>
      </c>
      <c r="AB6883" s="80"/>
      <c r="AC6883" s="80" t="s">
        <v>53</v>
      </c>
      <c r="AD6883" s="80" t="s">
        <v>54</v>
      </c>
      <c r="AE6883" s="80" t="s">
        <v>9865</v>
      </c>
      <c r="AF6883" s="17">
        <v>45756</v>
      </c>
      <c r="AG6883" s="80"/>
      <c r="AH6883" s="80"/>
      <c r="AI6883" s="147"/>
      <c r="AJ6883" s="80"/>
      <c r="AK6883" s="80"/>
      <c r="AL6883" s="35"/>
      <c r="AM6883" s="35"/>
      <c r="AN6883" s="35"/>
      <c r="AO6883" s="35"/>
      <c r="AP6883" s="35"/>
    </row>
    <row r="6884" spans="1:42" x14ac:dyDescent="0.2">
      <c r="A6884" s="38">
        <v>45749</v>
      </c>
      <c r="B6884" s="137"/>
      <c r="C6884" s="41" t="s">
        <v>118</v>
      </c>
      <c r="D6884" s="80" t="s">
        <v>36</v>
      </c>
      <c r="E6884" s="80" t="s">
        <v>139</v>
      </c>
      <c r="F6884" s="80" t="s">
        <v>19366</v>
      </c>
      <c r="G6884" s="80" t="s">
        <v>108</v>
      </c>
      <c r="H6884" s="80" t="s">
        <v>865</v>
      </c>
      <c r="I6884" s="17" t="str">
        <f ca="1">IFERROR(__xludf.DUMMYFUNCTION("""COMPUTED_VALUE""")," ")</f>
        <v xml:space="preserve"> </v>
      </c>
      <c r="J6884" s="143" t="s">
        <v>16022</v>
      </c>
      <c r="K6884" s="145" t="s">
        <v>16023</v>
      </c>
      <c r="L6884" s="30">
        <v>843053899</v>
      </c>
      <c r="M6884" s="80" t="s">
        <v>3728</v>
      </c>
      <c r="N6884" s="80" t="s">
        <v>5277</v>
      </c>
      <c r="O6884" s="80" t="s">
        <v>16024</v>
      </c>
      <c r="P6884" s="80" t="s">
        <v>11644</v>
      </c>
      <c r="Q6884" s="20">
        <v>15936</v>
      </c>
      <c r="R6884" s="80" t="s">
        <v>36</v>
      </c>
      <c r="S6884" s="95">
        <v>2000</v>
      </c>
      <c r="T6884" s="148">
        <v>45568</v>
      </c>
      <c r="U6884" s="95">
        <v>13936</v>
      </c>
      <c r="V6884" s="148">
        <v>45594</v>
      </c>
      <c r="W6884" s="85" t="s">
        <v>16025</v>
      </c>
      <c r="X6884" s="80"/>
      <c r="Y6884" s="22">
        <v>0</v>
      </c>
      <c r="Z6884" s="81" t="s">
        <v>50</v>
      </c>
      <c r="AA6884" s="86" t="s">
        <v>9905</v>
      </c>
      <c r="AB6884" s="80"/>
      <c r="AC6884" s="80" t="s">
        <v>53</v>
      </c>
      <c r="AD6884" s="80" t="s">
        <v>138</v>
      </c>
      <c r="AE6884" s="80" t="s">
        <v>19366</v>
      </c>
      <c r="AF6884" s="17"/>
      <c r="AG6884" s="80"/>
      <c r="AH6884" s="80"/>
      <c r="AI6884" s="147"/>
      <c r="AJ6884" s="80"/>
      <c r="AK6884" s="80"/>
      <c r="AL6884" s="86"/>
      <c r="AM6884" s="86"/>
      <c r="AN6884" s="86"/>
      <c r="AO6884" s="86"/>
      <c r="AP6884" s="86"/>
    </row>
    <row r="6885" spans="1:42" x14ac:dyDescent="0.2">
      <c r="A6885" s="38">
        <v>45749</v>
      </c>
      <c r="B6885" s="137"/>
      <c r="C6885" s="41" t="s">
        <v>118</v>
      </c>
      <c r="D6885" s="80" t="s">
        <v>36</v>
      </c>
      <c r="E6885" s="80" t="s">
        <v>56</v>
      </c>
      <c r="F6885" s="80" t="s">
        <v>19366</v>
      </c>
      <c r="G6885" s="80" t="s">
        <v>108</v>
      </c>
      <c r="H6885" s="80" t="s">
        <v>865</v>
      </c>
      <c r="I6885" s="17" t="str">
        <f ca="1">IFERROR(__xludf.DUMMYFUNCTION("""COMPUTED_VALUE""")," ")</f>
        <v xml:space="preserve"> </v>
      </c>
      <c r="J6885" s="143" t="s">
        <v>19746</v>
      </c>
      <c r="K6885" s="145" t="s">
        <v>21340</v>
      </c>
      <c r="L6885" s="30">
        <v>979069778</v>
      </c>
      <c r="M6885" s="80" t="s">
        <v>59</v>
      </c>
      <c r="N6885" s="80" t="s">
        <v>4299</v>
      </c>
      <c r="O6885" s="80" t="s">
        <v>19748</v>
      </c>
      <c r="P6885" s="80" t="s">
        <v>7743</v>
      </c>
      <c r="Q6885" s="20">
        <v>9317</v>
      </c>
      <c r="R6885" s="80" t="s">
        <v>36</v>
      </c>
      <c r="S6885" s="95">
        <v>9317</v>
      </c>
      <c r="T6885" s="148">
        <v>45659</v>
      </c>
      <c r="U6885" s="77"/>
      <c r="V6885" s="78"/>
      <c r="W6885" s="85" t="s">
        <v>19749</v>
      </c>
      <c r="X6885" s="80"/>
      <c r="Y6885" s="22">
        <v>0</v>
      </c>
      <c r="Z6885" s="81" t="s">
        <v>50</v>
      </c>
      <c r="AA6885" s="82" t="s">
        <v>18583</v>
      </c>
      <c r="AB6885" s="86"/>
      <c r="AC6885" s="80" t="s">
        <v>53</v>
      </c>
      <c r="AD6885" s="80" t="s">
        <v>138</v>
      </c>
      <c r="AE6885" s="80" t="s">
        <v>19366</v>
      </c>
      <c r="AF6885" s="17"/>
      <c r="AG6885" s="80"/>
      <c r="AH6885" s="80"/>
      <c r="AI6885" s="147"/>
      <c r="AJ6885" s="80"/>
      <c r="AK6885" s="80"/>
      <c r="AL6885" s="86"/>
      <c r="AM6885" s="86"/>
      <c r="AN6885" s="86"/>
      <c r="AO6885" s="86"/>
      <c r="AP6885" s="86"/>
    </row>
    <row r="6886" spans="1:42" x14ac:dyDescent="0.2">
      <c r="A6886" s="38">
        <v>45749</v>
      </c>
      <c r="B6886" s="137" t="s">
        <v>37</v>
      </c>
      <c r="C6886" s="41" t="s">
        <v>118</v>
      </c>
      <c r="D6886" s="80" t="s">
        <v>36</v>
      </c>
      <c r="E6886" s="80" t="s">
        <v>139</v>
      </c>
      <c r="F6886" s="145" t="s">
        <v>19366</v>
      </c>
      <c r="G6886" s="80" t="s">
        <v>108</v>
      </c>
      <c r="H6886" s="80" t="s">
        <v>21236</v>
      </c>
      <c r="I6886" s="17">
        <f ca="1">IFERROR(__xludf.DUMMYFUNCTION("""COMPUTED_VALUE"""),45768)</f>
        <v>45768</v>
      </c>
      <c r="J6886" s="172" t="s">
        <v>19865</v>
      </c>
      <c r="K6886" s="145" t="s">
        <v>19866</v>
      </c>
      <c r="L6886" s="30">
        <v>988782497</v>
      </c>
      <c r="M6886" s="80" t="s">
        <v>9422</v>
      </c>
      <c r="N6886" s="80" t="s">
        <v>1881</v>
      </c>
      <c r="O6886" s="80" t="s">
        <v>91</v>
      </c>
      <c r="P6886" s="80" t="s">
        <v>19867</v>
      </c>
      <c r="Q6886" s="20">
        <v>15936</v>
      </c>
      <c r="R6886" s="80" t="s">
        <v>36</v>
      </c>
      <c r="S6886" s="95">
        <v>14436</v>
      </c>
      <c r="T6886" s="148">
        <v>45686</v>
      </c>
      <c r="U6886" s="77"/>
      <c r="V6886" s="78"/>
      <c r="W6886" s="85" t="s">
        <v>19868</v>
      </c>
      <c r="X6886" s="80"/>
      <c r="Y6886" s="22">
        <v>1500</v>
      </c>
      <c r="Z6886" s="81" t="s">
        <v>50</v>
      </c>
      <c r="AA6886" s="86" t="s">
        <v>18583</v>
      </c>
      <c r="AB6886" s="80"/>
      <c r="AC6886" s="80" t="s">
        <v>53</v>
      </c>
      <c r="AD6886" s="80" t="s">
        <v>138</v>
      </c>
      <c r="AE6886" s="80" t="s">
        <v>19366</v>
      </c>
      <c r="AF6886" s="17">
        <v>45768</v>
      </c>
      <c r="AG6886" s="80"/>
      <c r="AH6886" s="80"/>
      <c r="AI6886" s="147"/>
      <c r="AJ6886" s="80"/>
      <c r="AK6886" s="80"/>
      <c r="AL6886" s="86"/>
      <c r="AM6886" s="86"/>
      <c r="AN6886" s="86"/>
      <c r="AO6886" s="86"/>
      <c r="AP6886" s="86"/>
    </row>
    <row r="6887" spans="1:42" x14ac:dyDescent="0.2">
      <c r="A6887" s="38">
        <v>45749</v>
      </c>
      <c r="B6887" s="137" t="s">
        <v>37</v>
      </c>
      <c r="C6887" s="41" t="s">
        <v>118</v>
      </c>
      <c r="D6887" s="80" t="s">
        <v>36</v>
      </c>
      <c r="E6887" s="80" t="s">
        <v>56</v>
      </c>
      <c r="F6887" s="80" t="s">
        <v>19366</v>
      </c>
      <c r="G6887" s="80" t="s">
        <v>108</v>
      </c>
      <c r="H6887" s="80" t="s">
        <v>21236</v>
      </c>
      <c r="I6887" s="17">
        <f ca="1">IFERROR(__xludf.DUMMYFUNCTION("""COMPUTED_VALUE"""),45768)</f>
        <v>45768</v>
      </c>
      <c r="J6887" s="143" t="s">
        <v>19935</v>
      </c>
      <c r="K6887" s="145" t="s">
        <v>21341</v>
      </c>
      <c r="L6887" s="30">
        <v>962029202</v>
      </c>
      <c r="M6887" s="80" t="s">
        <v>3288</v>
      </c>
      <c r="N6887" s="80" t="s">
        <v>200</v>
      </c>
      <c r="O6887" s="80" t="s">
        <v>91</v>
      </c>
      <c r="P6887" s="80" t="s">
        <v>3117</v>
      </c>
      <c r="Q6887" s="20">
        <v>9317</v>
      </c>
      <c r="R6887" s="80" t="s">
        <v>36</v>
      </c>
      <c r="S6887" s="95">
        <v>8317</v>
      </c>
      <c r="T6887" s="148">
        <v>45686</v>
      </c>
      <c r="U6887" s="77"/>
      <c r="V6887" s="78"/>
      <c r="W6887" s="85" t="s">
        <v>19937</v>
      </c>
      <c r="X6887" s="80"/>
      <c r="Y6887" s="22">
        <v>1000</v>
      </c>
      <c r="Z6887" s="81" t="s">
        <v>50</v>
      </c>
      <c r="AA6887" s="82" t="s">
        <v>18583</v>
      </c>
      <c r="AB6887" s="80"/>
      <c r="AC6887" s="80" t="s">
        <v>53</v>
      </c>
      <c r="AD6887" s="80" t="s">
        <v>138</v>
      </c>
      <c r="AE6887" s="80" t="s">
        <v>19366</v>
      </c>
      <c r="AF6887" s="17">
        <v>45768</v>
      </c>
      <c r="AG6887" s="80"/>
      <c r="AH6887" s="80"/>
      <c r="AI6887" s="147"/>
      <c r="AJ6887" s="80"/>
      <c r="AK6887" s="80"/>
      <c r="AL6887" s="86"/>
      <c r="AM6887" s="86"/>
      <c r="AN6887" s="86"/>
      <c r="AO6887" s="86"/>
      <c r="AP6887" s="86"/>
    </row>
    <row r="6888" spans="1:42" x14ac:dyDescent="0.2">
      <c r="A6888" s="38">
        <v>45749</v>
      </c>
      <c r="B6888" s="137" t="s">
        <v>37</v>
      </c>
      <c r="C6888" s="41" t="s">
        <v>118</v>
      </c>
      <c r="D6888" s="80" t="s">
        <v>36</v>
      </c>
      <c r="E6888" s="80" t="s">
        <v>139</v>
      </c>
      <c r="F6888" s="80" t="s">
        <v>19366</v>
      </c>
      <c r="G6888" s="80" t="s">
        <v>108</v>
      </c>
      <c r="H6888" s="80" t="s">
        <v>21236</v>
      </c>
      <c r="I6888" s="17">
        <f ca="1">IFERROR(__xludf.DUMMYFUNCTION("""COMPUTED_VALUE"""),45768)</f>
        <v>45768</v>
      </c>
      <c r="J6888" s="143" t="s">
        <v>19938</v>
      </c>
      <c r="K6888" s="145" t="s">
        <v>19939</v>
      </c>
      <c r="L6888" s="30">
        <v>966316388</v>
      </c>
      <c r="M6888" s="80" t="s">
        <v>15996</v>
      </c>
      <c r="N6888" s="80" t="s">
        <v>19940</v>
      </c>
      <c r="O6888" s="80" t="s">
        <v>4503</v>
      </c>
      <c r="P6888" s="80" t="s">
        <v>3056</v>
      </c>
      <c r="Q6888" s="20">
        <v>15936</v>
      </c>
      <c r="R6888" s="80" t="s">
        <v>36</v>
      </c>
      <c r="S6888" s="95">
        <v>14436</v>
      </c>
      <c r="T6888" s="148">
        <v>45686</v>
      </c>
      <c r="U6888" s="77"/>
      <c r="V6888" s="78"/>
      <c r="W6888" s="85" t="s">
        <v>19941</v>
      </c>
      <c r="X6888" s="80"/>
      <c r="Y6888" s="22">
        <v>1500</v>
      </c>
      <c r="Z6888" s="81" t="s">
        <v>50</v>
      </c>
      <c r="AA6888" s="86" t="s">
        <v>18583</v>
      </c>
      <c r="AB6888" s="80"/>
      <c r="AC6888" s="80" t="s">
        <v>53</v>
      </c>
      <c r="AD6888" s="80" t="s">
        <v>138</v>
      </c>
      <c r="AE6888" s="80" t="s">
        <v>19366</v>
      </c>
      <c r="AF6888" s="17">
        <v>45768</v>
      </c>
      <c r="AG6888" s="80"/>
      <c r="AH6888" s="80"/>
      <c r="AI6888" s="147"/>
      <c r="AJ6888" s="80"/>
      <c r="AK6888" s="80"/>
      <c r="AL6888" s="86"/>
      <c r="AM6888" s="86"/>
      <c r="AN6888" s="86"/>
      <c r="AO6888" s="86"/>
      <c r="AP6888" s="86"/>
    </row>
    <row r="6889" spans="1:42" x14ac:dyDescent="0.2">
      <c r="A6889" s="38">
        <v>45749</v>
      </c>
      <c r="B6889" s="137" t="s">
        <v>37</v>
      </c>
      <c r="C6889" s="41" t="s">
        <v>118</v>
      </c>
      <c r="D6889" s="80" t="s">
        <v>36</v>
      </c>
      <c r="E6889" s="80" t="s">
        <v>139</v>
      </c>
      <c r="F6889" s="80" t="s">
        <v>19366</v>
      </c>
      <c r="G6889" s="80" t="s">
        <v>108</v>
      </c>
      <c r="H6889" s="80" t="s">
        <v>21236</v>
      </c>
      <c r="I6889" s="17">
        <f ca="1">IFERROR(__xludf.DUMMYFUNCTION("""COMPUTED_VALUE"""),45768)</f>
        <v>45768</v>
      </c>
      <c r="J6889" s="172" t="s">
        <v>20727</v>
      </c>
      <c r="K6889" s="145" t="s">
        <v>1811</v>
      </c>
      <c r="L6889" s="30">
        <v>367917092</v>
      </c>
      <c r="M6889" s="80" t="s">
        <v>15996</v>
      </c>
      <c r="N6889" s="80" t="s">
        <v>186</v>
      </c>
      <c r="O6889" s="80" t="s">
        <v>4503</v>
      </c>
      <c r="P6889" s="80" t="s">
        <v>3056</v>
      </c>
      <c r="Q6889" s="20">
        <v>15936</v>
      </c>
      <c r="R6889" s="80" t="s">
        <v>1106</v>
      </c>
      <c r="S6889" s="95">
        <f>200+15586</f>
        <v>15786</v>
      </c>
      <c r="T6889" s="148" t="s">
        <v>20728</v>
      </c>
      <c r="U6889" s="77"/>
      <c r="V6889" s="78"/>
      <c r="W6889" s="85" t="s">
        <v>20729</v>
      </c>
      <c r="X6889" s="80"/>
      <c r="Y6889" s="22">
        <v>150</v>
      </c>
      <c r="Z6889" s="81" t="s">
        <v>50</v>
      </c>
      <c r="AA6889" s="82" t="s">
        <v>20522</v>
      </c>
      <c r="AB6889" s="80"/>
      <c r="AC6889" s="80" t="s">
        <v>53</v>
      </c>
      <c r="AD6889" s="80" t="s">
        <v>138</v>
      </c>
      <c r="AE6889" s="80" t="s">
        <v>19366</v>
      </c>
      <c r="AF6889" s="17">
        <v>45768</v>
      </c>
      <c r="AG6889" s="80"/>
      <c r="AH6889" s="80"/>
      <c r="AI6889" s="147"/>
      <c r="AJ6889" s="80"/>
      <c r="AK6889" s="80"/>
      <c r="AL6889" s="86"/>
      <c r="AM6889" s="86"/>
      <c r="AN6889" s="86"/>
      <c r="AO6889" s="86"/>
      <c r="AP6889" s="86"/>
    </row>
    <row r="6890" spans="1:42" x14ac:dyDescent="0.2">
      <c r="A6890" s="38">
        <v>45749</v>
      </c>
      <c r="B6890" s="137" t="s">
        <v>37</v>
      </c>
      <c r="C6890" s="41" t="s">
        <v>118</v>
      </c>
      <c r="D6890" s="80" t="s">
        <v>36</v>
      </c>
      <c r="E6890" s="80" t="s">
        <v>56</v>
      </c>
      <c r="F6890" s="80" t="s">
        <v>19366</v>
      </c>
      <c r="G6890" s="80" t="s">
        <v>108</v>
      </c>
      <c r="H6890" s="80" t="s">
        <v>16695</v>
      </c>
      <c r="I6890" s="17">
        <f ca="1">IFERROR(__xludf.DUMMYFUNCTION("""COMPUTED_VALUE"""),45782)</f>
        <v>45782</v>
      </c>
      <c r="J6890" s="143" t="s">
        <v>20853</v>
      </c>
      <c r="K6890" s="145" t="s">
        <v>21342</v>
      </c>
      <c r="L6890" s="30">
        <v>981374426</v>
      </c>
      <c r="M6890" s="80" t="s">
        <v>59</v>
      </c>
      <c r="N6890" s="80" t="s">
        <v>9287</v>
      </c>
      <c r="O6890" s="80" t="s">
        <v>20855</v>
      </c>
      <c r="P6890" s="144" t="s">
        <v>21343</v>
      </c>
      <c r="Q6890" s="20">
        <v>9317</v>
      </c>
      <c r="R6890" s="80" t="s">
        <v>36</v>
      </c>
      <c r="S6890" s="95">
        <f>50+9267</f>
        <v>9317</v>
      </c>
      <c r="T6890" s="148" t="s">
        <v>20856</v>
      </c>
      <c r="U6890" s="77"/>
      <c r="V6890" s="78"/>
      <c r="W6890" s="85" t="s">
        <v>20857</v>
      </c>
      <c r="X6890" s="80"/>
      <c r="Y6890" s="22">
        <v>0</v>
      </c>
      <c r="Z6890" s="81" t="s">
        <v>50</v>
      </c>
      <c r="AA6890" s="86" t="s">
        <v>20522</v>
      </c>
      <c r="AB6890" s="80"/>
      <c r="AC6890" s="80" t="s">
        <v>53</v>
      </c>
      <c r="AD6890" s="80" t="s">
        <v>138</v>
      </c>
      <c r="AE6890" s="80" t="s">
        <v>19366</v>
      </c>
      <c r="AF6890" s="17">
        <v>45771</v>
      </c>
      <c r="AG6890" s="80"/>
      <c r="AH6890" s="80"/>
      <c r="AI6890" s="147"/>
      <c r="AJ6890" s="80"/>
      <c r="AK6890" s="80"/>
      <c r="AL6890" s="86"/>
      <c r="AM6890" s="86"/>
      <c r="AN6890" s="86"/>
      <c r="AO6890" s="86"/>
      <c r="AP6890" s="86"/>
    </row>
    <row r="6891" spans="1:42" x14ac:dyDescent="0.2">
      <c r="A6891" s="38">
        <v>45749</v>
      </c>
      <c r="B6891" s="137" t="s">
        <v>37</v>
      </c>
      <c r="C6891" s="41" t="s">
        <v>118</v>
      </c>
      <c r="D6891" s="80" t="s">
        <v>36</v>
      </c>
      <c r="E6891" s="80" t="s">
        <v>56</v>
      </c>
      <c r="F6891" s="80" t="s">
        <v>21344</v>
      </c>
      <c r="G6891" s="80" t="s">
        <v>108</v>
      </c>
      <c r="H6891" s="80" t="s">
        <v>21345</v>
      </c>
      <c r="I6891" s="17">
        <f ca="1">IFERROR(__xludf.DUMMYFUNCTION("""COMPUTED_VALUE"""),46050)</f>
        <v>46050</v>
      </c>
      <c r="J6891" s="143" t="s">
        <v>20858</v>
      </c>
      <c r="K6891" s="145" t="s">
        <v>21346</v>
      </c>
      <c r="L6891" s="30">
        <v>382871377</v>
      </c>
      <c r="M6891" s="80" t="s">
        <v>59</v>
      </c>
      <c r="N6891" s="80" t="s">
        <v>10947</v>
      </c>
      <c r="O6891" s="80" t="s">
        <v>7310</v>
      </c>
      <c r="P6891" s="80" t="s">
        <v>7743</v>
      </c>
      <c r="Q6891" s="20">
        <v>9317</v>
      </c>
      <c r="R6891" s="80" t="s">
        <v>36</v>
      </c>
      <c r="S6891" s="95">
        <f>300+9017</f>
        <v>9317</v>
      </c>
      <c r="T6891" s="148" t="s">
        <v>20856</v>
      </c>
      <c r="U6891" s="77"/>
      <c r="V6891" s="78"/>
      <c r="W6891" s="85" t="s">
        <v>20860</v>
      </c>
      <c r="X6891" s="80"/>
      <c r="Y6891" s="22">
        <v>0</v>
      </c>
      <c r="Z6891" s="81" t="s">
        <v>50</v>
      </c>
      <c r="AA6891" s="82" t="s">
        <v>20522</v>
      </c>
      <c r="AB6891" s="80"/>
      <c r="AC6891" s="80" t="s">
        <v>53</v>
      </c>
      <c r="AD6891" s="80" t="s">
        <v>138</v>
      </c>
      <c r="AE6891" s="80" t="s">
        <v>19366</v>
      </c>
      <c r="AF6891" s="17">
        <v>45768</v>
      </c>
      <c r="AG6891" s="80"/>
      <c r="AH6891" s="80"/>
      <c r="AI6891" s="147"/>
      <c r="AJ6891" s="80"/>
      <c r="AK6891" s="80"/>
      <c r="AL6891" s="86"/>
      <c r="AM6891" s="86"/>
      <c r="AN6891" s="86"/>
      <c r="AO6891" s="86"/>
      <c r="AP6891" s="86"/>
    </row>
    <row r="6892" spans="1:42" x14ac:dyDescent="0.2">
      <c r="A6892" s="38">
        <v>45749</v>
      </c>
      <c r="B6892" s="137" t="s">
        <v>37</v>
      </c>
      <c r="C6892" s="41" t="s">
        <v>118</v>
      </c>
      <c r="D6892" s="80" t="s">
        <v>36</v>
      </c>
      <c r="E6892" s="80" t="s">
        <v>39</v>
      </c>
      <c r="F6892" s="80" t="s">
        <v>19366</v>
      </c>
      <c r="G6892" s="80" t="s">
        <v>108</v>
      </c>
      <c r="H6892" s="80" t="s">
        <v>21236</v>
      </c>
      <c r="I6892" s="17">
        <f ca="1">IFERROR(__xludf.DUMMYFUNCTION("""COMPUTED_VALUE"""),45768)</f>
        <v>45768</v>
      </c>
      <c r="J6892" s="143" t="s">
        <v>20896</v>
      </c>
      <c r="K6892" s="145" t="s">
        <v>20897</v>
      </c>
      <c r="L6892" s="30">
        <v>392056775</v>
      </c>
      <c r="M6892" s="80" t="s">
        <v>348</v>
      </c>
      <c r="N6892" s="80" t="s">
        <v>7509</v>
      </c>
      <c r="O6892" s="80" t="s">
        <v>91</v>
      </c>
      <c r="P6892" s="80" t="s">
        <v>3117</v>
      </c>
      <c r="Q6892" s="20">
        <v>5736</v>
      </c>
      <c r="R6892" s="80" t="s">
        <v>36</v>
      </c>
      <c r="S6892" s="95">
        <f>50+5686</f>
        <v>5736</v>
      </c>
      <c r="T6892" s="148" t="s">
        <v>20898</v>
      </c>
      <c r="U6892" s="77"/>
      <c r="V6892" s="78"/>
      <c r="W6892" s="85" t="s">
        <v>20899</v>
      </c>
      <c r="X6892" s="80"/>
      <c r="Y6892" s="22">
        <v>0</v>
      </c>
      <c r="Z6892" s="81" t="s">
        <v>50</v>
      </c>
      <c r="AA6892" s="86" t="s">
        <v>20522</v>
      </c>
      <c r="AB6892" s="80"/>
      <c r="AC6892" s="80" t="s">
        <v>53</v>
      </c>
      <c r="AD6892" s="80" t="s">
        <v>138</v>
      </c>
      <c r="AE6892" s="80" t="s">
        <v>19366</v>
      </c>
      <c r="AF6892" s="17">
        <v>45768</v>
      </c>
      <c r="AG6892" s="80"/>
      <c r="AH6892" s="80"/>
      <c r="AI6892" s="147"/>
      <c r="AJ6892" s="80"/>
      <c r="AK6892" s="80"/>
      <c r="AL6892" s="86"/>
      <c r="AM6892" s="86"/>
      <c r="AN6892" s="86"/>
      <c r="AO6892" s="86"/>
      <c r="AP6892" s="86"/>
    </row>
    <row r="6893" spans="1:42" x14ac:dyDescent="0.2">
      <c r="A6893" s="38">
        <v>45749</v>
      </c>
      <c r="B6893" s="137" t="s">
        <v>37</v>
      </c>
      <c r="C6893" s="41" t="s">
        <v>118</v>
      </c>
      <c r="D6893" s="80" t="s">
        <v>36</v>
      </c>
      <c r="E6893" s="80" t="s">
        <v>412</v>
      </c>
      <c r="F6893" s="80" t="s">
        <v>19366</v>
      </c>
      <c r="G6893" s="80" t="s">
        <v>108</v>
      </c>
      <c r="H6893" s="80" t="s">
        <v>21236</v>
      </c>
      <c r="I6893" s="17">
        <f ca="1">IFERROR(__xludf.DUMMYFUNCTION("""COMPUTED_VALUE"""),45768)</f>
        <v>45768</v>
      </c>
      <c r="J6893" s="143" t="s">
        <v>21347</v>
      </c>
      <c r="K6893" s="145" t="s">
        <v>21348</v>
      </c>
      <c r="L6893" s="30">
        <v>334564336</v>
      </c>
      <c r="M6893" s="80" t="s">
        <v>15996</v>
      </c>
      <c r="N6893" s="80" t="s">
        <v>186</v>
      </c>
      <c r="O6893" s="80" t="s">
        <v>4503</v>
      </c>
      <c r="P6893" s="80" t="s">
        <v>3056</v>
      </c>
      <c r="Q6893" s="20">
        <v>12412</v>
      </c>
      <c r="R6893" s="80" t="s">
        <v>70</v>
      </c>
      <c r="S6893" s="95">
        <f>200+3000</f>
        <v>3200</v>
      </c>
      <c r="T6893" s="83" t="s">
        <v>21349</v>
      </c>
      <c r="U6893" s="95">
        <v>9217</v>
      </c>
      <c r="V6893" s="148">
        <v>45735</v>
      </c>
      <c r="W6893" s="85" t="s">
        <v>21350</v>
      </c>
      <c r="X6893" s="80"/>
      <c r="Y6893" s="22">
        <v>-5</v>
      </c>
      <c r="Z6893" s="80" t="s">
        <v>50</v>
      </c>
      <c r="AA6893" s="82"/>
      <c r="AB6893" s="80"/>
      <c r="AC6893" s="80" t="s">
        <v>53</v>
      </c>
      <c r="AD6893" s="80" t="s">
        <v>138</v>
      </c>
      <c r="AE6893" s="80" t="s">
        <v>19366</v>
      </c>
      <c r="AF6893" s="17">
        <v>45768</v>
      </c>
      <c r="AG6893" s="80" t="s">
        <v>7078</v>
      </c>
      <c r="AH6893" s="80"/>
      <c r="AI6893" s="147"/>
      <c r="AJ6893" s="80"/>
      <c r="AK6893" s="80"/>
      <c r="AL6893" s="35"/>
      <c r="AM6893" s="35"/>
      <c r="AN6893" s="35"/>
      <c r="AO6893" s="35"/>
      <c r="AP6893" s="35"/>
    </row>
    <row r="6894" spans="1:42" x14ac:dyDescent="0.2">
      <c r="A6894" s="38">
        <v>45749</v>
      </c>
      <c r="B6894" s="137" t="s">
        <v>37</v>
      </c>
      <c r="C6894" s="41" t="s">
        <v>118</v>
      </c>
      <c r="D6894" s="80" t="s">
        <v>36</v>
      </c>
      <c r="E6894" s="80" t="s">
        <v>139</v>
      </c>
      <c r="F6894" s="80" t="s">
        <v>19366</v>
      </c>
      <c r="G6894" s="80" t="s">
        <v>108</v>
      </c>
      <c r="H6894" s="80" t="s">
        <v>21236</v>
      </c>
      <c r="I6894" s="17">
        <f ca="1">IFERROR(__xludf.DUMMYFUNCTION("""COMPUTED_VALUE"""),45768)</f>
        <v>45768</v>
      </c>
      <c r="J6894" s="143" t="s">
        <v>21351</v>
      </c>
      <c r="K6894" s="145" t="s">
        <v>21352</v>
      </c>
      <c r="L6894" s="30">
        <v>358685162</v>
      </c>
      <c r="M6894" s="80" t="s">
        <v>3498</v>
      </c>
      <c r="N6894" s="80" t="s">
        <v>21353</v>
      </c>
      <c r="O6894" s="80" t="s">
        <v>4503</v>
      </c>
      <c r="P6894" s="80" t="s">
        <v>21354</v>
      </c>
      <c r="Q6894" s="20">
        <v>15936</v>
      </c>
      <c r="R6894" s="80" t="s">
        <v>70</v>
      </c>
      <c r="S6894" s="95">
        <f>100+3000</f>
        <v>3100</v>
      </c>
      <c r="T6894" s="83" t="s">
        <v>21355</v>
      </c>
      <c r="U6894" s="95">
        <v>12736</v>
      </c>
      <c r="V6894" s="148">
        <v>45733</v>
      </c>
      <c r="W6894" s="85" t="s">
        <v>21356</v>
      </c>
      <c r="X6894" s="80"/>
      <c r="Y6894" s="22">
        <v>100</v>
      </c>
      <c r="Z6894" s="80" t="s">
        <v>50</v>
      </c>
      <c r="AA6894" s="86"/>
      <c r="AB6894" s="80"/>
      <c r="AC6894" s="80" t="s">
        <v>53</v>
      </c>
      <c r="AD6894" s="80" t="s">
        <v>138</v>
      </c>
      <c r="AE6894" s="80" t="s">
        <v>19366</v>
      </c>
      <c r="AF6894" s="17">
        <v>45768</v>
      </c>
      <c r="AG6894" s="80"/>
      <c r="AH6894" s="80"/>
      <c r="AI6894" s="147"/>
      <c r="AJ6894" s="80"/>
      <c r="AK6894" s="80"/>
      <c r="AL6894" s="35"/>
      <c r="AM6894" s="35"/>
      <c r="AN6894" s="35"/>
      <c r="AO6894" s="35"/>
      <c r="AP6894" s="35"/>
    </row>
    <row r="6895" spans="1:42" x14ac:dyDescent="0.2">
      <c r="A6895" s="38">
        <v>45749</v>
      </c>
      <c r="B6895" s="137" t="s">
        <v>37</v>
      </c>
      <c r="C6895" s="41" t="s">
        <v>118</v>
      </c>
      <c r="D6895" s="80" t="s">
        <v>36</v>
      </c>
      <c r="E6895" s="80" t="s">
        <v>139</v>
      </c>
      <c r="F6895" s="80" t="s">
        <v>19366</v>
      </c>
      <c r="G6895" s="80" t="s">
        <v>108</v>
      </c>
      <c r="H6895" s="80" t="s">
        <v>21236</v>
      </c>
      <c r="I6895" s="17">
        <f ca="1">IFERROR(__xludf.DUMMYFUNCTION("""COMPUTED_VALUE"""),45768)</f>
        <v>45768</v>
      </c>
      <c r="J6895" s="143" t="s">
        <v>21357</v>
      </c>
      <c r="K6895" s="145" t="s">
        <v>21358</v>
      </c>
      <c r="L6895" s="30">
        <v>969351621</v>
      </c>
      <c r="M6895" s="80" t="s">
        <v>3498</v>
      </c>
      <c r="N6895" s="80" t="s">
        <v>21353</v>
      </c>
      <c r="O6895" s="80" t="s">
        <v>8150</v>
      </c>
      <c r="P6895" s="80" t="s">
        <v>21359</v>
      </c>
      <c r="Q6895" s="20">
        <v>15936</v>
      </c>
      <c r="R6895" s="80" t="s">
        <v>70</v>
      </c>
      <c r="S6895" s="95">
        <f>100+6000</f>
        <v>6100</v>
      </c>
      <c r="T6895" s="83" t="s">
        <v>21355</v>
      </c>
      <c r="U6895" s="95">
        <v>9736</v>
      </c>
      <c r="V6895" s="148">
        <v>45731</v>
      </c>
      <c r="W6895" s="85" t="s">
        <v>21360</v>
      </c>
      <c r="X6895" s="80"/>
      <c r="Y6895" s="22">
        <v>100</v>
      </c>
      <c r="Z6895" s="80" t="s">
        <v>50</v>
      </c>
      <c r="AA6895" s="82"/>
      <c r="AB6895" s="80"/>
      <c r="AC6895" s="80" t="s">
        <v>53</v>
      </c>
      <c r="AD6895" s="80" t="s">
        <v>138</v>
      </c>
      <c r="AE6895" s="80" t="s">
        <v>19366</v>
      </c>
      <c r="AF6895" s="17">
        <v>45768</v>
      </c>
      <c r="AG6895" s="80"/>
      <c r="AH6895" s="80"/>
      <c r="AI6895" s="147"/>
      <c r="AJ6895" s="80"/>
      <c r="AK6895" s="80"/>
      <c r="AL6895" s="35"/>
      <c r="AM6895" s="35"/>
      <c r="AN6895" s="35"/>
      <c r="AO6895" s="35"/>
      <c r="AP6895" s="35"/>
    </row>
    <row r="6896" spans="1:42" x14ac:dyDescent="0.2">
      <c r="A6896" s="38">
        <v>45749</v>
      </c>
      <c r="B6896" s="137" t="s">
        <v>37</v>
      </c>
      <c r="C6896" s="41" t="s">
        <v>118</v>
      </c>
      <c r="D6896" s="80" t="s">
        <v>36</v>
      </c>
      <c r="E6896" s="80" t="s">
        <v>56</v>
      </c>
      <c r="F6896" s="80" t="s">
        <v>19366</v>
      </c>
      <c r="G6896" s="80" t="s">
        <v>108</v>
      </c>
      <c r="H6896" s="80" t="s">
        <v>21240</v>
      </c>
      <c r="I6896" s="17">
        <f ca="1">IFERROR(__xludf.DUMMYFUNCTION("""COMPUTED_VALUE"""),45783)</f>
        <v>45783</v>
      </c>
      <c r="J6896" s="143" t="s">
        <v>21361</v>
      </c>
      <c r="K6896" s="145" t="s">
        <v>21362</v>
      </c>
      <c r="L6896" s="30">
        <v>946783669</v>
      </c>
      <c r="M6896" s="80" t="s">
        <v>12529</v>
      </c>
      <c r="N6896" s="80" t="s">
        <v>13566</v>
      </c>
      <c r="O6896" s="80" t="s">
        <v>21363</v>
      </c>
      <c r="P6896" s="80" t="s">
        <v>21364</v>
      </c>
      <c r="Q6896" s="20">
        <v>9317</v>
      </c>
      <c r="R6896" s="80" t="s">
        <v>36</v>
      </c>
      <c r="S6896" s="95">
        <v>2000</v>
      </c>
      <c r="T6896" s="148">
        <v>45701</v>
      </c>
      <c r="U6896" s="95">
        <v>7317</v>
      </c>
      <c r="V6896" s="148">
        <v>45737</v>
      </c>
      <c r="W6896" s="85" t="s">
        <v>21365</v>
      </c>
      <c r="X6896" s="80"/>
      <c r="Y6896" s="22">
        <v>0</v>
      </c>
      <c r="Z6896" s="80" t="s">
        <v>50</v>
      </c>
      <c r="AA6896" s="86"/>
      <c r="AB6896" s="80"/>
      <c r="AC6896" s="80" t="s">
        <v>53</v>
      </c>
      <c r="AD6896" s="80" t="s">
        <v>138</v>
      </c>
      <c r="AE6896" s="80" t="s">
        <v>19366</v>
      </c>
      <c r="AF6896" s="17">
        <v>45768</v>
      </c>
      <c r="AG6896" s="80" t="s">
        <v>7078</v>
      </c>
      <c r="AH6896" s="80"/>
      <c r="AI6896" s="147"/>
      <c r="AJ6896" s="80"/>
      <c r="AK6896" s="80"/>
      <c r="AL6896" s="35"/>
      <c r="AM6896" s="35"/>
      <c r="AN6896" s="35"/>
      <c r="AO6896" s="35"/>
      <c r="AP6896" s="35"/>
    </row>
    <row r="6897" spans="1:42" x14ac:dyDescent="0.2">
      <c r="A6897" s="38">
        <v>45749</v>
      </c>
      <c r="B6897" s="137" t="s">
        <v>37</v>
      </c>
      <c r="C6897" s="41" t="s">
        <v>118</v>
      </c>
      <c r="D6897" s="80" t="s">
        <v>36</v>
      </c>
      <c r="E6897" s="80" t="s">
        <v>139</v>
      </c>
      <c r="F6897" s="80" t="s">
        <v>19366</v>
      </c>
      <c r="G6897" s="80" t="s">
        <v>108</v>
      </c>
      <c r="H6897" s="80" t="s">
        <v>21236</v>
      </c>
      <c r="I6897" s="17">
        <f ca="1">IFERROR(__xludf.DUMMYFUNCTION("""COMPUTED_VALUE"""),45768)</f>
        <v>45768</v>
      </c>
      <c r="J6897" s="143" t="s">
        <v>21366</v>
      </c>
      <c r="K6897" s="145" t="s">
        <v>21367</v>
      </c>
      <c r="L6897" s="30">
        <v>387632308</v>
      </c>
      <c r="M6897" s="80" t="s">
        <v>18749</v>
      </c>
      <c r="N6897" s="80" t="s">
        <v>19901</v>
      </c>
      <c r="O6897" s="80" t="s">
        <v>4503</v>
      </c>
      <c r="P6897" s="80" t="s">
        <v>21368</v>
      </c>
      <c r="Q6897" s="20">
        <v>15936</v>
      </c>
      <c r="R6897" s="80" t="s">
        <v>36</v>
      </c>
      <c r="S6897" s="95">
        <v>2000</v>
      </c>
      <c r="T6897" s="148">
        <v>45703</v>
      </c>
      <c r="U6897" s="95">
        <v>13936</v>
      </c>
      <c r="V6897" s="148">
        <v>45728</v>
      </c>
      <c r="W6897" s="85" t="s">
        <v>21369</v>
      </c>
      <c r="X6897" s="80"/>
      <c r="Y6897" s="22">
        <v>0</v>
      </c>
      <c r="Z6897" s="80" t="s">
        <v>50</v>
      </c>
      <c r="AA6897" s="82"/>
      <c r="AB6897" s="80"/>
      <c r="AC6897" s="80" t="s">
        <v>53</v>
      </c>
      <c r="AD6897" s="80" t="s">
        <v>138</v>
      </c>
      <c r="AE6897" s="80" t="s">
        <v>19366</v>
      </c>
      <c r="AF6897" s="17">
        <v>45768</v>
      </c>
      <c r="AG6897" s="80"/>
      <c r="AH6897" s="80"/>
      <c r="AI6897" s="147"/>
      <c r="AJ6897" s="80"/>
      <c r="AK6897" s="80"/>
      <c r="AL6897" s="35"/>
      <c r="AM6897" s="35"/>
      <c r="AN6897" s="35"/>
      <c r="AO6897" s="35"/>
      <c r="AP6897" s="35"/>
    </row>
    <row r="6898" spans="1:42" x14ac:dyDescent="0.2">
      <c r="A6898" s="38">
        <v>45749</v>
      </c>
      <c r="B6898" s="137" t="s">
        <v>37</v>
      </c>
      <c r="C6898" s="41" t="s">
        <v>118</v>
      </c>
      <c r="D6898" s="80" t="s">
        <v>36</v>
      </c>
      <c r="E6898" s="80" t="s">
        <v>139</v>
      </c>
      <c r="F6898" s="80" t="s">
        <v>19366</v>
      </c>
      <c r="G6898" s="80" t="s">
        <v>108</v>
      </c>
      <c r="H6898" s="80" t="s">
        <v>21236</v>
      </c>
      <c r="I6898" s="17">
        <f ca="1">IFERROR(__xludf.DUMMYFUNCTION("""COMPUTED_VALUE"""),45768)</f>
        <v>45768</v>
      </c>
      <c r="J6898" s="143" t="s">
        <v>21370</v>
      </c>
      <c r="K6898" s="145" t="s">
        <v>21371</v>
      </c>
      <c r="L6898" s="30">
        <v>374332387</v>
      </c>
      <c r="M6898" s="80" t="s">
        <v>15996</v>
      </c>
      <c r="N6898" s="80" t="s">
        <v>186</v>
      </c>
      <c r="O6898" s="80" t="s">
        <v>4503</v>
      </c>
      <c r="P6898" s="80" t="s">
        <v>3056</v>
      </c>
      <c r="Q6898" s="20">
        <v>15936</v>
      </c>
      <c r="R6898" s="80" t="s">
        <v>1106</v>
      </c>
      <c r="S6898" s="95">
        <f>200+7000</f>
        <v>7200</v>
      </c>
      <c r="T6898" s="83" t="s">
        <v>21372</v>
      </c>
      <c r="U6898" s="95">
        <v>8586</v>
      </c>
      <c r="V6898" s="148">
        <v>45729</v>
      </c>
      <c r="W6898" s="85" t="s">
        <v>21373</v>
      </c>
      <c r="X6898" s="80"/>
      <c r="Y6898" s="22">
        <v>150</v>
      </c>
      <c r="Z6898" s="80" t="s">
        <v>50</v>
      </c>
      <c r="AA6898" s="86"/>
      <c r="AB6898" s="80"/>
      <c r="AC6898" s="80" t="s">
        <v>53</v>
      </c>
      <c r="AD6898" s="80" t="s">
        <v>138</v>
      </c>
      <c r="AE6898" s="80" t="s">
        <v>19366</v>
      </c>
      <c r="AF6898" s="17">
        <v>45768</v>
      </c>
      <c r="AG6898" s="80"/>
      <c r="AH6898" s="80"/>
      <c r="AI6898" s="147"/>
      <c r="AJ6898" s="80"/>
      <c r="AK6898" s="80"/>
      <c r="AL6898" s="35"/>
      <c r="AM6898" s="35"/>
      <c r="AN6898" s="35"/>
      <c r="AO6898" s="35"/>
      <c r="AP6898" s="35"/>
    </row>
    <row r="6899" spans="1:42" x14ac:dyDescent="0.2">
      <c r="A6899" s="38">
        <v>45749</v>
      </c>
      <c r="B6899" s="137" t="s">
        <v>37</v>
      </c>
      <c r="C6899" s="41" t="s">
        <v>118</v>
      </c>
      <c r="D6899" s="80" t="s">
        <v>36</v>
      </c>
      <c r="E6899" s="80" t="s">
        <v>139</v>
      </c>
      <c r="F6899" s="80" t="s">
        <v>19366</v>
      </c>
      <c r="G6899" s="80" t="s">
        <v>108</v>
      </c>
      <c r="H6899" s="80" t="s">
        <v>21236</v>
      </c>
      <c r="I6899" s="17">
        <f ca="1">IFERROR(__xludf.DUMMYFUNCTION("""COMPUTED_VALUE"""),45768)</f>
        <v>45768</v>
      </c>
      <c r="J6899" s="143" t="s">
        <v>21374</v>
      </c>
      <c r="K6899" s="145" t="s">
        <v>21375</v>
      </c>
      <c r="L6899" s="30">
        <v>325931006</v>
      </c>
      <c r="M6899" s="80" t="s">
        <v>17779</v>
      </c>
      <c r="N6899" s="80" t="s">
        <v>9660</v>
      </c>
      <c r="O6899" s="80" t="s">
        <v>4503</v>
      </c>
      <c r="P6899" s="80" t="s">
        <v>3056</v>
      </c>
      <c r="Q6899" s="20">
        <v>15936</v>
      </c>
      <c r="R6899" s="80" t="s">
        <v>36</v>
      </c>
      <c r="S6899" s="95">
        <f>200+5000</f>
        <v>5200</v>
      </c>
      <c r="T6899" s="83" t="s">
        <v>21355</v>
      </c>
      <c r="U6899" s="95">
        <v>10736</v>
      </c>
      <c r="V6899" s="148">
        <v>45730</v>
      </c>
      <c r="W6899" s="85" t="s">
        <v>21376</v>
      </c>
      <c r="X6899" s="80"/>
      <c r="Y6899" s="22">
        <v>0</v>
      </c>
      <c r="Z6899" s="80" t="s">
        <v>50</v>
      </c>
      <c r="AA6899" s="82"/>
      <c r="AB6899" s="80"/>
      <c r="AC6899" s="80" t="s">
        <v>53</v>
      </c>
      <c r="AD6899" s="80" t="s">
        <v>138</v>
      </c>
      <c r="AE6899" s="80" t="s">
        <v>19366</v>
      </c>
      <c r="AF6899" s="17">
        <v>45768</v>
      </c>
      <c r="AG6899" s="80"/>
      <c r="AH6899" s="80"/>
      <c r="AI6899" s="147"/>
      <c r="AJ6899" s="80"/>
      <c r="AK6899" s="80"/>
      <c r="AL6899" s="35"/>
      <c r="AM6899" s="35"/>
      <c r="AN6899" s="35"/>
      <c r="AO6899" s="35"/>
      <c r="AP6899" s="35"/>
    </row>
    <row r="6900" spans="1:42" x14ac:dyDescent="0.2">
      <c r="A6900" s="38">
        <v>45749</v>
      </c>
      <c r="B6900" s="137" t="s">
        <v>37</v>
      </c>
      <c r="C6900" s="41" t="s">
        <v>118</v>
      </c>
      <c r="D6900" s="80" t="s">
        <v>36</v>
      </c>
      <c r="E6900" s="80" t="s">
        <v>139</v>
      </c>
      <c r="F6900" s="80" t="s">
        <v>19366</v>
      </c>
      <c r="G6900" s="80" t="s">
        <v>108</v>
      </c>
      <c r="H6900" s="80" t="s">
        <v>21236</v>
      </c>
      <c r="I6900" s="17">
        <f ca="1">IFERROR(__xludf.DUMMYFUNCTION("""COMPUTED_VALUE"""),45768)</f>
        <v>45768</v>
      </c>
      <c r="J6900" s="143" t="s">
        <v>21377</v>
      </c>
      <c r="K6900" s="145" t="s">
        <v>21378</v>
      </c>
      <c r="L6900" s="30">
        <v>985534979</v>
      </c>
      <c r="M6900" s="80" t="s">
        <v>17779</v>
      </c>
      <c r="N6900" s="80" t="s">
        <v>4402</v>
      </c>
      <c r="O6900" s="80" t="s">
        <v>4503</v>
      </c>
      <c r="P6900" s="80" t="s">
        <v>3056</v>
      </c>
      <c r="Q6900" s="20">
        <v>15936</v>
      </c>
      <c r="R6900" s="80" t="s">
        <v>36</v>
      </c>
      <c r="S6900" s="95">
        <v>4000</v>
      </c>
      <c r="T6900" s="148">
        <v>45700</v>
      </c>
      <c r="U6900" s="95">
        <v>11936</v>
      </c>
      <c r="V6900" s="148">
        <v>45728</v>
      </c>
      <c r="W6900" s="85" t="s">
        <v>21379</v>
      </c>
      <c r="X6900" s="80"/>
      <c r="Y6900" s="22">
        <v>0</v>
      </c>
      <c r="Z6900" s="80" t="s">
        <v>50</v>
      </c>
      <c r="AA6900" s="86"/>
      <c r="AB6900" s="80"/>
      <c r="AC6900" s="80" t="s">
        <v>53</v>
      </c>
      <c r="AD6900" s="80" t="s">
        <v>138</v>
      </c>
      <c r="AE6900" s="80" t="s">
        <v>19366</v>
      </c>
      <c r="AF6900" s="17">
        <v>45768</v>
      </c>
      <c r="AG6900" s="80"/>
      <c r="AH6900" s="80"/>
      <c r="AI6900" s="147"/>
      <c r="AJ6900" s="80"/>
      <c r="AK6900" s="80"/>
      <c r="AL6900" s="35"/>
      <c r="AM6900" s="35"/>
      <c r="AN6900" s="35"/>
      <c r="AO6900" s="35"/>
      <c r="AP6900" s="35"/>
    </row>
    <row r="6901" spans="1:42" x14ac:dyDescent="0.2">
      <c r="A6901" s="38">
        <v>45749</v>
      </c>
      <c r="B6901" s="137" t="s">
        <v>37</v>
      </c>
      <c r="C6901" s="41" t="s">
        <v>118</v>
      </c>
      <c r="D6901" s="80" t="s">
        <v>36</v>
      </c>
      <c r="E6901" s="80" t="s">
        <v>139</v>
      </c>
      <c r="F6901" s="80" t="s">
        <v>19366</v>
      </c>
      <c r="G6901" s="80" t="s">
        <v>108</v>
      </c>
      <c r="H6901" s="80" t="s">
        <v>20426</v>
      </c>
      <c r="I6901" s="17">
        <f ca="1">IFERROR(__xludf.DUMMYFUNCTION("""COMPUTED_VALUE"""),45782)</f>
        <v>45782</v>
      </c>
      <c r="J6901" s="143" t="s">
        <v>21380</v>
      </c>
      <c r="K6901" s="145" t="s">
        <v>21381</v>
      </c>
      <c r="L6901" s="30">
        <v>868446313</v>
      </c>
      <c r="M6901" s="80" t="s">
        <v>17779</v>
      </c>
      <c r="N6901" s="80" t="s">
        <v>4402</v>
      </c>
      <c r="O6901" s="80" t="s">
        <v>4503</v>
      </c>
      <c r="P6901" s="80" t="s">
        <v>3487</v>
      </c>
      <c r="Q6901" s="20">
        <v>15936</v>
      </c>
      <c r="R6901" s="80" t="s">
        <v>36</v>
      </c>
      <c r="S6901" s="95">
        <v>15786</v>
      </c>
      <c r="T6901" s="148">
        <v>45708</v>
      </c>
      <c r="U6901" s="95">
        <v>150</v>
      </c>
      <c r="V6901" s="148">
        <v>45729</v>
      </c>
      <c r="W6901" s="85" t="s">
        <v>21382</v>
      </c>
      <c r="X6901" s="80"/>
      <c r="Y6901" s="22">
        <v>0</v>
      </c>
      <c r="Z6901" s="80" t="s">
        <v>50</v>
      </c>
      <c r="AA6901" s="82"/>
      <c r="AB6901" s="80"/>
      <c r="AC6901" s="80" t="s">
        <v>53</v>
      </c>
      <c r="AD6901" s="80" t="s">
        <v>138</v>
      </c>
      <c r="AE6901" s="80" t="s">
        <v>19366</v>
      </c>
      <c r="AF6901" s="17">
        <v>45782</v>
      </c>
      <c r="AG6901" s="80"/>
      <c r="AH6901" s="80"/>
      <c r="AI6901" s="147"/>
      <c r="AJ6901" s="80"/>
      <c r="AK6901" s="80"/>
      <c r="AL6901" s="35"/>
      <c r="AM6901" s="35"/>
      <c r="AN6901" s="35"/>
      <c r="AO6901" s="35"/>
      <c r="AP6901" s="35"/>
    </row>
    <row r="6902" spans="1:42" x14ac:dyDescent="0.2">
      <c r="A6902" s="38">
        <v>45749</v>
      </c>
      <c r="B6902" s="137" t="s">
        <v>37</v>
      </c>
      <c r="C6902" s="41" t="s">
        <v>118</v>
      </c>
      <c r="D6902" s="80" t="s">
        <v>36</v>
      </c>
      <c r="E6902" s="80" t="s">
        <v>119</v>
      </c>
      <c r="F6902" s="80" t="s">
        <v>17059</v>
      </c>
      <c r="G6902" s="80" t="s">
        <v>221</v>
      </c>
      <c r="H6902" s="80" t="s">
        <v>20071</v>
      </c>
      <c r="I6902" s="17">
        <f ca="1">IFERROR(__xludf.DUMMYFUNCTION("""COMPUTED_VALUE"""),45757)</f>
        <v>45757</v>
      </c>
      <c r="J6902" s="143" t="s">
        <v>21383</v>
      </c>
      <c r="K6902" s="145" t="s">
        <v>21384</v>
      </c>
      <c r="L6902" s="30">
        <v>911385241</v>
      </c>
      <c r="M6902" s="80" t="s">
        <v>45</v>
      </c>
      <c r="N6902" s="80" t="s">
        <v>12712</v>
      </c>
      <c r="O6902" s="80" t="s">
        <v>19215</v>
      </c>
      <c r="P6902" s="144" t="s">
        <v>21385</v>
      </c>
      <c r="Q6902" s="20">
        <v>13968</v>
      </c>
      <c r="R6902" s="80" t="s">
        <v>36</v>
      </c>
      <c r="S6902" s="95">
        <f>1000+12968</f>
        <v>13968</v>
      </c>
      <c r="T6902" s="83" t="s">
        <v>19217</v>
      </c>
      <c r="U6902" s="77"/>
      <c r="V6902" s="78"/>
      <c r="W6902" s="85" t="s">
        <v>19218</v>
      </c>
      <c r="X6902" s="80"/>
      <c r="Y6902" s="22">
        <v>0</v>
      </c>
      <c r="Z6902" s="80" t="s">
        <v>50</v>
      </c>
      <c r="AA6902" s="35" t="s">
        <v>18579</v>
      </c>
      <c r="AB6902" s="86"/>
      <c r="AC6902" s="80" t="s">
        <v>53</v>
      </c>
      <c r="AD6902" s="80" t="s">
        <v>54</v>
      </c>
      <c r="AE6902" s="80" t="s">
        <v>17059</v>
      </c>
      <c r="AF6902" s="17">
        <v>45755</v>
      </c>
      <c r="AG6902" s="80"/>
      <c r="AH6902" s="80"/>
      <c r="AI6902" s="147"/>
      <c r="AJ6902" s="80"/>
      <c r="AK6902" s="80"/>
      <c r="AL6902" s="35"/>
      <c r="AM6902" s="35"/>
      <c r="AN6902" s="35"/>
      <c r="AO6902" s="35"/>
      <c r="AP6902" s="35"/>
    </row>
    <row r="6903" spans="1:42" x14ac:dyDescent="0.2">
      <c r="A6903" s="38">
        <v>45749</v>
      </c>
      <c r="B6903" s="137" t="s">
        <v>37</v>
      </c>
      <c r="C6903" s="41" t="s">
        <v>118</v>
      </c>
      <c r="D6903" s="80" t="s">
        <v>36</v>
      </c>
      <c r="E6903" s="80" t="s">
        <v>915</v>
      </c>
      <c r="F6903" s="80" t="s">
        <v>8921</v>
      </c>
      <c r="G6903" s="80" t="s">
        <v>1705</v>
      </c>
      <c r="H6903" s="80" t="s">
        <v>20497</v>
      </c>
      <c r="I6903" s="17">
        <f ca="1">IFERROR(__xludf.DUMMYFUNCTION("""COMPUTED_VALUE"""),45569)</f>
        <v>45569</v>
      </c>
      <c r="J6903" s="143" t="s">
        <v>6826</v>
      </c>
      <c r="K6903" s="80" t="s">
        <v>6827</v>
      </c>
      <c r="L6903" s="30">
        <v>917852923</v>
      </c>
      <c r="M6903" s="80" t="s">
        <v>45</v>
      </c>
      <c r="N6903" s="80" t="s">
        <v>299</v>
      </c>
      <c r="O6903" s="80" t="s">
        <v>6828</v>
      </c>
      <c r="P6903" s="144" t="s">
        <v>8930</v>
      </c>
      <c r="Q6903" s="20">
        <v>10894</v>
      </c>
      <c r="R6903" s="80" t="s">
        <v>36</v>
      </c>
      <c r="S6903" s="77">
        <v>10894</v>
      </c>
      <c r="T6903" s="78">
        <v>44942</v>
      </c>
      <c r="U6903" s="77"/>
      <c r="V6903" s="78"/>
      <c r="W6903" s="85" t="s">
        <v>6830</v>
      </c>
      <c r="X6903" s="80">
        <v>0</v>
      </c>
      <c r="Y6903" s="22">
        <v>0</v>
      </c>
      <c r="Z6903" s="41" t="s">
        <v>118</v>
      </c>
      <c r="AA6903" s="82" t="s">
        <v>6079</v>
      </c>
      <c r="AB6903" s="80"/>
      <c r="AC6903" s="80" t="s">
        <v>53</v>
      </c>
      <c r="AD6903" s="86" t="s">
        <v>138</v>
      </c>
      <c r="AE6903" s="80" t="s">
        <v>8921</v>
      </c>
      <c r="AF6903" s="17">
        <v>45755</v>
      </c>
      <c r="AG6903" s="80"/>
      <c r="AH6903" s="80"/>
      <c r="AI6903" s="147">
        <v>3</v>
      </c>
      <c r="AJ6903" s="80"/>
      <c r="AK6903" s="80"/>
      <c r="AL6903" s="86"/>
      <c r="AM6903" s="86"/>
      <c r="AN6903" s="86"/>
      <c r="AO6903" s="86"/>
      <c r="AP6903" s="86"/>
    </row>
    <row r="6904" spans="1:42" x14ac:dyDescent="0.2">
      <c r="A6904" s="38">
        <v>45749</v>
      </c>
      <c r="B6904" s="137" t="s">
        <v>37</v>
      </c>
      <c r="C6904" s="41" t="s">
        <v>118</v>
      </c>
      <c r="D6904" s="80" t="s">
        <v>36</v>
      </c>
      <c r="E6904" s="80" t="s">
        <v>139</v>
      </c>
      <c r="F6904" s="80" t="s">
        <v>8921</v>
      </c>
      <c r="G6904" s="80" t="s">
        <v>1705</v>
      </c>
      <c r="H6904" s="80" t="s">
        <v>20497</v>
      </c>
      <c r="I6904" s="17">
        <f ca="1">IFERROR(__xludf.DUMMYFUNCTION("""COMPUTED_VALUE"""),45569)</f>
        <v>45569</v>
      </c>
      <c r="J6904" s="143" t="s">
        <v>3918</v>
      </c>
      <c r="K6904" s="80" t="s">
        <v>3919</v>
      </c>
      <c r="L6904" s="30">
        <v>942247485</v>
      </c>
      <c r="M6904" s="80" t="s">
        <v>1245</v>
      </c>
      <c r="N6904" s="80" t="s">
        <v>4957</v>
      </c>
      <c r="O6904" s="80" t="s">
        <v>1226</v>
      </c>
      <c r="P6904" s="144" t="s">
        <v>8930</v>
      </c>
      <c r="Q6904" s="20">
        <v>15936</v>
      </c>
      <c r="R6904" s="80" t="s">
        <v>36</v>
      </c>
      <c r="S6904" s="77">
        <v>2000</v>
      </c>
      <c r="T6904" s="78">
        <v>45197</v>
      </c>
      <c r="U6904" s="77">
        <v>13936</v>
      </c>
      <c r="V6904" s="78">
        <v>45226</v>
      </c>
      <c r="W6904" s="85" t="s">
        <v>3920</v>
      </c>
      <c r="X6904" s="80"/>
      <c r="Y6904" s="22">
        <v>0</v>
      </c>
      <c r="Z6904" s="41" t="s">
        <v>118</v>
      </c>
      <c r="AA6904" s="86" t="s">
        <v>3454</v>
      </c>
      <c r="AB6904" s="80"/>
      <c r="AC6904" s="80" t="s">
        <v>53</v>
      </c>
      <c r="AD6904" s="86" t="s">
        <v>138</v>
      </c>
      <c r="AE6904" s="80" t="s">
        <v>8921</v>
      </c>
      <c r="AF6904" s="17">
        <v>45755</v>
      </c>
      <c r="AG6904" s="80"/>
      <c r="AH6904" s="80"/>
      <c r="AI6904" s="147"/>
      <c r="AJ6904" s="80"/>
      <c r="AK6904" s="80"/>
      <c r="AL6904" s="86"/>
      <c r="AM6904" s="86"/>
      <c r="AN6904" s="86"/>
      <c r="AO6904" s="86"/>
      <c r="AP6904" s="86"/>
    </row>
    <row r="6905" spans="1:42" x14ac:dyDescent="0.2">
      <c r="A6905" s="38">
        <v>45749</v>
      </c>
      <c r="B6905" s="137"/>
      <c r="C6905" s="41" t="s">
        <v>118</v>
      </c>
      <c r="D6905" s="80" t="s">
        <v>36</v>
      </c>
      <c r="E6905" s="80" t="s">
        <v>6528</v>
      </c>
      <c r="F6905" s="80" t="s">
        <v>20496</v>
      </c>
      <c r="G6905" s="26" t="s">
        <v>1847</v>
      </c>
      <c r="H6905" s="80" t="s">
        <v>865</v>
      </c>
      <c r="I6905" s="164" t="str">
        <f ca="1">IFERROR(__xludf.DUMMYFUNCTION("""COMPUTED_VALUE""")," ")</f>
        <v xml:space="preserve"> </v>
      </c>
      <c r="J6905" s="143" t="s">
        <v>21386</v>
      </c>
      <c r="K6905" s="145" t="s">
        <v>21387</v>
      </c>
      <c r="L6905" s="30">
        <v>394688529</v>
      </c>
      <c r="M6905" s="80" t="s">
        <v>3288</v>
      </c>
      <c r="N6905" s="80" t="s">
        <v>21388</v>
      </c>
      <c r="O6905" s="80" t="s">
        <v>21389</v>
      </c>
      <c r="P6905" s="80" t="s">
        <v>21390</v>
      </c>
      <c r="Q6905" s="20">
        <v>10804</v>
      </c>
      <c r="R6905" s="80" t="s">
        <v>36</v>
      </c>
      <c r="S6905" s="77">
        <v>10804</v>
      </c>
      <c r="T6905" s="78">
        <v>45320</v>
      </c>
      <c r="U6905" s="77"/>
      <c r="V6905" s="78"/>
      <c r="W6905" s="85" t="s">
        <v>21391</v>
      </c>
      <c r="X6905" s="80"/>
      <c r="Y6905" s="22">
        <v>0</v>
      </c>
      <c r="Z6905" s="41" t="s">
        <v>118</v>
      </c>
      <c r="AA6905" s="82" t="s">
        <v>21392</v>
      </c>
      <c r="AB6905" s="80"/>
      <c r="AC6905" s="80" t="s">
        <v>53</v>
      </c>
      <c r="AD6905" s="80" t="s">
        <v>54</v>
      </c>
      <c r="AE6905" s="80"/>
      <c r="AF6905" s="17"/>
      <c r="AG6905" s="80"/>
      <c r="AH6905" s="147"/>
      <c r="AI6905" s="147"/>
      <c r="AJ6905" s="80"/>
      <c r="AK6905" s="80"/>
      <c r="AL6905" s="80"/>
      <c r="AM6905" s="86"/>
      <c r="AN6905" s="86"/>
      <c r="AO6905" s="86"/>
      <c r="AP6905" s="86"/>
    </row>
    <row r="6906" spans="1:42" x14ac:dyDescent="0.2">
      <c r="A6906" s="38">
        <v>45749</v>
      </c>
      <c r="B6906" s="137" t="s">
        <v>37</v>
      </c>
      <c r="C6906" s="41" t="s">
        <v>118</v>
      </c>
      <c r="D6906" s="80" t="s">
        <v>36</v>
      </c>
      <c r="E6906" s="80" t="s">
        <v>106</v>
      </c>
      <c r="F6906" s="80" t="s">
        <v>8479</v>
      </c>
      <c r="G6906" s="80" t="s">
        <v>108</v>
      </c>
      <c r="H6906" s="80" t="s">
        <v>21393</v>
      </c>
      <c r="I6906" s="164">
        <f ca="1">IFERROR(__xludf.DUMMYFUNCTION("""COMPUTED_VALUE"""),45846)</f>
        <v>45846</v>
      </c>
      <c r="J6906" s="143" t="s">
        <v>21394</v>
      </c>
      <c r="K6906" s="145" t="s">
        <v>21395</v>
      </c>
      <c r="L6906" s="30">
        <v>386305794</v>
      </c>
      <c r="M6906" s="80" t="s">
        <v>3288</v>
      </c>
      <c r="N6906" s="80" t="s">
        <v>21388</v>
      </c>
      <c r="O6906" s="80" t="s">
        <v>36</v>
      </c>
      <c r="P6906" s="144" t="s">
        <v>21396</v>
      </c>
      <c r="Q6906" s="20">
        <v>6800</v>
      </c>
      <c r="R6906" s="80" t="s">
        <v>36</v>
      </c>
      <c r="S6906" s="77">
        <v>10804</v>
      </c>
      <c r="T6906" s="78">
        <v>45195</v>
      </c>
      <c r="U6906" s="77"/>
      <c r="V6906" s="78"/>
      <c r="W6906" s="85" t="s">
        <v>21397</v>
      </c>
      <c r="X6906" s="80">
        <v>0</v>
      </c>
      <c r="Y6906" s="22">
        <v>-4004</v>
      </c>
      <c r="Z6906" s="41" t="s">
        <v>118</v>
      </c>
      <c r="AA6906" s="86"/>
      <c r="AB6906" s="80"/>
      <c r="AC6906" s="80" t="s">
        <v>53</v>
      </c>
      <c r="AD6906" s="80" t="s">
        <v>54</v>
      </c>
      <c r="AE6906" s="80"/>
      <c r="AF6906" s="17">
        <v>45835</v>
      </c>
      <c r="AG6906" s="217"/>
      <c r="AH6906" s="147">
        <v>3</v>
      </c>
      <c r="AI6906" s="147"/>
      <c r="AJ6906" s="80"/>
      <c r="AK6906" s="80"/>
      <c r="AL6906" s="80"/>
      <c r="AM6906" s="86"/>
      <c r="AN6906" s="86"/>
      <c r="AO6906" s="86"/>
      <c r="AP6906" s="86"/>
    </row>
    <row r="6907" spans="1:42" x14ac:dyDescent="0.2">
      <c r="A6907" s="38">
        <v>45750</v>
      </c>
      <c r="B6907" s="137" t="s">
        <v>37</v>
      </c>
      <c r="C6907" s="41" t="s">
        <v>118</v>
      </c>
      <c r="D6907" s="80" t="s">
        <v>36</v>
      </c>
      <c r="E6907" s="80" t="s">
        <v>119</v>
      </c>
      <c r="F6907" s="80" t="s">
        <v>36</v>
      </c>
      <c r="G6907" s="161" t="s">
        <v>108</v>
      </c>
      <c r="H6907" s="80" t="s">
        <v>16695</v>
      </c>
      <c r="I6907" s="17">
        <f ca="1">IFERROR(__xludf.DUMMYFUNCTION("""COMPUTED_VALUE"""),45782)</f>
        <v>45782</v>
      </c>
      <c r="J6907" s="143" t="s">
        <v>21398</v>
      </c>
      <c r="K6907" s="80" t="s">
        <v>21399</v>
      </c>
      <c r="L6907" s="30">
        <v>818035501</v>
      </c>
      <c r="M6907" s="80" t="s">
        <v>1245</v>
      </c>
      <c r="N6907" s="80" t="s">
        <v>16195</v>
      </c>
      <c r="O6907" s="80" t="s">
        <v>21400</v>
      </c>
      <c r="P6907" s="144" t="s">
        <v>21401</v>
      </c>
      <c r="Q6907" s="20">
        <v>15936</v>
      </c>
      <c r="R6907" s="80" t="s">
        <v>11421</v>
      </c>
      <c r="S6907" s="95">
        <v>2000</v>
      </c>
      <c r="T6907" s="148">
        <v>45621</v>
      </c>
      <c r="U6907" s="95">
        <v>13636</v>
      </c>
      <c r="V6907" s="148">
        <v>45624</v>
      </c>
      <c r="W6907" s="85" t="s">
        <v>18199</v>
      </c>
      <c r="X6907" s="80"/>
      <c r="Y6907" s="22">
        <v>300</v>
      </c>
      <c r="Z6907" s="81" t="s">
        <v>50</v>
      </c>
      <c r="AA6907" s="82" t="s">
        <v>14723</v>
      </c>
      <c r="AB6907" s="80"/>
      <c r="AC6907" s="80" t="s">
        <v>53</v>
      </c>
      <c r="AD6907" s="80" t="s">
        <v>138</v>
      </c>
      <c r="AE6907" s="80"/>
      <c r="AF6907" s="17">
        <v>45756</v>
      </c>
      <c r="AG6907" s="143" t="s">
        <v>18196</v>
      </c>
      <c r="AH6907" s="80"/>
      <c r="AI6907" s="147"/>
      <c r="AJ6907" s="80"/>
      <c r="AK6907" s="80"/>
      <c r="AL6907" s="86"/>
      <c r="AM6907" s="86"/>
      <c r="AN6907" s="86"/>
      <c r="AO6907" s="86"/>
      <c r="AP6907" s="86"/>
    </row>
    <row r="6908" spans="1:42" x14ac:dyDescent="0.2">
      <c r="A6908" s="38">
        <v>45751</v>
      </c>
      <c r="B6908" s="137" t="s">
        <v>37</v>
      </c>
      <c r="C6908" s="41" t="s">
        <v>118</v>
      </c>
      <c r="D6908" s="80" t="s">
        <v>36</v>
      </c>
      <c r="E6908" s="80" t="s">
        <v>139</v>
      </c>
      <c r="F6908" s="80" t="s">
        <v>18328</v>
      </c>
      <c r="G6908" s="161" t="s">
        <v>221</v>
      </c>
      <c r="H6908" s="80" t="s">
        <v>21402</v>
      </c>
      <c r="I6908" s="17">
        <f ca="1">IFERROR(__xludf.DUMMYFUNCTION("""COMPUTED_VALUE"""),45765)</f>
        <v>45765</v>
      </c>
      <c r="J6908" s="143" t="s">
        <v>17400</v>
      </c>
      <c r="K6908" s="145" t="s">
        <v>17401</v>
      </c>
      <c r="L6908" s="30">
        <v>886896215</v>
      </c>
      <c r="M6908" s="80" t="s">
        <v>12720</v>
      </c>
      <c r="N6908" s="80" t="s">
        <v>1073</v>
      </c>
      <c r="O6908" s="80" t="s">
        <v>17402</v>
      </c>
      <c r="P6908" s="80" t="s">
        <v>14120</v>
      </c>
      <c r="Q6908" s="20">
        <v>15936</v>
      </c>
      <c r="R6908" s="80" t="s">
        <v>36</v>
      </c>
      <c r="S6908" s="95">
        <f>200+1800</f>
        <v>2000</v>
      </c>
      <c r="T6908" s="148" t="s">
        <v>17403</v>
      </c>
      <c r="U6908" s="95">
        <v>13936</v>
      </c>
      <c r="V6908" s="148">
        <v>45624</v>
      </c>
      <c r="W6908" s="85" t="s">
        <v>17404</v>
      </c>
      <c r="X6908" s="80"/>
      <c r="Y6908" s="22">
        <v>0</v>
      </c>
      <c r="Z6908" s="81" t="s">
        <v>50</v>
      </c>
      <c r="AA6908" s="86" t="s">
        <v>14723</v>
      </c>
      <c r="AB6908" s="80"/>
      <c r="AC6908" s="80" t="s">
        <v>53</v>
      </c>
      <c r="AD6908" s="80" t="s">
        <v>138</v>
      </c>
      <c r="AE6908" s="80" t="s">
        <v>18328</v>
      </c>
      <c r="AF6908" s="17">
        <v>45765</v>
      </c>
      <c r="AG6908" s="80"/>
      <c r="AH6908" s="80"/>
      <c r="AI6908" s="147"/>
      <c r="AJ6908" s="80"/>
      <c r="AK6908" s="80"/>
      <c r="AL6908" s="86"/>
      <c r="AM6908" s="86"/>
      <c r="AN6908" s="86"/>
      <c r="AO6908" s="86"/>
      <c r="AP6908" s="86"/>
    </row>
    <row r="6909" spans="1:42" x14ac:dyDescent="0.2">
      <c r="A6909" s="38">
        <v>45751</v>
      </c>
      <c r="B6909" s="137" t="s">
        <v>37</v>
      </c>
      <c r="C6909" s="41" t="s">
        <v>118</v>
      </c>
      <c r="D6909" s="80" t="s">
        <v>36</v>
      </c>
      <c r="E6909" s="80" t="s">
        <v>139</v>
      </c>
      <c r="F6909" s="80" t="s">
        <v>18328</v>
      </c>
      <c r="G6909" s="161" t="s">
        <v>221</v>
      </c>
      <c r="H6909" s="80" t="s">
        <v>21402</v>
      </c>
      <c r="I6909" s="17">
        <f ca="1">IFERROR(__xludf.DUMMYFUNCTION("""COMPUTED_VALUE"""),45765)</f>
        <v>45765</v>
      </c>
      <c r="J6909" s="143" t="s">
        <v>17405</v>
      </c>
      <c r="K6909" s="145" t="s">
        <v>18329</v>
      </c>
      <c r="L6909" s="30">
        <v>353292027</v>
      </c>
      <c r="M6909" s="80" t="s">
        <v>5558</v>
      </c>
      <c r="N6909" s="80" t="s">
        <v>850</v>
      </c>
      <c r="O6909" s="80" t="s">
        <v>17407</v>
      </c>
      <c r="P6909" s="80" t="s">
        <v>17408</v>
      </c>
      <c r="Q6909" s="20">
        <v>15936</v>
      </c>
      <c r="R6909" s="80" t="s">
        <v>36</v>
      </c>
      <c r="S6909" s="95">
        <v>2000</v>
      </c>
      <c r="T6909" s="148">
        <v>45568</v>
      </c>
      <c r="U6909" s="95">
        <v>13936</v>
      </c>
      <c r="V6909" s="148">
        <v>45621</v>
      </c>
      <c r="W6909" s="85" t="s">
        <v>17409</v>
      </c>
      <c r="X6909" s="80"/>
      <c r="Y6909" s="22">
        <v>0</v>
      </c>
      <c r="Z6909" s="81" t="s">
        <v>50</v>
      </c>
      <c r="AA6909" s="82" t="s">
        <v>14723</v>
      </c>
      <c r="AB6909" s="80"/>
      <c r="AC6909" s="80" t="s">
        <v>53</v>
      </c>
      <c r="AD6909" s="80" t="s">
        <v>138</v>
      </c>
      <c r="AE6909" s="80" t="s">
        <v>18328</v>
      </c>
      <c r="AF6909" s="17">
        <v>45765</v>
      </c>
      <c r="AG6909" s="80"/>
      <c r="AH6909" s="80"/>
      <c r="AI6909" s="147"/>
      <c r="AJ6909" s="80"/>
      <c r="AK6909" s="80"/>
      <c r="AL6909" s="86"/>
      <c r="AM6909" s="86"/>
      <c r="AN6909" s="86"/>
      <c r="AO6909" s="86"/>
      <c r="AP6909" s="86"/>
    </row>
    <row r="6910" spans="1:42" x14ac:dyDescent="0.2">
      <c r="A6910" s="38">
        <v>45751</v>
      </c>
      <c r="B6910" s="137" t="s">
        <v>37</v>
      </c>
      <c r="C6910" s="41" t="s">
        <v>118</v>
      </c>
      <c r="D6910" s="80" t="s">
        <v>36</v>
      </c>
      <c r="E6910" s="80" t="s">
        <v>139</v>
      </c>
      <c r="F6910" s="80" t="s">
        <v>18328</v>
      </c>
      <c r="G6910" s="161" t="s">
        <v>221</v>
      </c>
      <c r="H6910" s="80" t="s">
        <v>21402</v>
      </c>
      <c r="I6910" s="17">
        <f ca="1">IFERROR(__xludf.DUMMYFUNCTION("""COMPUTED_VALUE"""),45765)</f>
        <v>45765</v>
      </c>
      <c r="J6910" s="143" t="s">
        <v>17534</v>
      </c>
      <c r="K6910" s="145" t="s">
        <v>21403</v>
      </c>
      <c r="L6910" s="30">
        <v>968223076</v>
      </c>
      <c r="M6910" s="80" t="s">
        <v>12720</v>
      </c>
      <c r="N6910" s="80" t="s">
        <v>1073</v>
      </c>
      <c r="O6910" s="80" t="s">
        <v>17536</v>
      </c>
      <c r="P6910" s="80" t="s">
        <v>17537</v>
      </c>
      <c r="Q6910" s="20">
        <v>15936</v>
      </c>
      <c r="R6910" s="80" t="s">
        <v>36</v>
      </c>
      <c r="S6910" s="95">
        <f t="shared" ref="S6910:S6911" si="206">200+1800</f>
        <v>2000</v>
      </c>
      <c r="T6910" s="148" t="s">
        <v>17538</v>
      </c>
      <c r="U6910" s="95">
        <v>13936</v>
      </c>
      <c r="V6910" s="148">
        <v>45626</v>
      </c>
      <c r="W6910" s="85" t="s">
        <v>17539</v>
      </c>
      <c r="X6910" s="80"/>
      <c r="Y6910" s="22">
        <v>0</v>
      </c>
      <c r="Z6910" s="81" t="s">
        <v>50</v>
      </c>
      <c r="AA6910" s="86" t="s">
        <v>14723</v>
      </c>
      <c r="AB6910" s="80"/>
      <c r="AC6910" s="80" t="s">
        <v>53</v>
      </c>
      <c r="AD6910" s="80" t="s">
        <v>138</v>
      </c>
      <c r="AE6910" s="80" t="s">
        <v>18328</v>
      </c>
      <c r="AF6910" s="17">
        <v>45765</v>
      </c>
      <c r="AG6910" s="80"/>
      <c r="AH6910" s="80"/>
      <c r="AI6910" s="147"/>
      <c r="AJ6910" s="80"/>
      <c r="AK6910" s="80"/>
      <c r="AL6910" s="86"/>
      <c r="AM6910" s="86"/>
      <c r="AN6910" s="86"/>
      <c r="AO6910" s="86"/>
      <c r="AP6910" s="86"/>
    </row>
    <row r="6911" spans="1:42" x14ac:dyDescent="0.2">
      <c r="A6911" s="38">
        <v>45751</v>
      </c>
      <c r="B6911" s="137" t="s">
        <v>37</v>
      </c>
      <c r="C6911" s="41" t="s">
        <v>118</v>
      </c>
      <c r="D6911" s="80" t="s">
        <v>36</v>
      </c>
      <c r="E6911" s="80" t="s">
        <v>139</v>
      </c>
      <c r="F6911" s="80" t="s">
        <v>18328</v>
      </c>
      <c r="G6911" s="161" t="s">
        <v>221</v>
      </c>
      <c r="H6911" s="80" t="s">
        <v>21402</v>
      </c>
      <c r="I6911" s="17">
        <f ca="1">IFERROR(__xludf.DUMMYFUNCTION("""COMPUTED_VALUE"""),45765)</f>
        <v>45765</v>
      </c>
      <c r="J6911" s="143" t="s">
        <v>17548</v>
      </c>
      <c r="K6911" s="145" t="s">
        <v>654</v>
      </c>
      <c r="L6911" s="30">
        <v>353669085</v>
      </c>
      <c r="M6911" s="80" t="s">
        <v>12720</v>
      </c>
      <c r="N6911" s="80" t="s">
        <v>1073</v>
      </c>
      <c r="O6911" s="80" t="s">
        <v>17550</v>
      </c>
      <c r="P6911" s="80" t="s">
        <v>5794</v>
      </c>
      <c r="Q6911" s="20">
        <v>15936</v>
      </c>
      <c r="R6911" s="80" t="s">
        <v>36</v>
      </c>
      <c r="S6911" s="95">
        <f t="shared" si="206"/>
        <v>2000</v>
      </c>
      <c r="T6911" s="148" t="s">
        <v>17551</v>
      </c>
      <c r="U6911" s="95">
        <v>13936</v>
      </c>
      <c r="V6911" s="148">
        <v>45622</v>
      </c>
      <c r="W6911" s="85" t="s">
        <v>17552</v>
      </c>
      <c r="X6911" s="80"/>
      <c r="Y6911" s="22">
        <v>0</v>
      </c>
      <c r="Z6911" s="81" t="s">
        <v>50</v>
      </c>
      <c r="AA6911" s="82" t="s">
        <v>14723</v>
      </c>
      <c r="AB6911" s="80"/>
      <c r="AC6911" s="80" t="s">
        <v>53</v>
      </c>
      <c r="AD6911" s="80" t="s">
        <v>138</v>
      </c>
      <c r="AE6911" s="80" t="s">
        <v>18328</v>
      </c>
      <c r="AF6911" s="17">
        <v>45765</v>
      </c>
      <c r="AG6911" s="80"/>
      <c r="AH6911" s="80"/>
      <c r="AI6911" s="147"/>
      <c r="AJ6911" s="80"/>
      <c r="AK6911" s="80"/>
      <c r="AL6911" s="86"/>
      <c r="AM6911" s="86"/>
      <c r="AN6911" s="86"/>
      <c r="AO6911" s="86"/>
      <c r="AP6911" s="86"/>
    </row>
    <row r="6912" spans="1:42" x14ac:dyDescent="0.2">
      <c r="A6912" s="38">
        <v>45751</v>
      </c>
      <c r="B6912" s="137" t="s">
        <v>37</v>
      </c>
      <c r="C6912" s="41" t="s">
        <v>118</v>
      </c>
      <c r="D6912" s="80" t="s">
        <v>36</v>
      </c>
      <c r="E6912" s="80" t="s">
        <v>139</v>
      </c>
      <c r="F6912" s="80" t="s">
        <v>18328</v>
      </c>
      <c r="G6912" s="161" t="s">
        <v>221</v>
      </c>
      <c r="H6912" s="80" t="s">
        <v>21081</v>
      </c>
      <c r="I6912" s="17">
        <f ca="1">IFERROR(__xludf.DUMMYFUNCTION("""COMPUTED_VALUE"""),45818)</f>
        <v>45818</v>
      </c>
      <c r="J6912" s="143" t="s">
        <v>17655</v>
      </c>
      <c r="K6912" s="145" t="s">
        <v>21404</v>
      </c>
      <c r="L6912" s="30">
        <v>989905352</v>
      </c>
      <c r="M6912" s="80" t="s">
        <v>5429</v>
      </c>
      <c r="N6912" s="80" t="s">
        <v>1384</v>
      </c>
      <c r="O6912" s="80" t="s">
        <v>61</v>
      </c>
      <c r="P6912" s="80" t="s">
        <v>6368</v>
      </c>
      <c r="Q6912" s="20">
        <v>15936</v>
      </c>
      <c r="R6912" s="80" t="s">
        <v>36</v>
      </c>
      <c r="S6912" s="95">
        <v>2000</v>
      </c>
      <c r="T6912" s="148">
        <v>45589</v>
      </c>
      <c r="U6912" s="95">
        <v>13936</v>
      </c>
      <c r="V6912" s="148">
        <v>45619</v>
      </c>
      <c r="W6912" s="85" t="s">
        <v>17657</v>
      </c>
      <c r="X6912" s="80"/>
      <c r="Y6912" s="22">
        <v>0</v>
      </c>
      <c r="Z6912" s="81" t="s">
        <v>50</v>
      </c>
      <c r="AA6912" s="86" t="s">
        <v>14723</v>
      </c>
      <c r="AB6912" s="80"/>
      <c r="AC6912" s="80" t="s">
        <v>53</v>
      </c>
      <c r="AD6912" s="80" t="s">
        <v>138</v>
      </c>
      <c r="AE6912" s="80" t="s">
        <v>18328</v>
      </c>
      <c r="AF6912" s="17">
        <v>45765</v>
      </c>
      <c r="AG6912" s="80"/>
      <c r="AH6912" s="80"/>
      <c r="AI6912" s="147"/>
      <c r="AJ6912" s="80"/>
      <c r="AK6912" s="80"/>
      <c r="AL6912" s="86"/>
      <c r="AM6912" s="86"/>
      <c r="AN6912" s="86"/>
      <c r="AO6912" s="86"/>
      <c r="AP6912" s="86"/>
    </row>
    <row r="6913" spans="1:42" x14ac:dyDescent="0.2">
      <c r="A6913" s="38">
        <v>45751</v>
      </c>
      <c r="B6913" s="137" t="s">
        <v>37</v>
      </c>
      <c r="C6913" s="41" t="s">
        <v>118</v>
      </c>
      <c r="D6913" s="80" t="s">
        <v>36</v>
      </c>
      <c r="E6913" s="80" t="s">
        <v>139</v>
      </c>
      <c r="F6913" s="80" t="s">
        <v>18328</v>
      </c>
      <c r="G6913" s="161" t="s">
        <v>221</v>
      </c>
      <c r="H6913" s="80" t="s">
        <v>21402</v>
      </c>
      <c r="I6913" s="17">
        <f ca="1">IFERROR(__xludf.DUMMYFUNCTION("""COMPUTED_VALUE"""),45765)</f>
        <v>45765</v>
      </c>
      <c r="J6913" s="143" t="s">
        <v>18330</v>
      </c>
      <c r="K6913" s="145" t="s">
        <v>18331</v>
      </c>
      <c r="L6913" s="30">
        <v>979709519</v>
      </c>
      <c r="M6913" s="80" t="s">
        <v>3288</v>
      </c>
      <c r="N6913" s="80" t="s">
        <v>18332</v>
      </c>
      <c r="O6913" s="80" t="s">
        <v>61</v>
      </c>
      <c r="P6913" s="80" t="s">
        <v>5462</v>
      </c>
      <c r="Q6913" s="20">
        <v>15936</v>
      </c>
      <c r="R6913" s="80" t="s">
        <v>36</v>
      </c>
      <c r="S6913" s="95">
        <f>500+1468</f>
        <v>1968</v>
      </c>
      <c r="T6913" s="148" t="s">
        <v>18333</v>
      </c>
      <c r="U6913" s="95">
        <v>13968</v>
      </c>
      <c r="V6913" s="148">
        <v>45629</v>
      </c>
      <c r="W6913" s="85" t="s">
        <v>18334</v>
      </c>
      <c r="X6913" s="80"/>
      <c r="Y6913" s="22">
        <v>0</v>
      </c>
      <c r="Z6913" s="81" t="s">
        <v>50</v>
      </c>
      <c r="AA6913" s="82"/>
      <c r="AB6913" s="80"/>
      <c r="AC6913" s="80" t="s">
        <v>53</v>
      </c>
      <c r="AD6913" s="80" t="s">
        <v>138</v>
      </c>
      <c r="AE6913" s="80" t="s">
        <v>18328</v>
      </c>
      <c r="AF6913" s="17">
        <v>45765</v>
      </c>
      <c r="AG6913" s="80"/>
      <c r="AH6913" s="80"/>
      <c r="AI6913" s="147"/>
      <c r="AJ6913" s="80"/>
      <c r="AK6913" s="80"/>
      <c r="AL6913" s="86"/>
      <c r="AM6913" s="86"/>
      <c r="AN6913" s="86"/>
      <c r="AO6913" s="86"/>
      <c r="AP6913" s="86"/>
    </row>
    <row r="6914" spans="1:42" x14ac:dyDescent="0.2">
      <c r="A6914" s="38">
        <v>45751</v>
      </c>
      <c r="B6914" s="137" t="s">
        <v>37</v>
      </c>
      <c r="C6914" s="41" t="s">
        <v>118</v>
      </c>
      <c r="D6914" s="80" t="s">
        <v>36</v>
      </c>
      <c r="E6914" s="80" t="s">
        <v>56</v>
      </c>
      <c r="F6914" s="80" t="s">
        <v>18328</v>
      </c>
      <c r="G6914" s="161" t="s">
        <v>221</v>
      </c>
      <c r="H6914" s="80" t="s">
        <v>21405</v>
      </c>
      <c r="I6914" s="17">
        <f ca="1">IFERROR(__xludf.DUMMYFUNCTION("""COMPUTED_VALUE"""),45904)</f>
        <v>45904</v>
      </c>
      <c r="J6914" s="143" t="s">
        <v>17880</v>
      </c>
      <c r="K6914" s="145" t="s">
        <v>21406</v>
      </c>
      <c r="L6914" s="30">
        <v>329651386</v>
      </c>
      <c r="M6914" s="80" t="s">
        <v>5429</v>
      </c>
      <c r="N6914" s="80" t="s">
        <v>81</v>
      </c>
      <c r="O6914" s="80" t="s">
        <v>17882</v>
      </c>
      <c r="P6914" s="80" t="s">
        <v>6368</v>
      </c>
      <c r="Q6914" s="20">
        <v>9317</v>
      </c>
      <c r="R6914" s="80" t="s">
        <v>36</v>
      </c>
      <c r="S6914" s="95">
        <v>2000</v>
      </c>
      <c r="T6914" s="148">
        <v>45603</v>
      </c>
      <c r="U6914" s="95">
        <v>7317</v>
      </c>
      <c r="V6914" s="148">
        <v>45622</v>
      </c>
      <c r="W6914" s="85" t="s">
        <v>17883</v>
      </c>
      <c r="X6914" s="80"/>
      <c r="Y6914" s="22">
        <v>0</v>
      </c>
      <c r="Z6914" s="81" t="s">
        <v>50</v>
      </c>
      <c r="AA6914" s="86" t="s">
        <v>14723</v>
      </c>
      <c r="AB6914" s="80"/>
      <c r="AC6914" s="80" t="s">
        <v>53</v>
      </c>
      <c r="AD6914" s="80" t="s">
        <v>138</v>
      </c>
      <c r="AE6914" s="80" t="s">
        <v>18328</v>
      </c>
      <c r="AF6914" s="17">
        <v>45765</v>
      </c>
      <c r="AG6914" s="80" t="s">
        <v>8366</v>
      </c>
      <c r="AH6914" s="80"/>
      <c r="AI6914" s="147"/>
      <c r="AJ6914" s="80"/>
      <c r="AK6914" s="80"/>
      <c r="AL6914" s="86"/>
      <c r="AM6914" s="86"/>
      <c r="AN6914" s="86"/>
      <c r="AO6914" s="86"/>
      <c r="AP6914" s="86"/>
    </row>
    <row r="6915" spans="1:42" x14ac:dyDescent="0.2">
      <c r="A6915" s="38">
        <v>45751</v>
      </c>
      <c r="B6915" s="137" t="s">
        <v>37</v>
      </c>
      <c r="C6915" s="41" t="s">
        <v>118</v>
      </c>
      <c r="D6915" s="80" t="s">
        <v>36</v>
      </c>
      <c r="E6915" s="80" t="s">
        <v>139</v>
      </c>
      <c r="F6915" s="80" t="s">
        <v>18328</v>
      </c>
      <c r="G6915" s="161" t="s">
        <v>221</v>
      </c>
      <c r="H6915" s="80" t="s">
        <v>21402</v>
      </c>
      <c r="I6915" s="17">
        <f ca="1">IFERROR(__xludf.DUMMYFUNCTION("""COMPUTED_VALUE"""),45765)</f>
        <v>45765</v>
      </c>
      <c r="J6915" s="143" t="s">
        <v>13144</v>
      </c>
      <c r="K6915" s="145" t="s">
        <v>18335</v>
      </c>
      <c r="L6915" s="30">
        <v>353303631</v>
      </c>
      <c r="M6915" s="80" t="s">
        <v>45</v>
      </c>
      <c r="N6915" s="80" t="s">
        <v>5312</v>
      </c>
      <c r="O6915" s="80" t="s">
        <v>13146</v>
      </c>
      <c r="P6915" s="144" t="s">
        <v>13147</v>
      </c>
      <c r="Q6915" s="20">
        <v>15936</v>
      </c>
      <c r="R6915" s="80" t="s">
        <v>36</v>
      </c>
      <c r="S6915" s="95">
        <v>15936</v>
      </c>
      <c r="T6915" s="148">
        <v>45550</v>
      </c>
      <c r="U6915" s="77"/>
      <c r="V6915" s="78"/>
      <c r="W6915" s="85" t="s">
        <v>13148</v>
      </c>
      <c r="X6915" s="83">
        <v>0</v>
      </c>
      <c r="Y6915" s="22">
        <v>0</v>
      </c>
      <c r="Z6915" s="81" t="s">
        <v>50</v>
      </c>
      <c r="AA6915" s="82" t="s">
        <v>3291</v>
      </c>
      <c r="AB6915" s="80"/>
      <c r="AC6915" s="80" t="s">
        <v>53</v>
      </c>
      <c r="AD6915" s="80" t="s">
        <v>138</v>
      </c>
      <c r="AE6915" s="80" t="s">
        <v>18328</v>
      </c>
      <c r="AF6915" s="17">
        <v>45765</v>
      </c>
      <c r="AG6915" s="80"/>
      <c r="AH6915" s="80"/>
      <c r="AI6915" s="147" t="s">
        <v>147</v>
      </c>
      <c r="AJ6915" s="80"/>
      <c r="AK6915" s="80"/>
      <c r="AL6915" s="86"/>
      <c r="AM6915" s="86"/>
      <c r="AN6915" s="86"/>
      <c r="AO6915" s="86"/>
      <c r="AP6915" s="86"/>
    </row>
    <row r="6916" spans="1:42" x14ac:dyDescent="0.2">
      <c r="A6916" s="38">
        <v>45751</v>
      </c>
      <c r="B6916" s="137" t="s">
        <v>37</v>
      </c>
      <c r="C6916" s="41" t="s">
        <v>118</v>
      </c>
      <c r="D6916" s="80" t="s">
        <v>36</v>
      </c>
      <c r="E6916" s="80" t="s">
        <v>139</v>
      </c>
      <c r="F6916" s="80" t="s">
        <v>18328</v>
      </c>
      <c r="G6916" s="161" t="s">
        <v>221</v>
      </c>
      <c r="H6916" s="80" t="s">
        <v>21402</v>
      </c>
      <c r="I6916" s="17">
        <f ca="1">IFERROR(__xludf.DUMMYFUNCTION("""COMPUTED_VALUE"""),45765)</f>
        <v>45765</v>
      </c>
      <c r="J6916" s="143" t="s">
        <v>18336</v>
      </c>
      <c r="K6916" s="145" t="s">
        <v>18337</v>
      </c>
      <c r="L6916" s="30">
        <v>965343654</v>
      </c>
      <c r="M6916" s="80" t="s">
        <v>12529</v>
      </c>
      <c r="N6916" s="80" t="s">
        <v>13566</v>
      </c>
      <c r="O6916" s="80" t="s">
        <v>18338</v>
      </c>
      <c r="P6916" s="80" t="s">
        <v>18339</v>
      </c>
      <c r="Q6916" s="20">
        <v>15936</v>
      </c>
      <c r="R6916" s="80" t="s">
        <v>36</v>
      </c>
      <c r="S6916" s="95">
        <f>200+1800</f>
        <v>2000</v>
      </c>
      <c r="T6916" s="148" t="s">
        <v>18340</v>
      </c>
      <c r="U6916" s="95">
        <v>13936</v>
      </c>
      <c r="V6916" s="148">
        <v>45624</v>
      </c>
      <c r="W6916" s="80" t="s">
        <v>18341</v>
      </c>
      <c r="X6916" s="80"/>
      <c r="Y6916" s="22">
        <v>0</v>
      </c>
      <c r="Z6916" s="80"/>
      <c r="AA6916" s="86"/>
      <c r="AB6916" s="80"/>
      <c r="AC6916" s="80" t="s">
        <v>53</v>
      </c>
      <c r="AD6916" s="80" t="s">
        <v>138</v>
      </c>
      <c r="AE6916" s="80" t="s">
        <v>18328</v>
      </c>
      <c r="AF6916" s="17">
        <v>45765</v>
      </c>
      <c r="AG6916" s="80"/>
      <c r="AH6916" s="80"/>
      <c r="AI6916" s="147"/>
      <c r="AJ6916" s="80"/>
      <c r="AK6916" s="80"/>
      <c r="AL6916" s="86"/>
      <c r="AM6916" s="86"/>
      <c r="AN6916" s="86"/>
      <c r="AO6916" s="86"/>
      <c r="AP6916" s="86"/>
    </row>
    <row r="6917" spans="1:42" x14ac:dyDescent="0.2">
      <c r="A6917" s="38">
        <v>45751</v>
      </c>
      <c r="B6917" s="137" t="s">
        <v>37</v>
      </c>
      <c r="C6917" s="41" t="s">
        <v>118</v>
      </c>
      <c r="D6917" s="80" t="s">
        <v>36</v>
      </c>
      <c r="E6917" s="80" t="s">
        <v>56</v>
      </c>
      <c r="F6917" s="80" t="s">
        <v>18328</v>
      </c>
      <c r="G6917" s="161" t="s">
        <v>221</v>
      </c>
      <c r="H6917" s="80" t="s">
        <v>21402</v>
      </c>
      <c r="I6917" s="17">
        <f ca="1">IFERROR(__xludf.DUMMYFUNCTION("""COMPUTED_VALUE"""),45765)</f>
        <v>45765</v>
      </c>
      <c r="J6917" s="143" t="s">
        <v>17889</v>
      </c>
      <c r="K6917" s="145" t="s">
        <v>17890</v>
      </c>
      <c r="L6917" s="30">
        <v>865742951</v>
      </c>
      <c r="M6917" s="80" t="s">
        <v>9422</v>
      </c>
      <c r="N6917" s="80" t="s">
        <v>327</v>
      </c>
      <c r="O6917" s="80" t="s">
        <v>91</v>
      </c>
      <c r="P6917" s="80" t="s">
        <v>3117</v>
      </c>
      <c r="Q6917" s="20">
        <v>9317</v>
      </c>
      <c r="R6917" s="80" t="s">
        <v>36</v>
      </c>
      <c r="S6917" s="95">
        <f>500+1500</f>
        <v>2000</v>
      </c>
      <c r="T6917" s="148" t="s">
        <v>17891</v>
      </c>
      <c r="U6917" s="95">
        <v>7317</v>
      </c>
      <c r="V6917" s="148">
        <v>45614</v>
      </c>
      <c r="W6917" s="85" t="s">
        <v>17892</v>
      </c>
      <c r="X6917" s="80"/>
      <c r="Y6917" s="22">
        <v>0</v>
      </c>
      <c r="Z6917" s="81" t="s">
        <v>50</v>
      </c>
      <c r="AA6917" s="82" t="s">
        <v>14723</v>
      </c>
      <c r="AB6917" s="80"/>
      <c r="AC6917" s="80" t="s">
        <v>53</v>
      </c>
      <c r="AD6917" s="80" t="s">
        <v>138</v>
      </c>
      <c r="AE6917" s="80" t="s">
        <v>18328</v>
      </c>
      <c r="AF6917" s="17">
        <v>45765</v>
      </c>
      <c r="AG6917" s="80"/>
      <c r="AH6917" s="80"/>
      <c r="AI6917" s="147"/>
      <c r="AJ6917" s="80"/>
      <c r="AK6917" s="80"/>
      <c r="AL6917" s="86"/>
      <c r="AM6917" s="86"/>
      <c r="AN6917" s="86"/>
      <c r="AO6917" s="86"/>
      <c r="AP6917" s="86"/>
    </row>
    <row r="6918" spans="1:42" x14ac:dyDescent="0.2">
      <c r="A6918" s="38">
        <v>45751</v>
      </c>
      <c r="B6918" s="137" t="s">
        <v>37</v>
      </c>
      <c r="C6918" s="41" t="s">
        <v>118</v>
      </c>
      <c r="D6918" s="80" t="s">
        <v>36</v>
      </c>
      <c r="E6918" s="80" t="s">
        <v>139</v>
      </c>
      <c r="F6918" s="80" t="s">
        <v>18328</v>
      </c>
      <c r="G6918" s="161" t="s">
        <v>221</v>
      </c>
      <c r="H6918" s="80" t="s">
        <v>21407</v>
      </c>
      <c r="I6918" s="17">
        <f ca="1">IFERROR(__xludf.DUMMYFUNCTION("""COMPUTED_VALUE"""),45905)</f>
        <v>45905</v>
      </c>
      <c r="J6918" s="143" t="s">
        <v>17720</v>
      </c>
      <c r="K6918" s="145" t="s">
        <v>21408</v>
      </c>
      <c r="L6918" s="30">
        <v>398762006</v>
      </c>
      <c r="M6918" s="80" t="s">
        <v>12529</v>
      </c>
      <c r="N6918" s="80" t="s">
        <v>13566</v>
      </c>
      <c r="O6918" s="80" t="s">
        <v>17722</v>
      </c>
      <c r="P6918" s="144" t="s">
        <v>18402</v>
      </c>
      <c r="Q6918" s="20">
        <v>15936</v>
      </c>
      <c r="R6918" s="80" t="s">
        <v>36</v>
      </c>
      <c r="S6918" s="95">
        <f>200+1800</f>
        <v>2000</v>
      </c>
      <c r="T6918" s="148" t="s">
        <v>17724</v>
      </c>
      <c r="U6918" s="95">
        <v>13936</v>
      </c>
      <c r="V6918" s="148">
        <v>45624</v>
      </c>
      <c r="W6918" s="85" t="s">
        <v>17725</v>
      </c>
      <c r="X6918" s="80"/>
      <c r="Y6918" s="22">
        <v>0</v>
      </c>
      <c r="Z6918" s="81" t="s">
        <v>50</v>
      </c>
      <c r="AA6918" s="86" t="s">
        <v>14723</v>
      </c>
      <c r="AB6918" s="80"/>
      <c r="AC6918" s="80" t="s">
        <v>53</v>
      </c>
      <c r="AD6918" s="80" t="s">
        <v>138</v>
      </c>
      <c r="AE6918" s="80" t="s">
        <v>18328</v>
      </c>
      <c r="AF6918" s="17">
        <v>45905</v>
      </c>
      <c r="AG6918" s="80"/>
      <c r="AH6918" s="80"/>
      <c r="AI6918" s="147"/>
      <c r="AJ6918" s="80"/>
      <c r="AK6918" s="80"/>
      <c r="AL6918" s="86"/>
      <c r="AM6918" s="86"/>
      <c r="AN6918" s="86"/>
      <c r="AO6918" s="86"/>
      <c r="AP6918" s="86"/>
    </row>
    <row r="6919" spans="1:42" x14ac:dyDescent="0.2">
      <c r="A6919" s="38">
        <v>45751</v>
      </c>
      <c r="B6919" s="137" t="s">
        <v>37</v>
      </c>
      <c r="C6919" s="41" t="s">
        <v>118</v>
      </c>
      <c r="D6919" s="80" t="s">
        <v>36</v>
      </c>
      <c r="E6919" s="80" t="s">
        <v>139</v>
      </c>
      <c r="F6919" s="80" t="s">
        <v>18328</v>
      </c>
      <c r="G6919" s="161" t="s">
        <v>221</v>
      </c>
      <c r="H6919" s="80" t="s">
        <v>20343</v>
      </c>
      <c r="I6919" s="17">
        <f ca="1">IFERROR(__xludf.DUMMYFUNCTION("""COMPUTED_VALUE"""),45852)</f>
        <v>45852</v>
      </c>
      <c r="J6919" s="143" t="s">
        <v>17644</v>
      </c>
      <c r="K6919" s="145" t="s">
        <v>21409</v>
      </c>
      <c r="L6919" s="30">
        <v>348555806</v>
      </c>
      <c r="M6919" s="80" t="s">
        <v>5558</v>
      </c>
      <c r="N6919" s="80" t="s">
        <v>5277</v>
      </c>
      <c r="O6919" s="80" t="s">
        <v>4503</v>
      </c>
      <c r="P6919" s="80" t="s">
        <v>17646</v>
      </c>
      <c r="Q6919" s="20">
        <v>15936</v>
      </c>
      <c r="R6919" s="80" t="s">
        <v>36</v>
      </c>
      <c r="S6919" s="95">
        <f>2000+6968</f>
        <v>8968</v>
      </c>
      <c r="T6919" s="148" t="s">
        <v>17647</v>
      </c>
      <c r="U6919" s="95">
        <v>6968</v>
      </c>
      <c r="V6919" s="148">
        <v>45621</v>
      </c>
      <c r="W6919" s="85" t="s">
        <v>17648</v>
      </c>
      <c r="X6919" s="80"/>
      <c r="Y6919" s="22">
        <v>0</v>
      </c>
      <c r="Z6919" s="81" t="s">
        <v>50</v>
      </c>
      <c r="AA6919" s="82" t="s">
        <v>14723</v>
      </c>
      <c r="AB6919" s="80"/>
      <c r="AC6919" s="80" t="s">
        <v>53</v>
      </c>
      <c r="AD6919" s="80" t="s">
        <v>138</v>
      </c>
      <c r="AE6919" s="80" t="s">
        <v>18328</v>
      </c>
      <c r="AF6919" s="17">
        <v>45852</v>
      </c>
      <c r="AG6919" s="80"/>
      <c r="AH6919" s="80"/>
      <c r="AI6919" s="147"/>
      <c r="AJ6919" s="80"/>
      <c r="AK6919" s="80"/>
      <c r="AL6919" s="86"/>
      <c r="AM6919" s="86"/>
      <c r="AN6919" s="86"/>
      <c r="AO6919" s="86"/>
      <c r="AP6919" s="86"/>
    </row>
    <row r="6920" spans="1:42" x14ac:dyDescent="0.2">
      <c r="A6920" s="38">
        <v>45751</v>
      </c>
      <c r="B6920" s="137" t="s">
        <v>37</v>
      </c>
      <c r="C6920" s="41" t="s">
        <v>118</v>
      </c>
      <c r="D6920" s="80" t="s">
        <v>36</v>
      </c>
      <c r="E6920" s="80" t="s">
        <v>139</v>
      </c>
      <c r="F6920" s="80" t="s">
        <v>18328</v>
      </c>
      <c r="G6920" s="161" t="s">
        <v>221</v>
      </c>
      <c r="H6920" s="80" t="s">
        <v>21402</v>
      </c>
      <c r="I6920" s="17">
        <f ca="1">IFERROR(__xludf.DUMMYFUNCTION("""COMPUTED_VALUE"""),45765)</f>
        <v>45765</v>
      </c>
      <c r="J6920" s="143" t="s">
        <v>18408</v>
      </c>
      <c r="K6920" s="145" t="s">
        <v>18409</v>
      </c>
      <c r="L6920" s="30">
        <v>989279209</v>
      </c>
      <c r="M6920" s="80" t="s">
        <v>12529</v>
      </c>
      <c r="N6920" s="80" t="s">
        <v>466</v>
      </c>
      <c r="O6920" s="80" t="s">
        <v>18410</v>
      </c>
      <c r="P6920" s="80" t="s">
        <v>18411</v>
      </c>
      <c r="Q6920" s="20">
        <v>15936</v>
      </c>
      <c r="R6920" s="80" t="s">
        <v>70</v>
      </c>
      <c r="S6920" s="95">
        <f>200+1800</f>
        <v>2000</v>
      </c>
      <c r="T6920" s="148" t="s">
        <v>18412</v>
      </c>
      <c r="U6920" s="95">
        <v>13936</v>
      </c>
      <c r="V6920" s="148">
        <v>45650</v>
      </c>
      <c r="W6920" s="85" t="s">
        <v>18413</v>
      </c>
      <c r="X6920" s="80"/>
      <c r="Y6920" s="22">
        <v>0</v>
      </c>
      <c r="Z6920" s="80"/>
      <c r="AA6920" s="86"/>
      <c r="AB6920" s="80"/>
      <c r="AC6920" s="80" t="s">
        <v>53</v>
      </c>
      <c r="AD6920" s="80" t="s">
        <v>138</v>
      </c>
      <c r="AE6920" s="80" t="s">
        <v>18328</v>
      </c>
      <c r="AF6920" s="17">
        <v>45765</v>
      </c>
      <c r="AG6920" s="80"/>
      <c r="AH6920" s="80"/>
      <c r="AI6920" s="147"/>
      <c r="AJ6920" s="80"/>
      <c r="AK6920" s="80"/>
      <c r="AL6920" s="86"/>
      <c r="AM6920" s="86"/>
      <c r="AN6920" s="86"/>
      <c r="AO6920" s="86"/>
      <c r="AP6920" s="86"/>
    </row>
    <row r="6921" spans="1:42" x14ac:dyDescent="0.2">
      <c r="A6921" s="38">
        <v>45751</v>
      </c>
      <c r="B6921" s="137" t="s">
        <v>37</v>
      </c>
      <c r="C6921" s="41" t="s">
        <v>118</v>
      </c>
      <c r="D6921" s="80" t="s">
        <v>36</v>
      </c>
      <c r="E6921" s="80" t="s">
        <v>148</v>
      </c>
      <c r="F6921" s="80" t="s">
        <v>18328</v>
      </c>
      <c r="G6921" s="161" t="s">
        <v>221</v>
      </c>
      <c r="H6921" s="80" t="s">
        <v>21402</v>
      </c>
      <c r="I6921" s="17">
        <f ca="1">IFERROR(__xludf.DUMMYFUNCTION("""COMPUTED_VALUE"""),45765)</f>
        <v>45765</v>
      </c>
      <c r="J6921" s="143" t="s">
        <v>18427</v>
      </c>
      <c r="K6921" s="145" t="s">
        <v>21410</v>
      </c>
      <c r="L6921" s="30">
        <v>944627756</v>
      </c>
      <c r="M6921" s="80" t="s">
        <v>45</v>
      </c>
      <c r="N6921" s="80" t="s">
        <v>565</v>
      </c>
      <c r="O6921" s="80" t="s">
        <v>18429</v>
      </c>
      <c r="P6921" s="80" t="s">
        <v>18430</v>
      </c>
      <c r="Q6921" s="20">
        <v>16779</v>
      </c>
      <c r="R6921" s="80" t="s">
        <v>36</v>
      </c>
      <c r="S6921" s="95">
        <v>16779</v>
      </c>
      <c r="T6921" s="148">
        <v>45208</v>
      </c>
      <c r="U6921" s="77"/>
      <c r="V6921" s="78"/>
      <c r="W6921" s="85" t="s">
        <v>18431</v>
      </c>
      <c r="X6921" s="83">
        <v>0</v>
      </c>
      <c r="Y6921" s="22">
        <v>0</v>
      </c>
      <c r="Z6921" s="41" t="s">
        <v>118</v>
      </c>
      <c r="AA6921" s="82" t="s">
        <v>3454</v>
      </c>
      <c r="AB6921" s="80" t="s">
        <v>36</v>
      </c>
      <c r="AC6921" s="80" t="s">
        <v>53</v>
      </c>
      <c r="AD6921" s="80" t="s">
        <v>54</v>
      </c>
      <c r="AE6921" s="80" t="s">
        <v>18328</v>
      </c>
      <c r="AF6921" s="17">
        <v>45765</v>
      </c>
      <c r="AG6921" s="80"/>
      <c r="AH6921" s="147"/>
      <c r="AI6921" s="147"/>
      <c r="AJ6921" s="80"/>
      <c r="AK6921" s="80"/>
      <c r="AL6921" s="80"/>
      <c r="AM6921" s="86"/>
      <c r="AN6921" s="86"/>
      <c r="AO6921" s="86"/>
      <c r="AP6921" s="86"/>
    </row>
    <row r="6922" spans="1:42" x14ac:dyDescent="0.2">
      <c r="A6922" s="38">
        <v>45751</v>
      </c>
      <c r="B6922" s="137" t="s">
        <v>37</v>
      </c>
      <c r="C6922" s="41" t="s">
        <v>118</v>
      </c>
      <c r="D6922" s="80" t="s">
        <v>36</v>
      </c>
      <c r="E6922" s="80" t="s">
        <v>139</v>
      </c>
      <c r="F6922" s="80" t="s">
        <v>18328</v>
      </c>
      <c r="G6922" s="161" t="s">
        <v>221</v>
      </c>
      <c r="H6922" s="80" t="s">
        <v>21198</v>
      </c>
      <c r="I6922" s="17">
        <f ca="1">IFERROR(__xludf.DUMMYFUNCTION("""COMPUTED_VALUE"""),45842)</f>
        <v>45842</v>
      </c>
      <c r="J6922" s="143" t="s">
        <v>17736</v>
      </c>
      <c r="K6922" s="145" t="s">
        <v>21411</v>
      </c>
      <c r="L6922" s="30">
        <v>378222042</v>
      </c>
      <c r="M6922" s="80" t="s">
        <v>5429</v>
      </c>
      <c r="N6922" s="80" t="s">
        <v>81</v>
      </c>
      <c r="O6922" s="80" t="s">
        <v>17737</v>
      </c>
      <c r="P6922" s="211" t="s">
        <v>21412</v>
      </c>
      <c r="Q6922" s="20">
        <v>15936</v>
      </c>
      <c r="R6922" s="80" t="s">
        <v>36</v>
      </c>
      <c r="S6922" s="95">
        <f t="shared" ref="S6922:S6923" si="207">200+1800</f>
        <v>2000</v>
      </c>
      <c r="T6922" s="148" t="s">
        <v>17738</v>
      </c>
      <c r="U6922" s="95">
        <v>13936</v>
      </c>
      <c r="V6922" s="148">
        <v>45622</v>
      </c>
      <c r="W6922" s="85" t="s">
        <v>17739</v>
      </c>
      <c r="X6922" s="80"/>
      <c r="Y6922" s="22">
        <v>0</v>
      </c>
      <c r="Z6922" s="81" t="s">
        <v>50</v>
      </c>
      <c r="AA6922" s="86" t="s">
        <v>14723</v>
      </c>
      <c r="AB6922" s="80"/>
      <c r="AC6922" s="80" t="s">
        <v>53</v>
      </c>
      <c r="AD6922" s="80" t="s">
        <v>138</v>
      </c>
      <c r="AE6922" s="80" t="s">
        <v>18328</v>
      </c>
      <c r="AF6922" s="17">
        <v>45791</v>
      </c>
      <c r="AG6922" s="80"/>
      <c r="AH6922" s="80"/>
      <c r="AI6922" s="147"/>
      <c r="AJ6922" s="80"/>
      <c r="AK6922" s="80"/>
      <c r="AL6922" s="86"/>
      <c r="AM6922" s="86"/>
      <c r="AN6922" s="86"/>
      <c r="AO6922" s="86"/>
      <c r="AP6922" s="86"/>
    </row>
    <row r="6923" spans="1:42" x14ac:dyDescent="0.2">
      <c r="A6923" s="38">
        <v>45751</v>
      </c>
      <c r="B6923" s="137" t="s">
        <v>37</v>
      </c>
      <c r="C6923" s="41" t="s">
        <v>118</v>
      </c>
      <c r="D6923" s="80" t="s">
        <v>36</v>
      </c>
      <c r="E6923" s="80" t="s">
        <v>139</v>
      </c>
      <c r="F6923" s="80" t="s">
        <v>18344</v>
      </c>
      <c r="G6923" s="161" t="s">
        <v>221</v>
      </c>
      <c r="H6923" s="80" t="s">
        <v>20114</v>
      </c>
      <c r="I6923" s="17">
        <f ca="1">IFERROR(__xludf.DUMMYFUNCTION("""COMPUTED_VALUE"""),45771)</f>
        <v>45771</v>
      </c>
      <c r="J6923" s="143" t="s">
        <v>15452</v>
      </c>
      <c r="K6923" s="145" t="s">
        <v>18343</v>
      </c>
      <c r="L6923" s="30">
        <v>819987081</v>
      </c>
      <c r="M6923" s="80" t="s">
        <v>12644</v>
      </c>
      <c r="N6923" s="80" t="s">
        <v>8725</v>
      </c>
      <c r="O6923" s="80" t="s">
        <v>15454</v>
      </c>
      <c r="P6923" s="80" t="s">
        <v>14107</v>
      </c>
      <c r="Q6923" s="20">
        <v>15936</v>
      </c>
      <c r="R6923" s="80" t="s">
        <v>36</v>
      </c>
      <c r="S6923" s="95">
        <f t="shared" si="207"/>
        <v>2000</v>
      </c>
      <c r="T6923" s="148" t="s">
        <v>15455</v>
      </c>
      <c r="U6923" s="95">
        <v>13936</v>
      </c>
      <c r="V6923" s="148">
        <v>45596</v>
      </c>
      <c r="W6923" s="85" t="s">
        <v>15456</v>
      </c>
      <c r="X6923" s="80"/>
      <c r="Y6923" s="22">
        <v>0</v>
      </c>
      <c r="Z6923" s="81" t="s">
        <v>50</v>
      </c>
      <c r="AA6923" s="82" t="s">
        <v>9905</v>
      </c>
      <c r="AB6923" s="80"/>
      <c r="AC6923" s="80" t="s">
        <v>53</v>
      </c>
      <c r="AD6923" s="80" t="s">
        <v>138</v>
      </c>
      <c r="AE6923" s="80" t="s">
        <v>18344</v>
      </c>
      <c r="AF6923" s="17">
        <v>45785</v>
      </c>
      <c r="AG6923" s="80"/>
      <c r="AH6923" s="80"/>
      <c r="AI6923" s="147"/>
      <c r="AJ6923" s="80"/>
      <c r="AK6923" s="80"/>
      <c r="AL6923" s="86"/>
      <c r="AM6923" s="86"/>
      <c r="AN6923" s="86"/>
      <c r="AO6923" s="86"/>
      <c r="AP6923" s="86"/>
    </row>
    <row r="6924" spans="1:42" x14ac:dyDescent="0.2">
      <c r="A6924" s="38">
        <v>45751</v>
      </c>
      <c r="B6924" s="137" t="s">
        <v>37</v>
      </c>
      <c r="C6924" s="41" t="s">
        <v>118</v>
      </c>
      <c r="D6924" s="80" t="s">
        <v>36</v>
      </c>
      <c r="E6924" s="80" t="s">
        <v>56</v>
      </c>
      <c r="F6924" s="80" t="s">
        <v>18344</v>
      </c>
      <c r="G6924" s="161" t="s">
        <v>221</v>
      </c>
      <c r="H6924" s="80" t="s">
        <v>19519</v>
      </c>
      <c r="I6924" s="17">
        <f ca="1">IFERROR(__xludf.DUMMYFUNCTION("""COMPUTED_VALUE"""),45852)</f>
        <v>45852</v>
      </c>
      <c r="J6924" s="143" t="s">
        <v>16213</v>
      </c>
      <c r="K6924" s="145" t="s">
        <v>21413</v>
      </c>
      <c r="L6924" s="30">
        <v>329966093</v>
      </c>
      <c r="M6924" s="80" t="s">
        <v>59</v>
      </c>
      <c r="N6924" s="80" t="s">
        <v>7304</v>
      </c>
      <c r="O6924" s="80" t="s">
        <v>16214</v>
      </c>
      <c r="P6924" s="80" t="s">
        <v>21414</v>
      </c>
      <c r="Q6924" s="20">
        <v>9317</v>
      </c>
      <c r="R6924" s="80" t="s">
        <v>36</v>
      </c>
      <c r="S6924" s="95">
        <f>200+9117</f>
        <v>9317</v>
      </c>
      <c r="T6924" s="148" t="s">
        <v>16216</v>
      </c>
      <c r="U6924" s="77"/>
      <c r="V6924" s="78"/>
      <c r="W6924" s="85" t="s">
        <v>16217</v>
      </c>
      <c r="X6924" s="80"/>
      <c r="Y6924" s="22">
        <v>0</v>
      </c>
      <c r="Z6924" s="81" t="s">
        <v>50</v>
      </c>
      <c r="AA6924" s="86" t="s">
        <v>9905</v>
      </c>
      <c r="AB6924" s="80"/>
      <c r="AC6924" s="80" t="s">
        <v>53</v>
      </c>
      <c r="AD6924" s="80" t="s">
        <v>138</v>
      </c>
      <c r="AE6924" s="80" t="s">
        <v>18344</v>
      </c>
      <c r="AF6924" s="17">
        <v>45852</v>
      </c>
      <c r="AG6924" s="80"/>
      <c r="AH6924" s="80"/>
      <c r="AI6924" s="147"/>
      <c r="AJ6924" s="80"/>
      <c r="AK6924" s="80"/>
      <c r="AL6924" s="86"/>
      <c r="AM6924" s="86"/>
      <c r="AN6924" s="86"/>
      <c r="AO6924" s="86"/>
      <c r="AP6924" s="86"/>
    </row>
    <row r="6925" spans="1:42" x14ac:dyDescent="0.2">
      <c r="A6925" s="38">
        <v>45751</v>
      </c>
      <c r="B6925" s="137" t="s">
        <v>37</v>
      </c>
      <c r="C6925" s="41" t="s">
        <v>118</v>
      </c>
      <c r="D6925" s="80" t="s">
        <v>36</v>
      </c>
      <c r="E6925" s="80" t="s">
        <v>56</v>
      </c>
      <c r="F6925" s="80" t="s">
        <v>18344</v>
      </c>
      <c r="G6925" s="161" t="s">
        <v>221</v>
      </c>
      <c r="H6925" s="80" t="s">
        <v>9944</v>
      </c>
      <c r="I6925" s="17">
        <f ca="1">IFERROR(__xludf.DUMMYFUNCTION("""COMPUTED_VALUE"""),45820)</f>
        <v>45820</v>
      </c>
      <c r="J6925" s="143" t="s">
        <v>16422</v>
      </c>
      <c r="K6925" s="145" t="s">
        <v>21415</v>
      </c>
      <c r="L6925" s="30">
        <v>354447639</v>
      </c>
      <c r="M6925" s="80" t="s">
        <v>9422</v>
      </c>
      <c r="N6925" s="80" t="s">
        <v>12670</v>
      </c>
      <c r="O6925" s="80" t="s">
        <v>16424</v>
      </c>
      <c r="P6925" s="80" t="s">
        <v>21416</v>
      </c>
      <c r="Q6925" s="20">
        <v>9317</v>
      </c>
      <c r="R6925" s="80" t="s">
        <v>70</v>
      </c>
      <c r="S6925" s="95">
        <v>2000</v>
      </c>
      <c r="T6925" s="148">
        <v>45584</v>
      </c>
      <c r="U6925" s="95">
        <v>7217</v>
      </c>
      <c r="V6925" s="148">
        <v>45587</v>
      </c>
      <c r="W6925" s="85" t="s">
        <v>16426</v>
      </c>
      <c r="X6925" s="80"/>
      <c r="Y6925" s="22">
        <v>100</v>
      </c>
      <c r="Z6925" s="81" t="s">
        <v>50</v>
      </c>
      <c r="AA6925" s="82" t="s">
        <v>9905</v>
      </c>
      <c r="AB6925" s="80"/>
      <c r="AC6925" s="80" t="s">
        <v>53</v>
      </c>
      <c r="AD6925" s="80" t="s">
        <v>138</v>
      </c>
      <c r="AE6925" s="80" t="s">
        <v>18344</v>
      </c>
      <c r="AF6925" s="17">
        <v>45807</v>
      </c>
      <c r="AG6925" s="80"/>
      <c r="AH6925" s="80"/>
      <c r="AI6925" s="147"/>
      <c r="AJ6925" s="80"/>
      <c r="AK6925" s="80"/>
      <c r="AL6925" s="86"/>
      <c r="AM6925" s="86"/>
      <c r="AN6925" s="86"/>
      <c r="AO6925" s="86"/>
      <c r="AP6925" s="86"/>
    </row>
    <row r="6926" spans="1:42" x14ac:dyDescent="0.2">
      <c r="A6926" s="38">
        <v>45751</v>
      </c>
      <c r="B6926" s="137" t="s">
        <v>37</v>
      </c>
      <c r="C6926" s="41" t="s">
        <v>118</v>
      </c>
      <c r="D6926" s="80" t="s">
        <v>36</v>
      </c>
      <c r="E6926" s="80" t="s">
        <v>56</v>
      </c>
      <c r="F6926" s="80" t="s">
        <v>18344</v>
      </c>
      <c r="G6926" s="161" t="s">
        <v>221</v>
      </c>
      <c r="H6926" s="80" t="s">
        <v>9944</v>
      </c>
      <c r="I6926" s="17">
        <f ca="1">IFERROR(__xludf.DUMMYFUNCTION("""COMPUTED_VALUE"""),45820)</f>
        <v>45820</v>
      </c>
      <c r="J6926" s="143" t="s">
        <v>16427</v>
      </c>
      <c r="K6926" s="145" t="s">
        <v>21417</v>
      </c>
      <c r="L6926" s="30">
        <v>387333906</v>
      </c>
      <c r="M6926" s="80" t="s">
        <v>9422</v>
      </c>
      <c r="N6926" s="80" t="s">
        <v>12670</v>
      </c>
      <c r="O6926" s="80" t="s">
        <v>16429</v>
      </c>
      <c r="P6926" s="80" t="s">
        <v>21416</v>
      </c>
      <c r="Q6926" s="20">
        <v>9317</v>
      </c>
      <c r="R6926" s="80" t="s">
        <v>70</v>
      </c>
      <c r="S6926" s="95">
        <v>2000</v>
      </c>
      <c r="T6926" s="148">
        <v>45584</v>
      </c>
      <c r="U6926" s="95">
        <v>7217</v>
      </c>
      <c r="V6926" s="148">
        <v>45593</v>
      </c>
      <c r="W6926" s="85" t="s">
        <v>16430</v>
      </c>
      <c r="X6926" s="80"/>
      <c r="Y6926" s="22">
        <v>100</v>
      </c>
      <c r="Z6926" s="81" t="s">
        <v>50</v>
      </c>
      <c r="AA6926" s="86" t="s">
        <v>9905</v>
      </c>
      <c r="AB6926" s="80"/>
      <c r="AC6926" s="80" t="s">
        <v>53</v>
      </c>
      <c r="AD6926" s="80" t="s">
        <v>138</v>
      </c>
      <c r="AE6926" s="80" t="s">
        <v>18344</v>
      </c>
      <c r="AF6926" s="17">
        <v>45807</v>
      </c>
      <c r="AG6926" s="80"/>
      <c r="AH6926" s="80"/>
      <c r="AI6926" s="147"/>
      <c r="AJ6926" s="80"/>
      <c r="AK6926" s="80"/>
      <c r="AL6926" s="86"/>
      <c r="AM6926" s="86"/>
      <c r="AN6926" s="86"/>
      <c r="AO6926" s="86"/>
      <c r="AP6926" s="86"/>
    </row>
    <row r="6927" spans="1:42" x14ac:dyDescent="0.2">
      <c r="A6927" s="38">
        <v>45751</v>
      </c>
      <c r="B6927" s="137" t="s">
        <v>37</v>
      </c>
      <c r="C6927" s="41" t="s">
        <v>118</v>
      </c>
      <c r="D6927" s="80" t="s">
        <v>36</v>
      </c>
      <c r="E6927" s="80" t="s">
        <v>56</v>
      </c>
      <c r="F6927" s="80" t="s">
        <v>18344</v>
      </c>
      <c r="G6927" s="161" t="s">
        <v>108</v>
      </c>
      <c r="H6927" s="80" t="s">
        <v>21186</v>
      </c>
      <c r="I6927" s="17">
        <f ca="1">IFERROR(__xludf.DUMMYFUNCTION("""COMPUTED_VALUE"""),45789)</f>
        <v>45789</v>
      </c>
      <c r="J6927" s="143" t="s">
        <v>16434</v>
      </c>
      <c r="K6927" s="145" t="s">
        <v>21418</v>
      </c>
      <c r="L6927" s="30">
        <v>358311672</v>
      </c>
      <c r="M6927" s="80" t="s">
        <v>9422</v>
      </c>
      <c r="N6927" s="80" t="s">
        <v>5574</v>
      </c>
      <c r="O6927" s="80" t="s">
        <v>91</v>
      </c>
      <c r="P6927" s="80" t="s">
        <v>3694</v>
      </c>
      <c r="Q6927" s="20">
        <v>9317</v>
      </c>
      <c r="R6927" s="80" t="s">
        <v>11421</v>
      </c>
      <c r="S6927" s="95">
        <v>9017</v>
      </c>
      <c r="T6927" s="148">
        <v>45586</v>
      </c>
      <c r="U6927" s="77"/>
      <c r="V6927" s="78"/>
      <c r="W6927" s="85" t="s">
        <v>16436</v>
      </c>
      <c r="X6927" s="80"/>
      <c r="Y6927" s="22">
        <v>300</v>
      </c>
      <c r="Z6927" s="81" t="s">
        <v>50</v>
      </c>
      <c r="AA6927" s="82" t="s">
        <v>9905</v>
      </c>
      <c r="AB6927" s="80"/>
      <c r="AC6927" s="80" t="s">
        <v>53</v>
      </c>
      <c r="AD6927" s="80" t="s">
        <v>138</v>
      </c>
      <c r="AE6927" s="80" t="s">
        <v>18344</v>
      </c>
      <c r="AF6927" s="17">
        <v>45652</v>
      </c>
      <c r="AG6927" s="80" t="s">
        <v>8366</v>
      </c>
      <c r="AH6927" s="80"/>
      <c r="AI6927" s="147"/>
      <c r="AJ6927" s="80"/>
      <c r="AK6927" s="80"/>
      <c r="AL6927" s="86"/>
      <c r="AM6927" s="86"/>
      <c r="AN6927" s="86"/>
      <c r="AO6927" s="86"/>
      <c r="AP6927" s="86"/>
    </row>
    <row r="6928" spans="1:42" x14ac:dyDescent="0.2">
      <c r="A6928" s="38">
        <v>45751</v>
      </c>
      <c r="B6928" s="28" t="s">
        <v>37</v>
      </c>
      <c r="C6928" s="41" t="s">
        <v>118</v>
      </c>
      <c r="D6928" s="80" t="s">
        <v>36</v>
      </c>
      <c r="E6928" s="80" t="s">
        <v>139</v>
      </c>
      <c r="F6928" s="80" t="s">
        <v>18344</v>
      </c>
      <c r="G6928" s="161" t="s">
        <v>108</v>
      </c>
      <c r="H6928" s="80" t="s">
        <v>13941</v>
      </c>
      <c r="I6928" s="17">
        <f ca="1">IFERROR(__xludf.DUMMYFUNCTION("""COMPUTED_VALUE"""),45802)</f>
        <v>45802</v>
      </c>
      <c r="J6928" s="143" t="s">
        <v>17411</v>
      </c>
      <c r="K6928" s="145" t="s">
        <v>21419</v>
      </c>
      <c r="L6928" s="30">
        <v>378502736</v>
      </c>
      <c r="M6928" s="80" t="s">
        <v>15970</v>
      </c>
      <c r="N6928" s="80" t="s">
        <v>327</v>
      </c>
      <c r="O6928" s="80" t="s">
        <v>4503</v>
      </c>
      <c r="P6928" s="80" t="s">
        <v>3056</v>
      </c>
      <c r="Q6928" s="20">
        <v>15936</v>
      </c>
      <c r="R6928" s="80" t="s">
        <v>36</v>
      </c>
      <c r="S6928" s="95">
        <v>3000</v>
      </c>
      <c r="T6928" s="148">
        <v>45568</v>
      </c>
      <c r="U6928" s="95">
        <v>12936</v>
      </c>
      <c r="V6928" s="148">
        <v>45621</v>
      </c>
      <c r="W6928" s="85" t="s">
        <v>17413</v>
      </c>
      <c r="X6928" s="80"/>
      <c r="Y6928" s="22">
        <v>0</v>
      </c>
      <c r="Z6928" s="81" t="s">
        <v>50</v>
      </c>
      <c r="AA6928" s="86" t="s">
        <v>14723</v>
      </c>
      <c r="AB6928" s="80"/>
      <c r="AC6928" s="80" t="s">
        <v>53</v>
      </c>
      <c r="AD6928" s="80" t="s">
        <v>138</v>
      </c>
      <c r="AE6928" s="80" t="s">
        <v>18344</v>
      </c>
      <c r="AF6928" s="17">
        <v>45652</v>
      </c>
      <c r="AG6928" s="80" t="s">
        <v>21420</v>
      </c>
      <c r="AH6928" s="80"/>
      <c r="AI6928" s="147"/>
      <c r="AJ6928" s="80"/>
      <c r="AK6928" s="80"/>
      <c r="AL6928" s="86"/>
      <c r="AM6928" s="86"/>
      <c r="AN6928" s="86"/>
      <c r="AO6928" s="86"/>
      <c r="AP6928" s="86"/>
    </row>
    <row r="6929" spans="1:42" x14ac:dyDescent="0.2">
      <c r="A6929" s="38">
        <v>45751</v>
      </c>
      <c r="B6929" s="137" t="s">
        <v>37</v>
      </c>
      <c r="C6929" s="41" t="s">
        <v>118</v>
      </c>
      <c r="D6929" s="80" t="s">
        <v>36</v>
      </c>
      <c r="E6929" s="80" t="s">
        <v>139</v>
      </c>
      <c r="F6929" s="80" t="s">
        <v>18344</v>
      </c>
      <c r="G6929" s="161" t="s">
        <v>221</v>
      </c>
      <c r="H6929" s="80" t="s">
        <v>20114</v>
      </c>
      <c r="I6929" s="17">
        <f ca="1">IFERROR(__xludf.DUMMYFUNCTION("""COMPUTED_VALUE"""),45771)</f>
        <v>45771</v>
      </c>
      <c r="J6929" s="143" t="s">
        <v>17480</v>
      </c>
      <c r="K6929" s="145" t="s">
        <v>17481</v>
      </c>
      <c r="L6929" s="30">
        <v>967301445</v>
      </c>
      <c r="M6929" s="80" t="s">
        <v>5429</v>
      </c>
      <c r="N6929" s="80" t="s">
        <v>81</v>
      </c>
      <c r="O6929" s="80" t="s">
        <v>61</v>
      </c>
      <c r="P6929" s="80" t="s">
        <v>6368</v>
      </c>
      <c r="Q6929" s="20">
        <v>15936</v>
      </c>
      <c r="R6929" s="80" t="s">
        <v>36</v>
      </c>
      <c r="S6929" s="95">
        <f t="shared" ref="S6929:S6930" si="208">200+1800</f>
        <v>2000</v>
      </c>
      <c r="T6929" s="148" t="s">
        <v>17482</v>
      </c>
      <c r="U6929" s="95">
        <v>13936</v>
      </c>
      <c r="V6929" s="148">
        <v>45622</v>
      </c>
      <c r="W6929" s="85" t="s">
        <v>17483</v>
      </c>
      <c r="X6929" s="80"/>
      <c r="Y6929" s="22">
        <v>0</v>
      </c>
      <c r="Z6929" s="81" t="s">
        <v>50</v>
      </c>
      <c r="AA6929" s="82" t="s">
        <v>14723</v>
      </c>
      <c r="AB6929" s="80"/>
      <c r="AC6929" s="80" t="s">
        <v>53</v>
      </c>
      <c r="AD6929" s="80" t="s">
        <v>138</v>
      </c>
      <c r="AE6929" s="80" t="s">
        <v>18344</v>
      </c>
      <c r="AF6929" s="17">
        <v>45785</v>
      </c>
      <c r="AG6929" s="80"/>
      <c r="AH6929" s="80"/>
      <c r="AI6929" s="147"/>
      <c r="AJ6929" s="80"/>
      <c r="AK6929" s="80"/>
      <c r="AL6929" s="86"/>
      <c r="AM6929" s="86"/>
      <c r="AN6929" s="86"/>
      <c r="AO6929" s="86"/>
      <c r="AP6929" s="86"/>
    </row>
    <row r="6930" spans="1:42" x14ac:dyDescent="0.2">
      <c r="A6930" s="38">
        <v>45751</v>
      </c>
      <c r="B6930" s="137" t="s">
        <v>37</v>
      </c>
      <c r="C6930" s="41" t="s">
        <v>118</v>
      </c>
      <c r="D6930" s="80" t="s">
        <v>36</v>
      </c>
      <c r="E6930" s="80" t="s">
        <v>139</v>
      </c>
      <c r="F6930" s="80" t="s">
        <v>18344</v>
      </c>
      <c r="G6930" s="161" t="s">
        <v>221</v>
      </c>
      <c r="H6930" s="80" t="s">
        <v>21097</v>
      </c>
      <c r="I6930" s="17">
        <f ca="1">IFERROR(__xludf.DUMMYFUNCTION("""COMPUTED_VALUE"""),45890)</f>
        <v>45890</v>
      </c>
      <c r="J6930" s="143" t="s">
        <v>17595</v>
      </c>
      <c r="K6930" s="145" t="s">
        <v>21421</v>
      </c>
      <c r="L6930" s="30">
        <v>876129286</v>
      </c>
      <c r="M6930" s="80" t="s">
        <v>12529</v>
      </c>
      <c r="N6930" s="80" t="s">
        <v>13566</v>
      </c>
      <c r="O6930" s="80" t="s">
        <v>17597</v>
      </c>
      <c r="P6930" s="80" t="s">
        <v>17598</v>
      </c>
      <c r="Q6930" s="20">
        <v>15936</v>
      </c>
      <c r="R6930" s="80" t="s">
        <v>36</v>
      </c>
      <c r="S6930" s="95">
        <f t="shared" si="208"/>
        <v>2000</v>
      </c>
      <c r="T6930" s="148" t="s">
        <v>17599</v>
      </c>
      <c r="U6930" s="95">
        <v>13936</v>
      </c>
      <c r="V6930" s="148">
        <v>45618</v>
      </c>
      <c r="W6930" s="85" t="s">
        <v>17600</v>
      </c>
      <c r="X6930" s="80"/>
      <c r="Y6930" s="22">
        <v>0</v>
      </c>
      <c r="Z6930" s="81" t="s">
        <v>50</v>
      </c>
      <c r="AA6930" s="86" t="s">
        <v>14723</v>
      </c>
      <c r="AB6930" s="80"/>
      <c r="AC6930" s="80" t="s">
        <v>53</v>
      </c>
      <c r="AD6930" s="80" t="s">
        <v>138</v>
      </c>
      <c r="AE6930" s="80" t="s">
        <v>18344</v>
      </c>
      <c r="AF6930" s="17">
        <v>45785</v>
      </c>
      <c r="AG6930" s="80" t="s">
        <v>21143</v>
      </c>
      <c r="AH6930" s="80"/>
      <c r="AI6930" s="147"/>
      <c r="AJ6930" s="80"/>
      <c r="AK6930" s="80"/>
      <c r="AL6930" s="86"/>
      <c r="AM6930" s="86"/>
      <c r="AN6930" s="86"/>
      <c r="AO6930" s="86"/>
      <c r="AP6930" s="86"/>
    </row>
    <row r="6931" spans="1:42" x14ac:dyDescent="0.2">
      <c r="A6931" s="38">
        <v>45751</v>
      </c>
      <c r="B6931" s="137" t="s">
        <v>37</v>
      </c>
      <c r="C6931" s="41" t="s">
        <v>118</v>
      </c>
      <c r="D6931" s="80" t="s">
        <v>36</v>
      </c>
      <c r="E6931" s="80" t="s">
        <v>56</v>
      </c>
      <c r="F6931" s="80" t="s">
        <v>18344</v>
      </c>
      <c r="G6931" s="161" t="s">
        <v>221</v>
      </c>
      <c r="H6931" s="80" t="s">
        <v>20114</v>
      </c>
      <c r="I6931" s="17">
        <f ca="1">IFERROR(__xludf.DUMMYFUNCTION("""COMPUTED_VALUE"""),45771)</f>
        <v>45771</v>
      </c>
      <c r="J6931" s="143" t="s">
        <v>17726</v>
      </c>
      <c r="K6931" s="145" t="s">
        <v>17727</v>
      </c>
      <c r="L6931" s="30">
        <v>396062136</v>
      </c>
      <c r="M6931" s="80" t="s">
        <v>45</v>
      </c>
      <c r="N6931" s="80" t="s">
        <v>17728</v>
      </c>
      <c r="O6931" s="80" t="s">
        <v>17729</v>
      </c>
      <c r="P6931" s="80" t="s">
        <v>7743</v>
      </c>
      <c r="Q6931" s="20">
        <v>9317</v>
      </c>
      <c r="R6931" s="80" t="s">
        <v>36</v>
      </c>
      <c r="S6931" s="95">
        <v>2000</v>
      </c>
      <c r="T6931" s="148">
        <v>45597</v>
      </c>
      <c r="U6931" s="95">
        <v>7317</v>
      </c>
      <c r="V6931" s="148">
        <v>45614</v>
      </c>
      <c r="W6931" s="85" t="s">
        <v>17730</v>
      </c>
      <c r="X6931" s="80"/>
      <c r="Y6931" s="22">
        <v>0</v>
      </c>
      <c r="Z6931" s="81" t="s">
        <v>50</v>
      </c>
      <c r="AA6931" s="82" t="s">
        <v>14723</v>
      </c>
      <c r="AB6931" s="80"/>
      <c r="AC6931" s="80" t="s">
        <v>53</v>
      </c>
      <c r="AD6931" s="80" t="s">
        <v>138</v>
      </c>
      <c r="AE6931" s="80" t="s">
        <v>18344</v>
      </c>
      <c r="AF6931" s="17">
        <v>45785</v>
      </c>
      <c r="AG6931" s="80"/>
      <c r="AH6931" s="80"/>
      <c r="AI6931" s="147"/>
      <c r="AJ6931" s="80"/>
      <c r="AK6931" s="80"/>
      <c r="AL6931" s="86"/>
      <c r="AM6931" s="86"/>
      <c r="AN6931" s="86"/>
      <c r="AO6931" s="86"/>
      <c r="AP6931" s="86"/>
    </row>
    <row r="6932" spans="1:42" x14ac:dyDescent="0.2">
      <c r="A6932" s="38">
        <v>45751</v>
      </c>
      <c r="B6932" s="137" t="s">
        <v>37</v>
      </c>
      <c r="C6932" s="41" t="s">
        <v>118</v>
      </c>
      <c r="D6932" s="80" t="s">
        <v>36</v>
      </c>
      <c r="E6932" s="80" t="s">
        <v>139</v>
      </c>
      <c r="F6932" s="80" t="s">
        <v>18344</v>
      </c>
      <c r="G6932" s="161" t="s">
        <v>221</v>
      </c>
      <c r="H6932" s="80" t="s">
        <v>20114</v>
      </c>
      <c r="I6932" s="17">
        <f ca="1">IFERROR(__xludf.DUMMYFUNCTION("""COMPUTED_VALUE"""),45771)</f>
        <v>45771</v>
      </c>
      <c r="J6932" s="143" t="s">
        <v>17745</v>
      </c>
      <c r="K6932" s="145" t="s">
        <v>17746</v>
      </c>
      <c r="L6932" s="30">
        <v>385141006</v>
      </c>
      <c r="M6932" s="80" t="s">
        <v>16756</v>
      </c>
      <c r="N6932" s="80"/>
      <c r="O6932" s="80" t="s">
        <v>91</v>
      </c>
      <c r="P6932" s="80" t="s">
        <v>12578</v>
      </c>
      <c r="Q6932" s="20">
        <v>15936</v>
      </c>
      <c r="R6932" s="80" t="s">
        <v>36</v>
      </c>
      <c r="S6932" s="95">
        <v>2000</v>
      </c>
      <c r="T6932" s="148">
        <v>45597</v>
      </c>
      <c r="U6932" s="95">
        <v>13936</v>
      </c>
      <c r="V6932" s="148">
        <v>45618</v>
      </c>
      <c r="W6932" s="85" t="s">
        <v>17747</v>
      </c>
      <c r="X6932" s="80"/>
      <c r="Y6932" s="22">
        <v>0</v>
      </c>
      <c r="Z6932" s="81" t="s">
        <v>50</v>
      </c>
      <c r="AA6932" s="86" t="s">
        <v>14723</v>
      </c>
      <c r="AB6932" s="80"/>
      <c r="AC6932" s="80" t="s">
        <v>53</v>
      </c>
      <c r="AD6932" s="80" t="s">
        <v>138</v>
      </c>
      <c r="AE6932" s="80" t="s">
        <v>18344</v>
      </c>
      <c r="AF6932" s="17">
        <v>45785</v>
      </c>
      <c r="AG6932" s="80"/>
      <c r="AH6932" s="80"/>
      <c r="AI6932" s="147"/>
      <c r="AJ6932" s="80"/>
      <c r="AK6932" s="80"/>
      <c r="AL6932" s="86"/>
      <c r="AM6932" s="86"/>
      <c r="AN6932" s="86"/>
      <c r="AO6932" s="86"/>
      <c r="AP6932" s="86"/>
    </row>
    <row r="6933" spans="1:42" x14ac:dyDescent="0.2">
      <c r="A6933" s="38">
        <v>45751</v>
      </c>
      <c r="B6933" s="137" t="s">
        <v>37</v>
      </c>
      <c r="C6933" s="41" t="s">
        <v>118</v>
      </c>
      <c r="D6933" s="80" t="s">
        <v>36</v>
      </c>
      <c r="E6933" s="80" t="s">
        <v>139</v>
      </c>
      <c r="F6933" s="80" t="s">
        <v>18344</v>
      </c>
      <c r="G6933" s="161" t="s">
        <v>221</v>
      </c>
      <c r="H6933" s="80" t="s">
        <v>20114</v>
      </c>
      <c r="I6933" s="17">
        <f ca="1">IFERROR(__xludf.DUMMYFUNCTION("""COMPUTED_VALUE"""),45771)</f>
        <v>45771</v>
      </c>
      <c r="J6933" s="143" t="s">
        <v>17757</v>
      </c>
      <c r="K6933" s="145" t="s">
        <v>17758</v>
      </c>
      <c r="L6933" s="30">
        <v>813242134</v>
      </c>
      <c r="M6933" s="80" t="s">
        <v>17759</v>
      </c>
      <c r="N6933" s="80" t="s">
        <v>2756</v>
      </c>
      <c r="O6933" s="80" t="s">
        <v>4503</v>
      </c>
      <c r="P6933" s="80" t="s">
        <v>17760</v>
      </c>
      <c r="Q6933" s="20">
        <v>15936</v>
      </c>
      <c r="R6933" s="80" t="s">
        <v>36</v>
      </c>
      <c r="S6933" s="95">
        <f>200+8000</f>
        <v>8200</v>
      </c>
      <c r="T6933" s="148" t="s">
        <v>17724</v>
      </c>
      <c r="U6933" s="95">
        <v>7736</v>
      </c>
      <c r="V6933" s="148">
        <v>45614</v>
      </c>
      <c r="W6933" s="85" t="s">
        <v>17761</v>
      </c>
      <c r="X6933" s="80"/>
      <c r="Y6933" s="22">
        <v>0</v>
      </c>
      <c r="Z6933" s="81" t="s">
        <v>50</v>
      </c>
      <c r="AA6933" s="82" t="s">
        <v>14723</v>
      </c>
      <c r="AB6933" s="80"/>
      <c r="AC6933" s="80" t="s">
        <v>53</v>
      </c>
      <c r="AD6933" s="80" t="s">
        <v>138</v>
      </c>
      <c r="AE6933" s="80" t="s">
        <v>18344</v>
      </c>
      <c r="AF6933" s="17">
        <v>45785</v>
      </c>
      <c r="AG6933" s="80"/>
      <c r="AH6933" s="80"/>
      <c r="AI6933" s="147"/>
      <c r="AJ6933" s="80"/>
      <c r="AK6933" s="80"/>
      <c r="AL6933" s="86"/>
      <c r="AM6933" s="86"/>
      <c r="AN6933" s="86"/>
      <c r="AO6933" s="86"/>
      <c r="AP6933" s="86"/>
    </row>
    <row r="6934" spans="1:42" x14ac:dyDescent="0.2">
      <c r="A6934" s="38">
        <v>45751</v>
      </c>
      <c r="B6934" s="137" t="s">
        <v>37</v>
      </c>
      <c r="C6934" s="41" t="s">
        <v>118</v>
      </c>
      <c r="D6934" s="80" t="s">
        <v>36</v>
      </c>
      <c r="E6934" s="80" t="s">
        <v>56</v>
      </c>
      <c r="F6934" s="80" t="s">
        <v>18344</v>
      </c>
      <c r="G6934" s="161" t="s">
        <v>221</v>
      </c>
      <c r="H6934" s="80" t="s">
        <v>20114</v>
      </c>
      <c r="I6934" s="17">
        <f ca="1">IFERROR(__xludf.DUMMYFUNCTION("""COMPUTED_VALUE"""),45771)</f>
        <v>45771</v>
      </c>
      <c r="J6934" s="143" t="s">
        <v>17767</v>
      </c>
      <c r="K6934" s="145" t="s">
        <v>17768</v>
      </c>
      <c r="L6934" s="30">
        <v>867213341</v>
      </c>
      <c r="M6934" s="80" t="s">
        <v>59</v>
      </c>
      <c r="N6934" s="80" t="s">
        <v>7298</v>
      </c>
      <c r="O6934" s="80" t="s">
        <v>17769</v>
      </c>
      <c r="P6934" s="80" t="s">
        <v>17770</v>
      </c>
      <c r="Q6934" s="20">
        <v>9317</v>
      </c>
      <c r="R6934" s="80" t="s">
        <v>36</v>
      </c>
      <c r="S6934" s="95">
        <f>200+9117</f>
        <v>9317</v>
      </c>
      <c r="T6934" s="148">
        <v>45596</v>
      </c>
      <c r="U6934" s="77"/>
      <c r="V6934" s="148">
        <v>45597</v>
      </c>
      <c r="W6934" s="80" t="s">
        <v>17771</v>
      </c>
      <c r="X6934" s="80"/>
      <c r="Y6934" s="22">
        <v>0</v>
      </c>
      <c r="Z6934" s="81" t="s">
        <v>50</v>
      </c>
      <c r="AA6934" s="86" t="s">
        <v>14723</v>
      </c>
      <c r="AB6934" s="80"/>
      <c r="AC6934" s="80" t="s">
        <v>53</v>
      </c>
      <c r="AD6934" s="80" t="s">
        <v>138</v>
      </c>
      <c r="AE6934" s="80" t="s">
        <v>18344</v>
      </c>
      <c r="AF6934" s="17">
        <v>45785</v>
      </c>
      <c r="AG6934" s="80"/>
      <c r="AH6934" s="80"/>
      <c r="AI6934" s="147"/>
      <c r="AJ6934" s="80"/>
      <c r="AK6934" s="80"/>
      <c r="AL6934" s="86"/>
      <c r="AM6934" s="86"/>
      <c r="AN6934" s="86"/>
      <c r="AO6934" s="86"/>
      <c r="AP6934" s="86"/>
    </row>
    <row r="6935" spans="1:42" x14ac:dyDescent="0.2">
      <c r="A6935" s="38">
        <v>45751</v>
      </c>
      <c r="B6935" s="137"/>
      <c r="C6935" s="41" t="s">
        <v>118</v>
      </c>
      <c r="D6935" s="80" t="s">
        <v>36</v>
      </c>
      <c r="E6935" s="80" t="s">
        <v>56</v>
      </c>
      <c r="F6935" s="80" t="s">
        <v>18344</v>
      </c>
      <c r="G6935" s="161" t="s">
        <v>221</v>
      </c>
      <c r="H6935" s="80" t="s">
        <v>21422</v>
      </c>
      <c r="I6935" s="17" t="str">
        <f ca="1">IFERROR(__xludf.DUMMYFUNCTION("""COMPUTED_VALUE""")," ")</f>
        <v xml:space="preserve"> </v>
      </c>
      <c r="J6935" s="143" t="s">
        <v>17870</v>
      </c>
      <c r="K6935" s="145" t="s">
        <v>17871</v>
      </c>
      <c r="L6935" s="30">
        <v>981632062</v>
      </c>
      <c r="M6935" s="80" t="s">
        <v>59</v>
      </c>
      <c r="N6935" s="80" t="s">
        <v>7298</v>
      </c>
      <c r="O6935" s="80" t="s">
        <v>17872</v>
      </c>
      <c r="P6935" s="80" t="s">
        <v>12687</v>
      </c>
      <c r="Q6935" s="20">
        <v>9317</v>
      </c>
      <c r="R6935" s="80" t="s">
        <v>36</v>
      </c>
      <c r="S6935" s="95">
        <v>9317</v>
      </c>
      <c r="T6935" s="148">
        <v>45602</v>
      </c>
      <c r="U6935" s="77"/>
      <c r="V6935" s="78"/>
      <c r="W6935" s="85" t="s">
        <v>17873</v>
      </c>
      <c r="X6935" s="80"/>
      <c r="Y6935" s="22">
        <v>0</v>
      </c>
      <c r="Z6935" s="81" t="s">
        <v>50</v>
      </c>
      <c r="AA6935" s="82" t="s">
        <v>14723</v>
      </c>
      <c r="AB6935" s="80"/>
      <c r="AC6935" s="80" t="s">
        <v>53</v>
      </c>
      <c r="AD6935" s="80" t="s">
        <v>138</v>
      </c>
      <c r="AE6935" s="80" t="s">
        <v>18344</v>
      </c>
      <c r="AF6935" s="17">
        <v>45785</v>
      </c>
      <c r="AG6935" s="80" t="s">
        <v>21143</v>
      </c>
      <c r="AH6935" s="80"/>
      <c r="AI6935" s="147"/>
      <c r="AJ6935" s="80"/>
      <c r="AK6935" s="80"/>
      <c r="AL6935" s="86"/>
      <c r="AM6935" s="86"/>
      <c r="AN6935" s="86"/>
      <c r="AO6935" s="86"/>
      <c r="AP6935" s="86"/>
    </row>
    <row r="6936" spans="1:42" x14ac:dyDescent="0.2">
      <c r="A6936" s="38">
        <v>45751</v>
      </c>
      <c r="B6936" s="137" t="s">
        <v>37</v>
      </c>
      <c r="C6936" s="41" t="s">
        <v>118</v>
      </c>
      <c r="D6936" s="80" t="s">
        <v>36</v>
      </c>
      <c r="E6936" s="80" t="s">
        <v>139</v>
      </c>
      <c r="F6936" s="80" t="s">
        <v>18344</v>
      </c>
      <c r="G6936" s="161" t="s">
        <v>221</v>
      </c>
      <c r="H6936" s="80" t="s">
        <v>20114</v>
      </c>
      <c r="I6936" s="17">
        <f ca="1">IFERROR(__xludf.DUMMYFUNCTION("""COMPUTED_VALUE"""),45771)</f>
        <v>45771</v>
      </c>
      <c r="J6936" s="143" t="s">
        <v>18347</v>
      </c>
      <c r="K6936" s="145" t="s">
        <v>18348</v>
      </c>
      <c r="L6936" s="30">
        <v>941167879</v>
      </c>
      <c r="M6936" s="80" t="s">
        <v>5429</v>
      </c>
      <c r="N6936" s="80" t="s">
        <v>81</v>
      </c>
      <c r="O6936" s="80" t="s">
        <v>61</v>
      </c>
      <c r="P6936" s="80" t="s">
        <v>6368</v>
      </c>
      <c r="Q6936" s="20">
        <v>15936</v>
      </c>
      <c r="R6936" s="80" t="s">
        <v>70</v>
      </c>
      <c r="S6936" s="95">
        <v>2000</v>
      </c>
      <c r="T6936" s="148">
        <v>45582</v>
      </c>
      <c r="U6936" s="95">
        <v>13836</v>
      </c>
      <c r="V6936" s="148">
        <v>45629</v>
      </c>
      <c r="W6936" s="85" t="s">
        <v>18349</v>
      </c>
      <c r="X6936" s="80"/>
      <c r="Y6936" s="22">
        <v>100</v>
      </c>
      <c r="Z6936" s="81" t="s">
        <v>50</v>
      </c>
      <c r="AA6936" s="86"/>
      <c r="AB6936" s="80"/>
      <c r="AC6936" s="80" t="s">
        <v>53</v>
      </c>
      <c r="AD6936" s="80" t="s">
        <v>138</v>
      </c>
      <c r="AE6936" s="80" t="s">
        <v>18344</v>
      </c>
      <c r="AF6936" s="17">
        <v>45785</v>
      </c>
      <c r="AG6936" s="80"/>
      <c r="AH6936" s="80"/>
      <c r="AI6936" s="147"/>
      <c r="AJ6936" s="80"/>
      <c r="AK6936" s="80"/>
      <c r="AL6936" s="86"/>
      <c r="AM6936" s="86"/>
      <c r="AN6936" s="86"/>
      <c r="AO6936" s="86"/>
      <c r="AP6936" s="86"/>
    </row>
    <row r="6937" spans="1:42" x14ac:dyDescent="0.2">
      <c r="A6937" s="38">
        <v>45751</v>
      </c>
      <c r="B6937" s="137" t="s">
        <v>37</v>
      </c>
      <c r="C6937" s="41" t="s">
        <v>118</v>
      </c>
      <c r="D6937" s="80" t="s">
        <v>36</v>
      </c>
      <c r="E6937" s="80" t="s">
        <v>139</v>
      </c>
      <c r="F6937" s="80" t="s">
        <v>18344</v>
      </c>
      <c r="G6937" s="161" t="s">
        <v>221</v>
      </c>
      <c r="H6937" s="80" t="s">
        <v>20114</v>
      </c>
      <c r="I6937" s="17">
        <f ca="1">IFERROR(__xludf.DUMMYFUNCTION("""COMPUTED_VALUE"""),45771)</f>
        <v>45771</v>
      </c>
      <c r="J6937" s="143" t="s">
        <v>18356</v>
      </c>
      <c r="K6937" s="145" t="s">
        <v>18357</v>
      </c>
      <c r="L6937" s="30">
        <v>918053882</v>
      </c>
      <c r="M6937" s="80" t="s">
        <v>18358</v>
      </c>
      <c r="N6937" s="80" t="s">
        <v>2847</v>
      </c>
      <c r="O6937" s="80" t="s">
        <v>4503</v>
      </c>
      <c r="P6937" s="80" t="s">
        <v>3056</v>
      </c>
      <c r="Q6937" s="20">
        <v>15936</v>
      </c>
      <c r="R6937" s="80" t="s">
        <v>36</v>
      </c>
      <c r="S6937" s="95">
        <f>100+1868</f>
        <v>1968</v>
      </c>
      <c r="T6937" s="148" t="s">
        <v>17724</v>
      </c>
      <c r="U6937" s="95">
        <f>13930+38</f>
        <v>13968</v>
      </c>
      <c r="V6937" s="78" t="s">
        <v>18359</v>
      </c>
      <c r="W6937" s="85" t="s">
        <v>18360</v>
      </c>
      <c r="X6937" s="80"/>
      <c r="Y6937" s="22">
        <v>0</v>
      </c>
      <c r="Z6937" s="81" t="s">
        <v>50</v>
      </c>
      <c r="AA6937" s="82"/>
      <c r="AB6937" s="80"/>
      <c r="AC6937" s="80" t="s">
        <v>53</v>
      </c>
      <c r="AD6937" s="80" t="s">
        <v>138</v>
      </c>
      <c r="AE6937" s="80" t="s">
        <v>18344</v>
      </c>
      <c r="AF6937" s="17">
        <v>45785</v>
      </c>
      <c r="AG6937" s="80"/>
      <c r="AH6937" s="80"/>
      <c r="AI6937" s="147"/>
      <c r="AJ6937" s="80"/>
      <c r="AK6937" s="80"/>
      <c r="AL6937" s="86"/>
      <c r="AM6937" s="86"/>
      <c r="AN6937" s="86"/>
      <c r="AO6937" s="86"/>
      <c r="AP6937" s="86"/>
    </row>
    <row r="6938" spans="1:42" x14ac:dyDescent="0.2">
      <c r="A6938" s="38">
        <v>45905</v>
      </c>
      <c r="B6938" s="137" t="s">
        <v>37</v>
      </c>
      <c r="C6938" s="41" t="s">
        <v>118</v>
      </c>
      <c r="D6938" s="80" t="s">
        <v>36</v>
      </c>
      <c r="E6938" s="80" t="s">
        <v>119</v>
      </c>
      <c r="F6938" s="80" t="s">
        <v>20362</v>
      </c>
      <c r="G6938" s="80" t="s">
        <v>1847</v>
      </c>
      <c r="H6938" s="80" t="s">
        <v>21423</v>
      </c>
      <c r="I6938" s="17">
        <f ca="1">IFERROR(__xludf.DUMMYFUNCTION("""COMPUTED_VALUE"""),45938)</f>
        <v>45938</v>
      </c>
      <c r="J6938" s="143" t="s">
        <v>12251</v>
      </c>
      <c r="K6938" s="145" t="s">
        <v>21424</v>
      </c>
      <c r="L6938" s="30">
        <v>899927444</v>
      </c>
      <c r="M6938" s="80" t="s">
        <v>123</v>
      </c>
      <c r="N6938" s="80" t="s">
        <v>327</v>
      </c>
      <c r="O6938" s="80" t="s">
        <v>4503</v>
      </c>
      <c r="P6938" s="144" t="s">
        <v>16832</v>
      </c>
      <c r="Q6938" s="20">
        <v>13968</v>
      </c>
      <c r="R6938" s="80" t="s">
        <v>36</v>
      </c>
      <c r="S6938" s="95">
        <f>200+2000+1800</f>
        <v>4000</v>
      </c>
      <c r="T6938" s="83" t="s">
        <v>12254</v>
      </c>
      <c r="U6938" s="95">
        <v>9968</v>
      </c>
      <c r="V6938" s="148">
        <v>45551</v>
      </c>
      <c r="W6938" s="80" t="s">
        <v>12255</v>
      </c>
      <c r="X6938" s="80">
        <v>0</v>
      </c>
      <c r="Y6938" s="22">
        <v>0</v>
      </c>
      <c r="Z6938" s="80" t="s">
        <v>50</v>
      </c>
      <c r="AA6938" s="35" t="s">
        <v>3291</v>
      </c>
      <c r="AB6938" s="80"/>
      <c r="AC6938" s="80" t="s">
        <v>53</v>
      </c>
      <c r="AD6938" s="80" t="s">
        <v>54</v>
      </c>
      <c r="AE6938" s="80" t="s">
        <v>13748</v>
      </c>
      <c r="AF6938" s="17">
        <v>45751</v>
      </c>
      <c r="AG6938" s="80"/>
      <c r="AH6938" s="80"/>
      <c r="AI6938" s="147">
        <v>4</v>
      </c>
      <c r="AJ6938" s="80"/>
      <c r="AK6938" s="80"/>
      <c r="AL6938" s="35"/>
      <c r="AM6938" s="35"/>
      <c r="AN6938" s="35"/>
      <c r="AO6938" s="35"/>
      <c r="AP6938" s="35"/>
    </row>
    <row r="6939" spans="1:42" x14ac:dyDescent="0.2">
      <c r="A6939" s="38">
        <v>45751</v>
      </c>
      <c r="B6939" s="137" t="s">
        <v>37</v>
      </c>
      <c r="C6939" s="41" t="s">
        <v>118</v>
      </c>
      <c r="D6939" s="26" t="s">
        <v>36</v>
      </c>
      <c r="E6939" s="26" t="s">
        <v>119</v>
      </c>
      <c r="F6939" s="26" t="s">
        <v>16959</v>
      </c>
      <c r="G6939" s="26" t="s">
        <v>221</v>
      </c>
      <c r="H6939" s="26" t="s">
        <v>20094</v>
      </c>
      <c r="I6939" s="17">
        <f ca="1">IFERROR(__xludf.DUMMYFUNCTION("""COMPUTED_VALUE"""),45768)</f>
        <v>45768</v>
      </c>
      <c r="J6939" s="29" t="s">
        <v>10789</v>
      </c>
      <c r="K6939" s="26" t="s">
        <v>21425</v>
      </c>
      <c r="L6939" s="30">
        <v>972885806</v>
      </c>
      <c r="M6939" s="26" t="s">
        <v>45</v>
      </c>
      <c r="N6939" s="26" t="s">
        <v>565</v>
      </c>
      <c r="O6939" s="26" t="s">
        <v>10791</v>
      </c>
      <c r="P6939" s="42" t="s">
        <v>16963</v>
      </c>
      <c r="Q6939" s="20">
        <v>13968</v>
      </c>
      <c r="R6939" s="26" t="s">
        <v>36</v>
      </c>
      <c r="S6939" s="95">
        <f>200+7000</f>
        <v>7200</v>
      </c>
      <c r="T6939" s="83" t="s">
        <v>10793</v>
      </c>
      <c r="U6939" s="95">
        <v>6768</v>
      </c>
      <c r="V6939" s="148">
        <v>45519</v>
      </c>
      <c r="W6939" s="33" t="s">
        <v>10794</v>
      </c>
      <c r="X6939" s="26">
        <v>0</v>
      </c>
      <c r="Y6939" s="22">
        <v>0</v>
      </c>
      <c r="Z6939" s="26" t="s">
        <v>50</v>
      </c>
      <c r="AA6939" s="96" t="s">
        <v>10314</v>
      </c>
      <c r="AB6939" s="26"/>
      <c r="AC6939" s="26" t="s">
        <v>53</v>
      </c>
      <c r="AD6939" s="26" t="s">
        <v>54</v>
      </c>
      <c r="AE6939" s="26" t="s">
        <v>16959</v>
      </c>
      <c r="AF6939" s="17">
        <v>45756</v>
      </c>
      <c r="AG6939" s="26"/>
      <c r="AH6939" s="26"/>
      <c r="AI6939" s="40"/>
      <c r="AJ6939" s="26"/>
      <c r="AK6939" s="26"/>
      <c r="AL6939" s="35"/>
      <c r="AM6939" s="35"/>
      <c r="AN6939" s="35"/>
      <c r="AO6939" s="35"/>
      <c r="AP6939" s="35"/>
    </row>
    <row r="6940" spans="1:42" x14ac:dyDescent="0.2">
      <c r="A6940" s="38">
        <v>45751</v>
      </c>
      <c r="B6940" s="137" t="s">
        <v>37</v>
      </c>
      <c r="C6940" s="41" t="s">
        <v>118</v>
      </c>
      <c r="D6940" s="26" t="s">
        <v>36</v>
      </c>
      <c r="E6940" s="26" t="s">
        <v>139</v>
      </c>
      <c r="F6940" s="80" t="s">
        <v>16687</v>
      </c>
      <c r="G6940" s="80" t="s">
        <v>1847</v>
      </c>
      <c r="H6940" s="80" t="s">
        <v>18558</v>
      </c>
      <c r="I6940" s="17">
        <f ca="1">IFERROR(__xludf.DUMMYFUNCTION("""COMPUTED_VALUE"""),45845)</f>
        <v>45845</v>
      </c>
      <c r="J6940" s="29" t="s">
        <v>9837</v>
      </c>
      <c r="K6940" s="26" t="s">
        <v>21426</v>
      </c>
      <c r="L6940" s="30">
        <v>372889965</v>
      </c>
      <c r="M6940" s="26" t="s">
        <v>3728</v>
      </c>
      <c r="N6940" s="26" t="s">
        <v>8725</v>
      </c>
      <c r="O6940" s="26" t="s">
        <v>134</v>
      </c>
      <c r="P6940" s="42" t="s">
        <v>16784</v>
      </c>
      <c r="Q6940" s="20">
        <v>15936</v>
      </c>
      <c r="R6940" s="26" t="s">
        <v>36</v>
      </c>
      <c r="S6940" s="95">
        <f t="shared" ref="S6940:S6941" si="209">200+1800</f>
        <v>2000</v>
      </c>
      <c r="T6940" s="83" t="s">
        <v>9840</v>
      </c>
      <c r="U6940" s="95">
        <v>13936</v>
      </c>
      <c r="V6940" s="148">
        <v>45519</v>
      </c>
      <c r="W6940" s="33" t="s">
        <v>9841</v>
      </c>
      <c r="X6940" s="26">
        <v>0</v>
      </c>
      <c r="Y6940" s="22">
        <v>0</v>
      </c>
      <c r="Z6940" s="41" t="s">
        <v>118</v>
      </c>
      <c r="AA6940" s="35"/>
      <c r="AB6940" s="26" t="s">
        <v>36</v>
      </c>
      <c r="AC6940" s="26" t="s">
        <v>53</v>
      </c>
      <c r="AD6940" s="26" t="s">
        <v>54</v>
      </c>
      <c r="AE6940" s="80" t="s">
        <v>16687</v>
      </c>
      <c r="AF6940" s="17">
        <v>45755</v>
      </c>
      <c r="AG6940" s="26"/>
      <c r="AH6940" s="26"/>
      <c r="AI6940" s="40"/>
      <c r="AJ6940" s="26"/>
      <c r="AK6940" s="26"/>
      <c r="AL6940" s="35"/>
      <c r="AM6940" s="35"/>
      <c r="AN6940" s="35"/>
      <c r="AO6940" s="35"/>
      <c r="AP6940" s="35"/>
    </row>
    <row r="6941" spans="1:42" x14ac:dyDescent="0.2">
      <c r="A6941" s="38">
        <v>45751</v>
      </c>
      <c r="B6941" s="137" t="s">
        <v>37</v>
      </c>
      <c r="C6941" s="41" t="s">
        <v>118</v>
      </c>
      <c r="D6941" s="26" t="s">
        <v>36</v>
      </c>
      <c r="E6941" s="26" t="s">
        <v>139</v>
      </c>
      <c r="F6941" s="80" t="s">
        <v>16687</v>
      </c>
      <c r="G6941" s="80" t="s">
        <v>1847</v>
      </c>
      <c r="H6941" s="80" t="s">
        <v>8889</v>
      </c>
      <c r="I6941" s="17">
        <f ca="1">IFERROR(__xludf.DUMMYFUNCTION("""COMPUTED_VALUE"""),45764)</f>
        <v>45764</v>
      </c>
      <c r="J6941" s="29" t="s">
        <v>16834</v>
      </c>
      <c r="K6941" s="19" t="s">
        <v>9863</v>
      </c>
      <c r="L6941" s="30">
        <v>973680698</v>
      </c>
      <c r="M6941" s="26" t="s">
        <v>80</v>
      </c>
      <c r="N6941" s="26" t="s">
        <v>1073</v>
      </c>
      <c r="O6941" s="26" t="s">
        <v>9380</v>
      </c>
      <c r="P6941" s="42" t="s">
        <v>16835</v>
      </c>
      <c r="Q6941" s="20"/>
      <c r="R6941" s="26" t="s">
        <v>36</v>
      </c>
      <c r="S6941" s="95">
        <f t="shared" si="209"/>
        <v>2000</v>
      </c>
      <c r="T6941" s="83" t="s">
        <v>9382</v>
      </c>
      <c r="U6941" s="95">
        <v>13936</v>
      </c>
      <c r="V6941" s="148">
        <v>45503</v>
      </c>
      <c r="W6941" s="33" t="s">
        <v>9383</v>
      </c>
      <c r="X6941" s="26"/>
      <c r="Y6941" s="22"/>
      <c r="Z6941" s="26" t="s">
        <v>118</v>
      </c>
      <c r="AA6941" s="70" t="s">
        <v>9070</v>
      </c>
      <c r="AB6941" s="80" t="s">
        <v>36</v>
      </c>
      <c r="AC6941" s="26" t="s">
        <v>53</v>
      </c>
      <c r="AD6941" s="26" t="s">
        <v>54</v>
      </c>
      <c r="AE6941" s="80" t="s">
        <v>16687</v>
      </c>
      <c r="AF6941" s="17">
        <v>45755</v>
      </c>
      <c r="AG6941" s="26"/>
      <c r="AH6941" s="26"/>
      <c r="AI6941" s="40"/>
      <c r="AJ6941" s="26"/>
      <c r="AK6941" s="26"/>
      <c r="AL6941" s="35"/>
      <c r="AM6941" s="35"/>
      <c r="AN6941" s="35"/>
      <c r="AO6941" s="35"/>
      <c r="AP6941" s="35"/>
    </row>
    <row r="6942" spans="1:42" x14ac:dyDescent="0.2">
      <c r="A6942" s="38">
        <v>45751</v>
      </c>
      <c r="B6942" s="137" t="s">
        <v>37</v>
      </c>
      <c r="C6942" s="41" t="s">
        <v>118</v>
      </c>
      <c r="D6942" s="80" t="s">
        <v>36</v>
      </c>
      <c r="E6942" s="80" t="s">
        <v>139</v>
      </c>
      <c r="F6942" s="26" t="s">
        <v>11436</v>
      </c>
      <c r="G6942" s="26" t="s">
        <v>1705</v>
      </c>
      <c r="H6942" s="80" t="s">
        <v>21427</v>
      </c>
      <c r="I6942" s="17">
        <f ca="1">IFERROR(__xludf.DUMMYFUNCTION("""COMPUTED_VALUE"""),45870)</f>
        <v>45870</v>
      </c>
      <c r="J6942" s="143" t="s">
        <v>8749</v>
      </c>
      <c r="K6942" s="80" t="s">
        <v>21428</v>
      </c>
      <c r="L6942" s="30">
        <v>944453307</v>
      </c>
      <c r="M6942" s="80" t="s">
        <v>45</v>
      </c>
      <c r="N6942" s="80" t="s">
        <v>571</v>
      </c>
      <c r="O6942" s="80" t="s">
        <v>8751</v>
      </c>
      <c r="P6942" s="144" t="s">
        <v>8752</v>
      </c>
      <c r="Q6942" s="20">
        <v>15936</v>
      </c>
      <c r="R6942" s="80" t="s">
        <v>36</v>
      </c>
      <c r="S6942" s="77">
        <v>15936</v>
      </c>
      <c r="T6942" s="78">
        <v>45449</v>
      </c>
      <c r="U6942" s="77"/>
      <c r="V6942" s="78"/>
      <c r="W6942" s="85" t="s">
        <v>8753</v>
      </c>
      <c r="X6942" s="80"/>
      <c r="Y6942" s="22">
        <v>0</v>
      </c>
      <c r="Z6942" s="26" t="s">
        <v>118</v>
      </c>
      <c r="AA6942" s="145" t="s">
        <v>8721</v>
      </c>
      <c r="AB6942" s="80" t="s">
        <v>36</v>
      </c>
      <c r="AC6942" s="80" t="s">
        <v>53</v>
      </c>
      <c r="AD6942" s="157" t="s">
        <v>54</v>
      </c>
      <c r="AE6942" s="26" t="s">
        <v>11436</v>
      </c>
      <c r="AF6942" s="17">
        <v>45764</v>
      </c>
      <c r="AG6942" s="147"/>
      <c r="AH6942" s="80"/>
      <c r="AI6942" s="147"/>
      <c r="AJ6942" s="80"/>
      <c r="AK6942" s="80"/>
      <c r="AL6942" s="86"/>
      <c r="AM6942" s="86"/>
      <c r="AN6942" s="86"/>
      <c r="AO6942" s="86"/>
      <c r="AP6942" s="86"/>
    </row>
    <row r="6943" spans="1:42" x14ac:dyDescent="0.2">
      <c r="A6943" s="38">
        <v>45751</v>
      </c>
      <c r="B6943" s="137" t="s">
        <v>37</v>
      </c>
      <c r="C6943" s="41" t="s">
        <v>118</v>
      </c>
      <c r="D6943" s="80" t="s">
        <v>36</v>
      </c>
      <c r="E6943" s="80" t="s">
        <v>139</v>
      </c>
      <c r="F6943" s="80" t="s">
        <v>9171</v>
      </c>
      <c r="G6943" s="26" t="s">
        <v>221</v>
      </c>
      <c r="H6943" s="80" t="s">
        <v>20071</v>
      </c>
      <c r="I6943" s="17">
        <f ca="1">IFERROR(__xludf.DUMMYFUNCTION("""COMPUTED_VALUE"""),45757)</f>
        <v>45757</v>
      </c>
      <c r="J6943" s="143" t="s">
        <v>12370</v>
      </c>
      <c r="K6943" s="80" t="s">
        <v>6046</v>
      </c>
      <c r="L6943" s="30">
        <v>363922273</v>
      </c>
      <c r="M6943" s="80" t="s">
        <v>123</v>
      </c>
      <c r="N6943" s="80" t="s">
        <v>186</v>
      </c>
      <c r="O6943" s="80" t="s">
        <v>4503</v>
      </c>
      <c r="P6943" s="144" t="s">
        <v>13724</v>
      </c>
      <c r="Q6943" s="20">
        <v>15936</v>
      </c>
      <c r="R6943" s="80" t="s">
        <v>36</v>
      </c>
      <c r="S6943" s="95">
        <f>200+2000</f>
        <v>2200</v>
      </c>
      <c r="T6943" s="83" t="s">
        <v>12372</v>
      </c>
      <c r="U6943" s="95">
        <v>13736</v>
      </c>
      <c r="V6943" s="148">
        <v>45551</v>
      </c>
      <c r="W6943" s="85" t="s">
        <v>12373</v>
      </c>
      <c r="X6943" s="80">
        <v>0</v>
      </c>
      <c r="Y6943" s="22">
        <v>0</v>
      </c>
      <c r="Z6943" s="80" t="s">
        <v>50</v>
      </c>
      <c r="AA6943" s="82"/>
      <c r="AB6943" s="80"/>
      <c r="AC6943" s="80" t="s">
        <v>53</v>
      </c>
      <c r="AD6943" s="80" t="s">
        <v>138</v>
      </c>
      <c r="AE6943" s="80" t="s">
        <v>9171</v>
      </c>
      <c r="AF6943" s="17">
        <v>45755</v>
      </c>
      <c r="AG6943" s="80"/>
      <c r="AH6943" s="80"/>
      <c r="AI6943" s="147" t="s">
        <v>147</v>
      </c>
      <c r="AJ6943" s="80"/>
      <c r="AK6943" s="80"/>
      <c r="AL6943" s="35"/>
      <c r="AM6943" s="35"/>
      <c r="AN6943" s="35"/>
      <c r="AO6943" s="35"/>
      <c r="AP6943" s="35"/>
    </row>
    <row r="6944" spans="1:42" x14ac:dyDescent="0.2">
      <c r="A6944" s="38">
        <v>45751</v>
      </c>
      <c r="B6944" s="137" t="s">
        <v>37</v>
      </c>
      <c r="C6944" s="41" t="s">
        <v>118</v>
      </c>
      <c r="D6944" s="80" t="s">
        <v>36</v>
      </c>
      <c r="E6944" s="80" t="s">
        <v>139</v>
      </c>
      <c r="F6944" s="80" t="s">
        <v>19824</v>
      </c>
      <c r="G6944" s="80" t="s">
        <v>108</v>
      </c>
      <c r="H6944" s="80" t="s">
        <v>16695</v>
      </c>
      <c r="I6944" s="17">
        <f ca="1">IFERROR(__xludf.DUMMYFUNCTION("""COMPUTED_VALUE"""),45782)</f>
        <v>45782</v>
      </c>
      <c r="J6944" s="172" t="s">
        <v>20667</v>
      </c>
      <c r="K6944" s="80" t="s">
        <v>20668</v>
      </c>
      <c r="L6944" s="30">
        <v>566217888</v>
      </c>
      <c r="M6944" s="80" t="s">
        <v>15996</v>
      </c>
      <c r="N6944" s="80" t="s">
        <v>186</v>
      </c>
      <c r="O6944" s="80" t="s">
        <v>4503</v>
      </c>
      <c r="P6944" s="144" t="s">
        <v>20669</v>
      </c>
      <c r="Q6944" s="20">
        <v>15936</v>
      </c>
      <c r="R6944" s="80" t="s">
        <v>36</v>
      </c>
      <c r="S6944" s="95">
        <f>200+15736</f>
        <v>15936</v>
      </c>
      <c r="T6944" s="83" t="s">
        <v>20670</v>
      </c>
      <c r="U6944" s="77"/>
      <c r="V6944" s="78"/>
      <c r="W6944" s="85" t="s">
        <v>20671</v>
      </c>
      <c r="X6944" s="80"/>
      <c r="Y6944" s="22">
        <v>0</v>
      </c>
      <c r="Z6944" s="80" t="s">
        <v>50</v>
      </c>
      <c r="AA6944" s="86" t="s">
        <v>20522</v>
      </c>
      <c r="AB6944" s="80"/>
      <c r="AC6944" s="80" t="s">
        <v>53</v>
      </c>
      <c r="AD6944" s="80" t="s">
        <v>54</v>
      </c>
      <c r="AE6944" s="80" t="s">
        <v>19824</v>
      </c>
      <c r="AF6944" s="17">
        <v>45756</v>
      </c>
      <c r="AG6944" s="80"/>
      <c r="AH6944" s="80"/>
      <c r="AI6944" s="147"/>
      <c r="AJ6944" s="80"/>
      <c r="AK6944" s="80"/>
      <c r="AL6944" s="35"/>
      <c r="AM6944" s="35"/>
      <c r="AN6944" s="35"/>
      <c r="AO6944" s="35"/>
      <c r="AP6944" s="35"/>
    </row>
    <row r="6945" spans="1:42" x14ac:dyDescent="0.2">
      <c r="A6945" s="38">
        <v>45751</v>
      </c>
      <c r="B6945" s="137" t="s">
        <v>37</v>
      </c>
      <c r="C6945" s="41" t="s">
        <v>118</v>
      </c>
      <c r="D6945" s="26" t="s">
        <v>36</v>
      </c>
      <c r="E6945" s="26" t="s">
        <v>139</v>
      </c>
      <c r="F6945" s="26" t="s">
        <v>16687</v>
      </c>
      <c r="G6945" s="80" t="s">
        <v>1847</v>
      </c>
      <c r="H6945" s="80" t="s">
        <v>8889</v>
      </c>
      <c r="I6945" s="17">
        <f ca="1">IFERROR(__xludf.DUMMYFUNCTION("""COMPUTED_VALUE"""),45764)</f>
        <v>45764</v>
      </c>
      <c r="J6945" s="29" t="s">
        <v>9857</v>
      </c>
      <c r="K6945" s="19" t="s">
        <v>9858</v>
      </c>
      <c r="L6945" s="30">
        <v>329835829</v>
      </c>
      <c r="M6945" s="26" t="s">
        <v>80</v>
      </c>
      <c r="N6945" s="26" t="s">
        <v>1073</v>
      </c>
      <c r="O6945" s="26" t="s">
        <v>9859</v>
      </c>
      <c r="P6945" s="42" t="s">
        <v>9860</v>
      </c>
      <c r="Q6945" s="20">
        <v>15936</v>
      </c>
      <c r="R6945" s="26" t="s">
        <v>36</v>
      </c>
      <c r="S6945" s="95">
        <f>200+1800</f>
        <v>2000</v>
      </c>
      <c r="T6945" s="83" t="s">
        <v>9861</v>
      </c>
      <c r="U6945" s="95">
        <v>13936</v>
      </c>
      <c r="V6945" s="148">
        <v>45515</v>
      </c>
      <c r="W6945" s="33" t="s">
        <v>9862</v>
      </c>
      <c r="X6945" s="26">
        <v>0</v>
      </c>
      <c r="Y6945" s="22">
        <v>0</v>
      </c>
      <c r="Z6945" s="26" t="s">
        <v>118</v>
      </c>
      <c r="AA6945" s="96"/>
      <c r="AB6945" s="80" t="s">
        <v>36</v>
      </c>
      <c r="AC6945" s="26" t="s">
        <v>53</v>
      </c>
      <c r="AD6945" s="26" t="s">
        <v>54</v>
      </c>
      <c r="AE6945" s="26" t="s">
        <v>16687</v>
      </c>
      <c r="AF6945" s="17">
        <v>45755</v>
      </c>
      <c r="AG6945" s="26"/>
      <c r="AH6945" s="26"/>
      <c r="AI6945" s="40"/>
      <c r="AJ6945" s="26"/>
      <c r="AK6945" s="26"/>
      <c r="AL6945" s="35"/>
      <c r="AM6945" s="35"/>
      <c r="AN6945" s="35"/>
      <c r="AO6945" s="35"/>
      <c r="AP6945" s="35"/>
    </row>
    <row r="6946" spans="1:42" x14ac:dyDescent="0.2">
      <c r="A6946" s="38">
        <v>45753</v>
      </c>
      <c r="B6946" s="137" t="s">
        <v>37</v>
      </c>
      <c r="C6946" s="41" t="s">
        <v>118</v>
      </c>
      <c r="D6946" s="80" t="s">
        <v>36</v>
      </c>
      <c r="E6946" s="80" t="s">
        <v>139</v>
      </c>
      <c r="F6946" s="80" t="s">
        <v>16792</v>
      </c>
      <c r="G6946" s="80" t="s">
        <v>221</v>
      </c>
      <c r="H6946" s="80" t="s">
        <v>21209</v>
      </c>
      <c r="I6946" s="17">
        <f ca="1">IFERROR(__xludf.DUMMYFUNCTION("""COMPUTED_VALUE"""),45874)</f>
        <v>45874</v>
      </c>
      <c r="J6946" s="143" t="s">
        <v>15791</v>
      </c>
      <c r="K6946" s="80" t="s">
        <v>21429</v>
      </c>
      <c r="L6946" s="30">
        <v>336670816</v>
      </c>
      <c r="M6946" s="80" t="s">
        <v>59</v>
      </c>
      <c r="N6946" s="80" t="s">
        <v>4299</v>
      </c>
      <c r="O6946" s="80" t="s">
        <v>15793</v>
      </c>
      <c r="P6946" s="144" t="s">
        <v>15794</v>
      </c>
      <c r="Q6946" s="20">
        <v>15936</v>
      </c>
      <c r="R6946" s="80" t="s">
        <v>36</v>
      </c>
      <c r="S6946" s="95">
        <v>2000</v>
      </c>
      <c r="T6946" s="148">
        <v>45562</v>
      </c>
      <c r="U6946" s="95">
        <v>13963</v>
      </c>
      <c r="V6946" s="148">
        <v>45594</v>
      </c>
      <c r="W6946" s="85" t="s">
        <v>15795</v>
      </c>
      <c r="X6946" s="80"/>
      <c r="Y6946" s="22">
        <v>-27</v>
      </c>
      <c r="Z6946" s="80" t="s">
        <v>50</v>
      </c>
      <c r="AA6946" s="35" t="s">
        <v>9905</v>
      </c>
      <c r="AB6946" s="80"/>
      <c r="AC6946" s="80" t="s">
        <v>53</v>
      </c>
      <c r="AD6946" s="80" t="s">
        <v>54</v>
      </c>
      <c r="AE6946" s="80" t="s">
        <v>16792</v>
      </c>
      <c r="AF6946" s="17">
        <v>45756</v>
      </c>
      <c r="AG6946" s="80" t="s">
        <v>8366</v>
      </c>
      <c r="AH6946" s="80"/>
      <c r="AI6946" s="147"/>
      <c r="AJ6946" s="80"/>
      <c r="AK6946" s="80"/>
      <c r="AL6946" s="35"/>
      <c r="AM6946" s="35"/>
      <c r="AN6946" s="35"/>
      <c r="AO6946" s="35"/>
      <c r="AP6946" s="35"/>
    </row>
    <row r="6947" spans="1:42" x14ac:dyDescent="0.2">
      <c r="A6947" s="38">
        <v>45753</v>
      </c>
      <c r="B6947" s="137" t="s">
        <v>37</v>
      </c>
      <c r="C6947" s="41" t="s">
        <v>118</v>
      </c>
      <c r="D6947" s="80" t="s">
        <v>36</v>
      </c>
      <c r="E6947" s="80" t="s">
        <v>139</v>
      </c>
      <c r="F6947" s="80" t="s">
        <v>14387</v>
      </c>
      <c r="G6947" s="80" t="s">
        <v>221</v>
      </c>
      <c r="H6947" s="80" t="s">
        <v>19247</v>
      </c>
      <c r="I6947" s="17">
        <f ca="1">IFERROR(__xludf.DUMMYFUNCTION("""COMPUTED_VALUE"""),45783)</f>
        <v>45783</v>
      </c>
      <c r="J6947" s="143" t="s">
        <v>14479</v>
      </c>
      <c r="K6947" s="80" t="s">
        <v>14480</v>
      </c>
      <c r="L6947" s="30">
        <v>348106516</v>
      </c>
      <c r="M6947" s="80" t="s">
        <v>123</v>
      </c>
      <c r="N6947" s="80" t="s">
        <v>2847</v>
      </c>
      <c r="O6947" s="80" t="s">
        <v>4503</v>
      </c>
      <c r="P6947" s="80" t="s">
        <v>5794</v>
      </c>
      <c r="Q6947" s="20">
        <v>15936</v>
      </c>
      <c r="R6947" s="80" t="s">
        <v>70</v>
      </c>
      <c r="S6947" s="95">
        <f>100+5000</f>
        <v>5100</v>
      </c>
      <c r="T6947" s="83" t="s">
        <v>14481</v>
      </c>
      <c r="U6947" s="95">
        <v>10736</v>
      </c>
      <c r="V6947" s="148">
        <v>45588</v>
      </c>
      <c r="W6947" s="85" t="s">
        <v>14482</v>
      </c>
      <c r="X6947" s="80"/>
      <c r="Y6947" s="22">
        <v>100</v>
      </c>
      <c r="Z6947" s="80" t="s">
        <v>50</v>
      </c>
      <c r="AA6947" s="82"/>
      <c r="AB6947" s="80"/>
      <c r="AC6947" s="80" t="s">
        <v>53</v>
      </c>
      <c r="AD6947" s="80" t="s">
        <v>138</v>
      </c>
      <c r="AE6947" s="80" t="s">
        <v>14387</v>
      </c>
      <c r="AF6947" s="17">
        <v>45783</v>
      </c>
      <c r="AG6947" s="80"/>
      <c r="AH6947" s="80"/>
      <c r="AI6947" s="147"/>
      <c r="AJ6947" s="80"/>
      <c r="AK6947" s="80"/>
      <c r="AL6947" s="35"/>
      <c r="AM6947" s="35"/>
      <c r="AN6947" s="35"/>
      <c r="AO6947" s="35"/>
      <c r="AP6947" s="35"/>
    </row>
    <row r="6948" spans="1:42" x14ac:dyDescent="0.2">
      <c r="A6948" s="38">
        <v>45754</v>
      </c>
      <c r="B6948" s="137" t="s">
        <v>37</v>
      </c>
      <c r="C6948" s="41" t="s">
        <v>118</v>
      </c>
      <c r="D6948" s="80" t="s">
        <v>36</v>
      </c>
      <c r="E6948" s="80" t="s">
        <v>139</v>
      </c>
      <c r="F6948" s="80" t="s">
        <v>14387</v>
      </c>
      <c r="G6948" s="80" t="s">
        <v>221</v>
      </c>
      <c r="H6948" s="80" t="s">
        <v>19247</v>
      </c>
      <c r="I6948" s="17">
        <f ca="1">IFERROR(__xludf.DUMMYFUNCTION("""COMPUTED_VALUE"""),45783)</f>
        <v>45783</v>
      </c>
      <c r="J6948" s="143" t="s">
        <v>14443</v>
      </c>
      <c r="K6948" s="80" t="s">
        <v>14444</v>
      </c>
      <c r="L6948" s="30">
        <v>813781506</v>
      </c>
      <c r="M6948" s="80" t="s">
        <v>123</v>
      </c>
      <c r="N6948" s="80" t="s">
        <v>2847</v>
      </c>
      <c r="O6948" s="80" t="s">
        <v>4503</v>
      </c>
      <c r="P6948" s="80" t="s">
        <v>5794</v>
      </c>
      <c r="Q6948" s="20">
        <v>15936</v>
      </c>
      <c r="R6948" s="80" t="s">
        <v>70</v>
      </c>
      <c r="S6948" s="95">
        <f>200+3000</f>
        <v>3200</v>
      </c>
      <c r="T6948" s="83" t="s">
        <v>14445</v>
      </c>
      <c r="U6948" s="95">
        <v>12736</v>
      </c>
      <c r="V6948" s="148">
        <v>45586</v>
      </c>
      <c r="W6948" s="85" t="s">
        <v>14446</v>
      </c>
      <c r="X6948" s="80"/>
      <c r="Y6948" s="22">
        <v>0</v>
      </c>
      <c r="Z6948" s="80" t="s">
        <v>50</v>
      </c>
      <c r="AA6948" s="86"/>
      <c r="AB6948" s="80"/>
      <c r="AC6948" s="80" t="s">
        <v>53</v>
      </c>
      <c r="AD6948" s="80" t="s">
        <v>138</v>
      </c>
      <c r="AE6948" s="80" t="s">
        <v>14387</v>
      </c>
      <c r="AF6948" s="17">
        <v>45783</v>
      </c>
      <c r="AG6948" s="26"/>
      <c r="AH6948" s="80"/>
      <c r="AI6948" s="147"/>
      <c r="AJ6948" s="80"/>
      <c r="AK6948" s="80"/>
      <c r="AL6948" s="35"/>
      <c r="AM6948" s="35"/>
      <c r="AN6948" s="35"/>
      <c r="AO6948" s="35"/>
      <c r="AP6948" s="35"/>
    </row>
    <row r="6949" spans="1:42" x14ac:dyDescent="0.2">
      <c r="A6949" s="38">
        <v>45754</v>
      </c>
      <c r="B6949" s="137" t="s">
        <v>37</v>
      </c>
      <c r="C6949" s="41" t="s">
        <v>118</v>
      </c>
      <c r="D6949" s="80" t="s">
        <v>36</v>
      </c>
      <c r="E6949" s="80" t="s">
        <v>139</v>
      </c>
      <c r="F6949" s="80" t="s">
        <v>14465</v>
      </c>
      <c r="G6949" s="80" t="s">
        <v>221</v>
      </c>
      <c r="H6949" s="80" t="s">
        <v>16939</v>
      </c>
      <c r="I6949" s="17">
        <f ca="1">IFERROR(__xludf.DUMMYFUNCTION("""COMPUTED_VALUE"""),45769)</f>
        <v>45769</v>
      </c>
      <c r="J6949" s="143" t="s">
        <v>13330</v>
      </c>
      <c r="K6949" s="80" t="s">
        <v>21430</v>
      </c>
      <c r="L6949" s="30">
        <v>765178100</v>
      </c>
      <c r="M6949" s="80" t="s">
        <v>5558</v>
      </c>
      <c r="N6949" s="80" t="s">
        <v>5559</v>
      </c>
      <c r="O6949" s="80" t="s">
        <v>4503</v>
      </c>
      <c r="P6949" s="80" t="s">
        <v>13332</v>
      </c>
      <c r="Q6949" s="20">
        <v>15936</v>
      </c>
      <c r="R6949" s="80" t="s">
        <v>36</v>
      </c>
      <c r="S6949" s="95">
        <f>200+15736</f>
        <v>15936</v>
      </c>
      <c r="T6949" s="148">
        <v>45553</v>
      </c>
      <c r="U6949" s="95"/>
      <c r="V6949" s="148">
        <v>45557</v>
      </c>
      <c r="W6949" s="85" t="s">
        <v>13333</v>
      </c>
      <c r="X6949" s="80">
        <v>0</v>
      </c>
      <c r="Y6949" s="22">
        <v>0</v>
      </c>
      <c r="Z6949" s="80" t="s">
        <v>50</v>
      </c>
      <c r="AA6949" s="96" t="s">
        <v>3291</v>
      </c>
      <c r="AB6949" s="80"/>
      <c r="AC6949" s="80" t="s">
        <v>53</v>
      </c>
      <c r="AD6949" s="80" t="s">
        <v>54</v>
      </c>
      <c r="AE6949" s="80" t="s">
        <v>14465</v>
      </c>
      <c r="AF6949" s="17">
        <v>45761</v>
      </c>
      <c r="AG6949" s="80"/>
      <c r="AH6949" s="80"/>
      <c r="AI6949" s="147" t="s">
        <v>147</v>
      </c>
      <c r="AJ6949" s="80"/>
      <c r="AK6949" s="80"/>
      <c r="AL6949" s="35"/>
      <c r="AM6949" s="35"/>
      <c r="AN6949" s="35"/>
      <c r="AO6949" s="35"/>
      <c r="AP6949" s="35"/>
    </row>
    <row r="6950" spans="1:42" x14ac:dyDescent="0.2">
      <c r="A6950" s="38">
        <v>45755</v>
      </c>
      <c r="B6950" s="137" t="s">
        <v>37</v>
      </c>
      <c r="C6950" s="41" t="s">
        <v>118</v>
      </c>
      <c r="D6950" s="80" t="s">
        <v>36</v>
      </c>
      <c r="E6950" s="80" t="s">
        <v>139</v>
      </c>
      <c r="F6950" s="26" t="s">
        <v>8917</v>
      </c>
      <c r="G6950" s="26" t="s">
        <v>1705</v>
      </c>
      <c r="H6950" s="26" t="s">
        <v>20251</v>
      </c>
      <c r="I6950" s="17">
        <f ca="1">IFERROR(__xludf.DUMMYFUNCTION("""COMPUTED_VALUE"""),45772)</f>
        <v>45772</v>
      </c>
      <c r="J6950" s="143" t="s">
        <v>3854</v>
      </c>
      <c r="K6950" s="80" t="s">
        <v>21431</v>
      </c>
      <c r="L6950" s="30">
        <v>362802427</v>
      </c>
      <c r="M6950" s="80" t="s">
        <v>123</v>
      </c>
      <c r="N6950" s="80" t="s">
        <v>2847</v>
      </c>
      <c r="O6950" s="80" t="s">
        <v>1226</v>
      </c>
      <c r="P6950" s="144" t="s">
        <v>5034</v>
      </c>
      <c r="Q6950" s="20">
        <v>15936</v>
      </c>
      <c r="R6950" s="80" t="s">
        <v>36</v>
      </c>
      <c r="S6950" s="77">
        <v>5000</v>
      </c>
      <c r="T6950" s="78">
        <v>45195</v>
      </c>
      <c r="U6950" s="77">
        <v>10936</v>
      </c>
      <c r="V6950" s="78">
        <v>45224</v>
      </c>
      <c r="W6950" s="85" t="s">
        <v>3856</v>
      </c>
      <c r="X6950" s="80"/>
      <c r="Y6950" s="22">
        <v>0</v>
      </c>
      <c r="Z6950" s="41" t="s">
        <v>118</v>
      </c>
      <c r="AA6950" s="145" t="s">
        <v>3454</v>
      </c>
      <c r="AB6950" s="26" t="s">
        <v>36</v>
      </c>
      <c r="AC6950" s="80" t="s">
        <v>53</v>
      </c>
      <c r="AD6950" s="157" t="s">
        <v>138</v>
      </c>
      <c r="AE6950" s="26" t="s">
        <v>8917</v>
      </c>
      <c r="AF6950" s="17">
        <v>45772</v>
      </c>
      <c r="AG6950" s="147"/>
      <c r="AH6950" s="80"/>
      <c r="AI6950" s="147"/>
      <c r="AJ6950" s="80"/>
      <c r="AK6950" s="80"/>
      <c r="AL6950" s="86"/>
      <c r="AM6950" s="86"/>
      <c r="AN6950" s="86"/>
      <c r="AO6950" s="86"/>
      <c r="AP6950" s="86"/>
    </row>
    <row r="6951" spans="1:42" x14ac:dyDescent="0.2">
      <c r="A6951" s="38">
        <v>45755</v>
      </c>
      <c r="B6951" s="137" t="s">
        <v>37</v>
      </c>
      <c r="C6951" s="41" t="s">
        <v>118</v>
      </c>
      <c r="D6951" s="80" t="s">
        <v>36</v>
      </c>
      <c r="E6951" s="80" t="s">
        <v>139</v>
      </c>
      <c r="F6951" s="80" t="s">
        <v>18445</v>
      </c>
      <c r="G6951" s="26" t="s">
        <v>1705</v>
      </c>
      <c r="H6951" s="26" t="s">
        <v>21432</v>
      </c>
      <c r="I6951" s="17" t="str">
        <f ca="1">IFERROR(__xludf.DUMMYFUNCTION("""COMPUTED_VALUE""")," ")</f>
        <v xml:space="preserve"> </v>
      </c>
      <c r="J6951" s="143" t="s">
        <v>7687</v>
      </c>
      <c r="K6951" s="80" t="s">
        <v>7688</v>
      </c>
      <c r="L6951" s="30">
        <v>825946086</v>
      </c>
      <c r="M6951" s="80" t="s">
        <v>123</v>
      </c>
      <c r="N6951" s="80" t="s">
        <v>186</v>
      </c>
      <c r="O6951" s="80" t="s">
        <v>4503</v>
      </c>
      <c r="P6951" s="144" t="s">
        <v>21433</v>
      </c>
      <c r="Q6951" s="20">
        <v>15936</v>
      </c>
      <c r="R6951" s="80" t="s">
        <v>70</v>
      </c>
      <c r="S6951" s="77">
        <v>200</v>
      </c>
      <c r="T6951" s="78">
        <v>45330</v>
      </c>
      <c r="U6951" s="77">
        <f>5000+10736</f>
        <v>15736</v>
      </c>
      <c r="V6951" s="78" t="s">
        <v>7689</v>
      </c>
      <c r="W6951" s="80" t="s">
        <v>7690</v>
      </c>
      <c r="X6951" s="80"/>
      <c r="Y6951" s="22">
        <v>0</v>
      </c>
      <c r="Z6951" s="41" t="s">
        <v>118</v>
      </c>
      <c r="AA6951" s="82" t="s">
        <v>7361</v>
      </c>
      <c r="AB6951" s="80" t="s">
        <v>36</v>
      </c>
      <c r="AC6951" s="80" t="s">
        <v>53</v>
      </c>
      <c r="AD6951" s="86" t="s">
        <v>138</v>
      </c>
      <c r="AE6951" s="80" t="s">
        <v>18445</v>
      </c>
      <c r="AF6951" s="17">
        <v>45764</v>
      </c>
      <c r="AG6951" s="80"/>
      <c r="AH6951" s="80"/>
      <c r="AI6951" s="147"/>
      <c r="AJ6951" s="80"/>
      <c r="AK6951" s="80"/>
      <c r="AL6951" s="86"/>
      <c r="AM6951" s="86"/>
      <c r="AN6951" s="86"/>
      <c r="AO6951" s="86"/>
      <c r="AP6951" s="86"/>
    </row>
    <row r="6952" spans="1:42" x14ac:dyDescent="0.2">
      <c r="A6952" s="38">
        <v>45755</v>
      </c>
      <c r="B6952" s="137" t="s">
        <v>37</v>
      </c>
      <c r="C6952" s="41" t="s">
        <v>118</v>
      </c>
      <c r="D6952" s="26" t="s">
        <v>36</v>
      </c>
      <c r="E6952" s="26" t="s">
        <v>139</v>
      </c>
      <c r="F6952" s="80" t="s">
        <v>18445</v>
      </c>
      <c r="G6952" s="26" t="s">
        <v>1705</v>
      </c>
      <c r="H6952" s="26" t="s">
        <v>19614</v>
      </c>
      <c r="I6952" s="17">
        <f ca="1">IFERROR(__xludf.DUMMYFUNCTION("""COMPUTED_VALUE"""),45567)</f>
        <v>45567</v>
      </c>
      <c r="J6952" s="29" t="s">
        <v>8136</v>
      </c>
      <c r="K6952" s="26" t="s">
        <v>8137</v>
      </c>
      <c r="L6952" s="30">
        <v>902137724</v>
      </c>
      <c r="M6952" s="26" t="s">
        <v>123</v>
      </c>
      <c r="N6952" s="26" t="s">
        <v>186</v>
      </c>
      <c r="O6952" s="26" t="s">
        <v>4503</v>
      </c>
      <c r="P6952" s="42" t="s">
        <v>18461</v>
      </c>
      <c r="Q6952" s="20">
        <v>15936</v>
      </c>
      <c r="R6952" s="26" t="s">
        <v>36</v>
      </c>
      <c r="S6952" s="31">
        <v>200</v>
      </c>
      <c r="T6952" s="32">
        <v>45330</v>
      </c>
      <c r="U6952" s="31">
        <f>5000+10636+100</f>
        <v>15736</v>
      </c>
      <c r="V6952" s="26" t="s">
        <v>8138</v>
      </c>
      <c r="W6952" s="26" t="s">
        <v>8139</v>
      </c>
      <c r="X6952" s="26"/>
      <c r="Y6952" s="22">
        <v>0</v>
      </c>
      <c r="Z6952" s="26" t="s">
        <v>118</v>
      </c>
      <c r="AA6952" s="19" t="s">
        <v>8317</v>
      </c>
      <c r="AB6952" s="80" t="s">
        <v>36</v>
      </c>
      <c r="AC6952" s="26" t="s">
        <v>53</v>
      </c>
      <c r="AD6952" s="19" t="s">
        <v>138</v>
      </c>
      <c r="AE6952" s="80" t="s">
        <v>18445</v>
      </c>
      <c r="AF6952" s="17">
        <v>45764</v>
      </c>
      <c r="AG6952" s="26"/>
      <c r="AH6952" s="26"/>
      <c r="AI6952" s="40"/>
      <c r="AJ6952" s="26"/>
      <c r="AK6952" s="26"/>
      <c r="AL6952" s="35"/>
      <c r="AM6952" s="35"/>
      <c r="AN6952" s="35"/>
      <c r="AO6952" s="35"/>
      <c r="AP6952" s="35"/>
    </row>
    <row r="6953" spans="1:42" x14ac:dyDescent="0.2">
      <c r="A6953" s="38">
        <v>45755</v>
      </c>
      <c r="B6953" s="137" t="s">
        <v>37</v>
      </c>
      <c r="C6953" s="41" t="s">
        <v>118</v>
      </c>
      <c r="D6953" s="26" t="s">
        <v>36</v>
      </c>
      <c r="E6953" s="26" t="s">
        <v>139</v>
      </c>
      <c r="F6953" s="26" t="s">
        <v>14438</v>
      </c>
      <c r="G6953" s="26" t="s">
        <v>1705</v>
      </c>
      <c r="H6953" s="26" t="s">
        <v>19614</v>
      </c>
      <c r="I6953" s="17">
        <f ca="1">IFERROR(__xludf.DUMMYFUNCTION("""COMPUTED_VALUE"""),45567)</f>
        <v>45567</v>
      </c>
      <c r="J6953" s="29" t="s">
        <v>2671</v>
      </c>
      <c r="K6953" s="26" t="s">
        <v>5830</v>
      </c>
      <c r="L6953" s="30">
        <v>971533472</v>
      </c>
      <c r="M6953" s="26" t="s">
        <v>123</v>
      </c>
      <c r="N6953" s="26" t="s">
        <v>850</v>
      </c>
      <c r="O6953" s="26" t="s">
        <v>125</v>
      </c>
      <c r="P6953" s="42" t="s">
        <v>17032</v>
      </c>
      <c r="Q6953" s="20">
        <v>15936</v>
      </c>
      <c r="R6953" s="26" t="s">
        <v>36</v>
      </c>
      <c r="S6953" s="31">
        <v>4000</v>
      </c>
      <c r="T6953" s="32">
        <v>45175</v>
      </c>
      <c r="U6953" s="31">
        <v>11936</v>
      </c>
      <c r="V6953" s="32">
        <v>45195</v>
      </c>
      <c r="W6953" s="33" t="s">
        <v>2674</v>
      </c>
      <c r="X6953" s="26"/>
      <c r="Y6953" s="22">
        <v>0</v>
      </c>
      <c r="Z6953" s="26" t="s">
        <v>118</v>
      </c>
      <c r="AA6953" s="19" t="s">
        <v>5785</v>
      </c>
      <c r="AB6953" s="80" t="s">
        <v>36</v>
      </c>
      <c r="AC6953" s="26" t="s">
        <v>53</v>
      </c>
      <c r="AD6953" s="19" t="s">
        <v>54</v>
      </c>
      <c r="AE6953" s="26" t="s">
        <v>14438</v>
      </c>
      <c r="AF6953" s="17">
        <v>45764</v>
      </c>
      <c r="AG6953" s="26"/>
      <c r="AH6953" s="26"/>
      <c r="AI6953" s="40" t="s">
        <v>147</v>
      </c>
      <c r="AJ6953" s="26"/>
      <c r="AK6953" s="26"/>
      <c r="AL6953" s="35"/>
      <c r="AM6953" s="35"/>
      <c r="AN6953" s="35"/>
      <c r="AO6953" s="35"/>
      <c r="AP6953" s="35"/>
    </row>
    <row r="6954" spans="1:42" x14ac:dyDescent="0.2">
      <c r="A6954" s="38">
        <v>45755</v>
      </c>
      <c r="B6954" s="137" t="s">
        <v>37</v>
      </c>
      <c r="C6954" s="41" t="s">
        <v>118</v>
      </c>
      <c r="D6954" s="80" t="s">
        <v>36</v>
      </c>
      <c r="E6954" s="80" t="s">
        <v>119</v>
      </c>
      <c r="F6954" s="80" t="s">
        <v>16656</v>
      </c>
      <c r="G6954" s="80" t="s">
        <v>221</v>
      </c>
      <c r="H6954" s="80" t="s">
        <v>19618</v>
      </c>
      <c r="I6954" s="17">
        <f ca="1">IFERROR(__xludf.DUMMYFUNCTION("""COMPUTED_VALUE"""),45835)</f>
        <v>45835</v>
      </c>
      <c r="J6954" s="143" t="s">
        <v>18823</v>
      </c>
      <c r="K6954" s="80" t="s">
        <v>21434</v>
      </c>
      <c r="L6954" s="30">
        <v>982072721</v>
      </c>
      <c r="M6954" s="80" t="s">
        <v>5429</v>
      </c>
      <c r="N6954" s="80" t="s">
        <v>756</v>
      </c>
      <c r="O6954" s="80" t="s">
        <v>18825</v>
      </c>
      <c r="P6954" s="80" t="s">
        <v>21435</v>
      </c>
      <c r="Q6954" s="20">
        <v>13968</v>
      </c>
      <c r="R6954" s="80" t="s">
        <v>36</v>
      </c>
      <c r="S6954" s="95">
        <f>200+3800</f>
        <v>4000</v>
      </c>
      <c r="T6954" s="83" t="s">
        <v>18827</v>
      </c>
      <c r="U6954" s="95">
        <v>9968</v>
      </c>
      <c r="V6954" s="148">
        <v>45645</v>
      </c>
      <c r="W6954" s="85" t="s">
        <v>18828</v>
      </c>
      <c r="X6954" s="80"/>
      <c r="Y6954" s="22">
        <v>0</v>
      </c>
      <c r="Z6954" s="80" t="s">
        <v>50</v>
      </c>
      <c r="AA6954" s="35" t="s">
        <v>18579</v>
      </c>
      <c r="AB6954" s="86"/>
      <c r="AC6954" s="80" t="s">
        <v>53</v>
      </c>
      <c r="AD6954" s="80" t="s">
        <v>138</v>
      </c>
      <c r="AE6954" s="80" t="s">
        <v>16656</v>
      </c>
      <c r="AF6954" s="17">
        <v>45785</v>
      </c>
      <c r="AG6954" s="80"/>
      <c r="AH6954" s="80"/>
      <c r="AI6954" s="147"/>
      <c r="AJ6954" s="80"/>
      <c r="AK6954" s="80"/>
      <c r="AL6954" s="193"/>
      <c r="AM6954" s="193"/>
      <c r="AN6954" s="193"/>
      <c r="AO6954" s="193"/>
      <c r="AP6954" s="193"/>
    </row>
    <row r="6955" spans="1:42" x14ac:dyDescent="0.2">
      <c r="A6955" s="38">
        <v>45755</v>
      </c>
      <c r="B6955" s="137" t="s">
        <v>37</v>
      </c>
      <c r="C6955" s="41" t="s">
        <v>118</v>
      </c>
      <c r="D6955" s="80" t="s">
        <v>36</v>
      </c>
      <c r="E6955" s="80" t="s">
        <v>139</v>
      </c>
      <c r="F6955" s="80" t="s">
        <v>15974</v>
      </c>
      <c r="G6955" s="80" t="s">
        <v>221</v>
      </c>
      <c r="H6955" s="80" t="s">
        <v>21158</v>
      </c>
      <c r="I6955" s="17">
        <f ca="1">IFERROR(__xludf.DUMMYFUNCTION("""COMPUTED_VALUE"""),45761)</f>
        <v>45761</v>
      </c>
      <c r="J6955" s="143" t="s">
        <v>16037</v>
      </c>
      <c r="K6955" s="80" t="s">
        <v>21436</v>
      </c>
      <c r="L6955" s="30">
        <v>376935431</v>
      </c>
      <c r="M6955" s="80" t="s">
        <v>3288</v>
      </c>
      <c r="N6955" s="80" t="s">
        <v>200</v>
      </c>
      <c r="O6955" s="80" t="s">
        <v>91</v>
      </c>
      <c r="P6955" s="144" t="s">
        <v>16927</v>
      </c>
      <c r="Q6955" s="20">
        <v>15936</v>
      </c>
      <c r="R6955" s="80" t="s">
        <v>1106</v>
      </c>
      <c r="S6955" s="95">
        <f>1000+1000</f>
        <v>2000</v>
      </c>
      <c r="T6955" s="83" t="s">
        <v>16040</v>
      </c>
      <c r="U6955" s="95">
        <v>13786</v>
      </c>
      <c r="V6955" s="148">
        <v>45591</v>
      </c>
      <c r="W6955" s="85" t="s">
        <v>16041</v>
      </c>
      <c r="X6955" s="80"/>
      <c r="Y6955" s="22">
        <v>150</v>
      </c>
      <c r="Z6955" s="80" t="s">
        <v>50</v>
      </c>
      <c r="AA6955" s="96" t="s">
        <v>9905</v>
      </c>
      <c r="AB6955" s="80"/>
      <c r="AC6955" s="80" t="s">
        <v>53</v>
      </c>
      <c r="AD6955" s="80" t="s">
        <v>54</v>
      </c>
      <c r="AE6955" s="80" t="s">
        <v>15974</v>
      </c>
      <c r="AF6955" s="17">
        <v>45756</v>
      </c>
      <c r="AG6955" s="80"/>
      <c r="AH6955" s="80"/>
      <c r="AI6955" s="147"/>
      <c r="AJ6955" s="80"/>
      <c r="AK6955" s="80"/>
      <c r="AL6955" s="35"/>
      <c r="AM6955" s="35"/>
      <c r="AN6955" s="35"/>
      <c r="AO6955" s="35"/>
      <c r="AP6955" s="35"/>
    </row>
    <row r="6956" spans="1:42" x14ac:dyDescent="0.2">
      <c r="A6956" s="38">
        <v>45755</v>
      </c>
      <c r="B6956" s="137" t="s">
        <v>37</v>
      </c>
      <c r="C6956" s="41" t="s">
        <v>118</v>
      </c>
      <c r="D6956" s="80" t="s">
        <v>36</v>
      </c>
      <c r="E6956" s="80" t="s">
        <v>139</v>
      </c>
      <c r="F6956" s="80" t="s">
        <v>12857</v>
      </c>
      <c r="G6956" s="80" t="s">
        <v>221</v>
      </c>
      <c r="H6956" s="80" t="s">
        <v>20353</v>
      </c>
      <c r="I6956" s="17">
        <f ca="1">IFERROR(__xludf.DUMMYFUNCTION("""COMPUTED_VALUE"""),45866)</f>
        <v>45866</v>
      </c>
      <c r="J6956" s="143" t="s">
        <v>14654</v>
      </c>
      <c r="K6956" s="80" t="s">
        <v>21437</v>
      </c>
      <c r="L6956" s="30">
        <v>385986006</v>
      </c>
      <c r="M6956" s="80" t="s">
        <v>80</v>
      </c>
      <c r="N6956" s="80" t="s">
        <v>1073</v>
      </c>
      <c r="O6956" s="80" t="s">
        <v>14656</v>
      </c>
      <c r="P6956" s="144" t="s">
        <v>14657</v>
      </c>
      <c r="Q6956" s="20">
        <v>15936</v>
      </c>
      <c r="R6956" s="80" t="s">
        <v>36</v>
      </c>
      <c r="S6956" s="95">
        <f>200+1800</f>
        <v>2000</v>
      </c>
      <c r="T6956" s="83" t="s">
        <v>14658</v>
      </c>
      <c r="U6956" s="95">
        <v>13936</v>
      </c>
      <c r="V6956" s="148">
        <v>45586</v>
      </c>
      <c r="W6956" s="85" t="s">
        <v>14659</v>
      </c>
      <c r="X6956" s="80"/>
      <c r="Y6956" s="22">
        <v>0</v>
      </c>
      <c r="Z6956" s="80" t="s">
        <v>50</v>
      </c>
      <c r="AA6956" s="86"/>
      <c r="AB6956" s="80"/>
      <c r="AC6956" s="80" t="s">
        <v>53</v>
      </c>
      <c r="AD6956" s="80" t="s">
        <v>54</v>
      </c>
      <c r="AE6956" s="80" t="s">
        <v>12857</v>
      </c>
      <c r="AF6956" s="17">
        <v>45756</v>
      </c>
      <c r="AG6956" s="80" t="s">
        <v>8366</v>
      </c>
      <c r="AH6956" s="80"/>
      <c r="AI6956" s="147"/>
      <c r="AJ6956" s="80"/>
      <c r="AK6956" s="80"/>
      <c r="AL6956" s="35"/>
      <c r="AM6956" s="35"/>
      <c r="AN6956" s="35"/>
      <c r="AO6956" s="35"/>
      <c r="AP6956" s="35"/>
    </row>
    <row r="6957" spans="1:42" x14ac:dyDescent="0.2">
      <c r="A6957" s="38">
        <v>45755</v>
      </c>
      <c r="B6957" s="137" t="s">
        <v>37</v>
      </c>
      <c r="C6957" s="41" t="s">
        <v>118</v>
      </c>
      <c r="D6957" s="80" t="s">
        <v>77</v>
      </c>
      <c r="E6957" s="80" t="s">
        <v>119</v>
      </c>
      <c r="F6957" s="80" t="s">
        <v>17059</v>
      </c>
      <c r="G6957" s="80" t="s">
        <v>221</v>
      </c>
      <c r="H6957" s="80" t="s">
        <v>18302</v>
      </c>
      <c r="I6957" s="17">
        <f ca="1">IFERROR(__xludf.DUMMYFUNCTION("""COMPUTED_VALUE"""),45755)</f>
        <v>45755</v>
      </c>
      <c r="J6957" s="143" t="s">
        <v>11590</v>
      </c>
      <c r="K6957" s="80" t="s">
        <v>21438</v>
      </c>
      <c r="L6957" s="30">
        <v>777919663</v>
      </c>
      <c r="M6957" s="80" t="s">
        <v>11413</v>
      </c>
      <c r="N6957" s="80" t="s">
        <v>1246</v>
      </c>
      <c r="O6957" s="80" t="s">
        <v>11592</v>
      </c>
      <c r="P6957" s="80" t="s">
        <v>19156</v>
      </c>
      <c r="Q6957" s="20">
        <v>13968</v>
      </c>
      <c r="R6957" s="80" t="s">
        <v>36</v>
      </c>
      <c r="S6957" s="95">
        <v>13968</v>
      </c>
      <c r="T6957" s="148">
        <v>45642</v>
      </c>
      <c r="U6957" s="77"/>
      <c r="V6957" s="78"/>
      <c r="W6957" s="85" t="s">
        <v>19157</v>
      </c>
      <c r="X6957" s="80"/>
      <c r="Y6957" s="22">
        <v>0</v>
      </c>
      <c r="Z6957" s="80" t="s">
        <v>50</v>
      </c>
      <c r="AA6957" s="96" t="s">
        <v>18579</v>
      </c>
      <c r="AB6957" s="86"/>
      <c r="AC6957" s="80" t="s">
        <v>53</v>
      </c>
      <c r="AD6957" s="80" t="s">
        <v>54</v>
      </c>
      <c r="AE6957" s="80" t="s">
        <v>17059</v>
      </c>
      <c r="AF6957" s="17">
        <v>45755</v>
      </c>
      <c r="AG6957" s="80"/>
      <c r="AH6957" s="80"/>
      <c r="AI6957" s="147"/>
      <c r="AJ6957" s="80"/>
      <c r="AK6957" s="80"/>
      <c r="AL6957" s="35"/>
      <c r="AM6957" s="35"/>
      <c r="AN6957" s="35"/>
      <c r="AO6957" s="35"/>
      <c r="AP6957" s="35"/>
    </row>
    <row r="6958" spans="1:42" x14ac:dyDescent="0.2">
      <c r="A6958" s="38">
        <v>45755</v>
      </c>
      <c r="B6958" s="137" t="s">
        <v>37</v>
      </c>
      <c r="C6958" s="41" t="s">
        <v>118</v>
      </c>
      <c r="D6958" s="80" t="s">
        <v>36</v>
      </c>
      <c r="E6958" s="80" t="s">
        <v>119</v>
      </c>
      <c r="F6958" s="80" t="s">
        <v>2945</v>
      </c>
      <c r="G6958" s="80" t="s">
        <v>221</v>
      </c>
      <c r="H6958" s="80" t="s">
        <v>20004</v>
      </c>
      <c r="I6958" s="17">
        <f ca="1">IFERROR(__xludf.DUMMYFUNCTION("""COMPUTED_VALUE"""),45755)</f>
        <v>45755</v>
      </c>
      <c r="J6958" s="143" t="s">
        <v>21439</v>
      </c>
      <c r="K6958" s="80" t="s">
        <v>21440</v>
      </c>
      <c r="L6958" s="30">
        <v>948116795</v>
      </c>
      <c r="M6958" s="80" t="s">
        <v>5429</v>
      </c>
      <c r="N6958" s="80" t="s">
        <v>3065</v>
      </c>
      <c r="O6958" s="80" t="s">
        <v>21441</v>
      </c>
      <c r="P6958" s="80" t="s">
        <v>6368</v>
      </c>
      <c r="Q6958" s="20">
        <v>13968</v>
      </c>
      <c r="R6958" s="80" t="s">
        <v>36</v>
      </c>
      <c r="S6958" s="95">
        <v>4000</v>
      </c>
      <c r="T6958" s="148">
        <v>45696</v>
      </c>
      <c r="U6958" s="95">
        <v>9968</v>
      </c>
      <c r="V6958" s="148">
        <v>45722</v>
      </c>
      <c r="W6958" s="85" t="s">
        <v>21442</v>
      </c>
      <c r="X6958" s="80"/>
      <c r="Y6958" s="22">
        <v>0</v>
      </c>
      <c r="Z6958" s="80" t="s">
        <v>50</v>
      </c>
      <c r="AA6958" s="86"/>
      <c r="AB6958" s="80"/>
      <c r="AC6958" s="80" t="s">
        <v>53</v>
      </c>
      <c r="AD6958" s="80" t="s">
        <v>138</v>
      </c>
      <c r="AE6958" s="80" t="s">
        <v>2945</v>
      </c>
      <c r="AF6958" s="17">
        <v>45755</v>
      </c>
      <c r="AG6958" s="80"/>
      <c r="AH6958" s="80"/>
      <c r="AI6958" s="147"/>
      <c r="AJ6958" s="80"/>
      <c r="AK6958" s="80"/>
      <c r="AL6958" s="35"/>
      <c r="AM6958" s="35"/>
      <c r="AN6958" s="35"/>
      <c r="AO6958" s="35"/>
      <c r="AP6958" s="35"/>
    </row>
    <row r="6959" spans="1:42" x14ac:dyDescent="0.2">
      <c r="A6959" s="38">
        <v>45755</v>
      </c>
      <c r="B6959" s="137" t="s">
        <v>37</v>
      </c>
      <c r="C6959" s="41" t="s">
        <v>118</v>
      </c>
      <c r="D6959" s="80" t="s">
        <v>36</v>
      </c>
      <c r="E6959" s="80" t="s">
        <v>139</v>
      </c>
      <c r="F6959" s="80" t="s">
        <v>16656</v>
      </c>
      <c r="G6959" s="80" t="s">
        <v>221</v>
      </c>
      <c r="H6959" s="80" t="s">
        <v>20343</v>
      </c>
      <c r="I6959" s="17">
        <f ca="1">IFERROR(__xludf.DUMMYFUNCTION("""COMPUTED_VALUE"""),45852)</f>
        <v>45852</v>
      </c>
      <c r="J6959" s="143" t="s">
        <v>15390</v>
      </c>
      <c r="K6959" s="80" t="s">
        <v>21443</v>
      </c>
      <c r="L6959" s="30">
        <v>973885168</v>
      </c>
      <c r="M6959" s="80" t="s">
        <v>3498</v>
      </c>
      <c r="N6959" s="80" t="s">
        <v>4402</v>
      </c>
      <c r="O6959" s="80" t="s">
        <v>4503</v>
      </c>
      <c r="P6959" s="80" t="s">
        <v>16762</v>
      </c>
      <c r="Q6959" s="20">
        <v>15936</v>
      </c>
      <c r="R6959" s="80" t="s">
        <v>36</v>
      </c>
      <c r="S6959" s="95">
        <v>2000</v>
      </c>
      <c r="T6959" s="148">
        <v>45555</v>
      </c>
      <c r="U6959" s="95">
        <v>13936</v>
      </c>
      <c r="V6959" s="148">
        <v>45586</v>
      </c>
      <c r="W6959" s="85" t="s">
        <v>15393</v>
      </c>
      <c r="X6959" s="80"/>
      <c r="Y6959" s="22">
        <v>0</v>
      </c>
      <c r="Z6959" s="81" t="s">
        <v>50</v>
      </c>
      <c r="AA6959" s="82" t="s">
        <v>9905</v>
      </c>
      <c r="AB6959" s="80"/>
      <c r="AC6959" s="80" t="s">
        <v>53</v>
      </c>
      <c r="AD6959" s="80" t="s">
        <v>138</v>
      </c>
      <c r="AE6959" s="80" t="s">
        <v>16656</v>
      </c>
      <c r="AF6959" s="17">
        <v>45785</v>
      </c>
      <c r="AG6959" s="80"/>
      <c r="AH6959" s="80"/>
      <c r="AI6959" s="147"/>
      <c r="AJ6959" s="80"/>
      <c r="AK6959" s="80"/>
      <c r="AL6959" s="86"/>
      <c r="AM6959" s="86"/>
      <c r="AN6959" s="86"/>
      <c r="AO6959" s="86"/>
      <c r="AP6959" s="86"/>
    </row>
    <row r="6960" spans="1:42" x14ac:dyDescent="0.2">
      <c r="A6960" s="38">
        <v>45755</v>
      </c>
      <c r="B6960" s="137" t="s">
        <v>37</v>
      </c>
      <c r="C6960" s="41" t="s">
        <v>118</v>
      </c>
      <c r="D6960" s="80" t="s">
        <v>36</v>
      </c>
      <c r="E6960" s="80" t="s">
        <v>139</v>
      </c>
      <c r="F6960" s="80" t="s">
        <v>16224</v>
      </c>
      <c r="G6960" s="80" t="s">
        <v>108</v>
      </c>
      <c r="H6960" s="80" t="s">
        <v>20101</v>
      </c>
      <c r="I6960" s="17">
        <f ca="1">IFERROR(__xludf.DUMMYFUNCTION("""COMPUTED_VALUE"""),45772)</f>
        <v>45772</v>
      </c>
      <c r="J6960" s="143" t="s">
        <v>16271</v>
      </c>
      <c r="K6960" s="80" t="s">
        <v>16272</v>
      </c>
      <c r="L6960" s="30">
        <v>967150679</v>
      </c>
      <c r="M6960" s="80" t="s">
        <v>9422</v>
      </c>
      <c r="N6960" s="80" t="s">
        <v>12670</v>
      </c>
      <c r="O6960" s="80" t="s">
        <v>91</v>
      </c>
      <c r="P6960" s="144" t="s">
        <v>21444</v>
      </c>
      <c r="Q6960" s="20">
        <v>15936</v>
      </c>
      <c r="R6960" s="80" t="s">
        <v>11421</v>
      </c>
      <c r="S6960" s="95">
        <v>2000</v>
      </c>
      <c r="T6960" s="148">
        <v>45576</v>
      </c>
      <c r="U6960" s="95">
        <v>13636</v>
      </c>
      <c r="V6960" s="148">
        <v>45596</v>
      </c>
      <c r="W6960" s="85" t="s">
        <v>16274</v>
      </c>
      <c r="X6960" s="80"/>
      <c r="Y6960" s="22">
        <v>300</v>
      </c>
      <c r="Z6960" s="80" t="s">
        <v>50</v>
      </c>
      <c r="AA6960" s="35" t="s">
        <v>9905</v>
      </c>
      <c r="AB6960" s="80"/>
      <c r="AC6960" s="80" t="s">
        <v>53</v>
      </c>
      <c r="AD6960" s="80" t="s">
        <v>54</v>
      </c>
      <c r="AE6960" s="80" t="s">
        <v>16224</v>
      </c>
      <c r="AF6960" s="17">
        <v>45756</v>
      </c>
      <c r="AG6960" s="80"/>
      <c r="AH6960" s="80"/>
      <c r="AI6960" s="147"/>
      <c r="AJ6960" s="80"/>
      <c r="AK6960" s="80"/>
      <c r="AL6960" s="35"/>
      <c r="AM6960" s="35"/>
      <c r="AN6960" s="35"/>
      <c r="AO6960" s="35"/>
      <c r="AP6960" s="35"/>
    </row>
    <row r="6961" spans="1:42" x14ac:dyDescent="0.2">
      <c r="A6961" s="38">
        <v>45755</v>
      </c>
      <c r="B6961" s="137" t="s">
        <v>37</v>
      </c>
      <c r="C6961" s="41" t="s">
        <v>118</v>
      </c>
      <c r="D6961" s="80" t="s">
        <v>36</v>
      </c>
      <c r="E6961" s="80" t="s">
        <v>39</v>
      </c>
      <c r="F6961" s="80" t="s">
        <v>16224</v>
      </c>
      <c r="G6961" s="80" t="s">
        <v>108</v>
      </c>
      <c r="H6961" s="80" t="s">
        <v>20101</v>
      </c>
      <c r="I6961" s="17">
        <f ca="1">IFERROR(__xludf.DUMMYFUNCTION("""COMPUTED_VALUE"""),45772)</f>
        <v>45772</v>
      </c>
      <c r="J6961" s="143" t="s">
        <v>17471</v>
      </c>
      <c r="K6961" s="80" t="s">
        <v>17472</v>
      </c>
      <c r="L6961" s="30">
        <v>976599857</v>
      </c>
      <c r="M6961" s="80" t="s">
        <v>9422</v>
      </c>
      <c r="N6961" s="80" t="s">
        <v>12670</v>
      </c>
      <c r="O6961" s="80" t="s">
        <v>11607</v>
      </c>
      <c r="P6961" s="80" t="s">
        <v>21445</v>
      </c>
      <c r="Q6961" s="20">
        <v>5736</v>
      </c>
      <c r="R6961" s="80" t="s">
        <v>11421</v>
      </c>
      <c r="S6961" s="95">
        <v>2000</v>
      </c>
      <c r="T6961" s="148">
        <v>45576</v>
      </c>
      <c r="U6961" s="95">
        <v>3436</v>
      </c>
      <c r="V6961" s="148">
        <v>45597</v>
      </c>
      <c r="W6961" s="85" t="s">
        <v>17473</v>
      </c>
      <c r="X6961" s="80"/>
      <c r="Y6961" s="22">
        <v>300</v>
      </c>
      <c r="Z6961" s="80" t="s">
        <v>50</v>
      </c>
      <c r="AA6961" s="86" t="s">
        <v>14723</v>
      </c>
      <c r="AB6961" s="80"/>
      <c r="AC6961" s="80" t="s">
        <v>53</v>
      </c>
      <c r="AD6961" s="80" t="s">
        <v>54</v>
      </c>
      <c r="AE6961" s="80" t="s">
        <v>16224</v>
      </c>
      <c r="AF6961" s="17">
        <v>45756</v>
      </c>
      <c r="AG6961" s="80"/>
      <c r="AH6961" s="80"/>
      <c r="AI6961" s="147"/>
      <c r="AJ6961" s="80"/>
      <c r="AK6961" s="80"/>
      <c r="AL6961" s="35"/>
      <c r="AM6961" s="35"/>
      <c r="AN6961" s="35"/>
      <c r="AO6961" s="35"/>
      <c r="AP6961" s="35"/>
    </row>
    <row r="6962" spans="1:42" x14ac:dyDescent="0.2">
      <c r="A6962" s="38">
        <v>45755</v>
      </c>
      <c r="B6962" s="137" t="s">
        <v>37</v>
      </c>
      <c r="C6962" s="41" t="s">
        <v>118</v>
      </c>
      <c r="D6962" s="80" t="s">
        <v>36</v>
      </c>
      <c r="E6962" s="80" t="s">
        <v>39</v>
      </c>
      <c r="F6962" s="80" t="s">
        <v>16224</v>
      </c>
      <c r="G6962" s="80" t="s">
        <v>108</v>
      </c>
      <c r="H6962" s="80" t="s">
        <v>20101</v>
      </c>
      <c r="I6962" s="17">
        <f ca="1">IFERROR(__xludf.DUMMYFUNCTION("""COMPUTED_VALUE"""),45772)</f>
        <v>45772</v>
      </c>
      <c r="J6962" s="143" t="s">
        <v>16296</v>
      </c>
      <c r="K6962" s="80" t="s">
        <v>16297</v>
      </c>
      <c r="L6962" s="30">
        <v>815203746</v>
      </c>
      <c r="M6962" s="80" t="s">
        <v>9422</v>
      </c>
      <c r="N6962" s="80" t="s">
        <v>12670</v>
      </c>
      <c r="O6962" s="80" t="s">
        <v>11607</v>
      </c>
      <c r="P6962" s="80" t="s">
        <v>21445</v>
      </c>
      <c r="Q6962" s="20">
        <v>5736</v>
      </c>
      <c r="R6962" s="80" t="s">
        <v>11421</v>
      </c>
      <c r="S6962" s="95">
        <v>2000</v>
      </c>
      <c r="T6962" s="148">
        <v>45577</v>
      </c>
      <c r="U6962" s="95">
        <v>3436</v>
      </c>
      <c r="V6962" s="148">
        <v>45595</v>
      </c>
      <c r="W6962" s="85" t="s">
        <v>16299</v>
      </c>
      <c r="X6962" s="80"/>
      <c r="Y6962" s="22">
        <v>300</v>
      </c>
      <c r="Z6962" s="80" t="s">
        <v>50</v>
      </c>
      <c r="AA6962" s="35" t="s">
        <v>9905</v>
      </c>
      <c r="AB6962" s="80"/>
      <c r="AC6962" s="80" t="s">
        <v>53</v>
      </c>
      <c r="AD6962" s="80" t="s">
        <v>54</v>
      </c>
      <c r="AE6962" s="80" t="s">
        <v>16224</v>
      </c>
      <c r="AF6962" s="17">
        <v>45756</v>
      </c>
      <c r="AG6962" s="80"/>
      <c r="AH6962" s="80"/>
      <c r="AI6962" s="147"/>
      <c r="AJ6962" s="80"/>
      <c r="AK6962" s="80"/>
      <c r="AL6962" s="35"/>
      <c r="AM6962" s="35"/>
      <c r="AN6962" s="35"/>
      <c r="AO6962" s="35"/>
      <c r="AP6962" s="35"/>
    </row>
    <row r="6963" spans="1:42" x14ac:dyDescent="0.2">
      <c r="A6963" s="38">
        <v>45755</v>
      </c>
      <c r="B6963" s="137" t="s">
        <v>37</v>
      </c>
      <c r="C6963" s="41" t="s">
        <v>118</v>
      </c>
      <c r="D6963" s="80" t="s">
        <v>36</v>
      </c>
      <c r="E6963" s="80" t="s">
        <v>39</v>
      </c>
      <c r="F6963" s="80" t="s">
        <v>16224</v>
      </c>
      <c r="G6963" s="80" t="s">
        <v>108</v>
      </c>
      <c r="H6963" s="80" t="s">
        <v>20101</v>
      </c>
      <c r="I6963" s="17">
        <f ca="1">IFERROR(__xludf.DUMMYFUNCTION("""COMPUTED_VALUE"""),45772)</f>
        <v>45772</v>
      </c>
      <c r="J6963" s="143" t="s">
        <v>17484</v>
      </c>
      <c r="K6963" s="80" t="s">
        <v>12972</v>
      </c>
      <c r="L6963" s="30">
        <v>974105177</v>
      </c>
      <c r="M6963" s="80" t="s">
        <v>9422</v>
      </c>
      <c r="N6963" s="80" t="s">
        <v>12670</v>
      </c>
      <c r="O6963" s="80" t="s">
        <v>11607</v>
      </c>
      <c r="P6963" s="80" t="s">
        <v>21446</v>
      </c>
      <c r="Q6963" s="20">
        <v>5736</v>
      </c>
      <c r="R6963" s="80" t="s">
        <v>11421</v>
      </c>
      <c r="S6963" s="95">
        <v>2000</v>
      </c>
      <c r="T6963" s="148">
        <v>45578</v>
      </c>
      <c r="U6963" s="95">
        <v>3436</v>
      </c>
      <c r="V6963" s="148">
        <v>45599</v>
      </c>
      <c r="W6963" s="85" t="s">
        <v>17485</v>
      </c>
      <c r="X6963" s="80"/>
      <c r="Y6963" s="22">
        <v>300</v>
      </c>
      <c r="Z6963" s="80" t="s">
        <v>50</v>
      </c>
      <c r="AA6963" s="82" t="s">
        <v>14723</v>
      </c>
      <c r="AB6963" s="80"/>
      <c r="AC6963" s="80" t="s">
        <v>53</v>
      </c>
      <c r="AD6963" s="80" t="s">
        <v>54</v>
      </c>
      <c r="AE6963" s="80" t="s">
        <v>16224</v>
      </c>
      <c r="AF6963" s="17">
        <v>45756</v>
      </c>
      <c r="AG6963" s="80"/>
      <c r="AH6963" s="80"/>
      <c r="AI6963" s="147"/>
      <c r="AJ6963" s="80"/>
      <c r="AK6963" s="80"/>
      <c r="AL6963" s="35"/>
      <c r="AM6963" s="35"/>
      <c r="AN6963" s="35"/>
      <c r="AO6963" s="35"/>
      <c r="AP6963" s="35"/>
    </row>
    <row r="6964" spans="1:42" x14ac:dyDescent="0.2">
      <c r="A6964" s="38">
        <v>45755</v>
      </c>
      <c r="B6964" s="137" t="s">
        <v>37</v>
      </c>
      <c r="C6964" s="41" t="s">
        <v>118</v>
      </c>
      <c r="D6964" s="80" t="s">
        <v>36</v>
      </c>
      <c r="E6964" s="80" t="s">
        <v>119</v>
      </c>
      <c r="F6964" s="26" t="s">
        <v>18290</v>
      </c>
      <c r="G6964" s="26" t="s">
        <v>1847</v>
      </c>
      <c r="H6964" s="26" t="s">
        <v>21300</v>
      </c>
      <c r="I6964" s="17">
        <f ca="1">IFERROR(__xludf.DUMMYFUNCTION("""COMPUTED_VALUE"""),45765)</f>
        <v>45765</v>
      </c>
      <c r="J6964" s="143" t="s">
        <v>15035</v>
      </c>
      <c r="K6964" s="80" t="s">
        <v>18293</v>
      </c>
      <c r="L6964" s="30">
        <v>788282369</v>
      </c>
      <c r="M6964" s="80" t="s">
        <v>12720</v>
      </c>
      <c r="N6964" s="80" t="s">
        <v>1073</v>
      </c>
      <c r="O6964" s="80" t="s">
        <v>15037</v>
      </c>
      <c r="P6964" s="115" t="s">
        <v>21447</v>
      </c>
      <c r="Q6964" s="20">
        <v>13968</v>
      </c>
      <c r="R6964" s="80" t="s">
        <v>36</v>
      </c>
      <c r="S6964" s="95">
        <f>200+3800</f>
        <v>4000</v>
      </c>
      <c r="T6964" s="83" t="s">
        <v>15039</v>
      </c>
      <c r="U6964" s="95">
        <v>9968</v>
      </c>
      <c r="V6964" s="148">
        <v>45583</v>
      </c>
      <c r="W6964" s="85" t="s">
        <v>15040</v>
      </c>
      <c r="X6964" s="80"/>
      <c r="Y6964" s="22">
        <v>0</v>
      </c>
      <c r="Z6964" s="80" t="s">
        <v>50</v>
      </c>
      <c r="AA6964" s="35" t="s">
        <v>9905</v>
      </c>
      <c r="AB6964" s="80"/>
      <c r="AC6964" s="80" t="s">
        <v>53</v>
      </c>
      <c r="AD6964" s="80" t="s">
        <v>138</v>
      </c>
      <c r="AE6964" s="26" t="s">
        <v>18290</v>
      </c>
      <c r="AF6964" s="17">
        <v>45756</v>
      </c>
      <c r="AG6964" s="80"/>
      <c r="AH6964" s="80"/>
      <c r="AI6964" s="147"/>
      <c r="AJ6964" s="80"/>
      <c r="AK6964" s="80"/>
      <c r="AL6964" s="35"/>
      <c r="AM6964" s="35"/>
      <c r="AN6964" s="35"/>
      <c r="AO6964" s="35"/>
      <c r="AP6964" s="35"/>
    </row>
    <row r="6965" spans="1:42" x14ac:dyDescent="0.2">
      <c r="A6965" s="38">
        <v>45755</v>
      </c>
      <c r="B6965" s="28" t="s">
        <v>37</v>
      </c>
      <c r="C6965" s="41" t="s">
        <v>118</v>
      </c>
      <c r="D6965" s="26" t="s">
        <v>36</v>
      </c>
      <c r="E6965" s="26" t="s">
        <v>139</v>
      </c>
      <c r="F6965" s="26" t="s">
        <v>11802</v>
      </c>
      <c r="G6965" s="80" t="s">
        <v>221</v>
      </c>
      <c r="H6965" s="26" t="s">
        <v>21293</v>
      </c>
      <c r="I6965" s="17">
        <f ca="1">IFERROR(__xludf.DUMMYFUNCTION("""COMPUTED_VALUE"""),45844)</f>
        <v>45844</v>
      </c>
      <c r="J6965" s="44" t="s">
        <v>10950</v>
      </c>
      <c r="K6965" s="26" t="s">
        <v>21448</v>
      </c>
      <c r="L6965" s="30">
        <v>964381420</v>
      </c>
      <c r="M6965" s="26" t="s">
        <v>80</v>
      </c>
      <c r="N6965" s="26" t="s">
        <v>1073</v>
      </c>
      <c r="O6965" s="26" t="s">
        <v>21449</v>
      </c>
      <c r="P6965" s="42" t="s">
        <v>21450</v>
      </c>
      <c r="Q6965" s="20">
        <v>15936</v>
      </c>
      <c r="R6965" s="26" t="s">
        <v>36</v>
      </c>
      <c r="S6965" s="95">
        <f>200+1800</f>
        <v>2000</v>
      </c>
      <c r="T6965" s="83" t="s">
        <v>10954</v>
      </c>
      <c r="U6965" s="95">
        <v>13936</v>
      </c>
      <c r="V6965" s="148">
        <v>45534</v>
      </c>
      <c r="W6965" s="33" t="s">
        <v>10955</v>
      </c>
      <c r="X6965" s="26">
        <v>0</v>
      </c>
      <c r="Y6965" s="22">
        <v>0</v>
      </c>
      <c r="Z6965" s="26" t="s">
        <v>50</v>
      </c>
      <c r="AA6965" s="96" t="s">
        <v>10314</v>
      </c>
      <c r="AB6965" s="26"/>
      <c r="AC6965" s="26" t="s">
        <v>53</v>
      </c>
      <c r="AD6965" s="26" t="s">
        <v>54</v>
      </c>
      <c r="AE6965" s="26" t="s">
        <v>11802</v>
      </c>
      <c r="AF6965" s="17">
        <v>45757</v>
      </c>
      <c r="AG6965" s="26" t="s">
        <v>8366</v>
      </c>
      <c r="AH6965" s="26"/>
      <c r="AI6965" s="40"/>
      <c r="AJ6965" s="26"/>
      <c r="AK6965" s="26"/>
      <c r="AL6965" s="35"/>
      <c r="AM6965" s="35"/>
      <c r="AN6965" s="35"/>
      <c r="AO6965" s="35"/>
      <c r="AP6965" s="35"/>
    </row>
    <row r="6966" spans="1:42" x14ac:dyDescent="0.2">
      <c r="A6966" s="38">
        <v>45755</v>
      </c>
      <c r="B6966" s="137" t="s">
        <v>37</v>
      </c>
      <c r="C6966" s="41" t="s">
        <v>118</v>
      </c>
      <c r="D6966" s="80" t="s">
        <v>36</v>
      </c>
      <c r="E6966" s="80" t="s">
        <v>139</v>
      </c>
      <c r="F6966" s="80" t="s">
        <v>18445</v>
      </c>
      <c r="G6966" s="80" t="s">
        <v>1705</v>
      </c>
      <c r="H6966" s="80" t="s">
        <v>20251</v>
      </c>
      <c r="I6966" s="17">
        <f ca="1">IFERROR(__xludf.DUMMYFUNCTION("""COMPUTED_VALUE"""),45772)</f>
        <v>45772</v>
      </c>
      <c r="J6966" s="143" t="s">
        <v>5612</v>
      </c>
      <c r="K6966" s="86" t="s">
        <v>18440</v>
      </c>
      <c r="L6966" s="30">
        <v>919617050</v>
      </c>
      <c r="M6966" s="80" t="s">
        <v>3728</v>
      </c>
      <c r="N6966" s="80" t="s">
        <v>5377</v>
      </c>
      <c r="O6966" s="80" t="s">
        <v>5614</v>
      </c>
      <c r="P6966" s="144" t="s">
        <v>18446</v>
      </c>
      <c r="Q6966" s="20">
        <v>15936</v>
      </c>
      <c r="R6966" s="80" t="s">
        <v>36</v>
      </c>
      <c r="S6966" s="77">
        <v>200</v>
      </c>
      <c r="T6966" s="78">
        <v>45241</v>
      </c>
      <c r="U6966" s="77">
        <v>15736</v>
      </c>
      <c r="V6966" s="78">
        <v>45244</v>
      </c>
      <c r="W6966" s="85" t="s">
        <v>5616</v>
      </c>
      <c r="X6966" s="80"/>
      <c r="Y6966" s="22">
        <v>0</v>
      </c>
      <c r="Z6966" s="41" t="s">
        <v>118</v>
      </c>
      <c r="AA6966" s="86" t="s">
        <v>5112</v>
      </c>
      <c r="AB6966" s="80"/>
      <c r="AC6966" s="80" t="s">
        <v>53</v>
      </c>
      <c r="AD6966" s="86" t="s">
        <v>138</v>
      </c>
      <c r="AE6966" s="80" t="s">
        <v>18445</v>
      </c>
      <c r="AF6966" s="17">
        <v>45772</v>
      </c>
      <c r="AG6966" s="80"/>
      <c r="AH6966" s="80"/>
      <c r="AI6966" s="147" t="s">
        <v>147</v>
      </c>
      <c r="AJ6966" s="80"/>
      <c r="AK6966" s="80"/>
      <c r="AL6966" s="86"/>
      <c r="AM6966" s="86"/>
      <c r="AN6966" s="86"/>
      <c r="AO6966" s="86"/>
      <c r="AP6966" s="86"/>
    </row>
    <row r="6967" spans="1:42" x14ac:dyDescent="0.2">
      <c r="A6967" s="38">
        <v>45757</v>
      </c>
      <c r="B6967" s="137" t="s">
        <v>37</v>
      </c>
      <c r="C6967" s="41" t="s">
        <v>118</v>
      </c>
      <c r="D6967" s="80" t="s">
        <v>36</v>
      </c>
      <c r="E6967" s="80" t="s">
        <v>139</v>
      </c>
      <c r="F6967" s="80" t="s">
        <v>19308</v>
      </c>
      <c r="G6967" s="80" t="s">
        <v>108</v>
      </c>
      <c r="H6967" s="80" t="s">
        <v>20614</v>
      </c>
      <c r="I6967" s="17">
        <f ca="1">IFERROR(__xludf.DUMMYFUNCTION("""COMPUTED_VALUE"""),45762)</f>
        <v>45762</v>
      </c>
      <c r="J6967" s="143" t="s">
        <v>20698</v>
      </c>
      <c r="K6967" s="80" t="s">
        <v>21451</v>
      </c>
      <c r="L6967" s="30">
        <v>974753681</v>
      </c>
      <c r="M6967" s="80" t="s">
        <v>9422</v>
      </c>
      <c r="N6967" s="80" t="s">
        <v>2157</v>
      </c>
      <c r="O6967" s="80" t="s">
        <v>8827</v>
      </c>
      <c r="P6967" s="80" t="s">
        <v>20700</v>
      </c>
      <c r="Q6967" s="20">
        <v>15936</v>
      </c>
      <c r="R6967" s="80" t="s">
        <v>36</v>
      </c>
      <c r="S6967" s="95">
        <v>15936</v>
      </c>
      <c r="T6967" s="148">
        <v>45697</v>
      </c>
      <c r="U6967" s="77"/>
      <c r="V6967" s="78"/>
      <c r="W6967" s="85" t="s">
        <v>20701</v>
      </c>
      <c r="X6967" s="80"/>
      <c r="Y6967" s="22">
        <v>0</v>
      </c>
      <c r="Z6967" s="81" t="s">
        <v>50</v>
      </c>
      <c r="AA6967" s="82" t="s">
        <v>20522</v>
      </c>
      <c r="AB6967" s="80"/>
      <c r="AC6967" s="80" t="s">
        <v>53</v>
      </c>
      <c r="AD6967" s="80" t="s">
        <v>54</v>
      </c>
      <c r="AE6967" s="80" t="s">
        <v>19308</v>
      </c>
      <c r="AF6967" s="17">
        <v>45758</v>
      </c>
      <c r="AG6967" s="80"/>
      <c r="AH6967" s="80"/>
      <c r="AI6967" s="147"/>
      <c r="AJ6967" s="80"/>
      <c r="AK6967" s="80"/>
      <c r="AL6967" s="86"/>
      <c r="AM6967" s="86"/>
      <c r="AN6967" s="86"/>
      <c r="AO6967" s="86"/>
      <c r="AP6967" s="86"/>
    </row>
    <row r="6968" spans="1:42" x14ac:dyDescent="0.2">
      <c r="A6968" s="38">
        <v>45757</v>
      </c>
      <c r="B6968" s="137" t="s">
        <v>37</v>
      </c>
      <c r="C6968" s="41" t="s">
        <v>118</v>
      </c>
      <c r="D6968" s="26" t="s">
        <v>36</v>
      </c>
      <c r="E6968" s="26" t="s">
        <v>139</v>
      </c>
      <c r="F6968" s="26" t="s">
        <v>19308</v>
      </c>
      <c r="G6968" s="80" t="s">
        <v>108</v>
      </c>
      <c r="H6968" s="80" t="s">
        <v>20614</v>
      </c>
      <c r="I6968" s="17">
        <f ca="1">IFERROR(__xludf.DUMMYFUNCTION("""COMPUTED_VALUE"""),45762)</f>
        <v>45762</v>
      </c>
      <c r="J6968" s="29" t="s">
        <v>21452</v>
      </c>
      <c r="K6968" s="26" t="s">
        <v>21453</v>
      </c>
      <c r="L6968" s="30">
        <v>348209953</v>
      </c>
      <c r="M6968" s="26" t="s">
        <v>5429</v>
      </c>
      <c r="N6968" s="26" t="s">
        <v>9180</v>
      </c>
      <c r="O6968" s="26" t="s">
        <v>21454</v>
      </c>
      <c r="P6968" s="42" t="s">
        <v>21455</v>
      </c>
      <c r="Q6968" s="20">
        <v>15936</v>
      </c>
      <c r="R6968" s="26" t="s">
        <v>36</v>
      </c>
      <c r="S6968" s="95">
        <f>200+2000</f>
        <v>2200</v>
      </c>
      <c r="T6968" s="83" t="s">
        <v>21456</v>
      </c>
      <c r="U6968" s="95">
        <v>13736</v>
      </c>
      <c r="V6968" s="148">
        <v>45727</v>
      </c>
      <c r="W6968" s="33" t="s">
        <v>21457</v>
      </c>
      <c r="X6968" s="26"/>
      <c r="Y6968" s="22">
        <v>0</v>
      </c>
      <c r="Z6968" s="26" t="s">
        <v>50</v>
      </c>
      <c r="AA6968" s="35"/>
      <c r="AB6968" s="35"/>
      <c r="AC6968" s="26" t="s">
        <v>53</v>
      </c>
      <c r="AD6968" s="26" t="s">
        <v>54</v>
      </c>
      <c r="AE6968" s="26" t="s">
        <v>19308</v>
      </c>
      <c r="AF6968" s="17">
        <v>45758</v>
      </c>
      <c r="AG6968" s="26"/>
      <c r="AH6968" s="26"/>
      <c r="AI6968" s="40"/>
      <c r="AJ6968" s="26"/>
      <c r="AK6968" s="26"/>
      <c r="AL6968" s="35"/>
      <c r="AM6968" s="35"/>
      <c r="AN6968" s="35"/>
      <c r="AO6968" s="35"/>
      <c r="AP6968" s="35"/>
    </row>
    <row r="6969" spans="1:42" x14ac:dyDescent="0.2">
      <c r="A6969" s="38">
        <v>45757</v>
      </c>
      <c r="B6969" s="137" t="s">
        <v>37</v>
      </c>
      <c r="C6969" s="41" t="s">
        <v>118</v>
      </c>
      <c r="D6969" s="80" t="s">
        <v>36</v>
      </c>
      <c r="E6969" s="80" t="s">
        <v>139</v>
      </c>
      <c r="F6969" s="80" t="s">
        <v>19308</v>
      </c>
      <c r="G6969" s="80" t="s">
        <v>108</v>
      </c>
      <c r="H6969" s="80" t="s">
        <v>20614</v>
      </c>
      <c r="I6969" s="17">
        <f ca="1">IFERROR(__xludf.DUMMYFUNCTION("""COMPUTED_VALUE"""),45762)</f>
        <v>45762</v>
      </c>
      <c r="J6969" s="143" t="s">
        <v>21458</v>
      </c>
      <c r="K6969" s="80" t="s">
        <v>2364</v>
      </c>
      <c r="L6969" s="30">
        <v>964308185</v>
      </c>
      <c r="M6969" s="80" t="s">
        <v>19018</v>
      </c>
      <c r="N6969" s="80" t="s">
        <v>19019</v>
      </c>
      <c r="O6969" s="80" t="s">
        <v>21459</v>
      </c>
      <c r="P6969" s="80" t="s">
        <v>21460</v>
      </c>
      <c r="Q6969" s="20">
        <v>15936</v>
      </c>
      <c r="R6969" s="80" t="s">
        <v>36</v>
      </c>
      <c r="S6969" s="95">
        <f>200+1800</f>
        <v>2000</v>
      </c>
      <c r="T6969" s="83" t="s">
        <v>21461</v>
      </c>
      <c r="U6969" s="95">
        <v>13936</v>
      </c>
      <c r="V6969" s="148">
        <v>45746</v>
      </c>
      <c r="W6969" s="85" t="s">
        <v>21462</v>
      </c>
      <c r="X6969" s="80"/>
      <c r="Y6969" s="22">
        <v>0</v>
      </c>
      <c r="Z6969" s="80" t="s">
        <v>50</v>
      </c>
      <c r="AA6969" s="82"/>
      <c r="AB6969" s="80"/>
      <c r="AC6969" s="80" t="s">
        <v>53</v>
      </c>
      <c r="AD6969" s="80" t="s">
        <v>54</v>
      </c>
      <c r="AE6969" s="80" t="s">
        <v>19308</v>
      </c>
      <c r="AF6969" s="17">
        <v>45758</v>
      </c>
      <c r="AG6969" s="80"/>
      <c r="AH6969" s="80"/>
      <c r="AI6969" s="147"/>
      <c r="AJ6969" s="80"/>
      <c r="AK6969" s="80"/>
      <c r="AL6969" s="35"/>
      <c r="AM6969" s="35"/>
      <c r="AN6969" s="35"/>
      <c r="AO6969" s="35"/>
      <c r="AP6969" s="35"/>
    </row>
    <row r="6970" spans="1:42" x14ac:dyDescent="0.2">
      <c r="A6970" s="38">
        <v>45757</v>
      </c>
      <c r="B6970" s="137" t="s">
        <v>37</v>
      </c>
      <c r="C6970" s="41" t="s">
        <v>118</v>
      </c>
      <c r="D6970" s="80" t="s">
        <v>36</v>
      </c>
      <c r="E6970" s="80" t="s">
        <v>139</v>
      </c>
      <c r="F6970" s="80" t="s">
        <v>19308</v>
      </c>
      <c r="G6970" s="80" t="s">
        <v>108</v>
      </c>
      <c r="H6970" s="80" t="s">
        <v>20614</v>
      </c>
      <c r="I6970" s="17">
        <f ca="1">IFERROR(__xludf.DUMMYFUNCTION("""COMPUTED_VALUE"""),45762)</f>
        <v>45762</v>
      </c>
      <c r="J6970" s="143" t="s">
        <v>21463</v>
      </c>
      <c r="K6970" s="80" t="s">
        <v>21464</v>
      </c>
      <c r="L6970" s="30">
        <v>373473206</v>
      </c>
      <c r="M6970" s="80" t="s">
        <v>45</v>
      </c>
      <c r="N6970" s="80" t="s">
        <v>16472</v>
      </c>
      <c r="O6970" s="80" t="s">
        <v>9235</v>
      </c>
      <c r="P6970" s="144" t="s">
        <v>21465</v>
      </c>
      <c r="Q6970" s="20">
        <v>15936</v>
      </c>
      <c r="R6970" s="80" t="s">
        <v>36</v>
      </c>
      <c r="S6970" s="95">
        <v>2000</v>
      </c>
      <c r="T6970" s="148">
        <v>45698</v>
      </c>
      <c r="U6970" s="95">
        <v>13936</v>
      </c>
      <c r="V6970" s="148">
        <v>45726</v>
      </c>
      <c r="W6970" s="85" t="s">
        <v>21466</v>
      </c>
      <c r="X6970" s="80"/>
      <c r="Y6970" s="22">
        <v>0</v>
      </c>
      <c r="Z6970" s="80" t="s">
        <v>50</v>
      </c>
      <c r="AA6970" s="86"/>
      <c r="AB6970" s="80"/>
      <c r="AC6970" s="80"/>
      <c r="AD6970" s="80" t="s">
        <v>54</v>
      </c>
      <c r="AE6970" s="80" t="s">
        <v>19308</v>
      </c>
      <c r="AF6970" s="17">
        <v>45758</v>
      </c>
      <c r="AG6970" s="80"/>
      <c r="AH6970" s="80"/>
      <c r="AI6970" s="147"/>
      <c r="AJ6970" s="80"/>
      <c r="AK6970" s="80"/>
      <c r="AL6970" s="35"/>
      <c r="AM6970" s="35"/>
      <c r="AN6970" s="35"/>
      <c r="AO6970" s="35"/>
      <c r="AP6970" s="35"/>
    </row>
    <row r="6971" spans="1:42" x14ac:dyDescent="0.2">
      <c r="A6971" s="38">
        <v>45757</v>
      </c>
      <c r="B6971" s="137" t="s">
        <v>37</v>
      </c>
      <c r="C6971" s="41" t="s">
        <v>118</v>
      </c>
      <c r="D6971" s="80" t="s">
        <v>36</v>
      </c>
      <c r="E6971" s="80" t="s">
        <v>139</v>
      </c>
      <c r="F6971" s="80" t="s">
        <v>19308</v>
      </c>
      <c r="G6971" s="80" t="s">
        <v>108</v>
      </c>
      <c r="H6971" s="80" t="s">
        <v>20614</v>
      </c>
      <c r="I6971" s="17">
        <f ca="1">IFERROR(__xludf.DUMMYFUNCTION("""COMPUTED_VALUE"""),45762)</f>
        <v>45762</v>
      </c>
      <c r="J6971" s="143" t="s">
        <v>21467</v>
      </c>
      <c r="K6971" s="80" t="s">
        <v>21468</v>
      </c>
      <c r="L6971" s="30">
        <v>788205228</v>
      </c>
      <c r="M6971" s="80" t="s">
        <v>12644</v>
      </c>
      <c r="N6971" s="80" t="s">
        <v>8725</v>
      </c>
      <c r="O6971" s="80" t="s">
        <v>21469</v>
      </c>
      <c r="P6971" s="80" t="s">
        <v>21470</v>
      </c>
      <c r="Q6971" s="20">
        <v>15936</v>
      </c>
      <c r="R6971" s="80" t="s">
        <v>36</v>
      </c>
      <c r="S6971" s="95">
        <f>200+1800</f>
        <v>2000</v>
      </c>
      <c r="T6971" s="83" t="s">
        <v>21256</v>
      </c>
      <c r="U6971" s="95">
        <v>13936</v>
      </c>
      <c r="V6971" s="148">
        <v>45736</v>
      </c>
      <c r="W6971" s="85" t="s">
        <v>21471</v>
      </c>
      <c r="X6971" s="80"/>
      <c r="Y6971" s="22">
        <v>0</v>
      </c>
      <c r="Z6971" s="80" t="s">
        <v>50</v>
      </c>
      <c r="AA6971" s="82"/>
      <c r="AB6971" s="80"/>
      <c r="AC6971" s="80" t="s">
        <v>53</v>
      </c>
      <c r="AD6971" s="80" t="s">
        <v>54</v>
      </c>
      <c r="AE6971" s="80" t="s">
        <v>19308</v>
      </c>
      <c r="AF6971" s="17">
        <v>45758</v>
      </c>
      <c r="AG6971" s="80"/>
      <c r="AH6971" s="80"/>
      <c r="AI6971" s="147"/>
      <c r="AJ6971" s="80"/>
      <c r="AK6971" s="80"/>
      <c r="AL6971" s="35"/>
      <c r="AM6971" s="35"/>
      <c r="AN6971" s="35"/>
      <c r="AO6971" s="35"/>
      <c r="AP6971" s="35"/>
    </row>
    <row r="6972" spans="1:42" x14ac:dyDescent="0.2">
      <c r="A6972" s="38">
        <v>45757</v>
      </c>
      <c r="B6972" s="137"/>
      <c r="C6972" s="41" t="s">
        <v>118</v>
      </c>
      <c r="D6972" s="80" t="s">
        <v>36</v>
      </c>
      <c r="E6972" s="80" t="s">
        <v>119</v>
      </c>
      <c r="F6972" s="80" t="s">
        <v>16773</v>
      </c>
      <c r="G6972" s="26" t="s">
        <v>1847</v>
      </c>
      <c r="H6972" s="80" t="s">
        <v>865</v>
      </c>
      <c r="I6972" s="17" t="str">
        <f ca="1">IFERROR(__xludf.DUMMYFUNCTION("""COMPUTED_VALUE""")," ")</f>
        <v xml:space="preserve"> </v>
      </c>
      <c r="J6972" s="143" t="s">
        <v>12302</v>
      </c>
      <c r="K6972" s="145" t="s">
        <v>21472</v>
      </c>
      <c r="L6972" s="30">
        <v>386268705</v>
      </c>
      <c r="M6972" s="80" t="s">
        <v>123</v>
      </c>
      <c r="N6972" s="80" t="s">
        <v>327</v>
      </c>
      <c r="O6972" s="80" t="s">
        <v>4503</v>
      </c>
      <c r="P6972" s="144" t="s">
        <v>16786</v>
      </c>
      <c r="Q6972" s="20">
        <v>13968</v>
      </c>
      <c r="R6972" s="80" t="s">
        <v>36</v>
      </c>
      <c r="S6972" s="95">
        <f>200+3800</f>
        <v>4000</v>
      </c>
      <c r="T6972" s="148" t="s">
        <v>12305</v>
      </c>
      <c r="U6972" s="95">
        <f>9900+68</f>
        <v>9968</v>
      </c>
      <c r="V6972" s="148" t="s">
        <v>12306</v>
      </c>
      <c r="W6972" s="80" t="s">
        <v>12307</v>
      </c>
      <c r="X6972" s="83">
        <v>0</v>
      </c>
      <c r="Y6972" s="22">
        <v>0</v>
      </c>
      <c r="Z6972" s="81" t="s">
        <v>50</v>
      </c>
      <c r="AA6972" s="86" t="s">
        <v>3291</v>
      </c>
      <c r="AB6972" s="80"/>
      <c r="AC6972" s="80" t="s">
        <v>53</v>
      </c>
      <c r="AD6972" s="80" t="s">
        <v>54</v>
      </c>
      <c r="AE6972" s="80" t="s">
        <v>16773</v>
      </c>
      <c r="AF6972" s="17">
        <v>45761</v>
      </c>
      <c r="AG6972" s="80"/>
      <c r="AH6972" s="80"/>
      <c r="AI6972" s="209">
        <v>4</v>
      </c>
      <c r="AJ6972" s="80"/>
      <c r="AK6972" s="80"/>
      <c r="AL6972" s="86"/>
      <c r="AM6972" s="86"/>
      <c r="AN6972" s="86"/>
      <c r="AO6972" s="86"/>
      <c r="AP6972" s="86"/>
    </row>
    <row r="6973" spans="1:42" x14ac:dyDescent="0.2">
      <c r="A6973" s="38">
        <v>45758</v>
      </c>
      <c r="B6973" s="28" t="s">
        <v>37</v>
      </c>
      <c r="C6973" s="41" t="s">
        <v>118</v>
      </c>
      <c r="D6973" s="80" t="s">
        <v>36</v>
      </c>
      <c r="E6973" s="80" t="s">
        <v>139</v>
      </c>
      <c r="F6973" s="80" t="s">
        <v>16687</v>
      </c>
      <c r="G6973" s="142" t="s">
        <v>221</v>
      </c>
      <c r="H6973" s="80" t="s">
        <v>19526</v>
      </c>
      <c r="I6973" s="17">
        <f ca="1">IFERROR(__xludf.DUMMYFUNCTION("""COMPUTED_VALUE"""),45804)</f>
        <v>45804</v>
      </c>
      <c r="J6973" s="143" t="s">
        <v>8218</v>
      </c>
      <c r="K6973" s="80" t="s">
        <v>21473</v>
      </c>
      <c r="L6973" s="30">
        <v>339744728</v>
      </c>
      <c r="M6973" s="80" t="s">
        <v>3498</v>
      </c>
      <c r="N6973" s="80" t="s">
        <v>2756</v>
      </c>
      <c r="O6973" s="80" t="s">
        <v>4503</v>
      </c>
      <c r="P6973" s="144" t="s">
        <v>21474</v>
      </c>
      <c r="Q6973" s="20">
        <v>15936</v>
      </c>
      <c r="R6973" s="80" t="s">
        <v>36</v>
      </c>
      <c r="S6973" s="31">
        <v>4000</v>
      </c>
      <c r="T6973" s="32">
        <v>45381</v>
      </c>
      <c r="U6973" s="31">
        <v>11936</v>
      </c>
      <c r="V6973" s="32">
        <v>45405</v>
      </c>
      <c r="W6973" s="85" t="s">
        <v>8220</v>
      </c>
      <c r="X6973" s="80"/>
      <c r="Y6973" s="22">
        <v>0</v>
      </c>
      <c r="Z6973" s="41" t="s">
        <v>118</v>
      </c>
      <c r="AA6973" s="82" t="s">
        <v>8102</v>
      </c>
      <c r="AB6973" s="80"/>
      <c r="AC6973" s="80" t="s">
        <v>53</v>
      </c>
      <c r="AD6973" s="86" t="s">
        <v>138</v>
      </c>
      <c r="AE6973" s="80" t="s">
        <v>16687</v>
      </c>
      <c r="AF6973" s="17">
        <v>45630</v>
      </c>
      <c r="AG6973" s="80" t="s">
        <v>8366</v>
      </c>
      <c r="AH6973" s="80"/>
      <c r="AI6973" s="147"/>
      <c r="AJ6973" s="80"/>
      <c r="AK6973" s="80"/>
      <c r="AL6973" s="86"/>
      <c r="AM6973" s="86"/>
      <c r="AN6973" s="86"/>
      <c r="AO6973" s="86"/>
      <c r="AP6973" s="86"/>
    </row>
    <row r="6974" spans="1:42" x14ac:dyDescent="0.2">
      <c r="A6974" s="38">
        <v>45758</v>
      </c>
      <c r="B6974" s="28" t="s">
        <v>37</v>
      </c>
      <c r="C6974" s="41" t="s">
        <v>118</v>
      </c>
      <c r="D6974" s="80" t="s">
        <v>36</v>
      </c>
      <c r="E6974" s="80" t="s">
        <v>56</v>
      </c>
      <c r="F6974" s="80" t="s">
        <v>21475</v>
      </c>
      <c r="G6974" s="161" t="s">
        <v>41</v>
      </c>
      <c r="H6974" s="80" t="s">
        <v>18896</v>
      </c>
      <c r="I6974" s="17">
        <f ca="1">IFERROR(__xludf.DUMMYFUNCTION("""COMPUTED_VALUE"""),45762)</f>
        <v>45762</v>
      </c>
      <c r="J6974" s="143" t="s">
        <v>4443</v>
      </c>
      <c r="K6974" s="80" t="s">
        <v>21476</v>
      </c>
      <c r="L6974" s="30">
        <v>398716880</v>
      </c>
      <c r="M6974" s="80" t="s">
        <v>633</v>
      </c>
      <c r="N6974" s="80" t="s">
        <v>2847</v>
      </c>
      <c r="O6974" s="80" t="s">
        <v>4445</v>
      </c>
      <c r="P6974" s="80" t="s">
        <v>21477</v>
      </c>
      <c r="Q6974" s="20">
        <v>7349</v>
      </c>
      <c r="R6974" s="80" t="s">
        <v>36</v>
      </c>
      <c r="S6974" s="77"/>
      <c r="T6974" s="156" t="s">
        <v>4447</v>
      </c>
      <c r="U6974" s="77">
        <v>6575</v>
      </c>
      <c r="V6974" s="218">
        <v>45221</v>
      </c>
      <c r="W6974" s="80" t="s">
        <v>4448</v>
      </c>
      <c r="X6974" s="80">
        <v>0</v>
      </c>
      <c r="Y6974" s="22">
        <v>774</v>
      </c>
      <c r="Z6974" s="81" t="s">
        <v>50</v>
      </c>
      <c r="AA6974" s="86" t="s">
        <v>3454</v>
      </c>
      <c r="AB6974" s="80"/>
      <c r="AC6974" s="80" t="s">
        <v>53</v>
      </c>
      <c r="AD6974" s="86" t="s">
        <v>138</v>
      </c>
      <c r="AE6974" s="80"/>
      <c r="AF6974" s="17">
        <v>45758</v>
      </c>
      <c r="AG6974" s="80"/>
      <c r="AH6974" s="80" t="s">
        <v>4449</v>
      </c>
      <c r="AI6974" s="147"/>
      <c r="AJ6974" s="80"/>
      <c r="AK6974" s="80"/>
      <c r="AL6974" s="80"/>
      <c r="AM6974" s="86"/>
      <c r="AN6974" s="86"/>
      <c r="AO6974" s="86"/>
      <c r="AP6974" s="86"/>
    </row>
    <row r="6975" spans="1:42" x14ac:dyDescent="0.2">
      <c r="A6975" s="38">
        <v>45758</v>
      </c>
      <c r="B6975" s="137" t="s">
        <v>37</v>
      </c>
      <c r="C6975" s="41" t="s">
        <v>118</v>
      </c>
      <c r="D6975" s="80" t="s">
        <v>36</v>
      </c>
      <c r="E6975" s="80" t="s">
        <v>915</v>
      </c>
      <c r="F6975" s="80" t="s">
        <v>13807</v>
      </c>
      <c r="G6975" s="80" t="s">
        <v>1705</v>
      </c>
      <c r="H6975" s="80" t="s">
        <v>20251</v>
      </c>
      <c r="I6975" s="17">
        <f ca="1">IFERROR(__xludf.DUMMYFUNCTION("""COMPUTED_VALUE"""),45772)</f>
        <v>45772</v>
      </c>
      <c r="J6975" s="143" t="s">
        <v>4571</v>
      </c>
      <c r="K6975" s="80" t="s">
        <v>4572</v>
      </c>
      <c r="L6975" s="30">
        <v>337501861</v>
      </c>
      <c r="M6975" s="80" t="s">
        <v>59</v>
      </c>
      <c r="N6975" s="80" t="s">
        <v>4299</v>
      </c>
      <c r="O6975" s="80" t="s">
        <v>17894</v>
      </c>
      <c r="P6975" s="80" t="s">
        <v>17895</v>
      </c>
      <c r="Q6975" s="20">
        <v>10894</v>
      </c>
      <c r="R6975" s="80" t="s">
        <v>36</v>
      </c>
      <c r="S6975" s="95">
        <v>10894</v>
      </c>
      <c r="T6975" s="148">
        <v>45603</v>
      </c>
      <c r="U6975" s="77"/>
      <c r="V6975" s="78"/>
      <c r="W6975" s="85" t="s">
        <v>17896</v>
      </c>
      <c r="X6975" s="80"/>
      <c r="Y6975" s="22">
        <v>0</v>
      </c>
      <c r="Z6975" s="81" t="s">
        <v>50</v>
      </c>
      <c r="AA6975" s="82" t="s">
        <v>14723</v>
      </c>
      <c r="AB6975" s="80"/>
      <c r="AC6975" s="80" t="s">
        <v>53</v>
      </c>
      <c r="AD6975" s="80" t="s">
        <v>138</v>
      </c>
      <c r="AE6975" s="80" t="s">
        <v>13807</v>
      </c>
      <c r="AF6975" s="17">
        <v>45772</v>
      </c>
      <c r="AG6975" s="80"/>
      <c r="AH6975" s="80"/>
      <c r="AI6975" s="147"/>
      <c r="AJ6975" s="80"/>
      <c r="AK6975" s="80"/>
      <c r="AL6975" s="86"/>
      <c r="AM6975" s="86"/>
      <c r="AN6975" s="86"/>
      <c r="AO6975" s="86"/>
      <c r="AP6975" s="86"/>
    </row>
    <row r="6976" spans="1:42" x14ac:dyDescent="0.2">
      <c r="A6976" s="38">
        <v>45758</v>
      </c>
      <c r="B6976" s="137" t="s">
        <v>37</v>
      </c>
      <c r="C6976" s="41" t="s">
        <v>118</v>
      </c>
      <c r="D6976" s="80" t="s">
        <v>36</v>
      </c>
      <c r="E6976" s="80" t="s">
        <v>119</v>
      </c>
      <c r="F6976" s="80" t="s">
        <v>13807</v>
      </c>
      <c r="G6976" s="80" t="s">
        <v>1705</v>
      </c>
      <c r="H6976" s="80" t="s">
        <v>21478</v>
      </c>
      <c r="I6976" s="17">
        <f ca="1">IFERROR(__xludf.DUMMYFUNCTION("""COMPUTED_VALUE"""),45618)</f>
        <v>45618</v>
      </c>
      <c r="J6976" s="143" t="s">
        <v>14921</v>
      </c>
      <c r="K6976" s="145" t="s">
        <v>21479</v>
      </c>
      <c r="L6976" s="30">
        <v>981289531</v>
      </c>
      <c r="M6976" s="80" t="s">
        <v>80</v>
      </c>
      <c r="N6976" s="80" t="s">
        <v>466</v>
      </c>
      <c r="O6976" s="80" t="s">
        <v>14923</v>
      </c>
      <c r="P6976" s="144" t="s">
        <v>21480</v>
      </c>
      <c r="Q6976" s="20">
        <v>13968</v>
      </c>
      <c r="R6976" s="80" t="s">
        <v>36</v>
      </c>
      <c r="S6976" s="95">
        <f>200+3800</f>
        <v>4000</v>
      </c>
      <c r="T6976" s="148" t="s">
        <v>14925</v>
      </c>
      <c r="U6976" s="95">
        <v>9968</v>
      </c>
      <c r="V6976" s="148">
        <v>45587</v>
      </c>
      <c r="W6976" s="85" t="s">
        <v>14926</v>
      </c>
      <c r="X6976" s="80"/>
      <c r="Y6976" s="22">
        <v>0</v>
      </c>
      <c r="Z6976" s="81" t="s">
        <v>50</v>
      </c>
      <c r="AA6976" s="86" t="s">
        <v>9905</v>
      </c>
      <c r="AB6976" s="80"/>
      <c r="AC6976" s="80" t="s">
        <v>53</v>
      </c>
      <c r="AD6976" s="80" t="s">
        <v>54</v>
      </c>
      <c r="AE6976" s="80" t="s">
        <v>13807</v>
      </c>
      <c r="AF6976" s="17">
        <v>45841</v>
      </c>
      <c r="AG6976" s="80"/>
      <c r="AH6976" s="80"/>
      <c r="AI6976" s="147"/>
      <c r="AJ6976" s="80"/>
      <c r="AK6976" s="80"/>
      <c r="AL6976" s="86"/>
      <c r="AM6976" s="86"/>
      <c r="AN6976" s="86"/>
      <c r="AO6976" s="86"/>
      <c r="AP6976" s="86"/>
    </row>
    <row r="6977" spans="1:42" x14ac:dyDescent="0.2">
      <c r="A6977" s="38">
        <v>45758</v>
      </c>
      <c r="B6977" s="137" t="s">
        <v>37</v>
      </c>
      <c r="C6977" s="41" t="s">
        <v>118</v>
      </c>
      <c r="D6977" s="80" t="s">
        <v>36</v>
      </c>
      <c r="E6977" s="80" t="s">
        <v>119</v>
      </c>
      <c r="F6977" s="80" t="s">
        <v>13807</v>
      </c>
      <c r="G6977" s="80" t="s">
        <v>1705</v>
      </c>
      <c r="H6977" s="80" t="s">
        <v>21481</v>
      </c>
      <c r="I6977" s="17">
        <f ca="1">IFERROR(__xludf.DUMMYFUNCTION("""COMPUTED_VALUE"""),45636)</f>
        <v>45636</v>
      </c>
      <c r="J6977" s="143" t="s">
        <v>14954</v>
      </c>
      <c r="K6977" s="145" t="s">
        <v>21482</v>
      </c>
      <c r="L6977" s="30">
        <v>963351400</v>
      </c>
      <c r="M6977" s="80" t="s">
        <v>5518</v>
      </c>
      <c r="N6977" s="80" t="s">
        <v>12477</v>
      </c>
      <c r="O6977" s="80" t="s">
        <v>14956</v>
      </c>
      <c r="P6977" s="144" t="s">
        <v>21483</v>
      </c>
      <c r="Q6977" s="20">
        <v>13968</v>
      </c>
      <c r="R6977" s="80" t="s">
        <v>36</v>
      </c>
      <c r="S6977" s="95">
        <f>2000+2000</f>
        <v>4000</v>
      </c>
      <c r="T6977" s="148" t="s">
        <v>12426</v>
      </c>
      <c r="U6977" s="95">
        <v>9968</v>
      </c>
      <c r="V6977" s="148">
        <v>45566</v>
      </c>
      <c r="W6977" s="85" t="s">
        <v>14957</v>
      </c>
      <c r="X6977" s="80"/>
      <c r="Y6977" s="22">
        <v>0</v>
      </c>
      <c r="Z6977" s="81" t="s">
        <v>50</v>
      </c>
      <c r="AA6977" s="82" t="s">
        <v>9905</v>
      </c>
      <c r="AB6977" s="80"/>
      <c r="AC6977" s="80" t="s">
        <v>53</v>
      </c>
      <c r="AD6977" s="80" t="s">
        <v>138</v>
      </c>
      <c r="AE6977" s="80" t="s">
        <v>13807</v>
      </c>
      <c r="AF6977" s="17">
        <v>45911</v>
      </c>
      <c r="AG6977" s="80"/>
      <c r="AH6977" s="80"/>
      <c r="AI6977" s="147"/>
      <c r="AJ6977" s="80"/>
      <c r="AK6977" s="80"/>
      <c r="AL6977" s="86"/>
      <c r="AM6977" s="86"/>
      <c r="AN6977" s="86"/>
      <c r="AO6977" s="86"/>
      <c r="AP6977" s="86"/>
    </row>
    <row r="6978" spans="1:42" x14ac:dyDescent="0.2">
      <c r="A6978" s="38">
        <v>45758</v>
      </c>
      <c r="B6978" s="137" t="s">
        <v>37</v>
      </c>
      <c r="C6978" s="41" t="s">
        <v>118</v>
      </c>
      <c r="D6978" s="80" t="s">
        <v>36</v>
      </c>
      <c r="E6978" s="80" t="s">
        <v>119</v>
      </c>
      <c r="F6978" s="80" t="s">
        <v>450</v>
      </c>
      <c r="G6978" s="161" t="s">
        <v>221</v>
      </c>
      <c r="H6978" s="80" t="s">
        <v>20141</v>
      </c>
      <c r="I6978" s="17">
        <f ca="1">IFERROR(__xludf.DUMMYFUNCTION("""COMPUTED_VALUE"""),45757)</f>
        <v>45757</v>
      </c>
      <c r="J6978" s="143" t="s">
        <v>12221</v>
      </c>
      <c r="K6978" s="80" t="s">
        <v>21484</v>
      </c>
      <c r="L6978" s="30">
        <v>917074259</v>
      </c>
      <c r="M6978" s="80" t="s">
        <v>3728</v>
      </c>
      <c r="N6978" s="80" t="s">
        <v>299</v>
      </c>
      <c r="O6978" s="80" t="s">
        <v>12223</v>
      </c>
      <c r="P6978" s="80" t="s">
        <v>12224</v>
      </c>
      <c r="Q6978" s="20">
        <v>13968</v>
      </c>
      <c r="R6978" s="80" t="s">
        <v>36</v>
      </c>
      <c r="S6978" s="95">
        <f>200+3800</f>
        <v>4000</v>
      </c>
      <c r="T6978" s="148" t="s">
        <v>12225</v>
      </c>
      <c r="U6978" s="95">
        <v>9968</v>
      </c>
      <c r="V6978" s="148">
        <v>45555</v>
      </c>
      <c r="W6978" s="85" t="s">
        <v>12226</v>
      </c>
      <c r="X6978" s="83">
        <v>0</v>
      </c>
      <c r="Y6978" s="22">
        <v>0</v>
      </c>
      <c r="Z6978" s="81" t="s">
        <v>50</v>
      </c>
      <c r="AA6978" s="86" t="s">
        <v>3291</v>
      </c>
      <c r="AB6978" s="80"/>
      <c r="AC6978" s="80" t="s">
        <v>53</v>
      </c>
      <c r="AD6978" s="80" t="s">
        <v>54</v>
      </c>
      <c r="AE6978" s="80" t="s">
        <v>450</v>
      </c>
      <c r="AF6978" s="17">
        <v>45758</v>
      </c>
      <c r="AG6978" s="80"/>
      <c r="AH6978" s="80"/>
      <c r="AI6978" s="209">
        <v>4</v>
      </c>
      <c r="AJ6978" s="80"/>
      <c r="AK6978" s="80"/>
      <c r="AL6978" s="86"/>
      <c r="AM6978" s="86"/>
      <c r="AN6978" s="86"/>
      <c r="AO6978" s="86"/>
      <c r="AP6978" s="86"/>
    </row>
    <row r="6979" spans="1:42" x14ac:dyDescent="0.2">
      <c r="A6979" s="38">
        <v>45758</v>
      </c>
      <c r="B6979" s="137" t="s">
        <v>37</v>
      </c>
      <c r="C6979" s="41" t="s">
        <v>118</v>
      </c>
      <c r="D6979" s="26" t="s">
        <v>36</v>
      </c>
      <c r="E6979" s="26" t="s">
        <v>139</v>
      </c>
      <c r="F6979" s="26" t="s">
        <v>7413</v>
      </c>
      <c r="G6979" s="80" t="s">
        <v>1705</v>
      </c>
      <c r="H6979" s="80" t="s">
        <v>20251</v>
      </c>
      <c r="I6979" s="17">
        <f ca="1">IFERROR(__xludf.DUMMYFUNCTION("""COMPUTED_VALUE"""),45772)</f>
        <v>45772</v>
      </c>
      <c r="J6979" s="29" t="s">
        <v>3721</v>
      </c>
      <c r="K6979" s="26" t="s">
        <v>3722</v>
      </c>
      <c r="L6979" s="30">
        <v>336358727</v>
      </c>
      <c r="M6979" s="26" t="s">
        <v>80</v>
      </c>
      <c r="N6979" s="26" t="s">
        <v>81</v>
      </c>
      <c r="O6979" s="26" t="s">
        <v>3723</v>
      </c>
      <c r="P6979" s="26" t="s">
        <v>3724</v>
      </c>
      <c r="Q6979" s="20">
        <v>15936</v>
      </c>
      <c r="R6979" s="26" t="s">
        <v>36</v>
      </c>
      <c r="S6979" s="31">
        <v>2000</v>
      </c>
      <c r="T6979" s="32">
        <v>45188</v>
      </c>
      <c r="U6979" s="31">
        <v>13936</v>
      </c>
      <c r="V6979" s="32">
        <v>45214</v>
      </c>
      <c r="W6979" s="33" t="s">
        <v>3725</v>
      </c>
      <c r="X6979" s="26"/>
      <c r="Y6979" s="22">
        <v>0</v>
      </c>
      <c r="Z6979" s="26" t="s">
        <v>118</v>
      </c>
      <c r="AA6979" s="19" t="s">
        <v>3454</v>
      </c>
      <c r="AB6979" s="26"/>
      <c r="AC6979" s="26" t="s">
        <v>53</v>
      </c>
      <c r="AD6979" s="19" t="s">
        <v>138</v>
      </c>
      <c r="AE6979" s="26" t="s">
        <v>7413</v>
      </c>
      <c r="AF6979" s="17">
        <v>45772</v>
      </c>
      <c r="AG6979" s="26"/>
      <c r="AH6979" s="26"/>
      <c r="AI6979" s="40"/>
      <c r="AJ6979" s="26"/>
      <c r="AK6979" s="26"/>
      <c r="AL6979" s="35"/>
      <c r="AM6979" s="35"/>
      <c r="AN6979" s="35"/>
      <c r="AO6979" s="35"/>
      <c r="AP6979" s="35"/>
    </row>
    <row r="6980" spans="1:42" x14ac:dyDescent="0.2">
      <c r="A6980" s="38">
        <v>45758</v>
      </c>
      <c r="B6980" s="137" t="s">
        <v>37</v>
      </c>
      <c r="C6980" s="41" t="s">
        <v>118</v>
      </c>
      <c r="D6980" s="26" t="s">
        <v>36</v>
      </c>
      <c r="E6980" s="26" t="s">
        <v>119</v>
      </c>
      <c r="F6980" s="26" t="s">
        <v>13748</v>
      </c>
      <c r="G6980" s="26" t="s">
        <v>1847</v>
      </c>
      <c r="H6980" s="26" t="s">
        <v>21300</v>
      </c>
      <c r="I6980" s="17">
        <f ca="1">IFERROR(__xludf.DUMMYFUNCTION("""COMPUTED_VALUE"""),45765)</f>
        <v>45765</v>
      </c>
      <c r="J6980" s="44" t="s">
        <v>9400</v>
      </c>
      <c r="K6980" s="26" t="s">
        <v>21485</v>
      </c>
      <c r="L6980" s="30">
        <v>972670258</v>
      </c>
      <c r="M6980" s="26" t="s">
        <v>80</v>
      </c>
      <c r="N6980" s="26" t="s">
        <v>466</v>
      </c>
      <c r="O6980" s="26" t="s">
        <v>9402</v>
      </c>
      <c r="P6980" s="42" t="s">
        <v>16701</v>
      </c>
      <c r="Q6980" s="20"/>
      <c r="R6980" s="26" t="s">
        <v>36</v>
      </c>
      <c r="S6980" s="95">
        <v>3800</v>
      </c>
      <c r="T6980" s="148">
        <v>45481</v>
      </c>
      <c r="U6980" s="95">
        <v>10168</v>
      </c>
      <c r="V6980" s="148">
        <v>45500</v>
      </c>
      <c r="W6980" s="33" t="s">
        <v>9404</v>
      </c>
      <c r="X6980" s="26"/>
      <c r="Y6980" s="22">
        <v>0</v>
      </c>
      <c r="Z6980" s="26" t="s">
        <v>50</v>
      </c>
      <c r="AA6980" s="70" t="s">
        <v>9070</v>
      </c>
      <c r="AB6980" s="26"/>
      <c r="AC6980" s="26" t="s">
        <v>53</v>
      </c>
      <c r="AD6980" s="26" t="s">
        <v>54</v>
      </c>
      <c r="AE6980" s="26" t="s">
        <v>13748</v>
      </c>
      <c r="AF6980" s="17">
        <v>45761</v>
      </c>
      <c r="AG6980" s="26"/>
      <c r="AH6980" s="26"/>
      <c r="AI6980" s="40"/>
      <c r="AJ6980" s="26"/>
      <c r="AK6980" s="26"/>
      <c r="AL6980" s="35"/>
      <c r="AM6980" s="35"/>
      <c r="AN6980" s="35"/>
      <c r="AO6980" s="35"/>
      <c r="AP6980" s="35"/>
    </row>
    <row r="6981" spans="1:42" x14ac:dyDescent="0.2">
      <c r="A6981" s="38">
        <v>45758</v>
      </c>
      <c r="B6981" s="137" t="s">
        <v>37</v>
      </c>
      <c r="C6981" s="41" t="s">
        <v>118</v>
      </c>
      <c r="D6981" s="80" t="s">
        <v>36</v>
      </c>
      <c r="E6981" s="80" t="s">
        <v>77</v>
      </c>
      <c r="F6981" s="80" t="s">
        <v>21486</v>
      </c>
      <c r="G6981" s="161" t="s">
        <v>41</v>
      </c>
      <c r="H6981" s="80" t="s">
        <v>2722</v>
      </c>
      <c r="I6981" s="164">
        <f ca="1">IFERROR(__xludf.DUMMYFUNCTION("""COMPUTED_VALUE"""),45783)</f>
        <v>45783</v>
      </c>
      <c r="J6981" s="143" t="s">
        <v>11782</v>
      </c>
      <c r="K6981" s="80" t="s">
        <v>21487</v>
      </c>
      <c r="L6981" s="30">
        <v>971630765</v>
      </c>
      <c r="M6981" s="80" t="s">
        <v>1245</v>
      </c>
      <c r="N6981" s="80" t="s">
        <v>1750</v>
      </c>
      <c r="O6981" s="80" t="s">
        <v>11784</v>
      </c>
      <c r="P6981" s="144" t="s">
        <v>11785</v>
      </c>
      <c r="Q6981" s="20">
        <v>3968</v>
      </c>
      <c r="R6981" s="80" t="s">
        <v>36</v>
      </c>
      <c r="S6981" s="95">
        <v>3868</v>
      </c>
      <c r="T6981" s="148">
        <v>45117</v>
      </c>
      <c r="U6981" s="77"/>
      <c r="V6981" s="78"/>
      <c r="W6981" s="85" t="s">
        <v>11786</v>
      </c>
      <c r="X6981" s="80"/>
      <c r="Y6981" s="22">
        <v>100</v>
      </c>
      <c r="Z6981" s="81" t="s">
        <v>50</v>
      </c>
      <c r="AA6981" s="82" t="s">
        <v>51</v>
      </c>
      <c r="AB6981" s="80" t="s">
        <v>36</v>
      </c>
      <c r="AC6981" s="80" t="s">
        <v>53</v>
      </c>
      <c r="AD6981" s="80" t="s">
        <v>54</v>
      </c>
      <c r="AE6981" s="80" t="s">
        <v>11787</v>
      </c>
      <c r="AF6981" s="17">
        <v>45782</v>
      </c>
      <c r="AG6981" s="60" t="s">
        <v>21488</v>
      </c>
      <c r="AH6981" s="143" t="s">
        <v>11788</v>
      </c>
      <c r="AI6981" s="147"/>
      <c r="AJ6981" s="80"/>
      <c r="AK6981" s="80"/>
      <c r="AL6981" s="80"/>
      <c r="AM6981" s="86"/>
      <c r="AN6981" s="86"/>
      <c r="AO6981" s="86"/>
      <c r="AP6981" s="86"/>
    </row>
    <row r="6982" spans="1:42" x14ac:dyDescent="0.2">
      <c r="A6982" s="38">
        <v>45761</v>
      </c>
      <c r="B6982" s="28" t="s">
        <v>37</v>
      </c>
      <c r="C6982" s="41" t="s">
        <v>118</v>
      </c>
      <c r="D6982" s="26" t="s">
        <v>36</v>
      </c>
      <c r="E6982" s="26" t="s">
        <v>139</v>
      </c>
      <c r="F6982" s="26" t="s">
        <v>7477</v>
      </c>
      <c r="G6982" s="80" t="s">
        <v>1705</v>
      </c>
      <c r="H6982" s="26" t="s">
        <v>19614</v>
      </c>
      <c r="I6982" s="17">
        <f ca="1">IFERROR(__xludf.DUMMYFUNCTION("""COMPUTED_VALUE"""),45567)</f>
        <v>45567</v>
      </c>
      <c r="J6982" s="29" t="s">
        <v>6228</v>
      </c>
      <c r="K6982" s="26" t="s">
        <v>6229</v>
      </c>
      <c r="L6982" s="30">
        <v>914638012</v>
      </c>
      <c r="M6982" s="26" t="s">
        <v>5558</v>
      </c>
      <c r="N6982" s="26" t="s">
        <v>850</v>
      </c>
      <c r="O6982" s="26" t="s">
        <v>4503</v>
      </c>
      <c r="P6982" s="42" t="s">
        <v>8878</v>
      </c>
      <c r="Q6982" s="20">
        <v>15936</v>
      </c>
      <c r="R6982" s="26" t="s">
        <v>36</v>
      </c>
      <c r="S6982" s="31">
        <v>8000</v>
      </c>
      <c r="T6982" s="32">
        <v>45236</v>
      </c>
      <c r="U6982" s="31">
        <v>7936</v>
      </c>
      <c r="V6982" s="32">
        <v>45265</v>
      </c>
      <c r="W6982" s="33" t="s">
        <v>6231</v>
      </c>
      <c r="X6982" s="26">
        <v>0</v>
      </c>
      <c r="Y6982" s="22">
        <v>0</v>
      </c>
      <c r="Z6982" s="98" t="s">
        <v>118</v>
      </c>
      <c r="AA6982" s="19" t="s">
        <v>6541</v>
      </c>
      <c r="AB6982" s="26" t="s">
        <v>36</v>
      </c>
      <c r="AC6982" s="26" t="s">
        <v>53</v>
      </c>
      <c r="AD6982" s="14" t="s">
        <v>54</v>
      </c>
      <c r="AE6982" s="26" t="s">
        <v>7477</v>
      </c>
      <c r="AF6982" s="17">
        <v>45764</v>
      </c>
      <c r="AG6982" s="40"/>
      <c r="AH6982" s="26">
        <v>2</v>
      </c>
      <c r="AI6982" s="40" t="s">
        <v>147</v>
      </c>
      <c r="AJ6982" s="26"/>
      <c r="AK6982" s="26"/>
      <c r="AL6982" s="35"/>
      <c r="AM6982" s="35"/>
      <c r="AN6982" s="35"/>
      <c r="AO6982" s="35"/>
      <c r="AP6982" s="35"/>
    </row>
    <row r="6983" spans="1:42" x14ac:dyDescent="0.2">
      <c r="A6983" s="38">
        <v>45761</v>
      </c>
      <c r="B6983" s="28" t="s">
        <v>37</v>
      </c>
      <c r="C6983" s="41" t="s">
        <v>118</v>
      </c>
      <c r="D6983" s="80" t="s">
        <v>36</v>
      </c>
      <c r="E6983" s="80" t="s">
        <v>106</v>
      </c>
      <c r="F6983" s="80" t="s">
        <v>36</v>
      </c>
      <c r="G6983" s="161" t="s">
        <v>108</v>
      </c>
      <c r="H6983" s="80" t="s">
        <v>6339</v>
      </c>
      <c r="I6983" s="17">
        <f ca="1">IFERROR(__xludf.DUMMYFUNCTION("""COMPUTED_VALUE"""),45761)</f>
        <v>45761</v>
      </c>
      <c r="J6983" s="44" t="s">
        <v>21489</v>
      </c>
      <c r="K6983" s="80" t="s">
        <v>21490</v>
      </c>
      <c r="L6983" s="30">
        <v>833593325</v>
      </c>
      <c r="M6983" s="80" t="s">
        <v>348</v>
      </c>
      <c r="N6983" s="80" t="s">
        <v>9059</v>
      </c>
      <c r="O6983" s="80" t="s">
        <v>21491</v>
      </c>
      <c r="P6983" s="144" t="s">
        <v>21492</v>
      </c>
      <c r="Q6983" s="20"/>
      <c r="R6983" s="80" t="s">
        <v>36</v>
      </c>
      <c r="S6983" s="95">
        <v>9317</v>
      </c>
      <c r="T6983" s="148">
        <v>45482</v>
      </c>
      <c r="U6983" s="77"/>
      <c r="V6983" s="78"/>
      <c r="W6983" s="85" t="s">
        <v>9491</v>
      </c>
      <c r="X6983" s="80"/>
      <c r="Y6983" s="22"/>
      <c r="Z6983" s="81" t="s">
        <v>50</v>
      </c>
      <c r="AA6983" s="82" t="s">
        <v>9070</v>
      </c>
      <c r="AB6983" s="80"/>
      <c r="AC6983" s="80" t="s">
        <v>53</v>
      </c>
      <c r="AD6983" s="80" t="s">
        <v>54</v>
      </c>
      <c r="AE6983" s="80"/>
      <c r="AF6983" s="17">
        <v>45761</v>
      </c>
      <c r="AG6983" s="143" t="s">
        <v>9487</v>
      </c>
      <c r="AH6983" s="80"/>
      <c r="AI6983" s="147"/>
      <c r="AJ6983" s="80"/>
      <c r="AK6983" s="80"/>
      <c r="AL6983" s="86"/>
      <c r="AM6983" s="86"/>
      <c r="AN6983" s="86"/>
      <c r="AO6983" s="86"/>
      <c r="AP6983" s="86"/>
    </row>
    <row r="6984" spans="1:42" x14ac:dyDescent="0.2">
      <c r="A6984" s="38">
        <v>45761</v>
      </c>
      <c r="B6984" s="137" t="s">
        <v>37</v>
      </c>
      <c r="C6984" s="41" t="s">
        <v>118</v>
      </c>
      <c r="D6984" s="80" t="s">
        <v>36</v>
      </c>
      <c r="E6984" s="80" t="s">
        <v>915</v>
      </c>
      <c r="F6984" s="80" t="s">
        <v>9941</v>
      </c>
      <c r="G6984" s="80" t="s">
        <v>1705</v>
      </c>
      <c r="H6984" s="80" t="s">
        <v>21493</v>
      </c>
      <c r="I6984" s="17"/>
      <c r="J6984" s="143" t="s">
        <v>15195</v>
      </c>
      <c r="K6984" s="80" t="s">
        <v>15196</v>
      </c>
      <c r="L6984" s="30">
        <v>394214897</v>
      </c>
      <c r="M6984" s="80" t="s">
        <v>3498</v>
      </c>
      <c r="N6984" s="80" t="s">
        <v>2756</v>
      </c>
      <c r="O6984" s="80" t="s">
        <v>4503</v>
      </c>
      <c r="P6984" s="42" t="s">
        <v>21494</v>
      </c>
      <c r="Q6984" s="20">
        <v>10894</v>
      </c>
      <c r="R6984" s="80" t="s">
        <v>36</v>
      </c>
      <c r="S6984" s="95">
        <v>4000</v>
      </c>
      <c r="T6984" s="148">
        <v>45548</v>
      </c>
      <c r="U6984" s="178">
        <v>6894</v>
      </c>
      <c r="V6984" s="169">
        <v>45569</v>
      </c>
      <c r="W6984" s="85" t="s">
        <v>15198</v>
      </c>
      <c r="X6984" s="80"/>
      <c r="Y6984" s="22">
        <v>0</v>
      </c>
      <c r="Z6984" s="80" t="s">
        <v>50</v>
      </c>
      <c r="AA6984" s="35" t="s">
        <v>9905</v>
      </c>
      <c r="AB6984" s="80"/>
      <c r="AC6984" s="80" t="s">
        <v>53</v>
      </c>
      <c r="AD6984" s="80" t="s">
        <v>54</v>
      </c>
      <c r="AE6984" s="80" t="s">
        <v>9941</v>
      </c>
      <c r="AF6984" s="17">
        <v>45769</v>
      </c>
      <c r="AG6984" s="80"/>
      <c r="AH6984" s="80"/>
      <c r="AI6984" s="147"/>
      <c r="AJ6984" s="80"/>
      <c r="AK6984" s="80"/>
      <c r="AL6984" s="35"/>
      <c r="AM6984" s="35"/>
      <c r="AN6984" s="35"/>
      <c r="AO6984" s="35"/>
      <c r="AP6984" s="35"/>
    </row>
    <row r="6985" spans="1:42" x14ac:dyDescent="0.2">
      <c r="A6985" s="38">
        <v>45761</v>
      </c>
      <c r="B6985" s="137" t="s">
        <v>37</v>
      </c>
      <c r="C6985" s="41" t="s">
        <v>118</v>
      </c>
      <c r="D6985" s="26" t="s">
        <v>36</v>
      </c>
      <c r="E6985" s="26" t="s">
        <v>139</v>
      </c>
      <c r="F6985" s="26" t="s">
        <v>6250</v>
      </c>
      <c r="G6985" s="26" t="s">
        <v>221</v>
      </c>
      <c r="H6985" s="26" t="s">
        <v>21402</v>
      </c>
      <c r="I6985" s="17">
        <f ca="1">IFERROR(__xludf.DUMMYFUNCTION("""COMPUTED_VALUE"""),45765)</f>
        <v>45765</v>
      </c>
      <c r="J6985" s="29" t="s">
        <v>2770</v>
      </c>
      <c r="K6985" s="26" t="s">
        <v>2771</v>
      </c>
      <c r="L6985" s="30">
        <v>366307676</v>
      </c>
      <c r="M6985" s="26" t="s">
        <v>123</v>
      </c>
      <c r="N6985" s="26" t="s">
        <v>850</v>
      </c>
      <c r="O6985" s="26" t="s">
        <v>1226</v>
      </c>
      <c r="P6985" s="42" t="s">
        <v>8595</v>
      </c>
      <c r="Q6985" s="20">
        <v>15936</v>
      </c>
      <c r="R6985" s="26" t="s">
        <v>36</v>
      </c>
      <c r="S6985" s="31">
        <v>15936</v>
      </c>
      <c r="T6985" s="32">
        <v>45176</v>
      </c>
      <c r="U6985" s="31"/>
      <c r="V6985" s="26"/>
      <c r="W6985" s="33" t="s">
        <v>2773</v>
      </c>
      <c r="X6985" s="26"/>
      <c r="Y6985" s="22">
        <v>0</v>
      </c>
      <c r="Z6985" s="98" t="s">
        <v>118</v>
      </c>
      <c r="AA6985" s="19" t="s">
        <v>2449</v>
      </c>
      <c r="AB6985" s="26" t="s">
        <v>36</v>
      </c>
      <c r="AC6985" s="26" t="s">
        <v>53</v>
      </c>
      <c r="AD6985" s="19" t="s">
        <v>138</v>
      </c>
      <c r="AE6985" s="26" t="s">
        <v>6250</v>
      </c>
      <c r="AF6985" s="17">
        <v>45765</v>
      </c>
      <c r="AG6985" s="26"/>
      <c r="AH6985" s="26"/>
      <c r="AI6985" s="40"/>
      <c r="AJ6985" s="26"/>
      <c r="AK6985" s="26"/>
      <c r="AL6985" s="35"/>
      <c r="AM6985" s="35"/>
      <c r="AN6985" s="35"/>
      <c r="AO6985" s="35"/>
      <c r="AP6985" s="35"/>
    </row>
    <row r="6986" spans="1:42" x14ac:dyDescent="0.2">
      <c r="A6986" s="38">
        <v>45761</v>
      </c>
      <c r="B6986" s="137" t="s">
        <v>37</v>
      </c>
      <c r="C6986" s="41" t="s">
        <v>118</v>
      </c>
      <c r="D6986" s="80" t="s">
        <v>36</v>
      </c>
      <c r="E6986" s="80" t="s">
        <v>148</v>
      </c>
      <c r="F6986" s="80" t="s">
        <v>13943</v>
      </c>
      <c r="G6986" s="80" t="s">
        <v>221</v>
      </c>
      <c r="H6986" s="80" t="s">
        <v>16939</v>
      </c>
      <c r="I6986" s="17">
        <f ca="1">IFERROR(__xludf.DUMMYFUNCTION("""COMPUTED_VALUE"""),45769)</f>
        <v>45769</v>
      </c>
      <c r="J6986" s="143" t="s">
        <v>17694</v>
      </c>
      <c r="K6986" s="80" t="s">
        <v>20017</v>
      </c>
      <c r="L6986" s="30">
        <v>372914852</v>
      </c>
      <c r="M6986" s="80" t="s">
        <v>5558</v>
      </c>
      <c r="N6986" s="80" t="s">
        <v>5277</v>
      </c>
      <c r="O6986" s="80" t="s">
        <v>4503</v>
      </c>
      <c r="P6986" s="80" t="s">
        <v>17696</v>
      </c>
      <c r="Q6986" s="20">
        <v>7349</v>
      </c>
      <c r="R6986" s="80" t="s">
        <v>36</v>
      </c>
      <c r="S6986" s="95">
        <v>4000</v>
      </c>
      <c r="T6986" s="148">
        <v>45595</v>
      </c>
      <c r="U6986" s="95">
        <f>3289+60</f>
        <v>3349</v>
      </c>
      <c r="V6986" s="148">
        <v>45626</v>
      </c>
      <c r="W6986" s="85" t="s">
        <v>17697</v>
      </c>
      <c r="X6986" s="80"/>
      <c r="Y6986" s="22">
        <v>0</v>
      </c>
      <c r="Z6986" s="80" t="s">
        <v>50</v>
      </c>
      <c r="AA6986" s="86" t="s">
        <v>14723</v>
      </c>
      <c r="AB6986" s="80"/>
      <c r="AC6986" s="80" t="s">
        <v>53</v>
      </c>
      <c r="AD6986" s="80" t="s">
        <v>54</v>
      </c>
      <c r="AE6986" s="80" t="s">
        <v>13943</v>
      </c>
      <c r="AF6986" s="17">
        <v>45762</v>
      </c>
      <c r="AG6986" s="80"/>
      <c r="AH6986" s="80"/>
      <c r="AI6986" s="147"/>
      <c r="AJ6986" s="80"/>
      <c r="AK6986" s="80"/>
      <c r="AL6986" s="35"/>
      <c r="AM6986" s="35"/>
      <c r="AN6986" s="35"/>
      <c r="AO6986" s="35"/>
      <c r="AP6986" s="35"/>
    </row>
    <row r="6987" spans="1:42" x14ac:dyDescent="0.2">
      <c r="A6987" s="38">
        <v>45761</v>
      </c>
      <c r="B6987" s="137" t="s">
        <v>37</v>
      </c>
      <c r="C6987" s="41" t="s">
        <v>118</v>
      </c>
      <c r="D6987" s="26" t="s">
        <v>36</v>
      </c>
      <c r="E6987" s="26" t="s">
        <v>119</v>
      </c>
      <c r="F6987" s="80" t="s">
        <v>7481</v>
      </c>
      <c r="G6987" s="26" t="s">
        <v>1847</v>
      </c>
      <c r="H6987" s="26" t="s">
        <v>21300</v>
      </c>
      <c r="I6987" s="17">
        <f ca="1">IFERROR(__xludf.DUMMYFUNCTION("""COMPUTED_VALUE"""),45765)</f>
        <v>45765</v>
      </c>
      <c r="J6987" s="44" t="s">
        <v>10771</v>
      </c>
      <c r="K6987" s="26" t="s">
        <v>10772</v>
      </c>
      <c r="L6987" s="30">
        <v>989310426</v>
      </c>
      <c r="M6987" s="26" t="s">
        <v>3498</v>
      </c>
      <c r="N6987" s="26" t="s">
        <v>2756</v>
      </c>
      <c r="O6987" s="26" t="s">
        <v>4503</v>
      </c>
      <c r="P6987" s="42" t="s">
        <v>21495</v>
      </c>
      <c r="Q6987" s="20">
        <v>13968</v>
      </c>
      <c r="R6987" s="26" t="s">
        <v>36</v>
      </c>
      <c r="S6987" s="95">
        <v>4000</v>
      </c>
      <c r="T6987" s="148">
        <v>45489</v>
      </c>
      <c r="U6987" s="95">
        <v>9968</v>
      </c>
      <c r="V6987" s="148">
        <v>45516</v>
      </c>
      <c r="W6987" s="33" t="s">
        <v>10774</v>
      </c>
      <c r="X6987" s="26">
        <v>0</v>
      </c>
      <c r="Y6987" s="22">
        <v>0</v>
      </c>
      <c r="Z6987" s="26" t="s">
        <v>50</v>
      </c>
      <c r="AA6987" s="96" t="s">
        <v>10314</v>
      </c>
      <c r="AB6987" s="26"/>
      <c r="AC6987" s="26" t="s">
        <v>53</v>
      </c>
      <c r="AD6987" s="26" t="s">
        <v>54</v>
      </c>
      <c r="AE6987" s="80" t="s">
        <v>7481</v>
      </c>
      <c r="AF6987" s="17">
        <v>45762</v>
      </c>
      <c r="AG6987" s="26"/>
      <c r="AH6987" s="26"/>
      <c r="AI6987" s="40"/>
      <c r="AJ6987" s="26"/>
      <c r="AK6987" s="26"/>
      <c r="AL6987" s="35"/>
      <c r="AM6987" s="35"/>
      <c r="AN6987" s="35"/>
      <c r="AO6987" s="35"/>
      <c r="AP6987" s="35"/>
    </row>
    <row r="6988" spans="1:42" x14ac:dyDescent="0.2">
      <c r="A6988" s="38">
        <v>45761</v>
      </c>
      <c r="B6988" s="137" t="s">
        <v>37</v>
      </c>
      <c r="C6988" s="41" t="s">
        <v>118</v>
      </c>
      <c r="D6988" s="26" t="s">
        <v>36</v>
      </c>
      <c r="E6988" s="26" t="s">
        <v>139</v>
      </c>
      <c r="F6988" s="26" t="s">
        <v>18290</v>
      </c>
      <c r="G6988" s="26" t="s">
        <v>1847</v>
      </c>
      <c r="H6988" s="26" t="s">
        <v>21496</v>
      </c>
      <c r="I6988" s="17" t="str">
        <f ca="1">IFERROR(__xludf.DUMMYFUNCTION("""COMPUTED_VALUE""")," ")</f>
        <v xml:space="preserve"> </v>
      </c>
      <c r="J6988" s="44" t="s">
        <v>10171</v>
      </c>
      <c r="K6988" s="26" t="s">
        <v>10172</v>
      </c>
      <c r="L6988" s="30">
        <v>973386602</v>
      </c>
      <c r="M6988" s="26" t="s">
        <v>80</v>
      </c>
      <c r="N6988" s="26" t="s">
        <v>466</v>
      </c>
      <c r="O6988" s="26" t="s">
        <v>10173</v>
      </c>
      <c r="P6988" s="42" t="s">
        <v>21497</v>
      </c>
      <c r="Q6988" s="20">
        <v>15936</v>
      </c>
      <c r="R6988" s="26" t="s">
        <v>36</v>
      </c>
      <c r="S6988" s="95">
        <f>200+1800</f>
        <v>2000</v>
      </c>
      <c r="T6988" s="83" t="s">
        <v>10175</v>
      </c>
      <c r="U6988" s="95">
        <v>13936</v>
      </c>
      <c r="V6988" s="148">
        <v>45531</v>
      </c>
      <c r="W6988" s="33" t="s">
        <v>10176</v>
      </c>
      <c r="X6988" s="26">
        <v>0</v>
      </c>
      <c r="Y6988" s="22">
        <v>0</v>
      </c>
      <c r="Z6988" s="26" t="s">
        <v>50</v>
      </c>
      <c r="AA6988" s="35"/>
      <c r="AB6988" s="26"/>
      <c r="AC6988" s="26" t="s">
        <v>53</v>
      </c>
      <c r="AD6988" s="26" t="s">
        <v>54</v>
      </c>
      <c r="AE6988" s="26" t="s">
        <v>18290</v>
      </c>
      <c r="AF6988" s="17">
        <v>45762</v>
      </c>
      <c r="AG6988" s="26"/>
      <c r="AH6988" s="26"/>
      <c r="AI6988" s="40"/>
      <c r="AJ6988" s="26"/>
      <c r="AK6988" s="26"/>
      <c r="AL6988" s="35"/>
      <c r="AM6988" s="35"/>
      <c r="AN6988" s="35"/>
      <c r="AO6988" s="35"/>
      <c r="AP6988" s="35"/>
    </row>
    <row r="6989" spans="1:42" x14ac:dyDescent="0.2">
      <c r="A6989" s="38">
        <v>45761</v>
      </c>
      <c r="B6989" s="137" t="s">
        <v>37</v>
      </c>
      <c r="C6989" s="41" t="s">
        <v>118</v>
      </c>
      <c r="D6989" s="80" t="s">
        <v>36</v>
      </c>
      <c r="E6989" s="80" t="s">
        <v>139</v>
      </c>
      <c r="F6989" s="80" t="s">
        <v>13682</v>
      </c>
      <c r="G6989" s="26" t="s">
        <v>1847</v>
      </c>
      <c r="H6989" s="26" t="s">
        <v>21300</v>
      </c>
      <c r="I6989" s="17">
        <f ca="1">IFERROR(__xludf.DUMMYFUNCTION("""COMPUTED_VALUE"""),45765)</f>
        <v>45765</v>
      </c>
      <c r="J6989" s="143" t="s">
        <v>9090</v>
      </c>
      <c r="K6989" s="145" t="s">
        <v>21498</v>
      </c>
      <c r="L6989" s="57">
        <v>862050606</v>
      </c>
      <c r="M6989" s="86" t="s">
        <v>910</v>
      </c>
      <c r="N6989" s="86" t="s">
        <v>3525</v>
      </c>
      <c r="O6989" s="80" t="s">
        <v>9092</v>
      </c>
      <c r="P6989" s="144" t="s">
        <v>9783</v>
      </c>
      <c r="Q6989" s="20"/>
      <c r="R6989" s="80" t="s">
        <v>36</v>
      </c>
      <c r="S6989" s="95">
        <f t="shared" ref="S6989:S6990" si="210">100+2000</f>
        <v>2100</v>
      </c>
      <c r="T6989" s="148" t="s">
        <v>9094</v>
      </c>
      <c r="U6989" s="77">
        <f t="shared" ref="U6989:U6990" si="211">10000+3836</f>
        <v>13836</v>
      </c>
      <c r="V6989" s="78">
        <v>45481</v>
      </c>
      <c r="W6989" s="85" t="s">
        <v>9095</v>
      </c>
      <c r="X6989" s="80"/>
      <c r="Y6989" s="22"/>
      <c r="Z6989" s="41" t="s">
        <v>118</v>
      </c>
      <c r="AA6989" s="82" t="s">
        <v>9070</v>
      </c>
      <c r="AB6989" s="80" t="s">
        <v>36</v>
      </c>
      <c r="AC6989" s="80" t="s">
        <v>53</v>
      </c>
      <c r="AD6989" s="80" t="s">
        <v>54</v>
      </c>
      <c r="AE6989" s="80" t="s">
        <v>13682</v>
      </c>
      <c r="AF6989" s="17">
        <v>45762</v>
      </c>
      <c r="AG6989" s="80"/>
      <c r="AH6989" s="80"/>
      <c r="AI6989" s="147"/>
      <c r="AJ6989" s="80"/>
      <c r="AK6989" s="80"/>
      <c r="AL6989" s="86"/>
      <c r="AM6989" s="86"/>
      <c r="AN6989" s="86"/>
      <c r="AO6989" s="86"/>
      <c r="AP6989" s="86"/>
    </row>
    <row r="6990" spans="1:42" x14ac:dyDescent="0.2">
      <c r="A6990" s="38">
        <v>45761</v>
      </c>
      <c r="B6990" s="137" t="s">
        <v>37</v>
      </c>
      <c r="C6990" s="41" t="s">
        <v>118</v>
      </c>
      <c r="D6990" s="80" t="s">
        <v>36</v>
      </c>
      <c r="E6990" s="80" t="s">
        <v>139</v>
      </c>
      <c r="F6990" s="80" t="s">
        <v>13682</v>
      </c>
      <c r="G6990" s="80" t="s">
        <v>1705</v>
      </c>
      <c r="H6990" s="26" t="s">
        <v>21093</v>
      </c>
      <c r="I6990" s="17">
        <f ca="1">IFERROR(__xludf.DUMMYFUNCTION("""COMPUTED_VALUE"""),45623)</f>
        <v>45623</v>
      </c>
      <c r="J6990" s="172" t="s">
        <v>9090</v>
      </c>
      <c r="K6990" s="145" t="s">
        <v>21499</v>
      </c>
      <c r="L6990" s="57">
        <v>862050606</v>
      </c>
      <c r="M6990" s="86" t="s">
        <v>910</v>
      </c>
      <c r="N6990" s="86" t="s">
        <v>3525</v>
      </c>
      <c r="O6990" s="80" t="s">
        <v>9092</v>
      </c>
      <c r="P6990" s="144" t="s">
        <v>9783</v>
      </c>
      <c r="Q6990" s="20"/>
      <c r="R6990" s="80" t="s">
        <v>36</v>
      </c>
      <c r="S6990" s="95">
        <f t="shared" si="210"/>
        <v>2100</v>
      </c>
      <c r="T6990" s="148" t="s">
        <v>9094</v>
      </c>
      <c r="U6990" s="77">
        <f t="shared" si="211"/>
        <v>13836</v>
      </c>
      <c r="V6990" s="78">
        <v>45481</v>
      </c>
      <c r="W6990" s="85" t="s">
        <v>9095</v>
      </c>
      <c r="X6990" s="80"/>
      <c r="Y6990" s="22"/>
      <c r="Z6990" s="41" t="s">
        <v>118</v>
      </c>
      <c r="AA6990" s="86" t="s">
        <v>9070</v>
      </c>
      <c r="AB6990" s="80"/>
      <c r="AC6990" s="80" t="s">
        <v>53</v>
      </c>
      <c r="AD6990" s="80" t="s">
        <v>54</v>
      </c>
      <c r="AE6990" s="80" t="s">
        <v>13682</v>
      </c>
      <c r="AF6990" s="17">
        <v>45762</v>
      </c>
      <c r="AG6990" s="80"/>
      <c r="AH6990" s="80"/>
      <c r="AI6990" s="147"/>
      <c r="AJ6990" s="80"/>
      <c r="AK6990" s="80"/>
      <c r="AL6990" s="86"/>
      <c r="AM6990" s="86"/>
      <c r="AN6990" s="86"/>
      <c r="AO6990" s="86"/>
      <c r="AP6990" s="86"/>
    </row>
    <row r="6991" spans="1:42" x14ac:dyDescent="0.2">
      <c r="A6991" s="126">
        <v>45478.954386319441</v>
      </c>
      <c r="B6991" s="28" t="s">
        <v>37</v>
      </c>
      <c r="C6991" s="26" t="s">
        <v>38</v>
      </c>
      <c r="D6991" s="26" t="s">
        <v>36</v>
      </c>
      <c r="E6991" s="26" t="s">
        <v>139</v>
      </c>
      <c r="F6991" s="26" t="s">
        <v>40</v>
      </c>
      <c r="G6991" s="26" t="s">
        <v>41</v>
      </c>
      <c r="H6991" s="26" t="s">
        <v>19308</v>
      </c>
      <c r="I6991" s="17">
        <f ca="1">IFERROR(__xludf.DUMMYFUNCTION("""COMPUTED_VALUE"""),45709)</f>
        <v>45709</v>
      </c>
      <c r="J6991" s="29" t="s">
        <v>21452</v>
      </c>
      <c r="K6991" s="26" t="s">
        <v>21453</v>
      </c>
      <c r="L6991" s="30">
        <v>348209953</v>
      </c>
      <c r="M6991" s="26" t="s">
        <v>5429</v>
      </c>
      <c r="N6991" s="26" t="s">
        <v>9180</v>
      </c>
      <c r="O6991" s="26" t="s">
        <v>21454</v>
      </c>
      <c r="P6991" s="26" t="s">
        <v>21500</v>
      </c>
      <c r="Q6991" s="20">
        <v>15936</v>
      </c>
      <c r="R6991" s="26" t="s">
        <v>36</v>
      </c>
      <c r="S6991" s="95">
        <f>200+2000</f>
        <v>2200</v>
      </c>
      <c r="T6991" s="83" t="s">
        <v>21456</v>
      </c>
      <c r="U6991" s="95">
        <v>13736</v>
      </c>
      <c r="V6991" s="148">
        <v>45727</v>
      </c>
      <c r="W6991" s="33" t="s">
        <v>21457</v>
      </c>
      <c r="X6991" s="26"/>
      <c r="Y6991" s="22">
        <v>0</v>
      </c>
      <c r="Z6991" s="26" t="s">
        <v>50</v>
      </c>
      <c r="AA6991" s="96" t="s">
        <v>19480</v>
      </c>
      <c r="AB6991" s="35"/>
      <c r="AC6991" s="26" t="s">
        <v>53</v>
      </c>
      <c r="AD6991" s="26" t="s">
        <v>54</v>
      </c>
      <c r="AE6991" s="26" t="s">
        <v>430</v>
      </c>
      <c r="AF6991" s="17">
        <v>45705</v>
      </c>
      <c r="AG6991" s="26"/>
      <c r="AH6991" s="26"/>
      <c r="AI6991" s="40"/>
      <c r="AJ6991" s="26"/>
      <c r="AK6991" s="26"/>
      <c r="AL6991" s="35"/>
      <c r="AM6991" s="35"/>
      <c r="AN6991" s="35"/>
      <c r="AO6991" s="35"/>
      <c r="AP6991" s="35"/>
    </row>
    <row r="6992" spans="1:42" x14ac:dyDescent="0.2">
      <c r="A6992" s="126">
        <v>45553.556435937498</v>
      </c>
      <c r="B6992" s="137" t="s">
        <v>37</v>
      </c>
      <c r="C6992" s="80" t="s">
        <v>38</v>
      </c>
      <c r="D6992" s="80" t="s">
        <v>36</v>
      </c>
      <c r="E6992" s="80" t="s">
        <v>77</v>
      </c>
      <c r="F6992" s="80" t="s">
        <v>40</v>
      </c>
      <c r="G6992" s="80" t="s">
        <v>41</v>
      </c>
      <c r="H6992" s="80" t="s">
        <v>21501</v>
      </c>
      <c r="I6992" s="17" t="str">
        <f ca="1">IFERROR(__xludf.DUMMYFUNCTION("""COMPUTED_VALUE""")," ")</f>
        <v xml:space="preserve"> </v>
      </c>
      <c r="J6992" s="79" t="s">
        <v>21502</v>
      </c>
      <c r="K6992" s="80" t="s">
        <v>21503</v>
      </c>
      <c r="L6992" s="30">
        <v>325418170</v>
      </c>
      <c r="M6992" s="80" t="s">
        <v>12644</v>
      </c>
      <c r="N6992" s="80" t="s">
        <v>8725</v>
      </c>
      <c r="O6992" s="80" t="s">
        <v>21504</v>
      </c>
      <c r="P6992" s="80" t="s">
        <v>14107</v>
      </c>
      <c r="Q6992" s="20">
        <v>1968</v>
      </c>
      <c r="R6992" s="80" t="s">
        <v>36</v>
      </c>
      <c r="S6992" s="95">
        <v>2000</v>
      </c>
      <c r="T6992" s="148">
        <v>45553</v>
      </c>
      <c r="U6992" s="77"/>
      <c r="V6992" s="78"/>
      <c r="W6992" s="85" t="s">
        <v>21505</v>
      </c>
      <c r="X6992" s="80"/>
      <c r="Y6992" s="22">
        <v>-32</v>
      </c>
      <c r="Z6992" s="80" t="s">
        <v>50</v>
      </c>
      <c r="AA6992" s="86" t="s">
        <v>19480</v>
      </c>
      <c r="AB6992" s="82"/>
      <c r="AC6992" s="80" t="s">
        <v>53</v>
      </c>
      <c r="AD6992" s="80" t="s">
        <v>138</v>
      </c>
      <c r="AE6992" s="80"/>
      <c r="AF6992" s="17">
        <v>45565</v>
      </c>
      <c r="AG6992" s="26" t="s">
        <v>7078</v>
      </c>
      <c r="AH6992" s="143" t="s">
        <v>21506</v>
      </c>
      <c r="AI6992" s="147"/>
      <c r="AJ6992" s="80"/>
      <c r="AK6992" s="80"/>
      <c r="AL6992" s="35"/>
      <c r="AM6992" s="35"/>
      <c r="AN6992" s="35"/>
      <c r="AO6992" s="35"/>
      <c r="AP6992" s="35"/>
    </row>
    <row r="6993" spans="1:42" x14ac:dyDescent="0.2">
      <c r="A6993" s="126">
        <v>45565.924859189814</v>
      </c>
      <c r="B6993" s="137" t="s">
        <v>37</v>
      </c>
      <c r="C6993" s="80" t="s">
        <v>38</v>
      </c>
      <c r="D6993" s="80" t="s">
        <v>36</v>
      </c>
      <c r="E6993" s="80" t="s">
        <v>56</v>
      </c>
      <c r="F6993" s="80" t="s">
        <v>36</v>
      </c>
      <c r="G6993" s="80" t="s">
        <v>41</v>
      </c>
      <c r="H6993" s="80" t="s">
        <v>19893</v>
      </c>
      <c r="I6993" s="17">
        <f ca="1">IFERROR(__xludf.DUMMYFUNCTION("""COMPUTED_VALUE"""),45791)</f>
        <v>45791</v>
      </c>
      <c r="J6993" s="143" t="s">
        <v>21507</v>
      </c>
      <c r="K6993" s="80" t="s">
        <v>21508</v>
      </c>
      <c r="L6993" s="30">
        <v>789169879</v>
      </c>
      <c r="M6993" s="80" t="s">
        <v>910</v>
      </c>
      <c r="N6993" s="80" t="s">
        <v>11476</v>
      </c>
      <c r="O6993" s="80" t="s">
        <v>91</v>
      </c>
      <c r="P6993" s="144" t="s">
        <v>21509</v>
      </c>
      <c r="Q6993" s="20">
        <v>9317</v>
      </c>
      <c r="R6993" s="80" t="s">
        <v>36</v>
      </c>
      <c r="S6993" s="95">
        <f>200+1968</f>
        <v>2168</v>
      </c>
      <c r="T6993" s="83" t="s">
        <v>21510</v>
      </c>
      <c r="U6993" s="95">
        <v>7150</v>
      </c>
      <c r="V6993" s="148">
        <v>45723</v>
      </c>
      <c r="W6993" s="85" t="s">
        <v>21511</v>
      </c>
      <c r="X6993" s="80"/>
      <c r="Y6993" s="22">
        <v>-1</v>
      </c>
      <c r="Z6993" s="80" t="s">
        <v>50</v>
      </c>
      <c r="AA6993" s="96" t="s">
        <v>19480</v>
      </c>
      <c r="AB6993" s="86"/>
      <c r="AC6993" s="80" t="s">
        <v>53</v>
      </c>
      <c r="AD6993" s="80" t="s">
        <v>138</v>
      </c>
      <c r="AE6993" s="80"/>
      <c r="AF6993" s="17">
        <v>45707</v>
      </c>
      <c r="AG6993" s="60" t="s">
        <v>21512</v>
      </c>
      <c r="AH6993" s="80"/>
      <c r="AI6993" s="147"/>
      <c r="AJ6993" s="80"/>
      <c r="AK6993" s="80"/>
      <c r="AL6993" s="35"/>
      <c r="AM6993" s="35"/>
      <c r="AN6993" s="35"/>
      <c r="AO6993" s="35"/>
      <c r="AP6993" s="35"/>
    </row>
    <row r="6994" spans="1:42" x14ac:dyDescent="0.2">
      <c r="A6994" s="126">
        <v>45611.581453726852</v>
      </c>
      <c r="B6994" s="137" t="s">
        <v>37</v>
      </c>
      <c r="C6994" s="80" t="s">
        <v>38</v>
      </c>
      <c r="D6994" s="80" t="s">
        <v>36</v>
      </c>
      <c r="E6994" s="80" t="s">
        <v>77</v>
      </c>
      <c r="F6994" s="80" t="s">
        <v>36</v>
      </c>
      <c r="G6994" s="80" t="s">
        <v>41</v>
      </c>
      <c r="H6994" s="80" t="s">
        <v>20496</v>
      </c>
      <c r="I6994" s="17">
        <f ca="1">IFERROR(__xludf.DUMMYFUNCTION("""COMPUTED_VALUE"""),45735)</f>
        <v>45735</v>
      </c>
      <c r="J6994" s="143" t="s">
        <v>21513</v>
      </c>
      <c r="K6994" s="80" t="s">
        <v>21514</v>
      </c>
      <c r="L6994" s="30">
        <v>339233016</v>
      </c>
      <c r="M6994" s="80" t="s">
        <v>18749</v>
      </c>
      <c r="N6994" s="80" t="s">
        <v>18750</v>
      </c>
      <c r="O6994" s="80" t="s">
        <v>4503</v>
      </c>
      <c r="P6994" s="80" t="s">
        <v>21515</v>
      </c>
      <c r="Q6994" s="20">
        <v>1968</v>
      </c>
      <c r="R6994" s="80" t="s">
        <v>36</v>
      </c>
      <c r="S6994" s="95">
        <f>200+1800</f>
        <v>2000</v>
      </c>
      <c r="T6994" s="83" t="s">
        <v>21516</v>
      </c>
      <c r="U6994" s="77"/>
      <c r="V6994" s="78"/>
      <c r="W6994" s="85" t="s">
        <v>21517</v>
      </c>
      <c r="X6994" s="80"/>
      <c r="Y6994" s="22">
        <v>-32</v>
      </c>
      <c r="Z6994" s="80" t="s">
        <v>50</v>
      </c>
      <c r="AA6994" s="86" t="s">
        <v>19480</v>
      </c>
      <c r="AB6994" s="82"/>
      <c r="AC6994" s="80" t="s">
        <v>53</v>
      </c>
      <c r="AD6994" s="80" t="s">
        <v>54</v>
      </c>
      <c r="AE6994" s="80" t="s">
        <v>4503</v>
      </c>
      <c r="AF6994" s="17">
        <v>45724</v>
      </c>
      <c r="AG6994" s="80"/>
      <c r="AH6994" s="80"/>
      <c r="AI6994" s="147"/>
      <c r="AJ6994" s="80"/>
      <c r="AK6994" s="80"/>
      <c r="AL6994" s="35"/>
      <c r="AM6994" s="35"/>
      <c r="AN6994" s="35"/>
      <c r="AO6994" s="35"/>
      <c r="AP6994" s="35"/>
    </row>
    <row r="6995" spans="1:42" x14ac:dyDescent="0.2">
      <c r="A6995" s="126">
        <v>45625.571862453704</v>
      </c>
      <c r="B6995" s="137" t="s">
        <v>37</v>
      </c>
      <c r="C6995" s="80" t="s">
        <v>38</v>
      </c>
      <c r="D6995" s="80" t="s">
        <v>36</v>
      </c>
      <c r="E6995" s="80" t="s">
        <v>139</v>
      </c>
      <c r="F6995" s="26" t="s">
        <v>36</v>
      </c>
      <c r="G6995" s="26" t="s">
        <v>41</v>
      </c>
      <c r="H6995" s="80" t="s">
        <v>19075</v>
      </c>
      <c r="I6995" s="17">
        <f ca="1">IFERROR(__xludf.DUMMYFUNCTION("""COMPUTED_VALUE"""),45642)</f>
        <v>45642</v>
      </c>
      <c r="J6995" s="172" t="s">
        <v>19475</v>
      </c>
      <c r="K6995" s="80" t="s">
        <v>21518</v>
      </c>
      <c r="L6995" s="30">
        <v>364680506</v>
      </c>
      <c r="M6995" s="80" t="s">
        <v>15996</v>
      </c>
      <c r="N6995" s="80" t="s">
        <v>186</v>
      </c>
      <c r="O6995" s="80" t="s">
        <v>4503</v>
      </c>
      <c r="P6995" s="80" t="s">
        <v>3056</v>
      </c>
      <c r="Q6995" s="20">
        <v>15936</v>
      </c>
      <c r="R6995" s="80" t="s">
        <v>70</v>
      </c>
      <c r="S6995" s="95">
        <f>200+3000</f>
        <v>3200</v>
      </c>
      <c r="T6995" s="83" t="s">
        <v>19478</v>
      </c>
      <c r="U6995" s="95">
        <v>12736</v>
      </c>
      <c r="V6995" s="148">
        <v>45726</v>
      </c>
      <c r="W6995" s="85" t="s">
        <v>19479</v>
      </c>
      <c r="X6995" s="80"/>
      <c r="Y6995" s="22">
        <v>0</v>
      </c>
      <c r="Z6995" s="80" t="s">
        <v>50</v>
      </c>
      <c r="AA6995" s="96" t="s">
        <v>19480</v>
      </c>
      <c r="AB6995" s="86"/>
      <c r="AC6995" s="80" t="s">
        <v>53</v>
      </c>
      <c r="AD6995" s="80" t="s">
        <v>138</v>
      </c>
      <c r="AE6995" s="80"/>
      <c r="AF6995" s="17">
        <v>45631</v>
      </c>
      <c r="AG6995" s="80" t="s">
        <v>19481</v>
      </c>
      <c r="AH6995" s="80"/>
      <c r="AI6995" s="147"/>
      <c r="AJ6995" s="80"/>
      <c r="AK6995" s="80"/>
      <c r="AL6995" s="35"/>
      <c r="AM6995" s="35"/>
      <c r="AN6995" s="35"/>
      <c r="AO6995" s="35"/>
      <c r="AP6995" s="35"/>
    </row>
    <row r="6996" spans="1:42" x14ac:dyDescent="0.2">
      <c r="A6996" s="126">
        <v>45627.958751886574</v>
      </c>
      <c r="B6996" s="137" t="s">
        <v>37</v>
      </c>
      <c r="C6996" s="80" t="s">
        <v>38</v>
      </c>
      <c r="D6996" s="80" t="s">
        <v>36</v>
      </c>
      <c r="E6996" s="80" t="s">
        <v>39</v>
      </c>
      <c r="F6996" s="80" t="s">
        <v>36</v>
      </c>
      <c r="G6996" s="80" t="s">
        <v>41</v>
      </c>
      <c r="H6996" s="80" t="s">
        <v>19301</v>
      </c>
      <c r="I6996" s="17">
        <f ca="1">IFERROR(__xludf.DUMMYFUNCTION("""COMPUTED_VALUE"""),45712)</f>
        <v>45712</v>
      </c>
      <c r="J6996" s="143" t="s">
        <v>21519</v>
      </c>
      <c r="K6996" s="80" t="s">
        <v>21520</v>
      </c>
      <c r="L6996" s="30">
        <v>372130582</v>
      </c>
      <c r="M6996" s="80" t="s">
        <v>15970</v>
      </c>
      <c r="N6996" s="80" t="s">
        <v>2841</v>
      </c>
      <c r="O6996" s="80" t="s">
        <v>21521</v>
      </c>
      <c r="P6996" s="80" t="s">
        <v>3178</v>
      </c>
      <c r="Q6996" s="20">
        <v>5736</v>
      </c>
      <c r="R6996" s="80" t="s">
        <v>36</v>
      </c>
      <c r="S6996" s="95">
        <f>100+2000</f>
        <v>2100</v>
      </c>
      <c r="T6996" s="83" t="s">
        <v>21522</v>
      </c>
      <c r="U6996" s="95">
        <v>3666</v>
      </c>
      <c r="V6996" s="148">
        <v>45747</v>
      </c>
      <c r="W6996" s="85" t="s">
        <v>21523</v>
      </c>
      <c r="X6996" s="80"/>
      <c r="Y6996" s="22">
        <v>-30</v>
      </c>
      <c r="Z6996" s="80" t="s">
        <v>50</v>
      </c>
      <c r="AA6996" s="86" t="s">
        <v>19480</v>
      </c>
      <c r="AB6996" s="82"/>
      <c r="AC6996" s="80" t="s">
        <v>53</v>
      </c>
      <c r="AD6996" s="80" t="s">
        <v>138</v>
      </c>
      <c r="AE6996" s="80"/>
      <c r="AF6996" s="17">
        <v>45712</v>
      </c>
      <c r="AG6996" s="80"/>
      <c r="AH6996" s="80"/>
      <c r="AI6996" s="147"/>
      <c r="AJ6996" s="80"/>
      <c r="AK6996" s="80"/>
      <c r="AL6996" s="35"/>
      <c r="AM6996" s="35"/>
      <c r="AN6996" s="35"/>
      <c r="AO6996" s="35"/>
      <c r="AP6996" s="35"/>
    </row>
    <row r="6997" spans="1:42" x14ac:dyDescent="0.2">
      <c r="A6997" s="126">
        <v>45632.874986712966</v>
      </c>
      <c r="B6997" s="137" t="s">
        <v>37</v>
      </c>
      <c r="C6997" s="80" t="s">
        <v>38</v>
      </c>
      <c r="D6997" s="80" t="s">
        <v>36</v>
      </c>
      <c r="E6997" s="80" t="s">
        <v>77</v>
      </c>
      <c r="F6997" s="80" t="s">
        <v>36</v>
      </c>
      <c r="G6997" s="80" t="s">
        <v>41</v>
      </c>
      <c r="H6997" s="80" t="s">
        <v>16519</v>
      </c>
      <c r="I6997" s="17">
        <f ca="1">IFERROR(__xludf.DUMMYFUNCTION("""COMPUTED_VALUE"""),45707)</f>
        <v>45707</v>
      </c>
      <c r="J6997" s="143" t="s">
        <v>21524</v>
      </c>
      <c r="K6997" s="80" t="s">
        <v>21525</v>
      </c>
      <c r="L6997" s="30">
        <v>963779306</v>
      </c>
      <c r="M6997" s="80" t="s">
        <v>12644</v>
      </c>
      <c r="N6997" s="80" t="s">
        <v>8725</v>
      </c>
      <c r="O6997" s="80" t="s">
        <v>21526</v>
      </c>
      <c r="P6997" s="80" t="s">
        <v>18742</v>
      </c>
      <c r="Q6997" s="20">
        <v>1968</v>
      </c>
      <c r="R6997" s="80" t="s">
        <v>70</v>
      </c>
      <c r="S6997" s="95">
        <v>2000</v>
      </c>
      <c r="T6997" s="148">
        <v>45632</v>
      </c>
      <c r="U6997" s="77"/>
      <c r="V6997" s="78"/>
      <c r="W6997" s="80" t="s">
        <v>21527</v>
      </c>
      <c r="X6997" s="80"/>
      <c r="Y6997" s="22">
        <v>-32</v>
      </c>
      <c r="Z6997" s="80" t="s">
        <v>50</v>
      </c>
      <c r="AA6997" s="96" t="s">
        <v>19480</v>
      </c>
      <c r="AB6997" s="86"/>
      <c r="AC6997" s="80" t="s">
        <v>53</v>
      </c>
      <c r="AD6997" s="80" t="s">
        <v>138</v>
      </c>
      <c r="AE6997" s="80"/>
      <c r="AF6997" s="17">
        <v>45707</v>
      </c>
      <c r="AG6997" s="80" t="s">
        <v>7078</v>
      </c>
      <c r="AH6997" s="80"/>
      <c r="AI6997" s="147"/>
      <c r="AJ6997" s="80"/>
      <c r="AK6997" s="80"/>
      <c r="AL6997" s="35"/>
      <c r="AM6997" s="35"/>
      <c r="AN6997" s="35"/>
      <c r="AO6997" s="35"/>
      <c r="AP6997" s="35"/>
    </row>
    <row r="6998" spans="1:42" x14ac:dyDescent="0.2">
      <c r="A6998" s="126">
        <v>45632.878169374999</v>
      </c>
      <c r="B6998" s="137" t="s">
        <v>37</v>
      </c>
      <c r="C6998" s="80" t="s">
        <v>38</v>
      </c>
      <c r="D6998" s="80" t="s">
        <v>36</v>
      </c>
      <c r="E6998" s="80" t="s">
        <v>77</v>
      </c>
      <c r="F6998" s="80" t="s">
        <v>36</v>
      </c>
      <c r="G6998" s="80" t="s">
        <v>41</v>
      </c>
      <c r="H6998" s="80" t="s">
        <v>16519</v>
      </c>
      <c r="I6998" s="17">
        <f ca="1">IFERROR(__xludf.DUMMYFUNCTION("""COMPUTED_VALUE"""),45707)</f>
        <v>45707</v>
      </c>
      <c r="J6998" s="143" t="s">
        <v>21528</v>
      </c>
      <c r="K6998" s="80" t="s">
        <v>21529</v>
      </c>
      <c r="L6998" s="30">
        <v>865825496</v>
      </c>
      <c r="M6998" s="80" t="s">
        <v>12644</v>
      </c>
      <c r="N6998" s="80" t="s">
        <v>8725</v>
      </c>
      <c r="O6998" s="80" t="s">
        <v>21530</v>
      </c>
      <c r="P6998" s="80" t="s">
        <v>18742</v>
      </c>
      <c r="Q6998" s="20">
        <v>1968</v>
      </c>
      <c r="R6998" s="80" t="s">
        <v>70</v>
      </c>
      <c r="S6998" s="95">
        <v>2000</v>
      </c>
      <c r="T6998" s="148">
        <v>45632</v>
      </c>
      <c r="U6998" s="77"/>
      <c r="V6998" s="78"/>
      <c r="W6998" s="85" t="s">
        <v>21531</v>
      </c>
      <c r="X6998" s="80"/>
      <c r="Y6998" s="22">
        <v>-32</v>
      </c>
      <c r="Z6998" s="80" t="s">
        <v>50</v>
      </c>
      <c r="AA6998" s="86" t="s">
        <v>19480</v>
      </c>
      <c r="AB6998" s="82"/>
      <c r="AC6998" s="80" t="s">
        <v>53</v>
      </c>
      <c r="AD6998" s="80" t="s">
        <v>138</v>
      </c>
      <c r="AE6998" s="80"/>
      <c r="AF6998" s="17">
        <v>45707</v>
      </c>
      <c r="AG6998" s="80" t="s">
        <v>7078</v>
      </c>
      <c r="AH6998" s="80"/>
      <c r="AI6998" s="147"/>
      <c r="AJ6998" s="80"/>
      <c r="AK6998" s="80"/>
      <c r="AL6998" s="35"/>
      <c r="AM6998" s="35"/>
      <c r="AN6998" s="35"/>
      <c r="AO6998" s="35"/>
      <c r="AP6998" s="35"/>
    </row>
    <row r="6999" spans="1:42" x14ac:dyDescent="0.2">
      <c r="A6999" s="126">
        <v>45641.533245243059</v>
      </c>
      <c r="B6999" s="137" t="s">
        <v>37</v>
      </c>
      <c r="C6999" s="80" t="s">
        <v>38</v>
      </c>
      <c r="D6999" s="80" t="s">
        <v>36</v>
      </c>
      <c r="E6999" s="80" t="s">
        <v>39</v>
      </c>
      <c r="F6999" s="80" t="s">
        <v>40</v>
      </c>
      <c r="G6999" s="80" t="s">
        <v>41</v>
      </c>
      <c r="H6999" s="80" t="s">
        <v>19301</v>
      </c>
      <c r="I6999" s="17">
        <f ca="1">IFERROR(__xludf.DUMMYFUNCTION("""COMPUTED_VALUE"""),45712)</f>
        <v>45712</v>
      </c>
      <c r="J6999" s="143" t="s">
        <v>21532</v>
      </c>
      <c r="K6999" s="80" t="s">
        <v>21533</v>
      </c>
      <c r="L6999" s="30">
        <v>987226023</v>
      </c>
      <c r="M6999" s="80" t="s">
        <v>15970</v>
      </c>
      <c r="N6999" s="80" t="s">
        <v>2841</v>
      </c>
      <c r="O6999" s="80" t="s">
        <v>21534</v>
      </c>
      <c r="P6999" s="80" t="s">
        <v>3487</v>
      </c>
      <c r="Q6999" s="20">
        <v>5736</v>
      </c>
      <c r="R6999" s="80" t="s">
        <v>36</v>
      </c>
      <c r="S6999" s="95">
        <f>500+1000+500</f>
        <v>2000</v>
      </c>
      <c r="T6999" s="83" t="s">
        <v>21535</v>
      </c>
      <c r="U6999" s="95">
        <v>3768</v>
      </c>
      <c r="V6999" s="148">
        <v>45732</v>
      </c>
      <c r="W6999" s="85" t="s">
        <v>21536</v>
      </c>
      <c r="X6999" s="80"/>
      <c r="Y6999" s="22">
        <v>-32</v>
      </c>
      <c r="Z6999" s="80" t="s">
        <v>50</v>
      </c>
      <c r="AA6999" s="96" t="s">
        <v>19480</v>
      </c>
      <c r="AB6999" s="86"/>
      <c r="AC6999" s="80" t="s">
        <v>53</v>
      </c>
      <c r="AD6999" s="80" t="s">
        <v>138</v>
      </c>
      <c r="AE6999" s="80"/>
      <c r="AF6999" s="17">
        <v>45712</v>
      </c>
      <c r="AG6999" s="80"/>
      <c r="AH6999" s="80"/>
      <c r="AI6999" s="147"/>
      <c r="AJ6999" s="80"/>
      <c r="AK6999" s="80"/>
      <c r="AL6999" s="35"/>
      <c r="AM6999" s="35"/>
      <c r="AN6999" s="35"/>
      <c r="AO6999" s="35"/>
      <c r="AP6999" s="35"/>
    </row>
    <row r="7000" spans="1:42" x14ac:dyDescent="0.2">
      <c r="A7000" s="126">
        <v>45645.898035520833</v>
      </c>
      <c r="B7000" s="137" t="s">
        <v>37</v>
      </c>
      <c r="C7000" s="80" t="s">
        <v>38</v>
      </c>
      <c r="D7000" s="80" t="s">
        <v>36</v>
      </c>
      <c r="E7000" s="80" t="s">
        <v>56</v>
      </c>
      <c r="F7000" s="80" t="s">
        <v>36</v>
      </c>
      <c r="G7000" s="80" t="s">
        <v>41</v>
      </c>
      <c r="H7000" s="80" t="s">
        <v>19301</v>
      </c>
      <c r="I7000" s="17">
        <f ca="1">IFERROR(__xludf.DUMMYFUNCTION("""COMPUTED_VALUE"""),45712)</f>
        <v>45712</v>
      </c>
      <c r="J7000" s="143" t="s">
        <v>21537</v>
      </c>
      <c r="K7000" s="80" t="s">
        <v>21538</v>
      </c>
      <c r="L7000" s="30">
        <v>977747812</v>
      </c>
      <c r="M7000" s="80" t="s">
        <v>5518</v>
      </c>
      <c r="N7000" s="80" t="s">
        <v>253</v>
      </c>
      <c r="O7000" s="80" t="s">
        <v>21539</v>
      </c>
      <c r="P7000" s="80" t="s">
        <v>13408</v>
      </c>
      <c r="Q7000" s="20">
        <v>9317</v>
      </c>
      <c r="R7000" s="80" t="s">
        <v>36</v>
      </c>
      <c r="S7000" s="95">
        <f>500+1500</f>
        <v>2000</v>
      </c>
      <c r="T7000" s="83" t="s">
        <v>21540</v>
      </c>
      <c r="U7000" s="95">
        <v>7317</v>
      </c>
      <c r="V7000" s="148">
        <v>45739</v>
      </c>
      <c r="W7000" s="85" t="s">
        <v>21541</v>
      </c>
      <c r="X7000" s="80"/>
      <c r="Y7000" s="22">
        <v>0</v>
      </c>
      <c r="Z7000" s="80" t="s">
        <v>50</v>
      </c>
      <c r="AA7000" s="86" t="s">
        <v>19480</v>
      </c>
      <c r="AB7000" s="82"/>
      <c r="AC7000" s="80" t="s">
        <v>53</v>
      </c>
      <c r="AD7000" s="80" t="s">
        <v>138</v>
      </c>
      <c r="AE7000" s="80"/>
      <c r="AF7000" s="17">
        <v>45712</v>
      </c>
      <c r="AG7000" s="80" t="s">
        <v>7078</v>
      </c>
      <c r="AH7000" s="80"/>
      <c r="AI7000" s="147"/>
      <c r="AJ7000" s="80"/>
      <c r="AK7000" s="80"/>
      <c r="AL7000" s="35"/>
      <c r="AM7000" s="35"/>
      <c r="AN7000" s="35"/>
      <c r="AO7000" s="35"/>
      <c r="AP7000" s="35"/>
    </row>
    <row r="7001" spans="1:42" x14ac:dyDescent="0.2">
      <c r="A7001" s="126">
        <v>45649.628823854167</v>
      </c>
      <c r="B7001" s="137" t="s">
        <v>37</v>
      </c>
      <c r="C7001" s="80" t="s">
        <v>38</v>
      </c>
      <c r="D7001" s="80" t="s">
        <v>36</v>
      </c>
      <c r="E7001" s="80" t="s">
        <v>106</v>
      </c>
      <c r="F7001" s="80" t="s">
        <v>36</v>
      </c>
      <c r="G7001" s="80" t="s">
        <v>108</v>
      </c>
      <c r="H7001" s="80" t="s">
        <v>17059</v>
      </c>
      <c r="I7001" s="17">
        <f ca="1">IFERROR(__xludf.DUMMYFUNCTION("""COMPUTED_VALUE"""),45652)</f>
        <v>45652</v>
      </c>
      <c r="J7001" s="143" t="s">
        <v>21542</v>
      </c>
      <c r="K7001" s="80" t="s">
        <v>21543</v>
      </c>
      <c r="L7001" s="30">
        <v>904187408</v>
      </c>
      <c r="M7001" s="80" t="s">
        <v>18358</v>
      </c>
      <c r="N7001" s="80" t="s">
        <v>2847</v>
      </c>
      <c r="O7001" s="80" t="s">
        <v>4503</v>
      </c>
      <c r="P7001" s="144" t="s">
        <v>21544</v>
      </c>
      <c r="Q7001" s="20">
        <v>3768</v>
      </c>
      <c r="R7001" s="80" t="s">
        <v>36</v>
      </c>
      <c r="S7001" s="95">
        <f>200+4000</f>
        <v>4200</v>
      </c>
      <c r="T7001" s="148">
        <v>45649</v>
      </c>
      <c r="U7001" s="77"/>
      <c r="V7001" s="78"/>
      <c r="W7001" s="85" t="s">
        <v>21545</v>
      </c>
      <c r="X7001" s="80"/>
      <c r="Y7001" s="22">
        <v>-432</v>
      </c>
      <c r="Z7001" s="80" t="s">
        <v>50</v>
      </c>
      <c r="AA7001" s="96" t="s">
        <v>19480</v>
      </c>
      <c r="AB7001" s="86"/>
      <c r="AC7001" s="80" t="s">
        <v>53</v>
      </c>
      <c r="AD7001" s="80" t="s">
        <v>54</v>
      </c>
      <c r="AE7001" s="80"/>
      <c r="AF7001" s="17">
        <v>45650</v>
      </c>
      <c r="AG7001" s="80" t="s">
        <v>7078</v>
      </c>
      <c r="AH7001" s="80"/>
      <c r="AI7001" s="147"/>
      <c r="AJ7001" s="80"/>
      <c r="AK7001" s="80"/>
      <c r="AL7001" s="35"/>
      <c r="AM7001" s="35"/>
      <c r="AN7001" s="35"/>
      <c r="AO7001" s="35"/>
      <c r="AP7001" s="35"/>
    </row>
    <row r="7002" spans="1:42" x14ac:dyDescent="0.2">
      <c r="A7002" s="126">
        <v>45653.455507233797</v>
      </c>
      <c r="B7002" s="137" t="s">
        <v>37</v>
      </c>
      <c r="C7002" s="80" t="s">
        <v>38</v>
      </c>
      <c r="D7002" s="80" t="s">
        <v>36</v>
      </c>
      <c r="E7002" s="80" t="s">
        <v>139</v>
      </c>
      <c r="F7002" s="80" t="s">
        <v>40</v>
      </c>
      <c r="G7002" s="80" t="s">
        <v>41</v>
      </c>
      <c r="H7002" s="80" t="s">
        <v>19121</v>
      </c>
      <c r="I7002" s="17">
        <f ca="1">IFERROR(__xludf.DUMMYFUNCTION("""COMPUTED_VALUE"""),45659)</f>
        <v>45659</v>
      </c>
      <c r="J7002" s="143" t="s">
        <v>20319</v>
      </c>
      <c r="K7002" s="80" t="s">
        <v>20320</v>
      </c>
      <c r="L7002" s="30">
        <v>345695922</v>
      </c>
      <c r="M7002" s="80" t="s">
        <v>5558</v>
      </c>
      <c r="N7002" s="80" t="s">
        <v>5277</v>
      </c>
      <c r="O7002" s="80" t="s">
        <v>4503</v>
      </c>
      <c r="P7002" s="80" t="s">
        <v>20321</v>
      </c>
      <c r="Q7002" s="20">
        <v>15936</v>
      </c>
      <c r="R7002" s="80" t="s">
        <v>36</v>
      </c>
      <c r="S7002" s="95">
        <v>1968</v>
      </c>
      <c r="T7002" s="148">
        <v>45653</v>
      </c>
      <c r="U7002" s="95">
        <v>13968</v>
      </c>
      <c r="V7002" s="148">
        <v>45722</v>
      </c>
      <c r="W7002" s="85" t="s">
        <v>20322</v>
      </c>
      <c r="X7002" s="80"/>
      <c r="Y7002" s="22">
        <v>0</v>
      </c>
      <c r="Z7002" s="80" t="s">
        <v>50</v>
      </c>
      <c r="AA7002" s="86" t="s">
        <v>19480</v>
      </c>
      <c r="AB7002" s="82"/>
      <c r="AC7002" s="80" t="s">
        <v>53</v>
      </c>
      <c r="AD7002" s="80" t="s">
        <v>138</v>
      </c>
      <c r="AE7002" s="80"/>
      <c r="AF7002" s="17">
        <v>45659</v>
      </c>
      <c r="AG7002" s="80"/>
      <c r="AH7002" s="80"/>
      <c r="AI7002" s="147"/>
      <c r="AJ7002" s="80">
        <f>COUNTIF(K7002:K7305,K7002)</f>
        <v>1</v>
      </c>
      <c r="AK7002" s="80"/>
      <c r="AL7002" s="35"/>
      <c r="AM7002" s="35"/>
      <c r="AN7002" s="35"/>
      <c r="AO7002" s="35"/>
      <c r="AP7002" s="35"/>
    </row>
    <row r="7003" spans="1:42" x14ac:dyDescent="0.2">
      <c r="A7003" s="126">
        <v>45657.261694675923</v>
      </c>
      <c r="B7003" s="137" t="s">
        <v>37</v>
      </c>
      <c r="C7003" s="80" t="s">
        <v>38</v>
      </c>
      <c r="D7003" s="80" t="s">
        <v>36</v>
      </c>
      <c r="E7003" s="80" t="s">
        <v>139</v>
      </c>
      <c r="F7003" s="80" t="s">
        <v>36</v>
      </c>
      <c r="G7003" s="80" t="s">
        <v>41</v>
      </c>
      <c r="H7003" s="80" t="s">
        <v>16519</v>
      </c>
      <c r="I7003" s="17">
        <f ca="1">IFERROR(__xludf.DUMMYFUNCTION("""COMPUTED_VALUE"""),45707)</f>
        <v>45707</v>
      </c>
      <c r="J7003" s="143" t="s">
        <v>21270</v>
      </c>
      <c r="K7003" s="80" t="s">
        <v>21271</v>
      </c>
      <c r="L7003" s="30">
        <v>836539688</v>
      </c>
      <c r="M7003" s="80" t="s">
        <v>12644</v>
      </c>
      <c r="N7003" s="80" t="s">
        <v>260</v>
      </c>
      <c r="O7003" s="80" t="s">
        <v>21272</v>
      </c>
      <c r="P7003" s="80" t="s">
        <v>13226</v>
      </c>
      <c r="Q7003" s="20">
        <v>15936</v>
      </c>
      <c r="R7003" s="80" t="s">
        <v>36</v>
      </c>
      <c r="S7003" s="95">
        <f t="shared" ref="S7003:S7004" si="212">200+1800</f>
        <v>2000</v>
      </c>
      <c r="T7003" s="83" t="s">
        <v>21273</v>
      </c>
      <c r="U7003" s="95">
        <v>13968</v>
      </c>
      <c r="V7003" s="148">
        <v>45723</v>
      </c>
      <c r="W7003" s="85" t="s">
        <v>21274</v>
      </c>
      <c r="X7003" s="80"/>
      <c r="Y7003" s="22">
        <v>-32</v>
      </c>
      <c r="Z7003" s="80" t="s">
        <v>50</v>
      </c>
      <c r="AA7003" s="96" t="s">
        <v>19480</v>
      </c>
      <c r="AB7003" s="86"/>
      <c r="AC7003" s="80" t="s">
        <v>53</v>
      </c>
      <c r="AD7003" s="80" t="s">
        <v>138</v>
      </c>
      <c r="AE7003" s="80"/>
      <c r="AF7003" s="17">
        <v>45707</v>
      </c>
      <c r="AG7003" s="80"/>
      <c r="AH7003" s="80"/>
      <c r="AI7003" s="147"/>
      <c r="AJ7003" s="80"/>
      <c r="AK7003" s="80"/>
      <c r="AL7003" s="35"/>
      <c r="AM7003" s="35"/>
      <c r="AN7003" s="35"/>
      <c r="AO7003" s="35"/>
      <c r="AP7003" s="35"/>
    </row>
    <row r="7004" spans="1:42" x14ac:dyDescent="0.2">
      <c r="A7004" s="126">
        <v>45659.895784490742</v>
      </c>
      <c r="B7004" s="137" t="s">
        <v>37</v>
      </c>
      <c r="C7004" s="80" t="s">
        <v>38</v>
      </c>
      <c r="D7004" s="80" t="s">
        <v>36</v>
      </c>
      <c r="E7004" s="80" t="s">
        <v>56</v>
      </c>
      <c r="F7004" s="80" t="s">
        <v>40</v>
      </c>
      <c r="G7004" s="80" t="s">
        <v>41</v>
      </c>
      <c r="H7004" s="80" t="s">
        <v>19699</v>
      </c>
      <c r="I7004" s="17">
        <f ca="1">IFERROR(__xludf.DUMMYFUNCTION("""COMPUTED_VALUE"""),45698)</f>
        <v>45698</v>
      </c>
      <c r="J7004" s="143" t="s">
        <v>21546</v>
      </c>
      <c r="K7004" s="80" t="s">
        <v>21547</v>
      </c>
      <c r="L7004" s="30">
        <v>332347728</v>
      </c>
      <c r="M7004" s="80" t="s">
        <v>18749</v>
      </c>
      <c r="N7004" s="80" t="s">
        <v>21548</v>
      </c>
      <c r="O7004" s="80" t="s">
        <v>4503</v>
      </c>
      <c r="P7004" s="80" t="s">
        <v>21549</v>
      </c>
      <c r="Q7004" s="20">
        <v>9317</v>
      </c>
      <c r="R7004" s="80" t="s">
        <v>36</v>
      </c>
      <c r="S7004" s="95">
        <f t="shared" si="212"/>
        <v>2000</v>
      </c>
      <c r="T7004" s="83" t="s">
        <v>20533</v>
      </c>
      <c r="U7004" s="95">
        <v>7317</v>
      </c>
      <c r="V7004" s="148">
        <v>45717</v>
      </c>
      <c r="W7004" s="85" t="s">
        <v>21550</v>
      </c>
      <c r="X7004" s="80"/>
      <c r="Y7004" s="22">
        <v>0</v>
      </c>
      <c r="Z7004" s="80" t="s">
        <v>50</v>
      </c>
      <c r="AA7004" s="86" t="s">
        <v>19480</v>
      </c>
      <c r="AB7004" s="82"/>
      <c r="AC7004" s="80" t="s">
        <v>53</v>
      </c>
      <c r="AD7004" s="80" t="s">
        <v>54</v>
      </c>
      <c r="AE7004" s="80"/>
      <c r="AF7004" s="17">
        <v>45670</v>
      </c>
      <c r="AG7004" s="80"/>
      <c r="AH7004" s="80"/>
      <c r="AI7004" s="147"/>
      <c r="AJ7004" s="80"/>
      <c r="AK7004" s="80"/>
      <c r="AL7004" s="35"/>
      <c r="AM7004" s="35"/>
      <c r="AN7004" s="35"/>
      <c r="AO7004" s="35"/>
      <c r="AP7004" s="35"/>
    </row>
    <row r="7005" spans="1:42" x14ac:dyDescent="0.2">
      <c r="A7005" s="126">
        <v>45671.77701726852</v>
      </c>
      <c r="B7005" s="137" t="s">
        <v>37</v>
      </c>
      <c r="C7005" s="80" t="s">
        <v>38</v>
      </c>
      <c r="D7005" s="80" t="s">
        <v>36</v>
      </c>
      <c r="E7005" s="80" t="s">
        <v>39</v>
      </c>
      <c r="F7005" s="80" t="s">
        <v>40</v>
      </c>
      <c r="G7005" s="80" t="s">
        <v>41</v>
      </c>
      <c r="H7005" s="80" t="s">
        <v>16525</v>
      </c>
      <c r="I7005" s="17">
        <f ca="1">IFERROR(__xludf.DUMMYFUNCTION("""COMPUTED_VALUE"""),45708)</f>
        <v>45708</v>
      </c>
      <c r="J7005" s="143" t="s">
        <v>21243</v>
      </c>
      <c r="K7005" s="80" t="s">
        <v>21244</v>
      </c>
      <c r="L7005" s="30">
        <v>363655245</v>
      </c>
      <c r="M7005" s="80" t="s">
        <v>17759</v>
      </c>
      <c r="N7005" s="80" t="s">
        <v>2756</v>
      </c>
      <c r="O7005" s="80" t="s">
        <v>4503</v>
      </c>
      <c r="P7005" s="80" t="s">
        <v>21245</v>
      </c>
      <c r="Q7005" s="20">
        <v>5736</v>
      </c>
      <c r="R7005" s="80" t="s">
        <v>70</v>
      </c>
      <c r="S7005" s="95">
        <f>100+3600</f>
        <v>3700</v>
      </c>
      <c r="T7005" s="83" t="s">
        <v>21246</v>
      </c>
      <c r="U7005" s="95">
        <v>2036</v>
      </c>
      <c r="V7005" s="148">
        <v>45727</v>
      </c>
      <c r="W7005" s="85" t="s">
        <v>21247</v>
      </c>
      <c r="X7005" s="80"/>
      <c r="Y7005" s="22">
        <v>0</v>
      </c>
      <c r="Z7005" s="80" t="s">
        <v>50</v>
      </c>
      <c r="AA7005" s="96" t="s">
        <v>19480</v>
      </c>
      <c r="AB7005" s="86"/>
      <c r="AC7005" s="80" t="s">
        <v>53</v>
      </c>
      <c r="AD7005" s="80" t="s">
        <v>138</v>
      </c>
      <c r="AE7005" s="80"/>
      <c r="AF7005" s="17">
        <v>45708</v>
      </c>
      <c r="AG7005" s="80"/>
      <c r="AH7005" s="80"/>
      <c r="AI7005" s="147"/>
      <c r="AJ7005" s="80"/>
      <c r="AK7005" s="80"/>
      <c r="AL7005" s="35"/>
      <c r="AM7005" s="35"/>
      <c r="AN7005" s="35"/>
      <c r="AO7005" s="35"/>
      <c r="AP7005" s="35"/>
    </row>
    <row r="7006" spans="1:42" x14ac:dyDescent="0.2">
      <c r="A7006" s="126">
        <v>45671.778703611111</v>
      </c>
      <c r="B7006" s="137" t="s">
        <v>37</v>
      </c>
      <c r="C7006" s="80" t="s">
        <v>38</v>
      </c>
      <c r="D7006" s="80" t="s">
        <v>36</v>
      </c>
      <c r="E7006" s="80" t="s">
        <v>39</v>
      </c>
      <c r="F7006" s="80" t="s">
        <v>40</v>
      </c>
      <c r="G7006" s="80" t="s">
        <v>41</v>
      </c>
      <c r="H7006" s="80" t="s">
        <v>16525</v>
      </c>
      <c r="I7006" s="17">
        <f ca="1">IFERROR(__xludf.DUMMYFUNCTION("""COMPUTED_VALUE"""),45708)</f>
        <v>45708</v>
      </c>
      <c r="J7006" s="143" t="s">
        <v>21248</v>
      </c>
      <c r="K7006" s="80" t="s">
        <v>21249</v>
      </c>
      <c r="L7006" s="30">
        <v>375873196</v>
      </c>
      <c r="M7006" s="80" t="s">
        <v>17759</v>
      </c>
      <c r="N7006" s="80" t="s">
        <v>2756</v>
      </c>
      <c r="O7006" s="80" t="s">
        <v>8140</v>
      </c>
      <c r="P7006" s="80" t="s">
        <v>21250</v>
      </c>
      <c r="Q7006" s="20">
        <v>5736</v>
      </c>
      <c r="R7006" s="80" t="s">
        <v>70</v>
      </c>
      <c r="S7006" s="95">
        <f>100+5000</f>
        <v>5100</v>
      </c>
      <c r="T7006" s="83" t="s">
        <v>21251</v>
      </c>
      <c r="U7006" s="95">
        <v>636</v>
      </c>
      <c r="V7006" s="148">
        <v>45726</v>
      </c>
      <c r="W7006" s="85" t="s">
        <v>21252</v>
      </c>
      <c r="X7006" s="80"/>
      <c r="Y7006" s="22">
        <v>0</v>
      </c>
      <c r="Z7006" s="80" t="s">
        <v>50</v>
      </c>
      <c r="AA7006" s="86" t="s">
        <v>19480</v>
      </c>
      <c r="AB7006" s="80"/>
      <c r="AC7006" s="80" t="s">
        <v>53</v>
      </c>
      <c r="AD7006" s="80" t="s">
        <v>138</v>
      </c>
      <c r="AE7006" s="80"/>
      <c r="AF7006" s="17">
        <v>45708</v>
      </c>
      <c r="AG7006" s="80"/>
      <c r="AH7006" s="80"/>
      <c r="AI7006" s="147"/>
      <c r="AJ7006" s="80"/>
      <c r="AK7006" s="80"/>
      <c r="AL7006" s="35"/>
      <c r="AM7006" s="35"/>
      <c r="AN7006" s="35"/>
      <c r="AO7006" s="35"/>
      <c r="AP7006" s="35"/>
    </row>
    <row r="7007" spans="1:42" x14ac:dyDescent="0.2">
      <c r="A7007" s="126">
        <v>45678.897848136578</v>
      </c>
      <c r="B7007" s="137" t="s">
        <v>37</v>
      </c>
      <c r="C7007" s="80" t="s">
        <v>38</v>
      </c>
      <c r="D7007" s="80" t="s">
        <v>36</v>
      </c>
      <c r="E7007" s="80" t="s">
        <v>139</v>
      </c>
      <c r="F7007" s="80" t="s">
        <v>36</v>
      </c>
      <c r="G7007" s="80" t="s">
        <v>41</v>
      </c>
      <c r="H7007" s="80" t="s">
        <v>19699</v>
      </c>
      <c r="I7007" s="17">
        <f ca="1">IFERROR(__xludf.DUMMYFUNCTION("""COMPUTED_VALUE"""),45698)</f>
        <v>45698</v>
      </c>
      <c r="J7007" s="143" t="s">
        <v>21309</v>
      </c>
      <c r="K7007" s="80" t="s">
        <v>21551</v>
      </c>
      <c r="L7007" s="30">
        <v>359168651</v>
      </c>
      <c r="M7007" s="80" t="s">
        <v>5518</v>
      </c>
      <c r="N7007" s="80" t="s">
        <v>12380</v>
      </c>
      <c r="O7007" s="80" t="s">
        <v>21311</v>
      </c>
      <c r="P7007" s="80" t="s">
        <v>21552</v>
      </c>
      <c r="Q7007" s="20">
        <v>15936</v>
      </c>
      <c r="R7007" s="80" t="s">
        <v>36</v>
      </c>
      <c r="S7007" s="95">
        <f>500+1500</f>
        <v>2000</v>
      </c>
      <c r="T7007" s="83" t="s">
        <v>21313</v>
      </c>
      <c r="U7007" s="95">
        <v>13936</v>
      </c>
      <c r="V7007" s="148">
        <v>45717</v>
      </c>
      <c r="W7007" s="85" t="s">
        <v>21314</v>
      </c>
      <c r="X7007" s="80"/>
      <c r="Y7007" s="22">
        <v>0</v>
      </c>
      <c r="Z7007" s="80" t="s">
        <v>50</v>
      </c>
      <c r="AA7007" s="96" t="s">
        <v>19480</v>
      </c>
      <c r="AB7007" s="80"/>
      <c r="AC7007" s="80" t="s">
        <v>53</v>
      </c>
      <c r="AD7007" s="80" t="s">
        <v>54</v>
      </c>
      <c r="AE7007" s="80"/>
      <c r="AF7007" s="17">
        <v>45694</v>
      </c>
      <c r="AG7007" s="80"/>
      <c r="AH7007" s="80"/>
      <c r="AI7007" s="147"/>
      <c r="AJ7007" s="80"/>
      <c r="AK7007" s="80"/>
      <c r="AL7007" s="35"/>
      <c r="AM7007" s="35"/>
      <c r="AN7007" s="35"/>
      <c r="AO7007" s="35"/>
      <c r="AP7007" s="35"/>
    </row>
    <row r="7008" spans="1:42" x14ac:dyDescent="0.2">
      <c r="A7008" s="126">
        <v>45680.469906261569</v>
      </c>
      <c r="B7008" s="28" t="s">
        <v>37</v>
      </c>
      <c r="C7008" s="80" t="s">
        <v>38</v>
      </c>
      <c r="D7008" s="80" t="s">
        <v>36</v>
      </c>
      <c r="E7008" s="80" t="s">
        <v>139</v>
      </c>
      <c r="F7008" s="80" t="s">
        <v>36</v>
      </c>
      <c r="G7008" s="80" t="s">
        <v>41</v>
      </c>
      <c r="H7008" s="80" t="s">
        <v>19308</v>
      </c>
      <c r="I7008" s="17">
        <f ca="1">IFERROR(__xludf.DUMMYFUNCTION("""COMPUTED_VALUE"""),45709)</f>
        <v>45709</v>
      </c>
      <c r="J7008" s="143" t="s">
        <v>21458</v>
      </c>
      <c r="K7008" s="80" t="s">
        <v>2364</v>
      </c>
      <c r="L7008" s="30">
        <v>964308185</v>
      </c>
      <c r="M7008" s="80" t="s">
        <v>19018</v>
      </c>
      <c r="N7008" s="80" t="s">
        <v>19019</v>
      </c>
      <c r="O7008" s="80" t="s">
        <v>21459</v>
      </c>
      <c r="P7008" s="80" t="s">
        <v>21460</v>
      </c>
      <c r="Q7008" s="20">
        <v>15936</v>
      </c>
      <c r="R7008" s="80" t="s">
        <v>36</v>
      </c>
      <c r="S7008" s="95">
        <f>200+1800</f>
        <v>2000</v>
      </c>
      <c r="T7008" s="83" t="s">
        <v>21461</v>
      </c>
      <c r="U7008" s="95">
        <v>13936</v>
      </c>
      <c r="V7008" s="148">
        <v>45746</v>
      </c>
      <c r="W7008" s="85" t="s">
        <v>21462</v>
      </c>
      <c r="X7008" s="80"/>
      <c r="Y7008" s="22">
        <v>0</v>
      </c>
      <c r="Z7008" s="80" t="s">
        <v>50</v>
      </c>
      <c r="AA7008" s="86" t="s">
        <v>19480</v>
      </c>
      <c r="AB7008" s="80"/>
      <c r="AC7008" s="80" t="s">
        <v>53</v>
      </c>
      <c r="AD7008" s="80" t="s">
        <v>54</v>
      </c>
      <c r="AE7008" s="80"/>
      <c r="AF7008" s="17">
        <v>45708</v>
      </c>
      <c r="AG7008" s="80"/>
      <c r="AH7008" s="80"/>
      <c r="AI7008" s="147"/>
      <c r="AJ7008" s="80"/>
      <c r="AK7008" s="80"/>
      <c r="AL7008" s="35"/>
      <c r="AM7008" s="35"/>
      <c r="AN7008" s="35"/>
      <c r="AO7008" s="35"/>
      <c r="AP7008" s="35"/>
    </row>
    <row r="7009" spans="1:42" x14ac:dyDescent="0.2">
      <c r="A7009" s="126">
        <v>45681.317637048611</v>
      </c>
      <c r="B7009" s="137" t="s">
        <v>37</v>
      </c>
      <c r="C7009" s="80" t="s">
        <v>38</v>
      </c>
      <c r="D7009" s="80" t="s">
        <v>36</v>
      </c>
      <c r="E7009" s="80" t="s">
        <v>119</v>
      </c>
      <c r="F7009" s="80" t="s">
        <v>36</v>
      </c>
      <c r="G7009" s="80" t="s">
        <v>108</v>
      </c>
      <c r="H7009" s="80" t="s">
        <v>16849</v>
      </c>
      <c r="I7009" s="17">
        <f ca="1">IFERROR(__xludf.DUMMYFUNCTION("""COMPUTED_VALUE"""),45705)</f>
        <v>45705</v>
      </c>
      <c r="J7009" s="143" t="s">
        <v>21553</v>
      </c>
      <c r="K7009" s="80" t="s">
        <v>7092</v>
      </c>
      <c r="L7009" s="30">
        <v>354991689</v>
      </c>
      <c r="M7009" s="80" t="s">
        <v>5429</v>
      </c>
      <c r="N7009" s="80" t="s">
        <v>81</v>
      </c>
      <c r="O7009" s="80" t="s">
        <v>21554</v>
      </c>
      <c r="P7009" s="80" t="s">
        <v>6368</v>
      </c>
      <c r="Q7009" s="20">
        <v>13968</v>
      </c>
      <c r="R7009" s="80" t="s">
        <v>36</v>
      </c>
      <c r="S7009" s="95">
        <f>200+3800</f>
        <v>4000</v>
      </c>
      <c r="T7009" s="83" t="s">
        <v>21555</v>
      </c>
      <c r="U7009" s="95">
        <v>9968</v>
      </c>
      <c r="V7009" s="148">
        <v>45726</v>
      </c>
      <c r="W7009" s="85" t="s">
        <v>21556</v>
      </c>
      <c r="X7009" s="80"/>
      <c r="Y7009" s="22">
        <v>0</v>
      </c>
      <c r="Z7009" s="80" t="s">
        <v>50</v>
      </c>
      <c r="AA7009" s="96" t="s">
        <v>19480</v>
      </c>
      <c r="AB7009" s="80"/>
      <c r="AC7009" s="80" t="s">
        <v>53</v>
      </c>
      <c r="AD7009" s="80" t="s">
        <v>138</v>
      </c>
      <c r="AE7009" s="83">
        <v>510</v>
      </c>
      <c r="AF7009" s="17">
        <v>45705</v>
      </c>
      <c r="AG7009" s="80"/>
      <c r="AH7009" s="80"/>
      <c r="AI7009" s="147"/>
      <c r="AJ7009" s="80"/>
      <c r="AK7009" s="80"/>
      <c r="AL7009" s="35"/>
      <c r="AM7009" s="35"/>
      <c r="AN7009" s="35"/>
      <c r="AO7009" s="35"/>
      <c r="AP7009" s="35"/>
    </row>
    <row r="7010" spans="1:42" x14ac:dyDescent="0.2">
      <c r="A7010" s="126">
        <v>45692.416322581019</v>
      </c>
      <c r="B7010" s="137" t="s">
        <v>37</v>
      </c>
      <c r="C7010" s="80" t="s">
        <v>38</v>
      </c>
      <c r="D7010" s="80" t="s">
        <v>36</v>
      </c>
      <c r="E7010" s="80" t="s">
        <v>119</v>
      </c>
      <c r="F7010" s="80" t="s">
        <v>36</v>
      </c>
      <c r="G7010" s="80" t="s">
        <v>108</v>
      </c>
      <c r="H7010" s="80" t="s">
        <v>13999</v>
      </c>
      <c r="I7010" s="17">
        <f ca="1">IFERROR(__xludf.DUMMYFUNCTION("""COMPUTED_VALUE"""),45698)</f>
        <v>45698</v>
      </c>
      <c r="J7010" s="143" t="s">
        <v>21557</v>
      </c>
      <c r="K7010" s="80" t="s">
        <v>21558</v>
      </c>
      <c r="L7010" s="30">
        <v>375265126</v>
      </c>
      <c r="M7010" s="80" t="s">
        <v>5518</v>
      </c>
      <c r="N7010" s="80" t="s">
        <v>186</v>
      </c>
      <c r="O7010" s="80" t="s">
        <v>21559</v>
      </c>
      <c r="P7010" s="80" t="s">
        <v>21560</v>
      </c>
      <c r="Q7010" s="20">
        <v>13968</v>
      </c>
      <c r="R7010" s="80" t="s">
        <v>36</v>
      </c>
      <c r="S7010" s="95">
        <v>4000</v>
      </c>
      <c r="T7010" s="148">
        <v>45692</v>
      </c>
      <c r="U7010" s="95">
        <v>9968</v>
      </c>
      <c r="V7010" s="148">
        <v>45723</v>
      </c>
      <c r="W7010" s="79" t="s">
        <v>21561</v>
      </c>
      <c r="X7010" s="80"/>
      <c r="Y7010" s="22">
        <v>0</v>
      </c>
      <c r="Z7010" s="80" t="s">
        <v>50</v>
      </c>
      <c r="AA7010" s="86" t="s">
        <v>19480</v>
      </c>
      <c r="AB7010" s="80"/>
      <c r="AC7010" s="80" t="s">
        <v>53</v>
      </c>
      <c r="AD7010" s="80" t="s">
        <v>54</v>
      </c>
      <c r="AE7010" s="83">
        <v>420</v>
      </c>
      <c r="AF7010" s="17">
        <v>45693</v>
      </c>
      <c r="AG7010" s="80"/>
      <c r="AH7010" s="80"/>
      <c r="AI7010" s="147"/>
      <c r="AJ7010" s="80"/>
      <c r="AK7010" s="80"/>
      <c r="AL7010" s="35"/>
      <c r="AM7010" s="35"/>
      <c r="AN7010" s="35"/>
      <c r="AO7010" s="35"/>
      <c r="AP7010" s="35"/>
    </row>
    <row r="7011" spans="1:42" x14ac:dyDescent="0.2">
      <c r="A7011" s="126">
        <v>45692.905323842591</v>
      </c>
      <c r="B7011" s="137" t="s">
        <v>37</v>
      </c>
      <c r="C7011" s="80" t="s">
        <v>38</v>
      </c>
      <c r="D7011" s="80" t="s">
        <v>36</v>
      </c>
      <c r="E7011" s="80" t="s">
        <v>77</v>
      </c>
      <c r="F7011" s="80" t="s">
        <v>40</v>
      </c>
      <c r="G7011" s="80" t="s">
        <v>41</v>
      </c>
      <c r="H7011" s="80" t="s">
        <v>21562</v>
      </c>
      <c r="I7011" s="17" t="str">
        <f ca="1">IFERROR(__xludf.DUMMYFUNCTION("""COMPUTED_VALUE""")," ")</f>
        <v xml:space="preserve"> </v>
      </c>
      <c r="J7011" s="143" t="s">
        <v>21563</v>
      </c>
      <c r="K7011" s="80" t="s">
        <v>21564</v>
      </c>
      <c r="L7011" s="30">
        <v>866435625</v>
      </c>
      <c r="M7011" s="80" t="s">
        <v>17759</v>
      </c>
      <c r="N7011" s="80" t="s">
        <v>2756</v>
      </c>
      <c r="O7011" s="80" t="s">
        <v>8140</v>
      </c>
      <c r="P7011" s="80" t="s">
        <v>21565</v>
      </c>
      <c r="Q7011" s="20">
        <v>1968</v>
      </c>
      <c r="R7011" s="80" t="s">
        <v>36</v>
      </c>
      <c r="S7011" s="95">
        <v>2000</v>
      </c>
      <c r="T7011" s="148">
        <v>45692</v>
      </c>
      <c r="U7011" s="77"/>
      <c r="V7011" s="78"/>
      <c r="W7011" s="85" t="s">
        <v>21566</v>
      </c>
      <c r="X7011" s="80"/>
      <c r="Y7011" s="22">
        <v>-32</v>
      </c>
      <c r="Z7011" s="80" t="s">
        <v>50</v>
      </c>
      <c r="AA7011" s="96" t="s">
        <v>19480</v>
      </c>
      <c r="AB7011" s="80"/>
      <c r="AC7011" s="80" t="s">
        <v>53</v>
      </c>
      <c r="AD7011" s="80" t="s">
        <v>54</v>
      </c>
      <c r="AE7011" s="80"/>
      <c r="AF7011" s="17">
        <v>45694</v>
      </c>
      <c r="AG7011" s="80"/>
      <c r="AH7011" s="80"/>
      <c r="AI7011" s="147"/>
      <c r="AJ7011" s="80"/>
      <c r="AK7011" s="80"/>
      <c r="AL7011" s="35"/>
      <c r="AM7011" s="35"/>
      <c r="AN7011" s="35"/>
      <c r="AO7011" s="35"/>
      <c r="AP7011" s="35"/>
    </row>
    <row r="7012" spans="1:42" x14ac:dyDescent="0.2">
      <c r="A7012" s="126">
        <v>45694.35595193287</v>
      </c>
      <c r="B7012" s="137" t="s">
        <v>37</v>
      </c>
      <c r="C7012" s="80" t="s">
        <v>38</v>
      </c>
      <c r="D7012" s="80" t="s">
        <v>36</v>
      </c>
      <c r="E7012" s="80" t="s">
        <v>56</v>
      </c>
      <c r="F7012" s="80" t="s">
        <v>36</v>
      </c>
      <c r="G7012" s="80" t="s">
        <v>41</v>
      </c>
      <c r="H7012" s="80" t="s">
        <v>19830</v>
      </c>
      <c r="I7012" s="17">
        <f ca="1">IFERROR(__xludf.DUMMYFUNCTION("""COMPUTED_VALUE"""),45698)</f>
        <v>45698</v>
      </c>
      <c r="J7012" s="143" t="s">
        <v>21567</v>
      </c>
      <c r="K7012" s="80" t="s">
        <v>21568</v>
      </c>
      <c r="L7012" s="30">
        <v>976715662</v>
      </c>
      <c r="M7012" s="80" t="s">
        <v>15970</v>
      </c>
      <c r="N7012" s="80" t="s">
        <v>466</v>
      </c>
      <c r="O7012" s="80" t="s">
        <v>21189</v>
      </c>
      <c r="P7012" s="80" t="s">
        <v>21569</v>
      </c>
      <c r="Q7012" s="20">
        <v>9317</v>
      </c>
      <c r="R7012" s="80" t="s">
        <v>36</v>
      </c>
      <c r="S7012" s="95">
        <v>9217</v>
      </c>
      <c r="T7012" s="148">
        <v>45693</v>
      </c>
      <c r="U7012" s="95">
        <v>100</v>
      </c>
      <c r="V7012" s="148">
        <v>45717</v>
      </c>
      <c r="W7012" s="85" t="s">
        <v>21570</v>
      </c>
      <c r="X7012" s="80"/>
      <c r="Y7012" s="22">
        <v>0</v>
      </c>
      <c r="Z7012" s="80" t="s">
        <v>50</v>
      </c>
      <c r="AA7012" s="86" t="s">
        <v>19480</v>
      </c>
      <c r="AB7012" s="80"/>
      <c r="AC7012" s="80" t="s">
        <v>53</v>
      </c>
      <c r="AD7012" s="80" t="s">
        <v>54</v>
      </c>
      <c r="AE7012" s="80"/>
      <c r="AF7012" s="17">
        <v>45695</v>
      </c>
      <c r="AG7012" s="80"/>
      <c r="AH7012" s="80"/>
      <c r="AI7012" s="147"/>
      <c r="AJ7012" s="80"/>
      <c r="AK7012" s="80"/>
      <c r="AL7012" s="35"/>
      <c r="AM7012" s="35"/>
      <c r="AN7012" s="35"/>
      <c r="AO7012" s="35"/>
      <c r="AP7012" s="35"/>
    </row>
    <row r="7013" spans="1:42" x14ac:dyDescent="0.2">
      <c r="A7013" s="126">
        <v>45694.906218865741</v>
      </c>
      <c r="B7013" s="137" t="s">
        <v>37</v>
      </c>
      <c r="C7013" s="80" t="s">
        <v>38</v>
      </c>
      <c r="D7013" s="80" t="s">
        <v>36</v>
      </c>
      <c r="E7013" s="80" t="s">
        <v>139</v>
      </c>
      <c r="F7013" s="80" t="s">
        <v>40</v>
      </c>
      <c r="G7013" s="80" t="s">
        <v>41</v>
      </c>
      <c r="H7013" s="80" t="s">
        <v>16519</v>
      </c>
      <c r="I7013" s="17">
        <f ca="1">IFERROR(__xludf.DUMMYFUNCTION("""COMPUTED_VALUE"""),45707)</f>
        <v>45707</v>
      </c>
      <c r="J7013" s="143" t="s">
        <v>21275</v>
      </c>
      <c r="K7013" s="80" t="s">
        <v>21276</v>
      </c>
      <c r="L7013" s="30">
        <v>969137806</v>
      </c>
      <c r="M7013" s="80" t="s">
        <v>12644</v>
      </c>
      <c r="N7013" s="80" t="s">
        <v>8725</v>
      </c>
      <c r="O7013" s="80" t="s">
        <v>21277</v>
      </c>
      <c r="P7013" s="80" t="s">
        <v>14107</v>
      </c>
      <c r="Q7013" s="20">
        <v>15936</v>
      </c>
      <c r="R7013" s="80" t="s">
        <v>36</v>
      </c>
      <c r="S7013" s="95">
        <v>2000</v>
      </c>
      <c r="T7013" s="148">
        <v>45694</v>
      </c>
      <c r="U7013" s="95">
        <v>13936</v>
      </c>
      <c r="V7013" s="148">
        <v>45743</v>
      </c>
      <c r="W7013" s="85" t="s">
        <v>21278</v>
      </c>
      <c r="X7013" s="80"/>
      <c r="Y7013" s="22">
        <v>0</v>
      </c>
      <c r="Z7013" s="80" t="s">
        <v>50</v>
      </c>
      <c r="AA7013" s="96" t="s">
        <v>19480</v>
      </c>
      <c r="AB7013" s="80"/>
      <c r="AC7013" s="80" t="s">
        <v>53</v>
      </c>
      <c r="AD7013" s="80" t="s">
        <v>138</v>
      </c>
      <c r="AE7013" s="80"/>
      <c r="AF7013" s="17">
        <v>45707</v>
      </c>
      <c r="AG7013" s="80"/>
      <c r="AH7013" s="80"/>
      <c r="AI7013" s="147"/>
      <c r="AJ7013" s="80"/>
      <c r="AK7013" s="80"/>
      <c r="AL7013" s="35"/>
      <c r="AM7013" s="35"/>
      <c r="AN7013" s="35"/>
      <c r="AO7013" s="35"/>
      <c r="AP7013" s="35"/>
    </row>
    <row r="7014" spans="1:42" x14ac:dyDescent="0.2">
      <c r="A7014" s="126">
        <v>45695.368734456017</v>
      </c>
      <c r="B7014" s="137" t="s">
        <v>37</v>
      </c>
      <c r="C7014" s="80" t="s">
        <v>38</v>
      </c>
      <c r="D7014" s="80" t="s">
        <v>36</v>
      </c>
      <c r="E7014" s="80" t="s">
        <v>106</v>
      </c>
      <c r="F7014" s="80" t="s">
        <v>36</v>
      </c>
      <c r="G7014" s="80" t="s">
        <v>108</v>
      </c>
      <c r="H7014" s="80" t="s">
        <v>18568</v>
      </c>
      <c r="I7014" s="17">
        <f ca="1">IFERROR(__xludf.DUMMYFUNCTION("""COMPUTED_VALUE"""),45699)</f>
        <v>45699</v>
      </c>
      <c r="J7014" s="143" t="s">
        <v>21571</v>
      </c>
      <c r="K7014" s="80" t="s">
        <v>17324</v>
      </c>
      <c r="L7014" s="30">
        <v>865689835</v>
      </c>
      <c r="M7014" s="80" t="s">
        <v>15970</v>
      </c>
      <c r="N7014" s="80" t="s">
        <v>327</v>
      </c>
      <c r="O7014" s="80" t="s">
        <v>4503</v>
      </c>
      <c r="P7014" s="80" t="s">
        <v>3056</v>
      </c>
      <c r="Q7014" s="20">
        <v>3768</v>
      </c>
      <c r="R7014" s="80" t="s">
        <v>36</v>
      </c>
      <c r="S7014" s="95">
        <f>100+3768</f>
        <v>3868</v>
      </c>
      <c r="T7014" s="83" t="s">
        <v>21572</v>
      </c>
      <c r="U7014" s="77"/>
      <c r="V7014" s="78"/>
      <c r="W7014" s="85" t="s">
        <v>21573</v>
      </c>
      <c r="X7014" s="80"/>
      <c r="Y7014" s="22">
        <v>-100</v>
      </c>
      <c r="Z7014" s="80" t="s">
        <v>50</v>
      </c>
      <c r="AA7014" s="86" t="s">
        <v>19480</v>
      </c>
      <c r="AB7014" s="80"/>
      <c r="AC7014" s="80" t="s">
        <v>53</v>
      </c>
      <c r="AD7014" s="80" t="s">
        <v>138</v>
      </c>
      <c r="AE7014" s="80"/>
      <c r="AF7014" s="17">
        <v>45699</v>
      </c>
      <c r="AG7014" s="80" t="s">
        <v>7078</v>
      </c>
      <c r="AH7014" s="80"/>
      <c r="AI7014" s="147"/>
      <c r="AJ7014" s="80"/>
      <c r="AK7014" s="80"/>
      <c r="AL7014" s="35"/>
      <c r="AM7014" s="35"/>
      <c r="AN7014" s="35"/>
      <c r="AO7014" s="35"/>
      <c r="AP7014" s="35"/>
    </row>
    <row r="7015" spans="1:42" x14ac:dyDescent="0.2">
      <c r="A7015" s="126">
        <v>45695.916297581018</v>
      </c>
      <c r="B7015" s="137" t="s">
        <v>37</v>
      </c>
      <c r="C7015" s="80" t="s">
        <v>38</v>
      </c>
      <c r="D7015" s="80" t="s">
        <v>36</v>
      </c>
      <c r="E7015" s="80" t="s">
        <v>119</v>
      </c>
      <c r="F7015" s="80" t="s">
        <v>36</v>
      </c>
      <c r="G7015" s="80" t="s">
        <v>108</v>
      </c>
      <c r="H7015" s="80" t="s">
        <v>2945</v>
      </c>
      <c r="I7015" s="17">
        <f ca="1">IFERROR(__xludf.DUMMYFUNCTION("""COMPUTED_VALUE"""),45706)</f>
        <v>45706</v>
      </c>
      <c r="J7015" s="143" t="s">
        <v>21574</v>
      </c>
      <c r="K7015" s="80" t="s">
        <v>21575</v>
      </c>
      <c r="L7015" s="30">
        <v>843050421</v>
      </c>
      <c r="M7015" s="80" t="s">
        <v>5518</v>
      </c>
      <c r="N7015" s="80" t="s">
        <v>5524</v>
      </c>
      <c r="O7015" s="80" t="s">
        <v>21576</v>
      </c>
      <c r="P7015" s="80" t="s">
        <v>7743</v>
      </c>
      <c r="Q7015" s="20">
        <v>13968</v>
      </c>
      <c r="R7015" s="80" t="s">
        <v>36</v>
      </c>
      <c r="S7015" s="95">
        <v>4000</v>
      </c>
      <c r="T7015" s="148">
        <v>45695</v>
      </c>
      <c r="U7015" s="95">
        <v>9968</v>
      </c>
      <c r="V7015" s="148">
        <v>45730</v>
      </c>
      <c r="W7015" s="85" t="s">
        <v>21577</v>
      </c>
      <c r="X7015" s="80"/>
      <c r="Y7015" s="22">
        <v>0</v>
      </c>
      <c r="Z7015" s="80" t="s">
        <v>50</v>
      </c>
      <c r="AA7015" s="96" t="s">
        <v>19480</v>
      </c>
      <c r="AB7015" s="80"/>
      <c r="AC7015" s="80" t="s">
        <v>53</v>
      </c>
      <c r="AD7015" s="80" t="s">
        <v>138</v>
      </c>
      <c r="AE7015" s="83">
        <v>670</v>
      </c>
      <c r="AF7015" s="17">
        <v>45706</v>
      </c>
      <c r="AG7015" s="80"/>
      <c r="AH7015" s="80"/>
      <c r="AI7015" s="147"/>
      <c r="AJ7015" s="80"/>
      <c r="AK7015" s="80"/>
      <c r="AL7015" s="35"/>
      <c r="AM7015" s="35"/>
      <c r="AN7015" s="35"/>
      <c r="AO7015" s="35"/>
      <c r="AP7015" s="35"/>
    </row>
    <row r="7016" spans="1:42" x14ac:dyDescent="0.2">
      <c r="A7016" s="126">
        <v>45696.541253796298</v>
      </c>
      <c r="B7016" s="137" t="s">
        <v>37</v>
      </c>
      <c r="C7016" s="80" t="s">
        <v>38</v>
      </c>
      <c r="D7016" s="80" t="s">
        <v>36</v>
      </c>
      <c r="E7016" s="80" t="s">
        <v>412</v>
      </c>
      <c r="F7016" s="80" t="s">
        <v>40</v>
      </c>
      <c r="G7016" s="80" t="s">
        <v>41</v>
      </c>
      <c r="H7016" s="80" t="s">
        <v>18102</v>
      </c>
      <c r="I7016" s="17">
        <f ca="1">IFERROR(__xludf.DUMMYFUNCTION("""COMPUTED_VALUE"""),45712)</f>
        <v>45712</v>
      </c>
      <c r="J7016" s="143" t="s">
        <v>21578</v>
      </c>
      <c r="K7016" s="80" t="s">
        <v>9645</v>
      </c>
      <c r="L7016" s="30">
        <v>342229568</v>
      </c>
      <c r="M7016" s="80" t="s">
        <v>18749</v>
      </c>
      <c r="N7016" s="80" t="s">
        <v>19901</v>
      </c>
      <c r="O7016" s="80" t="s">
        <v>4503</v>
      </c>
      <c r="P7016" s="80" t="s">
        <v>21579</v>
      </c>
      <c r="Q7016" s="20">
        <v>12412</v>
      </c>
      <c r="R7016" s="80" t="s">
        <v>36</v>
      </c>
      <c r="S7016" s="95">
        <v>4000</v>
      </c>
      <c r="T7016" s="148">
        <v>45695</v>
      </c>
      <c r="U7016" s="95">
        <v>8412</v>
      </c>
      <c r="V7016" s="148">
        <v>45733</v>
      </c>
      <c r="W7016" s="85" t="s">
        <v>21580</v>
      </c>
      <c r="X7016" s="80"/>
      <c r="Y7016" s="22">
        <v>0</v>
      </c>
      <c r="Z7016" s="80" t="s">
        <v>50</v>
      </c>
      <c r="AA7016" s="86" t="s">
        <v>19480</v>
      </c>
      <c r="AB7016" s="80"/>
      <c r="AC7016" s="80" t="s">
        <v>53</v>
      </c>
      <c r="AD7016" s="80" t="s">
        <v>54</v>
      </c>
      <c r="AE7016" s="80"/>
      <c r="AF7016" s="17">
        <v>45701</v>
      </c>
      <c r="AG7016" s="80"/>
      <c r="AH7016" s="80"/>
      <c r="AI7016" s="147"/>
      <c r="AJ7016" s="80"/>
      <c r="AK7016" s="80"/>
      <c r="AL7016" s="35"/>
      <c r="AM7016" s="35"/>
      <c r="AN7016" s="35"/>
      <c r="AO7016" s="35"/>
      <c r="AP7016" s="35"/>
    </row>
    <row r="7017" spans="1:42" x14ac:dyDescent="0.2">
      <c r="A7017" s="126">
        <v>45696.737847083336</v>
      </c>
      <c r="B7017" s="137" t="s">
        <v>37</v>
      </c>
      <c r="C7017" s="80" t="s">
        <v>38</v>
      </c>
      <c r="D7017" s="80" t="s">
        <v>36</v>
      </c>
      <c r="E7017" s="80" t="s">
        <v>119</v>
      </c>
      <c r="F7017" s="80" t="s">
        <v>36</v>
      </c>
      <c r="G7017" s="80" t="s">
        <v>108</v>
      </c>
      <c r="H7017" s="80" t="s">
        <v>2945</v>
      </c>
      <c r="I7017" s="17">
        <f ca="1">IFERROR(__xludf.DUMMYFUNCTION("""COMPUTED_VALUE"""),45706)</f>
        <v>45706</v>
      </c>
      <c r="J7017" s="143" t="s">
        <v>21439</v>
      </c>
      <c r="K7017" s="80" t="s">
        <v>21440</v>
      </c>
      <c r="L7017" s="30">
        <v>948116795</v>
      </c>
      <c r="M7017" s="80" t="s">
        <v>5429</v>
      </c>
      <c r="N7017" s="80" t="s">
        <v>3065</v>
      </c>
      <c r="O7017" s="80" t="s">
        <v>21441</v>
      </c>
      <c r="P7017" s="80" t="s">
        <v>6368</v>
      </c>
      <c r="Q7017" s="20">
        <v>13968</v>
      </c>
      <c r="R7017" s="80" t="s">
        <v>36</v>
      </c>
      <c r="S7017" s="95">
        <v>4000</v>
      </c>
      <c r="T7017" s="148">
        <v>45696</v>
      </c>
      <c r="U7017" s="95">
        <v>9968</v>
      </c>
      <c r="V7017" s="148">
        <v>45722</v>
      </c>
      <c r="W7017" s="85" t="s">
        <v>21442</v>
      </c>
      <c r="X7017" s="80"/>
      <c r="Y7017" s="22">
        <v>0</v>
      </c>
      <c r="Z7017" s="80" t="s">
        <v>50</v>
      </c>
      <c r="AA7017" s="96" t="s">
        <v>19480</v>
      </c>
      <c r="AB7017" s="80"/>
      <c r="AC7017" s="80" t="s">
        <v>53</v>
      </c>
      <c r="AD7017" s="80" t="s">
        <v>138</v>
      </c>
      <c r="AE7017" s="83">
        <v>530</v>
      </c>
      <c r="AF7017" s="17">
        <v>45706</v>
      </c>
      <c r="AG7017" s="80"/>
      <c r="AH7017" s="80"/>
      <c r="AI7017" s="147"/>
      <c r="AJ7017" s="80"/>
      <c r="AK7017" s="80"/>
      <c r="AL7017" s="35"/>
      <c r="AM7017" s="35"/>
      <c r="AN7017" s="35"/>
      <c r="AO7017" s="35"/>
      <c r="AP7017" s="35"/>
    </row>
    <row r="7018" spans="1:42" x14ac:dyDescent="0.2">
      <c r="A7018" s="126">
        <v>45696.839119756944</v>
      </c>
      <c r="B7018" s="137" t="s">
        <v>37</v>
      </c>
      <c r="C7018" s="80" t="s">
        <v>38</v>
      </c>
      <c r="D7018" s="80" t="s">
        <v>36</v>
      </c>
      <c r="E7018" s="80" t="s">
        <v>119</v>
      </c>
      <c r="F7018" s="80" t="s">
        <v>36</v>
      </c>
      <c r="G7018" s="80" t="s">
        <v>108</v>
      </c>
      <c r="H7018" s="80" t="s">
        <v>13773</v>
      </c>
      <c r="I7018" s="17">
        <f ca="1">IFERROR(__xludf.DUMMYFUNCTION("""COMPUTED_VALUE"""),45699)</f>
        <v>45699</v>
      </c>
      <c r="J7018" s="143" t="s">
        <v>21581</v>
      </c>
      <c r="K7018" s="80" t="s">
        <v>21582</v>
      </c>
      <c r="L7018" s="30">
        <v>966180367</v>
      </c>
      <c r="M7018" s="80" t="s">
        <v>16756</v>
      </c>
      <c r="N7018" s="80" t="s">
        <v>3525</v>
      </c>
      <c r="O7018" s="80" t="s">
        <v>21583</v>
      </c>
      <c r="P7018" s="80" t="s">
        <v>21584</v>
      </c>
      <c r="Q7018" s="20">
        <v>13968</v>
      </c>
      <c r="R7018" s="80" t="s">
        <v>36</v>
      </c>
      <c r="S7018" s="95">
        <v>4000</v>
      </c>
      <c r="T7018" s="148">
        <v>45330</v>
      </c>
      <c r="U7018" s="95">
        <v>9868</v>
      </c>
      <c r="V7018" s="148">
        <v>45360</v>
      </c>
      <c r="W7018" s="85" t="s">
        <v>21585</v>
      </c>
      <c r="X7018" s="80"/>
      <c r="Y7018" s="22">
        <v>100</v>
      </c>
      <c r="Z7018" s="80" t="s">
        <v>50</v>
      </c>
      <c r="AA7018" s="86" t="s">
        <v>19480</v>
      </c>
      <c r="AB7018" s="80"/>
      <c r="AC7018" s="80" t="s">
        <v>53</v>
      </c>
      <c r="AD7018" s="80" t="s">
        <v>54</v>
      </c>
      <c r="AE7018" s="83">
        <v>630</v>
      </c>
      <c r="AF7018" s="17">
        <v>45698</v>
      </c>
      <c r="AG7018" s="80"/>
      <c r="AH7018" s="80"/>
      <c r="AI7018" s="147"/>
      <c r="AJ7018" s="80"/>
      <c r="AK7018" s="80"/>
      <c r="AL7018" s="35"/>
      <c r="AM7018" s="35"/>
      <c r="AN7018" s="35"/>
      <c r="AO7018" s="35"/>
      <c r="AP7018" s="35"/>
    </row>
    <row r="7019" spans="1:42" x14ac:dyDescent="0.2">
      <c r="A7019" s="126">
        <v>45697.400725995365</v>
      </c>
      <c r="B7019" s="137" t="s">
        <v>37</v>
      </c>
      <c r="C7019" s="80" t="s">
        <v>38</v>
      </c>
      <c r="D7019" s="80" t="s">
        <v>36</v>
      </c>
      <c r="E7019" s="80" t="s">
        <v>39</v>
      </c>
      <c r="F7019" s="80" t="s">
        <v>36</v>
      </c>
      <c r="G7019" s="80" t="s">
        <v>41</v>
      </c>
      <c r="H7019" s="80" t="s">
        <v>16525</v>
      </c>
      <c r="I7019" s="17">
        <f ca="1">IFERROR(__xludf.DUMMYFUNCTION("""COMPUTED_VALUE"""),45708)</f>
        <v>45708</v>
      </c>
      <c r="J7019" s="143" t="s">
        <v>21253</v>
      </c>
      <c r="K7019" s="80" t="s">
        <v>21586</v>
      </c>
      <c r="L7019" s="30">
        <v>947153462</v>
      </c>
      <c r="M7019" s="80" t="s">
        <v>5429</v>
      </c>
      <c r="N7019" s="80" t="s">
        <v>3065</v>
      </c>
      <c r="O7019" s="80" t="s">
        <v>21255</v>
      </c>
      <c r="P7019" s="80" t="s">
        <v>6368</v>
      </c>
      <c r="Q7019" s="20">
        <v>5736</v>
      </c>
      <c r="R7019" s="80" t="s">
        <v>36</v>
      </c>
      <c r="S7019" s="95">
        <f t="shared" ref="S7019:S7020" si="213">200+1800</f>
        <v>2000</v>
      </c>
      <c r="T7019" s="83" t="s">
        <v>21256</v>
      </c>
      <c r="U7019" s="95">
        <v>3736</v>
      </c>
      <c r="V7019" s="148">
        <v>45727</v>
      </c>
      <c r="W7019" s="85" t="s">
        <v>21257</v>
      </c>
      <c r="X7019" s="80"/>
      <c r="Y7019" s="22">
        <v>0</v>
      </c>
      <c r="Z7019" s="80" t="s">
        <v>50</v>
      </c>
      <c r="AA7019" s="96" t="s">
        <v>19480</v>
      </c>
      <c r="AB7019" s="80"/>
      <c r="AC7019" s="80" t="s">
        <v>53</v>
      </c>
      <c r="AD7019" s="80" t="s">
        <v>138</v>
      </c>
      <c r="AE7019" s="80"/>
      <c r="AF7019" s="17">
        <v>45708</v>
      </c>
      <c r="AG7019" s="80"/>
      <c r="AH7019" s="80"/>
      <c r="AI7019" s="147"/>
      <c r="AJ7019" s="80"/>
      <c r="AK7019" s="80"/>
      <c r="AL7019" s="35"/>
      <c r="AM7019" s="35"/>
      <c r="AN7019" s="35"/>
      <c r="AO7019" s="35"/>
      <c r="AP7019" s="35"/>
    </row>
    <row r="7020" spans="1:42" x14ac:dyDescent="0.2">
      <c r="A7020" s="126">
        <v>45697.447522013885</v>
      </c>
      <c r="B7020" s="137" t="s">
        <v>37</v>
      </c>
      <c r="C7020" s="80" t="s">
        <v>38</v>
      </c>
      <c r="D7020" s="80" t="s">
        <v>36</v>
      </c>
      <c r="E7020" s="80" t="s">
        <v>139</v>
      </c>
      <c r="F7020" s="80" t="s">
        <v>36</v>
      </c>
      <c r="G7020" s="80" t="s">
        <v>41</v>
      </c>
      <c r="H7020" s="80" t="s">
        <v>18102</v>
      </c>
      <c r="I7020" s="17">
        <f ca="1">IFERROR(__xludf.DUMMYFUNCTION("""COMPUTED_VALUE"""),45712)</f>
        <v>45712</v>
      </c>
      <c r="J7020" s="143" t="s">
        <v>21587</v>
      </c>
      <c r="K7020" s="80" t="s">
        <v>21588</v>
      </c>
      <c r="L7020" s="30">
        <v>866987362</v>
      </c>
      <c r="M7020" s="80" t="s">
        <v>12644</v>
      </c>
      <c r="N7020" s="80" t="s">
        <v>8725</v>
      </c>
      <c r="O7020" s="80" t="s">
        <v>21589</v>
      </c>
      <c r="P7020" s="80" t="s">
        <v>21590</v>
      </c>
      <c r="Q7020" s="20">
        <v>15936</v>
      </c>
      <c r="R7020" s="80" t="s">
        <v>36</v>
      </c>
      <c r="S7020" s="95">
        <f t="shared" si="213"/>
        <v>2000</v>
      </c>
      <c r="T7020" s="83" t="s">
        <v>21591</v>
      </c>
      <c r="U7020" s="95">
        <v>13936</v>
      </c>
      <c r="V7020" s="148">
        <v>45735</v>
      </c>
      <c r="W7020" s="85" t="s">
        <v>21592</v>
      </c>
      <c r="X7020" s="80"/>
      <c r="Y7020" s="22">
        <v>0</v>
      </c>
      <c r="Z7020" s="80" t="s">
        <v>50</v>
      </c>
      <c r="AA7020" s="86" t="s">
        <v>19480</v>
      </c>
      <c r="AB7020" s="80"/>
      <c r="AC7020" s="80" t="s">
        <v>53</v>
      </c>
      <c r="AD7020" s="80" t="s">
        <v>54</v>
      </c>
      <c r="AE7020" s="80"/>
      <c r="AF7020" s="17">
        <v>45702</v>
      </c>
      <c r="AG7020" s="80"/>
      <c r="AH7020" s="80"/>
      <c r="AI7020" s="147"/>
      <c r="AJ7020" s="80"/>
      <c r="AK7020" s="80"/>
      <c r="AL7020" s="35"/>
      <c r="AM7020" s="35"/>
      <c r="AN7020" s="35"/>
      <c r="AO7020" s="35"/>
      <c r="AP7020" s="35"/>
    </row>
    <row r="7021" spans="1:42" x14ac:dyDescent="0.2">
      <c r="A7021" s="126">
        <v>45697.489801886579</v>
      </c>
      <c r="B7021" s="137" t="s">
        <v>37</v>
      </c>
      <c r="C7021" s="80" t="s">
        <v>38</v>
      </c>
      <c r="D7021" s="80" t="s">
        <v>36</v>
      </c>
      <c r="E7021" s="80" t="s">
        <v>139</v>
      </c>
      <c r="F7021" s="80" t="s">
        <v>40</v>
      </c>
      <c r="G7021" s="80" t="s">
        <v>41</v>
      </c>
      <c r="H7021" s="80" t="s">
        <v>20768</v>
      </c>
      <c r="I7021" s="17">
        <f ca="1">IFERROR(__xludf.DUMMYFUNCTION("""COMPUTED_VALUE"""),45708)</f>
        <v>45708</v>
      </c>
      <c r="J7021" s="143" t="s">
        <v>21593</v>
      </c>
      <c r="K7021" s="80" t="s">
        <v>21594</v>
      </c>
      <c r="L7021" s="30">
        <v>947213834</v>
      </c>
      <c r="M7021" s="80" t="s">
        <v>3498</v>
      </c>
      <c r="N7021" s="80" t="s">
        <v>310</v>
      </c>
      <c r="O7021" s="80" t="s">
        <v>21595</v>
      </c>
      <c r="P7021" s="80" t="s">
        <v>21596</v>
      </c>
      <c r="Q7021" s="20">
        <v>15936</v>
      </c>
      <c r="R7021" s="80" t="s">
        <v>36</v>
      </c>
      <c r="S7021" s="95">
        <v>3000</v>
      </c>
      <c r="T7021" s="148">
        <v>45697</v>
      </c>
      <c r="U7021" s="95">
        <v>12936</v>
      </c>
      <c r="V7021" s="148">
        <v>45721</v>
      </c>
      <c r="W7021" s="85" t="s">
        <v>21597</v>
      </c>
      <c r="X7021" s="80"/>
      <c r="Y7021" s="22">
        <v>0</v>
      </c>
      <c r="Z7021" s="80" t="s">
        <v>50</v>
      </c>
      <c r="AA7021" s="96" t="s">
        <v>19480</v>
      </c>
      <c r="AB7021" s="80"/>
      <c r="AC7021" s="80" t="s">
        <v>53</v>
      </c>
      <c r="AD7021" s="80" t="s">
        <v>54</v>
      </c>
      <c r="AE7021" s="80"/>
      <c r="AF7021" s="17">
        <v>45701</v>
      </c>
      <c r="AG7021" s="80"/>
      <c r="AH7021" s="80"/>
      <c r="AI7021" s="147"/>
      <c r="AJ7021" s="80"/>
      <c r="AK7021" s="80"/>
      <c r="AL7021" s="35"/>
      <c r="AM7021" s="35"/>
      <c r="AN7021" s="35"/>
      <c r="AO7021" s="35"/>
      <c r="AP7021" s="35"/>
    </row>
    <row r="7022" spans="1:42" x14ac:dyDescent="0.2">
      <c r="A7022" s="126">
        <v>45697.496158182868</v>
      </c>
      <c r="B7022" s="137" t="s">
        <v>37</v>
      </c>
      <c r="C7022" s="80" t="s">
        <v>38</v>
      </c>
      <c r="D7022" s="80" t="s">
        <v>36</v>
      </c>
      <c r="E7022" s="80" t="s">
        <v>77</v>
      </c>
      <c r="F7022" s="80" t="s">
        <v>40</v>
      </c>
      <c r="G7022" s="80" t="s">
        <v>41</v>
      </c>
      <c r="H7022" s="80" t="s">
        <v>16519</v>
      </c>
      <c r="I7022" s="17">
        <f ca="1">IFERROR(__xludf.DUMMYFUNCTION("""COMPUTED_VALUE"""),45707)</f>
        <v>45707</v>
      </c>
      <c r="J7022" s="143" t="s">
        <v>21598</v>
      </c>
      <c r="K7022" s="80" t="s">
        <v>7092</v>
      </c>
      <c r="L7022" s="30">
        <v>918434693</v>
      </c>
      <c r="M7022" s="80" t="s">
        <v>15970</v>
      </c>
      <c r="N7022" s="80" t="s">
        <v>327</v>
      </c>
      <c r="O7022" s="80" t="s">
        <v>21599</v>
      </c>
      <c r="P7022" s="80" t="s">
        <v>3178</v>
      </c>
      <c r="Q7022" s="20">
        <v>1968</v>
      </c>
      <c r="R7022" s="80" t="s">
        <v>36</v>
      </c>
      <c r="S7022" s="95">
        <f>100+1868</f>
        <v>1968</v>
      </c>
      <c r="T7022" s="83" t="s">
        <v>21600</v>
      </c>
      <c r="U7022" s="77"/>
      <c r="V7022" s="78"/>
      <c r="W7022" s="85" t="s">
        <v>21601</v>
      </c>
      <c r="X7022" s="80"/>
      <c r="Y7022" s="22">
        <v>0</v>
      </c>
      <c r="Z7022" s="80" t="s">
        <v>50</v>
      </c>
      <c r="AA7022" s="86" t="s">
        <v>19480</v>
      </c>
      <c r="AB7022" s="80"/>
      <c r="AC7022" s="80" t="s">
        <v>53</v>
      </c>
      <c r="AD7022" s="80" t="s">
        <v>138</v>
      </c>
      <c r="AE7022" s="80"/>
      <c r="AF7022" s="17">
        <v>45707</v>
      </c>
      <c r="AG7022" s="80" t="s">
        <v>7078</v>
      </c>
      <c r="AH7022" s="80"/>
      <c r="AI7022" s="147"/>
      <c r="AJ7022" s="80"/>
      <c r="AK7022" s="80"/>
      <c r="AL7022" s="35"/>
      <c r="AM7022" s="35"/>
      <c r="AN7022" s="35"/>
      <c r="AO7022" s="35"/>
      <c r="AP7022" s="35"/>
    </row>
    <row r="7023" spans="1:42" x14ac:dyDescent="0.2">
      <c r="A7023" s="126">
        <v>45697.839047986112</v>
      </c>
      <c r="B7023" s="137" t="s">
        <v>37</v>
      </c>
      <c r="C7023" s="80" t="s">
        <v>38</v>
      </c>
      <c r="D7023" s="80" t="s">
        <v>36</v>
      </c>
      <c r="E7023" s="80" t="s">
        <v>77</v>
      </c>
      <c r="F7023" s="80" t="s">
        <v>40</v>
      </c>
      <c r="G7023" s="80" t="s">
        <v>41</v>
      </c>
      <c r="H7023" s="80" t="s">
        <v>19849</v>
      </c>
      <c r="I7023" s="17">
        <f ca="1">IFERROR(__xludf.DUMMYFUNCTION("""COMPUTED_VALUE"""),45713)</f>
        <v>45713</v>
      </c>
      <c r="J7023" s="143" t="s">
        <v>21602</v>
      </c>
      <c r="K7023" s="80" t="s">
        <v>21603</v>
      </c>
      <c r="L7023" s="30">
        <v>328601500</v>
      </c>
      <c r="M7023" s="80" t="s">
        <v>12644</v>
      </c>
      <c r="N7023" s="80" t="s">
        <v>8725</v>
      </c>
      <c r="O7023" s="80" t="s">
        <v>21604</v>
      </c>
      <c r="P7023" s="137" t="s">
        <v>21605</v>
      </c>
      <c r="Q7023" s="20">
        <v>1968</v>
      </c>
      <c r="R7023" s="80" t="s">
        <v>36</v>
      </c>
      <c r="S7023" s="95">
        <f>200+1800</f>
        <v>2000</v>
      </c>
      <c r="T7023" s="83" t="s">
        <v>21606</v>
      </c>
      <c r="U7023" s="77"/>
      <c r="V7023" s="78"/>
      <c r="W7023" s="85" t="s">
        <v>21607</v>
      </c>
      <c r="X7023" s="80"/>
      <c r="Y7023" s="22">
        <v>-32</v>
      </c>
      <c r="Z7023" s="80" t="s">
        <v>50</v>
      </c>
      <c r="AA7023" s="96" t="s">
        <v>19480</v>
      </c>
      <c r="AB7023" s="80"/>
      <c r="AC7023" s="80" t="s">
        <v>53</v>
      </c>
      <c r="AD7023" s="80" t="s">
        <v>54</v>
      </c>
      <c r="AE7023" s="80"/>
      <c r="AF7023" s="17">
        <v>45701</v>
      </c>
      <c r="AG7023" s="80" t="s">
        <v>7078</v>
      </c>
      <c r="AH7023" s="80"/>
      <c r="AI7023" s="147"/>
      <c r="AJ7023" s="80"/>
      <c r="AK7023" s="80"/>
      <c r="AL7023" s="35"/>
      <c r="AM7023" s="35"/>
      <c r="AN7023" s="35"/>
      <c r="AO7023" s="35"/>
      <c r="AP7023" s="35"/>
    </row>
    <row r="7024" spans="1:42" x14ac:dyDescent="0.2">
      <c r="A7024" s="126">
        <v>45698.436822708332</v>
      </c>
      <c r="B7024" s="28" t="s">
        <v>37</v>
      </c>
      <c r="C7024" s="80" t="s">
        <v>38</v>
      </c>
      <c r="D7024" s="80" t="s">
        <v>36</v>
      </c>
      <c r="E7024" s="80" t="s">
        <v>139</v>
      </c>
      <c r="F7024" s="80" t="s">
        <v>40</v>
      </c>
      <c r="G7024" s="80" t="s">
        <v>41</v>
      </c>
      <c r="H7024" s="80" t="s">
        <v>19308</v>
      </c>
      <c r="I7024" s="17">
        <f ca="1">IFERROR(__xludf.DUMMYFUNCTION("""COMPUTED_VALUE"""),45709)</f>
        <v>45709</v>
      </c>
      <c r="J7024" s="143" t="s">
        <v>21463</v>
      </c>
      <c r="K7024" s="80" t="s">
        <v>21464</v>
      </c>
      <c r="L7024" s="30">
        <v>373473206</v>
      </c>
      <c r="M7024" s="80" t="s">
        <v>45</v>
      </c>
      <c r="N7024" s="80" t="s">
        <v>16472</v>
      </c>
      <c r="O7024" s="80" t="s">
        <v>9235</v>
      </c>
      <c r="P7024" s="144" t="s">
        <v>21608</v>
      </c>
      <c r="Q7024" s="20">
        <v>15936</v>
      </c>
      <c r="R7024" s="80" t="s">
        <v>36</v>
      </c>
      <c r="S7024" s="95">
        <v>2000</v>
      </c>
      <c r="T7024" s="148">
        <v>45698</v>
      </c>
      <c r="U7024" s="95">
        <v>13936</v>
      </c>
      <c r="V7024" s="148">
        <v>45726</v>
      </c>
      <c r="W7024" s="85" t="s">
        <v>21466</v>
      </c>
      <c r="X7024" s="80"/>
      <c r="Y7024" s="22">
        <v>0</v>
      </c>
      <c r="Z7024" s="80" t="s">
        <v>50</v>
      </c>
      <c r="AA7024" s="86" t="s">
        <v>19480</v>
      </c>
      <c r="AB7024" s="80"/>
      <c r="AC7024" s="80"/>
      <c r="AD7024" s="80" t="s">
        <v>54</v>
      </c>
      <c r="AE7024" s="83">
        <v>0</v>
      </c>
      <c r="AF7024" s="17">
        <v>45701</v>
      </c>
      <c r="AG7024" s="80"/>
      <c r="AH7024" s="80"/>
      <c r="AI7024" s="147"/>
      <c r="AJ7024" s="80"/>
      <c r="AK7024" s="80"/>
      <c r="AL7024" s="35"/>
      <c r="AM7024" s="35"/>
      <c r="AN7024" s="35"/>
      <c r="AO7024" s="35"/>
      <c r="AP7024" s="35"/>
    </row>
    <row r="7025" spans="1:42" x14ac:dyDescent="0.2">
      <c r="A7025" s="126">
        <v>45698.932260879628</v>
      </c>
      <c r="B7025" s="137" t="s">
        <v>37</v>
      </c>
      <c r="C7025" s="80" t="s">
        <v>38</v>
      </c>
      <c r="D7025" s="80" t="s">
        <v>36</v>
      </c>
      <c r="E7025" s="80" t="s">
        <v>139</v>
      </c>
      <c r="F7025" s="80" t="s">
        <v>40</v>
      </c>
      <c r="G7025" s="80" t="s">
        <v>41</v>
      </c>
      <c r="H7025" s="80" t="s">
        <v>16525</v>
      </c>
      <c r="I7025" s="17">
        <f ca="1">IFERROR(__xludf.DUMMYFUNCTION("""COMPUTED_VALUE"""),45708)</f>
        <v>45708</v>
      </c>
      <c r="J7025" s="143" t="s">
        <v>21258</v>
      </c>
      <c r="K7025" s="145" t="s">
        <v>21259</v>
      </c>
      <c r="L7025" s="30">
        <v>393159312</v>
      </c>
      <c r="M7025" s="80" t="s">
        <v>5518</v>
      </c>
      <c r="N7025" s="80" t="s">
        <v>12380</v>
      </c>
      <c r="O7025" s="80" t="s">
        <v>21260</v>
      </c>
      <c r="P7025" s="80" t="s">
        <v>5462</v>
      </c>
      <c r="Q7025" s="20">
        <v>15936</v>
      </c>
      <c r="R7025" s="80" t="s">
        <v>36</v>
      </c>
      <c r="S7025" s="95">
        <f>500+1500</f>
        <v>2000</v>
      </c>
      <c r="T7025" s="83" t="s">
        <v>21262</v>
      </c>
      <c r="U7025" s="95">
        <v>13936</v>
      </c>
      <c r="V7025" s="148">
        <v>45717</v>
      </c>
      <c r="W7025" s="85" t="s">
        <v>21263</v>
      </c>
      <c r="X7025" s="80"/>
      <c r="Y7025" s="22">
        <v>0</v>
      </c>
      <c r="Z7025" s="80" t="s">
        <v>50</v>
      </c>
      <c r="AA7025" s="96" t="s">
        <v>19480</v>
      </c>
      <c r="AB7025" s="80"/>
      <c r="AC7025" s="80" t="s">
        <v>53</v>
      </c>
      <c r="AD7025" s="80" t="s">
        <v>138</v>
      </c>
      <c r="AE7025" s="80"/>
      <c r="AF7025" s="17">
        <v>45708</v>
      </c>
      <c r="AG7025" s="80"/>
      <c r="AH7025" s="80"/>
      <c r="AI7025" s="147"/>
      <c r="AJ7025" s="80"/>
      <c r="AK7025" s="80"/>
      <c r="AL7025" s="35"/>
      <c r="AM7025" s="35"/>
      <c r="AN7025" s="35"/>
      <c r="AO7025" s="35"/>
      <c r="AP7025" s="35"/>
    </row>
    <row r="7026" spans="1:42" x14ac:dyDescent="0.2">
      <c r="A7026" s="126">
        <v>45699.289414999999</v>
      </c>
      <c r="B7026" s="137" t="s">
        <v>37</v>
      </c>
      <c r="C7026" s="80" t="s">
        <v>38</v>
      </c>
      <c r="D7026" s="80" t="s">
        <v>36</v>
      </c>
      <c r="E7026" s="80" t="s">
        <v>39</v>
      </c>
      <c r="F7026" s="80" t="s">
        <v>40</v>
      </c>
      <c r="G7026" s="80" t="s">
        <v>41</v>
      </c>
      <c r="H7026" s="80" t="s">
        <v>16525</v>
      </c>
      <c r="I7026" s="17">
        <f ca="1">IFERROR(__xludf.DUMMYFUNCTION("""COMPUTED_VALUE"""),45708)</f>
        <v>45708</v>
      </c>
      <c r="J7026" s="143" t="s">
        <v>21264</v>
      </c>
      <c r="K7026" s="80" t="s">
        <v>21265</v>
      </c>
      <c r="L7026" s="30">
        <v>963211103</v>
      </c>
      <c r="M7026" s="80" t="s">
        <v>17759</v>
      </c>
      <c r="N7026" s="80" t="s">
        <v>21266</v>
      </c>
      <c r="O7026" s="80" t="s">
        <v>8140</v>
      </c>
      <c r="P7026" s="80" t="s">
        <v>3694</v>
      </c>
      <c r="Q7026" s="20">
        <v>5736</v>
      </c>
      <c r="R7026" s="80" t="s">
        <v>36</v>
      </c>
      <c r="S7026" s="95">
        <v>2000</v>
      </c>
      <c r="T7026" s="148">
        <v>45698</v>
      </c>
      <c r="U7026" s="95">
        <v>3736</v>
      </c>
      <c r="V7026" s="148">
        <v>45726</v>
      </c>
      <c r="W7026" s="85" t="s">
        <v>21267</v>
      </c>
      <c r="X7026" s="80"/>
      <c r="Y7026" s="22">
        <v>0</v>
      </c>
      <c r="Z7026" s="80" t="s">
        <v>50</v>
      </c>
      <c r="AA7026" s="86" t="s">
        <v>19480</v>
      </c>
      <c r="AB7026" s="80"/>
      <c r="AC7026" s="80" t="s">
        <v>53</v>
      </c>
      <c r="AD7026" s="80" t="s">
        <v>138</v>
      </c>
      <c r="AE7026" s="80"/>
      <c r="AF7026" s="17">
        <v>45708</v>
      </c>
      <c r="AG7026" s="80"/>
      <c r="AH7026" s="80"/>
      <c r="AI7026" s="147"/>
      <c r="AJ7026" s="80"/>
      <c r="AK7026" s="80"/>
      <c r="AL7026" s="35"/>
      <c r="AM7026" s="35"/>
      <c r="AN7026" s="35"/>
      <c r="AO7026" s="35"/>
      <c r="AP7026" s="35"/>
    </row>
    <row r="7027" spans="1:42" x14ac:dyDescent="0.2">
      <c r="A7027" s="126">
        <v>45699.444138541665</v>
      </c>
      <c r="B7027" s="137" t="s">
        <v>37</v>
      </c>
      <c r="C7027" s="80" t="s">
        <v>38</v>
      </c>
      <c r="D7027" s="80" t="s">
        <v>36</v>
      </c>
      <c r="E7027" s="80" t="s">
        <v>412</v>
      </c>
      <c r="F7027" s="80" t="s">
        <v>40</v>
      </c>
      <c r="G7027" s="80" t="s">
        <v>41</v>
      </c>
      <c r="H7027" s="80" t="s">
        <v>19366</v>
      </c>
      <c r="I7027" s="17">
        <f ca="1">IFERROR(__xludf.DUMMYFUNCTION("""COMPUTED_VALUE"""),45712)</f>
        <v>45712</v>
      </c>
      <c r="J7027" s="143" t="s">
        <v>21347</v>
      </c>
      <c r="K7027" s="80" t="s">
        <v>21348</v>
      </c>
      <c r="L7027" s="30">
        <v>334564336</v>
      </c>
      <c r="M7027" s="80" t="s">
        <v>15996</v>
      </c>
      <c r="N7027" s="80" t="s">
        <v>186</v>
      </c>
      <c r="O7027" s="80" t="s">
        <v>4503</v>
      </c>
      <c r="P7027" s="80" t="s">
        <v>3056</v>
      </c>
      <c r="Q7027" s="20">
        <v>12412</v>
      </c>
      <c r="R7027" s="80" t="s">
        <v>70</v>
      </c>
      <c r="S7027" s="95">
        <f>200+3000</f>
        <v>3200</v>
      </c>
      <c r="T7027" s="83" t="s">
        <v>21349</v>
      </c>
      <c r="U7027" s="95">
        <v>9217</v>
      </c>
      <c r="V7027" s="148">
        <v>45735</v>
      </c>
      <c r="W7027" s="85" t="s">
        <v>21350</v>
      </c>
      <c r="X7027" s="80"/>
      <c r="Y7027" s="22">
        <v>-5</v>
      </c>
      <c r="Z7027" s="80" t="s">
        <v>50</v>
      </c>
      <c r="AA7027" s="96" t="s">
        <v>19480</v>
      </c>
      <c r="AB7027" s="80"/>
      <c r="AC7027" s="80" t="s">
        <v>53</v>
      </c>
      <c r="AD7027" s="80" t="s">
        <v>138</v>
      </c>
      <c r="AE7027" s="80"/>
      <c r="AF7027" s="17">
        <v>45712</v>
      </c>
      <c r="AG7027" s="80" t="s">
        <v>7078</v>
      </c>
      <c r="AH7027" s="80"/>
      <c r="AI7027" s="147"/>
      <c r="AJ7027" s="80"/>
      <c r="AK7027" s="80"/>
      <c r="AL7027" s="35"/>
      <c r="AM7027" s="35"/>
      <c r="AN7027" s="35"/>
      <c r="AO7027" s="35"/>
      <c r="AP7027" s="35"/>
    </row>
    <row r="7028" spans="1:42" x14ac:dyDescent="0.2">
      <c r="A7028" s="126">
        <v>45699.462511747683</v>
      </c>
      <c r="B7028" s="137" t="s">
        <v>37</v>
      </c>
      <c r="C7028" s="80" t="s">
        <v>38</v>
      </c>
      <c r="D7028" s="80" t="s">
        <v>36</v>
      </c>
      <c r="E7028" s="80" t="s">
        <v>139</v>
      </c>
      <c r="F7028" s="80" t="s">
        <v>36</v>
      </c>
      <c r="G7028" s="80" t="s">
        <v>41</v>
      </c>
      <c r="H7028" s="80" t="s">
        <v>19308</v>
      </c>
      <c r="I7028" s="17">
        <f ca="1">IFERROR(__xludf.DUMMYFUNCTION("""COMPUTED_VALUE"""),45709)</f>
        <v>45709</v>
      </c>
      <c r="J7028" s="143" t="s">
        <v>21467</v>
      </c>
      <c r="K7028" s="80" t="s">
        <v>21468</v>
      </c>
      <c r="L7028" s="30">
        <v>788205228</v>
      </c>
      <c r="M7028" s="80" t="s">
        <v>12644</v>
      </c>
      <c r="N7028" s="80" t="s">
        <v>8725</v>
      </c>
      <c r="O7028" s="80" t="s">
        <v>21469</v>
      </c>
      <c r="P7028" s="80" t="s">
        <v>21609</v>
      </c>
      <c r="Q7028" s="20">
        <v>15936</v>
      </c>
      <c r="R7028" s="80" t="s">
        <v>36</v>
      </c>
      <c r="S7028" s="95">
        <f>200+1800</f>
        <v>2000</v>
      </c>
      <c r="T7028" s="83" t="s">
        <v>21256</v>
      </c>
      <c r="U7028" s="95">
        <v>13936</v>
      </c>
      <c r="V7028" s="148">
        <v>45736</v>
      </c>
      <c r="W7028" s="85" t="s">
        <v>21471</v>
      </c>
      <c r="X7028" s="80"/>
      <c r="Y7028" s="22">
        <v>0</v>
      </c>
      <c r="Z7028" s="80" t="s">
        <v>50</v>
      </c>
      <c r="AA7028" s="86" t="s">
        <v>19480</v>
      </c>
      <c r="AB7028" s="80"/>
      <c r="AC7028" s="80" t="s">
        <v>53</v>
      </c>
      <c r="AD7028" s="80" t="s">
        <v>54</v>
      </c>
      <c r="AE7028" s="80"/>
      <c r="AF7028" s="17">
        <v>45702</v>
      </c>
      <c r="AG7028" s="80"/>
      <c r="AH7028" s="80"/>
      <c r="AI7028" s="147"/>
      <c r="AJ7028" s="80"/>
      <c r="AK7028" s="80"/>
      <c r="AL7028" s="35"/>
      <c r="AM7028" s="35"/>
      <c r="AN7028" s="35"/>
      <c r="AO7028" s="35"/>
      <c r="AP7028" s="35"/>
    </row>
    <row r="7029" spans="1:42" x14ac:dyDescent="0.2">
      <c r="A7029" s="126">
        <v>45699.556560659723</v>
      </c>
      <c r="B7029" s="137" t="s">
        <v>37</v>
      </c>
      <c r="C7029" s="80" t="s">
        <v>38</v>
      </c>
      <c r="D7029" s="80" t="s">
        <v>36</v>
      </c>
      <c r="E7029" s="80" t="s">
        <v>139</v>
      </c>
      <c r="F7029" s="80" t="s">
        <v>40</v>
      </c>
      <c r="G7029" s="80" t="s">
        <v>41</v>
      </c>
      <c r="H7029" s="80" t="s">
        <v>19366</v>
      </c>
      <c r="I7029" s="17">
        <f ca="1">IFERROR(__xludf.DUMMYFUNCTION("""COMPUTED_VALUE"""),45712)</f>
        <v>45712</v>
      </c>
      <c r="J7029" s="143" t="s">
        <v>21351</v>
      </c>
      <c r="K7029" s="80" t="s">
        <v>21352</v>
      </c>
      <c r="L7029" s="30">
        <v>358685162</v>
      </c>
      <c r="M7029" s="80" t="s">
        <v>3498</v>
      </c>
      <c r="N7029" s="80" t="s">
        <v>21353</v>
      </c>
      <c r="O7029" s="80" t="s">
        <v>4503</v>
      </c>
      <c r="P7029" s="80" t="s">
        <v>21354</v>
      </c>
      <c r="Q7029" s="20">
        <v>15936</v>
      </c>
      <c r="R7029" s="80" t="s">
        <v>70</v>
      </c>
      <c r="S7029" s="95">
        <f>100+3000</f>
        <v>3100</v>
      </c>
      <c r="T7029" s="83" t="s">
        <v>21355</v>
      </c>
      <c r="U7029" s="95">
        <v>12736</v>
      </c>
      <c r="V7029" s="148">
        <v>45733</v>
      </c>
      <c r="W7029" s="85" t="s">
        <v>21356</v>
      </c>
      <c r="X7029" s="80"/>
      <c r="Y7029" s="22">
        <v>100</v>
      </c>
      <c r="Z7029" s="80" t="s">
        <v>50</v>
      </c>
      <c r="AA7029" s="96" t="s">
        <v>19480</v>
      </c>
      <c r="AB7029" s="80"/>
      <c r="AC7029" s="80" t="s">
        <v>53</v>
      </c>
      <c r="AD7029" s="80" t="s">
        <v>138</v>
      </c>
      <c r="AE7029" s="80"/>
      <c r="AF7029" s="17">
        <v>45712</v>
      </c>
      <c r="AG7029" s="80"/>
      <c r="AH7029" s="80"/>
      <c r="AI7029" s="147"/>
      <c r="AJ7029" s="80"/>
      <c r="AK7029" s="80"/>
      <c r="AL7029" s="35"/>
      <c r="AM7029" s="35"/>
      <c r="AN7029" s="35"/>
      <c r="AO7029" s="35"/>
      <c r="AP7029" s="35"/>
    </row>
    <row r="7030" spans="1:42" x14ac:dyDescent="0.2">
      <c r="A7030" s="126">
        <v>45699.558864733801</v>
      </c>
      <c r="B7030" s="137" t="s">
        <v>37</v>
      </c>
      <c r="C7030" s="80" t="s">
        <v>38</v>
      </c>
      <c r="D7030" s="80" t="s">
        <v>36</v>
      </c>
      <c r="E7030" s="80" t="s">
        <v>139</v>
      </c>
      <c r="F7030" s="80" t="s">
        <v>40</v>
      </c>
      <c r="G7030" s="80" t="s">
        <v>41</v>
      </c>
      <c r="H7030" s="80" t="s">
        <v>19366</v>
      </c>
      <c r="I7030" s="17">
        <f ca="1">IFERROR(__xludf.DUMMYFUNCTION("""COMPUTED_VALUE"""),45712)</f>
        <v>45712</v>
      </c>
      <c r="J7030" s="143" t="s">
        <v>21357</v>
      </c>
      <c r="K7030" s="80" t="s">
        <v>21358</v>
      </c>
      <c r="L7030" s="30">
        <v>969351621</v>
      </c>
      <c r="M7030" s="80" t="s">
        <v>3498</v>
      </c>
      <c r="N7030" s="80" t="s">
        <v>21353</v>
      </c>
      <c r="O7030" s="80" t="s">
        <v>8150</v>
      </c>
      <c r="P7030" s="80" t="s">
        <v>21359</v>
      </c>
      <c r="Q7030" s="20">
        <v>15936</v>
      </c>
      <c r="R7030" s="80" t="s">
        <v>70</v>
      </c>
      <c r="S7030" s="95">
        <f>100+6000</f>
        <v>6100</v>
      </c>
      <c r="T7030" s="83" t="s">
        <v>21355</v>
      </c>
      <c r="U7030" s="95">
        <v>9736</v>
      </c>
      <c r="V7030" s="148">
        <v>45731</v>
      </c>
      <c r="W7030" s="85" t="s">
        <v>21360</v>
      </c>
      <c r="X7030" s="80"/>
      <c r="Y7030" s="22">
        <v>100</v>
      </c>
      <c r="Z7030" s="80" t="s">
        <v>50</v>
      </c>
      <c r="AA7030" s="86" t="s">
        <v>19480</v>
      </c>
      <c r="AB7030" s="80"/>
      <c r="AC7030" s="80" t="s">
        <v>53</v>
      </c>
      <c r="AD7030" s="80" t="s">
        <v>138</v>
      </c>
      <c r="AE7030" s="80"/>
      <c r="AF7030" s="17">
        <v>45712</v>
      </c>
      <c r="AG7030" s="80"/>
      <c r="AH7030" s="80"/>
      <c r="AI7030" s="147"/>
      <c r="AJ7030" s="80"/>
      <c r="AK7030" s="80"/>
      <c r="AL7030" s="35"/>
      <c r="AM7030" s="35"/>
      <c r="AN7030" s="35"/>
      <c r="AO7030" s="35"/>
      <c r="AP7030" s="35"/>
    </row>
    <row r="7031" spans="1:42" x14ac:dyDescent="0.2">
      <c r="A7031" s="126">
        <v>45699.572736678238</v>
      </c>
      <c r="B7031" s="137" t="s">
        <v>37</v>
      </c>
      <c r="C7031" s="80" t="s">
        <v>38</v>
      </c>
      <c r="D7031" s="80" t="s">
        <v>36</v>
      </c>
      <c r="E7031" s="80" t="s">
        <v>139</v>
      </c>
      <c r="F7031" s="80" t="s">
        <v>36</v>
      </c>
      <c r="G7031" s="80" t="s">
        <v>41</v>
      </c>
      <c r="H7031" s="80" t="s">
        <v>19301</v>
      </c>
      <c r="I7031" s="17">
        <f ca="1">IFERROR(__xludf.DUMMYFUNCTION("""COMPUTED_VALUE"""),45712)</f>
        <v>45712</v>
      </c>
      <c r="J7031" s="143" t="s">
        <v>21610</v>
      </c>
      <c r="K7031" s="80" t="s">
        <v>21611</v>
      </c>
      <c r="L7031" s="30">
        <v>366727729</v>
      </c>
      <c r="M7031" s="80" t="s">
        <v>15996</v>
      </c>
      <c r="N7031" s="80" t="s">
        <v>186</v>
      </c>
      <c r="O7031" s="80" t="s">
        <v>4503</v>
      </c>
      <c r="P7031" s="80" t="s">
        <v>3056</v>
      </c>
      <c r="Q7031" s="20">
        <v>15936</v>
      </c>
      <c r="R7031" s="80" t="s">
        <v>70</v>
      </c>
      <c r="S7031" s="95">
        <f>100+8536</f>
        <v>8636</v>
      </c>
      <c r="T7031" s="83" t="s">
        <v>21612</v>
      </c>
      <c r="U7031" s="95">
        <v>7200</v>
      </c>
      <c r="V7031" s="148">
        <v>45738</v>
      </c>
      <c r="W7031" s="80" t="s">
        <v>21613</v>
      </c>
      <c r="X7031" s="80"/>
      <c r="Y7031" s="22">
        <v>100</v>
      </c>
      <c r="Z7031" s="80" t="s">
        <v>50</v>
      </c>
      <c r="AA7031" s="96" t="s">
        <v>19480</v>
      </c>
      <c r="AB7031" s="80"/>
      <c r="AC7031" s="80" t="s">
        <v>53</v>
      </c>
      <c r="AD7031" s="80" t="s">
        <v>138</v>
      </c>
      <c r="AE7031" s="80"/>
      <c r="AF7031" s="17">
        <v>45712</v>
      </c>
      <c r="AG7031" s="80"/>
      <c r="AH7031" s="80"/>
      <c r="AI7031" s="147"/>
      <c r="AJ7031" s="80"/>
      <c r="AK7031" s="80"/>
      <c r="AL7031" s="35"/>
      <c r="AM7031" s="35"/>
      <c r="AN7031" s="35"/>
      <c r="AO7031" s="35"/>
      <c r="AP7031" s="35"/>
    </row>
    <row r="7032" spans="1:42" x14ac:dyDescent="0.2">
      <c r="A7032" s="126">
        <v>45700.052090277779</v>
      </c>
      <c r="B7032" s="137" t="s">
        <v>37</v>
      </c>
      <c r="C7032" s="80" t="s">
        <v>38</v>
      </c>
      <c r="D7032" s="80" t="s">
        <v>36</v>
      </c>
      <c r="E7032" s="80" t="s">
        <v>139</v>
      </c>
      <c r="F7032" s="80" t="s">
        <v>36</v>
      </c>
      <c r="G7032" s="80" t="s">
        <v>41</v>
      </c>
      <c r="H7032" s="80" t="s">
        <v>19849</v>
      </c>
      <c r="I7032" s="17">
        <f ca="1">IFERROR(__xludf.DUMMYFUNCTION("""COMPUTED_VALUE"""),45713)</f>
        <v>45713</v>
      </c>
      <c r="J7032" s="143" t="s">
        <v>21614</v>
      </c>
      <c r="K7032" s="80" t="s">
        <v>21615</v>
      </c>
      <c r="L7032" s="30">
        <v>941243884</v>
      </c>
      <c r="M7032" s="80" t="s">
        <v>12644</v>
      </c>
      <c r="N7032" s="80" t="s">
        <v>260</v>
      </c>
      <c r="O7032" s="80" t="s">
        <v>21616</v>
      </c>
      <c r="P7032" s="80" t="s">
        <v>21617</v>
      </c>
      <c r="Q7032" s="20">
        <v>15936</v>
      </c>
      <c r="R7032" s="80" t="s">
        <v>36</v>
      </c>
      <c r="S7032" s="95">
        <f>200+1800</f>
        <v>2000</v>
      </c>
      <c r="T7032" s="83" t="s">
        <v>20773</v>
      </c>
      <c r="U7032" s="95">
        <v>13968</v>
      </c>
      <c r="V7032" s="148">
        <v>45722</v>
      </c>
      <c r="W7032" s="85" t="s">
        <v>21618</v>
      </c>
      <c r="X7032" s="80"/>
      <c r="Y7032" s="22">
        <v>-32</v>
      </c>
      <c r="Z7032" s="80" t="s">
        <v>50</v>
      </c>
      <c r="AA7032" s="86" t="s">
        <v>19480</v>
      </c>
      <c r="AB7032" s="80"/>
      <c r="AC7032" s="80" t="s">
        <v>53</v>
      </c>
      <c r="AD7032" s="80" t="s">
        <v>54</v>
      </c>
      <c r="AE7032" s="80"/>
      <c r="AF7032" s="17">
        <v>45707</v>
      </c>
      <c r="AG7032" s="80"/>
      <c r="AH7032" s="80"/>
      <c r="AI7032" s="147"/>
      <c r="AJ7032" s="80"/>
      <c r="AK7032" s="80"/>
      <c r="AL7032" s="35"/>
      <c r="AM7032" s="35"/>
      <c r="AN7032" s="35"/>
      <c r="AO7032" s="35"/>
      <c r="AP7032" s="35"/>
    </row>
    <row r="7033" spans="1:42" x14ac:dyDescent="0.2">
      <c r="A7033" s="126">
        <v>45700.452175381943</v>
      </c>
      <c r="B7033" s="137" t="s">
        <v>37</v>
      </c>
      <c r="C7033" s="80" t="s">
        <v>38</v>
      </c>
      <c r="D7033" s="80" t="s">
        <v>36</v>
      </c>
      <c r="E7033" s="80" t="s">
        <v>139</v>
      </c>
      <c r="F7033" s="80" t="s">
        <v>40</v>
      </c>
      <c r="G7033" s="80" t="s">
        <v>41</v>
      </c>
      <c r="H7033" s="80" t="s">
        <v>20939</v>
      </c>
      <c r="I7033" s="17">
        <f ca="1">IFERROR(__xludf.DUMMYFUNCTION("""COMPUTED_VALUE"""),45716)</f>
        <v>45716</v>
      </c>
      <c r="J7033" s="143" t="s">
        <v>21619</v>
      </c>
      <c r="K7033" s="80" t="s">
        <v>21620</v>
      </c>
      <c r="L7033" s="30">
        <v>901539073</v>
      </c>
      <c r="M7033" s="80" t="s">
        <v>12529</v>
      </c>
      <c r="N7033" s="80" t="s">
        <v>13566</v>
      </c>
      <c r="O7033" s="80" t="s">
        <v>21621</v>
      </c>
      <c r="P7033" s="80" t="s">
        <v>21622</v>
      </c>
      <c r="Q7033" s="20">
        <v>15936</v>
      </c>
      <c r="R7033" s="80" t="s">
        <v>36</v>
      </c>
      <c r="S7033" s="95">
        <v>2000</v>
      </c>
      <c r="T7033" s="148">
        <v>45696</v>
      </c>
      <c r="U7033" s="95">
        <v>13968</v>
      </c>
      <c r="V7033" s="148">
        <v>45739</v>
      </c>
      <c r="W7033" s="85" t="s">
        <v>21623</v>
      </c>
      <c r="X7033" s="80"/>
      <c r="Y7033" s="22">
        <v>-32</v>
      </c>
      <c r="Z7033" s="80" t="s">
        <v>50</v>
      </c>
      <c r="AA7033" s="96" t="s">
        <v>19480</v>
      </c>
      <c r="AB7033" s="80"/>
      <c r="AC7033" s="80" t="s">
        <v>53</v>
      </c>
      <c r="AD7033" s="80" t="s">
        <v>54</v>
      </c>
      <c r="AE7033" s="80"/>
      <c r="AF7033" s="17">
        <v>45701</v>
      </c>
      <c r="AG7033" s="80"/>
      <c r="AH7033" s="80"/>
      <c r="AI7033" s="147"/>
      <c r="AJ7033" s="80"/>
      <c r="AK7033" s="80"/>
      <c r="AL7033" s="35"/>
      <c r="AM7033" s="35"/>
      <c r="AN7033" s="35"/>
      <c r="AO7033" s="35"/>
      <c r="AP7033" s="35"/>
    </row>
    <row r="7034" spans="1:42" x14ac:dyDescent="0.2">
      <c r="A7034" s="126">
        <v>45701.976853043983</v>
      </c>
      <c r="B7034" s="137" t="s">
        <v>37</v>
      </c>
      <c r="C7034" s="80" t="s">
        <v>38</v>
      </c>
      <c r="D7034" s="80" t="s">
        <v>36</v>
      </c>
      <c r="E7034" s="80" t="s">
        <v>139</v>
      </c>
      <c r="F7034" s="80" t="s">
        <v>36</v>
      </c>
      <c r="G7034" s="80" t="s">
        <v>41</v>
      </c>
      <c r="H7034" s="80" t="s">
        <v>16519</v>
      </c>
      <c r="I7034" s="17">
        <f ca="1">IFERROR(__xludf.DUMMYFUNCTION("""COMPUTED_VALUE"""),45707)</f>
        <v>45707</v>
      </c>
      <c r="J7034" s="143" t="s">
        <v>21279</v>
      </c>
      <c r="K7034" s="80" t="s">
        <v>21624</v>
      </c>
      <c r="L7034" s="201">
        <v>365657306</v>
      </c>
      <c r="M7034" s="80" t="s">
        <v>15996</v>
      </c>
      <c r="N7034" s="80" t="s">
        <v>186</v>
      </c>
      <c r="O7034" s="80" t="s">
        <v>4503</v>
      </c>
      <c r="P7034" s="80" t="s">
        <v>3487</v>
      </c>
      <c r="Q7034" s="20">
        <v>15936</v>
      </c>
      <c r="R7034" s="80" t="s">
        <v>36</v>
      </c>
      <c r="S7034" s="95">
        <f>200+3000</f>
        <v>3200</v>
      </c>
      <c r="T7034" s="83" t="s">
        <v>21280</v>
      </c>
      <c r="U7034" s="95">
        <v>12736</v>
      </c>
      <c r="V7034" s="148">
        <v>45726</v>
      </c>
      <c r="W7034" s="85" t="s">
        <v>21281</v>
      </c>
      <c r="X7034" s="80"/>
      <c r="Y7034" s="22">
        <v>0</v>
      </c>
      <c r="Z7034" s="80" t="s">
        <v>50</v>
      </c>
      <c r="AA7034" s="86" t="s">
        <v>19480</v>
      </c>
      <c r="AB7034" s="80"/>
      <c r="AC7034" s="80" t="s">
        <v>53</v>
      </c>
      <c r="AD7034" s="80" t="s">
        <v>138</v>
      </c>
      <c r="AE7034" s="80"/>
      <c r="AF7034" s="17">
        <v>45707</v>
      </c>
      <c r="AG7034" s="80"/>
      <c r="AH7034" s="80"/>
      <c r="AI7034" s="147"/>
      <c r="AJ7034" s="80"/>
      <c r="AK7034" s="80"/>
      <c r="AL7034" s="35"/>
      <c r="AM7034" s="35"/>
      <c r="AN7034" s="35"/>
      <c r="AO7034" s="35"/>
      <c r="AP7034" s="35"/>
    </row>
    <row r="7035" spans="1:42" x14ac:dyDescent="0.2">
      <c r="A7035" s="126">
        <v>45702.014379062501</v>
      </c>
      <c r="B7035" s="137" t="s">
        <v>37</v>
      </c>
      <c r="C7035" s="80" t="s">
        <v>38</v>
      </c>
      <c r="D7035" s="80" t="s">
        <v>36</v>
      </c>
      <c r="E7035" s="80" t="s">
        <v>219</v>
      </c>
      <c r="F7035" s="80" t="s">
        <v>36</v>
      </c>
      <c r="G7035" s="80" t="s">
        <v>221</v>
      </c>
      <c r="H7035" s="80" t="s">
        <v>20000</v>
      </c>
      <c r="I7035" s="17">
        <f ca="1">IFERROR(__xludf.DUMMYFUNCTION("""COMPUTED_VALUE"""),45719)</f>
        <v>45719</v>
      </c>
      <c r="J7035" s="143" t="s">
        <v>21625</v>
      </c>
      <c r="K7035" s="80" t="s">
        <v>5503</v>
      </c>
      <c r="L7035" s="30">
        <v>865293765</v>
      </c>
      <c r="M7035" s="80" t="s">
        <v>5429</v>
      </c>
      <c r="N7035" s="80" t="s">
        <v>1384</v>
      </c>
      <c r="O7035" s="80" t="s">
        <v>61</v>
      </c>
      <c r="P7035" s="80" t="s">
        <v>6368</v>
      </c>
      <c r="Q7035" s="20">
        <v>3968</v>
      </c>
      <c r="R7035" s="80" t="s">
        <v>36</v>
      </c>
      <c r="S7035" s="95">
        <f>200+3768</f>
        <v>3968</v>
      </c>
      <c r="T7035" s="83" t="s">
        <v>21626</v>
      </c>
      <c r="U7035" s="77"/>
      <c r="V7035" s="78"/>
      <c r="W7035" s="85" t="s">
        <v>21627</v>
      </c>
      <c r="X7035" s="80"/>
      <c r="Y7035" s="22">
        <v>0</v>
      </c>
      <c r="Z7035" s="80" t="s">
        <v>50</v>
      </c>
      <c r="AA7035" s="96" t="s">
        <v>19480</v>
      </c>
      <c r="AB7035" s="80"/>
      <c r="AC7035" s="80" t="s">
        <v>53</v>
      </c>
      <c r="AD7035" s="80" t="s">
        <v>138</v>
      </c>
      <c r="AE7035" s="83">
        <v>500</v>
      </c>
      <c r="AF7035" s="17">
        <v>45719</v>
      </c>
      <c r="AG7035" s="80"/>
      <c r="AH7035" s="80"/>
      <c r="AI7035" s="147"/>
      <c r="AJ7035" s="80"/>
      <c r="AK7035" s="80"/>
      <c r="AL7035" s="35"/>
      <c r="AM7035" s="35"/>
      <c r="AN7035" s="35"/>
      <c r="AO7035" s="35"/>
      <c r="AP7035" s="35"/>
    </row>
    <row r="7036" spans="1:42" x14ac:dyDescent="0.2">
      <c r="A7036" s="126">
        <v>45702.587807476855</v>
      </c>
      <c r="B7036" s="137" t="s">
        <v>37</v>
      </c>
      <c r="C7036" s="80" t="s">
        <v>38</v>
      </c>
      <c r="D7036" s="80" t="s">
        <v>36</v>
      </c>
      <c r="E7036" s="80" t="s">
        <v>56</v>
      </c>
      <c r="F7036" s="80" t="s">
        <v>40</v>
      </c>
      <c r="G7036" s="80" t="s">
        <v>41</v>
      </c>
      <c r="H7036" s="80" t="s">
        <v>19366</v>
      </c>
      <c r="I7036" s="17">
        <f ca="1">IFERROR(__xludf.DUMMYFUNCTION("""COMPUTED_VALUE"""),45712)</f>
        <v>45712</v>
      </c>
      <c r="J7036" s="143" t="s">
        <v>21628</v>
      </c>
      <c r="K7036" s="80" t="s">
        <v>21629</v>
      </c>
      <c r="L7036" s="30">
        <v>946783669</v>
      </c>
      <c r="M7036" s="80" t="s">
        <v>12529</v>
      </c>
      <c r="N7036" s="80" t="s">
        <v>13566</v>
      </c>
      <c r="O7036" s="80" t="s">
        <v>21363</v>
      </c>
      <c r="P7036" s="80" t="s">
        <v>21364</v>
      </c>
      <c r="Q7036" s="20">
        <v>9317</v>
      </c>
      <c r="R7036" s="80" t="s">
        <v>36</v>
      </c>
      <c r="S7036" s="95">
        <v>2000</v>
      </c>
      <c r="T7036" s="148">
        <v>45701</v>
      </c>
      <c r="U7036" s="95">
        <v>7317</v>
      </c>
      <c r="V7036" s="148">
        <v>45737</v>
      </c>
      <c r="W7036" s="85" t="s">
        <v>21365</v>
      </c>
      <c r="X7036" s="80"/>
      <c r="Y7036" s="22">
        <v>0</v>
      </c>
      <c r="Z7036" s="80" t="s">
        <v>50</v>
      </c>
      <c r="AA7036" s="86" t="s">
        <v>19480</v>
      </c>
      <c r="AB7036" s="80"/>
      <c r="AC7036" s="80" t="s">
        <v>53</v>
      </c>
      <c r="AD7036" s="80" t="s">
        <v>138</v>
      </c>
      <c r="AE7036" s="80"/>
      <c r="AF7036" s="17">
        <v>45712</v>
      </c>
      <c r="AG7036" s="80" t="s">
        <v>7078</v>
      </c>
      <c r="AH7036" s="80"/>
      <c r="AI7036" s="147"/>
      <c r="AJ7036" s="80"/>
      <c r="AK7036" s="80"/>
      <c r="AL7036" s="35"/>
      <c r="AM7036" s="35"/>
      <c r="AN7036" s="35"/>
      <c r="AO7036" s="35"/>
      <c r="AP7036" s="35"/>
    </row>
    <row r="7037" spans="1:42" x14ac:dyDescent="0.2">
      <c r="A7037" s="126">
        <v>45702.596703043979</v>
      </c>
      <c r="B7037" s="137" t="s">
        <v>37</v>
      </c>
      <c r="C7037" s="80" t="s">
        <v>38</v>
      </c>
      <c r="D7037" s="80" t="s">
        <v>36</v>
      </c>
      <c r="E7037" s="80" t="s">
        <v>56</v>
      </c>
      <c r="F7037" s="80" t="s">
        <v>36</v>
      </c>
      <c r="G7037" s="80" t="s">
        <v>41</v>
      </c>
      <c r="H7037" s="80" t="s">
        <v>20939</v>
      </c>
      <c r="I7037" s="17">
        <f ca="1">IFERROR(__xludf.DUMMYFUNCTION("""COMPUTED_VALUE"""),45716)</f>
        <v>45716</v>
      </c>
      <c r="J7037" s="143" t="s">
        <v>21630</v>
      </c>
      <c r="K7037" s="80" t="s">
        <v>21631</v>
      </c>
      <c r="L7037" s="30">
        <v>868719804</v>
      </c>
      <c r="M7037" s="80" t="s">
        <v>12644</v>
      </c>
      <c r="N7037" s="80" t="s">
        <v>8725</v>
      </c>
      <c r="O7037" s="80" t="s">
        <v>21632</v>
      </c>
      <c r="P7037" s="144" t="s">
        <v>21633</v>
      </c>
      <c r="Q7037" s="20">
        <v>9317</v>
      </c>
      <c r="R7037" s="80" t="s">
        <v>1989</v>
      </c>
      <c r="S7037" s="95">
        <f>200+1800</f>
        <v>2000</v>
      </c>
      <c r="T7037" s="83" t="s">
        <v>21634</v>
      </c>
      <c r="U7037" s="95">
        <v>7067</v>
      </c>
      <c r="V7037" s="148">
        <v>45743</v>
      </c>
      <c r="W7037" s="85" t="s">
        <v>21635</v>
      </c>
      <c r="X7037" s="80"/>
      <c r="Y7037" s="22">
        <v>250</v>
      </c>
      <c r="Z7037" s="80" t="s">
        <v>50</v>
      </c>
      <c r="AA7037" s="96" t="s">
        <v>19480</v>
      </c>
      <c r="AB7037" s="80"/>
      <c r="AC7037" s="80" t="s">
        <v>53</v>
      </c>
      <c r="AD7037" s="80" t="s">
        <v>54</v>
      </c>
      <c r="AE7037" s="80"/>
      <c r="AF7037" s="17">
        <v>45706</v>
      </c>
      <c r="AG7037" s="80"/>
      <c r="AH7037" s="80"/>
      <c r="AI7037" s="147"/>
      <c r="AJ7037" s="80"/>
      <c r="AK7037" s="80"/>
      <c r="AL7037" s="35"/>
      <c r="AM7037" s="35"/>
      <c r="AN7037" s="35"/>
      <c r="AO7037" s="35"/>
      <c r="AP7037" s="35"/>
    </row>
    <row r="7038" spans="1:42" x14ac:dyDescent="0.2">
      <c r="A7038" s="126">
        <v>45702.597151944443</v>
      </c>
      <c r="B7038" s="137" t="s">
        <v>37</v>
      </c>
      <c r="C7038" s="80" t="s">
        <v>38</v>
      </c>
      <c r="D7038" s="80" t="s">
        <v>36</v>
      </c>
      <c r="E7038" s="80" t="s">
        <v>119</v>
      </c>
      <c r="F7038" s="80" t="s">
        <v>36</v>
      </c>
      <c r="G7038" s="80" t="s">
        <v>108</v>
      </c>
      <c r="H7038" s="80" t="s">
        <v>19294</v>
      </c>
      <c r="I7038" s="17">
        <f ca="1">IFERROR(__xludf.DUMMYFUNCTION("""COMPUTED_VALUE"""),45709)</f>
        <v>45709</v>
      </c>
      <c r="J7038" s="143" t="s">
        <v>21636</v>
      </c>
      <c r="K7038" s="145" t="s">
        <v>21637</v>
      </c>
      <c r="L7038" s="30">
        <v>933130906</v>
      </c>
      <c r="M7038" s="80" t="s">
        <v>12529</v>
      </c>
      <c r="N7038" s="80" t="s">
        <v>13566</v>
      </c>
      <c r="O7038" s="80" t="s">
        <v>21638</v>
      </c>
      <c r="P7038" s="80" t="s">
        <v>21639</v>
      </c>
      <c r="Q7038" s="20">
        <v>13968</v>
      </c>
      <c r="R7038" s="80" t="s">
        <v>36</v>
      </c>
      <c r="S7038" s="95">
        <f>200+3800</f>
        <v>4000</v>
      </c>
      <c r="T7038" s="83" t="s">
        <v>21640</v>
      </c>
      <c r="U7038" s="95">
        <v>9968</v>
      </c>
      <c r="V7038" s="148">
        <v>45727</v>
      </c>
      <c r="W7038" s="85" t="s">
        <v>21641</v>
      </c>
      <c r="X7038" s="80"/>
      <c r="Y7038" s="22">
        <v>0</v>
      </c>
      <c r="Z7038" s="80" t="s">
        <v>50</v>
      </c>
      <c r="AA7038" s="86" t="s">
        <v>19480</v>
      </c>
      <c r="AB7038" s="80"/>
      <c r="AC7038" s="80" t="s">
        <v>53</v>
      </c>
      <c r="AD7038" s="80" t="s">
        <v>138</v>
      </c>
      <c r="AE7038" s="80"/>
      <c r="AF7038" s="17">
        <v>45709</v>
      </c>
      <c r="AG7038" s="80"/>
      <c r="AH7038" s="80"/>
      <c r="AI7038" s="147"/>
      <c r="AJ7038" s="80"/>
      <c r="AK7038" s="80"/>
      <c r="AL7038" s="35"/>
      <c r="AM7038" s="35"/>
      <c r="AN7038" s="35"/>
      <c r="AO7038" s="35"/>
      <c r="AP7038" s="35"/>
    </row>
    <row r="7039" spans="1:42" x14ac:dyDescent="0.2">
      <c r="A7039" s="126">
        <v>45702.598866736109</v>
      </c>
      <c r="B7039" s="137" t="s">
        <v>37</v>
      </c>
      <c r="C7039" s="80" t="s">
        <v>38</v>
      </c>
      <c r="D7039" s="80" t="s">
        <v>36</v>
      </c>
      <c r="E7039" s="80" t="s">
        <v>56</v>
      </c>
      <c r="F7039" s="80" t="s">
        <v>40</v>
      </c>
      <c r="G7039" s="80" t="s">
        <v>41</v>
      </c>
      <c r="H7039" s="80" t="s">
        <v>20939</v>
      </c>
      <c r="I7039" s="17">
        <f ca="1">IFERROR(__xludf.DUMMYFUNCTION("""COMPUTED_VALUE"""),45716)</f>
        <v>45716</v>
      </c>
      <c r="J7039" s="143" t="s">
        <v>21642</v>
      </c>
      <c r="K7039" s="80" t="s">
        <v>21643</v>
      </c>
      <c r="L7039" s="30">
        <v>982383653</v>
      </c>
      <c r="M7039" s="80" t="s">
        <v>12644</v>
      </c>
      <c r="N7039" s="80" t="s">
        <v>8725</v>
      </c>
      <c r="O7039" s="80" t="s">
        <v>21644</v>
      </c>
      <c r="P7039" s="144" t="s">
        <v>21633</v>
      </c>
      <c r="Q7039" s="20">
        <v>9317</v>
      </c>
      <c r="R7039" s="80" t="s">
        <v>1989</v>
      </c>
      <c r="S7039" s="95">
        <f t="shared" ref="S7039:S7042" si="214">200+1800</f>
        <v>2000</v>
      </c>
      <c r="T7039" s="83" t="s">
        <v>21634</v>
      </c>
      <c r="U7039" s="95">
        <v>7067</v>
      </c>
      <c r="V7039" s="148">
        <v>45743</v>
      </c>
      <c r="W7039" s="85" t="s">
        <v>21645</v>
      </c>
      <c r="X7039" s="80"/>
      <c r="Y7039" s="22">
        <v>250</v>
      </c>
      <c r="Z7039" s="80" t="s">
        <v>50</v>
      </c>
      <c r="AA7039" s="96" t="s">
        <v>19480</v>
      </c>
      <c r="AB7039" s="80"/>
      <c r="AC7039" s="80" t="s">
        <v>53</v>
      </c>
      <c r="AD7039" s="80" t="s">
        <v>54</v>
      </c>
      <c r="AE7039" s="80"/>
      <c r="AF7039" s="17">
        <v>45706</v>
      </c>
      <c r="AG7039" s="80"/>
      <c r="AH7039" s="80"/>
      <c r="AI7039" s="147"/>
      <c r="AJ7039" s="80"/>
      <c r="AK7039" s="80"/>
      <c r="AL7039" s="35"/>
      <c r="AM7039" s="35"/>
      <c r="AN7039" s="35"/>
      <c r="AO7039" s="35"/>
      <c r="AP7039" s="35"/>
    </row>
    <row r="7040" spans="1:42" x14ac:dyDescent="0.2">
      <c r="A7040" s="126">
        <v>45702.601100601853</v>
      </c>
      <c r="B7040" s="137" t="s">
        <v>37</v>
      </c>
      <c r="C7040" s="80" t="s">
        <v>38</v>
      </c>
      <c r="D7040" s="80" t="s">
        <v>36</v>
      </c>
      <c r="E7040" s="80" t="s">
        <v>56</v>
      </c>
      <c r="F7040" s="80" t="s">
        <v>40</v>
      </c>
      <c r="G7040" s="80" t="s">
        <v>41</v>
      </c>
      <c r="H7040" s="80" t="s">
        <v>20939</v>
      </c>
      <c r="I7040" s="17">
        <f ca="1">IFERROR(__xludf.DUMMYFUNCTION("""COMPUTED_VALUE"""),45716)</f>
        <v>45716</v>
      </c>
      <c r="J7040" s="143" t="s">
        <v>21646</v>
      </c>
      <c r="K7040" s="80" t="s">
        <v>21647</v>
      </c>
      <c r="L7040" s="30">
        <v>522315829</v>
      </c>
      <c r="M7040" s="80" t="s">
        <v>12644</v>
      </c>
      <c r="N7040" s="80" t="s">
        <v>8725</v>
      </c>
      <c r="O7040" s="80" t="s">
        <v>21648</v>
      </c>
      <c r="P7040" s="144" t="s">
        <v>21633</v>
      </c>
      <c r="Q7040" s="20">
        <v>9317</v>
      </c>
      <c r="R7040" s="80" t="s">
        <v>1989</v>
      </c>
      <c r="S7040" s="95">
        <f t="shared" si="214"/>
        <v>2000</v>
      </c>
      <c r="T7040" s="83" t="s">
        <v>21634</v>
      </c>
      <c r="U7040" s="95">
        <v>7067</v>
      </c>
      <c r="V7040" s="148">
        <v>45744</v>
      </c>
      <c r="W7040" s="85" t="s">
        <v>21649</v>
      </c>
      <c r="X7040" s="80"/>
      <c r="Y7040" s="22">
        <v>250</v>
      </c>
      <c r="Z7040" s="80" t="s">
        <v>50</v>
      </c>
      <c r="AA7040" s="86" t="s">
        <v>19480</v>
      </c>
      <c r="AB7040" s="80"/>
      <c r="AC7040" s="80" t="s">
        <v>53</v>
      </c>
      <c r="AD7040" s="80" t="s">
        <v>54</v>
      </c>
      <c r="AE7040" s="80"/>
      <c r="AF7040" s="17">
        <v>45706</v>
      </c>
      <c r="AG7040" s="80"/>
      <c r="AH7040" s="80"/>
      <c r="AI7040" s="147"/>
      <c r="AJ7040" s="80"/>
      <c r="AK7040" s="80"/>
      <c r="AL7040" s="35"/>
      <c r="AM7040" s="35"/>
      <c r="AN7040" s="35"/>
      <c r="AO7040" s="35"/>
      <c r="AP7040" s="35"/>
    </row>
    <row r="7041" spans="1:42" x14ac:dyDescent="0.2">
      <c r="A7041" s="126">
        <v>45702.602982083336</v>
      </c>
      <c r="B7041" s="137" t="s">
        <v>37</v>
      </c>
      <c r="C7041" s="80" t="s">
        <v>38</v>
      </c>
      <c r="D7041" s="80" t="s">
        <v>36</v>
      </c>
      <c r="E7041" s="80" t="s">
        <v>56</v>
      </c>
      <c r="F7041" s="80" t="s">
        <v>36</v>
      </c>
      <c r="G7041" s="80" t="s">
        <v>41</v>
      </c>
      <c r="H7041" s="80" t="s">
        <v>20939</v>
      </c>
      <c r="I7041" s="17">
        <f ca="1">IFERROR(__xludf.DUMMYFUNCTION("""COMPUTED_VALUE"""),45716)</f>
        <v>45716</v>
      </c>
      <c r="J7041" s="143" t="s">
        <v>21650</v>
      </c>
      <c r="K7041" s="80" t="s">
        <v>21651</v>
      </c>
      <c r="L7041" s="30">
        <v>936958196</v>
      </c>
      <c r="M7041" s="80" t="s">
        <v>12644</v>
      </c>
      <c r="N7041" s="80" t="s">
        <v>8725</v>
      </c>
      <c r="O7041" s="80" t="s">
        <v>21652</v>
      </c>
      <c r="P7041" s="144" t="s">
        <v>21633</v>
      </c>
      <c r="Q7041" s="20">
        <v>9317</v>
      </c>
      <c r="R7041" s="80" t="s">
        <v>1989</v>
      </c>
      <c r="S7041" s="95">
        <f t="shared" si="214"/>
        <v>2000</v>
      </c>
      <c r="T7041" s="83" t="s">
        <v>21634</v>
      </c>
      <c r="U7041" s="95">
        <v>7067</v>
      </c>
      <c r="V7041" s="148">
        <v>45743</v>
      </c>
      <c r="W7041" s="85" t="s">
        <v>21653</v>
      </c>
      <c r="X7041" s="80"/>
      <c r="Y7041" s="22">
        <v>250</v>
      </c>
      <c r="Z7041" s="80" t="s">
        <v>50</v>
      </c>
      <c r="AA7041" s="96" t="s">
        <v>19480</v>
      </c>
      <c r="AB7041" s="80"/>
      <c r="AC7041" s="80" t="s">
        <v>53</v>
      </c>
      <c r="AD7041" s="80" t="s">
        <v>54</v>
      </c>
      <c r="AE7041" s="80"/>
      <c r="AF7041" s="17">
        <v>45706</v>
      </c>
      <c r="AG7041" s="80"/>
      <c r="AH7041" s="80"/>
      <c r="AI7041" s="147"/>
      <c r="AJ7041" s="80"/>
      <c r="AK7041" s="80"/>
      <c r="AL7041" s="35"/>
      <c r="AM7041" s="35"/>
      <c r="AN7041" s="35"/>
      <c r="AO7041" s="35"/>
      <c r="AP7041" s="35"/>
    </row>
    <row r="7042" spans="1:42" x14ac:dyDescent="0.2">
      <c r="A7042" s="126">
        <v>45702.604476689812</v>
      </c>
      <c r="B7042" s="137" t="s">
        <v>37</v>
      </c>
      <c r="C7042" s="80" t="s">
        <v>38</v>
      </c>
      <c r="D7042" s="80" t="s">
        <v>36</v>
      </c>
      <c r="E7042" s="80" t="s">
        <v>56</v>
      </c>
      <c r="F7042" s="80" t="s">
        <v>40</v>
      </c>
      <c r="G7042" s="80" t="s">
        <v>41</v>
      </c>
      <c r="H7042" s="80" t="s">
        <v>20939</v>
      </c>
      <c r="I7042" s="17">
        <f ca="1">IFERROR(__xludf.DUMMYFUNCTION("""COMPUTED_VALUE"""),45716)</f>
        <v>45716</v>
      </c>
      <c r="J7042" s="143" t="s">
        <v>21654</v>
      </c>
      <c r="K7042" s="80" t="s">
        <v>21655</v>
      </c>
      <c r="L7042" s="30">
        <v>386922926</v>
      </c>
      <c r="M7042" s="80" t="s">
        <v>12644</v>
      </c>
      <c r="N7042" s="80" t="s">
        <v>8725</v>
      </c>
      <c r="O7042" s="80" t="s">
        <v>21656</v>
      </c>
      <c r="P7042" s="144" t="s">
        <v>21633</v>
      </c>
      <c r="Q7042" s="20">
        <v>9317</v>
      </c>
      <c r="R7042" s="80" t="s">
        <v>1989</v>
      </c>
      <c r="S7042" s="95">
        <f t="shared" si="214"/>
        <v>2000</v>
      </c>
      <c r="T7042" s="83" t="s">
        <v>21634</v>
      </c>
      <c r="U7042" s="95">
        <v>7067</v>
      </c>
      <c r="V7042" s="148">
        <v>45747</v>
      </c>
      <c r="W7042" s="85" t="s">
        <v>21657</v>
      </c>
      <c r="X7042" s="80"/>
      <c r="Y7042" s="22">
        <v>250</v>
      </c>
      <c r="Z7042" s="80" t="s">
        <v>50</v>
      </c>
      <c r="AA7042" s="86" t="s">
        <v>19480</v>
      </c>
      <c r="AB7042" s="80"/>
      <c r="AC7042" s="80" t="s">
        <v>53</v>
      </c>
      <c r="AD7042" s="80" t="s">
        <v>54</v>
      </c>
      <c r="AE7042" s="80"/>
      <c r="AF7042" s="17">
        <v>45706</v>
      </c>
      <c r="AG7042" s="80"/>
      <c r="AH7042" s="80"/>
      <c r="AI7042" s="147"/>
      <c r="AJ7042" s="80"/>
      <c r="AK7042" s="80"/>
      <c r="AL7042" s="35"/>
      <c r="AM7042" s="35"/>
      <c r="AN7042" s="35"/>
      <c r="AO7042" s="35"/>
      <c r="AP7042" s="35"/>
    </row>
    <row r="7043" spans="1:42" x14ac:dyDescent="0.2">
      <c r="A7043" s="126">
        <v>45702.744104965277</v>
      </c>
      <c r="B7043" s="137" t="s">
        <v>37</v>
      </c>
      <c r="C7043" s="80" t="s">
        <v>38</v>
      </c>
      <c r="D7043" s="80" t="s">
        <v>36</v>
      </c>
      <c r="E7043" s="80" t="s">
        <v>119</v>
      </c>
      <c r="F7043" s="80" t="s">
        <v>36</v>
      </c>
      <c r="G7043" s="80" t="s">
        <v>108</v>
      </c>
      <c r="H7043" s="80" t="s">
        <v>2945</v>
      </c>
      <c r="I7043" s="17">
        <f ca="1">IFERROR(__xludf.DUMMYFUNCTION("""COMPUTED_VALUE"""),45706)</f>
        <v>45706</v>
      </c>
      <c r="J7043" s="143" t="s">
        <v>21658</v>
      </c>
      <c r="K7043" s="80" t="s">
        <v>21659</v>
      </c>
      <c r="L7043" s="30">
        <v>336602128</v>
      </c>
      <c r="M7043" s="80" t="s">
        <v>17759</v>
      </c>
      <c r="N7043" s="80" t="s">
        <v>21266</v>
      </c>
      <c r="O7043" s="80" t="s">
        <v>8140</v>
      </c>
      <c r="P7043" s="80" t="s">
        <v>21660</v>
      </c>
      <c r="Q7043" s="20">
        <v>13968</v>
      </c>
      <c r="R7043" s="80" t="s">
        <v>36</v>
      </c>
      <c r="S7043" s="95">
        <v>6000</v>
      </c>
      <c r="T7043" s="148">
        <v>45702</v>
      </c>
      <c r="U7043" s="95">
        <v>7968</v>
      </c>
      <c r="V7043" s="148">
        <v>45725</v>
      </c>
      <c r="W7043" s="85" t="s">
        <v>21661</v>
      </c>
      <c r="X7043" s="80"/>
      <c r="Y7043" s="22">
        <v>0</v>
      </c>
      <c r="Z7043" s="80" t="s">
        <v>50</v>
      </c>
      <c r="AA7043" s="96" t="s">
        <v>19480</v>
      </c>
      <c r="AB7043" s="80"/>
      <c r="AC7043" s="80" t="s">
        <v>53</v>
      </c>
      <c r="AD7043" s="80" t="s">
        <v>138</v>
      </c>
      <c r="AE7043" s="83">
        <v>460</v>
      </c>
      <c r="AF7043" s="17">
        <v>45706</v>
      </c>
      <c r="AG7043" s="80"/>
      <c r="AH7043" s="80"/>
      <c r="AI7043" s="147"/>
      <c r="AJ7043" s="80"/>
      <c r="AK7043" s="80"/>
      <c r="AL7043" s="35"/>
      <c r="AM7043" s="35"/>
      <c r="AN7043" s="35"/>
      <c r="AO7043" s="35"/>
      <c r="AP7043" s="35"/>
    </row>
    <row r="7044" spans="1:42" x14ac:dyDescent="0.2">
      <c r="A7044" s="126">
        <v>45702.917117210643</v>
      </c>
      <c r="B7044" s="137" t="s">
        <v>37</v>
      </c>
      <c r="C7044" s="80" t="s">
        <v>38</v>
      </c>
      <c r="D7044" s="80" t="s">
        <v>36</v>
      </c>
      <c r="E7044" s="80" t="s">
        <v>139</v>
      </c>
      <c r="F7044" s="80" t="s">
        <v>36</v>
      </c>
      <c r="G7044" s="80" t="s">
        <v>41</v>
      </c>
      <c r="H7044" s="80" t="s">
        <v>19816</v>
      </c>
      <c r="I7044" s="17">
        <f ca="1">IFERROR(__xludf.DUMMYFUNCTION("""COMPUTED_VALUE"""),45720)</f>
        <v>45720</v>
      </c>
      <c r="J7044" s="143" t="s">
        <v>21662</v>
      </c>
      <c r="K7044" s="80" t="s">
        <v>21663</v>
      </c>
      <c r="L7044" s="30">
        <v>347733568</v>
      </c>
      <c r="M7044" s="80" t="s">
        <v>18358</v>
      </c>
      <c r="N7044" s="80" t="s">
        <v>21664</v>
      </c>
      <c r="O7044" s="80" t="s">
        <v>4503</v>
      </c>
      <c r="P7044" s="80" t="s">
        <v>2772</v>
      </c>
      <c r="Q7044" s="20">
        <v>15936</v>
      </c>
      <c r="R7044" s="80" t="s">
        <v>70</v>
      </c>
      <c r="S7044" s="95">
        <f>200+3000</f>
        <v>3200</v>
      </c>
      <c r="T7044" s="83" t="s">
        <v>21665</v>
      </c>
      <c r="U7044" s="95">
        <v>12636</v>
      </c>
      <c r="V7044" s="148">
        <v>45736</v>
      </c>
      <c r="W7044" s="85" t="s">
        <v>21666</v>
      </c>
      <c r="X7044" s="80"/>
      <c r="Y7044" s="22">
        <v>100</v>
      </c>
      <c r="Z7044" s="80" t="s">
        <v>50</v>
      </c>
      <c r="AA7044" s="86" t="s">
        <v>19480</v>
      </c>
      <c r="AB7044" s="80"/>
      <c r="AC7044" s="80"/>
      <c r="AD7044" s="80" t="s">
        <v>138</v>
      </c>
      <c r="AE7044" s="80"/>
      <c r="AF7044" s="17">
        <v>45720</v>
      </c>
      <c r="AG7044" s="80"/>
      <c r="AH7044" s="80"/>
      <c r="AI7044" s="147"/>
      <c r="AJ7044" s="80"/>
      <c r="AK7044" s="80"/>
      <c r="AL7044" s="35"/>
      <c r="AM7044" s="35"/>
      <c r="AN7044" s="35"/>
      <c r="AO7044" s="35"/>
      <c r="AP7044" s="35"/>
    </row>
    <row r="7045" spans="1:42" x14ac:dyDescent="0.2">
      <c r="A7045" s="126">
        <v>45703.67698157407</v>
      </c>
      <c r="B7045" s="137" t="s">
        <v>37</v>
      </c>
      <c r="C7045" s="80" t="s">
        <v>38</v>
      </c>
      <c r="D7045" s="80" t="s">
        <v>36</v>
      </c>
      <c r="E7045" s="80" t="s">
        <v>139</v>
      </c>
      <c r="F7045" s="80" t="s">
        <v>36</v>
      </c>
      <c r="G7045" s="80" t="s">
        <v>41</v>
      </c>
      <c r="H7045" s="80" t="s">
        <v>19816</v>
      </c>
      <c r="I7045" s="17">
        <f ca="1">IFERROR(__xludf.DUMMYFUNCTION("""COMPUTED_VALUE"""),45720)</f>
        <v>45720</v>
      </c>
      <c r="J7045" s="143" t="s">
        <v>21667</v>
      </c>
      <c r="K7045" s="80" t="s">
        <v>21668</v>
      </c>
      <c r="L7045" s="30">
        <v>329634863</v>
      </c>
      <c r="M7045" s="80" t="s">
        <v>5429</v>
      </c>
      <c r="N7045" s="80" t="s">
        <v>1384</v>
      </c>
      <c r="O7045" s="80" t="s">
        <v>61</v>
      </c>
      <c r="P7045" s="80" t="s">
        <v>6368</v>
      </c>
      <c r="Q7045" s="20">
        <v>15936</v>
      </c>
      <c r="R7045" s="80" t="s">
        <v>36</v>
      </c>
      <c r="S7045" s="95">
        <f>100+1900</f>
        <v>2000</v>
      </c>
      <c r="T7045" s="83" t="s">
        <v>21669</v>
      </c>
      <c r="U7045" s="95">
        <v>13936</v>
      </c>
      <c r="V7045" s="148">
        <v>45731</v>
      </c>
      <c r="W7045" s="85" t="s">
        <v>21670</v>
      </c>
      <c r="X7045" s="80"/>
      <c r="Y7045" s="22">
        <v>0</v>
      </c>
      <c r="Z7045" s="80" t="s">
        <v>50</v>
      </c>
      <c r="AA7045" s="96" t="s">
        <v>19480</v>
      </c>
      <c r="AB7045" s="80"/>
      <c r="AC7045" s="80" t="s">
        <v>53</v>
      </c>
      <c r="AD7045" s="80" t="s">
        <v>138</v>
      </c>
      <c r="AE7045" s="80"/>
      <c r="AF7045" s="17">
        <v>45720</v>
      </c>
      <c r="AG7045" s="80"/>
      <c r="AH7045" s="80"/>
      <c r="AI7045" s="147"/>
      <c r="AJ7045" s="80"/>
      <c r="AK7045" s="80"/>
      <c r="AL7045" s="35"/>
      <c r="AM7045" s="35"/>
      <c r="AN7045" s="35"/>
      <c r="AO7045" s="35"/>
      <c r="AP7045" s="35"/>
    </row>
    <row r="7046" spans="1:42" x14ac:dyDescent="0.2">
      <c r="A7046" s="126">
        <v>45703.689239097221</v>
      </c>
      <c r="B7046" s="137" t="s">
        <v>37</v>
      </c>
      <c r="C7046" s="80" t="s">
        <v>38</v>
      </c>
      <c r="D7046" s="80" t="s">
        <v>36</v>
      </c>
      <c r="E7046" s="80" t="s">
        <v>139</v>
      </c>
      <c r="F7046" s="80" t="s">
        <v>40</v>
      </c>
      <c r="G7046" s="80" t="s">
        <v>41</v>
      </c>
      <c r="H7046" s="80" t="s">
        <v>19366</v>
      </c>
      <c r="I7046" s="17">
        <f ca="1">IFERROR(__xludf.DUMMYFUNCTION("""COMPUTED_VALUE"""),45712)</f>
        <v>45712</v>
      </c>
      <c r="J7046" s="143" t="s">
        <v>21366</v>
      </c>
      <c r="K7046" s="80" t="s">
        <v>21367</v>
      </c>
      <c r="L7046" s="30">
        <v>387632308</v>
      </c>
      <c r="M7046" s="80" t="s">
        <v>18749</v>
      </c>
      <c r="N7046" s="80" t="s">
        <v>19901</v>
      </c>
      <c r="O7046" s="80" t="s">
        <v>4503</v>
      </c>
      <c r="P7046" s="80" t="s">
        <v>21368</v>
      </c>
      <c r="Q7046" s="20">
        <v>15936</v>
      </c>
      <c r="R7046" s="80" t="s">
        <v>36</v>
      </c>
      <c r="S7046" s="95">
        <v>2000</v>
      </c>
      <c r="T7046" s="148">
        <v>45703</v>
      </c>
      <c r="U7046" s="95">
        <v>13936</v>
      </c>
      <c r="V7046" s="148">
        <v>45728</v>
      </c>
      <c r="W7046" s="85" t="s">
        <v>21369</v>
      </c>
      <c r="X7046" s="80"/>
      <c r="Y7046" s="22">
        <v>0</v>
      </c>
      <c r="Z7046" s="80" t="s">
        <v>50</v>
      </c>
      <c r="AA7046" s="86" t="s">
        <v>19480</v>
      </c>
      <c r="AB7046" s="80"/>
      <c r="AC7046" s="80" t="s">
        <v>53</v>
      </c>
      <c r="AD7046" s="80" t="s">
        <v>138</v>
      </c>
      <c r="AE7046" s="80"/>
      <c r="AF7046" s="17">
        <v>45712</v>
      </c>
      <c r="AG7046" s="80"/>
      <c r="AH7046" s="80"/>
      <c r="AI7046" s="147"/>
      <c r="AJ7046" s="80"/>
      <c r="AK7046" s="80"/>
      <c r="AL7046" s="35"/>
      <c r="AM7046" s="35"/>
      <c r="AN7046" s="35"/>
      <c r="AO7046" s="35"/>
      <c r="AP7046" s="35"/>
    </row>
    <row r="7047" spans="1:42" x14ac:dyDescent="0.2">
      <c r="A7047" s="126">
        <v>45703.909890011579</v>
      </c>
      <c r="B7047" s="137" t="s">
        <v>37</v>
      </c>
      <c r="C7047" s="80" t="s">
        <v>38</v>
      </c>
      <c r="D7047" s="80" t="s">
        <v>36</v>
      </c>
      <c r="E7047" s="80" t="s">
        <v>119</v>
      </c>
      <c r="F7047" s="80" t="s">
        <v>40</v>
      </c>
      <c r="G7047" s="80" t="s">
        <v>108</v>
      </c>
      <c r="H7047" s="80" t="s">
        <v>18679</v>
      </c>
      <c r="I7047" s="17">
        <f ca="1">IFERROR(__xludf.DUMMYFUNCTION("""COMPUTED_VALUE"""),45709)</f>
        <v>45709</v>
      </c>
      <c r="J7047" s="143" t="s">
        <v>21671</v>
      </c>
      <c r="K7047" s="80" t="s">
        <v>21672</v>
      </c>
      <c r="L7047" s="30">
        <v>346529535</v>
      </c>
      <c r="M7047" s="80" t="s">
        <v>45</v>
      </c>
      <c r="N7047" s="80" t="s">
        <v>12712</v>
      </c>
      <c r="O7047" s="80" t="s">
        <v>21673</v>
      </c>
      <c r="P7047" s="80" t="s">
        <v>21674</v>
      </c>
      <c r="Q7047" s="20">
        <v>13968</v>
      </c>
      <c r="R7047" s="80" t="s">
        <v>36</v>
      </c>
      <c r="S7047" s="95">
        <v>3000</v>
      </c>
      <c r="T7047" s="148">
        <v>45702</v>
      </c>
      <c r="U7047" s="95">
        <v>10968</v>
      </c>
      <c r="V7047" s="148">
        <v>45718</v>
      </c>
      <c r="W7047" s="85" t="s">
        <v>21675</v>
      </c>
      <c r="X7047" s="80"/>
      <c r="Y7047" s="22">
        <v>0</v>
      </c>
      <c r="Z7047" s="80" t="s">
        <v>50</v>
      </c>
      <c r="AA7047" s="96" t="s">
        <v>19480</v>
      </c>
      <c r="AB7047" s="80"/>
      <c r="AC7047" s="80" t="s">
        <v>53</v>
      </c>
      <c r="AD7047" s="80" t="s">
        <v>54</v>
      </c>
      <c r="AE7047" s="83">
        <v>400</v>
      </c>
      <c r="AF7047" s="17">
        <v>45705</v>
      </c>
      <c r="AG7047" s="80"/>
      <c r="AH7047" s="80"/>
      <c r="AI7047" s="147"/>
      <c r="AJ7047" s="80"/>
      <c r="AK7047" s="80"/>
      <c r="AL7047" s="35"/>
      <c r="AM7047" s="35"/>
      <c r="AN7047" s="35"/>
      <c r="AO7047" s="35"/>
      <c r="AP7047" s="35"/>
    </row>
    <row r="7048" spans="1:42" x14ac:dyDescent="0.2">
      <c r="A7048" s="126">
        <v>45703.962379166667</v>
      </c>
      <c r="B7048" s="137" t="s">
        <v>37</v>
      </c>
      <c r="C7048" s="80" t="s">
        <v>38</v>
      </c>
      <c r="D7048" s="80" t="s">
        <v>36</v>
      </c>
      <c r="E7048" s="80" t="s">
        <v>77</v>
      </c>
      <c r="F7048" s="80" t="s">
        <v>40</v>
      </c>
      <c r="G7048" s="80" t="s">
        <v>41</v>
      </c>
      <c r="H7048" s="80" t="s">
        <v>16525</v>
      </c>
      <c r="I7048" s="17">
        <f ca="1">IFERROR(__xludf.DUMMYFUNCTION("""COMPUTED_VALUE"""),45708)</f>
        <v>45708</v>
      </c>
      <c r="J7048" s="143" t="s">
        <v>21676</v>
      </c>
      <c r="K7048" s="80" t="s">
        <v>21677</v>
      </c>
      <c r="L7048" s="30">
        <v>982395458</v>
      </c>
      <c r="M7048" s="80" t="s">
        <v>3498</v>
      </c>
      <c r="N7048" s="80" t="s">
        <v>5277</v>
      </c>
      <c r="O7048" s="80" t="s">
        <v>4503</v>
      </c>
      <c r="P7048" s="80" t="s">
        <v>3056</v>
      </c>
      <c r="Q7048" s="20">
        <v>1968</v>
      </c>
      <c r="R7048" s="80" t="s">
        <v>36</v>
      </c>
      <c r="S7048" s="95">
        <v>1968</v>
      </c>
      <c r="T7048" s="148">
        <v>45695</v>
      </c>
      <c r="U7048" s="77"/>
      <c r="V7048" s="78"/>
      <c r="W7048" s="85" t="s">
        <v>21678</v>
      </c>
      <c r="X7048" s="80"/>
      <c r="Y7048" s="22">
        <v>0</v>
      </c>
      <c r="Z7048" s="80" t="s">
        <v>50</v>
      </c>
      <c r="AA7048" s="86" t="s">
        <v>19480</v>
      </c>
      <c r="AB7048" s="80"/>
      <c r="AC7048" s="80" t="s">
        <v>53</v>
      </c>
      <c r="AD7048" s="80" t="s">
        <v>138</v>
      </c>
      <c r="AE7048" s="80"/>
      <c r="AF7048" s="17">
        <v>45708</v>
      </c>
      <c r="AG7048" s="80" t="s">
        <v>7078</v>
      </c>
      <c r="AH7048" s="80"/>
      <c r="AI7048" s="147"/>
      <c r="AJ7048" s="80"/>
      <c r="AK7048" s="80"/>
      <c r="AL7048" s="35"/>
      <c r="AM7048" s="35"/>
      <c r="AN7048" s="35"/>
      <c r="AO7048" s="35"/>
      <c r="AP7048" s="35"/>
    </row>
    <row r="7049" spans="1:42" x14ac:dyDescent="0.2">
      <c r="A7049" s="126">
        <v>45703.998052280091</v>
      </c>
      <c r="B7049" s="137" t="s">
        <v>37</v>
      </c>
      <c r="C7049" s="80" t="s">
        <v>38</v>
      </c>
      <c r="D7049" s="80" t="s">
        <v>36</v>
      </c>
      <c r="E7049" s="80" t="s">
        <v>56</v>
      </c>
      <c r="F7049" s="80" t="s">
        <v>36</v>
      </c>
      <c r="G7049" s="80" t="s">
        <v>41</v>
      </c>
      <c r="H7049" s="80" t="s">
        <v>20683</v>
      </c>
      <c r="I7049" s="17">
        <f ca="1">IFERROR(__xludf.DUMMYFUNCTION("""COMPUTED_VALUE"""),45715)</f>
        <v>45715</v>
      </c>
      <c r="J7049" s="143" t="s">
        <v>21679</v>
      </c>
      <c r="K7049" s="80" t="s">
        <v>21680</v>
      </c>
      <c r="L7049" s="30">
        <v>967934215</v>
      </c>
      <c r="M7049" s="80" t="s">
        <v>18358</v>
      </c>
      <c r="N7049" s="80" t="s">
        <v>2847</v>
      </c>
      <c r="O7049" s="80" t="s">
        <v>4503</v>
      </c>
      <c r="P7049" s="80" t="s">
        <v>3056</v>
      </c>
      <c r="Q7049" s="20">
        <v>9317</v>
      </c>
      <c r="R7049" s="80" t="s">
        <v>70</v>
      </c>
      <c r="S7049" s="95">
        <f>200+1768</f>
        <v>1968</v>
      </c>
      <c r="T7049" s="83" t="s">
        <v>21681</v>
      </c>
      <c r="U7049" s="95">
        <v>7349</v>
      </c>
      <c r="V7049" s="148">
        <v>45736</v>
      </c>
      <c r="W7049" s="85" t="s">
        <v>21682</v>
      </c>
      <c r="X7049" s="80"/>
      <c r="Y7049" s="22">
        <v>0</v>
      </c>
      <c r="Z7049" s="80" t="s">
        <v>50</v>
      </c>
      <c r="AA7049" s="96" t="s">
        <v>19480</v>
      </c>
      <c r="AB7049" s="80"/>
      <c r="AC7049" s="80" t="s">
        <v>53</v>
      </c>
      <c r="AD7049" s="80" t="s">
        <v>138</v>
      </c>
      <c r="AE7049" s="80"/>
      <c r="AF7049" s="17">
        <v>45715</v>
      </c>
      <c r="AG7049" s="80" t="s">
        <v>7078</v>
      </c>
      <c r="AH7049" s="80"/>
      <c r="AI7049" s="147"/>
      <c r="AJ7049" s="80"/>
      <c r="AK7049" s="80"/>
      <c r="AL7049" s="35"/>
      <c r="AM7049" s="35"/>
      <c r="AN7049" s="35"/>
      <c r="AO7049" s="35"/>
      <c r="AP7049" s="35"/>
    </row>
    <row r="7050" spans="1:42" x14ac:dyDescent="0.2">
      <c r="A7050" s="126">
        <v>45704.888836215279</v>
      </c>
      <c r="B7050" s="137" t="s">
        <v>37</v>
      </c>
      <c r="C7050" s="80" t="s">
        <v>38</v>
      </c>
      <c r="D7050" s="80" t="s">
        <v>36</v>
      </c>
      <c r="E7050" s="80" t="s">
        <v>139</v>
      </c>
      <c r="F7050" s="80" t="s">
        <v>40</v>
      </c>
      <c r="G7050" s="80" t="s">
        <v>41</v>
      </c>
      <c r="H7050" s="80" t="s">
        <v>20768</v>
      </c>
      <c r="I7050" s="17">
        <f ca="1">IFERROR(__xludf.DUMMYFUNCTION("""COMPUTED_VALUE"""),45708)</f>
        <v>45708</v>
      </c>
      <c r="J7050" s="143" t="s">
        <v>21683</v>
      </c>
      <c r="K7050" s="80" t="s">
        <v>21684</v>
      </c>
      <c r="L7050" s="30">
        <v>889942256</v>
      </c>
      <c r="M7050" s="80" t="s">
        <v>18358</v>
      </c>
      <c r="N7050" s="80" t="s">
        <v>2847</v>
      </c>
      <c r="O7050" s="80" t="s">
        <v>4503</v>
      </c>
      <c r="P7050" s="80" t="s">
        <v>21685</v>
      </c>
      <c r="Q7050" s="20">
        <v>15936</v>
      </c>
      <c r="R7050" s="80" t="s">
        <v>36</v>
      </c>
      <c r="S7050" s="95">
        <f t="shared" ref="S7050:S7051" si="215">100+1900</f>
        <v>2000</v>
      </c>
      <c r="T7050" s="83" t="s">
        <v>21686</v>
      </c>
      <c r="U7050" s="95">
        <v>13936</v>
      </c>
      <c r="V7050" s="148">
        <v>45729</v>
      </c>
      <c r="W7050" s="80" t="s">
        <v>21687</v>
      </c>
      <c r="X7050" s="80"/>
      <c r="Y7050" s="22">
        <v>0</v>
      </c>
      <c r="Z7050" s="80" t="s">
        <v>50</v>
      </c>
      <c r="AA7050" s="86" t="s">
        <v>19480</v>
      </c>
      <c r="AB7050" s="80"/>
      <c r="AC7050" s="80" t="s">
        <v>53</v>
      </c>
      <c r="AD7050" s="80" t="s">
        <v>54</v>
      </c>
      <c r="AE7050" s="80"/>
      <c r="AF7050" s="17">
        <v>45705</v>
      </c>
      <c r="AG7050" s="80"/>
      <c r="AH7050" s="80"/>
      <c r="AI7050" s="147"/>
      <c r="AJ7050" s="80"/>
      <c r="AK7050" s="80"/>
      <c r="AL7050" s="35"/>
      <c r="AM7050" s="35"/>
      <c r="AN7050" s="35"/>
      <c r="AO7050" s="35"/>
      <c r="AP7050" s="35"/>
    </row>
    <row r="7051" spans="1:42" x14ac:dyDescent="0.2">
      <c r="A7051" s="126">
        <v>45705.395381712966</v>
      </c>
      <c r="B7051" s="137" t="s">
        <v>37</v>
      </c>
      <c r="C7051" s="80" t="s">
        <v>38</v>
      </c>
      <c r="D7051" s="80" t="s">
        <v>36</v>
      </c>
      <c r="E7051" s="80" t="s">
        <v>139</v>
      </c>
      <c r="F7051" s="80" t="s">
        <v>40</v>
      </c>
      <c r="G7051" s="80" t="s">
        <v>41</v>
      </c>
      <c r="H7051" s="80" t="s">
        <v>19301</v>
      </c>
      <c r="I7051" s="17">
        <f ca="1">IFERROR(__xludf.DUMMYFUNCTION("""COMPUTED_VALUE"""),45712)</f>
        <v>45712</v>
      </c>
      <c r="J7051" s="143" t="s">
        <v>21688</v>
      </c>
      <c r="K7051" s="80" t="s">
        <v>21689</v>
      </c>
      <c r="L7051" s="30">
        <v>944310267</v>
      </c>
      <c r="M7051" s="80" t="s">
        <v>18749</v>
      </c>
      <c r="N7051" s="80" t="s">
        <v>19901</v>
      </c>
      <c r="O7051" s="80" t="s">
        <v>4503</v>
      </c>
      <c r="P7051" s="80" t="s">
        <v>4503</v>
      </c>
      <c r="Q7051" s="20">
        <v>15936</v>
      </c>
      <c r="R7051" s="80" t="s">
        <v>36</v>
      </c>
      <c r="S7051" s="95">
        <f t="shared" si="215"/>
        <v>2000</v>
      </c>
      <c r="T7051" s="83" t="s">
        <v>21690</v>
      </c>
      <c r="U7051" s="95">
        <v>13936</v>
      </c>
      <c r="V7051" s="148">
        <v>45717</v>
      </c>
      <c r="W7051" s="85" t="s">
        <v>21691</v>
      </c>
      <c r="X7051" s="80"/>
      <c r="Y7051" s="22">
        <v>0</v>
      </c>
      <c r="Z7051" s="80" t="s">
        <v>50</v>
      </c>
      <c r="AA7051" s="96" t="s">
        <v>19480</v>
      </c>
      <c r="AB7051" s="80"/>
      <c r="AC7051" s="80" t="s">
        <v>53</v>
      </c>
      <c r="AD7051" s="80" t="s">
        <v>138</v>
      </c>
      <c r="AE7051" s="80"/>
      <c r="AF7051" s="17">
        <v>45712</v>
      </c>
      <c r="AG7051" s="80"/>
      <c r="AH7051" s="80"/>
      <c r="AI7051" s="147"/>
      <c r="AJ7051" s="80"/>
      <c r="AK7051" s="80"/>
      <c r="AL7051" s="35"/>
      <c r="AM7051" s="35"/>
      <c r="AN7051" s="35"/>
      <c r="AO7051" s="35"/>
      <c r="AP7051" s="35"/>
    </row>
    <row r="7052" spans="1:42" x14ac:dyDescent="0.2">
      <c r="A7052" s="126">
        <v>45705.488410335645</v>
      </c>
      <c r="B7052" s="137" t="s">
        <v>37</v>
      </c>
      <c r="C7052" s="80" t="s">
        <v>38</v>
      </c>
      <c r="D7052" s="80" t="s">
        <v>36</v>
      </c>
      <c r="E7052" s="80" t="s">
        <v>139</v>
      </c>
      <c r="F7052" s="80" t="s">
        <v>36</v>
      </c>
      <c r="G7052" s="80" t="s">
        <v>41</v>
      </c>
      <c r="H7052" s="80" t="s">
        <v>20939</v>
      </c>
      <c r="I7052" s="17">
        <f ca="1">IFERROR(__xludf.DUMMYFUNCTION("""COMPUTED_VALUE"""),45716)</f>
        <v>45716</v>
      </c>
      <c r="J7052" s="143" t="s">
        <v>21692</v>
      </c>
      <c r="K7052" s="80" t="s">
        <v>21693</v>
      </c>
      <c r="L7052" s="30">
        <v>826831206</v>
      </c>
      <c r="M7052" s="80" t="s">
        <v>5429</v>
      </c>
      <c r="N7052" s="80" t="s">
        <v>1384</v>
      </c>
      <c r="O7052" s="80" t="s">
        <v>61</v>
      </c>
      <c r="P7052" s="80" t="s">
        <v>21694</v>
      </c>
      <c r="Q7052" s="20">
        <v>15936</v>
      </c>
      <c r="R7052" s="80" t="s">
        <v>36</v>
      </c>
      <c r="S7052" s="95">
        <f>200+1800</f>
        <v>2000</v>
      </c>
      <c r="T7052" s="83" t="s">
        <v>21695</v>
      </c>
      <c r="U7052" s="95">
        <v>13936</v>
      </c>
      <c r="V7052" s="148">
        <v>45738</v>
      </c>
      <c r="W7052" s="85" t="s">
        <v>21696</v>
      </c>
      <c r="X7052" s="80"/>
      <c r="Y7052" s="22">
        <v>0</v>
      </c>
      <c r="Z7052" s="80" t="s">
        <v>50</v>
      </c>
      <c r="AA7052" s="86" t="s">
        <v>19480</v>
      </c>
      <c r="AB7052" s="80"/>
      <c r="AC7052" s="80" t="s">
        <v>53</v>
      </c>
      <c r="AD7052" s="80" t="s">
        <v>54</v>
      </c>
      <c r="AE7052" s="80"/>
      <c r="AF7052" s="17">
        <v>45707</v>
      </c>
      <c r="AG7052" s="80"/>
      <c r="AH7052" s="80"/>
      <c r="AI7052" s="147"/>
      <c r="AJ7052" s="80"/>
      <c r="AK7052" s="80"/>
      <c r="AL7052" s="35"/>
      <c r="AM7052" s="35"/>
      <c r="AN7052" s="35"/>
      <c r="AO7052" s="35"/>
      <c r="AP7052" s="35"/>
    </row>
    <row r="7053" spans="1:42" x14ac:dyDescent="0.2">
      <c r="A7053" s="126">
        <v>45705.897849155095</v>
      </c>
      <c r="B7053" s="137" t="s">
        <v>37</v>
      </c>
      <c r="C7053" s="80" t="s">
        <v>38</v>
      </c>
      <c r="D7053" s="80" t="s">
        <v>36</v>
      </c>
      <c r="E7053" s="80" t="s">
        <v>139</v>
      </c>
      <c r="F7053" s="80" t="s">
        <v>36</v>
      </c>
      <c r="G7053" s="80" t="s">
        <v>41</v>
      </c>
      <c r="H7053" s="80" t="s">
        <v>19849</v>
      </c>
      <c r="I7053" s="17">
        <f ca="1">IFERROR(__xludf.DUMMYFUNCTION("""COMPUTED_VALUE"""),45713)</f>
        <v>45713</v>
      </c>
      <c r="J7053" s="143" t="s">
        <v>21697</v>
      </c>
      <c r="K7053" s="80" t="s">
        <v>21698</v>
      </c>
      <c r="L7053" s="30">
        <v>942940693</v>
      </c>
      <c r="M7053" s="80" t="s">
        <v>12644</v>
      </c>
      <c r="N7053" s="80" t="s">
        <v>8725</v>
      </c>
      <c r="O7053" s="80" t="s">
        <v>21699</v>
      </c>
      <c r="P7053" s="80" t="s">
        <v>21700</v>
      </c>
      <c r="Q7053" s="20">
        <v>15936</v>
      </c>
      <c r="R7053" s="80" t="s">
        <v>36</v>
      </c>
      <c r="S7053" s="95">
        <v>2000</v>
      </c>
      <c r="T7053" s="148">
        <v>45705</v>
      </c>
      <c r="U7053" s="95">
        <v>13936</v>
      </c>
      <c r="V7053" s="148">
        <v>45709</v>
      </c>
      <c r="W7053" s="85" t="s">
        <v>21701</v>
      </c>
      <c r="X7053" s="80"/>
      <c r="Y7053" s="22">
        <v>0</v>
      </c>
      <c r="Z7053" s="80" t="s">
        <v>50</v>
      </c>
      <c r="AA7053" s="96" t="s">
        <v>19480</v>
      </c>
      <c r="AB7053" s="80"/>
      <c r="AC7053" s="80" t="s">
        <v>53</v>
      </c>
      <c r="AD7053" s="80" t="s">
        <v>54</v>
      </c>
      <c r="AE7053" s="80"/>
      <c r="AF7053" s="17">
        <v>45707</v>
      </c>
      <c r="AG7053" s="80"/>
      <c r="AH7053" s="80"/>
      <c r="AI7053" s="147"/>
      <c r="AJ7053" s="80"/>
      <c r="AK7053" s="80"/>
      <c r="AL7053" s="35"/>
      <c r="AM7053" s="35"/>
      <c r="AN7053" s="35"/>
      <c r="AO7053" s="35"/>
      <c r="AP7053" s="35"/>
    </row>
    <row r="7054" spans="1:42" x14ac:dyDescent="0.2">
      <c r="A7054" s="126">
        <v>45706.581500509259</v>
      </c>
      <c r="B7054" s="137" t="s">
        <v>37</v>
      </c>
      <c r="C7054" s="80" t="s">
        <v>38</v>
      </c>
      <c r="D7054" s="80" t="s">
        <v>36</v>
      </c>
      <c r="E7054" s="80" t="s">
        <v>139</v>
      </c>
      <c r="F7054" s="80" t="s">
        <v>40</v>
      </c>
      <c r="G7054" s="80" t="s">
        <v>41</v>
      </c>
      <c r="H7054" s="80" t="s">
        <v>19366</v>
      </c>
      <c r="I7054" s="17">
        <f ca="1">IFERROR(__xludf.DUMMYFUNCTION("""COMPUTED_VALUE"""),45712)</f>
        <v>45712</v>
      </c>
      <c r="J7054" s="143" t="s">
        <v>21370</v>
      </c>
      <c r="K7054" s="80" t="s">
        <v>21371</v>
      </c>
      <c r="L7054" s="30">
        <v>374332387</v>
      </c>
      <c r="M7054" s="80" t="s">
        <v>15996</v>
      </c>
      <c r="N7054" s="80" t="s">
        <v>186</v>
      </c>
      <c r="O7054" s="80" t="s">
        <v>4503</v>
      </c>
      <c r="P7054" s="80" t="s">
        <v>3056</v>
      </c>
      <c r="Q7054" s="20">
        <v>15936</v>
      </c>
      <c r="R7054" s="80" t="s">
        <v>1106</v>
      </c>
      <c r="S7054" s="95">
        <f>200+7000</f>
        <v>7200</v>
      </c>
      <c r="T7054" s="83" t="s">
        <v>21372</v>
      </c>
      <c r="U7054" s="95">
        <v>8586</v>
      </c>
      <c r="V7054" s="148">
        <v>45729</v>
      </c>
      <c r="W7054" s="85" t="s">
        <v>21373</v>
      </c>
      <c r="X7054" s="80"/>
      <c r="Y7054" s="22">
        <v>150</v>
      </c>
      <c r="Z7054" s="80" t="s">
        <v>50</v>
      </c>
      <c r="AA7054" s="86" t="s">
        <v>19480</v>
      </c>
      <c r="AB7054" s="80"/>
      <c r="AC7054" s="80" t="s">
        <v>53</v>
      </c>
      <c r="AD7054" s="80" t="s">
        <v>138</v>
      </c>
      <c r="AE7054" s="80"/>
      <c r="AF7054" s="17">
        <v>45712</v>
      </c>
      <c r="AG7054" s="80"/>
      <c r="AH7054" s="80"/>
      <c r="AI7054" s="147"/>
      <c r="AJ7054" s="80"/>
      <c r="AK7054" s="80"/>
      <c r="AL7054" s="35"/>
      <c r="AM7054" s="35"/>
      <c r="AN7054" s="35"/>
      <c r="AO7054" s="35"/>
      <c r="AP7054" s="35"/>
    </row>
    <row r="7055" spans="1:42" x14ac:dyDescent="0.2">
      <c r="A7055" s="126">
        <v>45706.588029699073</v>
      </c>
      <c r="B7055" s="137" t="s">
        <v>37</v>
      </c>
      <c r="C7055" s="80" t="s">
        <v>38</v>
      </c>
      <c r="D7055" s="80" t="s">
        <v>36</v>
      </c>
      <c r="E7055" s="80" t="s">
        <v>139</v>
      </c>
      <c r="F7055" s="80" t="s">
        <v>40</v>
      </c>
      <c r="G7055" s="80" t="s">
        <v>41</v>
      </c>
      <c r="H7055" s="80" t="s">
        <v>19366</v>
      </c>
      <c r="I7055" s="17">
        <f ca="1">IFERROR(__xludf.DUMMYFUNCTION("""COMPUTED_VALUE"""),45712)</f>
        <v>45712</v>
      </c>
      <c r="J7055" s="143" t="s">
        <v>21374</v>
      </c>
      <c r="K7055" s="80" t="s">
        <v>21375</v>
      </c>
      <c r="L7055" s="30">
        <v>325931006</v>
      </c>
      <c r="M7055" s="80" t="s">
        <v>17779</v>
      </c>
      <c r="N7055" s="80" t="s">
        <v>9660</v>
      </c>
      <c r="O7055" s="80" t="s">
        <v>4503</v>
      </c>
      <c r="P7055" s="80" t="s">
        <v>3056</v>
      </c>
      <c r="Q7055" s="20">
        <v>15936</v>
      </c>
      <c r="R7055" s="80" t="s">
        <v>36</v>
      </c>
      <c r="S7055" s="95">
        <f>200+5000</f>
        <v>5200</v>
      </c>
      <c r="T7055" s="83" t="s">
        <v>21355</v>
      </c>
      <c r="U7055" s="95">
        <v>10736</v>
      </c>
      <c r="V7055" s="148">
        <v>45730</v>
      </c>
      <c r="W7055" s="85" t="s">
        <v>21376</v>
      </c>
      <c r="X7055" s="80"/>
      <c r="Y7055" s="22">
        <v>0</v>
      </c>
      <c r="Z7055" s="80" t="s">
        <v>50</v>
      </c>
      <c r="AA7055" s="96" t="s">
        <v>19480</v>
      </c>
      <c r="AB7055" s="80"/>
      <c r="AC7055" s="80" t="s">
        <v>53</v>
      </c>
      <c r="AD7055" s="80" t="s">
        <v>138</v>
      </c>
      <c r="AE7055" s="80"/>
      <c r="AF7055" s="17">
        <v>45712</v>
      </c>
      <c r="AG7055" s="80"/>
      <c r="AH7055" s="80"/>
      <c r="AI7055" s="147"/>
      <c r="AJ7055" s="80"/>
      <c r="AK7055" s="80"/>
      <c r="AL7055" s="35"/>
      <c r="AM7055" s="35"/>
      <c r="AN7055" s="35"/>
      <c r="AO7055" s="35"/>
      <c r="AP7055" s="35"/>
    </row>
    <row r="7056" spans="1:42" x14ac:dyDescent="0.2">
      <c r="A7056" s="126">
        <v>45706.590756307865</v>
      </c>
      <c r="B7056" s="137" t="s">
        <v>37</v>
      </c>
      <c r="C7056" s="80" t="s">
        <v>38</v>
      </c>
      <c r="D7056" s="80" t="s">
        <v>36</v>
      </c>
      <c r="E7056" s="80" t="s">
        <v>139</v>
      </c>
      <c r="F7056" s="80" t="s">
        <v>40</v>
      </c>
      <c r="G7056" s="80" t="s">
        <v>41</v>
      </c>
      <c r="H7056" s="80" t="s">
        <v>19366</v>
      </c>
      <c r="I7056" s="17">
        <f ca="1">IFERROR(__xludf.DUMMYFUNCTION("""COMPUTED_VALUE"""),45712)</f>
        <v>45712</v>
      </c>
      <c r="J7056" s="143" t="s">
        <v>21377</v>
      </c>
      <c r="K7056" s="80" t="s">
        <v>21378</v>
      </c>
      <c r="L7056" s="30">
        <v>985534979</v>
      </c>
      <c r="M7056" s="80" t="s">
        <v>17779</v>
      </c>
      <c r="N7056" s="80" t="s">
        <v>4402</v>
      </c>
      <c r="O7056" s="80" t="s">
        <v>4503</v>
      </c>
      <c r="P7056" s="80" t="s">
        <v>3056</v>
      </c>
      <c r="Q7056" s="20">
        <v>15936</v>
      </c>
      <c r="R7056" s="80" t="s">
        <v>36</v>
      </c>
      <c r="S7056" s="95">
        <v>4000</v>
      </c>
      <c r="T7056" s="148">
        <v>45700</v>
      </c>
      <c r="U7056" s="95">
        <v>11936</v>
      </c>
      <c r="V7056" s="148">
        <v>45728</v>
      </c>
      <c r="W7056" s="85" t="s">
        <v>21379</v>
      </c>
      <c r="X7056" s="80"/>
      <c r="Y7056" s="22">
        <v>0</v>
      </c>
      <c r="Z7056" s="80" t="s">
        <v>50</v>
      </c>
      <c r="AA7056" s="86" t="s">
        <v>19480</v>
      </c>
      <c r="AB7056" s="80"/>
      <c r="AC7056" s="80" t="s">
        <v>53</v>
      </c>
      <c r="AD7056" s="80" t="s">
        <v>138</v>
      </c>
      <c r="AE7056" s="80"/>
      <c r="AF7056" s="17">
        <v>45712</v>
      </c>
      <c r="AG7056" s="80"/>
      <c r="AH7056" s="80"/>
      <c r="AI7056" s="147"/>
      <c r="AJ7056" s="80"/>
      <c r="AK7056" s="80"/>
      <c r="AL7056" s="35"/>
      <c r="AM7056" s="35"/>
      <c r="AN7056" s="35"/>
      <c r="AO7056" s="35"/>
      <c r="AP7056" s="35"/>
    </row>
    <row r="7057" spans="1:42" x14ac:dyDescent="0.2">
      <c r="A7057" s="126">
        <v>45707.610291087964</v>
      </c>
      <c r="B7057" s="137" t="s">
        <v>37</v>
      </c>
      <c r="C7057" s="80" t="s">
        <v>38</v>
      </c>
      <c r="D7057" s="80" t="s">
        <v>36</v>
      </c>
      <c r="E7057" s="80" t="s">
        <v>39</v>
      </c>
      <c r="F7057" s="80" t="s">
        <v>40</v>
      </c>
      <c r="G7057" s="80" t="s">
        <v>41</v>
      </c>
      <c r="H7057" s="80" t="s">
        <v>19301</v>
      </c>
      <c r="I7057" s="17">
        <f ca="1">IFERROR(__xludf.DUMMYFUNCTION("""COMPUTED_VALUE"""),45712)</f>
        <v>45712</v>
      </c>
      <c r="J7057" s="143" t="s">
        <v>21702</v>
      </c>
      <c r="K7057" s="80" t="s">
        <v>21703</v>
      </c>
      <c r="L7057" s="30">
        <v>915575829</v>
      </c>
      <c r="M7057" s="80" t="s">
        <v>17779</v>
      </c>
      <c r="N7057" s="80" t="s">
        <v>4402</v>
      </c>
      <c r="O7057" s="80" t="s">
        <v>4503</v>
      </c>
      <c r="P7057" s="80" t="s">
        <v>3056</v>
      </c>
      <c r="Q7057" s="20">
        <v>5736</v>
      </c>
      <c r="R7057" s="80" t="s">
        <v>36</v>
      </c>
      <c r="S7057" s="95">
        <f>200+3000+2536</f>
        <v>5736</v>
      </c>
      <c r="T7057" s="83" t="s">
        <v>21704</v>
      </c>
      <c r="U7057" s="95"/>
      <c r="V7057" s="148"/>
      <c r="W7057" s="85" t="s">
        <v>21705</v>
      </c>
      <c r="X7057" s="80"/>
      <c r="Y7057" s="22">
        <v>0</v>
      </c>
      <c r="Z7057" s="80" t="s">
        <v>50</v>
      </c>
      <c r="AA7057" s="96" t="s">
        <v>19480</v>
      </c>
      <c r="AB7057" s="80"/>
      <c r="AC7057" s="80" t="s">
        <v>53</v>
      </c>
      <c r="AD7057" s="80" t="s">
        <v>138</v>
      </c>
      <c r="AE7057" s="80"/>
      <c r="AF7057" s="17">
        <v>45712</v>
      </c>
      <c r="AG7057" s="80" t="s">
        <v>7078</v>
      </c>
      <c r="AH7057" s="80"/>
      <c r="AI7057" s="147"/>
      <c r="AJ7057" s="80"/>
      <c r="AK7057" s="80"/>
      <c r="AL7057" s="35"/>
      <c r="AM7057" s="35"/>
      <c r="AN7057" s="35"/>
      <c r="AO7057" s="35"/>
      <c r="AP7057" s="35"/>
    </row>
    <row r="7058" spans="1:42" x14ac:dyDescent="0.2">
      <c r="A7058" s="126">
        <v>45707.725059502314</v>
      </c>
      <c r="B7058" s="137" t="s">
        <v>37</v>
      </c>
      <c r="C7058" s="80" t="s">
        <v>38</v>
      </c>
      <c r="D7058" s="80" t="s">
        <v>36</v>
      </c>
      <c r="E7058" s="80" t="s">
        <v>119</v>
      </c>
      <c r="F7058" s="80" t="s">
        <v>36</v>
      </c>
      <c r="G7058" s="80" t="s">
        <v>108</v>
      </c>
      <c r="H7058" s="80" t="s">
        <v>10246</v>
      </c>
      <c r="I7058" s="17">
        <f ca="1">IFERROR(__xludf.DUMMYFUNCTION("""COMPUTED_VALUE"""),45716)</f>
        <v>45716</v>
      </c>
      <c r="J7058" s="143" t="s">
        <v>17121</v>
      </c>
      <c r="K7058" s="80" t="s">
        <v>21706</v>
      </c>
      <c r="L7058" s="30">
        <v>888585906</v>
      </c>
      <c r="M7058" s="80" t="s">
        <v>15970</v>
      </c>
      <c r="N7058" s="80" t="s">
        <v>327</v>
      </c>
      <c r="O7058" s="80" t="s">
        <v>9235</v>
      </c>
      <c r="P7058" s="80" t="s">
        <v>21707</v>
      </c>
      <c r="Q7058" s="20">
        <v>13968</v>
      </c>
      <c r="R7058" s="80" t="s">
        <v>36</v>
      </c>
      <c r="S7058" s="95">
        <f>5000+2000</f>
        <v>7000</v>
      </c>
      <c r="T7058" s="148">
        <v>45578</v>
      </c>
      <c r="U7058" s="95">
        <f>6950+18</f>
        <v>6968</v>
      </c>
      <c r="V7058" s="83" t="s">
        <v>21708</v>
      </c>
      <c r="W7058" s="80" t="s">
        <v>21709</v>
      </c>
      <c r="X7058" s="80"/>
      <c r="Y7058" s="22">
        <v>0</v>
      </c>
      <c r="Z7058" s="80" t="s">
        <v>50</v>
      </c>
      <c r="AA7058" s="86" t="s">
        <v>19480</v>
      </c>
      <c r="AB7058" s="144" t="s">
        <v>21710</v>
      </c>
      <c r="AC7058" s="80" t="s">
        <v>53</v>
      </c>
      <c r="AD7058" s="80" t="s">
        <v>54</v>
      </c>
      <c r="AE7058" s="80"/>
      <c r="AF7058" s="17">
        <v>45712</v>
      </c>
      <c r="AG7058" s="80"/>
      <c r="AH7058" s="80"/>
      <c r="AI7058" s="147"/>
      <c r="AJ7058" s="80"/>
      <c r="AK7058" s="80"/>
      <c r="AL7058" s="35"/>
      <c r="AM7058" s="35"/>
      <c r="AN7058" s="35"/>
      <c r="AO7058" s="35"/>
      <c r="AP7058" s="35"/>
    </row>
    <row r="7059" spans="1:42" x14ac:dyDescent="0.2">
      <c r="A7059" s="126">
        <v>45707.757367523147</v>
      </c>
      <c r="B7059" s="137" t="s">
        <v>37</v>
      </c>
      <c r="C7059" s="80" t="s">
        <v>38</v>
      </c>
      <c r="D7059" s="80" t="s">
        <v>36</v>
      </c>
      <c r="E7059" s="80" t="s">
        <v>56</v>
      </c>
      <c r="F7059" s="80" t="s">
        <v>91</v>
      </c>
      <c r="G7059" s="80" t="s">
        <v>41</v>
      </c>
      <c r="H7059" s="80" t="s">
        <v>20683</v>
      </c>
      <c r="I7059" s="17">
        <f ca="1">IFERROR(__xludf.DUMMYFUNCTION("""COMPUTED_VALUE"""),45715)</f>
        <v>45715</v>
      </c>
      <c r="J7059" s="172" t="s">
        <v>21711</v>
      </c>
      <c r="K7059" s="80" t="s">
        <v>21712</v>
      </c>
      <c r="L7059" s="30">
        <v>963614836</v>
      </c>
      <c r="M7059" s="80" t="s">
        <v>15970</v>
      </c>
      <c r="N7059" s="80" t="s">
        <v>4402</v>
      </c>
      <c r="O7059" s="80" t="s">
        <v>4503</v>
      </c>
      <c r="P7059" s="80" t="s">
        <v>3056</v>
      </c>
      <c r="Q7059" s="20">
        <v>9317</v>
      </c>
      <c r="R7059" s="80" t="s">
        <v>36</v>
      </c>
      <c r="S7059" s="95">
        <v>2000</v>
      </c>
      <c r="T7059" s="148">
        <v>45695</v>
      </c>
      <c r="U7059" s="95">
        <v>7317</v>
      </c>
      <c r="V7059" s="148">
        <v>45737</v>
      </c>
      <c r="W7059" s="85" t="s">
        <v>21713</v>
      </c>
      <c r="X7059" s="80"/>
      <c r="Y7059" s="22">
        <v>0</v>
      </c>
      <c r="Z7059" s="80" t="s">
        <v>50</v>
      </c>
      <c r="AA7059" s="96" t="s">
        <v>19480</v>
      </c>
      <c r="AB7059" s="80"/>
      <c r="AC7059" s="80" t="s">
        <v>53</v>
      </c>
      <c r="AD7059" s="80" t="s">
        <v>138</v>
      </c>
      <c r="AE7059" s="80"/>
      <c r="AF7059" s="17">
        <v>45715</v>
      </c>
      <c r="AG7059" s="80"/>
      <c r="AH7059" s="80"/>
      <c r="AI7059" s="147"/>
      <c r="AJ7059" s="80"/>
      <c r="AK7059" s="80"/>
      <c r="AL7059" s="35"/>
      <c r="AM7059" s="35"/>
      <c r="AN7059" s="35"/>
      <c r="AO7059" s="35"/>
      <c r="AP7059" s="35"/>
    </row>
    <row r="7060" spans="1:42" x14ac:dyDescent="0.2">
      <c r="A7060" s="126">
        <v>45708.005207939816</v>
      </c>
      <c r="B7060" s="137" t="s">
        <v>37</v>
      </c>
      <c r="C7060" s="80" t="s">
        <v>38</v>
      </c>
      <c r="D7060" s="80" t="s">
        <v>36</v>
      </c>
      <c r="E7060" s="80" t="s">
        <v>139</v>
      </c>
      <c r="F7060" s="80" t="s">
        <v>36</v>
      </c>
      <c r="G7060" s="80" t="s">
        <v>41</v>
      </c>
      <c r="H7060" s="80" t="s">
        <v>19816</v>
      </c>
      <c r="I7060" s="17">
        <f ca="1">IFERROR(__xludf.DUMMYFUNCTION("""COMPUTED_VALUE"""),45720)</f>
        <v>45720</v>
      </c>
      <c r="J7060" s="143" t="s">
        <v>21714</v>
      </c>
      <c r="K7060" s="80" t="s">
        <v>21715</v>
      </c>
      <c r="L7060" s="30">
        <v>981891721</v>
      </c>
      <c r="M7060" s="80" t="s">
        <v>17759</v>
      </c>
      <c r="N7060" s="80" t="s">
        <v>21266</v>
      </c>
      <c r="O7060" s="80" t="s">
        <v>8140</v>
      </c>
      <c r="P7060" s="80" t="s">
        <v>21716</v>
      </c>
      <c r="Q7060" s="20">
        <v>15936</v>
      </c>
      <c r="R7060" s="80" t="s">
        <v>36</v>
      </c>
      <c r="S7060" s="95">
        <v>15786</v>
      </c>
      <c r="T7060" s="148">
        <v>45706</v>
      </c>
      <c r="U7060" s="95">
        <v>150</v>
      </c>
      <c r="V7060" s="148">
        <v>45727</v>
      </c>
      <c r="W7060" s="85" t="s">
        <v>21717</v>
      </c>
      <c r="X7060" s="80"/>
      <c r="Y7060" s="22">
        <v>0</v>
      </c>
      <c r="Z7060" s="80" t="s">
        <v>50</v>
      </c>
      <c r="AA7060" s="86" t="s">
        <v>19480</v>
      </c>
      <c r="AB7060" s="80"/>
      <c r="AC7060" s="80" t="s">
        <v>53</v>
      </c>
      <c r="AD7060" s="80" t="s">
        <v>138</v>
      </c>
      <c r="AE7060" s="80"/>
      <c r="AF7060" s="17">
        <v>45720</v>
      </c>
      <c r="AG7060" s="80"/>
      <c r="AH7060" s="80"/>
      <c r="AI7060" s="147"/>
      <c r="AJ7060" s="80"/>
      <c r="AK7060" s="80"/>
      <c r="AL7060" s="35"/>
      <c r="AM7060" s="35"/>
      <c r="AN7060" s="35"/>
      <c r="AO7060" s="35"/>
      <c r="AP7060" s="35"/>
    </row>
    <row r="7061" spans="1:42" x14ac:dyDescent="0.2">
      <c r="A7061" s="126">
        <v>45708.317355729167</v>
      </c>
      <c r="B7061" s="137" t="s">
        <v>37</v>
      </c>
      <c r="C7061" s="80" t="s">
        <v>38</v>
      </c>
      <c r="D7061" s="80" t="s">
        <v>36</v>
      </c>
      <c r="E7061" s="80" t="s">
        <v>139</v>
      </c>
      <c r="F7061" s="80" t="s">
        <v>40</v>
      </c>
      <c r="G7061" s="80" t="s">
        <v>41</v>
      </c>
      <c r="H7061" s="80" t="s">
        <v>19301</v>
      </c>
      <c r="I7061" s="17">
        <f ca="1">IFERROR(__xludf.DUMMYFUNCTION("""COMPUTED_VALUE"""),45712)</f>
        <v>45712</v>
      </c>
      <c r="J7061" s="143" t="s">
        <v>21718</v>
      </c>
      <c r="K7061" s="80" t="s">
        <v>21719</v>
      </c>
      <c r="L7061" s="30">
        <v>866925396</v>
      </c>
      <c r="M7061" s="80" t="s">
        <v>18358</v>
      </c>
      <c r="N7061" s="80" t="s">
        <v>1232</v>
      </c>
      <c r="O7061" s="80" t="s">
        <v>4503</v>
      </c>
      <c r="P7061" s="80" t="s">
        <v>3056</v>
      </c>
      <c r="Q7061" s="20">
        <v>15936</v>
      </c>
      <c r="R7061" s="80" t="s">
        <v>36</v>
      </c>
      <c r="S7061" s="95">
        <f>200+15636</f>
        <v>15836</v>
      </c>
      <c r="T7061" s="83" t="s">
        <v>21720</v>
      </c>
      <c r="U7061" s="95">
        <v>100</v>
      </c>
      <c r="V7061" s="148">
        <v>45729</v>
      </c>
      <c r="W7061" s="85" t="s">
        <v>21721</v>
      </c>
      <c r="X7061" s="80"/>
      <c r="Y7061" s="22">
        <v>0</v>
      </c>
      <c r="Z7061" s="80" t="s">
        <v>50</v>
      </c>
      <c r="AA7061" s="96" t="s">
        <v>19480</v>
      </c>
      <c r="AB7061" s="80"/>
      <c r="AC7061" s="80" t="s">
        <v>53</v>
      </c>
      <c r="AD7061" s="80" t="s">
        <v>138</v>
      </c>
      <c r="AE7061" s="80"/>
      <c r="AF7061" s="17">
        <v>45712</v>
      </c>
      <c r="AG7061" s="80"/>
      <c r="AH7061" s="80"/>
      <c r="AI7061" s="147"/>
      <c r="AJ7061" s="80"/>
      <c r="AK7061" s="80"/>
      <c r="AL7061" s="35"/>
      <c r="AM7061" s="35"/>
      <c r="AN7061" s="35"/>
      <c r="AO7061" s="35"/>
      <c r="AP7061" s="35"/>
    </row>
    <row r="7062" spans="1:42" x14ac:dyDescent="0.2">
      <c r="A7062" s="126">
        <v>45708.318273182871</v>
      </c>
      <c r="B7062" s="137" t="s">
        <v>37</v>
      </c>
      <c r="C7062" s="80" t="s">
        <v>38</v>
      </c>
      <c r="D7062" s="80" t="s">
        <v>36</v>
      </c>
      <c r="E7062" s="80" t="s">
        <v>139</v>
      </c>
      <c r="F7062" s="80" t="s">
        <v>40</v>
      </c>
      <c r="G7062" s="80" t="s">
        <v>41</v>
      </c>
      <c r="H7062" s="80" t="s">
        <v>19301</v>
      </c>
      <c r="I7062" s="17">
        <f ca="1">IFERROR(__xludf.DUMMYFUNCTION("""COMPUTED_VALUE"""),45712)</f>
        <v>45712</v>
      </c>
      <c r="J7062" s="143" t="s">
        <v>21722</v>
      </c>
      <c r="K7062" s="80" t="s">
        <v>21723</v>
      </c>
      <c r="L7062" s="30">
        <v>983315221</v>
      </c>
      <c r="M7062" s="80" t="s">
        <v>18358</v>
      </c>
      <c r="N7062" s="80" t="s">
        <v>2847</v>
      </c>
      <c r="O7062" s="80" t="s">
        <v>4503</v>
      </c>
      <c r="P7062" s="80" t="s">
        <v>3056</v>
      </c>
      <c r="Q7062" s="20">
        <v>15936</v>
      </c>
      <c r="R7062" s="80" t="s">
        <v>70</v>
      </c>
      <c r="S7062" s="95">
        <f>200+3000</f>
        <v>3200</v>
      </c>
      <c r="T7062" s="83" t="s">
        <v>21720</v>
      </c>
      <c r="U7062" s="95">
        <v>12636</v>
      </c>
      <c r="V7062" s="148">
        <v>45728</v>
      </c>
      <c r="W7062" s="85" t="s">
        <v>21724</v>
      </c>
      <c r="X7062" s="80"/>
      <c r="Y7062" s="22">
        <v>100</v>
      </c>
      <c r="Z7062" s="80" t="s">
        <v>50</v>
      </c>
      <c r="AA7062" s="86" t="s">
        <v>19480</v>
      </c>
      <c r="AB7062" s="80"/>
      <c r="AC7062" s="80" t="s">
        <v>53</v>
      </c>
      <c r="AD7062" s="80" t="s">
        <v>138</v>
      </c>
      <c r="AE7062" s="80"/>
      <c r="AF7062" s="17">
        <v>45712</v>
      </c>
      <c r="AG7062" s="80"/>
      <c r="AH7062" s="80"/>
      <c r="AI7062" s="147"/>
      <c r="AJ7062" s="80"/>
      <c r="AK7062" s="80"/>
      <c r="AL7062" s="35"/>
      <c r="AM7062" s="35"/>
      <c r="AN7062" s="35"/>
      <c r="AO7062" s="35"/>
      <c r="AP7062" s="35"/>
    </row>
    <row r="7063" spans="1:42" x14ac:dyDescent="0.2">
      <c r="A7063" s="126">
        <v>45708.50761137731</v>
      </c>
      <c r="B7063" s="137" t="s">
        <v>37</v>
      </c>
      <c r="C7063" s="80" t="s">
        <v>38</v>
      </c>
      <c r="D7063" s="80" t="s">
        <v>36</v>
      </c>
      <c r="E7063" s="80" t="s">
        <v>1704</v>
      </c>
      <c r="F7063" s="80" t="s">
        <v>36</v>
      </c>
      <c r="G7063" s="80" t="s">
        <v>1705</v>
      </c>
      <c r="H7063" s="80" t="s">
        <v>19571</v>
      </c>
      <c r="I7063" s="17">
        <f ca="1">IFERROR(__xludf.DUMMYFUNCTION("""COMPUTED_VALUE"""),45566)</f>
        <v>45566</v>
      </c>
      <c r="J7063" s="143" t="s">
        <v>21725</v>
      </c>
      <c r="K7063" s="80" t="s">
        <v>21726</v>
      </c>
      <c r="L7063" s="30">
        <v>978319862</v>
      </c>
      <c r="M7063" s="80" t="s">
        <v>45</v>
      </c>
      <c r="N7063" s="80" t="s">
        <v>16472</v>
      </c>
      <c r="O7063" s="80" t="s">
        <v>4503</v>
      </c>
      <c r="P7063" s="80" t="s">
        <v>21727</v>
      </c>
      <c r="Q7063" s="20">
        <v>7729</v>
      </c>
      <c r="R7063" s="80" t="s">
        <v>36</v>
      </c>
      <c r="S7063" s="95">
        <f>1000+6729</f>
        <v>7729</v>
      </c>
      <c r="T7063" s="83" t="s">
        <v>21728</v>
      </c>
      <c r="U7063" s="77"/>
      <c r="V7063" s="78"/>
      <c r="W7063" s="85" t="s">
        <v>21729</v>
      </c>
      <c r="X7063" s="80"/>
      <c r="Y7063" s="22">
        <v>0</v>
      </c>
      <c r="Z7063" s="80" t="s">
        <v>50</v>
      </c>
      <c r="AA7063" s="96" t="s">
        <v>19480</v>
      </c>
      <c r="AB7063" s="80"/>
      <c r="AC7063" s="80" t="s">
        <v>53</v>
      </c>
      <c r="AD7063" s="80" t="s">
        <v>54</v>
      </c>
      <c r="AE7063" s="83">
        <v>600</v>
      </c>
      <c r="AF7063" s="17">
        <v>45708</v>
      </c>
      <c r="AG7063" s="80"/>
      <c r="AH7063" s="80"/>
      <c r="AI7063" s="147"/>
      <c r="AJ7063" s="80"/>
      <c r="AK7063" s="80"/>
      <c r="AL7063" s="35"/>
      <c r="AM7063" s="35"/>
      <c r="AN7063" s="35"/>
      <c r="AO7063" s="35"/>
      <c r="AP7063" s="35"/>
    </row>
    <row r="7064" spans="1:42" x14ac:dyDescent="0.2">
      <c r="A7064" s="126">
        <v>45708.699261192131</v>
      </c>
      <c r="B7064" s="137" t="s">
        <v>37</v>
      </c>
      <c r="C7064" s="80" t="s">
        <v>38</v>
      </c>
      <c r="D7064" s="80" t="s">
        <v>36</v>
      </c>
      <c r="E7064" s="80" t="s">
        <v>139</v>
      </c>
      <c r="F7064" s="80" t="s">
        <v>40</v>
      </c>
      <c r="G7064" s="80" t="s">
        <v>41</v>
      </c>
      <c r="H7064" s="80" t="s">
        <v>19366</v>
      </c>
      <c r="I7064" s="17">
        <f ca="1">IFERROR(__xludf.DUMMYFUNCTION("""COMPUTED_VALUE"""),45712)</f>
        <v>45712</v>
      </c>
      <c r="J7064" s="143" t="s">
        <v>21380</v>
      </c>
      <c r="K7064" s="80" t="s">
        <v>21381</v>
      </c>
      <c r="L7064" s="30">
        <v>868446313</v>
      </c>
      <c r="M7064" s="80" t="s">
        <v>17779</v>
      </c>
      <c r="N7064" s="80" t="s">
        <v>4402</v>
      </c>
      <c r="O7064" s="80" t="s">
        <v>4503</v>
      </c>
      <c r="P7064" s="80" t="s">
        <v>3487</v>
      </c>
      <c r="Q7064" s="20">
        <v>15936</v>
      </c>
      <c r="R7064" s="80" t="s">
        <v>36</v>
      </c>
      <c r="S7064" s="95">
        <v>15786</v>
      </c>
      <c r="T7064" s="148">
        <v>45708</v>
      </c>
      <c r="U7064" s="95">
        <v>150</v>
      </c>
      <c r="V7064" s="148">
        <v>45729</v>
      </c>
      <c r="W7064" s="85" t="s">
        <v>21382</v>
      </c>
      <c r="X7064" s="80"/>
      <c r="Y7064" s="22">
        <v>0</v>
      </c>
      <c r="Z7064" s="80" t="s">
        <v>50</v>
      </c>
      <c r="AA7064" s="86" t="s">
        <v>19480</v>
      </c>
      <c r="AB7064" s="80"/>
      <c r="AC7064" s="80" t="s">
        <v>53</v>
      </c>
      <c r="AD7064" s="80" t="s">
        <v>138</v>
      </c>
      <c r="AE7064" s="80"/>
      <c r="AF7064" s="17">
        <v>45712</v>
      </c>
      <c r="AG7064" s="80"/>
      <c r="AH7064" s="80"/>
      <c r="AI7064" s="147"/>
      <c r="AJ7064" s="80"/>
      <c r="AK7064" s="80"/>
      <c r="AL7064" s="35"/>
      <c r="AM7064" s="35"/>
      <c r="AN7064" s="35"/>
      <c r="AO7064" s="35"/>
      <c r="AP7064" s="35"/>
    </row>
    <row r="7065" spans="1:42" x14ac:dyDescent="0.2">
      <c r="A7065" s="126">
        <v>45709.588025486111</v>
      </c>
      <c r="B7065" s="137" t="s">
        <v>37</v>
      </c>
      <c r="C7065" s="80" t="s">
        <v>38</v>
      </c>
      <c r="D7065" s="80" t="s">
        <v>36</v>
      </c>
      <c r="E7065" s="80" t="s">
        <v>139</v>
      </c>
      <c r="F7065" s="80" t="s">
        <v>36</v>
      </c>
      <c r="G7065" s="80" t="s">
        <v>41</v>
      </c>
      <c r="H7065" s="80" t="s">
        <v>20683</v>
      </c>
      <c r="I7065" s="17">
        <f ca="1">IFERROR(__xludf.DUMMYFUNCTION("""COMPUTED_VALUE"""),45715)</f>
        <v>45715</v>
      </c>
      <c r="J7065" s="143" t="s">
        <v>21730</v>
      </c>
      <c r="K7065" s="80" t="s">
        <v>21731</v>
      </c>
      <c r="L7065" s="30">
        <v>333273350</v>
      </c>
      <c r="M7065" s="80" t="s">
        <v>15996</v>
      </c>
      <c r="N7065" s="80" t="s">
        <v>186</v>
      </c>
      <c r="O7065" s="80" t="s">
        <v>4503</v>
      </c>
      <c r="P7065" s="80" t="s">
        <v>3487</v>
      </c>
      <c r="Q7065" s="20">
        <v>15936</v>
      </c>
      <c r="R7065" s="80" t="s">
        <v>36</v>
      </c>
      <c r="S7065" s="95">
        <v>3000</v>
      </c>
      <c r="T7065" s="148">
        <v>45704</v>
      </c>
      <c r="U7065" s="95">
        <v>12936</v>
      </c>
      <c r="V7065" s="148">
        <v>45730</v>
      </c>
      <c r="W7065" s="85" t="s">
        <v>21732</v>
      </c>
      <c r="X7065" s="80"/>
      <c r="Y7065" s="22">
        <v>0</v>
      </c>
      <c r="Z7065" s="80" t="s">
        <v>50</v>
      </c>
      <c r="AA7065" s="96" t="s">
        <v>19480</v>
      </c>
      <c r="AB7065" s="80"/>
      <c r="AC7065" s="80" t="s">
        <v>53</v>
      </c>
      <c r="AD7065" s="80" t="s">
        <v>138</v>
      </c>
      <c r="AE7065" s="80"/>
      <c r="AF7065" s="17">
        <v>45715</v>
      </c>
      <c r="AG7065" s="80"/>
      <c r="AH7065" s="80"/>
      <c r="AI7065" s="147"/>
      <c r="AJ7065" s="80"/>
      <c r="AK7065" s="80"/>
      <c r="AL7065" s="35"/>
      <c r="AM7065" s="35"/>
      <c r="AN7065" s="35"/>
      <c r="AO7065" s="35"/>
      <c r="AP7065" s="35"/>
    </row>
    <row r="7066" spans="1:42" x14ac:dyDescent="0.2">
      <c r="A7066" s="126">
        <v>45709.588955173611</v>
      </c>
      <c r="B7066" s="137" t="s">
        <v>37</v>
      </c>
      <c r="C7066" s="80" t="s">
        <v>38</v>
      </c>
      <c r="D7066" s="80" t="s">
        <v>36</v>
      </c>
      <c r="E7066" s="80" t="s">
        <v>56</v>
      </c>
      <c r="F7066" s="80" t="s">
        <v>36</v>
      </c>
      <c r="G7066" s="80" t="s">
        <v>41</v>
      </c>
      <c r="H7066" s="80" t="s">
        <v>20683</v>
      </c>
      <c r="I7066" s="17">
        <f ca="1">IFERROR(__xludf.DUMMYFUNCTION("""COMPUTED_VALUE"""),45715)</f>
        <v>45715</v>
      </c>
      <c r="J7066" s="143" t="s">
        <v>21733</v>
      </c>
      <c r="K7066" s="80" t="s">
        <v>21734</v>
      </c>
      <c r="L7066" s="30">
        <v>941641914</v>
      </c>
      <c r="M7066" s="80" t="s">
        <v>17779</v>
      </c>
      <c r="N7066" s="80" t="s">
        <v>4402</v>
      </c>
      <c r="O7066" s="80" t="s">
        <v>16292</v>
      </c>
      <c r="P7066" s="80" t="s">
        <v>3487</v>
      </c>
      <c r="Q7066" s="20">
        <v>9317</v>
      </c>
      <c r="R7066" s="80" t="s">
        <v>70</v>
      </c>
      <c r="S7066" s="95">
        <f t="shared" ref="S7066:S7067" si="216">100+3000</f>
        <v>3100</v>
      </c>
      <c r="T7066" s="83" t="s">
        <v>21735</v>
      </c>
      <c r="U7066" s="95">
        <v>6417</v>
      </c>
      <c r="V7066" s="148">
        <v>45740</v>
      </c>
      <c r="W7066" s="85" t="s">
        <v>21736</v>
      </c>
      <c r="X7066" s="80"/>
      <c r="Y7066" s="22">
        <v>100</v>
      </c>
      <c r="Z7066" s="80" t="s">
        <v>50</v>
      </c>
      <c r="AA7066" s="86" t="s">
        <v>19480</v>
      </c>
      <c r="AB7066" s="80"/>
      <c r="AC7066" s="80" t="s">
        <v>53</v>
      </c>
      <c r="AD7066" s="80" t="s">
        <v>138</v>
      </c>
      <c r="AE7066" s="80"/>
      <c r="AF7066" s="17">
        <v>45715</v>
      </c>
      <c r="AG7066" s="80"/>
      <c r="AH7066" s="80"/>
      <c r="AI7066" s="147"/>
      <c r="AJ7066" s="80"/>
      <c r="AK7066" s="80"/>
      <c r="AL7066" s="35"/>
      <c r="AM7066" s="35"/>
      <c r="AN7066" s="35"/>
      <c r="AO7066" s="35"/>
      <c r="AP7066" s="35"/>
    </row>
    <row r="7067" spans="1:42" x14ac:dyDescent="0.2">
      <c r="A7067" s="126">
        <v>45709.590450474541</v>
      </c>
      <c r="B7067" s="137" t="s">
        <v>37</v>
      </c>
      <c r="C7067" s="80" t="s">
        <v>38</v>
      </c>
      <c r="D7067" s="80" t="s">
        <v>36</v>
      </c>
      <c r="E7067" s="80" t="s">
        <v>56</v>
      </c>
      <c r="F7067" s="80" t="s">
        <v>36</v>
      </c>
      <c r="G7067" s="80" t="s">
        <v>41</v>
      </c>
      <c r="H7067" s="80" t="s">
        <v>20683</v>
      </c>
      <c r="I7067" s="17">
        <f ca="1">IFERROR(__xludf.DUMMYFUNCTION("""COMPUTED_VALUE"""),45715)</f>
        <v>45715</v>
      </c>
      <c r="J7067" s="143" t="s">
        <v>21737</v>
      </c>
      <c r="K7067" s="80" t="s">
        <v>21738</v>
      </c>
      <c r="L7067" s="30">
        <v>972096159</v>
      </c>
      <c r="M7067" s="80" t="s">
        <v>17779</v>
      </c>
      <c r="N7067" s="80" t="s">
        <v>4402</v>
      </c>
      <c r="O7067" s="80" t="s">
        <v>36</v>
      </c>
      <c r="P7067" s="80" t="s">
        <v>3487</v>
      </c>
      <c r="Q7067" s="20">
        <v>9317</v>
      </c>
      <c r="R7067" s="80" t="s">
        <v>36</v>
      </c>
      <c r="S7067" s="168">
        <f t="shared" si="216"/>
        <v>3100</v>
      </c>
      <c r="T7067" s="192" t="s">
        <v>21739</v>
      </c>
      <c r="U7067" s="95">
        <v>6417</v>
      </c>
      <c r="V7067" s="148">
        <v>45742</v>
      </c>
      <c r="W7067" s="85" t="s">
        <v>21740</v>
      </c>
      <c r="X7067" s="80"/>
      <c r="Y7067" s="22">
        <v>-200</v>
      </c>
      <c r="Z7067" s="80" t="s">
        <v>50</v>
      </c>
      <c r="AA7067" s="96" t="s">
        <v>19480</v>
      </c>
      <c r="AB7067" s="80"/>
      <c r="AC7067" s="80" t="s">
        <v>53</v>
      </c>
      <c r="AD7067" s="80" t="s">
        <v>138</v>
      </c>
      <c r="AE7067" s="80"/>
      <c r="AF7067" s="17">
        <v>45715</v>
      </c>
      <c r="AG7067" s="80"/>
      <c r="AH7067" s="80"/>
      <c r="AI7067" s="147"/>
      <c r="AJ7067" s="80"/>
      <c r="AK7067" s="80"/>
      <c r="AL7067" s="35"/>
      <c r="AM7067" s="35"/>
      <c r="AN7067" s="35"/>
      <c r="AO7067" s="35"/>
      <c r="AP7067" s="35"/>
    </row>
    <row r="7068" spans="1:42" x14ac:dyDescent="0.2">
      <c r="A7068" s="126">
        <v>45709.595414479161</v>
      </c>
      <c r="B7068" s="137" t="s">
        <v>37</v>
      </c>
      <c r="C7068" s="80" t="s">
        <v>38</v>
      </c>
      <c r="D7068" s="80" t="s">
        <v>36</v>
      </c>
      <c r="E7068" s="80" t="s">
        <v>56</v>
      </c>
      <c r="F7068" s="80" t="s">
        <v>36</v>
      </c>
      <c r="G7068" s="80" t="s">
        <v>41</v>
      </c>
      <c r="H7068" s="80" t="s">
        <v>19816</v>
      </c>
      <c r="I7068" s="17">
        <f ca="1">IFERROR(__xludf.DUMMYFUNCTION("""COMPUTED_VALUE"""),45720)</f>
        <v>45720</v>
      </c>
      <c r="J7068" s="143" t="s">
        <v>21741</v>
      </c>
      <c r="K7068" s="80" t="s">
        <v>19253</v>
      </c>
      <c r="L7068" s="30">
        <v>375682086</v>
      </c>
      <c r="M7068" s="80" t="s">
        <v>12644</v>
      </c>
      <c r="N7068" s="80" t="s">
        <v>260</v>
      </c>
      <c r="O7068" s="80" t="s">
        <v>21742</v>
      </c>
      <c r="P7068" s="80" t="s">
        <v>21743</v>
      </c>
      <c r="Q7068" s="20">
        <v>9317</v>
      </c>
      <c r="R7068" s="80" t="s">
        <v>70</v>
      </c>
      <c r="S7068" s="95">
        <f t="shared" ref="S7068:S7069" si="217">200+1800</f>
        <v>2000</v>
      </c>
      <c r="T7068" s="83" t="s">
        <v>21744</v>
      </c>
      <c r="U7068" s="95">
        <v>7217</v>
      </c>
      <c r="V7068" s="148">
        <v>45736</v>
      </c>
      <c r="W7068" s="85" t="s">
        <v>21745</v>
      </c>
      <c r="X7068" s="80"/>
      <c r="Y7068" s="22">
        <v>100</v>
      </c>
      <c r="Z7068" s="80" t="s">
        <v>50</v>
      </c>
      <c r="AA7068" s="86" t="s">
        <v>19480</v>
      </c>
      <c r="AB7068" s="80"/>
      <c r="AC7068" s="80" t="s">
        <v>53</v>
      </c>
      <c r="AD7068" s="80" t="s">
        <v>138</v>
      </c>
      <c r="AE7068" s="80"/>
      <c r="AF7068" s="17">
        <v>45720</v>
      </c>
      <c r="AG7068" s="80"/>
      <c r="AH7068" s="80"/>
      <c r="AI7068" s="147"/>
      <c r="AJ7068" s="80"/>
      <c r="AK7068" s="80"/>
      <c r="AL7068" s="35"/>
      <c r="AM7068" s="35"/>
      <c r="AN7068" s="35"/>
      <c r="AO7068" s="35"/>
      <c r="AP7068" s="35"/>
    </row>
    <row r="7069" spans="1:42" x14ac:dyDescent="0.2">
      <c r="A7069" s="126">
        <v>45709.597499745374</v>
      </c>
      <c r="B7069" s="137" t="s">
        <v>37</v>
      </c>
      <c r="C7069" s="80" t="s">
        <v>38</v>
      </c>
      <c r="D7069" s="80" t="s">
        <v>36</v>
      </c>
      <c r="E7069" s="80" t="s">
        <v>56</v>
      </c>
      <c r="F7069" s="80" t="s">
        <v>36</v>
      </c>
      <c r="G7069" s="80" t="s">
        <v>41</v>
      </c>
      <c r="H7069" s="80" t="s">
        <v>19816</v>
      </c>
      <c r="I7069" s="17">
        <f ca="1">IFERROR(__xludf.DUMMYFUNCTION("""COMPUTED_VALUE"""),45720)</f>
        <v>45720</v>
      </c>
      <c r="J7069" s="143" t="s">
        <v>21746</v>
      </c>
      <c r="K7069" s="80" t="s">
        <v>21747</v>
      </c>
      <c r="L7069" s="30">
        <v>866084350</v>
      </c>
      <c r="M7069" s="80" t="s">
        <v>12644</v>
      </c>
      <c r="N7069" s="80" t="s">
        <v>260</v>
      </c>
      <c r="O7069" s="80" t="s">
        <v>21748</v>
      </c>
      <c r="P7069" s="80" t="s">
        <v>21749</v>
      </c>
      <c r="Q7069" s="20">
        <v>9317</v>
      </c>
      <c r="R7069" s="80" t="s">
        <v>70</v>
      </c>
      <c r="S7069" s="95">
        <f t="shared" si="217"/>
        <v>2000</v>
      </c>
      <c r="T7069" s="83" t="s">
        <v>21744</v>
      </c>
      <c r="U7069" s="95">
        <v>7217</v>
      </c>
      <c r="V7069" s="148">
        <v>45735</v>
      </c>
      <c r="W7069" s="85" t="s">
        <v>21750</v>
      </c>
      <c r="X7069" s="80"/>
      <c r="Y7069" s="22">
        <v>100</v>
      </c>
      <c r="Z7069" s="80" t="s">
        <v>50</v>
      </c>
      <c r="AA7069" s="96" t="s">
        <v>19480</v>
      </c>
      <c r="AB7069" s="80"/>
      <c r="AC7069" s="80" t="s">
        <v>53</v>
      </c>
      <c r="AD7069" s="80" t="s">
        <v>138</v>
      </c>
      <c r="AE7069" s="80"/>
      <c r="AF7069" s="17">
        <v>45720</v>
      </c>
      <c r="AG7069" s="80"/>
      <c r="AH7069" s="80"/>
      <c r="AI7069" s="147"/>
      <c r="AJ7069" s="80"/>
      <c r="AK7069" s="80"/>
      <c r="AL7069" s="35"/>
      <c r="AM7069" s="35"/>
      <c r="AN7069" s="35"/>
      <c r="AO7069" s="35"/>
      <c r="AP7069" s="35"/>
    </row>
    <row r="7070" spans="1:42" x14ac:dyDescent="0.2">
      <c r="A7070" s="126">
        <v>45710.886016400458</v>
      </c>
      <c r="B7070" s="137" t="s">
        <v>37</v>
      </c>
      <c r="C7070" s="80" t="s">
        <v>38</v>
      </c>
      <c r="D7070" s="80" t="s">
        <v>36</v>
      </c>
      <c r="E7070" s="80" t="s">
        <v>139</v>
      </c>
      <c r="F7070" s="80" t="s">
        <v>36</v>
      </c>
      <c r="G7070" s="80" t="s">
        <v>41</v>
      </c>
      <c r="H7070" s="80" t="s">
        <v>19849</v>
      </c>
      <c r="I7070" s="17">
        <f ca="1">IFERROR(__xludf.DUMMYFUNCTION("""COMPUTED_VALUE"""),45713)</f>
        <v>45713</v>
      </c>
      <c r="J7070" s="143" t="s">
        <v>21751</v>
      </c>
      <c r="K7070" s="80" t="s">
        <v>21752</v>
      </c>
      <c r="L7070" s="30">
        <v>866443118</v>
      </c>
      <c r="M7070" s="80" t="s">
        <v>12720</v>
      </c>
      <c r="N7070" s="80" t="s">
        <v>1073</v>
      </c>
      <c r="O7070" s="80" t="s">
        <v>21753</v>
      </c>
      <c r="P7070" s="80" t="s">
        <v>21754</v>
      </c>
      <c r="Q7070" s="20">
        <v>15936</v>
      </c>
      <c r="R7070" s="80" t="s">
        <v>70</v>
      </c>
      <c r="S7070" s="95">
        <v>2000</v>
      </c>
      <c r="T7070" s="148">
        <v>45710</v>
      </c>
      <c r="U7070" s="80">
        <f>7000+6936</f>
        <v>13936</v>
      </c>
      <c r="V7070" s="80" t="s">
        <v>21755</v>
      </c>
      <c r="W7070" s="79" t="s">
        <v>21756</v>
      </c>
      <c r="X7070" s="80"/>
      <c r="Y7070" s="22">
        <v>0</v>
      </c>
      <c r="Z7070" s="80" t="s">
        <v>50</v>
      </c>
      <c r="AA7070" s="86" t="s">
        <v>19480</v>
      </c>
      <c r="AB7070" s="80"/>
      <c r="AC7070" s="80" t="s">
        <v>53</v>
      </c>
      <c r="AD7070" s="80" t="s">
        <v>54</v>
      </c>
      <c r="AE7070" s="83"/>
      <c r="AF7070" s="17">
        <v>45713</v>
      </c>
      <c r="AG7070" s="80"/>
      <c r="AH7070" s="80"/>
      <c r="AI7070" s="147"/>
      <c r="AJ7070" s="80"/>
      <c r="AK7070" s="80"/>
      <c r="AL7070" s="35"/>
      <c r="AM7070" s="35"/>
      <c r="AN7070" s="35"/>
      <c r="AO7070" s="35"/>
      <c r="AP7070" s="35"/>
    </row>
    <row r="7071" spans="1:42" x14ac:dyDescent="0.2">
      <c r="A7071" s="126">
        <v>45710.887692187505</v>
      </c>
      <c r="B7071" s="137" t="s">
        <v>37</v>
      </c>
      <c r="C7071" s="80" t="s">
        <v>38</v>
      </c>
      <c r="D7071" s="80" t="s">
        <v>36</v>
      </c>
      <c r="E7071" s="80" t="s">
        <v>139</v>
      </c>
      <c r="F7071" s="80" t="s">
        <v>36</v>
      </c>
      <c r="G7071" s="80" t="s">
        <v>41</v>
      </c>
      <c r="H7071" s="80" t="s">
        <v>19849</v>
      </c>
      <c r="I7071" s="17">
        <f ca="1">IFERROR(__xludf.DUMMYFUNCTION("""COMPUTED_VALUE"""),45713)</f>
        <v>45713</v>
      </c>
      <c r="J7071" s="143" t="s">
        <v>21757</v>
      </c>
      <c r="K7071" s="80" t="s">
        <v>21758</v>
      </c>
      <c r="L7071" s="30">
        <v>862608204</v>
      </c>
      <c r="M7071" s="80" t="s">
        <v>12720</v>
      </c>
      <c r="N7071" s="80" t="s">
        <v>1073</v>
      </c>
      <c r="O7071" s="80" t="s">
        <v>21759</v>
      </c>
      <c r="P7071" s="80" t="s">
        <v>21760</v>
      </c>
      <c r="Q7071" s="20">
        <v>15936</v>
      </c>
      <c r="R7071" s="80" t="s">
        <v>70</v>
      </c>
      <c r="S7071" s="95">
        <v>2000</v>
      </c>
      <c r="T7071" s="148">
        <v>45710</v>
      </c>
      <c r="U7071" s="95">
        <v>13936</v>
      </c>
      <c r="V7071" s="148">
        <v>45729</v>
      </c>
      <c r="W7071" s="80" t="s">
        <v>21761</v>
      </c>
      <c r="X7071" s="80"/>
      <c r="Y7071" s="22">
        <v>0</v>
      </c>
      <c r="Z7071" s="80" t="s">
        <v>50</v>
      </c>
      <c r="AA7071" s="96" t="s">
        <v>19480</v>
      </c>
      <c r="AB7071" s="80"/>
      <c r="AC7071" s="80" t="s">
        <v>53</v>
      </c>
      <c r="AD7071" s="80" t="s">
        <v>54</v>
      </c>
      <c r="AE7071" s="83"/>
      <c r="AF7071" s="17">
        <v>45713</v>
      </c>
      <c r="AG7071" s="80"/>
      <c r="AH7071" s="80"/>
      <c r="AI7071" s="147"/>
      <c r="AJ7071" s="80"/>
      <c r="AK7071" s="80"/>
      <c r="AL7071" s="35"/>
      <c r="AM7071" s="35"/>
      <c r="AN7071" s="35"/>
      <c r="AO7071" s="35"/>
      <c r="AP7071" s="35"/>
    </row>
    <row r="7072" spans="1:42" x14ac:dyDescent="0.2">
      <c r="A7072" s="126">
        <v>45711.93257420139</v>
      </c>
      <c r="B7072" s="137" t="s">
        <v>37</v>
      </c>
      <c r="C7072" s="80" t="s">
        <v>38</v>
      </c>
      <c r="D7072" s="80" t="s">
        <v>36</v>
      </c>
      <c r="E7072" s="80" t="s">
        <v>139</v>
      </c>
      <c r="F7072" s="80" t="s">
        <v>36</v>
      </c>
      <c r="G7072" s="80" t="s">
        <v>41</v>
      </c>
      <c r="H7072" s="80" t="s">
        <v>20683</v>
      </c>
      <c r="I7072" s="17">
        <f ca="1">IFERROR(__xludf.DUMMYFUNCTION("""COMPUTED_VALUE"""),45715)</f>
        <v>45715</v>
      </c>
      <c r="J7072" s="143" t="s">
        <v>21762</v>
      </c>
      <c r="K7072" s="80" t="s">
        <v>21763</v>
      </c>
      <c r="L7072" s="30">
        <v>862071618</v>
      </c>
      <c r="M7072" s="80" t="s">
        <v>15996</v>
      </c>
      <c r="N7072" s="80" t="s">
        <v>186</v>
      </c>
      <c r="O7072" s="80" t="s">
        <v>4503</v>
      </c>
      <c r="P7072" s="80" t="s">
        <v>21764</v>
      </c>
      <c r="Q7072" s="20">
        <v>15936</v>
      </c>
      <c r="R7072" s="80" t="s">
        <v>36</v>
      </c>
      <c r="S7072" s="95">
        <f>200+3000</f>
        <v>3200</v>
      </c>
      <c r="T7072" s="83" t="s">
        <v>21765</v>
      </c>
      <c r="U7072" s="95">
        <v>12736</v>
      </c>
      <c r="V7072" s="148">
        <v>45746</v>
      </c>
      <c r="W7072" s="85" t="s">
        <v>21766</v>
      </c>
      <c r="X7072" s="80"/>
      <c r="Y7072" s="22">
        <v>0</v>
      </c>
      <c r="Z7072" s="80" t="s">
        <v>50</v>
      </c>
      <c r="AA7072" s="86" t="s">
        <v>19480</v>
      </c>
      <c r="AB7072" s="80"/>
      <c r="AC7072" s="80"/>
      <c r="AD7072" s="80" t="s">
        <v>138</v>
      </c>
      <c r="AE7072" s="80"/>
      <c r="AF7072" s="17">
        <v>45715</v>
      </c>
      <c r="AG7072" s="80"/>
      <c r="AH7072" s="80"/>
      <c r="AI7072" s="147"/>
      <c r="AJ7072" s="80"/>
      <c r="AK7072" s="80"/>
      <c r="AL7072" s="35"/>
      <c r="AM7072" s="35"/>
      <c r="AN7072" s="35"/>
      <c r="AO7072" s="35"/>
      <c r="AP7072" s="35"/>
    </row>
    <row r="7073" spans="1:42" x14ac:dyDescent="0.2">
      <c r="A7073" s="126">
        <v>45712.539719768523</v>
      </c>
      <c r="B7073" s="137" t="s">
        <v>37</v>
      </c>
      <c r="C7073" s="80" t="s">
        <v>38</v>
      </c>
      <c r="D7073" s="80" t="s">
        <v>36</v>
      </c>
      <c r="E7073" s="80" t="s">
        <v>139</v>
      </c>
      <c r="F7073" s="80" t="s">
        <v>36</v>
      </c>
      <c r="G7073" s="80" t="s">
        <v>41</v>
      </c>
      <c r="H7073" s="80" t="s">
        <v>20939</v>
      </c>
      <c r="I7073" s="17">
        <f ca="1">IFERROR(__xludf.DUMMYFUNCTION("""COMPUTED_VALUE"""),45716)</f>
        <v>45716</v>
      </c>
      <c r="J7073" s="143" t="s">
        <v>21767</v>
      </c>
      <c r="K7073" s="80" t="s">
        <v>21768</v>
      </c>
      <c r="L7073" s="30">
        <v>986260031</v>
      </c>
      <c r="M7073" s="80" t="s">
        <v>12529</v>
      </c>
      <c r="N7073" s="80" t="s">
        <v>13566</v>
      </c>
      <c r="O7073" s="80" t="s">
        <v>21769</v>
      </c>
      <c r="P7073" s="80" t="s">
        <v>21770</v>
      </c>
      <c r="Q7073" s="20">
        <v>15936</v>
      </c>
      <c r="R7073" s="80" t="s">
        <v>36</v>
      </c>
      <c r="S7073" s="95">
        <v>2000</v>
      </c>
      <c r="T7073" s="148">
        <v>45712</v>
      </c>
      <c r="U7073" s="95">
        <v>13950</v>
      </c>
      <c r="V7073" s="148">
        <v>45733</v>
      </c>
      <c r="W7073" s="85" t="s">
        <v>21771</v>
      </c>
      <c r="X7073" s="80"/>
      <c r="Y7073" s="22">
        <v>-14</v>
      </c>
      <c r="Z7073" s="80" t="s">
        <v>50</v>
      </c>
      <c r="AA7073" s="96" t="s">
        <v>19480</v>
      </c>
      <c r="AB7073" s="80"/>
      <c r="AC7073" s="80" t="s">
        <v>53</v>
      </c>
      <c r="AD7073" s="80" t="s">
        <v>54</v>
      </c>
      <c r="AE7073" s="80"/>
      <c r="AF7073" s="17">
        <v>45713</v>
      </c>
      <c r="AG7073" s="80"/>
      <c r="AH7073" s="80"/>
      <c r="AI7073" s="147"/>
      <c r="AJ7073" s="80"/>
      <c r="AK7073" s="80"/>
      <c r="AL7073" s="35"/>
      <c r="AM7073" s="35"/>
      <c r="AN7073" s="35"/>
      <c r="AO7073" s="35"/>
      <c r="AP7073" s="35"/>
    </row>
    <row r="7074" spans="1:42" x14ac:dyDescent="0.2">
      <c r="A7074" s="126">
        <v>45712.870452592593</v>
      </c>
      <c r="B7074" s="137" t="s">
        <v>37</v>
      </c>
      <c r="C7074" s="80" t="s">
        <v>38</v>
      </c>
      <c r="D7074" s="80" t="s">
        <v>36</v>
      </c>
      <c r="E7074" s="80" t="s">
        <v>139</v>
      </c>
      <c r="F7074" s="80" t="s">
        <v>36</v>
      </c>
      <c r="G7074" s="80" t="s">
        <v>41</v>
      </c>
      <c r="H7074" s="80" t="s">
        <v>18102</v>
      </c>
      <c r="I7074" s="17">
        <f ca="1">IFERROR(__xludf.DUMMYFUNCTION("""COMPUTED_VALUE"""),45712)</f>
        <v>45712</v>
      </c>
      <c r="J7074" s="143" t="s">
        <v>21772</v>
      </c>
      <c r="K7074" s="80" t="s">
        <v>21773</v>
      </c>
      <c r="L7074" s="30">
        <v>865246518</v>
      </c>
      <c r="M7074" s="80" t="s">
        <v>5518</v>
      </c>
      <c r="N7074" s="80" t="s">
        <v>5524</v>
      </c>
      <c r="O7074" s="80" t="s">
        <v>21774</v>
      </c>
      <c r="P7074" s="144" t="s">
        <v>21775</v>
      </c>
      <c r="Q7074" s="20">
        <v>15936</v>
      </c>
      <c r="R7074" s="80" t="s">
        <v>36</v>
      </c>
      <c r="S7074" s="95">
        <v>2000</v>
      </c>
      <c r="T7074" s="148">
        <v>45702</v>
      </c>
      <c r="U7074" s="95">
        <v>13936</v>
      </c>
      <c r="V7074" s="148">
        <v>45729</v>
      </c>
      <c r="W7074" s="85" t="s">
        <v>21776</v>
      </c>
      <c r="X7074" s="80"/>
      <c r="Y7074" s="22">
        <v>0</v>
      </c>
      <c r="Z7074" s="80" t="s">
        <v>50</v>
      </c>
      <c r="AA7074" s="86" t="s">
        <v>19480</v>
      </c>
      <c r="AB7074" s="80"/>
      <c r="AC7074" s="80" t="s">
        <v>53</v>
      </c>
      <c r="AD7074" s="80" t="s">
        <v>54</v>
      </c>
      <c r="AE7074" s="80"/>
      <c r="AF7074" s="17">
        <v>45713</v>
      </c>
      <c r="AG7074" s="80"/>
      <c r="AH7074" s="80"/>
      <c r="AI7074" s="147"/>
      <c r="AJ7074" s="80"/>
      <c r="AK7074" s="80"/>
      <c r="AL7074" s="35"/>
      <c r="AM7074" s="35"/>
      <c r="AN7074" s="35"/>
      <c r="AO7074" s="35"/>
      <c r="AP7074" s="35"/>
    </row>
    <row r="7075" spans="1:42" x14ac:dyDescent="0.2">
      <c r="A7075" s="126">
        <v>45713.912429270829</v>
      </c>
      <c r="B7075" s="137" t="s">
        <v>90</v>
      </c>
      <c r="C7075" s="80" t="s">
        <v>38</v>
      </c>
      <c r="D7075" s="80" t="s">
        <v>36</v>
      </c>
      <c r="E7075" s="80" t="s">
        <v>56</v>
      </c>
      <c r="F7075" s="80" t="s">
        <v>36</v>
      </c>
      <c r="G7075" s="80" t="s">
        <v>41</v>
      </c>
      <c r="H7075" s="80" t="s">
        <v>18102</v>
      </c>
      <c r="I7075" s="17">
        <f ca="1">IFERROR(__xludf.DUMMYFUNCTION("""COMPUTED_VALUE"""),45712)</f>
        <v>45712</v>
      </c>
      <c r="J7075" s="143" t="s">
        <v>21777</v>
      </c>
      <c r="K7075" s="80" t="s">
        <v>21778</v>
      </c>
      <c r="L7075" s="30">
        <v>886891593</v>
      </c>
      <c r="M7075" s="80" t="s">
        <v>45</v>
      </c>
      <c r="N7075" s="80" t="s">
        <v>1472</v>
      </c>
      <c r="O7075" s="80" t="s">
        <v>21779</v>
      </c>
      <c r="P7075" s="80" t="s">
        <v>21780</v>
      </c>
      <c r="Q7075" s="20">
        <v>9317</v>
      </c>
      <c r="R7075" s="80" t="s">
        <v>36</v>
      </c>
      <c r="S7075" s="95">
        <f t="shared" ref="S7075:S7076" si="218">1000+8317</f>
        <v>9317</v>
      </c>
      <c r="T7075" s="148">
        <v>45711</v>
      </c>
      <c r="U7075" s="95"/>
      <c r="V7075" s="148">
        <v>45715</v>
      </c>
      <c r="W7075" s="85" t="s">
        <v>21781</v>
      </c>
      <c r="X7075" s="80"/>
      <c r="Y7075" s="22">
        <v>0</v>
      </c>
      <c r="Z7075" s="80" t="s">
        <v>50</v>
      </c>
      <c r="AA7075" s="96" t="s">
        <v>19480</v>
      </c>
      <c r="AB7075" s="80"/>
      <c r="AC7075" s="80" t="s">
        <v>53</v>
      </c>
      <c r="AD7075" s="80" t="s">
        <v>54</v>
      </c>
      <c r="AE7075" s="83">
        <v>0</v>
      </c>
      <c r="AF7075" s="17">
        <v>45715</v>
      </c>
      <c r="AG7075" s="80"/>
      <c r="AH7075" s="80"/>
      <c r="AI7075" s="147"/>
      <c r="AJ7075" s="80"/>
      <c r="AK7075" s="80"/>
      <c r="AL7075" s="35"/>
      <c r="AM7075" s="35"/>
      <c r="AN7075" s="35"/>
      <c r="AO7075" s="35"/>
      <c r="AP7075" s="35"/>
    </row>
    <row r="7076" spans="1:42" x14ac:dyDescent="0.2">
      <c r="A7076" s="126">
        <v>45713.932522835647</v>
      </c>
      <c r="B7076" s="137" t="s">
        <v>37</v>
      </c>
      <c r="C7076" s="80" t="s">
        <v>38</v>
      </c>
      <c r="D7076" s="80" t="s">
        <v>36</v>
      </c>
      <c r="E7076" s="80" t="s">
        <v>56</v>
      </c>
      <c r="F7076" s="80" t="s">
        <v>36</v>
      </c>
      <c r="G7076" s="80" t="s">
        <v>41</v>
      </c>
      <c r="H7076" s="80" t="s">
        <v>21782</v>
      </c>
      <c r="I7076" s="17">
        <f ca="1">IFERROR(__xludf.DUMMYFUNCTION("""COMPUTED_VALUE"""),45741)</f>
        <v>45741</v>
      </c>
      <c r="J7076" s="143" t="s">
        <v>21783</v>
      </c>
      <c r="K7076" s="80" t="s">
        <v>21784</v>
      </c>
      <c r="L7076" s="30">
        <v>971643729</v>
      </c>
      <c r="M7076" s="80" t="s">
        <v>45</v>
      </c>
      <c r="N7076" s="80" t="s">
        <v>1472</v>
      </c>
      <c r="O7076" s="80" t="s">
        <v>21785</v>
      </c>
      <c r="P7076" s="80" t="s">
        <v>21786</v>
      </c>
      <c r="Q7076" s="20">
        <v>9317</v>
      </c>
      <c r="R7076" s="80" t="s">
        <v>36</v>
      </c>
      <c r="S7076" s="95">
        <f t="shared" si="218"/>
        <v>9317</v>
      </c>
      <c r="T7076" s="83" t="s">
        <v>21787</v>
      </c>
      <c r="U7076" s="77"/>
      <c r="V7076" s="78"/>
      <c r="W7076" s="85" t="s">
        <v>21788</v>
      </c>
      <c r="X7076" s="80"/>
      <c r="Y7076" s="22">
        <v>0</v>
      </c>
      <c r="Z7076" s="80" t="s">
        <v>50</v>
      </c>
      <c r="AA7076" s="86" t="s">
        <v>19480</v>
      </c>
      <c r="AB7076" s="80"/>
      <c r="AC7076" s="80" t="s">
        <v>53</v>
      </c>
      <c r="AD7076" s="80" t="s">
        <v>54</v>
      </c>
      <c r="AE7076" s="83">
        <v>0</v>
      </c>
      <c r="AF7076" s="17">
        <v>45722</v>
      </c>
      <c r="AG7076" s="80"/>
      <c r="AH7076" s="80"/>
      <c r="AI7076" s="147"/>
      <c r="AJ7076" s="80"/>
      <c r="AK7076" s="80"/>
      <c r="AL7076" s="35"/>
      <c r="AM7076" s="35"/>
      <c r="AN7076" s="35"/>
      <c r="AO7076" s="35"/>
      <c r="AP7076" s="35"/>
    </row>
    <row r="7077" spans="1:42" x14ac:dyDescent="0.2">
      <c r="A7077" s="126">
        <v>45714.394648402777</v>
      </c>
      <c r="B7077" s="137" t="s">
        <v>37</v>
      </c>
      <c r="C7077" s="80" t="s">
        <v>38</v>
      </c>
      <c r="D7077" s="80" t="s">
        <v>36</v>
      </c>
      <c r="E7077" s="80" t="s">
        <v>77</v>
      </c>
      <c r="F7077" s="80" t="s">
        <v>36</v>
      </c>
      <c r="G7077" s="80" t="s">
        <v>41</v>
      </c>
      <c r="H7077" s="80" t="s">
        <v>21789</v>
      </c>
      <c r="I7077" s="17" t="str">
        <f ca="1">IFERROR(__xludf.DUMMYFUNCTION("""COMPUTED_VALUE""")," ")</f>
        <v xml:space="preserve"> </v>
      </c>
      <c r="J7077" s="143" t="s">
        <v>21790</v>
      </c>
      <c r="K7077" s="80" t="s">
        <v>21791</v>
      </c>
      <c r="L7077" s="30">
        <v>385679421</v>
      </c>
      <c r="M7077" s="80" t="s">
        <v>18358</v>
      </c>
      <c r="N7077" s="80" t="s">
        <v>2847</v>
      </c>
      <c r="O7077" s="80" t="s">
        <v>4503</v>
      </c>
      <c r="P7077" s="80" t="s">
        <v>3487</v>
      </c>
      <c r="Q7077" s="20">
        <v>1968</v>
      </c>
      <c r="R7077" s="80" t="s">
        <v>36</v>
      </c>
      <c r="S7077" s="95">
        <f>100+2000</f>
        <v>2100</v>
      </c>
      <c r="T7077" s="83" t="s">
        <v>21792</v>
      </c>
      <c r="U7077" s="77"/>
      <c r="V7077" s="78"/>
      <c r="W7077" s="85" t="s">
        <v>21793</v>
      </c>
      <c r="X7077" s="80"/>
      <c r="Y7077" s="22">
        <v>-132</v>
      </c>
      <c r="Z7077" s="80" t="s">
        <v>50</v>
      </c>
      <c r="AA7077" s="96" t="s">
        <v>19480</v>
      </c>
      <c r="AB7077" s="80"/>
      <c r="AC7077" s="80"/>
      <c r="AD7077" s="80" t="s">
        <v>138</v>
      </c>
      <c r="AE7077" s="80"/>
      <c r="AF7077" s="17">
        <v>45720</v>
      </c>
      <c r="AG7077" s="80" t="s">
        <v>7078</v>
      </c>
      <c r="AH7077" s="80"/>
      <c r="AI7077" s="147"/>
      <c r="AJ7077" s="80"/>
      <c r="AK7077" s="80"/>
      <c r="AL7077" s="35"/>
      <c r="AM7077" s="35"/>
      <c r="AN7077" s="35"/>
      <c r="AO7077" s="35"/>
      <c r="AP7077" s="35"/>
    </row>
    <row r="7078" spans="1:42" x14ac:dyDescent="0.2">
      <c r="A7078" s="126">
        <v>45714.818479884256</v>
      </c>
      <c r="B7078" s="137" t="s">
        <v>37</v>
      </c>
      <c r="C7078" s="80" t="s">
        <v>38</v>
      </c>
      <c r="D7078" s="80" t="s">
        <v>36</v>
      </c>
      <c r="E7078" s="80" t="s">
        <v>139</v>
      </c>
      <c r="F7078" s="80" t="s">
        <v>36</v>
      </c>
      <c r="G7078" s="80" t="s">
        <v>41</v>
      </c>
      <c r="H7078" s="80" t="s">
        <v>20978</v>
      </c>
      <c r="I7078" s="17">
        <f ca="1">IFERROR(__xludf.DUMMYFUNCTION("""COMPUTED_VALUE"""),45727)</f>
        <v>45727</v>
      </c>
      <c r="J7078" s="143" t="s">
        <v>21794</v>
      </c>
      <c r="K7078" s="80" t="s">
        <v>21795</v>
      </c>
      <c r="L7078" s="30">
        <v>967196554</v>
      </c>
      <c r="M7078" s="80" t="s">
        <v>5558</v>
      </c>
      <c r="N7078" s="80" t="s">
        <v>5277</v>
      </c>
      <c r="O7078" s="80" t="s">
        <v>4503</v>
      </c>
      <c r="P7078" s="80" t="s">
        <v>21796</v>
      </c>
      <c r="Q7078" s="20">
        <v>15936</v>
      </c>
      <c r="R7078" s="80" t="s">
        <v>36</v>
      </c>
      <c r="S7078" s="95">
        <v>2000</v>
      </c>
      <c r="T7078" s="148">
        <v>45714</v>
      </c>
      <c r="U7078" s="95">
        <v>13936</v>
      </c>
      <c r="V7078" s="148">
        <v>45740</v>
      </c>
      <c r="W7078" s="85" t="s">
        <v>21797</v>
      </c>
      <c r="X7078" s="80"/>
      <c r="Y7078" s="22">
        <v>0</v>
      </c>
      <c r="Z7078" s="80" t="s">
        <v>50</v>
      </c>
      <c r="AA7078" s="86" t="s">
        <v>19480</v>
      </c>
      <c r="AB7078" s="80"/>
      <c r="AC7078" s="80" t="s">
        <v>53</v>
      </c>
      <c r="AD7078" s="80" t="s">
        <v>54</v>
      </c>
      <c r="AE7078" s="80"/>
      <c r="AF7078" s="17">
        <v>45722</v>
      </c>
      <c r="AG7078" s="80"/>
      <c r="AH7078" s="80"/>
      <c r="AI7078" s="147"/>
      <c r="AJ7078" s="80"/>
      <c r="AK7078" s="80"/>
      <c r="AL7078" s="35"/>
      <c r="AM7078" s="35"/>
      <c r="AN7078" s="35"/>
      <c r="AO7078" s="35"/>
      <c r="AP7078" s="35"/>
    </row>
    <row r="7079" spans="1:42" x14ac:dyDescent="0.2">
      <c r="A7079" s="38">
        <v>45714</v>
      </c>
      <c r="B7079" s="28" t="s">
        <v>37</v>
      </c>
      <c r="C7079" s="80" t="s">
        <v>21798</v>
      </c>
      <c r="D7079" s="80" t="s">
        <v>36</v>
      </c>
      <c r="E7079" s="80" t="s">
        <v>219</v>
      </c>
      <c r="F7079" s="80" t="s">
        <v>14073</v>
      </c>
      <c r="G7079" s="161" t="s">
        <v>221</v>
      </c>
      <c r="H7079" s="80" t="s">
        <v>19526</v>
      </c>
      <c r="I7079" s="17">
        <f ca="1">IFERROR(__xludf.DUMMYFUNCTION("""COMPUTED_VALUE"""),45804)</f>
        <v>45804</v>
      </c>
      <c r="J7079" s="143" t="s">
        <v>13363</v>
      </c>
      <c r="K7079" s="145" t="s">
        <v>21799</v>
      </c>
      <c r="L7079" s="30">
        <v>366357415</v>
      </c>
      <c r="M7079" s="80" t="s">
        <v>348</v>
      </c>
      <c r="N7079" s="80" t="s">
        <v>68</v>
      </c>
      <c r="O7079" s="80" t="s">
        <v>13365</v>
      </c>
      <c r="P7079" s="80" t="s">
        <v>7743</v>
      </c>
      <c r="Q7079" s="20">
        <v>3968</v>
      </c>
      <c r="R7079" s="80" t="s">
        <v>36</v>
      </c>
      <c r="S7079" s="95">
        <v>3868</v>
      </c>
      <c r="T7079" s="148">
        <v>45725</v>
      </c>
      <c r="U7079" s="77"/>
      <c r="V7079" s="78"/>
      <c r="W7079" s="79" t="s">
        <v>21800</v>
      </c>
      <c r="X7079" s="83">
        <v>0</v>
      </c>
      <c r="Y7079" s="22">
        <v>100</v>
      </c>
      <c r="Z7079" s="80" t="s">
        <v>50</v>
      </c>
      <c r="AA7079" s="96" t="s">
        <v>19480</v>
      </c>
      <c r="AB7079" s="80"/>
      <c r="AC7079" s="80" t="s">
        <v>53</v>
      </c>
      <c r="AD7079" s="80" t="s">
        <v>138</v>
      </c>
      <c r="AE7079" s="80" t="s">
        <v>14073</v>
      </c>
      <c r="AF7079" s="17">
        <v>45727</v>
      </c>
      <c r="AG7079" s="80"/>
      <c r="AH7079" s="80"/>
      <c r="AI7079" s="147" t="s">
        <v>84</v>
      </c>
      <c r="AJ7079" s="80"/>
      <c r="AK7079" s="80"/>
      <c r="AL7079" s="86"/>
      <c r="AM7079" s="86"/>
      <c r="AN7079" s="86"/>
      <c r="AO7079" s="86"/>
      <c r="AP7079" s="86"/>
    </row>
  </sheetData>
  <conditionalFormatting sqref="Z6687">
    <cfRule type="cellIs" dxfId="744" priority="1" operator="equal">
      <formula>"R-Thiếu"</formula>
    </cfRule>
  </conditionalFormatting>
  <conditionalFormatting sqref="Z6687">
    <cfRule type="cellIs" dxfId="743" priority="2" operator="equal">
      <formula>"R"</formula>
    </cfRule>
  </conditionalFormatting>
  <conditionalFormatting sqref="C6687 Z6687">
    <cfRule type="cellIs" dxfId="742" priority="3" operator="equal">
      <formula>"Đã tính lương"</formula>
    </cfRule>
  </conditionalFormatting>
  <conditionalFormatting sqref="X6687:Y6687">
    <cfRule type="endsWith" dxfId="741" priority="4" operator="endsWith" text=" ">
      <formula>RIGHT((X6687),LEN(" "))=(" ")</formula>
    </cfRule>
  </conditionalFormatting>
  <conditionalFormatting sqref="X6687:Y6687">
    <cfRule type="endsWith" dxfId="740" priority="5" operator="endsWith" text=" ">
      <formula>RIGHT((X6687),LEN(" "))=(" ")</formula>
    </cfRule>
  </conditionalFormatting>
  <conditionalFormatting sqref="C6687">
    <cfRule type="cellIs" dxfId="739" priority="6" operator="equal">
      <formula>"Đã tính lương"</formula>
    </cfRule>
  </conditionalFormatting>
  <conditionalFormatting sqref="C6687">
    <cfRule type="cellIs" dxfId="738" priority="7" operator="equal">
      <formula>"Up quá trình"</formula>
    </cfRule>
  </conditionalFormatting>
  <conditionalFormatting sqref="C6687">
    <cfRule type="cellIs" dxfId="737" priority="8" operator="equal">
      <formula>"Đã tính lương"</formula>
    </cfRule>
  </conditionalFormatting>
  <conditionalFormatting sqref="C6687">
    <cfRule type="cellIs" dxfId="736" priority="9" operator="equal">
      <formula>"Up Level"</formula>
    </cfRule>
  </conditionalFormatting>
  <conditionalFormatting sqref="C6687">
    <cfRule type="cellIs" dxfId="735" priority="10" operator="equal">
      <formula>"Mới"</formula>
    </cfRule>
  </conditionalFormatting>
  <conditionalFormatting sqref="C6687">
    <cfRule type="cellIs" dxfId="734" priority="11" operator="equal">
      <formula>"Up quá trình"</formula>
    </cfRule>
  </conditionalFormatting>
  <conditionalFormatting sqref="C6687">
    <cfRule type="cellIs" dxfId="733" priority="12" operator="equal">
      <formula>"Up Level"</formula>
    </cfRule>
  </conditionalFormatting>
  <conditionalFormatting sqref="C6687">
    <cfRule type="cellIs" dxfId="732" priority="13" operator="equal">
      <formula>"Mới"</formula>
    </cfRule>
  </conditionalFormatting>
  <conditionalFormatting sqref="B6677 B6687:B6700 B6859">
    <cfRule type="cellIs" dxfId="731" priority="14" operator="equal">
      <formula>"LỖI LINK FB"</formula>
    </cfRule>
  </conditionalFormatting>
  <conditionalFormatting sqref="B6677 B6687:B6700 B6859">
    <cfRule type="cellIs" dxfId="730" priority="15" operator="equal">
      <formula>"Chờ feedback"</formula>
    </cfRule>
  </conditionalFormatting>
  <conditionalFormatting sqref="B6677 B6687:B6700 B6859">
    <cfRule type="cellIs" dxfId="729" priority="16" operator="equal">
      <formula>"Chờ lớp"</formula>
    </cfRule>
  </conditionalFormatting>
  <conditionalFormatting sqref="B6677 B6687:B6700 B6859">
    <cfRule type="cellIs" dxfId="728" priority="17" operator="equal">
      <formula>"DONE"</formula>
    </cfRule>
  </conditionalFormatting>
  <conditionalFormatting sqref="B6677 B6687:B6700">
    <cfRule type="cellIs" dxfId="727" priority="18" operator="equal">
      <formula>"LỖI LINK FB"</formula>
    </cfRule>
  </conditionalFormatting>
  <conditionalFormatting sqref="B6677 B6687:B6700">
    <cfRule type="cellIs" dxfId="726" priority="19" operator="equal">
      <formula>"LỖI LINK FB"</formula>
    </cfRule>
  </conditionalFormatting>
  <conditionalFormatting sqref="B6677 B6687:B6700">
    <cfRule type="cellIs" dxfId="725" priority="20" operator="equal">
      <formula>"LỖI LINK FB"</formula>
    </cfRule>
  </conditionalFormatting>
  <conditionalFormatting sqref="B6677 B6687:B6700">
    <cfRule type="cellIs" dxfId="724" priority="21" operator="equal">
      <formula>"LỖI LINK FB"</formula>
    </cfRule>
  </conditionalFormatting>
  <conditionalFormatting sqref="B6677 B6687:B6700">
    <cfRule type="cellIs" dxfId="723" priority="22" operator="equal">
      <formula>"LỖI LINK FB"</formula>
    </cfRule>
  </conditionalFormatting>
  <conditionalFormatting sqref="B6677 B6687:B6700">
    <cfRule type="cellIs" dxfId="722" priority="23" operator="equal">
      <formula>"LỖI LINK FB"</formula>
    </cfRule>
  </conditionalFormatting>
  <conditionalFormatting sqref="B6677 B6687:B6700">
    <cfRule type="cellIs" dxfId="721" priority="24" operator="equal">
      <formula>"LỖI LINK FB"</formula>
    </cfRule>
  </conditionalFormatting>
  <conditionalFormatting sqref="B6677 B6687:B6700">
    <cfRule type="cellIs" dxfId="720" priority="25" operator="equal">
      <formula>"LỖI LINK FB"</formula>
    </cfRule>
  </conditionalFormatting>
  <conditionalFormatting sqref="B6677 B6687:B6700">
    <cfRule type="cellIs" dxfId="719" priority="26" operator="equal">
      <formula>"LỖI LINK FB"</formula>
    </cfRule>
  </conditionalFormatting>
  <conditionalFormatting sqref="B6677 B6687:B6700">
    <cfRule type="cellIs" dxfId="718" priority="27" operator="equal">
      <formula>"LỖI LINK FB"</formula>
    </cfRule>
  </conditionalFormatting>
  <conditionalFormatting sqref="B6677 B6687:B6700">
    <cfRule type="cellIs" dxfId="717" priority="28" operator="equal">
      <formula>"LỖI LINK FB"</formula>
    </cfRule>
  </conditionalFormatting>
  <conditionalFormatting sqref="B6677 B6687:B6700">
    <cfRule type="cellIs" dxfId="716" priority="29" operator="equal">
      <formula>"LỖI LINK FB"</formula>
    </cfRule>
  </conditionalFormatting>
  <conditionalFormatting sqref="B6677 B6687:B6700">
    <cfRule type="cellIs" dxfId="715" priority="30" operator="equal">
      <formula>"LỖI LINK FB"</formula>
    </cfRule>
  </conditionalFormatting>
  <conditionalFormatting sqref="B6677 B6687:B6700">
    <cfRule type="cellIs" dxfId="714" priority="31" operator="equal">
      <formula>"LỖI LINK FB"</formula>
    </cfRule>
  </conditionalFormatting>
  <conditionalFormatting sqref="B6677 B6687:B6700">
    <cfRule type="cellIs" dxfId="713" priority="32" operator="equal">
      <formula>"Chờ feedback"</formula>
    </cfRule>
  </conditionalFormatting>
  <conditionalFormatting sqref="B6677 B6687:B6700">
    <cfRule type="cellIs" dxfId="712" priority="33" operator="equal">
      <formula>"Chờ lớp"</formula>
    </cfRule>
  </conditionalFormatting>
  <conditionalFormatting sqref="B6677 B6687:B6700">
    <cfRule type="cellIs" dxfId="711" priority="34" operator="equal">
      <formula>"DONE"</formula>
    </cfRule>
  </conditionalFormatting>
  <conditionalFormatting sqref="AF3786 A6687:A6798 AF6688 AF6781 A6856:A6990 AF6944">
    <cfRule type="cellIs" dxfId="710" priority="35" operator="equal">
      <formula>"Đã nhận"</formula>
    </cfRule>
  </conditionalFormatting>
  <conditionalFormatting sqref="D6687">
    <cfRule type="containsText" dxfId="709" priority="36" operator="containsText" text="Combo">
      <formula>NOT(ISERROR(SEARCH(("Combo"),(D6687))))</formula>
    </cfRule>
  </conditionalFormatting>
  <conditionalFormatting sqref="D6687">
    <cfRule type="cellIs" dxfId="708" priority="37" operator="equal">
      <formula>"Toeic Lv2"</formula>
    </cfRule>
  </conditionalFormatting>
  <conditionalFormatting sqref="D6687">
    <cfRule type="cellIs" dxfId="707" priority="38" operator="equal">
      <formula>"Toeic Lv1"</formula>
    </cfRule>
  </conditionalFormatting>
  <conditionalFormatting sqref="D6687">
    <cfRule type="cellIs" dxfId="706" priority="39" operator="equal">
      <formula>"GT Lv3"</formula>
    </cfRule>
  </conditionalFormatting>
  <conditionalFormatting sqref="D6687">
    <cfRule type="cellIs" dxfId="705" priority="40" operator="equal">
      <formula>"GT Lv2"</formula>
    </cfRule>
  </conditionalFormatting>
  <conditionalFormatting sqref="D6687">
    <cfRule type="cellIs" dxfId="704" priority="41" operator="equal">
      <formula>"GT Lv1"</formula>
    </cfRule>
  </conditionalFormatting>
  <conditionalFormatting sqref="C6687">
    <cfRule type="cellIs" dxfId="703" priority="42" operator="equal">
      <formula>"Mới"</formula>
    </cfRule>
  </conditionalFormatting>
  <conditionalFormatting sqref="C6687">
    <cfRule type="cellIs" dxfId="702" priority="43" operator="equal">
      <formula>"Up Level"</formula>
    </cfRule>
  </conditionalFormatting>
  <conditionalFormatting sqref="C6687">
    <cfRule type="cellIs" dxfId="701" priority="44" operator="equal">
      <formula>"Up quá trình"</formula>
    </cfRule>
  </conditionalFormatting>
  <conditionalFormatting sqref="C6687">
    <cfRule type="cellIs" dxfId="700" priority="45" operator="equal">
      <formula>"Mới"</formula>
    </cfRule>
  </conditionalFormatting>
  <conditionalFormatting sqref="C6687">
    <cfRule type="cellIs" dxfId="699" priority="46" operator="equal">
      <formula>"Up Level"</formula>
    </cfRule>
  </conditionalFormatting>
  <conditionalFormatting sqref="C6687">
    <cfRule type="cellIs" dxfId="698" priority="47" operator="equal">
      <formula>"Đã tính lương"</formula>
    </cfRule>
  </conditionalFormatting>
  <conditionalFormatting sqref="C6687">
    <cfRule type="cellIs" dxfId="697" priority="48" operator="equal">
      <formula>"Up quá trình"</formula>
    </cfRule>
  </conditionalFormatting>
  <conditionalFormatting sqref="H6687 AE6687 H6757 H6767 H6782 H6828 H6848 H6855 H6862 H6878">
    <cfRule type="colorScale" priority="49">
      <colorScale>
        <cfvo type="min"/>
        <cfvo type="max"/>
        <color rgb="FF57BB8A"/>
        <color rgb="FFFFFFFF"/>
      </colorScale>
    </cfRule>
  </conditionalFormatting>
  <conditionalFormatting sqref="G6687:H6687 AE6687 H6757 H6767 H6782 H6828 H6848 H6855 H6862 H6878">
    <cfRule type="cellIs" dxfId="696" priority="50" operator="equal">
      <formula>"A"</formula>
    </cfRule>
  </conditionalFormatting>
  <conditionalFormatting sqref="G6687:H6687 AE6687 H6757 H6767 H6782 H6828 H6848 H6855 H6862 H6878">
    <cfRule type="cellIs" dxfId="695" priority="51" operator="equal">
      <formula>"B"</formula>
    </cfRule>
  </conditionalFormatting>
  <conditionalFormatting sqref="G6687:H6687 AE6687 H6757 H6767 H6782 H6828 H6848 H6855 H6862 H6878">
    <cfRule type="cellIs" dxfId="694" priority="52" operator="equal">
      <formula>"C"</formula>
    </cfRule>
  </conditionalFormatting>
  <conditionalFormatting sqref="G6687:H6687 AE6687 H6757 H6767 H6782 H6828 H6848 H6855 H6862 H6878">
    <cfRule type="cellIs" dxfId="693" priority="53" operator="equal">
      <formula>"T"</formula>
    </cfRule>
  </conditionalFormatting>
  <conditionalFormatting sqref="G6687:H6687 AE6687 H6757 H6767 H6782 H6828 H6848 H6855 H6862 H6878">
    <cfRule type="cellIs" dxfId="692" priority="54" operator="equal">
      <formula>"V"</formula>
    </cfRule>
  </conditionalFormatting>
  <conditionalFormatting sqref="AC6687:AF6687 AF6943">
    <cfRule type="cellIs" dxfId="691" priority="55" operator="equal">
      <formula>"Đã nhận"</formula>
    </cfRule>
  </conditionalFormatting>
  <conditionalFormatting sqref="G6687">
    <cfRule type="cellIs" dxfId="690" priority="56" operator="equal">
      <formula>"V"</formula>
    </cfRule>
  </conditionalFormatting>
  <conditionalFormatting sqref="G6687">
    <cfRule type="cellIs" dxfId="689" priority="57" operator="equal">
      <formula>"V"</formula>
    </cfRule>
  </conditionalFormatting>
  <conditionalFormatting sqref="G6687">
    <cfRule type="cellIs" dxfId="688" priority="58" operator="equal">
      <formula>"V"</formula>
    </cfRule>
  </conditionalFormatting>
  <conditionalFormatting sqref="G6687">
    <cfRule type="cellIs" dxfId="687" priority="59" operator="equal">
      <formula>"V"</formula>
    </cfRule>
  </conditionalFormatting>
  <conditionalFormatting sqref="G6687">
    <cfRule type="cellIs" dxfId="686" priority="60" operator="equal">
      <formula>"V"</formula>
    </cfRule>
  </conditionalFormatting>
  <conditionalFormatting sqref="G6687">
    <cfRule type="cellIs" dxfId="685" priority="61" operator="equal">
      <formula>"V"</formula>
    </cfRule>
  </conditionalFormatting>
  <conditionalFormatting sqref="G6687">
    <cfRule type="cellIs" dxfId="684" priority="62" operator="equal">
      <formula>"A"</formula>
    </cfRule>
  </conditionalFormatting>
  <conditionalFormatting sqref="G6687">
    <cfRule type="cellIs" dxfId="683" priority="63" operator="equal">
      <formula>"B"</formula>
    </cfRule>
  </conditionalFormatting>
  <conditionalFormatting sqref="G6687">
    <cfRule type="cellIs" dxfId="682" priority="64" operator="equal">
      <formula>"C"</formula>
    </cfRule>
  </conditionalFormatting>
  <conditionalFormatting sqref="G6687">
    <cfRule type="cellIs" dxfId="681" priority="65" operator="equal">
      <formula>"T"</formula>
    </cfRule>
  </conditionalFormatting>
  <conditionalFormatting sqref="G6687">
    <cfRule type="cellIs" dxfId="680" priority="66" operator="equal">
      <formula>"V"</formula>
    </cfRule>
  </conditionalFormatting>
  <conditionalFormatting sqref="B6677 B6687:B6700">
    <cfRule type="cellIs" dxfId="679" priority="67" operator="equal">
      <formula>"DONE"</formula>
    </cfRule>
  </conditionalFormatting>
  <conditionalFormatting sqref="B6677 B6687:B6700">
    <cfRule type="cellIs" dxfId="678" priority="68" operator="equal">
      <formula>"Chờ lớp"</formula>
    </cfRule>
  </conditionalFormatting>
  <conditionalFormatting sqref="B6677 B6687:B6700">
    <cfRule type="cellIs" dxfId="677" priority="69" operator="equal">
      <formula>"Chờ feedback"</formula>
    </cfRule>
  </conditionalFormatting>
  <conditionalFormatting sqref="B6677 B6687:B6700">
    <cfRule type="cellIs" dxfId="676" priority="70" operator="equal">
      <formula>"LỖI LINK FB"</formula>
    </cfRule>
  </conditionalFormatting>
  <conditionalFormatting sqref="B6677 B6687:B6700">
    <cfRule type="cellIs" dxfId="675" priority="71" operator="equal">
      <formula>"LỖI LINK FB"</formula>
    </cfRule>
  </conditionalFormatting>
  <conditionalFormatting sqref="B6677 B6687:B6700">
    <cfRule type="cellIs" dxfId="674" priority="72" operator="equal">
      <formula>"LỖI LINK FB"</formula>
    </cfRule>
  </conditionalFormatting>
  <conditionalFormatting sqref="B6677 B6687:B6700">
    <cfRule type="cellIs" dxfId="673" priority="73" operator="equal">
      <formula>"LỖI LINK FB"</formula>
    </cfRule>
  </conditionalFormatting>
  <conditionalFormatting sqref="B6677 B6687:B6700">
    <cfRule type="cellIs" dxfId="672" priority="74" operator="equal">
      <formula>"LỖI LINK FB"</formula>
    </cfRule>
  </conditionalFormatting>
  <conditionalFormatting sqref="B6677 B6687:B6700">
    <cfRule type="cellIs" dxfId="671" priority="75" operator="equal">
      <formula>"LỖI LINK FB"</formula>
    </cfRule>
  </conditionalFormatting>
  <conditionalFormatting sqref="B6677 B6687:B6700">
    <cfRule type="cellIs" dxfId="670" priority="76" operator="equal">
      <formula>"LỖI LINK FB"</formula>
    </cfRule>
  </conditionalFormatting>
  <conditionalFormatting sqref="B6677 B6687:B6700">
    <cfRule type="cellIs" dxfId="669" priority="77" operator="equal">
      <formula>"LỖI LINK FB"</formula>
    </cfRule>
  </conditionalFormatting>
  <conditionalFormatting sqref="B6677 B6687:B6700">
    <cfRule type="cellIs" dxfId="668" priority="78" operator="equal">
      <formula>"LỖI LINK FB"</formula>
    </cfRule>
  </conditionalFormatting>
  <conditionalFormatting sqref="B6677 B6687:B6700">
    <cfRule type="cellIs" dxfId="667" priority="79" operator="equal">
      <formula>"LỖI LINK FB"</formula>
    </cfRule>
  </conditionalFormatting>
  <conditionalFormatting sqref="B6677 B6687:B6700">
    <cfRule type="cellIs" dxfId="666" priority="80" operator="equal">
      <formula>"LỖI LINK FB"</formula>
    </cfRule>
  </conditionalFormatting>
  <conditionalFormatting sqref="B6677 B6687:B6700">
    <cfRule type="cellIs" dxfId="665" priority="81" operator="equal">
      <formula>"LỖI LINK FB"</formula>
    </cfRule>
  </conditionalFormatting>
  <conditionalFormatting sqref="B6677 B6687:B6700">
    <cfRule type="cellIs" dxfId="664" priority="82" operator="equal">
      <formula>"LỖI LINK FB"</formula>
    </cfRule>
  </conditionalFormatting>
  <conditionalFormatting sqref="B6677 B6687:B6700">
    <cfRule type="cellIs" dxfId="663" priority="83" operator="equal">
      <formula>"LỖI LINK FB"</formula>
    </cfRule>
  </conditionalFormatting>
  <conditionalFormatting sqref="B6677 B6687:B6700">
    <cfRule type="cellIs" dxfId="662" priority="84" operator="equal">
      <formula>"DONE"</formula>
    </cfRule>
  </conditionalFormatting>
  <conditionalFormatting sqref="B6677 B6687:B6700">
    <cfRule type="cellIs" dxfId="661" priority="85" operator="equal">
      <formula>"Chờ lớp"</formula>
    </cfRule>
  </conditionalFormatting>
  <conditionalFormatting sqref="B6677 B6687:B6700">
    <cfRule type="cellIs" dxfId="660" priority="86" operator="equal">
      <formula>"Chờ feedback"</formula>
    </cfRule>
  </conditionalFormatting>
  <conditionalFormatting sqref="B6677 B6687:B6700">
    <cfRule type="cellIs" dxfId="659" priority="87" operator="equal">
      <formula>"LỖI LINK FB"</formula>
    </cfRule>
  </conditionalFormatting>
  <conditionalFormatting sqref="A6687:A6798 AF6688 A6856:A6990 AF6944">
    <cfRule type="cellIs" dxfId="658" priority="88" operator="equal">
      <formula>"Đã nhận"</formula>
    </cfRule>
  </conditionalFormatting>
  <conditionalFormatting sqref="N6687">
    <cfRule type="cellIs" dxfId="657" priority="89" operator="equal">
      <formula>"TIẾN"</formula>
    </cfRule>
  </conditionalFormatting>
  <conditionalFormatting sqref="R6687">
    <cfRule type="containsText" dxfId="656" priority="90" operator="containsText" text="Chung">
      <formula>NOT(ISERROR(SEARCH(("Chung"),(R6687))))</formula>
    </cfRule>
  </conditionalFormatting>
  <conditionalFormatting sqref="R6687">
    <cfRule type="containsText" dxfId="655" priority="91" operator="containsText" text="Chung">
      <formula>NOT(ISERROR(SEARCH(("Chung"),(R6687))))</formula>
    </cfRule>
  </conditionalFormatting>
  <conditionalFormatting sqref="W6687:X6687">
    <cfRule type="cellIs" dxfId="654" priority="92" operator="equal">
      <formula>"Sách"</formula>
    </cfRule>
  </conditionalFormatting>
  <conditionalFormatting sqref="W6687:X6687">
    <cfRule type="cellIs" dxfId="653" priority="93" operator="equal">
      <formula>"Sách"</formula>
    </cfRule>
  </conditionalFormatting>
  <conditionalFormatting sqref="C6487">
    <cfRule type="cellIs" dxfId="652" priority="94" operator="equal">
      <formula>"Mới"</formula>
    </cfRule>
  </conditionalFormatting>
  <conditionalFormatting sqref="C6487">
    <cfRule type="cellIs" dxfId="651" priority="95" operator="equal">
      <formula>"Up Level"</formula>
    </cfRule>
  </conditionalFormatting>
  <conditionalFormatting sqref="C6487">
    <cfRule type="cellIs" dxfId="650" priority="96" operator="equal">
      <formula>"Đã tính lương"</formula>
    </cfRule>
  </conditionalFormatting>
  <conditionalFormatting sqref="C6487">
    <cfRule type="cellIs" dxfId="649" priority="97" operator="equal">
      <formula>"Up quá trình"</formula>
    </cfRule>
  </conditionalFormatting>
  <conditionalFormatting sqref="G6487:H6487">
    <cfRule type="cellIs" dxfId="648" priority="98" operator="equal">
      <formula>"A"</formula>
    </cfRule>
  </conditionalFormatting>
  <conditionalFormatting sqref="G6487:H6487">
    <cfRule type="cellIs" dxfId="647" priority="99" operator="equal">
      <formula>"B"</formula>
    </cfRule>
  </conditionalFormatting>
  <conditionalFormatting sqref="G6487:H6487">
    <cfRule type="cellIs" dxfId="646" priority="100" operator="equal">
      <formula>"C"</formula>
    </cfRule>
  </conditionalFormatting>
  <conditionalFormatting sqref="G6487:H6487">
    <cfRule type="cellIs" dxfId="645" priority="101" operator="equal">
      <formula>"T"</formula>
    </cfRule>
  </conditionalFormatting>
  <conditionalFormatting sqref="G6487:H6487">
    <cfRule type="cellIs" dxfId="644" priority="102" operator="equal">
      <formula>"V"</formula>
    </cfRule>
  </conditionalFormatting>
  <conditionalFormatting sqref="H6487">
    <cfRule type="colorScale" priority="103">
      <colorScale>
        <cfvo type="min"/>
        <cfvo type="max"/>
        <color rgb="FF57BB8A"/>
        <color rgb="FFFFFFFF"/>
      </colorScale>
    </cfRule>
  </conditionalFormatting>
  <conditionalFormatting sqref="B6487">
    <cfRule type="cellIs" dxfId="643" priority="104" operator="equal">
      <formula>"DONE"</formula>
    </cfRule>
  </conditionalFormatting>
  <conditionalFormatting sqref="B6487">
    <cfRule type="cellIs" dxfId="642" priority="105" operator="equal">
      <formula>"Chờ lớp"</formula>
    </cfRule>
  </conditionalFormatting>
  <conditionalFormatting sqref="B6487">
    <cfRule type="cellIs" dxfId="641" priority="106" operator="equal">
      <formula>"Chờ feedback"</formula>
    </cfRule>
  </conditionalFormatting>
  <conditionalFormatting sqref="B6487">
    <cfRule type="cellIs" dxfId="640" priority="107" operator="equal">
      <formula>"LỖI LINK FB"</formula>
    </cfRule>
  </conditionalFormatting>
  <conditionalFormatting sqref="AC6487:AF6487 A6632:A6686 AF6748">
    <cfRule type="cellIs" dxfId="639" priority="108" operator="equal">
      <formula>"Đã nhận"</formula>
    </cfRule>
  </conditionalFormatting>
  <conditionalFormatting sqref="W6487:X6487">
    <cfRule type="cellIs" dxfId="638" priority="109" operator="equal">
      <formula>"Sách"</formula>
    </cfRule>
  </conditionalFormatting>
  <conditionalFormatting sqref="N6487">
    <cfRule type="cellIs" dxfId="637" priority="110" operator="equal">
      <formula>"TIẾN"</formula>
    </cfRule>
  </conditionalFormatting>
  <conditionalFormatting sqref="R6487">
    <cfRule type="containsText" dxfId="636" priority="111" operator="containsText" text="Chung">
      <formula>NOT(ISERROR(SEARCH(("Chung"),(R6487))))</formula>
    </cfRule>
  </conditionalFormatting>
  <conditionalFormatting sqref="Z6487">
    <cfRule type="cellIs" dxfId="635" priority="112" operator="equal">
      <formula>"R"</formula>
    </cfRule>
  </conditionalFormatting>
  <conditionalFormatting sqref="Z6487">
    <cfRule type="cellIs" dxfId="634" priority="113" operator="equal">
      <formula>"R-Thiếu"</formula>
    </cfRule>
  </conditionalFormatting>
  <conditionalFormatting sqref="Z6487">
    <cfRule type="cellIs" dxfId="633" priority="114" operator="equal">
      <formula>"Đã tính lương"</formula>
    </cfRule>
  </conditionalFormatting>
  <conditionalFormatting sqref="Y6487">
    <cfRule type="endsWith" dxfId="632" priority="115" operator="endsWith" text=" ">
      <formula>RIGHT((Y6487),LEN(" "))=(" ")</formula>
    </cfRule>
  </conditionalFormatting>
  <conditionalFormatting sqref="AC6452:AF6452">
    <cfRule type="cellIs" dxfId="631" priority="116" operator="equal">
      <formula>"Đã nhận"</formula>
    </cfRule>
  </conditionalFormatting>
  <conditionalFormatting sqref="Y6452">
    <cfRule type="endsWith" dxfId="630" priority="117" operator="endsWith" text=" ">
      <formula>RIGHT((Y6452),LEN(" "))=(" ")</formula>
    </cfRule>
  </conditionalFormatting>
  <conditionalFormatting sqref="Z6452">
    <cfRule type="cellIs" dxfId="629" priority="118" operator="equal">
      <formula>"Đã tính lương"</formula>
    </cfRule>
  </conditionalFormatting>
  <conditionalFormatting sqref="Z6452">
    <cfRule type="cellIs" dxfId="628" priority="119" operator="equal">
      <formula>"R-Thiếu"</formula>
    </cfRule>
  </conditionalFormatting>
  <conditionalFormatting sqref="Z6452">
    <cfRule type="cellIs" dxfId="627" priority="120" operator="equal">
      <formula>"R"</formula>
    </cfRule>
  </conditionalFormatting>
  <conditionalFormatting sqref="W6452:X6452">
    <cfRule type="cellIs" dxfId="626" priority="121" operator="equal">
      <formula>"Sách"</formula>
    </cfRule>
  </conditionalFormatting>
  <conditionalFormatting sqref="H6452">
    <cfRule type="colorScale" priority="122">
      <colorScale>
        <cfvo type="min"/>
        <cfvo type="max"/>
        <color rgb="FF57BB8A"/>
        <color rgb="FFFFFFFF"/>
      </colorScale>
    </cfRule>
  </conditionalFormatting>
  <conditionalFormatting sqref="R6452">
    <cfRule type="containsText" dxfId="625" priority="123" operator="containsText" text="Chung">
      <formula>NOT(ISERROR(SEARCH(("Chung"),(R6452))))</formula>
    </cfRule>
  </conditionalFormatting>
  <conditionalFormatting sqref="N6452">
    <cfRule type="cellIs" dxfId="624" priority="124" operator="equal">
      <formula>"TIẾN"</formula>
    </cfRule>
  </conditionalFormatting>
  <conditionalFormatting sqref="G6452:G6453 H6452">
    <cfRule type="cellIs" dxfId="623" priority="125" operator="equal">
      <formula>"V"</formula>
    </cfRule>
  </conditionalFormatting>
  <conditionalFormatting sqref="G6452:G6453 H6452">
    <cfRule type="cellIs" dxfId="622" priority="126" operator="equal">
      <formula>"T"</formula>
    </cfRule>
  </conditionalFormatting>
  <conditionalFormatting sqref="G6452:G6453 H6452">
    <cfRule type="cellIs" dxfId="621" priority="127" operator="equal">
      <formula>"C"</formula>
    </cfRule>
  </conditionalFormatting>
  <conditionalFormatting sqref="G6452:G6453 H6452">
    <cfRule type="cellIs" dxfId="620" priority="128" operator="equal">
      <formula>"B"</formula>
    </cfRule>
  </conditionalFormatting>
  <conditionalFormatting sqref="G6452:G6453 H6452">
    <cfRule type="cellIs" dxfId="619" priority="129" operator="equal">
      <formula>"A"</formula>
    </cfRule>
  </conditionalFormatting>
  <conditionalFormatting sqref="C6452">
    <cfRule type="cellIs" dxfId="618" priority="130" operator="equal">
      <formula>"Up quá trình"</formula>
    </cfRule>
  </conditionalFormatting>
  <conditionalFormatting sqref="C6452">
    <cfRule type="cellIs" dxfId="617" priority="131" operator="equal">
      <formula>"Đã tính lương"</formula>
    </cfRule>
  </conditionalFormatting>
  <conditionalFormatting sqref="C6452">
    <cfRule type="cellIs" dxfId="616" priority="132" operator="equal">
      <formula>"Up Level"</formula>
    </cfRule>
  </conditionalFormatting>
  <conditionalFormatting sqref="C6452">
    <cfRule type="cellIs" dxfId="615" priority="133" operator="equal">
      <formula>"Mới"</formula>
    </cfRule>
  </conditionalFormatting>
  <conditionalFormatting sqref="B6452">
    <cfRule type="cellIs" dxfId="614" priority="134" operator="equal">
      <formula>"DONE"</formula>
    </cfRule>
  </conditionalFormatting>
  <conditionalFormatting sqref="B6452">
    <cfRule type="cellIs" dxfId="613" priority="135" operator="equal">
      <formula>"Chờ lớp"</formula>
    </cfRule>
  </conditionalFormatting>
  <conditionalFormatting sqref="B6452">
    <cfRule type="cellIs" dxfId="612" priority="136" operator="equal">
      <formula>"Chờ feedback"</formula>
    </cfRule>
  </conditionalFormatting>
  <conditionalFormatting sqref="B6452">
    <cfRule type="cellIs" dxfId="611" priority="137" operator="equal">
      <formula>"LỖI LINK FB"</formula>
    </cfRule>
  </conditionalFormatting>
  <conditionalFormatting sqref="R6451">
    <cfRule type="containsText" dxfId="610" priority="138" operator="containsText" text="Chung">
      <formula>NOT(ISERROR(SEARCH(("Chung"),(R6451))))</formula>
    </cfRule>
  </conditionalFormatting>
  <conditionalFormatting sqref="N6451">
    <cfRule type="cellIs" dxfId="609" priority="139" operator="equal">
      <formula>"TIẾN"</formula>
    </cfRule>
  </conditionalFormatting>
  <conditionalFormatting sqref="W6451:X6451">
    <cfRule type="cellIs" dxfId="608" priority="140" operator="equal">
      <formula>"Sách"</formula>
    </cfRule>
  </conditionalFormatting>
  <conditionalFormatting sqref="X6451:Y6451">
    <cfRule type="endsWith" dxfId="607" priority="141" operator="endsWith" text=" ">
      <formula>RIGHT((X6451),LEN(" "))=(" ")</formula>
    </cfRule>
  </conditionalFormatting>
  <conditionalFormatting sqref="AE6451 H6451">
    <cfRule type="colorScale" priority="142">
      <colorScale>
        <cfvo type="min"/>
        <cfvo type="max"/>
        <color rgb="FF57BB8A"/>
        <color rgb="FFFFFFFF"/>
      </colorScale>
    </cfRule>
  </conditionalFormatting>
  <conditionalFormatting sqref="C6451">
    <cfRule type="cellIs" dxfId="606" priority="143" operator="equal">
      <formula>"Up quá trình"</formula>
    </cfRule>
  </conditionalFormatting>
  <conditionalFormatting sqref="C6451">
    <cfRule type="cellIs" dxfId="605" priority="144" operator="equal">
      <formula>"Đã tính lương"</formula>
    </cfRule>
  </conditionalFormatting>
  <conditionalFormatting sqref="C6451">
    <cfRule type="cellIs" dxfId="604" priority="145" operator="equal">
      <formula>"Up Level"</formula>
    </cfRule>
  </conditionalFormatting>
  <conditionalFormatting sqref="C6451">
    <cfRule type="cellIs" dxfId="603" priority="146" operator="equal">
      <formula>"Mới"</formula>
    </cfRule>
  </conditionalFormatting>
  <conditionalFormatting sqref="G6451:H6451">
    <cfRule type="cellIs" dxfId="602" priority="147" operator="equal">
      <formula>"V"</formula>
    </cfRule>
  </conditionalFormatting>
  <conditionalFormatting sqref="G6451:H6451">
    <cfRule type="cellIs" dxfId="601" priority="148" operator="equal">
      <formula>"T"</formula>
    </cfRule>
  </conditionalFormatting>
  <conditionalFormatting sqref="G6451:H6451">
    <cfRule type="cellIs" dxfId="600" priority="149" operator="equal">
      <formula>"C"</formula>
    </cfRule>
  </conditionalFormatting>
  <conditionalFormatting sqref="G6451:H6451">
    <cfRule type="cellIs" dxfId="599" priority="150" operator="equal">
      <formula>"B"</formula>
    </cfRule>
  </conditionalFormatting>
  <conditionalFormatting sqref="G6451:H6451">
    <cfRule type="cellIs" dxfId="598" priority="151" operator="equal">
      <formula>"A"</formula>
    </cfRule>
  </conditionalFormatting>
  <conditionalFormatting sqref="D6451">
    <cfRule type="cellIs" dxfId="597" priority="152" operator="equal">
      <formula>"GT Lv1"</formula>
    </cfRule>
  </conditionalFormatting>
  <conditionalFormatting sqref="D6451">
    <cfRule type="cellIs" dxfId="596" priority="153" operator="equal">
      <formula>"GT Lv2"</formula>
    </cfRule>
  </conditionalFormatting>
  <conditionalFormatting sqref="D6451">
    <cfRule type="cellIs" dxfId="595" priority="154" operator="equal">
      <formula>"GT Lv3"</formula>
    </cfRule>
  </conditionalFormatting>
  <conditionalFormatting sqref="D6451">
    <cfRule type="cellIs" dxfId="594" priority="155" operator="equal">
      <formula>"Toeic Lv1"</formula>
    </cfRule>
  </conditionalFormatting>
  <conditionalFormatting sqref="D6451">
    <cfRule type="cellIs" dxfId="593" priority="156" operator="equal">
      <formula>"Toeic Lv2"</formula>
    </cfRule>
  </conditionalFormatting>
  <conditionalFormatting sqref="D6451">
    <cfRule type="containsText" dxfId="592" priority="157" operator="containsText" text="Combo">
      <formula>NOT(ISERROR(SEARCH(("Combo"),(D6451))))</formula>
    </cfRule>
  </conditionalFormatting>
  <conditionalFormatting sqref="B6451">
    <cfRule type="cellIs" dxfId="591" priority="158" operator="equal">
      <formula>"LỖI LINK FB"</formula>
    </cfRule>
  </conditionalFormatting>
  <conditionalFormatting sqref="B6451">
    <cfRule type="cellIs" dxfId="590" priority="159" operator="equal">
      <formula>"Chờ feedback"</formula>
    </cfRule>
  </conditionalFormatting>
  <conditionalFormatting sqref="B6451">
    <cfRule type="cellIs" dxfId="589" priority="160" operator="equal">
      <formula>"Chờ lớp"</formula>
    </cfRule>
  </conditionalFormatting>
  <conditionalFormatting sqref="B6451">
    <cfRule type="cellIs" dxfId="588" priority="161" operator="equal">
      <formula>"DONE"</formula>
    </cfRule>
  </conditionalFormatting>
  <conditionalFormatting sqref="AC6451:AF6451">
    <cfRule type="cellIs" dxfId="587" priority="162" operator="equal">
      <formula>"Đã nhận"</formula>
    </cfRule>
  </conditionalFormatting>
  <conditionalFormatting sqref="Z6451">
    <cfRule type="cellIs" dxfId="586" priority="163" operator="equal">
      <formula>"Đã tính lương"</formula>
    </cfRule>
  </conditionalFormatting>
  <conditionalFormatting sqref="Z6451">
    <cfRule type="cellIs" dxfId="585" priority="164" operator="equal">
      <formula>"R-Thiếu"</formula>
    </cfRule>
  </conditionalFormatting>
  <conditionalFormatting sqref="Z6451">
    <cfRule type="cellIs" dxfId="584" priority="165" operator="equal">
      <formula>"R"</formula>
    </cfRule>
  </conditionalFormatting>
  <conditionalFormatting sqref="D6450">
    <cfRule type="cellIs" dxfId="583" priority="166" operator="equal">
      <formula>"GT Lv1"</formula>
    </cfRule>
  </conditionalFormatting>
  <conditionalFormatting sqref="D6450">
    <cfRule type="cellIs" dxfId="582" priority="167" operator="equal">
      <formula>"GT Lv2"</formula>
    </cfRule>
  </conditionalFormatting>
  <conditionalFormatting sqref="D6450">
    <cfRule type="cellIs" dxfId="581" priority="168" operator="equal">
      <formula>"GT Lv3"</formula>
    </cfRule>
  </conditionalFormatting>
  <conditionalFormatting sqref="D6450">
    <cfRule type="cellIs" dxfId="580" priority="169" operator="equal">
      <formula>"Toeic Lv1"</formula>
    </cfRule>
  </conditionalFormatting>
  <conditionalFormatting sqref="D6450">
    <cfRule type="cellIs" dxfId="579" priority="170" operator="equal">
      <formula>"Toeic Lv2"</formula>
    </cfRule>
  </conditionalFormatting>
  <conditionalFormatting sqref="D6450">
    <cfRule type="containsText" dxfId="578" priority="171" operator="containsText" text="Combo">
      <formula>NOT(ISERROR(SEARCH(("Combo"),(D6450))))</formula>
    </cfRule>
  </conditionalFormatting>
  <conditionalFormatting sqref="Z6450">
    <cfRule type="cellIs" dxfId="577" priority="172" operator="equal">
      <formula>"Đã tính lương"</formula>
    </cfRule>
  </conditionalFormatting>
  <conditionalFormatting sqref="Z6450">
    <cfRule type="cellIs" dxfId="576" priority="173" operator="equal">
      <formula>"R-Thiếu"</formula>
    </cfRule>
  </conditionalFormatting>
  <conditionalFormatting sqref="Z6450">
    <cfRule type="cellIs" dxfId="575" priority="174" operator="equal">
      <formula>"R"</formula>
    </cfRule>
  </conditionalFormatting>
  <conditionalFormatting sqref="R6450">
    <cfRule type="containsText" dxfId="574" priority="175" operator="containsText" text="Chung">
      <formula>NOT(ISERROR(SEARCH(("Chung"),(R6450))))</formula>
    </cfRule>
  </conditionalFormatting>
  <conditionalFormatting sqref="N6450">
    <cfRule type="cellIs" dxfId="573" priority="176" operator="equal">
      <formula>"TIẾN"</formula>
    </cfRule>
  </conditionalFormatting>
  <conditionalFormatting sqref="W6450:X6450">
    <cfRule type="cellIs" dxfId="572" priority="177" operator="equal">
      <formula>"Sách"</formula>
    </cfRule>
  </conditionalFormatting>
  <conditionalFormatting sqref="X6450:Y6450">
    <cfRule type="endsWith" dxfId="571" priority="178" operator="endsWith" text=" ">
      <formula>RIGHT((X6450),LEN(" "))=(" ")</formula>
    </cfRule>
  </conditionalFormatting>
  <conditionalFormatting sqref="C6450">
    <cfRule type="cellIs" dxfId="570" priority="179" operator="equal">
      <formula>"Up quá trình"</formula>
    </cfRule>
  </conditionalFormatting>
  <conditionalFormatting sqref="C6450">
    <cfRule type="cellIs" dxfId="569" priority="180" operator="equal">
      <formula>"Đã tính lương"</formula>
    </cfRule>
  </conditionalFormatting>
  <conditionalFormatting sqref="C6450">
    <cfRule type="cellIs" dxfId="568" priority="181" operator="equal">
      <formula>"Up Level"</formula>
    </cfRule>
  </conditionalFormatting>
  <conditionalFormatting sqref="C6450">
    <cfRule type="cellIs" dxfId="567" priority="182" operator="equal">
      <formula>"Mới"</formula>
    </cfRule>
  </conditionalFormatting>
  <conditionalFormatting sqref="F6450 H6450 AE6450">
    <cfRule type="colorScale" priority="183">
      <colorScale>
        <cfvo type="min"/>
        <cfvo type="max"/>
        <color rgb="FF57BB8A"/>
        <color rgb="FFFFFFFF"/>
      </colorScale>
    </cfRule>
  </conditionalFormatting>
  <conditionalFormatting sqref="F6450:H6450 AE6450">
    <cfRule type="cellIs" dxfId="566" priority="184" operator="equal">
      <formula>"V"</formula>
    </cfRule>
  </conditionalFormatting>
  <conditionalFormatting sqref="F6450:H6450 AE6450">
    <cfRule type="cellIs" dxfId="565" priority="185" operator="equal">
      <formula>"T"</formula>
    </cfRule>
  </conditionalFormatting>
  <conditionalFormatting sqref="F6450:H6450 AE6450">
    <cfRule type="cellIs" dxfId="564" priority="186" operator="equal">
      <formula>"C"</formula>
    </cfRule>
  </conditionalFormatting>
  <conditionalFormatting sqref="F6450:H6450 AE6450">
    <cfRule type="cellIs" dxfId="563" priority="187" operator="equal">
      <formula>"B"</formula>
    </cfRule>
  </conditionalFormatting>
  <conditionalFormatting sqref="F6450:H6450 AE6450">
    <cfRule type="cellIs" dxfId="562" priority="188" operator="equal">
      <formula>"A"</formula>
    </cfRule>
  </conditionalFormatting>
  <conditionalFormatting sqref="AC6450:AF6450">
    <cfRule type="cellIs" dxfId="561" priority="189" operator="equal">
      <formula>"Đã nhận"</formula>
    </cfRule>
  </conditionalFormatting>
  <conditionalFormatting sqref="B6450">
    <cfRule type="cellIs" dxfId="560" priority="190" operator="equal">
      <formula>"LỖI LINK FB"</formula>
    </cfRule>
  </conditionalFormatting>
  <conditionalFormatting sqref="B6450">
    <cfRule type="cellIs" dxfId="559" priority="191" operator="equal">
      <formula>"Chờ feedback"</formula>
    </cfRule>
  </conditionalFormatting>
  <conditionalFormatting sqref="B6450">
    <cfRule type="cellIs" dxfId="558" priority="192" operator="equal">
      <formula>"Chờ lớp"</formula>
    </cfRule>
  </conditionalFormatting>
  <conditionalFormatting sqref="B6450">
    <cfRule type="cellIs" dxfId="557" priority="193" operator="equal">
      <formula>"DONE"</formula>
    </cfRule>
  </conditionalFormatting>
  <conditionalFormatting sqref="W6449:X6449">
    <cfRule type="cellIs" dxfId="556" priority="194" operator="equal">
      <formula>"Sách"</formula>
    </cfRule>
  </conditionalFormatting>
  <conditionalFormatting sqref="N6449">
    <cfRule type="cellIs" dxfId="555" priority="195" operator="equal">
      <formula>"TIẾN"</formula>
    </cfRule>
  </conditionalFormatting>
  <conditionalFormatting sqref="R6449">
    <cfRule type="containsText" dxfId="554" priority="196" operator="containsText" text="Chung">
      <formula>NOT(ISERROR(SEARCH(("Chung"),(R6449))))</formula>
    </cfRule>
  </conditionalFormatting>
  <conditionalFormatting sqref="Z6449">
    <cfRule type="cellIs" dxfId="553" priority="197" operator="equal">
      <formula>"Đã tính lương"</formula>
    </cfRule>
  </conditionalFormatting>
  <conditionalFormatting sqref="Z6449">
    <cfRule type="cellIs" dxfId="552" priority="198" operator="equal">
      <formula>"R-Thiếu"</formula>
    </cfRule>
  </conditionalFormatting>
  <conditionalFormatting sqref="Z6449">
    <cfRule type="cellIs" dxfId="551" priority="199" operator="equal">
      <formula>"R"</formula>
    </cfRule>
  </conditionalFormatting>
  <conditionalFormatting sqref="G6449:H6449 G6454:H6456">
    <cfRule type="cellIs" dxfId="550" priority="200" operator="equal">
      <formula>"V"</formula>
    </cfRule>
  </conditionalFormatting>
  <conditionalFormatting sqref="G6449:H6449 G6454:H6456">
    <cfRule type="cellIs" dxfId="549" priority="201" operator="equal">
      <formula>"T"</formula>
    </cfRule>
  </conditionalFormatting>
  <conditionalFormatting sqref="G6449:H6449 G6454:H6456">
    <cfRule type="cellIs" dxfId="548" priority="202" operator="equal">
      <formula>"C"</formula>
    </cfRule>
  </conditionalFormatting>
  <conditionalFormatting sqref="G6449:H6449 G6454:H6456">
    <cfRule type="cellIs" dxfId="547" priority="203" operator="equal">
      <formula>"B"</formula>
    </cfRule>
  </conditionalFormatting>
  <conditionalFormatting sqref="G6449:H6449 G6454:H6456">
    <cfRule type="cellIs" dxfId="546" priority="204" operator="equal">
      <formula>"A"</formula>
    </cfRule>
  </conditionalFormatting>
  <conditionalFormatting sqref="H6454:H6456 H6449">
    <cfRule type="colorScale" priority="205">
      <colorScale>
        <cfvo type="min"/>
        <cfvo type="max"/>
        <color rgb="FF57BB8A"/>
        <color rgb="FFFFFFFF"/>
      </colorScale>
    </cfRule>
  </conditionalFormatting>
  <conditionalFormatting sqref="B6449">
    <cfRule type="cellIs" dxfId="545" priority="206" operator="equal">
      <formula>"LỖI LINK FB"</formula>
    </cfRule>
  </conditionalFormatting>
  <conditionalFormatting sqref="B6449">
    <cfRule type="cellIs" dxfId="544" priority="207" operator="equal">
      <formula>"Chờ feedback"</formula>
    </cfRule>
  </conditionalFormatting>
  <conditionalFormatting sqref="B6449">
    <cfRule type="cellIs" dxfId="543" priority="208" operator="equal">
      <formula>"Chờ lớp"</formula>
    </cfRule>
  </conditionalFormatting>
  <conditionalFormatting sqref="B6449">
    <cfRule type="cellIs" dxfId="542" priority="209" operator="equal">
      <formula>"DONE"</formula>
    </cfRule>
  </conditionalFormatting>
  <conditionalFormatting sqref="C6449">
    <cfRule type="cellIs" dxfId="541" priority="210" operator="equal">
      <formula>"Up quá trình"</formula>
    </cfRule>
  </conditionalFormatting>
  <conditionalFormatting sqref="C6449">
    <cfRule type="cellIs" dxfId="540" priority="211" operator="equal">
      <formula>"Đã tính lương"</formula>
    </cfRule>
  </conditionalFormatting>
  <conditionalFormatting sqref="C6449">
    <cfRule type="cellIs" dxfId="539" priority="212" operator="equal">
      <formula>"Up Level"</formula>
    </cfRule>
  </conditionalFormatting>
  <conditionalFormatting sqref="C6449">
    <cfRule type="cellIs" dxfId="538" priority="213" operator="equal">
      <formula>"Mới"</formula>
    </cfRule>
  </conditionalFormatting>
  <conditionalFormatting sqref="Y6449">
    <cfRule type="endsWith" dxfId="537" priority="214" operator="endsWith" text=" ">
      <formula>RIGHT((Y6449),LEN(" "))=(" ")</formula>
    </cfRule>
  </conditionalFormatting>
  <conditionalFormatting sqref="AC6449:AF6449">
    <cfRule type="cellIs" dxfId="536" priority="215" operator="equal">
      <formula>"Đã nhận"</formula>
    </cfRule>
  </conditionalFormatting>
  <conditionalFormatting sqref="AE2290 F5706">
    <cfRule type="colorScale" priority="216">
      <colorScale>
        <cfvo type="min"/>
        <cfvo type="max"/>
        <color rgb="FF57BB8A"/>
        <color rgb="FFFFFFFF"/>
      </colorScale>
    </cfRule>
  </conditionalFormatting>
  <conditionalFormatting sqref="AE2290 F5706">
    <cfRule type="cellIs" dxfId="535" priority="217" operator="equal">
      <formula>"V"</formula>
    </cfRule>
  </conditionalFormatting>
  <conditionalFormatting sqref="AE2290 F5706">
    <cfRule type="cellIs" dxfId="534" priority="218" operator="equal">
      <formula>"T"</formula>
    </cfRule>
  </conditionalFormatting>
  <conditionalFormatting sqref="AE2290 F5706">
    <cfRule type="cellIs" dxfId="533" priority="219" operator="equal">
      <formula>"C"</formula>
    </cfRule>
  </conditionalFormatting>
  <conditionalFormatting sqref="AE2290 F5706">
    <cfRule type="cellIs" dxfId="532" priority="220" operator="equal">
      <formula>"B"</formula>
    </cfRule>
  </conditionalFormatting>
  <conditionalFormatting sqref="AE2290 F5706">
    <cfRule type="cellIs" dxfId="531" priority="221" operator="equal">
      <formula>"A"</formula>
    </cfRule>
  </conditionalFormatting>
  <conditionalFormatting sqref="AE2290">
    <cfRule type="cellIs" dxfId="530" priority="222" operator="equal">
      <formula>"Đã nhận"</formula>
    </cfRule>
  </conditionalFormatting>
  <conditionalFormatting sqref="C4875:C4891 C6955:C6956 C6958">
    <cfRule type="cellIs" dxfId="529" priority="223" operator="equal">
      <formula>"Up quá trình"</formula>
    </cfRule>
  </conditionalFormatting>
  <conditionalFormatting sqref="C4875:C4891 C6955:C6956 C6958">
    <cfRule type="cellIs" dxfId="528" priority="224" operator="equal">
      <formula>"Đã tính lương"</formula>
    </cfRule>
  </conditionalFormatting>
  <conditionalFormatting sqref="C4875:C4891 C6955:C6956 C6958">
    <cfRule type="cellIs" dxfId="527" priority="225" operator="equal">
      <formula>"Up Level"</formula>
    </cfRule>
  </conditionalFormatting>
  <conditionalFormatting sqref="C4875:C4891 C6955:C6956 C6958">
    <cfRule type="cellIs" dxfId="526" priority="226" operator="equal">
      <formula>"Mới"</formula>
    </cfRule>
  </conditionalFormatting>
  <conditionalFormatting sqref="B4875">
    <cfRule type="cellIs" dxfId="525" priority="227" operator="equal">
      <formula>"DONE"</formula>
    </cfRule>
  </conditionalFormatting>
  <conditionalFormatting sqref="B4875">
    <cfRule type="cellIs" dxfId="524" priority="228" operator="equal">
      <formula>"Chờ lớp"</formula>
    </cfRule>
  </conditionalFormatting>
  <conditionalFormatting sqref="B4875">
    <cfRule type="cellIs" dxfId="523" priority="229" operator="equal">
      <formula>"Chờ feedback"</formula>
    </cfRule>
  </conditionalFormatting>
  <conditionalFormatting sqref="B4875">
    <cfRule type="cellIs" dxfId="522" priority="230" operator="equal">
      <formula>"LỖI LINK FB"</formula>
    </cfRule>
  </conditionalFormatting>
  <conditionalFormatting sqref="N4875">
    <cfRule type="cellIs" dxfId="521" priority="231" operator="equal">
      <formula>"TIẾN"</formula>
    </cfRule>
  </conditionalFormatting>
  <conditionalFormatting sqref="G4875:H4875">
    <cfRule type="cellIs" dxfId="520" priority="232" operator="equal">
      <formula>"A"</formula>
    </cfRule>
  </conditionalFormatting>
  <conditionalFormatting sqref="G4875:H4875">
    <cfRule type="cellIs" dxfId="519" priority="233" operator="equal">
      <formula>"B"</formula>
    </cfRule>
  </conditionalFormatting>
  <conditionalFormatting sqref="G4875:H4875">
    <cfRule type="cellIs" dxfId="518" priority="234" operator="equal">
      <formula>"C"</formula>
    </cfRule>
  </conditionalFormatting>
  <conditionalFormatting sqref="G4875:H4875">
    <cfRule type="cellIs" dxfId="517" priority="235" operator="equal">
      <formula>"T"</formula>
    </cfRule>
  </conditionalFormatting>
  <conditionalFormatting sqref="G4875:H4875">
    <cfRule type="cellIs" dxfId="516" priority="236" operator="equal">
      <formula>"V"</formula>
    </cfRule>
  </conditionalFormatting>
  <conditionalFormatting sqref="H4875">
    <cfRule type="colorScale" priority="237">
      <colorScale>
        <cfvo type="min"/>
        <cfvo type="max"/>
        <color rgb="FF57BB8A"/>
        <color rgb="FFFFFFFF"/>
      </colorScale>
    </cfRule>
  </conditionalFormatting>
  <conditionalFormatting sqref="R4875">
    <cfRule type="containsText" dxfId="515" priority="238" operator="containsText" text="Chung">
      <formula>NOT(ISERROR(SEARCH(("Chung"),(R4875))))</formula>
    </cfRule>
  </conditionalFormatting>
  <conditionalFormatting sqref="Z4875">
    <cfRule type="cellIs" dxfId="514" priority="239" operator="equal">
      <formula>"Đã tính lương"</formula>
    </cfRule>
  </conditionalFormatting>
  <conditionalFormatting sqref="Z4875">
    <cfRule type="cellIs" dxfId="513" priority="240" operator="equal">
      <formula>"R-Thiếu"</formula>
    </cfRule>
  </conditionalFormatting>
  <conditionalFormatting sqref="Z4875">
    <cfRule type="cellIs" dxfId="512" priority="241" operator="equal">
      <formula>"R"</formula>
    </cfRule>
  </conditionalFormatting>
  <conditionalFormatting sqref="Y4875">
    <cfRule type="endsWith" dxfId="511" priority="242" operator="endsWith" text=" ">
      <formula>RIGHT((Y4875),LEN(" "))=(" ")</formula>
    </cfRule>
  </conditionalFormatting>
  <conditionalFormatting sqref="AC4875:AF4875 A5442:A5519 AF5483 AF5509 A5941:A5976 A6312:A6448 A6453:A6486 A6488 A6490:A6504 A6952:A6990">
    <cfRule type="cellIs" dxfId="510" priority="243" operator="equal">
      <formula>"Đã nhận"</formula>
    </cfRule>
  </conditionalFormatting>
  <conditionalFormatting sqref="W4875:X4875">
    <cfRule type="cellIs" dxfId="509" priority="244" operator="equal">
      <formula>"Sách"</formula>
    </cfRule>
  </conditionalFormatting>
  <conditionalFormatting sqref="X3960:Y3960">
    <cfRule type="endsWith" dxfId="508" priority="245" operator="endsWith" text=" ">
      <formula>RIGHT((X3960),LEN(" "))=(" ")</formula>
    </cfRule>
  </conditionalFormatting>
  <conditionalFormatting sqref="B3960">
    <cfRule type="cellIs" dxfId="507" priority="246" operator="equal">
      <formula>"DONE"</formula>
    </cfRule>
  </conditionalFormatting>
  <conditionalFormatting sqref="B3960">
    <cfRule type="cellIs" dxfId="506" priority="247" operator="equal">
      <formula>"Chờ lớp"</formula>
    </cfRule>
  </conditionalFormatting>
  <conditionalFormatting sqref="B3960">
    <cfRule type="cellIs" dxfId="505" priority="248" operator="equal">
      <formula>"Chờ feedback"</formula>
    </cfRule>
  </conditionalFormatting>
  <conditionalFormatting sqref="B3960">
    <cfRule type="cellIs" dxfId="504" priority="249" operator="equal">
      <formula>"LỖI LINK FB"</formula>
    </cfRule>
  </conditionalFormatting>
  <conditionalFormatting sqref="H3960">
    <cfRule type="colorScale" priority="250">
      <colorScale>
        <cfvo type="min"/>
        <cfvo type="max"/>
        <color rgb="FF57BB8A"/>
        <color rgb="FFFFFFFF"/>
      </colorScale>
    </cfRule>
  </conditionalFormatting>
  <conditionalFormatting sqref="G3960:H3960">
    <cfRule type="cellIs" dxfId="503" priority="251" operator="equal">
      <formula>"V"</formula>
    </cfRule>
  </conditionalFormatting>
  <conditionalFormatting sqref="G3960:H3960">
    <cfRule type="cellIs" dxfId="502" priority="252" operator="equal">
      <formula>"T"</formula>
    </cfRule>
  </conditionalFormatting>
  <conditionalFormatting sqref="G3960:H3960">
    <cfRule type="cellIs" dxfId="501" priority="253" operator="equal">
      <formula>"C"</formula>
    </cfRule>
  </conditionalFormatting>
  <conditionalFormatting sqref="G3960:H3960">
    <cfRule type="cellIs" dxfId="500" priority="254" operator="equal">
      <formula>"B"</formula>
    </cfRule>
  </conditionalFormatting>
  <conditionalFormatting sqref="G3960:H3960">
    <cfRule type="cellIs" dxfId="499" priority="255" operator="equal">
      <formula>"A"</formula>
    </cfRule>
  </conditionalFormatting>
  <conditionalFormatting sqref="AC3960:AD3960 AF3960">
    <cfRule type="cellIs" dxfId="498" priority="256" operator="equal">
      <formula>"Đã nhận"</formula>
    </cfRule>
  </conditionalFormatting>
  <conditionalFormatting sqref="N3960">
    <cfRule type="cellIs" dxfId="497" priority="257" operator="equal">
      <formula>"TIẾN"</formula>
    </cfRule>
  </conditionalFormatting>
  <conditionalFormatting sqref="W3960:X3960">
    <cfRule type="cellIs" dxfId="496" priority="258" operator="equal">
      <formula>"Sách"</formula>
    </cfRule>
  </conditionalFormatting>
  <conditionalFormatting sqref="C3960">
    <cfRule type="cellIs" dxfId="495" priority="259" operator="equal">
      <formula>"Up quá trình"</formula>
    </cfRule>
  </conditionalFormatting>
  <conditionalFormatting sqref="C3960">
    <cfRule type="cellIs" dxfId="494" priority="260" operator="equal">
      <formula>"Đã tính lương"</formula>
    </cfRule>
  </conditionalFormatting>
  <conditionalFormatting sqref="C3960">
    <cfRule type="cellIs" dxfId="493" priority="261" operator="equal">
      <formula>"Up Level"</formula>
    </cfRule>
  </conditionalFormatting>
  <conditionalFormatting sqref="C3960">
    <cfRule type="cellIs" dxfId="492" priority="262" operator="equal">
      <formula>"Mới"</formula>
    </cfRule>
  </conditionalFormatting>
  <conditionalFormatting sqref="Z3960">
    <cfRule type="cellIs" dxfId="491" priority="263" operator="equal">
      <formula>"Đã tính lương"</formula>
    </cfRule>
  </conditionalFormatting>
  <conditionalFormatting sqref="Z3960">
    <cfRule type="cellIs" dxfId="490" priority="264" operator="equal">
      <formula>"R-Thiếu"</formula>
    </cfRule>
  </conditionalFormatting>
  <conditionalFormatting sqref="Z3960">
    <cfRule type="cellIs" dxfId="489" priority="265" operator="equal">
      <formula>"R"</formula>
    </cfRule>
  </conditionalFormatting>
  <conditionalFormatting sqref="R3960">
    <cfRule type="containsText" dxfId="488" priority="266" operator="containsText" text="Chung">
      <formula>NOT(ISERROR(SEARCH(("Chung"),(R3960))))</formula>
    </cfRule>
  </conditionalFormatting>
  <conditionalFormatting sqref="G3917:H3917 G4619">
    <cfRule type="cellIs" dxfId="487" priority="267" operator="equal">
      <formula>"V"</formula>
    </cfRule>
  </conditionalFormatting>
  <conditionalFormatting sqref="G3917:H3917 G4619">
    <cfRule type="cellIs" dxfId="486" priority="268" operator="equal">
      <formula>"T"</formula>
    </cfRule>
  </conditionalFormatting>
  <conditionalFormatting sqref="G3917:H3917 G4619">
    <cfRule type="cellIs" dxfId="485" priority="269" operator="equal">
      <formula>"C"</formula>
    </cfRule>
  </conditionalFormatting>
  <conditionalFormatting sqref="G3917:H3917 G4619">
    <cfRule type="cellIs" dxfId="484" priority="270" operator="equal">
      <formula>"B"</formula>
    </cfRule>
  </conditionalFormatting>
  <conditionalFormatting sqref="G3917:H3917 G4619">
    <cfRule type="cellIs" dxfId="483" priority="271" operator="equal">
      <formula>"A"</formula>
    </cfRule>
  </conditionalFormatting>
  <conditionalFormatting sqref="H3917">
    <cfRule type="colorScale" priority="272">
      <colorScale>
        <cfvo type="min"/>
        <cfvo type="max"/>
        <color rgb="FF57BB8A"/>
        <color rgb="FFFFFFFF"/>
      </colorScale>
    </cfRule>
  </conditionalFormatting>
  <conditionalFormatting sqref="N3917">
    <cfRule type="cellIs" dxfId="482" priority="273" operator="equal">
      <formula>"TIẾN"</formula>
    </cfRule>
  </conditionalFormatting>
  <conditionalFormatting sqref="AC3917:AD3917 AF3917 AF4619">
    <cfRule type="cellIs" dxfId="481" priority="274" operator="equal">
      <formula>"Đã nhận"</formula>
    </cfRule>
  </conditionalFormatting>
  <conditionalFormatting sqref="R3917">
    <cfRule type="containsText" dxfId="480" priority="275" operator="containsText" text="Chung">
      <formula>NOT(ISERROR(SEARCH(("Chung"),(R3917))))</formula>
    </cfRule>
  </conditionalFormatting>
  <conditionalFormatting sqref="W3917:X3917">
    <cfRule type="cellIs" dxfId="479" priority="276" operator="equal">
      <formula>"Sách"</formula>
    </cfRule>
  </conditionalFormatting>
  <conditionalFormatting sqref="C3917:C3926 C6108:C6116 C6859:C6872 C6874:C6883">
    <cfRule type="cellIs" dxfId="478" priority="277" operator="equal">
      <formula>"Up quá trình"</formula>
    </cfRule>
  </conditionalFormatting>
  <conditionalFormatting sqref="C3917:C3926 C6108:C6116 C6859:C6872 C6874:C6883">
    <cfRule type="cellIs" dxfId="477" priority="278" operator="equal">
      <formula>"Đã tính lương"</formula>
    </cfRule>
  </conditionalFormatting>
  <conditionalFormatting sqref="C3917:C3926 C6108:C6116 C6859:C6872 C6874:C6883">
    <cfRule type="cellIs" dxfId="476" priority="279" operator="equal">
      <formula>"Up Level"</formula>
    </cfRule>
  </conditionalFormatting>
  <conditionalFormatting sqref="C3917:C3926 C6108:C6116 C6859:C6872 C6874:C6883">
    <cfRule type="cellIs" dxfId="475" priority="280" operator="equal">
      <formula>"Mới"</formula>
    </cfRule>
  </conditionalFormatting>
  <conditionalFormatting sqref="B3917:B3926 B3988 B4619 B6089 B6108:B6116 B6160 B6260 B6272 B6677 B6679:B6858 B6860:B6883 B6902 B6913:B6920">
    <cfRule type="cellIs" dxfId="474" priority="281" operator="equal">
      <formula>"LỖI LINK FB"</formula>
    </cfRule>
  </conditionalFormatting>
  <conditionalFormatting sqref="B3917:B3926 B3988 B4619 B6089 B6108:B6116 B6160 B6260 B6272 B6677 B6679:B6858 B6860:B6883 B6902 B6913:B6920">
    <cfRule type="cellIs" dxfId="473" priority="282" operator="equal">
      <formula>"Chờ feedback"</formula>
    </cfRule>
  </conditionalFormatting>
  <conditionalFormatting sqref="B3917:B3926 B3988 B4619 B6089 B6108:B6116 B6160 B6260 B6272 B6677 B6679:B6858 B6860:B6883 B6902 B6913:B6920">
    <cfRule type="cellIs" dxfId="472" priority="283" operator="equal">
      <formula>"Chờ lớp"</formula>
    </cfRule>
  </conditionalFormatting>
  <conditionalFormatting sqref="B3917:B3926 B3988 B4619 B6089 B6108:B6116 B6160 B6260 B6272 B6677 B6679:B6858 B6860:B6883 B6902 B6913:B6920">
    <cfRule type="cellIs" dxfId="471" priority="284" operator="equal">
      <formula>"DONE"</formula>
    </cfRule>
  </conditionalFormatting>
  <conditionalFormatting sqref="Z3917">
    <cfRule type="cellIs" dxfId="470" priority="285" operator="equal">
      <formula>"Đã tính lương"</formula>
    </cfRule>
  </conditionalFormatting>
  <conditionalFormatting sqref="Z3917">
    <cfRule type="cellIs" dxfId="469" priority="286" operator="equal">
      <formula>"R-Thiếu"</formula>
    </cfRule>
  </conditionalFormatting>
  <conditionalFormatting sqref="Z3917">
    <cfRule type="cellIs" dxfId="468" priority="287" operator="equal">
      <formula>"R"</formula>
    </cfRule>
  </conditionalFormatting>
  <conditionalFormatting sqref="Y3917">
    <cfRule type="endsWith" dxfId="467" priority="288" operator="endsWith" text=" ">
      <formula>RIGHT((Y3917),LEN(" "))=(" ")</formula>
    </cfRule>
  </conditionalFormatting>
  <conditionalFormatting sqref="B3886">
    <cfRule type="cellIs" dxfId="466" priority="289" operator="equal">
      <formula>"DONE"</formula>
    </cfRule>
  </conditionalFormatting>
  <conditionalFormatting sqref="B3886">
    <cfRule type="cellIs" dxfId="465" priority="290" operator="equal">
      <formula>"Chờ lớp"</formula>
    </cfRule>
  </conditionalFormatting>
  <conditionalFormatting sqref="B3886">
    <cfRule type="cellIs" dxfId="464" priority="291" operator="equal">
      <formula>"Chờ feedback"</formula>
    </cfRule>
  </conditionalFormatting>
  <conditionalFormatting sqref="B3886">
    <cfRule type="cellIs" dxfId="463" priority="292" operator="equal">
      <formula>"LỖI LINK FB"</formula>
    </cfRule>
  </conditionalFormatting>
  <conditionalFormatting sqref="B3886">
    <cfRule type="cellIs" dxfId="462" priority="293" operator="equal">
      <formula>"LỖI LINK FB"</formula>
    </cfRule>
  </conditionalFormatting>
  <conditionalFormatting sqref="B3886">
    <cfRule type="cellIs" dxfId="461" priority="294" operator="equal">
      <formula>"LỖI LINK FB"</formula>
    </cfRule>
  </conditionalFormatting>
  <conditionalFormatting sqref="B3886">
    <cfRule type="cellIs" dxfId="460" priority="295" operator="equal">
      <formula>"LỖI LINK FB"</formula>
    </cfRule>
  </conditionalFormatting>
  <conditionalFormatting sqref="B3886">
    <cfRule type="cellIs" dxfId="459" priority="296" operator="equal">
      <formula>"LỖI LINK FB"</formula>
    </cfRule>
  </conditionalFormatting>
  <conditionalFormatting sqref="B3886">
    <cfRule type="cellIs" dxfId="458" priority="297" operator="equal">
      <formula>"LỖI LINK FB"</formula>
    </cfRule>
  </conditionalFormatting>
  <conditionalFormatting sqref="B3886">
    <cfRule type="cellIs" dxfId="457" priority="298" operator="equal">
      <formula>"LỖI LINK FB"</formula>
    </cfRule>
  </conditionalFormatting>
  <conditionalFormatting sqref="B3886">
    <cfRule type="cellIs" dxfId="456" priority="299" operator="equal">
      <formula>"LỖI LINK FB"</formula>
    </cfRule>
  </conditionalFormatting>
  <conditionalFormatting sqref="B3886">
    <cfRule type="cellIs" dxfId="455" priority="300" operator="equal">
      <formula>"LỖI LINK FB"</formula>
    </cfRule>
  </conditionalFormatting>
  <conditionalFormatting sqref="B3886">
    <cfRule type="cellIs" dxfId="454" priority="301" operator="equal">
      <formula>"LỖI LINK FB"</formula>
    </cfRule>
  </conditionalFormatting>
  <conditionalFormatting sqref="B3886">
    <cfRule type="cellIs" dxfId="453" priority="302" operator="equal">
      <formula>"LỖI LINK FB"</formula>
    </cfRule>
  </conditionalFormatting>
  <conditionalFormatting sqref="B3886">
    <cfRule type="cellIs" dxfId="452" priority="303" operator="equal">
      <formula>"LỖI LINK FB"</formula>
    </cfRule>
  </conditionalFormatting>
  <conditionalFormatting sqref="B3886">
    <cfRule type="cellIs" dxfId="451" priority="304" operator="equal">
      <formula>"LỖI LINK FB"</formula>
    </cfRule>
  </conditionalFormatting>
  <conditionalFormatting sqref="B3886">
    <cfRule type="cellIs" dxfId="450" priority="305" operator="equal">
      <formula>"LỖI LINK FB"</formula>
    </cfRule>
  </conditionalFormatting>
  <conditionalFormatting sqref="B3886">
    <cfRule type="cellIs" dxfId="449" priority="306" operator="equal">
      <formula>"DONE"</formula>
    </cfRule>
  </conditionalFormatting>
  <conditionalFormatting sqref="B3886">
    <cfRule type="cellIs" dxfId="448" priority="307" operator="equal">
      <formula>"Chờ lớp"</formula>
    </cfRule>
  </conditionalFormatting>
  <conditionalFormatting sqref="B3886">
    <cfRule type="cellIs" dxfId="447" priority="308" operator="equal">
      <formula>"Chờ feedback"</formula>
    </cfRule>
  </conditionalFormatting>
  <conditionalFormatting sqref="B3886">
    <cfRule type="cellIs" dxfId="446" priority="309" operator="equal">
      <formula>"LỖI LINK FB"</formula>
    </cfRule>
  </conditionalFormatting>
  <conditionalFormatting sqref="C3886 Z3886">
    <cfRule type="cellIs" dxfId="445" priority="310" operator="equal">
      <formula>"Đã tính lương"</formula>
    </cfRule>
  </conditionalFormatting>
  <conditionalFormatting sqref="C3886">
    <cfRule type="cellIs" dxfId="444" priority="311" operator="equal">
      <formula>"Mới"</formula>
    </cfRule>
  </conditionalFormatting>
  <conditionalFormatting sqref="C3886">
    <cfRule type="cellIs" dxfId="443" priority="312" operator="equal">
      <formula>"Up Level"</formula>
    </cfRule>
  </conditionalFormatting>
  <conditionalFormatting sqref="C3886">
    <cfRule type="cellIs" dxfId="442" priority="313" operator="equal">
      <formula>"Up quá trình"</formula>
    </cfRule>
  </conditionalFormatting>
  <conditionalFormatting sqref="C3886">
    <cfRule type="cellIs" dxfId="441" priority="314" operator="equal">
      <formula>"Mới"</formula>
    </cfRule>
  </conditionalFormatting>
  <conditionalFormatting sqref="C3886">
    <cfRule type="cellIs" dxfId="440" priority="315" operator="equal">
      <formula>"Up Level"</formula>
    </cfRule>
  </conditionalFormatting>
  <conditionalFormatting sqref="C3886">
    <cfRule type="cellIs" dxfId="439" priority="316" operator="equal">
      <formula>"Đã tính lương"</formula>
    </cfRule>
  </conditionalFormatting>
  <conditionalFormatting sqref="C3886">
    <cfRule type="cellIs" dxfId="438" priority="317" operator="equal">
      <formula>"Up quá trình"</formula>
    </cfRule>
  </conditionalFormatting>
  <conditionalFormatting sqref="C3886">
    <cfRule type="cellIs" dxfId="437" priority="318" operator="equal">
      <formula>"Mới"</formula>
    </cfRule>
  </conditionalFormatting>
  <conditionalFormatting sqref="C3886">
    <cfRule type="cellIs" dxfId="436" priority="319" operator="equal">
      <formula>"Up Level"</formula>
    </cfRule>
  </conditionalFormatting>
  <conditionalFormatting sqref="C3886">
    <cfRule type="cellIs" dxfId="435" priority="320" operator="equal">
      <formula>"Đã tính lương"</formula>
    </cfRule>
  </conditionalFormatting>
  <conditionalFormatting sqref="C3886">
    <cfRule type="cellIs" dxfId="434" priority="321" operator="equal">
      <formula>"Up quá trình"</formula>
    </cfRule>
  </conditionalFormatting>
  <conditionalFormatting sqref="F3886 H3886 AE3886">
    <cfRule type="colorScale" priority="322">
      <colorScale>
        <cfvo type="min"/>
        <cfvo type="max"/>
        <color rgb="FF57BB8A"/>
        <color rgb="FFFFFFFF"/>
      </colorScale>
    </cfRule>
  </conditionalFormatting>
  <conditionalFormatting sqref="F3886:H3886 AE3886">
    <cfRule type="cellIs" dxfId="433" priority="323" operator="equal">
      <formula>"A"</formula>
    </cfRule>
  </conditionalFormatting>
  <conditionalFormatting sqref="F3886:H3886 AE3886">
    <cfRule type="cellIs" dxfId="432" priority="324" operator="equal">
      <formula>"B"</formula>
    </cfRule>
  </conditionalFormatting>
  <conditionalFormatting sqref="F3886:H3886 AE3886">
    <cfRule type="cellIs" dxfId="431" priority="325" operator="equal">
      <formula>"C"</formula>
    </cfRule>
  </conditionalFormatting>
  <conditionalFormatting sqref="F3886:H3886 AE3886">
    <cfRule type="cellIs" dxfId="430" priority="326" operator="equal">
      <formula>"T"</formula>
    </cfRule>
  </conditionalFormatting>
  <conditionalFormatting sqref="F3886:H3886 AE3886">
    <cfRule type="cellIs" dxfId="429" priority="327" operator="equal">
      <formula>"V"</formula>
    </cfRule>
  </conditionalFormatting>
  <conditionalFormatting sqref="G3886">
    <cfRule type="cellIs" dxfId="428" priority="328" operator="equal">
      <formula>"V"</formula>
    </cfRule>
  </conditionalFormatting>
  <conditionalFormatting sqref="G3886">
    <cfRule type="cellIs" dxfId="427" priority="329" operator="equal">
      <formula>"V"</formula>
    </cfRule>
  </conditionalFormatting>
  <conditionalFormatting sqref="G3886">
    <cfRule type="cellIs" dxfId="426" priority="330" operator="equal">
      <formula>"V"</formula>
    </cfRule>
  </conditionalFormatting>
  <conditionalFormatting sqref="G3886">
    <cfRule type="cellIs" dxfId="425" priority="331" operator="equal">
      <formula>"V"</formula>
    </cfRule>
  </conditionalFormatting>
  <conditionalFormatting sqref="G3886">
    <cfRule type="cellIs" dxfId="424" priority="332" operator="equal">
      <formula>"V"</formula>
    </cfRule>
  </conditionalFormatting>
  <conditionalFormatting sqref="G3886">
    <cfRule type="cellIs" dxfId="423" priority="333" operator="equal">
      <formula>"V"</formula>
    </cfRule>
  </conditionalFormatting>
  <conditionalFormatting sqref="G3886">
    <cfRule type="cellIs" dxfId="422" priority="334" operator="equal">
      <formula>"A"</formula>
    </cfRule>
  </conditionalFormatting>
  <conditionalFormatting sqref="G3886">
    <cfRule type="cellIs" dxfId="421" priority="335" operator="equal">
      <formula>"B"</formula>
    </cfRule>
  </conditionalFormatting>
  <conditionalFormatting sqref="G3886">
    <cfRule type="cellIs" dxfId="420" priority="336" operator="equal">
      <formula>"C"</formula>
    </cfRule>
  </conditionalFormatting>
  <conditionalFormatting sqref="G3886">
    <cfRule type="cellIs" dxfId="419" priority="337" operator="equal">
      <formula>"T"</formula>
    </cfRule>
  </conditionalFormatting>
  <conditionalFormatting sqref="G3886">
    <cfRule type="cellIs" dxfId="418" priority="338" operator="equal">
      <formula>"V"</formula>
    </cfRule>
  </conditionalFormatting>
  <conditionalFormatting sqref="D3886">
    <cfRule type="cellIs" dxfId="417" priority="339" operator="equal">
      <formula>"GT Lv1"</formula>
    </cfRule>
  </conditionalFormatting>
  <conditionalFormatting sqref="D3886">
    <cfRule type="cellIs" dxfId="416" priority="340" operator="equal">
      <formula>"GT Lv2"</formula>
    </cfRule>
  </conditionalFormatting>
  <conditionalFormatting sqref="D3886">
    <cfRule type="cellIs" dxfId="415" priority="341" operator="equal">
      <formula>"GT Lv3"</formula>
    </cfRule>
  </conditionalFormatting>
  <conditionalFormatting sqref="D3886">
    <cfRule type="cellIs" dxfId="414" priority="342" operator="equal">
      <formula>"Toeic Lv1"</formula>
    </cfRule>
  </conditionalFormatting>
  <conditionalFormatting sqref="D3886">
    <cfRule type="cellIs" dxfId="413" priority="343" operator="equal">
      <formula>"Toeic Lv2"</formula>
    </cfRule>
  </conditionalFormatting>
  <conditionalFormatting sqref="D3886">
    <cfRule type="containsText" dxfId="412" priority="344" operator="containsText" text="Combo">
      <formula>NOT(ISERROR(SEARCH(("Combo"),(D3886))))</formula>
    </cfRule>
  </conditionalFormatting>
  <conditionalFormatting sqref="Y3886">
    <cfRule type="endsWith" dxfId="411" priority="345" operator="endsWith" text=" ">
      <formula>RIGHT((Y3886),LEN(" "))=(" ")</formula>
    </cfRule>
  </conditionalFormatting>
  <conditionalFormatting sqref="W3886:X3886">
    <cfRule type="cellIs" dxfId="410" priority="346" operator="equal">
      <formula>"Sách"</formula>
    </cfRule>
  </conditionalFormatting>
  <conditionalFormatting sqref="N3886">
    <cfRule type="cellIs" dxfId="409" priority="347" operator="equal">
      <formula>"TIẾN"</formula>
    </cfRule>
  </conditionalFormatting>
  <conditionalFormatting sqref="AC3886:AF3886">
    <cfRule type="cellIs" dxfId="408" priority="348" operator="equal">
      <formula>"Đã nhận"</formula>
    </cfRule>
  </conditionalFormatting>
  <conditionalFormatting sqref="Z3886">
    <cfRule type="cellIs" dxfId="407" priority="349" operator="equal">
      <formula>"R"</formula>
    </cfRule>
  </conditionalFormatting>
  <conditionalFormatting sqref="Z3886">
    <cfRule type="cellIs" dxfId="406" priority="350" operator="equal">
      <formula>"R-Thiếu"</formula>
    </cfRule>
  </conditionalFormatting>
  <conditionalFormatting sqref="W3886:X3886">
    <cfRule type="cellIs" dxfId="405" priority="351" operator="equal">
      <formula>"Sách"</formula>
    </cfRule>
  </conditionalFormatting>
  <conditionalFormatting sqref="W3886:X3886">
    <cfRule type="cellIs" dxfId="404" priority="352" operator="equal">
      <formula>"Sách"</formula>
    </cfRule>
  </conditionalFormatting>
  <conditionalFormatting sqref="X3886:Y3886">
    <cfRule type="endsWith" dxfId="403" priority="353" operator="endsWith" text=" ">
      <formula>RIGHT((X3886),LEN(" "))=(" ")</formula>
    </cfRule>
  </conditionalFormatting>
  <conditionalFormatting sqref="X3886:Y3886">
    <cfRule type="endsWith" dxfId="402" priority="354" operator="endsWith" text=" ">
      <formula>RIGHT((X3886),LEN(" "))=(" ")</formula>
    </cfRule>
  </conditionalFormatting>
  <conditionalFormatting sqref="R3886">
    <cfRule type="containsText" dxfId="401" priority="355" operator="containsText" text="Chung">
      <formula>NOT(ISERROR(SEARCH(("Chung"),(R3886))))</formula>
    </cfRule>
  </conditionalFormatting>
  <conditionalFormatting sqref="R3886">
    <cfRule type="containsText" dxfId="400" priority="356" operator="containsText" text="Chung">
      <formula>NOT(ISERROR(SEARCH(("Chung"),(R3886))))</formula>
    </cfRule>
  </conditionalFormatting>
  <conditionalFormatting sqref="Z3886">
    <cfRule type="cellIs" dxfId="399" priority="357" operator="equal">
      <formula>"R"</formula>
    </cfRule>
  </conditionalFormatting>
  <conditionalFormatting sqref="Z3886">
    <cfRule type="cellIs" dxfId="398" priority="358" operator="equal">
      <formula>"R-Thiếu"</formula>
    </cfRule>
  </conditionalFormatting>
  <conditionalFormatting sqref="Z3886">
    <cfRule type="cellIs" dxfId="397" priority="359" operator="equal">
      <formula>"Đã tính lương"</formula>
    </cfRule>
  </conditionalFormatting>
  <conditionalFormatting sqref="F3751:H3754 AE3751:AE3754 G3760:H3760 F5926:H5926 AE5926 G5930:H5930 F6490:H6490 AE6490">
    <cfRule type="cellIs" dxfId="396" priority="360" operator="equal">
      <formula>"A"</formula>
    </cfRule>
  </conditionalFormatting>
  <conditionalFormatting sqref="F3751:H3754 AE3751:AE3754 G3760:H3760 F5926:H5926 AE5926 G5930:H5930 F6490:H6490 AE6490">
    <cfRule type="cellIs" dxfId="395" priority="361" operator="equal">
      <formula>"B"</formula>
    </cfRule>
  </conditionalFormatting>
  <conditionalFormatting sqref="F3751:H3754 AE3751:AE3754 G3760:H3760 F5926:H5926 AE5926 G5930:H5930 F6490:H6490 AE6490">
    <cfRule type="cellIs" dxfId="394" priority="362" operator="equal">
      <formula>"C"</formula>
    </cfRule>
  </conditionalFormatting>
  <conditionalFormatting sqref="F3751:H3754 AE3751:AE3754 G3760:H3760 F5926:H5926 AE5926 G5930:H5930 F6490:H6490 AE6490">
    <cfRule type="cellIs" dxfId="393" priority="363" operator="equal">
      <formula>"T"</formula>
    </cfRule>
  </conditionalFormatting>
  <conditionalFormatting sqref="F3751:H3754 AE3751:AE3754 G3760:H3760 F5926:H5926 AE5926 G5930:H5930 F6490:H6490 AE6490">
    <cfRule type="cellIs" dxfId="392" priority="364" operator="equal">
      <formula>"V"</formula>
    </cfRule>
  </conditionalFormatting>
  <conditionalFormatting sqref="N3751">
    <cfRule type="cellIs" dxfId="391" priority="365" operator="equal">
      <formula>"TIẾN"</formula>
    </cfRule>
  </conditionalFormatting>
  <conditionalFormatting sqref="F3751:F3754 H3751:H3754 AE3751:AE3754 H3760 F5926 H5926 AE5926 H5930 F6490 H6490 AE6490">
    <cfRule type="colorScale" priority="366">
      <colorScale>
        <cfvo type="min"/>
        <cfvo type="max"/>
        <color rgb="FF57BB8A"/>
        <color rgb="FFFFFFFF"/>
      </colorScale>
    </cfRule>
  </conditionalFormatting>
  <conditionalFormatting sqref="B3748 B3751:B3754 B3760:B3768 B3770 B3775:B3778 B3809 B3811 B3821 B3988 B5926:B6858 B6860:B6979">
    <cfRule type="cellIs" dxfId="390" priority="367" operator="equal">
      <formula>"DONE"</formula>
    </cfRule>
  </conditionalFormatting>
  <conditionalFormatting sqref="B3748 B3751:B3754 B3760:B3768 B3770 B3775:B3778 B3809 B3811 B3821 B3988 B5926:B6858 B6860:B6979">
    <cfRule type="cellIs" dxfId="389" priority="368" operator="equal">
      <formula>"Chờ lớp"</formula>
    </cfRule>
  </conditionalFormatting>
  <conditionalFormatting sqref="B3748 B3751:B3754 B3760:B3768 B3770 B3775:B3778 B3809 B3811 B3821 B3988 B5926:B6858 B6860:B6979">
    <cfRule type="cellIs" dxfId="388" priority="369" operator="equal">
      <formula>"Chờ feedback"</formula>
    </cfRule>
  </conditionalFormatting>
  <conditionalFormatting sqref="B3748 B3751:B3754 B3760:B3768 B3770 B3775:B3778 B3809 B3811 B3821 B3988 B5926:B6858 B6860:B6979">
    <cfRule type="cellIs" dxfId="387" priority="370" operator="equal">
      <formula>"LỖI LINK FB"</formula>
    </cfRule>
  </conditionalFormatting>
  <conditionalFormatting sqref="W3751:X3751">
    <cfRule type="cellIs" dxfId="386" priority="371" operator="equal">
      <formula>"Sách"</formula>
    </cfRule>
  </conditionalFormatting>
  <conditionalFormatting sqref="R3751">
    <cfRule type="containsText" dxfId="385" priority="372" operator="containsText" text="Chung">
      <formula>NOT(ISERROR(SEARCH(("Chung"),(R3751))))</formula>
    </cfRule>
  </conditionalFormatting>
  <conditionalFormatting sqref="Y3751">
    <cfRule type="endsWith" dxfId="384" priority="373" operator="endsWith" text=" ">
      <formula>RIGHT((Y3751),LEN(" "))=(" ")</formula>
    </cfRule>
  </conditionalFormatting>
  <conditionalFormatting sqref="Z3751">
    <cfRule type="cellIs" dxfId="383" priority="374" operator="equal">
      <formula>"R"</formula>
    </cfRule>
  </conditionalFormatting>
  <conditionalFormatting sqref="Z3751">
    <cfRule type="cellIs" dxfId="382" priority="375" operator="equal">
      <formula>"R-Thiếu"</formula>
    </cfRule>
  </conditionalFormatting>
  <conditionalFormatting sqref="Z3751">
    <cfRule type="cellIs" dxfId="381" priority="376" operator="equal">
      <formula>"Đã tính lương"</formula>
    </cfRule>
  </conditionalFormatting>
  <conditionalFormatting sqref="AC3751:AD3751 AE3751:AE3754 AF3751:AF3753 AE5926">
    <cfRule type="cellIs" dxfId="380" priority="377" operator="equal">
      <formula>"Đã nhận"</formula>
    </cfRule>
  </conditionalFormatting>
  <conditionalFormatting sqref="C3748 C3751:C3754 C3760:C3768 C5926:C5930 C6269 C6344 C6490 C6702:C6716">
    <cfRule type="cellIs" dxfId="379" priority="378" operator="equal">
      <formula>"Mới"</formula>
    </cfRule>
  </conditionalFormatting>
  <conditionalFormatting sqref="C3748 C3751:C3754 C3760:C3768 C5926:C5930 C6269 C6344 C6490 C6702:C6716">
    <cfRule type="cellIs" dxfId="378" priority="379" operator="equal">
      <formula>"Up Level"</formula>
    </cfRule>
  </conditionalFormatting>
  <conditionalFormatting sqref="C3748 C3751:C3754 C3760:C3768 C5926:C5930 C6269 C6344 C6490 C6702:C6716">
    <cfRule type="cellIs" dxfId="377" priority="380" operator="equal">
      <formula>"Đã tính lương"</formula>
    </cfRule>
  </conditionalFormatting>
  <conditionalFormatting sqref="C3748 C3751:C3754 C3760:C3768 C5926:C5930 C6269 C6344 C6490 C6702:C6716">
    <cfRule type="cellIs" dxfId="376" priority="381" operator="equal">
      <formula>"Up quá trình"</formula>
    </cfRule>
  </conditionalFormatting>
  <conditionalFormatting sqref="X3690:Z3690">
    <cfRule type="endsWith" dxfId="375" priority="382" operator="endsWith" text=" ">
      <formula>RIGHT((X3690),LEN(" "))=(" ")</formula>
    </cfRule>
  </conditionalFormatting>
  <conditionalFormatting sqref="AC3690:AF3690">
    <cfRule type="cellIs" dxfId="374" priority="383" operator="equal">
      <formula>"Đã nhận"</formula>
    </cfRule>
  </conditionalFormatting>
  <conditionalFormatting sqref="B3690">
    <cfRule type="cellIs" dxfId="373" priority="384" operator="equal">
      <formula>"LỖI LINK FB"</formula>
    </cfRule>
  </conditionalFormatting>
  <conditionalFormatting sqref="B3690">
    <cfRule type="cellIs" dxfId="372" priority="385" operator="equal">
      <formula>"Chờ feedback"</formula>
    </cfRule>
  </conditionalFormatting>
  <conditionalFormatting sqref="B3690">
    <cfRule type="cellIs" dxfId="371" priority="386" operator="equal">
      <formula>"Chờ lớp"</formula>
    </cfRule>
  </conditionalFormatting>
  <conditionalFormatting sqref="B3690">
    <cfRule type="cellIs" dxfId="370" priority="387" operator="equal">
      <formula>"DONE"</formula>
    </cfRule>
  </conditionalFormatting>
  <conditionalFormatting sqref="R3690">
    <cfRule type="containsText" dxfId="369" priority="388" operator="containsText" text="Chung">
      <formula>NOT(ISERROR(SEARCH(("Chung"),(R3690))))</formula>
    </cfRule>
  </conditionalFormatting>
  <conditionalFormatting sqref="C3690">
    <cfRule type="cellIs" dxfId="368" priority="389" operator="equal">
      <formula>"Up quá trình"</formula>
    </cfRule>
  </conditionalFormatting>
  <conditionalFormatting sqref="C3690">
    <cfRule type="cellIs" dxfId="367" priority="390" operator="equal">
      <formula>"Đã tính lương"</formula>
    </cfRule>
  </conditionalFormatting>
  <conditionalFormatting sqref="C3690">
    <cfRule type="cellIs" dxfId="366" priority="391" operator="equal">
      <formula>"Up Level"</formula>
    </cfRule>
  </conditionalFormatting>
  <conditionalFormatting sqref="C3690">
    <cfRule type="cellIs" dxfId="365" priority="392" operator="equal">
      <formula>"Mới"</formula>
    </cfRule>
  </conditionalFormatting>
  <conditionalFormatting sqref="H3690 AE3690">
    <cfRule type="colorScale" priority="393">
      <colorScale>
        <cfvo type="min"/>
        <cfvo type="max"/>
        <color rgb="FF57BB8A"/>
        <color rgb="FFFFFFFF"/>
      </colorScale>
    </cfRule>
  </conditionalFormatting>
  <conditionalFormatting sqref="G3690:H3690 AE3690">
    <cfRule type="cellIs" dxfId="364" priority="394" operator="equal">
      <formula>"V"</formula>
    </cfRule>
  </conditionalFormatting>
  <conditionalFormatting sqref="G3690:H3690 AE3690">
    <cfRule type="cellIs" dxfId="363" priority="395" operator="equal">
      <formula>"T"</formula>
    </cfRule>
  </conditionalFormatting>
  <conditionalFormatting sqref="G3690:H3690 AE3690">
    <cfRule type="cellIs" dxfId="362" priority="396" operator="equal">
      <formula>"C"</formula>
    </cfRule>
  </conditionalFormatting>
  <conditionalFormatting sqref="G3690:H3690 AE3690">
    <cfRule type="cellIs" dxfId="361" priority="397" operator="equal">
      <formula>"B"</formula>
    </cfRule>
  </conditionalFormatting>
  <conditionalFormatting sqref="G3690:H3690 AE3690">
    <cfRule type="cellIs" dxfId="360" priority="398" operator="equal">
      <formula>"A"</formula>
    </cfRule>
  </conditionalFormatting>
  <conditionalFormatting sqref="W3690:X3690">
    <cfRule type="cellIs" dxfId="359" priority="399" operator="equal">
      <formula>"Sách"</formula>
    </cfRule>
  </conditionalFormatting>
  <conditionalFormatting sqref="N3690">
    <cfRule type="cellIs" dxfId="358" priority="400" operator="equal">
      <formula>"TIẾN"</formula>
    </cfRule>
  </conditionalFormatting>
  <conditionalFormatting sqref="Z3690">
    <cfRule type="cellIs" dxfId="357" priority="401" operator="equal">
      <formula>"Đã tính lương"</formula>
    </cfRule>
  </conditionalFormatting>
  <conditionalFormatting sqref="Z3690">
    <cfRule type="cellIs" dxfId="356" priority="402" operator="equal">
      <formula>"R-Thiếu"</formula>
    </cfRule>
  </conditionalFormatting>
  <conditionalFormatting sqref="Z3690">
    <cfRule type="cellIs" dxfId="355" priority="403" operator="equal">
      <formula>"R"</formula>
    </cfRule>
  </conditionalFormatting>
  <conditionalFormatting sqref="AC3664:AE3664 AC5792:AE5792">
    <cfRule type="cellIs" dxfId="354" priority="404" operator="equal">
      <formula>"Đã nhận"</formula>
    </cfRule>
  </conditionalFormatting>
  <conditionalFormatting sqref="Y3664 Y5792">
    <cfRule type="endsWith" dxfId="353" priority="405" operator="endsWith" text=" ">
      <formula>RIGHT((Y3664),LEN(" "))=(" ")</formula>
    </cfRule>
  </conditionalFormatting>
  <conditionalFormatting sqref="N3664 N5792">
    <cfRule type="cellIs" dxfId="352" priority="406" operator="equal">
      <formula>"TIẾN"</formula>
    </cfRule>
  </conditionalFormatting>
  <conditionalFormatting sqref="R3664 R5792">
    <cfRule type="containsText" dxfId="351" priority="407" operator="containsText" text="Chung">
      <formula>NOT(ISERROR(SEARCH(("Chung"),(R3664))))</formula>
    </cfRule>
  </conditionalFormatting>
  <conditionalFormatting sqref="Z3664 Z5792">
    <cfRule type="cellIs" dxfId="350" priority="408" operator="equal">
      <formula>"R"</formula>
    </cfRule>
  </conditionalFormatting>
  <conditionalFormatting sqref="Z3664 Z5792">
    <cfRule type="cellIs" dxfId="349" priority="409" operator="equal">
      <formula>"R-Thiếu"</formula>
    </cfRule>
  </conditionalFormatting>
  <conditionalFormatting sqref="Z3664 Z5792">
    <cfRule type="cellIs" dxfId="348" priority="410" operator="equal">
      <formula>"Đã tính lương"</formula>
    </cfRule>
  </conditionalFormatting>
  <conditionalFormatting sqref="W3664:X3664 W5792:X5792">
    <cfRule type="cellIs" dxfId="347" priority="411" operator="equal">
      <formula>"Sách"</formula>
    </cfRule>
  </conditionalFormatting>
  <conditionalFormatting sqref="F3664 G3664:G3676 H3664:H3670 AE3664 H3672 G3680:G3681 G3683:G3689 G3697 F5465 G5465:H5466 AE5465 G5476:G5482 F5792 G5792:H5793 AE5792 G5853 F6457:H6457 G6766:G6780 G6868:G6870">
    <cfRule type="cellIs" dxfId="346" priority="412" operator="equal">
      <formula>"A"</formula>
    </cfRule>
  </conditionalFormatting>
  <conditionalFormatting sqref="F3664 G3664:G3676 H3664:H3670 AE3664 H3672 G3680:G3681 G3683:G3689 G3697 F5465 G5465:H5466 AE5465 G5476:G5482 F5792 G5792:H5793 AE5792 G5853 F6457:H6457 G6766:G6780 G6868:G6870">
    <cfRule type="cellIs" dxfId="345" priority="413" operator="equal">
      <formula>"B"</formula>
    </cfRule>
  </conditionalFormatting>
  <conditionalFormatting sqref="F3664 G3664:G3676 H3664:H3670 AE3664 H3672 G3680:G3681 G3683:G3689 G3697 F5465 G5465:H5466 AE5465 G5476:G5482 F5792 G5792:H5793 AE5792 G5853 F6457:H6457 G6766:G6780 G6868:G6870">
    <cfRule type="cellIs" dxfId="344" priority="414" operator="equal">
      <formula>"C"</formula>
    </cfRule>
  </conditionalFormatting>
  <conditionalFormatting sqref="F3664 G3664:G3676 H3664:H3670 AE3664 H3672 G3680:G3681 G3683:G3689 G3697 F5465 G5465:H5466 AE5465 G5476:G5482 F5792 G5792:H5793 AE5792 G5853 F6457:H6457 G6766:G6780 G6868:G6870">
    <cfRule type="cellIs" dxfId="343" priority="415" operator="equal">
      <formula>"T"</formula>
    </cfRule>
  </conditionalFormatting>
  <conditionalFormatting sqref="F3664 G3664:G3676 H3664:H3670 AE3664 H3672 G3680:G3681 G3683:G3689 G3697 F5465 G5465:H5466 AE5465 G5476:G5482 F5792 G5792:H5793 AE5792 G5853 F6457:H6457 G6766:G6780 G6868:G6870">
    <cfRule type="cellIs" dxfId="342" priority="416" operator="equal">
      <formula>"V"</formula>
    </cfRule>
  </conditionalFormatting>
  <conditionalFormatting sqref="H3664:H3670 F3664 AE3664 H3672 F5465 H5465:H5466 AE5465 F5792 H5792:H5793 AE5792 F6457 H6457">
    <cfRule type="colorScale" priority="417">
      <colorScale>
        <cfvo type="min"/>
        <cfvo type="max"/>
        <color rgb="FF57BB8A"/>
        <color rgb="FFFFFFFF"/>
      </colorScale>
    </cfRule>
  </conditionalFormatting>
  <conditionalFormatting sqref="C3664:C3689 C5465:C5481 C5775:C5776 C5792:C5798 C5853:C5854 C6457:C6481 C6766 C6868:C6872 C6874:C6883">
    <cfRule type="cellIs" dxfId="341" priority="418" operator="equal">
      <formula>"Mới"</formula>
    </cfRule>
  </conditionalFormatting>
  <conditionalFormatting sqref="C3664:C3689 C5465:C5481 C5775:C5776 C5792:C5798 C5853:C5854 C6457:C6481 C6766 C6868:C6872 C6874:C6883">
    <cfRule type="cellIs" dxfId="340" priority="419" operator="equal">
      <formula>"Up Level"</formula>
    </cfRule>
  </conditionalFormatting>
  <conditionalFormatting sqref="C3664:C3689 C5465:C5481 C5775:C5776 C5792:C5798 C5853:C5854 C6457:C6481 C6766 C6868:C6872 C6874:C6883">
    <cfRule type="cellIs" dxfId="339" priority="420" operator="equal">
      <formula>"Đã tính lương"</formula>
    </cfRule>
  </conditionalFormatting>
  <conditionalFormatting sqref="C3664:C3689 C5465:C5481 C5775:C5776 C5792:C5798 C5853:C5854 C6457:C6481 C6766 C6868:C6872 C6874:C6883">
    <cfRule type="cellIs" dxfId="338" priority="421" operator="equal">
      <formula>"Up quá trình"</formula>
    </cfRule>
  </conditionalFormatting>
  <conditionalFormatting sqref="B3275 B3664:B3689 B3708 B3713 B3727 B3738 B3748 B3988 B5465:B5497 B5713:B5714 B5775:B5805 B5853:B5860 B5905 B5911 B5913:B6858 B6860:B6979">
    <cfRule type="cellIs" dxfId="337" priority="422" operator="equal">
      <formula>"DONE"</formula>
    </cfRule>
  </conditionalFormatting>
  <conditionalFormatting sqref="B3275 B3664:B3689 B3708 B3713 B3727 B3738 B3748 B3988 B5465:B5497 B5713:B5714 B5775:B5805 B5853:B5860 B5905 B5911 B5913:B6858 B6860:B6979">
    <cfRule type="cellIs" dxfId="336" priority="423" operator="equal">
      <formula>"Chờ lớp"</formula>
    </cfRule>
  </conditionalFormatting>
  <conditionalFormatting sqref="B3275 B3664:B3689 B3708 B3713 B3727 B3738 B3748 B3988 B5465:B5497 B5713:B5714 B5775:B5805 B5853:B5860 B5905 B5911 B5913:B6858 B6860:B6979">
    <cfRule type="cellIs" dxfId="335" priority="424" operator="equal">
      <formula>"Chờ feedback"</formula>
    </cfRule>
  </conditionalFormatting>
  <conditionalFormatting sqref="B3275 B3664:B3689 B3708 B3713 B3727 B3738 B3748 B3988 B5465:B5497 B5713:B5714 B5775:B5805 B5853:B5860 B5905 B5911 B5913:B6858 B6860:B6979">
    <cfRule type="cellIs" dxfId="334" priority="425" operator="equal">
      <formula>"LỖI LINK FB"</formula>
    </cfRule>
  </conditionalFormatting>
  <conditionalFormatting sqref="AF1806 AC2842:AF2842 AC2851:AF2851 AE2854:AF2855 AF2898 AC5384:AF5384 AE5396:AF5396 AC5862:AF5862">
    <cfRule type="cellIs" dxfId="333" priority="426" operator="equal">
      <formula>"Đã nhận"</formula>
    </cfRule>
  </conditionalFormatting>
  <conditionalFormatting sqref="Y2842 Y2851 Y5384 Y5862">
    <cfRule type="endsWith" dxfId="332" priority="427" operator="endsWith" text=" ">
      <formula>RIGHT((Y2842),LEN(" "))=(" ")</formula>
    </cfRule>
  </conditionalFormatting>
  <conditionalFormatting sqref="W2842:X2842 W2851:X2851 W5384:X5384 W5862:X5862">
    <cfRule type="cellIs" dxfId="331" priority="428" operator="equal">
      <formula>"Sách"</formula>
    </cfRule>
  </conditionalFormatting>
  <conditionalFormatting sqref="C2842:C2855 C5325:C5385 C5396:C5414 C5423 C5506:C5509 C5722:C5729 C5806:C5810 C5838 C5862:C5879 C5881:C5903 C6212 C6367:C6374">
    <cfRule type="cellIs" dxfId="330" priority="429" operator="equal">
      <formula>"Mới"</formula>
    </cfRule>
  </conditionalFormatting>
  <conditionalFormatting sqref="C2842:C2855 C5325:C5385 C5396:C5414 C5423 C5506:C5509 C5722:C5729 C5806:C5810 C5838 C5862:C5879 C5881:C5903 C6212 C6367:C6374">
    <cfRule type="cellIs" dxfId="329" priority="430" operator="equal">
      <formula>"Up Level"</formula>
    </cfRule>
  </conditionalFormatting>
  <conditionalFormatting sqref="C2842:C2855 Z2851 C5325:C5385 Z5384 C5396:C5414 C5423 C5506:C5509 C5722:C5729 C5806:C5810 C5838 C5862:C5879 C5881:C5903 C6212 C6367:C6374">
    <cfRule type="cellIs" dxfId="328" priority="431" operator="equal">
      <formula>"Đã tính lương"</formula>
    </cfRule>
  </conditionalFormatting>
  <conditionalFormatting sqref="C2842:C2855 C5325:C5385 C5396:C5414 C5423 C5506:C5509 C5722:C5729 C5806:C5810 C5838 C5862:C5879 C5881:C5903 C6212 C6367:C6374">
    <cfRule type="cellIs" dxfId="327" priority="432" operator="equal">
      <formula>"Up quá trình"</formula>
    </cfRule>
  </conditionalFormatting>
  <conditionalFormatting sqref="B2842:B2857 B2879 B2887 B2897:B2898 B3267 B3681 B3727 B5325:B5385 B5389 B5394:B5401 B5409:B5410 B5423:B5426 B5450:B5464 B5506:B5509 B5713:B5714 B5722:B5806 B5823:B5826 B5838:B5842 B5862:B5879 B5903:B6743 B6891">
    <cfRule type="cellIs" dxfId="326" priority="433" operator="equal">
      <formula>"DONE"</formula>
    </cfRule>
  </conditionalFormatting>
  <conditionalFormatting sqref="B2842:B2857 B2879 B2887 B2897:B2898 B3267 B3681 B3727 B5325:B5385 B5389 B5394:B5401 B5409:B5410 B5423:B5426 B5450:B5464 B5506:B5509 B5713:B5714 B5722:B5806 B5823:B5826 B5838:B5842 B5862:B5879 B5903:B6743 B6891">
    <cfRule type="cellIs" dxfId="325" priority="434" operator="equal">
      <formula>"Chờ lớp"</formula>
    </cfRule>
  </conditionalFormatting>
  <conditionalFormatting sqref="B2842:B2857 B2879 B2887 B2897:B2898 B3267 B3681 B3727 B5325:B5385 B5389 B5394:B5401 B5409:B5410 B5423:B5426 B5450:B5464 B5506:B5509 B5713:B5714 B5722:B5806 B5823:B5826 B5838:B5842 B5862:B5879 B5903:B6743 B6891">
    <cfRule type="cellIs" dxfId="324" priority="435" operator="equal">
      <formula>"Chờ feedback"</formula>
    </cfRule>
  </conditionalFormatting>
  <conditionalFormatting sqref="B2842:B2857 B2879 B2887 B2897:B2898 B3267 B3681 B3727 B5325:B5385 B5389 B5394:B5401 B5409:B5410 B5423:B5426 B5450:B5464 B5506:B5509 B5713:B5714 B5722:B5806 B5823:B5826 B5838:B5842 B5862:B5879 B5903:B6743 B6891">
    <cfRule type="cellIs" dxfId="323" priority="436" operator="equal">
      <formula>"LỖI LINK FB"</formula>
    </cfRule>
  </conditionalFormatting>
  <conditionalFormatting sqref="N2842 N2851 N5384 N5862">
    <cfRule type="cellIs" dxfId="322" priority="437" operator="equal">
      <formula>"TIẾN"</formula>
    </cfRule>
  </conditionalFormatting>
  <conditionalFormatting sqref="R2842 R2851 R5384 R5862">
    <cfRule type="containsText" dxfId="321" priority="438" operator="containsText" text="Chung">
      <formula>NOT(ISERROR(SEARCH(("Chung"),(R2842))))</formula>
    </cfRule>
  </conditionalFormatting>
  <conditionalFormatting sqref="F2842 H2842 AE2842 H2851:H2855 H2857:H2861 H2863:H2867 H2869:H2873 H2875:H2876 H2878 H2880:H2881 H2883:H2887 H2889:H2890 H2892 H2894 H2896 H2899:H2901 H2903:H2907 H2909 H2911 F5302:F5306 H5302:H5306 AE5302:AE5306 H5312 F5328 H5328 AE5328 F5333 H5333 AE5333 F5384 H5384 AE5384 F5394 H5394 AE5394 F5396 H5396 AE5396 F5418 H5418 AE5418 F5420:F5421 H5420:H5421 AE5420:AE5421 F5424 H5424 AE5424 F5456 H5456:H5458 AE5456 F5463 H5463 AE5463 H5465:H5466 F5513 H5513 AE5513 F5515 H5515 AE5515 F5855:F5856 H5855:H5856 AE5855:AE5856 F5862 H5862 AE5862 F5903 H5903:H5904 AE5903 F6147:F6148 H6147:H6150 AE6147:AE6148 F6160 H6160 AE6160 H6162 H6164 H6167:H6168 H6212:H6213 F6222 H6222 AE6222 F6257 H6257:H6264 AE6257 H6271:H6272 F6283 H6283 AE6283 F6296 H6296:H6297 AE6296 F6300 H6300:H6301 AE6300 H6307:H6311 H6319 H6325:H6328 F6431 H6431 AE6431 F6964 H6964 AE6964 F6988 H6988:H6989 AE6988">
    <cfRule type="colorScale" priority="439">
      <colorScale>
        <cfvo type="min"/>
        <cfvo type="max"/>
        <color rgb="FF57BB8A"/>
        <color rgb="FFFFFFFF"/>
      </colorScale>
    </cfRule>
  </conditionalFormatting>
  <conditionalFormatting sqref="G1856 F2842 G2842:G2855 H2842 AE2842 H2851:H2855 F2853 G2857:H2861 G2863:H2867 G2869:H2873 G2875:H2876 G2878:H2878 G2880:H2881 G2883:H2887 G2889 H2889:H2890 G2892:H2892 G2894:H2894 G2896:H2896 G2899:G2907 H2899:H2901 H2903:H2907 G2909:H2909 G2911:H2911 F5302:H5306 AE5302:AE5306 G5312:H5312 G5325:G5333 F5328 H5328 AE5328 F5333 H5333 AE5333 F5384 G5384:G5385 H5384 AE5384 F5394:H5394 AE5394 F5396:H5396 AE5396 G5409 F5418:H5418 AE5418 F5420:H5421 AE5420:AE5421 G5423:G5424 F5424 H5424 AE5424 F5456 G5456:H5458 AE5456 F5463:H5463 AE5463 G5465:H5466 G5506 F5513:H5513 AE5513 F5515:H5515 AE5515 G5722:G5723 G5806 G5838 F5855:H5856 AE5855:AE5856 F5862:H5862 AE5862 F5903 G5903:H5904 AE5903 F6147:F6148 G6147:H6150 AE6147:AE6148 F6160:H6160 AE6160 G6162:H6162 G6164:H6164 G6167 H6167:H6168 F6212:G6212 H6212:H6213 AE6212 F6222:H6222 AE6222 F6257 H6257:H6264 AE6257 H6271:H6272 F6283:H6283 AE6283 G6288:G6297 F6296 H6296:H6297 AE6296 F6300 G6300:H6301 AE6300 G6307:H6311 G6319:H6319 G6325:H6328 G6367 G6374:G6389 F6431:H6431 AE6431 F6964:H6964 AE6964 F6988 G6988:H6989 AE6988">
    <cfRule type="cellIs" dxfId="320" priority="440" operator="equal">
      <formula>"A"</formula>
    </cfRule>
  </conditionalFormatting>
  <conditionalFormatting sqref="G1856 F2842 G2842:G2855 H2842 AE2842 H2851:H2855 F2853 G2857:H2861 G2863:H2867 G2869:H2873 G2875:H2876 G2878:H2878 G2880:H2881 G2883:H2887 G2889 H2889:H2890 G2892:H2892 G2894:H2894 G2896:H2896 G2899:G2907 H2899:H2901 H2903:H2907 G2909:H2909 G2911:H2911 F5302:H5306 AE5302:AE5306 G5312:H5312 G5325:G5333 F5328 H5328 AE5328 F5333 H5333 AE5333 F5384 G5384:G5385 H5384 AE5384 F5394:H5394 AE5394 F5396:H5396 AE5396 G5409 F5418:H5418 AE5418 F5420:H5421 AE5420:AE5421 G5423:G5424 F5424 H5424 AE5424 F5456 G5456:H5458 AE5456 F5463:H5463 AE5463 G5465:H5466 G5506 F5513:H5513 AE5513 F5515:H5515 AE5515 G5722:G5723 G5806 G5838 F5855:H5856 AE5855:AE5856 F5862:H5862 AE5862 F5903 G5903:H5904 AE5903 F6147:F6148 G6147:H6150 AE6147:AE6148 F6160:H6160 AE6160 G6162:H6162 G6164:H6164 G6167 H6167:H6168 F6212:G6212 H6212:H6213 AE6212 F6222:H6222 AE6222 F6257 H6257:H6264 AE6257 H6271:H6272 F6283:H6283 AE6283 G6288:G6297 F6296 H6296:H6297 AE6296 F6300 G6300:H6301 AE6300 G6307:H6311 G6319:H6319 G6325:H6328 G6367 G6374:G6389 F6431:H6431 AE6431 F6964:H6964 AE6964 F6988 G6988:H6989 AE6988">
    <cfRule type="cellIs" dxfId="319" priority="441" operator="equal">
      <formula>"B"</formula>
    </cfRule>
  </conditionalFormatting>
  <conditionalFormatting sqref="G1856 F2842 G2842:G2855 H2842 AE2842 H2851:H2855 F2853 G2857:H2861 G2863:H2867 G2869:H2873 G2875:H2876 G2878:H2878 G2880:H2881 G2883:H2887 G2889 H2889:H2890 G2892:H2892 G2894:H2894 G2896:H2896 G2899:G2907 H2899:H2901 H2903:H2907 G2909:H2909 G2911:H2911 F5302:H5306 AE5302:AE5306 G5312:H5312 G5325:G5333 F5328 H5328 AE5328 F5333 H5333 AE5333 F5384 G5384:G5385 H5384 AE5384 F5394:H5394 AE5394 F5396:H5396 AE5396 G5409 F5418:H5418 AE5418 F5420:H5421 AE5420:AE5421 G5423:G5424 F5424 H5424 AE5424 F5456 G5456:H5458 AE5456 F5463:H5463 AE5463 G5465:H5466 G5506 F5513:H5513 AE5513 F5515:H5515 AE5515 G5722:G5723 G5806 G5838 F5855:H5856 AE5855:AE5856 F5862:H5862 AE5862 F5903 G5903:H5904 AE5903 F6147:F6148 G6147:H6150 AE6147:AE6148 F6160:H6160 AE6160 G6162:H6162 G6164:H6164 G6167 H6167:H6168 F6212:G6212 H6212:H6213 AE6212 F6222:H6222 AE6222 F6257 H6257:H6264 AE6257 H6271:H6272 F6283:H6283 AE6283 G6288:G6297 F6296 H6296:H6297 AE6296 F6300 G6300:H6301 AE6300 G6307:H6311 G6319:H6319 G6325:H6328 G6367 G6374:G6389 F6431:H6431 AE6431 F6964:H6964 AE6964 F6988 G6988:H6989 AE6988">
    <cfRule type="cellIs" dxfId="318" priority="442" operator="equal">
      <formula>"C"</formula>
    </cfRule>
  </conditionalFormatting>
  <conditionalFormatting sqref="G1856 F2842 G2842:G2855 H2842 AE2842 H2851:H2855 F2853 G2857:H2861 G2863:H2867 G2869:H2873 G2875:H2876 G2878:H2878 G2880:H2881 G2883:H2887 G2889 H2889:H2890 G2892:H2892 G2894:H2894 G2896:H2896 G2899:G2907 H2899:H2901 H2903:H2907 G2909:H2909 G2911:H2911 F5302:H5306 AE5302:AE5306 G5312:H5312 G5325:G5333 F5328 H5328 AE5328 F5333 H5333 AE5333 F5384 G5384:G5385 H5384 AE5384 F5394:H5394 AE5394 F5396:H5396 AE5396 G5409 F5418:H5418 AE5418 F5420:H5421 AE5420:AE5421 G5423:G5424 F5424 H5424 AE5424 F5456 G5456:H5458 AE5456 F5463:H5463 AE5463 G5465:H5466 G5506 F5513:H5513 AE5513 F5515:H5515 AE5515 G5722:G5723 G5806 G5838 F5855:H5856 AE5855:AE5856 F5862:H5862 AE5862 F5903 G5903:H5904 AE5903 F6147:F6148 G6147:H6150 AE6147:AE6148 F6160:H6160 AE6160 G6162:H6162 G6164:H6164 G6167 H6167:H6168 F6212:G6212 H6212:H6213 AE6212 F6222:H6222 AE6222 F6257 H6257:H6264 AE6257 H6271:H6272 F6283:H6283 AE6283 G6288:G6297 F6296 H6296:H6297 AE6296 F6300 G6300:H6301 AE6300 G6307:H6311 G6319:H6319 G6325:H6328 G6367 G6374:G6389 F6431:H6431 AE6431 F6964:H6964 AE6964 F6988 G6988:H6989 AE6988">
    <cfRule type="cellIs" dxfId="317" priority="443" operator="equal">
      <formula>"T"</formula>
    </cfRule>
  </conditionalFormatting>
  <conditionalFormatting sqref="G1856 F2842 G2842:G2855 H2842 AE2842 H2851:H2855 F2853 G2857:H2861 G2863:H2867 G2869:H2873 G2875:H2876 G2878:H2878 G2880:H2881 G2883:H2887 G2889 H2889:H2890 G2892:H2892 G2894:H2894 G2896:H2896 G2899:G2907 H2899:H2901 H2903:H2907 G2909:H2909 G2911:H2911 F5302:H5306 AE5302:AE5306 G5312:H5312 G5325:G5333 F5328 H5328 AE5328 F5333 H5333 AE5333 F5384 G5384:G5385 H5384 AE5384 F5394:H5394 AE5394 F5396:H5396 AE5396 G5409 F5418:H5418 AE5418 F5420:H5421 AE5420:AE5421 G5423:G5424 F5424 H5424 AE5424 F5456 G5456:H5458 AE5456 F5463:H5463 AE5463 G5465:H5466 G5506 F5513:H5513 AE5513 F5515:H5515 AE5515 G5722:G5723 G5806 G5838 F5855:H5856 AE5855:AE5856 F5862:H5862 AE5862 F5903 G5903:H5904 AE5903 F6147:F6148 G6147:H6150 AE6147:AE6148 F6160:H6160 AE6160 G6162:H6162 G6164:H6164 G6167 H6167:H6168 F6212:G6212 H6212:H6213 AE6212 F6222:H6222 AE6222 F6257 H6257:H6264 AE6257 H6271:H6272 F6283:H6283 AE6283 G6288:G6297 F6296 H6296:H6297 AE6296 F6300 G6300:H6301 AE6300 G6307:H6311 G6319:H6319 G6325:H6328 G6367 G6374:G6389 F6431:H6431 AE6431 F6964:H6964 AE6964 F6988 G6988:H6989 AE6988">
    <cfRule type="cellIs" dxfId="316" priority="444" operator="equal">
      <formula>"V"</formula>
    </cfRule>
  </conditionalFormatting>
  <conditionalFormatting sqref="Z2842 Z2851 Z5384 Z5862">
    <cfRule type="cellIs" dxfId="315" priority="445" operator="equal">
      <formula>"R"</formula>
    </cfRule>
  </conditionalFormatting>
  <conditionalFormatting sqref="Z2842 Z2851 Z5384 Z5862">
    <cfRule type="cellIs" dxfId="314" priority="446" operator="equal">
      <formula>"R-Thiếu"</formula>
    </cfRule>
  </conditionalFormatting>
  <conditionalFormatting sqref="Z2842 Z5862">
    <cfRule type="cellIs" dxfId="313" priority="447" operator="equal">
      <formula>"Đã tính lương"</formula>
    </cfRule>
  </conditionalFormatting>
  <conditionalFormatting sqref="Z2459">
    <cfRule type="cellIs" dxfId="312" priority="448" operator="equal">
      <formula>"Đã tính lương"</formula>
    </cfRule>
  </conditionalFormatting>
  <conditionalFormatting sqref="Z2459">
    <cfRule type="cellIs" dxfId="311" priority="449" operator="equal">
      <formula>"R-Thiếu"</formula>
    </cfRule>
  </conditionalFormatting>
  <conditionalFormatting sqref="Z2459">
    <cfRule type="cellIs" dxfId="310" priority="450" operator="equal">
      <formula>"R"</formula>
    </cfRule>
  </conditionalFormatting>
  <conditionalFormatting sqref="D2459">
    <cfRule type="containsText" dxfId="309" priority="451" operator="containsText" text="Combo">
      <formula>NOT(ISERROR(SEARCH(("Combo"),(D2459))))</formula>
    </cfRule>
  </conditionalFormatting>
  <conditionalFormatting sqref="D2459">
    <cfRule type="cellIs" dxfId="308" priority="452" operator="equal">
      <formula>"Toeic Lv2"</formula>
    </cfRule>
  </conditionalFormatting>
  <conditionalFormatting sqref="D2459">
    <cfRule type="cellIs" dxfId="307" priority="453" operator="equal">
      <formula>"Toeic Lv1"</formula>
    </cfRule>
  </conditionalFormatting>
  <conditionalFormatting sqref="D2459">
    <cfRule type="cellIs" dxfId="306" priority="454" operator="equal">
      <formula>"GT Lv3"</formula>
    </cfRule>
  </conditionalFormatting>
  <conditionalFormatting sqref="D2459">
    <cfRule type="cellIs" dxfId="305" priority="455" operator="equal">
      <formula>"GT Lv2"</formula>
    </cfRule>
  </conditionalFormatting>
  <conditionalFormatting sqref="D2459">
    <cfRule type="cellIs" dxfId="304" priority="456" operator="equal">
      <formula>"GT Lv1"</formula>
    </cfRule>
  </conditionalFormatting>
  <conditionalFormatting sqref="W2459:X2459">
    <cfRule type="cellIs" dxfId="303" priority="457" operator="equal">
      <formula>"Sách"</formula>
    </cfRule>
  </conditionalFormatting>
  <conditionalFormatting sqref="H2459">
    <cfRule type="colorScale" priority="458">
      <colorScale>
        <cfvo type="min"/>
        <cfvo type="max"/>
        <color rgb="FF57BB8A"/>
        <color rgb="FFFFFFFF"/>
      </colorScale>
    </cfRule>
  </conditionalFormatting>
  <conditionalFormatting sqref="G2459:H2459">
    <cfRule type="cellIs" dxfId="302" priority="459" operator="equal">
      <formula>"V"</formula>
    </cfRule>
  </conditionalFormatting>
  <conditionalFormatting sqref="G2459:H2459">
    <cfRule type="cellIs" dxfId="301" priority="460" operator="equal">
      <formula>"T"</formula>
    </cfRule>
  </conditionalFormatting>
  <conditionalFormatting sqref="G2459:H2459">
    <cfRule type="cellIs" dxfId="300" priority="461" operator="equal">
      <formula>"C"</formula>
    </cfRule>
  </conditionalFormatting>
  <conditionalFormatting sqref="G2459:H2459">
    <cfRule type="cellIs" dxfId="299" priority="462" operator="equal">
      <formula>"B"</formula>
    </cfRule>
  </conditionalFormatting>
  <conditionalFormatting sqref="G2459:H2459">
    <cfRule type="cellIs" dxfId="298" priority="463" operator="equal">
      <formula>"A"</formula>
    </cfRule>
  </conditionalFormatting>
  <conditionalFormatting sqref="C2459">
    <cfRule type="cellIs" dxfId="297" priority="464" operator="equal">
      <formula>"Up quá trình"</formula>
    </cfRule>
  </conditionalFormatting>
  <conditionalFormatting sqref="C2459">
    <cfRule type="cellIs" dxfId="296" priority="465" operator="equal">
      <formula>"Đã tính lương"</formula>
    </cfRule>
  </conditionalFormatting>
  <conditionalFormatting sqref="C2459">
    <cfRule type="cellIs" dxfId="295" priority="466" operator="equal">
      <formula>"Up Level"</formula>
    </cfRule>
  </conditionalFormatting>
  <conditionalFormatting sqref="C2459">
    <cfRule type="cellIs" dxfId="294" priority="467" operator="equal">
      <formula>"Mới"</formula>
    </cfRule>
  </conditionalFormatting>
  <conditionalFormatting sqref="B2459">
    <cfRule type="cellIs" dxfId="293" priority="468" operator="equal">
      <formula>"LỖI LINK FB"</formula>
    </cfRule>
  </conditionalFormatting>
  <conditionalFormatting sqref="B2459">
    <cfRule type="cellIs" dxfId="292" priority="469" operator="equal">
      <formula>"Chờ feedback"</formula>
    </cfRule>
  </conditionalFormatting>
  <conditionalFormatting sqref="B2459">
    <cfRule type="cellIs" dxfId="291" priority="470" operator="equal">
      <formula>"Chờ lớp"</formula>
    </cfRule>
  </conditionalFormatting>
  <conditionalFormatting sqref="B2459">
    <cfRule type="cellIs" dxfId="290" priority="471" operator="equal">
      <formula>"DONE"</formula>
    </cfRule>
  </conditionalFormatting>
  <conditionalFormatting sqref="R2459">
    <cfRule type="containsText" dxfId="289" priority="472" operator="containsText" text="Chung">
      <formula>NOT(ISERROR(SEARCH(("Chung"),(R2459))))</formula>
    </cfRule>
  </conditionalFormatting>
  <conditionalFormatting sqref="N2459">
    <cfRule type="cellIs" dxfId="288" priority="473" operator="equal">
      <formula>"TIẾN"</formula>
    </cfRule>
  </conditionalFormatting>
  <conditionalFormatting sqref="Y2459">
    <cfRule type="endsWith" dxfId="287" priority="474" operator="endsWith" text=" ">
      <formula>RIGHT((Y2459),LEN(" "))=(" ")</formula>
    </cfRule>
  </conditionalFormatting>
  <conditionalFormatting sqref="AC2459:AE2459 AF2465 AF2469:AF2470 AF2538 AF2560 AF2617 AF4873 AF6226">
    <cfRule type="cellIs" dxfId="286" priority="475" operator="equal">
      <formula>"Đã nhận"</formula>
    </cfRule>
  </conditionalFormatting>
  <conditionalFormatting sqref="Z2458:Z2459 Z4113">
    <cfRule type="cellIs" dxfId="285" priority="476" operator="equal">
      <formula>"R"</formula>
    </cfRule>
  </conditionalFormatting>
  <conditionalFormatting sqref="Z2458:Z2459 Z4113">
    <cfRule type="cellIs" dxfId="284" priority="477" operator="equal">
      <formula>"R-Thiếu"</formula>
    </cfRule>
  </conditionalFormatting>
  <conditionalFormatting sqref="Z2458:Z2459 Z4113">
    <cfRule type="cellIs" dxfId="283" priority="478" operator="equal">
      <formula>"Đã tính lương"</formula>
    </cfRule>
  </conditionalFormatting>
  <conditionalFormatting sqref="R2458">
    <cfRule type="containsText" dxfId="282" priority="479" operator="containsText" text="Chung">
      <formula>NOT(ISERROR(SEARCH(("Chung"),(R2458))))</formula>
    </cfRule>
  </conditionalFormatting>
  <conditionalFormatting sqref="R2458">
    <cfRule type="containsText" dxfId="281" priority="480" operator="containsText" text="Chung">
      <formula>NOT(ISERROR(SEARCH(("Chung"),(R2458))))</formula>
    </cfRule>
  </conditionalFormatting>
  <conditionalFormatting sqref="N2458">
    <cfRule type="cellIs" dxfId="280" priority="481" operator="equal">
      <formula>"TIẾN"</formula>
    </cfRule>
  </conditionalFormatting>
  <conditionalFormatting sqref="N2458">
    <cfRule type="cellIs" dxfId="279" priority="482" operator="equal">
      <formula>"TIẾN"</formula>
    </cfRule>
  </conditionalFormatting>
  <conditionalFormatting sqref="N2458">
    <cfRule type="cellIs" dxfId="278" priority="483" operator="equal">
      <formula>"TIẾN"</formula>
    </cfRule>
  </conditionalFormatting>
  <conditionalFormatting sqref="N2458">
    <cfRule type="cellIs" dxfId="277" priority="484" operator="equal">
      <formula>"TIẾN"</formula>
    </cfRule>
  </conditionalFormatting>
  <conditionalFormatting sqref="N2458">
    <cfRule type="cellIs" dxfId="276" priority="485" operator="equal">
      <formula>"TIẾN"</formula>
    </cfRule>
  </conditionalFormatting>
  <conditionalFormatting sqref="N2458">
    <cfRule type="cellIs" dxfId="275" priority="486" operator="equal">
      <formula>"TIẾN"</formula>
    </cfRule>
  </conditionalFormatting>
  <conditionalFormatting sqref="N2458">
    <cfRule type="cellIs" dxfId="274" priority="487" operator="equal">
      <formula>"TIẾN"</formula>
    </cfRule>
  </conditionalFormatting>
  <conditionalFormatting sqref="N2458">
    <cfRule type="cellIs" dxfId="273" priority="488" operator="equal">
      <formula>"TIẾN"</formula>
    </cfRule>
  </conditionalFormatting>
  <conditionalFormatting sqref="N2458">
    <cfRule type="cellIs" dxfId="272" priority="489" operator="equal">
      <formula>"TIẾN"</formula>
    </cfRule>
  </conditionalFormatting>
  <conditionalFormatting sqref="N2458">
    <cfRule type="cellIs" dxfId="271" priority="490" operator="equal">
      <formula>"TIẾN"</formula>
    </cfRule>
  </conditionalFormatting>
  <conditionalFormatting sqref="N2458">
    <cfRule type="cellIs" dxfId="270" priority="491" operator="equal">
      <formula>"TIẾN"</formula>
    </cfRule>
  </conditionalFormatting>
  <conditionalFormatting sqref="N2458">
    <cfRule type="cellIs" dxfId="269" priority="492" operator="equal">
      <formula>"TIẾN"</formula>
    </cfRule>
  </conditionalFormatting>
  <conditionalFormatting sqref="N2458">
    <cfRule type="cellIs" dxfId="268" priority="493" operator="equal">
      <formula>"TIẾN"</formula>
    </cfRule>
  </conditionalFormatting>
  <conditionalFormatting sqref="N2458">
    <cfRule type="cellIs" dxfId="267" priority="494" operator="equal">
      <formula>"TIẾN"</formula>
    </cfRule>
  </conditionalFormatting>
  <conditionalFormatting sqref="N2458">
    <cfRule type="cellIs" dxfId="266" priority="495" operator="equal">
      <formula>"TIẾN"</formula>
    </cfRule>
  </conditionalFormatting>
  <conditionalFormatting sqref="Z2458:Z2459 Z4113">
    <cfRule type="cellIs" dxfId="265" priority="496" operator="equal">
      <formula>"R"</formula>
    </cfRule>
  </conditionalFormatting>
  <conditionalFormatting sqref="Z2458:Z2459 Z4113">
    <cfRule type="cellIs" dxfId="264" priority="497" operator="equal">
      <formula>"R-Thiếu"</formula>
    </cfRule>
  </conditionalFormatting>
  <conditionalFormatting sqref="C2458 Z2458:Z2459 Z4113">
    <cfRule type="cellIs" dxfId="263" priority="498" operator="equal">
      <formula>"Đã tính lương"</formula>
    </cfRule>
  </conditionalFormatting>
  <conditionalFormatting sqref="AC2458:AD2458">
    <cfRule type="cellIs" dxfId="262" priority="499" operator="equal">
      <formula>"Đã nhận"</formula>
    </cfRule>
  </conditionalFormatting>
  <conditionalFormatting sqref="F1982 AE1982 F2458 H2458">
    <cfRule type="colorScale" priority="500">
      <colorScale>
        <cfvo type="min"/>
        <cfvo type="max"/>
        <color rgb="FF57BB8A"/>
        <color rgb="FFFFFFFF"/>
      </colorScale>
    </cfRule>
  </conditionalFormatting>
  <conditionalFormatting sqref="X2458:Y2458">
    <cfRule type="endsWith" dxfId="261" priority="501" operator="endsWith" text=" ">
      <formula>RIGHT((X2458),LEN(" "))=(" ")</formula>
    </cfRule>
  </conditionalFormatting>
  <conditionalFormatting sqref="X2458:Y2458">
    <cfRule type="endsWith" dxfId="260" priority="502" operator="endsWith" text=" ">
      <formula>RIGHT((X2458),LEN(" "))=(" ")</formula>
    </cfRule>
  </conditionalFormatting>
  <conditionalFormatting sqref="B2458">
    <cfRule type="cellIs" dxfId="259" priority="503" operator="equal">
      <formula>"DONE"</formula>
    </cfRule>
  </conditionalFormatting>
  <conditionalFormatting sqref="B2458">
    <cfRule type="cellIs" dxfId="258" priority="504" operator="equal">
      <formula>"Chờ lớp"</formula>
    </cfRule>
  </conditionalFormatting>
  <conditionalFormatting sqref="B2458">
    <cfRule type="cellIs" dxfId="257" priority="505" operator="equal">
      <formula>"Chờ feedback"</formula>
    </cfRule>
  </conditionalFormatting>
  <conditionalFormatting sqref="B2458">
    <cfRule type="cellIs" dxfId="256" priority="506" operator="equal">
      <formula>"LỖI LINK FB"</formula>
    </cfRule>
  </conditionalFormatting>
  <conditionalFormatting sqref="B2458">
    <cfRule type="cellIs" dxfId="255" priority="507" operator="equal">
      <formula>"LỖI LINK FB"</formula>
    </cfRule>
  </conditionalFormatting>
  <conditionalFormatting sqref="B2458">
    <cfRule type="cellIs" dxfId="254" priority="508" operator="equal">
      <formula>"LỖI LINK FB"</formula>
    </cfRule>
  </conditionalFormatting>
  <conditionalFormatting sqref="B2458">
    <cfRule type="cellIs" dxfId="253" priority="509" operator="equal">
      <formula>"LỖI LINK FB"</formula>
    </cfRule>
  </conditionalFormatting>
  <conditionalFormatting sqref="B2458">
    <cfRule type="cellIs" dxfId="252" priority="510" operator="equal">
      <formula>"LỖI LINK FB"</formula>
    </cfRule>
  </conditionalFormatting>
  <conditionalFormatting sqref="B2458">
    <cfRule type="cellIs" dxfId="251" priority="511" operator="equal">
      <formula>"LỖI LINK FB"</formula>
    </cfRule>
  </conditionalFormatting>
  <conditionalFormatting sqref="B2458">
    <cfRule type="cellIs" dxfId="250" priority="512" operator="equal">
      <formula>"LỖI LINK FB"</formula>
    </cfRule>
  </conditionalFormatting>
  <conditionalFormatting sqref="B2458">
    <cfRule type="cellIs" dxfId="249" priority="513" operator="equal">
      <formula>"LỖI LINK FB"</formula>
    </cfRule>
  </conditionalFormatting>
  <conditionalFormatting sqref="B2458">
    <cfRule type="cellIs" dxfId="248" priority="514" operator="equal">
      <formula>"LỖI LINK FB"</formula>
    </cfRule>
  </conditionalFormatting>
  <conditionalFormatting sqref="B2458">
    <cfRule type="cellIs" dxfId="247" priority="515" operator="equal">
      <formula>"LỖI LINK FB"</formula>
    </cfRule>
  </conditionalFormatting>
  <conditionalFormatting sqref="B2458">
    <cfRule type="cellIs" dxfId="246" priority="516" operator="equal">
      <formula>"LỖI LINK FB"</formula>
    </cfRule>
  </conditionalFormatting>
  <conditionalFormatting sqref="B2458">
    <cfRule type="cellIs" dxfId="245" priority="517" operator="equal">
      <formula>"LỖI LINK FB"</formula>
    </cfRule>
  </conditionalFormatting>
  <conditionalFormatting sqref="B2458">
    <cfRule type="cellIs" dxfId="244" priority="518" operator="equal">
      <formula>"LỖI LINK FB"</formula>
    </cfRule>
  </conditionalFormatting>
  <conditionalFormatting sqref="B2458">
    <cfRule type="cellIs" dxfId="243" priority="519" operator="equal">
      <formula>"LỖI LINK FB"</formula>
    </cfRule>
  </conditionalFormatting>
  <conditionalFormatting sqref="B2458">
    <cfRule type="cellIs" dxfId="242" priority="520" operator="equal">
      <formula>"DONE"</formula>
    </cfRule>
  </conditionalFormatting>
  <conditionalFormatting sqref="B2458">
    <cfRule type="cellIs" dxfId="241" priority="521" operator="equal">
      <formula>"Chờ lớp"</formula>
    </cfRule>
  </conditionalFormatting>
  <conditionalFormatting sqref="B2458">
    <cfRule type="cellIs" dxfId="240" priority="522" operator="equal">
      <formula>"Chờ feedback"</formula>
    </cfRule>
  </conditionalFormatting>
  <conditionalFormatting sqref="B2458">
    <cfRule type="cellIs" dxfId="239" priority="523" operator="equal">
      <formula>"LỖI LINK FB"</formula>
    </cfRule>
  </conditionalFormatting>
  <conditionalFormatting sqref="C2458">
    <cfRule type="cellIs" dxfId="238" priority="524" operator="equal">
      <formula>"Mới"</formula>
    </cfRule>
  </conditionalFormatting>
  <conditionalFormatting sqref="C2458">
    <cfRule type="cellIs" dxfId="237" priority="525" operator="equal">
      <formula>"Up Level"</formula>
    </cfRule>
  </conditionalFormatting>
  <conditionalFormatting sqref="C2458">
    <cfRule type="cellIs" dxfId="236" priority="526" operator="equal">
      <formula>"Up quá trình"</formula>
    </cfRule>
  </conditionalFormatting>
  <conditionalFormatting sqref="C2458">
    <cfRule type="cellIs" dxfId="235" priority="527" operator="equal">
      <formula>"Mới"</formula>
    </cfRule>
  </conditionalFormatting>
  <conditionalFormatting sqref="C2458">
    <cfRule type="cellIs" dxfId="234" priority="528" operator="equal">
      <formula>"Up Level"</formula>
    </cfRule>
  </conditionalFormatting>
  <conditionalFormatting sqref="C2458">
    <cfRule type="cellIs" dxfId="233" priority="529" operator="equal">
      <formula>"Đã tính lương"</formula>
    </cfRule>
  </conditionalFormatting>
  <conditionalFormatting sqref="C2458">
    <cfRule type="cellIs" dxfId="232" priority="530" operator="equal">
      <formula>"Up quá trình"</formula>
    </cfRule>
  </conditionalFormatting>
  <conditionalFormatting sqref="F1982 AE1982 F2458:H2458">
    <cfRule type="cellIs" dxfId="231" priority="531" operator="equal">
      <formula>"A"</formula>
    </cfRule>
  </conditionalFormatting>
  <conditionalFormatting sqref="F1982 AE1982 F2458:H2458">
    <cfRule type="cellIs" dxfId="230" priority="532" operator="equal">
      <formula>"B"</formula>
    </cfRule>
  </conditionalFormatting>
  <conditionalFormatting sqref="F1982 AE1982 F2458:H2458">
    <cfRule type="cellIs" dxfId="229" priority="533" operator="equal">
      <formula>"C"</formula>
    </cfRule>
  </conditionalFormatting>
  <conditionalFormatting sqref="F1982 AE1982 F2458:H2458">
    <cfRule type="cellIs" dxfId="228" priority="534" operator="equal">
      <formula>"T"</formula>
    </cfRule>
  </conditionalFormatting>
  <conditionalFormatting sqref="F1982 AE1982 F2458:H2458">
    <cfRule type="cellIs" dxfId="227" priority="535" operator="equal">
      <formula>"V"</formula>
    </cfRule>
  </conditionalFormatting>
  <conditionalFormatting sqref="G2458">
    <cfRule type="cellIs" dxfId="226" priority="536" operator="equal">
      <formula>"V"</formula>
    </cfRule>
  </conditionalFormatting>
  <conditionalFormatting sqref="G2458">
    <cfRule type="cellIs" dxfId="225" priority="537" operator="equal">
      <formula>"V"</formula>
    </cfRule>
  </conditionalFormatting>
  <conditionalFormatting sqref="G2458">
    <cfRule type="cellIs" dxfId="224" priority="538" operator="equal">
      <formula>"V"</formula>
    </cfRule>
  </conditionalFormatting>
  <conditionalFormatting sqref="G2458">
    <cfRule type="cellIs" dxfId="223" priority="539" operator="equal">
      <formula>"V"</formula>
    </cfRule>
  </conditionalFormatting>
  <conditionalFormatting sqref="G2458">
    <cfRule type="cellIs" dxfId="222" priority="540" operator="equal">
      <formula>"V"</formula>
    </cfRule>
  </conditionalFormatting>
  <conditionalFormatting sqref="G2458">
    <cfRule type="cellIs" dxfId="221" priority="541" operator="equal">
      <formula>"V"</formula>
    </cfRule>
  </conditionalFormatting>
  <conditionalFormatting sqref="G2458">
    <cfRule type="cellIs" dxfId="220" priority="542" operator="equal">
      <formula>"A"</formula>
    </cfRule>
  </conditionalFormatting>
  <conditionalFormatting sqref="G2458">
    <cfRule type="cellIs" dxfId="219" priority="543" operator="equal">
      <formula>"B"</formula>
    </cfRule>
  </conditionalFormatting>
  <conditionalFormatting sqref="G2458">
    <cfRule type="cellIs" dxfId="218" priority="544" operator="equal">
      <formula>"C"</formula>
    </cfRule>
  </conditionalFormatting>
  <conditionalFormatting sqref="G2458">
    <cfRule type="cellIs" dxfId="217" priority="545" operator="equal">
      <formula>"T"</formula>
    </cfRule>
  </conditionalFormatting>
  <conditionalFormatting sqref="G2458">
    <cfRule type="cellIs" dxfId="216" priority="546" operator="equal">
      <formula>"V"</formula>
    </cfRule>
  </conditionalFormatting>
  <conditionalFormatting sqref="W2458:X2458">
    <cfRule type="cellIs" dxfId="215" priority="547" operator="equal">
      <formula>"Sách"</formula>
    </cfRule>
  </conditionalFormatting>
  <conditionalFormatting sqref="W2458:X2458">
    <cfRule type="cellIs" dxfId="214" priority="548" operator="equal">
      <formula>"Sách"</formula>
    </cfRule>
  </conditionalFormatting>
  <conditionalFormatting sqref="N2257">
    <cfRule type="cellIs" dxfId="213" priority="549" operator="equal">
      <formula>"TIẾN"</formula>
    </cfRule>
  </conditionalFormatting>
  <conditionalFormatting sqref="H2257">
    <cfRule type="colorScale" priority="550">
      <colorScale>
        <cfvo type="min"/>
        <cfvo type="max"/>
        <color rgb="FF57BB8A"/>
        <color rgb="FFFFFFFF"/>
      </colorScale>
    </cfRule>
  </conditionalFormatting>
  <conditionalFormatting sqref="W2257:X2257 W2773:X2773 W6157:X6157">
    <cfRule type="cellIs" dxfId="212" priority="551" operator="equal">
      <formula>"Sách"</formula>
    </cfRule>
  </conditionalFormatting>
  <conditionalFormatting sqref="R2257">
    <cfRule type="containsText" dxfId="211" priority="552" operator="containsText" text="Chung">
      <formula>NOT(ISERROR(SEARCH(("Chung"),(R2257))))</formula>
    </cfRule>
  </conditionalFormatting>
  <conditionalFormatting sqref="B2257">
    <cfRule type="cellIs" dxfId="210" priority="553" operator="equal">
      <formula>"DONE"</formula>
    </cfRule>
  </conditionalFormatting>
  <conditionalFormatting sqref="B2257">
    <cfRule type="cellIs" dxfId="209" priority="554" operator="equal">
      <formula>"Chờ lớp"</formula>
    </cfRule>
  </conditionalFormatting>
  <conditionalFormatting sqref="B2257">
    <cfRule type="cellIs" dxfId="208" priority="555" operator="equal">
      <formula>"Chờ feedback"</formula>
    </cfRule>
  </conditionalFormatting>
  <conditionalFormatting sqref="B2257">
    <cfRule type="cellIs" dxfId="207" priority="556" operator="equal">
      <formula>"LỖI LINK FB"</formula>
    </cfRule>
  </conditionalFormatting>
  <conditionalFormatting sqref="C2257">
    <cfRule type="cellIs" dxfId="206" priority="557" operator="equal">
      <formula>"Mới"</formula>
    </cfRule>
  </conditionalFormatting>
  <conditionalFormatting sqref="C2257">
    <cfRule type="cellIs" dxfId="205" priority="558" operator="equal">
      <formula>"Up Level"</formula>
    </cfRule>
  </conditionalFormatting>
  <conditionalFormatting sqref="C2257">
    <cfRule type="cellIs" dxfId="204" priority="559" operator="equal">
      <formula>"Đã tính lương"</formula>
    </cfRule>
  </conditionalFormatting>
  <conditionalFormatting sqref="C2257">
    <cfRule type="cellIs" dxfId="203" priority="560" operator="equal">
      <formula>"Up quá trình"</formula>
    </cfRule>
  </conditionalFormatting>
  <conditionalFormatting sqref="Z2257 Z2773 Z6157">
    <cfRule type="cellIs" dxfId="202" priority="561" operator="equal">
      <formula>"R"</formula>
    </cfRule>
  </conditionalFormatting>
  <conditionalFormatting sqref="Z2257 Z2773 Z6157">
    <cfRule type="cellIs" dxfId="201" priority="562" operator="equal">
      <formula>"R-Thiếu"</formula>
    </cfRule>
  </conditionalFormatting>
  <conditionalFormatting sqref="Z2257 Z2773 Z6157">
    <cfRule type="cellIs" dxfId="200" priority="563" operator="equal">
      <formula>"Đã tính lương"</formula>
    </cfRule>
  </conditionalFormatting>
  <conditionalFormatting sqref="AC2257:AF2257">
    <cfRule type="cellIs" dxfId="199" priority="564" operator="equal">
      <formula>"Đã nhận"</formula>
    </cfRule>
  </conditionalFormatting>
  <conditionalFormatting sqref="Y2257 Y2773 Y2798 Y6157">
    <cfRule type="endsWith" dxfId="198" priority="565" operator="endsWith" text=" ">
      <formula>RIGHT((Y2257),LEN(" "))=(" ")</formula>
    </cfRule>
  </conditionalFormatting>
  <conditionalFormatting sqref="G2257:H2257">
    <cfRule type="cellIs" dxfId="197" priority="566" operator="equal">
      <formula>"A"</formula>
    </cfRule>
  </conditionalFormatting>
  <conditionalFormatting sqref="G2257:H2257">
    <cfRule type="cellIs" dxfId="196" priority="567" operator="equal">
      <formula>"B"</formula>
    </cfRule>
  </conditionalFormatting>
  <conditionalFormatting sqref="G2257:H2257">
    <cfRule type="cellIs" dxfId="195" priority="568" operator="equal">
      <formula>"C"</formula>
    </cfRule>
  </conditionalFormatting>
  <conditionalFormatting sqref="G2257:H2257">
    <cfRule type="cellIs" dxfId="194" priority="569" operator="equal">
      <formula>"T"</formula>
    </cfRule>
  </conditionalFormatting>
  <conditionalFormatting sqref="G2257:H2257">
    <cfRule type="cellIs" dxfId="193" priority="570" operator="equal">
      <formula>"V"</formula>
    </cfRule>
  </conditionalFormatting>
  <conditionalFormatting sqref="Y2257 Y2773 Y2798 Y6157">
    <cfRule type="endsWith" dxfId="192" priority="571" operator="endsWith" text=" ">
      <formula>RIGHT((Y2257),LEN(" "))=(" ")</formula>
    </cfRule>
  </conditionalFormatting>
  <conditionalFormatting sqref="Y2257 Y2773 Y2798 Y6157">
    <cfRule type="endsWith" dxfId="191" priority="572" operator="endsWith" text=" ">
      <formula>RIGHT((Y2257),LEN(" "))=(" ")</formula>
    </cfRule>
  </conditionalFormatting>
  <conditionalFormatting sqref="W2254:X2254">
    <cfRule type="cellIs" dxfId="190" priority="573" operator="equal">
      <formula>"Sách"</formula>
    </cfRule>
  </conditionalFormatting>
  <conditionalFormatting sqref="AC2254 AD2254:AD2255 AF2254">
    <cfRule type="cellIs" dxfId="189" priority="574" operator="equal">
      <formula>"Đã nhận"</formula>
    </cfRule>
  </conditionalFormatting>
  <conditionalFormatting sqref="R2254">
    <cfRule type="containsText" dxfId="188" priority="575" operator="containsText" text="Chung">
      <formula>NOT(ISERROR(SEARCH(("Chung"),(R2254))))</formula>
    </cfRule>
  </conditionalFormatting>
  <conditionalFormatting sqref="Y2254">
    <cfRule type="endsWith" dxfId="187" priority="576" operator="endsWith" text=" ">
      <formula>RIGHT((Y2254),LEN(" "))=(" ")</formula>
    </cfRule>
  </conditionalFormatting>
  <conditionalFormatting sqref="Z2254">
    <cfRule type="cellIs" dxfId="186" priority="577" operator="equal">
      <formula>"Đã tính lương"</formula>
    </cfRule>
  </conditionalFormatting>
  <conditionalFormatting sqref="Z2254">
    <cfRule type="cellIs" dxfId="185" priority="578" operator="equal">
      <formula>"R-Thiếu"</formula>
    </cfRule>
  </conditionalFormatting>
  <conditionalFormatting sqref="Z2254">
    <cfRule type="cellIs" dxfId="184" priority="579" operator="equal">
      <formula>"R"</formula>
    </cfRule>
  </conditionalFormatting>
  <conditionalFormatting sqref="C2254:C2255">
    <cfRule type="cellIs" dxfId="183" priority="580" operator="equal">
      <formula>"Up quá trình"</formula>
    </cfRule>
  </conditionalFormatting>
  <conditionalFormatting sqref="C2254:C2255">
    <cfRule type="cellIs" dxfId="182" priority="581" operator="equal">
      <formula>"Đã tính lương"</formula>
    </cfRule>
  </conditionalFormatting>
  <conditionalFormatting sqref="C2254:C2255">
    <cfRule type="cellIs" dxfId="181" priority="582" operator="equal">
      <formula>"Up Level"</formula>
    </cfRule>
  </conditionalFormatting>
  <conditionalFormatting sqref="C2254:C2255">
    <cfRule type="cellIs" dxfId="180" priority="583" operator="equal">
      <formula>"Mới"</formula>
    </cfRule>
  </conditionalFormatting>
  <conditionalFormatting sqref="B2254">
    <cfRule type="cellIs" dxfId="179" priority="584" operator="equal">
      <formula>"LỖI LINK FB"</formula>
    </cfRule>
  </conditionalFormatting>
  <conditionalFormatting sqref="B2254">
    <cfRule type="cellIs" dxfId="178" priority="585" operator="equal">
      <formula>"Chờ feedback"</formula>
    </cfRule>
  </conditionalFormatting>
  <conditionalFormatting sqref="B2254">
    <cfRule type="cellIs" dxfId="177" priority="586" operator="equal">
      <formula>"Chờ lớp"</formula>
    </cfRule>
  </conditionalFormatting>
  <conditionalFormatting sqref="B2254">
    <cfRule type="cellIs" dxfId="176" priority="587" operator="equal">
      <formula>"DONE"</formula>
    </cfRule>
  </conditionalFormatting>
  <conditionalFormatting sqref="H2254 F2254">
    <cfRule type="colorScale" priority="588">
      <colorScale>
        <cfvo type="min"/>
        <cfvo type="max"/>
        <color rgb="FF57BB8A"/>
        <color rgb="FFFFFFFF"/>
      </colorScale>
    </cfRule>
  </conditionalFormatting>
  <conditionalFormatting sqref="F2254:H2254">
    <cfRule type="cellIs" dxfId="175" priority="589" operator="equal">
      <formula>"V"</formula>
    </cfRule>
  </conditionalFormatting>
  <conditionalFormatting sqref="F2254:H2254">
    <cfRule type="cellIs" dxfId="174" priority="590" operator="equal">
      <formula>"T"</formula>
    </cfRule>
  </conditionalFormatting>
  <conditionalFormatting sqref="F2254:H2254">
    <cfRule type="cellIs" dxfId="173" priority="591" operator="equal">
      <formula>"C"</formula>
    </cfRule>
  </conditionalFormatting>
  <conditionalFormatting sqref="F2254:H2254">
    <cfRule type="cellIs" dxfId="172" priority="592" operator="equal">
      <formula>"B"</formula>
    </cfRule>
  </conditionalFormatting>
  <conditionalFormatting sqref="F2254:H2254">
    <cfRule type="cellIs" dxfId="171" priority="593" operator="equal">
      <formula>"A"</formula>
    </cfRule>
  </conditionalFormatting>
  <conditionalFormatting sqref="N2254">
    <cfRule type="cellIs" dxfId="170" priority="594" operator="equal">
      <formula>"TIẾN"</formula>
    </cfRule>
  </conditionalFormatting>
  <conditionalFormatting sqref="AC1 AC136:AF140 AC326:AF326 AC432:AF432 AC609:AE609 AE620 AC636 AC638:AC639 AF1036 AF1044 AC1724 AF2120 AF2123 AF2128 AC3757 AC4136:AE4136">
    <cfRule type="cellIs" dxfId="169" priority="595" operator="equal">
      <formula>"Đã nhận"</formula>
    </cfRule>
  </conditionalFormatting>
  <conditionalFormatting sqref="Y1:AA1 Z3:Z5 Z136:Z140 Z326 Z432 Z498">
    <cfRule type="cellIs" dxfId="168" priority="596" operator="equal">
      <formula>"R-Thiếu"</formula>
    </cfRule>
  </conditionalFormatting>
  <conditionalFormatting sqref="Y1:AA1 Z3:Z5 Z136:Z140 Z326 Z432 Z498">
    <cfRule type="cellIs" dxfId="167" priority="597" operator="equal">
      <formula>"R"</formula>
    </cfRule>
  </conditionalFormatting>
  <conditionalFormatting sqref="Y1 X636:Y636 X1724:Y1724 X3757:Y3757">
    <cfRule type="endsWith" dxfId="166" priority="598" operator="endsWith" text=" ">
      <formula>RIGHT((Y1),LEN(" "))=(" ")</formula>
    </cfRule>
  </conditionalFormatting>
  <conditionalFormatting sqref="D636 D1724 D3757">
    <cfRule type="cellIs" dxfId="165" priority="599" operator="equal">
      <formula>"GT Lv1"</formula>
    </cfRule>
  </conditionalFormatting>
  <conditionalFormatting sqref="D636 D1724 D3757">
    <cfRule type="cellIs" dxfId="164" priority="600" operator="equal">
      <formula>"GT Lv2"</formula>
    </cfRule>
  </conditionalFormatting>
  <conditionalFormatting sqref="D636 D1724 D3757">
    <cfRule type="cellIs" dxfId="163" priority="601" operator="equal">
      <formula>"GT Lv3"</formula>
    </cfRule>
  </conditionalFormatting>
  <conditionalFormatting sqref="D636 D1724 D3757">
    <cfRule type="cellIs" dxfId="162" priority="602" operator="equal">
      <formula>"Toeic Lv1"</formula>
    </cfRule>
  </conditionalFormatting>
  <conditionalFormatting sqref="D636 D1724 D3757">
    <cfRule type="cellIs" dxfId="161" priority="603" operator="equal">
      <formula>"Toeic Lv2"</formula>
    </cfRule>
  </conditionalFormatting>
  <conditionalFormatting sqref="D636 D1724 D3757">
    <cfRule type="containsText" dxfId="160" priority="604" operator="containsText" text="Combo">
      <formula>NOT(ISERROR(SEARCH(("Combo"),(D636))))</formula>
    </cfRule>
  </conditionalFormatting>
  <conditionalFormatting sqref="B636 B1724:B1730 B3716 B3733 B3743:B3768 B3770 B3775:B3778 B3809 B3811 B3821 B3838 B3988 B4078:B4119 B4129:B4134 B4157:B4158 B4683 B4689 B4726 B5517:B5519 B5856 B5880 B5901:B6858 B6860:B6979">
    <cfRule type="cellIs" dxfId="159" priority="605" operator="equal">
      <formula>"DONE"</formula>
    </cfRule>
  </conditionalFormatting>
  <conditionalFormatting sqref="B636 B1724:B1730 B3716 B3733 B3743:B3768 B3770 B3775:B3778 B3809 B3811 B3821 B3838 B3988 B4078:B4119 B4129:B4134 B4157:B4158 B4683 B4689 B4726 B5517:B5519 B5856 B5880 B5901:B6858 B6860:B6979">
    <cfRule type="cellIs" dxfId="158" priority="606" operator="equal">
      <formula>"Chờ lớp"</formula>
    </cfRule>
  </conditionalFormatting>
  <conditionalFormatting sqref="B636 B1724:B1730 B3716 B3733 B3743:B3768 B3770 B3775:B3778 B3809 B3811 B3821 B3838 B3988 B4078:B4119 B4129:B4134 B4157:B4158 B4683 B4689 B4726 B5517:B5519 B5856 B5880 B5901:B6858 B6860:B6979">
    <cfRule type="cellIs" dxfId="157" priority="607" operator="equal">
      <formula>"Chờ feedback"</formula>
    </cfRule>
  </conditionalFormatting>
  <conditionalFormatting sqref="B636 B1724:B1730 B3716 B3733 B3743:B3768 B3770 B3775:B3778 B3809 B3811 B3821 B3838 B3988 B4078:B4119 B4129:B4134 B4157:B4158 B4683 B4689 B4726 B5517:B5519 B5856 B5880 B5901:B6858 B6860:B6979">
    <cfRule type="cellIs" dxfId="156" priority="608" operator="equal">
      <formula>"LỖI LINK FB"</formula>
    </cfRule>
  </conditionalFormatting>
  <conditionalFormatting sqref="G636:G637 G639:G641 G1724:G1729 G1732 G1738:G1748 G1750:G1752 G2580 G2776 G2780 G3691:G3696 G3702 G3705 G3711:G3712 G3749 G3757:G3759 G4078 G5516:G5518 G5941 G5944:G5947 G6071 G6103 G6108 G6117:G6118 G6120 G6123:G6126 G6220 G6248 G6255 G6286:G6287 G6369:G6370 G6484:G6485 G6497 G6633 G6636 G6717 G6719">
    <cfRule type="cellIs" dxfId="155" priority="609" operator="equal">
      <formula>"V"</formula>
    </cfRule>
  </conditionalFormatting>
  <conditionalFormatting sqref="G636:G637 G639:G641 G1724:G1729 G1732 G1738:G1748 G1750:G1752 G2580 G2776 G2780 G3691:G3696 G3702 G3705 G3711:G3712 G3749 G3757:G3759 G4078 G5516:G5518 G5941 G5944:G5947 G6071 G6103 G6108 G6117:G6118 G6120 G6123:G6126 G6220 G6248 G6255 G6286:G6287 G6369:G6370 G6484:G6485 G6497 G6633 G6636 G6717 G6719">
    <cfRule type="cellIs" dxfId="154" priority="610" operator="equal">
      <formula>"T"</formula>
    </cfRule>
  </conditionalFormatting>
  <conditionalFormatting sqref="G636:G637 G639:G641 G1724:G1729 G1732 G1738:G1748 G1750:G1752 G2580 G2776 G2780 G3691:G3696 G3702 G3705 G3711:G3712 G3749 G3757:G3759 G4078 G5516:G5518 G5941 G5944:G5947 G6071 G6103 G6108 G6117:G6118 G6120 G6123:G6126 G6220 G6248 G6255 G6286:G6287 G6369:G6370 G6484:G6485 G6497 G6633 G6636 G6717 G6719">
    <cfRule type="cellIs" dxfId="153" priority="611" operator="equal">
      <formula>"C"</formula>
    </cfRule>
  </conditionalFormatting>
  <conditionalFormatting sqref="G636:G637 G639:G641 G1724:G1729 G1732 G1738:G1748 G1750:G1752 G2580 G2776 G2780 G3691:G3696 G3702 G3705 G3711:G3712 G3749 G3757:G3759 G4078 G5516:G5518 G5941 G5944:G5947 G6071 G6103 G6108 G6117:G6118 G6120 G6123:G6126 G6220 G6248 G6255 G6286:G6287 G6369:G6370 G6484:G6485 G6497 G6633 G6636 G6717 G6719">
    <cfRule type="cellIs" dxfId="152" priority="612" operator="equal">
      <formula>"B"</formula>
    </cfRule>
  </conditionalFormatting>
  <conditionalFormatting sqref="G636:G637 G639:G641 G1724:G1729 G1732 G1738:G1748 G1750:G1752 G2580 G2776 G2780 G3691:G3696 G3702 G3705 G3711:G3712 G3749 G3757:G3759 G4078 G5516:G5518 G5941 G5944:G5947 G6071 G6103 G6108 G6117:G6118 G6120 G6123:G6126 G6220 G6248 G6255 G6286:G6287 G6369:G6370 G6484:G6485 G6497 G6633 G6636 G6717 G6719">
    <cfRule type="cellIs" dxfId="151" priority="613" operator="equal">
      <formula>"A"</formula>
    </cfRule>
  </conditionalFormatting>
  <conditionalFormatting sqref="B636 B1724:B1730 B3716 B3733 B3743:B3768 B3770 B3775:B3778 B3809 B3811 B3821 B3838 B3988 B4078:B4119 B4129:B4134 B4157:B4158 B4683 B4689 B4726 B5517:B5519 B5856 B5880 B5901:B6858 B6860:B6979">
    <cfRule type="cellIs" dxfId="150" priority="614" operator="equal">
      <formula>"DONE"</formula>
    </cfRule>
  </conditionalFormatting>
  <conditionalFormatting sqref="B636 B1724:B1730 B3716 B3733 B3743:B3768 B3770 B3775:B3778 B3809 B3811 B3821 B3838 B3988 B4078:B4119 B4129:B4134 B4157:B4158 B4683 B4689 B4726 B5517:B5519 B5856 B5880 B5901:B6858 B6860:B6979">
    <cfRule type="cellIs" dxfId="149" priority="615" operator="equal">
      <formula>"Chờ lớp"</formula>
    </cfRule>
  </conditionalFormatting>
  <conditionalFormatting sqref="B636 B1724:B1730 B3716 B3733 B3743:B3768 B3770 B3775:B3778 B3809 B3811 B3821 B3838 B3988 B4078:B4119 B4129:B4134 B4157:B4158 B4683 B4689 B4726 B5517:B5519 B5856 B5880 B5901:B6858 B6860:B6979">
    <cfRule type="cellIs" dxfId="148" priority="616" operator="equal">
      <formula>"Chờ feedback"</formula>
    </cfRule>
  </conditionalFormatting>
  <conditionalFormatting sqref="B636 B1724:B1730 B3716 B3733 B3743:B3768 B3770 B3775:B3778 B3809 B3811 B3821 B3838 B3988 B4078:B4119 B4129:B4134 B4157:B4158 B4683 B4689 B4726 B5517:B5519 B5856 B5880 B5901:B6858 B6860:B6979">
    <cfRule type="cellIs" dxfId="147" priority="617" operator="equal">
      <formula>"LỖI LINK FB"</formula>
    </cfRule>
  </conditionalFormatting>
  <conditionalFormatting sqref="B636 B1724:B1730 B3716 B3733 B3743:B3768 B3770 B3775:B3778 B3809 B3811 B3821 B3838 B3988 B4078:B4119 B4129:B4134 B4157:B4158 B4683 B4689 B4726 B5517:B5519 B5856 B5880 B5901:B6858 B6860:B6979">
    <cfRule type="cellIs" dxfId="146" priority="618" operator="equal">
      <formula>"LỖI LINK FB"</formula>
    </cfRule>
  </conditionalFormatting>
  <conditionalFormatting sqref="B636 B1724:B1730 B3716 B3733 B3743:B3768 B3770 B3775:B3778 B3809 B3811 B3821 B3838 B3988 B4078:B4119 B4129:B4134 B4157:B4158 B4683 B4689 B4726 B5517:B5519 B5856 B5880 B5901:B6858 B6860:B6979">
    <cfRule type="cellIs" dxfId="145" priority="619" operator="equal">
      <formula>"Chờ feedback"</formula>
    </cfRule>
  </conditionalFormatting>
  <conditionalFormatting sqref="B636 B1724:B1730 B3716 B3733 B3743:B3768 B3770 B3775:B3778 B3809 B3811 B3821 B3838 B3988 B4078:B4119 B4129:B4134 B4157:B4158 B4683 B4689 B4726 B5517:B5519 B5856 B5880 B5901:B6858 B6860:B6979">
    <cfRule type="cellIs" dxfId="144" priority="620" operator="equal">
      <formula>"Chờ lớp"</formula>
    </cfRule>
  </conditionalFormatting>
  <conditionalFormatting sqref="B636 B1724:B1730 B3716 B3733 B3743:B3768 B3770 B3775:B3778 B3809 B3811 B3821 B3838 B3988 B4078:B4119 B4129:B4134 B4157:B4158 B4683 B4689 B4726 B5517:B5519 B5856 B5880 B5901:B6858 B6860:B6979">
    <cfRule type="cellIs" dxfId="143" priority="621" operator="equal">
      <formula>"DONE"</formula>
    </cfRule>
  </conditionalFormatting>
  <conditionalFormatting sqref="B636 B1724:B1730 B3716 B3733 B3743:B3768 B3770 B3775:B3778 B3809 B3811 B3821 B3838 B3988 B4078:B4119 B4129:B4134 B4157:B4158 B4683 B4689 B4726 B5517:B5519 B5856 B5880 B5901:B6858 B6860:B6979">
    <cfRule type="cellIs" dxfId="142" priority="622" operator="equal">
      <formula>"DONE"</formula>
    </cfRule>
  </conditionalFormatting>
  <conditionalFormatting sqref="B636 B1724:B1730 B3716 B3733 B3743:B3768 B3770 B3775:B3778 B3809 B3811 B3821 B3838 B3988 B4078:B4119 B4129:B4134 B4157:B4158 B4683 B4689 B4726 B5517:B5519 B5856 B5880 B5901:B6858 B6860:B6979">
    <cfRule type="cellIs" dxfId="141" priority="623" operator="equal">
      <formula>"Chờ lớp"</formula>
    </cfRule>
  </conditionalFormatting>
  <conditionalFormatting sqref="B636 B1724:B1730 B3716 B3733 B3743:B3768 B3770 B3775:B3778 B3809 B3811 B3821 B3838 B3988 B4078:B4119 B4129:B4134 B4157:B4158 B4683 B4689 B4726 B5517:B5519 B5856 B5880 B5901:B6858 B6860:B6979">
    <cfRule type="cellIs" dxfId="140" priority="624" operator="equal">
      <formula>"Chờ feedback"</formula>
    </cfRule>
  </conditionalFormatting>
  <conditionalFormatting sqref="B636 B1724:B1730 B3716 B3733 B3743:B3768 B3770 B3775:B3778 B3809 B3811 B3821 B3838 B3988 B4078:B4119 B4129:B4134 B4157:B4158 B4683 B4689 B4726 B5517:B5519 B5856 B5880 B5901:B6858 B6860:B6979">
    <cfRule type="cellIs" dxfId="139" priority="625" operator="equal">
      <formula>"LỖI LINK FB"</formula>
    </cfRule>
  </conditionalFormatting>
  <conditionalFormatting sqref="B636 B1724:B1730 B3716 B3733 B3743:B3768 B3770 B3775:B3778 B3809 B3811 B3821 B3838 B3988 B4078:B4119 B4129:B4134 B4157:B4158 B4683 B4689 B4726 B5517:B5519 B5856 B5880 B5901:B6858 B6860:B6979">
    <cfRule type="cellIs" dxfId="138" priority="626" operator="equal">
      <formula>"DONE"</formula>
    </cfRule>
  </conditionalFormatting>
  <conditionalFormatting sqref="B636 B1724:B1730 B3716 B3733 B3743:B3768 B3770 B3775:B3778 B3809 B3811 B3821 B3838 B3988 B4078:B4119 B4129:B4134 B4157:B4158 B4683 B4689 B4726 B5517:B5519 B5856 B5880 B5901:B6858 B6860:B6979">
    <cfRule type="cellIs" dxfId="137" priority="627" operator="equal">
      <formula>"Chờ lớp"</formula>
    </cfRule>
  </conditionalFormatting>
  <conditionalFormatting sqref="B636 B1724:B1730 B3716 B3733 B3743:B3768 B3770 B3775:B3778 B3809 B3811 B3821 B3838 B3988 B4078:B4119 B4129:B4134 B4157:B4158 B4683 B4689 B4726 B5517:B5519 B5856 B5880 B5901:B6858 B6860:B6979">
    <cfRule type="cellIs" dxfId="136" priority="628" operator="equal">
      <formula>"Chờ feedback"</formula>
    </cfRule>
  </conditionalFormatting>
  <conditionalFormatting sqref="B636 B1724:B1730 B3716 B3733 B3743:B3768 B3770 B3775:B3778 B3809 B3811 B3821 B3838 B3988 B4078:B4119 B4129:B4134 B4157:B4158 B4683 B4689 B4726 B5517:B5519 B5856 B5880 B5901:B6858 B6860:B6979">
    <cfRule type="cellIs" dxfId="135" priority="629" operator="equal">
      <formula>"LỖI LINK FB"</formula>
    </cfRule>
  </conditionalFormatting>
  <conditionalFormatting sqref="B636 B1724:B1730 B3716 B3733 B3743:B3768 B3770 B3775:B3778 B3809 B3811 B3821 B3838 B3988 B4078:B4119 B4129:B4134 B4157:B4158 B4683 B4689 B4726 B5517:B5519 B5856 B5880 B5901:B6858 B6860:B6979">
    <cfRule type="cellIs" dxfId="134" priority="630" operator="equal">
      <formula>"LỖI LINK FB"</formula>
    </cfRule>
  </conditionalFormatting>
  <conditionalFormatting sqref="B636 B1724:B1730 B3716 B3733 B3743:B3768 B3770 B3775:B3778 B3809 B3811 B3821 B3838 B3988 B4078:B4119 B4129:B4134 B4157:B4158 B4683 B4689 B4726 B5517:B5519 B5856 B5880 B5901:B6858 B6860:B6979">
    <cfRule type="cellIs" dxfId="133" priority="631" operator="equal">
      <formula>"Chờ feedback"</formula>
    </cfRule>
  </conditionalFormatting>
  <conditionalFormatting sqref="B636 B1724:B1730 B3716 B3733 B3743:B3768 B3770 B3775:B3778 B3809 B3811 B3821 B3838 B3988 B4078:B4119 B4129:B4134 B4157:B4158 B4683 B4689 B4726 B5517:B5519 B5856 B5880 B5901:B6858 B6860:B6979">
    <cfRule type="cellIs" dxfId="132" priority="632" operator="equal">
      <formula>"Chờ lớp"</formula>
    </cfRule>
  </conditionalFormatting>
  <conditionalFormatting sqref="B636 B1724:B1730 B3716 B3733 B3743:B3768 B3770 B3775:B3778 B3809 B3811 B3821 B3838 B3988 B4078:B4119 B4129:B4134 B4157:B4158 B4683 B4689 B4726 B5517:B5519 B5856 B5880 B5901:B6858 B6860:B6979">
    <cfRule type="cellIs" dxfId="131" priority="633" operator="equal">
      <formula>"DONE"</formula>
    </cfRule>
  </conditionalFormatting>
  <conditionalFormatting sqref="B636 B1724:B1730 B3716 B3733 B3743:B3768 B3770 B3775:B3778 B3809 B3811 B3821 B3838 B3988 B4078:B4119 B4129:B4134 B4157:B4158 B4683 B4689 B4726 B5517:B5519 B5856 B5880 B5901:B6858 B6860:B6979">
    <cfRule type="cellIs" dxfId="130" priority="634" operator="equal">
      <formula>"LỖI LINK FB"</formula>
    </cfRule>
  </conditionalFormatting>
  <conditionalFormatting sqref="B636 B1724:B1730 B3716 B3733 B3743:B3768 B3770 B3775:B3778 B3809 B3811 B3821 B3838 B3988 B4078:B4119 B4129:B4134 B4157:B4158 B4683 B4689 B4726 B5517:B5519 B5856 B5880 B5901:B6858 B6860:B6979">
    <cfRule type="cellIs" dxfId="129" priority="635" operator="equal">
      <formula>"Chờ feedback"</formula>
    </cfRule>
  </conditionalFormatting>
  <conditionalFormatting sqref="B636 B1724:B1730 B3716 B3733 B3743:B3768 B3770 B3775:B3778 B3809 B3811 B3821 B3838 B3988 B4078:B4119 B4129:B4134 B4157:B4158 B4683 B4689 B4726 B5517:B5519 B5856 B5880 B5901:B6858 B6860:B6979">
    <cfRule type="cellIs" dxfId="128" priority="636" operator="equal">
      <formula>"Chờ lớp"</formula>
    </cfRule>
  </conditionalFormatting>
  <conditionalFormatting sqref="B636 B1724:B1730 B3716 B3733 B3743:B3768 B3770 B3775:B3778 B3809 B3811 B3821 B3838 B3988 B4078:B4119 B4129:B4134 B4157:B4158 B4683 B4689 B4726 B5517:B5519 B5856 B5880 B5901:B6858 B6860:B6979">
    <cfRule type="cellIs" dxfId="127" priority="637" operator="equal">
      <formula>"DONE"</formula>
    </cfRule>
  </conditionalFormatting>
  <conditionalFormatting sqref="B636 B1724:B1730 B3716 B3733 B3743:B3768 B3770 B3775:B3778 B3809 B3811 B3821 B3838 B3988 B4078:B4119 B4129:B4134 B4157:B4158 B4683 B4689 B4726 B5517:B5519 B5856 B5880 B5901:B6858 B6860:B6979">
    <cfRule type="cellIs" dxfId="126" priority="638" operator="equal">
      <formula>"DONE"</formula>
    </cfRule>
  </conditionalFormatting>
  <conditionalFormatting sqref="B636 B1724:B1730 B3716 B3733 B3743:B3768 B3770 B3775:B3778 B3809 B3811 B3821 B3838 B3988 B4078:B4119 B4129:B4134 B4157:B4158 B4683 B4689 B4726 B5517:B5519 B5856 B5880 B5901:B6858 B6860:B6979">
    <cfRule type="cellIs" dxfId="125" priority="639" operator="equal">
      <formula>"Chờ lớp"</formula>
    </cfRule>
  </conditionalFormatting>
  <conditionalFormatting sqref="B636 B1724:B1730 B3716 B3733 B3743:B3768 B3770 B3775:B3778 B3809 B3811 B3821 B3838 B3988 B4078:B4119 B4129:B4134 B4157:B4158 B4683 B4689 B4726 B5517:B5519 B5856 B5880 B5901:B6858 B6860:B6979">
    <cfRule type="cellIs" dxfId="124" priority="640" operator="equal">
      <formula>"Chờ feedback"</formula>
    </cfRule>
  </conditionalFormatting>
  <conditionalFormatting sqref="B636 B1724:B1730 B3716 B3733 B3743:B3768 B3770 B3775:B3778 B3809 B3811 B3821 B3838 B3988 B4078:B4119 B4129:B4134 B4157:B4158 B4683 B4689 B4726 B5517:B5519 B5856 B5880 B5901:B6858 B6860:B6979">
    <cfRule type="cellIs" dxfId="123" priority="641" operator="equal">
      <formula>"LỖI LINK FB"</formula>
    </cfRule>
  </conditionalFormatting>
  <conditionalFormatting sqref="B636 B1724:B1730 B3716 B3733 B3743:B3768 B3770 B3775:B3778 B3809 B3811 B3821 B3838 B3988 B4078:B4119 B4129:B4134 B4157:B4158 B4683 B4689 B4726 B5517:B5519 B5856 B5880 B5901:B6858 B6860:B6979">
    <cfRule type="cellIs" dxfId="122" priority="642" operator="equal">
      <formula>"LỖI LINK FB"</formula>
    </cfRule>
  </conditionalFormatting>
  <conditionalFormatting sqref="B636 B1724:B1730 B3716 B3733 B3743:B3768 B3770 B3775:B3778 B3809 B3811 B3821 B3838 B3988 B4078:B4119 B4129:B4134 B4157:B4158 B4683 B4689 B4726 B5517:B5519 B5856 B5880 B5901:B6858 B6860:B6979">
    <cfRule type="cellIs" dxfId="121" priority="643" operator="equal">
      <formula>"Chờ feedback"</formula>
    </cfRule>
  </conditionalFormatting>
  <conditionalFormatting sqref="B636 B1724:B1730 B3716 B3733 B3743:B3768 B3770 B3775:B3778 B3809 B3811 B3821 B3838 B3988 B4078:B4119 B4129:B4134 B4157:B4158 B4683 B4689 B4726 B5517:B5519 B5856 B5880 B5901:B6858 B6860:B6979">
    <cfRule type="cellIs" dxfId="120" priority="644" operator="equal">
      <formula>"Chờ lớp"</formula>
    </cfRule>
  </conditionalFormatting>
  <conditionalFormatting sqref="B636 B1724:B1730 B3716 B3733 B3743:B3768 B3770 B3775:B3778 B3809 B3811 B3821 B3838 B3988 B4078:B4119 B4129:B4134 B4157:B4158 B4683 B4689 B4726 B5517:B5519 B5856 B5880 B5901:B6858 B6860:B6979">
    <cfRule type="cellIs" dxfId="119" priority="645" operator="equal">
      <formula>"DONE"</formula>
    </cfRule>
  </conditionalFormatting>
  <conditionalFormatting sqref="B636 B1724:B1730 B3716 B3733 B3743:B3768 B3770 B3775:B3778 B3809 B3811 B3821 B3838 B3988 B4078:B4119 B4129:B4134 B4157:B4158 B4683 B4689 B4726 B5517:B5519 B5856 B5880 B5901:B6858 B6860:B6979">
    <cfRule type="cellIs" dxfId="118" priority="646" operator="equal">
      <formula>"DONE"</formula>
    </cfRule>
  </conditionalFormatting>
  <conditionalFormatting sqref="B636 B1724:B1730 B3716 B3733 B3743:B3768 B3770 B3775:B3778 B3809 B3811 B3821 B3838 B3988 B4078:B4119 B4129:B4134 B4157:B4158 B4683 B4689 B4726 B5517:B5519 B5856 B5880 B5901:B6858 B6860:B6979">
    <cfRule type="cellIs" dxfId="117" priority="647" operator="equal">
      <formula>"Chờ lớp"</formula>
    </cfRule>
  </conditionalFormatting>
  <conditionalFormatting sqref="B636 B1724:B1730 B3716 B3733 B3743:B3768 B3770 B3775:B3778 B3809 B3811 B3821 B3838 B3988 B4078:B4119 B4129:B4134 B4157:B4158 B4683 B4689 B4726 B5517:B5519 B5856 B5880 B5901:B6858 B6860:B6979">
    <cfRule type="cellIs" dxfId="116" priority="648" operator="equal">
      <formula>"Chờ feedback"</formula>
    </cfRule>
  </conditionalFormatting>
  <conditionalFormatting sqref="B636 B1724:B1730 B3716 B3733 B3743:B3768 B3770 B3775:B3778 B3809 B3811 B3821 B3838 B3988 B4078:B4119 B4129:B4134 B4157:B4158 B4683 B4689 B4726 B5517:B5519 B5856 B5880 B5901:B6858 B6860:B6979">
    <cfRule type="cellIs" dxfId="115" priority="649" operator="equal">
      <formula>"LỖI LINK FB"</formula>
    </cfRule>
  </conditionalFormatting>
  <conditionalFormatting sqref="B636 B1724:B1730 B3716 B3733 B3743:B3768 B3770 B3775:B3778 B3809 B3811 B3821 B3838 B3988 B4078:B4119 B4129:B4134 B4157:B4158 B4683 B4689 B4726 B5517:B5519 B5856 B5880 B5901:B6858 B6860:B6979">
    <cfRule type="cellIs" dxfId="114" priority="650" operator="equal">
      <formula>"DONE"</formula>
    </cfRule>
  </conditionalFormatting>
  <conditionalFormatting sqref="B636 B1724:B1730 B3716 B3733 B3743:B3768 B3770 B3775:B3778 B3809 B3811 B3821 B3838 B3988 B4078:B4119 B4129:B4134 B4157:B4158 B4683 B4689 B4726 B5517:B5519 B5856 B5880 B5901:B6858 B6860:B6979">
    <cfRule type="cellIs" dxfId="113" priority="651" operator="equal">
      <formula>"Chờ lớp"</formula>
    </cfRule>
  </conditionalFormatting>
  <conditionalFormatting sqref="B636 B1724:B1730 B3716 B3733 B3743:B3768 B3770 B3775:B3778 B3809 B3811 B3821 B3838 B3988 B4078:B4119 B4129:B4134 B4157:B4158 B4683 B4689 B4726 B5517:B5519 B5856 B5880 B5901:B6858 B6860:B6979">
    <cfRule type="cellIs" dxfId="112" priority="652" operator="equal">
      <formula>"Chờ feedback"</formula>
    </cfRule>
  </conditionalFormatting>
  <conditionalFormatting sqref="B636 B1724:B1730 B3716 B3733 B3743:B3768 B3770 B3775:B3778 B3809 B3811 B3821 B3838 B3988 B4078:B4119 B4129:B4134 B4157:B4158 B4683 B4689 B4726 B5517:B5519 B5856 B5880 B5901:B6858 B6860:B6979">
    <cfRule type="cellIs" dxfId="111" priority="653" operator="equal">
      <formula>"LỖI LINK FB"</formula>
    </cfRule>
  </conditionalFormatting>
  <conditionalFormatting sqref="D636 D1724 D3757">
    <cfRule type="cellIs" dxfId="110" priority="654" operator="equal">
      <formula>"GT Lv2"</formula>
    </cfRule>
  </conditionalFormatting>
  <conditionalFormatting sqref="D636 D1724 D3757">
    <cfRule type="cellIs" dxfId="109" priority="655" operator="equal">
      <formula>"GT Lv3"</formula>
    </cfRule>
  </conditionalFormatting>
  <conditionalFormatting sqref="D636 D1724 D3757">
    <cfRule type="cellIs" dxfId="108" priority="656" operator="equal">
      <formula>"Toeic Lv1"</formula>
    </cfRule>
  </conditionalFormatting>
  <conditionalFormatting sqref="D636 D1724 D3757">
    <cfRule type="cellIs" dxfId="107" priority="657" operator="equal">
      <formula>"Toeic Lv2"</formula>
    </cfRule>
  </conditionalFormatting>
  <conditionalFormatting sqref="D636 D1724 D3757">
    <cfRule type="containsText" dxfId="106" priority="658" operator="containsText" text="Combo">
      <formula>NOT(ISERROR(SEARCH(("Combo"),(D636))))</formula>
    </cfRule>
  </conditionalFormatting>
  <conditionalFormatting sqref="D636 D1724 D3757">
    <cfRule type="cellIs" dxfId="105" priority="659" operator="equal">
      <formula>"GT Lv1"</formula>
    </cfRule>
  </conditionalFormatting>
  <conditionalFormatting sqref="D636 D1724 D3757">
    <cfRule type="cellIs" dxfId="104" priority="660" operator="equal">
      <formula>"GT Lv2"</formula>
    </cfRule>
  </conditionalFormatting>
  <conditionalFormatting sqref="D636 D1724 D3757">
    <cfRule type="cellIs" dxfId="103" priority="661" operator="equal">
      <formula>"GT Lv3"</formula>
    </cfRule>
  </conditionalFormatting>
  <conditionalFormatting sqref="D636 D1724 D3757">
    <cfRule type="cellIs" dxfId="102" priority="662" operator="equal">
      <formula>"Toeic Lv1"</formula>
    </cfRule>
  </conditionalFormatting>
  <conditionalFormatting sqref="D636 D1724 D3757">
    <cfRule type="cellIs" dxfId="101" priority="663" operator="equal">
      <formula>"Toeic Lv2"</formula>
    </cfRule>
  </conditionalFormatting>
  <conditionalFormatting sqref="D636 D1724 D3757">
    <cfRule type="containsText" dxfId="100" priority="664" operator="containsText" text="Combo">
      <formula>NOT(ISERROR(SEARCH(("Combo"),(D636))))</formula>
    </cfRule>
  </conditionalFormatting>
  <conditionalFormatting sqref="C636:C655 C1724:C1729 C1896 C1907:C1909 C1953:C1954 C1979 C1983:C1984 C2089 C2116 C2124:C2125 C2446 C2476 C2568 C2575 C2778:C2780 C3743:C3745 C3757:C3758 C4078:C4159 C4799:C4873 C4934:C4946 C5517 C5834:C5837 C6071 C6117:C6120 C6215 C6242 C6298:C6307 C6319:C6320 C6348:C6350 C6358:C6364 C6389:C6420 C6422:C6430 C6433:C6434 C6443 C6499 C6504 C6633 C6641 C6691:C6699 C6706:C6716 C6746:C6747 C6789:C6798 C6843 C6856:C6872 C6874:C6883 C6938:C6953 C6956 C6958 C6987:C6988">
    <cfRule type="cellIs" dxfId="99" priority="665" operator="equal">
      <formula>"Up quá trình"</formula>
    </cfRule>
  </conditionalFormatting>
  <conditionalFormatting sqref="C636:C655 C1724:C1729 C1896 C1907:C1909 C1953:C1954 C1979 C1983:C1984 C2089 C2116 C2124:C2125 C2446 C2476 C2568 C2575 C2778:C2780 C3743:C3745 C3757:C3758 C4078:C4159 C4799:C4873 C4934:C4946 C5517 C5834:C5837 C6071 C6117:C6120 C6215 C6242 C6298:C6307 C6319:C6320 C6348:C6350 C6358:C6364 C6389:C6420 C6422:C6430 C6433:C6434 C6443 C6499 C6504 C6633 C6641 C6691:C6699 C6706:C6716 C6746:C6747 C6789:C6798 C6843 C6856:C6872 C6874:C6883 C6938:C6953 C6956 C6958 C6987:C6988">
    <cfRule type="cellIs" dxfId="98" priority="666" operator="equal">
      <formula>"Đã tính lương"</formula>
    </cfRule>
  </conditionalFormatting>
  <conditionalFormatting sqref="C636:C655 C1724:C1729 C1896 C1907:C1909 C1953:C1954 C1979 C1983:C1984 C2089 C2116 C2124:C2125 C2446 C2476 C2568 C2575 C2778:C2780 C3743:C3745 C3757:C3758 C4078:C4159 C4799:C4873 C4934:C4946 C5517 C5834:C5837 C6071 C6117:C6120 C6215 C6242 C6298:C6307 C6319:C6320 C6348:C6350 C6358:C6364 C6389:C6420 C6422:C6430 C6433:C6434 C6443 C6499 C6504 C6633 C6641 C6691:C6699 C6706:C6716 C6746:C6747 C6789:C6798 C6843 C6856:C6872 C6874:C6883 C6938:C6953 C6956 C6958 C6987:C6988">
    <cfRule type="cellIs" dxfId="97" priority="667" operator="equal">
      <formula>"Up Level"</formula>
    </cfRule>
  </conditionalFormatting>
  <conditionalFormatting sqref="C636:C655 C1724:C1729 C1896 C1907:C1909 C1953:C1954 C1979 C1983:C1984 C2089 C2116 C2124:C2125 C2446 C2476 C2568 C2575 C2778:C2780 C3743:C3745 C3757:C3758 C4078:C4159 C4799:C4873 C4934:C4946 C5517 C5834:C5837 C6071 C6117:C6120 C6215 C6242 C6298:C6307 C6319:C6320 C6348:C6350 C6358:C6364 C6389:C6420 C6422:C6430 C6433:C6434 C6443 C6499 C6504 C6633 C6641 C6691:C6699 C6706:C6716 C6746:C6747 C6789:C6798 C6843 C6856:C6872 C6874:C6883 C6938:C6953 C6956 C6958 C6987:C6988">
    <cfRule type="cellIs" dxfId="96" priority="668" operator="equal">
      <formula>"Mới"</formula>
    </cfRule>
  </conditionalFormatting>
  <conditionalFormatting sqref="H2:H5 H109 H155:H183 F326 H326 H367 F432 H432 F441 H441:H442 H604 H609:H610 AE609 F610 F634 H634 H638:H639 H656:H1572 AG883 F1029:F1030 F1033:F1047 AG1033 AE1036:AE1039 AE1041 F1049:F1058 F1061:F1087 AE1061:AE1072 F1089:F1092 F1094:F1097 F1099 F1102:F1104 F1110:F1113 AE1111:AE1113 AE1336:AE1340 F1379:F1393 AE1379:AE1389 AE1391 F1395:F1408 F1410:F1421 F1423:F1433 F1435:F1445 F1447:F1457 AG1455 F1459:F1474 F1476 F1478:F1479 F1571 H1574:H1935 F1585:F1588 F1590:F1609 AE1601:AE1602 F1611:F1613 F1617:F1640 AE1624:AE1636 F1642:F1659 AE1652 F1712:F1731 F1738:F1749 F1751:F1767 G1754 F1769:F1788 AE1775:AE1779 AE1781:AE1788 F1790:F1811 AE1791:AE1809 F1813:F1818 F1821:F1822 F1825 F1887:F1908 AE1903:AE1907 F1910 F1913:F1917 AE1915 F1919:F1939 H1937:H2253 AE1938:AE1939 F1941:F1954 F1956:F1978 F1980:F1987 AE1982 F2086:F2105 G2086:G2088 F2107:F2110 F2112:F2117 F2119:F2162 F2165:F2170 F2172:F2186 AE2177:AE2178 F2238 F2243:F2253 F2255:F2256 H2255:H2256 F2258:F2286 H2258:H2457 G2284 F2288:F2304 AE2293 AE2300 F2337 F2339:F2346 AE2339 F2348:F2363 AE2357 F2365:F2367 AE2367:AE2369 F2369:F2392 AE2372 F2394:F2416 AE2395 AE2399:AE2400 AE2404:AE2407 AE2412 F2446:F2457 AE2449 F2460:F2487 H2460:H3885 AE2466:AE2467 G2473:G2474 AE2477:AE2480 AE2483:AE2485 AE2487 F2489:F2578 AE2489:AE2493 G2491 AE2498:AE2505 AE2515:AE2521 G2522:G2527 AE2523:AE2547 G2529 G2531 G2533:G2539 G2541:G2547 G2549:G2554 AE2549:AE2554 AE2556:AE2561 G2558:G2561 AE2563:AE2565 G2564:G2565 AE2567:AE2571 G2569 G2571 AE2573:AE2620 F2580:F2617 F2619:F2620 F2622 AE2622 F2756:F2770 AE2756:AE2770 F2772:F2798 AE2772:AE2798 F2803:F2820 AE2803:AE2815 AE2817:AE2820 F2822:F2841 AE2822:AE2832 AE2834:AE2841 G2839:G2840 F2843:F2851 AE2843:AE2851 AF2848:AF2851 F2853:F2911 AE2854:AE2911 AF2854:AF2855 F3247:F3263 AE3247:AE3290 F3265:F3266 F3268:F3275 F3277:F3290 F3527 F3659:F3663 AE3659:AE3663 F3665:F3689 AE3665:AE3689 F3691:F3740 AE3691:AE3740 F3743:F3750 AE3743:AE3750 F3755:F3805 AE3755:AE3805 G3800 G3802 F3807:F3812 G3807:G3808 AE3807:AE3812 G3810 G3812 F3814:F3821 AE3814:AE3821 F3823:F3885 AE3823:AE3826 AE3829:AE3885 F3887:F3916 H3887:H3916 AE3887:AE3916 F3918:F3959 H3918:H3959 AE3918:AE3959 F3961:F4027 H3961:H4874 AE3961:AE4027 F4029:F4159 AE4029:AE4050 AE4052:AE4159 F4651 AE4651 F4678:F4690 AE4679:AE4690 F4692:F4724 AE4692:AE4724 F4726:F4733 AE4726:AE4733 F4735:F4739 AE4735:AE4739 F4741:F4744 AE4741:AE4744 F4746:F4804 AE4746:AE4804 F4809:F4873 AE4809:AE4873 G4873 F4876:F4878 H4876:H6448 AE4876:AE4878 F4884:F4905 AE4884:AE4905 F4909:F4940 AE4909:AE4940 G4928:G4929 G4934 F4942:F4943 AE4942:AE4943 F4945:F4955 AE4945:AE4955 G4946 AF4948 F4958:F4959 AE4958:AE4959 F5256 AE5256 F5275:F5385 AE5275:AE5306 AF5276 AE5308:AE5385 AF5384 F5388:F5391 AE5388:AE5391 F5393:F5529 AE5393:AE5416 AF5396 AF5410 AE5418:AE5502 AF5423 G5428 G5432:G5433 G5446 G5459 AG5460 G5461:G5462 G5464 AE5504:AE5529 AF5506 G5518 F5657 F5694 AE5694 AE5712 F5722:F5909 AE5722:AE5910 AF5806 G5830 G5836 F5912:F5976 AE5912:AE5913 AE5915:AE5976 AF5918 G5936 G5941 G5944:G5947 G5975 F6070:F6134 AE6070:AE6134 F6136:F6323 AE6136:AE6169 A6171 AE6171:AE6323 G6216 G6255 G6273:G6279 G6285:G6287 G6312:G6314 G6316:G6317 G6321:G6323 F6325:F6370 AE6325:AE6370 AG6345 G6369:G6370 F6372:F6447 AE6372:AE6448 G6435 F6453:F6486 H6453:H6486 AE6453:AE6457 AE6459:AE6486 P6484 F6488 H6488:H6594 AE6488 F6490:F6495 AE6490:AE6495 F6497:F6504 G6497 AE6497 AE6499:AE6504 G6503 P6504:P6505 F6527 H6596:H6813 F6632:F6711 AE6632:AE6643 G6636 AE6645:AE6686 AE6688:AE6711 F6713:F6904 AE6713:AE6719 AE6721:AE6906 H6843:H6883 H6902:H7079 F6908:F6973 AE6908:AE6973 F6975:F6982 AE6975:AE6980 F6984:F6990 AE6984:AE6990 P6987">
    <cfRule type="colorScale" priority="669">
      <colorScale>
        <cfvo type="min"/>
        <cfvo type="max"/>
        <color rgb="FF57BB8A"/>
        <color rgb="FFFFFFFF"/>
      </colorScale>
    </cfRule>
  </conditionalFormatting>
  <conditionalFormatting sqref="H154">
    <cfRule type="colorScale" priority="670">
      <colorScale>
        <cfvo type="min"/>
        <cfvo type="max"/>
        <color rgb="FF57BB8A"/>
        <color rgb="FFFFFFFF"/>
      </colorScale>
    </cfRule>
  </conditionalFormatting>
  <conditionalFormatting sqref="H153">
    <cfRule type="colorScale" priority="671">
      <colorScale>
        <cfvo type="min"/>
        <cfvo type="max"/>
        <color rgb="FF57BB8A"/>
        <color rgb="FFFFFFFF"/>
      </colorScale>
    </cfRule>
  </conditionalFormatting>
  <conditionalFormatting sqref="H126:H128 H131:H132 H134:H135 H138:H152 H1035">
    <cfRule type="colorScale" priority="672">
      <colorScale>
        <cfvo type="min"/>
        <cfvo type="max"/>
        <color rgb="FF57BB8A"/>
        <color rgb="FFFFFFFF"/>
      </colorScale>
    </cfRule>
  </conditionalFormatting>
  <conditionalFormatting sqref="H110:H125 H435:H439 AG437 F439 F623 H623 H1411:H1416 F1415:F1416 H1421 H1424:H1426 F1712 H1712 H1717 H1720:H1722 H1730 F2486 H2486:H2487 H2489:H2490 H2493 F2540 H2540 F6716 H6716:H6717 AE6716 H6719">
    <cfRule type="colorScale" priority="673">
      <colorScale>
        <cfvo type="min"/>
        <cfvo type="max"/>
        <color rgb="FF57BB8A"/>
        <color rgb="FFFFFFFF"/>
      </colorScale>
    </cfRule>
  </conditionalFormatting>
  <conditionalFormatting sqref="N2:N5 N7:N102 N109 N155:N183 N189 N253 N326 N420 N432 N441 N604 N609:N610 N613 N615:N616 N620 N632 N634 N639 N656:N924 N926:N931 N933:N937 N939 N941 N943:N955 N958:N971 N973:N982 N985:N989 N992:N1004 N1007:N1030 N1033:N1066 N1068:N1207 N1209:N1263 N1265:N1266 N1268:N1274 N1277:N1278 N1282 N1284 N1286:N1288 N1290:N1323 N1325:N1367 N1369:N1392 N1394:N1410 N1412:N1422 N1424:N1644 N1646:N1764 N1766:N1773 N1775:N1821 N1823:N1935 N1937:N1972 N1974:N1982 N1984:N2090 N2092 N2094:N2136 N2138:N2253 N2255:N2256 N2258:N2262 N2264:N2457 N2460:N2497 N2499:N2515 N2517:N2841 N2843:N2850 N2852:N3688 N3690:N3885 N3887:N3916 N3918:N3959 N3961:N4874 N4876:N6448 N6453:N6486 N6488:N6686 N6688:N7079">
    <cfRule type="cellIs" dxfId="95" priority="674" operator="equal">
      <formula>"TIẾN"</formula>
    </cfRule>
  </conditionalFormatting>
  <conditionalFormatting sqref="N7:N102 N420 N613 N615:N616 N632 N930 N982 N999 N1082:N1083 N1097 N1397:N1410 N1412:N1421 N1424:N1447 N1589 N1614 N1762 N1766 N1977 N1981:N1982 N1984 N2125 N2133 N2136 N2143 N2256 N2260 N2343 N2358 N2451 N2486 N2499:N2502 N2504 N2515 N2555 N2563 N2570 N2611 N3959 N4041 N4939 N5433 N5504 N5814 N5845 N6118 N6171 N6229:N6230 N6237">
    <cfRule type="cellIs" dxfId="94" priority="675" operator="equal">
      <formula>"TIẾN"</formula>
    </cfRule>
  </conditionalFormatting>
  <conditionalFormatting sqref="N7:N102 N420 N613 N615:N616 N632 N930 N982 N999 N1082:N1083 N1097 N1397:N1410 N1412:N1421 N1424:N1447 N1589 N1614 N1762 N1766 N1977 N1981:N1982 N1984 N2125 N2133 N2136 N2143 N2256 N2260 N2343 N2358 N2451 N2486 N2499:N2502 N2504 N2515 N2555 N2563 N2570 N2611 N3959 N4041 N4939 N5433 N5504 N5814 N5845 N6118 N6171 N6229:N6230 N6237">
    <cfRule type="cellIs" dxfId="93" priority="676" operator="equal">
      <formula>"TIẾN"</formula>
    </cfRule>
  </conditionalFormatting>
  <conditionalFormatting sqref="N7:N102 N420 N613 N615:N616 N632 N930 N982 N999 N1082:N1083 N1097 N1397:N1410 N1412:N1421 N1424:N1447 N1589 N1614 N1762 N1766 N1977 N1981:N1982 N1984 N2125 N2133 N2136 N2143 N2256 N2260 N2343 N2358 N2451 N2486 N2499:N2502 N2504 N2515 N2555 N2563 N2570 N2611 N3959 N4041 N4939 N5433 N5504 N5814 N5845 N6118 N6171 N6229:N6230 N6237">
    <cfRule type="cellIs" dxfId="92" priority="677" operator="equal">
      <formula>"TIẾN"</formula>
    </cfRule>
  </conditionalFormatting>
  <conditionalFormatting sqref="N7:N102 N420 N613 N615:N616 N632 N930 N982 N999 N1082:N1083 N1097 N1397:N1410 N1412:N1421 N1424:N1447 N1589 N1614 N1762 N1766 N1977 N1981:N1982 N1984 N2125 N2133 N2136 N2143 N2256 N2260 N2343 N2358 N2451 N2486 N2499:N2502 N2504 N2515 N2555 N2563 N2570 N2611 N3959 N4041 N4939 N5433 N5504 N5814 N5845 N6118 N6171 N6229:N6230 N6237">
    <cfRule type="cellIs" dxfId="91" priority="678" operator="equal">
      <formula>"TIẾN"</formula>
    </cfRule>
  </conditionalFormatting>
  <conditionalFormatting sqref="N7:N102 N420 N613 N615:N616 N632 N930 N982 N999 N1082:N1083 N1097 N1397:N1410 N1412:N1421 N1424:N1447 N1589 N1614 N1762 N1766 N1977 N1981:N1982 N1984 N2125 N2133 N2136 N2143 N2256 N2260 N2343 N2358 N2451 N2486 N2499:N2502 N2504 N2515 N2555 N2563 N2570 N2611 N3959 N4041 N4939 N5433 N5504 N5814 N5845 N6118 N6171 N6229:N6230 N6237">
    <cfRule type="cellIs" dxfId="90" priority="679" operator="equal">
      <formula>"TIẾN"</formula>
    </cfRule>
  </conditionalFormatting>
  <conditionalFormatting sqref="N7:N102 N154 N420 N613 N615:N616 N632 N930 N982 N999 N1082:N1083 N1097 N1397:N1410 N1412:N1421 N1424:N1447 N1589 N1614 N1762 N1766 N1977 N1981:N1982 N1984 N2125 N2133 N2136 N2143 N2256 N2260 N2343 N2358 N2451 N2486 N2499:N2502 N2504 N2515 N2555 N2563 N2570 N2611 N3959 N4041 N4939 N5433 N5504 N5814 N5845 N6118 N6171 N6229:N6230 N6237">
    <cfRule type="cellIs" dxfId="89" priority="680" operator="equal">
      <formula>"TIẾN"</formula>
    </cfRule>
  </conditionalFormatting>
  <conditionalFormatting sqref="N7:N102 N153 N420 N613 N615:N616 N632 N930 N982 N999 N1082:N1083 N1097 N1397:N1410 N1412:N1421 N1424:N1447 N1589 N1614 N1762 N1766 N1977 N1981:N1982 N1984 N2125 N2133 N2136 N2143 N2256 N2260 N2343 N2358 N2451 N2486 N2499:N2502 N2504 N2515 N2555 N2563 N2570 N2611 N3959 N4041 N4939 N5433 N5504 N5814 N5845 N6118 N6171 N6229:N6230 N6237">
    <cfRule type="cellIs" dxfId="88" priority="681" operator="equal">
      <formula>"TIẾN"</formula>
    </cfRule>
  </conditionalFormatting>
  <conditionalFormatting sqref="N7:N102 N126:N152 O147 N420 N613 N615:N616 N632 N930 N977 N982 N999 N1035 N1082:N1083 N1097 N1302 N1397:N1410 N1412:N1421 N1424:N1447 N1589 N1614 N1755 N1762 N1766 N1961 N1977 N1981:N1982 N1984 N2125 N2133 N2136 N2143 N2156 N2256 N2260 N2343 N2358 N2383 N2451 N2486 N2499:N2502 N2504 N2515 N2555 N2563 N2570 N2611 N3959 N4041 N4939 N5433 N5504 N5814 N5845 N6118 N6159 N6171 N6229:N6230 N6237">
    <cfRule type="cellIs" dxfId="87" priority="682" operator="equal">
      <formula>"TIẾN"</formula>
    </cfRule>
  </conditionalFormatting>
  <conditionalFormatting sqref="N7:N102 N110:N125 N420 N435 N437:N439 N613 N615:N616 N623 N632 N930 N982 N992 N999 N1082:N1083 N1097 N1397:N1410 N1412:N1421 N1424:N1447 N1589 N1614 N1712 N1762 N1766 N1977 N1981:N1982 N1984 N2125 N2133 N2136 N2143 N2256 N2260 N2343 N2358 N2451 N2486 N2499:N2502 N2504 N2515 N2555 N2563 N2570 N2611 N3959 N4041 N4939 N5433 N5504 N5814 N5845 N6118 N6171 N6229:N6230 N6237 N6716">
    <cfRule type="cellIs" dxfId="86" priority="683" operator="equal">
      <formula>"TIẾN"</formula>
    </cfRule>
  </conditionalFormatting>
  <conditionalFormatting sqref="N7:N102 N106:N107 N141 N420 N613 N615:N616 N632 N930 N982 N999 N1082:N1083 N1097 N1397:N1410 N1412:N1421 N1424:N1447 N1589 N1614 N1762 N1766 N1977 N1981:N1982 N1984 N2125 N2133 N2136 N2143 N2256 N2260 N2343 N2358 N2451 N2486 N2499:N2502 N2504 N2515 N2555 N2563 N2570 N2611 N3959 N4041 N4939 N5433 N5504 N5814 N5845 N6118 N6171 N6229:N6230 N6237">
    <cfRule type="cellIs" dxfId="85" priority="684" operator="equal">
      <formula>"TIẾN"</formula>
    </cfRule>
  </conditionalFormatting>
  <conditionalFormatting sqref="N7:N106 N420 N613 N615:N616 N632 N930 N982 N999 N1082:N1083 N1097 N1397:N1410 N1412:N1421 N1424:N1447 N1589 N1614 N1762 N1766 N1977 N1981:N1982 N1984 N2125 N2133 N2136 N2143 N2256 N2260 N2343 N2358 N2451 N2486 N2499:N2502 N2504 N2515 N2555 N2563 N2570 N2611 N3959 N4041 N4939 N5433 N5504 N5814 N5845 N6118 N6171 N6229:N6230 N6237">
    <cfRule type="cellIs" dxfId="84" priority="685" operator="equal">
      <formula>"TIẾN"</formula>
    </cfRule>
  </conditionalFormatting>
  <conditionalFormatting sqref="N7:N102 N104 N420 N613 N615:N616 N632 N930 N982 N999 N1082:N1083 N1097 N1397:N1410 N1412:N1421 N1424:N1447 N1589 N1614 N1762 N1766 N1977 N1981:N1982 N1984 N2125 N2133 N2136 N2143 N2256 N2260 N2343 N2358 N2451 N2486 N2499:N2502 N2504 N2515 N2555 N2563 N2570 N2611 N3959 N4041 N4939 N5433 N5504 N5814 N5845 N6118 N6171 N6229:N6230 N6237">
    <cfRule type="cellIs" dxfId="83" priority="686" operator="equal">
      <formula>"TIẾN"</formula>
    </cfRule>
  </conditionalFormatting>
  <conditionalFormatting sqref="N7:N103 N420 N613 N615:N616 N632 N930 N982 N999 N1082:N1083 N1097 N1397:N1410 N1412:N1421 N1424:N1447 N1589 N1614 N1762 N1766 N1977 N1981:N1982 N1984 N2125 N2133 N2136 N2143 N2256 N2260 N2343 N2358 N2451 N2486 N2499:N2502 N2504 N2515 N2555 N2563 N2570 N2611 N3959 N4041 N4939 N5433 N5504 N5814 N5845 N6118 N6171 N6229:N6230 N6237">
    <cfRule type="cellIs" dxfId="82" priority="687" operator="equal">
      <formula>"TIẾN"</formula>
    </cfRule>
  </conditionalFormatting>
  <conditionalFormatting sqref="N7:N102 N420 N613 N615:N616 N632 N930 N982 N999 N1082:N1083 N1097 N1397:N1410 N1412:N1421 N1424:N1447 N1589 N1614 N1762 N1766 N1977 N1981:N1982 N1984 N2125 N2133 N2136 N2143 N2256 N2260 N2343 N2358 N2451 N2486 N2499:N2502 N2504 N2515 N2555 N2563 N2570 N2611 N3959 N4041 N4939 N5433 N5504 N5814 N5845 N6118 N6171 N6229:N6230 N6237">
    <cfRule type="cellIs" dxfId="81" priority="688" operator="equal">
      <formula>"TIẾN"</formula>
    </cfRule>
  </conditionalFormatting>
  <conditionalFormatting sqref="R2 R7:R102 R613:R616 R632:R633 R1082:R1083 R1397:R1398 R1447 R1589 R1592 R1614 R1977 R2125 R2256 R3959">
    <cfRule type="containsText" dxfId="80" priority="689" operator="containsText" text="Chung">
      <formula>NOT(ISERROR(SEARCH(("Chung"),(R2))))</formula>
    </cfRule>
  </conditionalFormatting>
  <conditionalFormatting sqref="Z2 Z7:Z102 Z155:Z183 Z189:Z191 Z422:Z423 Z486:Z488 Z490 Z504:Z635 Z637:Z1935 Z1937:Z2457 C1986:C1989 Z2460:Z2850 Z2852:Z3885 Z3887:Z3916 Z3918:Z3959 Z3961:Z4874 Z4876:Z6448 Z6453:Z6486 Z6488:Z6686 Z6688:Z7079">
    <cfRule type="cellIs" dxfId="79" priority="690" operator="equal">
      <formula>"R"</formula>
    </cfRule>
  </conditionalFormatting>
  <conditionalFormatting sqref="Z2 Z7:Z102 Z155:Z183 Z189:Z191 Z422:Z423 Z486:Z488 Z490 Z504:Z635 Z637:Z1935 Z1937:Z2457 C1986:C1989 Z2460:Z2850 Z2852:Z3885 Z3887:Z3916 Z3918:Z3959 Z3961:Z4874 Z4876:Z6448 Z6453:Z6486 Z6488:Z6686 Z6688:Z7079">
    <cfRule type="cellIs" dxfId="78" priority="691" operator="equal">
      <formula>"R-Thiếu"</formula>
    </cfRule>
  </conditionalFormatting>
  <conditionalFormatting sqref="Z7:Z102 Z613 Z615:Z616 Z632:Z635 Z1082:Z1085 Z1397:Z1398 Z1447:Z1454 Z1589:Z1590 Z1614 Z1977 Z2122:Z2123 Z2125 Z2128:Z2130 Z2256 Z2258 Z2262 Z2372:Z2373 Z2475 Z2505 Z2807:Z2808 Z3744 Z3758 Z3918 Z3959 Z4937 Z5312 Z5517 Z5800 Z6633">
    <cfRule type="cellIs" dxfId="77" priority="692" operator="equal">
      <formula>"R-Thiếu"</formula>
    </cfRule>
  </conditionalFormatting>
  <conditionalFormatting sqref="AC2:AD2 AC7:AC102 AD68 AD96:AF102 AC155:AC183 AD155:AD179 AD181:AD183 AC189:AF191 AC441:AD442 AC447:AE447 AC603:AF605 AC610:AD610 AC613:AC616 AC632:AC634 AD634 AC639 AC656:AD1030 AE885:AF892 AE1028:AF1028 AC1033:AD1393 AE1093 AE1259:AF1259 AE1379:AE1388 AF1379:AF1381 AF1383:AF1387 AE1391 AC1395:AD1935 AE1589 AE1703:AE1711 AF1703:AF1705 AF1708:AF1710 AE1737:AF1737 AE1884:AF1884 AE1887:AE1888 AF1887 AE1906 AE1917:AE1927 AC1937:AC2253 AD1937:AD2256 AE2080:AF2080 AE2082:AF2082 AE2084:AF2085 AE2106 AE2119 AE2121:AE2123 AE2236:AF2236 AE2243:AE2246 AF2243:AF2245 AC2255:AC2256 AC2258:AD2457 AE2293 AE2304:AF2304 AE2332:AF2332 AE2337:AF2337 AE2357:AF2357 AE2385:AE2388 AE2390:AE2391 AE2393 AE2405:AE2407 AE2411 AE2445:AF2445 AE2449:AF2449 AC2460:AD2841 AE2512:AE2513 AG2513 AE2542:AE2547 AF2542:AF2543 AF2546 AG2548 AE2553:AE2554 AE2558:AE2560 AE2562:AF2562 AE2564 AE2572:AF2572 AE2584 AE2754:AE2798 AF2754:AF2794 AF2796:AF2815 AE2800:AE2820 AF2817 AF2819:AF2821 AE2822:AE2841 AF2823:AF2837 AF2839:AF2841 AC2843:AD2850 AE2843:AE2851 AF2843:AF2858 AG2848 AC2852:AD3885 AE2853:AE2881 AF2860:AF2907 AG2882 AE2883:AE3812 AF2909:AF3180 AG2957 AG2967 AF3182:AF3785 AG3264 AG3280 AG3748 AG3754 AG3760 AG3762 AG3786 AF3787:AF3825 AE3814:AE3821 AH3822 AE3823:AE3885 AF3827:AF3845 AF3847:AF3881 AF3883:AF3959 AC3887:AE3916 AG3898 AC3918:AE3959 AC3961:AD4874 AE3961:AE4690 AF3961:AF3988 AG3985 AF3990:AF4082 AG4020 AF4084:AF4739 AG4490 AG4685 AE4692:AE4724 AG4692 AG4697 AE4726:AE4733 AE4735:AE4739 AE4741:AE4804 AF4743:AF4745 AF4747:AF4862 AG4762 AG4778 AE4806:AE4874 AF4864:AF4874 AC4876:AD6448 AE4876:AE4878 AF4876:AF4891 AE4884:AE4905 AF4893:AF5840 AE4908:AE4955 AG4925 AE4958:AE4959 AE4961:AE5385 AG5038 AG5298 AE5387:AE5675 AG5466 AG5506 AG5519 AG5551 AE5677:AE5910 AG5681 AF5842:AF5843 AF5845:AF5878 AF5880:AF5881 AF5883:AF5946 AE5912:AE6448 AG5926 AF5948:AF6369 AG5976 AG6165 AG6324 AF6371:AF6448 AC6453:AE6486 AF6453:AF6876 AG6469 AC6488:AD6686 AE6488:AE6495 AG6490 AE6497:AE6686 AC6688:AD7079 AE6688:AE6711 AE6713:AE7079 AF6878:AF6982 AG6906 AF6984:AF7079">
    <cfRule type="cellIs" dxfId="76" priority="693" operator="equal">
      <formula>"Đã nhận"</formula>
    </cfRule>
  </conditionalFormatting>
  <conditionalFormatting sqref="AC7:AC102 AC613:AC616 AC632:AC633 AC1082:AC1083 AC1397:AC1398 AC1447 AC1589 AC1592 AC1614 AC1977 AC2125 AC2256 AC3959">
    <cfRule type="cellIs" dxfId="75" priority="694" operator="equal">
      <formula>"Đã nhận"</formula>
    </cfRule>
  </conditionalFormatting>
  <conditionalFormatting sqref="AC7:AC102 AC613:AC616 AC632:AC633 AC1082:AC1083 AC1397:AC1398 AC1447 AC1589 AC1592 AC1614 AC1977 AC2125 AC2256 AC3959">
    <cfRule type="cellIs" dxfId="74" priority="695" operator="equal">
      <formula>"Đã nhận"</formula>
    </cfRule>
  </conditionalFormatting>
  <conditionalFormatting sqref="AC7:AC102 AC613:AC616 AC632:AC633 AC1082:AC1083 AC1397:AC1398 AC1447 AC1589 AC1592 AC1614 AC1977 AC2125 AC2256 AC3959">
    <cfRule type="cellIs" dxfId="73" priority="696" operator="equal">
      <formula>"Đã nhận"</formula>
    </cfRule>
  </conditionalFormatting>
  <conditionalFormatting sqref="W1:W624 X1:X2253 W626:W2253 W2255:X2256 W2258:X2457 W2460:X2841 W2843:X2850 W2852:X3885 W3887:X3916 W3918:X3959 W3961:X4874 W4876:X6448 W6453:X6486 W6488:X6686 W6688:X7079">
    <cfRule type="cellIs" dxfId="72" priority="697" operator="equal">
      <formula>"Sách"</formula>
    </cfRule>
  </conditionalFormatting>
  <conditionalFormatting sqref="R3:R2253 R2255:R2256 R2258:R2457 R2460:R2841 R2843:R2850 R2852:R3885 R3887:R3916 R3918:R3959 R3961:R4874 R4876:R6448 R6453:R6486 R6488:R6686 R6688:R7079">
    <cfRule type="containsText" dxfId="71" priority="698" operator="containsText" text="Chung">
      <formula>NOT(ISERROR(SEARCH(("Chung"),(R3))))</formula>
    </cfRule>
  </conditionalFormatting>
  <conditionalFormatting sqref="Y2:Y2253 X3:X2253 Z618:Z619 W699 Z1031:Z1085 Z1792:Z1794 Z1797 Z1799 Z1889 Z1903:Z1905 Z1915:Z1916 Z1929:Z1932 Z1934 Z1938:Z1939 Z1964 Z1974:Z1977 X2255:Y2256 X2258:Y2457 Z2291:Z2292 Z2340 Z2369 Z2379 Z2412 Z2453:Z2454 X2460:Y2841 Z2493:Z2494 Z2534 Z2577 Z2604 Z2607:Z2608 Z2612 Z2774 Z2838 X2843:Y2850 X2852:X3885 Y2852:Y3916 Z2910 Z3250 Z3258 Z3263 Z3267 Z3730 Z3832 X3887:X3916 X3918:Y3959 X3961:Y4874 X4876:Y6448 Z5401 Z5450 Z5460 Z5510 Z5921 Z5947 Z6143 Z6223 Z6238 Z6268 X6453:Y6486 X6488:Y6686 X6688:Y7079 Z6792 Z6979">
    <cfRule type="endsWith" dxfId="70" priority="699" operator="endsWith" text=" ">
      <formula>RIGHT((Y2),LEN(" "))=(" ")</formula>
    </cfRule>
  </conditionalFormatting>
  <conditionalFormatting sqref="G1:G2253 H2:H5 H138:H140 H155:H183 F326 H326 H367 F432 H432 F441 H441:H442 H604 H609:H610 AE609 F610 F634 H634 H638:H639 H656:H1572 AG883 F1029:F1030 F1033:F1047 AG1033 AE1036:AE1039 AE1041 F1049:F1058 F1061:F1087 AE1061:AE1072 F1089:F1092 F1094:F1097 F1099 F1102:F1104 F1110:F1113 AE1111:AE1113 AE1336:AE1340 F1379:F1393 AE1379:AE1389 AE1391 F1395:F1408 F1410:F1421 F1423:F1433 F1435:F1445 F1447:F1457 AG1455 F1459:F1474 F1476 F1478:F1479 F1571 H1574:H2253 F1585:F1588 F1590:F1609 AE1601:AE1602 F1611:F1613 F1617:F1640 AE1624:AE1636 F1642:F1659 AE1652 F1712:F1731 F1738:F1749 F1751:F1767 F1769:F1788 AE1775:AE1779 AE1781:AE1788 F1790:F1811 AE1791:AE1809 F1813:F1818 F1821:F1822 F1825 F1887:F1908 AE1903:AE1907 F1910 F1913:F1917 AE1915 F1919:F1939 AE1938:AE1939 F1941:F1954 F1956:F1978 F1980:F1987 AE1982 F2086:F2105 F2107:F2110 F2112:F2117 F2119:F2162 F2165:F2170 F2172:F2186 AE2177:AE2178 F2238 F2243:F2253 F2255:H2256 F2258:F2286 G2258:H2457 F2288:F2304 AE2293 AE2300 F2337 F2339:F2346 AE2339 F2348:F2363 AE2357 F2365:F2367 AE2367:AE2369 F2369:F2392 AE2372 F2394:F2416 AE2395 AE2399:AE2400 AE2404:AE2407 AE2412 F2446:F2457 AE2449 F2460:F2487 G2460:H3885 AE2466:AE2467 AE2477:AE2480 AE2483:AE2485 AE2487 F2489:F2578 AE2489:AE2493 AE2498:AE2505 AE2515:AE2521 AE2523:AE2547 AE2549:AE2554 AE2556:AE2561 AE2563:AE2565 AE2567:AE2571 AE2573:AE2620 F2580:F2617 F2619:F2620 F2622 AE2622 F2756:F2770 AE2756:AE2770 F2772:F2798 AE2772:AE2798 F2803:F2820 AE2803:AE2815 AE2817:AE2820 F2822:F2841 AE2822:AE2832 AE2834:AE2841 F2843:F2851 AE2843:AE2851 AF2848:AF2851 F2853:F2911 AE2854:AE2911 AF2854:AF2855 F3247:F3263 AE3247:AE3290 F3265:F3266 F3268:F3275 F3277:F3290 F3527 F3659:F3663 AE3659:AE3663 F3665:F3689 AE3665:AE3689 F3691:F3740 AE3691:AE3740 F3743:F3750 AE3743:AE3750 F3755:F3805 AE3755:AE3805 F3807:F3812 AE3807:AE3812 F3814:F3821 AE3814:AE3821 F3823:F3885 AE3823:AE3826 AE3829:AE3885 F3887:H3916 AE3887:AE3916 F3918:H3959 AE3918:AE3959 F3961:F4027 G3961:H4874 AE3961:AE4027 F4029:F4159 AE4029:AE4050 AE4052:AE4159 F4651 AE4651 F4679:F4690 AE4679:AE4690 F4692:F4724 AE4692:AE4724 F4726:F4733 AE4726:AE4733 F4735:F4739 AE4735:AE4739 F4741:F4744 AE4741:AE4744 F4746:F4804 AE4746:AE4804 F4809:F4873 AE4809:AE4873 F4876:F4878 G4876:H6448 AE4876:AE4878 F4884:F4905 AE4884:AE4905 F4909:F4940 AE4909:AE4940 F4942:F4943 AE4942:AE4943 F4945:F4955 AE4945:AE4955 AF4948 F4958:F4959 AE4958:AE4959 F5256 AE5256 F5275:F5385 AE5275:AE5306 AF5276 AE5308:AE5385 AF5384 F5388:F5391 AE5388:AE5391 F5393:F5529 AE5393:AE5416 AF5396 AF5410 AE5418:AE5502 AF5423 AG5460 AE5504:AE5529 AF5506 F5657 F5694 AE5694 AE5712 F5722:F5909 AE5722:AE5910 AF5806 F5912:F5976 AE5912:AE5913 AE5915:AE5976 AF5918 F6070:F6134 AE6070:AE6134 F6136:F6323 AE6136:AE6169 A6171 AE6171:AE6323 F6325:F6370 AE6325:AE6370 AG6345 F6372:F6447 AE6372:AE6448 F6453:H6486 AE6453:AE6457 AE6459:AE6486 P6484 F6488 G6488:G6686 H6488:H6594 AE6488 F6490:F6495 AE6490:AE6495 F6497:F6504 AE6497 AE6499:AE6504 P6504:P6505 F6527 H6596:H6813 F6632:F6711 AE6632:AE6643 AE6645:AE6686 G6688:G7079 AE6688:AE6711 F6713:F6904 AE6713:AE6719 AE6721:AE6906 H6843:H6883 H6902:H7079 F6908:F6973 AE6908:AE6973 F6975:F6982 AE6975:AE6980 F6984:F6990 AE6984:AE6990 P6987">
    <cfRule type="cellIs" dxfId="69" priority="700" operator="equal">
      <formula>"A"</formula>
    </cfRule>
  </conditionalFormatting>
  <conditionalFormatting sqref="G1:G2253 H2:H5 H138:H140 H155:H183 F326 H326 H367 F432 H432 F441 H441:H442 H604 H609:H610 AE609 F610 F634 H634 H638:H639 H656:H1572 AG883 F1029:F1030 F1033:F1047 AG1033 AE1036:AE1039 AE1041 F1049:F1058 F1061:F1087 AE1061:AE1072 F1089:F1092 F1094:F1097 F1099 F1102:F1104 F1110:F1113 AE1111:AE1113 AE1336:AE1340 F1379:F1393 AE1379:AE1389 AE1391 F1395:F1408 F1410:F1421 F1423:F1433 F1435:F1445 F1447:F1457 AG1455 F1459:F1474 F1476 F1478:F1479 F1571 H1574:H2253 F1585:F1588 F1590:F1609 AE1601:AE1602 F1611:F1613 F1617:F1640 AE1624:AE1636 F1642:F1659 AE1652 F1712:F1731 F1738:F1749 F1751:F1767 F1769:F1788 AE1775:AE1779 AE1781:AE1788 F1790:F1811 AE1791:AE1809 F1813:F1818 F1821:F1822 F1825 F1887:F1908 AE1903:AE1907 F1910 F1913:F1917 AE1915 F1919:F1939 AE1938:AE1939 F1941:F1954 F1956:F1978 F1980:F1987 AE1982 F2086:F2105 F2107:F2110 F2112:F2117 F2119:F2162 F2165:F2170 F2172:F2186 AE2177:AE2178 F2238 F2243:F2253 F2255:H2256 F2258:F2286 G2258:H2457 F2288:F2304 AE2293 AE2300 F2337 F2339:F2346 AE2339 F2348:F2363 AE2357 F2365:F2367 AE2367:AE2369 F2369:F2392 AE2372 F2394:F2416 AE2395 AE2399:AE2400 AE2404:AE2407 AE2412 F2446:F2457 AE2449 F2460:F2487 G2460:H3885 AE2466:AE2467 AE2477:AE2480 AE2483:AE2485 AE2487 F2489:F2578 AE2489:AE2493 AE2498:AE2505 AE2515:AE2521 AE2523:AE2547 AE2549:AE2554 AE2556:AE2561 AE2563:AE2565 AE2567:AE2571 AE2573:AE2620 F2580:F2617 F2619:F2620 F2622 AE2622 F2756:F2770 AE2756:AE2770 F2772:F2798 AE2772:AE2798 F2803:F2820 AE2803:AE2815 AE2817:AE2820 F2822:F2841 AE2822:AE2832 AE2834:AE2841 F2843:F2851 AE2843:AE2851 AF2848:AF2851 F2853:F2911 AE2854:AE2911 AF2854:AF2855 F3247:F3263 AE3247:AE3290 F3265:F3266 F3268:F3275 F3277:F3290 F3527 F3659:F3663 AE3659:AE3663 F3665:F3689 AE3665:AE3689 F3691:F3740 AE3691:AE3740 F3743:F3750 AE3743:AE3750 F3755:F3805 AE3755:AE3805 F3807:F3812 AE3807:AE3812 F3814:F3821 AE3814:AE3821 F3823:F3885 AE3823:AE3826 AE3829:AE3885 F3887:H3916 AE3887:AE3916 F3918:H3959 AE3918:AE3959 F3961:F4027 G3961:H4874 AE3961:AE4027 F4029:F4159 AE4029:AE4050 AE4052:AE4159 F4651 AE4651 F4679:F4690 AE4679:AE4690 F4692:F4724 AE4692:AE4724 F4726:F4733 AE4726:AE4733 F4735:F4739 AE4735:AE4739 F4741:F4744 AE4741:AE4744 F4746:F4804 AE4746:AE4804 F4809:F4873 AE4809:AE4873 F4876:F4878 G4876:H6448 AE4876:AE4878 F4884:F4905 AE4884:AE4905 F4909:F4940 AE4909:AE4940 F4942:F4943 AE4942:AE4943 F4945:F4955 AE4945:AE4955 AF4948 F4958:F4959 AE4958:AE4959 F5256 AE5256 F5275:F5385 AE5275:AE5306 AF5276 AE5308:AE5385 AF5384 F5388:F5391 AE5388:AE5391 F5393:F5529 AE5393:AE5416 AF5396 AF5410 AE5418:AE5502 AF5423 AG5460 AE5504:AE5529 AF5506 F5657 F5694 AE5694 AE5712 F5722:F5909 AE5722:AE5910 AF5806 F5912:F5976 AE5912:AE5913 AE5915:AE5976 AF5918 F6070:F6134 AE6070:AE6134 F6136:F6323 AE6136:AE6169 A6171 AE6171:AE6323 F6325:F6370 AE6325:AE6370 AG6345 F6372:F6447 AE6372:AE6448 F6453:H6486 AE6453:AE6457 AE6459:AE6486 P6484 F6488 G6488:G6686 H6488:H6594 AE6488 F6490:F6495 AE6490:AE6495 F6497:F6504 AE6497 AE6499:AE6504 P6504:P6505 F6527 H6596:H6813 F6632:F6711 AE6632:AE6643 AE6645:AE6686 G6688:G7079 AE6688:AE6711 F6713:F6904 AE6713:AE6719 AE6721:AE6906 H6843:H6883 H6902:H7079 F6908:F6973 AE6908:AE6973 F6975:F6982 AE6975:AE6980 F6984:F6990 AE6984:AE6990 P6987">
    <cfRule type="cellIs" dxfId="68" priority="701" operator="equal">
      <formula>"B"</formula>
    </cfRule>
  </conditionalFormatting>
  <conditionalFormatting sqref="G1:G2253 H2:H5 H138:H140 H155:H183 F326 H326 H367 F432 H432 F441 H441:H442 H604 H609:H610 AE609 F610 F634 H634 H638:H639 H656:H1572 AG883 F1029:F1030 F1033:F1047 AG1033 AE1036:AE1039 AE1041 F1049:F1058 F1061:F1087 AE1061:AE1072 F1089:F1092 F1094:F1097 F1099 F1102:F1104 F1110:F1113 AE1111:AE1113 AE1336:AE1340 F1379:F1393 AE1379:AE1389 AE1391 F1395:F1408 F1410:F1421 F1423:F1433 F1435:F1445 F1447:F1457 AG1455 F1459:F1474 F1476 F1478:F1479 F1571 H1574:H2253 F1585:F1588 F1590:F1609 AE1601:AE1602 F1611:F1613 F1617:F1640 AE1624:AE1636 F1642:F1659 AE1652 F1712:F1731 F1738:F1749 F1751:F1767 F1769:F1788 AE1775:AE1779 AE1781:AE1788 F1790:F1811 AE1791:AE1809 F1813:F1818 F1821:F1822 F1825 F1887:F1908 AE1903:AE1907 F1910 F1913:F1917 AE1915 F1919:F1939 AE1938:AE1939 F1941:F1954 F1956:F1978 F1980:F1987 AE1982 F2086:F2105 F2107:F2110 F2112:F2117 F2119:F2162 F2165:F2170 F2172:F2186 AE2177:AE2178 F2238 F2243:F2253 F2255:H2256 F2258:F2286 G2258:H2457 F2288:F2304 AE2293 AE2300 F2337 F2339:F2346 AE2339 F2348:F2363 AE2357 F2365:F2367 AE2367:AE2369 F2369:F2392 AE2372 F2394:F2416 AE2395 AE2399:AE2400 AE2404:AE2407 AE2412 F2446:F2457 AE2449 F2460:F2487 G2460:H3885 AE2466:AE2467 AE2477:AE2480 AE2483:AE2485 AE2487 F2489:F2578 AE2489:AE2493 AE2498:AE2505 AE2515:AE2521 AE2523:AE2547 AE2549:AE2554 AE2556:AE2561 AE2563:AE2565 AE2567:AE2571 AE2573:AE2620 F2580:F2617 F2619:F2620 F2622 AE2622 F2756:F2770 AE2756:AE2770 F2772:F2798 AE2772:AE2798 F2803:F2820 AE2803:AE2815 AE2817:AE2820 F2822:F2841 AE2822:AE2832 AE2834:AE2841 F2843:F2851 AE2843:AE2851 AF2848:AF2851 F2853:F2911 AE2854:AE2911 AF2854:AF2855 F3247:F3263 AE3247:AE3290 F3265:F3266 F3268:F3275 F3277:F3290 F3527 F3659:F3663 AE3659:AE3663 F3665:F3689 AE3665:AE3689 F3691:F3740 AE3691:AE3740 F3743:F3750 AE3743:AE3750 F3755:F3805 AE3755:AE3805 F3807:F3812 AE3807:AE3812 F3814:F3821 AE3814:AE3821 F3823:F3885 AE3823:AE3826 AE3829:AE3885 F3887:H3916 AE3887:AE3916 F3918:H3959 AE3918:AE3959 F3961:F4027 G3961:H4874 AE3961:AE4027 F4029:F4159 AE4029:AE4050 AE4052:AE4159 F4651 AE4651 F4679:F4690 AE4679:AE4690 F4692:F4724 AE4692:AE4724 F4726:F4733 AE4726:AE4733 F4735:F4739 AE4735:AE4739 F4741:F4744 AE4741:AE4744 F4746:F4804 AE4746:AE4804 F4809:F4873 AE4809:AE4873 F4876:F4878 G4876:H6448 AE4876:AE4878 F4884:F4905 AE4884:AE4905 F4909:F4940 AE4909:AE4940 F4942:F4943 AE4942:AE4943 F4945:F4955 AE4945:AE4955 AF4948 F4958:F4959 AE4958:AE4959 F5256 AE5256 F5275:F5385 AE5275:AE5306 AF5276 AE5308:AE5385 AF5384 F5388:F5391 AE5388:AE5391 F5393:F5529 AE5393:AE5416 AF5396 AF5410 AE5418:AE5502 AF5423 AG5460 AE5504:AE5529 AF5506 F5657 F5694 AE5694 AE5712 F5722:F5909 AE5722:AE5910 AF5806 F5912:F5976 AE5912:AE5913 AE5915:AE5976 AF5918 F6070:F6134 AE6070:AE6134 F6136:F6323 AE6136:AE6169 A6171 AE6171:AE6323 F6325:F6370 AE6325:AE6370 AG6345 F6372:F6447 AE6372:AE6448 F6453:H6486 AE6453:AE6457 AE6459:AE6486 P6484 F6488 G6488:G6686 H6488:H6594 AE6488 F6490:F6495 AE6490:AE6495 F6497:F6504 AE6497 AE6499:AE6504 P6504:P6505 F6527 H6596:H6813 F6632:F6711 AE6632:AE6643 AE6645:AE6686 G6688:G7079 AE6688:AE6711 F6713:F6904 AE6713:AE6719 AE6721:AE6906 H6843:H6883 H6902:H7079 F6908:F6973 AE6908:AE6973 F6975:F6982 AE6975:AE6980 F6984:F6990 AE6984:AE6990 P6987">
    <cfRule type="cellIs" dxfId="67" priority="702" operator="equal">
      <formula>"C"</formula>
    </cfRule>
  </conditionalFormatting>
  <conditionalFormatting sqref="G1:G2253 H2:H5 H138:H140 H155:H183 F326 H326 H367 F432 H432 F441 H441:H442 H604 H609:H610 AE609 F610 F634 H634 H638:H639 H656:H1572 AG883 F1029:F1030 F1033:F1047 AG1033 AE1036:AE1039 AE1041 F1049:F1058 F1061:F1087 AE1061:AE1072 F1089:F1092 F1094:F1097 F1099 F1102:F1104 F1110:F1113 AE1111:AE1113 AE1336:AE1340 F1379:F1393 AE1379:AE1389 AE1391 F1395:F1408 F1410:F1421 F1423:F1433 F1435:F1445 F1447:F1457 AG1455 F1459:F1474 F1476 F1478:F1479 F1571 H1574:H2253 F1585:F1588 F1590:F1609 AE1601:AE1602 F1611:F1613 F1617:F1640 AE1624:AE1636 F1642:F1659 AE1652 F1712:F1731 F1738:F1749 F1751:F1767 F1769:F1788 AE1775:AE1779 AE1781:AE1788 F1790:F1811 AE1791:AE1809 F1813:F1818 F1821:F1822 F1825 F1887:F1908 AE1903:AE1907 F1910 F1913:F1917 AE1915 F1919:F1939 AE1938:AE1939 F1941:F1954 F1956:F1978 F1980:F1987 AE1982 F2086:F2105 F2107:F2110 F2112:F2117 F2119:F2162 F2165:F2170 F2172:F2186 AE2177:AE2178 F2238 F2243:F2253 F2255:H2256 F2258:F2286 G2258:H2457 F2288:F2304 AE2293 AE2300 F2337 F2339:F2346 AE2339 F2348:F2363 AE2357 F2365:F2367 AE2367:AE2369 F2369:F2392 AE2372 F2394:F2416 AE2395 AE2399:AE2400 AE2404:AE2407 AE2412 F2446:F2457 AE2449 F2460:F2487 G2460:H3885 AE2466:AE2467 AE2477:AE2480 AE2483:AE2485 AE2487 F2489:F2578 AE2489:AE2493 AE2498:AE2505 AE2515:AE2521 AE2523:AE2547 AE2549:AE2554 AE2556:AE2561 AE2563:AE2565 AE2567:AE2571 AE2573:AE2620 F2580:F2617 F2619:F2620 F2622 AE2622 F2756:F2770 AE2756:AE2770 F2772:F2798 AE2772:AE2798 F2803:F2820 AE2803:AE2815 AE2817:AE2820 F2822:F2841 AE2822:AE2832 AE2834:AE2841 F2843:F2851 AE2843:AE2851 AF2848:AF2851 F2853:F2911 AE2854:AE2911 AF2854:AF2855 F3247:F3263 AE3247:AE3290 F3265:F3266 F3268:F3275 F3277:F3290 F3527 F3659:F3663 AE3659:AE3663 F3665:F3689 AE3665:AE3689 F3691:F3740 AE3691:AE3740 F3743:F3750 AE3743:AE3750 F3755:F3805 AE3755:AE3805 F3807:F3812 AE3807:AE3812 F3814:F3821 AE3814:AE3821 F3823:F3885 AE3823:AE3826 AE3829:AE3885 F3887:H3916 AE3887:AE3916 F3918:H3959 AE3918:AE3959 F3961:F4027 G3961:H4874 AE3961:AE4027 F4029:F4159 AE4029:AE4050 AE4052:AE4159 F4651 AE4651 F4679:F4690 AE4679:AE4690 F4692:F4724 AE4692:AE4724 F4726:F4733 AE4726:AE4733 F4735:F4739 AE4735:AE4739 F4741:F4744 AE4741:AE4744 F4746:F4804 AE4746:AE4804 F4809:F4873 AE4809:AE4873 F4876:F4878 G4876:H6448 AE4876:AE4878 F4884:F4905 AE4884:AE4905 F4909:F4940 AE4909:AE4940 F4942:F4943 AE4942:AE4943 F4945:F4955 AE4945:AE4955 AF4948 F4958:F4959 AE4958:AE4959 F5256 AE5256 F5275:F5385 AE5275:AE5306 AF5276 AE5308:AE5385 AF5384 F5388:F5391 AE5388:AE5391 F5393:F5529 AE5393:AE5416 AF5396 AF5410 AE5418:AE5502 AF5423 AG5460 AE5504:AE5529 AF5506 F5657 F5694 AE5694 AE5712 F5722:F5909 AE5722:AE5910 AF5806 F5912:F5976 AE5912:AE5913 AE5915:AE5976 AF5918 F6070:F6134 AE6070:AE6134 F6136:F6323 AE6136:AE6169 A6171 AE6171:AE6323 F6325:F6370 AE6325:AE6370 AG6345 F6372:F6447 AE6372:AE6448 F6453:H6486 AE6453:AE6457 AE6459:AE6486 P6484 F6488 G6488:G6686 H6488:H6594 AE6488 F6490:F6495 AE6490:AE6495 F6497:F6504 AE6497 AE6499:AE6504 P6504:P6505 F6527 H6596:H6813 F6632:F6711 AE6632:AE6643 AE6645:AE6686 G6688:G7079 AE6688:AE6711 F6713:F6904 AE6713:AE6719 AE6721:AE6906 H6843:H6883 H6902:H7079 F6908:F6973 AE6908:AE6973 F6975:F6982 AE6975:AE6980 F6984:F6990 AE6984:AE6990 P6987">
    <cfRule type="cellIs" dxfId="66" priority="703" operator="equal">
      <formula>"T"</formula>
    </cfRule>
  </conditionalFormatting>
  <conditionalFormatting sqref="G1:G2253 H2:H5 H138:H140 H155:H183 F326 H326 H367 F432 H432 F441 H441:H442 H604 H609:H610 AE609 F610 F634 H634 H638:H639 H656:H1572 AG883 F1029:F1030 F1033:F1047 AG1033 AE1036:AE1039 AE1041 F1049:F1058 F1061:F1087 AE1061:AE1072 F1089:F1092 F1094:F1097 F1099 F1102:F1104 F1110:F1113 AE1111:AE1113 AE1336:AE1340 F1379:F1393 AE1379:AE1389 AE1391 F1395:F1408 F1410:F1421 F1423:F1433 F1435:F1445 F1447:F1457 AG1455 F1459:F1474 F1476 F1478:F1479 F1571 H1574:H2253 F1585:F1588 F1590:F1609 AE1601:AE1602 F1611:F1613 F1617:F1640 AE1624:AE1636 F1642:F1659 AE1652 F1712:F1731 F1738:F1749 F1751:F1767 F1769:F1788 AE1775:AE1779 AE1781:AE1788 F1790:F1811 AE1791:AE1809 F1813:F1818 F1821:F1822 F1825 F1887:F1908 AE1903:AE1907 F1910 F1913:F1917 AE1915 F1919:F1939 AE1938:AE1939 F1941:F1954 F1956:F1978 F1980:F1987 AE1982 F2086:F2105 F2107:F2110 F2112:F2117 F2119:F2162 F2165:F2170 F2172:F2186 AE2177:AE2178 F2238 F2243:F2253 F2255:H2256 F2258:F2286 G2258:H2457 F2288:F2304 AE2293 AE2300 F2337 F2339:F2346 AE2339 F2348:F2363 AE2357 F2365:F2367 AE2367:AE2369 F2369:F2392 AE2372 F2394:F2416 AE2395 AE2399:AE2400 AE2404:AE2407 AE2412 F2446:F2457 AE2449 F2460:F2487 G2460:H3885 AE2466:AE2467 AE2477:AE2480 AE2483:AE2485 AE2487 F2489:F2578 AE2489:AE2493 AE2498:AE2505 AE2515:AE2521 AE2523:AE2547 AE2549:AE2554 AE2556:AE2561 AE2563:AE2565 AE2567:AE2571 AE2573:AE2620 F2580:F2617 F2619:F2620 F2622 AE2622 F2756:F2770 AE2756:AE2770 F2772:F2798 AE2772:AE2798 F2803:F2820 AE2803:AE2815 AE2817:AE2820 F2822:F2841 AE2822:AE2832 AE2834:AE2841 F2843:F2851 AE2843:AE2851 AF2848:AF2851 F2853:F2911 AE2854:AE2911 AF2854:AF2855 F3247:F3263 AE3247:AE3290 F3265:F3266 F3268:F3275 F3277:F3290 F3527 F3659:F3663 AE3659:AE3663 F3665:F3689 AE3665:AE3689 F3691:F3740 AE3691:AE3740 F3743:F3750 AE3743:AE3750 F3755:F3805 AE3755:AE3805 F3807:F3812 AE3807:AE3812 F3814:F3821 AE3814:AE3821 F3823:F3885 AE3823:AE3826 AE3829:AE3885 F3887:H3916 AE3887:AE3916 F3918:H3959 AE3918:AE3959 F3961:F4027 G3961:H4874 AE3961:AE4027 F4029:F4159 AE4029:AE4050 AE4052:AE4159 F4651 AE4651 F4679:F4690 AE4679:AE4690 F4692:F4724 AE4692:AE4724 F4726:F4733 AE4726:AE4733 F4735:F4739 AE4735:AE4739 F4741:F4744 AE4741:AE4744 F4746:F4804 AE4746:AE4804 F4809:F4873 AE4809:AE4873 F4876:F4878 G4876:H6448 AE4876:AE4878 F4884:F4905 AE4884:AE4905 F4909:F4940 AE4909:AE4940 F4942:F4943 AE4942:AE4943 F4945:F4955 AE4945:AE4955 AF4948 F4958:F4959 AE4958:AE4959 F5256 AE5256 F5275:F5385 AE5275:AE5306 AF5276 AE5308:AE5385 AF5384 F5388:F5391 AE5388:AE5391 F5393:F5529 AE5393:AE5416 AF5396 AF5410 AE5418:AE5502 AF5423 AG5460 AE5504:AE5529 AF5506 F5657 F5694 AE5694 AE5712 F5722:F5909 AE5722:AE5910 AF5806 F5912:F5976 AE5912:AE5913 AE5915:AE5976 AF5918 F6070:F6134 AE6070:AE6134 F6136:F6323 AE6136:AE6169 A6171 AE6171:AE6323 F6325:F6370 AE6325:AE6370 AG6345 F6372:F6447 AE6372:AE6448 F6453:H6486 AE6453:AE6457 AE6459:AE6486 P6484 F6488 G6488:G6686 H6488:H6594 AE6488 F6490:F6495 AE6490:AE6495 F6497:F6504 AE6497 AE6499:AE6504 P6504:P6505 F6527 H6596:H6813 F6632:F6711 AE6632:AE6643 AE6645:AE6686 G6688:G7079 AE6688:AE6711 F6713:F6904 AE6713:AE6719 AE6721:AE6906 H6843:H6883 H6902:H7079 F6908:F6973 AE6908:AE6973 F6975:F6982 AE6975:AE6980 F6984:F6990 AE6984:AE6990 P6987">
    <cfRule type="cellIs" dxfId="65" priority="704" operator="equal">
      <formula>"V"</formula>
    </cfRule>
  </conditionalFormatting>
  <conditionalFormatting sqref="G1:G2253 F2086:F2087 G2255:G2256 G2258:G2457 F2284 F2399 AE2399 G2460:G3885 F2473 F2839 AE2839:AE2840 H3800 H3802 H3807:H3808 H3810 F3812 AE3812 G3887:G3916 G3918:G3959 G3961:G4874 G4876:G6448 F4928 AE4928 F6273 AE6273 F6323 H6323 G6453:G6486 G6488:G6686 G6688:G7079">
    <cfRule type="cellIs" dxfId="64" priority="705" operator="equal">
      <formula>"V"</formula>
    </cfRule>
  </conditionalFormatting>
  <conditionalFormatting sqref="G1:G2253 F2086:F2087 G2255:G2256 G2258:G2457 F2284 F2399 AE2399 G2460:G3885 F2473 F2839 AE2839:AE2840 H3800 H3802 H3807:H3808 H3810 F3812 AE3812 G3887:G3916 G3918:G3959 G3961:G4874 G4876:G6448 F4928 AE4928 F6273 AE6273 F6323 H6323 G6453:G6486 G6488:G6686 G6688:G7079">
    <cfRule type="cellIs" dxfId="63" priority="706" operator="equal">
      <formula>"V"</formula>
    </cfRule>
  </conditionalFormatting>
  <conditionalFormatting sqref="G1:G2253 F2086:F2087 G2255:G2256 G2258:G2457 F2284 F2399 AE2399 G2460:G3885 F2473 F2839 AE2839:AE2840 H3800 H3802 H3807:H3808 H3810 F3812 AE3812 G3887:G3916 G3918:G3959 G3961:G4874 G4876:G6448 F4928 AE4928 F6273 AE6273 F6323 H6323 G6453:G6486 G6488:G6686 G6688:G7079">
    <cfRule type="cellIs" dxfId="62" priority="707" operator="equal">
      <formula>"V"</formula>
    </cfRule>
  </conditionalFormatting>
  <conditionalFormatting sqref="G1:G2253 F2086:F2087 G2255:G2256 G2258:G2457 F2284 F2399 AE2399 G2460:G3885 F2473 F2839 AE2839:AE2840 H3800 H3802 H3807:H3808 H3810 F3812 AE3812 G3887:G3916 G3918:G3959 G3961:G4874 G4876:G6448 F4928 AE4928 F6273 AE6273 F6323 H6323 G6453:G6486 G6488:G6686 G6688:G7079">
    <cfRule type="cellIs" dxfId="61" priority="708" operator="equal">
      <formula>"V"</formula>
    </cfRule>
  </conditionalFormatting>
  <conditionalFormatting sqref="G1:G2253 F2086:F2087 G2255:G2256 G2258:G2457 F2284 F2399 AE2399 G2460:G3885 F2473 F2839 AE2839:AE2840 H3800 H3802 H3807:H3808 H3810 F3812 AE3812 G3887:G3916 G3918:G3959 G3961:G4874 G4876:G6448 F4928 AE4928 F6273 AE6273 F6323 H6323 G6453:G6486 G6488:G6686 G6688:G7079">
    <cfRule type="cellIs" dxfId="60" priority="709" operator="equal">
      <formula>"V"</formula>
    </cfRule>
  </conditionalFormatting>
  <conditionalFormatting sqref="G1:G2253 H154 F2086:F2087 G2255:G2256 G2258:G2457 F2284 F2399 AE2399 G2460:G3885 F2473 F2839 AE2839:AE2840 H3800 H3802 H3807:H3808 H3810 F3812 AE3812 G3887:G3916 G3918:G3959 G3961:G4874 G4876:G6448 F4928 AE4928 F6273 AE6273 F6323 H6323 G6453:G6486 G6488:G6686 G6688:G7079">
    <cfRule type="cellIs" dxfId="59" priority="710" operator="equal">
      <formula>"V"</formula>
    </cfRule>
  </conditionalFormatting>
  <conditionalFormatting sqref="C2:C7079">
    <cfRule type="cellIs" dxfId="58" priority="711" operator="equal">
      <formula>"Mới"</formula>
    </cfRule>
  </conditionalFormatting>
  <conditionalFormatting sqref="C2:C7079">
    <cfRule type="cellIs" dxfId="57" priority="712" operator="equal">
      <formula>"Up Level"</formula>
    </cfRule>
  </conditionalFormatting>
  <conditionalFormatting sqref="Y1 Z1:Z5 AA1 C2:C7079 Z136:Z140 Z155:Z183 Z189 Z326 Z422:Z423 Z432 Z486:Z488 Z490 Z504:Z2457 Z2460:Z2850 Z2852:Z3885 Z3887:Z3916 Z3918:Z3959 Z3961:Z4874 Z4876:Z6448 Z6453:Z6486 Z6488:Z6686 Z6688:Z7079">
    <cfRule type="cellIs" dxfId="56" priority="713" operator="equal">
      <formula>"Đã tính lương"</formula>
    </cfRule>
  </conditionalFormatting>
  <conditionalFormatting sqref="C2:C7079">
    <cfRule type="cellIs" dxfId="55" priority="714" operator="equal">
      <formula>"Up quá trình"</formula>
    </cfRule>
  </conditionalFormatting>
  <conditionalFormatting sqref="A1 B1:B6858 B6860:B7079">
    <cfRule type="cellIs" dxfId="54" priority="715" operator="equal">
      <formula>"DONE"</formula>
    </cfRule>
  </conditionalFormatting>
  <conditionalFormatting sqref="A1 B1:B6858 B6860:B7079">
    <cfRule type="cellIs" dxfId="53" priority="716" operator="equal">
      <formula>"Chờ lớp"</formula>
    </cfRule>
  </conditionalFormatting>
  <conditionalFormatting sqref="A1 B1:B6858 B6860:B7079">
    <cfRule type="cellIs" dxfId="52" priority="717" operator="equal">
      <formula>"Chờ feedback"</formula>
    </cfRule>
  </conditionalFormatting>
  <conditionalFormatting sqref="A1 B1:B6858 B6860:B7079">
    <cfRule type="cellIs" dxfId="51" priority="718" operator="equal">
      <formula>"LỖI LINK FB"</formula>
    </cfRule>
  </conditionalFormatting>
  <conditionalFormatting sqref="A1 B1:B6858 B6860:B7079">
    <cfRule type="cellIs" dxfId="50" priority="719" operator="equal">
      <formula>"LỖI LINK FB"</formula>
    </cfRule>
  </conditionalFormatting>
  <conditionalFormatting sqref="A1 B1:B6858 B6860:B7079">
    <cfRule type="cellIs" dxfId="49" priority="720" operator="equal">
      <formula>"LỖI LINK FB"</formula>
    </cfRule>
  </conditionalFormatting>
  <conditionalFormatting sqref="A1 B1:B6858 B6860:B7079">
    <cfRule type="cellIs" dxfId="48" priority="721" operator="equal">
      <formula>"LỖI LINK FB"</formula>
    </cfRule>
  </conditionalFormatting>
  <conditionalFormatting sqref="A1 B1:B6858 B6860:B7079">
    <cfRule type="cellIs" dxfId="47" priority="722" operator="equal">
      <formula>"LỖI LINK FB"</formula>
    </cfRule>
  </conditionalFormatting>
  <conditionalFormatting sqref="A1 B1:B6858 B6860:B7079">
    <cfRule type="cellIs" dxfId="46" priority="723" operator="equal">
      <formula>"LỖI LINK FB"</formula>
    </cfRule>
  </conditionalFormatting>
  <conditionalFormatting sqref="A1 B1:B6858 B6860:B7079">
    <cfRule type="cellIs" dxfId="45" priority="724" operator="equal">
      <formula>"LỖI LINK FB"</formula>
    </cfRule>
  </conditionalFormatting>
  <conditionalFormatting sqref="A1 B1:B6858 B6860:B7079">
    <cfRule type="cellIs" dxfId="44" priority="725" operator="equal">
      <formula>"LỖI LINK FB"</formula>
    </cfRule>
  </conditionalFormatting>
  <conditionalFormatting sqref="A1 B1:B6858 B6860:B7079">
    <cfRule type="cellIs" dxfId="43" priority="726" operator="equal">
      <formula>"LỖI LINK FB"</formula>
    </cfRule>
  </conditionalFormatting>
  <conditionalFormatting sqref="A1 B1:B6858 B6860:B7079">
    <cfRule type="cellIs" dxfId="42" priority="727" operator="equal">
      <formula>"LỖI LINK FB"</formula>
    </cfRule>
  </conditionalFormatting>
  <conditionalFormatting sqref="A1 B1:B6858 B6860:B7079">
    <cfRule type="cellIs" dxfId="41" priority="728" operator="equal">
      <formula>"LỖI LINK FB"</formula>
    </cfRule>
  </conditionalFormatting>
  <conditionalFormatting sqref="A1 B1:B6858 B6860:B7079">
    <cfRule type="cellIs" dxfId="40" priority="729" operator="equal">
      <formula>"LỖI LINK FB"</formula>
    </cfRule>
  </conditionalFormatting>
  <conditionalFormatting sqref="A1 B1:B6858 B6860:B7079">
    <cfRule type="cellIs" dxfId="39" priority="730" operator="equal">
      <formula>"LỖI LINK FB"</formula>
    </cfRule>
  </conditionalFormatting>
  <conditionalFormatting sqref="A1 B1:B6858 B6860:B7079">
    <cfRule type="cellIs" dxfId="38" priority="731" operator="equal">
      <formula>"LỖI LINK FB"</formula>
    </cfRule>
  </conditionalFormatting>
  <conditionalFormatting sqref="AC7:AC102 AD71:AD72 AC613:AC616 AC632:AC633 AC1082:AC1083 AC1397:AC1398 AC1447 AC1589 AC1592 AC1614 AC1977 AC2125 AC2256 AC3959">
    <cfRule type="cellIs" dxfId="37" priority="732" operator="equal">
      <formula>"Đã nhận"</formula>
    </cfRule>
  </conditionalFormatting>
  <conditionalFormatting sqref="AC7:AC102 AD70 AC613:AC616 AC632:AC633 AC1082:AC1083 AC1397:AC1398 AC1447 AC1589 AC1592 AC1614 AC1977 AC2125 AC2256 AC3959">
    <cfRule type="cellIs" dxfId="36" priority="733" operator="equal">
      <formula>"Đã nhận"</formula>
    </cfRule>
  </conditionalFormatting>
  <conditionalFormatting sqref="AC7:AC102 AD68:AD69 AC613:AC616 AC632:AC633 AC1082:AC1083 AC1397:AC1398 AC1447 AC1589 AC1592 AC1614 AC1977 AC2125 AC2256 AC3959">
    <cfRule type="cellIs" dxfId="35" priority="734" operator="equal">
      <formula>"Đã nhận"</formula>
    </cfRule>
  </conditionalFormatting>
  <conditionalFormatting sqref="AC7:AC102 AD64:AD67 AC613:AC616 AD613:AD614 AC632:AC633 AC1082:AC1083 AC1397:AC1398 AC1447 AC1589 AC1592:AD1592 AC1614 AC1977 AC2125 AC2256 AC3959">
    <cfRule type="cellIs" dxfId="34" priority="735" operator="equal">
      <formula>"Đã nhận"</formula>
    </cfRule>
  </conditionalFormatting>
  <conditionalFormatting sqref="AC7:AC102 AD63 AC613:AC616 AC632:AC633 AC1082:AC1083 AC1397:AC1398 AC1447 AC1589 AC1592 AC1614 AC1977 AC2125 AC2256 AC3959">
    <cfRule type="cellIs" dxfId="33" priority="736" operator="equal">
      <formula>"Đã nhận"</formula>
    </cfRule>
  </conditionalFormatting>
  <conditionalFormatting sqref="AC7:AC102 AD59:AD62 AC613:AC616 AC632:AC633 AC1082:AC1083 AC1397:AC1398 AD1398 AC1447:AD1447 AC1589 AC1592 AC1614 AC1977 AC2125:AD2125 AC2256 AC3959">
    <cfRule type="cellIs" dxfId="32" priority="737" operator="equal">
      <formula>"Đã nhận"</formula>
    </cfRule>
  </conditionalFormatting>
  <conditionalFormatting sqref="AC7:AC102 AD58 AC613:AC616 AC632:AC633 AC1082:AC1083 AC1397:AC1398 AC1447 AC1589 AC1592 AC1614 AC1977 AC2125 AC2256 AC3959">
    <cfRule type="cellIs" dxfId="31" priority="738" operator="equal">
      <formula>"Đã nhận"</formula>
    </cfRule>
  </conditionalFormatting>
  <conditionalFormatting sqref="AC7:AC102 AD57 AC613:AC616 AC632:AC633 AC1082:AC1083 AC1397:AC1398 AC1447 AC1589 AC1592 AC1614 AC1977 AC2125 AC2256 AC3959">
    <cfRule type="cellIs" dxfId="30" priority="739" operator="equal">
      <formula>"Đã nhận"</formula>
    </cfRule>
  </conditionalFormatting>
  <conditionalFormatting sqref="AC7:AC102 AD56 AC613:AC616 AC632:AC633 AC1082:AC1083 AC1397:AC1398 AC1447 AC1589 AC1592 AC1614 AC1977 AC2125 AC2256 AC3959">
    <cfRule type="cellIs" dxfId="29" priority="740" operator="equal">
      <formula>"Đã nhận"</formula>
    </cfRule>
  </conditionalFormatting>
  <conditionalFormatting sqref="AC7:AC102 AD55 AC613:AC616 AC632:AC633 AC1082:AC1083 AC1397:AC1398 AC1447 AC1589 AC1592 AC1614 AC1977 AC2125 AC2256 AC3959">
    <cfRule type="cellIs" dxfId="28" priority="741" operator="equal">
      <formula>"Đã nhận"</formula>
    </cfRule>
  </conditionalFormatting>
  <conditionalFormatting sqref="AC7:AC102 AD54 AC188:AF188 AC440:AE440 AC613:AC616 AC632:AC633 AC1082:AC1083 AC1397:AC1398 AC1447 AC1589 AC1592 AC1602:AE1602 AC1614 AC1977 AC2125 AC2256 AC3959">
    <cfRule type="cellIs" dxfId="27" priority="742" operator="equal">
      <formula>"Đã nhận"</formula>
    </cfRule>
  </conditionalFormatting>
  <conditionalFormatting sqref="AC7:AC102 AD53 AC613:AC616 AC632:AC633 AC1082:AC1083 AC1397:AC1398 AC1447 AC1589 AC1592 AC1614 AC1977 AC2125 AC2256 AC3959">
    <cfRule type="cellIs" dxfId="26" priority="743" operator="equal">
      <formula>"Đã nhận"</formula>
    </cfRule>
  </conditionalFormatting>
  <conditionalFormatting sqref="AC7:AC102 AD52 AC613:AC616 AC632:AC633 AC1082:AC1083 AC1397:AC1398 AC1447 AC1589 AC1592 AC1614 AC1977 AC2125 AC2256 AC3959">
    <cfRule type="cellIs" dxfId="25" priority="744" operator="equal">
      <formula>"Đã nhận"</formula>
    </cfRule>
  </conditionalFormatting>
  <conditionalFormatting sqref="AC7:AC102 AD51 AC613:AC616 AC632:AC633 AC1082:AC1083 AC1397:AC1398 AC1447 AC1589 AC1592 AC1614 AC1977 AC2125 AC2256 AC3959">
    <cfRule type="cellIs" dxfId="24" priority="745" operator="equal">
      <formula>"Đã nhận"</formula>
    </cfRule>
  </conditionalFormatting>
  <conditionalFormatting sqref="AC7:AC102 AD50 AC613:AC616 AC632:AC633 AC1082:AC1083 AC1397:AC1398 AC1447 AC1589 AC1592 AC1614 AC1977 AC2125 AC2256 AC3959">
    <cfRule type="cellIs" dxfId="23" priority="746" operator="equal">
      <formula>"Đã nhận"</formula>
    </cfRule>
  </conditionalFormatting>
  <conditionalFormatting sqref="AC7:AC102 AD47 AD61 AD190 AC200:AF206 AC436:AE436 AC613:AC616 AC632:AC633 AC1082:AC1083 AD1093 AC1397:AC1398 AC1411:AD1411 AC1447:AD1447 AC1589 AC1592 AC1614 AC1977 AC2125:AD2125 AC2256 AC3959">
    <cfRule type="cellIs" dxfId="22" priority="747" operator="equal">
      <formula>"Đã nhận"</formula>
    </cfRule>
  </conditionalFormatting>
  <conditionalFormatting sqref="AC7:AC102 AD46 AC613:AC616 AC632:AC633 AC1082:AC1083 AC1397:AC1398 AC1447 AC1589 AC1592 AC1614 AC1977 AC2125 AC2256 AC3959">
    <cfRule type="cellIs" dxfId="21" priority="748" operator="equal">
      <formula>"Đã nhận"</formula>
    </cfRule>
  </conditionalFormatting>
  <conditionalFormatting sqref="AC7:AC102 AD11:AD45 AC613:AC616 AD615:AD616 AC632:AC633 AC1082:AC1083 AC1397:AC1398 AC1447 AC1589 AC1592 AC1614:AD1614 AC1977:AD1977 AC2125 AC2256 AC3959">
    <cfRule type="cellIs" dxfId="20" priority="749" operator="equal">
      <formula>"Đã nhận"</formula>
    </cfRule>
  </conditionalFormatting>
  <conditionalFormatting sqref="AC3:AC102 AD3:AD10 AE3:AF6 AC613:AC616 AC632:AC633 AC1082:AC1083 AC1397:AC1398 AC1447 AC1589 AC1592 AC1614 AC1977 AC2125 AC2256 AC3959">
    <cfRule type="cellIs" dxfId="19" priority="750" operator="equal">
      <formula>"Đã nhận"</formula>
    </cfRule>
  </conditionalFormatting>
  <conditionalFormatting sqref="AC7:AC102 AC613:AC616 AC632:AC633 AC1082:AC1083 AC1397:AC1398 AC1447 AC1589 AC1592 AC1614 AC1977 AC2125 AC2256 AC3959">
    <cfRule type="cellIs" dxfId="18" priority="751" operator="equal">
      <formula>"Đã nhận"</formula>
    </cfRule>
  </conditionalFormatting>
  <conditionalFormatting sqref="AC7:AC102 AC613:AC616 AC632:AC633 AC1082:AC1083 AC1397:AC1398 AC1447 AC1589 AC1592 AC1614 AC1977 AC2125 AC2256 AC3959">
    <cfRule type="cellIs" dxfId="17" priority="752" operator="equal">
      <formula>"Đã nhận"</formula>
    </cfRule>
  </conditionalFormatting>
  <conditionalFormatting sqref="AC7:AC102 AC613:AC616 AC632:AC633 AC1082:AC1083 AC1397:AC1398 AC1447 AC1589 AC1592 AC1614 AC1977 AC2125 AC2256 AC3959">
    <cfRule type="cellIs" dxfId="16" priority="753" operator="equal">
      <formula>"Đã nhận"</formula>
    </cfRule>
  </conditionalFormatting>
  <conditionalFormatting sqref="W3:W624 X3:X2253 W626:W2253 W2255:X2256 W2258:X2457 W2460:X2841 W2843:X2850 W2852:X3885 W3887:X3916 W3918:X3959 W3961:X4874 W4876:X6448 W6453:X6486 W6488:X6686 W6688:X7079">
    <cfRule type="cellIs" dxfId="15" priority="754" operator="equal">
      <formula>"Sách"</formula>
    </cfRule>
  </conditionalFormatting>
  <conditionalFormatting sqref="R3:R2253 R2255:R2256 R2258:R2457 R2460:R2841 R2843:R2850 R2852:R3885 R3887:R3916 R3918:R3959 R3961:R4874 R4876:R6448 R6453:R6486 R6488:R6686 R6688:R7079">
    <cfRule type="containsText" dxfId="14" priority="755" operator="containsText" text="Chung">
      <formula>NOT(ISERROR(SEARCH(("Chung"),(R3))))</formula>
    </cfRule>
  </conditionalFormatting>
  <conditionalFormatting sqref="X3:Y2253 Z618:Z619 W699 Z1031:Z1085 Z1792:Z1794 Z1797 Z1799 Z1889 Z1903:Z1905 Z1915:Z1916 Z1929:Z1932 Z1934 Z1938:Z1939 Z1964 Z1974:Z1977 X2255:Y2256 X2258:Y2457 Z2291:Z2292 Z2340 Z2369 Z2379 Z2412 Z2453:Z2454 X2460:Y2841 Z2493:Z2494 Z2534 Z2577 Z2604 Z2607:Z2608 Z2612 Z2774 Z2838 X2843:Y2850 X2852:X3885 Y2852:Y3916 Z2910 Z3250 Z3258 Z3263 Z3267 Z3730 Z3832 X3887:X3916 X3918:Y3959 X3961:Y4874 X4876:Y6448 Z5401 Z5450 Z5460 Z5510 Z5921 Z5947 Z6143 Z6223 Z6238 Z6268 X6453:Y6486 X6488:Y6686 X6688:Y7079 Z6792 Z6979">
    <cfRule type="endsWith" dxfId="13" priority="756" operator="endsWith" text=" ">
      <formula>RIGHT((X3),LEN(" "))=(" ")</formula>
    </cfRule>
  </conditionalFormatting>
  <conditionalFormatting sqref="G1:G2253 F2086:F2087 G2255:G2256 G2258:G2457 F2284 F2399 AE2399 G2460:G3885 F2473 F2839 AE2839:AE2840 H3800 H3802 H3807:H3808 H3810 F3812 AE3812 G3887:G3916 G3918:G3959 G3961:G4874 G4876:G6448 F4928 AE4928 F6273 AE6273 F6323 H6323 G6453:G6486 G6488:G6686 G6688:G7079">
    <cfRule type="cellIs" dxfId="12" priority="757" operator="equal">
      <formula>"A"</formula>
    </cfRule>
  </conditionalFormatting>
  <conditionalFormatting sqref="G1:G2253 F2086:F2087 G2255:G2256 G2258:G2457 F2284 F2399 AE2399 G2460:G3885 F2473 F2839 AE2839:AE2840 H3800 H3802 H3807:H3808 H3810 F3812 AE3812 G3887:G3916 G3918:G3959 G3961:G4874 G4876:G6448 F4928 AE4928 F6273 AE6273 F6323 H6323 G6453:G6486 G6488:G6686 G6688:G7079">
    <cfRule type="cellIs" dxfId="11" priority="758" operator="equal">
      <formula>"B"</formula>
    </cfRule>
  </conditionalFormatting>
  <conditionalFormatting sqref="G1:G2253 F2086:F2087 G2255:G2256 G2258:G2457 F2284 F2399 AE2399 G2460:G3885 F2473 F2839 AE2839:AE2840 H3800 H3802 H3807:H3808 H3810 F3812 AE3812 G3887:G3916 G3918:G3959 G3961:G4874 G4876:G6448 F4928 AE4928 F6273 AE6273 F6323 H6323 G6453:G6486 G6488:G6686 G6688:G7079">
    <cfRule type="cellIs" dxfId="10" priority="759" operator="equal">
      <formula>"C"</formula>
    </cfRule>
  </conditionalFormatting>
  <conditionalFormatting sqref="G1:G2253 F2086:F2087 G2255:G2256 G2258:G2457 F2284 F2399 AE2399 G2460:G3885 F2473 F2839 AE2839:AE2840 H3800 H3802 H3807:H3808 H3810 F3812 AE3812 G3887:G3916 G3918:G3959 G3961:G4874 G4876:G6448 F4928 AE4928 F6273 AE6273 F6323 H6323 G6453:G6486 G6488:G6686 G6688:G7079">
    <cfRule type="cellIs" dxfId="9" priority="760" operator="equal">
      <formula>"T"</formula>
    </cfRule>
  </conditionalFormatting>
  <conditionalFormatting sqref="G1:G2253 F2086:F2087 G2255:G2256 G2258:G2457 F2284 F2399 AE2399 G2460:G3885 F2473 F2839 AE2839:AE2840 H3800 H3802 H3807:H3808 H3810 F3812 AE3812 G3887:G3916 G3918:G3959 G3961:G4874 G4876:G6448 F4928 AE4928 F6273 AE6273 F6323 H6323 G6453:G6486 G6488:G6686 G6688:G7079">
    <cfRule type="cellIs" dxfId="8" priority="761" operator="equal">
      <formula>"V"</formula>
    </cfRule>
  </conditionalFormatting>
  <conditionalFormatting sqref="C2:C7079">
    <cfRule type="cellIs" dxfId="7" priority="762" operator="equal">
      <formula>"Mới"</formula>
    </cfRule>
  </conditionalFormatting>
  <conditionalFormatting sqref="C2:C7079">
    <cfRule type="cellIs" dxfId="6" priority="763" operator="equal">
      <formula>"Up Level"</formula>
    </cfRule>
  </conditionalFormatting>
  <conditionalFormatting sqref="C2:C7079">
    <cfRule type="cellIs" dxfId="5" priority="764" operator="equal">
      <formula>"Đã tính lương"</formula>
    </cfRule>
  </conditionalFormatting>
  <conditionalFormatting sqref="C2:C7079">
    <cfRule type="cellIs" dxfId="4" priority="765" operator="equal">
      <formula>"Up quá trình"</formula>
    </cfRule>
  </conditionalFormatting>
  <conditionalFormatting sqref="A1 B1:B6858 B6860:B7079">
    <cfRule type="cellIs" dxfId="3" priority="766" operator="equal">
      <formula>"DONE"</formula>
    </cfRule>
  </conditionalFormatting>
  <conditionalFormatting sqref="A1 B1:B6858 B6860:B7079">
    <cfRule type="cellIs" dxfId="2" priority="767" operator="equal">
      <formula>"Chờ lớp"</formula>
    </cfRule>
  </conditionalFormatting>
  <conditionalFormatting sqref="A1 B1:B6858 B6860:B7079">
    <cfRule type="cellIs" dxfId="1" priority="768" operator="equal">
      <formula>"Chờ feedback"</formula>
    </cfRule>
  </conditionalFormatting>
  <conditionalFormatting sqref="A1 B1:B6858 B6860:B7079">
    <cfRule type="cellIs" dxfId="0" priority="769" operator="equal">
      <formula>"LỖI LINK FB"</formula>
    </cfRule>
  </conditionalFormatting>
  <dataValidations count="12">
    <dataValidation type="list" allowBlank="1" sqref="G765 G866 G1819 G2016:G2019 G2368 G2373 G2378 G2382 G2835 G5800:G5801 G6974" xr:uid="{89FB605B-8E61-AA4E-A38D-221CCBFD3E07}">
      <formula1>"A,B,C,T,V,KA,KB,KC,PT,MP"</formula1>
    </dataValidation>
    <dataValidation type="list" allowBlank="1" sqref="Z390 AA434" xr:uid="{8A40045A-7BA6-8548-A456-5B533A1C97AA}">
      <formula1>"R,R-Thiếu,Đã tính lương"</formula1>
    </dataValidation>
    <dataValidation type="list" allowBlank="1" sqref="G2496 G2829 G3814 G5520 G6906" xr:uid="{70AF549B-B87F-A24B-926C-EB9C7F8E0B8F}">
      <formula1>"A,B,C,T,V,KA,KB,KC,PT,MP,ST"</formula1>
    </dataValidation>
    <dataValidation type="list" allowBlank="1" sqref="G1660:G1694 G1696:G1711 G1713:G1716 G1718:G1719 G1733:G1737 G1826:G1836 G1838:G1882 G1884:G1888 G1892:G1894 G1908:G1909 G1987 G1990:G2015 G2020:G2056 G2059 G2061:G2067 G2069:G2088 G2106 G2140:G2141 G2159 G2162:G2164 G2166:G2170 G2173:G2182 G2187:G2236 G2239:G2247 G2249:G2251 G2253 G2257 G2261 G2269:G2270 G2272:G2284 G2294 G2305:G2335 G2337 G2339:G2340 G2354 G2356:G2361 G2363 G2366 G2386:G2388 G2390:G2392 G2400:G2401 G2409 G2411:G2448 G2457 G2459 G2475 G2494 G2508:G2513 G2556:G2557 G2562 G2572 G2581:G2602 G2617 G2623:G2657 G2659:G2755 G2757:G2761 G2764:G2765 G2767 G2770 G2772:G2773 G2775 G2777 G2779 G2782:G2806 G2808:G2815 G2817:G2828 G2830:G2832 G2836 G2839:G2867 G2869:G2873 G2875 G2880:G2881 G2883:G2887 G2889:G2907 G2909 G2911:G3178 G3180:G3181 G3183:G3249 G3251:G3252 G3254 G3259:G3260 G3262 G3264:G3285 G3291:G3659 G3661 G3677:G3679 G3682 G3704 G3706:G3709 G3713:G3733 G3737:G3741 G3745:G3748 G3750:G3755 G3760:G3812 G3815 G3817:G3819 G3821 G3823 G3825:G3826 G3828 G3832:G3837 G3840:G3842 G3844:G3851 G3853:G3856 G3869:G3882 G3886 G3888:G3926 G3928:G3958 G3960:G3990 G3992:G4024 G4026:G4077 G4079:G4089 G4091:G4135 G4138:G4156 G4158:G4689 G4691:G4693 G4695:G4709 G4711:G4721 G4724:G4725 G4727:G4729 G4731:G4872 G4874:G4891 G4894:G4927 G4930:G4933 G4935:G4946 G4948:G4955 G4957:G5278 G5280:G5291 G5293:G5369 G5371:G5380 G5382:G5400 G5402:G5427 G5429:G5431 G5434:G5448 G5450:G5459 G5461:G5497 G5500:G5501 G5503:G5509 G5511:G5519 G5521:G5724 G5726:G5773 G5776 G5779:G5796 G5798:G5799 G5802:G5810 G5815:G5817 G5819:G5828 G5834 G5837:G5843 G5846 G5849 G5854:G5882 G5884:G6008 G6010:G6133 G6136:G6142 G6158 G6160:G6167 G6169 G6173:G6219 G6221:G6222 G6236 G6239:G6267 G6271:G6272 G6280:G6284 G6288:G6323 G6325:G6368 G6371:G6397 G6399:G6414 G6418:G6434 G6437:G6439 G6441:G6442 G6446:G6456 G6458:G6483 G6487:G6495 G6499:G6501 G6504:G6589 G6591:G6632 G6634:G6635 G6637:G6643 G6645:G6711 G6713:G6744 G6746:G6765 G6781:G6794 G6796:G6867 G6871 G6874:G6902 G6905 G6907:G6941 G6943:G6949 G6954:G6965 G6967:G6973 G6975:G6984 G6986:G7079" xr:uid="{6A8D807D-DF1C-7148-A673-18F8726C41EA}">
      <formula1>"A,B,C,T,V,KA,KB,KC,PT,S,W,OV,OPT,OT"</formula1>
    </dataValidation>
    <dataValidation type="list" allowBlank="1" sqref="G3:G141 G434:G440 G442 G545 G613:G616 G618:G635 G638 G644 G1031:G1032 G1034:G1035 G1059 G1101 G1397:G1398 G1422:G1423 G1447:G1449 G1451:G1454 G1456 G1458 G1475 G1477 G1641 G1695 G1712 G1717 G1720:G1732 G1738:G1748 G1750:G1752 G1759:G1761 G1763 G1767:G1768 G1773:G1774 G1789 G1809:G1818 G1820:G1825 G1911:G1912 G1917 G1940 G1955 G1962 G1977:G1978 G1984 G2057:G2058 G2068 G2111 G2237:G2238 G2254 G2256 G2258:G2260 G2262:G2268 G2271 G2288 G2290 G2336 G2341:G2342 G2345 G2347:G2353 G2355 G2362 G2364:G2365 G2393:G2394 G2399 G2402:G2403 G2461:G2462 G2464 G2467 G2492 G2528 G2530 G2532 G2548 G2621 G2762:G2763 G2766 G2768:G2769 G2908 G3179 G3255:G3258 G3261 G3263 G3691:G3696 G3702 G3705 G3711:G3712 G3742:G3743 G3756:G3759 G3813 G3822 G3824 G3883:G3885 G3887 G3959 G4078 G4157 G5847:G5848 G5850:G5853 G6159 G6170 G6220 G6324 G6712 G6985" xr:uid="{CB419752-F5A2-2640-B6C9-F38792A8D488}">
      <formula1>"A,B,C,T,V,KA,KB,KC,PT"</formula1>
    </dataValidation>
    <dataValidation type="list" allowBlank="1" sqref="M388:M389 M619 M1610 M1764 M3814" xr:uid="{DFFC268B-FB31-9D4E-BF65-BE4CE45235EE}">
      <formula1>"Team Hoàng,Team Thuỷ,Team Hà,Team Tú,Team Trung,Team Đạt,Team P. Anh,Team Huy,Team Tạ Nhung,Team Hiền,Team Quỳnh,Team Zang,Team Năm,Minh Phạm,Lê Linh,Tạ Nhung,Thuỳ Linh,Lê Phương,Team Đức MKT,Team Vân Anh,Team Toeic,Nguồn Ngoài,Chị Bích,Hải Yến Meca,Ngô Đ"&amp;"ức Meca,PAGE"</formula1>
    </dataValidation>
    <dataValidation type="list" allowBlank="1" showErrorMessage="1" sqref="AH434 AH442 AH622 AH624 AH626 AH644 AH655 AH1759 AI1823 AI1917 AH1936 AI1940 AI1978 AH2124 AI2158 AI2237:AI2238 AI2254 AI2264 AI2288 AI2364 AI2393 AI2461 AH2497 AI2528 AI3255 AI3276 AI3742 AI3808 AI3814 AI3822 AI5386 AI6324 AI6712 AG1823 AG2237:AG2238 AG2254 AG2288 AG2393 AG2461 AG2528 AG3255 AG3742 AG3814 AG5386 AG6712" xr:uid="{D486A497-173E-6E4D-AB4C-4A9B24AD8C94}">
      <formula1>#REF!</formula1>
    </dataValidation>
    <dataValidation type="list" allowBlank="1" sqref="AE434 AE442 R639 R2171" xr:uid="{1A017FCC-52EF-0944-93B8-DBA5B10A7A2F}">
      <formula1>#REF!</formula1>
    </dataValidation>
    <dataValidation type="list" allowBlank="1" sqref="M381:M382 M390 M618 M624 M902 M1031:M1032 M1323:M1324 M1730 M2285:M2286 M2335 M2347 M2617 M3920 M4157" xr:uid="{0C6B45FB-8EAC-4C40-AEFB-69627823A948}">
      <formula1>"Team Hoàng,Team Tú,Team Trung,Team Đạt,Team P. Anh,Team Hiền,Team Quỳnh,Team Yến,Team Năm,Minh Phạm,Lê Linh,Thuỳ Linh,Lê Phương,Team Toeic,Nguồn Ngoài,Chị Bích,Hải Yến Meca,Ngô Đức Meca,PAGE,Dương Meca,Team Đức MKT"</formula1>
    </dataValidation>
    <dataValidation type="list" allowBlank="1" sqref="G443:G446 G1936:G1937 G1939 G1945:G1946 G2118 G2171:G2172 G2579 G2618 G2622 G6440 G6443:G6445" xr:uid="{314E181D-6BC1-B341-B757-D5F992C27149}">
      <formula1>"A,B,C,T,V,KA,KB,KC"</formula1>
    </dataValidation>
    <dataValidation type="list" allowBlank="1" sqref="B434 B442 B639 B1984:B1985 B3814" xr:uid="{89D639C7-B425-A64F-A319-7DA538B94495}">
      <formula1>"DONE,Chờ feedback,LỖI LINK FB,Chờ lớp,Chờ HP,"</formula1>
    </dataValidation>
    <dataValidation type="list" allowBlank="1" sqref="G142:G433 G441 G447:G544 G546:G612 G617 G636:G637 G639:G643 G645:G764 G766:G865 G867:G956 G958:G1030 G1033 G1036:G1058 G1060:G1100 G1102:G1396 G1399:G1421 G1424:G1446 G1450 G1455 G1457 G1459:G1474 G1476 G1478:G1640 G1642:G1659 G1749 G1753 G1755:G1758 G1762 G1764:G1766 G1769:G1772 G1775:G1788 G1790:G1808 G1837 G1883 G1889:G1891 G1895:G1907 G1910 G1913:G1916 G1918:G1935 G1938 G1941:G1944 G1947:G1954 G1956:G1961 G1963:G1976 G1979:G1983 G1985:G1986 G1988:G1989 G2060 G2089:G2105 G2107:G2110 G2112:G2117 G2119:G2139 G2142:G2158 G2160:G2161 G2165 G2183:G2186 G2248 G2252 G2255 G2285:G2287 G2289 G2291:G2293 G2295:G2304 G2338 G2343:G2344 G2346 G2367 G2369:G2372 G2374:G2377 G2379:G2381 G2383:G2385 G2389 G2395:G2398 G2404:G2408 G2410 G2449:G2456 G2458 G2460 G2463 G2465:G2466 G2468:G2474 G2476:G2491 G2493 G2495 G2497:G2507 G2514:G2527 G2529 G2531 G2533:G2547 G2549:G2555 G2558:G2561 G2563:G2571 G2573:G2578 G2580 G2603:G2616 G2619:G2620 G2658 G2756 G2771 G2774 G2776 G2778 G2780:G2781 G2807 G2816 G2833:G2834 G2837:G2838 G2868 G2874 G2876:G2879 G2882 G2888 G2910 G3182 G3250 G3253 G3286:G3290 G3660 G3662:G3676 G3680:G3681 G3683:G3690 G3697:G3701 G3703 G3710 G3734:G3736 G3744 G3749 G3816 G3820 G3827 G3829:G3831 G3838:G3839 G3843 G3852 G3857:G3868 G3927 G3991 G4025 G4090 G4136:G4137 G4690 G4694 G4710 G4722:G4723 G4726 G4730 G4873 G4892:G4893 G4928:G4929 G4934 G4947 G4956 G5279 G5292 G5370 G5381 G5401 G5428 G5432:G5433 G5449 G5460 G5498:G5499 G5502 G5510 G5725 G5774:G5775 G5777:G5778 G5797 G5811:G5814 G5818 G5829:G5833 G5835:G5836 G5844:G5845 G5883 G6009 G6134:G6135 G6143:G6157 G6168 G6171:G6172 G6223:G6235 G6237:G6238 G6268:G6270 G6273:G6279 G6285:G6287 G6369:G6370 G6398 G6415:G6417 G6435:G6436 G6457 G6484:G6486 G6496:G6498 G6502:G6503 G6590 G6633 G6636 G6644 G6745 G6766:G6780 G6795 G6868:G6870 G6872:G6873 G6903:G6904 G6942 G6950:G6953 G6966" xr:uid="{71F0D7F8-8EAA-A644-979B-D4B3E78AFBD6}">
      <formula1>"A,B,C,T,V,KA,KB,KC,PT,S,W"</formula1>
    </dataValidation>
  </dataValidations>
  <hyperlinks>
    <hyperlink ref="J3" r:id="rId1" xr:uid="{5A85C7C9-D71D-534F-A27B-210E33B86ED1}"/>
    <hyperlink ref="J4" r:id="rId2" xr:uid="{A4CFE5AE-5DE4-6147-A823-49E4C2E588A2}"/>
    <hyperlink ref="J5" r:id="rId3" xr:uid="{0D1BE201-C9D4-B94A-9D52-4BE41F521C9D}"/>
    <hyperlink ref="W5" r:id="rId4" xr:uid="{C65DDB49-C354-9140-9196-F3B6DBFD830C}"/>
    <hyperlink ref="J6" r:id="rId5" xr:uid="{44089761-9752-9741-B0D6-6EB6A8AC09A0}"/>
    <hyperlink ref="W6" r:id="rId6" xr:uid="{CFE2F961-8F34-C44A-834A-80375AC324B6}"/>
    <hyperlink ref="J7" r:id="rId7" xr:uid="{B2C2A80A-C738-2243-B576-F81645244624}"/>
    <hyperlink ref="W7" r:id="rId8" xr:uid="{2FC26BC9-5FB7-8843-9865-3EA5FE228B25}"/>
    <hyperlink ref="J8" r:id="rId9" xr:uid="{F340998F-26A8-FC4A-BF3A-4F2CD1DBB36E}"/>
    <hyperlink ref="W8" r:id="rId10" xr:uid="{7C07030D-8E9C-D443-86A2-8F4A6E2EA737}"/>
    <hyperlink ref="J9" r:id="rId11" xr:uid="{04CDF58C-A863-DB4D-A505-6AD9D906E18A}"/>
    <hyperlink ref="W9" r:id="rId12" xr:uid="{B7FF9120-1FAF-1C4B-B7D3-A8CACCDF7DA8}"/>
    <hyperlink ref="J10" r:id="rId13" xr:uid="{7EE96133-ADBF-3842-8639-CF81A58A007D}"/>
    <hyperlink ref="W10" r:id="rId14" xr:uid="{08304FD3-7C7E-DD46-9768-C5AC501D956E}"/>
    <hyperlink ref="J11" r:id="rId15" xr:uid="{441D80E9-2B59-F34A-BC6D-C3290CBF1766}"/>
    <hyperlink ref="W11" r:id="rId16" xr:uid="{607DC5B7-8729-C04B-9807-2E430B37A3A9}"/>
    <hyperlink ref="J12" r:id="rId17" xr:uid="{66CF20AA-A4B2-064A-9CCD-D84AB71CEF4A}"/>
    <hyperlink ref="J13" r:id="rId18" xr:uid="{4C739A3D-A9A7-6543-B8CB-CFCE6BDFF467}"/>
    <hyperlink ref="W13" r:id="rId19" xr:uid="{2F1BF424-E357-9845-B823-B2DA5917A35E}"/>
    <hyperlink ref="J14" r:id="rId20" xr:uid="{DEFC0E86-3715-9949-A4B7-9BFC300152C8}"/>
    <hyperlink ref="W14" r:id="rId21" xr:uid="{8F664A05-C337-8C4C-854E-161C2FF993B7}"/>
    <hyperlink ref="J15" r:id="rId22" xr:uid="{21E2F4E8-1408-5E4B-8ACC-4C2F2D0406B5}"/>
    <hyperlink ref="J16" r:id="rId23" xr:uid="{212333E8-C2DC-9B48-804F-E10154C649FC}"/>
    <hyperlink ref="J17" r:id="rId24" xr:uid="{31102556-9B61-8640-9C94-6BCBCCDA5E4B}"/>
    <hyperlink ref="W17" r:id="rId25" xr:uid="{746564B7-C42A-C840-BEAE-DCED5052052D}"/>
    <hyperlink ref="J18" r:id="rId26" xr:uid="{74E89C3A-2A42-354C-9974-5A7D9A04F087}"/>
    <hyperlink ref="W18" r:id="rId27" xr:uid="{4CF69C5A-D8DD-DA4D-B9D2-339F23FDB590}"/>
    <hyperlink ref="J19" r:id="rId28" xr:uid="{97EAA0C2-4A0F-C24C-A36D-4108B5B75E89}"/>
    <hyperlink ref="W19" r:id="rId29" xr:uid="{E6269DE1-BDCC-4B40-B4A8-6677B1A7F0CA}"/>
    <hyperlink ref="J20" r:id="rId30" xr:uid="{8AABF372-DC78-3E44-A8E3-9ACAB0CEAEDE}"/>
    <hyperlink ref="W20" r:id="rId31" xr:uid="{CB06B058-0518-B044-8A7B-C6BF854D5F50}"/>
    <hyperlink ref="J21" r:id="rId32" xr:uid="{1CEAE0DE-E67D-2748-9451-6C0B0B2972E2}"/>
    <hyperlink ref="J22" r:id="rId33" xr:uid="{BEA0D34F-D82A-EB47-B107-871412251B81}"/>
    <hyperlink ref="J23" r:id="rId34" xr:uid="{3A379E0B-9EDE-9844-85B6-6EDD3B2E6448}"/>
    <hyperlink ref="W23" r:id="rId35" xr:uid="{71A564A7-9B0C-4944-A4D1-6ED1B9C0BE30}"/>
    <hyperlink ref="J24" r:id="rId36" xr:uid="{35A14473-88C4-CC4A-BDE3-381B76ACAA45}"/>
    <hyperlink ref="W24" r:id="rId37" xr:uid="{44B2D2F4-AFE6-3541-93E2-3DC78E98FD07}"/>
    <hyperlink ref="J25" r:id="rId38" xr:uid="{84F6AE49-770E-5445-9B32-3E4E0C12248C}"/>
    <hyperlink ref="W25" r:id="rId39" xr:uid="{B1FAEFAD-8D1F-DF4E-9D4F-08BD3CE8E2CB}"/>
    <hyperlink ref="J26" r:id="rId40" xr:uid="{5002A9A1-E8D0-2442-B384-BE5BBA3B361B}"/>
    <hyperlink ref="W26" r:id="rId41" xr:uid="{75798893-0617-D543-8F64-87D8C859744F}"/>
    <hyperlink ref="J27" r:id="rId42" xr:uid="{0E7B8FC6-500A-8548-B0F2-ADCEBB8D35F0}"/>
    <hyperlink ref="W27" r:id="rId43" xr:uid="{BE3ACD68-A01B-D74E-AC81-0968D880E934}"/>
    <hyperlink ref="J28" r:id="rId44" xr:uid="{45D7F9E9-8FF8-CD48-8FC4-D6B3A59AA084}"/>
    <hyperlink ref="W28" r:id="rId45" xr:uid="{C575CA7A-1281-6944-BDC2-4401C8F38653}"/>
    <hyperlink ref="J29" r:id="rId46" xr:uid="{186D58DC-EAA4-F44F-B74E-4740D6582431}"/>
    <hyperlink ref="J30" r:id="rId47" xr:uid="{5173CAC2-A963-364C-AAB7-9972E137DB61}"/>
    <hyperlink ref="W30" r:id="rId48" xr:uid="{4889B8D3-A374-3E4B-B4EF-E5640E9E70EB}"/>
    <hyperlink ref="J31" r:id="rId49" xr:uid="{F4EF864B-71E1-124E-8955-7D1D59D288F8}"/>
    <hyperlink ref="W31" r:id="rId50" xr:uid="{297B55E2-649B-C047-B3C3-F96AEC85154B}"/>
    <hyperlink ref="J32" r:id="rId51" xr:uid="{A497877C-A6FB-6D4A-8AE0-D07C4128E14B}"/>
    <hyperlink ref="W32" r:id="rId52" xr:uid="{E70441A9-58E1-DA4D-918A-085AB65F250B}"/>
    <hyperlink ref="J33" r:id="rId53" xr:uid="{D91BA2C7-326E-0B47-B30B-8E39D01F5A19}"/>
    <hyperlink ref="W33" r:id="rId54" xr:uid="{873FC65A-15A4-744E-BB81-D3C1760E11DF}"/>
    <hyperlink ref="J34" r:id="rId55" xr:uid="{278603E6-0A59-A441-8C68-F86E17162155}"/>
    <hyperlink ref="J35" r:id="rId56" xr:uid="{F2E92F36-9157-5B41-B851-E98029BBA728}"/>
    <hyperlink ref="J36" r:id="rId57" xr:uid="{744D0BA1-A9B1-F248-9957-A3AD63550AE0}"/>
    <hyperlink ref="W36" r:id="rId58" xr:uid="{2906BA35-BB1D-F049-837E-6AFA28562407}"/>
    <hyperlink ref="J37" r:id="rId59" xr:uid="{7B588FAF-92D0-4047-BAFE-A0C19084C9A0}"/>
    <hyperlink ref="W37" r:id="rId60" xr:uid="{0D5D9DA7-AC5C-794A-8B00-182026E0778E}"/>
    <hyperlink ref="J38" r:id="rId61" xr:uid="{F51204AF-B5DA-7F49-BCB9-513C74E964A6}"/>
    <hyperlink ref="W38" r:id="rId62" xr:uid="{2C0923F6-5AAC-9741-8579-BF79B75BD6BB}"/>
    <hyperlink ref="J39" r:id="rId63" xr:uid="{D0161B94-5BBE-5D45-AF19-243255E1707D}"/>
    <hyperlink ref="W39" r:id="rId64" xr:uid="{56AA9E84-F438-D147-AB09-3948C662ECFD}"/>
    <hyperlink ref="J40" r:id="rId65" xr:uid="{B1D8CB04-750A-F441-AE22-D14F94D19ECA}"/>
    <hyperlink ref="J41" r:id="rId66" xr:uid="{D8F4D213-BC25-F343-BFF8-9CF30E3C8944}"/>
    <hyperlink ref="W41" r:id="rId67" xr:uid="{4CED4CB5-6E2D-A447-9802-8C451F1404BC}"/>
    <hyperlink ref="J42" r:id="rId68" xr:uid="{6A8D7113-B832-CF40-80C0-01C907CFC492}"/>
    <hyperlink ref="J43" r:id="rId69" xr:uid="{E88FA53E-96B5-3D49-9E09-03D26D4C63BA}"/>
    <hyperlink ref="W43" r:id="rId70" xr:uid="{B8583EF2-B840-154E-A540-B9407F6AD530}"/>
    <hyperlink ref="J44" r:id="rId71" xr:uid="{0AA45EFF-14CF-8045-870A-5AC5B8DC33D7}"/>
    <hyperlink ref="W44" r:id="rId72" xr:uid="{9D5DF36D-4422-C945-A647-DDD1B9472453}"/>
    <hyperlink ref="J45" r:id="rId73" xr:uid="{55982DD0-60F1-8448-8493-606C249F574E}"/>
    <hyperlink ref="J46" r:id="rId74" xr:uid="{8C44E15D-AE2B-A547-9D3B-BC799332B24C}"/>
    <hyperlink ref="J47" r:id="rId75" xr:uid="{3E8E76B9-5ECF-7B4B-B977-AC3FFE36C44B}"/>
    <hyperlink ref="W47" r:id="rId76" xr:uid="{1EAD1456-DEA6-F04B-A466-718353017514}"/>
    <hyperlink ref="J48" r:id="rId77" xr:uid="{4E76D5BE-7E04-7048-B6F5-2687C044C0FF}"/>
    <hyperlink ref="W48" r:id="rId78" xr:uid="{A9EC9786-896C-4543-84CA-9D512AEDAB37}"/>
    <hyperlink ref="J49" r:id="rId79" xr:uid="{EC03981A-5BFD-8549-8EC3-283D92D2CE38}"/>
    <hyperlink ref="W49" r:id="rId80" xr:uid="{B8309967-8251-FA47-89FA-952548D5AD7A}"/>
    <hyperlink ref="J50" r:id="rId81" xr:uid="{81029DD8-7AC5-6B4F-ACD5-E65289894446}"/>
    <hyperlink ref="W50" r:id="rId82" xr:uid="{AF3ACE2C-8A3A-E646-8910-445B0B7A649E}"/>
    <hyperlink ref="J51" r:id="rId83" xr:uid="{65E8C136-01E5-7C40-83FF-792D55E0CF95}"/>
    <hyperlink ref="W51" r:id="rId84" xr:uid="{28E4B6A9-2DB4-0342-BA34-8E23EFE20DB9}"/>
    <hyperlink ref="J52" r:id="rId85" xr:uid="{4597EF4C-4CDF-8B40-A55E-C0FF279148E1}"/>
    <hyperlink ref="W52" r:id="rId86" xr:uid="{2C5CDDC2-CB41-784B-AAAF-DAD18370D46B}"/>
    <hyperlink ref="J53" r:id="rId87" xr:uid="{98F8DA74-0AB5-A441-815A-AFC8E2B06A78}"/>
    <hyperlink ref="J54" r:id="rId88" xr:uid="{5BEF0F2C-E364-ED42-9D7E-5A01C0152EE7}"/>
    <hyperlink ref="W54" r:id="rId89" xr:uid="{52BFF6D3-7000-9A41-BF15-822467056F76}"/>
    <hyperlink ref="J55" r:id="rId90" xr:uid="{75709D6B-3F82-1741-B6AC-C4CCF64D156B}"/>
    <hyperlink ref="W55" r:id="rId91" xr:uid="{6A9C08FB-84BC-EA4F-9795-7D5D197B67E6}"/>
    <hyperlink ref="J56" r:id="rId92" xr:uid="{C0B36CB8-A0A6-6A46-B6BB-E89CDB00DE8C}"/>
    <hyperlink ref="W56" r:id="rId93" xr:uid="{BD517CC4-A122-F14C-8761-52A8BE543046}"/>
    <hyperlink ref="J57" r:id="rId94" xr:uid="{B7F242C5-331E-1847-85F8-A4F0022E589F}"/>
    <hyperlink ref="W57" r:id="rId95" xr:uid="{B546BD65-A938-BC4C-8AAE-5BCB77B75562}"/>
    <hyperlink ref="J58" r:id="rId96" xr:uid="{5DDCE889-8033-9947-BAA5-E718C00A3530}"/>
    <hyperlink ref="W58" r:id="rId97" xr:uid="{EFCED16C-B0DE-EF48-86F9-E8E5C50D062D}"/>
    <hyperlink ref="J59" r:id="rId98" xr:uid="{98AA0C71-C5CC-3B4A-A7C8-BFA2B133E886}"/>
    <hyperlink ref="J60" r:id="rId99" xr:uid="{32282F66-70EE-CD4D-AB29-326C307A1A83}"/>
    <hyperlink ref="W60" r:id="rId100" xr:uid="{0F73EEBD-0C04-904F-825A-BCB9C7024074}"/>
    <hyperlink ref="J61" r:id="rId101" xr:uid="{710FB7EE-058B-A94B-925B-7F81815E6721}"/>
    <hyperlink ref="W61" r:id="rId102" xr:uid="{52E7D080-37FB-0543-A835-4CB4A17BC088}"/>
    <hyperlink ref="J62" r:id="rId103" xr:uid="{D60007C4-9A4A-C249-9065-EA68C7E2C4FA}"/>
    <hyperlink ref="J63" r:id="rId104" xr:uid="{093ACC63-5A68-1F49-A557-D77302B3063A}"/>
    <hyperlink ref="W63" r:id="rId105" xr:uid="{65A10C11-937C-AB43-BF64-983EBBDA19FD}"/>
    <hyperlink ref="J64" r:id="rId106" xr:uid="{60942025-F741-5E46-9872-BFAAC9033864}"/>
    <hyperlink ref="J65" r:id="rId107" xr:uid="{65D7068B-4ACE-864A-9C2B-5031C166FE14}"/>
    <hyperlink ref="J66" r:id="rId108" xr:uid="{FCC97495-3E6C-314E-A7AB-736D9DB778D6}"/>
    <hyperlink ref="W66" r:id="rId109" xr:uid="{5772E1D4-4C38-9347-B76D-C501F37F0342}"/>
    <hyperlink ref="J67" r:id="rId110" xr:uid="{D5BC165D-C537-D042-8A80-15BACE626EF7}"/>
    <hyperlink ref="W67" r:id="rId111" xr:uid="{CA613EF3-9E8A-2D49-8AF0-A6B3324F1186}"/>
    <hyperlink ref="J68" r:id="rId112" xr:uid="{99EAD63A-BC45-794A-AF72-779C879BB587}"/>
    <hyperlink ref="W68" r:id="rId113" xr:uid="{DF196BFA-3CE9-AC43-BEAE-53B7BBE2FA46}"/>
    <hyperlink ref="J69" r:id="rId114" xr:uid="{12733424-74F6-854C-8797-7D66331A0337}"/>
    <hyperlink ref="W69" r:id="rId115" xr:uid="{2E0CD19D-A216-2548-B33C-2380D1416EB0}"/>
    <hyperlink ref="J70" r:id="rId116" xr:uid="{92C7F8CF-05C9-CC46-8D69-1FD6934FF1DC}"/>
    <hyperlink ref="W70" r:id="rId117" xr:uid="{1370A4CA-FC20-C54E-9716-57D43BC8978B}"/>
    <hyperlink ref="J71" r:id="rId118" xr:uid="{D6ACDE3D-6F3D-1141-B40A-C7129A56AAF7}"/>
    <hyperlink ref="W71" r:id="rId119" xr:uid="{96EC1A7E-7562-404E-BC3B-4150296F97E6}"/>
    <hyperlink ref="J72" r:id="rId120" xr:uid="{CEF67C71-F2F6-FA40-ADAD-979794EC6D95}"/>
    <hyperlink ref="W72" r:id="rId121" xr:uid="{D1778B1E-1D05-AA4D-8156-8C50C3A98874}"/>
    <hyperlink ref="J73" r:id="rId122" xr:uid="{033EE6C6-2F38-BB4D-A105-521E5B276E16}"/>
    <hyperlink ref="W73" r:id="rId123" xr:uid="{1F9346DC-4FDD-3C48-8917-7D7D7281D948}"/>
    <hyperlink ref="J74" r:id="rId124" xr:uid="{91C77A9C-83D6-294F-91F2-07749E1995CA}"/>
    <hyperlink ref="W74" r:id="rId125" xr:uid="{D77A1E78-C16D-E748-AD8C-96FEED2F604A}"/>
    <hyperlink ref="J75" r:id="rId126" xr:uid="{15487817-1CDE-064D-B4C1-B448208FF668}"/>
    <hyperlink ref="W75" r:id="rId127" xr:uid="{3F92B4B3-FFA8-E445-AF84-7F748171FF34}"/>
    <hyperlink ref="J76" r:id="rId128" xr:uid="{7044C832-AA15-924A-A664-0AE04DB42A85}"/>
    <hyperlink ref="W76" r:id="rId129" xr:uid="{103D2E7A-8D1B-264A-8624-F1B4CCB0EAF6}"/>
    <hyperlink ref="J77" r:id="rId130" xr:uid="{68B06698-0F38-3A42-8439-3722D2009FE0}"/>
    <hyperlink ref="W77" r:id="rId131" xr:uid="{077DBDEF-AEBA-E44E-9243-F4BF4BB3EE49}"/>
    <hyperlink ref="J78" r:id="rId132" xr:uid="{187E3AFC-5CBA-F641-A2E4-52BBCD64E50E}"/>
    <hyperlink ref="W78" r:id="rId133" xr:uid="{F6B582ED-F261-9F48-B73C-FE3CE2BB6975}"/>
    <hyperlink ref="J79" r:id="rId134" xr:uid="{0B4EDED8-74D9-5C45-A8FC-8F5D00FC51D9}"/>
    <hyperlink ref="W79" r:id="rId135" xr:uid="{F31D0E96-7D1E-D04E-8E43-F574B033703A}"/>
    <hyperlink ref="J80" r:id="rId136" xr:uid="{F160A8CD-450C-2247-A79A-89D25475CD60}"/>
    <hyperlink ref="W80" r:id="rId137" xr:uid="{07A9807F-995D-3240-B3A9-2451FCC7B262}"/>
    <hyperlink ref="J81" r:id="rId138" xr:uid="{0F6F33B4-F30C-5A43-877C-9F515BC31F64}"/>
    <hyperlink ref="W81" r:id="rId139" xr:uid="{16DDBDE0-F1EA-924E-86F3-F76E79E97D29}"/>
    <hyperlink ref="J82" r:id="rId140" xr:uid="{D501683A-2B9C-9F4A-AE0C-1018F51754F8}"/>
    <hyperlink ref="J83" r:id="rId141" xr:uid="{10DED921-5378-304C-A92C-75887600C48B}"/>
    <hyperlink ref="W83" r:id="rId142" xr:uid="{B92AF438-1C40-DC46-B6FD-D5923C0D8275}"/>
    <hyperlink ref="J84" r:id="rId143" xr:uid="{446E5AB2-387B-104C-B569-9A2ED0F142A2}"/>
    <hyperlink ref="W84" r:id="rId144" xr:uid="{3857A987-EA2B-B44B-AC49-2F1995D770E9}"/>
    <hyperlink ref="J85" r:id="rId145" xr:uid="{49748AAA-F169-2842-8476-90838F23F4DD}"/>
    <hyperlink ref="W85" r:id="rId146" xr:uid="{DCBAAD71-9C29-2B40-BA30-43F7BD2D30A2}"/>
    <hyperlink ref="J86" r:id="rId147" xr:uid="{0B885D65-F5DC-9C4F-83B5-EC609FB1122C}"/>
    <hyperlink ref="W86" r:id="rId148" xr:uid="{D56C8220-B88C-864B-ACDB-BD7A6460ABD5}"/>
    <hyperlink ref="J87" r:id="rId149" xr:uid="{3DB2D685-D65E-D54D-AC0B-79525744C912}"/>
    <hyperlink ref="W87" r:id="rId150" xr:uid="{0C4349FE-8C05-2C42-8C23-BEC68D1EEDAC}"/>
    <hyperlink ref="J88" r:id="rId151" xr:uid="{D561380F-6071-BC48-9197-8784E0B6E936}"/>
    <hyperlink ref="W88" r:id="rId152" xr:uid="{0C24B53A-43B9-CE46-A3C2-357286053D4C}"/>
    <hyperlink ref="J89" r:id="rId153" xr:uid="{27D622B1-463D-8D44-88BB-4E60850947FA}"/>
    <hyperlink ref="W89" r:id="rId154" xr:uid="{43AED6E2-BA86-7B44-9469-DB96D20C0EF4}"/>
    <hyperlink ref="J90" r:id="rId155" xr:uid="{837B3D86-C61F-F747-BDB9-9D040009E71E}"/>
    <hyperlink ref="W90" r:id="rId156" xr:uid="{93A227EB-273D-5341-9FAB-1DA12F5CC65F}"/>
    <hyperlink ref="J91" r:id="rId157" xr:uid="{75C3BFAF-C5BA-184B-AA3C-6110F36B82A4}"/>
    <hyperlink ref="J92" r:id="rId158" xr:uid="{91FF4D53-7103-0840-ACDF-49AB9B98E401}"/>
    <hyperlink ref="W92" r:id="rId159" xr:uid="{6E0C4FF4-2992-5E46-B1AC-9C4B3BCA6541}"/>
    <hyperlink ref="J93" r:id="rId160" xr:uid="{D6120898-DEB4-E541-8F5E-5C934A117D62}"/>
    <hyperlink ref="W93" r:id="rId161" xr:uid="{E79A9430-763C-5442-8F89-D0FA73AB4D35}"/>
    <hyperlink ref="J94" r:id="rId162" xr:uid="{ED7D16E9-9CF2-1145-BCC6-09819FAB0C5A}"/>
    <hyperlink ref="W94" r:id="rId163" xr:uid="{02B4CB30-BFF4-EC40-8A41-7B7E23607979}"/>
    <hyperlink ref="J95" r:id="rId164" xr:uid="{1C645042-D6F3-1842-BC59-8E3EDCE8D57F}"/>
    <hyperlink ref="W95" r:id="rId165" xr:uid="{39DF5E51-54C9-E944-886B-F7FEC8840D67}"/>
    <hyperlink ref="J96" r:id="rId166" xr:uid="{A6D4E432-62FB-0048-BDF3-AFBD5E42C2CB}"/>
    <hyperlink ref="W96" r:id="rId167" xr:uid="{52EBDDCB-75D5-5C45-9AAA-18E71DAF7EC2}"/>
    <hyperlink ref="J97" r:id="rId168" xr:uid="{F5D6B49D-F26D-3B43-B6C8-88B56E952445}"/>
    <hyperlink ref="W97" r:id="rId169" xr:uid="{C7D2F259-DA50-0344-9CED-706843B2AAAD}"/>
    <hyperlink ref="J98" r:id="rId170" xr:uid="{457CAC7F-2093-FA4C-8C0D-8F92F27F1E66}"/>
    <hyperlink ref="W98" r:id="rId171" xr:uid="{B83BFC62-7602-CB46-AD8F-2D55EE2515AA}"/>
    <hyperlink ref="J99" r:id="rId172" xr:uid="{F86B1161-90ED-6047-A4A8-292902D6414E}"/>
    <hyperlink ref="W99" r:id="rId173" xr:uid="{B24047CF-AD5B-BD4C-A4B7-7EB5C68BD310}"/>
    <hyperlink ref="J100" r:id="rId174" xr:uid="{1558D4EE-1EDA-A646-9AEE-4D9432CCFC93}"/>
    <hyperlink ref="W100" r:id="rId175" xr:uid="{553C1AAF-8CA3-BD4E-84C0-7AF23652B8B6}"/>
    <hyperlink ref="J101" r:id="rId176" xr:uid="{35BD3098-8A6D-834C-946F-757B1A080232}"/>
    <hyperlink ref="W101" r:id="rId177" xr:uid="{719DE85A-0B97-EA4F-A92D-7480598E157F}"/>
    <hyperlink ref="J102" r:id="rId178" xr:uid="{9AF53A99-1433-364A-B983-A98D69E822EC}"/>
    <hyperlink ref="W102" r:id="rId179" xr:uid="{4F4E4525-FDA0-6B48-B234-6756D120AE28}"/>
    <hyperlink ref="J103" r:id="rId180" xr:uid="{FDC7828F-6058-9C4B-A9DF-B0468B5070FD}"/>
    <hyperlink ref="W103" r:id="rId181" xr:uid="{196025D7-E7E8-9948-9DF8-BC77E5C1F900}"/>
    <hyperlink ref="J104" r:id="rId182" xr:uid="{54F867B6-62BF-DC4B-B1BE-716915C8A956}"/>
    <hyperlink ref="W104" r:id="rId183" xr:uid="{85B2E8FE-72BD-8F40-8E59-3C1B1F4C195B}"/>
    <hyperlink ref="J105" r:id="rId184" xr:uid="{0DD0AA64-0202-AD4E-84E2-A87A3624F977}"/>
    <hyperlink ref="W105" r:id="rId185" xr:uid="{BC4D9473-4A91-E748-A64D-10F4A1E4FA5A}"/>
    <hyperlink ref="J106" r:id="rId186" xr:uid="{0A80F025-9DFC-934A-9D54-F8106CB89F27}"/>
    <hyperlink ref="W106" r:id="rId187" xr:uid="{B60DB1B8-339E-9144-9D00-66CD77FB042F}"/>
    <hyperlink ref="J107" r:id="rId188" xr:uid="{EECD4CDB-1EC3-CC4A-8CDC-071B3F4B5DE3}"/>
    <hyperlink ref="W107" r:id="rId189" xr:uid="{471786F6-BA0E-CC41-88CC-03DBF12B1F52}"/>
    <hyperlink ref="J108" r:id="rId190" xr:uid="{201D79B8-E0B6-E749-92E2-FD3AD4245E61}"/>
    <hyperlink ref="W108" r:id="rId191" xr:uid="{71BC84FA-DF89-EF4D-8E5F-94A0C0C98F29}"/>
    <hyperlink ref="J109" r:id="rId192" xr:uid="{131685FC-0159-CD49-B6C9-67C777AFE82B}"/>
    <hyperlink ref="W109" r:id="rId193" xr:uid="{4E1C18C7-9142-5A48-9B33-B54D28C853E7}"/>
    <hyperlink ref="J110" r:id="rId194" xr:uid="{5199C3B2-FECD-1C4C-9A5E-84C6B2BF21C9}"/>
    <hyperlink ref="W110" r:id="rId195" xr:uid="{253D32DE-9323-0848-BF2A-94FFB9A6811F}"/>
    <hyperlink ref="J111" r:id="rId196" xr:uid="{6C689E7B-DDFF-4849-9F77-B64D35784EFB}"/>
    <hyperlink ref="W111" r:id="rId197" xr:uid="{D1F51827-2A18-5B4E-AAF3-F7EF6797FE05}"/>
    <hyperlink ref="J112" r:id="rId198" xr:uid="{94B33ABA-46EF-094A-A6FB-BC3CC26F5B40}"/>
    <hyperlink ref="W112" r:id="rId199" xr:uid="{9E4793A7-7726-CC4C-AA36-283E41CC11A3}"/>
    <hyperlink ref="J113" r:id="rId200" xr:uid="{2DF925AD-B3D9-BA4E-931B-661870FDDED1}"/>
    <hyperlink ref="J114" r:id="rId201" xr:uid="{D8930035-D6B7-3D4E-B883-CEEE976159C8}"/>
    <hyperlink ref="W114" r:id="rId202" xr:uid="{303085BF-3F4C-5249-9264-A63FFDD6FEE2}"/>
    <hyperlink ref="J115" r:id="rId203" xr:uid="{8123C0AE-5073-1447-9033-880BF7108289}"/>
    <hyperlink ref="J116" r:id="rId204" xr:uid="{6CC1C860-F775-8641-A31D-EBFE37A5CC28}"/>
    <hyperlink ref="W116" r:id="rId205" xr:uid="{8D0A82FB-A592-5443-9874-4C28A2432715}"/>
    <hyperlink ref="J117" r:id="rId206" xr:uid="{0C2BAC3A-357A-2146-A387-EB4B18E60779}"/>
    <hyperlink ref="W117" r:id="rId207" xr:uid="{4E26C7CA-E324-2243-833C-8CA5D0390C1F}"/>
    <hyperlink ref="J118" r:id="rId208" xr:uid="{710179DC-247C-F748-90A8-75C1ECEF00C5}"/>
    <hyperlink ref="W118" r:id="rId209" xr:uid="{B4772E54-950B-D544-921C-D4A3961EA087}"/>
    <hyperlink ref="J119" r:id="rId210" xr:uid="{151F6154-A2A8-8448-8A06-EA3994234076}"/>
    <hyperlink ref="W119" r:id="rId211" xr:uid="{7DBD85E1-56B2-8148-A5CC-2F03C3F7F917}"/>
    <hyperlink ref="J120" r:id="rId212" xr:uid="{7F5CC816-CCD6-6D45-939E-84AC7B173914}"/>
    <hyperlink ref="W120" r:id="rId213" xr:uid="{9B3078ED-15BA-D341-9F91-7DC9A093E4E3}"/>
    <hyperlink ref="J121" r:id="rId214" xr:uid="{9ED61E6A-F07C-D54F-B7C0-A37138A4D460}"/>
    <hyperlink ref="W121" r:id="rId215" xr:uid="{FBD7C3F6-F483-F748-8E14-10196DB1D6BA}"/>
    <hyperlink ref="J122" r:id="rId216" xr:uid="{622B4739-A30D-4246-BFA2-5DACDDD073AC}"/>
    <hyperlink ref="W122" r:id="rId217" xr:uid="{432B3DEA-C8CB-0D46-8CC0-148D2655C33E}"/>
    <hyperlink ref="J123" r:id="rId218" xr:uid="{3CCB913E-3F31-5743-860D-E7CB4575302B}"/>
    <hyperlink ref="W123" r:id="rId219" xr:uid="{FE0AE25D-6F1A-E941-A736-F3FA4D0EB9BC}"/>
    <hyperlink ref="J124" r:id="rId220" xr:uid="{A15A42A4-786C-A34A-B158-6AE8BB0770C4}"/>
    <hyperlink ref="J125" r:id="rId221" xr:uid="{497339C3-736C-A24B-9EB4-D7E1C777F22F}"/>
    <hyperlink ref="W125" r:id="rId222" xr:uid="{C5E8CC12-B00B-204C-8025-5671C0A30018}"/>
    <hyperlink ref="J126" r:id="rId223" xr:uid="{9DBBC40D-51F6-F245-B4FC-9ECEEB6F3088}"/>
    <hyperlink ref="W126" r:id="rId224" xr:uid="{801C44C0-43BC-AB4D-92ED-0B179F09B6C0}"/>
    <hyperlink ref="J127" r:id="rId225" xr:uid="{F392C455-788F-FA4A-B44B-50E189060ABF}"/>
    <hyperlink ref="W127" r:id="rId226" xr:uid="{9BCA207A-0871-4846-B3FC-86E5D041357E}"/>
    <hyperlink ref="J128" r:id="rId227" xr:uid="{EA14ADD6-ABAD-BB4A-B348-F1C25235E2F6}"/>
    <hyperlink ref="W128" r:id="rId228" xr:uid="{36B0C7E1-7C1B-BB4F-9B88-60C339A57E39}"/>
    <hyperlink ref="J129" r:id="rId229" xr:uid="{482F2E2F-AB76-124D-95CF-BE3DEE6619B8}"/>
    <hyperlink ref="W129" r:id="rId230" xr:uid="{A86249A0-E542-E045-AF2C-3D5EA7F60B80}"/>
    <hyperlink ref="J130" r:id="rId231" xr:uid="{8D78AF73-57C9-EB48-BE69-088CA0D4FC85}"/>
    <hyperlink ref="W130" r:id="rId232" xr:uid="{BACC9121-800F-B04F-B33D-9E9FA11B66CB}"/>
    <hyperlink ref="J131" r:id="rId233" xr:uid="{1574BBCE-733F-A14C-9F1A-5437E9C44544}"/>
    <hyperlink ref="J132" r:id="rId234" xr:uid="{9B7A39AD-8FD2-0F41-9E30-25B9631E90A4}"/>
    <hyperlink ref="J133" r:id="rId235" xr:uid="{6C94EE56-01A2-164D-9ABC-FA5D7098360F}"/>
    <hyperlink ref="J134" r:id="rId236" xr:uid="{804C5B27-D5F4-CF43-AB01-383471A7CB63}"/>
    <hyperlink ref="W134" r:id="rId237" xr:uid="{234271EB-FAF9-EC4B-AF52-4CBB7B09C244}"/>
    <hyperlink ref="J135" r:id="rId238" xr:uid="{5041DE5E-AFBF-3A43-BA2E-728F01AC0E71}"/>
    <hyperlink ref="W135" r:id="rId239" xr:uid="{1E4D0B50-4187-AC42-B736-C8B741909113}"/>
    <hyperlink ref="J136" r:id="rId240" xr:uid="{DF3E046A-7E7D-8A47-8728-99ABF8231D05}"/>
    <hyperlink ref="W136" r:id="rId241" xr:uid="{B09FC37E-59F2-094B-B7B7-DF3EF309F926}"/>
    <hyperlink ref="J137" r:id="rId242" xr:uid="{9DFBB56C-1A51-1B49-84EC-D64F2FFBCD35}"/>
    <hyperlink ref="W137" r:id="rId243" xr:uid="{679A8763-9FCA-1742-92A1-EA2BB5B9A6DE}"/>
    <hyperlink ref="J138" r:id="rId244" xr:uid="{EDEB2B5E-3F3D-CE4A-A6CD-A5B5E6DD7AA2}"/>
    <hyperlink ref="W138" r:id="rId245" xr:uid="{77EC4E1C-766A-2D42-B83B-DA69D2A6A2A3}"/>
    <hyperlink ref="J139" r:id="rId246" xr:uid="{F87F5E4A-B5B4-624E-9481-C86B1E818CF7}"/>
    <hyperlink ref="J140" r:id="rId247" xr:uid="{97B7110F-EFF4-2245-8FEC-F5764E3B99DC}"/>
    <hyperlink ref="W140" r:id="rId248" xr:uid="{058436AB-7961-E644-9E6E-77CEFC0C41E9}"/>
    <hyperlink ref="J141" r:id="rId249" xr:uid="{B892E437-6765-5946-AEA0-6910DFA0A8C1}"/>
    <hyperlink ref="J142" r:id="rId250" xr:uid="{1A33A193-EF14-1B40-888A-8D4AFC4AB5A4}"/>
    <hyperlink ref="J143" r:id="rId251" xr:uid="{3F0CFD3C-B1AE-0F4C-A34E-BDAD3DC7DBD8}"/>
    <hyperlink ref="J144" r:id="rId252" xr:uid="{CA8340B9-192C-5E4F-99BB-AF42D75FA3E5}"/>
    <hyperlink ref="J145" r:id="rId253" xr:uid="{690A4117-7DD0-4A4A-9D8B-4528C14C5D98}"/>
    <hyperlink ref="W145" r:id="rId254" xr:uid="{64771952-42A9-4843-8848-20992812DE8F}"/>
    <hyperlink ref="J146" r:id="rId255" xr:uid="{F4573F61-F003-2E41-BEB4-6C03B2752526}"/>
    <hyperlink ref="W146" r:id="rId256" xr:uid="{6857BBA1-5DDD-3E4D-B9FE-58DC879588C6}"/>
    <hyperlink ref="J147" r:id="rId257" xr:uid="{133653DC-A9E1-8D49-A2E5-8B5849AB54F7}"/>
    <hyperlink ref="J148" r:id="rId258" xr:uid="{45C2B994-0526-4C4F-8F33-CF4CBBAEA3E6}"/>
    <hyperlink ref="W148" r:id="rId259" xr:uid="{C7CF53BF-F3EB-2F45-B997-F936B4C94373}"/>
    <hyperlink ref="J149" r:id="rId260" xr:uid="{7F227551-CC9B-4044-BFA7-F62DC29DF925}"/>
    <hyperlink ref="J150" r:id="rId261" xr:uid="{8D1C6826-AF4C-E64B-AC10-11CD4462F284}"/>
    <hyperlink ref="J151" r:id="rId262" xr:uid="{3C766835-4186-5640-8527-989BFDC33445}"/>
    <hyperlink ref="J152" r:id="rId263" xr:uid="{E65AA6E1-FAA5-9F44-87D2-ECC4581775DF}"/>
    <hyperlink ref="J153" r:id="rId264" xr:uid="{DA010061-A806-7A4E-B192-9A658D6F0A52}"/>
    <hyperlink ref="J154" r:id="rId265" xr:uid="{8C46E861-2A55-6840-B3C5-CB2B28B9F88B}"/>
    <hyperlink ref="J155" r:id="rId266" xr:uid="{0325C408-0951-824A-BE38-F573A611EDA7}"/>
    <hyperlink ref="J156" r:id="rId267" xr:uid="{B819BD2C-5304-8544-BD60-6264D2F9A308}"/>
    <hyperlink ref="J157" r:id="rId268" xr:uid="{B8B32DF2-FDB0-0747-81F0-A1FE17D52885}"/>
    <hyperlink ref="W157" r:id="rId269" xr:uid="{7F0C13FB-BEA1-D941-894D-5625E98567D7}"/>
    <hyperlink ref="J158" r:id="rId270" xr:uid="{B13C8810-739A-BF49-9FAF-8A3698B62B36}"/>
    <hyperlink ref="W158" r:id="rId271" xr:uid="{100C349D-8267-1846-9C24-F18C61E09082}"/>
    <hyperlink ref="J159" r:id="rId272" xr:uid="{9E20A050-97EF-D940-96BA-7474D4162402}"/>
    <hyperlink ref="J160" r:id="rId273" xr:uid="{7BD38A29-819E-A247-B509-7E125E8D5928}"/>
    <hyperlink ref="J161" r:id="rId274" xr:uid="{D41BC03C-E865-944F-B859-FE4BD676089B}"/>
    <hyperlink ref="J162" r:id="rId275" xr:uid="{CB67ECC8-B57C-4D4C-97A7-5660B9851089}"/>
    <hyperlink ref="J163" r:id="rId276" xr:uid="{B06DE883-A460-1C40-A45E-6235B50435E2}"/>
    <hyperlink ref="W163" r:id="rId277" xr:uid="{EB8AFD0B-DC29-8D49-9BB9-885774517B98}"/>
    <hyperlink ref="J164" r:id="rId278" xr:uid="{40FC1D33-A9EE-1249-8D47-F48BCA0D9E35}"/>
    <hyperlink ref="W164" r:id="rId279" xr:uid="{BF811406-F59E-E64B-BAAA-7583B041199D}"/>
    <hyperlink ref="J165" r:id="rId280" xr:uid="{D5384762-1A46-E84F-A6AA-1E9B003E3DCE}"/>
    <hyperlink ref="W165" r:id="rId281" xr:uid="{FE46FB0D-9A48-DE49-A89A-819A1599F790}"/>
    <hyperlink ref="J166" r:id="rId282" xr:uid="{B1F88159-CBCA-634E-A2D3-0070EB7C3E57}"/>
    <hyperlink ref="J167" r:id="rId283" xr:uid="{913C414B-5281-1747-AECE-E66403F64F00}"/>
    <hyperlink ref="W167" r:id="rId284" xr:uid="{BB014BDF-9CBD-1140-B820-BA28BDE80F61}"/>
    <hyperlink ref="J168" r:id="rId285" xr:uid="{5403A64F-6277-AB4B-B3D9-7C721C3B648C}"/>
    <hyperlink ref="J169" r:id="rId286" xr:uid="{62EA3837-6896-8B45-9A94-FE6858D5A69F}"/>
    <hyperlink ref="J170" r:id="rId287" xr:uid="{114EABA3-7582-8642-A33F-B828846EB608}"/>
    <hyperlink ref="J171" r:id="rId288" xr:uid="{F0D31955-6EF3-A940-A713-7B51FC7F6810}"/>
    <hyperlink ref="J172" r:id="rId289" xr:uid="{016CF48D-DB18-614E-B760-73BE6D3F9BA1}"/>
    <hyperlink ref="W172" r:id="rId290" xr:uid="{8CD3D144-EB2D-FD45-9D24-130788E9A6B2}"/>
    <hyperlink ref="J173" r:id="rId291" xr:uid="{32FACCA4-7931-D94C-B61B-9FBD7FB6703A}"/>
    <hyperlink ref="J174" r:id="rId292" xr:uid="{3E9D003A-C503-A148-B25F-715B993760F3}"/>
    <hyperlink ref="W174" r:id="rId293" xr:uid="{654D8CA6-3E27-EE4F-8986-9FC3A2FAEE67}"/>
    <hyperlink ref="J175" r:id="rId294" xr:uid="{DA008823-5980-1F4B-9AD6-2D56B748E4A0}"/>
    <hyperlink ref="J176" r:id="rId295" xr:uid="{2F1D28F9-72C4-EF42-9ACA-8195B2F7CE7A}"/>
    <hyperlink ref="J177" r:id="rId296" xr:uid="{AF980BE0-0D61-0540-B710-9E26DDCC6760}"/>
    <hyperlink ref="J178" r:id="rId297" xr:uid="{CC1216A0-9164-904E-AE5A-5B25E9B1265E}"/>
    <hyperlink ref="J179" r:id="rId298" xr:uid="{07D57305-67C7-8048-BEA7-4432F5DB9D74}"/>
    <hyperlink ref="J180" r:id="rId299" xr:uid="{856CBA03-5A8F-5040-9BB6-7B721DB72D6F}"/>
    <hyperlink ref="J181" r:id="rId300" xr:uid="{970CD508-7246-504D-BEDA-5DA5393DDAE6}"/>
    <hyperlink ref="W181" r:id="rId301" xr:uid="{E73BFCC7-EEC5-F04B-92AE-8B51833D2F50}"/>
    <hyperlink ref="J182" r:id="rId302" xr:uid="{FA2D4D9A-5698-CF4E-8034-DCDB1B6FFC95}"/>
    <hyperlink ref="J183" r:id="rId303" xr:uid="{7CA1C0A9-13A7-7341-9214-6B6DC790C113}"/>
    <hyperlink ref="J184" r:id="rId304" xr:uid="{D92CD168-BFA3-004E-956E-B09F15F64D43}"/>
    <hyperlink ref="J185" r:id="rId305" xr:uid="{EEF13E9F-6E72-B348-979A-2AF133E053BF}"/>
    <hyperlink ref="J186" r:id="rId306" xr:uid="{F5E635B5-0489-D147-99ED-264D493996FB}"/>
    <hyperlink ref="J187" r:id="rId307" xr:uid="{29CCB9B9-A8D9-9A4C-B76E-6F4B6FABAE6C}"/>
    <hyperlink ref="J188" r:id="rId308" xr:uid="{24C4A5CA-5E17-1A43-BC3E-DD0939688CE6}"/>
    <hyperlink ref="J189" r:id="rId309" xr:uid="{520A15D2-5291-2F47-B6EE-AE5F597C423B}"/>
    <hyperlink ref="J191" r:id="rId310" xr:uid="{F0501B81-7581-9C42-8DFD-78481C27B38A}"/>
    <hyperlink ref="J192" r:id="rId311" xr:uid="{DAA4AC68-C797-CE47-8307-65870E1CDEAD}"/>
    <hyperlink ref="J193" r:id="rId312" xr:uid="{A66AD07D-1E34-FD41-A56D-BF9C2B6E0F3A}"/>
    <hyperlink ref="J194" r:id="rId313" xr:uid="{23C8B591-FC4F-B248-AF6E-FEB17DA213AF}"/>
    <hyperlink ref="J195" r:id="rId314" xr:uid="{1F057F21-1D8A-6E44-9791-6E910B10A878}"/>
    <hyperlink ref="J196" r:id="rId315" xr:uid="{DA2614DD-5BA9-D84D-98C6-7B74CAD80CFE}"/>
    <hyperlink ref="J197" r:id="rId316" xr:uid="{578BDFA2-3E0D-5741-8E32-017AAEFC5C43}"/>
    <hyperlink ref="J198" r:id="rId317" xr:uid="{933EC8E0-C0C6-A14B-AA2E-DE2D59B573B4}"/>
    <hyperlink ref="J199" r:id="rId318" xr:uid="{473766DB-D5B8-614F-B889-53E960BD652D}"/>
    <hyperlink ref="J200" r:id="rId319" xr:uid="{77258B29-C960-DD47-BD5F-484997143B84}"/>
    <hyperlink ref="W200" r:id="rId320" xr:uid="{AB5E7EE5-3B7B-8741-A1B7-1B6441AE83AF}"/>
    <hyperlink ref="J201" r:id="rId321" xr:uid="{ECD50541-5F6A-434C-8CA0-E487AFF7A810}"/>
    <hyperlink ref="J202" r:id="rId322" xr:uid="{B42756A5-E3CD-9F44-9F9D-F0493FFF9266}"/>
    <hyperlink ref="W202" r:id="rId323" xr:uid="{E1821017-E3B2-2E40-9D7B-DFFE79B4C4FB}"/>
    <hyperlink ref="J203" r:id="rId324" xr:uid="{B36897FE-9CFB-B94F-861D-8F0DF4CEE0C4}"/>
    <hyperlink ref="J204" r:id="rId325" xr:uid="{665B408A-EB08-3F4F-A914-F59EB9549FD3}"/>
    <hyperlink ref="W204" r:id="rId326" xr:uid="{A91CBAA7-2236-DC43-9056-35127BE5717B}"/>
    <hyperlink ref="J205" r:id="rId327" xr:uid="{1322C308-93F9-2B4B-BD92-7BFCCA7A6142}"/>
    <hyperlink ref="W205" r:id="rId328" xr:uid="{F938E65F-37B5-BF48-920E-1336858493A5}"/>
    <hyperlink ref="J206" r:id="rId329" xr:uid="{576A1126-EC0D-CD48-A3BB-E089632D2356}"/>
    <hyperlink ref="W206" r:id="rId330" xr:uid="{366D016E-7300-6049-9C4B-35AC9F2F28F0}"/>
    <hyperlink ref="J207" r:id="rId331" xr:uid="{AFA9BC62-4E0E-1043-8B48-BA548428D8B3}"/>
    <hyperlink ref="W207" r:id="rId332" xr:uid="{728C0D1A-0A6E-CD4E-B4E2-D01D0D260468}"/>
    <hyperlink ref="AG207" r:id="rId333" xr:uid="{94D1AD95-80D9-D94A-8288-9B041B94B228}"/>
    <hyperlink ref="J208" r:id="rId334" xr:uid="{D8F1273A-195E-FD48-BF8F-F3331B4232B8}"/>
    <hyperlink ref="W208" r:id="rId335" xr:uid="{372C6C82-72B0-4D48-83C1-C4296DC7905A}"/>
    <hyperlink ref="AG208" r:id="rId336" xr:uid="{823D3BCF-01B8-2F48-94F2-8A6699CA8C89}"/>
    <hyperlink ref="J209" r:id="rId337" xr:uid="{03685A7D-4B75-6249-AEC8-4C516A8CF438}"/>
    <hyperlink ref="W209" r:id="rId338" xr:uid="{C26B48B7-9639-6348-83F3-25A170ACF911}"/>
    <hyperlink ref="J210" r:id="rId339" xr:uid="{B0887FA7-B1AE-5348-AC58-B4C3F61A8947}"/>
    <hyperlink ref="J211" r:id="rId340" xr:uid="{FAE5E9D7-B70B-9149-8D52-ACEE6FAE8A0B}"/>
    <hyperlink ref="W211" r:id="rId341" xr:uid="{37359903-654C-6A43-A0C3-77ADEB40EE71}"/>
    <hyperlink ref="J212" r:id="rId342" xr:uid="{44147E5D-B901-594A-A4BE-F2133DDB1D04}"/>
    <hyperlink ref="W212" r:id="rId343" xr:uid="{96B7B10E-6F31-8946-8DDE-CD5780A85AAE}"/>
    <hyperlink ref="J213" r:id="rId344" xr:uid="{5D1BE2BC-A8C0-0C49-9429-EF5D789F4B76}"/>
    <hyperlink ref="W213" r:id="rId345" xr:uid="{BE36276C-046D-6447-8361-EBB2E1D72594}"/>
    <hyperlink ref="J214" r:id="rId346" xr:uid="{3120FB42-D8E5-914B-A214-9582BB3AD11F}"/>
    <hyperlink ref="J215" r:id="rId347" xr:uid="{D3C62E52-C756-524D-8BDD-E54DD0AF1A59}"/>
    <hyperlink ref="J216" r:id="rId348" xr:uid="{755261E1-D493-CE4E-A9AB-7E09BBE89D8B}"/>
    <hyperlink ref="J217" r:id="rId349" xr:uid="{8EE3AC5E-4055-C548-A3BC-D5D865D4B764}"/>
    <hyperlink ref="W217" r:id="rId350" xr:uid="{D287BA59-475D-9248-80CE-E24DABAA9FB3}"/>
    <hyperlink ref="J218" r:id="rId351" xr:uid="{6F225BF3-24B3-6D45-90DE-19889C0A617B}"/>
    <hyperlink ref="J219" r:id="rId352" xr:uid="{129AFE9F-9227-294A-9BB2-F1E2A63FB74A}"/>
    <hyperlink ref="W219" r:id="rId353" xr:uid="{B92DC4E1-8540-864F-9EDA-37BDA8A88072}"/>
    <hyperlink ref="J220" r:id="rId354" xr:uid="{37530E7B-9553-614D-AF96-4ED7C4856F8D}"/>
    <hyperlink ref="W220" r:id="rId355" xr:uid="{D54842EC-5341-4640-BB8A-8C427451F6BE}"/>
    <hyperlink ref="J221" r:id="rId356" xr:uid="{68D495F1-10F3-3546-9085-66E62CADDEC4}"/>
    <hyperlink ref="W221" r:id="rId357" xr:uid="{69D9036E-5DAC-EF40-94D7-F55D28B403F4}"/>
    <hyperlink ref="J222" r:id="rId358" xr:uid="{769CEE64-C2EE-9548-81D1-E38FABEFC22E}"/>
    <hyperlink ref="J223" r:id="rId359" xr:uid="{7A88CBC1-E32B-934E-8969-F912DA824559}"/>
    <hyperlink ref="W223" r:id="rId360" xr:uid="{652A69AB-9491-E647-B9BF-161C9813544B}"/>
    <hyperlink ref="J224" r:id="rId361" xr:uid="{CB09DAA5-42CD-CF44-A9F4-A21E550D4A52}"/>
    <hyperlink ref="W224" r:id="rId362" xr:uid="{1508FE25-FD3D-A244-BCFF-AE9CF5B923B4}"/>
    <hyperlink ref="J225" r:id="rId363" xr:uid="{9450281F-63C3-424F-B376-899C256CA41F}"/>
    <hyperlink ref="W225" r:id="rId364" xr:uid="{95CF897C-6A5C-8A4B-BD27-48594CDE5B3F}"/>
    <hyperlink ref="J226" r:id="rId365" xr:uid="{83B00C2A-5C92-2446-9C50-DA0B938D0997}"/>
    <hyperlink ref="W226" r:id="rId366" xr:uid="{BC4AD271-150A-E047-B1FE-D98243ABFF8D}"/>
    <hyperlink ref="J227" r:id="rId367" xr:uid="{AC88FED3-A29F-2743-AA07-27539F24A610}"/>
    <hyperlink ref="W227" r:id="rId368" xr:uid="{9C706B41-CCF1-E349-A91A-2C1E7C0BD825}"/>
    <hyperlink ref="J228" r:id="rId369" xr:uid="{1C806432-616B-8D4A-9E8C-FBBD04645349}"/>
    <hyperlink ref="J229" r:id="rId370" xr:uid="{6F937DF3-E709-7C48-BB05-C52721CC24B4}"/>
    <hyperlink ref="W229" r:id="rId371" xr:uid="{2A9CB777-C3B6-B048-81C1-F84031C49A8B}"/>
    <hyperlink ref="J230" r:id="rId372" xr:uid="{B9ECD265-BA0C-7A41-9EC0-04797AD307AD}"/>
    <hyperlink ref="W230" r:id="rId373" xr:uid="{20DFD7C7-69C9-1843-9F40-4DDCC1BC9C74}"/>
    <hyperlink ref="J231" r:id="rId374" xr:uid="{D7C966DA-A2E8-5142-B187-661F31A9E56B}"/>
    <hyperlink ref="J232" r:id="rId375" xr:uid="{FF1E976E-71B3-4643-86B3-96BBAC973D5D}"/>
    <hyperlink ref="W232" r:id="rId376" xr:uid="{2D0A5B59-F3AD-CC42-8B8B-94FB2ACF570B}"/>
    <hyperlink ref="J233" r:id="rId377" xr:uid="{CBB8FFD0-5B61-6543-87D2-BEE8172CEDC6}"/>
    <hyperlink ref="J234" r:id="rId378" xr:uid="{90E9D0DF-F877-BA41-BB82-8B90EE9B5206}"/>
    <hyperlink ref="J235" r:id="rId379" xr:uid="{A56FEF1C-4877-674D-B4B9-99B2E8AB7109}"/>
    <hyperlink ref="J236" r:id="rId380" xr:uid="{C212F5F9-DB39-0048-A8FD-FFBDB3610118}"/>
    <hyperlink ref="W236" r:id="rId381" xr:uid="{4FF07893-2C4F-9642-9638-407B76BED353}"/>
    <hyperlink ref="J237" r:id="rId382" xr:uid="{74E65A2D-F39C-304F-AE91-64A365FFCEA7}"/>
    <hyperlink ref="J238" r:id="rId383" xr:uid="{49220817-902E-6449-8109-1FB03FA8A576}"/>
    <hyperlink ref="J239" r:id="rId384" xr:uid="{55078D38-11FB-C548-A726-BB46C0B84524}"/>
    <hyperlink ref="W239" r:id="rId385" xr:uid="{7E85CF71-A106-E341-9354-C576F49F4C5D}"/>
    <hyperlink ref="J240" r:id="rId386" xr:uid="{B1565975-CFC7-9248-869D-DF637B479EA1}"/>
    <hyperlink ref="W240" r:id="rId387" xr:uid="{EBFFF71E-B93B-8847-B062-25AE8EB1378D}"/>
    <hyperlink ref="J241" r:id="rId388" xr:uid="{D5117FBD-6DFE-B840-B7D8-7BD6BA7D2CC0}"/>
    <hyperlink ref="J242" r:id="rId389" xr:uid="{D5437272-D368-C742-837F-458CBF1C410F}"/>
    <hyperlink ref="J243" r:id="rId390" xr:uid="{633C93A9-9535-224E-B8C0-D3DD57C5D821}"/>
    <hyperlink ref="J244" r:id="rId391" xr:uid="{470504AE-6B66-D44E-85BF-7E3955BFCEFA}"/>
    <hyperlink ref="J245" r:id="rId392" xr:uid="{3283AD32-1ADE-E64F-8D16-3876DCDBF509}"/>
    <hyperlink ref="W245" r:id="rId393" xr:uid="{87E563C1-1C06-B747-BB4C-ED2F78196AF7}"/>
    <hyperlink ref="J246" r:id="rId394" xr:uid="{5F774918-1332-5744-A0DD-8BCE84F55645}"/>
    <hyperlink ref="J247" r:id="rId395" xr:uid="{F54B07D5-08D3-C14C-8C19-8D8B742B06A9}"/>
    <hyperlink ref="W247" r:id="rId396" xr:uid="{10962673-F150-8345-8894-F1F89BE3E4F8}"/>
    <hyperlink ref="J248" r:id="rId397" xr:uid="{EB37BAA3-3CBE-4A40-B56A-3E2E9ED8524A}"/>
    <hyperlink ref="J249" r:id="rId398" xr:uid="{105C38D4-0A09-1A4A-BF0A-0FD708DA6FE2}"/>
    <hyperlink ref="W249" r:id="rId399" xr:uid="{32BC9231-F064-8944-937F-75291B9386D9}"/>
    <hyperlink ref="J250" r:id="rId400" xr:uid="{99712B45-A9A5-DB41-A8CC-E04D530E7A53}"/>
    <hyperlink ref="W250" r:id="rId401" xr:uid="{940999DF-DB51-7546-94CB-66572B501E24}"/>
    <hyperlink ref="J251" r:id="rId402" xr:uid="{432CBB95-2209-B144-8E5D-49A562A64D8A}"/>
    <hyperlink ref="W251" r:id="rId403" xr:uid="{414F9883-ED93-7447-9843-7C77FCC35AC5}"/>
    <hyperlink ref="J252" r:id="rId404" xr:uid="{0F2BCA0B-71A8-3E42-9D81-773AD2FE783E}"/>
    <hyperlink ref="J253" r:id="rId405" xr:uid="{1C05EE62-1F4D-6A41-8805-63BEAC94E44B}"/>
    <hyperlink ref="W253" r:id="rId406" xr:uid="{2C0D90FC-08EE-4541-9DE7-02EC4461F30D}"/>
    <hyperlink ref="J254" r:id="rId407" xr:uid="{101A7E07-D892-844A-A79B-1F7D8CF78A8E}"/>
    <hyperlink ref="W254" r:id="rId408" xr:uid="{E73950D4-8B35-5A48-A498-DDA192C54DCF}"/>
    <hyperlink ref="J255" r:id="rId409" xr:uid="{F582E24A-61B9-5142-9E31-44F7DC6A16C8}"/>
    <hyperlink ref="J256" r:id="rId410" xr:uid="{29F6EAA9-5C24-924E-945A-610D230AD775}"/>
    <hyperlink ref="W256" r:id="rId411" xr:uid="{39E487A5-A501-6640-B01D-28974F04C734}"/>
    <hyperlink ref="J257" r:id="rId412" xr:uid="{0CF73F32-2A9E-2A46-9ACA-0275B1BDB0A7}"/>
    <hyperlink ref="W257" r:id="rId413" xr:uid="{01532DA6-4E44-5D45-A9F3-5F7627C4A970}"/>
    <hyperlink ref="J258" r:id="rId414" xr:uid="{032DA2C1-D670-C44F-9002-91FA1BFC686E}"/>
    <hyperlink ref="W258" r:id="rId415" xr:uid="{C1FE1EA5-910B-744F-A2AC-961641D0E1F3}"/>
    <hyperlink ref="J259" r:id="rId416" xr:uid="{4B71C798-64F7-684D-AB19-D8EF2F2B56F5}"/>
    <hyperlink ref="W259" r:id="rId417" xr:uid="{60358E2E-01A2-7344-A5A7-8420097C8C2E}"/>
    <hyperlink ref="J260" r:id="rId418" xr:uid="{40F3734B-F912-4F42-B33F-5D2711769004}"/>
    <hyperlink ref="W260" r:id="rId419" xr:uid="{792A0BDF-FA69-0E4E-946F-98FD643B7E47}"/>
    <hyperlink ref="J261" r:id="rId420" xr:uid="{74B055BE-515F-3D46-85B5-B322E649D08B}"/>
    <hyperlink ref="J262" r:id="rId421" xr:uid="{3DDF624C-C950-A348-84B3-743311399476}"/>
    <hyperlink ref="W262" r:id="rId422" xr:uid="{1E1A5675-E59E-964D-9F67-396157D376AD}"/>
    <hyperlink ref="J263" r:id="rId423" xr:uid="{C7BA02F1-88EE-D645-A01B-591AF611AF62}"/>
    <hyperlink ref="W263" r:id="rId424" xr:uid="{AC939BAE-F16E-7446-80D2-7F3D0FDE0386}"/>
    <hyperlink ref="J264" r:id="rId425" xr:uid="{AA7580D1-8154-D94F-AC59-A5B0B40EED34}"/>
    <hyperlink ref="W264" r:id="rId426" xr:uid="{19E6A802-79A8-2A41-9DF1-B2E24A09E1C9}"/>
    <hyperlink ref="J265" r:id="rId427" xr:uid="{5770C951-7497-2F4F-AE6D-F36FE9CD6A29}"/>
    <hyperlink ref="W265" r:id="rId428" xr:uid="{448DBB02-EB69-764B-8DC3-603BDCC3AA21}"/>
    <hyperlink ref="J266" r:id="rId429" xr:uid="{60B5D586-E3DC-DD44-B4C8-2E070D0C95A8}"/>
    <hyperlink ref="W266" r:id="rId430" xr:uid="{E70D4641-9782-364D-A750-C01F250B54ED}"/>
    <hyperlink ref="J267" r:id="rId431" xr:uid="{92AEEB12-1AF8-234E-B0E3-365D0FD57E64}"/>
    <hyperlink ref="W267" r:id="rId432" xr:uid="{F9BB1A6C-56BD-FF40-979F-266A1CC0ACF4}"/>
    <hyperlink ref="J268" r:id="rId433" xr:uid="{106C563D-55A0-0149-92C6-18EC633ABA7E}"/>
    <hyperlink ref="W268" r:id="rId434" xr:uid="{7937D763-278E-F34B-9674-AAA79F5B27AB}"/>
    <hyperlink ref="J269" r:id="rId435" xr:uid="{B6131A88-5CC1-BC43-A840-915DEC2C30F4}"/>
    <hyperlink ref="W269" r:id="rId436" xr:uid="{71AC5CDD-ECD1-EB44-B81A-19027B9045C2}"/>
    <hyperlink ref="J270" r:id="rId437" xr:uid="{303B0F71-986C-BE4E-AB5A-EECCD3AC31A4}"/>
    <hyperlink ref="J271" r:id="rId438" xr:uid="{B605F035-9211-304C-AB4C-9C41D9B61143}"/>
    <hyperlink ref="W271" r:id="rId439" xr:uid="{A0C39741-C7DB-F244-8AE1-54499B84BDE5}"/>
    <hyperlink ref="J272" r:id="rId440" xr:uid="{746B2100-8404-9F44-8167-358ACDFBF7D9}"/>
    <hyperlink ref="W272" r:id="rId441" xr:uid="{79D4B72C-CD2C-2C47-BA1F-462447D26D1C}"/>
    <hyperlink ref="J273" r:id="rId442" xr:uid="{AF7360EC-9F7F-0C44-B0A9-F193F5E2CFEC}"/>
    <hyperlink ref="W273" r:id="rId443" xr:uid="{54DA9F3C-BFA5-5F43-AFBE-8064966BBC0D}"/>
    <hyperlink ref="J274" r:id="rId444" xr:uid="{37A75E6A-50B6-844C-9986-6D7A1BA30E7A}"/>
    <hyperlink ref="J275" r:id="rId445" xr:uid="{E55A83E1-3DD2-674E-9E3A-01205D512C7B}"/>
    <hyperlink ref="J276" r:id="rId446" xr:uid="{05F8A29F-04E1-DC4F-AA03-0F8582A5183E}"/>
    <hyperlink ref="W276" r:id="rId447" xr:uid="{CA44375E-1931-DF49-AFA7-06E2C3906B7C}"/>
    <hyperlink ref="J277" r:id="rId448" xr:uid="{911FF427-3066-6A44-9427-64A5B232FEB7}"/>
    <hyperlink ref="W277" r:id="rId449" xr:uid="{744FE359-FF4E-074A-9560-A1C37D000E80}"/>
    <hyperlink ref="J278" r:id="rId450" xr:uid="{90FF2FA8-2F5D-6846-B85F-513485F3909B}"/>
    <hyperlink ref="W278" r:id="rId451" xr:uid="{08806690-8741-654F-AE12-20DA5F339729}"/>
    <hyperlink ref="J279" r:id="rId452" xr:uid="{EEAC5341-0EDE-BE40-B6C4-8785C53BE175}"/>
    <hyperlink ref="W279" r:id="rId453" xr:uid="{80C6DEAA-6082-584C-9FE3-09DCE1A9DB34}"/>
    <hyperlink ref="J280" r:id="rId454" xr:uid="{DE050D02-DCD3-4A40-B9A4-9E17CEDBE078}"/>
    <hyperlink ref="W280" r:id="rId455" xr:uid="{B28F0B3B-B7B9-2D4F-84C0-0773D3ED3E8A}"/>
    <hyperlink ref="J281" r:id="rId456" xr:uid="{6C6707E1-20D5-8B41-8681-C6E46A3271AD}"/>
    <hyperlink ref="W281" r:id="rId457" xr:uid="{236B31E2-B376-474A-8621-DB46C79683B1}"/>
    <hyperlink ref="J282" r:id="rId458" xr:uid="{3883F8BD-0F7B-6741-A48A-ED13F75F6F0C}"/>
    <hyperlink ref="W282" r:id="rId459" xr:uid="{7DEE1B6B-BD8E-5B4F-88DC-0EFEFF05DA66}"/>
    <hyperlink ref="J283" r:id="rId460" xr:uid="{9F58B639-44F1-3E4E-8225-542D4BF009BC}"/>
    <hyperlink ref="W283" r:id="rId461" xr:uid="{14A7120D-0110-E44F-9A62-65F91FD9F432}"/>
    <hyperlink ref="J284" r:id="rId462" xr:uid="{0349589A-078A-6746-899D-76EDFE1B3EE1}"/>
    <hyperlink ref="W284" r:id="rId463" xr:uid="{0F42FF23-5657-A948-8E18-4B153FCEFC58}"/>
    <hyperlink ref="J285" r:id="rId464" xr:uid="{2BAE7577-01C8-6341-99B4-212861BB197E}"/>
    <hyperlink ref="W285" r:id="rId465" xr:uid="{9AEF2C42-178E-824C-98CF-D5F07B2CE425}"/>
    <hyperlink ref="J286" r:id="rId466" xr:uid="{9A65762C-3A01-C143-8BCE-D923A73FF582}"/>
    <hyperlink ref="W286" r:id="rId467" xr:uid="{902C229A-71E1-2146-BCB4-734D73C3B11D}"/>
    <hyperlink ref="J287" r:id="rId468" xr:uid="{BA8DE871-1320-ED46-95E2-E8AA55BADF0D}"/>
    <hyperlink ref="W287" r:id="rId469" xr:uid="{DBFCD50B-1AD5-984A-B7CD-80D7697F6C4B}"/>
    <hyperlink ref="J288" r:id="rId470" xr:uid="{369656A4-EAB4-EB4F-AC94-1833FDF501A4}"/>
    <hyperlink ref="W288" r:id="rId471" xr:uid="{DDC165E9-7C1D-1F4C-9EF1-CBCED3CBAF76}"/>
    <hyperlink ref="J289" r:id="rId472" xr:uid="{0B8A0299-FD53-7D47-84E6-92C3C2DE219A}"/>
    <hyperlink ref="W289" r:id="rId473" xr:uid="{33B0FB75-AA13-C847-AB3F-7541F0757C8C}"/>
    <hyperlink ref="J290" r:id="rId474" xr:uid="{5B2CB95D-D64B-0F4B-853A-DAF27D1E5D05}"/>
    <hyperlink ref="W290" r:id="rId475" xr:uid="{C50593AF-FF76-434D-A6A8-1E7DF0D05829}"/>
    <hyperlink ref="J291" r:id="rId476" xr:uid="{A98DBB9F-D25B-914E-AE0D-80D567405769}"/>
    <hyperlink ref="J292" r:id="rId477" xr:uid="{64988E38-DBDC-7B46-BBBA-988765031F65}"/>
    <hyperlink ref="W292" r:id="rId478" xr:uid="{FFB3DB42-6514-634A-B8CB-85119AF374DA}"/>
    <hyperlink ref="J293" r:id="rId479" xr:uid="{EF34C74F-4D35-EA4E-88D8-3D122F1B91A9}"/>
    <hyperlink ref="J294" r:id="rId480" xr:uid="{16B1B14B-8C9E-B74B-AC17-733EC5670FB0}"/>
    <hyperlink ref="J295" r:id="rId481" xr:uid="{77A7FD98-30CC-2E40-BE96-19AF0F75151A}"/>
    <hyperlink ref="W295" r:id="rId482" xr:uid="{34F95B41-EF89-6945-8B7B-7B690045E9BA}"/>
    <hyperlink ref="J296" r:id="rId483" xr:uid="{3C616457-7CDD-B349-8061-4111A633C02D}"/>
    <hyperlink ref="W296" r:id="rId484" xr:uid="{C322C721-A362-6F47-A224-C37D06DBFE85}"/>
    <hyperlink ref="J297" r:id="rId485" xr:uid="{9BBAD000-1D4E-8A40-B65F-A2B41199212D}"/>
    <hyperlink ref="W297" r:id="rId486" xr:uid="{846A4F66-0636-6547-885B-EBE77436A22A}"/>
    <hyperlink ref="J298" r:id="rId487" xr:uid="{A19A25A7-DF10-C148-9F85-C9C6FBF08D45}"/>
    <hyperlink ref="W298" r:id="rId488" xr:uid="{4884FE41-2476-4B4E-8FFF-7D70454A4AC3}"/>
    <hyperlink ref="J299" r:id="rId489" xr:uid="{95F32E80-C865-084E-877A-BCC295AC080B}"/>
    <hyperlink ref="W299" r:id="rId490" xr:uid="{9B1D9ECE-37AC-F64F-8846-F1DA92B5B4E6}"/>
    <hyperlink ref="J300" r:id="rId491" xr:uid="{AA4E98F6-8613-4143-AE49-D5F094F59A74}"/>
    <hyperlink ref="W300" r:id="rId492" xr:uid="{80E056B1-78D8-A14A-8533-437814A05677}"/>
    <hyperlink ref="J301" r:id="rId493" xr:uid="{B3860676-3325-6644-A393-D99E904E28F9}"/>
    <hyperlink ref="W301" r:id="rId494" xr:uid="{6BC6ABA5-62B5-D94A-8FBD-D4C01048123A}"/>
    <hyperlink ref="J302" r:id="rId495" xr:uid="{A264E459-025B-9D41-BD1F-3D9507531D63}"/>
    <hyperlink ref="W302" r:id="rId496" xr:uid="{3058A2AB-3188-D94A-8DD4-8917FBC2FE10}"/>
    <hyperlink ref="J303" r:id="rId497" xr:uid="{72F10BA6-42F3-B944-B641-6C20EF0FAF99}"/>
    <hyperlink ref="W303" r:id="rId498" xr:uid="{164B6801-AEC9-D546-B731-EC5D6C723FF9}"/>
    <hyperlink ref="J304" r:id="rId499" xr:uid="{AE0255B4-A3A0-604D-A932-96FBA9DDCB3D}"/>
    <hyperlink ref="W304" r:id="rId500" xr:uid="{EF415DEF-DB1D-FC47-B017-43BA589211BA}"/>
    <hyperlink ref="J305" r:id="rId501" xr:uid="{3927E54E-26A0-9442-B228-814DCC6C7F15}"/>
    <hyperlink ref="W305" r:id="rId502" xr:uid="{A2F3C1F0-BAA5-8A43-8F31-452B04C382F7}"/>
    <hyperlink ref="J306" r:id="rId503" xr:uid="{161FD6AE-9681-104E-BD99-60F11A36F106}"/>
    <hyperlink ref="W306" r:id="rId504" xr:uid="{29351DC2-CB68-A64E-88F0-438652554188}"/>
    <hyperlink ref="J307" r:id="rId505" xr:uid="{1AC19156-043D-D34B-BF94-E6641C9FD9B9}"/>
    <hyperlink ref="W307" r:id="rId506" xr:uid="{367AE8AC-7D61-BE43-9B5C-15ABFEDEEEF8}"/>
    <hyperlink ref="J308" r:id="rId507" xr:uid="{29F79C05-C56E-0A4D-BD29-FFF084A9614F}"/>
    <hyperlink ref="W308" r:id="rId508" xr:uid="{C2D8E584-C8E8-6942-8152-F09DDDEEC129}"/>
    <hyperlink ref="J309" r:id="rId509" xr:uid="{116859E9-3BBF-484B-B7C0-8071609774F3}"/>
    <hyperlink ref="W309" r:id="rId510" xr:uid="{4F6CA6DB-8649-C54F-B7BC-AAE47E3DED08}"/>
    <hyperlink ref="J310" r:id="rId511" xr:uid="{F9F88DCB-D940-F44F-B053-9B47B21367EB}"/>
    <hyperlink ref="W310" r:id="rId512" xr:uid="{0DF03289-D665-6643-9764-FFBCC23CE4A6}"/>
    <hyperlink ref="J311" r:id="rId513" xr:uid="{3BA84A49-2B24-7545-B245-D2784C7F394A}"/>
    <hyperlink ref="W311" r:id="rId514" xr:uid="{A5B231B6-D133-C348-852D-3E3F53DAF3E9}"/>
    <hyperlink ref="J312" r:id="rId515" xr:uid="{C927E818-AD07-E844-AAD2-63C6A624667C}"/>
    <hyperlink ref="W312" r:id="rId516" xr:uid="{D7D80336-78ED-C141-A854-BA2F6DB60D91}"/>
    <hyperlink ref="J313" r:id="rId517" xr:uid="{EDB4E306-014B-3B4B-AA7D-B2F1A3843785}"/>
    <hyperlink ref="W313" r:id="rId518" xr:uid="{B7A288B1-C56D-E04A-9524-14FDEC861B6B}"/>
    <hyperlink ref="J314" r:id="rId519" xr:uid="{693A8A6D-9F59-914E-BA97-2A4EF80627BA}"/>
    <hyperlink ref="W314" r:id="rId520" xr:uid="{EE68C797-82F1-0A4A-B070-F9BF9320EF9B}"/>
    <hyperlink ref="J315" r:id="rId521" xr:uid="{647A401B-14AA-F84C-8150-9A8AE01FEFF9}"/>
    <hyperlink ref="W315" r:id="rId522" xr:uid="{E457AD7A-59DC-5445-B194-A6CCD106AD44}"/>
    <hyperlink ref="J316" r:id="rId523" xr:uid="{5332E9B6-49F3-6843-BF93-ED109CCFC65B}"/>
    <hyperlink ref="W316" r:id="rId524" xr:uid="{BB1227BE-852C-304B-A125-2135377D61A2}"/>
    <hyperlink ref="J317" r:id="rId525" xr:uid="{BA1F9B5F-B4F7-324A-8994-5C51308966F9}"/>
    <hyperlink ref="W317" r:id="rId526" xr:uid="{AEF87EA4-5C9C-C14F-B802-48194126908D}"/>
    <hyperlink ref="J318" r:id="rId527" xr:uid="{A657895C-17FF-5E4C-969C-5E7520B4C1A9}"/>
    <hyperlink ref="W318" r:id="rId528" xr:uid="{36286F98-FA19-1046-AE5B-E5751B59BC53}"/>
    <hyperlink ref="J319" r:id="rId529" xr:uid="{C6312218-9BE2-8F48-A2A5-870EFDC7338F}"/>
    <hyperlink ref="J320" r:id="rId530" xr:uid="{0A202ABE-D6B5-BD48-AFCA-FE3F3F595558}"/>
    <hyperlink ref="W320" r:id="rId531" xr:uid="{AC438CBC-4B8F-7D4F-8E0B-AD0D8B0BFA89}"/>
    <hyperlink ref="J321" r:id="rId532" xr:uid="{BA5F56E5-C1B4-B54F-BFE3-C8C08A421AB4}"/>
    <hyperlink ref="W321" r:id="rId533" xr:uid="{322D9F45-16DF-C044-A405-0C00EE153587}"/>
    <hyperlink ref="AG321" r:id="rId534" xr:uid="{AEC1BA21-6DC8-864B-B8CF-84145A1007FD}"/>
    <hyperlink ref="J322" r:id="rId535" xr:uid="{7195237A-BDF2-0E45-A500-4ADF56523FBF}"/>
    <hyperlink ref="W322" r:id="rId536" xr:uid="{46433421-F0C1-5C48-BB1E-409AB232FCA0}"/>
    <hyperlink ref="J323" r:id="rId537" xr:uid="{FF75D74B-2778-AC4A-8F14-3D4C745B3499}"/>
    <hyperlink ref="W323" r:id="rId538" xr:uid="{8C320BB3-0F66-094C-A077-68F5A6AF4565}"/>
    <hyperlink ref="J324" r:id="rId539" xr:uid="{4FC210FF-EDBA-0647-9816-B388D16F0A95}"/>
    <hyperlink ref="W324" r:id="rId540" xr:uid="{246EA2E6-1284-4241-80A6-38F18ED1AB03}"/>
    <hyperlink ref="J325" r:id="rId541" xr:uid="{505BD69C-91F9-634F-B237-F9C45DFEB3EA}"/>
    <hyperlink ref="W325" r:id="rId542" xr:uid="{97AEEF7B-B89A-B341-AA03-47E5A62740CA}"/>
    <hyperlink ref="J326" r:id="rId543" xr:uid="{C80555E8-94B9-C64A-BBC4-9BFCAC3B4D56}"/>
    <hyperlink ref="J327" r:id="rId544" xr:uid="{6D7653E5-AD90-3C43-B050-A3995226B453}"/>
    <hyperlink ref="W327" r:id="rId545" xr:uid="{7697EA20-BC4C-214F-B957-0D97564F1D20}"/>
    <hyperlink ref="J328" r:id="rId546" xr:uid="{5CFEBE48-6EC5-B04F-8AC4-C19716BF5CB2}"/>
    <hyperlink ref="J329" r:id="rId547" xr:uid="{E36BD64D-A6A5-3A47-A969-8B3D3BA66C6E}"/>
    <hyperlink ref="J330" r:id="rId548" xr:uid="{AA92C04D-9C54-A34D-AAD4-917A021EF096}"/>
    <hyperlink ref="J331" r:id="rId549" xr:uid="{954ABBB9-564F-0540-9387-7FB1942E3374}"/>
    <hyperlink ref="J332" r:id="rId550" xr:uid="{F14F3A1F-C6E6-F04D-8221-704ED1BE3A79}"/>
    <hyperlink ref="J333" r:id="rId551" xr:uid="{C37B1A87-557C-C84F-B89F-FF0DC70B8293}"/>
    <hyperlink ref="W333" r:id="rId552" xr:uid="{77DE6AB0-5D9B-8C4F-97A1-93D50B6AADCF}"/>
    <hyperlink ref="J334" r:id="rId553" xr:uid="{6D13EE94-C0F9-184F-95E5-7306FC30DFA2}"/>
    <hyperlink ref="J335" r:id="rId554" xr:uid="{E44E3186-CEC7-A74D-A0A0-26EF09070F2C}"/>
    <hyperlink ref="J336" r:id="rId555" xr:uid="{ED0D756B-D3F7-C245-85AD-8408AFB33169}"/>
    <hyperlink ref="J337" r:id="rId556" xr:uid="{A0E6D74D-E7C1-3D43-B173-50DD358414EF}"/>
    <hyperlink ref="W337" r:id="rId557" xr:uid="{0F1CA399-255B-AF47-8C13-5DE8F9E46A4B}"/>
    <hyperlink ref="J338" r:id="rId558" xr:uid="{C9E64D02-A5EC-B244-AA92-223881953E7B}"/>
    <hyperlink ref="W338" r:id="rId559" xr:uid="{BAAFBA55-FFF9-624F-9B4C-87C17910B679}"/>
    <hyperlink ref="J339" r:id="rId560" xr:uid="{B1E66F1C-CB30-CC41-A9CE-A5D9125F3E9E}"/>
    <hyperlink ref="J340" r:id="rId561" xr:uid="{13ACB431-A1BE-044B-94A4-F820C3A1B569}"/>
    <hyperlink ref="J341" r:id="rId562" xr:uid="{BC1719CF-CBF9-6E47-8E08-953F2D3FFB9F}"/>
    <hyperlink ref="W341" r:id="rId563" xr:uid="{6AF2BE27-14EF-774E-8A18-C77825F2AFDA}"/>
    <hyperlink ref="J342" r:id="rId564" xr:uid="{62D608F9-C781-2E40-9AF9-BF40E7EF8874}"/>
    <hyperlink ref="J343" r:id="rId565" xr:uid="{1A54AFC4-372A-3E4D-BC7C-29F7A1F42546}"/>
    <hyperlink ref="J344" r:id="rId566" xr:uid="{24EAA291-A78D-9F4A-A5AF-48EA9C44E59C}"/>
    <hyperlink ref="W344" r:id="rId567" xr:uid="{EFFFC0D5-6CE4-DB4F-AE05-9E53EE0DCEC2}"/>
    <hyperlink ref="J345" r:id="rId568" xr:uid="{DD1BBDCC-F5B7-E442-881C-D8FB43D5C5CB}"/>
    <hyperlink ref="W345" r:id="rId569" xr:uid="{2EAB65ED-13C0-3049-9029-178FDA53F056}"/>
    <hyperlink ref="J346" r:id="rId570" xr:uid="{0EEE43FE-56A6-D94D-B736-1921462B9A1A}"/>
    <hyperlink ref="J347" r:id="rId571" xr:uid="{C4B4BBB1-D0E4-204B-8EB6-300754AEA411}"/>
    <hyperlink ref="J348" r:id="rId572" xr:uid="{3AF6FC88-FAE4-064E-864F-B0AD6AE6B65E}"/>
    <hyperlink ref="W348" r:id="rId573" xr:uid="{9A790F78-E9BF-504F-B466-30B011F65321}"/>
    <hyperlink ref="J349" r:id="rId574" xr:uid="{DEE02C30-DA75-9744-970F-E66BA2F00ED1}"/>
    <hyperlink ref="W349" r:id="rId575" xr:uid="{7C54F05E-4B13-6149-AA6C-20228F43F01A}"/>
    <hyperlink ref="J350" r:id="rId576" xr:uid="{C7D97BD5-CA10-BB42-92A8-663B7818BBF5}"/>
    <hyperlink ref="W350" r:id="rId577" xr:uid="{DB6A32FD-76D7-394C-83DB-DD643093C6D0}"/>
    <hyperlink ref="J351" r:id="rId578" xr:uid="{65EB623B-6BED-BC4E-AE20-E189E06D990A}"/>
    <hyperlink ref="W351" r:id="rId579" xr:uid="{71DD9CEF-BE70-5A43-8A57-EDB019EACC62}"/>
    <hyperlink ref="J352" r:id="rId580" xr:uid="{79EA0320-F1E4-7449-AE79-3A30087547B1}"/>
    <hyperlink ref="W352" r:id="rId581" xr:uid="{265BF651-EF74-6C47-9510-4A59136C02DB}"/>
    <hyperlink ref="J353" r:id="rId582" xr:uid="{87CA10C3-027D-5F4A-99E5-D470969EEEE2}"/>
    <hyperlink ref="W353" r:id="rId583" xr:uid="{4B3290F3-7188-4543-BF21-F170072C324C}"/>
    <hyperlink ref="J354" r:id="rId584" xr:uid="{C421B4C3-958E-3048-916F-D427D77BE3E5}"/>
    <hyperlink ref="J355" r:id="rId585" xr:uid="{A327519A-06B0-4D4E-8964-D63070A6C4B5}"/>
    <hyperlink ref="W355" r:id="rId586" xr:uid="{50A5AA4E-31F6-DE4B-ABCB-370EAD3D952A}"/>
    <hyperlink ref="J356" r:id="rId587" xr:uid="{FD993551-E2B1-A147-8D24-BE973DD438F5}"/>
    <hyperlink ref="W356" r:id="rId588" xr:uid="{011DCE3C-6044-4A45-A8FC-D6E4824E5A41}"/>
    <hyperlink ref="J357" r:id="rId589" xr:uid="{A4A7AD2E-5ED5-2549-8DB1-22C647B21BDF}"/>
    <hyperlink ref="W357" r:id="rId590" xr:uid="{1313836A-6A63-3949-B937-6C19E8D34D50}"/>
    <hyperlink ref="J358" r:id="rId591" xr:uid="{17462442-5A35-0E4D-A308-D078CB7C5932}"/>
    <hyperlink ref="J359" r:id="rId592" xr:uid="{263427C6-C827-D14F-B3B6-CEE224E9341A}"/>
    <hyperlink ref="W359" r:id="rId593" xr:uid="{3596E75F-EBFA-8348-9559-3397ED63F9FA}"/>
    <hyperlink ref="J360" r:id="rId594" xr:uid="{B7E91E09-D177-8146-BCF1-5AD7A78DEAF2}"/>
    <hyperlink ref="AG360" r:id="rId595" xr:uid="{6394A5B1-18B9-5B4F-988A-E9B1FCA4B6F5}"/>
    <hyperlink ref="J362" r:id="rId596" xr:uid="{7ED5C429-D57C-EE45-AECD-6D08E10EE540}"/>
    <hyperlink ref="W362" r:id="rId597" xr:uid="{6C56235F-0E6B-AC47-80CC-13A04EFF62FD}"/>
    <hyperlink ref="J363" r:id="rId598" xr:uid="{54457FB4-8083-6744-896A-4CEE80A9960A}"/>
    <hyperlink ref="W363" r:id="rId599" xr:uid="{575509DE-8CB5-3847-8E4B-94ED8787A9C3}"/>
    <hyperlink ref="J364" r:id="rId600" xr:uid="{62B76316-4681-1C4A-B25D-849FC2AEFD16}"/>
    <hyperlink ref="W364" r:id="rId601" xr:uid="{0FC79D62-0E99-A249-A3B4-764FB60CBE8F}"/>
    <hyperlink ref="J365" r:id="rId602" xr:uid="{D3FFE047-3882-5841-ACD9-03CEFDD47676}"/>
    <hyperlink ref="W365" r:id="rId603" xr:uid="{94E1EEA1-ADEA-2A42-BC7F-C92C95DA4E1E}"/>
    <hyperlink ref="J366" r:id="rId604" xr:uid="{5F756E6A-B627-7B44-BB45-4A5ADC2EE18A}"/>
    <hyperlink ref="W366" r:id="rId605" xr:uid="{68E624E5-5619-974D-81F9-A92C8CC61311}"/>
    <hyperlink ref="J367" r:id="rId606" xr:uid="{618F34A9-2EB3-254B-8C26-36A950F28B88}"/>
    <hyperlink ref="J368" r:id="rId607" xr:uid="{52DB15B6-2CB6-3B47-8CAA-310080843573}"/>
    <hyperlink ref="J369" r:id="rId608" xr:uid="{96E7B871-3D19-8D49-8B95-D9F99A4C3FB6}"/>
    <hyperlink ref="W369" r:id="rId609" xr:uid="{2F59A6E8-A149-6F4E-8FC3-265D9A33A784}"/>
    <hyperlink ref="J370" r:id="rId610" xr:uid="{09AC6379-C173-584A-8DD8-82231F53BA10}"/>
    <hyperlink ref="J371" r:id="rId611" xr:uid="{BC872EE2-F6D6-424A-B5A2-A27E09D4F877}"/>
    <hyperlink ref="W371" r:id="rId612" xr:uid="{9CD68701-BC80-2E4C-A5D8-AEDA30C7426D}"/>
    <hyperlink ref="J372" r:id="rId613" xr:uid="{32FBE3CF-DBB6-444A-83D2-F2DDCFFC8F52}"/>
    <hyperlink ref="J373" r:id="rId614" xr:uid="{464B68AF-D1C1-0C41-8595-E1D3774C64A8}"/>
    <hyperlink ref="J374" r:id="rId615" xr:uid="{0CA17D32-9E4F-4F45-AF23-B55A5024EB82}"/>
    <hyperlink ref="W374" r:id="rId616" xr:uid="{7CD1B83A-ABD2-1543-B661-404EE4026BB7}"/>
    <hyperlink ref="J375" r:id="rId617" xr:uid="{8A8ACBEB-7596-5446-B4C8-09929377DD75}"/>
    <hyperlink ref="W375" r:id="rId618" xr:uid="{8A8D801D-DE7C-5843-8E23-F8414A510510}"/>
    <hyperlink ref="J376" r:id="rId619" xr:uid="{0CD5CDA8-B242-8446-BA84-C9E10AB45B2C}"/>
    <hyperlink ref="J377" r:id="rId620" xr:uid="{D30006B1-5E4A-5449-BD3B-52FE784586AF}"/>
    <hyperlink ref="J378" r:id="rId621" xr:uid="{A3708C28-430F-A946-B02D-1EB1DE1CB76D}"/>
    <hyperlink ref="W378" r:id="rId622" xr:uid="{EA358FD0-BEDF-4941-90AE-6D112A2BCCF9}"/>
    <hyperlink ref="J379" r:id="rId623" xr:uid="{0C67851A-29C6-F24C-A95A-BBB17DF1B511}"/>
    <hyperlink ref="W379" r:id="rId624" xr:uid="{293A817C-BB67-B04F-A351-9E47ED86DF71}"/>
    <hyperlink ref="J380" r:id="rId625" xr:uid="{46A17023-40CD-C744-8560-8562CE6A66FD}"/>
    <hyperlink ref="W380" r:id="rId626" xr:uid="{CDD96A0A-C898-6342-AD76-8D456BA216A0}"/>
    <hyperlink ref="J381" r:id="rId627" xr:uid="{A08687D6-59BB-2A4A-A133-A17641B0237C}"/>
    <hyperlink ref="W381" r:id="rId628" xr:uid="{71B9B596-A076-0C47-98B1-0078AAB77357}"/>
    <hyperlink ref="J382" r:id="rId629" xr:uid="{A7FB9B25-A19E-5C4C-8ACA-DFD271EE1831}"/>
    <hyperlink ref="J383" r:id="rId630" xr:uid="{FD32C2F9-32B9-EB4F-87F1-9D2043C69363}"/>
    <hyperlink ref="W383" r:id="rId631" xr:uid="{D981B357-8A5F-C042-A4FA-3ABEA36831D6}"/>
    <hyperlink ref="J384" r:id="rId632" xr:uid="{CFCAA305-4CDF-5B49-8D57-D49057EDD0BB}"/>
    <hyperlink ref="W384" r:id="rId633" xr:uid="{2A586C6E-8126-0240-AF07-2E18AF8A5D64}"/>
    <hyperlink ref="J385" r:id="rId634" xr:uid="{29A4CADE-6633-844A-8251-B80D0C2B8B57}"/>
    <hyperlink ref="J386" r:id="rId635" xr:uid="{A3982CDC-D4CB-C848-9A34-51E84131DA17}"/>
    <hyperlink ref="W386" r:id="rId636" xr:uid="{1716057D-237C-8645-B0FF-4494E8346ACB}"/>
    <hyperlink ref="J387" r:id="rId637" xr:uid="{DDA2F2B8-1AB9-BC45-B9BE-99BC4E1DD7C0}"/>
    <hyperlink ref="W387" r:id="rId638" xr:uid="{B00B9BDE-5D36-9340-9F40-29FC0353FE25}"/>
    <hyperlink ref="J388" r:id="rId639" xr:uid="{322ABC5A-7E6D-A944-AC9A-1201744D01E0}"/>
    <hyperlink ref="W388" r:id="rId640" xr:uid="{7AF73D05-F59F-354B-83C0-5F516B58D4C3}"/>
    <hyperlink ref="J389" r:id="rId641" xr:uid="{C6C07131-1E7C-F04F-B3B4-5F535F489ADE}"/>
    <hyperlink ref="W389" r:id="rId642" xr:uid="{52B2E2FE-50E8-DD45-9235-EC4CA9391F2F}"/>
    <hyperlink ref="J390" r:id="rId643" xr:uid="{1E72D742-EFE2-BD42-B524-3A632331A120}"/>
    <hyperlink ref="J391" r:id="rId644" xr:uid="{6165667D-8BAA-ED44-B6E4-B88C082DE984}"/>
    <hyperlink ref="W391" r:id="rId645" xr:uid="{AB78C21B-7522-8044-8A0F-9952BC56300B}"/>
    <hyperlink ref="J392" r:id="rId646" xr:uid="{F46C6703-E595-DF40-B328-1D94B46D8EB4}"/>
    <hyperlink ref="W392" r:id="rId647" xr:uid="{256FD6FF-AD36-B94B-A850-AF9CC1DD0992}"/>
    <hyperlink ref="J393" r:id="rId648" xr:uid="{1EB2936F-3978-B14A-BE73-A4D3A01BDDAE}"/>
    <hyperlink ref="J394" r:id="rId649" xr:uid="{3BB1943C-D4D6-B34D-940B-2C135F63BF38}"/>
    <hyperlink ref="W394" r:id="rId650" xr:uid="{167876DE-FC12-6640-8BC6-4CBEE8E8983E}"/>
    <hyperlink ref="J395" r:id="rId651" xr:uid="{56A1BC53-B0BF-2E47-AABD-D8B6EAB91CAD}"/>
    <hyperlink ref="J396" r:id="rId652" xr:uid="{3E6693F9-D655-8B4B-8D56-D10125162022}"/>
    <hyperlink ref="W396" r:id="rId653" xr:uid="{74571775-17B4-E745-9114-0EAE0A8691D3}"/>
    <hyperlink ref="J397" r:id="rId654" xr:uid="{2EC771FA-C9B1-104F-AFC5-C6657A2D1C17}"/>
    <hyperlink ref="W397" r:id="rId655" xr:uid="{39EA0FAE-3DAA-D94E-8DF1-1E2E694ED028}"/>
    <hyperlink ref="J398" r:id="rId656" xr:uid="{6532A211-3C9E-5848-B427-E9FFC7772335}"/>
    <hyperlink ref="J399" r:id="rId657" xr:uid="{45597DDB-1BAD-7E4E-B3AC-9AE7036328C4}"/>
    <hyperlink ref="W399" r:id="rId658" xr:uid="{0A340E8D-0818-2841-912D-FA70405FAC5A}"/>
    <hyperlink ref="J400" r:id="rId659" xr:uid="{7378F07B-C168-3A4A-89B9-BCD08794CF03}"/>
    <hyperlink ref="W400" r:id="rId660" xr:uid="{209C4D6F-17E6-E84F-8A36-E65F23768527}"/>
    <hyperlink ref="J401" r:id="rId661" xr:uid="{5594CBFE-62D7-B24A-A81B-B0B490045EFB}"/>
    <hyperlink ref="W401" r:id="rId662" xr:uid="{4E47ACC5-FDF6-2A48-8094-9AE5632B2AE6}"/>
    <hyperlink ref="J402" r:id="rId663" xr:uid="{2172BF43-4A2F-F543-9AF3-542D2D5AC15E}"/>
    <hyperlink ref="W402" r:id="rId664" xr:uid="{04CB44C8-BB0E-6A43-B461-60E528919482}"/>
    <hyperlink ref="J403" r:id="rId665" xr:uid="{1F4517B8-1293-AD42-B559-3C69B1E3DC08}"/>
    <hyperlink ref="J404" r:id="rId666" xr:uid="{C9ED4C98-189D-9B42-9AC2-C28019FB3895}"/>
    <hyperlink ref="W404" r:id="rId667" xr:uid="{4554EAFA-FFD3-AE43-BBCB-C46A289EF215}"/>
    <hyperlink ref="J405" r:id="rId668" xr:uid="{2B13E0A0-DBAC-B548-99D9-85EA0C9EAE61}"/>
    <hyperlink ref="W405" r:id="rId669" xr:uid="{2ABEBC3C-AE32-0A4F-AE83-CD063046E990}"/>
    <hyperlink ref="J406" r:id="rId670" xr:uid="{885FE4FA-27E7-F64D-8EFA-1B154BC12989}"/>
    <hyperlink ref="W406" r:id="rId671" xr:uid="{8369F29B-B025-8242-A841-A598EFCFE3C4}"/>
    <hyperlink ref="AE406" r:id="rId672" display="https://drive.google.com/open?id=1GA-7dPYVfoaQ7vIVRs2lWqFTcCE5LjP1" xr:uid="{25F0E336-FB11-1348-A644-E7108F0CF440}"/>
    <hyperlink ref="J407" r:id="rId673" xr:uid="{DB3B674A-6EDB-0547-930F-DDCDC00A8388}"/>
    <hyperlink ref="W407" r:id="rId674" xr:uid="{BF81E6E3-EF50-FA4B-B692-1319CDD27B79}"/>
    <hyperlink ref="J408" r:id="rId675" xr:uid="{60868F0F-2A51-CA44-BF80-E4B1E1FA304A}"/>
    <hyperlink ref="W408" r:id="rId676" xr:uid="{BA7ED058-FED9-FA4C-A386-600AA510097B}"/>
    <hyperlink ref="J409" r:id="rId677" xr:uid="{8A735234-01C1-3741-9DA8-7C714D712A3E}"/>
    <hyperlink ref="W409" r:id="rId678" xr:uid="{6F0DA7CD-AD0A-0F4F-B539-10FBA0705617}"/>
    <hyperlink ref="J410" r:id="rId679" xr:uid="{85A5554E-04C9-B14B-BBC0-054F39A1ECE5}"/>
    <hyperlink ref="W410" r:id="rId680" xr:uid="{255820DC-570F-E64B-98DA-E79B61F88F99}"/>
    <hyperlink ref="J411" r:id="rId681" xr:uid="{18320AF8-CD8B-5E44-A257-AD2CF21048F5}"/>
    <hyperlink ref="J412" r:id="rId682" xr:uid="{C2C32555-47C9-464C-A178-B340553E4B53}"/>
    <hyperlink ref="W412" r:id="rId683" xr:uid="{F49330DA-4685-0244-9FFA-10C710B89AC9}"/>
    <hyperlink ref="J413" r:id="rId684" xr:uid="{CC18FB9B-EBC4-B34A-BEB8-FDAA79E14A3E}"/>
    <hyperlink ref="J414" r:id="rId685" xr:uid="{1C72533C-EE2F-A448-868C-AB0189BFA805}"/>
    <hyperlink ref="J415" r:id="rId686" xr:uid="{6EDD9D75-F76B-E84B-ABCA-60678A6A5E8C}"/>
    <hyperlink ref="W415" r:id="rId687" xr:uid="{5C14294E-82C7-084E-A5B4-A0091514EBD7}"/>
    <hyperlink ref="J416" r:id="rId688" xr:uid="{BCC21D99-83E2-6042-8C97-C0B4218CA32A}"/>
    <hyperlink ref="W416" r:id="rId689" xr:uid="{F5B2FDE6-A2B4-2949-A1FC-A9EFE830B547}"/>
    <hyperlink ref="J417" r:id="rId690" xr:uid="{38E0AA0A-D204-1643-8CB0-C15804EAB05A}"/>
    <hyperlink ref="W417" r:id="rId691" xr:uid="{CB5C1A71-3301-A949-86F6-18FF6D1DA7C4}"/>
    <hyperlink ref="J418" r:id="rId692" xr:uid="{811CF0AF-2027-F94E-891D-090CB281D879}"/>
    <hyperlink ref="W418" r:id="rId693" xr:uid="{BCED18A3-403A-D94A-BED3-EB3890B23BC6}"/>
    <hyperlink ref="J419" r:id="rId694" xr:uid="{4E9E78FF-348C-AB47-ADDC-FB550D66F72F}"/>
    <hyperlink ref="W419" r:id="rId695" xr:uid="{2957473F-F0DE-F549-A2D9-551B52A08B8E}"/>
    <hyperlink ref="J420" r:id="rId696" xr:uid="{233BA61A-44A7-6E49-A384-2BFBE4B678CB}"/>
    <hyperlink ref="J421" r:id="rId697" xr:uid="{7759D3CC-4449-8E44-B225-57DC22EF86C0}"/>
    <hyperlink ref="J422" r:id="rId698" xr:uid="{B2BFD452-CD55-604B-8C67-B01ECF4983FB}"/>
    <hyperlink ref="J423" r:id="rId699" xr:uid="{4EF337A5-4FCB-CA4A-BE0A-78AF1F6F7F82}"/>
    <hyperlink ref="J424" r:id="rId700" xr:uid="{ED4AABC5-B677-5843-8608-84B52D610908}"/>
    <hyperlink ref="J425" r:id="rId701" xr:uid="{7647C32A-5833-EA48-9007-638CE165F365}"/>
    <hyperlink ref="J426" r:id="rId702" xr:uid="{8F01B375-46C9-0843-BE24-07033D91B185}"/>
    <hyperlink ref="W426" r:id="rId703" xr:uid="{11B229AD-B7ED-BB41-B423-66A9FB874323}"/>
    <hyperlink ref="J427" r:id="rId704" xr:uid="{9AAA2E14-534B-8A4C-8F33-5831B3623363}"/>
    <hyperlink ref="W427" r:id="rId705" xr:uid="{CB6C0164-3A18-1B43-ABEE-EA387DDDF7FD}"/>
    <hyperlink ref="J428" r:id="rId706" xr:uid="{03A538C5-088E-5445-9C4D-BFC4780721F0}"/>
    <hyperlink ref="J429" r:id="rId707" xr:uid="{CBDCBB92-2A5C-5046-AC05-114FDD971248}"/>
    <hyperlink ref="J430" r:id="rId708" xr:uid="{7FFC8451-74AB-6649-B60F-A8720AE392A1}"/>
    <hyperlink ref="J431" r:id="rId709" xr:uid="{C63CDA44-A7A9-024D-9E29-E50839B95CF3}"/>
    <hyperlink ref="J432" r:id="rId710" xr:uid="{DCA6F319-D4C4-4446-9202-C0BCAA5BB448}"/>
    <hyperlink ref="J433" r:id="rId711" xr:uid="{390918DB-0C93-D34E-BDD2-FD99FD87D2F7}"/>
    <hyperlink ref="AH433" r:id="rId712" xr:uid="{77723639-6575-1740-A91E-1C73C592B04F}"/>
    <hyperlink ref="J434" r:id="rId713" xr:uid="{31A65C40-914A-8340-9AF9-C9288D69F133}"/>
    <hyperlink ref="W434" r:id="rId714" xr:uid="{7363B5FB-BDEF-C840-BC98-4B962C060A61}"/>
    <hyperlink ref="J435" r:id="rId715" xr:uid="{250DD6CD-3B51-BB42-AE7C-725349AEBDB7}"/>
    <hyperlink ref="W435" r:id="rId716" xr:uid="{71578A48-3ABA-0B47-B9EC-CD19C79EEB04}"/>
    <hyperlink ref="J436" r:id="rId717" xr:uid="{46DCA37D-CD50-3943-9E68-477D01CDCA6E}"/>
    <hyperlink ref="J437" r:id="rId718" xr:uid="{07206EA0-4E5B-3D47-8188-817382E01B30}"/>
    <hyperlink ref="W437" r:id="rId719" xr:uid="{79C8F04C-DCCB-594B-8C43-EC1AF26A5C3A}"/>
    <hyperlink ref="J438" r:id="rId720" xr:uid="{3FD2E2CB-586F-5145-96E8-778C561543A8}"/>
    <hyperlink ref="J439" r:id="rId721" xr:uid="{7D15D264-0681-BD46-9B48-76E164889521}"/>
    <hyperlink ref="W439" r:id="rId722" xr:uid="{EAA00C0B-0B24-0843-A62D-B6326541AE36}"/>
    <hyperlink ref="J440" r:id="rId723" xr:uid="{431BFA95-F14E-364A-B16E-7F9B2F09F681}"/>
    <hyperlink ref="J441" r:id="rId724" xr:uid="{B413F3CF-AFB1-A948-95C0-A8C7FC175949}"/>
    <hyperlink ref="J442" r:id="rId725" xr:uid="{FA4A5634-598E-544E-9E20-026EFDDB3DAF}"/>
    <hyperlink ref="W442" r:id="rId726" xr:uid="{C5912F1B-B51B-C649-AD49-1A656AA68A3E}"/>
    <hyperlink ref="J443" r:id="rId727" xr:uid="{57E3E680-EFBA-AA43-A908-FD932E5D4826}"/>
    <hyperlink ref="J444" r:id="rId728" xr:uid="{45A8CCA2-17FF-CB4E-8B8B-D9A73475164F}"/>
    <hyperlink ref="J445" r:id="rId729" xr:uid="{3DFF09EB-5D6E-4847-8A6F-B9B24CD6D62B}"/>
    <hyperlink ref="J446" r:id="rId730" xr:uid="{99448520-032F-FF43-8FCC-ACDC42EDA443}"/>
    <hyperlink ref="J447" r:id="rId731" xr:uid="{6C9FC6A3-9E4C-914D-B99F-EC95289767A7}"/>
    <hyperlink ref="J448" r:id="rId732" xr:uid="{3668D82C-6067-B644-86D1-FC476F0C6B64}"/>
    <hyperlink ref="J449" r:id="rId733" xr:uid="{5126D366-9B56-B649-B0F7-73B1260261D4}"/>
    <hyperlink ref="J450" r:id="rId734" xr:uid="{CA26E0D6-9FFE-A249-897C-AFF6C45652FF}"/>
    <hyperlink ref="J451" r:id="rId735" xr:uid="{65074C54-11FB-304D-9D2F-AE556C84AF2A}"/>
    <hyperlink ref="W451" r:id="rId736" xr:uid="{63D57CE2-9FE3-9448-A8E9-E79AA9CED972}"/>
    <hyperlink ref="J452" r:id="rId737" xr:uid="{78A22953-29D1-E74F-B72D-3234DB551D37}"/>
    <hyperlink ref="J453" r:id="rId738" xr:uid="{10A7975B-1623-DA4E-9832-C63C5766FB2C}"/>
    <hyperlink ref="J454" r:id="rId739" xr:uid="{21FC684F-6DE1-204E-B66D-EA54E5E6BD52}"/>
    <hyperlink ref="J455" r:id="rId740" xr:uid="{CEA2A873-3185-8043-B065-028ACAA2DFE0}"/>
    <hyperlink ref="J456" r:id="rId741" xr:uid="{538CEE50-6E27-EF4F-BF9C-00D7B68E1E78}"/>
    <hyperlink ref="J457" r:id="rId742" xr:uid="{B569A16B-D704-A14C-949E-369551D8D983}"/>
    <hyperlink ref="J458" r:id="rId743" xr:uid="{6CAE0639-4D91-6941-89F4-8CAA0BAEA861}"/>
    <hyperlink ref="J459" r:id="rId744" xr:uid="{847EAB25-39CF-CC40-AC4C-4E9AA9361A0C}"/>
    <hyperlink ref="W459" r:id="rId745" xr:uid="{4217C907-15CA-2A43-BDD2-A61DB460617A}"/>
    <hyperlink ref="J460" r:id="rId746" xr:uid="{83E69081-D4C1-CC41-A731-3057DCC7E50B}"/>
    <hyperlink ref="W460" r:id="rId747" xr:uid="{4E8A8A6B-CFE2-1C44-B818-75C7E1BC7C97}"/>
    <hyperlink ref="J461" r:id="rId748" xr:uid="{93A3D0DB-D69E-A342-B8CF-7350848F2F1C}"/>
    <hyperlink ref="J462" r:id="rId749" xr:uid="{B36C12E4-024B-1A43-9468-9643924D0F92}"/>
    <hyperlink ref="J463" r:id="rId750" xr:uid="{E4856E95-01F9-A343-9DCD-C87CCF73431C}"/>
    <hyperlink ref="J464" r:id="rId751" xr:uid="{98D6344B-ABF1-9B41-8D78-E921F74F42D2}"/>
    <hyperlink ref="J465" r:id="rId752" xr:uid="{BF98B862-8BEC-814C-B74A-56CF2B95CEC6}"/>
    <hyperlink ref="J466" r:id="rId753" xr:uid="{30A2430F-079A-4C42-AD8B-026565E1B425}"/>
    <hyperlink ref="J467" r:id="rId754" xr:uid="{EABDA80C-E938-944C-A84B-69A65BD8C43A}"/>
    <hyperlink ref="W467" r:id="rId755" xr:uid="{0922EBBD-C070-6E43-AB87-DAF488F6F5B7}"/>
    <hyperlink ref="J468" r:id="rId756" xr:uid="{C0EB0502-77A5-3946-9E72-FC51F4DFD598}"/>
    <hyperlink ref="J469" r:id="rId757" xr:uid="{FCC7DBE3-F91A-2141-A3A3-3A27A09EA057}"/>
    <hyperlink ref="J470" r:id="rId758" xr:uid="{AAA60BD3-1101-624A-ABCD-CBB63F9B71A3}"/>
    <hyperlink ref="J471" r:id="rId759" xr:uid="{2EA51880-DC2F-744D-A7BC-855BF7CE6873}"/>
    <hyperlink ref="J472" r:id="rId760" xr:uid="{6F9CFCF2-6431-9D40-9147-3DEBB72EFF74}"/>
    <hyperlink ref="J473" r:id="rId761" xr:uid="{24E31D25-5B1E-7D4C-BF2C-5BA9EBE23DCC}"/>
    <hyperlink ref="W473" r:id="rId762" xr:uid="{989B1637-206D-C34D-81B4-FA37D9B2551D}"/>
    <hyperlink ref="J474" r:id="rId763" xr:uid="{72808801-5BDD-2440-BBAC-517D19DFB637}"/>
    <hyperlink ref="W474" r:id="rId764" xr:uid="{79E56236-4022-F144-8FB0-3B97AFA44FF6}"/>
    <hyperlink ref="J475" r:id="rId765" xr:uid="{259CD18F-01DB-0B47-BE25-C76ED2F90B37}"/>
    <hyperlink ref="W475" r:id="rId766" xr:uid="{7F0A11AE-D055-FE4A-986B-E4C86D589CE8}"/>
    <hyperlink ref="J476" r:id="rId767" xr:uid="{3576801A-73E6-744F-B77B-7F4B0F0E7468}"/>
    <hyperlink ref="J477" r:id="rId768" xr:uid="{15347899-0921-454F-979D-598F87123BA6}"/>
    <hyperlink ref="J478" r:id="rId769" xr:uid="{8BCF17DD-46FC-0442-8D89-74266946C9F4}"/>
    <hyperlink ref="W478" r:id="rId770" xr:uid="{72967BA7-A316-854F-9BAF-8165B2422F01}"/>
    <hyperlink ref="J479" r:id="rId771" xr:uid="{71A6799F-CF22-BE49-843F-1AE30AE6B368}"/>
    <hyperlink ref="J480" r:id="rId772" xr:uid="{01E3D85A-B356-024E-A5DF-7D7F02C25A0B}"/>
    <hyperlink ref="W480" r:id="rId773" xr:uid="{CE5739EE-E474-5144-86E2-226BE5B83E5F}"/>
    <hyperlink ref="J481" r:id="rId774" xr:uid="{AB71702C-2A81-6E4A-ABE1-2FB25C18636C}"/>
    <hyperlink ref="W481" r:id="rId775" xr:uid="{80B09A09-B024-204F-99E7-CA8D56F06C1D}"/>
    <hyperlink ref="J482" r:id="rId776" xr:uid="{2B45D48A-4B61-5840-B091-5E1DAD88C082}"/>
    <hyperlink ref="W482" r:id="rId777" xr:uid="{B2275135-8314-8E41-A130-DFEDD1A21311}"/>
    <hyperlink ref="J483" r:id="rId778" xr:uid="{EC41540C-A336-6247-870C-AF2232511F1E}"/>
    <hyperlink ref="W483" r:id="rId779" xr:uid="{7A19BDA1-D097-7249-B4DF-9256DB6A7238}"/>
    <hyperlink ref="J484" r:id="rId780" xr:uid="{1F1E2C7A-2327-0740-BFA7-FA170BB58002}"/>
    <hyperlink ref="W484" r:id="rId781" xr:uid="{865459DF-4340-5243-80B4-21DBA261C99C}"/>
    <hyperlink ref="J485" r:id="rId782" xr:uid="{13FDBD9B-E398-244B-9B34-91AFB3515D6B}"/>
    <hyperlink ref="W485" r:id="rId783" xr:uid="{34DA847D-6DD6-4C40-A58A-98FC13D965EF}"/>
    <hyperlink ref="J486" r:id="rId784" xr:uid="{EF3D752D-B961-FF41-A948-E0D21D7C3055}"/>
    <hyperlink ref="J487" r:id="rId785" xr:uid="{12CEEECC-2A6E-7E4B-B8EC-0167C8652683}"/>
    <hyperlink ref="W487" r:id="rId786" xr:uid="{3135C8AE-5EC5-3D46-B595-B547F5AEBF3E}"/>
    <hyperlink ref="J488" r:id="rId787" xr:uid="{EA586FA6-9AC0-FE4D-AF81-130753F8B630}"/>
    <hyperlink ref="J489" r:id="rId788" xr:uid="{372C2198-0682-1444-AFC7-92772213CA00}"/>
    <hyperlink ref="W489" r:id="rId789" xr:uid="{41C82EC3-3664-A146-8AA5-9BF639A4D2FD}"/>
    <hyperlink ref="J490" r:id="rId790" xr:uid="{B333FB94-48FE-DD4D-B143-94C0F70382F3}"/>
    <hyperlink ref="J491" r:id="rId791" xr:uid="{4BAB8388-EAD0-774C-BB39-43ED230FD087}"/>
    <hyperlink ref="J492" r:id="rId792" xr:uid="{DEDAF321-FA4B-4C4E-8DF8-6E5951B31132}"/>
    <hyperlink ref="W492" r:id="rId793" xr:uid="{94E44E4A-2B17-9941-9217-4E7F2FD25AE2}"/>
    <hyperlink ref="J493" r:id="rId794" xr:uid="{7AD3E3F8-1B24-324E-879E-EE9F0BEDE4B2}"/>
    <hyperlink ref="J494" r:id="rId795" xr:uid="{8E20EB0C-CFE7-8A49-B9B4-5AB8BD0182A6}"/>
    <hyperlink ref="W494" r:id="rId796" xr:uid="{173678B0-274B-2B4C-BFD2-2BC48D883F69}"/>
    <hyperlink ref="J495" r:id="rId797" xr:uid="{4FDFFE3A-6C50-CC46-B4C4-A790B361A115}"/>
    <hyperlink ref="W495" r:id="rId798" xr:uid="{360AD9EF-2717-AF41-ADDE-06D9FCFCD941}"/>
    <hyperlink ref="J496" r:id="rId799" xr:uid="{1272AC2F-1F94-E64C-8787-D385D52F7C9E}"/>
    <hyperlink ref="W496" r:id="rId800" xr:uid="{CB0BC245-5D12-004C-8B65-65541679EB34}"/>
    <hyperlink ref="J497" r:id="rId801" xr:uid="{CA1CA7A4-1F27-B744-B60B-9FBF93FDFF29}"/>
    <hyperlink ref="J498" r:id="rId802" xr:uid="{0CC460AA-167E-4D4C-92B9-4BCB51CBF0FB}"/>
    <hyperlink ref="J499" r:id="rId803" xr:uid="{87FA648E-795A-8C46-AA3A-312C4381AC29}"/>
    <hyperlink ref="W499" r:id="rId804" xr:uid="{0D09EF65-1D8B-284E-895D-5A6628457651}"/>
    <hyperlink ref="J500" r:id="rId805" xr:uid="{55A795B4-4D3B-4644-8682-2570840C41A6}"/>
    <hyperlink ref="W500" r:id="rId806" xr:uid="{C7586162-BDC6-0F4A-BE55-62067B72FE36}"/>
    <hyperlink ref="J501" r:id="rId807" xr:uid="{2B9C00AE-7BF2-DF4D-A1BA-D9880C4E9A44}"/>
    <hyperlink ref="W501" r:id="rId808" xr:uid="{21188FA2-480B-1A4D-A894-6BC1F3AA114D}"/>
    <hyperlink ref="J502" r:id="rId809" xr:uid="{4AAF1BAA-C846-FC4B-9400-50BA61A12464}"/>
    <hyperlink ref="W502" r:id="rId810" xr:uid="{A3270EBD-ECD1-E643-8884-77C4DB559882}"/>
    <hyperlink ref="J503" r:id="rId811" xr:uid="{338594D8-48D4-3B42-B8C7-1AC21A2DDD05}"/>
    <hyperlink ref="W503" r:id="rId812" xr:uid="{96D1ECCB-9230-CC41-84B6-895BCCBA94DC}"/>
    <hyperlink ref="J504" r:id="rId813" xr:uid="{97039A43-ACEA-A441-84A9-FA36D7C9E985}"/>
    <hyperlink ref="W504" r:id="rId814" xr:uid="{D8FD5EEE-9F19-3A4C-B624-D88455BD81C5}"/>
    <hyperlink ref="J505" r:id="rId815" xr:uid="{DD933BA6-2703-3A40-8ACA-803C359D20B1}"/>
    <hyperlink ref="W505" r:id="rId816" xr:uid="{99E499DA-2A0D-DA40-8FA1-0A929C5CD3AD}"/>
    <hyperlink ref="J506" r:id="rId817" xr:uid="{BE204C8E-5A59-674B-9C0F-917459B1F919}"/>
    <hyperlink ref="W506" r:id="rId818" xr:uid="{28FF699A-1ACB-E24E-A895-C18E716979D3}"/>
    <hyperlink ref="J507" r:id="rId819" xr:uid="{FB1956CF-E004-F344-B3E6-CA400C503F58}"/>
    <hyperlink ref="W507" r:id="rId820" xr:uid="{1C63EBE6-B02B-F043-B979-AD4B4D006341}"/>
    <hyperlink ref="J508" r:id="rId821" xr:uid="{0D0E5530-646A-244C-8E1D-4C85AB76B48B}"/>
    <hyperlink ref="W508" r:id="rId822" xr:uid="{C051AE35-9614-EA43-835E-3D0DBEEAE245}"/>
    <hyperlink ref="J509" r:id="rId823" xr:uid="{A6A01651-05AA-834D-B9EE-8C9DA567C21D}"/>
    <hyperlink ref="W509" r:id="rId824" xr:uid="{C6BFAAB3-C746-E24D-9B9B-6D7629A9605A}"/>
    <hyperlink ref="J510" r:id="rId825" xr:uid="{9D854681-58F6-0743-A68E-9F171411AC1E}"/>
    <hyperlink ref="W510" r:id="rId826" xr:uid="{719523E2-B6C5-3644-9D38-700842FCD820}"/>
    <hyperlink ref="J511" r:id="rId827" xr:uid="{426129DC-8F9F-F643-83FB-2C4CC2A2EF0E}"/>
    <hyperlink ref="W511" r:id="rId828" xr:uid="{E24A24F8-3CEE-2C44-BFBE-F8C7CCFBE73A}"/>
    <hyperlink ref="J512" r:id="rId829" xr:uid="{C726E9FF-8D32-A344-9371-0972EBC890C5}"/>
    <hyperlink ref="W512" r:id="rId830" xr:uid="{45D55734-5136-374B-9907-33DC92D5ED7E}"/>
    <hyperlink ref="J513" r:id="rId831" xr:uid="{E645383E-2734-314B-9F0E-C2059E067186}"/>
    <hyperlink ref="W513" r:id="rId832" xr:uid="{1BFB9EAF-DB6A-214A-9D98-54D9EF8074D7}"/>
    <hyperlink ref="J514" r:id="rId833" xr:uid="{AF41360E-A107-F744-8BAE-90E1B33BA529}"/>
    <hyperlink ref="W514" r:id="rId834" xr:uid="{161658DA-FEAD-5E45-A4CD-999734953ED4}"/>
    <hyperlink ref="J515" r:id="rId835" xr:uid="{8D57C616-45CF-474B-9A2B-E9D7CB085090}"/>
    <hyperlink ref="W515" r:id="rId836" xr:uid="{B1160403-A7CA-B348-BA13-A07BBC6E7EFA}"/>
    <hyperlink ref="J516" r:id="rId837" xr:uid="{C1C74BC3-CF45-0247-B5D5-F7603F9450AB}"/>
    <hyperlink ref="W516" r:id="rId838" xr:uid="{C57D803D-7E8C-454C-900D-EDC2F868C00E}"/>
    <hyperlink ref="J517" r:id="rId839" xr:uid="{F46AB47A-80D3-6F48-ABDA-721CD4D73BC1}"/>
    <hyperlink ref="W517" r:id="rId840" xr:uid="{1152101A-7951-F042-B84B-B12F99E8E19E}"/>
    <hyperlink ref="J518" r:id="rId841" xr:uid="{4A76DD63-86A2-474A-BA98-924CE80F4EB0}"/>
    <hyperlink ref="J519" r:id="rId842" xr:uid="{FF67627E-772C-384B-8A7F-AD7CD97AE2B0}"/>
    <hyperlink ref="W519" r:id="rId843" xr:uid="{D46CFC28-79F1-1445-9D54-BD82AF2E5923}"/>
    <hyperlink ref="J520" r:id="rId844" xr:uid="{0E9E254A-EF47-C24B-905E-DE99B93E6567}"/>
    <hyperlink ref="W520" r:id="rId845" xr:uid="{78058035-CDAE-764C-B210-7D0BD993DDE7}"/>
    <hyperlink ref="J521" r:id="rId846" xr:uid="{3C9B9078-F559-4F44-8A7C-53F01F86711D}"/>
    <hyperlink ref="W521" r:id="rId847" xr:uid="{AABCBAFF-6C2E-9D44-9545-71D4F3607CDB}"/>
    <hyperlink ref="J522" r:id="rId848" xr:uid="{FB731773-8D3A-3345-956E-96FA5D879E62}"/>
    <hyperlink ref="W522" r:id="rId849" xr:uid="{19B400B5-7D43-2B44-BD33-539059BAFFC7}"/>
    <hyperlink ref="J523" r:id="rId850" xr:uid="{F82F0E58-F916-FE4E-9580-1C6E806BD3B6}"/>
    <hyperlink ref="W523" r:id="rId851" xr:uid="{3CA57B8B-F4E3-8A44-8DC4-9FA3EACEA995}"/>
    <hyperlink ref="J524" r:id="rId852" xr:uid="{F29C3EA9-A2E7-8B48-8823-70DCDF9C6511}"/>
    <hyperlink ref="W524" r:id="rId853" xr:uid="{72CED71B-9406-EF47-A868-3A30C8A66C75}"/>
    <hyperlink ref="J525" r:id="rId854" xr:uid="{BDCADFA5-5B79-714A-B7D8-D876129A4518}"/>
    <hyperlink ref="J526" r:id="rId855" xr:uid="{43AD11DF-5797-4045-8557-BD0AF8213E36}"/>
    <hyperlink ref="W526" r:id="rId856" xr:uid="{A7068AD2-3089-1C41-8CEF-4EF56661069F}"/>
    <hyperlink ref="J527" r:id="rId857" xr:uid="{399EC9D3-BAE0-8B4F-A396-D2BB4094F0B9}"/>
    <hyperlink ref="AG527" r:id="rId858" xr:uid="{A6773E08-4B5E-4E45-BD1B-1C65A4C80EDF}"/>
    <hyperlink ref="J528" r:id="rId859" xr:uid="{20EF2B24-9EEB-A64E-A186-D99B3DD5EC26}"/>
    <hyperlink ref="W528" r:id="rId860" xr:uid="{D70191F4-A0F7-F946-A378-C3A14E64E060}"/>
    <hyperlink ref="J529" r:id="rId861" xr:uid="{6B943990-A05F-1042-90B3-1837805BC630}"/>
    <hyperlink ref="W529" r:id="rId862" xr:uid="{2B3A32C2-1DC8-9D4A-A000-FAF91AAC32DD}"/>
    <hyperlink ref="J530" r:id="rId863" xr:uid="{B2377329-C0BF-954B-9733-D39C61D97337}"/>
    <hyperlink ref="W530" r:id="rId864" xr:uid="{E190D1AE-CDCD-7444-A147-8008FF27BAEE}"/>
    <hyperlink ref="J531" r:id="rId865" xr:uid="{3C865AD6-155D-DF46-B598-B296B81C97CC}"/>
    <hyperlink ref="W531" r:id="rId866" xr:uid="{4DBA61AC-0D37-CD4F-870F-DD1C6A2D0ACE}"/>
    <hyperlink ref="J532" r:id="rId867" xr:uid="{CF7B5375-123D-1840-A10D-13798F34C754}"/>
    <hyperlink ref="W532" r:id="rId868" xr:uid="{E81D7022-5C89-394E-8F09-603DCE67EF1F}"/>
    <hyperlink ref="J533" r:id="rId869" xr:uid="{9DFD28D9-E56D-364B-BF54-08F225A694DC}"/>
    <hyperlink ref="W533" r:id="rId870" xr:uid="{9F05DDD7-2DEE-5E41-A9B0-445F47D1AE12}"/>
    <hyperlink ref="J534" r:id="rId871" xr:uid="{6C5F4224-2D2C-3740-B05F-2F80BA5E2597}"/>
    <hyperlink ref="W534" r:id="rId872" xr:uid="{1DCABAF9-5A7B-D24C-9C27-2EA5D1293F60}"/>
    <hyperlink ref="J535" r:id="rId873" xr:uid="{6645FC49-95B3-B94E-A152-5E8E899DD2E1}"/>
    <hyperlink ref="W535" r:id="rId874" xr:uid="{88EB299F-5803-E946-8A2E-D3A13C6FBAD6}"/>
    <hyperlink ref="J536" r:id="rId875" xr:uid="{46E25A48-68AC-C048-8F49-BBCE10B2396E}"/>
    <hyperlink ref="W536" r:id="rId876" xr:uid="{AC1C1ADA-3C5D-4447-94B0-3D65D9E791CB}"/>
    <hyperlink ref="J537" r:id="rId877" xr:uid="{8A76CF65-FDD2-6745-9AF2-7324F4FC9A02}"/>
    <hyperlink ref="J538" r:id="rId878" xr:uid="{F7BC9742-8B3B-E148-99E6-AA4134D13E1F}"/>
    <hyperlink ref="W538" r:id="rId879" xr:uid="{B6E946C5-FD70-9C4E-8514-7426DA73B659}"/>
    <hyperlink ref="J539" r:id="rId880" xr:uid="{EA96189F-8C8E-4749-93B7-3CB8AF9D6446}"/>
    <hyperlink ref="W539" r:id="rId881" xr:uid="{BCE90107-BD4B-9D46-89A2-A3C9442162AF}"/>
    <hyperlink ref="J540" r:id="rId882" xr:uid="{F9FBDB44-80F2-5643-AA10-CDD5BEC4CB77}"/>
    <hyperlink ref="W540" r:id="rId883" xr:uid="{6D3C7B30-8D3B-0749-888E-80D22203C6BF}"/>
    <hyperlink ref="J541" r:id="rId884" xr:uid="{FAE89876-A30B-E347-8D43-667B82892EBE}"/>
    <hyperlink ref="W541" r:id="rId885" xr:uid="{D00B638A-63B1-7F49-B48E-6575C062C41E}"/>
    <hyperlink ref="J542" r:id="rId886" xr:uid="{196B3924-E0CA-5B4E-AEF0-8E841EA5B19C}"/>
    <hyperlink ref="J543" r:id="rId887" xr:uid="{F0F11A2D-A15E-5E45-979E-2A536FB55D83}"/>
    <hyperlink ref="J544" r:id="rId888" xr:uid="{33542711-42AC-AC43-B2E3-41DE1E1D9239}"/>
    <hyperlink ref="W544" r:id="rId889" xr:uid="{A7E98A20-D2C1-4749-8B45-8ECB2D67005B}"/>
    <hyperlink ref="J545" r:id="rId890" xr:uid="{DF90FD66-FA44-6249-93A6-AE0E5505C6AF}"/>
    <hyperlink ref="W545" r:id="rId891" xr:uid="{45AA2541-8475-1A47-B28E-D7E87F4AA3B4}"/>
    <hyperlink ref="J546" r:id="rId892" xr:uid="{3139B9C7-4AF8-124F-A5BB-72A1065E4B6C}"/>
    <hyperlink ref="J547" r:id="rId893" xr:uid="{79A58ED5-66DC-484D-8AC5-749061597AA0}"/>
    <hyperlink ref="W547" r:id="rId894" xr:uid="{BE524C91-F00C-714B-86AF-93194E0AF787}"/>
    <hyperlink ref="J548" r:id="rId895" xr:uid="{A31F6AEB-DBCC-A54E-AC77-508988E6AE22}"/>
    <hyperlink ref="W548" r:id="rId896" xr:uid="{457C2E1E-A44E-1C4A-942C-3EF55B3F380A}"/>
    <hyperlink ref="J549" r:id="rId897" xr:uid="{1EBE51B3-A608-6041-8D96-D8950CA8176E}"/>
    <hyperlink ref="W549" r:id="rId898" xr:uid="{A9E03073-7163-CE49-8C06-B252C94D5A08}"/>
    <hyperlink ref="W550" r:id="rId899" xr:uid="{B82CCCC3-0DFD-444A-9AB0-EF8FCCAFDBFA}"/>
    <hyperlink ref="J551" r:id="rId900" xr:uid="{A3C47093-7C46-F847-BF27-AE13DCCBC7ED}"/>
    <hyperlink ref="W551" r:id="rId901" xr:uid="{B60B93FE-4187-2A44-80AE-17D033079E00}"/>
    <hyperlink ref="J552" r:id="rId902" xr:uid="{F0A2AA29-99D6-CF4B-B86B-3A2EBEC0321E}"/>
    <hyperlink ref="W552" r:id="rId903" xr:uid="{5DE5DB5E-DAA4-A548-95C3-12E848CEAC55}"/>
    <hyperlink ref="J553" r:id="rId904" xr:uid="{77325CE4-4518-2A4B-B953-96EE5EB9DB3F}"/>
    <hyperlink ref="W553" r:id="rId905" xr:uid="{177B89BF-C7EE-6247-A870-BB8C8DAEE2FB}"/>
    <hyperlink ref="J554" r:id="rId906" xr:uid="{89851CFF-09FE-1E40-9BC3-C298BB6B214E}"/>
    <hyperlink ref="W554" r:id="rId907" xr:uid="{C46272B6-8357-6B48-AA50-2E7A8D04BCB4}"/>
    <hyperlink ref="J555" r:id="rId908" xr:uid="{F44D77B4-D636-0B44-9B77-05E291956D56}"/>
    <hyperlink ref="J556" r:id="rId909" xr:uid="{1533EAFA-7077-1847-B430-8FAF8684F2C6}"/>
    <hyperlink ref="W556" r:id="rId910" xr:uid="{9BD930E4-F1A3-BC49-8D32-ABF633341B4C}"/>
    <hyperlink ref="J557" r:id="rId911" xr:uid="{F19BACD4-9BBA-0242-9615-FEE7C7B6050C}"/>
    <hyperlink ref="J558" r:id="rId912" xr:uid="{D1E2ECA1-DC90-7E45-8B8F-C480B117C394}"/>
    <hyperlink ref="J559" r:id="rId913" xr:uid="{7C804A90-F721-554E-A919-1000699670A1}"/>
    <hyperlink ref="W559" r:id="rId914" xr:uid="{44EACC0E-18B3-0549-BE42-5ADA8ECE8E80}"/>
    <hyperlink ref="J560" r:id="rId915" xr:uid="{49763755-748C-C645-AD3A-4E1BE69A1250}"/>
    <hyperlink ref="W560" r:id="rId916" xr:uid="{ACAFDC8E-1019-9F4D-BDFE-729E1ADFA797}"/>
    <hyperlink ref="J561" r:id="rId917" xr:uid="{6A3C4BD7-CD39-B64D-BD27-E2FB6B955DE7}"/>
    <hyperlink ref="W561" r:id="rId918" xr:uid="{F315E739-11CC-E34B-9425-4AE5D975B35A}"/>
    <hyperlink ref="J562" r:id="rId919" xr:uid="{DBE32EA4-DC46-7A40-ADBC-369E7442DC84}"/>
    <hyperlink ref="W562" r:id="rId920" xr:uid="{67E9B69E-20A4-6B4C-B898-B44EC408E00F}"/>
    <hyperlink ref="J563" r:id="rId921" xr:uid="{4DC9C40C-385F-3643-BFB8-ADB576ABA6FD}"/>
    <hyperlink ref="W563" r:id="rId922" xr:uid="{B3FBC780-3D32-344B-9477-8C560EC9815A}"/>
    <hyperlink ref="J564" r:id="rId923" xr:uid="{9A9CA5C7-6BC7-334B-976B-9D5F9E539467}"/>
    <hyperlink ref="W564" r:id="rId924" xr:uid="{E71BEE7E-EB56-3848-A76A-05179CBFA88D}"/>
    <hyperlink ref="J565" r:id="rId925" xr:uid="{A32FC423-3B98-774F-B1B6-F00FD511C944}"/>
    <hyperlink ref="W565" r:id="rId926" xr:uid="{04A25D66-8563-2E4F-8DE0-08F11D2A712B}"/>
    <hyperlink ref="J566" r:id="rId927" xr:uid="{60CEF5CC-D971-F241-8DC3-3A014B960DD5}"/>
    <hyperlink ref="W566" r:id="rId928" xr:uid="{C11E8D9A-FA20-674E-9F5F-B94563340884}"/>
    <hyperlink ref="J567" r:id="rId929" xr:uid="{CA6B869E-543D-AC4F-A6B4-E9F98D1C9E05}"/>
    <hyperlink ref="W567" r:id="rId930" xr:uid="{2608E6FE-9DDF-4342-9761-D69C31D73642}"/>
    <hyperlink ref="J568" r:id="rId931" xr:uid="{3B186096-72AC-044A-8C19-9F3833C13F5B}"/>
    <hyperlink ref="W568" r:id="rId932" xr:uid="{06541065-5FC3-114F-9843-11C2CFA05601}"/>
    <hyperlink ref="J569" r:id="rId933" xr:uid="{D0117B6B-3792-3042-9BE6-456F636C9566}"/>
    <hyperlink ref="W569" r:id="rId934" xr:uid="{B420878D-6729-7447-A20C-5D1A129BEA46}"/>
    <hyperlink ref="J570" r:id="rId935" xr:uid="{296EA3F8-CBB9-C941-9B09-9DA8D53B4620}"/>
    <hyperlink ref="W570" r:id="rId936" xr:uid="{F04F7C8A-0DA6-7E47-B041-BBAE20026B81}"/>
    <hyperlink ref="J571" r:id="rId937" xr:uid="{BD8FFF50-619F-C643-BB4F-4A8DC13190C1}"/>
    <hyperlink ref="W571" r:id="rId938" xr:uid="{A0AF79F3-C9C7-EC48-B830-8F597CFAAEDA}"/>
    <hyperlink ref="J572" r:id="rId939" xr:uid="{7048C7E5-B6C1-F641-866C-8FFAA84BD992}"/>
    <hyperlink ref="W572" r:id="rId940" xr:uid="{7C8AD6AD-C226-CF42-90A5-C6C6AB6345BC}"/>
    <hyperlink ref="J573" r:id="rId941" xr:uid="{7EE0250F-E1A7-F94F-B446-71FF437CFB95}"/>
    <hyperlink ref="W573" r:id="rId942" xr:uid="{7CB4C659-B5D7-894C-AB02-53CAAEA8AFE1}"/>
    <hyperlink ref="J574" r:id="rId943" xr:uid="{A7BF0FFB-038C-E94C-B4FD-4CDC6C0FD3E7}"/>
    <hyperlink ref="W574" r:id="rId944" xr:uid="{63B016E5-0A44-5640-A0E8-B6D9966E96C7}"/>
    <hyperlink ref="J575" r:id="rId945" xr:uid="{EE957473-E81A-B149-BB87-D13D96D380BB}"/>
    <hyperlink ref="W575" r:id="rId946" xr:uid="{89CB1014-93F7-BD47-9486-F714D6B1438C}"/>
    <hyperlink ref="J576" r:id="rId947" xr:uid="{D7B5C8D6-155C-4C43-ACEF-720A4AF40647}"/>
    <hyperlink ref="W576" r:id="rId948" xr:uid="{956CE23E-CE8A-3241-8CAD-3D170C11BC1C}"/>
    <hyperlink ref="J577" r:id="rId949" xr:uid="{5AB35E00-758D-A843-B22E-FB05A87F09CB}"/>
    <hyperlink ref="W577" r:id="rId950" xr:uid="{0E978C2A-C6E2-9A45-ACAA-9D25A0BE2213}"/>
    <hyperlink ref="J578" r:id="rId951" xr:uid="{08A1B0CB-128A-E34A-8A07-FB6DF76DAF02}"/>
    <hyperlink ref="W578" r:id="rId952" xr:uid="{FD98ACD4-1E12-A64E-9C03-C2C53D0F7FCE}"/>
    <hyperlink ref="J579" r:id="rId953" xr:uid="{BB3415AB-5678-874D-ACF0-64B3D05E173C}"/>
    <hyperlink ref="W579" r:id="rId954" xr:uid="{B2614E75-CA98-DC4D-B403-C3EA1EC5DE59}"/>
    <hyperlink ref="J580" r:id="rId955" xr:uid="{D1D54119-BDA6-E34B-82B1-2AEAD986113B}"/>
    <hyperlink ref="W580" r:id="rId956" xr:uid="{4BD134A5-6FFB-F349-896B-110E9673F314}"/>
    <hyperlink ref="J581" r:id="rId957" xr:uid="{F1B3BD1D-6917-C54D-8599-905ECE88820E}"/>
    <hyperlink ref="J582" r:id="rId958" xr:uid="{81B2490A-4972-DE49-9149-191C469690D2}"/>
    <hyperlink ref="W582" r:id="rId959" xr:uid="{859E13F6-7527-5B4D-AD70-169E13E67D64}"/>
    <hyperlink ref="J583" r:id="rId960" xr:uid="{F81EB515-319F-3847-9ADA-55F4CB5630A1}"/>
    <hyperlink ref="J584" r:id="rId961" xr:uid="{6629A36F-E38D-AB44-82F0-7B00D82A2FD0}"/>
    <hyperlink ref="W584" r:id="rId962" xr:uid="{8C8C1CBC-D303-3D48-A1A0-5536854B4494}"/>
    <hyperlink ref="J585" r:id="rId963" xr:uid="{68C05DBA-4257-224F-96E1-28EF051DC6F0}"/>
    <hyperlink ref="W585" r:id="rId964" xr:uid="{B676362A-724B-7244-B2DA-23B9F6141C5F}"/>
    <hyperlink ref="J586" r:id="rId965" xr:uid="{BD4EB4D6-66FC-0941-B738-D5DB34A4460F}"/>
    <hyperlink ref="W586" r:id="rId966" xr:uid="{3D689512-9D2F-8C4E-B633-CB6C818A447F}"/>
    <hyperlink ref="J587" r:id="rId967" xr:uid="{B2102E77-5949-154D-BECC-F021F9F3B782}"/>
    <hyperlink ref="W587" r:id="rId968" xr:uid="{B45178B3-6109-C54E-8B73-9BE0E9C9052B}"/>
    <hyperlink ref="J588" r:id="rId969" xr:uid="{37DBADB4-DAFF-B74A-8EF2-34150F3F116F}"/>
    <hyperlink ref="W588" r:id="rId970" xr:uid="{0EABB93A-6457-A046-9984-A196CA6DC74A}"/>
    <hyperlink ref="J589" r:id="rId971" xr:uid="{E939D3C6-C067-FF4F-BC81-5B5B842B2A2C}"/>
    <hyperlink ref="W589" r:id="rId972" xr:uid="{44E6F89B-A65B-5549-976E-467EFBBC3346}"/>
    <hyperlink ref="J590" r:id="rId973" xr:uid="{6957CAD9-D999-0845-A256-91B2BBE0C41E}"/>
    <hyperlink ref="W590" r:id="rId974" xr:uid="{507FED92-3468-5D42-A52A-B50C86BF2F01}"/>
    <hyperlink ref="J591" r:id="rId975" xr:uid="{8DF9DEFC-3D00-034E-AD00-38AFB8320DB1}"/>
    <hyperlink ref="J592" r:id="rId976" xr:uid="{08C1BF73-A8D1-2543-93E5-4C9B7A8DDEA3}"/>
    <hyperlink ref="W592" r:id="rId977" xr:uid="{DEC1AD52-7AEC-D84E-9677-6A0000E0D142}"/>
    <hyperlink ref="J593" r:id="rId978" xr:uid="{D4FED297-0311-7A47-B7D0-7E09C70737CC}"/>
    <hyperlink ref="J594" r:id="rId979" xr:uid="{EE5B0CFF-FCD4-6C47-83FC-6BF1EE6434B9}"/>
    <hyperlink ref="W594" r:id="rId980" xr:uid="{AF0A0455-1638-F649-A26D-D50028597BA7}"/>
    <hyperlink ref="J595" r:id="rId981" xr:uid="{555DE823-55FA-9341-BEE6-EBBDF04E6C23}"/>
    <hyperlink ref="J596" r:id="rId982" xr:uid="{70434B8E-9BD6-DD41-86B6-8F3C9508AC7D}"/>
    <hyperlink ref="W596" r:id="rId983" xr:uid="{6D618483-CD79-284B-B4DC-7F00D58C9D93}"/>
    <hyperlink ref="J597" r:id="rId984" xr:uid="{7CA6A373-46AF-0B45-ACC0-31804D0F6A07}"/>
    <hyperlink ref="W597" r:id="rId985" xr:uid="{DBF32CCA-DD44-8C41-B0E8-785047F87024}"/>
    <hyperlink ref="J598" r:id="rId986" xr:uid="{FEAE9509-1C94-C140-9A07-6CACFCADE2B1}"/>
    <hyperlink ref="W598" r:id="rId987" xr:uid="{E1D08292-ADFA-F942-8BDA-15110E81EC26}"/>
    <hyperlink ref="J599" r:id="rId988" xr:uid="{682390A3-D3DC-2D42-9971-8C667B16D8F8}"/>
    <hyperlink ref="W599" r:id="rId989" xr:uid="{CA04969F-FCF4-9342-8A98-91DFAED88C0D}"/>
    <hyperlink ref="J600" r:id="rId990" xr:uid="{600C02D9-4BE7-C747-A87E-444F2D32821E}"/>
    <hyperlink ref="W600" r:id="rId991" xr:uid="{7E1361FD-1CE2-4C4F-8C25-BECDDCEC2C60}"/>
    <hyperlink ref="J601" r:id="rId992" xr:uid="{DC6C0D03-E670-8644-B652-C6B21FAA9E90}"/>
    <hyperlink ref="J602" r:id="rId993" xr:uid="{F5B28B8F-60C5-2C4E-AE4F-8A9CE85C1238}"/>
    <hyperlink ref="W602" r:id="rId994" xr:uid="{FB8AE7A5-67E9-CC4D-8757-5DB5C93F9C4D}"/>
    <hyperlink ref="J603" r:id="rId995" xr:uid="{EF6C7D40-C424-F546-805D-E349A1340146}"/>
    <hyperlink ref="J604" r:id="rId996" xr:uid="{AAF0294A-340B-9648-AA9C-45D3D0323373}"/>
    <hyperlink ref="J605" r:id="rId997" xr:uid="{C32AF8ED-C291-9B4D-9328-C4B449D4DD43}"/>
    <hyperlink ref="W605" r:id="rId998" xr:uid="{10C35908-4E6D-934A-A048-2F64C1EFF7FF}"/>
    <hyperlink ref="J606" r:id="rId999" xr:uid="{BB3B313B-6685-F04E-8288-1E4F8FCD9468}"/>
    <hyperlink ref="J607" r:id="rId1000" xr:uid="{0DECC8DF-296B-484E-952F-602B6A66A76A}"/>
    <hyperlink ref="J608" r:id="rId1001" xr:uid="{EABA211F-185D-F446-8781-8E5890F7EC23}"/>
    <hyperlink ref="J609" r:id="rId1002" xr:uid="{C605F675-97B9-5240-91A8-AA58957BA4E9}"/>
    <hyperlink ref="W609" r:id="rId1003" xr:uid="{658CD379-A14A-7345-B305-A30FD7B72180}"/>
    <hyperlink ref="J610" r:id="rId1004" xr:uid="{3F5DAA1E-0E59-2742-83E5-211CB1F2FF01}"/>
    <hyperlink ref="W610" r:id="rId1005" xr:uid="{8948D718-DCF7-E844-BFEB-F541469C6042}"/>
    <hyperlink ref="J611" r:id="rId1006" xr:uid="{EDBD550A-086A-D745-BF5F-D41573D19C4F}"/>
    <hyperlink ref="J612" r:id="rId1007" xr:uid="{CCDB7BA7-19BB-6E4B-99E8-001AD0680959}"/>
    <hyperlink ref="W612" r:id="rId1008" xr:uid="{C8702357-03BC-7247-804C-EA21E1CB3B56}"/>
    <hyperlink ref="J613" r:id="rId1009" xr:uid="{A089A617-9C60-FC47-84E5-5005E7D50244}"/>
    <hyperlink ref="J614" r:id="rId1010" xr:uid="{7A73BEDD-C391-A142-986A-AF0B2D288EC9}"/>
    <hyperlink ref="W614" r:id="rId1011" xr:uid="{73AC4027-810B-E744-8302-A0534D2AEAC4}"/>
    <hyperlink ref="J615" r:id="rId1012" xr:uid="{3A387BC3-F5CB-A046-A18B-B9A5B9E985CD}"/>
    <hyperlink ref="J616" r:id="rId1013" xr:uid="{0B3E1150-D125-3040-B04B-A63DDC27F397}"/>
    <hyperlink ref="W616" r:id="rId1014" xr:uid="{242993EE-84CB-6647-85FA-501AF5661666}"/>
    <hyperlink ref="J617" r:id="rId1015" xr:uid="{D1A5A1C9-3127-174A-A938-D6A57FC028DA}"/>
    <hyperlink ref="J618" r:id="rId1016" xr:uid="{574CAA80-3309-414A-961E-83F5D645D762}"/>
    <hyperlink ref="J619" r:id="rId1017" xr:uid="{42230F56-FC06-E345-BEB6-F7332E40884F}"/>
    <hyperlink ref="W619" r:id="rId1018" xr:uid="{5F8A238D-455A-D941-9690-D58BE8FE5A10}"/>
    <hyperlink ref="J620" r:id="rId1019" xr:uid="{0DAAC8E0-CC5D-7C44-8353-D2BB71B385EC}"/>
    <hyperlink ref="W620" r:id="rId1020" xr:uid="{6064AEC1-D6C1-FE4A-BF00-AF77418C8438}"/>
    <hyperlink ref="J621" r:id="rId1021" xr:uid="{94A8D707-01FA-4D44-B8AD-B1B1E38A1A87}"/>
    <hyperlink ref="J622" r:id="rId1022" xr:uid="{C41EB27B-8EE5-2F40-AE17-1FB352F851DB}"/>
    <hyperlink ref="W622" r:id="rId1023" xr:uid="{E4AB45DF-04F8-B247-B7B0-CE68717F6C0B}"/>
    <hyperlink ref="J623" r:id="rId1024" xr:uid="{AD270D13-8B4B-E24D-AED5-9312CAADBAEA}"/>
    <hyperlink ref="W623" r:id="rId1025" xr:uid="{F6A43DF3-B4A9-6C4B-8CDE-317DF33470BB}"/>
    <hyperlink ref="J624" r:id="rId1026" xr:uid="{8453C15D-631A-A040-A0F7-D940403ADE6F}"/>
    <hyperlink ref="W624" r:id="rId1027" xr:uid="{CDD3A083-19C8-1A41-BBD1-2F2CCB1BB7C0}"/>
    <hyperlink ref="J625" r:id="rId1028" xr:uid="{230333DF-EF0E-DD4B-B5B1-60AF86BABCC5}"/>
    <hyperlink ref="W625" r:id="rId1029" xr:uid="{6324BF43-4097-4B45-83ED-18A307E7A743}"/>
    <hyperlink ref="J626" r:id="rId1030" xr:uid="{679E12A1-14C0-624D-89DD-D64584165F1E}"/>
    <hyperlink ref="W626" r:id="rId1031" xr:uid="{DFDB3C59-B2A3-7346-9CFA-056A50AAA12B}"/>
    <hyperlink ref="J627" r:id="rId1032" xr:uid="{DC8A9EFC-3F22-6647-9CD5-653D36A0F567}"/>
    <hyperlink ref="W627" r:id="rId1033" xr:uid="{701D16D0-6316-CD41-8B41-2FAF00AF2723}"/>
    <hyperlink ref="J628" r:id="rId1034" xr:uid="{E1C77953-1BDD-744F-8342-20888BB431AD}"/>
    <hyperlink ref="J629" r:id="rId1035" xr:uid="{867DEC4B-EE61-BD42-A67C-E97AE983D852}"/>
    <hyperlink ref="W629" r:id="rId1036" xr:uid="{AD4C6BA5-AEDE-BB48-81DA-51DF034CC4AD}"/>
    <hyperlink ref="J630" r:id="rId1037" xr:uid="{D66F7A6B-8634-4E41-AE54-C9153D724363}"/>
    <hyperlink ref="W630" r:id="rId1038" xr:uid="{EB37A642-7EE0-824A-AD9D-085B1304EFB6}"/>
    <hyperlink ref="J631" r:id="rId1039" xr:uid="{FE87A95B-88C8-B54A-AD41-8131325CAE9F}"/>
    <hyperlink ref="W631" r:id="rId1040" xr:uid="{8155A7A0-DB0E-7842-960F-A887FEB3B719}"/>
    <hyperlink ref="J632" r:id="rId1041" xr:uid="{299929ED-534C-964A-944C-4CE0FFF4325E}"/>
    <hyperlink ref="W632" r:id="rId1042" xr:uid="{A1F65979-BA69-0649-B1C6-87D1CA950498}"/>
    <hyperlink ref="J633" r:id="rId1043" xr:uid="{241F1CE1-F38F-D440-B479-8AFC33B8DCBE}"/>
    <hyperlink ref="W633" r:id="rId1044" xr:uid="{41A636CC-52F9-EB48-B587-B8DB46B9C627}"/>
    <hyperlink ref="J634" r:id="rId1045" xr:uid="{600DB57C-163F-704C-8EEF-3213A62D5BFE}"/>
    <hyperlink ref="W634" r:id="rId1046" xr:uid="{8F6AF5C2-8540-DB4A-9604-3FAFB84C4CA2}"/>
    <hyperlink ref="J635" r:id="rId1047" xr:uid="{94402109-C3C7-F24C-A442-ECE83B2CCEEB}"/>
    <hyperlink ref="J636" r:id="rId1048" xr:uid="{1CE10577-8B98-D443-A1C7-AA220299CA47}"/>
    <hyperlink ref="J637" r:id="rId1049" xr:uid="{172EBE55-B251-D24F-80AF-66C1CED4EA0D}"/>
    <hyperlink ref="W637" r:id="rId1050" xr:uid="{AF984232-F5AF-C748-B045-8DCAF4C06DDF}"/>
    <hyperlink ref="J638" r:id="rId1051" xr:uid="{A2C1A61C-FFEF-814F-9F57-B84DAA64DB0A}"/>
    <hyperlink ref="W638" r:id="rId1052" xr:uid="{E8C73046-41B7-8248-B19B-2AE34BAA1569}"/>
    <hyperlink ref="J639" r:id="rId1053" xr:uid="{D4B1B09D-2604-3D45-90E3-62D635E201A6}"/>
    <hyperlink ref="J640" r:id="rId1054" xr:uid="{95AD92E8-5DE6-DF44-B449-059FB190CA79}"/>
    <hyperlink ref="W640" r:id="rId1055" xr:uid="{7C6F5C9E-A253-564B-ADA5-972C90BD485F}"/>
    <hyperlink ref="J641" r:id="rId1056" xr:uid="{CCF2BDA4-BB7F-2D43-A8A4-0E44C9EAE762}"/>
    <hyperlink ref="W641" r:id="rId1057" xr:uid="{407F3350-DE42-A54F-99B5-E20E1A37EA5E}"/>
    <hyperlink ref="J642" r:id="rId1058" xr:uid="{CA809B0E-911B-2243-A178-C3D4F5BDEC33}"/>
    <hyperlink ref="J643" r:id="rId1059" xr:uid="{BFE7625D-7301-644A-8948-35E641BD0CFE}"/>
    <hyperlink ref="J644" r:id="rId1060" xr:uid="{1342794B-123F-F84C-917A-682CD629BC92}"/>
    <hyperlink ref="W644" r:id="rId1061" xr:uid="{E11042F8-E2DA-C643-A152-7A8F1AB4D261}"/>
    <hyperlink ref="J645" r:id="rId1062" xr:uid="{AFE2E3F1-E598-D948-830C-AA166A138ED7}"/>
    <hyperlink ref="W645" r:id="rId1063" xr:uid="{E10D9E54-F578-184E-8A8F-D0DC27135EA8}"/>
    <hyperlink ref="J646" r:id="rId1064" xr:uid="{FB85A32F-835E-3D4E-A104-B356D978827E}"/>
    <hyperlink ref="W646" r:id="rId1065" xr:uid="{99CB14DE-525E-2E45-B9BA-F4AEB8D2CF62}"/>
    <hyperlink ref="J647" r:id="rId1066" xr:uid="{F63412F9-BE92-104E-8DE1-2CB21483E987}"/>
    <hyperlink ref="J648" r:id="rId1067" xr:uid="{78A4AAB4-4812-F84D-97BE-4655FB589351}"/>
    <hyperlink ref="J649" r:id="rId1068" xr:uid="{36B5BE35-6677-CB41-B3EE-DDDF448102FD}"/>
    <hyperlink ref="W649" r:id="rId1069" xr:uid="{04AC5C44-9ED4-DD43-B8A4-D67DED44F226}"/>
    <hyperlink ref="J650" r:id="rId1070" xr:uid="{8646980B-0EC8-7C42-BE37-BA4CEB945BE4}"/>
    <hyperlink ref="W650" r:id="rId1071" xr:uid="{E6F9FA3E-1F21-214C-8D73-EB6220ED6E06}"/>
    <hyperlink ref="J651" r:id="rId1072" xr:uid="{C5C3022E-7052-9446-B9CA-5BCC83713DF0}"/>
    <hyperlink ref="W651" r:id="rId1073" xr:uid="{EABB4286-7DDC-A64E-BEED-82E2CFD0BDE0}"/>
    <hyperlink ref="J652" r:id="rId1074" xr:uid="{F75BFED0-D418-6A46-BFA5-1EC414B8076C}"/>
    <hyperlink ref="W652" r:id="rId1075" xr:uid="{86012468-D62A-0849-95FA-ADF730F06D27}"/>
    <hyperlink ref="J653" r:id="rId1076" xr:uid="{C265EBE3-88C3-CE41-902C-6AA0F735E492}"/>
    <hyperlink ref="W653" r:id="rId1077" xr:uid="{4326B926-10DC-CE45-B00B-D853985F50CF}"/>
    <hyperlink ref="J654" r:id="rId1078" xr:uid="{B7F2B86E-7E53-874E-A169-51BDFB7ACAC4}"/>
    <hyperlink ref="W654" r:id="rId1079" xr:uid="{CA816169-8BA6-C14F-81C6-E68BF19A71C6}"/>
    <hyperlink ref="J655" r:id="rId1080" xr:uid="{EF1E2F4E-C8E0-8141-A473-54748DD83910}"/>
    <hyperlink ref="W655" r:id="rId1081" xr:uid="{F31798C2-983D-D64A-952B-36038F3821DA}"/>
    <hyperlink ref="J656" r:id="rId1082" xr:uid="{9B8BFA3D-CD4A-874E-82AF-C9DFF20A1CCE}"/>
    <hyperlink ref="J657" r:id="rId1083" xr:uid="{5262596F-475E-3446-8721-8AE2E64BDF5D}"/>
    <hyperlink ref="J658" r:id="rId1084" xr:uid="{647395FA-76C7-0144-8FE7-2296675C2A11}"/>
    <hyperlink ref="W658" r:id="rId1085" xr:uid="{B658DC7F-2BC2-894C-8D56-476F3AF90FC7}"/>
    <hyperlink ref="J659" r:id="rId1086" xr:uid="{D20FD2BA-E25B-F842-8398-2560E25071BE}"/>
    <hyperlink ref="J660" r:id="rId1087" xr:uid="{97DD0A3A-F2EB-4949-A283-0C1DD05B1B8E}"/>
    <hyperlink ref="J661" r:id="rId1088" xr:uid="{58118BCF-2E51-CD47-99F8-7BFA0D6452CA}"/>
    <hyperlink ref="J662" r:id="rId1089" xr:uid="{5275A7B7-9A0D-294C-AB9E-04737EF0F6FB}"/>
    <hyperlink ref="J663" r:id="rId1090" xr:uid="{B4EA9AFC-3B4C-DC49-B521-0259D4BC197C}"/>
    <hyperlink ref="W663" r:id="rId1091" xr:uid="{C6479188-5159-DD4C-A95D-0F3FBA8E9950}"/>
    <hyperlink ref="J664" r:id="rId1092" xr:uid="{6E4BE2E1-1E4F-C544-A79F-AAB65D677B0D}"/>
    <hyperlink ref="J665" r:id="rId1093" xr:uid="{246AC30E-7884-6D43-810C-C34372A80675}"/>
    <hyperlink ref="J666" r:id="rId1094" xr:uid="{1449D664-C762-024B-81F4-8750BC51383C}"/>
    <hyperlink ref="J667" r:id="rId1095" xr:uid="{B3870DE2-2868-6E4E-A037-4110648F59A4}"/>
    <hyperlink ref="W667" r:id="rId1096" xr:uid="{63166744-240C-2142-A63E-EC88FB771E8F}"/>
    <hyperlink ref="J668" r:id="rId1097" xr:uid="{D087A4BA-E253-6C41-B11E-90EF71DB47B0}"/>
    <hyperlink ref="J669" r:id="rId1098" xr:uid="{BAA292B7-1440-6648-BFA1-12506C889A71}"/>
    <hyperlink ref="J670" r:id="rId1099" xr:uid="{491CDEA3-B6F9-CA47-BE65-A0CED535A413}"/>
    <hyperlink ref="J671" r:id="rId1100" xr:uid="{F110ACF0-5505-DA44-AEA2-B79125A675BB}"/>
    <hyperlink ref="W671" r:id="rId1101" xr:uid="{7AD81A96-22F4-874A-94C2-A19BDEC7969B}"/>
    <hyperlink ref="J672" r:id="rId1102" xr:uid="{9ACB8158-6E7C-D242-B6B7-98B24D477CA7}"/>
    <hyperlink ref="W672" r:id="rId1103" xr:uid="{8A350A0F-4401-2940-82A6-9911977341B5}"/>
    <hyperlink ref="J673" r:id="rId1104" xr:uid="{665C473B-7694-6D49-9E01-5C18F06BFB22}"/>
    <hyperlink ref="W673" r:id="rId1105" xr:uid="{AC88711A-2192-1F40-99B4-12D898BA2E68}"/>
    <hyperlink ref="J674" r:id="rId1106" xr:uid="{3C3F77C1-C116-C945-AFDD-B9B47E4D8E66}"/>
    <hyperlink ref="J675" r:id="rId1107" xr:uid="{8EBCC67A-4C1C-9045-BAB0-ED2B7E75ABF7}"/>
    <hyperlink ref="W675" r:id="rId1108" xr:uid="{915C56B8-92CC-424A-8001-BEED03AFC4A1}"/>
    <hyperlink ref="J676" r:id="rId1109" xr:uid="{071837F1-3FE9-2143-8F92-8FA5C36DEDD5}"/>
    <hyperlink ref="J677" r:id="rId1110" xr:uid="{CCE0B338-CB7E-5247-8311-17E47A5261F5}"/>
    <hyperlink ref="J678" r:id="rId1111" xr:uid="{06F5D7AE-49DA-8D43-9506-D5BBBFF1400F}"/>
    <hyperlink ref="J679" r:id="rId1112" xr:uid="{6EDD5891-9A1E-1348-B5A5-AAA0936A2E86}"/>
    <hyperlink ref="J680" r:id="rId1113" xr:uid="{2B49581E-F567-FC4D-A0E5-F326DD01AC59}"/>
    <hyperlink ref="J681" r:id="rId1114" xr:uid="{143E7C8D-2F54-D546-9380-E371C0C38658}"/>
    <hyperlink ref="J682" r:id="rId1115" xr:uid="{3A40227A-E798-E84E-BA7C-F5979F822B8D}"/>
    <hyperlink ref="W682" r:id="rId1116" xr:uid="{98D4436C-4A6F-4B4F-A9B9-56C455FE54A2}"/>
    <hyperlink ref="J683" r:id="rId1117" xr:uid="{FE1511F3-F4F6-4C44-8FDE-DBB6863A6545}"/>
    <hyperlink ref="J684" r:id="rId1118" xr:uid="{20B80901-9FA0-2B4F-AE93-2F83CCB8EBF8}"/>
    <hyperlink ref="J685" r:id="rId1119" xr:uid="{F49C7FE2-DB1D-7546-A8AA-1CFB07F4DA79}"/>
    <hyperlink ref="J686" r:id="rId1120" xr:uid="{B0ADDA46-8B7E-9A4B-BA12-FE9A979A8E80}"/>
    <hyperlink ref="J687" r:id="rId1121" xr:uid="{84AAD049-EA37-3B46-B27E-847F33CC3BC9}"/>
    <hyperlink ref="J688" r:id="rId1122" xr:uid="{253A6741-0A8B-DA47-BFF3-5702CD01E73D}"/>
    <hyperlink ref="J689" r:id="rId1123" xr:uid="{9E03028E-CED6-DB45-A9FB-1054D56805AB}"/>
    <hyperlink ref="J690" r:id="rId1124" xr:uid="{37CE4898-0D3F-A743-BE49-D78EB9249911}"/>
    <hyperlink ref="J691" r:id="rId1125" xr:uid="{B4EF6721-4B1A-C14E-A618-E96B0D4D2133}"/>
    <hyperlink ref="J692" r:id="rId1126" xr:uid="{D9310D70-FE91-0744-9182-DF5737850C23}"/>
    <hyperlink ref="J693" r:id="rId1127" xr:uid="{1BFE37BE-C0F9-E344-9626-100BC9267110}"/>
    <hyperlink ref="J694" r:id="rId1128" xr:uid="{A00502B3-8413-FB46-887A-1D83E8CA58B8}"/>
    <hyperlink ref="J695" r:id="rId1129" xr:uid="{E52A32AF-B4BD-9341-BCB1-C515C7C713A5}"/>
    <hyperlink ref="J696" r:id="rId1130" xr:uid="{CCB40DA3-33D2-5C41-9739-257F63CE0A7A}"/>
    <hyperlink ref="J697" r:id="rId1131" xr:uid="{D3D1C37E-0DD8-F040-8568-010AF17B8262}"/>
    <hyperlink ref="J698" r:id="rId1132" xr:uid="{A77ED047-2F7A-614E-B60B-FC1153447DD3}"/>
    <hyperlink ref="J699" r:id="rId1133" xr:uid="{36095EF1-8B9D-BC44-A3A3-471C5A5814EC}"/>
    <hyperlink ref="J700" r:id="rId1134" xr:uid="{7A4481C1-034E-B44A-9D73-60E4E4E12593}"/>
    <hyperlink ref="J701" r:id="rId1135" xr:uid="{67E5460E-521E-CC45-AAC3-260BCC56ED57}"/>
    <hyperlink ref="J702" r:id="rId1136" xr:uid="{D668A321-12AE-FA40-98A2-E4ED064B1DDB}"/>
    <hyperlink ref="J703" r:id="rId1137" xr:uid="{A3A9C4CA-EAE1-F64B-8C2A-CF07FB55C5F1}"/>
    <hyperlink ref="J704" r:id="rId1138" xr:uid="{A2DA7C35-79FA-D84A-AF27-3BAC02D314CF}"/>
    <hyperlink ref="J705" r:id="rId1139" xr:uid="{A8746D1F-F50C-5248-9405-1DD4FE5D341C}"/>
    <hyperlink ref="J706" r:id="rId1140" xr:uid="{DFED0B49-ED03-7D48-8146-AABD3D915ED5}"/>
    <hyperlink ref="J707" r:id="rId1141" xr:uid="{C1D4A0AD-D21C-694C-BB56-7751D66B59D3}"/>
    <hyperlink ref="J708" r:id="rId1142" xr:uid="{D4857D69-7418-F443-9233-269A76EC2945}"/>
    <hyperlink ref="J709" r:id="rId1143" xr:uid="{4D50B01A-A937-AE4C-B398-869831344EC2}"/>
    <hyperlink ref="AH709" r:id="rId1144" xr:uid="{63513ED8-6667-C649-BF7C-F1B946977DFD}"/>
    <hyperlink ref="J710" r:id="rId1145" xr:uid="{7C06C99C-568C-3B45-B9D7-AA3D74358AC5}"/>
    <hyperlink ref="J711" r:id="rId1146" xr:uid="{FCA7578D-AE2C-F640-BB12-3D4BAFF9AE5C}"/>
    <hyperlink ref="J712" r:id="rId1147" xr:uid="{560BE3BD-2BD1-8C44-A573-63040076BAF2}"/>
    <hyperlink ref="J713" r:id="rId1148" xr:uid="{A56F0913-F174-654E-8DAE-34A84087E0CB}"/>
    <hyperlink ref="J714" r:id="rId1149" xr:uid="{48471C63-BA52-2C4C-A355-504C8D51B3EB}"/>
    <hyperlink ref="J715" r:id="rId1150" xr:uid="{B2B02AEF-2F75-6346-8C8B-B79B5EFDAA6B}"/>
    <hyperlink ref="J716" r:id="rId1151" xr:uid="{73373835-53F6-814E-97E7-D2FA0A88505E}"/>
    <hyperlink ref="J717" r:id="rId1152" xr:uid="{3E58E4FE-84BB-C640-BAD4-A2A45E73E248}"/>
    <hyperlink ref="J718" r:id="rId1153" xr:uid="{732FE151-15DB-E440-A9FC-88D094C99CCC}"/>
    <hyperlink ref="J719" r:id="rId1154" xr:uid="{47D0F99D-6A5F-ED45-B4FA-A4E731BE2861}"/>
    <hyperlink ref="W719" r:id="rId1155" xr:uid="{7EAB712A-47F4-1749-A6F8-C72CED2C73E8}"/>
    <hyperlink ref="J720" r:id="rId1156" xr:uid="{36CDC664-E169-E646-8ABD-FA929EC3B9BA}"/>
    <hyperlink ref="J721" r:id="rId1157" xr:uid="{AD30DD62-770D-4945-8418-71EB43827F6A}"/>
    <hyperlink ref="J722" r:id="rId1158" xr:uid="{953BE42F-FEA0-A44D-B405-8097965016CA}"/>
    <hyperlink ref="J723" r:id="rId1159" xr:uid="{9388F419-566F-6649-A5DF-2840E2B622C4}"/>
    <hyperlink ref="J724" r:id="rId1160" xr:uid="{A52E3B7E-C0FB-864B-AF96-8CCD54771186}"/>
    <hyperlink ref="J725" r:id="rId1161" xr:uid="{1BC3CA85-34E3-604C-B2F5-9E3D86EE4D23}"/>
    <hyperlink ref="J726" r:id="rId1162" xr:uid="{D6D93CB7-63CA-324D-A497-B9459050E3B2}"/>
    <hyperlink ref="J727" r:id="rId1163" xr:uid="{85F7C3EE-C6D7-1A48-AA9A-BF538C61FC66}"/>
    <hyperlink ref="J728" r:id="rId1164" xr:uid="{62D3E81B-4E05-7D45-9EFC-CD68A6106389}"/>
    <hyperlink ref="W728" r:id="rId1165" xr:uid="{949A1EE9-17CB-9140-9200-8A597B2C8424}"/>
    <hyperlink ref="J729" r:id="rId1166" xr:uid="{E651CB3D-46B3-DB47-AFCA-7CD64586A13F}"/>
    <hyperlink ref="J730" r:id="rId1167" xr:uid="{EDB15DB5-B845-3744-B3C4-17B7A34BD026}"/>
    <hyperlink ref="J731" r:id="rId1168" xr:uid="{3AE56EA8-A471-6F45-8221-1F07E48E3B8C}"/>
    <hyperlink ref="J732" r:id="rId1169" xr:uid="{C7E7F374-7F59-414E-9CF8-B117E87CE059}"/>
    <hyperlink ref="J733" r:id="rId1170" xr:uid="{E34B0BB9-9EDD-1242-966A-615A27F19C7F}"/>
    <hyperlink ref="J734" r:id="rId1171" xr:uid="{9C6AAAB9-4761-B845-8A8A-9359CD94A837}"/>
    <hyperlink ref="J735" r:id="rId1172" xr:uid="{74DA1250-3569-864A-AF31-46DD002B939F}"/>
    <hyperlink ref="J736" r:id="rId1173" xr:uid="{F8D7E302-D435-7044-BE7C-2A7D94EE1532}"/>
    <hyperlink ref="J737" r:id="rId1174" xr:uid="{4E8E4557-B540-5942-B658-EF9E78FE6DD4}"/>
    <hyperlink ref="J738" r:id="rId1175" xr:uid="{DBF3AE5E-7802-FD41-9976-7F38B2783CE3}"/>
    <hyperlink ref="J739" r:id="rId1176" xr:uid="{A2313745-81A7-2A4D-A392-1322C0BF32F7}"/>
    <hyperlink ref="J740" r:id="rId1177" xr:uid="{AA6F9AEE-3BB7-8540-ADCA-023084A0BF02}"/>
    <hyperlink ref="J741" r:id="rId1178" xr:uid="{50DF375F-0E9F-1942-9F4D-2E7BE7BB0262}"/>
    <hyperlink ref="J742" r:id="rId1179" xr:uid="{1878A69B-FE86-3146-B49D-611D2182DC18}"/>
    <hyperlink ref="J743" r:id="rId1180" xr:uid="{927B8399-739B-EB43-B728-0771673C9E43}"/>
    <hyperlink ref="J744" r:id="rId1181" xr:uid="{C9DB9DD0-A28B-A64C-86C7-AFA1DF6FD469}"/>
    <hyperlink ref="J745" r:id="rId1182" xr:uid="{C9E5966C-5C13-E04B-894F-BE8C6579CA86}"/>
    <hyperlink ref="J746" r:id="rId1183" xr:uid="{581EF186-8E26-A242-BDD3-BAE77FA07236}"/>
    <hyperlink ref="J747" r:id="rId1184" xr:uid="{7617A3C2-3B33-D14B-8BC4-C5B118CDB49D}"/>
    <hyperlink ref="J748" r:id="rId1185" xr:uid="{F4434FB1-C706-EF43-8DE6-7700E774DEA0}"/>
    <hyperlink ref="J749" r:id="rId1186" xr:uid="{DE786C96-9DF1-194D-B42C-60B09CC71483}"/>
    <hyperlink ref="W749" r:id="rId1187" xr:uid="{08A747CC-C9D8-E547-A239-9D693927E995}"/>
    <hyperlink ref="J750" r:id="rId1188" xr:uid="{B2B758E9-EE91-2745-B4DA-C2A71CFD0452}"/>
    <hyperlink ref="W750" r:id="rId1189" xr:uid="{E48DD206-262D-C849-A8CC-EB08400871D8}"/>
    <hyperlink ref="X750" r:id="rId1190" xr:uid="{135087C0-92BE-7E46-A5CF-06A5B49B72B1}"/>
    <hyperlink ref="J751" r:id="rId1191" xr:uid="{54EB760F-519B-F54D-A75E-CE25024C314D}"/>
    <hyperlink ref="J752" r:id="rId1192" xr:uid="{C7E0338E-FE9D-754E-88C0-4C2A749F8BFB}"/>
    <hyperlink ref="AH752" r:id="rId1193" xr:uid="{7E571EA3-785E-414F-A32A-7BF95FB7A2C6}"/>
    <hyperlink ref="J753" r:id="rId1194" xr:uid="{8ECFFF5A-49ED-1240-9582-F813F3B7B09D}"/>
    <hyperlink ref="J754" r:id="rId1195" xr:uid="{28AF8104-8A76-8F4F-8C66-13587D9714E8}"/>
    <hyperlink ref="J755" r:id="rId1196" xr:uid="{3E8018A2-55C3-3345-8166-FEA77C5C9EC8}"/>
    <hyperlink ref="J756" r:id="rId1197" xr:uid="{518493D1-23B2-1645-BBF6-97CA974ABD03}"/>
    <hyperlink ref="J757" r:id="rId1198" xr:uid="{4D1B8710-E063-354C-BABD-17067707C142}"/>
    <hyperlink ref="J758" r:id="rId1199" xr:uid="{1E596137-4804-F347-9F2A-146782B05403}"/>
    <hyperlink ref="J759" r:id="rId1200" xr:uid="{1F97B023-35AC-844B-8785-F89648EDF5B5}"/>
    <hyperlink ref="J760" r:id="rId1201" xr:uid="{D3F02924-495A-6D44-8C29-F8D4CDD835FF}"/>
    <hyperlink ref="J761" r:id="rId1202" xr:uid="{F64EEB2C-43A1-C04A-96E4-2D595F06A272}"/>
    <hyperlink ref="J762" r:id="rId1203" xr:uid="{4D0233DB-C688-D049-86E1-9985B28C72D4}"/>
    <hyperlink ref="J763" r:id="rId1204" xr:uid="{5F4C734B-5F93-A24D-AB19-8AC4CC3D2D3F}"/>
    <hyperlink ref="W763" r:id="rId1205" xr:uid="{90824D86-A6D4-6D47-A972-F1C5C415D5B4}"/>
    <hyperlink ref="J764" r:id="rId1206" xr:uid="{4BE835D4-34A2-8644-816A-CD07F64B0178}"/>
    <hyperlink ref="W764" r:id="rId1207" xr:uid="{5EF86773-A648-D642-8E6F-81D65A700A27}"/>
    <hyperlink ref="J765" r:id="rId1208" xr:uid="{4056C1EF-96B9-D644-AA61-BE5966AAB9D6}"/>
    <hyperlink ref="J766" r:id="rId1209" xr:uid="{D4C6F481-69A2-B44B-95C6-BA657ECC5545}"/>
    <hyperlink ref="W766" r:id="rId1210" xr:uid="{BBD59531-3143-0A4C-B1E9-0D9E6BD0DCC5}"/>
    <hyperlink ref="J767" r:id="rId1211" xr:uid="{CEAAAA46-4AE2-2D43-8870-E08F86731EB3}"/>
    <hyperlink ref="W767" r:id="rId1212" xr:uid="{5F456FC3-C0D0-9C45-B75A-464C0ADFC149}"/>
    <hyperlink ref="J768" r:id="rId1213" xr:uid="{83C13A7F-42A8-7A4E-91B4-DCCCD51E8E96}"/>
    <hyperlink ref="W768" r:id="rId1214" xr:uid="{F09AB983-6539-BF44-85E2-A925E723BB81}"/>
    <hyperlink ref="J769" r:id="rId1215" xr:uid="{55E9871B-1F58-0B42-9119-D1E72B457365}"/>
    <hyperlink ref="W769" r:id="rId1216" xr:uid="{4A266E77-885F-8742-B48C-EC7D760DE4D3}"/>
    <hyperlink ref="J770" r:id="rId1217" xr:uid="{2103E3DF-7F82-0140-A5E7-A7828FBE6200}"/>
    <hyperlink ref="W770" r:id="rId1218" xr:uid="{9BEE8866-8261-6A48-A487-9CF191B026FC}"/>
    <hyperlink ref="J771" r:id="rId1219" xr:uid="{4F991ABC-CC53-A946-9460-7BDCC7167559}"/>
    <hyperlink ref="J772" r:id="rId1220" xr:uid="{F1CABC3D-0DAE-B14A-B88A-E65E38280A50}"/>
    <hyperlink ref="J773" r:id="rId1221" xr:uid="{162BBDCF-6849-064E-A38D-62BF99193046}"/>
    <hyperlink ref="J774" r:id="rId1222" xr:uid="{F3013FCD-444C-CA4F-A4F3-805D40473E96}"/>
    <hyperlink ref="J775" r:id="rId1223" xr:uid="{78EA7D1C-5E03-8346-BEF0-76C628F04C19}"/>
    <hyperlink ref="J776" r:id="rId1224" xr:uid="{7F125363-CF98-AE42-84A3-98AED7118208}"/>
    <hyperlink ref="J777" r:id="rId1225" xr:uid="{331977AF-0CDB-3B4D-A282-F5153EC9C011}"/>
    <hyperlink ref="J778" r:id="rId1226" xr:uid="{91770AE3-8249-AB45-B99B-12B2B6900B82}"/>
    <hyperlink ref="J779" r:id="rId1227" xr:uid="{E12E8EE7-CE0A-0449-9A62-CB738981E891}"/>
    <hyperlink ref="J780" r:id="rId1228" xr:uid="{E94ABAD1-0D89-AE41-9248-5286EF9ADD7C}"/>
    <hyperlink ref="J781" r:id="rId1229" xr:uid="{CE1ED5C0-2B8B-DC42-8DF6-EAC006B6CC85}"/>
    <hyperlink ref="J782" r:id="rId1230" xr:uid="{9011D5D1-C347-6344-92C9-FB11786F7404}"/>
    <hyperlink ref="W782" r:id="rId1231" xr:uid="{2C42887B-40E3-804F-B7E2-58C6AF94BC4A}"/>
    <hyperlink ref="J783" r:id="rId1232" xr:uid="{311E9E77-90CD-0547-A151-754341CF1283}"/>
    <hyperlink ref="J784" r:id="rId1233" xr:uid="{09CB6DCA-82DD-684F-B765-BE4E283B0CA3}"/>
    <hyperlink ref="J785" r:id="rId1234" xr:uid="{159128F2-39C0-F44F-B0E7-1AEE2F39A94C}"/>
    <hyperlink ref="J786" r:id="rId1235" xr:uid="{2D98B214-1A64-0243-9D4C-E96707AF5854}"/>
    <hyperlink ref="J787" r:id="rId1236" xr:uid="{8D21FEC4-9BB7-144A-BC0A-D2EFD07DDAD7}"/>
    <hyperlink ref="J788" r:id="rId1237" xr:uid="{03B57466-D55F-8B43-A7D7-41447563F4B7}"/>
    <hyperlink ref="W788" r:id="rId1238" xr:uid="{099CC9E1-22AA-4646-B89A-D6A485743B88}"/>
    <hyperlink ref="J789" r:id="rId1239" xr:uid="{5DA72171-77B3-8E4F-8064-C4E42D58000B}"/>
    <hyperlink ref="J790" r:id="rId1240" xr:uid="{5AA731F0-A822-BE46-9177-4E3D44E2BB2B}"/>
    <hyperlink ref="J791" r:id="rId1241" xr:uid="{CE3C2F12-DFFD-E44F-BB2D-F7B6319A1AA2}"/>
    <hyperlink ref="W791" r:id="rId1242" xr:uid="{A2B3A006-0E1D-8E4C-A06F-26B9D18D8CE5}"/>
    <hyperlink ref="J792" r:id="rId1243" xr:uid="{3F82BC01-5078-D44F-B1F6-86BF83279462}"/>
    <hyperlink ref="J793" r:id="rId1244" xr:uid="{FA723B82-FC48-E749-BC6A-B1C8DBD7978F}"/>
    <hyperlink ref="W793" r:id="rId1245" xr:uid="{3E837FFC-67F6-FD42-8B99-CDCD75AD6791}"/>
    <hyperlink ref="J794" r:id="rId1246" xr:uid="{708FA6BD-247E-7F48-A976-3B73A94BE9A7}"/>
    <hyperlink ref="J795" r:id="rId1247" xr:uid="{616D8804-5014-AB4A-8B9E-0821C8B3C68E}"/>
    <hyperlink ref="J796" r:id="rId1248" xr:uid="{CE0F3D36-34FC-284F-98CB-5AD73F389E52}"/>
    <hyperlink ref="W796" r:id="rId1249" xr:uid="{9940BBB6-0DF5-B64A-BD57-785872AFC772}"/>
    <hyperlink ref="J797" r:id="rId1250" xr:uid="{354BE34D-3537-ED43-9367-42F49C77545E}"/>
    <hyperlink ref="W797" r:id="rId1251" xr:uid="{4B9A94FA-F440-0E48-8DA4-E7562763CAC5}"/>
    <hyperlink ref="J798" r:id="rId1252" xr:uid="{92479E28-AE11-D64F-8BD1-AE84D6C9F397}"/>
    <hyperlink ref="J799" r:id="rId1253" xr:uid="{F127981F-E363-3441-BFD6-A06465F5C544}"/>
    <hyperlink ref="W799" r:id="rId1254" xr:uid="{C7C0F7C7-6796-1245-A698-3228A327B944}"/>
    <hyperlink ref="W800" r:id="rId1255" xr:uid="{EF1B78F3-93AA-C341-81CA-83DD40D04FAD}"/>
    <hyperlink ref="J801" r:id="rId1256" xr:uid="{4B0B6A4C-42DD-FF40-AFD8-63F4C3540F49}"/>
    <hyperlink ref="W801" r:id="rId1257" xr:uid="{B8B23DC4-327E-FB4D-94EE-5A93CBCC9C86}"/>
    <hyperlink ref="J802" r:id="rId1258" xr:uid="{4B7E57E9-11B6-4D47-8E9F-67502DBCBA9B}"/>
    <hyperlink ref="J803" r:id="rId1259" xr:uid="{D7DD2189-14F2-B742-B402-20F063C157A9}"/>
    <hyperlink ref="W803" r:id="rId1260" xr:uid="{5C24730C-BFB2-8943-AB95-D870BA6CB0EF}"/>
    <hyperlink ref="J804" r:id="rId1261" xr:uid="{CF1BCC40-607D-B84D-90B9-3CAD669BAA50}"/>
    <hyperlink ref="W804" r:id="rId1262" xr:uid="{0BEA352A-35E6-E94B-B160-A38834C5D12E}"/>
    <hyperlink ref="J805" r:id="rId1263" xr:uid="{21C44928-60A9-FE48-AE8C-2206AF8FCCCB}"/>
    <hyperlink ref="J806" r:id="rId1264" xr:uid="{DDAE59E4-6C65-854C-B3F0-4680473E7133}"/>
    <hyperlink ref="W806" r:id="rId1265" xr:uid="{16B96677-50CF-5B4C-A617-4ACAEA0C67F1}"/>
    <hyperlink ref="J807" r:id="rId1266" xr:uid="{814FD672-757C-384B-B166-79BCAB4FF40B}"/>
    <hyperlink ref="W807" r:id="rId1267" xr:uid="{1A78C593-66C3-1D4C-871E-1C8880580CF2}"/>
    <hyperlink ref="J808" r:id="rId1268" xr:uid="{33F89E5F-6649-174A-91BC-01C03D1F2BB0}"/>
    <hyperlink ref="J809" r:id="rId1269" xr:uid="{BF989345-6AF0-4543-993B-2EF7E8D0A35F}"/>
    <hyperlink ref="W809" r:id="rId1270" xr:uid="{612674AC-7FC7-0546-A840-BD2D0568FF28}"/>
    <hyperlink ref="J810" r:id="rId1271" xr:uid="{74DFD877-5C2B-CC47-8F11-1634FA55E737}"/>
    <hyperlink ref="J811" r:id="rId1272" xr:uid="{B170795B-0524-5A4D-AB26-C9EDFA6A6D4D}"/>
    <hyperlink ref="J812" r:id="rId1273" xr:uid="{69B1DD93-0046-4F4F-99B6-7934BDF4172B}"/>
    <hyperlink ref="W812" r:id="rId1274" xr:uid="{CC18D352-331A-6D4A-B833-748E0C5896A5}"/>
    <hyperlink ref="J813" r:id="rId1275" xr:uid="{55CEEDB3-85A5-5046-8D63-8FBFCC52EBB8}"/>
    <hyperlink ref="J814" r:id="rId1276" xr:uid="{948727D9-A516-1D4D-8F05-AA201C1D9197}"/>
    <hyperlink ref="W814" r:id="rId1277" xr:uid="{A78F6D34-4B07-2844-B323-E58F1200372F}"/>
    <hyperlink ref="J815" r:id="rId1278" xr:uid="{7F0A3788-A544-2C4F-B7AA-556F05F36538}"/>
    <hyperlink ref="J816" r:id="rId1279" xr:uid="{BF28E849-AC46-934D-B65A-DB516B15D1AE}"/>
    <hyperlink ref="J817" r:id="rId1280" xr:uid="{631418D3-716D-F842-80DB-C52070B053C7}"/>
    <hyperlink ref="W817" r:id="rId1281" xr:uid="{FB96FBCC-4A72-154E-B35B-2CB218E27C4D}"/>
    <hyperlink ref="J818" r:id="rId1282" xr:uid="{5255E270-88FC-D040-8B2C-03C5A6735DBE}"/>
    <hyperlink ref="W818" r:id="rId1283" xr:uid="{F5C1A51A-1D84-C848-B076-5410CBDEE238}"/>
    <hyperlink ref="J819" r:id="rId1284" xr:uid="{C9D038C1-C7CD-3845-A7A4-C56BEB80CF77}"/>
    <hyperlink ref="W819" r:id="rId1285" xr:uid="{8A9F98E8-C4B8-C94B-B5BA-84EFDBC1A3D7}"/>
    <hyperlink ref="J820" r:id="rId1286" xr:uid="{B2EBB750-3EE8-B948-A2CF-0B1B4141FE0E}"/>
    <hyperlink ref="W820" r:id="rId1287" xr:uid="{A8C0AAE9-7302-5245-A000-80E484A64041}"/>
    <hyperlink ref="J821" r:id="rId1288" xr:uid="{C196F034-9FAD-2E46-8582-B4D25A61466A}"/>
    <hyperlink ref="J822" r:id="rId1289" xr:uid="{043DFE3B-357D-8045-9AF4-6570F51C6336}"/>
    <hyperlink ref="W822" r:id="rId1290" xr:uid="{AE31E12A-CAAB-8645-8782-62712960D0E6}"/>
    <hyperlink ref="J823" r:id="rId1291" xr:uid="{72345776-3372-064E-AE26-727D87D577C9}"/>
    <hyperlink ref="W823" r:id="rId1292" xr:uid="{B746BEAE-CCC7-9A41-9D66-5D670E9276F7}"/>
    <hyperlink ref="J824" r:id="rId1293" xr:uid="{C3C6778C-1ABA-D14B-A41D-C273EA6C80B6}"/>
    <hyperlink ref="W824" r:id="rId1294" xr:uid="{F128CD5F-3F82-4E4B-8F35-7B44C76C85FC}"/>
    <hyperlink ref="J825" r:id="rId1295" xr:uid="{65BF0780-7029-094F-8D58-1F843FE963CC}"/>
    <hyperlink ref="W825" r:id="rId1296" xr:uid="{F5A467E1-0815-F849-ADC7-9963A54AE6B1}"/>
    <hyperlink ref="J826" r:id="rId1297" xr:uid="{2D29BAA5-A582-BB4B-B440-9BE2F2929D72}"/>
    <hyperlink ref="W826" r:id="rId1298" xr:uid="{E7B3FE48-3E70-3245-9749-F58DEAA48AC7}"/>
    <hyperlink ref="J827" r:id="rId1299" xr:uid="{6F6084E8-8442-E644-A9E5-613D74147B41}"/>
    <hyperlink ref="W827" r:id="rId1300" xr:uid="{EBE696A5-7233-C140-8C9E-C514D1CDEB14}"/>
    <hyperlink ref="J828" r:id="rId1301" xr:uid="{BBE7CE27-B27C-1449-9614-88043FA1CB51}"/>
    <hyperlink ref="W828" r:id="rId1302" xr:uid="{DEED86FC-1A55-9248-89DE-92E93AE87E68}"/>
    <hyperlink ref="J829" r:id="rId1303" xr:uid="{1635C381-8463-EE4F-AB22-6A332AED9395}"/>
    <hyperlink ref="W829" r:id="rId1304" xr:uid="{EF25D5A9-3B2E-0841-A986-1B0536D1D03C}"/>
    <hyperlink ref="J830" r:id="rId1305" xr:uid="{558B3F5A-8F24-0641-AAB4-5955702E174A}"/>
    <hyperlink ref="W830" r:id="rId1306" xr:uid="{57235134-809C-2E45-92FC-5F3BCC26F8E4}"/>
    <hyperlink ref="J831" r:id="rId1307" xr:uid="{F4CB165E-28CA-2D41-B9C7-1AEAA90E45BB}"/>
    <hyperlink ref="W831" r:id="rId1308" xr:uid="{3FF1FA92-01A1-AC49-8F1A-3A691914D779}"/>
    <hyperlink ref="J832" r:id="rId1309" xr:uid="{250EDCEF-8F83-AC48-A946-C18B414DD7FE}"/>
    <hyperlink ref="W832" r:id="rId1310" xr:uid="{7A11A76C-A58C-8C4D-A3B8-5DD5A3E71893}"/>
    <hyperlink ref="J833" r:id="rId1311" xr:uid="{33CA2A13-7F8B-8B41-A5E6-DCE27391F490}"/>
    <hyperlink ref="W833" r:id="rId1312" xr:uid="{A4085BED-D32A-964E-A844-129190A72034}"/>
    <hyperlink ref="J834" r:id="rId1313" xr:uid="{37E49FB8-ADA4-BC4B-876F-88589A859B87}"/>
    <hyperlink ref="W834" r:id="rId1314" xr:uid="{D6E11A10-4496-9141-B78D-767412567ACC}"/>
    <hyperlink ref="J835" r:id="rId1315" xr:uid="{40E93DE6-E9C8-0A4B-91CA-376A1FB578C7}"/>
    <hyperlink ref="W835" r:id="rId1316" xr:uid="{54ECBF5B-DEF8-B943-B8F6-09891FAB68BD}"/>
    <hyperlink ref="J836" r:id="rId1317" xr:uid="{C82C0CF2-412C-AB44-ABFC-4912CCFFCF42}"/>
    <hyperlink ref="W836" r:id="rId1318" xr:uid="{28AAF978-6F1F-E14B-8C41-9510FDDEC01E}"/>
    <hyperlink ref="J837" r:id="rId1319" xr:uid="{88A28D3C-8064-FE4A-8407-9E64A5B7076B}"/>
    <hyperlink ref="J838" r:id="rId1320" xr:uid="{308DE84E-5CC4-E848-8803-9C11539A0DC9}"/>
    <hyperlink ref="J839" r:id="rId1321" xr:uid="{B8289420-0728-534E-B238-73D785E0FBAE}"/>
    <hyperlink ref="W839" r:id="rId1322" xr:uid="{D20B790F-B6CB-9349-AE00-FCF53AA1F5DC}"/>
    <hyperlink ref="J840" r:id="rId1323" xr:uid="{F7EB91A1-A736-9A48-8860-8FB91F5AB166}"/>
    <hyperlink ref="W840" r:id="rId1324" xr:uid="{2A32209C-D5F7-B240-AB61-B75122699BE0}"/>
    <hyperlink ref="J841" r:id="rId1325" xr:uid="{95A51A68-669B-014C-8577-19A4B61A4B20}"/>
    <hyperlink ref="W841" r:id="rId1326" xr:uid="{415BD1CE-5E58-5F48-84B0-A7280026C9E7}"/>
    <hyperlink ref="J842" r:id="rId1327" xr:uid="{77DBC5A5-D285-134B-B1DE-18B8708D9EE5}"/>
    <hyperlink ref="W842" r:id="rId1328" xr:uid="{32EA88FA-A7BA-844A-A656-A9BB5D84E5B7}"/>
    <hyperlink ref="J843" r:id="rId1329" xr:uid="{F66A9693-650D-4546-8E60-9D4AED7D9668}"/>
    <hyperlink ref="W843" r:id="rId1330" xr:uid="{10C25ED3-9B1A-EF4A-B00C-783E37FC638A}"/>
    <hyperlink ref="J844" r:id="rId1331" xr:uid="{25023147-390B-9841-BA6D-0C6A7210BA38}"/>
    <hyperlink ref="W844" r:id="rId1332" xr:uid="{7546B585-BAE8-CF48-90FC-54110D37DBF0}"/>
    <hyperlink ref="J845" r:id="rId1333" xr:uid="{E5278DBB-CD47-1A47-9584-E472D78E22CF}"/>
    <hyperlink ref="J846" r:id="rId1334" xr:uid="{5FA31165-D12A-8F4E-94D0-E7ED3546EAE2}"/>
    <hyperlink ref="J847" r:id="rId1335" xr:uid="{DB63D75A-D9D0-0044-9562-747F72500327}"/>
    <hyperlink ref="W847" r:id="rId1336" xr:uid="{CA4D8BA3-605C-A44F-80D4-9323946A45C0}"/>
    <hyperlink ref="J848" r:id="rId1337" xr:uid="{00206EFC-C705-3A41-9F3D-909F15BF0D5A}"/>
    <hyperlink ref="J849" r:id="rId1338" xr:uid="{D22AFC61-1A4B-1044-800D-84C7B877AEE7}"/>
    <hyperlink ref="W849" r:id="rId1339" xr:uid="{025FE52B-2BD5-7049-97FC-37636FB6288B}"/>
    <hyperlink ref="J850" r:id="rId1340" xr:uid="{12E38C24-D05D-4543-8666-A636F11B017B}"/>
    <hyperlink ref="W850" r:id="rId1341" xr:uid="{EE5654A6-8A9F-DF48-8788-AC05F23436C6}"/>
    <hyperlink ref="J851" r:id="rId1342" xr:uid="{3248A89B-31EC-7541-8A33-569BA8C0629C}"/>
    <hyperlink ref="W851" r:id="rId1343" xr:uid="{4F675C13-146B-E44B-97FD-78A97F6A9246}"/>
    <hyperlink ref="J852" r:id="rId1344" xr:uid="{D8A74A7B-B645-7642-BFFB-CC1042A7E608}"/>
    <hyperlink ref="W852" r:id="rId1345" xr:uid="{DF883AD8-3441-8549-9B78-2184C3BE648A}"/>
    <hyperlink ref="J853" r:id="rId1346" xr:uid="{7A31F3A0-BCE9-4744-A619-7FAF627C456D}"/>
    <hyperlink ref="W853" r:id="rId1347" xr:uid="{A5B5530B-48F5-5346-BCA9-7E27D606DF17}"/>
    <hyperlink ref="J854" r:id="rId1348" xr:uid="{D8FDBDF9-504F-3C44-AC68-71B3AF4032A2}"/>
    <hyperlink ref="W854" r:id="rId1349" xr:uid="{EA20718B-E0B7-0943-8BC7-CB353A81D825}"/>
    <hyperlink ref="J855" r:id="rId1350" xr:uid="{F4E15A75-88E5-7643-93E7-B11E369418D1}"/>
    <hyperlink ref="W855" r:id="rId1351" xr:uid="{580B25A1-5492-BD41-81DF-16172B6CDEE5}"/>
    <hyperlink ref="J856" r:id="rId1352" xr:uid="{4BF9A351-29AD-8349-A4EB-7CD3186AA18D}"/>
    <hyperlink ref="W856" r:id="rId1353" xr:uid="{AE6A3A3C-1961-AB4E-8BEC-D7CD35D8ACC5}"/>
    <hyperlink ref="J857" r:id="rId1354" xr:uid="{AA130B70-D502-FF4F-8C4C-68801CCCD647}"/>
    <hyperlink ref="J858" r:id="rId1355" xr:uid="{AFD26699-3CDE-8B4A-B6C8-BA01627F5DC6}"/>
    <hyperlink ref="W858" r:id="rId1356" xr:uid="{991D17C5-BB83-E74F-9AA3-F46F3357BC13}"/>
    <hyperlink ref="J859" r:id="rId1357" xr:uid="{7A0216D5-6B21-094F-B94A-B875D9846892}"/>
    <hyperlink ref="J860" r:id="rId1358" xr:uid="{01383255-913F-3144-8259-80A0CC24E6F3}"/>
    <hyperlink ref="J861" r:id="rId1359" xr:uid="{38195654-8413-774D-BFA0-447C77DF62DE}"/>
    <hyperlink ref="W861" r:id="rId1360" xr:uid="{7C55660B-98B8-0041-A5E6-7C789728D2D1}"/>
    <hyperlink ref="J862" r:id="rId1361" xr:uid="{1AC2598F-439A-8842-88DD-63C211788406}"/>
    <hyperlink ref="W862" r:id="rId1362" xr:uid="{4F21F40A-6075-834A-BE10-B34C95630573}"/>
    <hyperlink ref="J863" r:id="rId1363" xr:uid="{5F7F1A51-D659-904E-9A37-F5DE58AFB052}"/>
    <hyperlink ref="W863" r:id="rId1364" xr:uid="{61B568F6-0A18-E743-A9BC-ABC03EBAF4A4}"/>
    <hyperlink ref="J864" r:id="rId1365" xr:uid="{06D73CB5-9325-094B-8007-8B1991138E87}"/>
    <hyperlink ref="W864" r:id="rId1366" xr:uid="{034196F5-C412-D348-81CC-992D284E67C4}"/>
    <hyperlink ref="J865" r:id="rId1367" xr:uid="{72DBFE31-E931-C346-8765-EAC92BF43837}"/>
    <hyperlink ref="W865" r:id="rId1368" xr:uid="{122048E9-5ED8-7948-8571-3A3F5021EB79}"/>
    <hyperlink ref="J866" r:id="rId1369" xr:uid="{4C9C3B25-D4ED-6B42-B27E-34B5362A2994}"/>
    <hyperlink ref="J867" r:id="rId1370" xr:uid="{3504C439-1566-5B46-A3EA-03FCC2ACFEFE}"/>
    <hyperlink ref="W867" r:id="rId1371" xr:uid="{8A13F93C-8C8E-9842-8A3A-E7AA09B7BDFF}"/>
    <hyperlink ref="J868" r:id="rId1372" xr:uid="{D47B88AD-7146-DA45-AA53-FB2FFC38840D}"/>
    <hyperlink ref="W868" r:id="rId1373" xr:uid="{075B7CA3-459A-A141-B82D-1FE35B774DFE}"/>
    <hyperlink ref="J869" r:id="rId1374" xr:uid="{3C08AA3E-CE86-2D48-A2D1-78E95502A2A7}"/>
    <hyperlink ref="W869" r:id="rId1375" xr:uid="{85E125CD-60E5-A248-AA9F-2F48C1923FA3}"/>
    <hyperlink ref="J870" r:id="rId1376" xr:uid="{95574C06-F84C-C042-921A-7DD53926153D}"/>
    <hyperlink ref="W870" r:id="rId1377" xr:uid="{AE282D6A-563F-D148-B10C-5BA2BC6F5B85}"/>
    <hyperlink ref="J871" r:id="rId1378" xr:uid="{D5145A05-6377-DA4F-AD90-21904090B586}"/>
    <hyperlink ref="W871" r:id="rId1379" xr:uid="{823494FA-87CB-1A4F-9136-1E08FD52E01E}"/>
    <hyperlink ref="J872" r:id="rId1380" xr:uid="{C7CA6568-A2C3-5F43-BAD8-45E72DA268F2}"/>
    <hyperlink ref="W872" r:id="rId1381" xr:uid="{381C6511-67DD-D94A-B57C-5A54DE168B0E}"/>
    <hyperlink ref="J873" r:id="rId1382" xr:uid="{7BF28CFC-FDAC-194D-9695-B5ECE38BEA34}"/>
    <hyperlink ref="W873" r:id="rId1383" xr:uid="{E925251B-84D7-C347-8CA3-5A1DFC730383}"/>
    <hyperlink ref="J874" r:id="rId1384" xr:uid="{656D9B7C-2FE7-2643-81E4-A7EB1E5612F6}"/>
    <hyperlink ref="W874" r:id="rId1385" xr:uid="{ABEF1181-BDB0-C24D-BC49-CE5C6C968670}"/>
    <hyperlink ref="J875" r:id="rId1386" xr:uid="{24D6FC05-7000-AD40-A2D4-D5C88FFFF17D}"/>
    <hyperlink ref="W875" r:id="rId1387" xr:uid="{26BBF023-42E2-324B-8301-C00B7FFF1BC1}"/>
    <hyperlink ref="J876" r:id="rId1388" xr:uid="{BFC04901-F0F3-9848-B57F-862F05183118}"/>
    <hyperlink ref="W876" r:id="rId1389" xr:uid="{E7937C1E-75D8-4D48-971F-63C1B8FDE811}"/>
    <hyperlink ref="J877" r:id="rId1390" xr:uid="{EAC78F75-CD41-284E-861B-7B769DD8C2B5}"/>
    <hyperlink ref="J878" r:id="rId1391" xr:uid="{F089B995-7A35-6C40-B203-3E9A7E42E287}"/>
    <hyperlink ref="W878" r:id="rId1392" xr:uid="{20C57D27-F26A-4A44-A64D-9655C079EBCB}"/>
    <hyperlink ref="J879" r:id="rId1393" xr:uid="{F7A50300-5F89-DC41-8306-3140766D900D}"/>
    <hyperlink ref="W879" r:id="rId1394" xr:uid="{DCDE8752-02C8-1A4E-9643-66F6190FCE81}"/>
    <hyperlink ref="J880" r:id="rId1395" xr:uid="{57DF15B7-A244-9B4B-ADB9-0445E3C6D8DF}"/>
    <hyperlink ref="W880" r:id="rId1396" xr:uid="{C03F3E9D-3D4B-7042-9BEC-D62CA7E10A80}"/>
    <hyperlink ref="J881" r:id="rId1397" xr:uid="{EEA3DFB7-F485-3549-9BF2-15C26499564B}"/>
    <hyperlink ref="J882" r:id="rId1398" xr:uid="{08C4B920-D100-824F-9584-3758B2F0F19D}"/>
    <hyperlink ref="W882" r:id="rId1399" xr:uid="{A37B1B6E-8728-F94B-B802-259C47FD9ED4}"/>
    <hyperlink ref="J883" r:id="rId1400" xr:uid="{9E327839-F27A-FC46-9EA5-C180778AA90C}"/>
    <hyperlink ref="W883" r:id="rId1401" xr:uid="{C54C2110-E3D6-E647-BAA4-627D891463DA}"/>
    <hyperlink ref="J884" r:id="rId1402" xr:uid="{69867DEE-F209-644A-848B-4745A2ADFC41}"/>
    <hyperlink ref="W884" r:id="rId1403" xr:uid="{68581632-6958-7049-8CFB-F9BFC0E4B923}"/>
    <hyperlink ref="J885" r:id="rId1404" xr:uid="{5760D7AB-52D5-BF42-BED7-1C2DF4E97687}"/>
    <hyperlink ref="J886" r:id="rId1405" xr:uid="{4F43DD97-D7A5-2543-AEF3-EA728CFCA484}"/>
    <hyperlink ref="W886" r:id="rId1406" xr:uid="{820517E9-4390-A34F-8E79-B053704E4BDA}"/>
    <hyperlink ref="J887" r:id="rId1407" xr:uid="{7C64DB43-0126-CC4D-854B-DAAD1D7F5F64}"/>
    <hyperlink ref="J888" r:id="rId1408" xr:uid="{099DF69C-4FF0-FD44-8BBA-E2D4937E62B3}"/>
    <hyperlink ref="J889" r:id="rId1409" xr:uid="{EA3B1954-0673-D64A-9415-ECADCEF0CB25}"/>
    <hyperlink ref="W889" r:id="rId1410" xr:uid="{084461BE-01D3-8243-BD4C-57FB4E85154D}"/>
    <hyperlink ref="J890" r:id="rId1411" xr:uid="{D652DF01-2A75-2240-B3CA-B7F9EA8C428B}"/>
    <hyperlink ref="W890" r:id="rId1412" xr:uid="{FC30C497-175D-664B-A671-14B9A8BA6BFF}"/>
    <hyperlink ref="J891" r:id="rId1413" xr:uid="{005D64AE-54DC-254D-932A-C8200ECDB320}"/>
    <hyperlink ref="J892" r:id="rId1414" xr:uid="{83B7A65F-55F8-A242-8E8F-4F3F2E4BF7E1}"/>
    <hyperlink ref="W892" r:id="rId1415" xr:uid="{9990F207-E12C-014B-824F-3F195FBFD5D4}"/>
    <hyperlink ref="J893" r:id="rId1416" xr:uid="{8EA8C53A-4040-B74D-A2E4-942208AA80EE}"/>
    <hyperlink ref="W893" r:id="rId1417" xr:uid="{A86AF0AE-70FE-E845-A379-89FAE621A6DA}"/>
    <hyperlink ref="J894" r:id="rId1418" xr:uid="{66F08AB7-FC72-3F4C-B01A-399E5C803B4C}"/>
    <hyperlink ref="J895" r:id="rId1419" xr:uid="{64422DF9-DE18-7344-B5B6-8A131370B117}"/>
    <hyperlink ref="W895" r:id="rId1420" xr:uid="{DA1EB348-2782-BA48-8F40-1C9FCC596D7E}"/>
    <hyperlink ref="J896" r:id="rId1421" xr:uid="{8EE1B3C3-9081-A741-BA56-E4202025137F}"/>
    <hyperlink ref="W896" r:id="rId1422" xr:uid="{629530C3-6854-024A-B2F2-A96F5DEDDFA7}"/>
    <hyperlink ref="J897" r:id="rId1423" xr:uid="{61EEF7FA-3F8C-4842-9248-4DCDBFD39E9F}"/>
    <hyperlink ref="J898" r:id="rId1424" xr:uid="{BD3DF45E-F7E1-874C-9B9F-9DAD3A7D6DEA}"/>
    <hyperlink ref="W898" r:id="rId1425" xr:uid="{25A6E526-5CF4-4546-A811-DFA66544EFD1}"/>
    <hyperlink ref="J899" r:id="rId1426" xr:uid="{A33AD1B4-7B12-074F-B360-6D6D954A424E}"/>
    <hyperlink ref="J900" r:id="rId1427" xr:uid="{3AFE97A0-DEA4-7943-B1CC-AC3604B46591}"/>
    <hyperlink ref="J901" r:id="rId1428" xr:uid="{A8F8A9E0-E11F-6247-BBBC-38CA18B7F220}"/>
    <hyperlink ref="J902" r:id="rId1429" xr:uid="{07C4842D-8F63-7E43-B37C-5DEDDDDC9411}"/>
    <hyperlink ref="J903" r:id="rId1430" xr:uid="{8EBB9504-3255-3F4B-B364-D70313764592}"/>
    <hyperlink ref="J904" r:id="rId1431" xr:uid="{CA90DE71-B9AE-764F-AFFA-5ACF38E7FF77}"/>
    <hyperlink ref="J905" r:id="rId1432" xr:uid="{DF61F6CF-0E59-A945-A6CB-95BA9E8A3E9E}"/>
    <hyperlink ref="J906" r:id="rId1433" xr:uid="{6D48EA31-4857-F746-9DDE-0ED68B3EA213}"/>
    <hyperlink ref="J907" r:id="rId1434" xr:uid="{EC1542E9-9288-D14B-8BB6-11C949B0055A}"/>
    <hyperlink ref="J908" r:id="rId1435" xr:uid="{B87440F1-8B28-004B-9AC5-DCE35CA069C6}"/>
    <hyperlink ref="J909" r:id="rId1436" xr:uid="{2EEBDA99-7345-B54A-81D9-FD5DD42FC141}"/>
    <hyperlink ref="J910" r:id="rId1437" xr:uid="{A56701AC-0EA7-5E49-BE3A-4B194C961412}"/>
    <hyperlink ref="J911" r:id="rId1438" xr:uid="{EED6ECFD-B5C5-0340-9462-3F639C3779CC}"/>
    <hyperlink ref="J912" r:id="rId1439" xr:uid="{4BE8B7C8-9758-3248-8018-0ABC78EB2D3D}"/>
    <hyperlink ref="J913" r:id="rId1440" xr:uid="{49F7D2A9-3F84-FF4E-96E8-53CF7E37C130}"/>
    <hyperlink ref="J914" r:id="rId1441" xr:uid="{9B614B7B-A60F-8942-AB3A-C86A46953F80}"/>
    <hyperlink ref="J915" r:id="rId1442" xr:uid="{F78EB6BB-F4E5-BE48-80AC-9A92C7D76ED2}"/>
    <hyperlink ref="W915" r:id="rId1443" xr:uid="{9912ED64-D2D7-8D47-AA08-3111A2036BD8}"/>
    <hyperlink ref="J916" r:id="rId1444" xr:uid="{C79725AD-76C1-1346-98CB-FB6DF62B37CD}"/>
    <hyperlink ref="J917" r:id="rId1445" xr:uid="{2BD312A1-8BE9-E042-B15E-48037EFDEF22}"/>
    <hyperlink ref="J918" r:id="rId1446" xr:uid="{F1DDBA0D-6A5F-324C-9309-91C024AED7F5}"/>
    <hyperlink ref="J919" r:id="rId1447" xr:uid="{A85AFECC-2360-4142-820C-9EB0430A5321}"/>
    <hyperlink ref="J920" r:id="rId1448" xr:uid="{EF5166F2-FEA7-1246-A790-F1D51632B371}"/>
    <hyperlink ref="W920" r:id="rId1449" xr:uid="{EA13AD4F-9393-FB4B-ACDE-ECAEEC183AA9}"/>
    <hyperlink ref="J921" r:id="rId1450" xr:uid="{CB41A4C4-1167-B445-8BC3-FD8849F98815}"/>
    <hyperlink ref="J922" r:id="rId1451" xr:uid="{E32E6D85-B0D0-AD49-9E06-D6D511784B4E}"/>
    <hyperlink ref="J923" r:id="rId1452" xr:uid="{A01E15EB-D011-5A46-A3C2-4F83888F8885}"/>
    <hyperlink ref="J924" r:id="rId1453" xr:uid="{A53AE7CE-BF67-5947-8C42-BB401A605D9A}"/>
    <hyperlink ref="J925" r:id="rId1454" xr:uid="{06B10376-1FC4-A243-9A9F-694BAFADE2D1}"/>
    <hyperlink ref="J926" r:id="rId1455" xr:uid="{D563242C-6F0F-8148-ABC7-0A192C55757F}"/>
    <hyperlink ref="J927" r:id="rId1456" xr:uid="{CCD8943B-81E6-FD45-BD81-E27A72E17079}"/>
    <hyperlink ref="J928" r:id="rId1457" xr:uid="{09C034FD-1BC4-F840-8335-4CBB713A65CE}"/>
    <hyperlink ref="W928" r:id="rId1458" xr:uid="{A7F6BB4C-8272-6449-961C-3A3E9011CD65}"/>
    <hyperlink ref="J929" r:id="rId1459" xr:uid="{786A5944-0D6C-5D47-9F58-1EC223F9C3D3}"/>
    <hyperlink ref="W929" r:id="rId1460" xr:uid="{3BB0F081-324D-714D-BED8-FAF2CFB7C8BE}"/>
    <hyperlink ref="J930" r:id="rId1461" xr:uid="{5E51BABE-4722-164B-920F-F3C2D4C90D68}"/>
    <hyperlink ref="W930" r:id="rId1462" xr:uid="{02C7DBE2-610C-B74A-99F9-874380B05163}"/>
    <hyperlink ref="J931" r:id="rId1463" xr:uid="{7E60DB50-3CD8-DC4F-B53E-44409DD2357C}"/>
    <hyperlink ref="J932" r:id="rId1464" xr:uid="{68548392-A17D-5B47-9C53-E4B98EE0C7E5}"/>
    <hyperlink ref="W932" r:id="rId1465" xr:uid="{43801048-F940-ED4D-9DCB-B5C225315D27}"/>
    <hyperlink ref="J933" r:id="rId1466" xr:uid="{5A93DDB2-0A61-A74C-AA14-25392432D115}"/>
    <hyperlink ref="J934" r:id="rId1467" xr:uid="{05B1F2E9-B159-D442-9D4F-8C05FD1CEA54}"/>
    <hyperlink ref="W934" r:id="rId1468" xr:uid="{4731F2D3-FB68-1E47-BD7C-010B8B404679}"/>
    <hyperlink ref="J935" r:id="rId1469" xr:uid="{0BAA297E-9D21-C543-AEB8-733092032C8B}"/>
    <hyperlink ref="J936" r:id="rId1470" xr:uid="{6DF108A2-7187-C144-864B-44B3A0D8EEA6}"/>
    <hyperlink ref="J937" r:id="rId1471" xr:uid="{8CBAA72F-0126-A444-83BE-40A0DC154027}"/>
    <hyperlink ref="J938" r:id="rId1472" xr:uid="{110A11E1-15A7-A644-AF7B-0CAED4E5ADFC}"/>
    <hyperlink ref="J939" r:id="rId1473" xr:uid="{E12FD20A-F065-C046-A8D1-160D209356F8}"/>
    <hyperlink ref="AG939" r:id="rId1474" xr:uid="{098A044D-69A9-B44E-8DD3-9C18F13C1EAF}"/>
    <hyperlink ref="J940" r:id="rId1475" xr:uid="{6F324ACE-8EBC-154F-B30A-8BC1F287C585}"/>
    <hyperlink ref="J941" r:id="rId1476" xr:uid="{9BA0DAE6-5998-704B-A03B-91E3FC7F935F}"/>
    <hyperlink ref="J942" r:id="rId1477" xr:uid="{39E99708-29AC-164B-94A2-3B05493200FF}"/>
    <hyperlink ref="W942" r:id="rId1478" xr:uid="{7A2B168E-35CB-E543-9E9F-03788C6732EC}"/>
    <hyperlink ref="J943" r:id="rId1479" xr:uid="{63DD439C-021B-DC40-8B5A-9974324B9E58}"/>
    <hyperlink ref="J944" r:id="rId1480" xr:uid="{A42A6236-1ED1-8A47-BC18-295EACDFABCD}"/>
    <hyperlink ref="W944" r:id="rId1481" xr:uid="{57058862-A0A7-F64D-9C4A-FFC20BC4B21F}"/>
    <hyperlink ref="J945" r:id="rId1482" xr:uid="{695EC273-6658-EC42-AF17-9F10028A6F49}"/>
    <hyperlink ref="W945" r:id="rId1483" xr:uid="{4F589988-8D4F-2F40-A978-4A64DB6F11DE}"/>
    <hyperlink ref="J946" r:id="rId1484" xr:uid="{3CC270FE-21D8-5A49-BB2B-D7FC5B333571}"/>
    <hyperlink ref="J947" r:id="rId1485" xr:uid="{4F90507B-A83B-9148-98E7-B305C36AD7DD}"/>
    <hyperlink ref="J948" r:id="rId1486" xr:uid="{0026611F-E640-F44A-B207-92C860234F9A}"/>
    <hyperlink ref="J949" r:id="rId1487" xr:uid="{A1916842-904F-D14B-97F2-042EA18C6C0F}"/>
    <hyperlink ref="J950" r:id="rId1488" xr:uid="{C57CBA0A-CFC8-6842-A302-49C164145FFD}"/>
    <hyperlink ref="W950" r:id="rId1489" xr:uid="{89769F11-32A8-704B-AB31-87CD9D0DF6F7}"/>
    <hyperlink ref="J951" r:id="rId1490" xr:uid="{A6D2D2DD-BD2D-6D42-8637-8B1930110D37}"/>
    <hyperlink ref="J952" r:id="rId1491" xr:uid="{E5C783C8-1422-5B4A-BA45-9BF9CE52A554}"/>
    <hyperlink ref="W952" r:id="rId1492" xr:uid="{79D31C03-884A-E542-88CD-7C12A8F53221}"/>
    <hyperlink ref="J953" r:id="rId1493" xr:uid="{E2BC8FFD-6FDD-1A41-90F5-00CC5F393083}"/>
    <hyperlink ref="W953" r:id="rId1494" xr:uid="{D0F77915-E431-5A40-B0BE-02800E661306}"/>
    <hyperlink ref="J954" r:id="rId1495" xr:uid="{7653ECEC-8116-6E4F-BFF2-852393546241}"/>
    <hyperlink ref="J955" r:id="rId1496" xr:uid="{30E1FE5E-581D-7B47-989F-3936F7199E86}"/>
    <hyperlink ref="J956" r:id="rId1497" xr:uid="{DE8B178E-D084-614F-A341-1E9B159F7AE7}"/>
    <hyperlink ref="J957" r:id="rId1498" xr:uid="{5E7095E4-7281-3D4E-B170-17F1E49DA362}"/>
    <hyperlink ref="J958" r:id="rId1499" xr:uid="{A51BCD8E-5D0A-AD42-B3A5-08C0C401FC43}"/>
    <hyperlink ref="W958" r:id="rId1500" xr:uid="{5268FFC8-0703-DB4A-99B9-AC57207B8C61}"/>
    <hyperlink ref="J959" r:id="rId1501" xr:uid="{6CDA538D-D4E2-CD43-8729-FA582BBDC4A5}"/>
    <hyperlink ref="J960" r:id="rId1502" xr:uid="{9BD6AA44-18C3-C242-97D3-210EC46E08B7}"/>
    <hyperlink ref="W960" r:id="rId1503" xr:uid="{C6B150D1-AA00-3346-A765-FB837B940F99}"/>
    <hyperlink ref="J961" r:id="rId1504" xr:uid="{0EFB8985-8AAA-C14E-A389-918DBE525101}"/>
    <hyperlink ref="AG961" r:id="rId1505" xr:uid="{4E582CF6-A5B5-E048-8423-09C8553FA993}"/>
    <hyperlink ref="J962" r:id="rId1506" xr:uid="{41CB8C43-D1DA-BE4D-AED1-7AFD753493BC}"/>
    <hyperlink ref="J963" r:id="rId1507" xr:uid="{36EBFAA3-5727-C146-A2C7-02720CD84E0E}"/>
    <hyperlink ref="J964" r:id="rId1508" xr:uid="{3D166C95-C8F3-D543-8E4A-76A550EA4684}"/>
    <hyperlink ref="J965" r:id="rId1509" xr:uid="{8A47845D-6168-5349-B15C-A8594672E467}"/>
    <hyperlink ref="W965" r:id="rId1510" xr:uid="{04EE723F-5F57-604B-B266-402625FFF268}"/>
    <hyperlink ref="J966" r:id="rId1511" xr:uid="{73C674F2-85E8-814D-BDF4-ABE9C2031B64}"/>
    <hyperlink ref="W966" r:id="rId1512" xr:uid="{D28804EA-2F1C-BF41-B202-445A768DCE91}"/>
    <hyperlink ref="J967" r:id="rId1513" xr:uid="{E714C769-CE19-6E48-8E66-946E00CA2F90}"/>
    <hyperlink ref="J968" r:id="rId1514" xr:uid="{0C0F76EE-AF02-604C-B7C0-0995CB11D3CE}"/>
    <hyperlink ref="J969" r:id="rId1515" xr:uid="{4D11D2A6-F0AE-2B45-9B60-BE199C3323AA}"/>
    <hyperlink ref="J970" r:id="rId1516" xr:uid="{9DC57926-7909-C845-9217-1167B24A4DD9}"/>
    <hyperlink ref="W970" r:id="rId1517" xr:uid="{14CFEC01-63E7-5844-B602-A716E4102221}"/>
    <hyperlink ref="X970" r:id="rId1518" display="https://drive.google.com/open?id=1U9fgIECHTL2JRyhD2nv8zem17hqH-dm2" xr:uid="{FA01BD98-6D27-0C47-A461-C56B55767812}"/>
    <hyperlink ref="J971" r:id="rId1519" xr:uid="{1AE8BF21-54BB-434F-B4C2-F9FE1789A176}"/>
    <hyperlink ref="J972" r:id="rId1520" xr:uid="{822BB84B-E65C-9244-990E-60ED52006900}"/>
    <hyperlink ref="J973" r:id="rId1521" xr:uid="{C112534F-C6D8-CE4E-A72D-DB27E024C676}"/>
    <hyperlink ref="J974" r:id="rId1522" xr:uid="{20563A06-899B-8245-BE9A-88FB29AC0D22}"/>
    <hyperlink ref="W974" r:id="rId1523" xr:uid="{A242D003-7756-AF4F-91C4-3FD2FB83BFE6}"/>
    <hyperlink ref="J975" r:id="rId1524" xr:uid="{1AFB85B0-4D2F-354A-A2A1-4EE014C6793F}"/>
    <hyperlink ref="W975" r:id="rId1525" xr:uid="{AED377A0-5E49-CB4A-A8AD-C36A16F8C246}"/>
    <hyperlink ref="J976" r:id="rId1526" xr:uid="{FBC7D71B-7AD7-2F48-8738-4853926A0322}"/>
    <hyperlink ref="J977" r:id="rId1527" xr:uid="{831B1C07-164B-D344-A712-ED60AD2AB27D}"/>
    <hyperlink ref="J978" r:id="rId1528" xr:uid="{704AF6DE-517D-A140-B958-71FFEDFF8835}"/>
    <hyperlink ref="W978" r:id="rId1529" xr:uid="{5FE3BDA6-3A00-CC44-80B8-BF9C7DF76497}"/>
    <hyperlink ref="J979" r:id="rId1530" xr:uid="{609ADB3D-7139-DD4E-A25B-09ADB384A9C2}"/>
    <hyperlink ref="J980" r:id="rId1531" xr:uid="{2A453A25-005F-6341-9E35-6B70BB01965C}"/>
    <hyperlink ref="W980" r:id="rId1532" xr:uid="{746525E0-4D45-8247-8179-D136B9EA6762}"/>
    <hyperlink ref="J981" r:id="rId1533" xr:uid="{9F3E96C4-1F48-CA48-97E2-2D32AFE0A828}"/>
    <hyperlink ref="J982" r:id="rId1534" xr:uid="{FB4DC844-39EF-F845-9023-21C4F1D51197}"/>
    <hyperlink ref="J983" r:id="rId1535" xr:uid="{52AA2C3B-CB13-284B-9F35-3ECFDAE1CCEB}"/>
    <hyperlink ref="W983" r:id="rId1536" xr:uid="{5E21912D-661D-BA44-AEBF-26CF9EAFA960}"/>
    <hyperlink ref="J984" r:id="rId1537" xr:uid="{AC8DEB41-F22D-5A4E-9B30-FB255BBD1743}"/>
    <hyperlink ref="J985" r:id="rId1538" xr:uid="{5BC149D2-27E0-7745-885E-36A654EA3D56}"/>
    <hyperlink ref="J986" r:id="rId1539" xr:uid="{20B1569D-FB15-7B41-8D7C-E3691F2865E8}"/>
    <hyperlink ref="W986" r:id="rId1540" xr:uid="{945C0B3D-59A8-E94A-AA01-2B80BF2AB780}"/>
    <hyperlink ref="J987" r:id="rId1541" xr:uid="{6E94F7B4-11A0-6A4F-A0DD-E4318FCD8BB0}"/>
    <hyperlink ref="W987" r:id="rId1542" xr:uid="{8326C4C3-D9C2-E54C-AD58-229694B22A2E}"/>
    <hyperlink ref="J988" r:id="rId1543" xr:uid="{ECFF4E01-C6F2-794D-8DB7-1E34C933D470}"/>
    <hyperlink ref="J989" r:id="rId1544" xr:uid="{3C285528-B887-C042-B595-0C04F1E76CD8}"/>
    <hyperlink ref="J990" r:id="rId1545" xr:uid="{02DD6589-5121-B943-BC41-AB28A6859DB6}"/>
    <hyperlink ref="J991" r:id="rId1546" xr:uid="{392483DC-C674-8644-8FCE-A7BAA43F602E}"/>
    <hyperlink ref="J992" r:id="rId1547" xr:uid="{BFC5870C-D6DD-1B4C-921F-D00B687C2F8E}"/>
    <hyperlink ref="J993" r:id="rId1548" xr:uid="{7CA45FAD-B077-C045-88AE-5D78B109D7DC}"/>
    <hyperlink ref="J994" r:id="rId1549" xr:uid="{BDA036A1-E4D3-154C-8DE2-1049455F5EB1}"/>
    <hyperlink ref="J995" r:id="rId1550" xr:uid="{3B2BFD4B-5F60-E04E-A8A5-C80B30375FB0}"/>
    <hyperlink ref="W995" r:id="rId1551" xr:uid="{74124EC1-7CD7-464B-99B4-11E96AC2A5ED}"/>
    <hyperlink ref="J996" r:id="rId1552" xr:uid="{1EB1AE0D-270C-4944-B432-E33B0AE4BB20}"/>
    <hyperlink ref="W996" r:id="rId1553" xr:uid="{12E363E0-AF59-2348-ABBC-AF61F139C0A5}"/>
    <hyperlink ref="J997" r:id="rId1554" xr:uid="{9120C7B5-25A1-5B4B-8449-1793295AB037}"/>
    <hyperlink ref="J998" r:id="rId1555" xr:uid="{5B2707D8-6020-0D4D-90B6-E052D2AD4ABF}"/>
    <hyperlink ref="J999" r:id="rId1556" xr:uid="{43C5276A-D039-9D44-BCFF-1AF54034D880}"/>
    <hyperlink ref="W999" r:id="rId1557" xr:uid="{2CDEA24E-1762-1249-9B17-C2997E43A8E1}"/>
    <hyperlink ref="J1000" r:id="rId1558" xr:uid="{BE66F804-5CBC-5B40-9145-7D5DC0A9647C}"/>
    <hyperlink ref="J1001" r:id="rId1559" xr:uid="{D468956C-A7F8-1E4B-AC8B-EF9A62141EF0}"/>
    <hyperlink ref="J1002" r:id="rId1560" xr:uid="{41451827-2062-9946-8870-F17AAF3A088D}"/>
    <hyperlink ref="J1003" r:id="rId1561" xr:uid="{A5DD566F-BF49-0648-903F-EE6BDC4CD25B}"/>
    <hyperlink ref="J1004" r:id="rId1562" xr:uid="{96772DB2-B460-CE49-8219-288879F3FF73}"/>
    <hyperlink ref="W1004" r:id="rId1563" xr:uid="{FF803091-8FA3-2D44-BD99-4FF5AD1BFA9B}"/>
    <hyperlink ref="J1005" r:id="rId1564" xr:uid="{48C7EDC4-CEF9-3E4A-93DF-DE9122CD96DD}"/>
    <hyperlink ref="J1006" r:id="rId1565" xr:uid="{1CEA6C7A-3925-F94F-B5D1-8D42D3F83F13}"/>
    <hyperlink ref="W1006" r:id="rId1566" xr:uid="{34B1E9CA-4C83-004E-ABDC-1E7CA0B5CEFB}"/>
    <hyperlink ref="J1007" r:id="rId1567" xr:uid="{8393404F-61BC-AA48-940E-10BEAA970FB8}"/>
    <hyperlink ref="J1008" r:id="rId1568" xr:uid="{690A6AC1-8E5D-AC45-B3D8-BC4CBB560ECE}"/>
    <hyperlink ref="J1009" r:id="rId1569" xr:uid="{8306198D-A9EA-634C-9E43-1D618C632282}"/>
    <hyperlink ref="J1010" r:id="rId1570" xr:uid="{47AFFEBD-39A4-6B45-9A67-620ED5E4D0B5}"/>
    <hyperlink ref="W1010" r:id="rId1571" xr:uid="{25EA91CC-E2C1-5A44-B8C3-80058BF3F635}"/>
    <hyperlink ref="J1011" r:id="rId1572" xr:uid="{17F7963A-6CA6-8945-BB5E-B012DFBE4C47}"/>
    <hyperlink ref="J1012" r:id="rId1573" xr:uid="{614DC5A2-DACC-134A-893F-04472539CCC7}"/>
    <hyperlink ref="J1013" r:id="rId1574" xr:uid="{5E43FD9B-00B1-D24A-A42B-8AA548004A36}"/>
    <hyperlink ref="W1013" r:id="rId1575" xr:uid="{AFD7D4C7-EE4A-4A49-941D-AE00C55D3901}"/>
    <hyperlink ref="J1014" r:id="rId1576" xr:uid="{63C38B62-3F3D-724C-BE0C-23F56076B809}"/>
    <hyperlink ref="J1015" r:id="rId1577" xr:uid="{296A38AF-0CBC-3040-9C7B-D172562FE611}"/>
    <hyperlink ref="J1016" r:id="rId1578" xr:uid="{E588F3C5-8415-1F44-9120-D65FF8C293EF}"/>
    <hyperlink ref="J1017" r:id="rId1579" xr:uid="{C2E51A1F-B868-8B41-9471-0C157319672A}"/>
    <hyperlink ref="J1018" r:id="rId1580" xr:uid="{FCE153A8-5AE8-194E-844B-205E5E7179D6}"/>
    <hyperlink ref="J1019" r:id="rId1581" xr:uid="{A5D3E0C3-5998-E94D-94DE-B88F36187C28}"/>
    <hyperlink ref="J1020" r:id="rId1582" xr:uid="{6967BFF5-F7AC-4C43-8D87-8D2A73A0AD33}"/>
    <hyperlink ref="J1021" r:id="rId1583" xr:uid="{7523422C-FC23-BF47-978A-6DC0D1BA9070}"/>
    <hyperlink ref="J1022" r:id="rId1584" xr:uid="{890EE213-A901-D24A-A6DA-1C5C8FCAD1B1}"/>
    <hyperlink ref="J1023" r:id="rId1585" xr:uid="{10D18CCA-3AC5-A848-8B3F-80437EA76997}"/>
    <hyperlink ref="J1024" r:id="rId1586" xr:uid="{E4306A7D-89B8-2645-B621-457212602204}"/>
    <hyperlink ref="J1025" r:id="rId1587" xr:uid="{B30EB1CC-8E13-8742-8E0A-92D550F9E80E}"/>
    <hyperlink ref="J1026" r:id="rId1588" xr:uid="{CA0B80CC-AAE0-B742-A208-F9BCAB17E26B}"/>
    <hyperlink ref="J1027" r:id="rId1589" xr:uid="{1E50BB43-565C-E142-9290-1FFB58A634AB}"/>
    <hyperlink ref="J1028" r:id="rId1590" xr:uid="{71235AC6-C9A3-2E41-9FF2-16045CE24E57}"/>
    <hyperlink ref="W1028" r:id="rId1591" xr:uid="{8AB943ED-1A42-664C-AFCB-47C0F3E727C7}"/>
    <hyperlink ref="J1029" r:id="rId1592" xr:uid="{3D970206-CEE7-454B-8764-B08C2A05DBDC}"/>
    <hyperlink ref="J1030" r:id="rId1593" xr:uid="{5629EBB0-7923-B042-9F39-710DB4505F6F}"/>
    <hyperlink ref="J1031" r:id="rId1594" xr:uid="{06EB0C58-A200-7D49-97B5-3CB536F22061}"/>
    <hyperlink ref="J1032" r:id="rId1595" xr:uid="{A2F731B7-61AC-D74D-A197-C9BF7D8FE1C2}"/>
    <hyperlink ref="J1033" r:id="rId1596" xr:uid="{5C93F8BF-BDCD-0149-A648-B93BA89282C2}"/>
    <hyperlink ref="W1033" r:id="rId1597" xr:uid="{8736ED09-EBA0-D241-AF95-33E1260A9634}"/>
    <hyperlink ref="X1033" r:id="rId1598" xr:uid="{6756D2D4-7BB4-4840-B733-CFE04AFB80E6}"/>
    <hyperlink ref="J1034" r:id="rId1599" xr:uid="{EEB37974-F42B-9545-B90B-B892D6D563A1}"/>
    <hyperlink ref="J1035" r:id="rId1600" xr:uid="{99D1D496-0DA3-D145-880F-4D08C53481B1}"/>
    <hyperlink ref="J1036" r:id="rId1601" xr:uid="{449D16F6-E7EF-EB48-AC9C-427E341C6168}"/>
    <hyperlink ref="J1037" r:id="rId1602" xr:uid="{B0AF1158-138F-244E-B4E5-1DEEC9057202}"/>
    <hyperlink ref="W1037" r:id="rId1603" xr:uid="{BC81B27E-39A3-CF41-965F-EBC7E408A0A3}"/>
    <hyperlink ref="J1038" r:id="rId1604" xr:uid="{C4FFEA99-81A2-9F4E-8CB2-CE1EF42A557C}"/>
    <hyperlink ref="J1039" r:id="rId1605" xr:uid="{9A39DBFA-E318-C04D-8D26-CBB9FC05CBDB}"/>
    <hyperlink ref="W1039" r:id="rId1606" xr:uid="{F539A7EA-015E-4341-B94B-4ACA038102B4}"/>
    <hyperlink ref="J1040" r:id="rId1607" xr:uid="{FD0AD508-44E1-D84C-93D4-8C3A1C2F5BAC}"/>
    <hyperlink ref="W1040" r:id="rId1608" xr:uid="{F4F086AB-2817-994A-B7DB-6676C206D0A5}"/>
    <hyperlink ref="J1041" r:id="rId1609" xr:uid="{9C13A82A-4CD7-3D45-82D3-2078C1A54118}"/>
    <hyperlink ref="J1042" r:id="rId1610" xr:uid="{3526E30A-CAC6-8A47-ACB7-9DCA2C0F69C6}"/>
    <hyperlink ref="J1043" r:id="rId1611" xr:uid="{42DB1004-8F89-E248-BA34-3FDE9C9A6FB7}"/>
    <hyperlink ref="J1044" r:id="rId1612" xr:uid="{CD969AD2-95D1-9645-8EB3-F61732369889}"/>
    <hyperlink ref="J1045" r:id="rId1613" xr:uid="{C01DEDAA-D14B-2C4D-A037-25BB4F1F5D7D}"/>
    <hyperlink ref="W1045" r:id="rId1614" xr:uid="{6A2AC87D-05D5-3549-B48D-C4526B4C2E97}"/>
    <hyperlink ref="J1046" r:id="rId1615" xr:uid="{3A5AEABF-4395-7C4B-ABEB-E299A6E5C943}"/>
    <hyperlink ref="W1046" r:id="rId1616" xr:uid="{AA155DC4-6181-E742-B6C5-A8E05204D8D0}"/>
    <hyperlink ref="J1047" r:id="rId1617" xr:uid="{ED6BBB3D-A3B2-9047-A186-168DBCD42878}"/>
    <hyperlink ref="J1048" r:id="rId1618" xr:uid="{405B9C0C-F5A2-0C42-99F7-3756D970285E}"/>
    <hyperlink ref="W1048" r:id="rId1619" xr:uid="{DF9231F8-9896-104B-B36E-057411928993}"/>
    <hyperlink ref="J1049" r:id="rId1620" xr:uid="{7D4AB19C-BB7F-AF4F-AA50-90EF8A626F76}"/>
    <hyperlink ref="J1050" r:id="rId1621" xr:uid="{960B6FE7-06F1-854B-BA98-B692C2EF2196}"/>
    <hyperlink ref="W1050" r:id="rId1622" xr:uid="{2E08DEAE-CC63-624E-963D-E5F387B0DF23}"/>
    <hyperlink ref="J1051" r:id="rId1623" xr:uid="{0C32DDEE-ABE0-9A47-B12C-364057B92D38}"/>
    <hyperlink ref="W1051" r:id="rId1624" xr:uid="{0D3E6A54-6A96-A043-923C-F7F8A3B84AD5}"/>
    <hyperlink ref="J1052" r:id="rId1625" xr:uid="{6A746A75-4407-3C4F-BD79-FF9008F6BD21}"/>
    <hyperlink ref="J1053" r:id="rId1626" xr:uid="{BD7F424B-360A-D840-80F0-F40AB18DDA2B}"/>
    <hyperlink ref="W1053" r:id="rId1627" xr:uid="{D2FA70CB-0AA9-6248-9A42-87946ED665DF}"/>
    <hyperlink ref="J1054" r:id="rId1628" xr:uid="{0E486F87-2AEE-DF4A-9EA2-F05A80EB6DF5}"/>
    <hyperlink ref="W1054" r:id="rId1629" xr:uid="{27E7025C-01FB-7C45-B852-83C46F61A5E9}"/>
    <hyperlink ref="J1055" r:id="rId1630" xr:uid="{D2DA4D89-6602-0A42-B97C-8812CF28E9A0}"/>
    <hyperlink ref="W1055" r:id="rId1631" xr:uid="{E240391E-5A00-DD4C-A2EB-B35500EF7658}"/>
    <hyperlink ref="J1056" r:id="rId1632" xr:uid="{5015C3F8-6F06-FE43-8B8A-2C9B28344993}"/>
    <hyperlink ref="J1057" r:id="rId1633" xr:uid="{AF891159-BCC4-FF43-A767-FB2EAE88391E}"/>
    <hyperlink ref="W1057" r:id="rId1634" xr:uid="{DF154133-A56C-B540-BF50-22726263E5C3}"/>
    <hyperlink ref="J1058" r:id="rId1635" xr:uid="{D7DB28B3-3B95-2845-9029-31F8132293CC}"/>
    <hyperlink ref="J1059" r:id="rId1636" xr:uid="{D92C492F-2062-D841-9EC1-FF88C59F81F5}"/>
    <hyperlink ref="W1059" r:id="rId1637" xr:uid="{90CC7EA6-1253-DF45-A7E3-47DA5967C4A3}"/>
    <hyperlink ref="J1060" r:id="rId1638" xr:uid="{FFBD47DE-F385-1249-8EF5-14404C27F9A0}"/>
    <hyperlink ref="J1061" r:id="rId1639" xr:uid="{B42309F2-B5A9-5845-A381-41BDFC34745F}"/>
    <hyperlink ref="J1062" r:id="rId1640" xr:uid="{F54D72EF-271F-614A-8D89-4B1E2ECBE6AE}"/>
    <hyperlink ref="J1063" r:id="rId1641" xr:uid="{23B9FECF-36D9-BB4D-B849-4A4B962BBE6A}"/>
    <hyperlink ref="J1064" r:id="rId1642" xr:uid="{F8A39C4F-1BD0-BE4D-8F22-66BA0D05193D}"/>
    <hyperlink ref="J1065" r:id="rId1643" xr:uid="{17DD67F0-0FCA-AE4A-88E1-75A3C727C21B}"/>
    <hyperlink ref="J1066" r:id="rId1644" xr:uid="{9CC4F4F0-EAB2-374F-8858-2C522D99BF3B}"/>
    <hyperlink ref="J1067" r:id="rId1645" xr:uid="{767F4B1A-E30C-CB4B-A1D1-5F476F091E63}"/>
    <hyperlink ref="W1067" r:id="rId1646" xr:uid="{166626E3-212B-1C4C-9CE5-966ED4FFEDB9}"/>
    <hyperlink ref="J1068" r:id="rId1647" xr:uid="{E71A5DEB-2D11-3A4B-A9F8-154C3059E47D}"/>
    <hyperlink ref="J1069" r:id="rId1648" xr:uid="{0F1F7F24-198B-6946-930B-0268D52CA596}"/>
    <hyperlink ref="J1070" r:id="rId1649" xr:uid="{B19210F1-0D0C-0F49-A08D-F1FC88FC7D26}"/>
    <hyperlink ref="J1071" r:id="rId1650" xr:uid="{9B86A7A9-E24B-F14E-8708-E06E8EC47C36}"/>
    <hyperlink ref="J1072" r:id="rId1651" xr:uid="{33090F91-A3CD-6E40-A947-B17BA34148FD}"/>
    <hyperlink ref="W1072" r:id="rId1652" xr:uid="{4FEFF35F-265D-9648-BE85-E8410C7FE1A9}"/>
    <hyperlink ref="J1073" r:id="rId1653" xr:uid="{1AF76510-9C59-DD4B-9413-FE79DD82C702}"/>
    <hyperlink ref="J1074" r:id="rId1654" xr:uid="{45FC47AA-97FD-234D-8A61-6BA041099FCF}"/>
    <hyperlink ref="W1074" r:id="rId1655" xr:uid="{DC51234F-1A2A-594B-A5B8-CDD8FE1D760E}"/>
    <hyperlink ref="J1075" r:id="rId1656" xr:uid="{C10445F5-C386-B243-9E2E-41F4FE664773}"/>
    <hyperlink ref="J1076" r:id="rId1657" xr:uid="{D65005D4-E960-F742-8832-B148AAA069C6}"/>
    <hyperlink ref="W1076" r:id="rId1658" xr:uid="{AE8C47DA-AC17-F14E-92AC-FD5283817210}"/>
    <hyperlink ref="J1077" r:id="rId1659" xr:uid="{72298267-4B98-7647-835C-8429DB8BBA2C}"/>
    <hyperlink ref="J1078" r:id="rId1660" xr:uid="{9579DCAC-F96B-1944-A5C8-3BFB0E65A89B}"/>
    <hyperlink ref="W1078" r:id="rId1661" xr:uid="{EC8278E2-63F1-D14F-876A-2CC29C56DDD1}"/>
    <hyperlink ref="J1079" r:id="rId1662" xr:uid="{73A67AA5-CF31-894A-A630-444144870C78}"/>
    <hyperlink ref="J1080" r:id="rId1663" xr:uid="{3D682947-277E-8A43-A709-01F60AAEAB8A}"/>
    <hyperlink ref="W1080" r:id="rId1664" xr:uid="{90F370D1-071D-7849-90B8-04C171A069F1}"/>
    <hyperlink ref="J1081" r:id="rId1665" xr:uid="{11E1ABE6-F3FB-6742-B0DB-28D4B0025795}"/>
    <hyperlink ref="J1082" r:id="rId1666" xr:uid="{AF267F80-BDDA-5B43-B65A-66629BDEDD21}"/>
    <hyperlink ref="W1082" r:id="rId1667" xr:uid="{DEDAC8B3-2973-C645-AF64-E9C6E786D2D9}"/>
    <hyperlink ref="J1083" r:id="rId1668" xr:uid="{19C65BA1-CCFF-5B45-9B1E-ED104B278168}"/>
    <hyperlink ref="W1083" r:id="rId1669" xr:uid="{E3426DB5-AE6C-0441-AAE9-7CDD72A771C1}"/>
    <hyperlink ref="J1084" r:id="rId1670" xr:uid="{3C12675A-A19D-8B46-B4E4-5C8DAD7462C1}"/>
    <hyperlink ref="W1084" r:id="rId1671" xr:uid="{0A50BEE9-CCA3-C441-89DD-6CB88583B624}"/>
    <hyperlink ref="J1085" r:id="rId1672" xr:uid="{9B4CF082-F6E2-E84A-AC93-D53CC49C32A1}"/>
    <hyperlink ref="W1085" r:id="rId1673" xr:uid="{65B854E6-0774-9B4E-BB99-6EBEF1A988AD}"/>
    <hyperlink ref="J1086" r:id="rId1674" xr:uid="{DF7A8746-794B-224A-9F39-1FE5604B1A68}"/>
    <hyperlink ref="J1087" r:id="rId1675" xr:uid="{BF330B33-5AFE-E047-8AB6-B87BCF4C35F0}"/>
    <hyperlink ref="J1088" r:id="rId1676" xr:uid="{ACE469D9-2830-534D-82D0-7AFE80F99012}"/>
    <hyperlink ref="W1088" r:id="rId1677" xr:uid="{45D1F406-E2F5-0F4C-8AA2-A23E678790E0}"/>
    <hyperlink ref="J1089" r:id="rId1678" xr:uid="{D64E718D-963F-DC42-8739-7543D40242D0}"/>
    <hyperlink ref="W1089" r:id="rId1679" xr:uid="{413E70FB-817E-D54B-8783-C5915A72719C}"/>
    <hyperlink ref="J1090" r:id="rId1680" xr:uid="{E8698144-61AA-604B-AB68-002745CFAAD4}"/>
    <hyperlink ref="W1090" r:id="rId1681" xr:uid="{13870EAA-B986-414A-86AE-02BF90E96B95}"/>
    <hyperlink ref="J1091" r:id="rId1682" xr:uid="{795793ED-5138-B64C-AFD4-BB1B9F7E5892}"/>
    <hyperlink ref="J1092" r:id="rId1683" xr:uid="{8BDCA5B1-4E7E-284F-9933-3BB4F0577CE7}"/>
    <hyperlink ref="W1092" r:id="rId1684" xr:uid="{B2F735D5-4919-1946-B3DB-549C3F1EE5E6}"/>
    <hyperlink ref="J1094" r:id="rId1685" xr:uid="{268AD597-71F7-5348-B5E5-5118AF67D835}"/>
    <hyperlink ref="W1094" r:id="rId1686" xr:uid="{7B9D1100-4DBE-3746-B621-56E9030BC955}"/>
    <hyperlink ref="J1095" r:id="rId1687" xr:uid="{5DD028F0-0988-854C-893C-0FBFACC01425}"/>
    <hyperlink ref="J1096" r:id="rId1688" xr:uid="{700AAE61-2BB5-6144-8620-8933B0F4E411}"/>
    <hyperlink ref="J1097" r:id="rId1689" xr:uid="{48995310-C408-7D47-8F88-8ED1305D3016}"/>
    <hyperlink ref="W1097" r:id="rId1690" xr:uid="{7FC6A661-95CC-584A-A1D5-3656809D9E75}"/>
    <hyperlink ref="J1098" r:id="rId1691" xr:uid="{4DF7F4F0-D40C-144E-8257-0FB8C3DB09A9}"/>
    <hyperlink ref="W1098" r:id="rId1692" xr:uid="{964CE707-E626-6A44-A350-AA4B7FCF1C8B}"/>
    <hyperlink ref="J1099" r:id="rId1693" xr:uid="{27E718F3-80E4-3C4C-AD14-28E81932D96D}"/>
    <hyperlink ref="J1100" r:id="rId1694" xr:uid="{4120B79B-03FA-E44D-BB7A-62C1D654A526}"/>
    <hyperlink ref="W1100" r:id="rId1695" xr:uid="{CDBC7B00-F976-D04F-A409-84F16F351092}"/>
    <hyperlink ref="J1102" r:id="rId1696" xr:uid="{1428B1D1-11B2-7847-BDA8-312F45CD6C5B}"/>
    <hyperlink ref="J1103" r:id="rId1697" xr:uid="{326550C6-0D62-9541-96CF-63D3DBB258CB}"/>
    <hyperlink ref="J1104" r:id="rId1698" xr:uid="{A69EFB61-FE25-4A46-9333-6FF6B128F118}"/>
    <hyperlink ref="W1105" r:id="rId1699" xr:uid="{6CF10A02-2824-DC49-A6F3-42BE9435FFE4}"/>
    <hyperlink ref="J1106" r:id="rId1700" xr:uid="{5C9B6D27-7A0E-4945-B101-F21936F49754}"/>
    <hyperlink ref="W1106" r:id="rId1701" xr:uid="{9DEF9E25-2265-F14A-91EB-87CB53A9DB15}"/>
    <hyperlink ref="J1107" r:id="rId1702" xr:uid="{69421CE2-826D-CF46-A587-C6FD20DCDB3D}"/>
    <hyperlink ref="W1107" r:id="rId1703" xr:uid="{062CE5A9-BA9B-9A4F-87F4-378B03EA68EA}"/>
    <hyperlink ref="J1108" r:id="rId1704" xr:uid="{F064EFCA-B0FB-3D43-85D4-928F96AA23EC}"/>
    <hyperlink ref="W1108" r:id="rId1705" xr:uid="{806DBC66-FE09-B640-99CC-C28CB3E61A2D}"/>
    <hyperlink ref="J1109" r:id="rId1706" xr:uid="{32D99D44-FCD1-E248-8C87-04EDA1F0789F}"/>
    <hyperlink ref="W1109" r:id="rId1707" xr:uid="{50DE2D51-E829-8642-A495-F92966BF9845}"/>
    <hyperlink ref="J1110" r:id="rId1708" xr:uid="{2CD5ACA4-DB3E-AF40-8D58-506ACF6CC3E9}"/>
    <hyperlink ref="J1111" r:id="rId1709" xr:uid="{345B7F62-53A3-224C-BCAE-74BD600FC39D}"/>
    <hyperlink ref="J1112" r:id="rId1710" xr:uid="{F44C96D5-40A1-6F45-8CB4-508769DD927A}"/>
    <hyperlink ref="W1112" r:id="rId1711" xr:uid="{0633CA18-F309-0D42-BCA4-8FDBD35D1F7A}"/>
    <hyperlink ref="J1113" r:id="rId1712" xr:uid="{5B1E734E-9BCE-DC44-B029-F28F9AE3D336}"/>
    <hyperlink ref="J1114" r:id="rId1713" xr:uid="{D96FAB25-9852-6849-80A7-92DA4F747883}"/>
    <hyperlink ref="W1114" r:id="rId1714" xr:uid="{1291FE37-5201-0342-A135-FE5A9019082B}"/>
    <hyperlink ref="J1115" r:id="rId1715" xr:uid="{6DB157EB-A4E0-DA45-B40A-00DF5D66E05A}"/>
    <hyperlink ref="W1115" r:id="rId1716" xr:uid="{1E6F8757-3CCD-D044-8300-DADC8CA247A3}"/>
    <hyperlink ref="J1116" r:id="rId1717" xr:uid="{50803399-F5DF-064E-BC4B-0C885FA1F28F}"/>
    <hyperlink ref="W1116" r:id="rId1718" xr:uid="{32810CCA-2FF7-174D-B9F6-F367AEEBADA1}"/>
    <hyperlink ref="J1117" r:id="rId1719" xr:uid="{DAFF81A5-F287-2243-8AF7-7E9A3461CEDB}"/>
    <hyperlink ref="W1117" r:id="rId1720" xr:uid="{14A9FBAB-5B73-2943-B501-EC6B916865A8}"/>
    <hyperlink ref="J1118" r:id="rId1721" xr:uid="{6542927F-EFB3-2B4B-B708-6B2613CC6C08}"/>
    <hyperlink ref="W1118" r:id="rId1722" xr:uid="{BBADD29A-6CA1-F54F-B6B6-A6102605CF17}"/>
    <hyperlink ref="J1119" r:id="rId1723" xr:uid="{139C354B-2F6A-4347-B0FC-49DF3C65A6BC}"/>
    <hyperlink ref="J1120" r:id="rId1724" xr:uid="{E7C4A7A6-33D2-A449-B659-39FA04EB2658}"/>
    <hyperlink ref="J1121" r:id="rId1725" xr:uid="{90C9A30B-378B-3E44-AC52-DD4D28F23741}"/>
    <hyperlink ref="J1122" r:id="rId1726" xr:uid="{6FE181E6-30A0-8449-95D8-D165D83B6DD6}"/>
    <hyperlink ref="W1122" r:id="rId1727" xr:uid="{5D017D27-7BFB-554B-B2CD-7A7D62475D16}"/>
    <hyperlink ref="J1123" r:id="rId1728" xr:uid="{768EA81E-5A77-C248-8AA3-BD1D181B1DEA}"/>
    <hyperlink ref="J1124" r:id="rId1729" xr:uid="{FB012C57-58B0-B24F-8A63-D8B58FE68282}"/>
    <hyperlink ref="J1125" r:id="rId1730" xr:uid="{0250238F-12DF-EF49-A5C0-99B3365FC620}"/>
    <hyperlink ref="J1126" r:id="rId1731" xr:uid="{7EC30194-29E0-0D49-9CBF-27F48B9AEBFA}"/>
    <hyperlink ref="J1127" r:id="rId1732" xr:uid="{FC41350D-7380-704C-A2D1-03D5D4952C2C}"/>
    <hyperlink ref="W1127" r:id="rId1733" xr:uid="{829794D7-D195-3241-B123-EC7B477BD85C}"/>
    <hyperlink ref="J1128" r:id="rId1734" xr:uid="{8C42C768-A080-394F-8357-178862F288EB}"/>
    <hyperlink ref="J1129" r:id="rId1735" xr:uid="{CE088B24-4F15-FC4E-94F5-F4DC79C05C13}"/>
    <hyperlink ref="J1130" r:id="rId1736" xr:uid="{EE319B8A-1CF3-2A43-AC27-CA326A5F7060}"/>
    <hyperlink ref="J1131" r:id="rId1737" xr:uid="{B207C126-2124-264E-AC67-931F20A8FE54}"/>
    <hyperlink ref="J1132" r:id="rId1738" xr:uid="{299507E8-C6A6-3E42-80E6-39FC967CE177}"/>
    <hyperlink ref="J1133" r:id="rId1739" xr:uid="{21D57CC8-2B91-8344-A420-CB093BDB3FA1}"/>
    <hyperlink ref="W1133" r:id="rId1740" xr:uid="{42DC9025-923D-4641-B6DB-4CF23B56E95F}"/>
    <hyperlink ref="J1134" r:id="rId1741" xr:uid="{A27199EC-63F9-A34C-B055-255F6E8F15F8}"/>
    <hyperlink ref="J1135" r:id="rId1742" xr:uid="{2235EDAC-F33F-2242-98C7-FAAB59DB15C4}"/>
    <hyperlink ref="J1136" r:id="rId1743" xr:uid="{CDCA3813-CCF2-2045-B7CA-3D73A6B94F7C}"/>
    <hyperlink ref="J1137" r:id="rId1744" xr:uid="{CF48CA3B-F669-B046-941E-031816717188}"/>
    <hyperlink ref="J1138" r:id="rId1745" xr:uid="{02C5ABA2-131F-C54D-A31B-E68D25475542}"/>
    <hyperlink ref="W1138" r:id="rId1746" xr:uid="{A8333DBB-DA06-9246-8549-4444223A33B4}"/>
    <hyperlink ref="AH1138" r:id="rId1747" xr:uid="{5A00D275-066C-1643-B78A-3EB8E75A7AB3}"/>
    <hyperlink ref="J1139" r:id="rId1748" xr:uid="{AB3AA146-16AC-D64D-8D11-F3FA1027D36C}"/>
    <hyperlink ref="J1140" r:id="rId1749" xr:uid="{B48C86D0-7AD2-EF4C-B32C-681598F89B42}"/>
    <hyperlink ref="J1141" r:id="rId1750" xr:uid="{884C7832-6848-8341-891C-A275E7AFEFA7}"/>
    <hyperlink ref="J1142" r:id="rId1751" xr:uid="{0418E1DE-92CB-8847-BB10-9C5D03B97543}"/>
    <hyperlink ref="J1143" r:id="rId1752" xr:uid="{39D76FEE-3F09-7341-9827-022F24B08ED8}"/>
    <hyperlink ref="J1144" r:id="rId1753" xr:uid="{A23DE7E4-565E-824E-8674-9A5DC441BFF6}"/>
    <hyperlink ref="J1145" r:id="rId1754" xr:uid="{9DF737C2-B2DC-A54C-83A3-7F3F7AE6960B}"/>
    <hyperlink ref="J1146" r:id="rId1755" xr:uid="{170FEFCA-E4C4-924B-9455-63D63F70A2D4}"/>
    <hyperlink ref="J1147" r:id="rId1756" xr:uid="{1F93EC6E-E46F-2E45-8B72-8E6BB3AC0D53}"/>
    <hyperlink ref="J1148" r:id="rId1757" xr:uid="{62ED4EE1-7793-3E4E-8A39-B62477E78EBB}"/>
    <hyperlink ref="J1149" r:id="rId1758" xr:uid="{FAFB391E-A8AB-464E-8219-B02033307875}"/>
    <hyperlink ref="J1150" r:id="rId1759" xr:uid="{C9289C60-E3D0-9C40-BAE5-B7F7E2AAB969}"/>
    <hyperlink ref="J1151" r:id="rId1760" xr:uid="{3142CB17-B7E7-9A47-8474-F0062F87178F}"/>
    <hyperlink ref="J1152" r:id="rId1761" xr:uid="{6A1102CC-2557-0048-9E75-CBE81442E638}"/>
    <hyperlink ref="J1153" r:id="rId1762" xr:uid="{EE0403C9-7851-9B46-8EC2-5E5E1D231B8E}"/>
    <hyperlink ref="J1154" r:id="rId1763" xr:uid="{5C168643-ADDA-D948-B0B9-C066B47BB69B}"/>
    <hyperlink ref="J1155" r:id="rId1764" xr:uid="{7F4A4A15-4257-6945-8FD4-4659C33AC20A}"/>
    <hyperlink ref="J1156" r:id="rId1765" xr:uid="{C638EDE1-CD4D-1E48-9B25-583CC724B3BF}"/>
    <hyperlink ref="J1157" r:id="rId1766" xr:uid="{28F07B0F-D0A2-C54B-8CD0-254B574AC582}"/>
    <hyperlink ref="J1158" r:id="rId1767" xr:uid="{A8029F0B-8700-D249-83B5-D55829BC5C2C}"/>
    <hyperlink ref="J1159" r:id="rId1768" xr:uid="{7242941B-50D4-B947-B773-59EBDC149C51}"/>
    <hyperlink ref="J1160" r:id="rId1769" xr:uid="{896DA07A-EB9B-3E4C-B0F5-232096711102}"/>
    <hyperlink ref="J1161" r:id="rId1770" xr:uid="{AAB49B17-6289-814E-8F40-7FDC6C238BEB}"/>
    <hyperlink ref="J1162" r:id="rId1771" xr:uid="{BAE5AC6A-6C6E-284E-8A34-705615780D2C}"/>
    <hyperlink ref="J1163" r:id="rId1772" xr:uid="{9A770A4F-462F-5345-97BC-FE7F6B7E8C52}"/>
    <hyperlink ref="J1164" r:id="rId1773" xr:uid="{9A7708C1-1ED7-6343-AF23-B5F433B0D48F}"/>
    <hyperlink ref="J1165" r:id="rId1774" xr:uid="{3C1324DA-2DC7-454C-A544-E90CAD892517}"/>
    <hyperlink ref="J1166" r:id="rId1775" xr:uid="{5FE0A922-6272-5249-B5E7-DC08040395C5}"/>
    <hyperlink ref="J1167" r:id="rId1776" xr:uid="{04D737C4-2143-DD4C-9714-79E978C87FC5}"/>
    <hyperlink ref="J1168" r:id="rId1777" xr:uid="{C130BA60-A9E6-2C40-92B2-D3950DF0792D}"/>
    <hyperlink ref="J1169" r:id="rId1778" xr:uid="{097E4767-7B3D-0140-9547-1EDCB0A4CBB3}"/>
    <hyperlink ref="P1169" r:id="rId1779" xr:uid="{7C641F1A-E46D-A642-A741-22454613BC0E}"/>
    <hyperlink ref="J1170" r:id="rId1780" xr:uid="{E776F0B7-87CB-9C4F-AE57-83E58D299199}"/>
    <hyperlink ref="J1171" r:id="rId1781" xr:uid="{D28AD7D8-176E-5147-B65B-2861AFCEC21C}"/>
    <hyperlink ref="O1171" r:id="rId1782" xr:uid="{EF5F6E83-7056-CC46-AEE9-6150DF4F7308}"/>
    <hyperlink ref="J1172" r:id="rId1783" xr:uid="{B4BA10D4-0BF0-F44D-AD1F-0C7E9391F202}"/>
    <hyperlink ref="J1173" r:id="rId1784" xr:uid="{9AE2432E-1A8B-BC41-B1B8-6464606F325C}"/>
    <hyperlink ref="J1174" r:id="rId1785" xr:uid="{E5360C55-95F0-0D4B-88E4-5E8A7E333EAC}"/>
    <hyperlink ref="J1175" r:id="rId1786" xr:uid="{AA73D08D-FF04-A745-BDAA-F2C436CD57BC}"/>
    <hyperlink ref="J1176" r:id="rId1787" xr:uid="{13627183-088C-FD4F-87A2-B61FC72ADE36}"/>
    <hyperlink ref="J1177" r:id="rId1788" xr:uid="{740BFD62-337E-1047-9555-A00812EC0E5E}"/>
    <hyperlink ref="J1178" r:id="rId1789" xr:uid="{5E6A766B-52E2-4D42-BE32-3D3FADBE140F}"/>
    <hyperlink ref="J1179" r:id="rId1790" xr:uid="{15691051-71A6-9441-83BC-CA80902DEDE6}"/>
    <hyperlink ref="J1180" r:id="rId1791" xr:uid="{FA2D2D17-A4A6-AA4A-B14B-33BEB2A50646}"/>
    <hyperlink ref="J1181" r:id="rId1792" xr:uid="{564A9B3A-A649-3944-9D66-6141B8F2F404}"/>
    <hyperlink ref="J1182" r:id="rId1793" xr:uid="{2CBDAD73-CA97-A641-935A-1559FC994312}"/>
    <hyperlink ref="J1183" r:id="rId1794" xr:uid="{9F6C8E63-9569-CD42-9D06-2CE9F8DD737D}"/>
    <hyperlink ref="J1184" r:id="rId1795" xr:uid="{F8A11F3D-DB84-C24B-A9CA-8B05AA51ACF7}"/>
    <hyperlink ref="J1185" r:id="rId1796" xr:uid="{B7034E3B-DBC4-9A49-A69E-05B757797CE9}"/>
    <hyperlink ref="J1186" r:id="rId1797" xr:uid="{C0BEFDF0-F798-8647-A339-E017863A7D5C}"/>
    <hyperlink ref="J1187" r:id="rId1798" xr:uid="{F65E4A8D-C8BC-9D4A-85FC-4427EBC81D96}"/>
    <hyperlink ref="J1188" r:id="rId1799" xr:uid="{73EE4204-B709-2A42-96BE-3307F0D7EBDE}"/>
    <hyperlink ref="W1188" r:id="rId1800" xr:uid="{8B40455A-01EF-944E-8EF8-1BEE6972ED98}"/>
    <hyperlink ref="J1189" r:id="rId1801" xr:uid="{EDEBC1DB-0FBC-A842-A32D-E4B434393282}"/>
    <hyperlink ref="J1190" r:id="rId1802" xr:uid="{A20A4ED6-FFC3-554E-98FE-A68E1AAED6EA}"/>
    <hyperlink ref="J1191" r:id="rId1803" xr:uid="{19C7E578-4D3F-D94C-B730-48C04C277AA0}"/>
    <hyperlink ref="J1192" r:id="rId1804" xr:uid="{07F7B063-E293-7043-A48F-193EA32B3EC5}"/>
    <hyperlink ref="J1193" r:id="rId1805" xr:uid="{202ADB98-9F3F-7E46-B645-8D4BCA96D0EE}"/>
    <hyperlink ref="J1194" r:id="rId1806" xr:uid="{C788A44C-8342-9C43-AFA9-E337318302BA}"/>
    <hyperlink ref="J1195" r:id="rId1807" xr:uid="{E09FF8DC-16F4-D14D-9654-FACA529D5CFB}"/>
    <hyperlink ref="J1196" r:id="rId1808" xr:uid="{3EEF3085-24E9-544D-9165-6ADA8D291030}"/>
    <hyperlink ref="J1197" r:id="rId1809" xr:uid="{5889190A-6BA4-0B44-8872-BA5DC5BD1AE3}"/>
    <hyperlink ref="W1197" r:id="rId1810" xr:uid="{D2C49632-118A-FB4A-BB4D-85E32D00DFA0}"/>
    <hyperlink ref="J1198" r:id="rId1811" xr:uid="{5BF73B06-AAC4-034E-925F-4EA0BF65AB17}"/>
    <hyperlink ref="W1198" r:id="rId1812" xr:uid="{A8CDCABA-E959-A144-8273-761FB4908B10}"/>
    <hyperlink ref="J1199" r:id="rId1813" xr:uid="{3FC1D5CF-D4A8-4144-B2ED-3244BE304120}"/>
    <hyperlink ref="J1200" r:id="rId1814" xr:uid="{DF5B803F-9498-994C-B883-15C98E46C760}"/>
    <hyperlink ref="J1201" r:id="rId1815" xr:uid="{AE26F928-499D-574E-9F42-994829ECA41A}"/>
    <hyperlink ref="J1202" r:id="rId1816" xr:uid="{092921F2-6586-FB4B-B5A9-9BE543E3B419}"/>
    <hyperlink ref="J1203" r:id="rId1817" xr:uid="{6AE6DF12-06DE-7B4F-89DE-9317755C635C}"/>
    <hyperlink ref="W1203" r:id="rId1818" xr:uid="{E2870313-FEC2-BF43-8BB9-C15532C8352E}"/>
    <hyperlink ref="J1204" r:id="rId1819" xr:uid="{0739ECCC-5C4B-1747-BA77-5672456C2688}"/>
    <hyperlink ref="W1204" r:id="rId1820" xr:uid="{36780261-A2BE-6F42-A33C-D578FB34182B}"/>
    <hyperlink ref="J1205" r:id="rId1821" xr:uid="{56F0C15F-1122-134F-94C7-135D1434D6A9}"/>
    <hyperlink ref="W1205" r:id="rId1822" xr:uid="{FA0A5794-6EE6-EF45-BD4B-B8387B3B808E}"/>
    <hyperlink ref="J1206" r:id="rId1823" xr:uid="{CDF1AE86-0933-A944-A72D-90DBB2907724}"/>
    <hyperlink ref="J1207" r:id="rId1824" xr:uid="{A3DBDF48-37D2-D542-8D46-474F563F7CE6}"/>
    <hyperlink ref="W1207" r:id="rId1825" xr:uid="{908EFB5C-8466-A14B-AED0-CD45DFF77B2B}"/>
    <hyperlink ref="J1208" r:id="rId1826" xr:uid="{A833EF09-2E54-2A46-A6DC-830A0EEDB8EC}"/>
    <hyperlink ref="W1208" r:id="rId1827" xr:uid="{D80A8D4E-91E9-014B-B441-E55B703D1F28}"/>
    <hyperlink ref="J1209" r:id="rId1828" xr:uid="{8C4D07A0-BA25-564E-A3A9-08A48C62FC0B}"/>
    <hyperlink ref="W1209" r:id="rId1829" xr:uid="{A54BDD21-821B-AF48-B0EB-690A9B582588}"/>
    <hyperlink ref="J1210" r:id="rId1830" xr:uid="{78B30CA0-20DC-2D47-A55A-826CF8B42771}"/>
    <hyperlink ref="J1211" r:id="rId1831" xr:uid="{38C9B6E6-C0E1-E445-B528-8FF6E994BD76}"/>
    <hyperlink ref="J1212" r:id="rId1832" xr:uid="{8D6BE0AA-701F-364E-AF61-7CC47D8E98C2}"/>
    <hyperlink ref="W1212" r:id="rId1833" xr:uid="{1F312E07-F363-E84A-B311-1E30544CE743}"/>
    <hyperlink ref="J1213" r:id="rId1834" xr:uid="{98CE13AC-B0B9-354A-97A0-5EC87E9458FF}"/>
    <hyperlink ref="W1213" r:id="rId1835" xr:uid="{AF38B26F-D1AE-7443-BD3C-1416ABC603A0}"/>
    <hyperlink ref="J1214" r:id="rId1836" xr:uid="{7F2CB5BE-CF6F-3D41-8275-1C3F6C4C8F4A}"/>
    <hyperlink ref="W1214" r:id="rId1837" xr:uid="{70A12BCC-825F-3144-8880-C7316D623E74}"/>
    <hyperlink ref="J1215" r:id="rId1838" xr:uid="{7D98E3CE-09ED-EA41-B2E9-081648130806}"/>
    <hyperlink ref="W1215" r:id="rId1839" xr:uid="{B340FC1D-02FF-0744-878A-6C0A9B7CCF15}"/>
    <hyperlink ref="J1216" r:id="rId1840" xr:uid="{86FCA6C6-55FB-5341-9DF1-5DD56679A172}"/>
    <hyperlink ref="J1217" r:id="rId1841" xr:uid="{00940300-D0C1-384C-8AAA-F52981AB3466}"/>
    <hyperlink ref="J1218" r:id="rId1842" xr:uid="{8022E73C-EF76-0543-966E-7E6D08AEC511}"/>
    <hyperlink ref="W1218" r:id="rId1843" xr:uid="{B0A17388-0F1A-3749-AC39-A44252AA922A}"/>
    <hyperlink ref="J1219" r:id="rId1844" xr:uid="{1163CA10-80E3-C141-8F5E-949CF6612795}"/>
    <hyperlink ref="W1219" r:id="rId1845" xr:uid="{88E01396-23F3-764C-A3E3-71D942114EBF}"/>
    <hyperlink ref="J1220" r:id="rId1846" xr:uid="{4136A37D-FFFD-7641-A01B-D8DE21B3B3D7}"/>
    <hyperlink ref="W1220" r:id="rId1847" xr:uid="{1562EEB8-6745-6C47-BAE4-12EF83EDED41}"/>
    <hyperlink ref="J1221" r:id="rId1848" xr:uid="{696DE0D4-45D4-294A-B490-C0E4FADA2420}"/>
    <hyperlink ref="J1222" r:id="rId1849" xr:uid="{7DEBC724-1A73-4B47-84EA-ECDAE7E54B69}"/>
    <hyperlink ref="W1222" r:id="rId1850" xr:uid="{245C9FB7-F7D1-4244-8985-40B8AF923079}"/>
    <hyperlink ref="J1223" r:id="rId1851" xr:uid="{92425899-E8DF-6842-B228-1FFB47044A6E}"/>
    <hyperlink ref="W1223" r:id="rId1852" xr:uid="{0E7AEEAF-27A8-6041-9763-0832AC9F4F00}"/>
    <hyperlink ref="J1224" r:id="rId1853" xr:uid="{22D65A5C-A1EE-F24F-AB08-F8B68D38B06A}"/>
    <hyperlink ref="J1225" r:id="rId1854" xr:uid="{1A607C08-87AB-A84C-A98E-824CA3F00311}"/>
    <hyperlink ref="W1225" r:id="rId1855" xr:uid="{D6FFB93C-A064-F94C-9C71-81D8D9E060AF}"/>
    <hyperlink ref="J1226" r:id="rId1856" xr:uid="{80F50F59-144C-2844-AFA3-783BDD5C0164}"/>
    <hyperlink ref="J1227" r:id="rId1857" xr:uid="{993D91C4-F5BF-574C-BBDD-37F577FD1FB1}"/>
    <hyperlink ref="J1228" r:id="rId1858" xr:uid="{AD529C4D-E45C-2947-AE11-C9AE5C2EED20}"/>
    <hyperlink ref="J1229" r:id="rId1859" xr:uid="{70F275A9-EF3C-2D4B-9268-29E8DA3EC32B}"/>
    <hyperlink ref="W1229" r:id="rId1860" xr:uid="{1D72B9B7-034D-6146-8DA8-8414F7E3BBF8}"/>
    <hyperlink ref="J1230" r:id="rId1861" xr:uid="{75478957-BA79-2642-AB3C-9DDE958B4422}"/>
    <hyperlink ref="W1230" r:id="rId1862" xr:uid="{257A440F-FEF1-E242-AD1C-9439D2680622}"/>
    <hyperlink ref="J1231" r:id="rId1863" xr:uid="{11FD318A-4F86-4F40-8C06-4DB2459599A4}"/>
    <hyperlink ref="W1231" r:id="rId1864" xr:uid="{BCBD9022-989D-D44F-BE74-E64CEB5D3C0B}"/>
    <hyperlink ref="J1232" r:id="rId1865" xr:uid="{4157DF5E-8943-F240-9959-B4F3A6DEA3C7}"/>
    <hyperlink ref="J1233" r:id="rId1866" xr:uid="{A14CCDC2-8F34-094C-90A3-DCC1AC71F47E}"/>
    <hyperlink ref="W1233" r:id="rId1867" xr:uid="{36018CB2-0477-1044-8940-E4154D436461}"/>
    <hyperlink ref="J1234" r:id="rId1868" xr:uid="{AA9D168C-886C-0149-9992-3BC24FA7A48D}"/>
    <hyperlink ref="W1234" r:id="rId1869" xr:uid="{B6DADF19-0D65-2B4B-ACC1-38AC63AB9B4A}"/>
    <hyperlink ref="J1235" r:id="rId1870" xr:uid="{5F0756E3-890B-6D4E-965D-A45DA8028F1C}"/>
    <hyperlink ref="W1235" r:id="rId1871" xr:uid="{DF50C35B-4D85-F14E-A5C7-CB1E47FFCDE4}"/>
    <hyperlink ref="J1236" r:id="rId1872" xr:uid="{760C2CAB-711D-434C-B5BC-D0520B2460A8}"/>
    <hyperlink ref="J1237" r:id="rId1873" xr:uid="{83B0A04B-4A4C-EC4C-BA1C-ABC7E811FB15}"/>
    <hyperlink ref="W1237" r:id="rId1874" xr:uid="{8BFA207D-7936-E84F-93D4-886201055C99}"/>
    <hyperlink ref="J1238" r:id="rId1875" xr:uid="{5173D329-4AE4-E447-81A5-FD2C89AA3A11}"/>
    <hyperlink ref="W1238" r:id="rId1876" xr:uid="{5C6A7D41-B988-9F41-914B-30F993CA7ADE}"/>
    <hyperlink ref="J1239" r:id="rId1877" xr:uid="{DBB95C61-3CE8-ED43-AE97-0BCF7CCD2F6D}"/>
    <hyperlink ref="W1239" r:id="rId1878" xr:uid="{50AD8305-6CED-3546-BC6D-01B88540D7C2}"/>
    <hyperlink ref="J1240" r:id="rId1879" xr:uid="{A0704D83-1D92-714E-89F3-E096BAADC5E7}"/>
    <hyperlink ref="J1241" r:id="rId1880" xr:uid="{CA6B941E-B6AF-E94E-8BF6-B4CB9E514C46}"/>
    <hyperlink ref="W1241" r:id="rId1881" xr:uid="{0C921775-DB9E-8043-8BD0-11619B966F55}"/>
    <hyperlink ref="J1242" r:id="rId1882" xr:uid="{0EEDF7FC-4809-A74F-ACE7-430B923072A8}"/>
    <hyperlink ref="J1243" r:id="rId1883" xr:uid="{71BD27C5-48DD-2A4A-BD67-66E724EDF51F}"/>
    <hyperlink ref="J1244" r:id="rId1884" xr:uid="{CC1CED02-EF60-0048-AD71-238D930C042D}"/>
    <hyperlink ref="W1244" r:id="rId1885" xr:uid="{BA812A53-8EED-454B-AD61-AD703A031567}"/>
    <hyperlink ref="J1245" r:id="rId1886" xr:uid="{BA1FABDA-059B-1F44-A268-46546D9953CA}"/>
    <hyperlink ref="J1246" r:id="rId1887" xr:uid="{962AD14C-092A-A94E-9DAC-84A69F67C680}"/>
    <hyperlink ref="W1246" r:id="rId1888" xr:uid="{EF2F507B-A9BA-B34D-B124-355AC3D2F887}"/>
    <hyperlink ref="J1247" r:id="rId1889" xr:uid="{B3FEDDB7-CB43-C240-903F-62FE032E9D73}"/>
    <hyperlink ref="J1248" r:id="rId1890" xr:uid="{6A8FDE29-2FF6-D641-B137-5B5D3DE1AE50}"/>
    <hyperlink ref="J1249" r:id="rId1891" xr:uid="{394FA8AE-F7F0-7C42-AB40-A8E561D9F578}"/>
    <hyperlink ref="J1250" r:id="rId1892" xr:uid="{D82A4028-2FA1-0A47-953F-2B1E6DE2C381}"/>
    <hyperlink ref="W1250" r:id="rId1893" xr:uid="{8E22EB8D-146B-C147-BE0A-BB4DBE687BCA}"/>
    <hyperlink ref="J1251" r:id="rId1894" xr:uid="{7D4B42F9-25B2-FB49-A4E4-42A70751C358}"/>
    <hyperlink ref="W1251" r:id="rId1895" xr:uid="{EB3A588A-0525-D843-A867-1F3BCD11580E}"/>
    <hyperlink ref="J1252" r:id="rId1896" xr:uid="{5E85A164-4051-1F4E-972B-B9DC57F61A93}"/>
    <hyperlink ref="W1252" r:id="rId1897" xr:uid="{0CD9A0B6-B5F8-6A4C-B7E6-A860B50CF511}"/>
    <hyperlink ref="J1253" r:id="rId1898" xr:uid="{06A8875C-BF20-914F-BE8C-79658A7D4CC6}"/>
    <hyperlink ref="W1253" r:id="rId1899" xr:uid="{F5EAE260-0BC9-0946-AE4D-B7265571FAB7}"/>
    <hyperlink ref="J1254" r:id="rId1900" xr:uid="{5CC36356-855D-3B43-881F-11064D5C5B83}"/>
    <hyperlink ref="W1254" r:id="rId1901" xr:uid="{09551B7B-1B3D-954C-B60D-0549F04D0A09}"/>
    <hyperlink ref="J1255" r:id="rId1902" xr:uid="{C32A31F1-9561-A448-BF11-0CD45AD0479E}"/>
    <hyperlink ref="W1255" r:id="rId1903" xr:uid="{2A091AD0-1A43-3841-827F-D79D40B515C6}"/>
    <hyperlink ref="J1256" r:id="rId1904" xr:uid="{81ADFF3B-31CB-5B46-8F10-6233605FE08F}"/>
    <hyperlink ref="W1256" r:id="rId1905" xr:uid="{2AA42386-4A40-D44A-AD94-DE136F855D70}"/>
    <hyperlink ref="J1257" r:id="rId1906" xr:uid="{0D6AF96E-6974-3840-8A9A-4BD48853D2B7}"/>
    <hyperlink ref="W1257" r:id="rId1907" xr:uid="{CB04E6E1-35E3-3345-A16E-796937328618}"/>
    <hyperlink ref="J1258" r:id="rId1908" xr:uid="{AB5E0B18-ADDC-534A-A8C6-9EF035948671}"/>
    <hyperlink ref="J1259" r:id="rId1909" xr:uid="{E7C1022C-8D52-2F41-854E-A4A8B038DA3D}"/>
    <hyperlink ref="J1260" r:id="rId1910" xr:uid="{E4B04E73-F61B-EF4C-B78E-99E2BC32B818}"/>
    <hyperlink ref="J1261" r:id="rId1911" xr:uid="{357FC612-C6D4-B54A-8CD8-7E742A99D289}"/>
    <hyperlink ref="J1262" r:id="rId1912" xr:uid="{1BB86F60-CC25-2347-9E33-D012F74DC975}"/>
    <hyperlink ref="J1263" r:id="rId1913" xr:uid="{D713D209-CCEF-2C49-B38E-0AEDCF78944E}"/>
    <hyperlink ref="J1264" r:id="rId1914" xr:uid="{9842D10D-7A91-1F41-91B8-917629C7B9DA}"/>
    <hyperlink ref="W1264" r:id="rId1915" xr:uid="{C45571B7-60AC-9941-97E3-3C33D065A1F1}"/>
    <hyperlink ref="J1265" r:id="rId1916" xr:uid="{BEA49FD5-9AC7-594A-93C7-F686626A92EE}"/>
    <hyperlink ref="W1265" r:id="rId1917" xr:uid="{6016ABB2-0124-024F-A8A6-E42FB532B8F4}"/>
    <hyperlink ref="J1266" r:id="rId1918" xr:uid="{10A29CD5-635A-074E-8D80-0AC8A8A50A09}"/>
    <hyperlink ref="J1267" r:id="rId1919" xr:uid="{0246FF1B-BEC1-5247-97E9-5B789EA0B9FC}"/>
    <hyperlink ref="J1268" r:id="rId1920" xr:uid="{FD85FD80-CB1C-7747-B5C7-675E97ACCC80}"/>
    <hyperlink ref="J1269" r:id="rId1921" xr:uid="{D48A8C77-3D36-2D47-8BD8-1265CE17FEC6}"/>
    <hyperlink ref="J1270" r:id="rId1922" xr:uid="{249F0C1D-3D3D-E843-A00D-86AB1C7E8E28}"/>
    <hyperlink ref="J1271" r:id="rId1923" xr:uid="{127C3F0B-5F3F-4A4C-988A-96DEF0020C03}"/>
    <hyperlink ref="J1272" r:id="rId1924" xr:uid="{6C395204-02DB-314A-8D9B-83F04203B9FE}"/>
    <hyperlink ref="J1273" r:id="rId1925" xr:uid="{22D32B4C-08BD-054A-BFCB-F980513B8ABB}"/>
    <hyperlink ref="J1274" r:id="rId1926" xr:uid="{FBAE5AD5-E1F1-8649-80D9-F1F0B175F19C}"/>
    <hyperlink ref="W1274" r:id="rId1927" xr:uid="{09D92289-C89D-CD43-9B66-D758751996DD}"/>
    <hyperlink ref="J1275" r:id="rId1928" xr:uid="{D24CC874-460F-9441-B42D-FE988F783083}"/>
    <hyperlink ref="W1275" r:id="rId1929" xr:uid="{B9515C35-B3A7-B34F-B56A-7B0C62920212}"/>
    <hyperlink ref="J1276" r:id="rId1930" xr:uid="{F03247B5-FBBE-5345-ABE0-8FF574BDF338}"/>
    <hyperlink ref="J1277" r:id="rId1931" xr:uid="{E4196102-6C4B-E641-AB3C-AF01294E08C9}"/>
    <hyperlink ref="W1277" r:id="rId1932" xr:uid="{62FDFA6A-1484-1C4D-AF85-E8A7B1FCADDD}"/>
    <hyperlink ref="J1278" r:id="rId1933" xr:uid="{EB495542-1E74-6849-A56C-78B68B3DC14F}"/>
    <hyperlink ref="J1279" r:id="rId1934" xr:uid="{F16822D9-B4F9-AE4F-B252-5982DAFD0898}"/>
    <hyperlink ref="J1280" r:id="rId1935" xr:uid="{B4F875D5-233A-9146-AF01-7921DC8D2E84}"/>
    <hyperlink ref="J1281" r:id="rId1936" xr:uid="{795A8ED9-148B-1049-8731-C3375300771B}"/>
    <hyperlink ref="J1282" r:id="rId1937" xr:uid="{98773DA4-8E3D-6443-96E7-75DC12B1F4F3}"/>
    <hyperlink ref="W1282" r:id="rId1938" xr:uid="{98C8398F-218B-F54C-A929-B1A0BAF78680}"/>
    <hyperlink ref="J1283" r:id="rId1939" xr:uid="{DD71AAE7-800C-984A-A55F-F40DA7D57935}"/>
    <hyperlink ref="J1284" r:id="rId1940" xr:uid="{E354E337-83BD-E842-A14F-18D740A89A5E}"/>
    <hyperlink ref="W1284" r:id="rId1941" xr:uid="{BEF092E0-7892-0249-B028-798BA07F9B08}"/>
    <hyperlink ref="J1285" r:id="rId1942" xr:uid="{2444A46C-4D91-B04D-8267-28BA03AA8517}"/>
    <hyperlink ref="J1286" r:id="rId1943" xr:uid="{FDEAD14F-D819-8846-982C-15A62FF07927}"/>
    <hyperlink ref="J1287" r:id="rId1944" xr:uid="{77CD0590-9C54-6D47-B112-C01296A162EC}"/>
    <hyperlink ref="W1287" r:id="rId1945" xr:uid="{D2AD4F24-E870-654D-9762-49A978732CE4}"/>
    <hyperlink ref="J1288" r:id="rId1946" xr:uid="{9EDD2DA2-7255-3043-91EB-809DAB187C75}"/>
    <hyperlink ref="O1288" r:id="rId1947" xr:uid="{AFEA2B94-9EEC-0540-B2F6-9491583FC4AC}"/>
    <hyperlink ref="J1289" r:id="rId1948" xr:uid="{B50A80B8-495B-9943-85D1-931E0B10CCE6}"/>
    <hyperlink ref="W1289" r:id="rId1949" xr:uid="{E7062E7E-A69C-3742-9FA9-03914C6C585C}"/>
    <hyperlink ref="J1290" r:id="rId1950" xr:uid="{350C1A68-A9FC-FA44-911A-9E8A45F68D48}"/>
    <hyperlink ref="J1291" r:id="rId1951" xr:uid="{921CACDF-5694-0E44-B1A6-6519E37CAE9F}"/>
    <hyperlink ref="J1292" r:id="rId1952" xr:uid="{57AE70EC-EA85-964D-98DA-71D9062AD9B6}"/>
    <hyperlink ref="J1293" r:id="rId1953" xr:uid="{6CA1BAB6-AE07-7B49-A581-19EBB5F11F9C}"/>
    <hyperlink ref="J1294" r:id="rId1954" xr:uid="{6D9842B5-2D0A-DC45-9692-77D4D6D2CCC7}"/>
    <hyperlink ref="J1295" r:id="rId1955" xr:uid="{D3DD1EB0-3060-C947-B93C-1CFB48E79A52}"/>
    <hyperlink ref="J1296" r:id="rId1956" xr:uid="{A962459A-1246-6649-93A4-65EA0F5DB78B}"/>
    <hyperlink ref="J1297" r:id="rId1957" xr:uid="{3C7E822B-F7C4-BC43-80A3-AF01CA86DD15}"/>
    <hyperlink ref="J1298" r:id="rId1958" xr:uid="{80C02BB5-5B53-7A49-9AEC-2C9F5B4A725C}"/>
    <hyperlink ref="J1299" r:id="rId1959" xr:uid="{5A7DB2E3-7337-D143-B19B-21157A197053}"/>
    <hyperlink ref="W1299" r:id="rId1960" xr:uid="{2A115756-2D73-F942-B79F-8A7EE0666CD5}"/>
    <hyperlink ref="J1300" r:id="rId1961" xr:uid="{26F84EEE-8636-314C-A008-46D707F4D4B8}"/>
    <hyperlink ref="W1300" r:id="rId1962" xr:uid="{698CD057-A5A4-0E4C-9469-82C936B9DB5E}"/>
    <hyperlink ref="J1301" r:id="rId1963" xr:uid="{F680CE4A-1F61-7E46-9BFC-1146A3065FCF}"/>
    <hyperlink ref="J1302" r:id="rId1964" xr:uid="{09C9564A-A7C1-2646-BA05-EB03C94083DA}"/>
    <hyperlink ref="W1302" r:id="rId1965" xr:uid="{F2A443BF-D581-B140-BB06-B525C71D6E85}"/>
    <hyperlink ref="J1303" r:id="rId1966" xr:uid="{AAF7E92C-E014-4346-8E27-8B72233BD547}"/>
    <hyperlink ref="J1304" r:id="rId1967" xr:uid="{4838426D-9E61-AC4F-B411-01419CE5F660}"/>
    <hyperlink ref="J1305" r:id="rId1968" xr:uid="{6A687216-8188-FE42-99CF-0A46929CB644}"/>
    <hyperlink ref="W1305" r:id="rId1969" xr:uid="{7DF2EDAA-1F03-8C4D-8C10-050FE0E4D7DA}"/>
    <hyperlink ref="J1306" r:id="rId1970" xr:uid="{DC882467-F2F9-4842-ADAB-C328932866E0}"/>
    <hyperlink ref="W1306" r:id="rId1971" xr:uid="{CCBCA98E-E265-B540-8259-490C63116C7F}"/>
    <hyperlink ref="J1307" r:id="rId1972" xr:uid="{16DD6C4F-D959-EC43-BD7C-16B1CE6D8B25}"/>
    <hyperlink ref="J1308" r:id="rId1973" xr:uid="{7A8E09EA-99DE-5940-9C39-C0D6DE7BB926}"/>
    <hyperlink ref="J1309" r:id="rId1974" xr:uid="{05FA67E0-9B08-7F49-80C9-0517A0C4C0B8}"/>
    <hyperlink ref="W1309" r:id="rId1975" xr:uid="{1AE338F1-ABF2-7A47-8EDB-95370CE9E96D}"/>
    <hyperlink ref="J1310" r:id="rId1976" xr:uid="{13F2CA16-89F3-1F40-A71F-F5ECFEEF03A7}"/>
    <hyperlink ref="J1311" r:id="rId1977" xr:uid="{2879C6F1-15D0-6246-A571-05A7B31E879F}"/>
    <hyperlink ref="J1312" r:id="rId1978" xr:uid="{65A00F91-B2B2-8449-B4EF-091DD65FAD4F}"/>
    <hyperlink ref="J1313" r:id="rId1979" xr:uid="{B8A7E031-2104-F543-B14E-A3BCF320296B}"/>
    <hyperlink ref="J1314" r:id="rId1980" xr:uid="{F3693C0F-7B6B-5A4D-9FA3-AFDD3C689435}"/>
    <hyperlink ref="J1315" r:id="rId1981" xr:uid="{3E9D55A1-3F84-5F4A-AE7B-40210BFE2B96}"/>
    <hyperlink ref="J1316" r:id="rId1982" xr:uid="{9ADBBCDC-50AC-8C4D-AA01-44C51AE7DBDF}"/>
    <hyperlink ref="J1317" r:id="rId1983" xr:uid="{BC3DB93A-0977-6946-9C1B-5E83E379A554}"/>
    <hyperlink ref="J1318" r:id="rId1984" xr:uid="{3F9BA869-AEFE-F440-B7FE-A6CBDED58732}"/>
    <hyperlink ref="O1318" r:id="rId1985" xr:uid="{03B4C454-BB4F-A946-AD47-7CF4330A18B1}"/>
    <hyperlink ref="J1319" r:id="rId1986" xr:uid="{574E4870-0286-9C49-9FB7-844C31C16D8C}"/>
    <hyperlink ref="J1320" r:id="rId1987" xr:uid="{EC560242-47BC-9949-9A3E-5EC2EB9B2EEF}"/>
    <hyperlink ref="J1321" r:id="rId1988" xr:uid="{1D68449B-77D3-814F-A029-7BD31F50AC9B}"/>
    <hyperlink ref="W1321" r:id="rId1989" xr:uid="{93D254C8-7C66-1A41-903C-C96080D3EB19}"/>
    <hyperlink ref="J1322" r:id="rId1990" xr:uid="{90B4CD7B-BFA1-6D43-8476-C6F00672D689}"/>
    <hyperlink ref="J1323" r:id="rId1991" xr:uid="{F746CE48-2838-CB45-9985-2411894A4F6C}"/>
    <hyperlink ref="J1324" r:id="rId1992" xr:uid="{B1267C47-F279-4C4D-A6FD-05C30ADCCBE8}"/>
    <hyperlink ref="W1324" r:id="rId1993" xr:uid="{1DFE9EB4-107E-9C4E-9998-CEC7EC9DB420}"/>
    <hyperlink ref="J1325" r:id="rId1994" xr:uid="{0A1BDCA0-39ED-6447-A966-331253043F19}"/>
    <hyperlink ref="J1326" r:id="rId1995" xr:uid="{B79DBF54-8D60-1C49-AE64-2DD66B23E65E}"/>
    <hyperlink ref="J1327" r:id="rId1996" xr:uid="{FC6B4334-19E5-0F4B-A179-0A146F620C93}"/>
    <hyperlink ref="J1328" r:id="rId1997" xr:uid="{9520B867-AEFF-404E-90CC-F32FD675E4D9}"/>
    <hyperlink ref="J1329" r:id="rId1998" xr:uid="{0478E533-0BE2-B449-9AC3-9513FC6FE7D3}"/>
    <hyperlink ref="J1330" r:id="rId1999" xr:uid="{9B2040B2-2890-1E4C-9AA9-0FE53DFBA8A0}"/>
    <hyperlink ref="J1331" r:id="rId2000" xr:uid="{B9D545D8-CE09-C54F-B6B3-A88074742F1F}"/>
    <hyperlink ref="W1331" r:id="rId2001" xr:uid="{250593A6-AD5D-5D4C-8D96-1A4262334769}"/>
    <hyperlink ref="J1332" r:id="rId2002" xr:uid="{3631714C-036A-464B-8E16-97958609D251}"/>
    <hyperlink ref="W1332" r:id="rId2003" xr:uid="{114920C9-2AAC-CE4D-B1B4-78D3B49A6E8E}"/>
    <hyperlink ref="J1333" r:id="rId2004" xr:uid="{92262BB1-4221-2B4A-9E6A-5F7789268823}"/>
    <hyperlink ref="J1334" r:id="rId2005" xr:uid="{EBEA5CDF-7277-8B43-A3C9-52C54B36564C}"/>
    <hyperlink ref="J1335" r:id="rId2006" xr:uid="{291A2616-34A5-BF45-B6BA-72F9D8B9E6F8}"/>
    <hyperlink ref="J1336" r:id="rId2007" xr:uid="{48FC41FD-DEF6-AB44-A5AF-AABD1523FE98}"/>
    <hyperlink ref="J1337" r:id="rId2008" xr:uid="{DE179D4C-3C95-0042-8A9F-29A7A69D187D}"/>
    <hyperlink ref="J1338" r:id="rId2009" xr:uid="{9CA7AEA4-CE05-A046-A28B-91DAA8976074}"/>
    <hyperlink ref="J1339" r:id="rId2010" xr:uid="{29EE1F01-7875-F041-8908-736E91E1D097}"/>
    <hyperlink ref="J1340" r:id="rId2011" xr:uid="{C680F269-97E6-744C-B21F-31D550660325}"/>
    <hyperlink ref="J1341" r:id="rId2012" xr:uid="{4F9928EE-3C40-464F-9572-6B45F24D1232}"/>
    <hyperlink ref="J1342" r:id="rId2013" xr:uid="{32A51B99-5966-0A4F-8E19-BAD781C5B68B}"/>
    <hyperlink ref="W1342" r:id="rId2014" xr:uid="{1A76BCD3-1239-534C-A13E-D4E5FDACCEEE}"/>
    <hyperlink ref="J1343" r:id="rId2015" xr:uid="{7C8F9735-045D-934C-92C7-51878F0AEBD6}"/>
    <hyperlink ref="W1343" r:id="rId2016" xr:uid="{9A0A57F1-372A-1F44-849F-0FEF68621963}"/>
    <hyperlink ref="J1344" r:id="rId2017" xr:uid="{4F80A2CF-4B5B-9E4A-B2BB-C36646A26CDD}"/>
    <hyperlink ref="J1345" r:id="rId2018" xr:uid="{9EA10327-5143-5A4E-9C8B-83BFFC11D0D2}"/>
    <hyperlink ref="J1346" r:id="rId2019" xr:uid="{EF8675C7-BAA5-D746-AD78-FF398AD06830}"/>
    <hyperlink ref="J1347" r:id="rId2020" xr:uid="{76C6FB8C-646D-BC41-AC58-FFF7C46BF6F5}"/>
    <hyperlink ref="J1348" r:id="rId2021" xr:uid="{1EA2FB97-28E2-3E44-B16F-A9246E5D66B2}"/>
    <hyperlink ref="J1349" r:id="rId2022" xr:uid="{9DED0FCE-81C8-0A4E-A0A7-A07D4BB281B3}"/>
    <hyperlink ref="J1350" r:id="rId2023" xr:uid="{CC91470F-C13E-4F41-AA4D-7EB550164CC4}"/>
    <hyperlink ref="J1351" r:id="rId2024" xr:uid="{CF008AB0-84C8-FE48-AF1E-3E4BA585B80B}"/>
    <hyperlink ref="J1352" r:id="rId2025" xr:uid="{E16FC92D-84FB-F94A-8FB8-6B65704D58C9}"/>
    <hyperlink ref="J1353" r:id="rId2026" xr:uid="{351926CB-2D27-3E4D-A795-B07A594953A5}"/>
    <hyperlink ref="J1354" r:id="rId2027" xr:uid="{3372942F-7D74-5F4D-BE83-6DADB9223687}"/>
    <hyperlink ref="O1354" r:id="rId2028" xr:uid="{955F7992-85F7-2A4F-BF51-D722E34CABA7}"/>
    <hyperlink ref="J1355" r:id="rId2029" xr:uid="{872B269D-F1E8-8B46-B640-1F08E11EFDEA}"/>
    <hyperlink ref="J1356" r:id="rId2030" xr:uid="{4C3F63F6-F129-964D-9FE8-F3E2F10C4FF4}"/>
    <hyperlink ref="J1357" r:id="rId2031" xr:uid="{8C2B5158-1485-AA42-8078-684BDF57E9A7}"/>
    <hyperlink ref="J1358" r:id="rId2032" xr:uid="{E9379596-7B60-BA42-A09C-199363A5A373}"/>
    <hyperlink ref="J1359" r:id="rId2033" xr:uid="{F332231A-A844-4B42-872B-E33FD2B8EB6C}"/>
    <hyperlink ref="J1360" r:id="rId2034" xr:uid="{B5A50787-4B22-9142-8E16-5E1A8079DA7B}"/>
    <hyperlink ref="J1361" r:id="rId2035" xr:uid="{75A7171C-C0A9-2545-A792-C2E4931A506A}"/>
    <hyperlink ref="J1362" r:id="rId2036" xr:uid="{0EE497E6-E7C4-F84C-BDFE-C67AB0E435D6}"/>
    <hyperlink ref="J1363" r:id="rId2037" xr:uid="{8E94B949-8A76-DC49-83D2-33782330FAA2}"/>
    <hyperlink ref="J1364" r:id="rId2038" xr:uid="{BD90A58E-F250-C540-BD9C-78BF72E9C18F}"/>
    <hyperlink ref="J1365" r:id="rId2039" xr:uid="{E8DC4274-4D9A-164D-BC61-1BC476F48F4E}"/>
    <hyperlink ref="J1366" r:id="rId2040" xr:uid="{E978CF0B-6998-2142-AE06-98E31C1AA1CF}"/>
    <hyperlink ref="W1366" r:id="rId2041" xr:uid="{24EA52EB-3C24-044D-8AF2-A501BF963B97}"/>
    <hyperlink ref="J1367" r:id="rId2042" xr:uid="{23086D1B-6FB4-BD47-ABBF-E70CFD6BDFD5}"/>
    <hyperlink ref="J1368" r:id="rId2043" xr:uid="{B57F1F20-1B64-BA4C-A88C-5825067BC14B}"/>
    <hyperlink ref="W1368" r:id="rId2044" xr:uid="{78FCBD9D-0353-4448-A574-C60E7A36BE19}"/>
    <hyperlink ref="J1369" r:id="rId2045" xr:uid="{8DA364C4-E075-D04E-BFD0-011570DC380B}"/>
    <hyperlink ref="J1370" r:id="rId2046" xr:uid="{2C006E11-E356-7B4A-9D1C-B974CEA74D5B}"/>
    <hyperlink ref="J1371" r:id="rId2047" xr:uid="{12166FE5-68EB-A24B-B258-4616BE90121F}"/>
    <hyperlink ref="J1372" r:id="rId2048" xr:uid="{C02F0823-181E-9547-97B8-D499A615648E}"/>
    <hyperlink ref="J1373" r:id="rId2049" xr:uid="{0E6328A2-AE2E-9B44-B5FA-E0A5B0CF3FE4}"/>
    <hyperlink ref="W1373" r:id="rId2050" xr:uid="{EB1C169A-B86D-7A47-87D8-0639720049E0}"/>
    <hyperlink ref="J1374" r:id="rId2051" xr:uid="{7F5DDF02-E87F-834E-A86B-5B4D1C1ECCE3}"/>
    <hyperlink ref="W1374" r:id="rId2052" xr:uid="{856669F2-6057-9143-AFA6-021578DEB49A}"/>
    <hyperlink ref="J1375" r:id="rId2053" xr:uid="{116A5E90-F0FA-DF48-97AA-1210CE3B60EE}"/>
    <hyperlink ref="J1376" r:id="rId2054" xr:uid="{F96FD987-5A38-B847-8285-B48CE0C2C825}"/>
    <hyperlink ref="J1377" r:id="rId2055" xr:uid="{7F705CA5-B358-884F-A53E-403592B98B6D}"/>
    <hyperlink ref="J1378" r:id="rId2056" xr:uid="{104443DE-AD64-2349-85A1-46B483F5C55C}"/>
    <hyperlink ref="J1379" r:id="rId2057" xr:uid="{BD7F26EA-9D8A-104B-A884-244A8B3EB725}"/>
    <hyperlink ref="J1380" r:id="rId2058" xr:uid="{CEB99428-533D-324A-95FD-B12A286B8A6F}"/>
    <hyperlink ref="J1381" r:id="rId2059" xr:uid="{5A3BAF2F-055C-F341-8679-1FD6287CBC6F}"/>
    <hyperlink ref="J1382" r:id="rId2060" xr:uid="{A6714AFE-96B1-A745-8435-7DD636D99BC1}"/>
    <hyperlink ref="J1383" r:id="rId2061" xr:uid="{ED81BE7B-90F6-0743-BD13-3BC1A90CD05F}"/>
    <hyperlink ref="J1384" r:id="rId2062" xr:uid="{A7A132AA-3512-884C-839C-DFCB0E7FD174}"/>
    <hyperlink ref="J1385" r:id="rId2063" xr:uid="{3C6E07CF-5302-0643-8B5B-1964C950F768}"/>
    <hyperlink ref="J1386" r:id="rId2064" xr:uid="{DA0E76EC-AF48-4E46-BA98-880DED647095}"/>
    <hyperlink ref="J1387" r:id="rId2065" xr:uid="{48806452-EC36-C140-BECF-860274D6F77F}"/>
    <hyperlink ref="W1387" r:id="rId2066" xr:uid="{1F4F5A0A-594B-5747-9EA3-57397ADE9383}"/>
    <hyperlink ref="J1388" r:id="rId2067" xr:uid="{5092C73C-19EB-B640-9A5A-690B65AA4ED3}"/>
    <hyperlink ref="J1389" r:id="rId2068" xr:uid="{337F65EC-3B3E-1A45-9611-1EB94014B008}"/>
    <hyperlink ref="J1390" r:id="rId2069" xr:uid="{7DB13C1F-9C35-CF48-A20A-DED2C76116C4}"/>
    <hyperlink ref="W1390" r:id="rId2070" xr:uid="{1A0868B2-404E-A245-BE31-1F9E3394DDB1}"/>
    <hyperlink ref="J1391" r:id="rId2071" xr:uid="{FBE01BD9-98EA-D340-8651-C8CC4A849E16}"/>
    <hyperlink ref="J1392" r:id="rId2072" xr:uid="{2465573D-2DED-144E-9F3C-DA7CECDC130D}"/>
    <hyperlink ref="J1393" r:id="rId2073" xr:uid="{B18DDC2E-1AA7-BA47-BEA7-452990E2BE17}"/>
    <hyperlink ref="J1394" r:id="rId2074" xr:uid="{AD2A3518-60DE-C644-B3CA-6D59904AC123}"/>
    <hyperlink ref="J1395" r:id="rId2075" xr:uid="{EAA15BEA-2951-DC4E-AD0D-C67EEDF8533B}"/>
    <hyperlink ref="J1396" r:id="rId2076" xr:uid="{B43D71D9-6652-F145-9DB3-08BB917095A5}"/>
    <hyperlink ref="W1396" r:id="rId2077" xr:uid="{E5233CB2-8AD1-3141-86D3-60693D9ED190}"/>
    <hyperlink ref="J1397" r:id="rId2078" xr:uid="{65E951A6-9520-F14D-954F-F18D027AAB31}"/>
    <hyperlink ref="W1397" r:id="rId2079" xr:uid="{7E52E2B2-6067-3246-8CB4-6C1896086C02}"/>
    <hyperlink ref="J1398" r:id="rId2080" xr:uid="{B4982C83-569A-9142-A0BB-F8082BA8DA78}"/>
    <hyperlink ref="J1399" r:id="rId2081" xr:uid="{C3F80854-9480-8F4B-B0B0-E3706A7D08DD}"/>
    <hyperlink ref="J1400" r:id="rId2082" xr:uid="{36607C27-A542-214E-B25F-438FA5C22532}"/>
    <hyperlink ref="W1400" r:id="rId2083" xr:uid="{2D69D2C8-D9C8-074A-93CD-808251890E3B}"/>
    <hyperlink ref="J1401" r:id="rId2084" xr:uid="{660686FC-1D17-4546-B8F9-4A82E14A3591}"/>
    <hyperlink ref="W1401" r:id="rId2085" xr:uid="{9747A8DD-59B8-9545-B61F-C671741EF113}"/>
    <hyperlink ref="J1402" r:id="rId2086" xr:uid="{64700B32-BF82-224B-9FAA-3A1A01BEF4A5}"/>
    <hyperlink ref="W1402" r:id="rId2087" xr:uid="{FAFA9508-CC10-D141-A100-8C3E1CE3FDBE}"/>
    <hyperlink ref="J1403" r:id="rId2088" xr:uid="{E05667B6-A803-7B4E-8637-D18EC9BD9A81}"/>
    <hyperlink ref="W1403" r:id="rId2089" xr:uid="{9F259A7C-8041-CE4B-BA25-AFA014FA1945}"/>
    <hyperlink ref="J1404" r:id="rId2090" xr:uid="{BB2F25C2-409F-9643-85F8-708EB5FFDDCB}"/>
    <hyperlink ref="W1404" r:id="rId2091" xr:uid="{9B62CCAF-F357-5C44-9D11-832C88A08FBB}"/>
    <hyperlink ref="J1405" r:id="rId2092" xr:uid="{5C37C880-EB90-2B48-B764-8F690ECACA2D}"/>
    <hyperlink ref="J1406" r:id="rId2093" xr:uid="{80B70874-EBC4-0441-BCF7-8A7B7DD61EB9}"/>
    <hyperlink ref="J1407" r:id="rId2094" xr:uid="{F1799B89-86F6-5E48-A399-FAD1DEFBBEC5}"/>
    <hyperlink ref="W1407" r:id="rId2095" xr:uid="{7102920C-B781-2B4C-AE36-9E05FA4B3191}"/>
    <hyperlink ref="J1408" r:id="rId2096" xr:uid="{4D70CCF0-8DD5-4042-9969-3920345C93BA}"/>
    <hyperlink ref="J1409" r:id="rId2097" xr:uid="{94EB1F97-A5AD-854B-A787-88974B4E2F49}"/>
    <hyperlink ref="J1410" r:id="rId2098" xr:uid="{F266561D-1BE7-CD4D-970D-0A17D510987C}"/>
    <hyperlink ref="J1411" r:id="rId2099" xr:uid="{1D0E837E-8B98-C24B-905C-A28EEADB285F}"/>
    <hyperlink ref="J1412" r:id="rId2100" xr:uid="{1CD58AFD-918C-0446-A837-12B9F39DD00A}"/>
    <hyperlink ref="J1413" r:id="rId2101" xr:uid="{1C6ACE52-669B-2346-B06F-D1742E33CD5F}"/>
    <hyperlink ref="W1413" r:id="rId2102" xr:uid="{D846DAE5-8665-7443-BB1E-596EA53B4F65}"/>
    <hyperlink ref="J1414" r:id="rId2103" xr:uid="{71167118-FCBE-4049-B722-3FD081FE70F7}"/>
    <hyperlink ref="J1415" r:id="rId2104" xr:uid="{6CF983B3-9DA8-CC4D-9534-048B6B783A4E}"/>
    <hyperlink ref="AH1415" r:id="rId2105" xr:uid="{CBF0265A-A464-244B-A949-C0E4F1B60663}"/>
    <hyperlink ref="J1416" r:id="rId2106" xr:uid="{B3149B43-C7BD-4B43-8212-BB72DEB9A396}"/>
    <hyperlink ref="W1416" r:id="rId2107" xr:uid="{66DE4195-E38F-D24B-B43E-779283DEBC67}"/>
    <hyperlink ref="J1417" r:id="rId2108" xr:uid="{120030C3-3E64-684D-B459-DF2E30275328}"/>
    <hyperlink ref="J1418" r:id="rId2109" xr:uid="{A7C64C34-3A08-A84E-B5BA-D1E2AF91F787}"/>
    <hyperlink ref="J1419" r:id="rId2110" xr:uid="{38ABF2BD-ED32-B54C-BC4B-C6F1CF924330}"/>
    <hyperlink ref="J1420" r:id="rId2111" xr:uid="{799A7EE8-1DCF-744F-B42B-0D4622E6B751}"/>
    <hyperlink ref="J1421" r:id="rId2112" xr:uid="{C0633524-8F74-814F-B453-444881B3715C}"/>
    <hyperlink ref="W1421" r:id="rId2113" xr:uid="{8E7AE7B9-C3E4-6C47-8468-571EB614FF2D}"/>
    <hyperlink ref="J1422" r:id="rId2114" xr:uid="{343A6564-3B94-344F-A3BB-250024B1B168}"/>
    <hyperlink ref="W1422" r:id="rId2115" xr:uid="{1AA5CCC4-B6F8-FA4C-BC51-7D0A247590BF}"/>
    <hyperlink ref="J1423" r:id="rId2116" xr:uid="{2D7081F6-F76A-4F48-A6CC-FE676B22AE01}"/>
    <hyperlink ref="W1423" r:id="rId2117" xr:uid="{FAB2AE19-D6D6-5E46-A373-CD5DC8199712}"/>
    <hyperlink ref="J1424" r:id="rId2118" xr:uid="{67718FB9-A0FE-7245-91E3-26935BC310E0}"/>
    <hyperlink ref="W1424" r:id="rId2119" xr:uid="{77EC3C22-E4E1-5548-AA1D-A7F43407AA71}"/>
    <hyperlink ref="J1425" r:id="rId2120" xr:uid="{D2949F93-16BF-A341-8E2C-3A6F5A50C406}"/>
    <hyperlink ref="J1426" r:id="rId2121" xr:uid="{9B0F7A3B-F157-A14F-83CD-28462B5FDB1A}"/>
    <hyperlink ref="J1427" r:id="rId2122" xr:uid="{BE945247-D3DE-084E-A4FF-044A39A5F117}"/>
    <hyperlink ref="J1428" r:id="rId2123" xr:uid="{5766B3CE-4008-7F4D-B582-B7C5012B3C2A}"/>
    <hyperlink ref="J1429" r:id="rId2124" xr:uid="{ED43FBFB-1BBE-4F4C-AB6B-5A56D62EFC87}"/>
    <hyperlink ref="J1430" r:id="rId2125" xr:uid="{45C249A3-68F3-4A43-8F70-6B23119B439C}"/>
    <hyperlink ref="J1431" r:id="rId2126" xr:uid="{0EBCB935-0CBA-BC45-983B-0B2AA7B143BA}"/>
    <hyperlink ref="W1431" r:id="rId2127" xr:uid="{DBA2F257-4791-7E44-B96A-DDE29209EDF4}"/>
    <hyperlink ref="J1432" r:id="rId2128" xr:uid="{5214AC4A-CA9F-6340-9CE9-B206B268A784}"/>
    <hyperlink ref="W1432" r:id="rId2129" xr:uid="{3B1DFC79-B488-A346-A8AA-E5E0726008C4}"/>
    <hyperlink ref="J1433" r:id="rId2130" xr:uid="{00CD40A3-5CAE-214B-BFD7-87A62BB70A6E}"/>
    <hyperlink ref="J1434" r:id="rId2131" xr:uid="{B705B184-3A96-8346-9BC9-AC42BE8B7D4D}"/>
    <hyperlink ref="J1435" r:id="rId2132" xr:uid="{1CB26C50-F2F1-2344-8065-B48477A7F78E}"/>
    <hyperlink ref="J1436" r:id="rId2133" xr:uid="{ACF85093-F457-6541-A222-5069D52DBA5C}"/>
    <hyperlink ref="J1437" r:id="rId2134" xr:uid="{9FAB5263-CA8D-404E-9B7B-160F0E6B6E57}"/>
    <hyperlink ref="J1438" r:id="rId2135" xr:uid="{5E825948-A4B4-4144-AC36-A98A74408963}"/>
    <hyperlink ref="J1439" r:id="rId2136" xr:uid="{D78438F3-CA61-0640-B3BF-8D46CA42790A}"/>
    <hyperlink ref="W1439" r:id="rId2137" xr:uid="{E28C49F2-7384-3E4C-B450-F190732D5F00}"/>
    <hyperlink ref="J1440" r:id="rId2138" xr:uid="{BAFADBCB-9EF7-DB4D-9626-3A4FB2D1CF4A}"/>
    <hyperlink ref="J1441" r:id="rId2139" xr:uid="{9196B5E7-EF74-C743-9F16-B13F53DD1D4F}"/>
    <hyperlink ref="J1442" r:id="rId2140" xr:uid="{D11AB419-1A6D-1241-A742-F6326955DF16}"/>
    <hyperlink ref="J1443" r:id="rId2141" xr:uid="{E7CDFD9C-F36B-E249-A28C-7F81038CBE52}"/>
    <hyperlink ref="J1444" r:id="rId2142" xr:uid="{D36205F3-614D-7342-9408-7C6243A18DE1}"/>
    <hyperlink ref="J1445" r:id="rId2143" xr:uid="{B410DB37-0EA6-DE42-8033-484692EB9D34}"/>
    <hyperlink ref="J1446" r:id="rId2144" xr:uid="{80CBEDE1-A280-0F45-9FAE-F724A35E421A}"/>
    <hyperlink ref="W1446" r:id="rId2145" xr:uid="{00E68277-7A8E-4944-9361-0FFD4BEDE3C5}"/>
    <hyperlink ref="J1447" r:id="rId2146" xr:uid="{48A6E570-1B47-7344-B261-A175F570BF35}"/>
    <hyperlink ref="W1447" r:id="rId2147" xr:uid="{59608EAD-587B-1D4E-8FF1-7E794329C312}"/>
    <hyperlink ref="J1448" r:id="rId2148" xr:uid="{8B008C4E-ABD3-704F-AB79-C87B4ADD9DF1}"/>
    <hyperlink ref="J1449" r:id="rId2149" xr:uid="{9BDAFAC0-D3B5-2741-ADA4-3F4CE8E68E55}"/>
    <hyperlink ref="J1450" r:id="rId2150" xr:uid="{594D4AB6-A0E8-554F-8287-05746CD871A7}"/>
    <hyperlink ref="J1451" r:id="rId2151" xr:uid="{CB9A9A1E-F1AB-0A4F-9773-7D111ABB2D29}"/>
    <hyperlink ref="J1452" r:id="rId2152" xr:uid="{559779C1-3A5D-134A-8F32-3E4BA3524790}"/>
    <hyperlink ref="J1453" r:id="rId2153" xr:uid="{9F2BA027-B0FF-114B-A622-5EF0906B0904}"/>
    <hyperlink ref="W1453" r:id="rId2154" xr:uid="{DA03F61E-A3C8-124A-915A-E86944D57384}"/>
    <hyperlink ref="J1454" r:id="rId2155" xr:uid="{180A8493-E4EF-834B-8463-EE2068827DDD}"/>
    <hyperlink ref="J1455" r:id="rId2156" xr:uid="{10CD32D8-4C97-8641-8B6F-EB210AC7D0CF}"/>
    <hyperlink ref="W1455" r:id="rId2157" xr:uid="{F95B4100-2328-D341-A9E7-9CB3F5F7CBC0}"/>
    <hyperlink ref="J1456" r:id="rId2158" xr:uid="{5E09F6A2-3052-414C-A57A-480BECFB1C92}"/>
    <hyperlink ref="W1456" r:id="rId2159" xr:uid="{BB413030-287B-584D-929F-2AD6E8A94E79}"/>
    <hyperlink ref="J1457" r:id="rId2160" xr:uid="{39BEFF33-0A72-3542-A6AF-5134925E2DBF}"/>
    <hyperlink ref="J1458" r:id="rId2161" xr:uid="{C5AFDBD1-88A2-7941-BC5B-DC4D3B098BA9}"/>
    <hyperlink ref="W1458" r:id="rId2162" xr:uid="{3923ADBA-9B7E-824C-A4ED-43A41FD04A95}"/>
    <hyperlink ref="J1459" r:id="rId2163" xr:uid="{56539937-2503-F641-91D2-741ABFCDCC06}"/>
    <hyperlink ref="W1459" r:id="rId2164" xr:uid="{9FE47D7D-E6A9-B94F-AC29-D484A282BDCC}"/>
    <hyperlink ref="J1460" r:id="rId2165" xr:uid="{6A41BBEE-3C16-614D-8DAC-C42B7DCCBAA3}"/>
    <hyperlink ref="J1461" r:id="rId2166" xr:uid="{5E28541B-1C16-B74F-BA45-B4A47D2F3521}"/>
    <hyperlink ref="W1461" r:id="rId2167" xr:uid="{FEE69819-864E-A54B-926F-412677C1375F}"/>
    <hyperlink ref="J1462" r:id="rId2168" xr:uid="{04E07616-C659-694E-9AD4-5A71CBC7D5EE}"/>
    <hyperlink ref="J1463" r:id="rId2169" xr:uid="{F18975A5-8566-6B4E-8B37-78E4FDB53B1C}"/>
    <hyperlink ref="J1464" r:id="rId2170" xr:uid="{91AF315A-7064-1741-BF79-970D47A3CD74}"/>
    <hyperlink ref="W1464" r:id="rId2171" xr:uid="{FD8D9CC7-FD44-1F4D-BD92-95BD34EFFC8F}"/>
    <hyperlink ref="J1465" r:id="rId2172" xr:uid="{B0A1CC80-6282-D746-8A97-295212704E57}"/>
    <hyperlink ref="J1466" r:id="rId2173" xr:uid="{02C765F4-F7AE-DC40-B769-1EB9602E12E2}"/>
    <hyperlink ref="J1467" r:id="rId2174" xr:uid="{ED38AF90-C2D8-C14C-BE40-282C00E7EE2E}"/>
    <hyperlink ref="J1468" r:id="rId2175" xr:uid="{8BD40A3C-4F36-3A4C-BDEC-E7D1FE2B6F9D}"/>
    <hyperlink ref="J1469" r:id="rId2176" xr:uid="{16DDA295-1BC9-5E43-8D8E-18BC1598592C}"/>
    <hyperlink ref="J1470" r:id="rId2177" xr:uid="{2B703DAD-0124-3941-B076-775D7F1B0B44}"/>
    <hyperlink ref="J1471" r:id="rId2178" xr:uid="{C1A4BFB7-7DF3-B444-B1DA-4E413EB5847B}"/>
    <hyperlink ref="J1472" r:id="rId2179" xr:uid="{A2E995DE-6472-CB49-9EA1-2C628280E857}"/>
    <hyperlink ref="J1473" r:id="rId2180" xr:uid="{CBA88184-CEB5-C94A-AD30-D07C6021EBEF}"/>
    <hyperlink ref="J1474" r:id="rId2181" xr:uid="{4E4C727A-01B1-4E41-B2C6-D86CB8362EBF}"/>
    <hyperlink ref="J1475" r:id="rId2182" xr:uid="{E509F89D-4B41-0D49-AC54-F9654CFDE836}"/>
    <hyperlink ref="W1475" r:id="rId2183" xr:uid="{3A585AAD-C5F8-C249-993D-7D837B6E5623}"/>
    <hyperlink ref="J1476" r:id="rId2184" xr:uid="{CB887B30-4590-9C4F-AB16-5A61B1955684}"/>
    <hyperlink ref="W1476" r:id="rId2185" xr:uid="{B4A65DB1-7DD5-4E41-B7E1-62894FBF7687}"/>
    <hyperlink ref="J1477" r:id="rId2186" xr:uid="{79AA68FE-359A-2C47-B40A-CAC66BE3D621}"/>
    <hyperlink ref="J1478" r:id="rId2187" xr:uid="{44EDEFC2-2E6A-FB4C-9770-D57AF2D9CE2E}"/>
    <hyperlink ref="J1479" r:id="rId2188" xr:uid="{F464EC99-6CA5-C040-B7A1-F932E703BCC3}"/>
    <hyperlink ref="W1479" r:id="rId2189" xr:uid="{A9A609E6-E605-2F43-B3B4-65F5D45BE1C7}"/>
    <hyperlink ref="J1480" r:id="rId2190" xr:uid="{290D516F-18E8-0843-BC5C-13FE32A3A13B}"/>
    <hyperlink ref="W1480" r:id="rId2191" xr:uid="{1476D67F-8217-4A43-8C65-C763314ACC30}"/>
    <hyperlink ref="J1481" r:id="rId2192" xr:uid="{C9B114AB-9650-1C4E-8569-87977F49F28A}"/>
    <hyperlink ref="W1481" r:id="rId2193" xr:uid="{11F09533-432E-0D48-B383-A3D5C151502C}"/>
    <hyperlink ref="J1482" r:id="rId2194" xr:uid="{20CA92EF-C4B1-284A-B631-AD100F0ED6DD}"/>
    <hyperlink ref="J1483" r:id="rId2195" xr:uid="{0B505AD2-217E-AB44-8763-CB230C3ADDB9}"/>
    <hyperlink ref="J1484" r:id="rId2196" xr:uid="{3ECC3C2B-D3E2-8741-AFF7-A2D35ED4653E}"/>
    <hyperlink ref="J1485" r:id="rId2197" xr:uid="{4CE4D547-B682-3641-88C3-1D83D754D548}"/>
    <hyperlink ref="W1485" r:id="rId2198" xr:uid="{0A25B141-4FD6-3140-9134-A653CA6AC301}"/>
    <hyperlink ref="J1486" r:id="rId2199" xr:uid="{887B0B3A-B18F-1C49-BE86-20EA533C794C}"/>
    <hyperlink ref="W1486" r:id="rId2200" xr:uid="{EB602382-06E0-EF40-A870-9E43A3CB1CC3}"/>
    <hyperlink ref="J1487" r:id="rId2201" xr:uid="{B45A28D3-0F61-9649-9B03-19D0C13885EE}"/>
    <hyperlink ref="J1488" r:id="rId2202" xr:uid="{5282B23B-3955-EC4A-A128-22B2F1CBE6B2}"/>
    <hyperlink ref="J1489" r:id="rId2203" xr:uid="{BF72493F-4D01-BD49-9A4F-7A78C4FC59A0}"/>
    <hyperlink ref="W1489" r:id="rId2204" xr:uid="{BE809759-F405-B340-9792-09ECE42976CC}"/>
    <hyperlink ref="J1490" r:id="rId2205" xr:uid="{2A209B12-DDA6-274F-9E9F-41101076252A}"/>
    <hyperlink ref="J1491" r:id="rId2206" xr:uid="{7CDB964F-1076-204B-A5DE-5C09852A9347}"/>
    <hyperlink ref="J1492" r:id="rId2207" xr:uid="{DF147BC1-5F47-F44F-B2AE-B495A021770C}"/>
    <hyperlink ref="J1493" r:id="rId2208" xr:uid="{046E74F9-AB57-6549-BBEA-484AC484292B}"/>
    <hyperlink ref="W1493" r:id="rId2209" xr:uid="{11CB78B5-624C-3A4E-B66B-CBC80EA0708C}"/>
    <hyperlink ref="J1494" r:id="rId2210" xr:uid="{24EED585-2E4A-F044-B9DE-6A9E268FC365}"/>
    <hyperlink ref="J1495" r:id="rId2211" xr:uid="{6238651F-2FD7-C74F-AFCB-F4D8C6665769}"/>
    <hyperlink ref="J1496" r:id="rId2212" xr:uid="{052D1FF0-5CBC-1B44-9DA3-14F0BE935128}"/>
    <hyperlink ref="J1497" r:id="rId2213" xr:uid="{E42BB5AC-50CC-1E46-ACAD-056D6AD40DC3}"/>
    <hyperlink ref="W1497" r:id="rId2214" xr:uid="{7D311D1A-368C-204A-A9EA-2148B4432812}"/>
    <hyperlink ref="J1498" r:id="rId2215" xr:uid="{6ABE179D-D9F5-4C47-8F3B-4C9D3E5D0AF0}"/>
    <hyperlink ref="J1499" r:id="rId2216" xr:uid="{364E1F01-5FEF-E543-A927-50948D2490E3}"/>
    <hyperlink ref="J1500" r:id="rId2217" xr:uid="{89BD85EA-2F5B-7444-945D-7AB57E5D5845}"/>
    <hyperlink ref="J1501" r:id="rId2218" xr:uid="{C38B703B-A8BB-E142-98DA-24F00D4A6A11}"/>
    <hyperlink ref="J1502" r:id="rId2219" xr:uid="{2534091D-2A21-E145-92D3-02AE12EC1899}"/>
    <hyperlink ref="J1503" r:id="rId2220" xr:uid="{CBBFCCD2-3C26-2543-A65B-735AEB5FE186}"/>
    <hyperlink ref="J1504" r:id="rId2221" xr:uid="{B06BD5D4-3B4D-6648-AB97-2B71643CC469}"/>
    <hyperlink ref="J1505" r:id="rId2222" xr:uid="{E8D03E76-217E-614A-B0A2-DD44742C1419}"/>
    <hyperlink ref="J1506" r:id="rId2223" xr:uid="{1C8CA2A3-F97D-1F47-B056-2F22AFC32D8C}"/>
    <hyperlink ref="J1507" r:id="rId2224" xr:uid="{9674F3E7-8CFD-034C-9C96-479A1023B861}"/>
    <hyperlink ref="J1508" r:id="rId2225" xr:uid="{19EBF8EA-3CE4-3D48-AA5F-6891106A9F24}"/>
    <hyperlink ref="J1509" r:id="rId2226" xr:uid="{F9D30B5C-B52B-144B-B04E-548A685B4374}"/>
    <hyperlink ref="J1510" r:id="rId2227" xr:uid="{8C9F4BBF-A13D-5544-95CB-000AE53813EE}"/>
    <hyperlink ref="J1511" r:id="rId2228" xr:uid="{B5EF0F71-FA3F-5641-85F0-82A89F4FDD2D}"/>
    <hyperlink ref="W1511" r:id="rId2229" xr:uid="{3776F3D0-4BF9-1347-92AF-53D092494BA9}"/>
    <hyperlink ref="J1512" r:id="rId2230" xr:uid="{7F0A04E4-2423-6F49-8D7C-F57C1F253C21}"/>
    <hyperlink ref="J1513" r:id="rId2231" xr:uid="{222C707D-4EAC-AD40-A3DD-6433905E2D0D}"/>
    <hyperlink ref="J1514" r:id="rId2232" xr:uid="{8DD5AAAA-503F-4248-90BF-14B0DC7B9FD9}"/>
    <hyperlink ref="J1515" r:id="rId2233" xr:uid="{B4791070-F492-AC42-A79E-64E43C4956AA}"/>
    <hyperlink ref="J1516" r:id="rId2234" xr:uid="{BDB0038F-6616-DF47-9076-557E96F10590}"/>
    <hyperlink ref="J1517" r:id="rId2235" xr:uid="{CA32191D-8FD8-8544-B7BC-A86229EA3B2A}"/>
    <hyperlink ref="W1517" r:id="rId2236" xr:uid="{078C0F1F-F0E3-F84B-B3DF-BC21DD038322}"/>
    <hyperlink ref="J1518" r:id="rId2237" xr:uid="{9C0D1B63-D98C-9B44-B638-E2D1396526B5}"/>
    <hyperlink ref="W1518" r:id="rId2238" xr:uid="{CA7FDA49-316B-404E-B26D-62BEDEB8BB4A}"/>
    <hyperlink ref="J1519" r:id="rId2239" xr:uid="{3B7F56E9-CAEF-F344-899F-3784BBD66855}"/>
    <hyperlink ref="J1520" r:id="rId2240" xr:uid="{D73DFFAF-B360-6444-ACEA-6AA15FE13773}"/>
    <hyperlink ref="W1520" r:id="rId2241" xr:uid="{88C0021D-E923-E546-BB88-95BC3A9C5DE4}"/>
    <hyperlink ref="J1521" r:id="rId2242" xr:uid="{A1480A3B-B133-4640-8CB7-20AF4D3EAAB9}"/>
    <hyperlink ref="W1521" r:id="rId2243" xr:uid="{2674C9F9-604C-9E4B-A384-95077D725151}"/>
    <hyperlink ref="J1522" r:id="rId2244" xr:uid="{26F10C95-14DB-7040-8A22-5DD4C47734DC}"/>
    <hyperlink ref="J1523" r:id="rId2245" xr:uid="{76D37E9A-A767-4044-918B-0536DBE6594F}"/>
    <hyperlink ref="W1523" r:id="rId2246" xr:uid="{95553F1F-746B-BF42-82EF-D2580F39A969}"/>
    <hyperlink ref="J1524" r:id="rId2247" xr:uid="{9C381A14-7E55-E545-9899-9E26A981114B}"/>
    <hyperlink ref="W1524" r:id="rId2248" xr:uid="{800A1EC7-7B69-B94B-83E7-CC67AB744234}"/>
    <hyperlink ref="J1525" r:id="rId2249" xr:uid="{3E6D0C08-F1CA-A846-B6E7-78E4D1FEB9AB}"/>
    <hyperlink ref="W1525" r:id="rId2250" xr:uid="{9A7AFF0A-A538-ED4F-80FF-8617DD02B679}"/>
    <hyperlink ref="J1526" r:id="rId2251" xr:uid="{9DF6FD8D-0DC4-2D47-B320-2165E3F72B15}"/>
    <hyperlink ref="W1526" r:id="rId2252" xr:uid="{78F4C2C7-E08D-6548-88AC-D8EF2D9BAACF}"/>
    <hyperlink ref="J1527" r:id="rId2253" xr:uid="{C31C7DA9-FA7E-0444-AC6D-FD92E962824D}"/>
    <hyperlink ref="W1527" r:id="rId2254" xr:uid="{3DE0274F-E375-464D-91B6-97AA5825CF27}"/>
    <hyperlink ref="J1528" r:id="rId2255" xr:uid="{9F2317E8-7467-FC4B-98FA-000AC3FF7400}"/>
    <hyperlink ref="W1528" r:id="rId2256" xr:uid="{4D940DD2-F04A-1341-A126-C5D69CC8070E}"/>
    <hyperlink ref="J1529" r:id="rId2257" xr:uid="{82B6DC8E-DCEF-0042-BA00-DD1D8692C656}"/>
    <hyperlink ref="J1530" r:id="rId2258" xr:uid="{0E0ED778-EAD3-6A4E-8660-3C8C9F5E448E}"/>
    <hyperlink ref="W1530" r:id="rId2259" xr:uid="{8CB86AAA-7E11-BB42-A5BB-A3F5271B7C69}"/>
    <hyperlink ref="J1531" r:id="rId2260" xr:uid="{41C95FE9-BF90-1649-B84C-01588B4ABB40}"/>
    <hyperlink ref="W1531" r:id="rId2261" xr:uid="{1A616509-67DF-1349-B3CA-1D2398404092}"/>
    <hyperlink ref="J1532" r:id="rId2262" xr:uid="{89D9898E-9C5A-E142-AA94-C98D6EA0EF32}"/>
    <hyperlink ref="W1532" r:id="rId2263" xr:uid="{27391FEF-C732-CE48-AE7B-EBBB5D408D07}"/>
    <hyperlink ref="J1533" r:id="rId2264" xr:uid="{F27E7075-11F6-7A44-9250-66DB81ECEEA4}"/>
    <hyperlink ref="W1533" r:id="rId2265" xr:uid="{DDDE76BD-60F6-714A-A556-55BEF67F705D}"/>
    <hyperlink ref="J1534" r:id="rId2266" xr:uid="{E06D01F7-0169-EB43-8FEA-88BD0B875C03}"/>
    <hyperlink ref="W1534" r:id="rId2267" xr:uid="{96FEA421-653F-7D4D-95FC-9E0171B0A4B0}"/>
    <hyperlink ref="J1535" r:id="rId2268" xr:uid="{89F3306B-5E56-CB43-AD4E-F89B2268ED93}"/>
    <hyperlink ref="W1535" r:id="rId2269" xr:uid="{11844174-4151-D04A-B88B-BA043C6BB802}"/>
    <hyperlink ref="J1536" r:id="rId2270" xr:uid="{385943D7-3EBA-F24A-BB04-F1B6F741BCFA}"/>
    <hyperlink ref="W1536" r:id="rId2271" xr:uid="{8877A805-6D96-9B41-915C-9BBF53FBD946}"/>
    <hyperlink ref="J1537" r:id="rId2272" xr:uid="{2D3CDED1-D1C7-854F-A1B9-1D1135BE0196}"/>
    <hyperlink ref="W1537" r:id="rId2273" xr:uid="{2E811097-AA09-D04C-9DCF-8BF8D5CD51D8}"/>
    <hyperlink ref="J1538" r:id="rId2274" xr:uid="{82FB5D8A-F31F-204B-8DD7-8227A4030D87}"/>
    <hyperlink ref="W1538" r:id="rId2275" xr:uid="{9AE5B99E-F17B-DB43-BE17-3EAC0B95FFE7}"/>
    <hyperlink ref="J1539" r:id="rId2276" xr:uid="{8219DAE1-FB3B-884D-8CF0-3EEB17017224}"/>
    <hyperlink ref="J1540" r:id="rId2277" xr:uid="{14D4D3E3-5472-6B40-BB78-7850BF11DB3A}"/>
    <hyperlink ref="W1540" r:id="rId2278" xr:uid="{58ABE615-7342-C142-AE64-4F74A09B7E8F}"/>
    <hyperlink ref="J1541" r:id="rId2279" xr:uid="{D740841E-7657-844A-BDCA-8E866AAF8CFA}"/>
    <hyperlink ref="W1541" r:id="rId2280" xr:uid="{B796F034-0D32-614C-861A-2D95E3C61BD9}"/>
    <hyperlink ref="J1542" r:id="rId2281" xr:uid="{FF79F1B8-F871-3A42-A181-F0DCE61A64A8}"/>
    <hyperlink ref="W1542" r:id="rId2282" xr:uid="{87AF7467-4810-6F48-981B-093A67347A4B}"/>
    <hyperlink ref="J1543" r:id="rId2283" xr:uid="{2B3769A8-A536-E847-8353-62016D4CF598}"/>
    <hyperlink ref="J1544" r:id="rId2284" xr:uid="{46695BE2-A6BC-FD4A-9923-37B175AF13BE}"/>
    <hyperlink ref="J1545" r:id="rId2285" xr:uid="{10B250F5-D713-EE47-8401-6445AF31643E}"/>
    <hyperlink ref="W1545" r:id="rId2286" xr:uid="{4668AF82-F773-BA40-9728-58E4CB939454}"/>
    <hyperlink ref="J1546" r:id="rId2287" xr:uid="{0FC0A32B-884B-7B49-BFA2-F8A821B43F55}"/>
    <hyperlink ref="W1546" r:id="rId2288" xr:uid="{6DEE6DAF-4D13-F44B-A50D-89463AD4AB54}"/>
    <hyperlink ref="J1547" r:id="rId2289" xr:uid="{B2854B21-DA3E-BF41-B15E-75E4D0B83054}"/>
    <hyperlink ref="W1547" r:id="rId2290" xr:uid="{83DE9FB0-C7B8-5244-8F48-8769616AA7F1}"/>
    <hyperlink ref="J1548" r:id="rId2291" xr:uid="{DC021973-FDDD-1B4D-882C-8B7345A6D2F5}"/>
    <hyperlink ref="W1548" r:id="rId2292" xr:uid="{B7F86F65-DAC1-544E-8404-142B0BD793A5}"/>
    <hyperlink ref="J1549" r:id="rId2293" xr:uid="{FA7BF719-9E1D-9A4A-BCBE-25F1FA76E21B}"/>
    <hyperlink ref="J1550" r:id="rId2294" xr:uid="{25FA7B61-3AC0-D348-830A-3E37DA4B4858}"/>
    <hyperlink ref="W1550" r:id="rId2295" xr:uid="{A7A3ECE7-533B-C742-96F4-451A7D2A7A7A}"/>
    <hyperlink ref="J1551" r:id="rId2296" xr:uid="{04832415-DB51-934C-B48F-0F038DD9F1B6}"/>
    <hyperlink ref="J1552" r:id="rId2297" xr:uid="{9ECAFA79-5955-7347-862B-BC0AFB2F0802}"/>
    <hyperlink ref="W1552" r:id="rId2298" xr:uid="{53B702CC-3DDB-F74A-938A-ABB26A9F5DF5}"/>
    <hyperlink ref="J1553" r:id="rId2299" xr:uid="{58714A30-5AF3-4B49-9221-273EACEC93F9}"/>
    <hyperlink ref="W1553" r:id="rId2300" xr:uid="{E8D7EF9E-0338-F746-A37C-A2850663261F}"/>
    <hyperlink ref="AG1553" r:id="rId2301" xr:uid="{09D2DBC0-BB7D-5144-BBC6-ACB01BC11378}"/>
    <hyperlink ref="J1554" r:id="rId2302" xr:uid="{38B93F68-13AC-0341-9EAC-0578242D16D8}"/>
    <hyperlink ref="W1554" r:id="rId2303" xr:uid="{4B0AFB64-0AD7-0046-95FE-6804D002DAF6}"/>
    <hyperlink ref="J1555" r:id="rId2304" xr:uid="{ED3C71AC-94FC-1346-9C08-E06FCAE4BDE3}"/>
    <hyperlink ref="J1556" r:id="rId2305" xr:uid="{60309F9B-CE31-DC47-B0F2-71BBBFE099F3}"/>
    <hyperlink ref="W1556" r:id="rId2306" xr:uid="{C36AC3FA-01D2-014C-BB69-68ED90638950}"/>
    <hyperlink ref="J1557" r:id="rId2307" xr:uid="{F598ECFE-E82D-A544-AF6A-4714D316A1BB}"/>
    <hyperlink ref="W1557" r:id="rId2308" xr:uid="{4DDC9978-9FE9-694C-B4EB-CDC7993D57E1}"/>
    <hyperlink ref="J1558" r:id="rId2309" xr:uid="{E7BDB195-CA7C-FC48-A6C3-788D78A2DC2E}"/>
    <hyperlink ref="W1558" r:id="rId2310" xr:uid="{6563D4EF-65C6-E545-98F8-D3AB43D276DB}"/>
    <hyperlink ref="J1559" r:id="rId2311" xr:uid="{9F4F5451-E515-1942-8DC5-E817E6EDF726}"/>
    <hyperlink ref="J1560" r:id="rId2312" xr:uid="{B381C988-18D6-C045-8B2D-627507A9E23D}"/>
    <hyperlink ref="J1561" r:id="rId2313" xr:uid="{AF21EB19-6479-F04F-B605-347910A696EE}"/>
    <hyperlink ref="W1561" r:id="rId2314" xr:uid="{A3A1EBB0-CD42-2340-95E6-CB23A095E3B3}"/>
    <hyperlink ref="J1562" r:id="rId2315" xr:uid="{BBB5D201-F2CF-0345-8414-404ADBE05C37}"/>
    <hyperlink ref="W1562" r:id="rId2316" xr:uid="{1905F6B6-8E08-624D-BE01-3DB33B8FDF14}"/>
    <hyperlink ref="J1563" r:id="rId2317" xr:uid="{B8A1BCD8-0516-E34C-AD8D-717C93D45F45}"/>
    <hyperlink ref="W1563" r:id="rId2318" xr:uid="{310EDE86-4060-EC46-834C-6C26311377D2}"/>
    <hyperlink ref="J1564" r:id="rId2319" xr:uid="{B29E6918-C277-BE46-93CE-0E911496FF62}"/>
    <hyperlink ref="W1564" r:id="rId2320" xr:uid="{A98CBA88-3BB9-1D46-8FE2-ACD547CC859D}"/>
    <hyperlink ref="J1565" r:id="rId2321" xr:uid="{57F86EF9-CF6E-734E-976A-229969BC3775}"/>
    <hyperlink ref="W1565" r:id="rId2322" xr:uid="{74879BDF-6D48-D844-BC50-E960E0E6D565}"/>
    <hyperlink ref="J1566" r:id="rId2323" xr:uid="{1A698A00-7286-5543-B058-C72CEF777068}"/>
    <hyperlink ref="W1566" r:id="rId2324" xr:uid="{23368A89-BD58-BD48-9DE1-DD821312D4E8}"/>
    <hyperlink ref="J1567" r:id="rId2325" xr:uid="{95D7708C-0D34-2649-97AC-E8C6929D9810}"/>
    <hyperlink ref="W1567" r:id="rId2326" xr:uid="{6C3BA94F-626A-EB47-83BB-412483311D4F}"/>
    <hyperlink ref="J1568" r:id="rId2327" xr:uid="{FE9CE759-4B02-804B-894C-C29A07D7977F}"/>
    <hyperlink ref="W1568" r:id="rId2328" xr:uid="{7F6A15F2-9CF0-8F43-AB31-202385150DD5}"/>
    <hyperlink ref="J1569" r:id="rId2329" xr:uid="{585E3746-C95D-034A-BDC2-60126482EB1D}"/>
    <hyperlink ref="W1569" r:id="rId2330" xr:uid="{3F28FF40-431C-7D44-85FF-101703DEB9A5}"/>
    <hyperlink ref="J1570" r:id="rId2331" xr:uid="{8BC93EFB-66CC-3149-BB8D-A1DAC2DB1D6F}"/>
    <hyperlink ref="W1570" r:id="rId2332" xr:uid="{7FEE842F-B936-A846-9CB8-CCD986266BCD}"/>
    <hyperlink ref="J1571" r:id="rId2333" xr:uid="{D06A2480-0AEE-DF4E-86B1-EA75BED7168B}"/>
    <hyperlink ref="W1571" r:id="rId2334" xr:uid="{43E4D6C9-C807-0A4F-866B-BE6C84E8D64A}"/>
    <hyperlink ref="J1572" r:id="rId2335" xr:uid="{0DFB94C8-D9F2-2348-9D7E-32C7E36D2A6C}"/>
    <hyperlink ref="W1572" r:id="rId2336" xr:uid="{C1492425-2682-BE49-91D6-097DF9419595}"/>
    <hyperlink ref="J1573" r:id="rId2337" xr:uid="{1E4C1A42-0D64-7049-BA2C-050517DE8864}"/>
    <hyperlink ref="W1573" r:id="rId2338" xr:uid="{033C9728-EF45-6942-B491-083E8DE713CD}"/>
    <hyperlink ref="J1574" r:id="rId2339" xr:uid="{DBDAE465-FC0E-3041-BEA2-B13DABD81ECC}"/>
    <hyperlink ref="J1575" r:id="rId2340" xr:uid="{313781A7-FF0B-2D4A-A97C-DC90C6C7FD0A}"/>
    <hyperlink ref="W1575" r:id="rId2341" xr:uid="{20BB4314-3700-4346-A94E-CEB51F23F34E}"/>
    <hyperlink ref="J1576" r:id="rId2342" xr:uid="{9C0C4426-A1D3-C94E-BB82-7DB8EF8E71A5}"/>
    <hyperlink ref="W1576" r:id="rId2343" xr:uid="{4EBF5E2E-34B1-FB4C-874A-FF1F37BB0EC0}"/>
    <hyperlink ref="J1577" r:id="rId2344" xr:uid="{38C27520-F7AE-864C-94E3-18533893E7B4}"/>
    <hyperlink ref="J1578" r:id="rId2345" xr:uid="{EF616BB8-B56D-8E4F-A996-636022A188FC}"/>
    <hyperlink ref="J1579" r:id="rId2346" xr:uid="{3171D2FA-27B5-6F42-BF9C-BD578DEEA3B0}"/>
    <hyperlink ref="W1579" r:id="rId2347" xr:uid="{3539E7FA-4E31-D64F-9EC3-7D35803A8381}"/>
    <hyperlink ref="J1580" r:id="rId2348" xr:uid="{2A9346B1-F383-A44A-8521-12E18BC39783}"/>
    <hyperlink ref="J1581" r:id="rId2349" xr:uid="{CDC83BEE-1E6F-B24B-9FE2-045C4A8596D4}"/>
    <hyperlink ref="J1582" r:id="rId2350" xr:uid="{77E17656-082A-004B-B815-F91FC5383034}"/>
    <hyperlink ref="J1583" r:id="rId2351" xr:uid="{45E4F8CC-CECD-CC45-A3A2-A54CFFCB6507}"/>
    <hyperlink ref="W1583" r:id="rId2352" xr:uid="{79108F4E-5F46-B248-9FBA-C293E4CC8169}"/>
    <hyperlink ref="J1584" r:id="rId2353" xr:uid="{69D09F9D-829F-B64E-A3D8-2EAF3900FDA4}"/>
    <hyperlink ref="J1585" r:id="rId2354" xr:uid="{1C8A9F66-152D-4444-9732-CEA6C6E26A22}"/>
    <hyperlink ref="J1586" r:id="rId2355" xr:uid="{2216EEEB-C169-3C4F-86F3-5B626F4B2704}"/>
    <hyperlink ref="W1586" r:id="rId2356" xr:uid="{7191452E-F500-5848-9084-BDAC38E83BCB}"/>
    <hyperlink ref="J1587" r:id="rId2357" xr:uid="{932EACC7-91CA-D243-965D-EDEAA85F3D52}"/>
    <hyperlink ref="W1587" r:id="rId2358" xr:uid="{AC5C3005-AB67-514A-8FF4-14AC026EAD05}"/>
    <hyperlink ref="J1588" r:id="rId2359" xr:uid="{94125827-682F-B34F-8CA9-2768F468026B}"/>
    <hyperlink ref="J1589" r:id="rId2360" xr:uid="{3E8787AC-CF17-DD45-A362-8EA6EAC92844}"/>
    <hyperlink ref="W1589" r:id="rId2361" xr:uid="{B9EEEB40-A44B-2846-8E02-BA8366F446D2}"/>
    <hyperlink ref="J1590" r:id="rId2362" xr:uid="{341C2A9D-4C92-E743-8A73-550A01B1C97B}"/>
    <hyperlink ref="J1591" r:id="rId2363" xr:uid="{279F9D1F-6B47-3245-8A64-A809CDDDC256}"/>
    <hyperlink ref="W1591" r:id="rId2364" xr:uid="{4B6E03D1-75B0-B341-B3C0-EAA1C3A6DC12}"/>
    <hyperlink ref="J1592" r:id="rId2365" xr:uid="{9A8CDE2C-3D35-D642-8E6B-DDEA2101A7DA}"/>
    <hyperlink ref="W1592" r:id="rId2366" xr:uid="{0CBEBD5E-8F58-8944-8EE5-C501646EE648}"/>
    <hyperlink ref="J1593" r:id="rId2367" xr:uid="{76B211DD-CAA8-5743-9E0B-D7AF77F3241B}"/>
    <hyperlink ref="J1594" r:id="rId2368" xr:uid="{1BC81DDD-C4C1-364B-B7DE-646BD31B8189}"/>
    <hyperlink ref="J1595" r:id="rId2369" xr:uid="{2CC46B90-5555-EF47-B16A-576CFDB8D6D2}"/>
    <hyperlink ref="J1596" r:id="rId2370" xr:uid="{CE91ECA0-5619-A843-AE8B-093669BB9A4F}"/>
    <hyperlink ref="J1597" r:id="rId2371" xr:uid="{659426EE-EEA2-9147-8C13-049DA9806339}"/>
    <hyperlink ref="J1598" r:id="rId2372" xr:uid="{18B4936F-CAB8-AF48-9D9C-35ECFA54FFE9}"/>
    <hyperlink ref="W1598" r:id="rId2373" xr:uid="{08FEC6B3-F411-1742-A633-F663AF8ECAA9}"/>
    <hyperlink ref="J1599" r:id="rId2374" xr:uid="{368D205D-E3A8-4D45-B2E5-61B7829F96F7}"/>
    <hyperlink ref="J1600" r:id="rId2375" xr:uid="{CDA1851E-6E5B-6945-88FA-B0BC71EA8822}"/>
    <hyperlink ref="W1600" r:id="rId2376" xr:uid="{84A0FE60-B1C0-B447-B3A4-DD53E7E1FAB4}"/>
    <hyperlink ref="J1601" r:id="rId2377" xr:uid="{C9EAE02C-8B99-D544-AA78-0740B4C0F0BB}"/>
    <hyperlink ref="J1602" r:id="rId2378" xr:uid="{C3F94048-FE1A-8140-80D2-035C49307ACF}"/>
    <hyperlink ref="J1603" r:id="rId2379" xr:uid="{206F256C-657C-3B47-8571-88B7C1150C67}"/>
    <hyperlink ref="J1604" r:id="rId2380" xr:uid="{69BC7C92-0576-034A-B48C-D933A344D456}"/>
    <hyperlink ref="J1605" r:id="rId2381" xr:uid="{FFA14B91-BC52-084F-9B93-50A761158F0D}"/>
    <hyperlink ref="J1606" r:id="rId2382" xr:uid="{6CCD3270-0A7E-0042-AFCC-924219AE626C}"/>
    <hyperlink ref="J1607" r:id="rId2383" xr:uid="{DC6BBC5B-FD49-194B-9CA0-A985ABFB4237}"/>
    <hyperlink ref="J1608" r:id="rId2384" xr:uid="{F795EB26-A50F-7348-9E1E-0FC0D58D6D2D}"/>
    <hyperlink ref="J1609" r:id="rId2385" xr:uid="{8FD99B0C-A68A-E14D-973C-1F3734B1C7CA}"/>
    <hyperlink ref="W1609" r:id="rId2386" xr:uid="{93A80AC9-66D0-C34B-AE95-DF0AC63EA4B1}"/>
    <hyperlink ref="J1610" r:id="rId2387" xr:uid="{A712F9CF-EBD3-694D-A0FB-2920AFC68457}"/>
    <hyperlink ref="W1610" r:id="rId2388" xr:uid="{95FD1B90-8B93-144A-8FC3-1DD2A41FFADF}"/>
    <hyperlink ref="J1611" r:id="rId2389" xr:uid="{87A4AE69-14B5-054D-AFD9-9088E7D3FB46}"/>
    <hyperlink ref="J1612" r:id="rId2390" xr:uid="{26241D6F-11DE-1A4B-9782-E12B552D99DB}"/>
    <hyperlink ref="W1612" r:id="rId2391" xr:uid="{88BD7325-A4D0-7247-A74E-AC35D92B749F}"/>
    <hyperlink ref="J1613" r:id="rId2392" xr:uid="{275C8E4E-CDB1-9840-A8E7-0A90F789DA80}"/>
    <hyperlink ref="J1614" r:id="rId2393" xr:uid="{4B542387-9CB1-944A-832C-9D470E67AE77}"/>
    <hyperlink ref="W1614" r:id="rId2394" xr:uid="{763DFE20-8C7A-B141-87B5-727F0F48D400}"/>
    <hyperlink ref="J1615" r:id="rId2395" xr:uid="{93D79CDB-8946-3D43-87E9-26C2DB5D0065}"/>
    <hyperlink ref="J1616" r:id="rId2396" xr:uid="{3FF45442-9D20-C549-A5E6-8C0E7A806948}"/>
    <hyperlink ref="W1616" r:id="rId2397" xr:uid="{95DEDC11-9A70-A84A-8D30-44EA14AC4E5E}"/>
    <hyperlink ref="J1617" r:id="rId2398" xr:uid="{94F58B30-3E69-4342-AAC6-34E91854F4DD}"/>
    <hyperlink ref="J1618" r:id="rId2399" xr:uid="{381ADE10-080F-7A4E-AFD1-9A17E7B8F91B}"/>
    <hyperlink ref="W1618" r:id="rId2400" xr:uid="{B276DA7A-C69F-5E45-A035-E8A0E431B213}"/>
    <hyperlink ref="J1619" r:id="rId2401" xr:uid="{9EB41436-DC83-E644-A1C4-4F17CD101B61}"/>
    <hyperlink ref="W1619" r:id="rId2402" xr:uid="{63BCAC21-CA5C-DA41-B3B0-405D8FA86A27}"/>
    <hyperlink ref="J1620" r:id="rId2403" xr:uid="{89858EB0-35C1-3146-B093-FF00D50C936E}"/>
    <hyperlink ref="W1620" r:id="rId2404" xr:uid="{4CB7667E-646A-3545-B74C-6F246B8DCAED}"/>
    <hyperlink ref="J1621" r:id="rId2405" xr:uid="{00DCC618-3B1A-9040-9E7B-969A7C94F577}"/>
    <hyperlink ref="W1621" r:id="rId2406" xr:uid="{A5026B4A-A9E1-6D4F-B2B1-A515787CB8AA}"/>
    <hyperlink ref="J1622" r:id="rId2407" xr:uid="{39F3D754-ED91-2E49-8525-57C68104DE50}"/>
    <hyperlink ref="J1623" r:id="rId2408" xr:uid="{9D44EE9A-E2CB-C24A-A249-1711EDE1C1CF}"/>
    <hyperlink ref="J1624" r:id="rId2409" xr:uid="{80FFA947-E9DA-CE45-A254-74C28D2D7164}"/>
    <hyperlink ref="J1625" r:id="rId2410" xr:uid="{A0E7CE5A-453D-514E-A313-90BB2CDAA10D}"/>
    <hyperlink ref="J1626" r:id="rId2411" xr:uid="{730792EA-E828-E642-9956-CC683D502C24}"/>
    <hyperlink ref="J1627" r:id="rId2412" xr:uid="{9162195C-7113-E845-8599-737AB867815F}"/>
    <hyperlink ref="J1628" r:id="rId2413" xr:uid="{822C6751-7CDB-CE4C-BE01-BE0E6CDCD10D}"/>
    <hyperlink ref="J1629" r:id="rId2414" xr:uid="{7363936E-7880-2846-9537-52F265F94D4B}"/>
    <hyperlink ref="J1630" r:id="rId2415" xr:uid="{E2796B96-BA1E-7544-A49E-46298CC07EC3}"/>
    <hyperlink ref="J1631" r:id="rId2416" xr:uid="{2206E733-AF51-D44E-BBC5-161C29D43163}"/>
    <hyperlink ref="W1631" r:id="rId2417" xr:uid="{985971DC-E4E5-6447-AD13-3204605514A7}"/>
    <hyperlink ref="J1632" r:id="rId2418" xr:uid="{46F4DA08-28E1-F444-AD4E-A1828C8C71ED}"/>
    <hyperlink ref="W1632" r:id="rId2419" xr:uid="{5645E455-9D4E-9E43-BB75-7BA71C498864}"/>
    <hyperlink ref="J1633" r:id="rId2420" xr:uid="{6C567AD7-804F-0E4F-BD3F-A10B2836BF21}"/>
    <hyperlink ref="J1634" r:id="rId2421" xr:uid="{9D131A0B-BF8E-D946-B72E-DF7B88FADB25}"/>
    <hyperlink ref="J1635" r:id="rId2422" xr:uid="{AD304A0B-426D-F046-B485-6899C2985942}"/>
    <hyperlink ref="W1635" r:id="rId2423" xr:uid="{9968D5BC-0EA3-164E-91A9-DF99E9827688}"/>
    <hyperlink ref="J1636" r:id="rId2424" xr:uid="{0FBADADC-B519-2C41-8039-645017C1287A}"/>
    <hyperlink ref="J1637" r:id="rId2425" xr:uid="{FBE48C7D-3AA2-A840-8A68-78D75F624B44}"/>
    <hyperlink ref="W1637" r:id="rId2426" xr:uid="{901DC833-A1DF-354D-8ADC-7BE6D724547D}"/>
    <hyperlink ref="J1638" r:id="rId2427" xr:uid="{BF4A7025-94DC-F346-9559-8609D3C6C413}"/>
    <hyperlink ref="J1639" r:id="rId2428" xr:uid="{158648B9-C4D9-D043-8770-622BB8B7DF8E}"/>
    <hyperlink ref="J1640" r:id="rId2429" xr:uid="{C947F4E5-3CDF-5345-9DA5-9278F43FE947}"/>
    <hyperlink ref="W1640" r:id="rId2430" xr:uid="{E6CC4080-B6AB-6043-A205-2EC0DB9142EB}"/>
    <hyperlink ref="J1641" r:id="rId2431" xr:uid="{5136CDF7-6FA1-7F47-A71B-5B9C50D384E7}"/>
    <hyperlink ref="W1641" r:id="rId2432" xr:uid="{875CBCF6-0184-B040-B9FA-D77D19EF4F31}"/>
    <hyperlink ref="J1642" r:id="rId2433" xr:uid="{D6CC568D-0DEF-4243-BFB6-FA6666F3C03D}"/>
    <hyperlink ref="J1643" r:id="rId2434" xr:uid="{02CBDD71-E94E-5644-835F-B73C1BB2E920}"/>
    <hyperlink ref="J1644" r:id="rId2435" xr:uid="{82D81AD6-4ABF-AC46-9186-61F261A70E05}"/>
    <hyperlink ref="J1645" r:id="rId2436" xr:uid="{058F2115-8853-E845-8F66-B397D01C846D}"/>
    <hyperlink ref="J1646" r:id="rId2437" xr:uid="{864F31A2-9A13-6B41-9BBA-F9A8B32A12C0}"/>
    <hyperlink ref="J1647" r:id="rId2438" xr:uid="{F3B63BBD-4E91-054A-A183-BE1C5D037283}"/>
    <hyperlink ref="J1648" r:id="rId2439" xr:uid="{D6C28F09-526D-444A-84BD-667228005136}"/>
    <hyperlink ref="J1649" r:id="rId2440" xr:uid="{F0EFF916-D81F-A641-ACD5-265A8DF87427}"/>
    <hyperlink ref="J1650" r:id="rId2441" xr:uid="{4A40A97F-975D-C149-B664-A311A6D4C1E7}"/>
    <hyperlink ref="J1651" r:id="rId2442" xr:uid="{925AD930-E220-3D40-A20D-E4B7166D1114}"/>
    <hyperlink ref="W1651" r:id="rId2443" xr:uid="{774649A3-B7BB-DF48-876E-D74E352C2D64}"/>
    <hyperlink ref="J1652" r:id="rId2444" xr:uid="{3D1E8F7D-A295-7E4B-A117-F94C033DF272}"/>
    <hyperlink ref="W1652" r:id="rId2445" xr:uid="{CF379D09-F925-C041-82CC-C49FAB6DDE4C}"/>
    <hyperlink ref="J1653" r:id="rId2446" xr:uid="{AB7E8C5F-DC54-9A49-ADF7-351734E0CD9D}"/>
    <hyperlink ref="J1654" r:id="rId2447" xr:uid="{B6BB8E2E-13D1-A64C-BDC5-2D9FE4C14FC6}"/>
    <hyperlink ref="W1654" r:id="rId2448" xr:uid="{B2DEF95F-CB72-8F46-A13C-F1E849C8FEED}"/>
    <hyperlink ref="J1655" r:id="rId2449" xr:uid="{5EC0AE4B-A171-B046-B2BC-047E1CAA5B60}"/>
    <hyperlink ref="W1655" r:id="rId2450" xr:uid="{C1B67BD6-8ADA-274F-BB3F-375C3C0AB9B8}"/>
    <hyperlink ref="J1656" r:id="rId2451" xr:uid="{91786ECC-C1AA-7A42-B246-017674B322C8}"/>
    <hyperlink ref="J1657" r:id="rId2452" xr:uid="{012A355F-5D8D-D146-A002-C9908AFFD93E}"/>
    <hyperlink ref="W1657" r:id="rId2453" xr:uid="{BD7DCA4A-316B-8B4B-8648-FEDBF9399F1F}"/>
    <hyperlink ref="J1658" r:id="rId2454" xr:uid="{86827017-C218-F247-ABBD-2538EA4E17F7}"/>
    <hyperlink ref="J1659" r:id="rId2455" xr:uid="{3171FEB4-0C94-AC4A-9393-B3440FACF8BA}"/>
    <hyperlink ref="W1659" r:id="rId2456" xr:uid="{50C6BA00-005B-3044-86A0-93FAFBB27501}"/>
    <hyperlink ref="J1660" r:id="rId2457" xr:uid="{2B2F415C-BBBF-8B49-9335-7819BAA520F6}"/>
    <hyperlink ref="J1661" r:id="rId2458" xr:uid="{0150589D-C5CB-7D4E-A7AD-BF4FDF01FC40}"/>
    <hyperlink ref="J1662" r:id="rId2459" xr:uid="{013FBECC-5487-5145-8B7E-3FCE7D7F22F4}"/>
    <hyperlink ref="J1663" r:id="rId2460" xr:uid="{6CD8E9E6-D19A-254B-B82A-8C980C1BAFC8}"/>
    <hyperlink ref="J1664" r:id="rId2461" xr:uid="{BFFD165B-5187-A34C-AA19-157475937321}"/>
    <hyperlink ref="J1665" r:id="rId2462" xr:uid="{5B0640AF-B9C3-0140-BE92-5B04CC1B1D96}"/>
    <hyperlink ref="J1666" r:id="rId2463" xr:uid="{066C19A5-44C3-1A40-9933-DA12A1193208}"/>
    <hyperlink ref="J1667" r:id="rId2464" xr:uid="{B024DCDD-719F-F24D-A789-02DF0CDCB87A}"/>
    <hyperlink ref="W1667" r:id="rId2465" xr:uid="{D15A9723-D643-5F44-A8A0-9A66FD412CBE}"/>
    <hyperlink ref="J1668" r:id="rId2466" xr:uid="{6354B39A-4F8E-CD48-BFA5-D0FCCA6B1B92}"/>
    <hyperlink ref="W1668" r:id="rId2467" xr:uid="{947730EA-F234-9B4B-B5BE-35FBF7A0A2BC}"/>
    <hyperlink ref="J1669" r:id="rId2468" xr:uid="{A1BCF058-64A4-1140-B729-87DCB0A92586}"/>
    <hyperlink ref="W1669" r:id="rId2469" xr:uid="{237E514E-A769-4544-88B4-0F61C800DB5C}"/>
    <hyperlink ref="J1670" r:id="rId2470" xr:uid="{B9E024C0-5F25-4145-92B1-412652C84962}"/>
    <hyperlink ref="J1671" r:id="rId2471" xr:uid="{768A76B0-C973-B44F-8F7C-45F8EAE443BB}"/>
    <hyperlink ref="W1671" r:id="rId2472" xr:uid="{6499B858-28F9-804E-B905-4A4F5427F982}"/>
    <hyperlink ref="J1672" r:id="rId2473" xr:uid="{5980F11A-922A-C04C-B116-CC14B909B0EA}"/>
    <hyperlink ref="J1673" r:id="rId2474" xr:uid="{BF59A00E-4960-7E44-B483-D70F83E311F1}"/>
    <hyperlink ref="J1674" r:id="rId2475" xr:uid="{4C1ADB66-75FA-FA4B-99F0-A0A7C37EF963}"/>
    <hyperlink ref="W1674" r:id="rId2476" xr:uid="{3BF05C46-D704-D44E-9318-99B185348478}"/>
    <hyperlink ref="J1675" r:id="rId2477" xr:uid="{7E089DAF-9C31-2546-B282-7F8D6B48BD4B}"/>
    <hyperlink ref="W1675" r:id="rId2478" xr:uid="{9B986E54-F67E-4142-B309-340B35253191}"/>
    <hyperlink ref="J1676" r:id="rId2479" xr:uid="{8FD914B2-8A3C-D945-B010-B7242473194B}"/>
    <hyperlink ref="W1676" r:id="rId2480" xr:uid="{97343812-6518-8C43-8BDC-3D1226E2041F}"/>
    <hyperlink ref="J1677" r:id="rId2481" xr:uid="{E75DC56F-BD73-3846-93D3-909B955BFDDE}"/>
    <hyperlink ref="W1677" r:id="rId2482" xr:uid="{E7D72757-92F7-624B-9343-3CED20ED05C1}"/>
    <hyperlink ref="J1678" r:id="rId2483" xr:uid="{A55A7208-5C44-2545-87FC-20DA1D4EA8AE}"/>
    <hyperlink ref="W1678" r:id="rId2484" xr:uid="{BD792B54-3852-074C-8695-C08E24C9DCB7}"/>
    <hyperlink ref="J1679" r:id="rId2485" xr:uid="{A187F3DB-747F-9F40-92CF-03E832B4A88C}"/>
    <hyperlink ref="W1679" r:id="rId2486" xr:uid="{C3F70B06-0307-1945-9128-5EBA2985D54C}"/>
    <hyperlink ref="J1680" r:id="rId2487" xr:uid="{A755997C-E19F-F94D-98AE-3B0A534F2A30}"/>
    <hyperlink ref="J1681" r:id="rId2488" xr:uid="{0E42C5A2-1DD3-6D41-887A-AFBA4C020DEE}"/>
    <hyperlink ref="J1682" r:id="rId2489" xr:uid="{A60FE7D4-9653-0040-9610-CD374E0C33CF}"/>
    <hyperlink ref="J1683" r:id="rId2490" xr:uid="{2C222B30-AAD2-BD43-A378-13E76460F611}"/>
    <hyperlink ref="W1683" r:id="rId2491" xr:uid="{C11C6D05-0465-254A-9D26-029D31200D35}"/>
    <hyperlink ref="J1684" r:id="rId2492" xr:uid="{ED969A43-E223-C04F-9EA7-09D7105E01F7}"/>
    <hyperlink ref="J1685" r:id="rId2493" xr:uid="{BDBF8FDA-EA87-9549-9836-EE356CC17E58}"/>
    <hyperlink ref="W1685" r:id="rId2494" xr:uid="{97F8AA1C-1CE8-8242-8F1D-4E65BA79F586}"/>
    <hyperlink ref="J1686" r:id="rId2495" xr:uid="{8CF7F367-389B-5641-8C96-AF76E0D186F6}"/>
    <hyperlink ref="J1687" r:id="rId2496" xr:uid="{D9AFF43F-7575-2843-8233-B2203FC19BE8}"/>
    <hyperlink ref="W1687" r:id="rId2497" xr:uid="{64E9F11E-8907-4443-94D1-05C096AD4EBE}"/>
    <hyperlink ref="J1688" r:id="rId2498" xr:uid="{AE74DEEC-9D39-BA4E-AD8A-CF8EC3877AD1}"/>
    <hyperlink ref="W1688" r:id="rId2499" xr:uid="{925CA4A1-DDAE-2646-8D53-B8BA4D12A601}"/>
    <hyperlink ref="J1689" r:id="rId2500" xr:uid="{C683ABD6-A4FA-8B4E-AF1A-5FB30150F718}"/>
    <hyperlink ref="W1689" r:id="rId2501" xr:uid="{05847508-6666-BC41-8545-518019DFB252}"/>
    <hyperlink ref="J1690" r:id="rId2502" xr:uid="{8AEA4BA7-F099-E140-92FC-402C750BF424}"/>
    <hyperlink ref="W1690" r:id="rId2503" xr:uid="{A8BFAAFD-422D-D947-8E1E-B7ACFCAA2452}"/>
    <hyperlink ref="J1691" r:id="rId2504" xr:uid="{050121D7-3F97-904B-A0CD-D89D214FEF04}"/>
    <hyperlink ref="W1691" r:id="rId2505" xr:uid="{0B86CF97-46C5-B246-8BE8-04FB9218DDA0}"/>
    <hyperlink ref="J1692" r:id="rId2506" xr:uid="{41B4F5AB-5836-F844-B0B8-ADA8DDF3DCA4}"/>
    <hyperlink ref="J1693" r:id="rId2507" xr:uid="{A7AB37DC-6873-6A4F-9A57-AAB8EB65F363}"/>
    <hyperlink ref="W1693" r:id="rId2508" xr:uid="{28448108-9A0B-6947-BD79-F1560A2BCA33}"/>
    <hyperlink ref="J1694" r:id="rId2509" xr:uid="{8E717145-4E34-144B-98E9-2176B07BB8C2}"/>
    <hyperlink ref="W1694" r:id="rId2510" xr:uid="{064B44A3-21E6-1048-91ED-2234D2FE356A}"/>
    <hyperlink ref="J1695" r:id="rId2511" xr:uid="{AD66E5DB-EC32-DA4B-9B01-3526B53BDCCA}"/>
    <hyperlink ref="W1695" r:id="rId2512" xr:uid="{21394E53-28E6-2F4F-BB22-D559A5356046}"/>
    <hyperlink ref="J1696" r:id="rId2513" xr:uid="{1EB2B5EF-0D49-9443-B613-6BC814ECC28B}"/>
    <hyperlink ref="W1696" r:id="rId2514" xr:uid="{A96BBB69-9934-2746-8F44-6B8EA6079C97}"/>
    <hyperlink ref="J1697" r:id="rId2515" xr:uid="{335B84A8-D1A7-FF43-87BB-FBBD5ED2BBED}"/>
    <hyperlink ref="J1698" r:id="rId2516" xr:uid="{74E108E0-85F7-D84F-B6CD-FB655E3225BB}"/>
    <hyperlink ref="W1698" r:id="rId2517" xr:uid="{5A44195E-9116-FA45-9DA7-B8413EEEE382}"/>
    <hyperlink ref="J1699" r:id="rId2518" xr:uid="{F84B034F-FE59-2B4A-A657-2C91C22F5D5A}"/>
    <hyperlink ref="W1699" r:id="rId2519" xr:uid="{A4CE233A-C1AD-6B46-9490-1492E3E93A65}"/>
    <hyperlink ref="J1700" r:id="rId2520" xr:uid="{A17A5515-742D-8841-A42C-AE57487B2DE8}"/>
    <hyperlink ref="J1701" r:id="rId2521" xr:uid="{023CF1BB-0B23-EF43-A153-6DFE02A4A9A4}"/>
    <hyperlink ref="W1701" r:id="rId2522" xr:uid="{1AFDB925-003B-734F-B74B-2B80D11CEAB9}"/>
    <hyperlink ref="J1702" r:id="rId2523" xr:uid="{6AA656A4-F5F5-F94B-A20F-C0455932C297}"/>
    <hyperlink ref="W1702" r:id="rId2524" xr:uid="{D4BC457E-56AC-2B4D-9F0B-CB034B17DBEB}"/>
    <hyperlink ref="J1703" r:id="rId2525" xr:uid="{4F99F1E9-7B51-AD42-8E3E-167959556994}"/>
    <hyperlink ref="W1703" r:id="rId2526" xr:uid="{D89FC664-06AC-4F44-AC98-6D7619F9339E}"/>
    <hyperlink ref="J1704" r:id="rId2527" xr:uid="{D4D8A487-8970-924B-AD74-99E208F7BD4C}"/>
    <hyperlink ref="W1704" r:id="rId2528" xr:uid="{BB0D5669-6DCD-1B4F-AC1F-6A9B5CDB36B0}"/>
    <hyperlink ref="J1705" r:id="rId2529" xr:uid="{5678CB50-151B-DF43-A42C-5809FF1DFF7A}"/>
    <hyperlink ref="W1705" r:id="rId2530" xr:uid="{1605EDB4-BBEC-4E4C-B875-134D64146A30}"/>
    <hyperlink ref="J1706" r:id="rId2531" xr:uid="{A2BF6EFA-18B5-9145-BB3F-82D0D537ABDA}"/>
    <hyperlink ref="W1706" r:id="rId2532" xr:uid="{3E037E61-D422-1D45-BD46-7E1CE05ABF1D}"/>
    <hyperlink ref="J1707" r:id="rId2533" xr:uid="{EDA9124F-1968-2D42-8F45-4B9F19EE8EAC}"/>
    <hyperlink ref="J1708" r:id="rId2534" xr:uid="{4F7F2367-24B8-AD46-BE0D-56F3689E441B}"/>
    <hyperlink ref="W1708" r:id="rId2535" xr:uid="{AA6E5685-957A-A145-A70B-7933598F3D6B}"/>
    <hyperlink ref="J1709" r:id="rId2536" xr:uid="{85948008-9EF1-D54B-955F-AAA120F7FAB6}"/>
    <hyperlink ref="W1709" r:id="rId2537" xr:uid="{28574D24-0DD2-D142-8383-05937F4E4F91}"/>
    <hyperlink ref="J1710" r:id="rId2538" xr:uid="{258BE2E4-7A7F-944A-9ACF-574FC0FBAEA2}"/>
    <hyperlink ref="W1710" r:id="rId2539" xr:uid="{502FE564-7C86-9443-9467-7B6EF18D030E}"/>
    <hyperlink ref="J1711" r:id="rId2540" xr:uid="{2C6F1E8B-9C14-F04A-9D39-ACE3883119B5}"/>
    <hyperlink ref="W1711" r:id="rId2541" xr:uid="{7434B282-C081-354D-9674-BA7B771250C9}"/>
    <hyperlink ref="J1712" r:id="rId2542" xr:uid="{B5EC5E87-BA38-7D41-9797-6DD4E7F85804}"/>
    <hyperlink ref="W1712" r:id="rId2543" xr:uid="{FB9EEBEB-EC40-764B-B2B7-227A4E3A7AE7}"/>
    <hyperlink ref="J1713" r:id="rId2544" xr:uid="{82AB373A-0E11-1043-B897-A780BF3D7DD5}"/>
    <hyperlink ref="W1713" r:id="rId2545" xr:uid="{950CA68B-5E1B-B241-849C-D6031A75D810}"/>
    <hyperlink ref="J1714" r:id="rId2546" xr:uid="{E968A949-31AC-5144-BC95-43065C7077D2}"/>
    <hyperlink ref="J1715" r:id="rId2547" xr:uid="{2CD52949-BC10-5541-B628-76DA07623FD6}"/>
    <hyperlink ref="J1716" r:id="rId2548" xr:uid="{BC2B7313-39F6-1D43-B6E6-C62471AD218B}"/>
    <hyperlink ref="W1716" r:id="rId2549" xr:uid="{20303FB0-7A6D-3E4C-93F5-1BBE4AC2F4CA}"/>
    <hyperlink ref="J1717" r:id="rId2550" xr:uid="{428ABF6C-6472-B449-AE64-93CBBBD54C1D}"/>
    <hyperlink ref="J1718" r:id="rId2551" xr:uid="{49001776-91B9-6647-AC8E-CC8D30F3B051}"/>
    <hyperlink ref="J1719" r:id="rId2552" xr:uid="{63C20C98-858D-1348-B928-4DF9ACE278CE}"/>
    <hyperlink ref="J1720" r:id="rId2553" xr:uid="{146FD5F1-4626-3E46-87DA-27FDD42DAE10}"/>
    <hyperlink ref="W1720" r:id="rId2554" xr:uid="{7E08135F-33CD-2B4B-8E8A-A4500946A93F}"/>
    <hyperlink ref="J1721" r:id="rId2555" xr:uid="{7BF999DA-1009-C140-9F5F-6AF9944B43CA}"/>
    <hyperlink ref="J1722" r:id="rId2556" xr:uid="{5BDEB846-2703-EE44-9598-8D2FAF8A2B31}"/>
    <hyperlink ref="J1723" r:id="rId2557" xr:uid="{8B066836-9970-5D41-8372-1F94CFE2320C}"/>
    <hyperlink ref="J1724" r:id="rId2558" xr:uid="{C04A44B7-D248-8046-AD82-136723666162}"/>
    <hyperlink ref="J1725" r:id="rId2559" xr:uid="{6222ED1F-1EC5-DE47-BC2D-0D7F55263F03}"/>
    <hyperlink ref="J1726" r:id="rId2560" xr:uid="{DEFE20C4-7241-0143-8464-7D5DD5A9E492}"/>
    <hyperlink ref="J1727" r:id="rId2561" xr:uid="{9114FF5B-4DD4-B744-AAAA-7B620B071660}"/>
    <hyperlink ref="J1728" r:id="rId2562" xr:uid="{C70AECE4-FE2F-9441-B1A3-A0A9D66B2A2F}"/>
    <hyperlink ref="J1729" r:id="rId2563" xr:uid="{F19A72AA-278B-AA4B-8F65-4821815A27B8}"/>
    <hyperlink ref="J1730" r:id="rId2564" xr:uid="{C682A2C3-B295-A84B-B060-AD77FAD3F52C}"/>
    <hyperlink ref="J1731" r:id="rId2565" xr:uid="{5C840858-8185-A249-9D31-DA1015F62EA9}"/>
    <hyperlink ref="J1732" r:id="rId2566" xr:uid="{FA224060-87DC-7241-8BD1-2DEB1D0F7F83}"/>
    <hyperlink ref="W1732" r:id="rId2567" xr:uid="{999EF503-BF1C-1148-8ACD-04F1A9E54FB5}"/>
    <hyperlink ref="J1733" r:id="rId2568" xr:uid="{E2D8807E-E8C8-8841-AC8D-F660D23D465D}"/>
    <hyperlink ref="J1734" r:id="rId2569" xr:uid="{1CBBF137-7725-B84D-84C0-B5486F571470}"/>
    <hyperlink ref="W1734" r:id="rId2570" xr:uid="{FABBAC7C-51D2-514C-8374-DA0AD660D446}"/>
    <hyperlink ref="J1735" r:id="rId2571" xr:uid="{6A161ECB-3C93-B949-A4AF-813270C62532}"/>
    <hyperlink ref="J1736" r:id="rId2572" xr:uid="{157F4FDD-FC9E-B84C-B2A9-F1573E730E3F}"/>
    <hyperlink ref="W1736" r:id="rId2573" xr:uid="{05DAF7A8-0D19-D84A-8C70-714D8FE08F09}"/>
    <hyperlink ref="J1737" r:id="rId2574" xr:uid="{E3EDB09B-54A4-B745-A910-FD2E4CC7D5C8}"/>
    <hyperlink ref="W1737" r:id="rId2575" xr:uid="{88941F25-2689-1745-8B78-F2EDAB736210}"/>
    <hyperlink ref="J1738" r:id="rId2576" xr:uid="{1A84213F-77F5-E049-9D72-B95BA7B378F1}"/>
    <hyperlink ref="J1739" r:id="rId2577" xr:uid="{E5F5F9CF-A3A2-3548-84D4-07C133536379}"/>
    <hyperlink ref="J1740" r:id="rId2578" xr:uid="{EA376EAD-7DA4-6246-9194-63DE8910844C}"/>
    <hyperlink ref="J1741" r:id="rId2579" xr:uid="{ADB20D58-4569-A94D-A82E-8DAB09EB9A30}"/>
    <hyperlink ref="J1742" r:id="rId2580" xr:uid="{357C22B3-231F-B24D-AB73-594E2D131566}"/>
    <hyperlink ref="J1743" r:id="rId2581" xr:uid="{830C643D-97D1-5541-B774-B4690486A380}"/>
    <hyperlink ref="J1744" r:id="rId2582" xr:uid="{96B72463-53B2-2449-9601-BA153A629BD4}"/>
    <hyperlink ref="J1745" r:id="rId2583" xr:uid="{6AC0494B-7D62-6546-8913-0EBD45EC66E7}"/>
    <hyperlink ref="J1746" r:id="rId2584" xr:uid="{CD2EDF8F-AE78-3842-8AA3-8810D35E955B}"/>
    <hyperlink ref="J1747" r:id="rId2585" xr:uid="{B4F7CB41-4075-6942-8A65-269E75E79748}"/>
    <hyperlink ref="J1748" r:id="rId2586" xr:uid="{AE573C4A-3D94-6D4F-996C-BD371BBEFFBB}"/>
    <hyperlink ref="J1749" r:id="rId2587" xr:uid="{CD7565D0-A6A9-EB44-9CA0-42B7696C2960}"/>
    <hyperlink ref="J1750" r:id="rId2588" xr:uid="{EB207A87-6BC6-2445-B770-8ECA1FAFB90B}"/>
    <hyperlink ref="J1751" r:id="rId2589" xr:uid="{1AEEEA01-ABD0-2140-B421-85E0BC376574}"/>
    <hyperlink ref="J1752" r:id="rId2590" xr:uid="{611366E9-21BC-BD47-B909-3102886C4FD1}"/>
    <hyperlink ref="J1753" r:id="rId2591" xr:uid="{E8C84B6C-457D-E941-B78C-0247A06B031E}"/>
    <hyperlink ref="W1753" r:id="rId2592" xr:uid="{E86C82F9-70E9-794B-A9EE-2B736854B255}"/>
    <hyperlink ref="J1754" r:id="rId2593" xr:uid="{1E12A7AB-2E03-A444-A541-7921F72BB424}"/>
    <hyperlink ref="J1755" r:id="rId2594" xr:uid="{541CCC81-DD13-F646-9E17-FDD89E901F79}"/>
    <hyperlink ref="J1756" r:id="rId2595" xr:uid="{7F39AA80-3429-5D48-8FAA-9EEC37ABF7B3}"/>
    <hyperlink ref="J1757" r:id="rId2596" xr:uid="{8CAF5B58-4454-9A40-A947-FCBF9F9BE41C}"/>
    <hyperlink ref="W1757" r:id="rId2597" xr:uid="{9D1F4428-B536-1D46-B408-31EF414089D0}"/>
    <hyperlink ref="J1758" r:id="rId2598" xr:uid="{AD9D5F02-825E-9B4D-A2C5-900F89604B8C}"/>
    <hyperlink ref="J1759" r:id="rId2599" xr:uid="{13383170-3783-9A4E-BB37-F6156867E9AF}"/>
    <hyperlink ref="W1759" r:id="rId2600" xr:uid="{D400B66E-DACF-BF42-A11D-B306163E6A91}"/>
    <hyperlink ref="J1760" r:id="rId2601" xr:uid="{29C65EFE-DF80-7F48-95BB-498EF9370BBA}"/>
    <hyperlink ref="J1761" r:id="rId2602" xr:uid="{FA65C2AD-1AF6-7342-A225-41E868681900}"/>
    <hyperlink ref="W1761" r:id="rId2603" xr:uid="{F28015CE-0464-D548-9842-D7787B069507}"/>
    <hyperlink ref="J1762" r:id="rId2604" xr:uid="{3D8CBA37-9B2B-A94C-81C6-A5F2D33AFB18}"/>
    <hyperlink ref="J1763" r:id="rId2605" xr:uid="{A7E0D4D3-EF9B-AE4F-B418-42E49DAD7426}"/>
    <hyperlink ref="J1764" r:id="rId2606" xr:uid="{1683541A-CC09-8C45-8334-E6D7527B74C9}"/>
    <hyperlink ref="W1764" r:id="rId2607" xr:uid="{573E52AA-DA5E-4B40-8557-6BD0F6AE841C}"/>
    <hyperlink ref="J1765" r:id="rId2608" xr:uid="{A60A594C-EAF8-E24C-823F-9DD285A83D36}"/>
    <hyperlink ref="W1765" r:id="rId2609" xr:uid="{E2FF0D7F-14FE-644A-9681-D5704E6146CF}"/>
    <hyperlink ref="J1766" r:id="rId2610" xr:uid="{620DCF6F-D089-B249-BA09-47AEE5B2493E}"/>
    <hyperlink ref="J1767" r:id="rId2611" xr:uid="{74EA82AD-C5AD-B749-AEFC-5F3E8CFA17CE}"/>
    <hyperlink ref="J1768" r:id="rId2612" xr:uid="{2603FE95-0E75-5043-9ABD-C8BC993A1E01}"/>
    <hyperlink ref="W1768" r:id="rId2613" xr:uid="{4B488FBC-46B8-D442-AC22-E55198E79711}"/>
    <hyperlink ref="J1769" r:id="rId2614" xr:uid="{F282615A-006D-DD4E-9DAB-804123D75BEA}"/>
    <hyperlink ref="J1770" r:id="rId2615" xr:uid="{AE92CE40-AB6B-F145-AE18-FD877199C8B8}"/>
    <hyperlink ref="J1771" r:id="rId2616" xr:uid="{BBBE0F5A-BCC0-8B48-A82E-52E17CA1E1D3}"/>
    <hyperlink ref="J1772" r:id="rId2617" xr:uid="{75711560-04F0-4C48-977D-A48C6A87F744}"/>
    <hyperlink ref="J1773" r:id="rId2618" xr:uid="{8B91B60B-7C29-9A4B-BA26-D0F0563C307C}"/>
    <hyperlink ref="J1774" r:id="rId2619" xr:uid="{BDDB2320-DB69-584D-B61A-AE004431E9E8}"/>
    <hyperlink ref="J1775" r:id="rId2620" xr:uid="{3D93A21E-4106-024E-BDE9-0359295DC146}"/>
    <hyperlink ref="J1776" r:id="rId2621" xr:uid="{4E57017F-D137-1C43-B612-CE7FC38F390C}"/>
    <hyperlink ref="W1776" r:id="rId2622" xr:uid="{B9DA1E84-F6E7-4644-A47E-D5CE613E4263}"/>
    <hyperlink ref="J1777" r:id="rId2623" xr:uid="{002BC4CF-9927-8544-8966-7D12693B6B0E}"/>
    <hyperlink ref="W1777" r:id="rId2624" xr:uid="{6519B5EE-6AC0-FE49-97D4-0968AB6FFF3C}"/>
    <hyperlink ref="J1778" r:id="rId2625" xr:uid="{3721C517-915D-5F48-9D47-6EB39BB146BC}"/>
    <hyperlink ref="J1779" r:id="rId2626" xr:uid="{4A4C546D-DF95-1044-BA85-38769C2E57CD}"/>
    <hyperlink ref="W1779" r:id="rId2627" xr:uid="{45DDA693-8124-2444-9089-34C267D38CF5}"/>
    <hyperlink ref="J1780" r:id="rId2628" xr:uid="{F6441CC4-3043-1746-8907-128B8D8ECCC7}"/>
    <hyperlink ref="W1780" r:id="rId2629" xr:uid="{9F22C6A3-C690-734D-8DEE-C772E22CEF74}"/>
    <hyperlink ref="J1781" r:id="rId2630" xr:uid="{1182EE1E-4E93-AC4D-823C-4EC5716E4035}"/>
    <hyperlink ref="J1782" r:id="rId2631" xr:uid="{9AF282F7-D302-0245-9E2F-3C8CA447DBC2}"/>
    <hyperlink ref="J1783" r:id="rId2632" xr:uid="{908FE3BB-C26F-4547-A1BE-7652EEB2FF31}"/>
    <hyperlink ref="J1784" r:id="rId2633" xr:uid="{97BEB970-53A6-0141-ACD3-2ACE014422E2}"/>
    <hyperlink ref="J1785" r:id="rId2634" xr:uid="{9CADD194-DCC0-DB41-9279-FF624B19AE8D}"/>
    <hyperlink ref="J1786" r:id="rId2635" xr:uid="{ED7A510C-D716-434F-B7D8-182CDD50F0C9}"/>
    <hyperlink ref="J1787" r:id="rId2636" xr:uid="{A055BF49-ACE9-F84F-80DF-8BFE3A700BCC}"/>
    <hyperlink ref="J1788" r:id="rId2637" xr:uid="{1B5CA0BA-09E2-4A48-A240-9E4D2422CD2E}"/>
    <hyperlink ref="J1789" r:id="rId2638" xr:uid="{E0F60B2B-4BA9-F349-B81C-3AFD7A8CFDCB}"/>
    <hyperlink ref="J1790" r:id="rId2639" xr:uid="{FDE346D8-4F15-0640-A3BC-0A52CE905052}"/>
    <hyperlink ref="J1791" r:id="rId2640" xr:uid="{04FCFCB1-B939-2A43-B9BB-1FC2F718FE7E}"/>
    <hyperlink ref="J1792" r:id="rId2641" xr:uid="{F61648B0-44F4-9B40-BFAB-C9E5740D9854}"/>
    <hyperlink ref="J1793" r:id="rId2642" xr:uid="{9A64B347-1A05-544B-BA38-CC4AB9167A62}"/>
    <hyperlink ref="J1794" r:id="rId2643" xr:uid="{FA8FE616-F2C0-7042-915A-1A7E17E341C8}"/>
    <hyperlink ref="W1794" r:id="rId2644" xr:uid="{101B2BE1-A17C-CC43-97AB-2A4A64E327CD}"/>
    <hyperlink ref="J1795" r:id="rId2645" xr:uid="{8B75AA68-CB96-9B41-BF50-06755742E75A}"/>
    <hyperlink ref="J1796" r:id="rId2646" xr:uid="{29209905-FEDC-AE43-A00F-704DC8F27DAA}"/>
    <hyperlink ref="J1797" r:id="rId2647" xr:uid="{C8F35880-538E-9149-972F-B2306C2BEBF8}"/>
    <hyperlink ref="J1798" r:id="rId2648" xr:uid="{76FC7F91-FC46-744B-AED0-279068F258D5}"/>
    <hyperlink ref="J1799" r:id="rId2649" xr:uid="{87198287-71D7-E54B-8357-043017BA30E8}"/>
    <hyperlink ref="W1799" r:id="rId2650" xr:uid="{D2D94A5D-8B54-D844-AE8E-D25370D01906}"/>
    <hyperlink ref="J1800" r:id="rId2651" xr:uid="{4BBE62C8-E36A-094B-BF2D-7491A6F2C55E}"/>
    <hyperlink ref="J1801" r:id="rId2652" xr:uid="{D2DA3B20-FA22-754B-83CC-8BD457321F53}"/>
    <hyperlink ref="W1801" r:id="rId2653" xr:uid="{432383B5-2AE8-AC4A-A86F-089F45A0FE77}"/>
    <hyperlink ref="J1802" r:id="rId2654" xr:uid="{211D7447-ABC8-A648-B3F4-F3495310E853}"/>
    <hyperlink ref="J1803" r:id="rId2655" xr:uid="{F751CBCB-90C4-6849-B3BA-37ECAC8C9D63}"/>
    <hyperlink ref="W1803" r:id="rId2656" xr:uid="{7A3332F9-B8B0-FE4C-97F9-11F5E9174420}"/>
    <hyperlink ref="J1804" r:id="rId2657" xr:uid="{D7F32577-7F99-294C-BE0C-29E0EB8AFF48}"/>
    <hyperlink ref="J1805" r:id="rId2658" xr:uid="{A400D6B2-A298-044A-BF4D-8B820D644ABD}"/>
    <hyperlink ref="W1805" r:id="rId2659" xr:uid="{40D9AA67-8E2E-B243-BF8B-9F3989C9ACCF}"/>
    <hyperlink ref="J1806" r:id="rId2660" xr:uid="{4EBED6D7-618C-7146-A842-1371D55D7B62}"/>
    <hyperlink ref="J1807" r:id="rId2661" xr:uid="{F3F1A8CE-C8DF-C349-8CC8-F3BF6658E698}"/>
    <hyperlink ref="J1808" r:id="rId2662" xr:uid="{97DA91AD-9523-884E-A2BB-C980A00B0123}"/>
    <hyperlink ref="J1809" r:id="rId2663" xr:uid="{CACE4602-7AA2-D14F-9D3A-DDCE532E154B}"/>
    <hyperlink ref="W1809" r:id="rId2664" xr:uid="{FA5152D9-72CB-884D-A69D-C2C49695D19F}"/>
    <hyperlink ref="J1810" r:id="rId2665" xr:uid="{6D62A70B-BF87-054B-A248-E5159F5BC50C}"/>
    <hyperlink ref="J1811" r:id="rId2666" xr:uid="{52EB78B2-CE90-B642-95FE-62BA94C8D030}"/>
    <hyperlink ref="J1812" r:id="rId2667" xr:uid="{B9BD93C1-763D-F341-BCA9-76D8B679C93B}"/>
    <hyperlink ref="W1812" r:id="rId2668" xr:uid="{3779864D-5A31-904B-8709-79D09218D274}"/>
    <hyperlink ref="J1813" r:id="rId2669" xr:uid="{042013EF-6C30-F442-91F4-3FDE6DDA4EC2}"/>
    <hyperlink ref="J1814" r:id="rId2670" xr:uid="{CEC91E13-95BA-7542-B8E7-98CA7DC9793B}"/>
    <hyperlink ref="W1814" r:id="rId2671" xr:uid="{66795745-3CEF-EA4E-8124-29E9A358F18E}"/>
    <hyperlink ref="J1815" r:id="rId2672" xr:uid="{AA77A0B3-D060-AF4E-AFAB-F87AF0BD10B6}"/>
    <hyperlink ref="W1815" r:id="rId2673" xr:uid="{F567A935-2AEF-9C4B-9219-C80111E37C6A}"/>
    <hyperlink ref="J1816" r:id="rId2674" xr:uid="{B0B57227-B829-F74C-8FE9-05018C43B2F1}"/>
    <hyperlink ref="J1817" r:id="rId2675" xr:uid="{FE6F927D-717E-3A4E-B683-015384251656}"/>
    <hyperlink ref="J1818" r:id="rId2676" xr:uid="{7979F3DF-3AEC-754F-8289-9B1ACFEE4DBA}"/>
    <hyperlink ref="AG1818" r:id="rId2677" xr:uid="{1D854976-FBAA-C041-ADA8-3CC12CDFAAA2}"/>
    <hyperlink ref="J1819" r:id="rId2678" xr:uid="{3CFE92EC-0D63-664A-ACAB-14371E6B3EA0}"/>
    <hyperlink ref="J1820" r:id="rId2679" xr:uid="{0ED9C349-0F8F-6D45-9039-3B23CB9736BF}"/>
    <hyperlink ref="J1821" r:id="rId2680" xr:uid="{3190B91D-EEE1-7E42-80EC-05B99A8F0F8D}"/>
    <hyperlink ref="W1821" r:id="rId2681" xr:uid="{14406981-2B6A-D045-A640-804473380F7F}"/>
    <hyperlink ref="J1822" r:id="rId2682" xr:uid="{3C9E9C8F-70C4-054A-87D4-D357C8C5E774}"/>
    <hyperlink ref="J1823" r:id="rId2683" xr:uid="{A29563C5-B683-B149-BCBA-7BD501F98815}"/>
    <hyperlink ref="W1823" r:id="rId2684" xr:uid="{1E8E8066-C12C-1247-864B-749F57948888}"/>
    <hyperlink ref="J1824" r:id="rId2685" xr:uid="{8299C4D3-0323-5D4C-BF39-A8AB48E5E9C5}"/>
    <hyperlink ref="J1825" r:id="rId2686" xr:uid="{B9DAA1D2-BDAA-654A-ABF7-4B193537B3AC}"/>
    <hyperlink ref="W1825" r:id="rId2687" xr:uid="{CEB50D9B-0907-7B41-B6E6-D2364EAAF399}"/>
    <hyperlink ref="J1826" r:id="rId2688" xr:uid="{C7A34EDA-0EF0-1249-8A92-538A796B2923}"/>
    <hyperlink ref="W1826" r:id="rId2689" xr:uid="{845B7EAA-F058-3C45-87EA-282B72987CA8}"/>
    <hyperlink ref="J1827" r:id="rId2690" xr:uid="{FA09A110-6A56-6348-8973-FC166DC96A31}"/>
    <hyperlink ref="W1827" r:id="rId2691" xr:uid="{1A025668-CB72-B544-8629-46631BF6AE57}"/>
    <hyperlink ref="J1828" r:id="rId2692" xr:uid="{6022F357-3E5A-E145-A9AD-BDF1FDD2583B}"/>
    <hyperlink ref="J1829" r:id="rId2693" xr:uid="{E52CFEC8-F7E0-C744-9433-0BAE36A306AC}"/>
    <hyperlink ref="J1830" r:id="rId2694" xr:uid="{82FF17AC-0C0F-C549-9C4F-726CBDDF4A4F}"/>
    <hyperlink ref="J1831" r:id="rId2695" xr:uid="{3495ECE2-9593-6A47-B1A4-358F9EEA73E1}"/>
    <hyperlink ref="J1832" r:id="rId2696" xr:uid="{0943D7AC-7521-734A-8B7F-8139AD7B17D9}"/>
    <hyperlink ref="W1832" r:id="rId2697" xr:uid="{7EE4DD56-5EB5-B54D-A2E2-C809790F4AE8}"/>
    <hyperlink ref="J1833" r:id="rId2698" xr:uid="{C00BBE13-5D6F-D34C-BA9E-161ECA92C61D}"/>
    <hyperlink ref="W1833" r:id="rId2699" xr:uid="{AFBED144-115C-9D45-B5D8-3742EF5B7B33}"/>
    <hyperlink ref="J1834" r:id="rId2700" xr:uid="{F776A2ED-0187-464D-B47D-CFAD992F73A3}"/>
    <hyperlink ref="J1835" r:id="rId2701" xr:uid="{929EF342-0079-D044-8786-2F8C6BDB7A93}"/>
    <hyperlink ref="W1835" r:id="rId2702" xr:uid="{FC01F550-072D-2048-A32F-111C7E3EAE20}"/>
    <hyperlink ref="J1836" r:id="rId2703" xr:uid="{A3A73659-A7D3-3D43-8EA8-A91783376540}"/>
    <hyperlink ref="J1837" r:id="rId2704" xr:uid="{D0C457C9-6F51-0641-8720-3E40FF4D3707}"/>
    <hyperlink ref="U1837" r:id="rId2705" xr:uid="{3BDE291D-A4F2-F247-BCE6-767109A24298}"/>
    <hyperlink ref="J1838" r:id="rId2706" xr:uid="{57A07BC2-1B2D-6345-82FD-FEAC2C93E7B8}"/>
    <hyperlink ref="J1839" r:id="rId2707" xr:uid="{66DFA62C-B4AB-7549-B71C-4BFDC6A3477A}"/>
    <hyperlink ref="W1839" r:id="rId2708" xr:uid="{BFBD3A9D-43B9-7146-A973-E27671B9F4A1}"/>
    <hyperlink ref="J1840" r:id="rId2709" xr:uid="{FFBC875F-AC70-AC46-9CDE-47E019BF816E}"/>
    <hyperlink ref="W1840" r:id="rId2710" xr:uid="{344F66C5-27A9-A54C-8654-5F68E7E086CA}"/>
    <hyperlink ref="J1841" r:id="rId2711" xr:uid="{13511460-E45B-354E-B3F4-A05EF62B30A3}"/>
    <hyperlink ref="W1841" r:id="rId2712" xr:uid="{D8501882-0CD8-CA4C-A77C-E39D9200C161}"/>
    <hyperlink ref="J1842" r:id="rId2713" xr:uid="{02C7F25F-899C-E941-A7DF-815BCB21F3EE}"/>
    <hyperlink ref="W1842" r:id="rId2714" xr:uid="{F105EC61-D8CE-C34C-AFBA-5906526708A9}"/>
    <hyperlink ref="J1843" r:id="rId2715" xr:uid="{F0D9B30C-9B8B-A349-AE2E-2150C735372A}"/>
    <hyperlink ref="W1843" r:id="rId2716" xr:uid="{5ABC973D-BD1E-0D4B-9960-536F52B3C977}"/>
    <hyperlink ref="J1844" r:id="rId2717" xr:uid="{A6112293-E91A-FF44-97D5-7CBD6086AFEA}"/>
    <hyperlink ref="J1845" r:id="rId2718" xr:uid="{FD5EFAC7-54F2-CC4D-8B70-0756A57B29EB}"/>
    <hyperlink ref="J1846" r:id="rId2719" xr:uid="{AA69B06E-4AE8-4547-8E7C-ABEC449B247C}"/>
    <hyperlink ref="J1847" r:id="rId2720" xr:uid="{27636B96-FFC0-644C-BC55-EF1E0CB39627}"/>
    <hyperlink ref="W1847" r:id="rId2721" xr:uid="{8618D75E-5292-2C44-AA46-4DF15E16E34F}"/>
    <hyperlink ref="J1848" r:id="rId2722" xr:uid="{351B487F-1273-A946-B2B4-9D4AEB87E466}"/>
    <hyperlink ref="W1848" r:id="rId2723" xr:uid="{EEA3E6A3-3883-FB49-99F2-BF30B74C4F69}"/>
    <hyperlink ref="J1849" r:id="rId2724" xr:uid="{F6F5CD21-4CD5-874F-AF20-DB4383EAB665}"/>
    <hyperlink ref="W1849" r:id="rId2725" xr:uid="{F9B7C900-EAA1-C348-BB8F-7A701D414177}"/>
    <hyperlink ref="J1850" r:id="rId2726" xr:uid="{98A2417B-262F-A74A-954F-22A854DC9E4F}"/>
    <hyperlink ref="W1850" r:id="rId2727" xr:uid="{B33E5334-B716-234B-BF6F-9124245389A1}"/>
    <hyperlink ref="J1851" r:id="rId2728" xr:uid="{D42FA32D-CCDE-F148-9C4D-6D74E271F519}"/>
    <hyperlink ref="W1851" r:id="rId2729" xr:uid="{C495CA2B-485C-3840-9447-BFC403BF3861}"/>
    <hyperlink ref="J1852" r:id="rId2730" xr:uid="{B5FBA1B7-5CAE-8349-B7A1-499B97DE3118}"/>
    <hyperlink ref="W1852" r:id="rId2731" xr:uid="{7EBA0931-FEB8-C64D-86FE-D5549CAAC952}"/>
    <hyperlink ref="J1853" r:id="rId2732" xr:uid="{F503D865-5832-9D42-A205-84200BB83A23}"/>
    <hyperlink ref="W1853" r:id="rId2733" xr:uid="{E4668444-0ACE-8E44-88ED-CCD76E9CA9AB}"/>
    <hyperlink ref="J1854" r:id="rId2734" xr:uid="{4BE87F51-31C0-7645-93EC-0E22D9406520}"/>
    <hyperlink ref="W1854" r:id="rId2735" xr:uid="{ED614EC1-44FA-494C-AFDD-94CAA3E26360}"/>
    <hyperlink ref="J1855" r:id="rId2736" xr:uid="{B5A09D63-1E51-E94F-8FCA-1D2B554890FB}"/>
    <hyperlink ref="W1855" r:id="rId2737" xr:uid="{F38ABEBF-A4FC-3447-AD80-4157A82F509F}"/>
    <hyperlink ref="J1856" r:id="rId2738" xr:uid="{50CE1231-81C4-D549-A10F-D2F13653CEF8}"/>
    <hyperlink ref="J1857" r:id="rId2739" xr:uid="{778AC685-19C4-9241-A1C8-ADB550D39CC9}"/>
    <hyperlink ref="W1857" r:id="rId2740" xr:uid="{11327219-5790-D84A-AC6F-8A06A06D01B5}"/>
    <hyperlink ref="J1858" r:id="rId2741" xr:uid="{068A7A9A-CE5F-D14B-86FB-3483186F99A8}"/>
    <hyperlink ref="W1858" r:id="rId2742" xr:uid="{6EF08D4F-96B7-BB43-86CD-2C8063118217}"/>
    <hyperlink ref="J1859" r:id="rId2743" xr:uid="{7D89B6CA-AAA6-C043-B31E-1DB6E131AE98}"/>
    <hyperlink ref="W1859" r:id="rId2744" xr:uid="{078A96E7-84F2-6643-8117-83F3D004AEE3}"/>
    <hyperlink ref="J1860" r:id="rId2745" xr:uid="{4576478D-6BB7-824E-A71F-AA733A15D838}"/>
    <hyperlink ref="W1860" r:id="rId2746" xr:uid="{0CAAD10E-39C6-D848-B980-3806DA88DB4C}"/>
    <hyperlink ref="J1861" r:id="rId2747" xr:uid="{6DD86E18-6098-B84F-AEC1-30137551C049}"/>
    <hyperlink ref="W1861" r:id="rId2748" xr:uid="{D41BA4E3-E209-2940-A79E-26CE6DADFD07}"/>
    <hyperlink ref="J1862" r:id="rId2749" xr:uid="{52D3CA19-E6CB-0D4B-B9A3-988529F3BD78}"/>
    <hyperlink ref="W1862" r:id="rId2750" xr:uid="{465A5240-AD93-3346-88F9-CDE53AC6BA37}"/>
    <hyperlink ref="J1863" r:id="rId2751" xr:uid="{BC760A44-DF9D-ED4B-86C8-B2CFE83B2075}"/>
    <hyperlink ref="W1863" r:id="rId2752" xr:uid="{6EB5C835-BA52-9548-B968-F9C489BAE72B}"/>
    <hyperlink ref="J1864" r:id="rId2753" xr:uid="{FD837A1D-6349-F849-84FB-ABD0D8B4BDE7}"/>
    <hyperlink ref="W1864" r:id="rId2754" xr:uid="{E4A10C00-DFFB-C244-B069-7FB970548D9B}"/>
    <hyperlink ref="J1865" r:id="rId2755" xr:uid="{0521E4EA-6C19-464E-B568-6E98B3C8FA41}"/>
    <hyperlink ref="J1866" r:id="rId2756" xr:uid="{56E1F911-9490-B04B-8B3A-645EA31A6293}"/>
    <hyperlink ref="W1866" r:id="rId2757" xr:uid="{F4629F3C-37F8-064C-B372-B08119F73D44}"/>
    <hyperlink ref="J1867" r:id="rId2758" xr:uid="{CB67D37E-E69D-6242-8BB5-E0CD4B3AD190}"/>
    <hyperlink ref="W1867" r:id="rId2759" xr:uid="{631F5322-0254-2F40-96CD-93B9FAB93FB6}"/>
    <hyperlink ref="J1868" r:id="rId2760" xr:uid="{AE3AC9A6-A898-FD46-AFC2-6AA1146F6F04}"/>
    <hyperlink ref="W1868" r:id="rId2761" xr:uid="{2E49C4E8-C4FE-7240-8A2B-8C13F9AAC9C0}"/>
    <hyperlink ref="J1869" r:id="rId2762" xr:uid="{6A6841E3-0768-2F44-B831-455B62CC823E}"/>
    <hyperlink ref="W1869" r:id="rId2763" xr:uid="{DABC6571-FFE7-6E4B-839E-CBDA084967E1}"/>
    <hyperlink ref="J1870" r:id="rId2764" xr:uid="{D67319C3-9C7C-6745-9F9F-819C09A5BD9F}"/>
    <hyperlink ref="W1870" r:id="rId2765" xr:uid="{F5E1558A-BEF6-9A42-BD4E-62A4CD975287}"/>
    <hyperlink ref="J1871" r:id="rId2766" xr:uid="{4D39FFAE-CB88-1F4A-A0BC-7E5DF267F0BB}"/>
    <hyperlink ref="W1871" r:id="rId2767" xr:uid="{A51A8408-F630-934F-B34F-13BDA2D2027C}"/>
    <hyperlink ref="J1872" r:id="rId2768" xr:uid="{0478F95E-14A1-3144-B36C-3CF3E52DE9AE}"/>
    <hyperlink ref="W1872" r:id="rId2769" xr:uid="{BDB710A0-7640-8E48-83F6-1E8E92F45CDE}"/>
    <hyperlink ref="J1873" r:id="rId2770" xr:uid="{54CA36D7-2102-C14E-B6DD-962C5588CC1C}"/>
    <hyperlink ref="W1873" r:id="rId2771" xr:uid="{1697D756-2D6E-8E45-ABEA-FA591B3CE0E5}"/>
    <hyperlink ref="J1874" r:id="rId2772" xr:uid="{DAFA1A66-1AD4-6843-93E5-B28057B55946}"/>
    <hyperlink ref="W1874" r:id="rId2773" xr:uid="{D1D9DFD7-F898-7E49-93B0-EE73267E077F}"/>
    <hyperlink ref="J1875" r:id="rId2774" xr:uid="{51F3DA5B-7BA9-B543-8B6D-323F0EC5E0BD}"/>
    <hyperlink ref="W1875" r:id="rId2775" xr:uid="{D49E8564-AC5B-2843-9176-15F12F1B8C8D}"/>
    <hyperlink ref="AG1875" r:id="rId2776" xr:uid="{2DCAF7F3-DD4F-024F-943C-C8CC3CF19228}"/>
    <hyperlink ref="J1876" r:id="rId2777" xr:uid="{11CA7406-9E02-284D-8B2F-FE9CFDCC41C0}"/>
    <hyperlink ref="W1876" r:id="rId2778" xr:uid="{66B7ACED-3895-034E-ABAD-DCC429C3191D}"/>
    <hyperlink ref="J1877" r:id="rId2779" xr:uid="{43AF33F1-FD7E-F449-9F2B-4859DE7A072A}"/>
    <hyperlink ref="W1877" r:id="rId2780" xr:uid="{5AC89966-BF5F-4544-9203-2682FD74738A}"/>
    <hyperlink ref="J1878" r:id="rId2781" xr:uid="{5AED4919-EAAE-2745-9C44-6BCB716E5A56}"/>
    <hyperlink ref="W1878" r:id="rId2782" xr:uid="{60895FDA-92E8-4243-9D72-4E59030388E7}"/>
    <hyperlink ref="J1879" r:id="rId2783" xr:uid="{14BAA5F0-E7FF-B644-AA59-08209B44869A}"/>
    <hyperlink ref="J1880" r:id="rId2784" xr:uid="{A8E15C27-66C8-4F41-9ACA-6870E7E4FE4C}"/>
    <hyperlink ref="W1880" r:id="rId2785" xr:uid="{32E2ECA0-C78A-B547-85E1-47159F592803}"/>
    <hyperlink ref="J1881" r:id="rId2786" xr:uid="{DA51AB51-D966-734C-9306-14483976A61C}"/>
    <hyperlink ref="W1881" r:id="rId2787" xr:uid="{6D4C02C9-2F25-DB40-9F3A-793BF433C21C}"/>
    <hyperlink ref="J1882" r:id="rId2788" xr:uid="{057EAF77-D833-4F46-B3F3-194C7349E066}"/>
    <hyperlink ref="W1882" r:id="rId2789" xr:uid="{89409737-9F85-064F-ADBC-0264DEB342F1}"/>
    <hyperlink ref="J1883" r:id="rId2790" xr:uid="{5038AD26-31A6-194B-8FAC-A550E45C1505}"/>
    <hyperlink ref="J1884" r:id="rId2791" xr:uid="{BD266CB5-3949-954F-A4C1-C123F8902C98}"/>
    <hyperlink ref="W1884" r:id="rId2792" xr:uid="{F1CF2415-FA8F-6445-ADDE-82A8D1C5DE94}"/>
    <hyperlink ref="J1885" r:id="rId2793" xr:uid="{DE7788A5-E0F2-6647-A476-CA427C30A2E5}"/>
    <hyperlink ref="J1886" r:id="rId2794" xr:uid="{557C52C0-5C6A-6F48-99AE-3F30E188E1B9}"/>
    <hyperlink ref="W1886" r:id="rId2795" xr:uid="{3A1119CA-A3B4-4D46-9D7D-D33144C86BEA}"/>
    <hyperlink ref="J1887" r:id="rId2796" xr:uid="{A58DF557-28C0-6142-BB42-5A02D1CC112B}"/>
    <hyperlink ref="W1887" r:id="rId2797" xr:uid="{A9B72B1D-8DD5-8347-A96F-B47503B03305}"/>
    <hyperlink ref="J1888" r:id="rId2798" xr:uid="{38B8A2EE-B589-2847-8B8D-57EFF8FB0CE0}"/>
    <hyperlink ref="J1889" r:id="rId2799" xr:uid="{B63897AD-5311-A24E-8C5B-49AD54996120}"/>
    <hyperlink ref="J1890" r:id="rId2800" xr:uid="{521CC8CC-048B-5640-90FA-827217C70728}"/>
    <hyperlink ref="J1891" r:id="rId2801" xr:uid="{D497BFD0-C0FC-354C-B487-3C905126F458}"/>
    <hyperlink ref="J1892" r:id="rId2802" xr:uid="{9F2ECA03-B2D5-C44F-ABD0-828863641C35}"/>
    <hyperlink ref="J1893" r:id="rId2803" xr:uid="{1647DD9F-EF5F-8646-B85E-DFF53558270A}"/>
    <hyperlink ref="J1894" r:id="rId2804" xr:uid="{783DBDCC-D905-8340-9491-ADE66F904318}"/>
    <hyperlink ref="J1895" r:id="rId2805" xr:uid="{07B6E11D-C3FA-F644-9CFE-A72BD657B251}"/>
    <hyperlink ref="O1895" r:id="rId2806" xr:uid="{B645C2C3-E80D-F348-BF8D-9098ED112E0A}"/>
    <hyperlink ref="J1896" r:id="rId2807" xr:uid="{E2FE2840-773A-B743-B905-12E863680D7C}"/>
    <hyperlink ref="J1897" r:id="rId2808" xr:uid="{D7F0BC6B-FEB8-3D4E-94CE-F3A5CD26399A}"/>
    <hyperlink ref="J1898" r:id="rId2809" xr:uid="{38FFC06B-CBD6-4E4D-BE02-1B2D6EF466C5}"/>
    <hyperlink ref="J1899" r:id="rId2810" xr:uid="{B9DB849F-676D-9B44-808D-89EF0A252F75}"/>
    <hyperlink ref="J1900" r:id="rId2811" xr:uid="{905767BA-32F7-6542-9E14-7DC79299DD49}"/>
    <hyperlink ref="J1901" r:id="rId2812" xr:uid="{E7AE4A04-76C5-0345-9872-A3DA762578FB}"/>
    <hyperlink ref="J1902" r:id="rId2813" xr:uid="{D9FD6155-2D5B-4B46-9AF0-800CC19F2636}"/>
    <hyperlink ref="J1903" r:id="rId2814" xr:uid="{107CC5F5-4C15-B945-BA22-283393C2B1E7}"/>
    <hyperlink ref="J1904" r:id="rId2815" xr:uid="{EC6E3DB4-84A5-9C45-B457-288C9B9AC0E0}"/>
    <hyperlink ref="J1905" r:id="rId2816" xr:uid="{35A53BDE-F5D4-8445-8A90-55294592A84B}"/>
    <hyperlink ref="J1906" r:id="rId2817" xr:uid="{18AC4601-6E99-E243-BACE-942FC764CFFF}"/>
    <hyperlink ref="J1907" r:id="rId2818" xr:uid="{98386AC6-AF3F-274A-97FA-C3D5EB1EA035}"/>
    <hyperlink ref="J1908" r:id="rId2819" xr:uid="{BC3B8121-D98D-E74A-BEBC-BCFA16814927}"/>
    <hyperlink ref="J1909" r:id="rId2820" xr:uid="{A0B82BD0-E3ED-4E4A-9A21-E723A4434294}"/>
    <hyperlink ref="J1910" r:id="rId2821" xr:uid="{86BCEAF5-8BE8-8045-917C-51CDA98D2A1C}"/>
    <hyperlink ref="J1911" r:id="rId2822" xr:uid="{783A15F1-8D1F-994E-885C-824030EC4590}"/>
    <hyperlink ref="W1911" r:id="rId2823" xr:uid="{23DE3588-EE01-6F43-A43A-4D9B83D02B48}"/>
    <hyperlink ref="J1912" r:id="rId2824" xr:uid="{C83E96CF-80FC-104A-BE04-4ACA2805458A}"/>
    <hyperlink ref="W1912" r:id="rId2825" xr:uid="{65794C63-797D-0847-AB74-5206DB9E1E1D}"/>
    <hyperlink ref="J1913" r:id="rId2826" xr:uid="{02DA5308-04D3-2D4D-9330-59E2CDEEA4BC}"/>
    <hyperlink ref="W1913" r:id="rId2827" xr:uid="{83452F74-DD0F-9945-8A61-4CDCFB8511C1}"/>
    <hyperlink ref="J1914" r:id="rId2828" xr:uid="{3FC46921-E672-C74D-99C0-F0202997FA68}"/>
    <hyperlink ref="W1914" r:id="rId2829" xr:uid="{757DAD1B-C2B2-A544-8B59-9227D0316002}"/>
    <hyperlink ref="J1915" r:id="rId2830" xr:uid="{1867E520-1DE2-2841-B633-3B105DD4E9D1}"/>
    <hyperlink ref="J1916" r:id="rId2831" xr:uid="{D80B33C8-7ACD-774F-86C2-BD03ABDAF115}"/>
    <hyperlink ref="W1916" r:id="rId2832" xr:uid="{3C99017D-4C19-E746-B248-8BBE5DFC7E34}"/>
    <hyperlink ref="J1917" r:id="rId2833" xr:uid="{72805E90-7074-DE45-8C26-4DC6841820D9}"/>
    <hyperlink ref="W1917" r:id="rId2834" xr:uid="{DFB5C2C8-F462-7D4E-A26C-CDB198539EF0}"/>
    <hyperlink ref="J1918" r:id="rId2835" xr:uid="{3766E5D5-9FFD-004E-A2B2-A744E47BBE4B}"/>
    <hyperlink ref="W1918" r:id="rId2836" xr:uid="{364BBD02-5EF3-644D-B655-BDA633E44949}"/>
    <hyperlink ref="J1919" r:id="rId2837" xr:uid="{E6FD1FAB-D324-2F4D-BC4C-73DD2CD4E31A}"/>
    <hyperlink ref="J1920" r:id="rId2838" xr:uid="{DD9DCA76-D5EF-4C44-907F-D03598940066}"/>
    <hyperlink ref="W1920" r:id="rId2839" xr:uid="{8B75F125-3C07-EA44-9596-24FC41393812}"/>
    <hyperlink ref="J1921" r:id="rId2840" xr:uid="{38B2DA6B-CD6D-5B46-9579-E03C688063A6}"/>
    <hyperlink ref="W1921" r:id="rId2841" xr:uid="{09BD1254-F9F0-3742-8E43-156C669B5A07}"/>
    <hyperlink ref="J1922" r:id="rId2842" xr:uid="{AEE995BE-F1F7-4B43-9E5E-2CECC6CB5AA8}"/>
    <hyperlink ref="J1923" r:id="rId2843" xr:uid="{8CC983EF-DDBE-AC4B-A11F-27842F4D1503}"/>
    <hyperlink ref="W1923" r:id="rId2844" xr:uid="{CA0A6239-A962-6A46-9913-2F79070F92B9}"/>
    <hyperlink ref="J1924" r:id="rId2845" xr:uid="{0898301D-2597-E24E-A865-8DF6DE67A558}"/>
    <hyperlink ref="J1925" r:id="rId2846" xr:uid="{9E2E9179-2986-6E47-AD93-E88EE0084CA1}"/>
    <hyperlink ref="W1925" r:id="rId2847" xr:uid="{CAA57F04-059F-BA43-93C7-B1CCCB6894CF}"/>
    <hyperlink ref="J1926" r:id="rId2848" xr:uid="{7D2C02D3-DBA9-ED48-A490-EDBAC42131AA}"/>
    <hyperlink ref="W1926" r:id="rId2849" xr:uid="{37477226-D42A-3244-8081-D0AFB535FC2F}"/>
    <hyperlink ref="J1927" r:id="rId2850" xr:uid="{3216F7EF-F15A-014A-A6D6-C19DC2B45803}"/>
    <hyperlink ref="W1927" r:id="rId2851" xr:uid="{081F74AB-07A4-C443-AB56-075B96EE3A94}"/>
    <hyperlink ref="J1928" r:id="rId2852" xr:uid="{CABA128E-D0F0-884E-8498-D9D05070E657}"/>
    <hyperlink ref="J1929" r:id="rId2853" xr:uid="{97D87A7D-8C9B-7148-9D15-3981D7DF6310}"/>
    <hyperlink ref="W1929" r:id="rId2854" xr:uid="{912A3EDB-9452-8843-9B41-FA0EC35C23B5}"/>
    <hyperlink ref="J1930" r:id="rId2855" xr:uid="{75FACA6A-83E7-B84B-A37C-553D2A55B418}"/>
    <hyperlink ref="J1931" r:id="rId2856" xr:uid="{63D3ECA8-4B47-4944-AE7C-739A2272518D}"/>
    <hyperlink ref="J1932" r:id="rId2857" xr:uid="{E7907EA1-ED71-1347-9AA4-874764E70949}"/>
    <hyperlink ref="J1933" r:id="rId2858" xr:uid="{C3265502-706F-4544-8404-B8FCCE26C790}"/>
    <hyperlink ref="J1934" r:id="rId2859" xr:uid="{8401BFA2-9CF3-0E40-B90D-DC0640BFCA57}"/>
    <hyperlink ref="W1934" r:id="rId2860" xr:uid="{70C6F5CE-F815-C843-A53C-B5EA34ED69D8}"/>
    <hyperlink ref="J1935" r:id="rId2861" xr:uid="{ED8A34D8-62A7-524B-8044-93E667853C44}"/>
    <hyperlink ref="J1936" r:id="rId2862" xr:uid="{FB0A5AF6-9F4E-C946-8B95-18D2AB9661BD}"/>
    <hyperlink ref="W1936" r:id="rId2863" xr:uid="{F51A8771-2EF9-C446-9ED6-44BF3B24DC4F}"/>
    <hyperlink ref="AH1936" r:id="rId2864" xr:uid="{B36EA766-F7AB-234F-ACA4-ECAF78FEFD01}"/>
    <hyperlink ref="J1937" r:id="rId2865" xr:uid="{359A374A-1F25-E843-8F3E-4AD7909E4FDE}"/>
    <hyperlink ref="W1937" r:id="rId2866" xr:uid="{69E663F3-50E4-BC4C-AD60-A6A9774BC0D1}"/>
    <hyperlink ref="J1938" r:id="rId2867" xr:uid="{48DBF71B-72DA-C14E-BD41-9CD1713C299B}"/>
    <hyperlink ref="J1939" r:id="rId2868" xr:uid="{5D6286A0-0F81-FC43-8306-667DAB6EE357}"/>
    <hyperlink ref="W1939" r:id="rId2869" xr:uid="{71E2AEB1-5B75-734E-B902-BC2FB469A8C8}"/>
    <hyperlink ref="J1940" r:id="rId2870" xr:uid="{B5CD12B1-D36D-FB4F-81E9-C14110198500}"/>
    <hyperlink ref="W1940" r:id="rId2871" xr:uid="{1C3D12B7-9E67-7A42-8986-50DACAF60DFD}"/>
    <hyperlink ref="J1941" r:id="rId2872" xr:uid="{4A9BBA47-5606-2344-AE32-AA30AFFA9C31}"/>
    <hyperlink ref="W1941" r:id="rId2873" xr:uid="{EFE11AC9-8DC4-F147-A94F-5C0377BF1769}"/>
    <hyperlink ref="J1942" r:id="rId2874" xr:uid="{DC3F1A09-EFB9-8745-81E9-CB6700896DEA}"/>
    <hyperlink ref="J1943" r:id="rId2875" xr:uid="{D1755737-1E36-9941-A047-8C50A6D4092A}"/>
    <hyperlink ref="W1943" r:id="rId2876" xr:uid="{D2049211-A7A4-7E46-87FE-C6C16D5334C1}"/>
    <hyperlink ref="J1944" r:id="rId2877" xr:uid="{D1F96927-B626-0D49-9927-F480C8DD9724}"/>
    <hyperlink ref="J1945" r:id="rId2878" xr:uid="{A9200DAC-9CA0-6C42-9E31-DFA327C5DBA7}"/>
    <hyperlink ref="J1946" r:id="rId2879" xr:uid="{EDDA1B2B-8F1F-7E46-98B2-48545EC5D209}"/>
    <hyperlink ref="J1947" r:id="rId2880" xr:uid="{55956D09-AD3E-654E-BE2C-A266E845785B}"/>
    <hyperlink ref="J1948" r:id="rId2881" xr:uid="{5CAC0CB9-B327-B841-BE92-A3A7E24328FD}"/>
    <hyperlink ref="J1949" r:id="rId2882" xr:uid="{F83A395B-CA5D-2D46-BABA-662605F5FB0C}"/>
    <hyperlink ref="J1950" r:id="rId2883" xr:uid="{2A39195B-038C-0E4B-97FF-854947A2D000}"/>
    <hyperlink ref="W1950" r:id="rId2884" xr:uid="{657AFC75-A9BE-D54A-B784-80BEFAE55A0F}"/>
    <hyperlink ref="J1951" r:id="rId2885" xr:uid="{78046754-4CD7-1843-ACD9-E549DB49570A}"/>
    <hyperlink ref="J1952" r:id="rId2886" xr:uid="{9EED10BD-5F0E-B543-96E2-DD690DE53F1C}"/>
    <hyperlink ref="O1952" r:id="rId2887" xr:uid="{4A24F27F-539F-9D43-AD7F-18CBEE456E0E}"/>
    <hyperlink ref="J1953" r:id="rId2888" xr:uid="{CD64AF6D-E64F-4E49-821F-2333F6D6810A}"/>
    <hyperlink ref="W1953" r:id="rId2889" xr:uid="{CCA47E37-2F78-A842-8914-6C72029DFDBE}"/>
    <hyperlink ref="J1954" r:id="rId2890" xr:uid="{BC23F539-9CF9-B144-BD96-FFAA91127A30}"/>
    <hyperlink ref="W1954" r:id="rId2891" xr:uid="{2D067A0F-592B-2247-9C55-1378FE2A9602}"/>
    <hyperlink ref="J1955" r:id="rId2892" xr:uid="{A14883A9-476A-654F-A9FA-09F40DD4CA53}"/>
    <hyperlink ref="W1955" r:id="rId2893" xr:uid="{1D023F1A-8494-A843-A699-A22C56B4AFFD}"/>
    <hyperlink ref="J1956" r:id="rId2894" xr:uid="{2BA8B16B-BAC5-7F46-A5F0-2BDE3AA87A4E}"/>
    <hyperlink ref="W1956" r:id="rId2895" xr:uid="{0FB0F1D8-21A6-D043-8024-C02FCDA15AF4}"/>
    <hyperlink ref="J1957" r:id="rId2896" xr:uid="{D8EA8D23-72C6-AE46-BDC5-FE9404C52EE7}"/>
    <hyperlink ref="W1957" r:id="rId2897" xr:uid="{836F5916-D457-1049-8CCB-840C9B869084}"/>
    <hyperlink ref="J1958" r:id="rId2898" xr:uid="{C338139D-2B9D-1343-9F20-549BF1D786B2}"/>
    <hyperlink ref="W1958" r:id="rId2899" xr:uid="{333C5D66-428D-1741-9385-DFED740C1562}"/>
    <hyperlink ref="J1959" r:id="rId2900" xr:uid="{5A14BA9C-AAB8-0D4C-8718-53652E6DAAB5}"/>
    <hyperlink ref="J1960" r:id="rId2901" xr:uid="{AE3F2B70-FD2D-844C-A0C0-A97FC28949CC}"/>
    <hyperlink ref="J1961" r:id="rId2902" xr:uid="{1AEDEF5B-6EBF-4544-A47E-980897565D11}"/>
    <hyperlink ref="W1961" r:id="rId2903" xr:uid="{3F84EACD-1981-534C-97CE-EB427E1E80ED}"/>
    <hyperlink ref="J1962" r:id="rId2904" xr:uid="{EBC46054-FEFD-074D-8A93-8126C0FB0A1C}"/>
    <hyperlink ref="W1962" r:id="rId2905" xr:uid="{5B20F14A-FEF8-3440-8CD9-D41D90ABEDAB}"/>
    <hyperlink ref="J1963" r:id="rId2906" xr:uid="{099673B6-81B7-694B-AD1F-C391B19B190F}"/>
    <hyperlink ref="J1964" r:id="rId2907" xr:uid="{3DFBE9CC-000C-5744-B18E-3063AE507DDB}"/>
    <hyperlink ref="W1964" r:id="rId2908" xr:uid="{E123CC3F-0088-524A-9B5B-51D0B237740A}"/>
    <hyperlink ref="J1965" r:id="rId2909" xr:uid="{35F40535-1D05-B94F-8B7D-1D62BA664321}"/>
    <hyperlink ref="J1966" r:id="rId2910" xr:uid="{4B9D719E-825B-A84C-AB6E-0B34AC07B7FF}"/>
    <hyperlink ref="W1966" r:id="rId2911" xr:uid="{8C786EF5-9A1A-6744-B74E-7AB24ACDFD65}"/>
    <hyperlink ref="J1967" r:id="rId2912" xr:uid="{3D92686A-ECA2-2847-9829-FC332025448D}"/>
    <hyperlink ref="AG1967" r:id="rId2913" xr:uid="{9E3D5DB2-A77B-CA4B-A266-34042C8CE093}"/>
    <hyperlink ref="J1968" r:id="rId2914" xr:uid="{EDC69C30-AEC0-0249-8476-5493CB2D5E4B}"/>
    <hyperlink ref="J1969" r:id="rId2915" xr:uid="{F0443FC2-4DD8-C542-AFFA-6160D6F77549}"/>
    <hyperlink ref="J1970" r:id="rId2916" xr:uid="{970C73D3-2A1A-F343-8263-F2F5871D33DD}"/>
    <hyperlink ref="W1970" r:id="rId2917" xr:uid="{AE4A0DA5-A4E3-804B-AB92-E2C841157F06}"/>
    <hyperlink ref="J1971" r:id="rId2918" xr:uid="{54A19B22-5206-1D43-A1FF-C4344315FF4A}"/>
    <hyperlink ref="J1972" r:id="rId2919" xr:uid="{3DF859FC-DC56-0548-8F8E-4CC8A0A50964}"/>
    <hyperlink ref="W1972" r:id="rId2920" xr:uid="{DE323348-9FFE-0C4A-BBAD-43FFCC9506AD}"/>
    <hyperlink ref="J1973" r:id="rId2921" xr:uid="{25AADCE4-4F1E-984D-8E97-A8B79CB7F7D6}"/>
    <hyperlink ref="W1973" r:id="rId2922" xr:uid="{9AA57C5C-9DFF-394C-8F16-EAA1FD755D3B}"/>
    <hyperlink ref="J1974" r:id="rId2923" xr:uid="{AB2EDBCC-777E-D04E-BEF2-30E5FF2197C3}"/>
    <hyperlink ref="J1975" r:id="rId2924" xr:uid="{D892DC79-8F6D-4740-AAF0-D2875360A3CA}"/>
    <hyperlink ref="J1976" r:id="rId2925" xr:uid="{10E818C9-7367-E44E-B0ED-2896D6C1D3E2}"/>
    <hyperlink ref="J1977" r:id="rId2926" xr:uid="{D829FB5A-252F-5543-AA6D-33E92D969C6E}"/>
    <hyperlink ref="W1977" r:id="rId2927" xr:uid="{7B9D877D-80CE-2844-89FD-B9BBD63641DC}"/>
    <hyperlink ref="J1978" r:id="rId2928" xr:uid="{ABACCEE0-253A-1949-801B-0C9877E8B82A}"/>
    <hyperlink ref="J1979" r:id="rId2929" xr:uid="{B816BA3D-903F-9F49-94ED-F2AC7209CE4E}"/>
    <hyperlink ref="W1979" r:id="rId2930" xr:uid="{44012C3B-8148-744F-895C-DB6C3B590702}"/>
    <hyperlink ref="J1980" r:id="rId2931" xr:uid="{F4100115-7C54-294F-A8A5-AE638103F9E9}"/>
    <hyperlink ref="AG1980" r:id="rId2932" xr:uid="{04234655-8CCD-5944-BC4D-9F1F97A2C314}"/>
    <hyperlink ref="J1981" r:id="rId2933" xr:uid="{D132A931-4402-EC4C-99B2-71B1DBF6E145}"/>
    <hyperlink ref="J1982" r:id="rId2934" xr:uid="{EBDAD73A-2C67-A34E-A851-1EC8AC2C70E2}"/>
    <hyperlink ref="W1982" r:id="rId2935" xr:uid="{9E977E1C-71F9-0546-B30E-ABDDCD4AF485}"/>
    <hyperlink ref="J1983" r:id="rId2936" xr:uid="{CF895ABD-CD8E-2646-8E9A-8807A9FA5E56}"/>
    <hyperlink ref="W1983" r:id="rId2937" xr:uid="{3A36BDD6-4999-C44D-B936-841F64C35D59}"/>
    <hyperlink ref="J1984" r:id="rId2938" xr:uid="{EAE44AB1-C9FB-E248-B8C8-443237F726E7}"/>
    <hyperlink ref="W1984" r:id="rId2939" xr:uid="{EEB00872-5B2C-914D-9A44-E40DDAD56313}"/>
    <hyperlink ref="J1985" r:id="rId2940" xr:uid="{54253A14-33C5-CA43-857E-E8233DB7E1D0}"/>
    <hyperlink ref="J1986" r:id="rId2941" xr:uid="{DC334096-7CEF-6B4A-ADFC-24F5598BD63F}"/>
    <hyperlink ref="W1986" r:id="rId2942" xr:uid="{74E029DE-7E60-A346-8E98-4229A6F06073}"/>
    <hyperlink ref="J1987" r:id="rId2943" xr:uid="{D1B94BD6-D6BA-9D45-9E83-8FF1F6B0C2C2}"/>
    <hyperlink ref="J1988" r:id="rId2944" xr:uid="{110E6447-E44C-124B-A5D0-FAFC0BD24A97}"/>
    <hyperlink ref="W1988" r:id="rId2945" xr:uid="{3957BB21-A0EB-9C47-AB52-26C15F6E5404}"/>
    <hyperlink ref="J1989" r:id="rId2946" xr:uid="{26D540CC-49F8-1241-AF8A-BFA75A323713}"/>
    <hyperlink ref="W1989" r:id="rId2947" xr:uid="{C63A5A18-C3CA-C34D-8A34-4F8718DC3C95}"/>
    <hyperlink ref="J1990" r:id="rId2948" xr:uid="{5EE730EE-13BD-514D-BED6-28CD7B3842F3}"/>
    <hyperlink ref="J1991" r:id="rId2949" xr:uid="{A639512A-A40C-5546-A249-7FD525807AED}"/>
    <hyperlink ref="J1992" r:id="rId2950" xr:uid="{2CB429AD-930F-6C4A-919F-324E13214B91}"/>
    <hyperlink ref="J1993" r:id="rId2951" xr:uid="{86201B75-5A13-8446-A56D-95AF5DDF8EF1}"/>
    <hyperlink ref="J1994" r:id="rId2952" xr:uid="{9A576418-5361-DD48-BA94-EA97779B5660}"/>
    <hyperlink ref="J1995" r:id="rId2953" xr:uid="{5DE1A3E9-F5EC-464F-A55D-EDD2C2E9C82C}"/>
    <hyperlink ref="J1996" r:id="rId2954" xr:uid="{E7522653-E7B7-A441-883A-B9242323DCFC}"/>
    <hyperlink ref="J1997" r:id="rId2955" xr:uid="{F4B11865-83BD-8043-B122-7739E1308A75}"/>
    <hyperlink ref="J1998" r:id="rId2956" xr:uid="{1028931C-A156-EC43-9375-20E72E9D82A0}"/>
    <hyperlink ref="W1998" r:id="rId2957" xr:uid="{4995B82C-61EC-8345-BBBD-F1914BBD2DA8}"/>
    <hyperlink ref="J1999" r:id="rId2958" xr:uid="{6BB934A6-DB60-FD4E-A901-204A8B6B0DEA}"/>
    <hyperlink ref="J2000" r:id="rId2959" xr:uid="{2EE69A39-77AD-514B-A719-ECE72A3070EF}"/>
    <hyperlink ref="J2001" r:id="rId2960" xr:uid="{B7919995-19B8-B64A-BFE2-E4FD8C834BCF}"/>
    <hyperlink ref="J2002" r:id="rId2961" xr:uid="{76796667-6D65-F64A-892D-6E6314ABE390}"/>
    <hyperlink ref="J2003" r:id="rId2962" xr:uid="{75BB968F-7728-9B43-82EF-ABCD149C8E2C}"/>
    <hyperlink ref="J2004" r:id="rId2963" xr:uid="{F5DCC5ED-92E4-D04E-B5A5-82D0B5706B8C}"/>
    <hyperlink ref="J2005" r:id="rId2964" xr:uid="{F166A1F0-B159-1B40-886E-6716B4969A15}"/>
    <hyperlink ref="J2006" r:id="rId2965" xr:uid="{9CCF9FE2-DE12-6048-A02D-9659D445BCF1}"/>
    <hyperlink ref="J2007" r:id="rId2966" xr:uid="{4A2A0DDB-2765-CA4C-B274-5564E412A806}"/>
    <hyperlink ref="J2008" r:id="rId2967" xr:uid="{870948D3-B8F0-CB42-A2FA-49034BECBCF0}"/>
    <hyperlink ref="J2009" r:id="rId2968" xr:uid="{2F9E9CA5-8CF8-114F-8837-688BD4AB0089}"/>
    <hyperlink ref="W2009" r:id="rId2969" xr:uid="{776C736B-0777-044B-B5B6-7D3DDB155774}"/>
    <hyperlink ref="J2010" r:id="rId2970" xr:uid="{3CEE4D49-8CD1-6144-B69D-7EA979B78761}"/>
    <hyperlink ref="J2011" r:id="rId2971" xr:uid="{F4E74DBE-91E8-A041-A233-1C1BBA084F28}"/>
    <hyperlink ref="J2012" r:id="rId2972" xr:uid="{7FC84BFE-5C35-BF4F-AE46-10458A5FB602}"/>
    <hyperlink ref="J2013" r:id="rId2973" xr:uid="{6DCA89BA-D815-224C-A077-F519A21FED26}"/>
    <hyperlink ref="J2014" r:id="rId2974" xr:uid="{765F1B8C-9B8B-6045-935C-C5B7239DED82}"/>
    <hyperlink ref="J2015" r:id="rId2975" xr:uid="{3AE4CB69-D869-D143-AAB8-125A4CF2FF7F}"/>
    <hyperlink ref="J2016" r:id="rId2976" xr:uid="{C279BC27-D1CB-A641-AD64-DFCF17B2C691}"/>
    <hyperlink ref="J2017" r:id="rId2977" xr:uid="{B1CA6C15-8F53-CA47-B824-C0C60ACC0F26}"/>
    <hyperlink ref="J2018" r:id="rId2978" xr:uid="{D24E0C31-12FB-A648-ACF4-A1D293613739}"/>
    <hyperlink ref="J2019" r:id="rId2979" xr:uid="{4D8D204F-666C-8B4F-A41D-D05AC94AEEEA}"/>
    <hyperlink ref="W2019" r:id="rId2980" xr:uid="{56137FEE-C48C-AC4F-B2D8-AD18C065F638}"/>
    <hyperlink ref="J2020" r:id="rId2981" xr:uid="{4A6AB6E9-B029-4142-A7F2-B113E2F46158}"/>
    <hyperlink ref="J2021" r:id="rId2982" xr:uid="{71B141F4-5B03-F54B-A36C-A71789E4B0FF}"/>
    <hyperlink ref="J2022" r:id="rId2983" xr:uid="{D5E484B0-4819-174B-BB50-9FF22956A83E}"/>
    <hyperlink ref="J2023" r:id="rId2984" xr:uid="{C569680F-0F1E-834A-AF65-B049729DD072}"/>
    <hyperlink ref="W2023" r:id="rId2985" xr:uid="{7F6F97F7-0BEE-D54C-B3A4-D4B565549121}"/>
    <hyperlink ref="J2024" r:id="rId2986" xr:uid="{C149C864-5414-8C4F-8CCC-D6E3722E77EB}"/>
    <hyperlink ref="W2024" r:id="rId2987" xr:uid="{E6348DB7-F2DF-E547-A1AE-39E146BCD4E5}"/>
    <hyperlink ref="J2025" r:id="rId2988" xr:uid="{C6217A19-A48F-8E4C-8DE7-790FAB72C820}"/>
    <hyperlink ref="J2026" r:id="rId2989" xr:uid="{3532A7AC-EB7C-9E4A-842E-E338455134D0}"/>
    <hyperlink ref="W2026" r:id="rId2990" xr:uid="{F94F3488-A236-8045-AB07-A1920B4C56E8}"/>
    <hyperlink ref="J2027" r:id="rId2991" xr:uid="{0367E0C6-7420-2547-84AC-5A4E4E6479D1}"/>
    <hyperlink ref="J2028" r:id="rId2992" xr:uid="{F169E049-218E-9348-A2FB-C4C21C2E9AD6}"/>
    <hyperlink ref="J2029" r:id="rId2993" xr:uid="{3ABB5F1B-5FB5-E84D-886A-AA094C6B15F3}"/>
    <hyperlink ref="W2029" r:id="rId2994" xr:uid="{C144F02D-AC07-7340-AB75-BB8523E6E6BA}"/>
    <hyperlink ref="J2030" r:id="rId2995" xr:uid="{C5BDEA0B-4677-D841-A3A2-03A97A09DD4F}"/>
    <hyperlink ref="W2030" r:id="rId2996" xr:uid="{D3628F31-3A96-DC46-B17D-3E765CC310DF}"/>
    <hyperlink ref="J2031" r:id="rId2997" xr:uid="{ADFBC42D-F731-F24D-AD1E-C8C687016988}"/>
    <hyperlink ref="W2031" r:id="rId2998" xr:uid="{04199A9D-6AA9-4545-8312-6A2EA3421EDD}"/>
    <hyperlink ref="J2032" r:id="rId2999" xr:uid="{622C0698-4972-C84E-91E6-54F2A20CB180}"/>
    <hyperlink ref="W2032" r:id="rId3000" xr:uid="{54B1E679-E405-6F47-967F-D0215FCB4A0D}"/>
    <hyperlink ref="J2033" r:id="rId3001" xr:uid="{8FD39C09-8FC2-7940-8EB5-A230D0228F2E}"/>
    <hyperlink ref="J2034" r:id="rId3002" xr:uid="{54F63549-B6F8-564F-AB59-148B854A5340}"/>
    <hyperlink ref="J2035" r:id="rId3003" xr:uid="{FB49DEE2-DEBE-374B-A596-FC89621C9D55}"/>
    <hyperlink ref="J2036" r:id="rId3004" xr:uid="{12383D17-4C33-C047-B93F-8834FC400D5C}"/>
    <hyperlink ref="W2036" r:id="rId3005" xr:uid="{83742C1A-9628-DC4B-B565-2767F5A895BB}"/>
    <hyperlink ref="J2037" r:id="rId3006" xr:uid="{D6B5B28B-FAF4-6545-AF8B-5EC8179FA999}"/>
    <hyperlink ref="O2037" r:id="rId3007" xr:uid="{232C1937-834C-2747-BCAC-A6F048754326}"/>
    <hyperlink ref="W2037" r:id="rId3008" xr:uid="{6C94DF38-27B7-654A-B1E5-D0B5590E5ADD}"/>
    <hyperlink ref="J2038" r:id="rId3009" xr:uid="{84F23CD3-7AFA-F342-9581-CBC31C8086E4}"/>
    <hyperlink ref="W2038" r:id="rId3010" xr:uid="{E94A31C5-AAC4-5F42-9F2D-72CB23D0FCE2}"/>
    <hyperlink ref="J2039" r:id="rId3011" xr:uid="{3BA77406-F7A6-DE47-B501-7D5744AFE3E2}"/>
    <hyperlink ref="W2039" r:id="rId3012" xr:uid="{05C37AD2-06B4-194A-9716-278CB6B04430}"/>
    <hyperlink ref="J2040" r:id="rId3013" xr:uid="{ECF5AA01-9B1D-264E-AD8B-178B0BDC5624}"/>
    <hyperlink ref="W2040" r:id="rId3014" xr:uid="{2AA81B56-0B31-C549-A282-8367BB70F50A}"/>
    <hyperlink ref="J2041" r:id="rId3015" xr:uid="{0CD51C8F-8929-C741-8870-D7BA92C1F54E}"/>
    <hyperlink ref="W2041" r:id="rId3016" xr:uid="{3FF29BD1-1E85-664C-8968-D12C0E157B58}"/>
    <hyperlink ref="J2042" r:id="rId3017" xr:uid="{E80B8CAE-8584-314B-B3D0-532431C7502E}"/>
    <hyperlink ref="W2042" r:id="rId3018" xr:uid="{DAC9E6D9-7FBD-D847-95AA-6AFA0FCB36FA}"/>
    <hyperlink ref="J2043" r:id="rId3019" xr:uid="{DC26B575-9F71-3C44-976C-A8D1B32DD5C6}"/>
    <hyperlink ref="W2043" r:id="rId3020" xr:uid="{6B6E74AA-C777-7242-ADCC-42AEC4617B5C}"/>
    <hyperlink ref="J2044" r:id="rId3021" xr:uid="{2FDFF7CB-AE64-C046-938F-CC71E883AE7A}"/>
    <hyperlink ref="W2044" r:id="rId3022" xr:uid="{78B12703-C132-7848-8B52-6044646E2723}"/>
    <hyperlink ref="J2045" r:id="rId3023" xr:uid="{F6CB9D16-227F-CA4D-AF27-CCB993DB03D5}"/>
    <hyperlink ref="W2045" r:id="rId3024" xr:uid="{94E1FC56-CDA1-1543-8EF7-F5F851012D99}"/>
    <hyperlink ref="J2046" r:id="rId3025" xr:uid="{378D38F5-AF94-CA48-A432-4CF40E0971E3}"/>
    <hyperlink ref="W2046" r:id="rId3026" xr:uid="{2FE623D1-08C5-1A4E-90D0-78F0F5480B5B}"/>
    <hyperlink ref="J2047" r:id="rId3027" xr:uid="{F8F9B7DD-8F85-374B-A27B-2B6AFB8D2694}"/>
    <hyperlink ref="J2048" r:id="rId3028" xr:uid="{05D3CECE-4CE6-9744-B5F9-3E56CE09CE84}"/>
    <hyperlink ref="W2048" r:id="rId3029" xr:uid="{EB6CC934-7CD6-B445-ACB3-314797A90D0C}"/>
    <hyperlink ref="J2049" r:id="rId3030" xr:uid="{456DDE3B-8DD1-924A-A746-7EE535BEF52B}"/>
    <hyperlink ref="W2049" r:id="rId3031" xr:uid="{B34E92A7-7BD5-814F-BC09-3DE004875ECF}"/>
    <hyperlink ref="J2050" r:id="rId3032" xr:uid="{C39EF82C-490A-A043-9E9B-BCD54ADB0BE6}"/>
    <hyperlink ref="W2050" r:id="rId3033" xr:uid="{0054EAC8-4F31-C546-846B-3B2D97C40EAC}"/>
    <hyperlink ref="J2051" r:id="rId3034" xr:uid="{56773C15-23E6-A840-A67C-29BFD8E0AEFA}"/>
    <hyperlink ref="J2052" r:id="rId3035" xr:uid="{F5B3631D-5EAC-7041-AE4C-742ECAB5D5E6}"/>
    <hyperlink ref="J2053" r:id="rId3036" xr:uid="{15FBF6B7-711B-9445-A8F9-E97D6E4026AD}"/>
    <hyperlink ref="W2053" r:id="rId3037" xr:uid="{39ACFE74-9208-404C-A9F6-CD53B4EB37E9}"/>
    <hyperlink ref="J2054" r:id="rId3038" xr:uid="{11748914-E36B-C14B-B0E6-CB8AD35776FD}"/>
    <hyperlink ref="J2055" r:id="rId3039" xr:uid="{336CDAE4-6426-0847-926C-8992C50B21B7}"/>
    <hyperlink ref="J2056" r:id="rId3040" xr:uid="{40EF7D05-A76D-C849-BE87-94EB9D5F8428}"/>
    <hyperlink ref="J2057" r:id="rId3041" xr:uid="{4A1B28F5-61F2-A64B-95DC-DA1453D8BF0A}"/>
    <hyperlink ref="J2058" r:id="rId3042" xr:uid="{4BF1CC2B-4AAE-8343-BFDD-4DC5FB8E721A}"/>
    <hyperlink ref="J2059" r:id="rId3043" xr:uid="{B861B4D2-D7EA-E347-B217-AFDB46E0D5FA}"/>
    <hyperlink ref="J2060" r:id="rId3044" xr:uid="{A47729FB-6598-2742-BC52-E307CA7D828B}"/>
    <hyperlink ref="W2060" r:id="rId3045" xr:uid="{912D58EF-A7C5-1E48-9647-16037672C31B}"/>
    <hyperlink ref="J2061" r:id="rId3046" xr:uid="{2B9954BE-977C-5B4C-9AB1-3E7F9A1ADD15}"/>
    <hyperlink ref="W2061" r:id="rId3047" xr:uid="{06E8EC2B-4AE9-F74B-A0F5-0EA1544EAA48}"/>
    <hyperlink ref="J2062" r:id="rId3048" xr:uid="{2FDE9D37-2EFB-D641-9069-37AD7F64521E}"/>
    <hyperlink ref="J2063" r:id="rId3049" xr:uid="{06366F99-07E3-4646-A1D9-5D153E7D9CAB}"/>
    <hyperlink ref="W2063" r:id="rId3050" xr:uid="{7C69A9C2-75AA-F542-B738-A5BC77293DA6}"/>
    <hyperlink ref="J2064" r:id="rId3051" xr:uid="{49BDA12C-39F3-2748-84F2-204FD2C7B5A5}"/>
    <hyperlink ref="W2064" r:id="rId3052" xr:uid="{3285BF71-9D85-B34A-9575-74658D9426D6}"/>
    <hyperlink ref="J2065" r:id="rId3053" xr:uid="{CF0C7118-61CC-9047-81BB-5631AB7ACAFC}"/>
    <hyperlink ref="W2065" r:id="rId3054" xr:uid="{944CD129-77D6-3D4A-8421-472397EE405E}"/>
    <hyperlink ref="J2066" r:id="rId3055" xr:uid="{1C1B40F6-3997-F84E-BB4A-BED63F96F41A}"/>
    <hyperlink ref="W2066" r:id="rId3056" xr:uid="{492240C4-E9C5-9C49-AAD7-5F2BF761261D}"/>
    <hyperlink ref="J2067" r:id="rId3057" xr:uid="{47FDFE30-D696-3F43-9D57-4111D51058C8}"/>
    <hyperlink ref="W2067" r:id="rId3058" xr:uid="{EB2D65D3-35D3-2246-BEE2-1B1F8BF1D12E}"/>
    <hyperlink ref="J2068" r:id="rId3059" xr:uid="{EF21129F-3F20-8946-9565-C5AEC65B1F8E}"/>
    <hyperlink ref="W2068" r:id="rId3060" xr:uid="{19FC638C-DE1E-F54D-AFE0-29057855816F}"/>
    <hyperlink ref="J2069" r:id="rId3061" xr:uid="{8673678F-D99B-B044-8D0A-90C29641D273}"/>
    <hyperlink ref="W2069" r:id="rId3062" xr:uid="{97C4963F-ECDB-3B47-8653-428EC30519D9}"/>
    <hyperlink ref="J2070" r:id="rId3063" xr:uid="{CEB1441E-BE19-AE40-8581-0EF24DF46C18}"/>
    <hyperlink ref="W2070" r:id="rId3064" xr:uid="{BA89312A-FFE0-A148-9B3F-17BD6E418599}"/>
    <hyperlink ref="J2071" r:id="rId3065" xr:uid="{221926F4-2359-C84B-AFF4-7DBA658DB17D}"/>
    <hyperlink ref="W2071" r:id="rId3066" xr:uid="{DDE9E49E-43F6-5746-982B-13A5CD205338}"/>
    <hyperlink ref="J2072" r:id="rId3067" xr:uid="{9B172532-5340-0546-BEE5-2E9DBEA8E05A}"/>
    <hyperlink ref="W2072" r:id="rId3068" xr:uid="{B831C85B-6930-454C-A0F1-00D4E7417C55}"/>
    <hyperlink ref="J2073" r:id="rId3069" xr:uid="{39D73AFA-8920-0F4A-BE0A-A6FC032738EF}"/>
    <hyperlink ref="W2073" r:id="rId3070" xr:uid="{E565A315-7915-6548-AB17-C47518BDDF69}"/>
    <hyperlink ref="J2074" r:id="rId3071" xr:uid="{50AB768D-2538-0C4A-A96F-3066F989112F}"/>
    <hyperlink ref="J2075" r:id="rId3072" xr:uid="{0FD5F947-64CB-2F44-BE01-5CFE1847BC51}"/>
    <hyperlink ref="W2075" r:id="rId3073" xr:uid="{36A22244-E62E-3347-B0A2-C9E57236BE18}"/>
    <hyperlink ref="J2076" r:id="rId3074" xr:uid="{D5E66E85-E98D-7445-A7D9-B9EE813BD32F}"/>
    <hyperlink ref="W2076" r:id="rId3075" xr:uid="{FA913A10-2BDA-E04E-B213-E595154A805C}"/>
    <hyperlink ref="J2077" r:id="rId3076" xr:uid="{3E92325F-B1FC-C94A-B61A-E9E3921740D3}"/>
    <hyperlink ref="W2077" r:id="rId3077" xr:uid="{E7D66B15-B19C-074E-9CF3-13248EB1F0E3}"/>
    <hyperlink ref="J2078" r:id="rId3078" xr:uid="{E0EF4381-5AC1-884B-96AD-965127F39278}"/>
    <hyperlink ref="W2078" r:id="rId3079" xr:uid="{9151B495-E4AE-8B45-A1BA-548EB4DD7A8B}"/>
    <hyperlink ref="J2079" r:id="rId3080" xr:uid="{D67B5F96-07B7-1E4D-A4DB-5B85F1828C28}"/>
    <hyperlink ref="W2079" r:id="rId3081" xr:uid="{B582FA1D-7348-8141-BD6E-0C1554F787DD}"/>
    <hyperlink ref="J2080" r:id="rId3082" xr:uid="{E697B9B4-9C17-C64E-8C47-1E798C952C5A}"/>
    <hyperlink ref="W2080" r:id="rId3083" xr:uid="{570A3FAC-2D99-5B41-A07E-6EE07C759CA6}"/>
    <hyperlink ref="J2081" r:id="rId3084" xr:uid="{C577ECBD-3A89-224E-AAB8-75291136B81D}"/>
    <hyperlink ref="J2082" r:id="rId3085" xr:uid="{25BD9726-439C-8447-9B69-2B44A7F8F11D}"/>
    <hyperlink ref="W2082" r:id="rId3086" xr:uid="{7B0504A8-144D-8D4C-BEE5-A996824554FB}"/>
    <hyperlink ref="J2083" r:id="rId3087" xr:uid="{74DE68A5-FAA8-404B-A84E-F0D195EB8CB3}"/>
    <hyperlink ref="W2083" r:id="rId3088" xr:uid="{B68821F8-90C7-2E44-856E-C6F09F653557}"/>
    <hyperlink ref="J2084" r:id="rId3089" xr:uid="{17B73E86-99A4-C94E-864A-892C7CB5DD9D}"/>
    <hyperlink ref="W2084" r:id="rId3090" xr:uid="{F453A1F3-AFDF-C744-80CD-2C59BB18148A}"/>
    <hyperlink ref="J2085" r:id="rId3091" xr:uid="{DBC0BF66-4FB4-3F48-B70C-6FCD35A57E14}"/>
    <hyperlink ref="W2085" r:id="rId3092" xr:uid="{0301C57B-FE47-C949-8CCE-40939B2DF1BD}"/>
    <hyperlink ref="J2086" r:id="rId3093" xr:uid="{014882DC-5D28-934D-A091-BED31EE50A35}"/>
    <hyperlink ref="J2087" r:id="rId3094" xr:uid="{0E081CEC-5D77-D440-9363-828AAC26B356}"/>
    <hyperlink ref="J2088" r:id="rId3095" xr:uid="{FCD8F7C0-EC54-C548-AD53-2CB4AFBBD931}"/>
    <hyperlink ref="J2089" r:id="rId3096" xr:uid="{2F9E36FF-5EBA-2B4F-A448-EE01B2AEB0A1}"/>
    <hyperlink ref="W2089" r:id="rId3097" xr:uid="{A2B51932-91EC-6745-9AD0-B499CBC997CA}"/>
    <hyperlink ref="J2090" r:id="rId3098" xr:uid="{34516957-3712-4C44-B440-E92D9DE549C2}"/>
    <hyperlink ref="J2091" r:id="rId3099" xr:uid="{918BFFED-FBF9-8547-BA17-A1DC483DF220}"/>
    <hyperlink ref="W2091" r:id="rId3100" xr:uid="{0076E3C3-AF10-A543-BB23-401EE9CDB39B}"/>
    <hyperlink ref="J2092" r:id="rId3101" xr:uid="{6922500C-3AED-AE49-B27F-FC4D6AE2CED3}"/>
    <hyperlink ref="J2093" r:id="rId3102" xr:uid="{6491AFE6-408A-114A-8EB3-ECBD9C8AE5C3}"/>
    <hyperlink ref="W2093" r:id="rId3103" xr:uid="{6FA8860A-B05A-2842-9DA1-010E83FB5840}"/>
    <hyperlink ref="J2094" r:id="rId3104" xr:uid="{B869E003-604E-D940-AEED-3DBD6232D05E}"/>
    <hyperlink ref="J2095" r:id="rId3105" xr:uid="{E5F9A676-6C8B-7644-A2BD-0A30DC75DFA8}"/>
    <hyperlink ref="J2096" r:id="rId3106" xr:uid="{7D434283-581C-2944-AE98-4EF230E2BB66}"/>
    <hyperlink ref="W2096" r:id="rId3107" xr:uid="{16E4DE63-270B-0B41-920E-720C185EA6E5}"/>
    <hyperlink ref="J2097" r:id="rId3108" xr:uid="{CD70042F-1204-2545-807E-E18A85DC5EC5}"/>
    <hyperlink ref="J2098" r:id="rId3109" xr:uid="{D4555EE4-B492-1949-9DA4-369D1D051232}"/>
    <hyperlink ref="J2099" r:id="rId3110" xr:uid="{9089F226-22BE-7F46-AA8B-9D4DBF95B953}"/>
    <hyperlink ref="W2099" r:id="rId3111" xr:uid="{EE2B3514-E9C7-7449-BAC4-049D3695DBDD}"/>
    <hyperlink ref="J2100" r:id="rId3112" xr:uid="{E11ED63D-2192-5C4E-BE89-3708125E2DCA}"/>
    <hyperlink ref="J2101" r:id="rId3113" xr:uid="{D3FA4A87-460F-4B46-B6E7-C1EA457593C1}"/>
    <hyperlink ref="W2101" r:id="rId3114" xr:uid="{6DA7010D-CF03-DA44-9491-8E4EB413D0D8}"/>
    <hyperlink ref="J2102" r:id="rId3115" xr:uid="{1D5E94A8-1760-C44B-8C05-D3759E6E5168}"/>
    <hyperlink ref="W2102" r:id="rId3116" xr:uid="{28CE95D5-D407-5D4B-A20C-E53B1331CAE0}"/>
    <hyperlink ref="J2103" r:id="rId3117" xr:uid="{DBE62D93-DDC8-464F-B20B-93025D91FE0C}"/>
    <hyperlink ref="W2103" r:id="rId3118" xr:uid="{9BE10D71-A843-C340-A28B-9C4FA0C0407A}"/>
    <hyperlink ref="J2104" r:id="rId3119" xr:uid="{4DC8CD06-CC6F-8F4E-BAAF-E09931F06533}"/>
    <hyperlink ref="J2105" r:id="rId3120" xr:uid="{C35F5287-AB1A-C64D-AB29-9F6F902E24EA}"/>
    <hyperlink ref="J2106" r:id="rId3121" xr:uid="{BED95869-CD90-4843-B5FB-7C5F277135DD}"/>
    <hyperlink ref="J2107" r:id="rId3122" xr:uid="{9A5C32BC-1B16-9F48-8378-13ED67E3DA35}"/>
    <hyperlink ref="W2107" r:id="rId3123" xr:uid="{F2910896-A183-CF43-A5CE-5C3EBB6229F6}"/>
    <hyperlink ref="J2108" r:id="rId3124" xr:uid="{9416CB83-D4D7-2343-9FB2-CA09F4F544EA}"/>
    <hyperlink ref="J2109" r:id="rId3125" xr:uid="{E64FBD22-321E-A348-AF53-E9625E6D6AD4}"/>
    <hyperlink ref="W2109" r:id="rId3126" xr:uid="{9BB920C5-7928-774C-B0FD-1F0070921AF2}"/>
    <hyperlink ref="J2110" r:id="rId3127" xr:uid="{E857F868-C85A-1B42-A8A5-7851DB205B24}"/>
    <hyperlink ref="J2111" r:id="rId3128" xr:uid="{8D354B9A-BD96-0F4A-879E-20089FD01AE6}"/>
    <hyperlink ref="J2112" r:id="rId3129" xr:uid="{D82D677F-9DD7-974B-97D8-116EC258146E}"/>
    <hyperlink ref="J2113" r:id="rId3130" xr:uid="{5F80F4E0-3193-5241-9AFD-ADE5545B8FEC}"/>
    <hyperlink ref="W2113" r:id="rId3131" xr:uid="{9744D1DB-C004-BB48-8294-37A201CD6DCE}"/>
    <hyperlink ref="J2114" r:id="rId3132" xr:uid="{3945B490-B95F-C649-8A08-F0FB5FEA5106}"/>
    <hyperlink ref="J2115" r:id="rId3133" xr:uid="{4D4BA0D8-E4EE-F84F-A2BA-91166412C120}"/>
    <hyperlink ref="W2115" r:id="rId3134" xr:uid="{E2E02A02-8793-854D-BB9D-64BDF08A0D21}"/>
    <hyperlink ref="J2116" r:id="rId3135" xr:uid="{37AC346C-EFF1-154A-8380-10FF0AB152D5}"/>
    <hyperlink ref="J2117" r:id="rId3136" xr:uid="{D4521C2A-A51F-9A45-AE50-C95485E5B0AE}"/>
    <hyperlink ref="J2118" r:id="rId3137" xr:uid="{88861E01-2BAB-0A41-9940-0A2C0BE07378}"/>
    <hyperlink ref="J2119" r:id="rId3138" xr:uid="{6F9CA4BB-0032-6B41-B00F-4BE72F914BA5}"/>
    <hyperlink ref="J2120" r:id="rId3139" xr:uid="{6E82021E-32BA-2945-9AA0-95685E663B0F}"/>
    <hyperlink ref="W2120" r:id="rId3140" xr:uid="{09320440-863A-4441-8414-0F06F5BBA72F}"/>
    <hyperlink ref="J2121" r:id="rId3141" xr:uid="{B3602371-19C9-204C-A58F-2F041830BD24}"/>
    <hyperlink ref="J2122" r:id="rId3142" xr:uid="{B76E6641-5E7A-2B47-A1FA-6FE889F5C2F0}"/>
    <hyperlink ref="J2123" r:id="rId3143" xr:uid="{A98234B0-D238-2942-B32B-EBD8284B85B1}"/>
    <hyperlink ref="W2123" r:id="rId3144" xr:uid="{81AC5E68-C4C4-D047-BE2C-601174EE4F47}"/>
    <hyperlink ref="J2124" r:id="rId3145" xr:uid="{B3880FF6-AE65-E44D-9E4F-A306142D9E8D}"/>
    <hyperlink ref="W2124" r:id="rId3146" xr:uid="{C92FE4D4-EB35-0C47-9F16-ED34072F261D}"/>
    <hyperlink ref="J2125" r:id="rId3147" xr:uid="{EBE958DF-D33F-A34F-AB8B-51BB19D374B7}"/>
    <hyperlink ref="W2125" r:id="rId3148" xr:uid="{241F9B58-4806-B94D-B1A1-5122799008E2}"/>
    <hyperlink ref="J2126" r:id="rId3149" xr:uid="{CF4DC466-6AB3-4644-B01B-7967E9950A0B}"/>
    <hyperlink ref="J2127" r:id="rId3150" xr:uid="{7CA5C16D-449F-B240-9474-DFAADFAF4E90}"/>
    <hyperlink ref="J2128" r:id="rId3151" xr:uid="{A3EF7A87-87C6-8D43-9068-D8FB779751CC}"/>
    <hyperlink ref="W2128" r:id="rId3152" xr:uid="{8298E446-CFDE-044F-86FB-94FED822A2D6}"/>
    <hyperlink ref="J2129" r:id="rId3153" xr:uid="{616624E8-EC34-F44B-88B0-6A2D9E35A01A}"/>
    <hyperlink ref="J2130" r:id="rId3154" xr:uid="{7D28CD6E-025D-C04E-849A-9C020251802A}"/>
    <hyperlink ref="W2130" r:id="rId3155" xr:uid="{25449F9C-F0FD-BD42-AA6F-B1BFC8880AEC}"/>
    <hyperlink ref="J2131" r:id="rId3156" xr:uid="{F7553A24-0670-F646-9E4A-0C8CB70A217B}"/>
    <hyperlink ref="J2132" r:id="rId3157" xr:uid="{776079DB-1C98-AC44-969C-4FAD50E7F6D5}"/>
    <hyperlink ref="W2132" r:id="rId3158" xr:uid="{D13F1F5D-8C2E-AE4A-8FE7-A40E30E24C4E}"/>
    <hyperlink ref="J2133" r:id="rId3159" xr:uid="{F52DADDA-C05D-464D-BB6C-6EA0D60730E2}"/>
    <hyperlink ref="W2133" r:id="rId3160" xr:uid="{E18544AF-3BBD-5E4C-A57D-9B4ADB958B86}"/>
    <hyperlink ref="J2134" r:id="rId3161" xr:uid="{D7FB4E63-2FEA-2043-B822-13C21A0E0F2B}"/>
    <hyperlink ref="W2134" r:id="rId3162" xr:uid="{BD567701-AF95-8E40-AAC1-826629871FFC}"/>
    <hyperlink ref="J2135" r:id="rId3163" xr:uid="{752593B5-1145-C24F-A306-9B434F3A7A6C}"/>
    <hyperlink ref="J2136" r:id="rId3164" xr:uid="{5490EE1E-10E0-9140-BEAF-5281BD32E409}"/>
    <hyperlink ref="J2137" r:id="rId3165" xr:uid="{882DAB95-2F81-D34C-8C66-157F93095901}"/>
    <hyperlink ref="J2138" r:id="rId3166" xr:uid="{CA6E481D-2635-DD42-BDA5-08281E9CCA05}"/>
    <hyperlink ref="J2139" r:id="rId3167" xr:uid="{7CCEEB92-35FD-E845-B2C5-100842481CE9}"/>
    <hyperlink ref="W2139" r:id="rId3168" xr:uid="{47469789-360A-6741-B5FE-E856FD8089F8}"/>
    <hyperlink ref="J2140" r:id="rId3169" xr:uid="{BCC084EB-2E8D-EB40-B59D-B22925148E6C}"/>
    <hyperlink ref="J2141" r:id="rId3170" xr:uid="{ABD0DDD1-D426-0748-A3F4-662CB3F242F6}"/>
    <hyperlink ref="J2142" r:id="rId3171" xr:uid="{547A0685-A815-E547-82DE-BBB795E0854F}"/>
    <hyperlink ref="J2143" r:id="rId3172" xr:uid="{AE7B3984-B2F4-844C-A750-9EBABF2A352E}"/>
    <hyperlink ref="J2144" r:id="rId3173" xr:uid="{CC87B614-01D9-3C46-ABC6-CE63087E0D46}"/>
    <hyperlink ref="J2145" r:id="rId3174" xr:uid="{C0AF898B-A855-554C-BFFF-422C4B289877}"/>
    <hyperlink ref="W2145" r:id="rId3175" xr:uid="{15A21C21-69EB-9447-8C68-3D670E08B959}"/>
    <hyperlink ref="J2146" r:id="rId3176" xr:uid="{D658FEFB-205A-734F-861E-F7D240B21A33}"/>
    <hyperlink ref="W2146" r:id="rId3177" xr:uid="{20F8853C-D31F-3048-B188-CBAF13209032}"/>
    <hyperlink ref="J2147" r:id="rId3178" xr:uid="{99339B91-36E3-AE47-AF1D-A6BF1ABD13D5}"/>
    <hyperlink ref="W2147" r:id="rId3179" xr:uid="{E651C323-04AD-E34C-8B4F-2B16B4AC963D}"/>
    <hyperlink ref="J2148" r:id="rId3180" xr:uid="{1BE42458-25CB-2E42-B889-42032F83CF99}"/>
    <hyperlink ref="J2149" r:id="rId3181" xr:uid="{803B198C-F39A-B24C-8664-2BED2774AACB}"/>
    <hyperlink ref="J2150" r:id="rId3182" xr:uid="{C6E0F78A-3A26-B747-9D7F-C7A46DDF2E22}"/>
    <hyperlink ref="W2150" r:id="rId3183" xr:uid="{9F68D039-DB32-E341-A041-87511D5E94A7}"/>
    <hyperlink ref="J2151" r:id="rId3184" xr:uid="{9FAB7A8D-1817-4247-88A9-E1B1A6D8FD9C}"/>
    <hyperlink ref="J2152" r:id="rId3185" xr:uid="{CA6D9DEE-7D97-BE40-AD4D-1BEC40C1852F}"/>
    <hyperlink ref="J2153" r:id="rId3186" xr:uid="{F3C9AF67-B254-6F40-B53C-B7CEE5CDAE4F}"/>
    <hyperlink ref="J2154" r:id="rId3187" xr:uid="{D2AD4378-9D98-F144-A125-616A8B2D3B23}"/>
    <hyperlink ref="J2155" r:id="rId3188" xr:uid="{CFCA6B44-339D-244A-A6F5-28C5DB4F685C}"/>
    <hyperlink ref="J2156" r:id="rId3189" xr:uid="{0249C574-C9B2-0743-8291-B4F4C954885F}"/>
    <hyperlink ref="W2156" r:id="rId3190" xr:uid="{A113A7D3-3371-4A44-A120-50381AD9463A}"/>
    <hyperlink ref="J2157" r:id="rId3191" xr:uid="{B5BA007A-9506-E54E-BB4D-120A7183F279}"/>
    <hyperlink ref="W2157" r:id="rId3192" xr:uid="{321E87A0-16FB-FD4C-B693-BF9E1F231570}"/>
    <hyperlink ref="J2158" r:id="rId3193" xr:uid="{4A7BF126-701E-4C4A-B2BC-4D2F22628A75}"/>
    <hyperlink ref="J2159" r:id="rId3194" xr:uid="{9EB33650-E173-8349-87FA-78C76E3D65AF}"/>
    <hyperlink ref="J2160" r:id="rId3195" xr:uid="{F544E25D-7FBF-CA40-AE2B-FA45CF894F3A}"/>
    <hyperlink ref="W2160" r:id="rId3196" xr:uid="{830E319B-12C0-C44A-B7CA-EBA16A8A0E02}"/>
    <hyperlink ref="J2161" r:id="rId3197" xr:uid="{C2E376DA-08E5-1D4F-A6E9-696F51B9DC98}"/>
    <hyperlink ref="J2162" r:id="rId3198" xr:uid="{33ED6D36-A7F6-034A-B81F-25F7EE8CC861}"/>
    <hyperlink ref="W2162" r:id="rId3199" xr:uid="{24F5BA73-68EB-B646-B3B7-CC9081FAACC1}"/>
    <hyperlink ref="J2163" r:id="rId3200" xr:uid="{5A647E68-9172-844B-B692-F422BC645804}"/>
    <hyperlink ref="W2163" r:id="rId3201" xr:uid="{15223996-867E-554C-A95A-A4B0F0E5BD94}"/>
    <hyperlink ref="J2164" r:id="rId3202" xr:uid="{683231F9-7262-0748-ADCF-980B039D1642}"/>
    <hyperlink ref="W2164" r:id="rId3203" xr:uid="{42DC5F6B-8583-624C-8712-FCE4DD1674F3}"/>
    <hyperlink ref="J2165" r:id="rId3204" xr:uid="{0D59368E-4660-4E49-B775-EADCF2E547D4}"/>
    <hyperlink ref="J2166" r:id="rId3205" xr:uid="{7861FC1A-6BBD-C846-A4A6-F15C2F3F5790}"/>
    <hyperlink ref="W2166" r:id="rId3206" xr:uid="{AD98E7E5-AA6D-2444-8980-EE5619263B4B}"/>
    <hyperlink ref="J2167" r:id="rId3207" xr:uid="{D3B5CB9B-76F7-114A-8A06-9D732A508ED7}"/>
    <hyperlink ref="J2168" r:id="rId3208" xr:uid="{35BE063A-1189-314C-A04E-DA40A1B24FF3}"/>
    <hyperlink ref="J2169" r:id="rId3209" xr:uid="{37A6442D-DB6D-8C40-9CC4-9C310B6189C1}"/>
    <hyperlink ref="W2169" r:id="rId3210" xr:uid="{76327636-AD5B-6F43-B29A-C5442845B7BC}"/>
    <hyperlink ref="J2170" r:id="rId3211" xr:uid="{81D38CE6-081C-934F-AA52-36A7A7146870}"/>
    <hyperlink ref="J2171" r:id="rId3212" xr:uid="{1AE15BAE-18BA-DF42-956B-C144C51D3B21}"/>
    <hyperlink ref="J2172" r:id="rId3213" xr:uid="{FDE4C077-6744-1744-A09B-634EA9D2284C}"/>
    <hyperlink ref="J2173" r:id="rId3214" xr:uid="{16802338-597C-8E45-8646-7CBF8B58EAD6}"/>
    <hyperlink ref="W2173" r:id="rId3215" xr:uid="{0969863C-0B69-A548-8DDE-0F4743FF3306}"/>
    <hyperlink ref="J2174" r:id="rId3216" xr:uid="{DDF69647-A729-BD42-A230-DEE1C1238C68}"/>
    <hyperlink ref="W2174" r:id="rId3217" xr:uid="{8A1E79D3-5A75-B248-9CCE-AE3C1501C7FD}"/>
    <hyperlink ref="J2175" r:id="rId3218" xr:uid="{1986D41A-B148-9E47-8B6C-921615999A1C}"/>
    <hyperlink ref="W2175" r:id="rId3219" xr:uid="{05312ACF-FE40-7843-93AC-A26E301C618C}"/>
    <hyperlink ref="J2176" r:id="rId3220" xr:uid="{83B0CBEB-15EE-7348-BB27-91276F3C3705}"/>
    <hyperlink ref="J2177" r:id="rId3221" xr:uid="{61D15A44-60B0-2843-8E20-61554245EE6A}"/>
    <hyperlink ref="J2178" r:id="rId3222" xr:uid="{7A227EE8-6B97-B048-BD19-4259DA810349}"/>
    <hyperlink ref="W2178" r:id="rId3223" xr:uid="{239E67DE-26B9-2843-96EB-3BAE91FC3FC2}"/>
    <hyperlink ref="J2179" r:id="rId3224" xr:uid="{9C884ED6-2BC3-5748-8F82-3223F65C4F48}"/>
    <hyperlink ref="J2180" r:id="rId3225" xr:uid="{C305ED70-6FF6-CE4F-84B1-A1C92A5E730D}"/>
    <hyperlink ref="J2181" r:id="rId3226" xr:uid="{CE5728D0-B30C-AB4A-AE60-6E59A2A4F77A}"/>
    <hyperlink ref="W2181" r:id="rId3227" xr:uid="{7F01F361-D0E6-394B-B94D-FAF158BDAAEB}"/>
    <hyperlink ref="J2182" r:id="rId3228" xr:uid="{93BBE330-746B-4444-A90B-FA50477D4255}"/>
    <hyperlink ref="W2182" r:id="rId3229" xr:uid="{46EF125B-A45A-224F-8A94-D7C313291A85}"/>
    <hyperlink ref="J2183" r:id="rId3230" xr:uid="{71C13532-69D7-0246-A494-4D4BFB26F35C}"/>
    <hyperlink ref="W2183" r:id="rId3231" xr:uid="{7731C26E-2B7B-0E42-A45E-1D8BFE5EB972}"/>
    <hyperlink ref="J2184" r:id="rId3232" xr:uid="{9FF61061-C97F-A945-8E5E-203D51963F16}"/>
    <hyperlink ref="J2185" r:id="rId3233" xr:uid="{387E1362-67F9-5040-BDB5-1590D31774E9}"/>
    <hyperlink ref="W2185" r:id="rId3234" xr:uid="{B13A5630-02F5-884E-94E4-68F678DDC048}"/>
    <hyperlink ref="J2186" r:id="rId3235" xr:uid="{EFAA5DC6-8664-844E-B5DD-13734008CBA4}"/>
    <hyperlink ref="W2186" r:id="rId3236" xr:uid="{C9A31336-E815-6943-9A93-C9D781C0E743}"/>
    <hyperlink ref="J2187" r:id="rId3237" xr:uid="{485AE124-A571-B54F-AD4E-93E0506EE18D}"/>
    <hyperlink ref="J2188" r:id="rId3238" xr:uid="{DE4E679D-665C-0C47-BD49-A99D912E30B5}"/>
    <hyperlink ref="J2189" r:id="rId3239" xr:uid="{A7A1815E-A72F-A54F-90C8-37D92D479170}"/>
    <hyperlink ref="J2190" r:id="rId3240" xr:uid="{4449E711-4237-E547-9E1E-7997FC42AD3B}"/>
    <hyperlink ref="J2191" r:id="rId3241" xr:uid="{CF5C36F6-3745-A346-96A5-BFC19B59B3E3}"/>
    <hyperlink ref="J2192" r:id="rId3242" xr:uid="{EC01B392-C54D-2941-8811-575D73BD4350}"/>
    <hyperlink ref="J2193" r:id="rId3243" xr:uid="{DE046C62-B8B2-D44F-81BD-C70080F883D6}"/>
    <hyperlink ref="J2194" r:id="rId3244" xr:uid="{0368C5AD-EB2E-E54A-8A66-19766501328E}"/>
    <hyperlink ref="W2194" r:id="rId3245" xr:uid="{6C9A5BE9-C4E0-E447-BC59-8F12075C8F20}"/>
    <hyperlink ref="J2195" r:id="rId3246" xr:uid="{D71A99A1-FAEA-B648-AEBE-70994997956C}"/>
    <hyperlink ref="J2196" r:id="rId3247" xr:uid="{A32D8E56-5378-034F-B307-1E6BA70D0E17}"/>
    <hyperlink ref="J2197" r:id="rId3248" xr:uid="{B0CA6FAA-BD31-114C-A6FA-EA95B7BAB679}"/>
    <hyperlink ref="J2198" r:id="rId3249" xr:uid="{E8539A3B-439B-CE45-AC15-C567170264B0}"/>
    <hyperlink ref="J2199" r:id="rId3250" xr:uid="{3D1FEFA8-A662-8241-A1D6-D60ECEF8FAE8}"/>
    <hyperlink ref="J2200" r:id="rId3251" xr:uid="{2D79D8F3-2BE8-BF44-8355-3D803BC6CF45}"/>
    <hyperlink ref="J2201" r:id="rId3252" xr:uid="{62F9905D-77EF-F240-8CE6-8A7EE36EB709}"/>
    <hyperlink ref="W2201" r:id="rId3253" xr:uid="{817E9F91-A4A8-CC4F-88BB-19F8CB79139E}"/>
    <hyperlink ref="J2202" r:id="rId3254" xr:uid="{BD22C62F-90DB-DD47-B13A-01BA74F58265}"/>
    <hyperlink ref="J2203" r:id="rId3255" xr:uid="{D559C719-8D84-274B-BBF8-BB84355CA990}"/>
    <hyperlink ref="J2204" r:id="rId3256" xr:uid="{FF48894B-741E-0B4F-802E-1EE19440A0D1}"/>
    <hyperlink ref="J2205" r:id="rId3257" xr:uid="{3FE6BC02-336A-8747-BAFE-8AAAA90EC128}"/>
    <hyperlink ref="J2206" r:id="rId3258" xr:uid="{7AC4FB8D-4F05-3045-A74E-AA56DDCFB005}"/>
    <hyperlink ref="J2207" r:id="rId3259" xr:uid="{5102E2E2-B90A-8049-95D8-6810B70987AB}"/>
    <hyperlink ref="J2208" r:id="rId3260" xr:uid="{97F278FF-0F7D-474E-AE9D-7BC0F1A2CB54}"/>
    <hyperlink ref="J2209" r:id="rId3261" xr:uid="{E05175B6-ADFE-0A42-8717-62B9520F8254}"/>
    <hyperlink ref="J2210" r:id="rId3262" xr:uid="{6FA0779E-92AF-3140-8BA7-A279114A1EBD}"/>
    <hyperlink ref="J2211" r:id="rId3263" xr:uid="{9928C633-1DBD-CE4D-81EA-C3CF26B00FB9}"/>
    <hyperlink ref="W2211" r:id="rId3264" xr:uid="{D3262CD4-D135-7341-8044-3909623801BD}"/>
    <hyperlink ref="J2212" r:id="rId3265" xr:uid="{88A1C9C4-8ABD-C448-90BC-C820807C1798}"/>
    <hyperlink ref="W2212" r:id="rId3266" xr:uid="{D038C947-C6DA-3141-8577-B35EA1349C55}"/>
    <hyperlink ref="J2213" r:id="rId3267" xr:uid="{AF622929-AD6A-DD4C-B051-3465DC0CB885}"/>
    <hyperlink ref="W2213" r:id="rId3268" xr:uid="{42D8AD04-1CD2-3A46-9888-48E65FFCA174}"/>
    <hyperlink ref="J2214" r:id="rId3269" xr:uid="{E9765072-E28B-0C47-B0C3-E5250AB7EC99}"/>
    <hyperlink ref="J2215" r:id="rId3270" xr:uid="{96A5C623-5827-4A4B-95B1-9E2CC0D2E4AA}"/>
    <hyperlink ref="W2215" r:id="rId3271" xr:uid="{ECB612E2-2AC3-EA46-83DB-2411CC320CDE}"/>
    <hyperlink ref="J2216" r:id="rId3272" xr:uid="{6C0C4883-7D17-6041-AE37-58B670C216E3}"/>
    <hyperlink ref="W2216" r:id="rId3273" xr:uid="{F12A9392-7DDD-BF40-88B1-235CF2E02DFA}"/>
    <hyperlink ref="J2217" r:id="rId3274" xr:uid="{C36C3B80-D6B0-274E-A721-6A629C9AB791}"/>
    <hyperlink ref="W2217" r:id="rId3275" xr:uid="{43EEA1F0-0869-EF4B-9BBE-338202F315A7}"/>
    <hyperlink ref="J2218" r:id="rId3276" xr:uid="{45FABA84-D070-5247-A0B7-B3C9241FBF08}"/>
    <hyperlink ref="J2219" r:id="rId3277" xr:uid="{5D130F68-BB60-1742-8DB1-801DA3B90931}"/>
    <hyperlink ref="W2219" r:id="rId3278" xr:uid="{8679E7D7-68EC-6E4B-9F5B-5A6F882CE62F}"/>
    <hyperlink ref="J2220" r:id="rId3279" xr:uid="{8036ADC6-8CF1-2C44-A549-2565425559C0}"/>
    <hyperlink ref="W2220" r:id="rId3280" xr:uid="{77CC41FB-8835-494B-9948-D9FA330EBC3E}"/>
    <hyperlink ref="J2221" r:id="rId3281" xr:uid="{265EF189-E8CC-204D-A459-1799E01E5C1B}"/>
    <hyperlink ref="W2221" r:id="rId3282" xr:uid="{5B862C2D-3C7A-8742-B387-1CF2668A0AAA}"/>
    <hyperlink ref="J2222" r:id="rId3283" xr:uid="{EA2C5310-36C2-EC48-8FE8-D402B45DC9C9}"/>
    <hyperlink ref="W2222" r:id="rId3284" xr:uid="{892DF23C-E395-CC47-939F-0B2B32160545}"/>
    <hyperlink ref="J2223" r:id="rId3285" xr:uid="{D7706DDC-63E1-CE4B-BD9D-D500036CEC26}"/>
    <hyperlink ref="J2224" r:id="rId3286" xr:uid="{B8AB485A-549E-644D-95F8-5E0CE1564EEF}"/>
    <hyperlink ref="W2224" r:id="rId3287" xr:uid="{987FDED6-9B0C-3B49-B278-61875012F185}"/>
    <hyperlink ref="J2225" r:id="rId3288" xr:uid="{6ADF121D-4C44-9A46-8DFB-BB6CE8523B44}"/>
    <hyperlink ref="W2225" r:id="rId3289" xr:uid="{B927A698-A256-7643-A328-32BCFDA25C9A}"/>
    <hyperlink ref="J2226" r:id="rId3290" xr:uid="{AF6C6BC4-9941-794C-ADD5-7BA92BBD4F70}"/>
    <hyperlink ref="W2226" r:id="rId3291" xr:uid="{C980997C-5CB8-CB4E-BDA8-16C617BAC50B}"/>
    <hyperlink ref="J2227" r:id="rId3292" xr:uid="{715206AE-A616-1C48-96DD-5F8AE53BA1D0}"/>
    <hyperlink ref="W2227" r:id="rId3293" xr:uid="{CCC790F8-31F0-1B4A-BCDA-BE6D4853059A}"/>
    <hyperlink ref="J2228" r:id="rId3294" xr:uid="{8E081224-0036-D842-BE58-019AC23C212E}"/>
    <hyperlink ref="W2228" r:id="rId3295" xr:uid="{2D5915FD-22B8-E241-B547-2BEB9D6B3D62}"/>
    <hyperlink ref="J2229" r:id="rId3296" xr:uid="{A7D39548-6D18-0845-B2D5-22D8E0EA1605}"/>
    <hyperlink ref="W2229" r:id="rId3297" xr:uid="{86B69F27-0F55-9B49-B2E1-959BB8CC235D}"/>
    <hyperlink ref="J2230" r:id="rId3298" xr:uid="{B618BD7A-0766-C544-8DAE-4A69BAE22499}"/>
    <hyperlink ref="W2230" r:id="rId3299" xr:uid="{CED1CBD8-6CDA-7E42-87C1-1F13B5B55544}"/>
    <hyperlink ref="J2231" r:id="rId3300" xr:uid="{D5A47B0A-3DF4-2743-B2B4-BEFE75588EBE}"/>
    <hyperlink ref="W2231" r:id="rId3301" xr:uid="{082121FC-3FD8-A746-91E6-70DA080984C7}"/>
    <hyperlink ref="J2232" r:id="rId3302" xr:uid="{01D23DAA-2616-DD4F-9176-933D21C830F5}"/>
    <hyperlink ref="J2233" r:id="rId3303" xr:uid="{686FBB11-5C4B-584F-9D49-10BBDA8B5D35}"/>
    <hyperlink ref="J2234" r:id="rId3304" xr:uid="{237D522A-73CD-7242-BBC7-91939FF94BA3}"/>
    <hyperlink ref="W2234" r:id="rId3305" xr:uid="{D9437534-E3B7-B440-B501-56F37A80B7ED}"/>
    <hyperlink ref="J2235" r:id="rId3306" xr:uid="{55664528-BCA5-3446-B1FE-BD6A74F5D364}"/>
    <hyperlink ref="W2235" r:id="rId3307" xr:uid="{F9E693B9-2353-8242-B85D-71ABD3D80790}"/>
    <hyperlink ref="J2236" r:id="rId3308" xr:uid="{8364A1A3-3CEB-184A-A874-5AFC42BAFD60}"/>
    <hyperlink ref="J2237" r:id="rId3309" xr:uid="{5A02662B-180B-4547-8645-680D32DCADBA}"/>
    <hyperlink ref="W2237" r:id="rId3310" xr:uid="{DA999F4C-E8AD-1C46-9E8A-AF8B3D525670}"/>
    <hyperlink ref="J2238" r:id="rId3311" xr:uid="{B649227C-D24D-B64A-B142-1804736E47BD}"/>
    <hyperlink ref="J2239" r:id="rId3312" xr:uid="{1BE95125-6B67-2146-97D5-5E756EF06A8B}"/>
    <hyperlink ref="J2240" r:id="rId3313" xr:uid="{112F8821-C743-E941-9932-123AA676A6B3}"/>
    <hyperlink ref="J2241" r:id="rId3314" xr:uid="{B948DC16-2904-C04B-A36A-DEC30068BB02}"/>
    <hyperlink ref="J2242" r:id="rId3315" xr:uid="{938E66F0-2294-C547-ABF1-5DB97FB95DA4}"/>
    <hyperlink ref="J2243" r:id="rId3316" xr:uid="{88F2D2C7-105E-E744-8DF4-1E32547F47D9}"/>
    <hyperlink ref="J2244" r:id="rId3317" xr:uid="{9923E1A3-1396-3144-8404-AB3C9A279528}"/>
    <hyperlink ref="J2245" r:id="rId3318" xr:uid="{F05A35BD-290D-6C45-ABB8-5E67AB46AA19}"/>
    <hyperlink ref="J2246" r:id="rId3319" xr:uid="{48B5FC97-044D-4647-823F-CA5E7F757577}"/>
    <hyperlink ref="J2247" r:id="rId3320" xr:uid="{5AC9B065-E646-054B-B4E5-72D02D5E248F}"/>
    <hyperlink ref="J2248" r:id="rId3321" xr:uid="{51C09AAE-85B7-2E4A-811F-5385C8EC4876}"/>
    <hyperlink ref="W2248" r:id="rId3322" xr:uid="{88124286-7886-A840-A806-F9C149E930AD}"/>
    <hyperlink ref="J2249" r:id="rId3323" xr:uid="{7E2254E6-1D7C-0E43-9ED5-864294F386AC}"/>
    <hyperlink ref="J2250" r:id="rId3324" xr:uid="{5C6BCDFA-112B-A64E-932C-11FA5A6419B5}"/>
    <hyperlink ref="W2250" r:id="rId3325" xr:uid="{9C2D4F91-63D0-C44B-B13B-10229B7C19B3}"/>
    <hyperlink ref="J2251" r:id="rId3326" xr:uid="{A2AF579A-FCC1-D54D-8AFE-906F3CAE8678}"/>
    <hyperlink ref="W2251" r:id="rId3327" xr:uid="{C3D59F41-AE48-F24D-97D4-481AB58827B9}"/>
    <hyperlink ref="J2252" r:id="rId3328" xr:uid="{B43F45EC-07AF-EA4B-AB34-C1059F865E3C}"/>
    <hyperlink ref="J2253" r:id="rId3329" xr:uid="{87D6DD8D-FE0A-BF41-B943-D6167A42CF17}"/>
    <hyperlink ref="J2254" r:id="rId3330" xr:uid="{B9FCA4EB-1665-6341-A5A2-7514D8910D9F}"/>
    <hyperlink ref="J2255" r:id="rId3331" xr:uid="{2F057583-F51B-0542-AF54-5D277DBB522E}"/>
    <hyperlink ref="J2256" r:id="rId3332" xr:uid="{9519E6C7-C639-9E48-9D05-5E3B10CDBD6B}"/>
    <hyperlink ref="W2256" r:id="rId3333" xr:uid="{4B02D643-314D-5C48-AB8B-43AE406CE87E}"/>
    <hyperlink ref="J2257" r:id="rId3334" xr:uid="{5028D559-C090-1348-9F8F-0DE758650A81}"/>
    <hyperlink ref="J2258" r:id="rId3335" xr:uid="{C8D232F1-1F5D-204B-BBF0-CC330FCB3DBA}"/>
    <hyperlink ref="W2258" r:id="rId3336" xr:uid="{01A04E1A-30B3-734B-B960-43A54FF59ECA}"/>
    <hyperlink ref="J2259" r:id="rId3337" xr:uid="{8CECEFDD-1EC4-CF41-8538-40BB29302EC3}"/>
    <hyperlink ref="W2259" r:id="rId3338" xr:uid="{E4154A37-F719-8746-A24D-BDEC60FD8ED2}"/>
    <hyperlink ref="J2260" r:id="rId3339" xr:uid="{1C23D521-2F73-7E43-93B0-CF9A9531EA60}"/>
    <hyperlink ref="W2260" r:id="rId3340" xr:uid="{DCF2954C-DF9A-AD41-AFC2-A8B4B7062D89}"/>
    <hyperlink ref="J2261" r:id="rId3341" xr:uid="{C5AD464E-F87F-084E-8F1A-12DE5DEC3679}"/>
    <hyperlink ref="J2262" r:id="rId3342" xr:uid="{3B749A99-4B42-DC4D-8B8E-E356C4E55787}"/>
    <hyperlink ref="J2263" r:id="rId3343" xr:uid="{610CCA85-15CB-044C-A83F-806FF2FA7860}"/>
    <hyperlink ref="J2264" r:id="rId3344" xr:uid="{B075F90F-E9A8-E94F-ACFD-D3E6A7718CA7}"/>
    <hyperlink ref="W2264" r:id="rId3345" xr:uid="{BA721663-08B7-6343-86A0-474EF33EDD4D}"/>
    <hyperlink ref="J2265" r:id="rId3346" xr:uid="{46FDAA2C-886D-9148-9319-A47D05AD0C23}"/>
    <hyperlink ref="W2265" r:id="rId3347" xr:uid="{21F8EA73-2C03-5048-8D9D-75B256A04B1C}"/>
    <hyperlink ref="J2266" r:id="rId3348" xr:uid="{791F3471-2096-6446-B4FC-E809B61060B6}"/>
    <hyperlink ref="J2267" r:id="rId3349" xr:uid="{9B71B1DF-A4CE-8846-A870-65F4C2C441BF}"/>
    <hyperlink ref="J2268" r:id="rId3350" xr:uid="{38A8D47A-CD4E-0F4F-8F72-2EC8AD236EED}"/>
    <hyperlink ref="J2269" r:id="rId3351" xr:uid="{3F726FD2-68F0-4C48-96D6-FED19AA33AE2}"/>
    <hyperlink ref="J2270" r:id="rId3352" xr:uid="{96C738DC-F1BB-5B4F-A14C-389A36C13284}"/>
    <hyperlink ref="W2270" r:id="rId3353" xr:uid="{ECA5E412-D918-4B43-BF4B-E708B1BFCF78}"/>
    <hyperlink ref="J2271" r:id="rId3354" xr:uid="{95E8480B-B9DD-B742-BDB7-8322BFA18D83}"/>
    <hyperlink ref="J2272" r:id="rId3355" xr:uid="{A437F318-500B-9942-8881-F1F95754160F}"/>
    <hyperlink ref="J2273" r:id="rId3356" xr:uid="{8916A70D-F043-994B-9E04-E465410E4008}"/>
    <hyperlink ref="J2274" r:id="rId3357" xr:uid="{24C713E4-EDED-CE42-98CB-497AFFA15C52}"/>
    <hyperlink ref="W2274" r:id="rId3358" xr:uid="{AED53849-34F0-2646-B531-5B971DBA5923}"/>
    <hyperlink ref="J2275" r:id="rId3359" xr:uid="{024679F5-D5C0-A24B-B5E7-4299D153E886}"/>
    <hyperlink ref="W2275" r:id="rId3360" xr:uid="{0538733D-8215-A046-975C-B1EC6E0DC359}"/>
    <hyperlink ref="J2276" r:id="rId3361" xr:uid="{AA73D266-4F5E-A54F-8039-285B44614B2A}"/>
    <hyperlink ref="W2276" r:id="rId3362" xr:uid="{869AA9B2-A9F5-034C-96EE-71068E8EDC1B}"/>
    <hyperlink ref="J2277" r:id="rId3363" xr:uid="{437C21AA-2C9E-D24F-AC05-C3FEC6178652}"/>
    <hyperlink ref="W2277" r:id="rId3364" xr:uid="{FD256886-688E-F644-95BD-2C411252FD5D}"/>
    <hyperlink ref="J2278" r:id="rId3365" xr:uid="{DD7A54C5-0147-684F-A3BF-02CBE7018130}"/>
    <hyperlink ref="W2278" r:id="rId3366" xr:uid="{CA9590B2-119A-9A4C-8D91-F9A65133620B}"/>
    <hyperlink ref="J2279" r:id="rId3367" xr:uid="{627D5667-F449-2647-8F4A-8C00E15E2C18}"/>
    <hyperlink ref="J2280" r:id="rId3368" xr:uid="{D157469C-5AFC-8646-88C0-26994569489D}"/>
    <hyperlink ref="J2281" r:id="rId3369" xr:uid="{B9ACD10C-B7F0-3F4B-B954-5AD8B0966D23}"/>
    <hyperlink ref="W2281" r:id="rId3370" xr:uid="{D31A4403-7314-F94A-AA67-E2DF45C6409F}"/>
    <hyperlink ref="J2282" r:id="rId3371" xr:uid="{FE3C3116-0F91-614D-A890-E1ED862CB45E}"/>
    <hyperlink ref="J2283" r:id="rId3372" xr:uid="{C29BC758-73DD-7342-800A-02B87AE075F1}"/>
    <hyperlink ref="W2283" r:id="rId3373" xr:uid="{F5C991CE-A4EA-A940-8144-0BA4C1DA1798}"/>
    <hyperlink ref="J2284" r:id="rId3374" xr:uid="{5AB8EC94-F77D-5640-A37F-6A285DF1CA8E}"/>
    <hyperlink ref="W2284" r:id="rId3375" xr:uid="{01916E19-9DBB-A644-A929-4AD3EDA48FDD}"/>
    <hyperlink ref="J2285" r:id="rId3376" xr:uid="{DC0E32FD-251F-7C43-8AF4-101CC85A7100}"/>
    <hyperlink ref="J2286" r:id="rId3377" xr:uid="{3159CE11-7473-C14F-A553-CBFA02E88635}"/>
    <hyperlink ref="W2286" r:id="rId3378" xr:uid="{633D70CD-ACE9-E447-ABC3-F1E5C41E0D0E}"/>
    <hyperlink ref="J2287" r:id="rId3379" xr:uid="{9CD13CF1-8F24-874A-A675-0A4C5CB90F13}"/>
    <hyperlink ref="W2287" r:id="rId3380" xr:uid="{1C42F993-5D76-CE47-9CE2-E2EF26E071C9}"/>
    <hyperlink ref="AH2287" r:id="rId3381" xr:uid="{020CF1AE-2B72-7E4D-B267-D92A1AC8249C}"/>
    <hyperlink ref="J2288" r:id="rId3382" xr:uid="{48FC89C3-2F82-234D-A72E-A5945BF8AB05}"/>
    <hyperlink ref="J2289" r:id="rId3383" xr:uid="{E6022B26-1778-1E49-8679-A3722AA965E2}"/>
    <hyperlink ref="J2290" r:id="rId3384" xr:uid="{9631D924-51CA-9D43-9168-0AA10088E62C}"/>
    <hyperlink ref="W2290" r:id="rId3385" xr:uid="{1690DD83-93CB-6C4C-AA6E-31977DBDEA4F}"/>
    <hyperlink ref="J2291" r:id="rId3386" xr:uid="{B24DC651-5198-FB4D-B7B6-36AE045F70FF}"/>
    <hyperlink ref="J2292" r:id="rId3387" xr:uid="{14E99C95-B085-6D4C-AAE9-B0EFED76C8AD}"/>
    <hyperlink ref="J2293" r:id="rId3388" xr:uid="{A96DD70F-03C5-064D-9408-9B07C9C919A1}"/>
    <hyperlink ref="J2294" r:id="rId3389" xr:uid="{ABF0D579-0B54-694B-81CA-2CDC046B9FCA}"/>
    <hyperlink ref="W2294" r:id="rId3390" xr:uid="{084A22D1-C32C-6140-A541-C0917DC77D19}"/>
    <hyperlink ref="J2295" r:id="rId3391" xr:uid="{D50FE177-24E0-7145-81C8-824CDFF1A787}"/>
    <hyperlink ref="J2296" r:id="rId3392" xr:uid="{D37F8141-6C33-E64D-9C5A-B87F54878749}"/>
    <hyperlink ref="W2296" r:id="rId3393" xr:uid="{8FE781C1-218A-6B4B-80CA-23045C5537B5}"/>
    <hyperlink ref="AH2296" r:id="rId3394" xr:uid="{76005917-1276-C444-82B2-422A59982C1D}"/>
    <hyperlink ref="J2297" r:id="rId3395" xr:uid="{774FAB5C-8E29-5E47-8FFA-C5E5BDD79DC0}"/>
    <hyperlink ref="J2298" r:id="rId3396" xr:uid="{A09D25C3-2A35-A146-9189-C4248A026352}"/>
    <hyperlink ref="J2299" r:id="rId3397" xr:uid="{509C2A30-87E8-8D4A-92F0-E2BF2ED053EC}"/>
    <hyperlink ref="W2299" r:id="rId3398" xr:uid="{6CF621AD-624E-834D-9A58-E7AC8AE6FC66}"/>
    <hyperlink ref="J2300" r:id="rId3399" xr:uid="{6843C2E1-ED85-A14A-89EE-0B0B0CE1AEF9}"/>
    <hyperlink ref="W2300" r:id="rId3400" xr:uid="{56FDC390-1799-BD44-953C-78DE5EBD7719}"/>
    <hyperlink ref="J2301" r:id="rId3401" xr:uid="{4839137A-B68B-F644-A5AC-8C0E65813AB8}"/>
    <hyperlink ref="J2302" r:id="rId3402" xr:uid="{4B5DDB82-6051-1349-987E-1CFF81D1DBA9}"/>
    <hyperlink ref="J2303" r:id="rId3403" xr:uid="{7E0312EA-803C-EA48-8060-5E45F2397253}"/>
    <hyperlink ref="W2303" r:id="rId3404" xr:uid="{515B42A5-43A0-7F49-89C4-F0FF213BDB15}"/>
    <hyperlink ref="J2304" r:id="rId3405" xr:uid="{785A338A-1AD9-0340-B131-ECD056C7FBF3}"/>
    <hyperlink ref="W2304" r:id="rId3406" xr:uid="{5DBAC91E-04F0-324B-88E4-6DCCBB10D7D0}"/>
    <hyperlink ref="J2305" r:id="rId3407" xr:uid="{1763B697-308D-6443-AB40-75484C254275}"/>
    <hyperlink ref="J2306" r:id="rId3408" xr:uid="{4D482028-1DA1-8846-97D1-89E563AC5B2A}"/>
    <hyperlink ref="J2307" r:id="rId3409" xr:uid="{670DDB5B-5ADE-3B46-9444-06588B6580FB}"/>
    <hyperlink ref="J2308" r:id="rId3410" xr:uid="{D07FD720-88AC-4741-99A4-0D771F60E132}"/>
    <hyperlink ref="W2308" r:id="rId3411" xr:uid="{509145F8-E074-EB4F-B03C-75754F8C90A0}"/>
    <hyperlink ref="J2309" r:id="rId3412" xr:uid="{2098CAE1-5E06-574C-A436-BAB12B03AC25}"/>
    <hyperlink ref="W2309" r:id="rId3413" xr:uid="{5FD53126-F8BF-C542-8976-61C8C72FFE61}"/>
    <hyperlink ref="J2310" r:id="rId3414" xr:uid="{0B82FC12-5B5E-F349-AB17-AE22B99B58B0}"/>
    <hyperlink ref="W2310" r:id="rId3415" xr:uid="{45D365AD-82B0-C14E-9FA7-CEAED30A2305}"/>
    <hyperlink ref="J2311" r:id="rId3416" xr:uid="{D5D433E6-73A2-FA4C-ADEE-14C677F7B505}"/>
    <hyperlink ref="W2311" r:id="rId3417" xr:uid="{2F7F89A9-B3B1-1B44-88BD-4937DC4FFBE3}"/>
    <hyperlink ref="J2312" r:id="rId3418" xr:uid="{12E482AE-45C9-D74D-8679-E9ED6DB1CDC3}"/>
    <hyperlink ref="J2313" r:id="rId3419" xr:uid="{36F51D62-DC9C-0144-9B84-17E648AE60EF}"/>
    <hyperlink ref="J2314" r:id="rId3420" xr:uid="{1B4E8975-3851-2149-B218-CE89DE232FE5}"/>
    <hyperlink ref="W2314" r:id="rId3421" xr:uid="{D094FE62-756C-2D4F-9E93-6231BEFCDAD9}"/>
    <hyperlink ref="J2315" r:id="rId3422" xr:uid="{D248C5C4-5174-0044-8F03-0718EEA1400D}"/>
    <hyperlink ref="W2315" r:id="rId3423" xr:uid="{9D14482F-C89C-AA4A-910A-D6F6F1D2C359}"/>
    <hyperlink ref="J2316" r:id="rId3424" xr:uid="{CAFDA620-6147-4D46-A7F8-70E7CC8EDC75}"/>
    <hyperlink ref="W2316" r:id="rId3425" xr:uid="{DEE62AB0-6E8C-1D43-8872-634711D3D28F}"/>
    <hyperlink ref="J2317" r:id="rId3426" xr:uid="{770C2E74-4EA7-3F4D-B7E3-C04A056F8E6E}"/>
    <hyperlink ref="W2317" r:id="rId3427" xr:uid="{6C06942E-1097-9E48-BE9F-B7E9FBC1C919}"/>
    <hyperlink ref="J2318" r:id="rId3428" xr:uid="{94A57836-F912-F84E-8B93-23963E0E54C2}"/>
    <hyperlink ref="W2318" r:id="rId3429" xr:uid="{37A402B4-3447-084D-A8FC-0ED8BBB60670}"/>
    <hyperlink ref="J2319" r:id="rId3430" xr:uid="{16F4A3FB-9682-2C47-942A-AC6E28392EB4}"/>
    <hyperlink ref="W2319" r:id="rId3431" xr:uid="{7A9C539F-F866-4946-8261-A595F5E97501}"/>
    <hyperlink ref="J2320" r:id="rId3432" xr:uid="{A5D37C03-94E6-064C-8E80-DE426031DAEF}"/>
    <hyperlink ref="W2320" r:id="rId3433" xr:uid="{AE0DDDEC-E8DA-E841-8092-71F8D893A7F0}"/>
    <hyperlink ref="AG2320" r:id="rId3434" xr:uid="{2C131A01-F095-854B-B672-7F9BEB112C5A}"/>
    <hyperlink ref="J2321" r:id="rId3435" xr:uid="{3AE26E47-21AF-6D4A-A7A9-7EA96D406F42}"/>
    <hyperlink ref="J2322" r:id="rId3436" xr:uid="{4A84F200-FACC-1648-8D0B-5FC5A2E09DDE}"/>
    <hyperlink ref="W2322" r:id="rId3437" xr:uid="{2BABA546-D24E-364D-AE75-58243C88A16E}"/>
    <hyperlink ref="J2323" r:id="rId3438" xr:uid="{BEF4F147-980E-A446-B129-1139F4D74F65}"/>
    <hyperlink ref="W2323" r:id="rId3439" xr:uid="{E7B889EE-65C1-3044-BF73-A8B5C4E51903}"/>
    <hyperlink ref="J2324" r:id="rId3440" xr:uid="{AD9B1391-A5B4-3B4D-9AA2-5AD3CEACC7BA}"/>
    <hyperlink ref="W2324" r:id="rId3441" xr:uid="{6F9DBAB8-6B8A-F949-9EF5-51401F462EBD}"/>
    <hyperlink ref="J2325" r:id="rId3442" xr:uid="{1E940896-B65F-D54A-A71A-1E4C6B97C622}"/>
    <hyperlink ref="W2325" r:id="rId3443" xr:uid="{603718F0-1241-4B42-8251-29401F5DEE2D}"/>
    <hyperlink ref="J2326" r:id="rId3444" xr:uid="{BDA71636-5DF2-5547-B655-C036BC396CB0}"/>
    <hyperlink ref="W2326" r:id="rId3445" xr:uid="{C02449E8-2977-484D-88FF-F3DBE7CD7408}"/>
    <hyperlink ref="J2327" r:id="rId3446" xr:uid="{AB884F5E-80FB-444B-9E49-830CE9B7348E}"/>
    <hyperlink ref="W2327" r:id="rId3447" xr:uid="{308B8869-F787-5F4D-BFFD-B404F3AA2CA3}"/>
    <hyperlink ref="J2328" r:id="rId3448" xr:uid="{97B39440-4548-6345-987F-3D1A6D4DB75A}"/>
    <hyperlink ref="W2328" r:id="rId3449" xr:uid="{20DCEE63-6382-7F44-ACDC-099052102DF8}"/>
    <hyperlink ref="J2329" r:id="rId3450" xr:uid="{135604E6-E5DB-484E-9EEB-DD3BD59C7481}"/>
    <hyperlink ref="W2329" r:id="rId3451" xr:uid="{5136CF6E-5B29-5240-9124-6FB0A12A220C}"/>
    <hyperlink ref="J2330" r:id="rId3452" xr:uid="{AEF54336-467E-D841-B3ED-58874E75FBC7}"/>
    <hyperlink ref="W2330" r:id="rId3453" xr:uid="{D7C47A2B-8E2F-AC43-9BED-C3A87ED1553F}"/>
    <hyperlink ref="J2331" r:id="rId3454" xr:uid="{E85412F3-B812-E04A-AA3D-AF01AFF53A1D}"/>
    <hyperlink ref="W2331" r:id="rId3455" xr:uid="{86361D8D-0EFC-3F4B-B4E2-BA6D34481292}"/>
    <hyperlink ref="J2332" r:id="rId3456" xr:uid="{41120E7E-737D-8549-8E7C-88712B1B46DA}"/>
    <hyperlink ref="W2332" r:id="rId3457" xr:uid="{C5557310-39F0-3E44-BB57-E63A2CD43C59}"/>
    <hyperlink ref="AH2332" r:id="rId3458" xr:uid="{A67635F2-AE67-B94A-9ED6-943F4DFDEE73}"/>
    <hyperlink ref="J2333" r:id="rId3459" xr:uid="{DBD7F619-A44D-6B4A-8F94-6973C0F5A7A6}"/>
    <hyperlink ref="W2333" r:id="rId3460" xr:uid="{E8A92EA4-2E82-1847-A7CE-6AFAC778BFA9}"/>
    <hyperlink ref="AG2333" r:id="rId3461" xr:uid="{96034202-2F2C-D945-B4E8-633E639FFB34}"/>
    <hyperlink ref="J2334" r:id="rId3462" xr:uid="{D0550D20-4EEA-F64F-A821-0731819BACAD}"/>
    <hyperlink ref="J2335" r:id="rId3463" xr:uid="{5EF2F22A-FE18-B940-A73C-72947C75604D}"/>
    <hyperlink ref="J2336" r:id="rId3464" xr:uid="{E8306E17-CA15-4347-856F-C003D514984A}"/>
    <hyperlink ref="J2337" r:id="rId3465" xr:uid="{15C0EFCC-7D3A-D545-961E-F561C50FA8D4}"/>
    <hyperlink ref="W2337" r:id="rId3466" xr:uid="{C50FAE06-91E7-E745-BAC8-159668E74367}"/>
    <hyperlink ref="J2338" r:id="rId3467" xr:uid="{EB58BA4E-FE2D-3940-B667-FA416CBA09D9}"/>
    <hyperlink ref="W2338" r:id="rId3468" xr:uid="{E84AED36-2BA2-FB4B-A49E-79B2B271EAE5}"/>
    <hyperlink ref="J2339" r:id="rId3469" xr:uid="{F0C4442C-9B9A-7E4F-A5CD-590D711A7E4F}"/>
    <hyperlink ref="J2340" r:id="rId3470" xr:uid="{99CAF497-33BB-CC43-A40E-22A8750E27D8}"/>
    <hyperlink ref="J2341" r:id="rId3471" xr:uid="{7AF7834C-3D5D-1E4F-B59C-16048A52B0E5}"/>
    <hyperlink ref="W2341" r:id="rId3472" xr:uid="{37E520E1-1358-1C47-9A01-771C02F0B008}"/>
    <hyperlink ref="J2342" r:id="rId3473" xr:uid="{6A387FCE-B2A5-5F41-9286-570577CB6C26}"/>
    <hyperlink ref="W2342" r:id="rId3474" xr:uid="{9A4D4B36-E5D0-F44E-8239-C71267B035A6}"/>
    <hyperlink ref="J2343" r:id="rId3475" xr:uid="{08A9DD5D-0FF8-3249-919B-FD2357984E8D}"/>
    <hyperlink ref="AG2343" r:id="rId3476" xr:uid="{E8356230-F9B3-6246-9C1D-56D2427543B3}"/>
    <hyperlink ref="J2344" r:id="rId3477" xr:uid="{C1504EBA-4EE7-1A40-98C1-480E5B3C4F5E}"/>
    <hyperlink ref="W2344" r:id="rId3478" xr:uid="{3016C2A8-6DE8-0347-940C-ABC41A6D3E0B}"/>
    <hyperlink ref="J2345" r:id="rId3479" xr:uid="{59C42586-19EA-3647-A20D-52A1354FD413}"/>
    <hyperlink ref="J2346" r:id="rId3480" xr:uid="{8BA7F1C3-59DE-174A-821E-7765250A8978}"/>
    <hyperlink ref="J2347" r:id="rId3481" xr:uid="{43727BBC-D660-424B-BC9B-A78F6E10583D}"/>
    <hyperlink ref="W2347" r:id="rId3482" xr:uid="{39235939-34C0-9A48-9B3B-4E4616DC49DB}"/>
    <hyperlink ref="J2348" r:id="rId3483" xr:uid="{3BB6BAD0-DBA8-2540-99C9-599B420FFDFF}"/>
    <hyperlink ref="W2348" r:id="rId3484" xr:uid="{EDD67F9C-9693-2F40-BCC3-ADB53ECDE80C}"/>
    <hyperlink ref="J2349" r:id="rId3485" xr:uid="{0D25B79B-EDC6-6A4C-B92C-96C369092AE5}"/>
    <hyperlink ref="W2349" r:id="rId3486" xr:uid="{79535F0B-0978-3C48-BA6C-0FB599C128DA}"/>
    <hyperlink ref="J2350" r:id="rId3487" xr:uid="{09DAD639-A186-EB41-B82D-D92898A88E6B}"/>
    <hyperlink ref="J2351" r:id="rId3488" xr:uid="{2F0F7E7E-D3E5-5E44-AF64-AAB3F48B6611}"/>
    <hyperlink ref="J2352" r:id="rId3489" xr:uid="{6446B351-9196-764B-A4D7-1FFAB9BF1BA6}"/>
    <hyperlink ref="W2352" r:id="rId3490" xr:uid="{BD89901F-514A-804E-8B9F-0D0DF5E9E669}"/>
    <hyperlink ref="J2353" r:id="rId3491" xr:uid="{6CE13FED-931A-F045-94EA-BF080A699CD5}"/>
    <hyperlink ref="W2353" r:id="rId3492" xr:uid="{38F21358-09CC-6A49-A48A-D1A85AF93029}"/>
    <hyperlink ref="J2354" r:id="rId3493" xr:uid="{FD741859-9838-9840-A6AE-64FB4FA1997C}"/>
    <hyperlink ref="W2354" r:id="rId3494" xr:uid="{4BB54107-166D-4141-9FA6-45B74E78B830}"/>
    <hyperlink ref="J2355" r:id="rId3495" xr:uid="{A4E6A197-AED0-3644-8A69-68B9A6C1A607}"/>
    <hyperlink ref="J2356" r:id="rId3496" xr:uid="{BC79815B-2C45-F14A-9DA9-B655B52E581B}"/>
    <hyperlink ref="J2357" r:id="rId3497" xr:uid="{1E32EA64-9A47-8448-B9E9-0FDEAB968367}"/>
    <hyperlink ref="J2358" r:id="rId3498" xr:uid="{A015AC62-31E1-FC45-8CB5-AAD47DF14C7B}"/>
    <hyperlink ref="J2359" r:id="rId3499" xr:uid="{BC8E74BC-8050-D04C-BAA4-104DC17326DF}"/>
    <hyperlink ref="W2359" r:id="rId3500" xr:uid="{A1F249AD-5811-8A47-BBEB-81F0D5B958CA}"/>
    <hyperlink ref="AG2359" r:id="rId3501" xr:uid="{886A5EC1-476A-9E48-AB31-F3FDF43DC667}"/>
    <hyperlink ref="J2360" r:id="rId3502" xr:uid="{ED56FB9F-AC44-8848-973A-DEAB1F90F14D}"/>
    <hyperlink ref="J2361" r:id="rId3503" xr:uid="{228C385A-3071-3745-BC9A-B4479707ECA0}"/>
    <hyperlink ref="J2362" r:id="rId3504" xr:uid="{69792411-B3BE-034C-8419-2A8DEF745D59}"/>
    <hyperlink ref="W2362" r:id="rId3505" xr:uid="{8794E8A3-46F4-1E4A-A32E-2B2688434F9F}"/>
    <hyperlink ref="J2363" r:id="rId3506" xr:uid="{65127BA3-F455-A94C-92C5-B63CACC7322B}"/>
    <hyperlink ref="J2364" r:id="rId3507" xr:uid="{3B010D09-4DC5-0048-B520-54DEDCC6CCE5}"/>
    <hyperlink ref="W2364" r:id="rId3508" xr:uid="{2D141568-1FF7-E34D-B360-814E873CA05F}"/>
    <hyperlink ref="J2365" r:id="rId3509" xr:uid="{5F759150-01B8-1D41-B679-9F5F2A262658}"/>
    <hyperlink ref="J2366" r:id="rId3510" xr:uid="{D441B4FE-C042-354B-B529-A416B508EA5C}"/>
    <hyperlink ref="J2367" r:id="rId3511" xr:uid="{20DE0A13-1753-CE4D-A544-35403C62EAB1}"/>
    <hyperlink ref="J2368" r:id="rId3512" xr:uid="{F158BDB8-20BA-1B43-A9C9-D840AE9A7B9A}"/>
    <hyperlink ref="J2369" r:id="rId3513" xr:uid="{A34604A1-BBB4-3C46-9B0D-0F6F92D3CE42}"/>
    <hyperlink ref="W2369" r:id="rId3514" xr:uid="{89247689-6E6D-2B4E-90D7-635831D8E942}"/>
    <hyperlink ref="J2370" r:id="rId3515" xr:uid="{CA581DB9-F65F-4340-AF42-CD41625B3EE8}"/>
    <hyperlink ref="J2371" r:id="rId3516" xr:uid="{D3D49713-47BB-F04F-9A32-B97292B95E2D}"/>
    <hyperlink ref="J2372" r:id="rId3517" xr:uid="{C0DF8A13-1E8B-8D47-80F7-429D0202E9A9}"/>
    <hyperlink ref="J2373" r:id="rId3518" xr:uid="{B5980998-0993-3E44-9FE2-6DCBAF4DD884}"/>
    <hyperlink ref="J2374" r:id="rId3519" xr:uid="{535B78CA-E14B-DA49-BADF-0881E81517B9}"/>
    <hyperlink ref="J2375" r:id="rId3520" xr:uid="{B8B197A0-D460-324D-B709-DA8F0637D67C}"/>
    <hyperlink ref="J2376" r:id="rId3521" xr:uid="{C2CB95BA-6796-F048-96F9-AEA68D9E8FFD}"/>
    <hyperlink ref="J2377" r:id="rId3522" xr:uid="{E26936D1-439B-1D4B-B0DF-3C6180F444E3}"/>
    <hyperlink ref="J2378" r:id="rId3523" xr:uid="{FAA951FC-327F-9342-AF59-4C5348FFB3DA}"/>
    <hyperlink ref="J2379" r:id="rId3524" xr:uid="{426D198E-DEE6-1043-B2D2-CBE9BDBEA17A}"/>
    <hyperlink ref="W2379" r:id="rId3525" xr:uid="{F36C46EE-AA50-3C4E-BA06-3FF7E35F1E20}"/>
    <hyperlink ref="J2380" r:id="rId3526" xr:uid="{8E53EC0C-51FA-824A-B8BD-26BDBCF4E4D9}"/>
    <hyperlink ref="J2381" r:id="rId3527" xr:uid="{72618F60-B49A-9F45-8A43-A91FC3F88DDD}"/>
    <hyperlink ref="J2382" r:id="rId3528" xr:uid="{7FB007C6-BC2A-D345-A36D-55FD5E35B304}"/>
    <hyperlink ref="J2383" r:id="rId3529" xr:uid="{03B404CC-5564-E643-8F2C-EDA8072037A9}"/>
    <hyperlink ref="J2384" r:id="rId3530" xr:uid="{B7BD7958-DCDC-6F44-9841-76BF86BF5EA5}"/>
    <hyperlink ref="J2385" r:id="rId3531" xr:uid="{DE8138C0-2A54-524E-B529-2D967899D019}"/>
    <hyperlink ref="J2386" r:id="rId3532" xr:uid="{7CB007F4-B54D-4B47-B6C7-865B100D99EC}"/>
    <hyperlink ref="W2386" r:id="rId3533" xr:uid="{2D7F73B4-AFC7-574D-BE81-B1D26E4E88CE}"/>
    <hyperlink ref="J2387" r:id="rId3534" xr:uid="{404DD14A-5B33-664A-A3D6-D09668EE3E2E}"/>
    <hyperlink ref="W2387" r:id="rId3535" xr:uid="{71500A0E-B3FF-FF48-9111-66CEFFEF6F91}"/>
    <hyperlink ref="J2388" r:id="rId3536" xr:uid="{D63BD618-898B-7C46-9123-71F42ACC3CE5}"/>
    <hyperlink ref="W2388" r:id="rId3537" xr:uid="{7294E544-7AA9-A048-9259-E5327847627B}"/>
    <hyperlink ref="J2389" r:id="rId3538" xr:uid="{6CB4F44E-466D-7E45-91AB-C24AFEC45567}"/>
    <hyperlink ref="W2389" r:id="rId3539" xr:uid="{FDD628B6-0C51-BB4A-8D5B-901A5A0B458F}"/>
    <hyperlink ref="J2390" r:id="rId3540" xr:uid="{0BBEFB06-B10D-F241-A7E6-1DD6666215AA}"/>
    <hyperlink ref="W2390" r:id="rId3541" xr:uid="{C3DBB662-B2BA-1D43-979E-6ACF9726D6C9}"/>
    <hyperlink ref="J2391" r:id="rId3542" xr:uid="{E010B9CE-1861-3A46-AAE3-F9C78DDF2833}"/>
    <hyperlink ref="J2392" r:id="rId3543" xr:uid="{82A42636-C01E-5543-9E98-EF9B619536BE}"/>
    <hyperlink ref="J2393" r:id="rId3544" xr:uid="{E4EBCF7E-CC88-6646-B969-89A2DBDAF767}"/>
    <hyperlink ref="W2393" r:id="rId3545" xr:uid="{A54A4F91-0EFF-F344-8DE1-1FE26390B2FF}"/>
    <hyperlink ref="J2394" r:id="rId3546" xr:uid="{AAE0AB1E-2B44-B244-80C6-DE572CCFA14C}"/>
    <hyperlink ref="W2394" r:id="rId3547" xr:uid="{6EBDE53A-BBC3-9D4A-A947-5BCC2D809873}"/>
    <hyperlink ref="J2395" r:id="rId3548" xr:uid="{67663015-1C80-5D44-A658-707FFE8B614C}"/>
    <hyperlink ref="J2396" r:id="rId3549" xr:uid="{A2A96FF5-0C87-BA47-A059-11F3D868E70C}"/>
    <hyperlink ref="J2397" r:id="rId3550" xr:uid="{0B7B72E6-EF06-BE4C-BC99-48E3B40893DE}"/>
    <hyperlink ref="J2398" r:id="rId3551" xr:uid="{0F06FCED-B1CA-B842-941D-2DC731F7AD96}"/>
    <hyperlink ref="W2398" r:id="rId3552" xr:uid="{33E00DC7-516A-9140-9B16-4AC8231E85BA}"/>
    <hyperlink ref="J2399" r:id="rId3553" xr:uid="{DA753284-3316-E04F-A847-EB49AA729E67}"/>
    <hyperlink ref="W2399" r:id="rId3554" xr:uid="{F5BC2064-7CC3-BD45-9631-AAA7CAC03BF6}"/>
    <hyperlink ref="J2400" r:id="rId3555" xr:uid="{C140CD99-D502-8944-A882-D41875C2717B}"/>
    <hyperlink ref="J2401" r:id="rId3556" xr:uid="{3E9E65E5-1A69-6048-8181-377FA64DF74E}"/>
    <hyperlink ref="W2401" r:id="rId3557" xr:uid="{A061598D-B8CB-CD4D-8258-A840D993ED0D}"/>
    <hyperlink ref="J2402" r:id="rId3558" xr:uid="{84A8F742-3D0A-5943-AA39-D2D068112532}"/>
    <hyperlink ref="W2402" r:id="rId3559" xr:uid="{841814D3-EAF9-5E45-93D8-2D3F0285C4A4}"/>
    <hyperlink ref="J2403" r:id="rId3560" xr:uid="{63090106-AA40-4144-B146-90F5FE13FD35}"/>
    <hyperlink ref="J2404" r:id="rId3561" xr:uid="{459496BE-BFD3-0F4D-8807-26F166D8C97A}"/>
    <hyperlink ref="J2405" r:id="rId3562" xr:uid="{484516F9-5221-024D-A7DA-2637B1D94B32}"/>
    <hyperlink ref="J2406" r:id="rId3563" xr:uid="{D0C159C7-5075-6341-A768-FC2799723B9A}"/>
    <hyperlink ref="W2406" r:id="rId3564" xr:uid="{AA1F7210-BA69-F64D-9AC8-3196A920B17B}"/>
    <hyperlink ref="J2407" r:id="rId3565" xr:uid="{AB30C678-5BF2-3E4A-87CB-8503F7B37585}"/>
    <hyperlink ref="J2408" r:id="rId3566" xr:uid="{77880DC7-57F5-5C4E-81DD-FC55760CA450}"/>
    <hyperlink ref="J2409" r:id="rId3567" xr:uid="{6B46E67D-7A5D-2740-8AAA-667600749D8E}"/>
    <hyperlink ref="J2410" r:id="rId3568" xr:uid="{5B3332DF-A7E3-8F40-8E05-5B73957C7282}"/>
    <hyperlink ref="J2411" r:id="rId3569" xr:uid="{F078F097-0364-AD41-BC4B-1975B9F99647}"/>
    <hyperlink ref="W2411" r:id="rId3570" xr:uid="{A6DD0DFE-C61B-5B45-82CB-954212D46490}"/>
    <hyperlink ref="J2412" r:id="rId3571" xr:uid="{4F8EDAC7-815B-004C-B22D-42E168B1F3B9}"/>
    <hyperlink ref="W2412" r:id="rId3572" xr:uid="{6ADED3D4-84FB-3A4D-B0D2-B2BDB080ABAF}"/>
    <hyperlink ref="J2413" r:id="rId3573" xr:uid="{F651EB13-25D6-7244-B296-556D2F3EFA95}"/>
    <hyperlink ref="J2414" r:id="rId3574" xr:uid="{D84C1C21-FD32-9E4C-BD45-7D18AC2AF6F4}"/>
    <hyperlink ref="W2414" r:id="rId3575" xr:uid="{1AF7DD97-785C-1A4F-BF68-30D0439CEAEF}"/>
    <hyperlink ref="J2415" r:id="rId3576" xr:uid="{FF9598CE-BF86-BE4C-BF1C-A096520139A0}"/>
    <hyperlink ref="W2415" r:id="rId3577" xr:uid="{FF139D17-E025-644A-BF01-A774E0F6A081}"/>
    <hyperlink ref="J2416" r:id="rId3578" xr:uid="{D0197F50-0FB5-D049-A07E-AF889E9D7716}"/>
    <hyperlink ref="J2417" r:id="rId3579" xr:uid="{5362E913-3609-704E-866A-A511C0C5D975}"/>
    <hyperlink ref="W2417" r:id="rId3580" xr:uid="{FBFAF664-94EA-E24C-8006-2E9BA2744E45}"/>
    <hyperlink ref="J2418" r:id="rId3581" xr:uid="{A2EEA66B-BF27-F04E-9704-DB070D88286A}"/>
    <hyperlink ref="J2419" r:id="rId3582" xr:uid="{46325959-12E0-A24A-A237-F8204736B79D}"/>
    <hyperlink ref="J2420" r:id="rId3583" xr:uid="{95F2E86E-16C9-924F-BE26-4E90352E9A25}"/>
    <hyperlink ref="J2421" r:id="rId3584" xr:uid="{F55D84EB-B9D5-5643-820E-C972BB2F007D}"/>
    <hyperlink ref="J2422" r:id="rId3585" xr:uid="{A68D4864-546F-DB41-B8AB-359C70000449}"/>
    <hyperlink ref="W2422" r:id="rId3586" xr:uid="{6F966A90-7A26-6A41-A12E-16C8CBB7C158}"/>
    <hyperlink ref="J2423" r:id="rId3587" xr:uid="{A080E278-E939-6948-B877-7CAA35E3F3A8}"/>
    <hyperlink ref="W2423" r:id="rId3588" xr:uid="{36F5071F-8064-8E41-A118-A06775D7EA79}"/>
    <hyperlink ref="J2424" r:id="rId3589" xr:uid="{EA97AE2E-025B-4B40-B4E1-9BE99FAFE5CC}"/>
    <hyperlink ref="J2425" r:id="rId3590" xr:uid="{007BFA57-134B-E043-8C7D-AB74AB578C2F}"/>
    <hyperlink ref="J2426" r:id="rId3591" xr:uid="{8E2E8A85-2959-944B-A94C-87E0990F07F7}"/>
    <hyperlink ref="W2426" r:id="rId3592" xr:uid="{88D311A9-6E2D-6F45-8056-B767EDFFCA20}"/>
    <hyperlink ref="J2427" r:id="rId3593" xr:uid="{B981C8D1-4D80-8749-9F6E-7B19EEBAB760}"/>
    <hyperlink ref="J2428" r:id="rId3594" xr:uid="{B2F5A7C9-02B7-ED49-A46C-C4171934D31B}"/>
    <hyperlink ref="W2428" r:id="rId3595" xr:uid="{345D4233-2DAF-E345-AE81-0DB67F8E029F}"/>
    <hyperlink ref="J2429" r:id="rId3596" xr:uid="{17AC81CA-C93D-E943-B6B1-F0B4DD1B1F3B}"/>
    <hyperlink ref="W2429" r:id="rId3597" xr:uid="{8EEC6E0F-3159-744D-BD91-785EA4F5636E}"/>
    <hyperlink ref="J2430" r:id="rId3598" xr:uid="{EF213F07-37E4-5046-861E-E6731019E0F9}"/>
    <hyperlink ref="J2431" r:id="rId3599" xr:uid="{BFF774F8-1FCC-F54B-A2D1-09DBF8533F73}"/>
    <hyperlink ref="W2431" r:id="rId3600" xr:uid="{0E3D7A59-F685-0142-B6D8-F2A00D70C136}"/>
    <hyperlink ref="J2432" r:id="rId3601" xr:uid="{721F8FC4-5E0C-9E48-BF04-E8388802BBD0}"/>
    <hyperlink ref="W2432" r:id="rId3602" xr:uid="{9AE4A6D9-5C84-C94B-8514-812AE30C042E}"/>
    <hyperlink ref="J2433" r:id="rId3603" xr:uid="{AF6D9BED-D9E7-ED46-8F29-24671F3757E2}"/>
    <hyperlink ref="W2433" r:id="rId3604" xr:uid="{6A384583-27D1-804F-97FA-A8CE7A3DEE5A}"/>
    <hyperlink ref="J2434" r:id="rId3605" xr:uid="{1DC1C204-779C-7344-B083-8C5AD2A051CB}"/>
    <hyperlink ref="W2434" r:id="rId3606" xr:uid="{2710DD6B-9DB9-1D4F-A40D-0F83D7CA3CBE}"/>
    <hyperlink ref="J2435" r:id="rId3607" xr:uid="{A4611C2E-9FDB-964E-93FD-32902FF46350}"/>
    <hyperlink ref="W2435" r:id="rId3608" xr:uid="{B5E38128-A02B-D045-8955-084431EFD808}"/>
    <hyperlink ref="J2436" r:id="rId3609" xr:uid="{2CFA17F6-14F0-A643-AC2A-0784FED0EE2B}"/>
    <hyperlink ref="J2437" r:id="rId3610" xr:uid="{BC463BE0-D298-5541-B609-533714091601}"/>
    <hyperlink ref="W2437" r:id="rId3611" xr:uid="{205C2C57-6B84-A64F-9E57-8D1DDAF5E885}"/>
    <hyperlink ref="J2438" r:id="rId3612" xr:uid="{C39B440A-2780-BB4F-97B4-5E2EFAD72748}"/>
    <hyperlink ref="W2438" r:id="rId3613" xr:uid="{0B99CA69-CA5E-3A4A-978C-E2B5C76F7AD0}"/>
    <hyperlink ref="J2439" r:id="rId3614" xr:uid="{E11A1A98-5E0E-EE4E-9457-E5BCE49B4671}"/>
    <hyperlink ref="W2439" r:id="rId3615" xr:uid="{778D808F-9CCB-E44E-AFE3-0DA9332A14DB}"/>
    <hyperlink ref="J2440" r:id="rId3616" xr:uid="{805BFDD8-43A1-8F4B-A036-AAF5B56C707F}"/>
    <hyperlink ref="W2440" r:id="rId3617" xr:uid="{BFFD62E8-6E86-F34A-B1BE-081FA89F6FDF}"/>
    <hyperlink ref="J2441" r:id="rId3618" xr:uid="{AE5C32BB-81E8-E740-B154-A8E48AD118BB}"/>
    <hyperlink ref="W2441" r:id="rId3619" xr:uid="{3444F7D9-537E-674F-AB7B-8DCD8B15FFCB}"/>
    <hyperlink ref="J2442" r:id="rId3620" xr:uid="{E1E9D602-357D-4F4F-BD3F-1AD99806D862}"/>
    <hyperlink ref="W2442" r:id="rId3621" xr:uid="{24F6ACB8-D4ED-BD4D-9803-8FB7B40E047F}"/>
    <hyperlink ref="J2443" r:id="rId3622" xr:uid="{7641167E-CFF8-DA4E-AAD5-04968E16BBF1}"/>
    <hyperlink ref="W2443" r:id="rId3623" xr:uid="{7A872EA9-EE58-AE43-8768-9C9F9F998A1F}"/>
    <hyperlink ref="J2444" r:id="rId3624" xr:uid="{CCA7C5CC-6222-D34F-A582-CF15DA4BFA2D}"/>
    <hyperlink ref="W2444" r:id="rId3625" xr:uid="{5324B718-2E39-E54D-A546-2EA40DF8DA1A}"/>
    <hyperlink ref="J2445" r:id="rId3626" xr:uid="{6FA57C20-D681-444A-B448-F740E38895D7}"/>
    <hyperlink ref="W2445" r:id="rId3627" xr:uid="{1A6BC59B-DABE-1845-B113-F5A3D9C1F9E6}"/>
    <hyperlink ref="J2446" r:id="rId3628" xr:uid="{20354319-903E-D54B-BF72-D55D9C84CAD1}"/>
    <hyperlink ref="J2447" r:id="rId3629" xr:uid="{02B67C29-D320-ED45-8432-B3C409BF5C5D}"/>
    <hyperlink ref="W2447" r:id="rId3630" xr:uid="{BC961218-725E-D94F-9496-DB21C5D1D23C}"/>
    <hyperlink ref="J2448" r:id="rId3631" xr:uid="{3092F6BD-C5FC-4E46-B041-F3F9CCDB564A}"/>
    <hyperlink ref="W2448" r:id="rId3632" xr:uid="{97EF1489-B920-C340-B022-F86A7DCE91FD}"/>
    <hyperlink ref="J2449" r:id="rId3633" xr:uid="{1C11DC02-7070-CA4D-934F-B7C90BE9EB1C}"/>
    <hyperlink ref="J2450" r:id="rId3634" xr:uid="{4DA2C2EB-3A4D-1241-BE6B-96B3790425B5}"/>
    <hyperlink ref="J2451" r:id="rId3635" xr:uid="{AFAEABA3-FDDF-064F-A5C0-BA9ECF1AFA17}"/>
    <hyperlink ref="J2452" r:id="rId3636" xr:uid="{FB4FA763-E2A9-CA4E-B269-CAF1915239A3}"/>
    <hyperlink ref="J2453" r:id="rId3637" xr:uid="{41F621CE-1093-9143-BCDA-36ADD852D6DD}"/>
    <hyperlink ref="J2454" r:id="rId3638" xr:uid="{F1127FAB-014A-6B47-ADC1-36E7F16C4EA1}"/>
    <hyperlink ref="J2455" r:id="rId3639" xr:uid="{983883A9-C423-7544-B39D-F1B57AAEF63B}"/>
    <hyperlink ref="J2456" r:id="rId3640" xr:uid="{A1377701-223E-3446-B1CA-667174617361}"/>
    <hyperlink ref="J2457" r:id="rId3641" xr:uid="{F202BB21-EA0F-1744-9DFF-1823A15086B5}"/>
    <hyperlink ref="J2458" r:id="rId3642" xr:uid="{5154AB3B-53A7-7044-BDEB-7FD383D2B635}"/>
    <hyperlink ref="W2458" r:id="rId3643" xr:uid="{49345DF5-9AD6-4845-A3B0-E580CE3B79FF}"/>
    <hyperlink ref="J2459" r:id="rId3644" xr:uid="{8FEF52E4-3635-ED43-BF04-95E1D86FE6C0}"/>
    <hyperlink ref="W2459" r:id="rId3645" xr:uid="{742777AF-A1E4-B640-A072-465CEBF92DE0}"/>
    <hyperlink ref="J2460" r:id="rId3646" xr:uid="{99D74829-7D1B-B04E-A9FA-C587806B5529}"/>
    <hyperlink ref="J2461" r:id="rId3647" xr:uid="{7BC3E817-4A41-6C40-AB3A-F93573E97837}"/>
    <hyperlink ref="W2461" r:id="rId3648" xr:uid="{B29F0178-FA83-9F41-B209-F626B1C0A40B}"/>
    <hyperlink ref="J2462" r:id="rId3649" xr:uid="{5A516C35-AAF8-C942-8DE3-8902DA6F3DE0}"/>
    <hyperlink ref="J2463" r:id="rId3650" xr:uid="{9DE76B97-355E-6349-9F6D-A2E26ADAB0D1}"/>
    <hyperlink ref="J2464" r:id="rId3651" xr:uid="{C51D7142-59AF-5F43-B3A4-77A9E2D4B9A6}"/>
    <hyperlink ref="W2464" r:id="rId3652" xr:uid="{7D52299D-D520-2B4F-8392-9F1534FA4B64}"/>
    <hyperlink ref="J2465" r:id="rId3653" xr:uid="{048B6C25-53A2-9642-82A4-91B2639D1271}"/>
    <hyperlink ref="J2466" r:id="rId3654" xr:uid="{22B8B121-E84F-4140-948C-00FCAFC4CA84}"/>
    <hyperlink ref="W2466" r:id="rId3655" xr:uid="{949E1CE1-3A3B-ED43-8FFA-975D066EC37B}"/>
    <hyperlink ref="J2467" r:id="rId3656" xr:uid="{875CC904-F07F-2F40-A7CE-CB4F9C07677B}"/>
    <hyperlink ref="AG2467" r:id="rId3657" xr:uid="{6B94EFC7-7BE2-1E4B-9C43-01539EE4547C}"/>
    <hyperlink ref="J2468" r:id="rId3658" xr:uid="{9B888EC6-1732-1744-8321-77940A20709D}"/>
    <hyperlink ref="O2468" r:id="rId3659" xr:uid="{B84383A5-6724-A74B-81BC-76EBD26A4BCE}"/>
    <hyperlink ref="J2469" r:id="rId3660" xr:uid="{D8881C04-0824-5842-AA98-A84EA43A926C}"/>
    <hyperlink ref="W2469" r:id="rId3661" xr:uid="{60883E3C-DAC5-474F-B105-EC982D981F4A}"/>
    <hyperlink ref="J2470" r:id="rId3662" xr:uid="{B8095F9E-61F5-DA4C-9BF5-1FA51DE66C69}"/>
    <hyperlink ref="J2471" r:id="rId3663" xr:uid="{383B57FD-E6B2-DC41-95D4-E0C3A23CF9BC}"/>
    <hyperlink ref="W2471" r:id="rId3664" xr:uid="{FC445888-533A-A244-B0F5-E6B2485931FD}"/>
    <hyperlink ref="J2472" r:id="rId3665" xr:uid="{A048F653-7904-484F-A76A-E2F49CB873D5}"/>
    <hyperlink ref="J2473" r:id="rId3666" xr:uid="{4EE9D545-3057-6B4A-82F8-92CEAB87C177}"/>
    <hyperlink ref="J2474" r:id="rId3667" xr:uid="{6811B9E5-855C-5E4B-878C-133CC15952CD}"/>
    <hyperlink ref="J2475" r:id="rId3668" xr:uid="{80B41ABB-BC8B-9141-9DAF-90B47D6EBF2E}"/>
    <hyperlink ref="J2476" r:id="rId3669" xr:uid="{F4D81E36-826C-8D4C-A6E9-F9E4E4A7B84B}"/>
    <hyperlink ref="W2476" r:id="rId3670" xr:uid="{1490392B-8478-FC4C-8BF5-56522442FA8F}"/>
    <hyperlink ref="J2477" r:id="rId3671" xr:uid="{E4AB4002-178D-D04D-B1BD-48A477CBC1AA}"/>
    <hyperlink ref="J2478" r:id="rId3672" xr:uid="{150AA9EA-7E49-EC46-BF8B-BC19022A6327}"/>
    <hyperlink ref="J2479" r:id="rId3673" xr:uid="{084E9032-AB83-1B4F-9FF2-B205844D7FBA}"/>
    <hyperlink ref="J2480" r:id="rId3674" xr:uid="{61E165FD-95F6-1F49-ADC7-82BB3648815C}"/>
    <hyperlink ref="J2481" r:id="rId3675" xr:uid="{F89EF1B3-00EF-4D48-ABAA-D896ADB5D7A4}"/>
    <hyperlink ref="J2482" r:id="rId3676" xr:uid="{D0255783-513B-3C4B-837B-2CAD50154B91}"/>
    <hyperlink ref="J2483" r:id="rId3677" xr:uid="{B2872068-7C86-C94B-A4DD-ACAB4BBDBB84}"/>
    <hyperlink ref="J2484" r:id="rId3678" xr:uid="{6AAFA7C1-43B7-AA42-8A7B-D9316B8D3279}"/>
    <hyperlink ref="J2485" r:id="rId3679" xr:uid="{AE367DDA-0B0D-8541-A142-87FDF90626E1}"/>
    <hyperlink ref="J2486" r:id="rId3680" xr:uid="{30181942-789D-6748-A59A-1158A5136832}"/>
    <hyperlink ref="J2487" r:id="rId3681" xr:uid="{3EAD6BF4-19D9-CE44-A0F0-3E86695EF138}"/>
    <hyperlink ref="W2487" r:id="rId3682" xr:uid="{567FD44A-EFE2-EC46-A0C3-72C4CB6D372E}"/>
    <hyperlink ref="J2488" r:id="rId3683" xr:uid="{B2B5C5BE-BD2C-3E4D-A98F-1671B7E42BCE}"/>
    <hyperlink ref="J2489" r:id="rId3684" xr:uid="{FB8A2249-8E0E-904E-9DF8-2626CE43FC3C}"/>
    <hyperlink ref="J2490" r:id="rId3685" xr:uid="{214E68D4-C822-9D44-91F8-C4E9B0A83B9D}"/>
    <hyperlink ref="J2491" r:id="rId3686" xr:uid="{D7A643D7-3D77-1645-ABAA-CCA93E699B98}"/>
    <hyperlink ref="J2492" r:id="rId3687" xr:uid="{20ED1FAD-23A3-DF40-9B08-1CEDDB4B8BE0}"/>
    <hyperlink ref="J2493" r:id="rId3688" xr:uid="{BF5CB510-D41D-354D-B489-BD43941290AC}"/>
    <hyperlink ref="J2494" r:id="rId3689" xr:uid="{68B028E5-B3CF-214A-9024-8730B32B52C6}"/>
    <hyperlink ref="W2494" r:id="rId3690" xr:uid="{5CE8010F-FA37-514E-A844-002DE7739341}"/>
    <hyperlink ref="AG2494" r:id="rId3691" xr:uid="{4427E207-E074-3146-B5D7-2838BA95C92B}"/>
    <hyperlink ref="J2495" r:id="rId3692" xr:uid="{A4C5B0A5-CE07-0945-91D4-B4AEAA4A2959}"/>
    <hyperlink ref="J2496" r:id="rId3693" xr:uid="{7536C3D6-2C72-6846-8F80-88FC0CF46DF8}"/>
    <hyperlink ref="W2496" r:id="rId3694" xr:uid="{EECA7EDA-5F33-DF4B-89AF-5DA8A6DE6F24}"/>
    <hyperlink ref="J2497" r:id="rId3695" xr:uid="{2BFF728A-946D-3048-A0E5-300A31492312}"/>
    <hyperlink ref="W2497" r:id="rId3696" xr:uid="{978F4FB5-2474-4A47-8FD5-84DB89CD7379}"/>
    <hyperlink ref="J2498" r:id="rId3697" xr:uid="{B4E2E29B-A0EB-8D47-BDF6-6979B4D47403}"/>
    <hyperlink ref="J2499" r:id="rId3698" xr:uid="{8C54F5E3-6A79-2340-93BE-A62A885C21D9}"/>
    <hyperlink ref="J2500" r:id="rId3699" xr:uid="{E8E02D23-7032-5B49-AA92-858173F73523}"/>
    <hyperlink ref="J2501" r:id="rId3700" xr:uid="{FF25F22C-CCC5-BA41-8198-9A87EF77D20E}"/>
    <hyperlink ref="J2502" r:id="rId3701" xr:uid="{6A0722D9-9A58-7046-987F-D9508C99F7FC}"/>
    <hyperlink ref="J2503" r:id="rId3702" xr:uid="{CFDA5081-E5C6-B249-A61E-8B5FEAC83025}"/>
    <hyperlink ref="W2503" r:id="rId3703" xr:uid="{B2DF08C6-9214-7142-90D6-85A81345C283}"/>
    <hyperlink ref="J2504" r:id="rId3704" xr:uid="{D4C40C8B-DF11-7244-998A-C55B9D95AFCE}"/>
    <hyperlink ref="W2504" r:id="rId3705" xr:uid="{1C020B02-452B-D240-917C-086003FC3DD0}"/>
    <hyperlink ref="J2505" r:id="rId3706" xr:uid="{0D3605A3-70C4-5444-A366-2837F143F75B}"/>
    <hyperlink ref="J2506" r:id="rId3707" xr:uid="{A6C492B8-D57C-CF42-9A90-C898B94C5290}"/>
    <hyperlink ref="W2506" r:id="rId3708" xr:uid="{0860435E-45AF-FA40-966C-ACDA9DAA92DF}"/>
    <hyperlink ref="J2507" r:id="rId3709" xr:uid="{C49DA199-B95E-1B47-8B0F-5949B51A0F08}"/>
    <hyperlink ref="W2507" r:id="rId3710" xr:uid="{403A412C-BA95-1049-AC14-CD905D2339D4}"/>
    <hyperlink ref="J2508" r:id="rId3711" xr:uid="{02AAE919-D5F0-B744-A362-32CF9E78812A}"/>
    <hyperlink ref="W2508" r:id="rId3712" xr:uid="{41F13DCD-AF1A-FC4D-9859-D88C3689CCED}"/>
    <hyperlink ref="J2509" r:id="rId3713" xr:uid="{10E016C6-A336-1E49-A262-B766F456381E}"/>
    <hyperlink ref="W2509" r:id="rId3714" xr:uid="{FBE80605-8FBC-BC43-B6B8-53A3AA132687}"/>
    <hyperlink ref="J2510" r:id="rId3715" xr:uid="{F31A5F93-A745-D945-9A9B-5E85E7A0ACF2}"/>
    <hyperlink ref="W2510" r:id="rId3716" xr:uid="{512E2608-B86A-B346-AC12-3DE043B7414E}"/>
    <hyperlink ref="J2511" r:id="rId3717" xr:uid="{014C68B3-D747-4741-9322-258C90270DE2}"/>
    <hyperlink ref="W2511" r:id="rId3718" xr:uid="{D7FEF239-A0F7-7A49-91CE-DBAF7F0AEC31}"/>
    <hyperlink ref="J2512" r:id="rId3719" xr:uid="{2DCE0795-9213-4B4F-92D0-A55FF66A6C6C}"/>
    <hyperlink ref="W2512" r:id="rId3720" xr:uid="{DE6A67E2-ACF5-7D41-A6CD-781971A8E370}"/>
    <hyperlink ref="J2513" r:id="rId3721" xr:uid="{BC8CB2A0-D1F7-814B-936D-D5557B88168D}"/>
    <hyperlink ref="J2514" r:id="rId3722" xr:uid="{00404C46-18D7-B544-9415-A25CDAAFB4D6}"/>
    <hyperlink ref="W2514" r:id="rId3723" xr:uid="{4415D0DC-8C59-3B46-8CDC-033F3555B569}"/>
    <hyperlink ref="J2515" r:id="rId3724" xr:uid="{FC7AF4F8-3811-884E-96F4-34605AD9620F}"/>
    <hyperlink ref="J2516" r:id="rId3725" xr:uid="{00A36746-7F64-E240-9A2E-D15214C28EA6}"/>
    <hyperlink ref="J2517" r:id="rId3726" xr:uid="{F4BC97D9-E17C-7443-AADF-B32BF6761DCF}"/>
    <hyperlink ref="W2517" r:id="rId3727" xr:uid="{C1B38CED-CABE-8647-A1EE-0F008A12305C}"/>
    <hyperlink ref="J2518" r:id="rId3728" xr:uid="{1DC044C9-7B1C-594C-8DC6-8AE2A6A94328}"/>
    <hyperlink ref="J2519" r:id="rId3729" xr:uid="{6CE79AC7-C7D3-1841-8502-F7AA2C154E9D}"/>
    <hyperlink ref="W2519" r:id="rId3730" xr:uid="{45479124-FE8A-4A4D-8219-488A98C16649}"/>
    <hyperlink ref="J2520" r:id="rId3731" xr:uid="{5DEB2D69-9F53-1645-9C40-FC9208A1CF92}"/>
    <hyperlink ref="J2521" r:id="rId3732" xr:uid="{CFE59142-F628-924E-8B40-27D4F0A04E4D}"/>
    <hyperlink ref="J2522" r:id="rId3733" xr:uid="{355A66AC-1F2B-D246-BABE-90E8C1E4AAFA}"/>
    <hyperlink ref="J2523" r:id="rId3734" xr:uid="{FA32FB1F-D76C-7A4D-A229-F4EADB87995C}"/>
    <hyperlink ref="J2524" r:id="rId3735" xr:uid="{554EB5C5-2164-F34F-9FF0-8ABFFE849C20}"/>
    <hyperlink ref="J2525" r:id="rId3736" xr:uid="{1C721135-EFBE-BD44-A332-DF6292F61F76}"/>
    <hyperlink ref="W2525" r:id="rId3737" xr:uid="{44564F7D-5D83-EC4C-856D-160A32D01024}"/>
    <hyperlink ref="J2526" r:id="rId3738" xr:uid="{AB43D267-5F5B-6B4F-9915-8E3656EC64D6}"/>
    <hyperlink ref="J2527" r:id="rId3739" xr:uid="{532999FB-9098-5C48-A6CF-B7781E598715}"/>
    <hyperlink ref="J2528" r:id="rId3740" xr:uid="{02DD7F5D-74C1-D043-8B48-2919FD2944CF}"/>
    <hyperlink ref="J2529" r:id="rId3741" xr:uid="{AD806B3C-14EC-1A47-B1D2-2AC26B3AF679}"/>
    <hyperlink ref="J2530" r:id="rId3742" xr:uid="{CA71096E-AE84-DF49-A546-94EF20A81E0D}"/>
    <hyperlink ref="W2530" r:id="rId3743" xr:uid="{33A186E8-10F9-1249-8FFC-4D7186716D78}"/>
    <hyperlink ref="J2531" r:id="rId3744" xr:uid="{88160D98-42BC-774F-9831-196A80C68D15}"/>
    <hyperlink ref="W2531" r:id="rId3745" xr:uid="{E6F060BE-8CB1-CE42-A044-BCC12C6CDF67}"/>
    <hyperlink ref="J2532" r:id="rId3746" xr:uid="{2439A983-34FF-644C-AA4E-F3B25341ABA0}"/>
    <hyperlink ref="J2533" r:id="rId3747" xr:uid="{572A0CD9-1806-8848-8714-FE7414242167}"/>
    <hyperlink ref="J2534" r:id="rId3748" xr:uid="{BAFF249F-D298-1B4D-AE03-8A204B08BF33}"/>
    <hyperlink ref="J2535" r:id="rId3749" xr:uid="{0A1DCED9-BBBC-E64E-95A5-37A8FDDAAB6D}"/>
    <hyperlink ref="J2536" r:id="rId3750" xr:uid="{33585896-1478-0546-B06C-A8FEB4B67544}"/>
    <hyperlink ref="J2537" r:id="rId3751" xr:uid="{C751BC68-FB14-3B48-AC32-4E96D0200A04}"/>
    <hyperlink ref="J2538" r:id="rId3752" xr:uid="{3DD80E80-DD0B-9041-8CA3-A71995B1F4A1}"/>
    <hyperlink ref="J2539" r:id="rId3753" xr:uid="{1028F754-5393-A84F-9BA6-25776AA7156B}"/>
    <hyperlink ref="J2540" r:id="rId3754" xr:uid="{A959CE5C-FB8D-5B40-A861-B434CE770689}"/>
    <hyperlink ref="W2540" r:id="rId3755" xr:uid="{C704C6BB-73C8-3A40-921C-86FD101B3E23}"/>
    <hyperlink ref="J2541" r:id="rId3756" xr:uid="{04832647-0C13-3143-ABB5-92558E0752B6}"/>
    <hyperlink ref="W2541" r:id="rId3757" xr:uid="{BB48287B-FB45-1D4B-BE8E-1DE37B44D163}"/>
    <hyperlink ref="J2542" r:id="rId3758" xr:uid="{291A3040-B2BD-4D47-A10F-B49FEE4A0960}"/>
    <hyperlink ref="J2543" r:id="rId3759" xr:uid="{BF862001-759D-3549-BCF6-E88DE51DF848}"/>
    <hyperlink ref="J2544" r:id="rId3760" xr:uid="{0AF98B56-6AE8-4245-A4B1-262CD094B9F4}"/>
    <hyperlink ref="W2544" r:id="rId3761" xr:uid="{F347D597-8381-B74D-8288-C769496CC3DA}"/>
    <hyperlink ref="J2545" r:id="rId3762" xr:uid="{513EC817-D378-2A4B-BA23-9CE2426ABAB1}"/>
    <hyperlink ref="J2546" r:id="rId3763" xr:uid="{972AEC01-D7F3-6E40-B643-464CF325FECD}"/>
    <hyperlink ref="J2547" r:id="rId3764" xr:uid="{72ACDD11-16BF-4943-9B41-B6A862565E5B}"/>
    <hyperlink ref="W2547" r:id="rId3765" xr:uid="{B5303F4D-1758-AA4F-B358-4B86C528ADFC}"/>
    <hyperlink ref="J2548" r:id="rId3766" xr:uid="{EEEE0E24-E52C-D548-A767-4A2476364E9E}"/>
    <hyperlink ref="J2549" r:id="rId3767" xr:uid="{FACFB3E2-C756-C547-AC5D-D70166F36725}"/>
    <hyperlink ref="J2550" r:id="rId3768" xr:uid="{700F488E-0CAF-FE4E-B3B9-D995EFC188CB}"/>
    <hyperlink ref="J2551" r:id="rId3769" xr:uid="{2086378D-D28C-254C-ADD8-61FDEF6BE6C3}"/>
    <hyperlink ref="J2552" r:id="rId3770" xr:uid="{36D25F04-D165-5446-B1E5-4890E28F617A}"/>
    <hyperlink ref="W2552" r:id="rId3771" xr:uid="{95D61C60-3D4C-9745-B1E7-F54D4D5A25B4}"/>
    <hyperlink ref="J2553" r:id="rId3772" xr:uid="{D408A2B2-BFBA-6241-BDC9-EFED5192DB06}"/>
    <hyperlink ref="W2553" r:id="rId3773" xr:uid="{82D721D7-E1F5-8B41-83DA-28DD4CBF277D}"/>
    <hyperlink ref="J2554" r:id="rId3774" xr:uid="{968FB7D1-AF37-B242-8888-761A23905CDE}"/>
    <hyperlink ref="J2555" r:id="rId3775" xr:uid="{26CDBE33-3965-0846-9DC4-4B60CBCB4C27}"/>
    <hyperlink ref="J2556" r:id="rId3776" xr:uid="{CB5F02DB-585F-834E-87D9-82DFC26B2EAC}"/>
    <hyperlink ref="W2556" r:id="rId3777" xr:uid="{7A509124-1799-E54D-9DA3-28B952D59C02}"/>
    <hyperlink ref="J2557" r:id="rId3778" xr:uid="{1DE919E3-5470-F041-85A7-B58D7E7A27F1}"/>
    <hyperlink ref="W2557" r:id="rId3779" xr:uid="{7BE371E4-FCD3-7E4A-AC0E-E8F813E6FA33}"/>
    <hyperlink ref="J2558" r:id="rId3780" xr:uid="{2C7F4805-F740-774B-B830-A02D79BC3CCD}"/>
    <hyperlink ref="J2559" r:id="rId3781" xr:uid="{0678EA05-2ACE-1B4B-B346-60567B589411}"/>
    <hyperlink ref="J2560" r:id="rId3782" xr:uid="{47894D71-D0D1-1749-9FBD-0C80A9F4B757}"/>
    <hyperlink ref="J2561" r:id="rId3783" xr:uid="{2085B05B-1953-2A4A-9A5C-7DE35CEF4D1E}"/>
    <hyperlink ref="J2562" r:id="rId3784" xr:uid="{086721F2-0F2A-D74A-9024-C9F19F768FEF}"/>
    <hyperlink ref="W2562" r:id="rId3785" xr:uid="{16BBFF4C-300F-EF40-9A98-9E9DB0113879}"/>
    <hyperlink ref="J2563" r:id="rId3786" xr:uid="{D9E56707-0889-7E4D-B2ED-2C70FC17C2DE}"/>
    <hyperlink ref="J2564" r:id="rId3787" xr:uid="{ADCAAF27-5AF9-3346-94C6-5F510FFC0031}"/>
    <hyperlink ref="W2564" r:id="rId3788" xr:uid="{A0926F9B-C35C-7A42-975A-4FE89293FD5E}"/>
    <hyperlink ref="J2565" r:id="rId3789" xr:uid="{03961F8C-A632-BB45-9D33-299DC167FD1A}"/>
    <hyperlink ref="J2566" r:id="rId3790" xr:uid="{BF0E78A7-7AD0-C04D-A319-C68B0AF63EBD}"/>
    <hyperlink ref="W2566" r:id="rId3791" xr:uid="{CFCAA0C5-9C68-5C4A-8342-8D73B23A3E3A}"/>
    <hyperlink ref="J2567" r:id="rId3792" xr:uid="{791F5DB4-A722-1A46-9FF0-7BFEDA859F45}"/>
    <hyperlink ref="J2568" r:id="rId3793" xr:uid="{2F44EB4F-B2E5-534F-8B56-C6851239BD02}"/>
    <hyperlink ref="J2569" r:id="rId3794" xr:uid="{A95F7226-B860-BF4D-8942-A3BC1D9C1E17}"/>
    <hyperlink ref="J2570" r:id="rId3795" xr:uid="{E5355D0F-B18E-BC45-8A28-6DDCF715ACC3}"/>
    <hyperlink ref="J2571" r:id="rId3796" xr:uid="{E8AC1205-647F-A24A-8C30-D64591ACFD68}"/>
    <hyperlink ref="J2572" r:id="rId3797" xr:uid="{82B515F0-B8A2-4F4B-B776-AE76DAB79805}"/>
    <hyperlink ref="W2572" r:id="rId3798" xr:uid="{1433DA45-63EA-9B4F-BB71-54283D98C0E7}"/>
    <hyperlink ref="J2573" r:id="rId3799" xr:uid="{FCF541E1-B823-B74B-A273-A7D31C086A58}"/>
    <hyperlink ref="J2574" r:id="rId3800" xr:uid="{CEF406D5-81DD-C540-AD84-03AB31E5AD72}"/>
    <hyperlink ref="J2575" r:id="rId3801" xr:uid="{BD827EA6-E0D8-F349-96EE-DCA625ADEFB0}"/>
    <hyperlink ref="J2576" r:id="rId3802" xr:uid="{3628CA4A-B06B-C843-990F-CEE99D8FBFCB}"/>
    <hyperlink ref="W2576" r:id="rId3803" xr:uid="{1C1E310C-BDFF-944C-99F1-E4ADFA9309BD}"/>
    <hyperlink ref="J2577" r:id="rId3804" xr:uid="{BF1E5610-E743-6149-A5AA-038FDEE60934}"/>
    <hyperlink ref="J2578" r:id="rId3805" xr:uid="{DB72509F-AC32-D046-85E9-F865F40C6E83}"/>
    <hyperlink ref="J2579" r:id="rId3806" xr:uid="{9E6B4DB6-F8A3-CB4C-AD75-2C08D08D213C}"/>
    <hyperlink ref="W2579" r:id="rId3807" xr:uid="{A12898CF-420B-2742-910B-3FD35396CBA9}"/>
    <hyperlink ref="J2580" r:id="rId3808" xr:uid="{932C1577-03BC-7E49-98F7-F1096406A4AA}"/>
    <hyperlink ref="J2581" r:id="rId3809" xr:uid="{12433510-78A1-B040-905F-534E2532E8B1}"/>
    <hyperlink ref="W2581" r:id="rId3810" xr:uid="{9909EA94-5EE0-7D45-8D64-BEADDD10A424}"/>
    <hyperlink ref="W2582" r:id="rId3811" xr:uid="{9B4EF219-D494-264F-872C-EA388B8277EB}"/>
    <hyperlink ref="J2583" r:id="rId3812" xr:uid="{868D7E71-3326-3345-B6A8-6E524B3A3856}"/>
    <hyperlink ref="J2584" r:id="rId3813" xr:uid="{5767F878-EA21-CB48-B444-2C39EE18A4F4}"/>
    <hyperlink ref="J2585" r:id="rId3814" xr:uid="{90C0C3F2-4393-B94C-8EE4-DB630A23C737}"/>
    <hyperlink ref="J2586" r:id="rId3815" xr:uid="{57F7CF93-3746-ED41-AF77-3446AE6DCA1B}"/>
    <hyperlink ref="W2586" r:id="rId3816" xr:uid="{A2D938CC-FEFF-C34C-9B26-329C63954836}"/>
    <hyperlink ref="J2587" r:id="rId3817" xr:uid="{3782F0E6-0EC6-C547-89C2-E63795DDABD6}"/>
    <hyperlink ref="W2587" r:id="rId3818" xr:uid="{2E538065-7D5A-8343-BA79-19690C0DF712}"/>
    <hyperlink ref="J2588" r:id="rId3819" xr:uid="{8DEC1F2D-DE99-5D4D-8FED-82E230D3C0C5}"/>
    <hyperlink ref="W2588" r:id="rId3820" xr:uid="{82FB896D-2AF9-7445-9AD1-88092D6B6A9A}"/>
    <hyperlink ref="J2589" r:id="rId3821" xr:uid="{F9D23083-87AA-F34E-A014-E948D6AEAE84}"/>
    <hyperlink ref="W2589" r:id="rId3822" xr:uid="{1E0F2A96-7397-FD40-A575-2A3024BE9C48}"/>
    <hyperlink ref="J2590" r:id="rId3823" xr:uid="{4E8C5291-CDFB-AE47-ABE2-1604C16CE9FC}"/>
    <hyperlink ref="J2591" r:id="rId3824" xr:uid="{6C068521-0698-5F4E-8CFC-4F40CCBB2223}"/>
    <hyperlink ref="J2592" r:id="rId3825" xr:uid="{C08165B1-D548-5C40-A278-3D14C981AE0A}"/>
    <hyperlink ref="J2593" r:id="rId3826" xr:uid="{9D88E4A4-F72C-8842-A83B-6FA30AC6731A}"/>
    <hyperlink ref="J2594" r:id="rId3827" xr:uid="{25DA7B6E-89BD-D540-9D30-DA5925F127A4}"/>
    <hyperlink ref="W2594" r:id="rId3828" xr:uid="{ED6C8A1B-6649-7343-BCB4-8C7F44097F4A}"/>
    <hyperlink ref="J2595" r:id="rId3829" xr:uid="{49BDA5CA-B954-7A41-B3D1-E0C541E48D6D}"/>
    <hyperlink ref="W2595" r:id="rId3830" xr:uid="{B79E233F-6E47-9B4A-B81F-2FD9AC346A2E}"/>
    <hyperlink ref="J2596" r:id="rId3831" xr:uid="{8642EB90-E4C9-BE46-8202-D8101FD7D1BB}"/>
    <hyperlink ref="J2597" r:id="rId3832" xr:uid="{A1F90973-C975-BB40-AD78-54E1924F1FC4}"/>
    <hyperlink ref="W2597" r:id="rId3833" xr:uid="{F64B1864-CE52-A44B-8DEE-73871B67BAA5}"/>
    <hyperlink ref="J2598" r:id="rId3834" xr:uid="{995DA32F-4382-0842-B53E-54E7A6C81ED0}"/>
    <hyperlink ref="J2599" r:id="rId3835" xr:uid="{3446410C-C51D-DB48-86C1-AB4999089E10}"/>
    <hyperlink ref="J2600" r:id="rId3836" xr:uid="{B779C62E-35B8-694A-A966-DA3952E2D128}"/>
    <hyperlink ref="J2601" r:id="rId3837" xr:uid="{F3EB3CA4-A17C-734B-84B6-AF75F7313057}"/>
    <hyperlink ref="W2601" r:id="rId3838" xr:uid="{2E1140BA-C838-1047-9147-94EBED14A954}"/>
    <hyperlink ref="J2602" r:id="rId3839" xr:uid="{58C32A55-3E96-B240-B8BB-C1AE5CC6E8BB}"/>
    <hyperlink ref="J2603" r:id="rId3840" xr:uid="{96EB70AB-7D68-6340-9518-7A9A320533F4}"/>
    <hyperlink ref="J2604" r:id="rId3841" xr:uid="{7DD5F879-5164-A34D-ABA2-8EB3432D4B70}"/>
    <hyperlink ref="J2605" r:id="rId3842" xr:uid="{9ACAA0B9-EB18-6040-A96C-D46F3701FAEB}"/>
    <hyperlink ref="J2606" r:id="rId3843" xr:uid="{C26FF47F-C824-0D46-93CA-5D198CC4CD0A}"/>
    <hyperlink ref="J2607" r:id="rId3844" xr:uid="{D4D75901-7405-7E40-8D29-1CDED082AC7C}"/>
    <hyperlink ref="W2607" r:id="rId3845" xr:uid="{2BB94B54-427A-9347-8C25-B6EE8ADF8C26}"/>
    <hyperlink ref="J2608" r:id="rId3846" xr:uid="{C3FDF755-7C7D-1C4D-9561-6493DDEB7212}"/>
    <hyperlink ref="J2609" r:id="rId3847" xr:uid="{DAD111A2-1FB0-D646-8AFC-420F089AEB60}"/>
    <hyperlink ref="O2609" r:id="rId3848" xr:uid="{FDAC81EB-7B6D-FD4D-814A-5834F7AA2AEE}"/>
    <hyperlink ref="J2610" r:id="rId3849" xr:uid="{2D9478E3-4CCE-9F42-ABC4-9BD312B5DF55}"/>
    <hyperlink ref="J2611" r:id="rId3850" xr:uid="{0F8EC856-52CD-EA45-AEC7-B1A9E7791F3F}"/>
    <hyperlink ref="J2612" r:id="rId3851" xr:uid="{8489D116-F871-8B4D-AB61-1C7129B55BA7}"/>
    <hyperlink ref="W2612" r:id="rId3852" xr:uid="{4B8DB3E4-1FB6-2541-9C94-7286B0C033B8}"/>
    <hyperlink ref="J2613" r:id="rId3853" xr:uid="{48B2BF9C-AFCC-DE4A-8FE5-854A221BF372}"/>
    <hyperlink ref="J2614" r:id="rId3854" xr:uid="{D54080A0-AF99-054D-83FE-29BAE1880977}"/>
    <hyperlink ref="J2615" r:id="rId3855" xr:uid="{530F8B84-81FE-2849-86A1-5D8350DB584D}"/>
    <hyperlink ref="W2615" r:id="rId3856" xr:uid="{68C2CE19-347D-6846-A60A-A7F947BFDEE3}"/>
    <hyperlink ref="J2616" r:id="rId3857" xr:uid="{E01EBE11-AC91-0E49-90B3-B0879A616366}"/>
    <hyperlink ref="J2617" r:id="rId3858" xr:uid="{F17B3FB5-C00F-5142-8A9F-1102D824E55A}"/>
    <hyperlink ref="J2618" r:id="rId3859" xr:uid="{55265052-31F9-A349-A54B-6A69B9CD7816}"/>
    <hyperlink ref="J2619" r:id="rId3860" xr:uid="{6B39547B-BE78-0443-8E76-67E5CD835355}"/>
    <hyperlink ref="J2620" r:id="rId3861" xr:uid="{C4ED6866-F783-7C47-9448-23FB84F93221}"/>
    <hyperlink ref="J2621" r:id="rId3862" xr:uid="{32606446-8716-C648-ACEB-7731337ADC74}"/>
    <hyperlink ref="J2622" r:id="rId3863" xr:uid="{39CEFE0F-73C7-C749-83E9-3CC335C37364}"/>
    <hyperlink ref="J2623" r:id="rId3864" xr:uid="{FD04955C-F40B-CC44-A34E-4836B4965203}"/>
    <hyperlink ref="J2624" r:id="rId3865" xr:uid="{D8BD2955-DD27-DC47-92B9-A7BED507E7BA}"/>
    <hyperlink ref="W2624" r:id="rId3866" xr:uid="{62ED5B00-E39B-1F49-A8DE-834B5822BAEA}"/>
    <hyperlink ref="J2625" r:id="rId3867" xr:uid="{5474AB93-8F39-DE4E-BD55-E755970A6A69}"/>
    <hyperlink ref="J2626" r:id="rId3868" xr:uid="{BE8F9A31-DE55-974B-B928-59E28D51B54C}"/>
    <hyperlink ref="W2626" r:id="rId3869" xr:uid="{4C14F8E4-AF4C-5747-9FFD-57E396E16A98}"/>
    <hyperlink ref="J2627" r:id="rId3870" xr:uid="{2AABEDF7-04E2-F742-B5F4-9795ABBAB000}"/>
    <hyperlink ref="J2628" r:id="rId3871" xr:uid="{18CE8322-0290-9D4B-9A99-0E5C5342C7E6}"/>
    <hyperlink ref="J2629" r:id="rId3872" xr:uid="{EBC75EBB-EA0F-3C45-9AE1-61B70C415F3F}"/>
    <hyperlink ref="J2630" r:id="rId3873" xr:uid="{B8374054-95CA-7F4E-BC50-E9AF781363EC}"/>
    <hyperlink ref="J2631" r:id="rId3874" xr:uid="{BC6DE7B7-81D6-754F-B150-7AFD14ACC822}"/>
    <hyperlink ref="J2632" r:id="rId3875" xr:uid="{7639A042-E532-CB49-933D-017E2A58ADE2}"/>
    <hyperlink ref="W2632" r:id="rId3876" xr:uid="{32BF4012-0184-894E-82D6-5480AC7E1CD7}"/>
    <hyperlink ref="J2633" r:id="rId3877" xr:uid="{90D30C56-7BB2-1440-995A-F9CA78A66E97}"/>
    <hyperlink ref="J2634" r:id="rId3878" xr:uid="{3FADE148-1F79-DC4F-8152-847A640D82C8}"/>
    <hyperlink ref="W2634" r:id="rId3879" xr:uid="{0B76F21F-006D-4D4D-BFED-ADB7D05A1547}"/>
    <hyperlink ref="J2635" r:id="rId3880" xr:uid="{6BC051F5-C98B-924E-BF5E-024C030A4B30}"/>
    <hyperlink ref="J2636" r:id="rId3881" xr:uid="{28A6B366-8430-1744-97E1-10F5A68C76BC}"/>
    <hyperlink ref="J2637" r:id="rId3882" xr:uid="{A1228EC7-CF15-B04E-A217-01E3BE30B754}"/>
    <hyperlink ref="J2638" r:id="rId3883" xr:uid="{DB717276-D126-B54A-8A04-B89E788BB1F7}"/>
    <hyperlink ref="J2639" r:id="rId3884" xr:uid="{61BE6A9B-1915-A441-8100-F32308757B5B}"/>
    <hyperlink ref="J2640" r:id="rId3885" xr:uid="{582B79F1-B723-5A44-B64C-F1F4BD58A869}"/>
    <hyperlink ref="J2641" r:id="rId3886" xr:uid="{5B0B48D1-2293-4749-B392-CA37287B3172}"/>
    <hyperlink ref="J2642" r:id="rId3887" xr:uid="{3B1DF8C2-49C1-D142-831C-F3EBC9FF5E1E}"/>
    <hyperlink ref="J2643" r:id="rId3888" xr:uid="{B3FD5258-8590-E94D-8934-286857A5A7C4}"/>
    <hyperlink ref="W2643" r:id="rId3889" xr:uid="{FAF7CC94-F903-2641-B5FB-C28A008B46E1}"/>
    <hyperlink ref="J2644" r:id="rId3890" xr:uid="{FD9203D2-CADF-7D42-9DDD-D2D8E80DD625}"/>
    <hyperlink ref="J2645" r:id="rId3891" xr:uid="{71DADB4A-023D-6F46-93BE-5D719953E06C}"/>
    <hyperlink ref="J2646" r:id="rId3892" xr:uid="{E4FF0DE3-CF37-E542-9894-C79C8C9AD7CA}"/>
    <hyperlink ref="J2647" r:id="rId3893" xr:uid="{1C1CC694-6EF3-2044-AE91-7718B3C4F3A1}"/>
    <hyperlink ref="J2648" r:id="rId3894" xr:uid="{061DD1F4-7F1A-1E4B-9A09-D4D15EB3CF2A}"/>
    <hyperlink ref="W2648" r:id="rId3895" xr:uid="{278E27C7-6CB7-6241-8C67-70839F967A58}"/>
    <hyperlink ref="J2649" r:id="rId3896" xr:uid="{34A65F06-3941-AC44-8DB2-15822AC8175D}"/>
    <hyperlink ref="J2650" r:id="rId3897" xr:uid="{F0876D6B-B4F2-FC4C-BAD1-CFDE59601871}"/>
    <hyperlink ref="J2651" r:id="rId3898" xr:uid="{9AF5B8AA-A766-2A48-83A1-FA0AAB2ADE24}"/>
    <hyperlink ref="J2652" r:id="rId3899" xr:uid="{FCFEDB2A-5405-8649-8DD0-D50C25200126}"/>
    <hyperlink ref="J2653" r:id="rId3900" xr:uid="{44B7158C-0323-1544-9131-C768B21427A7}"/>
    <hyperlink ref="W2653" r:id="rId3901" xr:uid="{A6CDE6FE-655D-5048-8F0F-11CCD30A34C7}"/>
    <hyperlink ref="J2654" r:id="rId3902" xr:uid="{FE3F58C2-D7C0-0E46-BA6A-009C66C16925}"/>
    <hyperlink ref="W2654" r:id="rId3903" xr:uid="{F3CDFEDC-230C-E944-9641-A035B78494DA}"/>
    <hyperlink ref="J2655" r:id="rId3904" xr:uid="{889D9919-38D8-DD4B-AC9A-A43BAEBBC6CF}"/>
    <hyperlink ref="W2655" r:id="rId3905" xr:uid="{6E1720E9-CFC5-B941-A589-0A6A65604B44}"/>
    <hyperlink ref="J2656" r:id="rId3906" xr:uid="{6FA8308C-E714-BB43-BCA1-CED3E474CBB0}"/>
    <hyperlink ref="J2657" r:id="rId3907" xr:uid="{B5A36031-D898-294F-8A01-87508339B4B2}"/>
    <hyperlink ref="J2658" r:id="rId3908" xr:uid="{4223A1A8-2BD5-E248-B9E3-2BE5A6FB2BD3}"/>
    <hyperlink ref="W2658" r:id="rId3909" xr:uid="{67CEF2E3-3D10-0F47-93A7-778BF4BC7B70}"/>
    <hyperlink ref="J2659" r:id="rId3910" xr:uid="{F4830507-9F30-BF40-9A5E-D8F2E8BB4584}"/>
    <hyperlink ref="W2659" r:id="rId3911" xr:uid="{A5210C77-BDFF-314D-9AB9-22059F216419}"/>
    <hyperlink ref="J2660" r:id="rId3912" xr:uid="{A9E9AA1C-9100-5E4A-944D-AA79F8FC14E0}"/>
    <hyperlink ref="J2661" r:id="rId3913" xr:uid="{0D54A7BB-C2E3-7C43-834B-109C4F96C2A0}"/>
    <hyperlink ref="J2662" r:id="rId3914" xr:uid="{743CC3DB-AA2F-2342-A0B3-B6D4D97548C4}"/>
    <hyperlink ref="J2663" r:id="rId3915" xr:uid="{9F145428-53F7-7E46-8C13-BC56D00DB2CD}"/>
    <hyperlink ref="J2664" r:id="rId3916" xr:uid="{BF5FE11A-5094-8B41-9D0B-193D45B7C83C}"/>
    <hyperlink ref="J2665" r:id="rId3917" xr:uid="{A763CA14-73D1-C740-9921-F4618CEE5B45}"/>
    <hyperlink ref="J2666" r:id="rId3918" xr:uid="{F2D1488F-161F-D44F-B4E5-DAA32A507B5C}"/>
    <hyperlink ref="W2666" r:id="rId3919" xr:uid="{1AEFD85F-B8FA-AC42-A165-06F7B46BD381}"/>
    <hyperlink ref="J2667" r:id="rId3920" xr:uid="{53A277EE-0B9B-A342-A40C-D47BE7E3CD27}"/>
    <hyperlink ref="W2667" r:id="rId3921" xr:uid="{0142C8C9-E27D-C841-A819-CAF63CD56537}"/>
    <hyperlink ref="J2668" r:id="rId3922" xr:uid="{E871201A-4189-6947-92DC-A235021744CE}"/>
    <hyperlink ref="W2668" r:id="rId3923" xr:uid="{5A7B3189-EBAD-1743-B5C5-D3B5C501FBB9}"/>
    <hyperlink ref="J2669" r:id="rId3924" xr:uid="{AAED7FAA-5915-A44A-9D2F-C7FA07720658}"/>
    <hyperlink ref="W2669" r:id="rId3925" xr:uid="{06A51ED7-23C4-FD48-957C-88EC5FADD84A}"/>
    <hyperlink ref="J2670" r:id="rId3926" xr:uid="{EA1722F9-C83B-1047-B4AE-E31C9E024A7C}"/>
    <hyperlink ref="W2670" r:id="rId3927" xr:uid="{59AFC0D1-11A0-FA43-9295-F244418A2A5D}"/>
    <hyperlink ref="J2671" r:id="rId3928" xr:uid="{5C13E037-5387-1744-B4B6-4CF58F020C9D}"/>
    <hyperlink ref="J2672" r:id="rId3929" xr:uid="{29661675-F1D1-D049-A108-A4C9CCE03421}"/>
    <hyperlink ref="W2672" r:id="rId3930" xr:uid="{180D65AC-16AF-7C4B-8B18-ED3A9A015F3E}"/>
    <hyperlink ref="J2673" r:id="rId3931" xr:uid="{E1F606B3-525F-2446-8712-FD54E1A54093}"/>
    <hyperlink ref="W2673" r:id="rId3932" xr:uid="{6B071BFF-7106-DF4D-9BE3-5174A3E0D97D}"/>
    <hyperlink ref="J2674" r:id="rId3933" xr:uid="{D193A2C5-9A9C-2442-83CB-7F8C3989CA18}"/>
    <hyperlink ref="W2674" r:id="rId3934" xr:uid="{70B917CB-7045-D34D-A0EE-41E1C51F1DCB}"/>
    <hyperlink ref="J2675" r:id="rId3935" xr:uid="{D5A2CF92-3944-1C46-8A1A-706DF35C84C3}"/>
    <hyperlink ref="W2675" r:id="rId3936" xr:uid="{8033095B-D582-7744-A589-19A90723453A}"/>
    <hyperlink ref="J2676" r:id="rId3937" xr:uid="{C0528B58-717B-D348-A5E1-BD5071F4F75F}"/>
    <hyperlink ref="W2676" r:id="rId3938" xr:uid="{DA6191D2-C30A-A946-B29B-F42F6205E766}"/>
    <hyperlink ref="J2677" r:id="rId3939" xr:uid="{D2D0F8DB-BF1C-C24F-ABD4-291986FD2C9F}"/>
    <hyperlink ref="J2678" r:id="rId3940" xr:uid="{77A28D0E-77D7-C94C-A454-367FE3D01099}"/>
    <hyperlink ref="W2678" r:id="rId3941" xr:uid="{4E5500DA-D63D-6A4B-A09E-F26B6DA9267A}"/>
    <hyperlink ref="J2679" r:id="rId3942" xr:uid="{64BC830A-FCE7-5044-BB99-96BC7066B1D7}"/>
    <hyperlink ref="W2679" r:id="rId3943" xr:uid="{3C763788-04D7-7949-B3D2-31883841DD32}"/>
    <hyperlink ref="J2680" r:id="rId3944" xr:uid="{7F8963AE-262D-9549-96A3-545D67AFADB2}"/>
    <hyperlink ref="J2681" r:id="rId3945" xr:uid="{B8A2368A-6149-3C47-87ED-B0C7B4864448}"/>
    <hyperlink ref="J2682" r:id="rId3946" xr:uid="{AFFE77E8-D9E7-2C42-9CAC-E828406730C6}"/>
    <hyperlink ref="W2682" r:id="rId3947" xr:uid="{1BF3586D-8161-4947-A04E-9D9B8C30E892}"/>
    <hyperlink ref="J2683" r:id="rId3948" xr:uid="{51F9FB0D-9DBA-7745-9906-6309D4DE1890}"/>
    <hyperlink ref="J2684" r:id="rId3949" xr:uid="{6103700D-0F8D-7F4B-8A56-75A76785F914}"/>
    <hyperlink ref="J2685" r:id="rId3950" xr:uid="{9E7F8429-C85D-8E43-8E02-31696E51D1A4}"/>
    <hyperlink ref="J2686" r:id="rId3951" xr:uid="{2228AAA5-3841-5748-BA5F-AFD0A9658523}"/>
    <hyperlink ref="W2686" r:id="rId3952" xr:uid="{4E2B41E2-74F6-9645-8DA1-212D596628EC}"/>
    <hyperlink ref="J2687" r:id="rId3953" xr:uid="{729775C8-AFC8-7644-980F-25525E683E05}"/>
    <hyperlink ref="J2688" r:id="rId3954" xr:uid="{00ADF363-1230-3548-835A-97BD94664A21}"/>
    <hyperlink ref="W2688" r:id="rId3955" xr:uid="{494D4F76-94D5-9C4E-930B-6712482D289C}"/>
    <hyperlink ref="J2689" r:id="rId3956" xr:uid="{652C8B91-CBA2-3943-94BE-6A90248200F4}"/>
    <hyperlink ref="J2690" r:id="rId3957" xr:uid="{808B4AF2-E8AD-8E46-92DE-27AC00B1BA74}"/>
    <hyperlink ref="W2690" r:id="rId3958" xr:uid="{91D611BC-8227-B648-99C9-B75660421504}"/>
    <hyperlink ref="J2691" r:id="rId3959" xr:uid="{1C93DF9E-AF53-134C-867B-DB280283E81F}"/>
    <hyperlink ref="W2691" r:id="rId3960" xr:uid="{E409AF81-82A0-744A-9752-3C9831096E2A}"/>
    <hyperlink ref="J2692" r:id="rId3961" xr:uid="{58624756-25CA-D84D-A48D-BB329464C48A}"/>
    <hyperlink ref="J2693" r:id="rId3962" xr:uid="{95B75497-BE16-3641-A63D-952D988779EE}"/>
    <hyperlink ref="W2693" r:id="rId3963" xr:uid="{E78A79EF-1B5F-4641-A66A-3D3A8906848D}"/>
    <hyperlink ref="J2694" r:id="rId3964" xr:uid="{EF00AC46-143E-C84D-8F9B-EBC61E9ADF91}"/>
    <hyperlink ref="W2694" r:id="rId3965" xr:uid="{0C03FCEE-E8AB-C540-B27A-4467DAF71619}"/>
    <hyperlink ref="J2695" r:id="rId3966" xr:uid="{F184C97A-C7AE-544C-920D-20F2BE0BB383}"/>
    <hyperlink ref="W2695" r:id="rId3967" xr:uid="{4CB287F5-4CFB-0D40-B7EE-C6ACD415B597}"/>
    <hyperlink ref="J2696" r:id="rId3968" xr:uid="{7EDDB681-1006-F74D-9B5B-B3368E33340F}"/>
    <hyperlink ref="W2696" r:id="rId3969" xr:uid="{A12A72AB-E78E-154C-991A-F34804208EA2}"/>
    <hyperlink ref="J2697" r:id="rId3970" xr:uid="{1D7E864E-CDC6-2848-82D5-E193D22C9CD2}"/>
    <hyperlink ref="W2697" r:id="rId3971" xr:uid="{1BF8BB54-E6F7-7041-AE9B-D11E6551CD0F}"/>
    <hyperlink ref="J2698" r:id="rId3972" xr:uid="{B91C7E16-9416-3D49-8866-4180A06E472E}"/>
    <hyperlink ref="W2698" r:id="rId3973" xr:uid="{D5C1E409-FC9C-B743-BB5F-8FED5B6E86DE}"/>
    <hyperlink ref="J2699" r:id="rId3974" xr:uid="{4993DC3B-7746-2440-9A78-E15F8C085ACA}"/>
    <hyperlink ref="W2699" r:id="rId3975" xr:uid="{A1B6837B-9923-4649-9A80-797D98489261}"/>
    <hyperlink ref="J2700" r:id="rId3976" xr:uid="{822DF479-9403-B64F-B0A2-FB0582100DDE}"/>
    <hyperlink ref="W2700" r:id="rId3977" xr:uid="{3EC9FF6F-8555-5346-8C28-39C7A0689E4E}"/>
    <hyperlink ref="J2701" r:id="rId3978" xr:uid="{E9FDE419-9E73-5848-B2F3-6A5236FC8183}"/>
    <hyperlink ref="W2701" r:id="rId3979" xr:uid="{92AB8273-0B6E-1B49-BE94-0F05F367EE3C}"/>
    <hyperlink ref="J2702" r:id="rId3980" xr:uid="{4A0D2755-AAA6-FD46-987D-689548046832}"/>
    <hyperlink ref="W2702" r:id="rId3981" xr:uid="{1380F63D-1600-7D4F-B85A-4356BA396FA2}"/>
    <hyperlink ref="J2703" r:id="rId3982" xr:uid="{FA4B9E7F-8294-0C4B-8FB8-5639556AD445}"/>
    <hyperlink ref="W2703" r:id="rId3983" xr:uid="{25409110-1FAE-504C-8A3F-8AEAEEB24824}"/>
    <hyperlink ref="J2704" r:id="rId3984" xr:uid="{6FE81AB3-45FF-114F-A3C7-406C9C0161CF}"/>
    <hyperlink ref="W2704" r:id="rId3985" xr:uid="{809CA0F0-FE07-CA4C-9629-D6614C4FB78D}"/>
    <hyperlink ref="J2705" r:id="rId3986" xr:uid="{92AE29A3-4694-6846-BBA6-891826702147}"/>
    <hyperlink ref="J2706" r:id="rId3987" xr:uid="{BFAE4867-FBA6-6846-B0C6-1B65379287A1}"/>
    <hyperlink ref="J2707" r:id="rId3988" xr:uid="{85A2A966-9FF0-2945-B2F6-AC1CABA797EC}"/>
    <hyperlink ref="W2707" r:id="rId3989" xr:uid="{0C8BE148-CCB1-E841-9604-2DAEC7042CB8}"/>
    <hyperlink ref="J2708" r:id="rId3990" xr:uid="{89A2CCAD-2091-414C-ACB2-DFB1A4DA0CEE}"/>
    <hyperlink ref="W2708" r:id="rId3991" xr:uid="{511A1303-CA9F-824E-88F6-98025086D203}"/>
    <hyperlink ref="J2709" r:id="rId3992" xr:uid="{E3A92C47-6BBA-E443-86DE-88F3E85C01BA}"/>
    <hyperlink ref="W2709" r:id="rId3993" xr:uid="{5E4A1D32-8356-6B49-AE96-0B4B422DBDE2}"/>
    <hyperlink ref="J2710" r:id="rId3994" xr:uid="{4838AA96-7B23-F544-B85B-CB4DF2E88447}"/>
    <hyperlink ref="W2710" r:id="rId3995" xr:uid="{5F382F02-5743-3D40-B5BD-EA7FFA13929D}"/>
    <hyperlink ref="J2711" r:id="rId3996" xr:uid="{08266E1A-FD72-3B42-9B74-E7619CAB378D}"/>
    <hyperlink ref="W2711" r:id="rId3997" xr:uid="{EFCC9865-37A3-5B48-89BE-3AA3DD1A1F3A}"/>
    <hyperlink ref="J2712" r:id="rId3998" xr:uid="{7229A385-B114-494A-9497-11694F72AF39}"/>
    <hyperlink ref="J2713" r:id="rId3999" xr:uid="{60FEFCE3-98D7-1040-A662-708C88F654E9}"/>
    <hyperlink ref="W2713" r:id="rId4000" xr:uid="{6009C067-FA0D-AB4F-B3D0-2BFF1DB8DE67}"/>
    <hyperlink ref="J2714" r:id="rId4001" xr:uid="{946FC57F-B982-7F4E-9749-50613FD69D96}"/>
    <hyperlink ref="W2714" r:id="rId4002" xr:uid="{C4B13E98-7B5C-6D4C-B836-4F421AA39DFF}"/>
    <hyperlink ref="J2715" r:id="rId4003" xr:uid="{05CB0C67-1436-324E-95AC-CCB8C1E147C6}"/>
    <hyperlink ref="W2715" r:id="rId4004" xr:uid="{D34C0BD7-38B0-C446-BCCE-982DFEF4934B}"/>
    <hyperlink ref="J2716" r:id="rId4005" xr:uid="{AD6A23F3-3644-7B42-86E1-0ECD8BC1E38E}"/>
    <hyperlink ref="W2716" r:id="rId4006" xr:uid="{ABD46DF1-C3FA-A54E-B24F-B6685F9D5C05}"/>
    <hyperlink ref="J2717" r:id="rId4007" xr:uid="{8789D39B-9E2E-E241-B2AC-D53676FDD487}"/>
    <hyperlink ref="W2717" r:id="rId4008" xr:uid="{87F2305F-CE32-4048-809F-2C8185148293}"/>
    <hyperlink ref="J2718" r:id="rId4009" xr:uid="{3EAE0CA1-F853-D54A-BDB5-F072AF030FB4}"/>
    <hyperlink ref="W2718" r:id="rId4010" xr:uid="{40D25103-90A0-A648-9962-3F818E556478}"/>
    <hyperlink ref="J2719" r:id="rId4011" xr:uid="{531940AE-4273-4F4F-861C-5DC57C402EBF}"/>
    <hyperlink ref="W2719" r:id="rId4012" xr:uid="{3A98D512-2688-B64D-B3B8-58D39CC2AE52}"/>
    <hyperlink ref="J2720" r:id="rId4013" xr:uid="{FC7ED5D7-AA45-A242-883D-90AF04DB1D65}"/>
    <hyperlink ref="W2720" r:id="rId4014" xr:uid="{27457AD6-4B5B-C248-B60A-AFD43F12AA3C}"/>
    <hyperlink ref="J2721" r:id="rId4015" xr:uid="{98B74DC6-8EBA-EF46-81C7-2FE3DF5BC2EC}"/>
    <hyperlink ref="J2722" r:id="rId4016" xr:uid="{F509B7A7-B3CD-B34C-AB64-0033E5A01EB7}"/>
    <hyperlink ref="W2722" r:id="rId4017" xr:uid="{C22ECF35-7C86-DE4A-A46E-DCFE4D8AAF5A}"/>
    <hyperlink ref="J2723" r:id="rId4018" xr:uid="{F7882DCF-AEF3-8C49-84E5-475AB8D64772}"/>
    <hyperlink ref="J2724" r:id="rId4019" xr:uid="{DE0C5826-E01A-154D-B24E-4E95BF44848A}"/>
    <hyperlink ref="W2724" r:id="rId4020" xr:uid="{7C343A28-39E5-394C-8B75-7D051FAABB2F}"/>
    <hyperlink ref="J2725" r:id="rId4021" xr:uid="{5B0AA391-F7F1-184A-8818-EC665FDD1217}"/>
    <hyperlink ref="W2725" r:id="rId4022" xr:uid="{EB0691CE-5B39-E645-A296-6E8A5EF7786F}"/>
    <hyperlink ref="J2726" r:id="rId4023" xr:uid="{F062CA36-9495-F94C-948C-2EAE8BCE3A5B}"/>
    <hyperlink ref="W2726" r:id="rId4024" xr:uid="{B2BA6FCE-D4DC-5D44-AA83-98333ED40D56}"/>
    <hyperlink ref="J2727" r:id="rId4025" xr:uid="{48A34CB6-930B-FF48-A38E-E2694C6EB54A}"/>
    <hyperlink ref="W2727" r:id="rId4026" xr:uid="{76E9882D-F014-934D-96B4-6EDF419CCCF7}"/>
    <hyperlink ref="J2728" r:id="rId4027" xr:uid="{E03470F6-D319-4344-884D-07F4774F748C}"/>
    <hyperlink ref="J2729" r:id="rId4028" xr:uid="{7C36C49B-8221-0A4A-AC13-A4FC7A8A1D18}"/>
    <hyperlink ref="W2729" r:id="rId4029" xr:uid="{12BA9751-0FA6-CB4B-B34D-13CEBEA10006}"/>
    <hyperlink ref="J2730" r:id="rId4030" xr:uid="{D3838B9B-C072-444D-B657-F9F944452924}"/>
    <hyperlink ref="W2730" r:id="rId4031" xr:uid="{61E3A942-93DB-094F-985F-29BC124ED21C}"/>
    <hyperlink ref="J2731" r:id="rId4032" xr:uid="{B9890E99-AA01-A84E-89ED-FF7B9AABD392}"/>
    <hyperlink ref="J2732" r:id="rId4033" xr:uid="{82C1353F-F686-4745-AC0A-7FFDE047F91F}"/>
    <hyperlink ref="W2732" r:id="rId4034" xr:uid="{1C19271F-FE74-E944-B32E-511783302D27}"/>
    <hyperlink ref="J2733" r:id="rId4035" xr:uid="{78B05A84-E5EC-6641-BEFD-CB7D6D898F38}"/>
    <hyperlink ref="W2733" r:id="rId4036" xr:uid="{84CF3DA3-D7A9-0641-A3E4-5AD79411D0DC}"/>
    <hyperlink ref="J2734" r:id="rId4037" xr:uid="{5AE6D28C-B5FC-924C-8EAB-220A0F778C48}"/>
    <hyperlink ref="W2734" r:id="rId4038" xr:uid="{A709A4C6-D6A4-164E-9AEA-DA649642F991}"/>
    <hyperlink ref="J2735" r:id="rId4039" xr:uid="{89417FF1-2B59-7342-9509-5B15B8CD7498}"/>
    <hyperlink ref="W2735" r:id="rId4040" xr:uid="{A0C023FA-32AF-1B40-9D28-7C86629ACC36}"/>
    <hyperlink ref="J2736" r:id="rId4041" xr:uid="{AAEA528B-DD7D-BE4F-8B61-14D9DC1E9FD4}"/>
    <hyperlink ref="W2736" r:id="rId4042" xr:uid="{04FD195D-EC51-6F46-8A18-A418C9370C3C}"/>
    <hyperlink ref="J2737" r:id="rId4043" xr:uid="{D91F7E39-70A3-8A4F-95BE-A437C7EBF681}"/>
    <hyperlink ref="J2738" r:id="rId4044" xr:uid="{054DC266-63C4-5749-BD39-DC25040D2596}"/>
    <hyperlink ref="W2738" r:id="rId4045" xr:uid="{7FBF65DD-4F7B-F04E-BF6F-00C2F0E5B9AB}"/>
    <hyperlink ref="J2739" r:id="rId4046" xr:uid="{A2E8A031-ACC3-2B47-BD44-E34A37957DAE}"/>
    <hyperlink ref="W2739" r:id="rId4047" xr:uid="{D602AC58-062B-5A4E-9C9F-875929C8AA0B}"/>
    <hyperlink ref="J2740" r:id="rId4048" xr:uid="{2D6ADB26-661B-5148-8CAB-62C20C19EDFE}"/>
    <hyperlink ref="W2740" r:id="rId4049" xr:uid="{AC9572F5-B670-C044-AF38-32CCBA5C7169}"/>
    <hyperlink ref="J2741" r:id="rId4050" xr:uid="{892B3C31-A0E0-E641-AA08-ECFEE504783E}"/>
    <hyperlink ref="W2741" r:id="rId4051" xr:uid="{AECB0D24-DAAF-A94C-BE51-74B9B5E1506F}"/>
    <hyperlink ref="J2742" r:id="rId4052" xr:uid="{0761C8B0-90E8-9F4D-AD31-4DF087DF992F}"/>
    <hyperlink ref="W2742" r:id="rId4053" xr:uid="{81DF5A34-9C43-5541-BBF7-2BBB73314B38}"/>
    <hyperlink ref="J2743" r:id="rId4054" xr:uid="{0C19620D-5182-CA43-A90F-CAEDBACA2310}"/>
    <hyperlink ref="W2743" r:id="rId4055" xr:uid="{984F9FF4-E9ED-074C-B6CE-BB0D6F8C0AD2}"/>
    <hyperlink ref="J2744" r:id="rId4056" xr:uid="{D3F3943A-E90E-1B41-B094-55D091BBBD10}"/>
    <hyperlink ref="W2744" r:id="rId4057" xr:uid="{CC846B17-DBC9-0943-8ADC-879084BEE318}"/>
    <hyperlink ref="J2745" r:id="rId4058" xr:uid="{DCAD9B2F-C34B-6942-B20F-3ABB30D90E64}"/>
    <hyperlink ref="J2746" r:id="rId4059" xr:uid="{25880C6E-6B40-1240-B2E1-51F1EB3A24F5}"/>
    <hyperlink ref="W2746" r:id="rId4060" xr:uid="{C8151313-287A-E24E-8FF7-625DE9DB0CFE}"/>
    <hyperlink ref="J2747" r:id="rId4061" xr:uid="{D9B17C63-4351-2C4D-8FC3-B582098F1E0C}"/>
    <hyperlink ref="W2747" r:id="rId4062" xr:uid="{F0B522DE-2300-E048-98DB-9EF19AB69535}"/>
    <hyperlink ref="J2748" r:id="rId4063" xr:uid="{7E555027-C280-5346-8639-365AC73E0AC1}"/>
    <hyperlink ref="W2748" r:id="rId4064" xr:uid="{C7B81870-E715-3B45-ACF9-4FB8CDE42D04}"/>
    <hyperlink ref="J2749" r:id="rId4065" xr:uid="{49BD4C79-3204-324C-97D2-7A6AE0C8AB88}"/>
    <hyperlink ref="W2749" r:id="rId4066" xr:uid="{7FABBD2E-DB70-7F4D-9C11-69D4200CB55E}"/>
    <hyperlink ref="J2750" r:id="rId4067" xr:uid="{24E9EAAE-C3DF-5A41-9737-90EE0AE49B53}"/>
    <hyperlink ref="W2750" r:id="rId4068" xr:uid="{9E2045F2-9E2F-7740-A5CF-B51E5EB5D9B2}"/>
    <hyperlink ref="J2751" r:id="rId4069" xr:uid="{F81E3A73-BB40-1044-9513-A3FF5C1DDD8E}"/>
    <hyperlink ref="W2751" r:id="rId4070" xr:uid="{05295EF2-463A-9440-96B5-DC358FE9F145}"/>
    <hyperlink ref="J2752" r:id="rId4071" xr:uid="{70D049A3-6D4F-354D-98B8-EFCB907418E0}"/>
    <hyperlink ref="W2752" r:id="rId4072" xr:uid="{71539952-657F-FE4D-874D-9AA108954283}"/>
    <hyperlink ref="J2753" r:id="rId4073" xr:uid="{46E9D344-59C3-2B49-8C98-878E96ACBF44}"/>
    <hyperlink ref="W2753" r:id="rId4074" xr:uid="{835A78F1-9559-7343-93F9-5F708DBC628A}"/>
    <hyperlink ref="J2754" r:id="rId4075" xr:uid="{D2ECE7BF-A4C5-D544-9BF0-BDD5790E94FB}"/>
    <hyperlink ref="W2754" r:id="rId4076" xr:uid="{F9972EC3-7B72-7F4C-833E-A4DE89E37F98}"/>
    <hyperlink ref="J2755" r:id="rId4077" xr:uid="{5839E938-848F-A44E-8148-505CE1BCA728}"/>
    <hyperlink ref="W2755" r:id="rId4078" xr:uid="{9FE458AA-B44D-504E-ACD7-BD5FB29A192B}"/>
    <hyperlink ref="J2756" r:id="rId4079" xr:uid="{78A073D1-A5AF-5D42-9FAD-1A2666B99AEA}"/>
    <hyperlink ref="J2757" r:id="rId4080" xr:uid="{128624AA-71CC-094A-9D93-8DF67E3E4767}"/>
    <hyperlink ref="J2758" r:id="rId4081" xr:uid="{FB82CF1E-BB8E-E04A-B90D-A57DE0F12F8B}"/>
    <hyperlink ref="J2759" r:id="rId4082" xr:uid="{155D8445-7298-3D46-8FCD-3345A9EA796F}"/>
    <hyperlink ref="J2760" r:id="rId4083" xr:uid="{85F54636-7564-0A42-B1C4-5BF622F2FE7B}"/>
    <hyperlink ref="J2761" r:id="rId4084" xr:uid="{97B8D8C9-BC2F-8F43-93EA-021695418D0F}"/>
    <hyperlink ref="J2762" r:id="rId4085" xr:uid="{9C535773-3D02-7A46-ADBD-47FA71A3A07E}"/>
    <hyperlink ref="W2762" r:id="rId4086" xr:uid="{FD9B95F9-0472-6741-B196-E0716E75E2A7}"/>
    <hyperlink ref="J2763" r:id="rId4087" xr:uid="{36FBF94B-D40A-9B4D-B284-90746464007D}"/>
    <hyperlink ref="W2763" r:id="rId4088" xr:uid="{4266CD45-7E33-E146-B522-3338FBF96023}"/>
    <hyperlink ref="J2764" r:id="rId4089" xr:uid="{F795DEBA-284F-D346-A38D-9B0AA329D56D}"/>
    <hyperlink ref="W2764" r:id="rId4090" xr:uid="{D84226D7-C985-AE41-9B40-223EF8255505}"/>
    <hyperlink ref="J2765" r:id="rId4091" xr:uid="{1E87BA22-51CF-CA44-A8E6-E7790A8B65F1}"/>
    <hyperlink ref="J2766" r:id="rId4092" xr:uid="{31B284A1-6B7C-5946-893B-E1676BDB125C}"/>
    <hyperlink ref="J2767" r:id="rId4093" xr:uid="{55734D17-369F-3944-802E-7817F278D836}"/>
    <hyperlink ref="J2768" r:id="rId4094" xr:uid="{81A15A25-4C84-6D41-8AFF-4D733D5C500A}"/>
    <hyperlink ref="J2769" r:id="rId4095" xr:uid="{E9D68250-1FEF-B048-8B6C-B01058D4AD17}"/>
    <hyperlink ref="J2770" r:id="rId4096" xr:uid="{6FADF4BB-D904-9648-A4BB-38103DCCC72D}"/>
    <hyperlink ref="W2770" r:id="rId4097" xr:uid="{9A3AA909-F079-FA4F-84F5-9206D4394716}"/>
    <hyperlink ref="J2771" r:id="rId4098" xr:uid="{15F6F363-C247-FC48-B746-DEB729EB042D}"/>
    <hyperlink ref="W2771" r:id="rId4099" xr:uid="{27D90CD8-B0E2-424E-9AF6-EE81619FB4B9}"/>
    <hyperlink ref="AG2771" r:id="rId4100" xr:uid="{26A05D84-63F3-504A-939E-A7B658657F01}"/>
    <hyperlink ref="J2772" r:id="rId4101" xr:uid="{B7A83444-1C70-784F-83F3-284F70D625C2}"/>
    <hyperlink ref="W2772" r:id="rId4102" xr:uid="{F07C71BA-9C39-8249-803A-A2C7AF6F92CF}"/>
    <hyperlink ref="J2773" r:id="rId4103" xr:uid="{2A1AD530-0F1C-2144-967A-BFAAC316BAAE}"/>
    <hyperlink ref="J2774" r:id="rId4104" xr:uid="{C1129DD4-2F67-0D44-8C8E-0DB27781AAF0}"/>
    <hyperlink ref="J2775" r:id="rId4105" xr:uid="{94D367B7-E1CA-F54D-9572-1265EF13800A}"/>
    <hyperlink ref="J2776" r:id="rId4106" xr:uid="{8C7BD233-8449-F244-83F5-DB0F79D8D561}"/>
    <hyperlink ref="J2777" r:id="rId4107" xr:uid="{8BF87DEA-A325-FA40-A9DF-845C90D2E293}"/>
    <hyperlink ref="W2777" r:id="rId4108" xr:uid="{CD6745E6-041C-B645-8F16-F6321A9D4F57}"/>
    <hyperlink ref="J2778" r:id="rId4109" xr:uid="{4A521EB4-4172-5F48-B7D2-D01B63CFED07}"/>
    <hyperlink ref="W2778" r:id="rId4110" xr:uid="{A2A69D75-E416-9F43-B66B-2FE44ED7BF88}"/>
    <hyperlink ref="J2779" r:id="rId4111" xr:uid="{58572E06-D0FE-B444-A395-2B1782DE3B76}"/>
    <hyperlink ref="J2780" r:id="rId4112" xr:uid="{5C8EBF39-22B6-F741-9DEB-404F634A9A22}"/>
    <hyperlink ref="W2780" r:id="rId4113" xr:uid="{3B2965E6-E411-DD49-8E83-E6A4A3E9F438}"/>
    <hyperlink ref="J2781" r:id="rId4114" xr:uid="{F270615C-A06D-2E4D-9720-771653995125}"/>
    <hyperlink ref="W2781" r:id="rId4115" xr:uid="{12D62F02-309F-2D44-B0ED-3FDA9A0EA129}"/>
    <hyperlink ref="J2782" r:id="rId4116" xr:uid="{6CA751FA-63F1-6C44-8720-9CD7304D972A}"/>
    <hyperlink ref="W2782" r:id="rId4117" xr:uid="{238C75BA-3C28-C94E-8492-3050F68C3D42}"/>
    <hyperlink ref="J2783" r:id="rId4118" xr:uid="{4DC488E9-3379-874B-A48F-63F313332261}"/>
    <hyperlink ref="J2784" r:id="rId4119" xr:uid="{6069CC2D-7143-A64B-88EC-4995C5D812DD}"/>
    <hyperlink ref="J2785" r:id="rId4120" xr:uid="{0EC6289F-76A6-604A-9697-4E7AF5DA514F}"/>
    <hyperlink ref="J2786" r:id="rId4121" xr:uid="{33AF4969-99DB-2047-B82D-68DE728C1A8A}"/>
    <hyperlink ref="J2787" r:id="rId4122" xr:uid="{C98A94EF-C95F-324F-9159-2597BBFA7119}"/>
    <hyperlink ref="J2788" r:id="rId4123" xr:uid="{F1D5634B-C87E-124C-B9C1-A129BCAED043}"/>
    <hyperlink ref="J2789" r:id="rId4124" xr:uid="{C89213C8-BAA0-9A42-9E29-7EE7408C5B25}"/>
    <hyperlink ref="J2790" r:id="rId4125" xr:uid="{BD941EC7-2335-9141-8790-B1B21962428A}"/>
    <hyperlink ref="J2791" r:id="rId4126" xr:uid="{2E3990AB-292B-AB4A-A953-9826821F3939}"/>
    <hyperlink ref="J2792" r:id="rId4127" xr:uid="{2EC6055C-3355-4146-A9F4-6177DE24F3FD}"/>
    <hyperlink ref="J2793" r:id="rId4128" xr:uid="{C5FCA0E9-2685-204C-A27F-8CE9A7146F58}"/>
    <hyperlink ref="W2793" r:id="rId4129" xr:uid="{0B783A11-548B-7748-A13E-6C5895C26C60}"/>
    <hyperlink ref="J2794" r:id="rId4130" xr:uid="{AE6A4675-B148-1B4E-8F9F-1F1DE4DE60A1}"/>
    <hyperlink ref="J2795" r:id="rId4131" xr:uid="{5A42ABBD-36BA-7E49-961B-6357326AEF21}"/>
    <hyperlink ref="J2796" r:id="rId4132" xr:uid="{09F84D1F-946D-6944-A786-883887C0CB90}"/>
    <hyperlink ref="J2797" r:id="rId4133" xr:uid="{EE681A40-E37D-C748-BBE9-797E387CF88C}"/>
    <hyperlink ref="W2797" r:id="rId4134" xr:uid="{73060809-C7B2-1545-9FD6-9758071C76CC}"/>
    <hyperlink ref="J2798" r:id="rId4135" xr:uid="{79ADD9F5-8E8B-F149-A1A4-7EB1FA12C25E}"/>
    <hyperlink ref="W2798" r:id="rId4136" xr:uid="{3587003F-EF57-F549-8276-4F65CA0D6C81}"/>
    <hyperlink ref="J2799" r:id="rId4137" xr:uid="{5F2836C3-3412-8D47-896D-62F9EBBE1330}"/>
    <hyperlink ref="J2800" r:id="rId4138" xr:uid="{6DBE856F-CC32-3748-9965-2DD642FA4640}"/>
    <hyperlink ref="W2800" r:id="rId4139" xr:uid="{FEF155F2-CD5D-324A-8F2D-E3FED7D826F5}"/>
    <hyperlink ref="J2801" r:id="rId4140" xr:uid="{A56C19DF-95E3-3B4A-BD9F-320F61BCE3E9}"/>
    <hyperlink ref="W2801" r:id="rId4141" xr:uid="{FC573DD3-6A6A-9348-B755-FDC2D34D9D84}"/>
    <hyperlink ref="J2802" r:id="rId4142" xr:uid="{64D5E9A3-1C84-BD4A-B7A4-57B7BE47B08B}"/>
    <hyperlink ref="J2803" r:id="rId4143" xr:uid="{FF66B56D-7B1C-8449-BF7B-324CFF798135}"/>
    <hyperlink ref="J2804" r:id="rId4144" xr:uid="{1EE852F2-7A31-B148-8210-D2DA9643435A}"/>
    <hyperlink ref="J2805" r:id="rId4145" xr:uid="{DF244C4D-59D8-E749-A49C-1E7836753C2A}"/>
    <hyperlink ref="J2806" r:id="rId4146" xr:uid="{A0E84A22-2023-D24F-8C53-08327FC944F7}"/>
    <hyperlink ref="J2807" r:id="rId4147" xr:uid="{DD80C881-E6B8-384E-83B5-3CD84ED829EC}"/>
    <hyperlink ref="J2808" r:id="rId4148" xr:uid="{64E4D886-95FB-8844-B54F-D74C70623088}"/>
    <hyperlink ref="J2809" r:id="rId4149" xr:uid="{DD1B0F7D-6E6A-0448-8027-50AF81E00840}"/>
    <hyperlink ref="J2810" r:id="rId4150" xr:uid="{D7EC79EF-88FF-0540-948A-D7697DC6214F}"/>
    <hyperlink ref="J2811" r:id="rId4151" xr:uid="{C3875642-FCC2-4F4F-877F-11CA62CD30AC}"/>
    <hyperlink ref="J2812" r:id="rId4152" xr:uid="{BBE5D187-8EC3-154F-BAD0-4C86D972D8D7}"/>
    <hyperlink ref="J2813" r:id="rId4153" xr:uid="{7D9EC9F5-F7D7-D04F-A2AE-371D40B8B85A}"/>
    <hyperlink ref="J2814" r:id="rId4154" xr:uid="{159F06AD-C3F6-1145-ADE1-8719132CD1C8}"/>
    <hyperlink ref="J2815" r:id="rId4155" xr:uid="{99E96956-6AAB-594B-9208-B29C78CC8802}"/>
    <hyperlink ref="J2816" r:id="rId4156" xr:uid="{6F60CC28-5A08-ED48-8CF1-07096490DDCF}"/>
    <hyperlink ref="J2817" r:id="rId4157" xr:uid="{D9574900-68DC-CC4D-AA7F-17E506D36E89}"/>
    <hyperlink ref="J2818" r:id="rId4158" xr:uid="{BF07B2BA-180F-6149-A5E0-36838D791708}"/>
    <hyperlink ref="J2819" r:id="rId4159" xr:uid="{B8FF74C0-9D9A-8E41-906C-FEF6B06A9A11}"/>
    <hyperlink ref="W2819" r:id="rId4160" xr:uid="{FB80E9CA-7E48-2C4D-A4D6-6816704226C6}"/>
    <hyperlink ref="J2820" r:id="rId4161" xr:uid="{8A650374-DF35-2B46-86A4-7952E78D2090}"/>
    <hyperlink ref="J2821" r:id="rId4162" xr:uid="{3BE44628-AAD6-034C-AF36-87771CBAD4FE}"/>
    <hyperlink ref="J2822" r:id="rId4163" xr:uid="{3DD1CBE4-0DFA-8244-B9BD-35E0970FBEF4}"/>
    <hyperlink ref="J2823" r:id="rId4164" xr:uid="{247D8FE5-3FB0-DC4E-8F35-39AB3C3BA37F}"/>
    <hyperlink ref="J2824" r:id="rId4165" xr:uid="{AFBDDB4B-0FA1-BA4B-82FE-B1F9FF2AEB26}"/>
    <hyperlink ref="J2825" r:id="rId4166" xr:uid="{F3CD6309-03F7-2C4F-9543-F3450C01CAF2}"/>
    <hyperlink ref="J2826" r:id="rId4167" xr:uid="{849DB62E-AED0-1A40-A949-9C048D6DA2A3}"/>
    <hyperlink ref="W2826" r:id="rId4168" xr:uid="{B96E92D6-AF37-CB4C-86E6-AEF04630F71F}"/>
    <hyperlink ref="J2827" r:id="rId4169" xr:uid="{4E648C1C-F84C-1B44-8BE3-20892B036645}"/>
    <hyperlink ref="J2828" r:id="rId4170" xr:uid="{B87AAEFD-11D6-304B-AACD-FC4B96C6E0DE}"/>
    <hyperlink ref="J2829" r:id="rId4171" xr:uid="{9C0598E3-C868-484F-9247-AB0EDB055756}"/>
    <hyperlink ref="W2829" r:id="rId4172" xr:uid="{208A890F-CDB5-DB45-B17C-1B69AEBC982F}"/>
    <hyperlink ref="J2830" r:id="rId4173" xr:uid="{7D611B15-C039-7D4E-A378-9B7F6ED3EA51}"/>
    <hyperlink ref="J2831" r:id="rId4174" xr:uid="{D1B5A1FD-E1A8-1A43-90C4-4D348A2D45CE}"/>
    <hyperlink ref="J2832" r:id="rId4175" xr:uid="{5DDCBC34-94BF-634A-9663-5D524A3E947D}"/>
    <hyperlink ref="J2833" r:id="rId4176" xr:uid="{FBD02AE0-7FD2-AB4B-891C-E40577E3DBA2}"/>
    <hyperlink ref="W2833" r:id="rId4177" xr:uid="{7DFED707-0817-D64A-80E1-E31B3C41C7C5}"/>
    <hyperlink ref="J2834" r:id="rId4178" xr:uid="{D2950167-73DE-6646-ADC2-A5BEE68BE6C4}"/>
    <hyperlink ref="J2835" r:id="rId4179" xr:uid="{971047DA-0503-F24D-8076-B5216698672A}"/>
    <hyperlink ref="J2836" r:id="rId4180" xr:uid="{6FFCA3BF-FE0C-0847-9877-E5609DC1CCC3}"/>
    <hyperlink ref="J2837" r:id="rId4181" xr:uid="{75DAA062-7765-2F48-9475-16B3BF88FDBF}"/>
    <hyperlink ref="W2837" r:id="rId4182" xr:uid="{DA984590-6044-BB43-AF0E-1218231E10FE}"/>
    <hyperlink ref="J2838" r:id="rId4183" xr:uid="{C71FF6A3-9FB0-5642-8360-F158F6D4F5B4}"/>
    <hyperlink ref="W2838" r:id="rId4184" xr:uid="{8199D3D0-D654-5F4E-AC52-91EB97A8B347}"/>
    <hyperlink ref="J2839" r:id="rId4185" xr:uid="{1937BB77-B55B-4948-B3D6-7F2ADB565D5E}"/>
    <hyperlink ref="W2839" r:id="rId4186" xr:uid="{C648BB2A-9F69-1E43-8FD3-8396D2A085DC}"/>
    <hyperlink ref="J2840" r:id="rId4187" xr:uid="{D5530F66-9B11-7348-AB9E-00BED685DF41}"/>
    <hyperlink ref="W2840" r:id="rId4188" xr:uid="{085187CB-FE4B-A340-8691-97913928C772}"/>
    <hyperlink ref="J2841" r:id="rId4189" xr:uid="{52DF0E62-41AD-9647-B2AD-8F9E83DDFD59}"/>
    <hyperlink ref="J2842" r:id="rId4190" xr:uid="{F578013C-63CA-974A-90CE-6E78CF57A6DF}"/>
    <hyperlink ref="J2843" r:id="rId4191" xr:uid="{FC4C108D-D056-564A-8672-F44AA7788969}"/>
    <hyperlink ref="W2843" r:id="rId4192" xr:uid="{94B54119-AA2C-DB43-85BA-96E081B146CA}"/>
    <hyperlink ref="J2844" r:id="rId4193" xr:uid="{AD05E554-EE90-444E-A219-91CBDAC61F8F}"/>
    <hyperlink ref="J2845" r:id="rId4194" xr:uid="{257B0E9E-4183-EA45-9BA9-FC3166E73951}"/>
    <hyperlink ref="O2845" r:id="rId4195" xr:uid="{B79C4E68-A4AF-0848-A113-E84DA4935072}"/>
    <hyperlink ref="J2846" r:id="rId4196" xr:uid="{00A88928-5C70-CA4F-A20F-054C89E73364}"/>
    <hyperlink ref="J2847" r:id="rId4197" xr:uid="{25986792-287C-AA4E-BF7E-7754E217FB50}"/>
    <hyperlink ref="J2848" r:id="rId4198" xr:uid="{029E9A76-2E51-EA4D-BF9E-E88B0A577698}"/>
    <hyperlink ref="W2848" r:id="rId4199" xr:uid="{B108C35C-9FC3-264E-B14D-D3EDBB458C3A}"/>
    <hyperlink ref="J2849" r:id="rId4200" xr:uid="{A6AC9C09-D15E-F743-9654-C3F34C8A0DEA}"/>
    <hyperlink ref="W2849" r:id="rId4201" xr:uid="{5CEBDBAF-9C92-B948-B5FC-4446AB816E86}"/>
    <hyperlink ref="J2850" r:id="rId4202" xr:uid="{48D4BEC7-28F9-EE42-952D-445B23E2BC6B}"/>
    <hyperlink ref="W2850" r:id="rId4203" xr:uid="{59001FA9-3F2A-0047-99C7-A2E7937E9539}"/>
    <hyperlink ref="J2851" r:id="rId4204" xr:uid="{2425E277-C9FF-F04B-9347-9D314A5928AE}"/>
    <hyperlink ref="J2852" r:id="rId4205" xr:uid="{C053B3E2-4614-8F44-B1F4-45840E299A07}"/>
    <hyperlink ref="W2852" r:id="rId4206" xr:uid="{84CB6600-C07E-7B43-B117-C9E8BAD821CF}"/>
    <hyperlink ref="J2853" r:id="rId4207" xr:uid="{03DF1BD8-4F28-A74E-A3AC-EBEB841C9DC7}"/>
    <hyperlink ref="J2854" r:id="rId4208" xr:uid="{0860A886-D7E4-284D-9873-515234565720}"/>
    <hyperlink ref="W2854" r:id="rId4209" xr:uid="{EF504886-ED93-9943-AC79-0659033FC198}"/>
    <hyperlink ref="J2855" r:id="rId4210" xr:uid="{6310F2D0-D672-C549-94DD-2DE8251A8025}"/>
    <hyperlink ref="J2856" r:id="rId4211" xr:uid="{406F6E35-7D8C-D14E-A660-D587BFE2E05B}"/>
    <hyperlink ref="J2857" r:id="rId4212" xr:uid="{5CBABB21-F9F6-FE4F-8718-F14301D1C308}"/>
    <hyperlink ref="J2858" r:id="rId4213" xr:uid="{009AC254-94CD-2446-A94B-A2F28D68C967}"/>
    <hyperlink ref="W2858" r:id="rId4214" xr:uid="{B7491506-6001-DF49-8A32-97BF143908BC}"/>
    <hyperlink ref="J2859" r:id="rId4215" xr:uid="{E52BF4E9-AAE7-DF4A-83E5-4AC0B14927E2}"/>
    <hyperlink ref="J2860" r:id="rId4216" xr:uid="{3B6B6BDF-77BF-0344-8206-80004D4AD0D2}"/>
    <hyperlink ref="J2861" r:id="rId4217" xr:uid="{A4DD9E65-FBB0-A146-A4F9-79B9369EE1ED}"/>
    <hyperlink ref="J2862" r:id="rId4218" xr:uid="{7DEE7515-C0A5-0743-AC02-D2340D6BB9C1}"/>
    <hyperlink ref="W2862" r:id="rId4219" xr:uid="{08709D72-E6E9-4348-867C-3CB63F4772AC}"/>
    <hyperlink ref="J2863" r:id="rId4220" xr:uid="{146F692E-FAFC-8140-B6A5-C01A82A0EB1D}"/>
    <hyperlink ref="J2864" r:id="rId4221" xr:uid="{281908D9-3299-B64F-BB7A-35E4FC041A61}"/>
    <hyperlink ref="J2865" r:id="rId4222" xr:uid="{20C1F2DA-D78E-7647-A75D-6C8EAF0E2A69}"/>
    <hyperlink ref="J2866" r:id="rId4223" xr:uid="{2C32426A-9BAC-754B-A7DE-E60849D211CD}"/>
    <hyperlink ref="J2867" r:id="rId4224" xr:uid="{B33CFE65-17AA-BC46-89D3-563DBBE457C9}"/>
    <hyperlink ref="W2867" r:id="rId4225" xr:uid="{11B068CF-0BB9-0F4A-97F1-4598B38CB007}"/>
    <hyperlink ref="J2868" r:id="rId4226" xr:uid="{9D2B0E20-CDC1-9C49-9578-E28D1A2BADBA}"/>
    <hyperlink ref="J2869" r:id="rId4227" xr:uid="{983847CC-1B70-7F47-A2BA-FC65D416F741}"/>
    <hyperlink ref="W2869" r:id="rId4228" xr:uid="{8133F0B8-2D89-F645-AAB5-4D57C724D9DF}"/>
    <hyperlink ref="J2870" r:id="rId4229" xr:uid="{639B048C-5703-994C-B9C4-5BE2E647835D}"/>
    <hyperlink ref="J2871" r:id="rId4230" xr:uid="{72126EB3-E0EA-324B-80E8-0785691F6D82}"/>
    <hyperlink ref="J2872" r:id="rId4231" xr:uid="{2ED15FA1-FEC1-8847-BEA5-9BD5F387C28B}"/>
    <hyperlink ref="J2873" r:id="rId4232" xr:uid="{193C64F3-13DB-B849-895E-6597649464B8}"/>
    <hyperlink ref="J2874" r:id="rId4233" xr:uid="{C212F06B-32DE-6844-BFEB-7DF1E56337F7}"/>
    <hyperlink ref="J2875" r:id="rId4234" xr:uid="{1474C3AE-5BE9-4441-B51C-AB572CFE9FF1}"/>
    <hyperlink ref="J2876" r:id="rId4235" xr:uid="{FFF70279-FEF8-D946-A917-4AE339E9218B}"/>
    <hyperlink ref="J2877" r:id="rId4236" xr:uid="{CE14EAC6-BC87-9644-852A-6D22E0E575DC}"/>
    <hyperlink ref="J2878" r:id="rId4237" xr:uid="{BDBED14D-F5F8-6342-8CA8-9D42CF6151D0}"/>
    <hyperlink ref="J2879" r:id="rId4238" xr:uid="{04AF23C6-2EE3-AA44-AAA1-2063A29938FF}"/>
    <hyperlink ref="J2880" r:id="rId4239" xr:uid="{1BF16825-0349-7C48-A060-CAEDB86CFC68}"/>
    <hyperlink ref="J2881" r:id="rId4240" xr:uid="{7B74F03F-58EA-7E4F-A8CD-65BD4C9EE80C}"/>
    <hyperlink ref="J2882" r:id="rId4241" xr:uid="{68A6FFEE-3338-244A-8026-C217652DD5C7}"/>
    <hyperlink ref="J2883" r:id="rId4242" xr:uid="{7144E98D-E569-CB41-8F31-9F93AED4F34B}"/>
    <hyperlink ref="J2884" r:id="rId4243" xr:uid="{31C47A56-594A-2548-A3C2-4DA855BA685C}"/>
    <hyperlink ref="J2885" r:id="rId4244" xr:uid="{26B0F98E-3B5C-FF4D-8AF4-9C01F239B0C4}"/>
    <hyperlink ref="J2886" r:id="rId4245" xr:uid="{A2DAEB39-A485-D041-A4A9-1F87604F2309}"/>
    <hyperlink ref="J2887" r:id="rId4246" xr:uid="{B763F5ED-8EBC-9A4F-89C9-6D6DEBA658C2}"/>
    <hyperlink ref="W2887" r:id="rId4247" xr:uid="{C4B3CCF6-FFC7-9449-A765-02BAA781C707}"/>
    <hyperlink ref="J2888" r:id="rId4248" xr:uid="{97DFFB5E-B12E-124B-9233-05B08927653E}"/>
    <hyperlink ref="W2888" r:id="rId4249" xr:uid="{884DAB19-67F0-6D42-88D1-EA5C5AF7BC56}"/>
    <hyperlink ref="J2889" r:id="rId4250" xr:uid="{C60E0542-EAFF-4845-A2E5-20CCCBFE4F18}"/>
    <hyperlink ref="J2890" r:id="rId4251" xr:uid="{537A6A92-60DE-E04F-A110-2B08716FE571}"/>
    <hyperlink ref="J2891" r:id="rId4252" xr:uid="{5DBBD803-11EE-D84A-901A-372520F44D60}"/>
    <hyperlink ref="J2892" r:id="rId4253" xr:uid="{52D05080-B6E1-A944-AA95-188D66E45149}"/>
    <hyperlink ref="J2893" r:id="rId4254" xr:uid="{4EE2D1C6-5CBA-A94B-AE66-9602373B0AE9}"/>
    <hyperlink ref="W2893" r:id="rId4255" xr:uid="{72B015FC-92BA-8B48-B5BE-94DE002F3F7F}"/>
    <hyperlink ref="J2894" r:id="rId4256" xr:uid="{EA856B7A-A4AE-FF49-B159-D30294C001FC}"/>
    <hyperlink ref="J2895" r:id="rId4257" xr:uid="{5BB4FE19-ACF1-5343-8074-0021129D9E20}"/>
    <hyperlink ref="J2896" r:id="rId4258" xr:uid="{D56BFE4A-A930-3044-85C2-B5F230CC667C}"/>
    <hyperlink ref="J2897" r:id="rId4259" xr:uid="{C04A341E-ACE4-064B-9C18-A986DAF639E7}"/>
    <hyperlink ref="W2897" r:id="rId4260" xr:uid="{30B6E0E6-248B-2348-802A-1C775C2B9384}"/>
    <hyperlink ref="J2898" r:id="rId4261" xr:uid="{81AED03D-8F88-5747-A8B9-7A53CAE57584}"/>
    <hyperlink ref="J2899" r:id="rId4262" xr:uid="{188A32C4-7A31-054F-B9B4-05FC2D4CBEC0}"/>
    <hyperlink ref="J2900" r:id="rId4263" xr:uid="{2338FF58-502F-1543-9708-B22B7F464DCE}"/>
    <hyperlink ref="J2901" r:id="rId4264" xr:uid="{E2E1BE7B-6097-D540-8802-3D4A81694FC5}"/>
    <hyperlink ref="W2901" r:id="rId4265" xr:uid="{C933506A-6EF8-9A41-AACA-F0010CFBE21D}"/>
    <hyperlink ref="J2902" r:id="rId4266" xr:uid="{36717201-07DF-1040-B615-A97F9A3372BA}"/>
    <hyperlink ref="J2903" r:id="rId4267" xr:uid="{8A896D6F-3273-6C43-918F-F88E29F0D721}"/>
    <hyperlink ref="W2903" r:id="rId4268" xr:uid="{9AFD2D92-F8A9-8C48-802F-0E9DD49E7483}"/>
    <hyperlink ref="J2904" r:id="rId4269" xr:uid="{6B5C3209-B044-5449-930F-248A7047A874}"/>
    <hyperlink ref="J2905" r:id="rId4270" xr:uid="{2E2E7862-BA00-084B-B033-2D19FE3DE780}"/>
    <hyperlink ref="J2906" r:id="rId4271" xr:uid="{11627941-6DDD-9945-B1E2-65509CFC7DD7}"/>
    <hyperlink ref="W2906" r:id="rId4272" xr:uid="{ADD55027-6C7C-8042-8C94-0C6A133B251B}"/>
    <hyperlink ref="J2907" r:id="rId4273" xr:uid="{98E9B577-2F24-C540-B14C-C317C89524E6}"/>
    <hyperlink ref="J2908" r:id="rId4274" xr:uid="{880D116C-4896-D442-9D18-964727A11B6D}"/>
    <hyperlink ref="W2908" r:id="rId4275" xr:uid="{C2AEC648-C0F1-DE48-B8B8-390655893D92}"/>
    <hyperlink ref="J2909" r:id="rId4276" xr:uid="{2890DF99-1232-D448-BEC4-CED21E3D42DF}"/>
    <hyperlink ref="J2910" r:id="rId4277" xr:uid="{86CA966F-AF65-B749-A227-616B5E8463F2}"/>
    <hyperlink ref="J2911" r:id="rId4278" xr:uid="{F73476BC-F361-C946-944A-94735503C760}"/>
    <hyperlink ref="J2912" r:id="rId4279" xr:uid="{85E5CC73-01CE-AA40-B8D5-382588AA61B2}"/>
    <hyperlink ref="J2913" r:id="rId4280" xr:uid="{ECF38B2C-741F-894F-8EDD-E9A893DC0BCB}"/>
    <hyperlink ref="W2913" r:id="rId4281" xr:uid="{5302DB6C-CC04-134E-9C25-32A1CBEE0117}"/>
    <hyperlink ref="J2914" r:id="rId4282" xr:uid="{840E628F-E9A9-0E4F-AA92-76F41AD6F0BB}"/>
    <hyperlink ref="J2915" r:id="rId4283" xr:uid="{B6BFB001-C3C4-D94E-BE42-E74A34554D76}"/>
    <hyperlink ref="J2916" r:id="rId4284" xr:uid="{FB218D0C-8C81-2549-B0ED-815AD9B8F662}"/>
    <hyperlink ref="J2917" r:id="rId4285" xr:uid="{D69A858F-2E99-624C-9B51-0167A09D1B8F}"/>
    <hyperlink ref="J2918" r:id="rId4286" xr:uid="{ED624F18-92E7-8D48-BED0-25C90E0CD675}"/>
    <hyperlink ref="J2919" r:id="rId4287" xr:uid="{8B1BD58D-C1FF-D04F-A8C9-9052CF706833}"/>
    <hyperlink ref="W2919" r:id="rId4288" xr:uid="{26797FA4-F661-C848-AE8E-CCEC31730AA2}"/>
    <hyperlink ref="J2920" r:id="rId4289" xr:uid="{9FBD2DE3-BAE5-7A4A-8742-65A73587DB93}"/>
    <hyperlink ref="J2921" r:id="rId4290" xr:uid="{F03A35EC-CB9E-1048-896D-44433B071A79}"/>
    <hyperlink ref="J2922" r:id="rId4291" xr:uid="{6919FDC6-2027-2C4B-9234-CF52B00D39C0}"/>
    <hyperlink ref="J2923" r:id="rId4292" xr:uid="{253AE81F-4C04-FE4A-BCA5-1D296438F0AD}"/>
    <hyperlink ref="J2924" r:id="rId4293" xr:uid="{4A6771AA-4697-1644-9474-D06B51B49A5F}"/>
    <hyperlink ref="AG2924" r:id="rId4294" xr:uid="{6B180147-C085-AA40-8487-235E804DFACA}"/>
    <hyperlink ref="J2925" r:id="rId4295" xr:uid="{E80B884C-413A-E341-A3BC-21D5743BF1D4}"/>
    <hyperlink ref="J2926" r:id="rId4296" xr:uid="{4EB960E0-7AB0-8C44-90F8-887F8AFEFBF8}"/>
    <hyperlink ref="J2927" r:id="rId4297" xr:uid="{55BCBDC4-7CA0-7D43-AAB6-F2B5648482B5}"/>
    <hyperlink ref="W2927" r:id="rId4298" xr:uid="{11AA3CD4-3BCD-8C48-AFE8-3D7477C66D27}"/>
    <hyperlink ref="J2928" r:id="rId4299" xr:uid="{10516600-2101-CC40-B9C4-FF9E0F419462}"/>
    <hyperlink ref="J2929" r:id="rId4300" xr:uid="{F1058707-943F-644B-8173-2A8A71B4EAAA}"/>
    <hyperlink ref="J2930" r:id="rId4301" xr:uid="{06F8DC43-B273-564F-84E4-4AD192114AFA}"/>
    <hyperlink ref="J2931" r:id="rId4302" xr:uid="{A22E3B85-125D-C145-9884-B70C50DD5FF4}"/>
    <hyperlink ref="J2932" r:id="rId4303" xr:uid="{7BB67AA5-6A4A-1543-AF31-73599BEE4620}"/>
    <hyperlink ref="J2933" r:id="rId4304" xr:uid="{BA6802D5-B402-9C4F-B59A-1714304449DD}"/>
    <hyperlink ref="J2934" r:id="rId4305" xr:uid="{30F939C0-D8E6-2E47-B014-0D7D4D298E87}"/>
    <hyperlink ref="W2934" r:id="rId4306" xr:uid="{D7ACBC2A-F192-8745-ACEC-C584E460603B}"/>
    <hyperlink ref="J2935" r:id="rId4307" xr:uid="{13C51B39-72CA-5349-BCB1-381D510C75C2}"/>
    <hyperlink ref="J2936" r:id="rId4308" xr:uid="{46F404B4-50E0-9D47-887F-3EA2E200DE8B}"/>
    <hyperlink ref="J2937" r:id="rId4309" xr:uid="{C85BFFEE-A4F8-5243-AFFF-4E2311CFC7BB}"/>
    <hyperlink ref="R2937" r:id="rId4310" xr:uid="{09C02D00-9631-FC4C-AAA9-05EF5D6848A4}"/>
    <hyperlink ref="J2938" r:id="rId4311" xr:uid="{CBA33478-2EAE-4143-97B6-E93847034FF6}"/>
    <hyperlink ref="W2938" r:id="rId4312" xr:uid="{53073A0D-E32E-7B48-BB6F-27A6CFB60126}"/>
    <hyperlink ref="J2939" r:id="rId4313" xr:uid="{E665A43C-57B4-3343-B577-15FFC3CD644B}"/>
    <hyperlink ref="J2940" r:id="rId4314" xr:uid="{C1DD209E-E177-F14A-AB61-ACC2E9E97200}"/>
    <hyperlink ref="J2941" r:id="rId4315" xr:uid="{2EDD6B1B-8383-924B-BEE9-6C306C6361D1}"/>
    <hyperlink ref="J2942" r:id="rId4316" xr:uid="{299B7D3C-A9F7-FB41-A0F6-DCF9BC18F451}"/>
    <hyperlink ref="J2943" r:id="rId4317" xr:uid="{ED7F1331-1CA5-904F-A5E6-45C850B90C85}"/>
    <hyperlink ref="W2943" r:id="rId4318" xr:uid="{25C70929-F8DE-934D-BB75-8487D7861F27}"/>
    <hyperlink ref="J2944" r:id="rId4319" xr:uid="{D86C9AFA-D160-0746-AEFE-2E6EE5C1D1FC}"/>
    <hyperlink ref="J2945" r:id="rId4320" xr:uid="{6650922D-48B4-DB4A-9F9B-3E6438793267}"/>
    <hyperlink ref="O2945" r:id="rId4321" xr:uid="{21B6206D-DBAC-1541-A38C-771E5FEB30AF}"/>
    <hyperlink ref="J2946" r:id="rId4322" xr:uid="{547100AA-3D8B-1F4F-8A26-EDE6BE3FC872}"/>
    <hyperlink ref="J2947" r:id="rId4323" xr:uid="{348984CC-B326-7C4E-8A99-73D8080A81DA}"/>
    <hyperlink ref="W2947" r:id="rId4324" xr:uid="{C8B0D9A0-4F2E-CD4F-A018-A6605D7174F1}"/>
    <hyperlink ref="J2948" r:id="rId4325" xr:uid="{AB3C3542-0BB7-064E-922C-1E4D0833896A}"/>
    <hyperlink ref="W2948" r:id="rId4326" xr:uid="{DBA1C9C8-B38E-C749-B33D-97D046166449}"/>
    <hyperlink ref="J2949" r:id="rId4327" xr:uid="{048B4A94-B2C2-CF46-BF88-925AC9A87C54}"/>
    <hyperlink ref="W2949" r:id="rId4328" xr:uid="{D4A0373C-F970-0E48-AE50-8CF7FABBAFA8}"/>
    <hyperlink ref="J2950" r:id="rId4329" xr:uid="{6A697E4C-F96F-6040-B8E5-93F5507697C2}"/>
    <hyperlink ref="J2951" r:id="rId4330" xr:uid="{AFBDA3EC-FFE1-7B45-9D59-F1970CBE7D4B}"/>
    <hyperlink ref="W2951" r:id="rId4331" xr:uid="{5FDD0A35-8E1C-AA4A-A6D3-6F48BD0D2E3F}"/>
    <hyperlink ref="J2952" r:id="rId4332" xr:uid="{484BE5A0-D1F0-E34A-B159-93BEE0EB8A0D}"/>
    <hyperlink ref="J2953" r:id="rId4333" xr:uid="{30E7FFB4-FD66-A84C-B79E-718A0CF08632}"/>
    <hyperlink ref="J2954" r:id="rId4334" xr:uid="{263992DD-BE62-CC45-A158-53EA6873CCBB}"/>
    <hyperlink ref="J2955" r:id="rId4335" xr:uid="{EF53D0A1-9A41-7642-AF38-B57A77EC72E0}"/>
    <hyperlink ref="J2956" r:id="rId4336" xr:uid="{5769D07A-A3CD-CD42-BF4F-F86C72607256}"/>
    <hyperlink ref="J2957" r:id="rId4337" xr:uid="{B24E3660-E213-2748-ADE9-DB31E36FCCDF}"/>
    <hyperlink ref="J2958" r:id="rId4338" xr:uid="{2A94DDE7-9D34-9941-95EB-F12C6FE6C486}"/>
    <hyperlink ref="J2959" r:id="rId4339" xr:uid="{772B5033-8B97-B349-A35C-505588DF62A1}"/>
    <hyperlink ref="J2960" r:id="rId4340" xr:uid="{3004C20F-E303-AA45-A2A9-C51F24EADB6B}"/>
    <hyperlink ref="J2961" r:id="rId4341" xr:uid="{38A09970-30B8-B544-B40C-90C569F639FA}"/>
    <hyperlink ref="J2962" r:id="rId4342" xr:uid="{B252C584-8DDC-3542-AC8E-CDC4FBE4B022}"/>
    <hyperlink ref="J2963" r:id="rId4343" xr:uid="{F4B76BFC-4B1D-184E-A564-5EC785237559}"/>
    <hyperlink ref="J2964" r:id="rId4344" xr:uid="{F088682A-2183-2F47-827B-B863EF791CA5}"/>
    <hyperlink ref="J2965" r:id="rId4345" xr:uid="{9C770A6F-CDAF-4647-BD0C-6981AF38E4C5}"/>
    <hyperlink ref="J2966" r:id="rId4346" xr:uid="{A7540693-EFB3-8F4C-869D-F174D2289646}"/>
    <hyperlink ref="J2967" r:id="rId4347" xr:uid="{60C0060C-76F5-884D-93F5-96FE87DE7371}"/>
    <hyperlink ref="J2968" r:id="rId4348" xr:uid="{7CA2C8B6-F403-454D-8D02-113FBD9F85FB}"/>
    <hyperlink ref="J2969" r:id="rId4349" xr:uid="{D850ECE4-C725-D642-B233-8536625E76F1}"/>
    <hyperlink ref="J2970" r:id="rId4350" xr:uid="{FFB8B1D5-EA5F-774A-A43B-5CB163745FC1}"/>
    <hyperlink ref="J2971" r:id="rId4351" xr:uid="{0190BB73-94C7-4A4F-B400-484DB2CCB2C2}"/>
    <hyperlink ref="J2972" r:id="rId4352" xr:uid="{F454E9EF-850A-B349-86B9-B89711E8E216}"/>
    <hyperlink ref="J2973" r:id="rId4353" xr:uid="{572013FB-DA9B-9645-9BB8-2A861961B340}"/>
    <hyperlink ref="J2974" r:id="rId4354" xr:uid="{51C5D41C-FBD0-0B49-B891-8ABF4943890D}"/>
    <hyperlink ref="J2975" r:id="rId4355" xr:uid="{52D84005-A7FB-424E-BE08-6C8CD9C50840}"/>
    <hyperlink ref="J2976" r:id="rId4356" xr:uid="{45921640-9135-6B44-A2AF-C825602698D1}"/>
    <hyperlink ref="W2976" r:id="rId4357" xr:uid="{D8B7DADF-E68C-A445-830B-D3726DF73C01}"/>
    <hyperlink ref="J2977" r:id="rId4358" xr:uid="{6B337CFC-A831-1842-9DFE-CB5CF1C5F814}"/>
    <hyperlink ref="J2978" r:id="rId4359" xr:uid="{1CB4927C-4322-3540-A3F8-E0CD80BDDE64}"/>
    <hyperlink ref="J2979" r:id="rId4360" xr:uid="{A7556B07-44C1-4742-A9C6-1F6CEC95A088}"/>
    <hyperlink ref="J2980" r:id="rId4361" xr:uid="{E04A578C-83D7-E04A-B997-6BCCDD03DB11}"/>
    <hyperlink ref="J2981" r:id="rId4362" xr:uid="{5CB7D353-7388-D74A-A607-7F209A29F013}"/>
    <hyperlink ref="J2982" r:id="rId4363" xr:uid="{86D1401D-EBF3-2045-9014-58D09FB8FBDB}"/>
    <hyperlink ref="J2983" r:id="rId4364" xr:uid="{793D75BF-21BC-0F47-AA67-78712968C013}"/>
    <hyperlink ref="W2983" r:id="rId4365" xr:uid="{B0EAC49C-8870-0649-9B11-F7DB7C7E74A0}"/>
    <hyperlink ref="J2984" r:id="rId4366" xr:uid="{11313F1B-0691-2547-9A5A-3549911F21B5}"/>
    <hyperlink ref="J2985" r:id="rId4367" xr:uid="{51BD8BB4-36B9-5848-A490-7662765A2254}"/>
    <hyperlink ref="W2985" r:id="rId4368" xr:uid="{68BEA317-A616-914A-89A8-DE193DE6062F}"/>
    <hyperlink ref="J2986" r:id="rId4369" xr:uid="{1C20B7F2-A025-7B47-927A-D4AB88DF032E}"/>
    <hyperlink ref="J2987" r:id="rId4370" xr:uid="{4C6FB3EC-313F-5E41-8051-16C1D2A0AE95}"/>
    <hyperlink ref="J2988" r:id="rId4371" xr:uid="{5E96F65F-7B38-A841-AF18-FBC114F47913}"/>
    <hyperlink ref="J2989" r:id="rId4372" xr:uid="{82058989-2E1A-224B-9326-E39F165C6452}"/>
    <hyperlink ref="J2990" r:id="rId4373" xr:uid="{318961C3-D25F-FB43-A7EE-04268D8EBB3E}"/>
    <hyperlink ref="J2991" r:id="rId4374" xr:uid="{DC2102F2-B597-1343-AE5E-20CB7E044ADF}"/>
    <hyperlink ref="J2992" r:id="rId4375" xr:uid="{353FB026-2772-8344-9D15-22175796358C}"/>
    <hyperlink ref="J2993" r:id="rId4376" xr:uid="{251E7E79-5E5D-C843-82BF-22BD75E29C03}"/>
    <hyperlink ref="J2994" r:id="rId4377" xr:uid="{2874B2FD-1371-9D4E-B887-3D7AD713C138}"/>
    <hyperlink ref="J2995" r:id="rId4378" xr:uid="{6F84690A-F505-9D4B-9FEF-F2FFC0F05804}"/>
    <hyperlink ref="J2996" r:id="rId4379" xr:uid="{D889A353-F2BD-E145-B08F-6D9304F0226C}"/>
    <hyperlink ref="J2997" r:id="rId4380" xr:uid="{855456E1-962B-1746-A829-7B7D3C0B38EF}"/>
    <hyperlink ref="J2998" r:id="rId4381" xr:uid="{4C4283AD-9831-7D46-9B7E-81638DD3A91C}"/>
    <hyperlink ref="J2999" r:id="rId4382" xr:uid="{5B15DC9A-36DA-B344-AEA2-AD655E0CCA18}"/>
    <hyperlink ref="J3000" r:id="rId4383" xr:uid="{64793A93-35C7-BE4D-A1DC-DC3081A735B2}"/>
    <hyperlink ref="J3001" r:id="rId4384" xr:uid="{1AA4B5A8-BA5E-CD47-8B59-AA9A9E201664}"/>
    <hyperlink ref="J3002" r:id="rId4385" xr:uid="{CE256A9E-9509-7A4B-8118-751862172CEB}"/>
    <hyperlink ref="J3003" r:id="rId4386" xr:uid="{E47AEA4C-2FE5-EB42-98C9-D687D7112BED}"/>
    <hyperlink ref="J3004" r:id="rId4387" xr:uid="{D234BFC7-3370-3A49-9FA7-5DD3E789417B}"/>
    <hyperlink ref="J3005" r:id="rId4388" xr:uid="{755451B5-7993-9247-8106-E7F0B4920CC9}"/>
    <hyperlink ref="J3006" r:id="rId4389" xr:uid="{8B5C1A09-8621-6643-BDE5-A8CD4884A38F}"/>
    <hyperlink ref="J3007" r:id="rId4390" xr:uid="{92FD3189-20F4-F347-AE8B-788DD61AB73A}"/>
    <hyperlink ref="J3008" r:id="rId4391" xr:uid="{2D3C573E-8012-2040-A425-39E55D3343E0}"/>
    <hyperlink ref="J3009" r:id="rId4392" xr:uid="{9DB6EF67-E227-8D4F-8355-EE229094EF33}"/>
    <hyperlink ref="W3009" r:id="rId4393" xr:uid="{742643E4-F2D0-B648-8088-291BC23B1E1B}"/>
    <hyperlink ref="J3010" r:id="rId4394" xr:uid="{218B5647-49EE-3A40-B6AE-80E730B5278C}"/>
    <hyperlink ref="J3011" r:id="rId4395" xr:uid="{34B65D82-D364-354D-807D-B7932ECF8D7A}"/>
    <hyperlink ref="J3012" r:id="rId4396" xr:uid="{D3BB254A-8719-994E-A633-31A1FD634456}"/>
    <hyperlink ref="J3013" r:id="rId4397" xr:uid="{B10F3952-297E-6245-B1CE-630DF08E61E5}"/>
    <hyperlink ref="J3014" r:id="rId4398" xr:uid="{0B5C0648-D5A0-4C47-980C-FBEA3B5C9457}"/>
    <hyperlink ref="J3015" r:id="rId4399" xr:uid="{24C8F589-9D1B-DF4D-AEDF-5670D45B4F14}"/>
    <hyperlink ref="J3016" r:id="rId4400" xr:uid="{395F47D6-1560-1045-A36E-AECC42B1D315}"/>
    <hyperlink ref="J3017" r:id="rId4401" xr:uid="{81536BA8-A58D-024D-9938-0A487C9E4FDB}"/>
    <hyperlink ref="W3017" r:id="rId4402" xr:uid="{8112556F-A454-BF43-A557-972085856410}"/>
    <hyperlink ref="J3018" r:id="rId4403" xr:uid="{5639B4E8-D6C3-0643-A4C0-08EBCEE9814B}"/>
    <hyperlink ref="J3019" r:id="rId4404" xr:uid="{0722E13F-4A40-3F4C-BFE7-F6E1B4DDCFCF}"/>
    <hyperlink ref="J3020" r:id="rId4405" xr:uid="{5D8CC68A-BDC5-5F4C-BBE0-53DE4D4CDAA0}"/>
    <hyperlink ref="J3021" r:id="rId4406" xr:uid="{EE8D1D98-5ABA-B746-BD4D-A39ABDCEDDD3}"/>
    <hyperlink ref="J3022" r:id="rId4407" xr:uid="{7C9DF0EF-8F2B-CC4F-B6FF-EF6F26E8497B}"/>
    <hyperlink ref="J3023" r:id="rId4408" xr:uid="{336B3AD9-9416-FE41-A93D-047BEB587CCB}"/>
    <hyperlink ref="J3024" r:id="rId4409" xr:uid="{2E265C44-F5B4-9C49-8BF4-1303A0508A9F}"/>
    <hyperlink ref="W3024" r:id="rId4410" xr:uid="{CAE7E0B1-AF77-334E-9BE2-5C04688DDE74}"/>
    <hyperlink ref="J3025" r:id="rId4411" xr:uid="{35F76E12-7DDD-CC4D-8AFF-336BF16FD8BE}"/>
    <hyperlink ref="J3026" r:id="rId4412" xr:uid="{189E9686-0A36-914F-8B1B-478B91CB96F0}"/>
    <hyperlink ref="J3027" r:id="rId4413" xr:uid="{BBDC59DD-AE55-BE49-9700-3AC4A8AA63BC}"/>
    <hyperlink ref="J3028" r:id="rId4414" xr:uid="{7D9A9F71-3DD1-3D4E-87A6-CFCA7C312963}"/>
    <hyperlink ref="J3029" r:id="rId4415" xr:uid="{B51E927E-51F4-F542-8CAF-3CA049FB7BE3}"/>
    <hyperlink ref="J3030" r:id="rId4416" xr:uid="{5CCB0A54-CD1A-0F42-A316-B90873BE759B}"/>
    <hyperlink ref="J3031" r:id="rId4417" xr:uid="{4FA8C940-5153-0D4D-A3D7-3764D1E35659}"/>
    <hyperlink ref="W3031" r:id="rId4418" xr:uid="{0D4DD9CC-8122-8D45-A1A1-7202440A233E}"/>
    <hyperlink ref="J3032" r:id="rId4419" xr:uid="{EF7158E5-5E8B-4248-BE3C-50B8F61A612E}"/>
    <hyperlink ref="J3033" r:id="rId4420" xr:uid="{35F86545-6585-B347-858A-D04E25373BF4}"/>
    <hyperlink ref="J3034" r:id="rId4421" xr:uid="{53C1E8B7-672A-314E-8E8B-B870BDA459B9}"/>
    <hyperlink ref="W3034" r:id="rId4422" xr:uid="{D92D144E-59B5-114C-AC59-CF10830B5975}"/>
    <hyperlink ref="J3035" r:id="rId4423" xr:uid="{FCAA0FAC-A5BE-A148-AF8B-01493EB4269D}"/>
    <hyperlink ref="J3036" r:id="rId4424" xr:uid="{CE58EEF4-EB35-6C40-B979-F4F3215881F1}"/>
    <hyperlink ref="J3037" r:id="rId4425" xr:uid="{760EA207-DA3B-AA43-92AC-70375A601432}"/>
    <hyperlink ref="J3038" r:id="rId4426" xr:uid="{8F0BED03-BCC2-4E42-AFAE-97F10931CF42}"/>
    <hyperlink ref="J3039" r:id="rId4427" xr:uid="{16BFED74-441F-494E-8213-2FCA1A1D6A96}"/>
    <hyperlink ref="J3040" r:id="rId4428" xr:uid="{A41812A5-FC9C-DB42-B1C0-63BAD71C21F2}"/>
    <hyperlink ref="J3041" r:id="rId4429" xr:uid="{826A687D-8E76-424D-98BF-B85B9E0DC876}"/>
    <hyperlink ref="J3042" r:id="rId4430" xr:uid="{0A308258-9DFF-BD4F-9163-4664198896CA}"/>
    <hyperlink ref="W3042" r:id="rId4431" xr:uid="{B181DB59-2C9B-8B4F-9EFE-40E3FB33F453}"/>
    <hyperlink ref="J3043" r:id="rId4432" xr:uid="{0C753747-FD6C-FE47-A1AB-C3160ACD3C66}"/>
    <hyperlink ref="J3044" r:id="rId4433" xr:uid="{A7448C98-3B6E-154A-AA1D-16B98035D11B}"/>
    <hyperlink ref="W3044" r:id="rId4434" xr:uid="{E0CA5E0A-4354-DF47-AFD6-1C88C51E7C72}"/>
    <hyperlink ref="J3045" r:id="rId4435" xr:uid="{E68D174E-EEC6-D443-A346-F2AAB5100B20}"/>
    <hyperlink ref="J3046" r:id="rId4436" xr:uid="{5B70FD72-5C28-764E-9A3C-138E10B9AC8F}"/>
    <hyperlink ref="J3047" r:id="rId4437" xr:uid="{407D57B4-38DC-8545-9979-844DC7FBC290}"/>
    <hyperlink ref="J3048" r:id="rId4438" xr:uid="{F8F59478-A9F6-FC40-BF6A-607EADCCE7FA}"/>
    <hyperlink ref="J3049" r:id="rId4439" xr:uid="{A87B7239-4AA6-9848-996D-AB20604E463B}"/>
    <hyperlink ref="J3050" r:id="rId4440" xr:uid="{50D0531E-F19A-4944-8495-A91E23E5FD49}"/>
    <hyperlink ref="J3051" r:id="rId4441" xr:uid="{687E663A-E692-D24A-AE72-89516E137139}"/>
    <hyperlink ref="J3052" r:id="rId4442" xr:uid="{02875A78-B3FA-2540-8B58-9DBDCFE4B554}"/>
    <hyperlink ref="J3053" r:id="rId4443" xr:uid="{75D0FF22-8BBC-9744-9B83-11649F462EBB}"/>
    <hyperlink ref="J3054" r:id="rId4444" xr:uid="{0D2CA7AB-2B26-D84A-905A-A422CB56EC61}"/>
    <hyperlink ref="J3055" r:id="rId4445" xr:uid="{C82E2648-0293-7742-B320-2934FDBE9FC6}"/>
    <hyperlink ref="W3055" r:id="rId4446" xr:uid="{B3527CA0-1512-5C47-A99E-5379BE4BF1E8}"/>
    <hyperlink ref="J3056" r:id="rId4447" xr:uid="{12FB5E3C-BCAB-AB4D-94DD-8B85BE4A520D}"/>
    <hyperlink ref="J3057" r:id="rId4448" xr:uid="{A7A5CDE0-9691-A94F-B006-53E895574EAE}"/>
    <hyperlink ref="J3058" r:id="rId4449" xr:uid="{9FFA219B-DFCF-454C-A73E-0378B91BFC63}"/>
    <hyperlink ref="W3058" r:id="rId4450" xr:uid="{0E7964C9-2C8F-C341-902D-F50AA293BB89}"/>
    <hyperlink ref="J3059" r:id="rId4451" xr:uid="{FB1747EB-6E6B-9441-AEC1-20EE879CCD6F}"/>
    <hyperlink ref="J3060" r:id="rId4452" xr:uid="{0565EE13-A755-4B48-9818-413DF1FA99F8}"/>
    <hyperlink ref="W3060" r:id="rId4453" xr:uid="{B830C5CE-F7D6-1B45-B958-B3C467F618EE}"/>
    <hyperlink ref="J3061" r:id="rId4454" xr:uid="{3DE35B77-8793-714C-9B10-AADFE6C791A3}"/>
    <hyperlink ref="J3062" r:id="rId4455" xr:uid="{2CC82A52-8748-374C-A745-76F47809D816}"/>
    <hyperlink ref="W3062" r:id="rId4456" xr:uid="{9B0E3D21-C21F-494E-9E0D-4888F7A957F4}"/>
    <hyperlink ref="J3063" r:id="rId4457" xr:uid="{AD74C3B5-6C3A-294C-A258-C17ADA5B3D94}"/>
    <hyperlink ref="J3064" r:id="rId4458" xr:uid="{01F94D93-23C5-4A4B-BFD0-2178BC72304F}"/>
    <hyperlink ref="J3065" r:id="rId4459" xr:uid="{DCEB547B-A061-1F4F-8B52-D145B2E035A5}"/>
    <hyperlink ref="J3066" r:id="rId4460" xr:uid="{1CD47143-9DD5-9943-AC0B-7D7DCD6A1FAE}"/>
    <hyperlink ref="J3067" r:id="rId4461" xr:uid="{3FAA03B2-3C72-ED47-8DDC-FF1C20510F56}"/>
    <hyperlink ref="J3068" r:id="rId4462" xr:uid="{9E8FA1D7-D24A-CA45-AA9B-4EFD88EB0519}"/>
    <hyperlink ref="J3069" r:id="rId4463" xr:uid="{4419213D-21A8-834F-B991-E89D84694CD5}"/>
    <hyperlink ref="J3070" r:id="rId4464" xr:uid="{AD87B149-B506-B344-BA38-A76D887E916D}"/>
    <hyperlink ref="J3071" r:id="rId4465" xr:uid="{4950498D-18CD-FD4D-B1AF-C4B070A25E0D}"/>
    <hyperlink ref="J3072" r:id="rId4466" xr:uid="{2C674ED5-F775-4747-B7F8-8CD51EDFE0C7}"/>
    <hyperlink ref="J3073" r:id="rId4467" xr:uid="{C0B7ED0E-4D1E-6548-8F47-A6F7B25E08C1}"/>
    <hyperlink ref="J3074" r:id="rId4468" xr:uid="{8471C4F6-B799-B14D-A3CD-6F244C85C43E}"/>
    <hyperlink ref="J3075" r:id="rId4469" xr:uid="{E3A363CB-015C-0A48-B298-F4BDB4FB997A}"/>
    <hyperlink ref="W3075" r:id="rId4470" xr:uid="{58287C51-7D69-A44F-81E1-00F67D57E247}"/>
    <hyperlink ref="J3076" r:id="rId4471" xr:uid="{C30942E3-902C-C34F-B5C3-F1F209C3994F}"/>
    <hyperlink ref="J3077" r:id="rId4472" xr:uid="{CED65D1B-BF34-6B48-9EBF-49A14E835DDB}"/>
    <hyperlink ref="W3077" r:id="rId4473" xr:uid="{7DDB516A-2E4F-2F49-8DEA-372AE344CE5C}"/>
    <hyperlink ref="J3078" r:id="rId4474" xr:uid="{AA60001A-0F84-B842-989A-E1EDB3F53E60}"/>
    <hyperlink ref="J3079" r:id="rId4475" xr:uid="{12CD1749-334B-8840-93B3-F6987E3B3DD7}"/>
    <hyperlink ref="W3079" r:id="rId4476" xr:uid="{9C7FD136-6028-1441-BE90-36C282E29C0C}"/>
    <hyperlink ref="J3080" r:id="rId4477" xr:uid="{62D38C8D-34B9-2848-B7D8-12EA9C70FC86}"/>
    <hyperlink ref="W3080" r:id="rId4478" xr:uid="{4F53B03B-D57D-4A43-ACC6-51A4A49833AD}"/>
    <hyperlink ref="J3081" r:id="rId4479" xr:uid="{7776C803-BD89-AF4A-8F72-1745D16F3EC3}"/>
    <hyperlink ref="J3082" r:id="rId4480" xr:uid="{4F8FE595-23A5-FC49-99B7-3381DEAA45D6}"/>
    <hyperlink ref="W3082" r:id="rId4481" xr:uid="{6F49B721-06A5-4245-880B-E94487E6785A}"/>
    <hyperlink ref="J3083" r:id="rId4482" xr:uid="{DCE5DF08-9C32-E343-8628-4C9805ADF1D5}"/>
    <hyperlink ref="J3084" r:id="rId4483" xr:uid="{8CCD16AD-7CD7-A442-B56E-C052CC760AED}"/>
    <hyperlink ref="J3085" r:id="rId4484" xr:uid="{A068B82A-788B-4B4B-95FF-6ACAE8F26D0F}"/>
    <hyperlink ref="J3086" r:id="rId4485" xr:uid="{1FEC5DA0-2381-6645-8627-EB042BDE59D6}"/>
    <hyperlink ref="J3087" r:id="rId4486" xr:uid="{5CDFD729-2744-2545-BAA0-732756D7157E}"/>
    <hyperlink ref="J3088" r:id="rId4487" xr:uid="{C2718A54-D117-454A-AEE1-C6570A22901E}"/>
    <hyperlink ref="J3089" r:id="rId4488" xr:uid="{C4CF4924-B003-9D4B-AFEE-412C7FBE7CEF}"/>
    <hyperlink ref="J3090" r:id="rId4489" xr:uid="{334C322A-CD4B-FA4B-AD5B-EA2C5D7B192F}"/>
    <hyperlink ref="J3091" r:id="rId4490" xr:uid="{A3811FA0-C86B-4E47-A66C-DC8AA56EE888}"/>
    <hyperlink ref="J3092" r:id="rId4491" xr:uid="{5CDCDFAD-885F-0540-959D-6C60BAE0A7CC}"/>
    <hyperlink ref="J3093" r:id="rId4492" xr:uid="{1984146E-EFCF-2146-B691-576A56035964}"/>
    <hyperlink ref="J3094" r:id="rId4493" xr:uid="{F50504EF-D034-0F48-9DFA-2AE9D81E6E7B}"/>
    <hyperlink ref="J3095" r:id="rId4494" xr:uid="{588B2897-0647-1240-A418-DAB96D4D8402}"/>
    <hyperlink ref="J3096" r:id="rId4495" xr:uid="{1A2AD840-CE1A-7744-BC36-46F8156C96DA}"/>
    <hyperlink ref="W3096" r:id="rId4496" xr:uid="{6AC89259-ECC0-7E4F-91F4-BD52DD65E36E}"/>
    <hyperlink ref="J3097" r:id="rId4497" xr:uid="{FE818F6D-A6F6-3C4C-BE22-EBFD16225059}"/>
    <hyperlink ref="J3098" r:id="rId4498" xr:uid="{DD66CAB3-1F9D-D54F-A7B9-AA7D673CF949}"/>
    <hyperlink ref="J3099" r:id="rId4499" xr:uid="{85ADBA93-F1BE-B840-AB0C-9B5D07DDD9CA}"/>
    <hyperlink ref="J3100" r:id="rId4500" xr:uid="{9E0DB97D-BA2F-DA40-9574-B4D9A2B62F6E}"/>
    <hyperlink ref="W3100" r:id="rId4501" xr:uid="{D64556DA-C937-2542-887D-9F720813B17A}"/>
    <hyperlink ref="J3101" r:id="rId4502" xr:uid="{E733178F-EB23-AA4F-BCB6-1013A47A5002}"/>
    <hyperlink ref="J3102" r:id="rId4503" xr:uid="{6158976D-867D-9D4C-A267-AFBC8B176C08}"/>
    <hyperlink ref="J3103" r:id="rId4504" xr:uid="{1B134ABF-25A3-C943-98B8-32337C7800DD}"/>
    <hyperlink ref="J3104" r:id="rId4505" xr:uid="{35EA5774-98AD-0146-86D1-306077ED9836}"/>
    <hyperlink ref="J3105" r:id="rId4506" xr:uid="{B8CDC189-DE42-1F46-8139-4B4E19D8DB10}"/>
    <hyperlink ref="J3106" r:id="rId4507" xr:uid="{C11C0E4F-2AC2-2E41-913E-72106ED91681}"/>
    <hyperlink ref="J3107" r:id="rId4508" xr:uid="{FA12805B-C66A-4F4A-80D3-0D4D4188F3FD}"/>
    <hyperlink ref="J3108" r:id="rId4509" xr:uid="{E37629D0-3741-DF4F-9A20-1CF8E86F7303}"/>
    <hyperlink ref="J3109" r:id="rId4510" xr:uid="{F0A66EEB-91ED-7D42-A7A7-84CBAF14284D}"/>
    <hyperlink ref="W3109" r:id="rId4511" xr:uid="{69CFF06F-5C71-C74F-897A-1BCC4DBF5DA7}"/>
    <hyperlink ref="J3110" r:id="rId4512" xr:uid="{416C26C7-B513-3045-B437-6AAD289F57C8}"/>
    <hyperlink ref="J3111" r:id="rId4513" xr:uid="{97DE9B77-5B26-1744-8116-CDA16B3543DB}"/>
    <hyperlink ref="J3112" r:id="rId4514" xr:uid="{A18675E9-C8CE-434E-8A4D-DAC45E552B61}"/>
    <hyperlink ref="J3113" r:id="rId4515" xr:uid="{E6825CFE-F5B2-5141-BAC9-5A40ADD97EA4}"/>
    <hyperlink ref="J3114" r:id="rId4516" xr:uid="{7334D48A-6FFC-1842-9978-1B748037BA4B}"/>
    <hyperlink ref="J3115" r:id="rId4517" xr:uid="{1F91C450-47DF-1C44-955C-999F53EBAE8C}"/>
    <hyperlink ref="J3116" r:id="rId4518" xr:uid="{3E1B0F36-7FE4-8043-B528-256FEAD8969B}"/>
    <hyperlink ref="J3117" r:id="rId4519" xr:uid="{11C29493-270F-8F40-95AD-75B40A5D18C7}"/>
    <hyperlink ref="W3117" r:id="rId4520" xr:uid="{AC33999A-7F8E-5346-8A99-2F1960894148}"/>
    <hyperlink ref="J3118" r:id="rId4521" xr:uid="{EAC48C72-810F-5F46-96F8-BE358DBFA9DC}"/>
    <hyperlink ref="J3119" r:id="rId4522" xr:uid="{342B2141-CB77-0C42-9206-64D1FABBBBCF}"/>
    <hyperlink ref="W3119" r:id="rId4523" xr:uid="{991AE79F-A072-174A-9059-61B8563E1719}"/>
    <hyperlink ref="J3120" r:id="rId4524" xr:uid="{F8D5B1A1-8FE6-754C-9A03-E0A3552FC17A}"/>
    <hyperlink ref="W3120" r:id="rId4525" xr:uid="{0F379C6B-6803-054E-A44E-90085F08A07D}"/>
    <hyperlink ref="J3121" r:id="rId4526" xr:uid="{925178AA-3264-464B-9012-DF2E9510ACBF}"/>
    <hyperlink ref="W3121" r:id="rId4527" xr:uid="{812800EE-F2C7-1C4D-ABE9-FF1393494100}"/>
    <hyperlink ref="J3122" r:id="rId4528" xr:uid="{C7B2C0C9-81AC-1345-ACF2-0AB1C3F899B5}"/>
    <hyperlink ref="J3123" r:id="rId4529" xr:uid="{8527DF36-1D07-D540-AC9C-7A7C47368D5C}"/>
    <hyperlink ref="J3124" r:id="rId4530" xr:uid="{535C273D-64B1-0E41-9027-1B2F831A1231}"/>
    <hyperlink ref="J3125" r:id="rId4531" xr:uid="{1D6FFC3E-E160-7D4C-AF29-6A568BE48ABA}"/>
    <hyperlink ref="J3126" r:id="rId4532" xr:uid="{58B88118-DB65-5845-8476-AF70F94D0350}"/>
    <hyperlink ref="J3127" r:id="rId4533" xr:uid="{FA83A441-3DBA-DE46-9525-8873CC9CC779}"/>
    <hyperlink ref="W3127" r:id="rId4534" xr:uid="{709310D3-D740-184A-9F88-EA21BEA9196E}"/>
    <hyperlink ref="J3128" r:id="rId4535" xr:uid="{19E63200-0D6B-7240-A008-6167743AD206}"/>
    <hyperlink ref="J3129" r:id="rId4536" xr:uid="{FC6EC856-7E22-D64F-8F8E-27A4E837C986}"/>
    <hyperlink ref="J3130" r:id="rId4537" xr:uid="{FE235560-7127-D345-859C-58189B3317EC}"/>
    <hyperlink ref="W3130" r:id="rId4538" xr:uid="{9C84E2D2-9E45-C94D-8C44-DD7A55E74398}"/>
    <hyperlink ref="J3131" r:id="rId4539" xr:uid="{47D69B0F-29DA-D74C-967F-0FC2FD8DEB78}"/>
    <hyperlink ref="W3131" r:id="rId4540" xr:uid="{F3D9E7F8-0C52-DC4B-9EAA-E2773A415C0A}"/>
    <hyperlink ref="J3132" r:id="rId4541" xr:uid="{83B5EF91-20C4-F644-8984-F1554DE93EA0}"/>
    <hyperlink ref="J3133" r:id="rId4542" xr:uid="{28633C5C-98B9-BE47-B0A2-F74FA24DA78E}"/>
    <hyperlink ref="W3133" r:id="rId4543" xr:uid="{F44FB667-2897-3E41-B817-7012AFC4E06C}"/>
    <hyperlink ref="J3134" r:id="rId4544" xr:uid="{8205B148-4387-704E-8980-651CF435AE93}"/>
    <hyperlink ref="J3135" r:id="rId4545" xr:uid="{7585F841-75F4-9240-BF51-A2071C9DE928}"/>
    <hyperlink ref="J3136" r:id="rId4546" xr:uid="{19026A2E-8470-1446-BE9C-AC68A70386C5}"/>
    <hyperlink ref="J3137" r:id="rId4547" xr:uid="{80B3DE74-9FE3-8E42-B354-F7EDA8158245}"/>
    <hyperlink ref="W3137" r:id="rId4548" xr:uid="{21581EEF-B031-3B41-963B-324E5F1DFEBD}"/>
    <hyperlink ref="J3138" r:id="rId4549" xr:uid="{89B6D75E-FDD5-F24A-8077-EB5C72895BDC}"/>
    <hyperlink ref="J3139" r:id="rId4550" xr:uid="{09E85753-4E04-124A-81BF-2E80EBB4FA0A}"/>
    <hyperlink ref="J3140" r:id="rId4551" xr:uid="{F4CA9413-4B66-9F40-B763-6E0E9073AD79}"/>
    <hyperlink ref="J3141" r:id="rId4552" xr:uid="{85B07947-B599-F44D-9D06-17970E12445F}"/>
    <hyperlink ref="W3141" r:id="rId4553" xr:uid="{502431AE-F0CE-0847-AAEE-20E0EB83670B}"/>
    <hyperlink ref="J3142" r:id="rId4554" xr:uid="{864A847D-4EE7-8B4D-BEC8-2D96C3A92C9A}"/>
    <hyperlink ref="J3143" r:id="rId4555" xr:uid="{47C38AF6-AFA5-7A49-8745-197516BD0CF0}"/>
    <hyperlink ref="W3143" r:id="rId4556" xr:uid="{756566F7-CDAE-E642-825A-9F3100E64E3F}"/>
    <hyperlink ref="J3144" r:id="rId4557" xr:uid="{4AE877C1-1E98-314B-972E-5950EEC57C52}"/>
    <hyperlink ref="W3144" r:id="rId4558" xr:uid="{F97F1161-E764-AD45-920F-34B725CDF5EE}"/>
    <hyperlink ref="J3145" r:id="rId4559" xr:uid="{E5F9A86B-5C83-A745-8D9A-A2888EB99361}"/>
    <hyperlink ref="J3146" r:id="rId4560" xr:uid="{3A25FA21-C014-6346-93D0-0373FAAE1D43}"/>
    <hyperlink ref="J3147" r:id="rId4561" xr:uid="{49CFFE13-E7D3-6A4B-A802-7FA15E02B709}"/>
    <hyperlink ref="W3147" r:id="rId4562" xr:uid="{85C8F988-5B26-0646-BBA5-262767E17D26}"/>
    <hyperlink ref="J3148" r:id="rId4563" xr:uid="{4405945B-BAF2-014F-9836-1F7A6595CD5C}"/>
    <hyperlink ref="W3148" r:id="rId4564" xr:uid="{F5E1EB6F-7848-AC4C-8498-95A0D6E896E8}"/>
    <hyperlink ref="J3149" r:id="rId4565" xr:uid="{98A39000-77E4-E840-ABC4-AEC60D5C16CB}"/>
    <hyperlink ref="W3149" r:id="rId4566" xr:uid="{76F5F112-FA28-014A-8427-37D8E7303BD6}"/>
    <hyperlink ref="J3150" r:id="rId4567" xr:uid="{922A429B-E443-A342-BB2E-272F568CE4F6}"/>
    <hyperlink ref="W3150" r:id="rId4568" xr:uid="{797F571D-41CB-0848-AE20-86B64ED08CEC}"/>
    <hyperlink ref="J3151" r:id="rId4569" xr:uid="{478338FA-CC0B-DB4D-A031-26FB25379BF4}"/>
    <hyperlink ref="W3151" r:id="rId4570" xr:uid="{23720782-A894-7440-A01F-7760BE5EB5E0}"/>
    <hyperlink ref="J3152" r:id="rId4571" xr:uid="{3B571988-B8BA-3142-9046-3A2314EB3624}"/>
    <hyperlink ref="W3152" r:id="rId4572" xr:uid="{5F1D5F90-A15C-E14A-BF03-6081309444E4}"/>
    <hyperlink ref="J3153" r:id="rId4573" xr:uid="{F9666B5D-99B8-F044-B124-82BA8BFCDF49}"/>
    <hyperlink ref="J3154" r:id="rId4574" xr:uid="{161FC5EC-703D-B044-B533-4FEFB1419FE9}"/>
    <hyperlink ref="W3154" r:id="rId4575" xr:uid="{B053A324-B8FF-DE4C-8171-DB19AED226F1}"/>
    <hyperlink ref="J3155" r:id="rId4576" xr:uid="{5A9115F2-4C22-0741-A825-D54D37C4D740}"/>
    <hyperlink ref="W3155" r:id="rId4577" xr:uid="{944195FC-9A5D-704C-8D6D-58A9D67A8E1F}"/>
    <hyperlink ref="J3156" r:id="rId4578" xr:uid="{43CDE280-6E95-7B4E-B29B-1ABD7DFE564D}"/>
    <hyperlink ref="W3156" r:id="rId4579" xr:uid="{90F090DC-3EF6-7141-A455-E451499E1F84}"/>
    <hyperlink ref="J3157" r:id="rId4580" xr:uid="{B1210106-830F-D44B-89E3-B942A20D2A4D}"/>
    <hyperlink ref="W3157" r:id="rId4581" xr:uid="{9B9EDD60-0769-F847-99C3-E88D6E67F4F8}"/>
    <hyperlink ref="J3158" r:id="rId4582" xr:uid="{5519B3AB-11A3-7E42-91F4-433A9FE76870}"/>
    <hyperlink ref="J3159" r:id="rId4583" xr:uid="{67A37F64-905E-F349-BCDC-9364C6554E86}"/>
    <hyperlink ref="J3160" r:id="rId4584" xr:uid="{808A67EA-5AF0-1346-A43A-179C27EB3B89}"/>
    <hyperlink ref="J3161" r:id="rId4585" xr:uid="{8E526A26-E8C8-164B-9143-FB50B89B4E65}"/>
    <hyperlink ref="J3162" r:id="rId4586" xr:uid="{A6FA8FC6-C46A-814A-9746-8965C8883046}"/>
    <hyperlink ref="W3162" r:id="rId4587" xr:uid="{FD075248-7B80-1941-8D52-33AA3B3AB6A9}"/>
    <hyperlink ref="J3163" r:id="rId4588" xr:uid="{001E9480-0C5C-D541-8FB9-0A4B76A46E4B}"/>
    <hyperlink ref="J3164" r:id="rId4589" xr:uid="{9263C19D-E4EE-7C41-8484-84E8DFFA606B}"/>
    <hyperlink ref="J3165" r:id="rId4590" xr:uid="{77BD29A7-5BD2-9246-B65E-3B9AB1B31B90}"/>
    <hyperlink ref="W3165" r:id="rId4591" xr:uid="{BCC7D0B8-6B8B-0043-9171-0E8484364084}"/>
    <hyperlink ref="J3166" r:id="rId4592" xr:uid="{D19430BB-C4DA-4641-BA5A-FF281EF9E138}"/>
    <hyperlink ref="J3167" r:id="rId4593" xr:uid="{80CDD2DE-DE34-B94C-8CB1-E0FEF776A219}"/>
    <hyperlink ref="W3167" r:id="rId4594" xr:uid="{E4EF9B7A-152B-974C-AFB4-49EA2D1AB3BE}"/>
    <hyperlink ref="J3168" r:id="rId4595" xr:uid="{A093B903-55EF-FF44-9826-2533EA24A145}"/>
    <hyperlink ref="W3168" r:id="rId4596" xr:uid="{EAD9DE99-088E-AF49-942A-270655E52C69}"/>
    <hyperlink ref="J3169" r:id="rId4597" xr:uid="{D477466C-D6F9-FF4E-9A25-9DD9B0530E34}"/>
    <hyperlink ref="W3169" r:id="rId4598" xr:uid="{9CFFA3DF-21F0-4A4B-82EC-828A1C1487C0}"/>
    <hyperlink ref="J3170" r:id="rId4599" xr:uid="{03157D6D-9907-F942-A15C-8202FC4CE4FE}"/>
    <hyperlink ref="W3170" r:id="rId4600" xr:uid="{F1852D62-299D-9747-90A3-F44E71F49EA4}"/>
    <hyperlink ref="J3171" r:id="rId4601" xr:uid="{3FFF5DD9-4B89-3643-AE46-48E48FC977A1}"/>
    <hyperlink ref="J3172" r:id="rId4602" xr:uid="{0DF592E9-C2E2-D94B-8F48-1A31195AB926}"/>
    <hyperlink ref="W3172" r:id="rId4603" xr:uid="{5EC14EDE-A227-744D-8190-B4E9F5873050}"/>
    <hyperlink ref="J3173" r:id="rId4604" xr:uid="{92658670-550F-3E4C-9216-2CB7624FD44B}"/>
    <hyperlink ref="W3173" r:id="rId4605" xr:uid="{5493FF2E-C86F-A048-AF35-1CB9CFFAB227}"/>
    <hyperlink ref="J3174" r:id="rId4606" xr:uid="{C0D06559-B051-7645-A845-C60BA310DAE3}"/>
    <hyperlink ref="W3174" r:id="rId4607" xr:uid="{843D9DCD-C20E-2048-BAAD-D69E23391D3D}"/>
    <hyperlink ref="J3175" r:id="rId4608" xr:uid="{5704B2B4-8FD9-3147-9438-99C829EE84C8}"/>
    <hyperlink ref="J3176" r:id="rId4609" xr:uid="{9FA3F704-2AD9-AA4D-BBDE-6DCCD48DC11E}"/>
    <hyperlink ref="W3176" r:id="rId4610" xr:uid="{575FCD25-4521-3244-952C-385B13D6DBF1}"/>
    <hyperlink ref="J3177" r:id="rId4611" xr:uid="{D34E327F-C2B8-F744-88FF-9CCF8F2D6420}"/>
    <hyperlink ref="W3177" r:id="rId4612" xr:uid="{792F9A38-1A09-834C-9D20-553EBE1DCB46}"/>
    <hyperlink ref="J3178" r:id="rId4613" xr:uid="{7A8E4A0A-23D7-EF49-83E9-7F4678E01CF5}"/>
    <hyperlink ref="J3179" r:id="rId4614" xr:uid="{7070E6A2-E477-FD4A-9EF6-2A25A1D9F19B}"/>
    <hyperlink ref="W3179" r:id="rId4615" xr:uid="{EB2F4E86-981D-D643-ADFF-4FD6543AD652}"/>
    <hyperlink ref="J3180" r:id="rId4616" xr:uid="{103CDCD8-9485-EB45-8610-75A765E17611}"/>
    <hyperlink ref="J3181" r:id="rId4617" xr:uid="{B434E53A-498C-BA45-98C6-AB5C4053D388}"/>
    <hyperlink ref="W3181" r:id="rId4618" xr:uid="{1ED3E9F5-2108-1142-8964-FFE64C1D685E}"/>
    <hyperlink ref="J3182" r:id="rId4619" xr:uid="{F7A60908-BEE5-CE40-ABD8-ACBBCEBA0E5D}"/>
    <hyperlink ref="W3182" r:id="rId4620" xr:uid="{EAE17BE2-F7A7-B344-AA9F-FFB45F12FAC4}"/>
    <hyperlink ref="J3183" r:id="rId4621" xr:uid="{4E4401BA-E946-4940-B859-A836E1174C35}"/>
    <hyperlink ref="W3183" r:id="rId4622" xr:uid="{29784348-440A-6946-9760-0B3CF37FF087}"/>
    <hyperlink ref="J3184" r:id="rId4623" xr:uid="{D05CCE7E-59E7-4341-B095-4271AE8E2787}"/>
    <hyperlink ref="W3184" r:id="rId4624" xr:uid="{4D0BF6B5-51DB-534D-9E63-96D636F67192}"/>
    <hyperlink ref="J3185" r:id="rId4625" xr:uid="{0A1B4980-3CBD-1D46-BCDF-BD5BBE2DCA24}"/>
    <hyperlink ref="W3185" r:id="rId4626" xr:uid="{D15F32A9-E5E8-0E45-81BA-ED4D6FDECA74}"/>
    <hyperlink ref="J3186" r:id="rId4627" xr:uid="{D58F638E-0EE2-F74D-B8AF-16C0B5CEEA99}"/>
    <hyperlink ref="J3187" r:id="rId4628" xr:uid="{3FFA9A6B-45D0-F347-96E9-76B765FF6224}"/>
    <hyperlink ref="W3187" r:id="rId4629" xr:uid="{FE0B00A4-6E36-414C-832B-5190F3CA4EA7}"/>
    <hyperlink ref="J3188" r:id="rId4630" xr:uid="{0FDE1CC0-B694-7848-BED3-7E45C02FDBE9}"/>
    <hyperlink ref="J3189" r:id="rId4631" xr:uid="{DCEB321E-ED4B-A543-A638-D0DFEAA0CAF0}"/>
    <hyperlink ref="W3189" r:id="rId4632" xr:uid="{B36D5D0D-3716-F54B-9AC3-2A5DEF8192B6}"/>
    <hyperlink ref="J3190" r:id="rId4633" xr:uid="{76096EC1-80DD-7F46-B6F6-401A23B09A3C}"/>
    <hyperlink ref="J3191" r:id="rId4634" xr:uid="{6C05327A-8E5E-4646-8091-3471F399EB16}"/>
    <hyperlink ref="J3192" r:id="rId4635" xr:uid="{F6E0D02E-5A1A-AD44-A5DB-B5ADBB420BB1}"/>
    <hyperlink ref="J3193" r:id="rId4636" xr:uid="{5C936B3F-0A38-9F4B-ABEC-4635DDE27BDD}"/>
    <hyperlink ref="W3193" r:id="rId4637" xr:uid="{23E142A9-E401-7C45-9C59-6A403C9E8B8D}"/>
    <hyperlink ref="J3194" r:id="rId4638" xr:uid="{0082A020-C416-5F41-BF4A-59D08CCA7C46}"/>
    <hyperlink ref="J3195" r:id="rId4639" xr:uid="{11E2B39B-0A77-2145-B1A6-FF58A344D2B1}"/>
    <hyperlink ref="W3195" r:id="rId4640" xr:uid="{E904215E-6442-8D45-AE85-4ED8BC6E84E6}"/>
    <hyperlink ref="J3196" r:id="rId4641" xr:uid="{079D81AE-0737-254D-AD2C-657CBF492175}"/>
    <hyperlink ref="W3196" r:id="rId4642" xr:uid="{081C276D-BA3B-C448-842B-B8A39F1C69FD}"/>
    <hyperlink ref="J3197" r:id="rId4643" xr:uid="{21858BD3-668B-DE47-83BA-B042BF36A995}"/>
    <hyperlink ref="W3197" r:id="rId4644" xr:uid="{08181152-D632-6744-9984-6DB535788E7B}"/>
    <hyperlink ref="J3198" r:id="rId4645" xr:uid="{8E4DE632-747F-5B44-B5AC-8D43A8240B5E}"/>
    <hyperlink ref="J3199" r:id="rId4646" xr:uid="{31324AEF-CD88-0244-B47E-E3167EE84967}"/>
    <hyperlink ref="J3200" r:id="rId4647" xr:uid="{91A9A8AE-4DDF-E04A-B1E9-4136E7CF55A1}"/>
    <hyperlink ref="W3200" r:id="rId4648" xr:uid="{90AD906E-7DDA-4C42-AACF-6F766F36145D}"/>
    <hyperlink ref="J3201" r:id="rId4649" xr:uid="{51E22B93-8D51-3941-86D5-E9A69EBAC23E}"/>
    <hyperlink ref="J3202" r:id="rId4650" xr:uid="{AC6FBD6E-0637-FD43-AF4F-468A40226079}"/>
    <hyperlink ref="J3203" r:id="rId4651" xr:uid="{0E696E97-E9EA-5140-B636-5D3695C3E18C}"/>
    <hyperlink ref="W3203" r:id="rId4652" xr:uid="{BCF6995C-BE10-574A-B671-8AC169FCB6B7}"/>
    <hyperlink ref="J3204" r:id="rId4653" xr:uid="{7F079EA4-BA98-064D-B49E-159601E4240E}"/>
    <hyperlink ref="W3204" r:id="rId4654" xr:uid="{82E838AA-6484-1741-AB2A-60DB4AAA3D03}"/>
    <hyperlink ref="J3205" r:id="rId4655" xr:uid="{5B52DE50-9670-2346-AF54-41B936D21DD8}"/>
    <hyperlink ref="W3205" r:id="rId4656" xr:uid="{187EA8B1-D0FA-774C-8EF8-585C91CDC2A5}"/>
    <hyperlink ref="J3206" r:id="rId4657" xr:uid="{4839EFA7-C532-D64E-BC71-E3E8182754F9}"/>
    <hyperlink ref="W3206" r:id="rId4658" xr:uid="{47744034-5131-0247-A9B1-3DE92EC85B96}"/>
    <hyperlink ref="J3207" r:id="rId4659" xr:uid="{E9FF5E63-3A89-E94E-AFA9-50097BB9102A}"/>
    <hyperlink ref="W3207" r:id="rId4660" xr:uid="{772C30A6-A677-1D4E-8450-04B285EC0766}"/>
    <hyperlink ref="J3208" r:id="rId4661" xr:uid="{A65432C1-41F0-F84E-BD64-A42D56EA0E8F}"/>
    <hyperlink ref="W3208" r:id="rId4662" xr:uid="{CEC14D17-6EBB-EA41-8913-EF7B60456B19}"/>
    <hyperlink ref="J3209" r:id="rId4663" xr:uid="{9FCDC2CC-3A9A-124B-8FF8-C7EE8EABDA4D}"/>
    <hyperlink ref="J3210" r:id="rId4664" xr:uid="{8BEE1128-5CE7-4C46-9F18-2C176E36A0CA}"/>
    <hyperlink ref="J3211" r:id="rId4665" xr:uid="{4C64214D-2FCF-C94C-9AA1-3522FC7E8A28}"/>
    <hyperlink ref="J3212" r:id="rId4666" xr:uid="{0E9EDDA2-8B3A-7242-8B3F-9BDA0D8008B4}"/>
    <hyperlink ref="W3212" r:id="rId4667" xr:uid="{F779BC64-E15D-9947-9A3B-7B4F2B305034}"/>
    <hyperlink ref="J3213" r:id="rId4668" xr:uid="{952049DE-73A6-2F43-9E23-19E7F2D2D492}"/>
    <hyperlink ref="W3213" r:id="rId4669" xr:uid="{0ABD334C-85EF-2C4D-B87B-844B9ADD06E0}"/>
    <hyperlink ref="J3214" r:id="rId4670" xr:uid="{24EBAF96-869B-9F45-9FEE-BD84718155D7}"/>
    <hyperlink ref="W3214" r:id="rId4671" xr:uid="{7252A2D8-4362-B143-965D-C58CDC4BC458}"/>
    <hyperlink ref="J3215" r:id="rId4672" xr:uid="{7CC5B70D-B370-9144-9287-7D0B52B87415}"/>
    <hyperlink ref="J3216" r:id="rId4673" xr:uid="{34F2E9A3-E8A0-5B47-B19C-9F7F37B99E5D}"/>
    <hyperlink ref="W3216" r:id="rId4674" xr:uid="{F34227F1-3FA9-7546-9BF8-524FE7B98D3D}"/>
    <hyperlink ref="J3217" r:id="rId4675" xr:uid="{4038D6BA-5345-5943-811F-2A5F54746926}"/>
    <hyperlink ref="J3218" r:id="rId4676" xr:uid="{E3F0367F-D77D-E344-8748-36B28229ECE0}"/>
    <hyperlink ref="J3219" r:id="rId4677" xr:uid="{1B9DD641-8B18-EA4D-87C5-D0C792919835}"/>
    <hyperlink ref="J3220" r:id="rId4678" xr:uid="{ADFB4B36-B8D0-594F-8574-EC4C1F17CCEE}"/>
    <hyperlink ref="J3221" r:id="rId4679" xr:uid="{701EE725-0939-C148-B3EB-1C342722C13F}"/>
    <hyperlink ref="J3222" r:id="rId4680" xr:uid="{C35C777A-F8A0-7946-BE46-408A9F4E1C3D}"/>
    <hyperlink ref="W3222" r:id="rId4681" xr:uid="{E53BDF69-9585-794A-A6AA-14574C313A1B}"/>
    <hyperlink ref="J3223" r:id="rId4682" xr:uid="{D182BCB4-6E39-6047-8ECA-EF82A6105742}"/>
    <hyperlink ref="J3224" r:id="rId4683" xr:uid="{318D42D8-99C3-C74F-BB03-99BCE2FD7EF5}"/>
    <hyperlink ref="W3224" r:id="rId4684" xr:uid="{3FD14F8B-DCC4-2A40-893B-E5C4EAB4AECD}"/>
    <hyperlink ref="J3225" r:id="rId4685" xr:uid="{DB152031-12E1-9E40-9FBF-75B7A0C65F41}"/>
    <hyperlink ref="W3225" r:id="rId4686" xr:uid="{B4FC0D71-0B95-5342-9393-6988F4762E76}"/>
    <hyperlink ref="J3226" r:id="rId4687" xr:uid="{447CB4BF-03DF-C246-B636-5169582103AD}"/>
    <hyperlink ref="J3227" r:id="rId4688" xr:uid="{1F228A17-608D-6F45-A79E-567096B36717}"/>
    <hyperlink ref="W3227" r:id="rId4689" xr:uid="{80E6FFEB-3D26-3844-80F2-6E1138E4176B}"/>
    <hyperlink ref="J3228" r:id="rId4690" xr:uid="{C869CF5B-837A-C24C-A397-91CAFB97FD04}"/>
    <hyperlink ref="J3229" r:id="rId4691" xr:uid="{ADB707EE-D3EB-264F-9720-2E4D344505DF}"/>
    <hyperlink ref="W3229" r:id="rId4692" xr:uid="{2EA6FD38-1BBC-CA4B-BAF4-F2CD54320319}"/>
    <hyperlink ref="J3230" r:id="rId4693" xr:uid="{DD75BCA1-B8C0-1D43-B467-1E728B0A542C}"/>
    <hyperlink ref="W3230" r:id="rId4694" xr:uid="{C1543D2E-3BAC-1C42-8343-505E3C35962F}"/>
    <hyperlink ref="J3231" r:id="rId4695" xr:uid="{62FA4F56-499E-314D-87D2-A23FC221B0D6}"/>
    <hyperlink ref="W3231" r:id="rId4696" xr:uid="{F1690E27-EBA0-D043-BFC9-9101A747B883}"/>
    <hyperlink ref="J3232" r:id="rId4697" xr:uid="{D5489BBD-69A1-1E4F-B26A-54FA54392EC6}"/>
    <hyperlink ref="W3232" r:id="rId4698" xr:uid="{21B9FAF9-AEC4-DB41-B869-DE061614D15F}"/>
    <hyperlink ref="J3233" r:id="rId4699" xr:uid="{6A8A0CBA-8DA3-9B4C-BF2F-5821B5AC722A}"/>
    <hyperlink ref="J3234" r:id="rId4700" xr:uid="{044EBD41-7F1C-8840-9704-D3B7806846FD}"/>
    <hyperlink ref="W3234" r:id="rId4701" xr:uid="{D76EE8EC-2DC2-B244-AA69-5077F00B7A63}"/>
    <hyperlink ref="J3235" r:id="rId4702" xr:uid="{8D0E0E84-E6B2-8845-BBE3-19F332C8CFA6}"/>
    <hyperlink ref="W3235" r:id="rId4703" xr:uid="{66B24CCD-95B6-324C-A5E5-A6AB9DB0BD1B}"/>
    <hyperlink ref="J3236" r:id="rId4704" xr:uid="{73667113-2776-9A48-8B8C-5E3ECDAAD641}"/>
    <hyperlink ref="J3237" r:id="rId4705" xr:uid="{389B8261-2075-364C-9DC5-677D95DC7BB8}"/>
    <hyperlink ref="J3238" r:id="rId4706" xr:uid="{669315E0-5D64-9144-9D62-96F21993EAF5}"/>
    <hyperlink ref="J3239" r:id="rId4707" xr:uid="{CE1B821A-DE8C-8643-831C-4FE0E8E85BAC}"/>
    <hyperlink ref="W3239" r:id="rId4708" xr:uid="{98CC02FE-A71C-C54E-8836-66C69738E6BD}"/>
    <hyperlink ref="J3240" r:id="rId4709" xr:uid="{89AA70E2-8A0B-2E4F-8B2C-E9C1AF2B7F3D}"/>
    <hyperlink ref="W3240" r:id="rId4710" xr:uid="{152C83DE-CEE3-8E47-9F01-DDDE7214225B}"/>
    <hyperlink ref="J3241" r:id="rId4711" xr:uid="{6FED0DC5-B763-AD44-A3B3-3EE91AA6CD9E}"/>
    <hyperlink ref="W3241" r:id="rId4712" xr:uid="{737425AE-5B76-814A-9816-1C0CECCEC6B9}"/>
    <hyperlink ref="J3242" r:id="rId4713" xr:uid="{473DFADB-0E9F-284B-92B3-EA152717B425}"/>
    <hyperlink ref="W3242" r:id="rId4714" xr:uid="{52FBB910-0994-C24A-A1FB-609AF59AF882}"/>
    <hyperlink ref="J3243" r:id="rId4715" xr:uid="{CD632709-EE67-F14B-9A25-C449ACABF6DE}"/>
    <hyperlink ref="W3243" r:id="rId4716" xr:uid="{BA3CA429-9AA2-9341-905C-436F8B97011C}"/>
    <hyperlink ref="J3244" r:id="rId4717" xr:uid="{9F7FD6FD-28F9-AD48-9F64-ECA303DBCF5E}"/>
    <hyperlink ref="W3244" r:id="rId4718" xr:uid="{40553D0C-3A86-BE46-913D-ACF32D500D61}"/>
    <hyperlink ref="J3245" r:id="rId4719" xr:uid="{AA558331-EC4C-9544-8234-D28DEA8BA38C}"/>
    <hyperlink ref="W3245" r:id="rId4720" xr:uid="{32E7467A-C3DA-A04B-A9E3-E56130635C92}"/>
    <hyperlink ref="J3246" r:id="rId4721" xr:uid="{6820C6CA-FEEA-1443-844F-D9431358DBBB}"/>
    <hyperlink ref="W3246" r:id="rId4722" xr:uid="{D6C2C27A-A913-F34B-BB0B-0984CC33B934}"/>
    <hyperlink ref="J3247" r:id="rId4723" xr:uid="{D8CEE230-BBC8-CF40-9A36-9B4A2179B1BF}"/>
    <hyperlink ref="J3248" r:id="rId4724" xr:uid="{3B126051-D8D0-D343-8D7E-450C07B5D848}"/>
    <hyperlink ref="J3249" r:id="rId4725" xr:uid="{35CC60B9-00EF-B54C-8779-19E1E196760E}"/>
    <hyperlink ref="W3249" r:id="rId4726" xr:uid="{30594241-B1DE-B34C-9226-39A53EBABB0E}"/>
    <hyperlink ref="J3250" r:id="rId4727" xr:uid="{E34E75A1-1E55-F94A-8826-102DBB3BFAAF}"/>
    <hyperlink ref="J3251" r:id="rId4728" xr:uid="{4A366997-13AA-6742-88F5-2EC714CC006F}"/>
    <hyperlink ref="J3252" r:id="rId4729" xr:uid="{C132B1BC-E851-6044-95C5-47D7FAC572E5}"/>
    <hyperlink ref="W3252" r:id="rId4730" xr:uid="{8226A2A0-143E-EA49-A56D-98695C2B79A6}"/>
    <hyperlink ref="J3253" r:id="rId4731" xr:uid="{4361E0C4-8351-DF43-BFAC-9796D4C6821F}"/>
    <hyperlink ref="J3254" r:id="rId4732" xr:uid="{5F8E7DAB-E733-034C-A444-C7DC46549A4E}"/>
    <hyperlink ref="J3255" r:id="rId4733" xr:uid="{B98F98A3-0F42-FA4E-9A64-A7CE8A87C499}"/>
    <hyperlink ref="J3256" r:id="rId4734" xr:uid="{7CAA64BA-B0E7-1F41-BF18-071E35E62A0E}"/>
    <hyperlink ref="W3256" r:id="rId4735" xr:uid="{B00C0466-ED39-434C-B128-AB54523B7EEC}"/>
    <hyperlink ref="J3257" r:id="rId4736" xr:uid="{F9D78D63-4201-6C4C-B0E1-5498C6297B9D}"/>
    <hyperlink ref="W3257" r:id="rId4737" xr:uid="{A32C7850-B94E-3B4E-AC49-E2FC1FBCF16B}"/>
    <hyperlink ref="J3258" r:id="rId4738" xr:uid="{A8AA76D5-2EF5-C142-9949-3F0C2CD1E2BC}"/>
    <hyperlink ref="J3259" r:id="rId4739" xr:uid="{FCD5891D-243F-A54D-8325-137426153F37}"/>
    <hyperlink ref="W3259" r:id="rId4740" xr:uid="{C7A03772-6A48-0A4C-BD67-840836010E7D}"/>
    <hyperlink ref="J3260" r:id="rId4741" xr:uid="{34ED3798-6BDC-BC4A-B304-5A780B857C36}"/>
    <hyperlink ref="W3260" r:id="rId4742" xr:uid="{45FBA25F-8B3A-9B4F-8DE3-9ADC53DDE2A1}"/>
    <hyperlink ref="J3261" r:id="rId4743" xr:uid="{08BE439C-4F9C-CC43-BA1A-2749B1495A7F}"/>
    <hyperlink ref="W3261" r:id="rId4744" xr:uid="{223BBC54-9EA3-4D4F-8E95-A97E7D517676}"/>
    <hyperlink ref="J3262" r:id="rId4745" xr:uid="{6F5AD136-5E11-FE43-B864-52A5A18EAA20}"/>
    <hyperlink ref="J3263" r:id="rId4746" xr:uid="{A8FBB0C3-2B68-DF42-B1AF-D876A8CCECDB}"/>
    <hyperlink ref="J3264" r:id="rId4747" xr:uid="{F395EF0F-4843-854B-827B-79F6580AA043}"/>
    <hyperlink ref="W3264" r:id="rId4748" xr:uid="{AD6E1358-BB39-BE4E-8328-FD7DA2DF4146}"/>
    <hyperlink ref="AH3264" r:id="rId4749" xr:uid="{51E3494B-0436-B04C-A78D-205E21AF90FE}"/>
    <hyperlink ref="J3265" r:id="rId4750" xr:uid="{6B5D68BB-A26F-644E-82FD-DD59247C0ABC}"/>
    <hyperlink ref="J3266" r:id="rId4751" xr:uid="{CD86C49B-4B5F-B64B-AE1C-3F9D4CABECB0}"/>
    <hyperlink ref="J3267" r:id="rId4752" xr:uid="{AE39EB21-1554-344A-9E32-A57F156DE637}"/>
    <hyperlink ref="W3267" r:id="rId4753" xr:uid="{B2E0BAAA-3BED-3046-813A-1688924624C2}"/>
    <hyperlink ref="J3268" r:id="rId4754" xr:uid="{84ADBE50-8C96-7342-8B2B-03BEE77457E1}"/>
    <hyperlink ref="W3268" r:id="rId4755" xr:uid="{8545EEF3-3E7D-CA4C-ACDA-FD79991FD8CE}"/>
    <hyperlink ref="J3269" r:id="rId4756" xr:uid="{5D4B861E-52E4-6A4D-A356-81ECE65256DC}"/>
    <hyperlink ref="J3270" r:id="rId4757" xr:uid="{540A9A47-EC88-C643-B1E5-3FD36F48C48A}"/>
    <hyperlink ref="J3271" r:id="rId4758" xr:uid="{79D24248-2A74-664C-87DD-FC0B1488EF83}"/>
    <hyperlink ref="W3271" r:id="rId4759" xr:uid="{BF3FABAE-334E-9641-A7A8-A37707D2BEB3}"/>
    <hyperlink ref="J3272" r:id="rId4760" xr:uid="{AD927D77-CAFE-1E41-8A43-B2B1E2B1817A}"/>
    <hyperlink ref="J3273" r:id="rId4761" xr:uid="{73F07659-F735-404D-8DAC-19E095329447}"/>
    <hyperlink ref="J3274" r:id="rId4762" xr:uid="{90C372BB-57F3-AC42-80D2-106989FA74CD}"/>
    <hyperlink ref="J3275" r:id="rId4763" xr:uid="{992913CF-0CF0-904C-A2FD-89B81FCBE2C9}"/>
    <hyperlink ref="J3276" r:id="rId4764" xr:uid="{6BEE31A5-1F40-104E-9C91-06436BC3FBC1}"/>
    <hyperlink ref="W3276" r:id="rId4765" xr:uid="{E2C581C1-59F6-5C4E-B759-BFB418BC8D80}"/>
    <hyperlink ref="AH3276" r:id="rId4766" xr:uid="{B40CCD28-B164-D24C-B06B-39AF356F2651}"/>
    <hyperlink ref="J3277" r:id="rId4767" xr:uid="{CFF45E33-088F-7B42-821D-296EE324C089}"/>
    <hyperlink ref="J3278" r:id="rId4768" xr:uid="{26A406F8-A7CD-914F-B53A-9ECF988C91B3}"/>
    <hyperlink ref="J3279" r:id="rId4769" xr:uid="{88C3F6A7-DCE9-9646-BDE2-0978D3139B47}"/>
    <hyperlink ref="J3280" r:id="rId4770" xr:uid="{D789FB81-D45B-7849-A57B-436FB6C8600C}"/>
    <hyperlink ref="J3281" r:id="rId4771" xr:uid="{CDD2122B-3D90-7E40-8281-6BEAB71D39CB}"/>
    <hyperlink ref="J3282" r:id="rId4772" xr:uid="{CB481C96-5747-AC49-8C0C-740BA93A2220}"/>
    <hyperlink ref="W3282" r:id="rId4773" xr:uid="{831AD208-DCC8-7241-A94E-A778C634A9EF}"/>
    <hyperlink ref="J3283" r:id="rId4774" xr:uid="{ACABC433-F76F-E747-9A79-4849247F56F2}"/>
    <hyperlink ref="J3284" r:id="rId4775" xr:uid="{F87097AB-3AA5-C747-8CA3-53CEA1C5E54C}"/>
    <hyperlink ref="J3285" r:id="rId4776" xr:uid="{DF84EB8E-C87D-2149-9129-00E574C391A2}"/>
    <hyperlink ref="J3286" r:id="rId4777" xr:uid="{FC3B76F9-2255-B543-B166-0D5DD89FDE51}"/>
    <hyperlink ref="W3286" r:id="rId4778" xr:uid="{BAF3F7B0-8040-774B-AD56-10E5C1B7037D}"/>
    <hyperlink ref="J3287" r:id="rId4779" xr:uid="{376F6EA8-DAFF-234D-8B6E-D1DC9A594603}"/>
    <hyperlink ref="J3288" r:id="rId4780" xr:uid="{965D67AE-0B32-784E-86A4-683B0AC94E3E}"/>
    <hyperlink ref="W3288" r:id="rId4781" xr:uid="{47822862-0495-3444-9B43-1B8D4A480454}"/>
    <hyperlink ref="J3289" r:id="rId4782" xr:uid="{1F709D1B-4B8A-1D4C-BBD7-D7413255E5A9}"/>
    <hyperlink ref="J3290" r:id="rId4783" xr:uid="{C33D3BB3-3139-4D46-8C3A-1B00A3284F9F}"/>
    <hyperlink ref="O3290" r:id="rId4784" xr:uid="{0B3C984E-2C95-1A4B-9DA0-49CBBF3CF912}"/>
    <hyperlink ref="W3290" r:id="rId4785" xr:uid="{CA51CC3D-CC7A-9F4D-A9D1-AF8B992FB2DA}"/>
    <hyperlink ref="J3291" r:id="rId4786" xr:uid="{547C61E0-69B1-3D41-B725-4ACD230FFC90}"/>
    <hyperlink ref="J3292" r:id="rId4787" xr:uid="{07AE055C-8A37-4844-B327-AE6F748024A7}"/>
    <hyperlink ref="J3293" r:id="rId4788" xr:uid="{4EFB9992-A7B9-574F-B276-CF5FEE8A1FF9}"/>
    <hyperlink ref="J3294" r:id="rId4789" xr:uid="{C7A7CCB3-D043-CB41-8462-9313F90A009D}"/>
    <hyperlink ref="J3295" r:id="rId4790" xr:uid="{1E225631-8238-DA46-8AE0-9AC37DCC2F2B}"/>
    <hyperlink ref="J3296" r:id="rId4791" xr:uid="{F8792109-7B88-5E4C-85C0-FD7FDCBCCC0E}"/>
    <hyperlink ref="J3297" r:id="rId4792" xr:uid="{A938479A-338D-0843-B480-4F0E990BAAAC}"/>
    <hyperlink ref="W3297" r:id="rId4793" xr:uid="{F11B3C78-EC1E-9241-988D-A49521C8A90A}"/>
    <hyperlink ref="J3298" r:id="rId4794" xr:uid="{2C077ECA-1A50-1B48-AB3A-4A5D73E73765}"/>
    <hyperlink ref="J3299" r:id="rId4795" xr:uid="{DBAFAEFA-2195-0844-B80F-59A322B314E6}"/>
    <hyperlink ref="W3299" r:id="rId4796" xr:uid="{4BC481F7-0181-F847-83D5-E1B223A6FF39}"/>
    <hyperlink ref="J3300" r:id="rId4797" xr:uid="{6D1D50D5-6A7E-294C-BBE0-B2C98951289C}"/>
    <hyperlink ref="J3301" r:id="rId4798" xr:uid="{4E6B1F15-1367-3149-B86B-0C8C808113F7}"/>
    <hyperlink ref="J3302" r:id="rId4799" xr:uid="{A38CC391-DF59-2F4E-B70F-C0F992534C86}"/>
    <hyperlink ref="W3302" r:id="rId4800" xr:uid="{E557523C-7778-1B4B-A022-95CBBB7B68F8}"/>
    <hyperlink ref="J3303" r:id="rId4801" xr:uid="{ABD8919E-59C5-2047-963D-92BCD1E26E87}"/>
    <hyperlink ref="W3303" r:id="rId4802" xr:uid="{4E179CF9-B36D-0649-AAFE-DB3F6FDEE7EA}"/>
    <hyperlink ref="J3304" r:id="rId4803" xr:uid="{6E4A6507-5A52-1747-A7D7-18DC377D07D3}"/>
    <hyperlink ref="J3305" r:id="rId4804" xr:uid="{5ECA556F-ECAE-8048-9BDD-8012A84ED539}"/>
    <hyperlink ref="J3306" r:id="rId4805" xr:uid="{4349AD11-A79F-7745-A7BD-7BD2ACBF8503}"/>
    <hyperlink ref="W3306" r:id="rId4806" xr:uid="{199312F7-7BCF-A141-B0D4-26BB009214E6}"/>
    <hyperlink ref="J3307" r:id="rId4807" xr:uid="{BC28A60C-ACFE-D543-9AA6-36C6EC8B6117}"/>
    <hyperlink ref="J3308" r:id="rId4808" xr:uid="{B4B746A8-E628-ED45-A2B1-FD9326F6AE0E}"/>
    <hyperlink ref="W3308" r:id="rId4809" xr:uid="{1670EBC3-4249-4A40-BB55-E7D431298021}"/>
    <hyperlink ref="J3309" r:id="rId4810" xr:uid="{7DF8441B-80E5-5E45-9E23-DE8CE6195938}"/>
    <hyperlink ref="J3310" r:id="rId4811" xr:uid="{C29F5439-BB65-A743-8447-7F6FDFB65DD9}"/>
    <hyperlink ref="J3311" r:id="rId4812" xr:uid="{7DD6C632-65FE-8140-8354-66A1E9D84606}"/>
    <hyperlink ref="J3312" r:id="rId4813" xr:uid="{BF860927-E3A5-3943-B23D-FC5D5328C7D6}"/>
    <hyperlink ref="J3313" r:id="rId4814" xr:uid="{5CE316D8-1A06-1E46-B900-BD59131B5CA4}"/>
    <hyperlink ref="W3313" r:id="rId4815" xr:uid="{CB9525A7-9BFF-C245-AEBC-0F9F9EE7E401}"/>
    <hyperlink ref="J3314" r:id="rId4816" xr:uid="{B5993116-036A-6440-8EC3-2383A9F7BEDE}"/>
    <hyperlink ref="W3314" r:id="rId4817" xr:uid="{BC352ED0-A745-D140-BCD6-7AD754BD3CAC}"/>
    <hyperlink ref="J3315" r:id="rId4818" xr:uid="{E51011F1-9BE5-9A45-8B0F-580D9EE5AD63}"/>
    <hyperlink ref="J3316" r:id="rId4819" xr:uid="{D6F01A99-A1F4-354F-9BE4-A1736C0B018A}"/>
    <hyperlink ref="J3317" r:id="rId4820" xr:uid="{AB74BA97-2F9D-9E41-8AB3-B5A6E2C94A47}"/>
    <hyperlink ref="W3317" r:id="rId4821" xr:uid="{05360E17-7507-1248-BBCB-13690A09C39A}"/>
    <hyperlink ref="J3318" r:id="rId4822" xr:uid="{F31F614A-C64D-C449-88F6-8A0E34613B37}"/>
    <hyperlink ref="J3319" r:id="rId4823" xr:uid="{06B77CB1-7414-4E44-886D-A437339A6418}"/>
    <hyperlink ref="W3319" r:id="rId4824" xr:uid="{39F3BBAE-FBA2-6649-B131-E59BC17D8B3C}"/>
    <hyperlink ref="J3320" r:id="rId4825" xr:uid="{31711F01-9D35-9B4C-AC3E-F9E49194F665}"/>
    <hyperlink ref="J3321" r:id="rId4826" xr:uid="{52F5FDD0-3097-814C-A3C7-BE2914408916}"/>
    <hyperlink ref="W3321" r:id="rId4827" xr:uid="{EF774978-2C0B-C047-B9BE-CC2328278029}"/>
    <hyperlink ref="J3322" r:id="rId4828" xr:uid="{B6DE8C49-8195-0446-86E6-25882369BAED}"/>
    <hyperlink ref="W3322" r:id="rId4829" xr:uid="{75A11059-DBC1-8A4F-A976-0689CF777038}"/>
    <hyperlink ref="J3323" r:id="rId4830" xr:uid="{D9CC77C5-E753-244F-84ED-A8C8169D2583}"/>
    <hyperlink ref="J3324" r:id="rId4831" xr:uid="{ECB237A8-FE13-1A4C-8CD3-6554F9707D9D}"/>
    <hyperlink ref="J3325" r:id="rId4832" xr:uid="{63B2C104-084F-AC41-B3B9-9D30F3E89AA9}"/>
    <hyperlink ref="W3325" r:id="rId4833" xr:uid="{F7296BC0-3A7C-CE4B-9454-AB2206DC38BA}"/>
    <hyperlink ref="J3326" r:id="rId4834" xr:uid="{001F171A-CEEA-FB46-9AE6-24F43FEDD5CF}"/>
    <hyperlink ref="J3327" r:id="rId4835" xr:uid="{1A3C0602-8A55-DE4E-A96D-338E5F9D59F3}"/>
    <hyperlink ref="J3328" r:id="rId4836" xr:uid="{29F0C3DF-4EEE-D24F-9BED-CFEF7A881B17}"/>
    <hyperlink ref="J3329" r:id="rId4837" xr:uid="{0B6D2B95-4F8D-D941-A777-8DC5CD94D6F9}"/>
    <hyperlink ref="J3330" r:id="rId4838" xr:uid="{544554D0-96A3-B745-96CC-ECF637E639BB}"/>
    <hyperlink ref="W3330" r:id="rId4839" xr:uid="{ADD46EBB-93A9-1347-B258-EC62E47487BB}"/>
    <hyperlink ref="J3331" r:id="rId4840" xr:uid="{BCF8503A-D0F6-9143-824D-C88C61BFDA99}"/>
    <hyperlink ref="J3332" r:id="rId4841" xr:uid="{4E260395-E7EA-5E4A-B47B-C82893107096}"/>
    <hyperlink ref="J3333" r:id="rId4842" xr:uid="{A8D0BAF0-AFB2-CB40-A1ED-A98D31548F54}"/>
    <hyperlink ref="J3334" r:id="rId4843" xr:uid="{F3B6755F-17D9-FC4D-82AF-56233BAD0B5B}"/>
    <hyperlink ref="J3335" r:id="rId4844" xr:uid="{B557A1E0-E733-2847-B47B-93B53CE96018}"/>
    <hyperlink ref="J3336" r:id="rId4845" xr:uid="{D097590F-D927-2B49-B090-9D68DBC0900F}"/>
    <hyperlink ref="W3336" r:id="rId4846" xr:uid="{9A3AA512-155B-224B-ABC3-BECC6B3846FA}"/>
    <hyperlink ref="J3337" r:id="rId4847" xr:uid="{5833F77C-A36F-AB46-B756-4D759CD231D4}"/>
    <hyperlink ref="J3338" r:id="rId4848" xr:uid="{77EC10B3-4001-A344-9134-0BEEF88FF051}"/>
    <hyperlink ref="J3339" r:id="rId4849" xr:uid="{FF1DD1BF-A5FC-F84D-8C17-B9815F75C68C}"/>
    <hyperlink ref="J3340" r:id="rId4850" xr:uid="{7740BA88-F389-4940-91F8-63E2C403708D}"/>
    <hyperlink ref="J3341" r:id="rId4851" xr:uid="{731FD692-0109-DB40-A118-6D15893D9378}"/>
    <hyperlink ref="J3342" r:id="rId4852" xr:uid="{971054FC-A54F-BC4F-A5E8-BCA818417F22}"/>
    <hyperlink ref="J3343" r:id="rId4853" xr:uid="{EB43556A-6A5B-D047-881E-D2CEA548CF98}"/>
    <hyperlink ref="J3344" r:id="rId4854" xr:uid="{D5287C49-F99C-BA4F-BCBE-10FA71AB843A}"/>
    <hyperlink ref="J3345" r:id="rId4855" xr:uid="{0D09F670-E12E-F34F-B1A0-0C3C52DB0E4E}"/>
    <hyperlink ref="W3345" r:id="rId4856" xr:uid="{443421DB-5813-7749-BC1F-E6FED2FFC78F}"/>
    <hyperlink ref="J3346" r:id="rId4857" xr:uid="{40DB6D7C-0C52-FE42-8E1B-2A50B35B73DF}"/>
    <hyperlink ref="W3346" r:id="rId4858" xr:uid="{4021E42E-54EA-F249-8971-1B3803A146E8}"/>
    <hyperlink ref="J3347" r:id="rId4859" xr:uid="{95B8FA17-5C25-254D-B94A-1B364F80819B}"/>
    <hyperlink ref="J3348" r:id="rId4860" xr:uid="{4777E177-1251-1141-8ADF-2E343DF0CC2E}"/>
    <hyperlink ref="J3349" r:id="rId4861" xr:uid="{615B4207-72E5-D540-A3CC-52585B3A2DAD}"/>
    <hyperlink ref="J3350" r:id="rId4862" xr:uid="{363057FC-53B6-8F49-9E80-FBB6003D6693}"/>
    <hyperlink ref="J3351" r:id="rId4863" xr:uid="{CB3F6053-FEE4-3D49-925C-34C5D0DF440D}"/>
    <hyperlink ref="J3352" r:id="rId4864" xr:uid="{B18B1328-7E8F-D742-B970-B28F57CEB443}"/>
    <hyperlink ref="J3353" r:id="rId4865" xr:uid="{A812D0AD-D9A8-E147-ADBC-50C417A4A6C9}"/>
    <hyperlink ref="J3354" r:id="rId4866" xr:uid="{27E8F164-16DF-5946-8621-BD6B9190FBA6}"/>
    <hyperlink ref="W3354" r:id="rId4867" xr:uid="{0D2BBB6A-931F-BA4E-8F56-AA61C3C9E81C}"/>
    <hyperlink ref="J3355" r:id="rId4868" xr:uid="{48B364C0-35AA-E44B-B579-277B978A1EA2}"/>
    <hyperlink ref="J3356" r:id="rId4869" xr:uid="{FEF42E9A-CC4F-014E-A477-824A3782CEED}"/>
    <hyperlink ref="J3357" r:id="rId4870" xr:uid="{74872369-33B3-6D46-9B0F-BDB03CC9B726}"/>
    <hyperlink ref="J3358" r:id="rId4871" xr:uid="{B97DB255-7691-0145-AE24-3B2CE3A30C88}"/>
    <hyperlink ref="J3359" r:id="rId4872" xr:uid="{FD6533BD-22C1-B94C-91C1-46F0183C7236}"/>
    <hyperlink ref="J3360" r:id="rId4873" xr:uid="{AD6FAA9D-1156-524F-8CAD-974C17B73EE4}"/>
    <hyperlink ref="J3361" r:id="rId4874" xr:uid="{8EE78387-F4B6-564A-944B-C10DE2B80481}"/>
    <hyperlink ref="W3361" r:id="rId4875" xr:uid="{FB3046EB-D9DC-1D41-9028-3E3F47AB2208}"/>
    <hyperlink ref="J3362" r:id="rId4876" xr:uid="{82FD203A-E56C-864A-9CBE-16BB35DFF0B0}"/>
    <hyperlink ref="J3363" r:id="rId4877" xr:uid="{44E508CF-8C30-734F-A2CE-30CB3AED91AE}"/>
    <hyperlink ref="J3364" r:id="rId4878" xr:uid="{99F7F2FE-C2F0-0B4D-B1F1-C98F2056984C}"/>
    <hyperlink ref="J3365" r:id="rId4879" xr:uid="{B4FB9B89-D9D0-914F-896E-2D7810E5A776}"/>
    <hyperlink ref="J3366" r:id="rId4880" xr:uid="{E3618968-47D3-8C4F-9E55-FFC939CBDA4C}"/>
    <hyperlink ref="J3367" r:id="rId4881" xr:uid="{9C577EE5-9ECF-794D-8172-52832817895B}"/>
    <hyperlink ref="J3368" r:id="rId4882" xr:uid="{9ECCEA07-CB39-9444-B2F9-3AF0DA44A361}"/>
    <hyperlink ref="J3369" r:id="rId4883" xr:uid="{2FDF1816-BF3A-844E-89EC-CC5A7B01B3B4}"/>
    <hyperlink ref="J3370" r:id="rId4884" xr:uid="{00929DB5-9CA3-3249-9F1D-BD573FCC810A}"/>
    <hyperlink ref="J3371" r:id="rId4885" xr:uid="{94135EFF-D8F7-8645-9171-DA18890731D0}"/>
    <hyperlink ref="W3371" r:id="rId4886" xr:uid="{A9B739DA-5EC1-EE4C-89E7-EE281C9F5F68}"/>
    <hyperlink ref="J3372" r:id="rId4887" xr:uid="{037AC4FA-9BC0-AF47-B3D7-530508525799}"/>
    <hyperlink ref="W3372" r:id="rId4888" xr:uid="{A388CE7F-1B73-9D42-958C-BECA2467E461}"/>
    <hyperlink ref="J3373" r:id="rId4889" xr:uid="{A4CD2957-6215-F545-871D-2ACA9DB31885}"/>
    <hyperlink ref="J3374" r:id="rId4890" xr:uid="{AE4AA23E-83EE-8741-89C4-C9F53ED9D358}"/>
    <hyperlink ref="J3375" r:id="rId4891" xr:uid="{4264625A-F59A-454C-99F9-DFAF8F391C50}"/>
    <hyperlink ref="J3376" r:id="rId4892" xr:uid="{0A79B0E2-6F35-2F4D-93DF-4A5D51894FCC}"/>
    <hyperlink ref="J3377" r:id="rId4893" xr:uid="{6BA9B012-CF18-A641-9969-7FCF9F6CF2A3}"/>
    <hyperlink ref="W3377" r:id="rId4894" xr:uid="{2E6B695B-F735-EF4B-BBF7-134AF39648E9}"/>
    <hyperlink ref="J3378" r:id="rId4895" xr:uid="{919C2960-ADF9-5C41-BDD1-EA30072954C9}"/>
    <hyperlink ref="W3378" r:id="rId4896" xr:uid="{E46A556B-C216-F448-B146-CEAC8B8D4F3F}"/>
    <hyperlink ref="J3379" r:id="rId4897" xr:uid="{A9ADBEC2-BCD0-D347-A2D7-104F8E3D7340}"/>
    <hyperlink ref="J3380" r:id="rId4898" xr:uid="{7CD429F2-0A1E-A043-97E8-27B2A32D4C7E}"/>
    <hyperlink ref="J3381" r:id="rId4899" xr:uid="{A99E7229-ED20-F545-85D7-4ED3443D53A1}"/>
    <hyperlink ref="J3382" r:id="rId4900" xr:uid="{079F3251-38C8-AC4F-9F7F-83E9B366E345}"/>
    <hyperlink ref="J3383" r:id="rId4901" xr:uid="{DB05B2FD-24D9-4C4F-AB71-942606ADFC02}"/>
    <hyperlink ref="J3384" r:id="rId4902" xr:uid="{AA00051C-8E13-E846-9AAC-7941D3D168F9}"/>
    <hyperlink ref="W3384" r:id="rId4903" xr:uid="{A0072C47-4BCE-084F-891A-9B8F13286AF0}"/>
    <hyperlink ref="J3385" r:id="rId4904" xr:uid="{B741D452-0B95-4A47-9E5B-67C936D0F2AA}"/>
    <hyperlink ref="W3385" r:id="rId4905" xr:uid="{823EE432-AAA6-C24B-B6AB-3A498874D716}"/>
    <hyperlink ref="J3386" r:id="rId4906" xr:uid="{C2613DFD-EDE0-8049-AC3B-794FE966BB4D}"/>
    <hyperlink ref="W3386" r:id="rId4907" xr:uid="{6B7EAAFE-AEA9-B545-A88E-A5FCF5FA71CC}"/>
    <hyperlink ref="J3387" r:id="rId4908" xr:uid="{8E4B3362-EF54-324B-9897-8D95A8365325}"/>
    <hyperlink ref="J3388" r:id="rId4909" xr:uid="{1F1031B5-C425-A04B-9045-0C2C98FA58D4}"/>
    <hyperlink ref="J3389" r:id="rId4910" xr:uid="{731DE64D-46C0-E547-9207-EF9CF8E2CB57}"/>
    <hyperlink ref="J3390" r:id="rId4911" xr:uid="{5AEB17E4-609B-9049-8AEC-930D29E5464D}"/>
    <hyperlink ref="J3391" r:id="rId4912" xr:uid="{5345543E-1C1E-A146-A492-120C2F88C3FB}"/>
    <hyperlink ref="J3392" r:id="rId4913" xr:uid="{96ECAA78-263C-0A4C-8870-C9A1BA71A5AF}"/>
    <hyperlink ref="J3393" r:id="rId4914" xr:uid="{F3E38D51-2EBA-B84B-A875-C316698BFCE6}"/>
    <hyperlink ref="J3394" r:id="rId4915" xr:uid="{D641B8C2-B853-1246-99F0-224536F9D0A3}"/>
    <hyperlink ref="J3395" r:id="rId4916" xr:uid="{CDC8BA52-A908-3C40-A005-90ADDD3E802C}"/>
    <hyperlink ref="W3395" r:id="rId4917" xr:uid="{C2F434B1-8ACC-C544-A952-3A2649AB3310}"/>
    <hyperlink ref="J3396" r:id="rId4918" xr:uid="{D2742C8A-F2EC-4C49-889E-35E52EF32579}"/>
    <hyperlink ref="J3397" r:id="rId4919" xr:uid="{11C2124E-85A1-4945-9A76-EF06F1BFFC14}"/>
    <hyperlink ref="J3398" r:id="rId4920" xr:uid="{E3F5503F-49B2-F246-ABB6-A5516B2D33AB}"/>
    <hyperlink ref="W3398" r:id="rId4921" xr:uid="{8C15ADF1-32CD-2C43-A0E9-F9E826C8657A}"/>
    <hyperlink ref="J3399" r:id="rId4922" xr:uid="{E7DDBAE6-0A9C-FD42-9209-314BBD871988}"/>
    <hyperlink ref="J3400" r:id="rId4923" xr:uid="{4E4921C8-EDFC-E04F-BFB4-C3C292A24A80}"/>
    <hyperlink ref="J3401" r:id="rId4924" xr:uid="{275474B3-F905-BB42-87D5-626500D65A33}"/>
    <hyperlink ref="J3402" r:id="rId4925" xr:uid="{759CF3B5-EA55-2640-9F4B-89D1351534CC}"/>
    <hyperlink ref="J3403" r:id="rId4926" xr:uid="{33D6A5D3-7D1C-3345-8F4D-2034FDF4ADF0}"/>
    <hyperlink ref="J3404" r:id="rId4927" xr:uid="{B207B4D2-E73C-3248-94DA-7157D3709CBF}"/>
    <hyperlink ref="J3405" r:id="rId4928" xr:uid="{FA651570-2463-A844-9007-4C1651C085C9}"/>
    <hyperlink ref="J3406" r:id="rId4929" xr:uid="{2CB0602D-193D-914A-95FE-F81D632923BF}"/>
    <hyperlink ref="J3407" r:id="rId4930" xr:uid="{B0C73AB2-E2BC-3A47-9961-C807043F138D}"/>
    <hyperlink ref="J3408" r:id="rId4931" xr:uid="{9C9D6A28-8E75-B948-84BF-82AF7DBF1521}"/>
    <hyperlink ref="J3409" r:id="rId4932" xr:uid="{7BF6BC76-0BF6-6044-A06F-536857A48FCD}"/>
    <hyperlink ref="J3410" r:id="rId4933" xr:uid="{CE27E007-499B-9442-A1F9-05263D23E4F0}"/>
    <hyperlink ref="J3411" r:id="rId4934" xr:uid="{182EF133-4005-CB42-903C-B90F413BC702}"/>
    <hyperlink ref="J3412" r:id="rId4935" xr:uid="{DD4888EA-815E-2146-9D76-D6551139D20F}"/>
    <hyperlink ref="J3413" r:id="rId4936" xr:uid="{526C3ECE-B22E-D143-9401-A7B57BFDA721}"/>
    <hyperlink ref="J3414" r:id="rId4937" xr:uid="{00E36CF1-C6E8-4F41-9692-154CF9E3A223}"/>
    <hyperlink ref="J3415" r:id="rId4938" xr:uid="{8BC0F023-5865-F54E-89A9-23B2368C2AE7}"/>
    <hyperlink ref="J3416" r:id="rId4939" xr:uid="{29C74DDE-EE34-B449-B01D-F6C7338DB291}"/>
    <hyperlink ref="J3417" r:id="rId4940" xr:uid="{A6E4C42F-4B58-E54B-8485-A96E364EB3E3}"/>
    <hyperlink ref="J3418" r:id="rId4941" xr:uid="{793270DF-7F9C-B54E-B2F5-15B8F8F28271}"/>
    <hyperlink ref="J3419" r:id="rId4942" xr:uid="{45AB603B-2639-8744-AD19-342566EDE1A4}"/>
    <hyperlink ref="J3420" r:id="rId4943" xr:uid="{14197825-99FD-CA43-A117-C07FF6D0B7B2}"/>
    <hyperlink ref="J3421" r:id="rId4944" xr:uid="{308BA042-D9DE-5049-8A00-E49B15E86204}"/>
    <hyperlink ref="J3422" r:id="rId4945" xr:uid="{CC4201AC-CEA7-AE45-8596-F9D80E83F3A0}"/>
    <hyperlink ref="J3423" r:id="rId4946" xr:uid="{2602C96D-C533-9B45-8637-09E09FD7903E}"/>
    <hyperlink ref="J3424" r:id="rId4947" xr:uid="{5B13491D-7316-9C45-B036-F7AB7B580610}"/>
    <hyperlink ref="J3425" r:id="rId4948" xr:uid="{7A75B876-80FC-EB45-AE9F-7D93F00025E9}"/>
    <hyperlink ref="J3426" r:id="rId4949" xr:uid="{3AE599F5-108C-7645-842F-8BA9411F8D40}"/>
    <hyperlink ref="J3427" r:id="rId4950" xr:uid="{30433F47-6CC1-2442-B21A-FF32D9622D28}"/>
    <hyperlink ref="J3428" r:id="rId4951" xr:uid="{B045C0C5-EEED-6040-A508-B4DA351D4179}"/>
    <hyperlink ref="J3429" r:id="rId4952" xr:uid="{F8CFEDAE-9282-D44C-82BB-C399F7BE86A0}"/>
    <hyperlink ref="J3430" r:id="rId4953" xr:uid="{54FBD806-06B2-4643-B0CB-4BC7234646FD}"/>
    <hyperlink ref="J3431" r:id="rId4954" xr:uid="{9CA2F252-2C5F-004D-9622-A6A82E098192}"/>
    <hyperlink ref="J3432" r:id="rId4955" xr:uid="{DB98E542-F7D0-6C43-8741-582C5CCB3895}"/>
    <hyperlink ref="J3433" r:id="rId4956" xr:uid="{81B967F4-DC6A-F945-8910-DB43507A056A}"/>
    <hyperlink ref="J3434" r:id="rId4957" xr:uid="{ECEEBCD9-97E0-C64D-83F3-CE68BF2C726B}"/>
    <hyperlink ref="W3434" r:id="rId4958" xr:uid="{F6F4E993-5953-DC4E-BF00-B9138208F970}"/>
    <hyperlink ref="J3435" r:id="rId4959" xr:uid="{6B8E8E20-7B45-E14F-B14F-D6F106050BC3}"/>
    <hyperlink ref="J3436" r:id="rId4960" xr:uid="{25F599CA-D2A6-9A44-BFEF-709B4A705FA7}"/>
    <hyperlink ref="J3437" r:id="rId4961" xr:uid="{0706DC52-FC42-994A-A931-88C372035E05}"/>
    <hyperlink ref="J3438" r:id="rId4962" xr:uid="{7AE8EE1B-2864-6D4A-8659-C25712CBA006}"/>
    <hyperlink ref="W3438" r:id="rId4963" xr:uid="{D281E0BE-6D3C-0944-B61A-7B426D5597FA}"/>
    <hyperlink ref="J3439" r:id="rId4964" xr:uid="{1B573D5A-D3F0-904B-9EDD-172554146F8F}"/>
    <hyperlink ref="J3440" r:id="rId4965" xr:uid="{C4BAB5DF-5534-FA40-BE1E-8EE64A636B54}"/>
    <hyperlink ref="J3441" r:id="rId4966" xr:uid="{B783926F-BCAC-0F4C-ACD5-64D237CD7C36}"/>
    <hyperlink ref="J3442" r:id="rId4967" xr:uid="{069F5B71-48B9-A642-B2E3-4F2AD10CA826}"/>
    <hyperlink ref="W3442" r:id="rId4968" xr:uid="{1DD0D811-76B4-4440-A297-AE8DDE529401}"/>
    <hyperlink ref="J3443" r:id="rId4969" xr:uid="{86732026-16C0-AB4F-874A-4EDF25FA24D4}"/>
    <hyperlink ref="J3444" r:id="rId4970" xr:uid="{2572E947-6D11-304C-934A-D0B3F9F65890}"/>
    <hyperlink ref="J3445" r:id="rId4971" xr:uid="{E441C843-182F-E24A-96BC-132F3A021843}"/>
    <hyperlink ref="J3446" r:id="rId4972" xr:uid="{DC579341-61F8-E848-A94D-102F0401A9CC}"/>
    <hyperlink ref="W3446" r:id="rId4973" xr:uid="{9C4C2438-F646-E145-811E-A905B3668EB8}"/>
    <hyperlink ref="J3447" r:id="rId4974" xr:uid="{225C95A2-0F45-BA4B-8D8F-8553712626EE}"/>
    <hyperlink ref="J3448" r:id="rId4975" xr:uid="{3D626C4D-6092-DA4A-B359-6E2614551880}"/>
    <hyperlink ref="J3449" r:id="rId4976" xr:uid="{E4F35F29-FE5A-1842-9D9A-C96298D21DF0}"/>
    <hyperlink ref="J3450" r:id="rId4977" xr:uid="{56B4F786-936A-CB4D-AF6D-202F43F4A0BE}"/>
    <hyperlink ref="W3450" r:id="rId4978" xr:uid="{FF9E82B5-2BE1-154E-867F-5884749C0E0F}"/>
    <hyperlink ref="J3451" r:id="rId4979" xr:uid="{14F5544B-569C-C045-8DA7-808D13384FB8}"/>
    <hyperlink ref="J3452" r:id="rId4980" xr:uid="{EF56DE97-1BE0-394C-9A3A-7D159E4FD964}"/>
    <hyperlink ref="J3453" r:id="rId4981" xr:uid="{3664800D-1442-C84A-84FE-4756D4B3DF24}"/>
    <hyperlink ref="J3454" r:id="rId4982" xr:uid="{9CCBCB85-9EA6-E449-9B98-3ED0BF1BFF90}"/>
    <hyperlink ref="J3455" r:id="rId4983" xr:uid="{15947F04-5867-5A44-BF66-A8A3198E781C}"/>
    <hyperlink ref="J3456" r:id="rId4984" xr:uid="{AA702419-4EAC-214D-B9CE-ED1F4A77EC63}"/>
    <hyperlink ref="J3457" r:id="rId4985" xr:uid="{1D1B9F2E-FBBE-2C4A-9B18-7B6DF4141B0A}"/>
    <hyperlink ref="W3457" r:id="rId4986" xr:uid="{105A200A-A851-674E-AFC3-CF0477AF08A4}"/>
    <hyperlink ref="J3458" r:id="rId4987" xr:uid="{0040195F-9F4E-1D45-9D02-69D069EB5E41}"/>
    <hyperlink ref="W3458" r:id="rId4988" xr:uid="{35AD0CEE-2C96-1049-B3F7-F423E849F9FC}"/>
    <hyperlink ref="J3459" r:id="rId4989" xr:uid="{7993DD5F-8887-D84A-9EA8-F9BCB3B1DEAD}"/>
    <hyperlink ref="J3460" r:id="rId4990" xr:uid="{5D6FF568-5A2C-7146-885B-9943D713D485}"/>
    <hyperlink ref="W3460" r:id="rId4991" xr:uid="{5FC59364-836C-EF4D-A127-8981BA226DD3}"/>
    <hyperlink ref="J3461" r:id="rId4992" xr:uid="{81BFE6D5-C8E8-4841-A5A9-DB5B8AC7D0F9}"/>
    <hyperlink ref="J3462" r:id="rId4993" xr:uid="{AAF39514-2C0C-A646-BEFE-EB74E74AB191}"/>
    <hyperlink ref="J3463" r:id="rId4994" xr:uid="{4FE63D86-9A7E-8041-9F5E-86E21F57A10C}"/>
    <hyperlink ref="J3464" r:id="rId4995" xr:uid="{DDCA1FC1-3DF9-4847-A9A3-50CC582BD0E2}"/>
    <hyperlink ref="J3465" r:id="rId4996" xr:uid="{1C44280F-8509-984A-BC34-31058269902C}"/>
    <hyperlink ref="W3465" r:id="rId4997" xr:uid="{CAB0AB0E-70B9-9846-B645-2AAE7B328D68}"/>
    <hyperlink ref="J3466" r:id="rId4998" xr:uid="{57C309C3-6172-3D4E-BCCF-2D44A05D3DC9}"/>
    <hyperlink ref="W3466" r:id="rId4999" xr:uid="{9EBD036B-1B21-E044-97B3-71D825AAA00E}"/>
    <hyperlink ref="J3467" r:id="rId5000" xr:uid="{05D3940F-CA3A-854F-A9AC-875BA54B9224}"/>
    <hyperlink ref="J3468" r:id="rId5001" xr:uid="{1B222C47-1145-CC4B-97FC-710111358BCC}"/>
    <hyperlink ref="J3469" r:id="rId5002" xr:uid="{0861C7AA-5DDF-F345-A817-73C91417F0F5}"/>
    <hyperlink ref="J3470" r:id="rId5003" xr:uid="{80C9E285-B453-D74A-828C-EE0886DBA4C4}"/>
    <hyperlink ref="W3470" r:id="rId5004" xr:uid="{26B7F27B-43BD-F040-A346-8449D877EF40}"/>
    <hyperlink ref="J3471" r:id="rId5005" xr:uid="{26F1D68C-0C76-A446-8332-864E3E9B9C7A}"/>
    <hyperlink ref="J3472" r:id="rId5006" xr:uid="{48564404-7975-BB4D-A14D-D7379856B523}"/>
    <hyperlink ref="W3472" r:id="rId5007" xr:uid="{C18552C8-89AB-D648-8C9B-38AE31DAE91B}"/>
    <hyperlink ref="J3473" r:id="rId5008" xr:uid="{9517B0D8-5AA7-8C43-84CE-B291BBAB8483}"/>
    <hyperlink ref="J3474" r:id="rId5009" xr:uid="{97AEAA1F-B3E0-6449-B499-50C931BA0B42}"/>
    <hyperlink ref="J3475" r:id="rId5010" xr:uid="{E1E8198D-8E43-8E43-AF05-4FC1CB266AD4}"/>
    <hyperlink ref="J3476" r:id="rId5011" xr:uid="{7097540F-7213-6041-B6CF-A6C2DF0E03B5}"/>
    <hyperlink ref="J3477" r:id="rId5012" xr:uid="{53ED15A9-B708-F34F-B4B4-4299EFC99A61}"/>
    <hyperlink ref="J3478" r:id="rId5013" xr:uid="{555F6555-D1F2-0E4B-88E2-7602892F725E}"/>
    <hyperlink ref="W3478" r:id="rId5014" xr:uid="{7105685B-A79F-D141-86BB-F2FFB5105CF8}"/>
    <hyperlink ref="J3479" r:id="rId5015" xr:uid="{A1DC8D62-DF5B-2D43-99F0-1CF96DC98CB6}"/>
    <hyperlink ref="W3479" r:id="rId5016" xr:uid="{BFE40ABD-6410-7A47-B37C-474D4C543FAC}"/>
    <hyperlink ref="J3480" r:id="rId5017" xr:uid="{9BDA02B9-0F4B-7D49-9DFC-B9D076989E4E}"/>
    <hyperlink ref="J3481" r:id="rId5018" xr:uid="{6B48C9DE-8722-AF4D-B075-FDF50B5A3828}"/>
    <hyperlink ref="J3482" r:id="rId5019" xr:uid="{6519349E-00E1-6B4B-8F9C-390574C848E0}"/>
    <hyperlink ref="J3483" r:id="rId5020" xr:uid="{1C7DB59E-93A9-0444-95CE-D301AB2AC1CB}"/>
    <hyperlink ref="J3484" r:id="rId5021" xr:uid="{21942D94-C49E-7C47-9833-1A88663C230F}"/>
    <hyperlink ref="W3484" r:id="rId5022" xr:uid="{A439DCEF-B6D1-5B40-956F-A8D352F02602}"/>
    <hyperlink ref="J3485" r:id="rId5023" xr:uid="{4C01754E-CB31-3643-BF0A-0DD884EA7BEC}"/>
    <hyperlink ref="J3486" r:id="rId5024" xr:uid="{B197C09F-B19D-E84F-A88A-6970697BE714}"/>
    <hyperlink ref="W3486" r:id="rId5025" xr:uid="{0E544D4F-3831-E749-8E30-A98ED53F2736}"/>
    <hyperlink ref="J3487" r:id="rId5026" xr:uid="{5AA39781-BA46-CC4A-9771-EB4910EB5A14}"/>
    <hyperlink ref="J3488" r:id="rId5027" xr:uid="{F1E61DB7-38E2-064C-AFA7-E2EE272FB47B}"/>
    <hyperlink ref="W3488" r:id="rId5028" xr:uid="{F3B5C0D8-BC5C-D54D-90BB-91AF220AEB0D}"/>
    <hyperlink ref="J3489" r:id="rId5029" xr:uid="{A23D4B9B-48FC-6549-876C-6AC365450DFA}"/>
    <hyperlink ref="J3490" r:id="rId5030" xr:uid="{807A31E1-2A2D-6B41-B147-46141607E984}"/>
    <hyperlink ref="W3490" r:id="rId5031" xr:uid="{5CF09192-65CC-BD42-A5DF-4292CBBC14AF}"/>
    <hyperlink ref="J3491" r:id="rId5032" xr:uid="{B5861319-9DA1-2946-9BD6-8F9F1714EBB5}"/>
    <hyperlink ref="J3492" r:id="rId5033" xr:uid="{8C0D4062-FE04-C84D-B2A7-324CC52BA6AB}"/>
    <hyperlink ref="J3493" r:id="rId5034" xr:uid="{41796CA1-B84A-7043-82A1-58E4F62115B1}"/>
    <hyperlink ref="W3493" r:id="rId5035" xr:uid="{4E29AAB8-8D33-8D47-A315-44E8430C29CD}"/>
    <hyperlink ref="J3494" r:id="rId5036" xr:uid="{B58BFFE0-60DF-0640-93D3-F36ECA372BC6}"/>
    <hyperlink ref="W3494" r:id="rId5037" xr:uid="{72B2A45E-C1C8-5E4D-BEFD-D3F370A84D3B}"/>
    <hyperlink ref="J3495" r:id="rId5038" xr:uid="{3C8253DB-6C0F-1644-A00B-D6F9A0C41CE8}"/>
    <hyperlink ref="W3495" r:id="rId5039" xr:uid="{90DAAE57-A357-814E-94EA-D410134A649F}"/>
    <hyperlink ref="J3496" r:id="rId5040" xr:uid="{51644038-476E-174F-9613-1F9631CECB05}"/>
    <hyperlink ref="J3497" r:id="rId5041" xr:uid="{0C30B7FD-A56D-9F4A-9C0C-139D717486D3}"/>
    <hyperlink ref="J3498" r:id="rId5042" xr:uid="{FC36508B-2716-5D40-9E74-36C46C4AAEC4}"/>
    <hyperlink ref="W3498" r:id="rId5043" xr:uid="{16DE77BB-EEAE-DC44-9809-6E2B855A1686}"/>
    <hyperlink ref="J3499" r:id="rId5044" xr:uid="{6B2CE594-5615-2042-9CBD-91140B3AA807}"/>
    <hyperlink ref="J3500" r:id="rId5045" xr:uid="{4750F838-73D9-EA4B-854A-EADF756CFC4F}"/>
    <hyperlink ref="J3501" r:id="rId5046" xr:uid="{DA1B0D77-61EB-2C4C-9132-94459C7B3EDB}"/>
    <hyperlink ref="J3502" r:id="rId5047" xr:uid="{E77CAB0A-C3C0-5343-8D17-A282D4FC44A3}"/>
    <hyperlink ref="AG3502" r:id="rId5048" xr:uid="{0018589F-4C6F-E44E-9C2D-3C000B3C0CC2}"/>
    <hyperlink ref="J3503" r:id="rId5049" xr:uid="{A6284871-A650-5843-BB95-AF16AEBD41F3}"/>
    <hyperlink ref="J3504" r:id="rId5050" xr:uid="{D1F13E1D-F2B9-5646-ADE7-EF5256E28E3E}"/>
    <hyperlink ref="W3504" r:id="rId5051" xr:uid="{799F1532-1714-FB47-9020-74965A76BA64}"/>
    <hyperlink ref="J3505" r:id="rId5052" xr:uid="{CA7CDF0B-11DE-4A4A-81F2-705E6E88E253}"/>
    <hyperlink ref="W3505" r:id="rId5053" xr:uid="{614FF464-0815-214B-8A73-18CCA06403F7}"/>
    <hyperlink ref="J3506" r:id="rId5054" xr:uid="{92CF969B-AEB1-9640-B29C-CF0B5E1D5BC7}"/>
    <hyperlink ref="J3507" r:id="rId5055" xr:uid="{41DDC9C1-236D-194F-A0BD-EFD0966B0E13}"/>
    <hyperlink ref="J3508" r:id="rId5056" xr:uid="{7D86E3ED-D344-5D43-8FF4-BA8D0C6830E3}"/>
    <hyperlink ref="J3509" r:id="rId5057" xr:uid="{85D1C5E2-F3F6-E540-91A6-7889F8379700}"/>
    <hyperlink ref="J3510" r:id="rId5058" xr:uid="{ABC85D2E-4C58-C44A-89B1-C4036B660B6D}"/>
    <hyperlink ref="J3511" r:id="rId5059" xr:uid="{8D744BB1-257F-F242-8E00-D09C2A30EA09}"/>
    <hyperlink ref="J3512" r:id="rId5060" xr:uid="{7F92B9A9-1184-2A49-BE3A-D0870482816B}"/>
    <hyperlink ref="J3513" r:id="rId5061" xr:uid="{E12A0225-350E-7345-99B3-A515AF700782}"/>
    <hyperlink ref="W3513" r:id="rId5062" xr:uid="{5C6B5250-A010-364E-BEA4-CDA551C8C950}"/>
    <hyperlink ref="J3514" r:id="rId5063" xr:uid="{50DF1B0F-5BDA-E94B-8B81-2136FA294785}"/>
    <hyperlink ref="J3515" r:id="rId5064" xr:uid="{746989BC-384F-F547-9329-99135F348DD3}"/>
    <hyperlink ref="J3516" r:id="rId5065" xr:uid="{FC2C081D-1EE7-AF4C-AF4C-24C9118C5F64}"/>
    <hyperlink ref="W3516" r:id="rId5066" xr:uid="{0D81A1CD-AF87-3248-A94D-1D13E70C2119}"/>
    <hyperlink ref="J3517" r:id="rId5067" xr:uid="{C3EF25CE-FC6D-214F-84DA-772C2FDE6D20}"/>
    <hyperlink ref="W3517" r:id="rId5068" xr:uid="{851086BC-9F61-7545-AA4B-5E5309899F99}"/>
    <hyperlink ref="J3518" r:id="rId5069" xr:uid="{784196EC-677F-DD48-9E6F-43BB0B02A14B}"/>
    <hyperlink ref="J3519" r:id="rId5070" xr:uid="{E8E2117D-5672-AB49-AEEC-4833603058AD}"/>
    <hyperlink ref="J3520" r:id="rId5071" xr:uid="{DAE39F4D-CB00-0249-A826-647CF70CC93D}"/>
    <hyperlink ref="J3521" r:id="rId5072" xr:uid="{550FA854-7416-5845-BD5B-1179AC71E551}"/>
    <hyperlink ref="J3522" r:id="rId5073" xr:uid="{AFCBD133-A4C7-6249-BF58-874874322C95}"/>
    <hyperlink ref="J3523" r:id="rId5074" xr:uid="{97ECFC02-4198-6F4A-94B0-A616BAF775E2}"/>
    <hyperlink ref="J3524" r:id="rId5075" xr:uid="{638B890A-40D5-B546-BD5F-2BA01CCC6C08}"/>
    <hyperlink ref="J3525" r:id="rId5076" xr:uid="{283FA17E-D66E-DA4A-9339-E8E8514B894E}"/>
    <hyperlink ref="W3525" r:id="rId5077" xr:uid="{2FCF08D7-B22D-F942-9C6E-70C3E166EC01}"/>
    <hyperlink ref="J3526" r:id="rId5078" xr:uid="{296056E0-BCBE-FA44-876C-64B71CEB550F}"/>
    <hyperlink ref="J3527" r:id="rId5079" xr:uid="{C8B00C45-C85F-C84D-8331-3FF91B5A18F4}"/>
    <hyperlink ref="J3528" r:id="rId5080" xr:uid="{351F8B87-05F9-0E46-A54D-52B41AFC0C46}"/>
    <hyperlink ref="J3529" r:id="rId5081" xr:uid="{4B8DA258-56BE-1744-8BAB-C413A750C5F2}"/>
    <hyperlink ref="J3530" r:id="rId5082" xr:uid="{AAC59450-5B5A-214B-9A5B-BFC3878457BD}"/>
    <hyperlink ref="W3530" r:id="rId5083" xr:uid="{12F979B0-6249-CC4A-9EE7-ECEF5D0FC9BE}"/>
    <hyperlink ref="J3531" r:id="rId5084" xr:uid="{60BC6E65-031D-7347-B695-8281BE1F2DAD}"/>
    <hyperlink ref="J3532" r:id="rId5085" xr:uid="{225A9F3C-1977-E449-A1BC-F227F2BD2C9D}"/>
    <hyperlink ref="J3533" r:id="rId5086" xr:uid="{B731BAD3-08EC-4844-8A8C-7247DC9A7D08}"/>
    <hyperlink ref="J3534" r:id="rId5087" xr:uid="{0C7E022F-64B7-9544-9785-2F4AD8529B08}"/>
    <hyperlink ref="J3535" r:id="rId5088" xr:uid="{CB6C27DA-6813-0345-B193-AE07250A718F}"/>
    <hyperlink ref="W3535" r:id="rId5089" xr:uid="{0EA7FBA8-45B1-C148-B023-B1259A4DC1F7}"/>
    <hyperlink ref="J3536" r:id="rId5090" xr:uid="{6CD1D3AB-A0C5-EE4B-88F0-9A5D461A2D36}"/>
    <hyperlink ref="J3537" r:id="rId5091" xr:uid="{C64A6F79-FAE4-4A40-B95C-553060421D8C}"/>
    <hyperlink ref="W3537" r:id="rId5092" xr:uid="{2C56FA0B-A793-084A-9D01-1C7E84B7B7CA}"/>
    <hyperlink ref="J3538" r:id="rId5093" xr:uid="{26B5A9C2-27CD-BC4C-AC78-BAC8497C8B11}"/>
    <hyperlink ref="W3538" r:id="rId5094" xr:uid="{6AB0A237-41CD-7D46-BD3E-B3A1EC6E609A}"/>
    <hyperlink ref="J3539" r:id="rId5095" xr:uid="{7E9FF306-1286-B745-BE4F-FE850837F270}"/>
    <hyperlink ref="J3540" r:id="rId5096" xr:uid="{DC5171BB-70AB-D34C-A8B5-457FAD0E3BC8}"/>
    <hyperlink ref="W3540" r:id="rId5097" xr:uid="{4E0E67FE-0744-EC4D-92F7-1AA9ADCBA6E1}"/>
    <hyperlink ref="J3541" r:id="rId5098" xr:uid="{E9F6BBAE-BF05-7144-A8FD-FC2230692FEB}"/>
    <hyperlink ref="W3541" r:id="rId5099" xr:uid="{A395B707-4B34-3146-BD8C-1FF37A8D79EF}"/>
    <hyperlink ref="J3542" r:id="rId5100" xr:uid="{0824B522-C0D0-C04A-A909-808B56891825}"/>
    <hyperlink ref="W3542" r:id="rId5101" xr:uid="{45F7190B-2E7D-0747-97B1-6CD95503C96F}"/>
    <hyperlink ref="J3543" r:id="rId5102" xr:uid="{FAC442E8-5D3B-1D43-A4FE-F8D4A8AA2DC9}"/>
    <hyperlink ref="J3544" r:id="rId5103" xr:uid="{C0B0F230-FA5D-5445-8A64-F14D8EF7263E}"/>
    <hyperlink ref="J3545" r:id="rId5104" xr:uid="{77C2999E-4F1C-234C-AA82-737296681070}"/>
    <hyperlink ref="J3546" r:id="rId5105" xr:uid="{4317EB6F-937B-F74E-8514-C6D981FD5721}"/>
    <hyperlink ref="J3547" r:id="rId5106" xr:uid="{22CABE11-143D-4046-96C3-1CEE7030D1B7}"/>
    <hyperlink ref="W3547" r:id="rId5107" xr:uid="{ED13738A-87DA-D34B-BF6A-C3148E800602}"/>
    <hyperlink ref="J3548" r:id="rId5108" xr:uid="{447E65E7-6D5D-CE46-B46F-EBB603ED19E1}"/>
    <hyperlink ref="J3549" r:id="rId5109" xr:uid="{3E88DCBC-3D7F-BD44-AA8A-3D0B27193BB0}"/>
    <hyperlink ref="W3549" r:id="rId5110" xr:uid="{A7EECAF9-7970-ED4A-8ED9-A310B448B41C}"/>
    <hyperlink ref="J3550" r:id="rId5111" xr:uid="{3A1E43C7-DEF6-6A4A-979E-69976A2F45CB}"/>
    <hyperlink ref="W3550" r:id="rId5112" xr:uid="{BC4CCA2D-60FF-EF48-966A-B157D227BF54}"/>
    <hyperlink ref="J3551" r:id="rId5113" xr:uid="{B25F8ABC-4E7F-8645-8706-C95110D061EE}"/>
    <hyperlink ref="W3551" r:id="rId5114" xr:uid="{1B54F416-77EB-4E47-A059-89E9DF33569C}"/>
    <hyperlink ref="J3552" r:id="rId5115" xr:uid="{CD854625-1D1E-F44F-A08A-80FC78FCC16F}"/>
    <hyperlink ref="W3552" r:id="rId5116" xr:uid="{E0E3B0A1-A85D-B643-A88B-178C1DCDAA65}"/>
    <hyperlink ref="J3553" r:id="rId5117" xr:uid="{315BA5BA-4119-AE48-9180-7F1F2D5DD349}"/>
    <hyperlink ref="W3553" r:id="rId5118" xr:uid="{6281A2B5-4F27-F049-BB80-C62CA54C1B76}"/>
    <hyperlink ref="J3554" r:id="rId5119" xr:uid="{A17DEEE4-FD8D-334D-871C-C0CC53707730}"/>
    <hyperlink ref="J3555" r:id="rId5120" xr:uid="{F4F9B596-789D-7A48-849B-C814C1380AC9}"/>
    <hyperlink ref="J3556" r:id="rId5121" xr:uid="{048D7E1F-5AA1-3D47-B997-BB204A471401}"/>
    <hyperlink ref="J3557" r:id="rId5122" xr:uid="{0570DA41-6DE5-C94E-947E-3ED204E57369}"/>
    <hyperlink ref="W3557" r:id="rId5123" xr:uid="{5449B648-5027-4B4B-9713-78C49F501BE8}"/>
    <hyperlink ref="J3558" r:id="rId5124" xr:uid="{BEFDE12D-3711-1A47-BB30-8A6210F58464}"/>
    <hyperlink ref="W3558" r:id="rId5125" xr:uid="{58FE7CA2-4F95-C248-A9CE-918CEF00D20B}"/>
    <hyperlink ref="J3559" r:id="rId5126" xr:uid="{ACCF8535-011D-8E4A-84BD-67F61C04E8C1}"/>
    <hyperlink ref="W3559" r:id="rId5127" xr:uid="{51E354C3-FF7E-6B42-BEEC-82500B4B3732}"/>
    <hyperlink ref="J3560" r:id="rId5128" xr:uid="{0A151852-3BB4-CE49-8A1E-C2495355E43D}"/>
    <hyperlink ref="W3560" r:id="rId5129" xr:uid="{21B3D5AE-9351-F245-8E3E-78453DB6A793}"/>
    <hyperlink ref="J3561" r:id="rId5130" xr:uid="{2CBB5793-5DF0-284E-A348-6B977E66AC0E}"/>
    <hyperlink ref="W3561" r:id="rId5131" xr:uid="{F301D268-255A-9A4E-AAA7-E4F0684A7FD8}"/>
    <hyperlink ref="J3562" r:id="rId5132" xr:uid="{85526E19-FD35-4640-BF1A-3477182F16DF}"/>
    <hyperlink ref="W3562" r:id="rId5133" xr:uid="{4C7CC0FA-EF08-BA42-8276-6A65B4641FEB}"/>
    <hyperlink ref="J3563" r:id="rId5134" xr:uid="{8957D2DE-5514-E24D-A38F-A54F83FA9149}"/>
    <hyperlink ref="J3564" r:id="rId5135" xr:uid="{4492C86F-AA2A-A54B-A213-E07C7A66A37D}"/>
    <hyperlink ref="J3565" r:id="rId5136" xr:uid="{B809BF24-CFE6-7547-9703-AB6187631F0E}"/>
    <hyperlink ref="W3565" r:id="rId5137" xr:uid="{F66CCC46-69FB-BF44-9A67-98BD6DF7DAE3}"/>
    <hyperlink ref="J3566" r:id="rId5138" xr:uid="{B01E5AEE-511F-D140-A887-04775BC933B1}"/>
    <hyperlink ref="W3566" r:id="rId5139" xr:uid="{0076FA8B-8C82-BE4E-9156-9AD56CBC0FF9}"/>
    <hyperlink ref="J3567" r:id="rId5140" xr:uid="{61330D11-FE95-0248-8A3A-937ABC2DDD16}"/>
    <hyperlink ref="W3567" r:id="rId5141" xr:uid="{DA020B18-8C2C-AD41-AB88-670DD2AF263D}"/>
    <hyperlink ref="J3568" r:id="rId5142" xr:uid="{7C0CC149-D18F-C140-ABD5-0C7E4FC55A8E}"/>
    <hyperlink ref="J3569" r:id="rId5143" xr:uid="{AA9712EE-4CA1-2345-9C90-E23013E260F4}"/>
    <hyperlink ref="J3570" r:id="rId5144" xr:uid="{66A93059-FDDF-C945-A7C2-49AE19510A62}"/>
    <hyperlink ref="J3571" r:id="rId5145" xr:uid="{84627357-D7E9-8349-AB50-B1FAE6EA667A}"/>
    <hyperlink ref="J3572" r:id="rId5146" xr:uid="{EE7AC999-984C-E14B-8678-BBC078709F39}"/>
    <hyperlink ref="J3573" r:id="rId5147" xr:uid="{12C19E77-1919-AD47-9523-05E278BAF31B}"/>
    <hyperlink ref="W3573" r:id="rId5148" xr:uid="{62B1C104-46BE-A244-BB2F-D9B2D2B3E60C}"/>
    <hyperlink ref="J3574" r:id="rId5149" xr:uid="{7A97F240-13B9-674A-9879-2C22F6788D95}"/>
    <hyperlink ref="W3574" r:id="rId5150" xr:uid="{919C53D1-607C-DE42-A974-3A6BE9CF4582}"/>
    <hyperlink ref="J3575" r:id="rId5151" xr:uid="{4D54D0D5-A39A-8246-A6FB-242D630DB62A}"/>
    <hyperlink ref="J3576" r:id="rId5152" xr:uid="{5F6053E5-0C9D-A94E-8BDD-3E9030B729A7}"/>
    <hyperlink ref="W3576" r:id="rId5153" xr:uid="{F16CF72F-B5D3-6C4B-BD66-81EFB61796D1}"/>
    <hyperlink ref="J3577" r:id="rId5154" xr:uid="{8D894781-851E-2D4B-BFEB-1077F4C239FA}"/>
    <hyperlink ref="W3577" r:id="rId5155" xr:uid="{AC29E75D-330A-5E40-9E43-3FBFAD04880F}"/>
    <hyperlink ref="J3578" r:id="rId5156" xr:uid="{FBEB62D4-486B-874A-8AE9-394B1DCA19B1}"/>
    <hyperlink ref="W3578" r:id="rId5157" xr:uid="{344CCBBB-4B2C-754F-A609-FC73E2E18331}"/>
    <hyperlink ref="J3579" r:id="rId5158" xr:uid="{B07323D5-E887-7F45-9AF5-B5AD09AFFF0F}"/>
    <hyperlink ref="W3579" r:id="rId5159" xr:uid="{47CCB459-76CB-0148-8F03-61D382D7808E}"/>
    <hyperlink ref="J3580" r:id="rId5160" xr:uid="{46A5D3FC-651C-6142-A888-E9E563FED057}"/>
    <hyperlink ref="J3581" r:id="rId5161" xr:uid="{DF7C5631-D326-1543-A47C-109D6ADAF37F}"/>
    <hyperlink ref="J3582" r:id="rId5162" xr:uid="{0DCB943A-7851-DE42-BC2A-36C46E6D4727}"/>
    <hyperlink ref="W3582" r:id="rId5163" xr:uid="{4475C05D-5F4A-3C42-B128-3CEE72A3E0BC}"/>
    <hyperlink ref="J3583" r:id="rId5164" xr:uid="{1349752B-6A72-914B-867E-5F5BE0221D00}"/>
    <hyperlink ref="W3583" r:id="rId5165" xr:uid="{AE7BF2D1-5526-6049-B5C7-41D9C7BC98DC}"/>
    <hyperlink ref="J3584" r:id="rId5166" xr:uid="{00C8AB2D-712A-B546-B72B-3719A8A18E9C}"/>
    <hyperlink ref="J3585" r:id="rId5167" xr:uid="{51AAF813-B01D-7845-B631-B10DCF2F677C}"/>
    <hyperlink ref="J3586" r:id="rId5168" xr:uid="{D4F104C4-618D-E345-9343-43998EAD4A6E}"/>
    <hyperlink ref="J3587" r:id="rId5169" xr:uid="{36C3815B-C68A-E847-A157-0DFDE0A3642F}"/>
    <hyperlink ref="J3588" r:id="rId5170" xr:uid="{FD40A09B-09D1-394B-BE1F-5072A62A5262}"/>
    <hyperlink ref="J3589" r:id="rId5171" xr:uid="{8C6BAE4E-5E67-9D4F-B056-96503AA60BC6}"/>
    <hyperlink ref="W3589" r:id="rId5172" xr:uid="{D8E8B04F-5D26-E24C-86A3-3476FC4FE9A1}"/>
    <hyperlink ref="J3590" r:id="rId5173" xr:uid="{0FC92204-1E17-ED45-B46A-7005C6FF2057}"/>
    <hyperlink ref="J3591" r:id="rId5174" xr:uid="{0538344C-A74D-E443-BB7A-6015E6261BDC}"/>
    <hyperlink ref="W3591" r:id="rId5175" xr:uid="{B4BF0BFE-E598-874C-8EEF-D6080BCAE1F5}"/>
    <hyperlink ref="J3592" r:id="rId5176" xr:uid="{81A4B6DB-5A1B-7140-A601-3E9BA7F4F7EE}"/>
    <hyperlink ref="J3593" r:id="rId5177" xr:uid="{2AC5227F-516C-8242-939F-D68E58ABB5F9}"/>
    <hyperlink ref="J3594" r:id="rId5178" xr:uid="{DB6E2260-4836-294B-8A31-13CC8826D13B}"/>
    <hyperlink ref="J3595" r:id="rId5179" xr:uid="{BF7E0EED-3068-0749-9EB1-72656574E5CE}"/>
    <hyperlink ref="W3595" r:id="rId5180" xr:uid="{C149BFFD-5D43-3F44-8699-CC4D9B5027B7}"/>
    <hyperlink ref="J3596" r:id="rId5181" xr:uid="{93EA3C93-60B4-844F-92EA-B7CAE21AD6ED}"/>
    <hyperlink ref="W3596" r:id="rId5182" xr:uid="{5BD5BA2C-0F2D-E243-A6BA-A8D65F9098B2}"/>
    <hyperlink ref="J3597" r:id="rId5183" xr:uid="{E11BB3A1-54F5-D241-94EF-7447704A1AA4}"/>
    <hyperlink ref="W3597" r:id="rId5184" xr:uid="{D29EB4CE-9C0B-5A4A-B4BD-2049DD6EF829}"/>
    <hyperlink ref="J3598" r:id="rId5185" xr:uid="{4222987C-35F2-7446-A847-121CEB04CE09}"/>
    <hyperlink ref="W3598" r:id="rId5186" xr:uid="{9D5603FA-5E7B-7547-8528-B7967625E627}"/>
    <hyperlink ref="AG3598" r:id="rId5187" xr:uid="{9A87EDD7-66FA-7348-8EDB-158C53CD5F4D}"/>
    <hyperlink ref="J3599" r:id="rId5188" xr:uid="{16E63AD9-80EF-924C-A3C7-DDBBB04AAF00}"/>
    <hyperlink ref="W3599" r:id="rId5189" xr:uid="{A8D7D6D6-40B3-E74D-95E7-50B9426C1152}"/>
    <hyperlink ref="J3600" r:id="rId5190" xr:uid="{E7EDFE37-DF60-B649-AD2A-D19CA2CEB8A6}"/>
    <hyperlink ref="J3601" r:id="rId5191" xr:uid="{E0AF81E5-5935-4140-BC7E-17F63D8D3630}"/>
    <hyperlink ref="W3601" r:id="rId5192" xr:uid="{0152F1ED-FCAF-2D40-B5D1-75D093DA7C38}"/>
    <hyperlink ref="J3602" r:id="rId5193" xr:uid="{4A4791DE-D5B1-AB4A-AABF-A337E25D045D}"/>
    <hyperlink ref="W3602" r:id="rId5194" xr:uid="{B8B94A0E-C27E-6E4F-B1EB-A48E963B3779}"/>
    <hyperlink ref="J3603" r:id="rId5195" xr:uid="{F25CB31E-5FBD-414F-A8FD-65E0BD8D9423}"/>
    <hyperlink ref="W3603" r:id="rId5196" xr:uid="{0D46EBE9-DD32-1942-A5C2-FDC0C3405E2F}"/>
    <hyperlink ref="J3604" r:id="rId5197" xr:uid="{309176F4-C011-5248-B56B-C6477B5877EF}"/>
    <hyperlink ref="J3605" r:id="rId5198" xr:uid="{74C0AA1B-175F-A148-981A-E60D42D89893}"/>
    <hyperlink ref="W3605" r:id="rId5199" xr:uid="{573BDDE4-295E-8A4B-888C-FCD985C14E81}"/>
    <hyperlink ref="J3606" r:id="rId5200" xr:uid="{28381ECC-72A3-E34D-9111-0A0F942A4FBD}"/>
    <hyperlink ref="W3606" r:id="rId5201" xr:uid="{4B7A770D-25D3-0745-B093-652C094FFCC8}"/>
    <hyperlink ref="J3607" r:id="rId5202" xr:uid="{926E045C-0DBF-7942-A1C5-9A77D015F772}"/>
    <hyperlink ref="W3607" r:id="rId5203" xr:uid="{9A205DA8-7A17-FE4F-A479-FF82D2D01AEA}"/>
    <hyperlink ref="J3608" r:id="rId5204" xr:uid="{EC50AE7C-A92D-D442-9D18-311AEC10483D}"/>
    <hyperlink ref="W3608" r:id="rId5205" xr:uid="{7CC4D8C8-0368-3643-B4D7-0EC49FFDBFC8}"/>
    <hyperlink ref="J3609" r:id="rId5206" xr:uid="{4C8CE534-77FD-4C4D-B75B-1C75F3083B69}"/>
    <hyperlink ref="W3609" r:id="rId5207" xr:uid="{BF1E8963-3A89-0541-8229-065E1DBDA779}"/>
    <hyperlink ref="J3610" r:id="rId5208" xr:uid="{5EAE4FEE-2688-F544-8579-4C73D8A8C14E}"/>
    <hyperlink ref="J3611" r:id="rId5209" xr:uid="{5854EA89-E89C-B14B-9C29-90F132E3758A}"/>
    <hyperlink ref="J3612" r:id="rId5210" xr:uid="{922B2BC2-053B-7447-84FE-E8B0AC777DF6}"/>
    <hyperlink ref="W3612" r:id="rId5211" xr:uid="{C3FA836E-CCCB-F345-B713-A7E48257B373}"/>
    <hyperlink ref="J3613" r:id="rId5212" xr:uid="{C0DF92EE-7F29-C748-8146-4D62148D3B9C}"/>
    <hyperlink ref="W3613" r:id="rId5213" xr:uid="{570302FF-054C-1649-8A7C-780DA0794F77}"/>
    <hyperlink ref="J3614" r:id="rId5214" xr:uid="{B5C3BDD0-0F70-7642-85C8-22071ED40E9C}"/>
    <hyperlink ref="W3614" r:id="rId5215" xr:uid="{6FBB0D35-BE4D-0049-8DD7-8BDAD709FA02}"/>
    <hyperlink ref="J3615" r:id="rId5216" xr:uid="{95B5F535-B791-7446-BA83-5B01C4F61E9A}"/>
    <hyperlink ref="W3615" r:id="rId5217" xr:uid="{D0A2FAE3-778E-5748-9E5C-444E897D9C1A}"/>
    <hyperlink ref="AG3615" r:id="rId5218" xr:uid="{1C4D362E-8D1D-8241-BF7A-837BC3F50F77}"/>
    <hyperlink ref="J3616" r:id="rId5219" xr:uid="{BA167108-CB47-544B-A576-366DD67E22EC}"/>
    <hyperlink ref="J3617" r:id="rId5220" xr:uid="{2429A293-C459-7E45-9EE4-B3CC8E6035AE}"/>
    <hyperlink ref="W3617" r:id="rId5221" xr:uid="{F8A1DA4D-9079-7C44-BD64-EDFD1053CAB8}"/>
    <hyperlink ref="J3618" r:id="rId5222" xr:uid="{CD393349-C464-364A-B7FD-42F0BDFA5C02}"/>
    <hyperlink ref="J3619" r:id="rId5223" xr:uid="{8445089A-0D79-1647-8B5D-605F64DEF6FF}"/>
    <hyperlink ref="W3619" r:id="rId5224" xr:uid="{89D7934A-5E9B-A843-9F05-3BF3B55002A4}"/>
    <hyperlink ref="J3620" r:id="rId5225" xr:uid="{8D1EC4CF-52CF-E549-9699-3A0B4050673D}"/>
    <hyperlink ref="J3621" r:id="rId5226" xr:uid="{DCD85C49-D316-A64C-9F44-F3422D5020F8}"/>
    <hyperlink ref="W3621" r:id="rId5227" xr:uid="{2388E26B-ED88-6047-A0D0-0CFFD72D8C9D}"/>
    <hyperlink ref="J3622" r:id="rId5228" xr:uid="{7C9BEF1D-A6E5-654E-BC5E-66A9919F48EB}"/>
    <hyperlink ref="J3623" r:id="rId5229" xr:uid="{4F8203B1-D5E4-FC44-83C2-31CD22630A5F}"/>
    <hyperlink ref="J3624" r:id="rId5230" xr:uid="{6D2CB622-6BC6-C849-9738-F45FCE62A332}"/>
    <hyperlink ref="W3624" r:id="rId5231" xr:uid="{17F45690-FE73-AC47-A87B-E8C0A5ECDE2F}"/>
    <hyperlink ref="J3625" r:id="rId5232" xr:uid="{FBCCE8BE-394C-8A4F-87C6-B7F762D59BEB}"/>
    <hyperlink ref="J3626" r:id="rId5233" xr:uid="{C3650F35-3D3A-8C44-96BD-041C6C006137}"/>
    <hyperlink ref="W3626" r:id="rId5234" xr:uid="{22139D2B-4113-EC41-BAF8-C979F089B9B3}"/>
    <hyperlink ref="J3627" r:id="rId5235" xr:uid="{535D920C-391E-F245-84A4-97369540A981}"/>
    <hyperlink ref="J3628" r:id="rId5236" xr:uid="{D752F348-B19A-9043-8E46-729EF46CB720}"/>
    <hyperlink ref="J3629" r:id="rId5237" xr:uid="{A7405F6F-E852-A647-AA84-222F4E8F25C0}"/>
    <hyperlink ref="W3629" r:id="rId5238" xr:uid="{FA457C9F-A379-B34A-9AAD-FAB663C0830A}"/>
    <hyperlink ref="J3630" r:id="rId5239" xr:uid="{B6B9D35A-5D0D-9F4C-805D-1A7C71397349}"/>
    <hyperlink ref="W3630" r:id="rId5240" xr:uid="{24265BB9-DDCA-C94D-BBDC-54FD009F9568}"/>
    <hyperlink ref="J3631" r:id="rId5241" xr:uid="{46545144-12FC-8F45-822C-AF3A2D881AB3}"/>
    <hyperlink ref="W3631" r:id="rId5242" xr:uid="{9AF1BB0F-60CE-3F4B-A56A-E4541A665D7D}"/>
    <hyperlink ref="J3632" r:id="rId5243" xr:uid="{9951E44F-5FB0-B94E-9E76-8332BB416984}"/>
    <hyperlink ref="J3633" r:id="rId5244" xr:uid="{A2BDB700-6E5D-8B4C-BF03-6853C6A7DC80}"/>
    <hyperlink ref="W3633" r:id="rId5245" xr:uid="{00AEC552-8687-A045-87DA-0168999478A7}"/>
    <hyperlink ref="J3634" r:id="rId5246" xr:uid="{5A8FF457-8B4B-074B-8C1F-E8F419AB98E9}"/>
    <hyperlink ref="W3634" r:id="rId5247" xr:uid="{957A9D02-5839-6B47-B25A-7EBCCC0844AA}"/>
    <hyperlink ref="J3635" r:id="rId5248" xr:uid="{71F775DC-3296-1E4C-99BC-3CE6D3FECF38}"/>
    <hyperlink ref="W3635" r:id="rId5249" xr:uid="{DA8C9E82-1933-404B-BE3F-14C935DBF70C}"/>
    <hyperlink ref="J3636" r:id="rId5250" xr:uid="{B9895AA6-F552-AA4E-B944-B75E1B0F9707}"/>
    <hyperlink ref="W3636" r:id="rId5251" xr:uid="{B7742DEC-D1A8-6B4A-A088-638299C4DD30}"/>
    <hyperlink ref="J3637" r:id="rId5252" xr:uid="{1570E326-978C-0E4A-A4F5-9AB52A66E774}"/>
    <hyperlink ref="W3637" r:id="rId5253" xr:uid="{A3B4A21A-D760-5544-9FAA-EEE11D855D4A}"/>
    <hyperlink ref="J3638" r:id="rId5254" xr:uid="{54BDB12A-F923-A446-BFC0-C6E0D6F00789}"/>
    <hyperlink ref="W3638" r:id="rId5255" xr:uid="{7A381FCA-64C0-E74F-BB38-7EDF2E966D29}"/>
    <hyperlink ref="J3639" r:id="rId5256" xr:uid="{31929EAE-702D-DD44-A9D1-F97244352AB2}"/>
    <hyperlink ref="J3640" r:id="rId5257" xr:uid="{4182838C-B76B-B341-AE29-311541D78BA0}"/>
    <hyperlink ref="J3641" r:id="rId5258" xr:uid="{C30C9E45-8071-954D-876E-5DF6F1ABB706}"/>
    <hyperlink ref="J3642" r:id="rId5259" xr:uid="{C65CA121-C85E-5241-BEBD-4614293EFA5D}"/>
    <hyperlink ref="J3643" r:id="rId5260" xr:uid="{5776C6F9-4413-2D44-9091-D0FA8204F10F}"/>
    <hyperlink ref="W3643" r:id="rId5261" xr:uid="{8CCAE836-BD79-AB43-9DE2-44BBFB26FFAF}"/>
    <hyperlink ref="J3644" r:id="rId5262" xr:uid="{D4BE4C52-46CC-964F-8D2E-CB87F167654F}"/>
    <hyperlink ref="W3644" r:id="rId5263" xr:uid="{5FB313D5-DB70-094F-A7A5-0D854C7EA0ED}"/>
    <hyperlink ref="J3645" r:id="rId5264" xr:uid="{664C210A-C4F3-7D4A-9BBD-CAB072AC610F}"/>
    <hyperlink ref="W3645" r:id="rId5265" xr:uid="{82D5CA4A-01AA-AD4D-8A53-C94B3AC79F95}"/>
    <hyperlink ref="J3646" r:id="rId5266" xr:uid="{6A31A846-3529-3B43-AFDC-1E966D8F4B24}"/>
    <hyperlink ref="W3646" r:id="rId5267" xr:uid="{1D2143BC-65DD-2B4C-ACE4-76CAA8DC5CA2}"/>
    <hyperlink ref="J3647" r:id="rId5268" xr:uid="{4E4872FA-2F67-7E43-9CCF-4AEF90450992}"/>
    <hyperlink ref="J3648" r:id="rId5269" xr:uid="{84C41045-D2AA-A442-8B51-D992F09821F9}"/>
    <hyperlink ref="J3649" r:id="rId5270" xr:uid="{4F623D34-BE28-044E-BB78-2DCE0B12245F}"/>
    <hyperlink ref="W3649" r:id="rId5271" xr:uid="{374BEAA8-F304-0C4C-81E8-61454208D368}"/>
    <hyperlink ref="J3650" r:id="rId5272" xr:uid="{02BDC988-7107-F746-B854-2FA20448E71D}"/>
    <hyperlink ref="J3651" r:id="rId5273" xr:uid="{BD6F5DC8-BB75-0A40-A6D5-F04F0D604D97}"/>
    <hyperlink ref="J3652" r:id="rId5274" xr:uid="{551856B6-5F59-8349-B65B-97E54255F566}"/>
    <hyperlink ref="J3653" r:id="rId5275" xr:uid="{ECAD16D7-702A-B44E-A7B0-19E379D274CA}"/>
    <hyperlink ref="J3654" r:id="rId5276" xr:uid="{AAD347AB-B940-964E-9682-44557D8B03D3}"/>
    <hyperlink ref="W3654" r:id="rId5277" xr:uid="{037FCB56-FD20-614E-99AE-76EA32564388}"/>
    <hyperlink ref="J3655" r:id="rId5278" xr:uid="{3A501BEF-881C-544B-8396-2F7D6DFBECC4}"/>
    <hyperlink ref="W3655" r:id="rId5279" xr:uid="{CCD86760-A5C5-AD46-966D-68C317BFE76A}"/>
    <hyperlink ref="J3656" r:id="rId5280" xr:uid="{4DC16B2F-2FF4-6E49-9948-C630D00628A5}"/>
    <hyperlink ref="W3656" r:id="rId5281" xr:uid="{53FEE031-040D-1B44-BBB6-1E0F4FAD3166}"/>
    <hyperlink ref="J3657" r:id="rId5282" xr:uid="{613A8F84-C0D1-184F-84AE-D82DB8CC3661}"/>
    <hyperlink ref="W3657" r:id="rId5283" xr:uid="{D5C6CD39-D883-5340-88B6-05ED2A303302}"/>
    <hyperlink ref="J3658" r:id="rId5284" xr:uid="{F9379259-74F6-0748-8626-3A90936282A9}"/>
    <hyperlink ref="W3658" r:id="rId5285" xr:uid="{C167FABB-38BB-9B40-80ED-A5CD625D50C7}"/>
    <hyperlink ref="J3659" r:id="rId5286" xr:uid="{7D711775-E2DD-7B44-8BDD-B03DC7E290B0}"/>
    <hyperlink ref="J3660" r:id="rId5287" xr:uid="{0767B8E3-7605-4748-A40C-3395B08346FF}"/>
    <hyperlink ref="W3660" r:id="rId5288" xr:uid="{27E6D52F-8B9E-F047-B868-16F161CB2BA2}"/>
    <hyperlink ref="J3661" r:id="rId5289" xr:uid="{02611299-74D2-FB40-883A-6E411DE1E441}"/>
    <hyperlink ref="J3662" r:id="rId5290" xr:uid="{1552ADF2-26C3-2B4C-8A44-C9A865907B8E}"/>
    <hyperlink ref="W3662" r:id="rId5291" xr:uid="{A7FC830E-7C99-3444-9716-F68A72CBB960}"/>
    <hyperlink ref="J3663" r:id="rId5292" xr:uid="{804B5DD8-A6FA-A64E-9747-892D92C93549}"/>
    <hyperlink ref="J3664" r:id="rId5293" xr:uid="{7FCA8CC0-2F4C-9E4D-966C-24A3840135B4}"/>
    <hyperlink ref="J3665" r:id="rId5294" xr:uid="{B7DB210C-7D5E-2A40-AFD1-D3A5B73B75E0}"/>
    <hyperlink ref="J3666" r:id="rId5295" xr:uid="{1BC8D9C7-A61E-9345-8B08-904BD5165169}"/>
    <hyperlink ref="J3667" r:id="rId5296" xr:uid="{F2E23EFB-E3AC-CA4D-AE4E-40C99AA446CB}"/>
    <hyperlink ref="J3668" r:id="rId5297" xr:uid="{87C85746-C7ED-1C4E-929A-A3CD717D9D9A}"/>
    <hyperlink ref="J3669" r:id="rId5298" xr:uid="{B8567F03-D3BC-3049-8335-8FECBD493585}"/>
    <hyperlink ref="J3670" r:id="rId5299" xr:uid="{D74013D2-E283-7243-AFBB-E82D0EA7D7F0}"/>
    <hyperlink ref="J3671" r:id="rId5300" xr:uid="{3645AC97-B073-2949-B92F-BED912859683}"/>
    <hyperlink ref="J3672" r:id="rId5301" xr:uid="{FA89687A-5F5F-EA45-B702-43A44530AE51}"/>
    <hyperlink ref="J3673" r:id="rId5302" xr:uid="{6D57DE52-77E4-4543-8C0A-7CB02E7D271F}"/>
    <hyperlink ref="J3674" r:id="rId5303" xr:uid="{A7D590DF-681C-F747-88E1-D1DE4F4BCFFE}"/>
    <hyperlink ref="J3675" r:id="rId5304" xr:uid="{27316DDB-3E4C-4B44-A111-03AD85A198C4}"/>
    <hyperlink ref="AG3675" r:id="rId5305" xr:uid="{CF1CAE77-E6D3-B44F-ACA8-7931BB9325D0}"/>
    <hyperlink ref="J3676" r:id="rId5306" xr:uid="{869B3778-FED6-EC42-9F9E-E8478C88C85E}"/>
    <hyperlink ref="J3677" r:id="rId5307" xr:uid="{5C240F63-468D-5149-B5A0-448F3C12276D}"/>
    <hyperlink ref="J3678" r:id="rId5308" xr:uid="{2B50F2BA-A402-FD4B-B59A-A7161D6C50AB}"/>
    <hyperlink ref="J3679" r:id="rId5309" xr:uid="{85BA27F2-D6D6-274B-AA39-6613C0EB06BF}"/>
    <hyperlink ref="W3679" r:id="rId5310" xr:uid="{79356C08-9C35-D544-B357-C7356855B1A2}"/>
    <hyperlink ref="J3680" r:id="rId5311" xr:uid="{64EBAA1F-9646-B148-A0C7-45C5763F79A2}"/>
    <hyperlink ref="J3681" r:id="rId5312" xr:uid="{405993A3-4955-0449-99FC-95E4361F00D3}"/>
    <hyperlink ref="J3682" r:id="rId5313" xr:uid="{9C0139A1-BB90-2A4E-AC81-2EB75B3D6E52}"/>
    <hyperlink ref="J3683" r:id="rId5314" xr:uid="{C27EA253-4E8A-084C-9FAF-358F3E09F08E}"/>
    <hyperlink ref="J3684" r:id="rId5315" xr:uid="{47D022CF-2426-1F47-AE1B-8C7BF10490C7}"/>
    <hyperlink ref="J3685" r:id="rId5316" xr:uid="{AA7AE496-F8F1-CF42-8A71-E1ACB9F96504}"/>
    <hyperlink ref="J3686" r:id="rId5317" xr:uid="{94C8507B-E7FB-B04C-A842-5DAD0D7E65D9}"/>
    <hyperlink ref="J3687" r:id="rId5318" xr:uid="{864783EA-E1FB-954C-8D29-3840303B3052}"/>
    <hyperlink ref="J3688" r:id="rId5319" xr:uid="{9A7BF2A1-E57E-864A-99BE-DAE73F89B05F}"/>
    <hyperlink ref="J3689" r:id="rId5320" xr:uid="{9EE5A78A-D2E5-9D46-BD24-CF19E6C0D50B}"/>
    <hyperlink ref="J3690" r:id="rId5321" xr:uid="{F4748DB6-7E04-5A4E-ACEC-7441C20A9B37}"/>
    <hyperlink ref="W3690" r:id="rId5322" xr:uid="{4365FFAA-246B-E046-909C-7B4572594392}"/>
    <hyperlink ref="J3691" r:id="rId5323" xr:uid="{BFD6C905-80A8-664A-9D49-7555F6DC6B55}"/>
    <hyperlink ref="J3692" r:id="rId5324" xr:uid="{30BBAAEE-5CCF-1F47-B7C0-8A7F54ED1B29}"/>
    <hyperlink ref="J3693" r:id="rId5325" xr:uid="{4B9BDD91-383B-0649-B7DD-820C49C93363}"/>
    <hyperlink ref="J3694" r:id="rId5326" xr:uid="{BEAE00F7-A59C-8447-B44E-D0AC6EB7D9FC}"/>
    <hyperlink ref="J3695" r:id="rId5327" xr:uid="{1B7D3923-983E-B146-B380-6FF94B3F31D3}"/>
    <hyperlink ref="J3696" r:id="rId5328" xr:uid="{04180B6E-38EE-B344-B961-CD9BAB546120}"/>
    <hyperlink ref="J3697" r:id="rId5329" xr:uid="{3594C065-FA8F-694C-A320-D64D016A9AF0}"/>
    <hyperlink ref="W3697" r:id="rId5330" xr:uid="{5A68D98F-F357-ED4D-9A60-875B92CF3BD0}"/>
    <hyperlink ref="J3698" r:id="rId5331" xr:uid="{622BA3B5-2D29-3E46-B428-EBA5D6FF40B5}"/>
    <hyperlink ref="W3698" r:id="rId5332" xr:uid="{3A1FE8A7-D711-FC41-B1A5-64F68F1A525C}"/>
    <hyperlink ref="J3699" r:id="rId5333" xr:uid="{52E59900-8916-8541-8099-19CFC2C39260}"/>
    <hyperlink ref="J3700" r:id="rId5334" xr:uid="{65BF942E-F681-D841-8F2D-B2817DD59D95}"/>
    <hyperlink ref="J3701" r:id="rId5335" xr:uid="{94FA8060-1EF2-0F40-A6D9-C862B2F68B67}"/>
    <hyperlink ref="W3701" r:id="rId5336" xr:uid="{105309E4-33B8-8F4B-8CD5-F6B746932373}"/>
    <hyperlink ref="J3702" r:id="rId5337" xr:uid="{D902AC64-86EF-A24E-AEF4-FC8D63562AD6}"/>
    <hyperlink ref="W3702" r:id="rId5338" xr:uid="{C823519C-4176-9845-9966-2FFF91AFB54D}"/>
    <hyperlink ref="J3703" r:id="rId5339" xr:uid="{9F299AE4-9FE6-B64C-9B7B-E9F119E8C498}"/>
    <hyperlink ref="J3704" r:id="rId5340" xr:uid="{731EC3F3-5259-B04D-ACA8-F9F7711D0161}"/>
    <hyperlink ref="J3705" r:id="rId5341" xr:uid="{9AC0E959-4872-194C-B2DC-F85077A0672C}"/>
    <hyperlink ref="J3706" r:id="rId5342" xr:uid="{C364A740-6B17-D446-B2E3-F9FC71FA4B83}"/>
    <hyperlink ref="J3707" r:id="rId5343" xr:uid="{A919A3FC-599E-4744-A358-CE670F496FBE}"/>
    <hyperlink ref="J3708" r:id="rId5344" xr:uid="{692D1A49-252F-374B-9EC1-66CF517EBF05}"/>
    <hyperlink ref="J3709" r:id="rId5345" xr:uid="{86212700-9222-DA4B-BD70-0B3B22F0F419}"/>
    <hyperlink ref="J3710" r:id="rId5346" xr:uid="{3B2A835B-0C0C-8D4E-92DD-0290A9A5CB4B}"/>
    <hyperlink ref="J3711" r:id="rId5347" xr:uid="{710AC3A7-D313-BA43-9807-7B19B04A39B8}"/>
    <hyperlink ref="J3712" r:id="rId5348" xr:uid="{1028FEBD-0D54-FC4D-B688-A51AA58153E4}"/>
    <hyperlink ref="J3713" r:id="rId5349" xr:uid="{5A536909-4685-A94A-A22F-730D3015CBD1}"/>
    <hyperlink ref="J3714" r:id="rId5350" xr:uid="{EB27000A-9F0A-2245-8971-1A78EF4DC0D3}"/>
    <hyperlink ref="J3715" r:id="rId5351" xr:uid="{01BBBA0F-D3F5-1547-94FD-7787719D448C}"/>
    <hyperlink ref="W3715" r:id="rId5352" xr:uid="{73F31FCB-C8AE-174E-B5E0-6392EA323D3A}"/>
    <hyperlink ref="J3716" r:id="rId5353" xr:uid="{C1BEBC32-4954-DB4E-8A8F-7F7FD500D39D}"/>
    <hyperlink ref="W3716" r:id="rId5354" xr:uid="{7E5F52C1-FDC1-E645-8B2F-486C4CDF0DDD}"/>
    <hyperlink ref="J3717" r:id="rId5355" xr:uid="{1F07EFBD-F6B4-8E4B-B3C7-3EF4F6C13569}"/>
    <hyperlink ref="W3717" r:id="rId5356" xr:uid="{39C30303-2842-E84E-BDA0-DEB168749017}"/>
    <hyperlink ref="J3718" r:id="rId5357" xr:uid="{E1F4A578-C889-5B46-A6C6-9EDE485F8B40}"/>
    <hyperlink ref="J3719" r:id="rId5358" xr:uid="{8963C544-9594-8647-AA39-FB338A0A1727}"/>
    <hyperlink ref="J3720" r:id="rId5359" xr:uid="{270C9F7C-5AF0-CB42-A1DD-993E366EA903}"/>
    <hyperlink ref="W3720" r:id="rId5360" xr:uid="{D624EF01-BE29-7342-9726-8E9097BC88EA}"/>
    <hyperlink ref="J3721" r:id="rId5361" xr:uid="{25B36768-9148-C54E-BC1F-288153C60D47}"/>
    <hyperlink ref="J3722" r:id="rId5362" xr:uid="{5779EAEA-2DB3-0E40-9FA7-2A0AEFF18719}"/>
    <hyperlink ref="J3723" r:id="rId5363" xr:uid="{292378A5-7E0F-3543-8795-9B9E4A3C7313}"/>
    <hyperlink ref="J3724" r:id="rId5364" xr:uid="{3523D72B-37B2-5844-B8B8-9CDF90FC1162}"/>
    <hyperlink ref="W3724" r:id="rId5365" xr:uid="{A7400FA3-D968-624A-AB73-D6F700FE23A2}"/>
    <hyperlink ref="J3725" r:id="rId5366" xr:uid="{34E9D73B-1869-E74C-B510-B4EEEE04065D}"/>
    <hyperlink ref="J3726" r:id="rId5367" xr:uid="{E44C992C-B20D-3044-B746-C0C5170402F1}"/>
    <hyperlink ref="J3727" r:id="rId5368" xr:uid="{4867D867-1F5F-4B4D-AEEC-087DC61B47AC}"/>
    <hyperlink ref="J3728" r:id="rId5369" xr:uid="{7BC6E7A2-A84D-9345-8668-6234F1AF595F}"/>
    <hyperlink ref="W3728" r:id="rId5370" xr:uid="{1A15FD5C-1CBF-5648-947C-154C3977E9B4}"/>
    <hyperlink ref="J3729" r:id="rId5371" xr:uid="{9C48C15F-B965-FF47-8E9D-BA98B0A4CF79}"/>
    <hyperlink ref="J3730" r:id="rId5372" xr:uid="{A5FBA79A-B36A-074D-B3F5-37C2B261FF39}"/>
    <hyperlink ref="W3730" r:id="rId5373" xr:uid="{C9C753C5-324D-6C4A-8155-68E9C1695083}"/>
    <hyperlink ref="J3731" r:id="rId5374" xr:uid="{E1FEAD65-B60E-2E43-A38A-5B58F12400BA}"/>
    <hyperlink ref="J3732" r:id="rId5375" xr:uid="{0C6D9048-7989-344E-A4B7-EBA27E201EF2}"/>
    <hyperlink ref="J3733" r:id="rId5376" xr:uid="{DE45A609-6183-1141-83E7-EC148BEE1317}"/>
    <hyperlink ref="J3734" r:id="rId5377" xr:uid="{C4CB819B-0405-7A48-BF68-6B9706FB65A8}"/>
    <hyperlink ref="J3735" r:id="rId5378" xr:uid="{30A56D6B-8DB6-3E4B-96D2-AE429B647BCF}"/>
    <hyperlink ref="W3735" r:id="rId5379" xr:uid="{6A2120EB-6A03-084C-B4DA-E6357D2F0417}"/>
    <hyperlink ref="J3736" r:id="rId5380" xr:uid="{AD145AC9-E3B1-884E-853B-5AC8EFF7A35D}"/>
    <hyperlink ref="J3737" r:id="rId5381" xr:uid="{680A3311-7D9E-8941-99A0-CE8C42036727}"/>
    <hyperlink ref="J3738" r:id="rId5382" xr:uid="{0E3F52A7-643F-9148-B8AE-ABBA048E0C3E}"/>
    <hyperlink ref="J3739" r:id="rId5383" xr:uid="{13473760-0A35-A24E-B887-C1C84424FECA}"/>
    <hyperlink ref="J3740" r:id="rId5384" xr:uid="{66F2D36F-0290-BF4D-A7C6-1736571E4D11}"/>
    <hyperlink ref="J3741" r:id="rId5385" xr:uid="{FEF95189-3082-454E-990D-C14DEFF834C1}"/>
    <hyperlink ref="J3742" r:id="rId5386" xr:uid="{C9582FF2-445B-9F46-A332-3B4B53886EB2}"/>
    <hyperlink ref="W3742" r:id="rId5387" xr:uid="{E581D157-3495-2141-87F3-56CCA0A973BD}"/>
    <hyperlink ref="J3743" r:id="rId5388" xr:uid="{75F2C13A-F12C-324F-A55F-4E236684C6D2}"/>
    <hyperlink ref="J3744" r:id="rId5389" xr:uid="{00E5E905-8671-F048-8B04-9D1EC66D9B1B}"/>
    <hyperlink ref="J3745" r:id="rId5390" xr:uid="{5EB20C24-E593-9B45-AF9B-362D7C1BBE31}"/>
    <hyperlink ref="J3746" r:id="rId5391" xr:uid="{13084954-4776-FA49-ADFA-0E9F8D8A9482}"/>
    <hyperlink ref="J3747" r:id="rId5392" xr:uid="{AD9BEB55-A3A6-784C-A042-72BFE9CEB17C}"/>
    <hyperlink ref="J3748" r:id="rId5393" xr:uid="{36FD0494-F48C-844D-ABD4-42D47AE77977}"/>
    <hyperlink ref="J3749" r:id="rId5394" xr:uid="{93BBB0CB-DA6D-E346-9D9D-664766482C23}"/>
    <hyperlink ref="AG3749" r:id="rId5395" xr:uid="{683FFD39-D374-1940-9CF0-F252BB8017C0}"/>
    <hyperlink ref="J3750" r:id="rId5396" xr:uid="{79D3B0B7-4C7D-9744-B87A-DE9B6453A5D7}"/>
    <hyperlink ref="J3751" r:id="rId5397" xr:uid="{1C3BF675-3786-214E-B630-4E9D451B520C}"/>
    <hyperlink ref="J3752" r:id="rId5398" xr:uid="{7D0D5FDB-147C-0C4C-993F-319F2CFED29A}"/>
    <hyperlink ref="J3753" r:id="rId5399" xr:uid="{E447A726-79F9-2C4C-9ABC-97FBB28F4C4C}"/>
    <hyperlink ref="J3754" r:id="rId5400" xr:uid="{BB77C767-9060-0C47-906C-726F4A3ACE0B}"/>
    <hyperlink ref="J3755" r:id="rId5401" xr:uid="{3343DDC1-F9BC-C646-8BC0-03C590650DB7}"/>
    <hyperlink ref="J3756" r:id="rId5402" xr:uid="{19A4B4BA-6052-5A44-87E2-167100C44E8F}"/>
    <hyperlink ref="J3757" r:id="rId5403" xr:uid="{1F1F8F0A-18A5-634E-BEEC-5150F85BFF13}"/>
    <hyperlink ref="J3758" r:id="rId5404" xr:uid="{5C3FF85C-FBEA-554D-8D09-A5E62AA6EA00}"/>
    <hyperlink ref="J3759" r:id="rId5405" xr:uid="{EE54C0FC-9154-5B4A-A8CE-5C5D81AC8C4E}"/>
    <hyperlink ref="J3760" r:id="rId5406" xr:uid="{0159A1E2-1086-A840-AEAE-4503C5192C0E}"/>
    <hyperlink ref="J3761" r:id="rId5407" xr:uid="{1A5875E3-AEAB-6F40-90CB-19D6554A0BCB}"/>
    <hyperlink ref="J3762" r:id="rId5408" xr:uid="{FE447C5D-71CA-8D46-9201-6CA09EDD8D09}"/>
    <hyperlink ref="W3762" r:id="rId5409" xr:uid="{3C5B947B-5BC7-8B41-9331-7037776BA934}"/>
    <hyperlink ref="J3763" r:id="rId5410" xr:uid="{EC5667A7-1FCE-0E41-9A9E-0A443D0F6537}"/>
    <hyperlink ref="W3763" r:id="rId5411" xr:uid="{EA1BCCB8-AD1E-964E-9598-238182B00FA6}"/>
    <hyperlink ref="J3764" r:id="rId5412" xr:uid="{866352B1-D938-4642-8932-F7D18D1CB1F9}"/>
    <hyperlink ref="J3765" r:id="rId5413" xr:uid="{6112A4CE-FA4D-134E-B112-193F8F0E2E80}"/>
    <hyperlink ref="J3766" r:id="rId5414" xr:uid="{5F29A2EF-65F7-E943-A980-9EC714B670E0}"/>
    <hyperlink ref="J3767" r:id="rId5415" xr:uid="{AB0A3DB1-6D07-F84D-AAB9-BB14E842D024}"/>
    <hyperlink ref="J3768" r:id="rId5416" xr:uid="{C88724F6-676B-1041-B9C4-2CE795C6C1A0}"/>
    <hyperlink ref="J3769" r:id="rId5417" xr:uid="{47898B89-4097-B74F-8EC6-FD587A207917}"/>
    <hyperlink ref="J3770" r:id="rId5418" xr:uid="{2E3D87FC-AC78-E94D-AAB9-5B905D1AF0FC}"/>
    <hyperlink ref="J3771" r:id="rId5419" xr:uid="{FAE75657-1B13-2844-8B11-81E932788A7F}"/>
    <hyperlink ref="J3772" r:id="rId5420" xr:uid="{F46B6E8B-B823-804B-A44C-BA76034A3644}"/>
    <hyperlink ref="J3773" r:id="rId5421" xr:uid="{409F298D-0CD2-2C4F-8B0D-0B81F302BA00}"/>
    <hyperlink ref="J3774" r:id="rId5422" xr:uid="{6E7552F2-F06E-1C49-91C4-5C5167E81ADC}"/>
    <hyperlink ref="J3775" r:id="rId5423" xr:uid="{5D0D3EEF-2828-7A40-82F3-384D6B917D6C}"/>
    <hyperlink ref="J3776" r:id="rId5424" xr:uid="{FB85699B-9ABF-A447-9F27-F1356E5A463D}"/>
    <hyperlink ref="J3777" r:id="rId5425" xr:uid="{D9E619FD-38EB-9A4F-A04A-459F16E6B71F}"/>
    <hyperlink ref="J3778" r:id="rId5426" xr:uid="{3418D81E-0BA4-7F44-9D53-6ADAC55A5F94}"/>
    <hyperlink ref="J3779" r:id="rId5427" xr:uid="{8110CE94-8118-5046-9C61-AD41F5E1E9B8}"/>
    <hyperlink ref="J3780" r:id="rId5428" xr:uid="{00730490-3B53-9542-B975-8FA698BAB725}"/>
    <hyperlink ref="J3781" r:id="rId5429" xr:uid="{2E74FA57-7E79-2946-A861-5B798BB08209}"/>
    <hyperlink ref="J3782" r:id="rId5430" xr:uid="{5AE898E9-0A63-9D4A-8AD3-736190CB81FE}"/>
    <hyperlink ref="W3782" r:id="rId5431" xr:uid="{B70FD386-0754-9D45-BE28-D12ECF10C978}"/>
    <hyperlink ref="J3783" r:id="rId5432" xr:uid="{3F8E92B1-5992-0E40-BD3D-678D7E7F00D2}"/>
    <hyperlink ref="J3784" r:id="rId5433" xr:uid="{267D222E-C96A-4643-AF27-BF79DC17EE13}"/>
    <hyperlink ref="J3785" r:id="rId5434" xr:uid="{4FE86602-5299-064C-90F8-1F0B7EE79350}"/>
    <hyperlink ref="W3785" r:id="rId5435" xr:uid="{A47D7E9C-C112-5042-AF61-39A420ED0176}"/>
    <hyperlink ref="J3786" r:id="rId5436" xr:uid="{474CD0C5-FB96-7640-B7C6-5491BB5F2D26}"/>
    <hyperlink ref="J3787" r:id="rId5437" xr:uid="{3C69438F-8E98-A94C-AFE0-44B50177C539}"/>
    <hyperlink ref="J3788" r:id="rId5438" xr:uid="{AF2B9AC2-D85C-484B-9804-4F02735486D5}"/>
    <hyperlink ref="J3789" r:id="rId5439" xr:uid="{750FA7A2-A13F-B842-B591-CB535678D160}"/>
    <hyperlink ref="J3790" r:id="rId5440" xr:uid="{6ED4AE7F-1D17-E44D-8004-C111D31D61BE}"/>
    <hyperlink ref="J3791" r:id="rId5441" xr:uid="{952D4CD9-F31D-4746-BFCE-9EC1C9A7F3B9}"/>
    <hyperlink ref="W3791" r:id="rId5442" xr:uid="{EC4327DA-7D79-7946-9670-4D037461F380}"/>
    <hyperlink ref="J3792" r:id="rId5443" xr:uid="{9FB9AACB-72FD-974E-9DEF-81C79A0A393E}"/>
    <hyperlink ref="W3792" r:id="rId5444" xr:uid="{DFEC5567-8394-F34A-80E9-0AC052EB4565}"/>
    <hyperlink ref="J3793" r:id="rId5445" xr:uid="{F2CBD9AB-A310-B04B-85F1-3F6E27C4062D}"/>
    <hyperlink ref="J3794" r:id="rId5446" xr:uid="{815719F1-857C-364E-890B-43507D237322}"/>
    <hyperlink ref="J3795" r:id="rId5447" xr:uid="{B8E0F370-7572-AF45-B87E-44E1157C0D03}"/>
    <hyperlink ref="J3796" r:id="rId5448" xr:uid="{A60A48BD-4494-1149-9CDC-B45D9F879500}"/>
    <hyperlink ref="J3797" r:id="rId5449" xr:uid="{E3108CF2-EA7E-3E42-9BF2-77A488710F01}"/>
    <hyperlink ref="W3797" r:id="rId5450" xr:uid="{F8A31155-64F2-5B45-B13A-8B78346B7DC7}"/>
    <hyperlink ref="J3798" r:id="rId5451" xr:uid="{A45894BC-4E25-6B43-9484-D58168B85EF3}"/>
    <hyperlink ref="J3799" r:id="rId5452" xr:uid="{302C4C57-140E-7B45-BBE2-7D3B0DDBAD72}"/>
    <hyperlink ref="J3800" r:id="rId5453" xr:uid="{670B7430-0018-1849-8592-CC2B6C7BA2D9}"/>
    <hyperlink ref="W3800" r:id="rId5454" xr:uid="{7F0470D0-172B-9940-BD43-3C6099CB09C0}"/>
    <hyperlink ref="J3801" r:id="rId5455" xr:uid="{7622C3D2-6510-B642-AF53-98DF3F21E5E0}"/>
    <hyperlink ref="J3802" r:id="rId5456" xr:uid="{0455C3B3-7A98-C34E-9179-8B81E7FF1EE8}"/>
    <hyperlink ref="J3803" r:id="rId5457" xr:uid="{9AC0D45B-9144-6546-A436-CAB0B736A9F3}"/>
    <hyperlink ref="J3804" r:id="rId5458" xr:uid="{A4F1C8A5-C5EA-3342-9FC1-E85C198EA719}"/>
    <hyperlink ref="J3805" r:id="rId5459" xr:uid="{BFCD9423-89E6-BA47-8DBC-1816509450AD}"/>
    <hyperlink ref="J3806" r:id="rId5460" xr:uid="{909DCCAB-611D-0D4C-A949-AB11756FE76D}"/>
    <hyperlink ref="AG3806" r:id="rId5461" xr:uid="{1B969824-266F-C648-9C7F-C625FDCAA0D4}"/>
    <hyperlink ref="J3807" r:id="rId5462" xr:uid="{098B4941-BDA0-4948-8E8B-44E7D4CF1421}"/>
    <hyperlink ref="J3808" r:id="rId5463" xr:uid="{1EBCDE72-B440-E844-9F11-80867B90976F}"/>
    <hyperlink ref="J3809" r:id="rId5464" xr:uid="{88335A44-98BA-7841-A543-7AFDF8A44C5B}"/>
    <hyperlink ref="W3809" r:id="rId5465" xr:uid="{BDC49902-7805-1C4A-9BA1-410609D2E1F3}"/>
    <hyperlink ref="J3810" r:id="rId5466" xr:uid="{E941304A-362A-414F-BFE8-73FB9EAA1A46}"/>
    <hyperlink ref="J3811" r:id="rId5467" xr:uid="{4100E7BD-81DA-2044-95D1-BE252197ED6B}"/>
    <hyperlink ref="J3812" r:id="rId5468" xr:uid="{F17BD485-A923-3646-9C1A-853B645ABD2E}"/>
    <hyperlink ref="W3812" r:id="rId5469" xr:uid="{44440ECF-A0D3-D646-B9F3-83BBE563B2E0}"/>
    <hyperlink ref="J3813" r:id="rId5470" xr:uid="{3316EE05-8EEA-8F4B-BA47-6D6EDC7BC40A}"/>
    <hyperlink ref="W3813" r:id="rId5471" xr:uid="{A31B336C-DB4E-3B4A-91DC-64E82AF61F5F}"/>
    <hyperlink ref="J3814" r:id="rId5472" xr:uid="{6838AEC1-D256-C142-B60D-44A23D5B7A12}"/>
    <hyperlink ref="W3814" r:id="rId5473" xr:uid="{2B39362F-B38B-BD4F-8A68-C8594AA3765F}"/>
    <hyperlink ref="J3815" r:id="rId5474" xr:uid="{0E174E72-4A96-674C-9A98-C405DE91E461}"/>
    <hyperlink ref="W3815" r:id="rId5475" xr:uid="{13E2B826-D5AD-034A-A796-9E4CBB0F2CA8}"/>
    <hyperlink ref="J3816" r:id="rId5476" xr:uid="{BDC0FA9E-1AFD-C54F-870A-3B2857039DBF}"/>
    <hyperlink ref="J3817" r:id="rId5477" xr:uid="{42919A5C-D683-8B4A-B7E9-15B31F0DD812}"/>
    <hyperlink ref="W3817" r:id="rId5478" xr:uid="{1C19F4E1-2769-0941-B567-ED8B8E86AB64}"/>
    <hyperlink ref="J3818" r:id="rId5479" xr:uid="{E0D027CA-262E-1849-BF6E-42E192017EC6}"/>
    <hyperlink ref="J3819" r:id="rId5480" xr:uid="{E5BE3C5A-E28A-C945-A41D-8D932847F742}"/>
    <hyperlink ref="W3819" r:id="rId5481" xr:uid="{6E30DFC9-FAE0-704A-9B1D-8A7ADC6BF46F}"/>
    <hyperlink ref="J3820" r:id="rId5482" xr:uid="{23915B3F-CD39-E840-A6EB-639E0E45FE79}"/>
    <hyperlink ref="W3820" r:id="rId5483" xr:uid="{CD455E24-CB00-9B46-97B1-A66DC4C2597A}"/>
    <hyperlink ref="J3821" r:id="rId5484" xr:uid="{6B567F1F-EF5F-E741-B1D4-AA671E85AB60}"/>
    <hyperlink ref="J3822" r:id="rId5485" xr:uid="{86569E40-EE8C-DB42-82C0-855FD013E648}"/>
    <hyperlink ref="W3822" r:id="rId5486" xr:uid="{E27728FF-0F2B-BC4F-923D-7C349C375139}"/>
    <hyperlink ref="J3823" r:id="rId5487" xr:uid="{CADD8E2C-258D-3049-9D77-71AE5DD653FB}"/>
    <hyperlink ref="J3824" r:id="rId5488" xr:uid="{615E01C5-DC77-084C-A036-BEACBB182BA8}"/>
    <hyperlink ref="W3824" r:id="rId5489" xr:uid="{D99D56F0-CD9D-754E-A5F8-1DB8EAD5D770}"/>
    <hyperlink ref="J3825" r:id="rId5490" xr:uid="{E79616E4-F1B7-5845-8A11-353CE7AA235E}"/>
    <hyperlink ref="J3826" r:id="rId5491" xr:uid="{3B355E00-69FA-AF4A-B7C5-DB23DCAD4EAD}"/>
    <hyperlink ref="J3827" r:id="rId5492" xr:uid="{1D7D76B7-EE3D-AB4E-82B7-DA7905F930AB}"/>
    <hyperlink ref="J3828" r:id="rId5493" xr:uid="{6B7C3596-AF51-F241-91CE-CD1476FA136E}"/>
    <hyperlink ref="J3829" r:id="rId5494" xr:uid="{50FA9380-35BD-184B-925E-8E93A88BBF5B}"/>
    <hyperlink ref="J3830" r:id="rId5495" xr:uid="{E7168445-06C3-FB45-A2E3-CF3569610B43}"/>
    <hyperlink ref="J3831" r:id="rId5496" xr:uid="{9D83FC8B-10F3-A647-B03E-3F8C5AC63E94}"/>
    <hyperlink ref="J3832" r:id="rId5497" xr:uid="{583F134E-D576-404A-9913-AFFF3D94B6C6}"/>
    <hyperlink ref="J3833" r:id="rId5498" xr:uid="{D59FEB36-2C89-1940-95C3-0F75798D38BB}"/>
    <hyperlink ref="J3834" r:id="rId5499" xr:uid="{C352CD6C-AB1F-D140-957B-492E7B8A56F2}"/>
    <hyperlink ref="W3834" r:id="rId5500" xr:uid="{65ABF51C-4184-F042-BEE1-A4EE7172C391}"/>
    <hyperlink ref="J3835" r:id="rId5501" xr:uid="{B15A50BE-A819-8D4D-97CB-1B463E6874D0}"/>
    <hyperlink ref="J3836" r:id="rId5502" xr:uid="{03CB0C2C-D5A2-CD47-B986-E931E72FB322}"/>
    <hyperlink ref="J3837" r:id="rId5503" xr:uid="{F5A691EA-FFF0-5F4C-9F78-30E0FAEF57CF}"/>
    <hyperlink ref="J3838" r:id="rId5504" xr:uid="{86752FA4-DDE1-0B4A-8C51-308F13111BDB}"/>
    <hyperlink ref="J3839" r:id="rId5505" xr:uid="{731BA4DB-312F-2041-812C-52542653E07A}"/>
    <hyperlink ref="J3840" r:id="rId5506" xr:uid="{10FCCA21-46B0-024F-8E62-FD6E8219BC78}"/>
    <hyperlink ref="J3841" r:id="rId5507" xr:uid="{32CB98FB-988B-6C4B-9C46-0C62A719BB24}"/>
    <hyperlink ref="J3842" r:id="rId5508" xr:uid="{B0B29EDB-0C33-9144-BE2B-85BB19DEF4C1}"/>
    <hyperlink ref="R3842" r:id="rId5509" xr:uid="{0DA10FE7-76F8-3640-95EA-C08E9089FA34}"/>
    <hyperlink ref="J3843" r:id="rId5510" xr:uid="{857908C4-9375-E94F-951F-9465FDC742B3}"/>
    <hyperlink ref="J3844" r:id="rId5511" xr:uid="{C2FD9829-45C3-9340-B0B0-E9F30E738487}"/>
    <hyperlink ref="W3844" r:id="rId5512" xr:uid="{56281CB7-203F-354B-B8F3-D1A7638D2AC0}"/>
    <hyperlink ref="J3845" r:id="rId5513" xr:uid="{CE2C3EEE-5B8C-4E48-9A23-4AC2AF5A7782}"/>
    <hyperlink ref="J3846" r:id="rId5514" xr:uid="{4E0CE333-6F4D-7548-8643-52B91216569C}"/>
    <hyperlink ref="W3846" r:id="rId5515" xr:uid="{1D652332-67E5-FB46-9CCD-F52F717F084E}"/>
    <hyperlink ref="J3847" r:id="rId5516" xr:uid="{347D8565-E142-254F-BEAA-4EDC88777A85}"/>
    <hyperlink ref="J3848" r:id="rId5517" xr:uid="{E8F1274F-A61F-1641-8713-B36460FA9D4E}"/>
    <hyperlink ref="J3849" r:id="rId5518" xr:uid="{A4D1B950-0609-7348-81F5-33D37EF216E4}"/>
    <hyperlink ref="J3850" r:id="rId5519" xr:uid="{88F9460A-4D9D-4741-AA83-82840C74FD82}"/>
    <hyperlink ref="J3851" r:id="rId5520" xr:uid="{4FB1F86D-C8F2-FB4A-BEEF-DCB1A5F212AB}"/>
    <hyperlink ref="J3852" r:id="rId5521" xr:uid="{4C209DC5-7585-E940-A80A-EDFB0E943DB2}"/>
    <hyperlink ref="J3853" r:id="rId5522" xr:uid="{791EA057-1ADD-7641-8D46-7EA0316A143E}"/>
    <hyperlink ref="J3854" r:id="rId5523" xr:uid="{FABC9383-F216-C742-841A-E5C1A4814D75}"/>
    <hyperlink ref="J3855" r:id="rId5524" xr:uid="{6BAE2113-10F7-0B40-9E30-997A4151B58A}"/>
    <hyperlink ref="J3856" r:id="rId5525" xr:uid="{7FF51DB1-1BF5-1C4A-8D89-D8913F312A69}"/>
    <hyperlink ref="W3856" r:id="rId5526" xr:uid="{93DD4760-3E79-534E-8313-DD10CCAC5E61}"/>
    <hyperlink ref="J3857" r:id="rId5527" xr:uid="{4AD6ADD6-932A-D64D-B17B-27D1C1C5FE23}"/>
    <hyperlink ref="J3858" r:id="rId5528" xr:uid="{FFA2BF3C-F2F6-8E42-8287-B885068E281E}"/>
    <hyperlink ref="W3858" r:id="rId5529" xr:uid="{D0EF1E19-CBF6-6F45-8F47-8988CDAD7F9B}"/>
    <hyperlink ref="J3859" r:id="rId5530" xr:uid="{5B9B0390-2233-B144-AFCA-4737ADDFE38F}"/>
    <hyperlink ref="J3860" r:id="rId5531" xr:uid="{820F53B1-8BB3-5848-A4F3-243EE9345407}"/>
    <hyperlink ref="J3861" r:id="rId5532" xr:uid="{4F440230-99F9-3D42-ADCE-C8C44A8FD537}"/>
    <hyperlink ref="W3861" r:id="rId5533" xr:uid="{6ABBCD7A-4BD9-4242-83C1-0362E3A46F32}"/>
    <hyperlink ref="J3862" r:id="rId5534" xr:uid="{DB14647A-6EF6-0641-A0FC-795D232057CB}"/>
    <hyperlink ref="J3863" r:id="rId5535" xr:uid="{8C0F2234-9B4A-8242-909C-71AE71DBF0FE}"/>
    <hyperlink ref="W3863" r:id="rId5536" xr:uid="{597466E3-C618-7F41-9096-29B319546E1F}"/>
    <hyperlink ref="J3864" r:id="rId5537" xr:uid="{884CDDCF-3787-2347-A9BB-FBF6CA9B7DCF}"/>
    <hyperlink ref="W3864" r:id="rId5538" xr:uid="{A5BD46AD-7990-AD43-80D1-8652292BE39D}"/>
    <hyperlink ref="J3865" r:id="rId5539" xr:uid="{564B1796-1546-2542-9FEB-5EAD47CDECEC}"/>
    <hyperlink ref="W3865" r:id="rId5540" xr:uid="{ABDF0DF4-1176-724A-ADCB-B8F0BC9B769E}"/>
    <hyperlink ref="J3866" r:id="rId5541" xr:uid="{FFD6351D-7CA9-1843-82EA-D5EF698E92BD}"/>
    <hyperlink ref="J3867" r:id="rId5542" xr:uid="{A0A012AE-741A-774D-9B80-5A2B661E93A6}"/>
    <hyperlink ref="W3867" r:id="rId5543" xr:uid="{6A9D7E26-2076-7B4E-81DA-23EFB9D0A54C}"/>
    <hyperlink ref="J3868" r:id="rId5544" xr:uid="{44E0FE66-A2CA-A542-B3D8-AC72B2262F03}"/>
    <hyperlink ref="J3869" r:id="rId5545" xr:uid="{D1D73ED2-67B8-ED47-9F13-D67DD1DA2F22}"/>
    <hyperlink ref="W3869" r:id="rId5546" xr:uid="{E0B58911-42DA-4B4B-8CF9-CFE086056E23}"/>
    <hyperlink ref="J3870" r:id="rId5547" xr:uid="{E32C946D-52F5-EE4F-B440-252FEFC93732}"/>
    <hyperlink ref="J3871" r:id="rId5548" xr:uid="{436284E5-075C-1845-8F5E-7F42B6126D05}"/>
    <hyperlink ref="J3872" r:id="rId5549" xr:uid="{04693BEF-63CA-4344-9A9D-6E43DBFE577D}"/>
    <hyperlink ref="J3873" r:id="rId5550" xr:uid="{84FF80F2-3CCB-1148-B85A-D9CF835E46B6}"/>
    <hyperlink ref="J3874" r:id="rId5551" xr:uid="{C773E718-1B81-214A-9C1F-7CC1A05F1B79}"/>
    <hyperlink ref="W3874" r:id="rId5552" xr:uid="{2F9C625B-FF2A-9343-BAEA-AC9286C1381A}"/>
    <hyperlink ref="J3875" r:id="rId5553" xr:uid="{22E22D09-C9E5-6D4E-9740-DA75303914EE}"/>
    <hyperlink ref="J3876" r:id="rId5554" xr:uid="{13899049-DFB5-3241-82A4-DB3F08DC83A7}"/>
    <hyperlink ref="W3876" r:id="rId5555" xr:uid="{4AC6195C-8EBA-3A4E-92AB-FEB71B0B34B9}"/>
    <hyperlink ref="AH3876" r:id="rId5556" xr:uid="{2CA59B4E-78F6-E749-A555-C11E69F38BC5}"/>
    <hyperlink ref="J3877" r:id="rId5557" xr:uid="{865CB8C9-C6E7-CD43-BCC7-F88D2EB9A7D6}"/>
    <hyperlink ref="J3878" r:id="rId5558" xr:uid="{CFBAAD94-B9C7-DD44-AA61-CCF6615C498C}"/>
    <hyperlink ref="W3878" r:id="rId5559" xr:uid="{0FA7AB99-89EB-7343-81F9-6462D6EEA719}"/>
    <hyperlink ref="J3879" r:id="rId5560" xr:uid="{A7CB058D-F952-CD46-ADDE-F7C736088748}"/>
    <hyperlink ref="J3880" r:id="rId5561" xr:uid="{6C124DE2-E703-924E-8CEE-620449E0FCDC}"/>
    <hyperlink ref="J3881" r:id="rId5562" xr:uid="{8049CF1C-1FB9-1A40-A09F-E881151EAE64}"/>
    <hyperlink ref="J3882" r:id="rId5563" xr:uid="{84C07405-6BE2-5341-A779-DB4C0709909D}"/>
    <hyperlink ref="J3883" r:id="rId5564" xr:uid="{5F31F792-9CB4-1E42-9CC0-B27C8EF95F3C}"/>
    <hyperlink ref="AG3883" r:id="rId5565" xr:uid="{F06DCA9E-D8E7-9B4F-A4B6-08727D411E8C}"/>
    <hyperlink ref="J3884" r:id="rId5566" xr:uid="{9EC65591-1265-9F4F-A0DB-FBA5F1873E0F}"/>
    <hyperlink ref="J3885" r:id="rId5567" xr:uid="{E8BD060B-A86E-2C46-9743-5CAD3CBF4BAD}"/>
    <hyperlink ref="J3886" r:id="rId5568" xr:uid="{E16E6F43-F2AD-7A4A-8D08-A3FEC9E6FB65}"/>
    <hyperlink ref="J3887" r:id="rId5569" xr:uid="{9808CF1E-3D47-0D47-8DD8-C3D8F2E54032}"/>
    <hyperlink ref="J3888" r:id="rId5570" xr:uid="{B0463160-93C6-5B42-A1BB-4A5CAA76E888}"/>
    <hyperlink ref="J3889" r:id="rId5571" xr:uid="{1D991DD7-EFD3-B041-B8BF-11865AD37B31}"/>
    <hyperlink ref="J3890" r:id="rId5572" xr:uid="{E93CF4BE-5133-7145-A548-C008B742C060}"/>
    <hyperlink ref="J3891" r:id="rId5573" xr:uid="{F8B9AB4B-91D7-F04B-B3B4-BFD7CF39D663}"/>
    <hyperlink ref="J3892" r:id="rId5574" xr:uid="{F79B1E1C-74E6-7540-A045-035C41281DBE}"/>
    <hyperlink ref="W3892" r:id="rId5575" xr:uid="{361B1463-BD4C-3D49-911E-4E44A5C5A377}"/>
    <hyperlink ref="J3893" r:id="rId5576" xr:uid="{91B617DB-11EF-754D-959F-8615F49F5680}"/>
    <hyperlink ref="J3894" r:id="rId5577" xr:uid="{B39DBAF3-B415-A04A-9288-FEE97E7882A4}"/>
    <hyperlink ref="J3895" r:id="rId5578" xr:uid="{6EDDA337-C77F-EB43-97BE-A60E6F6F9326}"/>
    <hyperlink ref="J3896" r:id="rId5579" xr:uid="{3F09EF0A-5079-D842-BF10-532B53B5DBE9}"/>
    <hyperlink ref="J3897" r:id="rId5580" xr:uid="{67BE15D5-71E4-ED4F-AD7D-1A2A1E5DDB33}"/>
    <hyperlink ref="J3898" r:id="rId5581" xr:uid="{EBF6C38C-6CB3-FC40-8988-5FE94A10736D}"/>
    <hyperlink ref="W3898" r:id="rId5582" xr:uid="{E776DF5D-0AEF-234E-BAC0-07E010BC3E56}"/>
    <hyperlink ref="J3899" r:id="rId5583" xr:uid="{B59A8C71-E45D-444C-A104-C60A949953C0}"/>
    <hyperlink ref="J3900" r:id="rId5584" xr:uid="{187CF276-4C98-B141-A59F-7AC5D5D0BF92}"/>
    <hyperlink ref="J3901" r:id="rId5585" xr:uid="{D53FC7AA-74BC-424B-801D-DE021207DCE0}"/>
    <hyperlink ref="W3901" r:id="rId5586" xr:uid="{2BDE9E07-53C7-4C4D-8A6A-A770F4EE4461}"/>
    <hyperlink ref="J3902" r:id="rId5587" xr:uid="{EF674F0F-40D9-DC49-A1CC-C74DFAFDE8AA}"/>
    <hyperlink ref="J3903" r:id="rId5588" xr:uid="{5E5EAC14-587E-5848-8253-D2EA509DCE63}"/>
    <hyperlink ref="J3904" r:id="rId5589" xr:uid="{6EE0FC10-E0F8-3C4E-A88A-38DCF58F1CCC}"/>
    <hyperlink ref="J3905" r:id="rId5590" xr:uid="{CC451872-4D68-714C-9F50-BF8CD602B12E}"/>
    <hyperlink ref="J3906" r:id="rId5591" xr:uid="{460C13F8-A16D-AB4F-9AC1-B9B6F7B52B54}"/>
    <hyperlink ref="J3907" r:id="rId5592" xr:uid="{2BA83C94-FCE6-A94C-AC77-ADAAA1035B4F}"/>
    <hyperlink ref="J3908" r:id="rId5593" xr:uid="{419F7E57-CA3A-D748-BDCC-394380FA8403}"/>
    <hyperlink ref="J3909" r:id="rId5594" xr:uid="{27D58713-B1A0-C74C-8131-655B83126BB2}"/>
    <hyperlink ref="J3910" r:id="rId5595" xr:uid="{89B1E700-E6B3-C14B-AD33-8F087C910EFC}"/>
    <hyperlink ref="J3911" r:id="rId5596" xr:uid="{F8FEB828-D3CF-6140-907F-233B5E4DD748}"/>
    <hyperlink ref="J3912" r:id="rId5597" xr:uid="{51CE0DDC-4269-FB46-A882-36EA77976228}"/>
    <hyperlink ref="J3913" r:id="rId5598" xr:uid="{7A84C280-4E6D-DE45-BF33-27904C407FED}"/>
    <hyperlink ref="J3914" r:id="rId5599" xr:uid="{20B8FDB1-3445-9F45-9469-1EC8BF4E1220}"/>
    <hyperlink ref="J3915" r:id="rId5600" xr:uid="{263E55E0-58C1-AE44-9428-EF97491F82E9}"/>
    <hyperlink ref="J3916" r:id="rId5601" xr:uid="{B559396D-A01D-5B45-882B-D25C67B36334}"/>
    <hyperlink ref="J3917" r:id="rId5602" xr:uid="{51E18C84-0BDB-6C4A-A1AE-8CB5AF82125D}"/>
    <hyperlink ref="W3917" r:id="rId5603" xr:uid="{11CD59B3-3892-BE4F-9264-EDDFA250C3DB}"/>
    <hyperlink ref="J3918" r:id="rId5604" xr:uid="{1771EDD6-3B12-4A4B-960E-57445A629B3C}"/>
    <hyperlink ref="W3918" r:id="rId5605" xr:uid="{95D869EA-3AB5-2A4A-BDC0-D8AAEEE59618}"/>
    <hyperlink ref="J3919" r:id="rId5606" xr:uid="{C27BD9F9-F561-9940-83C9-10C4FF7E9AA9}"/>
    <hyperlink ref="W3919" r:id="rId5607" xr:uid="{2668515A-80C1-A148-B306-D84EAF2BA9A3}"/>
    <hyperlink ref="J3920" r:id="rId5608" xr:uid="{384C952A-9FB7-4248-9040-CE8EC10F852D}"/>
    <hyperlink ref="J3921" r:id="rId5609" xr:uid="{A5FDAE53-8289-5C40-B168-511FB50181D6}"/>
    <hyperlink ref="J3922" r:id="rId5610" xr:uid="{6EA8F01E-8F49-7A45-A2C9-F417E0751180}"/>
    <hyperlink ref="J3923" r:id="rId5611" xr:uid="{F6AE4156-4F17-BC44-8AA8-C531A7B5FE24}"/>
    <hyperlink ref="J3924" r:id="rId5612" xr:uid="{857F5715-B17D-9642-84FC-3FDD16E4312F}"/>
    <hyperlink ref="J3925" r:id="rId5613" xr:uid="{607E56BB-1EC5-704D-A9CE-C7D80B0AD36C}"/>
    <hyperlink ref="J3926" r:id="rId5614" xr:uid="{51F9113E-D5D6-5344-89CB-ACCA00C76A9C}"/>
    <hyperlink ref="J3927" r:id="rId5615" xr:uid="{3F1A93CA-D929-984B-A0B2-0471755B24A6}"/>
    <hyperlink ref="J3928" r:id="rId5616" xr:uid="{C359B59A-2786-AA4E-B0A6-33429439A857}"/>
    <hyperlink ref="J3929" r:id="rId5617" xr:uid="{FF736B5B-0CD4-3248-8440-24481DFE73EC}"/>
    <hyperlink ref="J3930" r:id="rId5618" xr:uid="{41C2F3D7-2ADE-0641-B588-03C6A19D9957}"/>
    <hyperlink ref="J3931" r:id="rId5619" xr:uid="{7873AEE1-B23E-4D44-8FE2-6C2DF5128512}"/>
    <hyperlink ref="J3932" r:id="rId5620" xr:uid="{11911500-E090-A048-8B6A-95629E98E2B5}"/>
    <hyperlink ref="J3933" r:id="rId5621" xr:uid="{7FC8F06D-D324-884E-9790-050399F45124}"/>
    <hyperlink ref="W3933" r:id="rId5622" xr:uid="{A139AE82-E94F-BE4B-AD47-BE21EDE1E3CA}"/>
    <hyperlink ref="J3934" r:id="rId5623" xr:uid="{5AF22542-FFD0-C24C-8312-5B6C4C2F2950}"/>
    <hyperlink ref="W3934" r:id="rId5624" xr:uid="{D6B689D9-7E67-EF4D-8A23-8ED185CFD580}"/>
    <hyperlink ref="J3935" r:id="rId5625" xr:uid="{B59FAE99-C74F-2A4D-BBE8-FD6C5FA04352}"/>
    <hyperlink ref="J3936" r:id="rId5626" xr:uid="{C1E0A528-C422-2E4E-BEFA-A4A7F9005288}"/>
    <hyperlink ref="J3937" r:id="rId5627" xr:uid="{07B8D73B-0781-B947-B2AC-D1C5B36E7772}"/>
    <hyperlink ref="J3938" r:id="rId5628" xr:uid="{808A598D-D1B0-FA46-BC72-344BC903AD0D}"/>
    <hyperlink ref="AG3938" r:id="rId5629" xr:uid="{27FC9562-A6FD-FE41-AA06-400A67A66784}"/>
    <hyperlink ref="J3939" r:id="rId5630" xr:uid="{25E0A8BE-CF02-6947-8011-98CDCED2FC80}"/>
    <hyperlink ref="J3940" r:id="rId5631" xr:uid="{1CE995BE-82AE-5548-B703-4445A6EE7C22}"/>
    <hyperlink ref="J3941" r:id="rId5632" xr:uid="{C892EBD0-23CB-DC42-8C7B-A49A51233A04}"/>
    <hyperlink ref="J3942" r:id="rId5633" xr:uid="{DF40407B-8CA7-7F47-BA6B-EF1C14BA2DEC}"/>
    <hyperlink ref="J3943" r:id="rId5634" xr:uid="{4BF00558-861E-DD4B-91D5-C8619307FC03}"/>
    <hyperlink ref="J3944" r:id="rId5635" xr:uid="{89D1B784-3E83-5747-B00A-D2FC3E330606}"/>
    <hyperlink ref="J3945" r:id="rId5636" xr:uid="{05B56921-3B0A-A545-8731-981776B7FAEE}"/>
    <hyperlink ref="J3946" r:id="rId5637" xr:uid="{24C1E418-B18A-6045-8967-CE36FF8C326F}"/>
    <hyperlink ref="J3947" r:id="rId5638" xr:uid="{BC428B8B-BB6D-9F47-8288-926251299798}"/>
    <hyperlink ref="J3948" r:id="rId5639" xr:uid="{8407168B-9742-FA46-8762-D7C7066F0858}"/>
    <hyperlink ref="J3949" r:id="rId5640" xr:uid="{B8DE150A-F443-CE44-9398-D598D89CEC2B}"/>
    <hyperlink ref="J3950" r:id="rId5641" xr:uid="{0456DFE7-4432-2545-B9C9-2D6E7994D989}"/>
    <hyperlink ref="J3951" r:id="rId5642" xr:uid="{DD97CBF8-5A97-6C45-9BC2-9FB7EB05814F}"/>
    <hyperlink ref="J3952" r:id="rId5643" xr:uid="{887B132D-3D52-234C-A523-C6A22264FDF9}"/>
    <hyperlink ref="J3953" r:id="rId5644" xr:uid="{A9078810-D89E-B046-B82E-915F93010300}"/>
    <hyperlink ref="J3954" r:id="rId5645" xr:uid="{3ADEF672-5543-A34E-A278-4840EC0962CB}"/>
    <hyperlink ref="J3955" r:id="rId5646" xr:uid="{F75A8364-7F4E-EE4B-97B6-50A1CECC4792}"/>
    <hyperlink ref="J3956" r:id="rId5647" xr:uid="{101E8F1F-0457-3342-A459-58893EA55CEB}"/>
    <hyperlink ref="W3956" r:id="rId5648" xr:uid="{D3971A54-ECBD-4847-BE8A-9E934182FCCF}"/>
    <hyperlink ref="J3957" r:id="rId5649" xr:uid="{46DE5EC5-10E6-DA48-B742-73BACFB649C6}"/>
    <hyperlink ref="J3958" r:id="rId5650" xr:uid="{2DBD9A8D-284C-0145-A757-7449DD628624}"/>
    <hyperlink ref="J3959" r:id="rId5651" xr:uid="{9A5F6179-C333-6147-95DB-903DBD2E957B}"/>
    <hyperlink ref="W3959" r:id="rId5652" xr:uid="{07A2343B-1D4E-B846-B89F-FB483C202342}"/>
    <hyperlink ref="J3960" r:id="rId5653" xr:uid="{B4A124A4-56E3-7442-94DE-6EDFD1B94B19}"/>
    <hyperlink ref="W3960" r:id="rId5654" xr:uid="{25B71813-C416-D248-ABEB-6B02F77C6FE2}"/>
    <hyperlink ref="J3961" r:id="rId5655" xr:uid="{9ED7BB6E-3CA9-E740-BC12-9AAE30E0D5CB}"/>
    <hyperlink ref="J3962" r:id="rId5656" xr:uid="{C6255067-9CEE-2E49-9C29-4D80005DFFE8}"/>
    <hyperlink ref="J3963" r:id="rId5657" xr:uid="{BAC2D967-E69D-1A40-8C0B-16671192C126}"/>
    <hyperlink ref="J3964" r:id="rId5658" xr:uid="{BD5B470A-5CC7-DE4E-8E5E-80C3EA741E97}"/>
    <hyperlink ref="J3965" r:id="rId5659" xr:uid="{F8873DDA-7D45-0945-A5A7-B9FB5411FFB4}"/>
    <hyperlink ref="J3966" r:id="rId5660" xr:uid="{D8D36B72-EAF4-0F4D-8D90-C18E1F84B069}"/>
    <hyperlink ref="J3967" r:id="rId5661" xr:uid="{9D326D4A-7533-0846-9DDD-5100BA8C361D}"/>
    <hyperlink ref="J3968" r:id="rId5662" xr:uid="{6AEF5FEE-C2CF-7D45-8BBB-BB3416780EB4}"/>
    <hyperlink ref="J3969" r:id="rId5663" xr:uid="{D7EC6B8F-65DB-6747-AAE4-504EB96C1A66}"/>
    <hyperlink ref="J3970" r:id="rId5664" xr:uid="{B8A421ED-F551-C64C-8E7B-349EF44A4C32}"/>
    <hyperlink ref="J3971" r:id="rId5665" xr:uid="{B4DEC940-45C1-C041-B9E1-321EFB735302}"/>
    <hyperlink ref="J3972" r:id="rId5666" xr:uid="{B60F161C-68B7-7B4E-A2D0-A66EA72AF98B}"/>
    <hyperlink ref="J3973" r:id="rId5667" xr:uid="{05D7149E-F9FF-4647-8FBE-7E04783361F8}"/>
    <hyperlink ref="J3974" r:id="rId5668" xr:uid="{349A5971-26BD-5845-8D0C-1D90520B270D}"/>
    <hyperlink ref="W3974" r:id="rId5669" xr:uid="{96C9FC34-0047-F844-A572-44F52FEB341A}"/>
    <hyperlink ref="J3975" r:id="rId5670" xr:uid="{B7E5E27F-544F-2646-857A-BCE75F2C5765}"/>
    <hyperlink ref="J3976" r:id="rId5671" xr:uid="{A576BCA7-4630-1E4B-B5F2-70B8A5D9E726}"/>
    <hyperlink ref="J3977" r:id="rId5672" xr:uid="{58493E66-2FA6-084D-AE72-559343847B59}"/>
    <hyperlink ref="W3977" r:id="rId5673" xr:uid="{1059B312-36B8-6642-AAD8-AE5F32DB41B3}"/>
    <hyperlink ref="J3978" r:id="rId5674" xr:uid="{E2EF6FD1-279D-B445-8482-C2B5C4BDA840}"/>
    <hyperlink ref="J3979" r:id="rId5675" xr:uid="{5ECBCDAA-A3FD-1F45-B446-F0AA625B83B3}"/>
    <hyperlink ref="J3980" r:id="rId5676" xr:uid="{1DE33B60-91EC-704F-9789-78870903DDD5}"/>
    <hyperlink ref="J3981" r:id="rId5677" xr:uid="{1B7EE47E-4D59-3A4D-954A-8CE3F9218C03}"/>
    <hyperlink ref="J3982" r:id="rId5678" xr:uid="{6405A40C-1FB8-844C-AD13-6CC4EE6DC89B}"/>
    <hyperlink ref="W3982" r:id="rId5679" xr:uid="{F2300EE3-8622-9447-B1C7-A1A8FD42B184}"/>
    <hyperlink ref="J3983" r:id="rId5680" xr:uid="{0B256F1E-119E-684C-9FCF-896D8DD80D3A}"/>
    <hyperlink ref="J3984" r:id="rId5681" xr:uid="{EC938AFA-BB74-5240-A4E8-2E96B6516080}"/>
    <hyperlink ref="J3985" r:id="rId5682" xr:uid="{8695DD98-47D0-7341-9D7C-BD0C0BB54308}"/>
    <hyperlink ref="J3986" r:id="rId5683" xr:uid="{67A4467B-A5BA-5441-938C-2E4C0B3BA7AD}"/>
    <hyperlink ref="J3987" r:id="rId5684" xr:uid="{93308A77-849C-A84F-8598-C9992553DDA9}"/>
    <hyperlink ref="J3988" r:id="rId5685" xr:uid="{CB4EFDBB-DDED-2246-B095-6BFE519CA463}"/>
    <hyperlink ref="J3989" r:id="rId5686" xr:uid="{73AE2870-E754-F845-8F23-69C8C7C041DB}"/>
    <hyperlink ref="J3990" r:id="rId5687" xr:uid="{E6DC92FC-50CA-6648-AE0D-05C9C58AFE24}"/>
    <hyperlink ref="W3990" r:id="rId5688" xr:uid="{0D62D855-202D-B24C-9377-2FC47A8E800F}"/>
    <hyperlink ref="J3991" r:id="rId5689" xr:uid="{77533A14-7DAB-4E44-8721-E6553481F91B}"/>
    <hyperlink ref="J3992" r:id="rId5690" xr:uid="{95A7FD24-91FF-D643-B8B1-BD4119BCD565}"/>
    <hyperlink ref="J3993" r:id="rId5691" xr:uid="{F8EA3F96-DC77-144A-8B42-BBD5A03D487A}"/>
    <hyperlink ref="J3994" r:id="rId5692" xr:uid="{FA8E47A4-9D5E-1D48-B16B-B44AAF4AFD06}"/>
    <hyperlink ref="J3995" r:id="rId5693" xr:uid="{2A079185-A6F8-A547-9D61-83C7EB007940}"/>
    <hyperlink ref="J3996" r:id="rId5694" xr:uid="{4DD96D1F-6356-1C45-B02E-46B0CC8B092F}"/>
    <hyperlink ref="J3997" r:id="rId5695" xr:uid="{374E217E-0BD0-AD4B-85CD-F50B8B97D60E}"/>
    <hyperlink ref="J3998" r:id="rId5696" xr:uid="{532A098F-007A-3049-B91F-E749FF26B17B}"/>
    <hyperlink ref="J3999" r:id="rId5697" xr:uid="{1863438B-5106-4C40-957C-E04790ABAAFA}"/>
    <hyperlink ref="J4000" r:id="rId5698" xr:uid="{063564EC-5DCF-3740-9AA1-687BEC77AC78}"/>
    <hyperlink ref="J4001" r:id="rId5699" xr:uid="{83A315F1-4679-4648-8404-9CAA2E3A61CF}"/>
    <hyperlink ref="J4002" r:id="rId5700" xr:uid="{BF6E63B4-A5FB-344E-AE08-AF3FC783A327}"/>
    <hyperlink ref="J4003" r:id="rId5701" xr:uid="{22A4ABEA-4D1B-0A4F-8892-AD0475A3C26E}"/>
    <hyperlink ref="J4004" r:id="rId5702" xr:uid="{C59301E0-2DEE-CF47-94CC-7D63C0339BBA}"/>
    <hyperlink ref="W4004" r:id="rId5703" xr:uid="{FB24CC20-F684-144D-AB7F-2396EF0C1E00}"/>
    <hyperlink ref="J4005" r:id="rId5704" xr:uid="{40002626-0FA0-0044-869A-FD632EDA01F5}"/>
    <hyperlink ref="W4005" r:id="rId5705" xr:uid="{6CDB2800-D53E-5E47-BF7B-1DE10FCC6A2B}"/>
    <hyperlink ref="J4006" r:id="rId5706" xr:uid="{2335C290-BF5E-EA44-8982-DAD7BFAF55F9}"/>
    <hyperlink ref="J4007" r:id="rId5707" xr:uid="{4F9BAB89-C614-D846-BB92-D1EB367C86F7}"/>
    <hyperlink ref="J4008" r:id="rId5708" xr:uid="{2063748E-C5C4-F347-A491-89C770A07540}"/>
    <hyperlink ref="J4009" r:id="rId5709" xr:uid="{D5DB4D2A-D6C1-3545-99CA-26B32513B64B}"/>
    <hyperlink ref="J4010" r:id="rId5710" xr:uid="{7D0B2601-0201-1747-8979-839B1B176BEB}"/>
    <hyperlink ref="J4011" r:id="rId5711" xr:uid="{CA9372AE-D7C8-1941-A043-475B97F0E1CF}"/>
    <hyperlink ref="J4012" r:id="rId5712" xr:uid="{2D17D168-07B6-704F-9268-5B8A337DD6BF}"/>
    <hyperlink ref="J4013" r:id="rId5713" xr:uid="{AC2A1894-47D9-8E43-A161-98F9628D1234}"/>
    <hyperlink ref="J4014" r:id="rId5714" xr:uid="{6C693702-4290-9E44-A869-74B73C50FE0B}"/>
    <hyperlink ref="W4014" r:id="rId5715" xr:uid="{2E8C3045-A877-A741-84AB-FBE5867A990D}"/>
    <hyperlink ref="J4015" r:id="rId5716" xr:uid="{A74ADB65-1972-6349-A60F-C4A17D353778}"/>
    <hyperlink ref="J4016" r:id="rId5717" xr:uid="{3DA92793-359C-2C4D-9BCD-A0530A09B1CF}"/>
    <hyperlink ref="J4017" r:id="rId5718" xr:uid="{DA1DB756-7C40-9548-B49F-2E985BE2E1CB}"/>
    <hyperlink ref="W4017" r:id="rId5719" xr:uid="{87CD41BC-F0F5-1446-B118-937021D8F087}"/>
    <hyperlink ref="J4018" r:id="rId5720" xr:uid="{F4AB8884-7FE0-A94C-86EA-E4F0F89BA785}"/>
    <hyperlink ref="J4019" r:id="rId5721" xr:uid="{26E0C596-A2E7-AF45-8574-2EE5C3B97D69}"/>
    <hyperlink ref="J4020" r:id="rId5722" xr:uid="{FEEED0FA-C36C-0E4D-B70F-83E525EAC948}"/>
    <hyperlink ref="J4021" r:id="rId5723" xr:uid="{B0036EA7-73A5-B441-8B19-81C6061DF95B}"/>
    <hyperlink ref="J4022" r:id="rId5724" xr:uid="{2EA06C9A-FDB9-6A4D-B62F-48A12807AF8E}"/>
    <hyperlink ref="J4023" r:id="rId5725" xr:uid="{E2D638A4-BB20-054B-A152-B676269BA9AF}"/>
    <hyperlink ref="J4024" r:id="rId5726" xr:uid="{3D5DE174-D6D5-4743-BE70-373750CF0F49}"/>
    <hyperlink ref="J4025" r:id="rId5727" xr:uid="{C5DF2E59-64E6-1040-AFE8-39C633CF528F}"/>
    <hyperlink ref="J4026" r:id="rId5728" xr:uid="{1601A05A-47EE-5745-9279-C6373206BA81}"/>
    <hyperlink ref="J4027" r:id="rId5729" xr:uid="{DCF66251-0FA5-0347-B085-6EFD373677CB}"/>
    <hyperlink ref="J4028" r:id="rId5730" xr:uid="{BC3B6498-6CF0-734E-A0EE-CDBEB96D047D}"/>
    <hyperlink ref="W4028" r:id="rId5731" xr:uid="{7C1C51BB-06EB-5A4B-8064-3D4241955632}"/>
    <hyperlink ref="J4029" r:id="rId5732" xr:uid="{669BEC6A-B651-994C-97C0-07CBD240098A}"/>
    <hyperlink ref="J4030" r:id="rId5733" xr:uid="{32B1FB14-637C-5840-BC5E-32F522F5891C}"/>
    <hyperlink ref="J4031" r:id="rId5734" xr:uid="{9250455B-549D-644E-A2A7-706CB93A1001}"/>
    <hyperlink ref="J4032" r:id="rId5735" xr:uid="{36BDE207-EF84-5F4F-8C51-036AC230C9D5}"/>
    <hyperlink ref="J4033" r:id="rId5736" xr:uid="{9E659059-5BB5-2545-BA94-D5F9906B367C}"/>
    <hyperlink ref="J4034" r:id="rId5737" xr:uid="{4200E02E-4B92-1F49-A604-111179E49E3F}"/>
    <hyperlink ref="J4035" r:id="rId5738" xr:uid="{B63DDA6C-F508-0E46-B0D2-17998FF33451}"/>
    <hyperlink ref="J4036" r:id="rId5739" xr:uid="{E66FADF6-E3E3-5E4A-A0F1-498540EC89A7}"/>
    <hyperlink ref="J4037" r:id="rId5740" xr:uid="{D570DF09-21DC-1D4E-B9F8-7F0DDFBEB9B1}"/>
    <hyperlink ref="J4038" r:id="rId5741" xr:uid="{D9B9EFC8-E7A5-4548-AA38-6510F4131352}"/>
    <hyperlink ref="J4039" r:id="rId5742" xr:uid="{26EED0DB-5201-C241-BAF8-B92187DFBD7B}"/>
    <hyperlink ref="J4040" r:id="rId5743" xr:uid="{A65F9807-1F3C-674B-A890-1750FAE129FA}"/>
    <hyperlink ref="W4040" r:id="rId5744" xr:uid="{CD231AB7-C983-B54A-8D8C-6AFBC9800A56}"/>
    <hyperlink ref="J4041" r:id="rId5745" xr:uid="{723210C5-1198-7C43-BBC1-62DC284DCA7F}"/>
    <hyperlink ref="J4042" r:id="rId5746" xr:uid="{B8E44A86-27A6-2744-A009-5A4180030786}"/>
    <hyperlink ref="J4043" r:id="rId5747" xr:uid="{58CD9176-AEF1-8F49-9C1D-299B7C9CB386}"/>
    <hyperlink ref="J4044" r:id="rId5748" xr:uid="{119058A9-2BC2-3243-B35A-34723FAD36C5}"/>
    <hyperlink ref="J4045" r:id="rId5749" xr:uid="{D8B898D3-124D-2C40-8046-E441BF2D6D7B}"/>
    <hyperlink ref="J4046" r:id="rId5750" xr:uid="{8CB9C3F8-F631-E64D-AC9B-C63EA99DBE4D}"/>
    <hyperlink ref="J4047" r:id="rId5751" xr:uid="{900F6444-182F-4847-A2A5-8F70DCAFCEB3}"/>
    <hyperlink ref="J4048" r:id="rId5752" xr:uid="{3DA4D166-5364-0149-A04E-47582F0F7A46}"/>
    <hyperlink ref="J4049" r:id="rId5753" xr:uid="{6245FF32-D06F-434A-8AD6-8F5F6546F81E}"/>
    <hyperlink ref="J4050" r:id="rId5754" xr:uid="{263E913D-4FCC-4C44-BD51-386B5D3D8F4E}"/>
    <hyperlink ref="J4051" r:id="rId5755" xr:uid="{B14FD6C1-F40E-9B43-9387-9E62613BF632}"/>
    <hyperlink ref="W4051" r:id="rId5756" xr:uid="{4337EC0D-B770-AD4F-8A00-969B4EACBECC}"/>
    <hyperlink ref="J4052" r:id="rId5757" xr:uid="{F4F121E6-37F1-2B42-8EE0-4DF8211A9127}"/>
    <hyperlink ref="J4053" r:id="rId5758" xr:uid="{1CE9BB1B-1C6A-1346-9ADB-5864C50C9BA4}"/>
    <hyperlink ref="J4054" r:id="rId5759" xr:uid="{A08ECD18-D8B6-474C-B242-80920D0AD3BA}"/>
    <hyperlink ref="J4055" r:id="rId5760" xr:uid="{2FF6B2E5-07E6-C148-96A4-634E7CC67CC3}"/>
    <hyperlink ref="J4056" r:id="rId5761" xr:uid="{62F23E31-77DA-064B-88FF-44BD3C997F54}"/>
    <hyperlink ref="J4057" r:id="rId5762" xr:uid="{FD56BB63-9F30-6A48-A696-81E3137E7B7B}"/>
    <hyperlink ref="J4058" r:id="rId5763" xr:uid="{A5B9D37E-C4B6-C84A-AC0D-907AB1CB4437}"/>
    <hyperlink ref="J4059" r:id="rId5764" xr:uid="{58AC60C5-E71F-774B-B890-868D33F3C1F5}"/>
    <hyperlink ref="J4060" r:id="rId5765" xr:uid="{19CE3995-E5C8-EF41-9944-549CE709A131}"/>
    <hyperlink ref="J4061" r:id="rId5766" xr:uid="{8F29736E-4F38-584E-A227-06E2968726AF}"/>
    <hyperlink ref="J4062" r:id="rId5767" xr:uid="{81A14918-E133-D74E-98C6-3E5DF10BA6EE}"/>
    <hyperlink ref="AG4062" r:id="rId5768" xr:uid="{59A489E2-1631-694D-B3EB-E9C92513D8F2}"/>
    <hyperlink ref="J4063" r:id="rId5769" xr:uid="{202C38BC-C04E-3445-91AF-CCF78A5E3002}"/>
    <hyperlink ref="J4064" r:id="rId5770" xr:uid="{AB9CD7C3-6210-CD4F-8602-24F898ECB2D4}"/>
    <hyperlink ref="W4064" r:id="rId5771" xr:uid="{18745F67-0A18-3D43-9668-DA06F5A5C9E1}"/>
    <hyperlink ref="J4065" r:id="rId5772" xr:uid="{4D5087C5-2226-834D-877E-B52A5536944F}"/>
    <hyperlink ref="AG4065" r:id="rId5773" xr:uid="{740080D6-C329-5942-8FEA-5F9EE0614F10}"/>
    <hyperlink ref="J4066" r:id="rId5774" xr:uid="{3C867763-A109-6C4F-9A96-67C4BA51992B}"/>
    <hyperlink ref="J4067" r:id="rId5775" xr:uid="{FA0E60C6-E341-CD48-A4D5-CD307B53C916}"/>
    <hyperlink ref="J4068" r:id="rId5776" xr:uid="{D36EA998-016E-D942-B50A-6AC415D01ACB}"/>
    <hyperlink ref="J4069" r:id="rId5777" xr:uid="{B6CA8A8D-BE42-F547-8109-EF8B5B06819C}"/>
    <hyperlink ref="J4070" r:id="rId5778" xr:uid="{B538679A-728E-E04D-BA57-B4508934BC56}"/>
    <hyperlink ref="J4071" r:id="rId5779" xr:uid="{4737D82B-0F4E-1446-9587-CEA7D4C16F1A}"/>
    <hyperlink ref="W4071" r:id="rId5780" xr:uid="{287789B5-7023-BA45-AE70-F28351C27AD1}"/>
    <hyperlink ref="J4072" r:id="rId5781" xr:uid="{E7DBB898-C537-774F-A872-EDB2A4ED9AAE}"/>
    <hyperlink ref="J4073" r:id="rId5782" xr:uid="{1B70DD42-C57D-1743-BB9A-8111B2E9CC84}"/>
    <hyperlink ref="J4074" r:id="rId5783" xr:uid="{DE3B9F28-2CA4-7B44-A889-5A300921D5A8}"/>
    <hyperlink ref="W4074" r:id="rId5784" xr:uid="{7DE0A1AC-47C8-1A48-8EE5-5AC4EBD80FFD}"/>
    <hyperlink ref="J4075" r:id="rId5785" xr:uid="{1E9AAC95-7882-E248-8A70-FADA32F1CBA2}"/>
    <hyperlink ref="J4076" r:id="rId5786" xr:uid="{1EC4D27D-6769-F047-9921-E913E11444D3}"/>
    <hyperlink ref="J4077" r:id="rId5787" xr:uid="{BBA6D45F-643F-7540-9106-19C7999CC57D}"/>
    <hyperlink ref="J4078" r:id="rId5788" xr:uid="{412F1364-9EC3-944D-B66D-EB4EA8B681D6}"/>
    <hyperlink ref="J4079" r:id="rId5789" xr:uid="{7F813486-3064-4749-A0FA-CCA0DC11DF38}"/>
    <hyperlink ref="J4080" r:id="rId5790" xr:uid="{7977D484-2C2F-EB44-ABB0-6892C8CFF0E6}"/>
    <hyperlink ref="J4081" r:id="rId5791" xr:uid="{563318D5-845A-5E45-A085-5E2F44099B72}"/>
    <hyperlink ref="J4082" r:id="rId5792" xr:uid="{81F92851-C1A1-A445-ADAA-F942B899C950}"/>
    <hyperlink ref="J4083" r:id="rId5793" xr:uid="{4BF9F706-EADD-9A4E-A25D-71B3D821B463}"/>
    <hyperlink ref="W4083" r:id="rId5794" xr:uid="{9A959E65-4861-EA40-9634-2FBD2DD0CA73}"/>
    <hyperlink ref="J4084" r:id="rId5795" xr:uid="{35380886-E2EE-8D4C-B2CA-3D74D6E72D55}"/>
    <hyperlink ref="W4084" r:id="rId5796" xr:uid="{C5EB709C-2296-8B44-9F22-F320642D7DD8}"/>
    <hyperlink ref="J4085" r:id="rId5797" xr:uid="{93BBC37B-98CA-5E47-9F4A-54FFF562A8E4}"/>
    <hyperlink ref="J4086" r:id="rId5798" xr:uid="{9FFD3763-B8BB-644B-908E-89517E33E40D}"/>
    <hyperlink ref="W4086" r:id="rId5799" xr:uid="{3B0D99EC-24CE-854A-97B9-74D68F6D507D}"/>
    <hyperlink ref="J4087" r:id="rId5800" xr:uid="{54A300D8-A481-114A-BD2B-71F5DFA83AE4}"/>
    <hyperlink ref="J4088" r:id="rId5801" xr:uid="{FD5D5ACF-B0B4-B547-8871-36941EC4015F}"/>
    <hyperlink ref="W4088" r:id="rId5802" xr:uid="{8A22037A-FB17-9848-B134-8BB8C9C14849}"/>
    <hyperlink ref="J4089" r:id="rId5803" xr:uid="{F3BEE719-F4D5-F641-98A9-78F801B61A1F}"/>
    <hyperlink ref="W4089" r:id="rId5804" xr:uid="{ED3E186E-4A83-6343-9C7B-0D33047E7687}"/>
    <hyperlink ref="J4090" r:id="rId5805" xr:uid="{9C8A699F-2E78-D744-9E59-586808BB4571}"/>
    <hyperlink ref="J4091" r:id="rId5806" xr:uid="{85C71877-7ED5-E74E-8151-16EBACE02E14}"/>
    <hyperlink ref="J4092" r:id="rId5807" xr:uid="{178D8E72-5B64-5C40-A819-9B4BEBA3C737}"/>
    <hyperlink ref="J4093" r:id="rId5808" xr:uid="{44977321-6E3F-0349-956B-AC76C3C1C57D}"/>
    <hyperlink ref="J4094" r:id="rId5809" xr:uid="{1F2FBCCA-9BDD-034C-82D0-136BC791EA64}"/>
    <hyperlink ref="W4094" r:id="rId5810" xr:uid="{BDD81120-7651-CC46-8F1F-2DF952596137}"/>
    <hyperlink ref="J4095" r:id="rId5811" xr:uid="{1EDF4E81-659B-CE46-8F4A-9C9FDFBBB056}"/>
    <hyperlink ref="J4096" r:id="rId5812" xr:uid="{7F4629C9-5785-D341-B738-138BBF15FD63}"/>
    <hyperlink ref="J4097" r:id="rId5813" xr:uid="{92CA4259-C684-2048-9910-13AAFA96E287}"/>
    <hyperlink ref="J4098" r:id="rId5814" xr:uid="{93D450BD-FE80-3A49-BE83-3A94E7E2B350}"/>
    <hyperlink ref="W4098" r:id="rId5815" xr:uid="{F8169F6A-62C1-234A-A363-C9F1CF9FDE3B}"/>
    <hyperlink ref="J4099" r:id="rId5816" xr:uid="{412D07AB-352C-B641-BF1A-8EE9A7AABA30}"/>
    <hyperlink ref="J4100" r:id="rId5817" xr:uid="{08506E3C-C0E0-284C-9920-684F06E604C6}"/>
    <hyperlink ref="W4100" r:id="rId5818" xr:uid="{9A803E0D-0F06-D549-B7A1-E97B2E4E647B}"/>
    <hyperlink ref="J4101" r:id="rId5819" xr:uid="{42192CF4-C5EE-1F49-B76E-33E4FFDA83BA}"/>
    <hyperlink ref="J4102" r:id="rId5820" xr:uid="{DFCC2E87-2447-D54F-9AE6-C1F835829D81}"/>
    <hyperlink ref="J4103" r:id="rId5821" xr:uid="{DFADD302-C4C6-0543-BA24-7230B9BC671B}"/>
    <hyperlink ref="J4104" r:id="rId5822" xr:uid="{C2C01C5D-F289-DE4D-8C43-1B2BD36AF8F4}"/>
    <hyperlink ref="J4105" r:id="rId5823" xr:uid="{C763CAA0-19E0-E840-9D54-4780012A675B}"/>
    <hyperlink ref="J4106" r:id="rId5824" xr:uid="{F0757786-CE21-6546-AF1C-65F58C92863A}"/>
    <hyperlink ref="J4107" r:id="rId5825" xr:uid="{9D049B96-274A-444B-ACB3-E1D517204269}"/>
    <hyperlink ref="J4108" r:id="rId5826" xr:uid="{7DA9AF09-AAA4-8A43-9D14-280AC85FD092}"/>
    <hyperlink ref="J4109" r:id="rId5827" xr:uid="{B0DF0032-4538-9244-83C0-007964CC6E29}"/>
    <hyperlink ref="J4110" r:id="rId5828" xr:uid="{D983C09E-F057-5C4F-BB86-E614329F4529}"/>
    <hyperlink ref="W4110" r:id="rId5829" xr:uid="{F0CA0658-A066-EE46-9495-F555E1DCD95E}"/>
    <hyperlink ref="J4111" r:id="rId5830" xr:uid="{F0A5069C-F113-A34D-8F0C-3E85E2584362}"/>
    <hyperlink ref="J4112" r:id="rId5831" xr:uid="{E0B1D6A8-AB8E-9247-BE0D-27296B1AE0BE}"/>
    <hyperlink ref="J4113" r:id="rId5832" xr:uid="{83D965B1-0FE3-FE4D-8C60-C983B397FE72}"/>
    <hyperlink ref="J4114" r:id="rId5833" xr:uid="{8B6B5575-C4F9-FC4D-BCBB-8A5E97FC635E}"/>
    <hyperlink ref="J4115" r:id="rId5834" xr:uid="{CD5D603E-E222-8145-B480-29B79FB3CC53}"/>
    <hyperlink ref="J4116" r:id="rId5835" xr:uid="{B43AEB92-FFE6-724B-B834-A51E290BDC10}"/>
    <hyperlink ref="J4117" r:id="rId5836" xr:uid="{3535B7A1-1287-C347-AB92-AC1941A98BAE}"/>
    <hyperlink ref="J4118" r:id="rId5837" xr:uid="{E28546AC-EF16-F14F-94AA-0B219FD42598}"/>
    <hyperlink ref="J4119" r:id="rId5838" xr:uid="{DC8B2469-6995-1147-9439-C9BAC48F7398}"/>
    <hyperlink ref="J4120" r:id="rId5839" xr:uid="{80613BE2-3C2A-E047-94D7-94412F97A1A6}"/>
    <hyperlink ref="J4121" r:id="rId5840" xr:uid="{0676BC22-D486-5B4E-90E7-8959F0BDB01A}"/>
    <hyperlink ref="J4122" r:id="rId5841" xr:uid="{D284B8E5-27F9-554E-A61E-30F211849FD3}"/>
    <hyperlink ref="J4123" r:id="rId5842" xr:uid="{C78CBE15-0F7A-3641-B314-76773665761A}"/>
    <hyperlink ref="J4124" r:id="rId5843" xr:uid="{2F60ABDB-DF79-8849-9A2F-E587B4CF34A0}"/>
    <hyperlink ref="J4125" r:id="rId5844" xr:uid="{3E827391-2228-B740-8520-DD140067340E}"/>
    <hyperlink ref="J4126" r:id="rId5845" xr:uid="{0DE51084-D1B5-2C49-B74A-78A21FEEA3D7}"/>
    <hyperlink ref="W4126" r:id="rId5846" xr:uid="{2572633D-BE04-6C40-9CA6-0D909F791931}"/>
    <hyperlink ref="J4127" r:id="rId5847" xr:uid="{5458C592-721B-8749-9F57-8F4143D756C1}"/>
    <hyperlink ref="J4128" r:id="rId5848" xr:uid="{1ECC3E50-A529-954F-8B13-E6D3D5B0865C}"/>
    <hyperlink ref="J4129" r:id="rId5849" xr:uid="{CD39FB03-3405-9A41-AF7D-3C3695A9A78E}"/>
    <hyperlink ref="AH4129" r:id="rId5850" xr:uid="{12B3931C-1C5F-E24E-9B0D-595AFCE42674}"/>
    <hyperlink ref="J4130" r:id="rId5851" xr:uid="{0A343D73-6374-1D4C-84D4-2055F6015E1E}"/>
    <hyperlink ref="J4131" r:id="rId5852" xr:uid="{F7E1C7B5-C7F7-654C-9AB1-5DB444CDD258}"/>
    <hyperlink ref="J4132" r:id="rId5853" xr:uid="{F94BB8CD-74C2-D34E-9F00-164D0AB44764}"/>
    <hyperlink ref="J4133" r:id="rId5854" xr:uid="{978A9369-B4F1-AF4F-A206-847260367BA5}"/>
    <hyperlink ref="W4133" r:id="rId5855" xr:uid="{D1F98522-C588-754B-8450-13725E9D44B6}"/>
    <hyperlink ref="J4134" r:id="rId5856" xr:uid="{9A44BCD6-CCB1-5A4C-BF15-2DCE1A7BD4C6}"/>
    <hyperlink ref="J4135" r:id="rId5857" xr:uid="{9A00DCB0-53E0-9840-878E-EB402937DE9B}"/>
    <hyperlink ref="J4136" r:id="rId5858" xr:uid="{CD00DB5E-E9D5-1045-9439-E81DE861F7C9}"/>
    <hyperlink ref="W4136" r:id="rId5859" xr:uid="{7EDED21E-B9DD-A640-BEA1-F4AF5AF2A914}"/>
    <hyperlink ref="J4137" r:id="rId5860" xr:uid="{34548416-06CF-8B48-9F46-EAF70A461549}"/>
    <hyperlink ref="J4138" r:id="rId5861" xr:uid="{7F2C461E-7219-1244-A130-7BB2B25ABE25}"/>
    <hyperlink ref="W4138" r:id="rId5862" xr:uid="{5AD4EBF8-0813-C44B-95A6-6FD5EF402313}"/>
    <hyperlink ref="J4139" r:id="rId5863" xr:uid="{3EAEDBE7-9ADF-9249-B851-DCB05F5487B3}"/>
    <hyperlink ref="J4140" r:id="rId5864" xr:uid="{347C8988-9C18-8E45-89CC-25AEF24ED26C}"/>
    <hyperlink ref="J4141" r:id="rId5865" xr:uid="{897508AB-5B48-AB4D-AAAB-6DAFAB09407B}"/>
    <hyperlink ref="W4141" r:id="rId5866" xr:uid="{508DC8B1-9A95-6342-9828-2E4246B557F4}"/>
    <hyperlink ref="J4142" r:id="rId5867" xr:uid="{644677A6-7FB2-E648-895C-2D4B87E7FF0D}"/>
    <hyperlink ref="W4142" r:id="rId5868" xr:uid="{60F43E15-3E21-B247-8486-51B8B3C1B0D9}"/>
    <hyperlink ref="J4143" r:id="rId5869" xr:uid="{812D6499-8630-9140-8883-780511D1E3B5}"/>
    <hyperlink ref="J4144" r:id="rId5870" xr:uid="{B79720A0-AA73-0D4F-B2A2-35B1402FA8AB}"/>
    <hyperlink ref="J4145" r:id="rId5871" xr:uid="{9A65B38D-EF03-624D-BF63-F76A99A1DA05}"/>
    <hyperlink ref="J4146" r:id="rId5872" xr:uid="{4B123488-0ED3-DE47-810A-ED33CD403237}"/>
    <hyperlink ref="J4147" r:id="rId5873" xr:uid="{92938E61-1989-D342-B7B7-B2CFA0194BCD}"/>
    <hyperlink ref="J4148" r:id="rId5874" xr:uid="{FE40DA61-EB4E-6643-ADB7-3BA4CE29F77B}"/>
    <hyperlink ref="J4149" r:id="rId5875" xr:uid="{AD87BF1A-57D6-0843-A4F2-A7440FCFDE74}"/>
    <hyperlink ref="J4150" r:id="rId5876" xr:uid="{D3E44C41-8D47-304D-9230-B378D53C9899}"/>
    <hyperlink ref="J4151" r:id="rId5877" xr:uid="{9B8D977F-2B0C-444E-91D6-3B188F0F4660}"/>
    <hyperlink ref="W4151" r:id="rId5878" xr:uid="{A366BD95-9252-9F44-A7F9-DBB350BAFE76}"/>
    <hyperlink ref="J4152" r:id="rId5879" xr:uid="{F0D281CE-AD4E-8A4A-8436-302E81F6AB5E}"/>
    <hyperlink ref="J4153" r:id="rId5880" xr:uid="{21DEED0B-385C-504F-BCC3-A645A8F77E5B}"/>
    <hyperlink ref="J4154" r:id="rId5881" xr:uid="{D9990C5B-5937-F94C-BCE4-0293EC0B2499}"/>
    <hyperlink ref="J4155" r:id="rId5882" xr:uid="{9175A54C-20CB-E948-A48A-F0D88D4232CE}"/>
    <hyperlink ref="W4155" r:id="rId5883" xr:uid="{DA9335F5-5803-8140-BDA3-6FA06744FBFC}"/>
    <hyperlink ref="J4156" r:id="rId5884" xr:uid="{01509586-7E27-D143-AF36-CD443AD397CA}"/>
    <hyperlink ref="W4156" r:id="rId5885" xr:uid="{B5B8CAB0-6148-F441-84CF-B97F0F5556FA}"/>
    <hyperlink ref="J4157" r:id="rId5886" xr:uid="{45AB9AB5-3B49-494E-9A6C-6040003771FB}"/>
    <hyperlink ref="W4157" r:id="rId5887" xr:uid="{A78997BC-2138-7C4F-B508-7405B60082FB}"/>
    <hyperlink ref="J4158" r:id="rId5888" xr:uid="{9494AF4D-A853-9E4F-A3B6-7CE44C5E843E}"/>
    <hyperlink ref="J4159" r:id="rId5889" xr:uid="{183FFA56-1A8A-624F-AB57-1F4FED6A4557}"/>
    <hyperlink ref="J4160" r:id="rId5890" xr:uid="{6B0BFDB9-3585-5348-9B38-7622F7F2B584}"/>
    <hyperlink ref="W4160" r:id="rId5891" xr:uid="{EB8AD5BD-2D34-9D45-A05A-946E57D83E4E}"/>
    <hyperlink ref="J4161" r:id="rId5892" xr:uid="{E6DBB3FA-595C-4243-8A1F-6EC2CFED83C0}"/>
    <hyperlink ref="J4162" r:id="rId5893" xr:uid="{B75D5236-460F-5B41-9A22-0281FCE25FFB}"/>
    <hyperlink ref="J4163" r:id="rId5894" xr:uid="{3F93A572-2FE9-0449-B97F-1FAF42CDA9C7}"/>
    <hyperlink ref="J4164" r:id="rId5895" xr:uid="{55AFC3B0-A00A-E34B-BCA1-1E176455D877}"/>
    <hyperlink ref="J4165" r:id="rId5896" xr:uid="{EACFF7E1-636D-E648-97E4-69A1C585820F}"/>
    <hyperlink ref="J4166" r:id="rId5897" xr:uid="{C0FBDD26-A811-D347-B4A4-EEA42B72D179}"/>
    <hyperlink ref="J4167" r:id="rId5898" xr:uid="{2314FEA4-B446-5C43-AA7C-34B0FE7C0A22}"/>
    <hyperlink ref="J4168" r:id="rId5899" xr:uid="{2D73E836-9917-A140-BE54-4674B87A5EBB}"/>
    <hyperlink ref="J4169" r:id="rId5900" xr:uid="{1C986B3F-7D56-A546-95EA-559375D7983D}"/>
    <hyperlink ref="J4170" r:id="rId5901" xr:uid="{F3C7E991-5153-4D42-A34A-5DC22BE9EDDD}"/>
    <hyperlink ref="W4170" r:id="rId5902" xr:uid="{F8AA14F7-55BD-9947-9B4C-9974BB14472C}"/>
    <hyperlink ref="J4171" r:id="rId5903" xr:uid="{7B7BB796-806B-A04C-99A0-55C9A5F0F7E6}"/>
    <hyperlink ref="J4172" r:id="rId5904" xr:uid="{56DDFB2C-46E6-F24C-9D32-FD010197481F}"/>
    <hyperlink ref="W4172" r:id="rId5905" xr:uid="{FBA41E55-07BB-3B44-A66E-B0B72CA257A7}"/>
    <hyperlink ref="J4173" r:id="rId5906" xr:uid="{F746DB6A-B6E5-2042-9884-5E763AEE9B74}"/>
    <hyperlink ref="J4174" r:id="rId5907" xr:uid="{87EFB485-F821-CB48-BCF1-6A24FEE37860}"/>
    <hyperlink ref="W4174" r:id="rId5908" xr:uid="{CB178A39-A797-3D47-88EB-03E9B4FA8604}"/>
    <hyperlink ref="J4175" r:id="rId5909" xr:uid="{2F17387C-EA49-F548-B86B-47E5536DCF0E}"/>
    <hyperlink ref="J4176" r:id="rId5910" xr:uid="{AF406971-4A02-5243-ABD4-700A491B3489}"/>
    <hyperlink ref="J4177" r:id="rId5911" xr:uid="{A8960FD9-7D89-5B48-9E71-81AE7872B8B2}"/>
    <hyperlink ref="W4177" r:id="rId5912" xr:uid="{B79D9D97-2E63-944E-8FE3-246C4BEAFD83}"/>
    <hyperlink ref="J4178" r:id="rId5913" xr:uid="{2AB67460-4431-5545-B0DC-86A545A2AA0C}"/>
    <hyperlink ref="J4179" r:id="rId5914" xr:uid="{D46BF6DA-1235-A34A-9777-B32868046C92}"/>
    <hyperlink ref="J4180" r:id="rId5915" xr:uid="{656FC6FD-299D-9745-B673-396788A68929}"/>
    <hyperlink ref="J4181" r:id="rId5916" xr:uid="{88600FF6-F7A0-C649-A5B3-5CDADFB13BCC}"/>
    <hyperlink ref="J4182" r:id="rId5917" xr:uid="{9D6A4D73-1576-7A47-9382-6053AF367473}"/>
    <hyperlink ref="J4183" r:id="rId5918" xr:uid="{6215E04B-16D0-674A-9A2D-209C2CFBFBC5}"/>
    <hyperlink ref="J4184" r:id="rId5919" xr:uid="{E3C965D1-1213-7A47-A5A6-CACEDF3BFD2A}"/>
    <hyperlink ref="J4185" r:id="rId5920" xr:uid="{E852B7BD-CC86-244B-BF52-94CAA32CD38C}"/>
    <hyperlink ref="J4186" r:id="rId5921" xr:uid="{2359AA35-EDC2-0042-B64C-E36213478A96}"/>
    <hyperlink ref="J4187" r:id="rId5922" xr:uid="{8A9D3F71-DB34-D147-9AE3-F451AAB1FF68}"/>
    <hyperlink ref="W4187" r:id="rId5923" xr:uid="{2A2E1DBA-410E-9947-86D0-A070DD2F06F0}"/>
    <hyperlink ref="J4188" r:id="rId5924" xr:uid="{997CC9DF-F334-814D-B517-83583899CAE8}"/>
    <hyperlink ref="W4188" r:id="rId5925" xr:uid="{4D6C094F-061C-864B-9866-090DA0BCF4DD}"/>
    <hyperlink ref="J4189" r:id="rId5926" xr:uid="{B78B02D6-6334-8E47-866D-76AFF54E2A84}"/>
    <hyperlink ref="J4190" r:id="rId5927" xr:uid="{390D67BF-20E7-914C-BCB8-D6F79E14A060}"/>
    <hyperlink ref="J4191" r:id="rId5928" xr:uid="{911D7D4B-75CF-124A-81E1-B5625E7E9FD2}"/>
    <hyperlink ref="J4192" r:id="rId5929" xr:uid="{0655FD6E-98DA-B54A-B548-B6EFBC920CC1}"/>
    <hyperlink ref="J4193" r:id="rId5930" xr:uid="{3A63BD19-623A-9F41-A2A4-6AD09E9B7F5F}"/>
    <hyperlink ref="J4194" r:id="rId5931" xr:uid="{58EF60E8-D989-B648-8191-3D4429D576A8}"/>
    <hyperlink ref="J4195" r:id="rId5932" xr:uid="{20F3BB30-CDA6-C84B-ACBE-2183E501F76C}"/>
    <hyperlink ref="J4196" r:id="rId5933" xr:uid="{C3452159-685E-3845-A131-1600C26E65CF}"/>
    <hyperlink ref="J4197" r:id="rId5934" xr:uid="{0699C878-8685-DD40-9A1A-6DAD1F9FAEB0}"/>
    <hyperlink ref="J4198" r:id="rId5935" xr:uid="{562AE817-FDF2-B14C-981B-CD65076BC6B7}"/>
    <hyperlink ref="J4199" r:id="rId5936" xr:uid="{C02FA335-AB8B-ED40-BA69-F98BE3B54470}"/>
    <hyperlink ref="J4200" r:id="rId5937" xr:uid="{E1429E6F-9587-F14C-82AB-C726858D3338}"/>
    <hyperlink ref="J4201" r:id="rId5938" xr:uid="{705C3FA2-9BDE-574D-AF04-5F3229AA1F20}"/>
    <hyperlink ref="J4202" r:id="rId5939" xr:uid="{7B980A88-E462-9941-94D1-8C84BBFA7A63}"/>
    <hyperlink ref="J4203" r:id="rId5940" xr:uid="{339AE80E-4193-2D47-89B1-811BD87C7453}"/>
    <hyperlink ref="J4204" r:id="rId5941" xr:uid="{EA354689-B83B-B947-9715-1A45D3DD0698}"/>
    <hyperlink ref="J4205" r:id="rId5942" xr:uid="{91E8674D-A675-EC47-A738-6F7B969D333E}"/>
    <hyperlink ref="J4206" r:id="rId5943" xr:uid="{1A878048-CBA2-F140-AA6E-081B1554E53E}"/>
    <hyperlink ref="J4207" r:id="rId5944" xr:uid="{5A8E9875-8BBD-4444-82EA-170513F146DD}"/>
    <hyperlink ref="J4208" r:id="rId5945" xr:uid="{4BA8E692-D52B-B541-8414-9741EA24AA83}"/>
    <hyperlink ref="J4209" r:id="rId5946" xr:uid="{F9784969-53BB-FE45-93E2-D5ADFCECAA73}"/>
    <hyperlink ref="J4210" r:id="rId5947" xr:uid="{87A72199-6CC7-1F45-9A76-94E477FAED6F}"/>
    <hyperlink ref="J4211" r:id="rId5948" xr:uid="{16A4D03C-2B3E-A24F-8720-D52AED765152}"/>
    <hyperlink ref="J4212" r:id="rId5949" xr:uid="{7CF0178A-2893-4849-AF7D-62DD464E8166}"/>
    <hyperlink ref="J4213" r:id="rId5950" xr:uid="{EF09F705-2514-1F40-BF84-D7420071DD57}"/>
    <hyperlink ref="J4214" r:id="rId5951" xr:uid="{9FF82E87-850C-7C4D-87D3-022C765978FD}"/>
    <hyperlink ref="J4215" r:id="rId5952" xr:uid="{FAEDBE93-AD69-0542-B3B9-9AFC764F62C0}"/>
    <hyperlink ref="J4216" r:id="rId5953" xr:uid="{CA2D5CA5-0598-ED46-8993-9D75D23F72CD}"/>
    <hyperlink ref="J4217" r:id="rId5954" xr:uid="{8114C9B7-16A9-D441-8AC5-EFAB1220578E}"/>
    <hyperlink ref="J4218" r:id="rId5955" xr:uid="{2DECBEA8-3B5E-8643-90F1-6C60E9BB72A1}"/>
    <hyperlink ref="J4219" r:id="rId5956" xr:uid="{9B8D0C74-67DF-744D-80DB-E6805D517577}"/>
    <hyperlink ref="J4220" r:id="rId5957" xr:uid="{DFE42225-2201-A942-8F69-F40652AC80D6}"/>
    <hyperlink ref="J4221" r:id="rId5958" xr:uid="{5FE7E385-B05C-A440-ABE7-AF5E1FDF4E4F}"/>
    <hyperlink ref="J4222" r:id="rId5959" xr:uid="{470D9105-0E36-654C-97A1-8E76733AF82E}"/>
    <hyperlink ref="J4223" r:id="rId5960" xr:uid="{85A523EF-664E-D542-83A4-AEC8238337A8}"/>
    <hyperlink ref="J4224" r:id="rId5961" xr:uid="{7420DCBD-03B3-5040-8D24-E57FD2DF10FF}"/>
    <hyperlink ref="J4225" r:id="rId5962" xr:uid="{8847525C-5C37-634E-B49E-65BB857710D3}"/>
    <hyperlink ref="J4226" r:id="rId5963" xr:uid="{8A0C8CDF-22E2-AD4C-B362-B8CAAEF3761C}"/>
    <hyperlink ref="J4227" r:id="rId5964" xr:uid="{636A46A0-CBCA-3941-97FD-EC9CD6987F1E}"/>
    <hyperlink ref="J4228" r:id="rId5965" xr:uid="{65589D07-7BBA-1B41-BCD0-93904E0136F2}"/>
    <hyperlink ref="J4229" r:id="rId5966" xr:uid="{E063139F-5BB3-1941-81BE-DD5A1DFE8DD0}"/>
    <hyperlink ref="W4229" r:id="rId5967" xr:uid="{3F86EFDA-5A06-EF45-9F65-021FA87B8CA0}"/>
    <hyperlink ref="J4230" r:id="rId5968" xr:uid="{F9307221-6707-B246-A2C0-E524752AA468}"/>
    <hyperlink ref="J4231" r:id="rId5969" xr:uid="{DAEB5614-0FF0-4542-A64D-4F3F51E4A71B}"/>
    <hyperlink ref="J4232" r:id="rId5970" xr:uid="{1897B3B6-E34E-104D-BBDA-EFB33E256E20}"/>
    <hyperlink ref="J4233" r:id="rId5971" xr:uid="{D8E404CD-2C3A-A54B-B661-E74D0314BC84}"/>
    <hyperlink ref="J4234" r:id="rId5972" xr:uid="{AD38FDFC-C471-324B-BBBD-BCD1A880670F}"/>
    <hyperlink ref="J4235" r:id="rId5973" xr:uid="{CE568F6A-011B-C04E-AE13-FF960276FE6E}"/>
    <hyperlink ref="J4236" r:id="rId5974" xr:uid="{5A14D1C8-12A8-A34B-9083-FB7F681EC8AF}"/>
    <hyperlink ref="J4237" r:id="rId5975" xr:uid="{4B75DD3F-CC77-DE48-B2D1-75A40E70A959}"/>
    <hyperlink ref="J4238" r:id="rId5976" xr:uid="{F22BFDDF-9D0F-0A47-882B-AA706CA5A66C}"/>
    <hyperlink ref="J4239" r:id="rId5977" xr:uid="{A745E855-BB6F-BB4A-B611-FE3BF2DC8C56}"/>
    <hyperlink ref="J4240" r:id="rId5978" xr:uid="{944E2B88-7DC5-F543-91B5-491407FE9E55}"/>
    <hyperlink ref="J4241" r:id="rId5979" xr:uid="{A425ACE7-4B62-AE4F-9D8A-39188E435C27}"/>
    <hyperlink ref="J4242" r:id="rId5980" xr:uid="{FE97AD0B-5720-8D4E-B04C-80468EA91DFF}"/>
    <hyperlink ref="J4243" r:id="rId5981" xr:uid="{0B66ED01-2454-0545-A3F6-8C35E879ACDF}"/>
    <hyperlink ref="J4244" r:id="rId5982" xr:uid="{71CBB524-D5F6-EA40-88C9-5E599229AEAC}"/>
    <hyperlink ref="J4245" r:id="rId5983" xr:uid="{A306D8FA-77B5-464E-9830-7F63BA4518F9}"/>
    <hyperlink ref="J4246" r:id="rId5984" xr:uid="{70B7435C-07B5-E94A-AF5A-766E8C192B93}"/>
    <hyperlink ref="J4247" r:id="rId5985" xr:uid="{D1015B31-EA53-944E-8438-65AF0EF93BCF}"/>
    <hyperlink ref="J4248" r:id="rId5986" xr:uid="{708C65B0-2AA8-D945-AA06-E49CF41BCCD4}"/>
    <hyperlink ref="J4249" r:id="rId5987" xr:uid="{C44C9FA4-0558-8946-8677-FDA4B173AE45}"/>
    <hyperlink ref="J4250" r:id="rId5988" xr:uid="{AC8C9C12-16A3-5647-ACA3-771D33A98992}"/>
    <hyperlink ref="J4251" r:id="rId5989" xr:uid="{8D637489-6569-D341-B162-2CC1AA73D4BC}"/>
    <hyperlink ref="J4252" r:id="rId5990" xr:uid="{A7F9D53B-4EDB-5D4F-8C62-D80B7B00A079}"/>
    <hyperlink ref="J4253" r:id="rId5991" xr:uid="{81B2B8EA-A75E-7249-8EF6-47FA3A15A29E}"/>
    <hyperlink ref="J4254" r:id="rId5992" xr:uid="{DA4829DB-14B9-BB4C-AC91-2CE74CF92C14}"/>
    <hyperlink ref="J4255" r:id="rId5993" xr:uid="{5AE2B9BF-C969-E442-91D3-C67F4A9850FF}"/>
    <hyperlink ref="J4256" r:id="rId5994" xr:uid="{0D955856-5679-C341-A610-F8FF3937376A}"/>
    <hyperlink ref="J4257" r:id="rId5995" xr:uid="{35F4F433-A899-044C-89EF-11A6D9569B6C}"/>
    <hyperlink ref="J4258" r:id="rId5996" xr:uid="{6D4683C4-3567-8542-AADD-C328D9263EF6}"/>
    <hyperlink ref="J4259" r:id="rId5997" xr:uid="{46D57158-3312-4641-A81A-FB138A8F1069}"/>
    <hyperlink ref="J4260" r:id="rId5998" xr:uid="{62242A82-2430-9245-9B7F-A0B324CD7235}"/>
    <hyperlink ref="W4260" r:id="rId5999" xr:uid="{062E7ED7-50EC-6E46-9865-50C4D136947E}"/>
    <hyperlink ref="J4261" r:id="rId6000" xr:uid="{51DCA919-4C74-3D4A-AA64-072BC6363A29}"/>
    <hyperlink ref="J4262" r:id="rId6001" xr:uid="{731F2BFF-A8FA-5941-9541-BEAF6903D2F2}"/>
    <hyperlink ref="W4262" r:id="rId6002" xr:uid="{06ACA4AA-BE21-1248-9C57-4CE9E0760D85}"/>
    <hyperlink ref="J4263" r:id="rId6003" xr:uid="{8BCF49A1-FBA4-C14C-A15D-141A928F5CB0}"/>
    <hyperlink ref="J4264" r:id="rId6004" xr:uid="{D0660E9A-2EEC-1540-B90C-EE4161780049}"/>
    <hyperlink ref="J4265" r:id="rId6005" xr:uid="{52C6F505-CB89-4448-940C-E68050B4C5A4}"/>
    <hyperlink ref="J4266" r:id="rId6006" xr:uid="{C4460684-6861-4E41-BDE2-327E1C3A3802}"/>
    <hyperlink ref="J4267" r:id="rId6007" xr:uid="{3574FCCE-2E5F-8041-8415-39860EA5AE5B}"/>
    <hyperlink ref="J4268" r:id="rId6008" xr:uid="{0B443E83-FC63-AD4A-AFC8-545A0BE950AA}"/>
    <hyperlink ref="J4269" r:id="rId6009" xr:uid="{AB2060CE-5882-8045-A588-6416ECBC42C2}"/>
    <hyperlink ref="J4270" r:id="rId6010" xr:uid="{B3DE9FF9-DCAA-F54C-8956-674E94916C17}"/>
    <hyperlink ref="J4271" r:id="rId6011" xr:uid="{DF59216D-7649-844C-87F7-0EA63BD6A527}"/>
    <hyperlink ref="J4272" r:id="rId6012" xr:uid="{A4357840-C135-3A47-A2DE-D5C9FB86B7CC}"/>
    <hyperlink ref="J4273" r:id="rId6013" xr:uid="{C83A3AEF-864B-0D40-9F6C-05EB8A2054F7}"/>
    <hyperlink ref="J4274" r:id="rId6014" xr:uid="{BB8B321D-F71E-D241-9E8E-5C6C10A1D4CB}"/>
    <hyperlink ref="W4274" r:id="rId6015" xr:uid="{47A4032C-7C7B-E24F-B122-A08F7F52AE6B}"/>
    <hyperlink ref="J4275" r:id="rId6016" xr:uid="{921D90AE-59D1-A042-9A78-D95ED87E1B64}"/>
    <hyperlink ref="W4275" r:id="rId6017" xr:uid="{1EC8A384-C490-CE49-8750-6537E48419D0}"/>
    <hyperlink ref="J4276" r:id="rId6018" xr:uid="{7FEDD788-4B17-0647-9790-0C3867CFF6C6}"/>
    <hyperlink ref="J4277" r:id="rId6019" xr:uid="{E30CCBF6-F964-1445-8EDE-91DF98DD49C1}"/>
    <hyperlink ref="W4277" r:id="rId6020" xr:uid="{7E151D32-6E02-484E-8E80-80B976723D39}"/>
    <hyperlink ref="J4278" r:id="rId6021" xr:uid="{C580E1CF-503E-6945-B6E9-72FE516C0AB7}"/>
    <hyperlink ref="J4279" r:id="rId6022" xr:uid="{B33DFF20-B469-2A4A-9609-B6733782DDB1}"/>
    <hyperlink ref="J4280" r:id="rId6023" xr:uid="{6415340C-82C3-754C-9BD6-8DC8F00507A3}"/>
    <hyperlink ref="W4280" r:id="rId6024" xr:uid="{949A7FEE-36BE-CB4E-8BE2-1DF39729A229}"/>
    <hyperlink ref="J4281" r:id="rId6025" xr:uid="{C680F7B7-B4C2-4144-9A98-329C4DDEE283}"/>
    <hyperlink ref="J4282" r:id="rId6026" xr:uid="{E6911F7F-A68A-D146-95F8-B38F7B07AC58}"/>
    <hyperlink ref="W4282" r:id="rId6027" xr:uid="{EBE429D7-54FA-D640-BC75-D2FECA0E8D7E}"/>
    <hyperlink ref="J4283" r:id="rId6028" xr:uid="{A2CA9303-5371-F746-9273-E41FADCBC36E}"/>
    <hyperlink ref="J4284" r:id="rId6029" xr:uid="{22D3AE05-8245-0046-B14B-476F49A98600}"/>
    <hyperlink ref="J4285" r:id="rId6030" xr:uid="{E33F7F8D-2B10-5341-A5BE-6FFD06FEF8FD}"/>
    <hyperlink ref="J4287" r:id="rId6031" xr:uid="{A8803EF5-A902-1E4D-A049-2F76BFC15E0A}"/>
    <hyperlink ref="J4288" r:id="rId6032" xr:uid="{492F82BC-9476-D249-BA64-A4A13BEFF1C9}"/>
    <hyperlink ref="J4289" r:id="rId6033" xr:uid="{D3E4E8CB-0EE3-984D-91DC-939ADF3CCFDC}"/>
    <hyperlink ref="J4290" r:id="rId6034" xr:uid="{8E901152-19AE-7845-AF57-414D2FF00C2D}"/>
    <hyperlink ref="J4291" r:id="rId6035" xr:uid="{E25F31CC-981E-2F44-8E1D-6F0A786530EE}"/>
    <hyperlink ref="J4292" r:id="rId6036" xr:uid="{ACC9F629-AA8B-5740-BA96-AE77796CF98C}"/>
    <hyperlink ref="J4293" r:id="rId6037" xr:uid="{186EA109-CD3C-7547-ABC3-37545BBB2C81}"/>
    <hyperlink ref="J4294" r:id="rId6038" xr:uid="{A26B6AD8-5359-5C41-91C6-D3706FCE19AB}"/>
    <hyperlink ref="J4295" r:id="rId6039" xr:uid="{7DD6AF2F-4409-D849-BB09-6E5C4B567EB7}"/>
    <hyperlink ref="J4296" r:id="rId6040" xr:uid="{FC017CA7-219D-E148-9B13-32B77FBB324F}"/>
    <hyperlink ref="J4297" r:id="rId6041" xr:uid="{D7F7B866-CE96-9B4D-BF76-C767A02EB387}"/>
    <hyperlink ref="J4298" r:id="rId6042" xr:uid="{864FD393-9FC9-9E4D-80F8-46226FE1FDC2}"/>
    <hyperlink ref="J4299" r:id="rId6043" xr:uid="{A2760CB5-480C-084D-A507-D3EE703838F0}"/>
    <hyperlink ref="J4300" r:id="rId6044" xr:uid="{FFE74523-0D3E-6D49-B451-92B869A68400}"/>
    <hyperlink ref="J4301" r:id="rId6045" xr:uid="{B23124E3-3F11-834C-8C81-A7DA9575D965}"/>
    <hyperlink ref="J4302" r:id="rId6046" xr:uid="{B36D60E6-876D-E742-A651-03C6D19ADD6B}"/>
    <hyperlink ref="W4302" r:id="rId6047" xr:uid="{57B64D2B-0D1E-CA47-B74F-0A827F503745}"/>
    <hyperlink ref="J4303" r:id="rId6048" xr:uid="{8E063B3F-B368-5F48-8BEA-B0EF7626BD44}"/>
    <hyperlink ref="J4304" r:id="rId6049" xr:uid="{18587AC0-9E7F-D54D-8507-C32E7DB31590}"/>
    <hyperlink ref="J4305" r:id="rId6050" xr:uid="{64950B1C-3840-4C43-B73F-566566321CE3}"/>
    <hyperlink ref="J4306" r:id="rId6051" xr:uid="{3752764B-17D5-664C-A2ED-26749162D6DB}"/>
    <hyperlink ref="J4307" r:id="rId6052" xr:uid="{6C72D1B0-22D1-ED40-A48C-2B602C84379C}"/>
    <hyperlink ref="J4308" r:id="rId6053" xr:uid="{3D776000-1FEF-FE43-BC08-4473CD7AF66F}"/>
    <hyperlink ref="J4309" r:id="rId6054" xr:uid="{09A648F3-AD57-7740-A397-61EB4CA6EB50}"/>
    <hyperlink ref="J4310" r:id="rId6055" xr:uid="{CF089FC0-3D19-5C4F-B2F3-A8260928E53D}"/>
    <hyperlink ref="J4311" r:id="rId6056" xr:uid="{8015F608-EDF8-6644-A451-97302BD3F05A}"/>
    <hyperlink ref="J4312" r:id="rId6057" xr:uid="{83F4A331-D70E-AA48-94C2-49CF0DC24E0D}"/>
    <hyperlink ref="J4313" r:id="rId6058" xr:uid="{D9BC1D61-29F2-8B4F-BCB0-28520D7CFAF6}"/>
    <hyperlink ref="J4314" r:id="rId6059" xr:uid="{46878499-CD03-724E-B6E6-BD1850BA1F32}"/>
    <hyperlink ref="J4315" r:id="rId6060" xr:uid="{2632DECB-DD73-B145-BAC7-901839B0FA50}"/>
    <hyperlink ref="W4315" r:id="rId6061" xr:uid="{70F5C679-D797-D549-A60D-0AEB8CB520C5}"/>
    <hyperlink ref="J4316" r:id="rId6062" xr:uid="{D647D183-E3A3-044C-9227-8823F9A847C7}"/>
    <hyperlink ref="J4317" r:id="rId6063" xr:uid="{27C353AF-8CFF-5041-976C-B601D333EAF8}"/>
    <hyperlink ref="J4318" r:id="rId6064" xr:uid="{5FF787DD-E96D-FC49-A8F6-194807E1B104}"/>
    <hyperlink ref="W4318" r:id="rId6065" xr:uid="{80F32969-EF09-1E48-B6B2-8FF5CC09F58A}"/>
    <hyperlink ref="J4319" r:id="rId6066" xr:uid="{960BAB0F-FA2A-5445-BEBD-CD4EA1D30316}"/>
    <hyperlink ref="J4320" r:id="rId6067" xr:uid="{32C1F1FA-7CC0-4A44-A330-097F9BCCF0C3}"/>
    <hyperlink ref="J4321" r:id="rId6068" xr:uid="{8F02F5C6-CDCF-5E47-B3EA-0861C409CA81}"/>
    <hyperlink ref="J4322" r:id="rId6069" xr:uid="{2C916805-251C-2943-B40D-949D0955DD7A}"/>
    <hyperlink ref="J4323" r:id="rId6070" xr:uid="{9CD9C1C2-9CFE-104B-AD38-DD0F3116F912}"/>
    <hyperlink ref="W4323" r:id="rId6071" xr:uid="{DAE9ACE7-A7A9-8F4B-B31A-84DA2B79A209}"/>
    <hyperlink ref="J4324" r:id="rId6072" xr:uid="{A07E7E98-00A4-0543-B7A6-4A526E94C37F}"/>
    <hyperlink ref="J4325" r:id="rId6073" xr:uid="{477421B8-2B21-EF42-8335-CFBDBB3A78A3}"/>
    <hyperlink ref="W4325" r:id="rId6074" xr:uid="{F0917AF3-1E3A-154E-B2D2-EA74F1B16A2E}"/>
    <hyperlink ref="J4326" r:id="rId6075" xr:uid="{0167736A-0E74-9A47-B3D7-A719277EC184}"/>
    <hyperlink ref="J4327" r:id="rId6076" xr:uid="{2C4F5480-D8B1-DE44-BBDB-FD371ED48645}"/>
    <hyperlink ref="J4328" r:id="rId6077" xr:uid="{6BA9F826-B53D-294F-8492-8A8DCA516685}"/>
    <hyperlink ref="J4329" r:id="rId6078" xr:uid="{AC9FE658-D2BD-E34E-B8AD-BF15F3D3D287}"/>
    <hyperlink ref="J4330" r:id="rId6079" xr:uid="{ED1B5E38-B3B1-0246-B779-9608243C47CC}"/>
    <hyperlink ref="J4331" r:id="rId6080" xr:uid="{F27ED297-1413-FB42-ACE2-3CEAA86795DD}"/>
    <hyperlink ref="J4332" r:id="rId6081" xr:uid="{51646F5C-E550-2D49-911F-2AD0D76004EA}"/>
    <hyperlink ref="J4333" r:id="rId6082" xr:uid="{D6882870-45F9-914C-AF5B-5037031C1823}"/>
    <hyperlink ref="J4334" r:id="rId6083" xr:uid="{606A0092-9EEB-4E49-AC46-EBB0B6E0DE8E}"/>
    <hyperlink ref="J4335" r:id="rId6084" xr:uid="{3394937F-79F2-A844-A0B3-0286B0E7F0D2}"/>
    <hyperlink ref="J4336" r:id="rId6085" xr:uid="{FC80696E-407F-2340-ACDB-C4DA642A187A}"/>
    <hyperlink ref="J4337" r:id="rId6086" xr:uid="{B472DF2C-9A02-7D40-9242-589A0933ABA7}"/>
    <hyperlink ref="J4338" r:id="rId6087" xr:uid="{EF9827B5-BB94-D048-A72A-8F2B844A4E11}"/>
    <hyperlink ref="J4339" r:id="rId6088" xr:uid="{061CA88B-DA96-7C4C-899A-535F3DE40FB5}"/>
    <hyperlink ref="AG4339" r:id="rId6089" xr:uid="{A25C7C29-E780-7549-8140-95C19121AC0B}"/>
    <hyperlink ref="J4340" r:id="rId6090" xr:uid="{17A85E53-3429-854F-B7B6-41AB9B86416E}"/>
    <hyperlink ref="J4341" r:id="rId6091" xr:uid="{5C881FF2-EA76-A446-8967-55A1DD74CF8C}"/>
    <hyperlink ref="J4342" r:id="rId6092" xr:uid="{A83030D6-A175-F04F-98D2-AE59BE76CA6E}"/>
    <hyperlink ref="J4343" r:id="rId6093" xr:uid="{C216BB6A-FC44-8B4D-AEEC-0186F30F3B8B}"/>
    <hyperlink ref="J4344" r:id="rId6094" xr:uid="{18AB962D-9237-EB42-925F-E68ADADC7E6E}"/>
    <hyperlink ref="J4345" r:id="rId6095" xr:uid="{42E8FF40-8B71-AF4F-A4B5-62F6B1DF4C83}"/>
    <hyperlink ref="J4346" r:id="rId6096" xr:uid="{EC3ACB35-5AA6-AC48-97EB-2DE36CF7723B}"/>
    <hyperlink ref="J4347" r:id="rId6097" xr:uid="{E74FFF0B-26EE-A44F-9E6C-EAC82E84D6B4}"/>
    <hyperlink ref="J4348" r:id="rId6098" xr:uid="{8067C6EF-9594-5D4B-8E57-0B23EB3A2651}"/>
    <hyperlink ref="J4349" r:id="rId6099" xr:uid="{113790B6-3E6A-DC40-A23C-577F53F32111}"/>
    <hyperlink ref="J4350" r:id="rId6100" xr:uid="{26DC5BF7-8DA3-A54C-B285-78F58B7D0EAF}"/>
    <hyperlink ref="W4350" r:id="rId6101" xr:uid="{056E5AF6-8B38-DF4D-875F-DEAE3F46FC3D}"/>
    <hyperlink ref="J4351" r:id="rId6102" xr:uid="{FE58E21F-CAAC-FE49-A115-56703DD12A23}"/>
    <hyperlink ref="J4352" r:id="rId6103" xr:uid="{D4C3865A-9E31-0A47-9243-C138D006DE86}"/>
    <hyperlink ref="J4353" r:id="rId6104" xr:uid="{EB48E80C-2C26-834B-AAF7-2A1FF8B01848}"/>
    <hyperlink ref="J4354" r:id="rId6105" xr:uid="{0B594657-B98C-7D4A-B2E8-B6D346CE622C}"/>
    <hyperlink ref="J4355" r:id="rId6106" xr:uid="{85AB1003-3B70-554A-B0AC-86B24FB8A9CB}"/>
    <hyperlink ref="J4356" r:id="rId6107" xr:uid="{DE149083-E3C9-7E46-AB51-B66FD3FAEB4C}"/>
    <hyperlink ref="W4356" r:id="rId6108" xr:uid="{ADEA11E9-29B0-DB4E-95F9-36F7557220EF}"/>
    <hyperlink ref="J4357" r:id="rId6109" xr:uid="{70651482-4900-044E-AA8E-5CC037593760}"/>
    <hyperlink ref="J4358" r:id="rId6110" xr:uid="{9DC78E4B-A6F7-4D40-B800-8A063102BD96}"/>
    <hyperlink ref="J4359" r:id="rId6111" xr:uid="{C950FB1B-E363-EE47-AB24-F5A2DE994511}"/>
    <hyperlink ref="J4360" r:id="rId6112" xr:uid="{13D3A814-727E-0448-93CB-6217C8F7B5BB}"/>
    <hyperlink ref="J4361" r:id="rId6113" xr:uid="{D128C12D-7CCF-5747-BBAC-F6D2C6C187A6}"/>
    <hyperlink ref="J4362" r:id="rId6114" xr:uid="{D624687D-6243-B841-B825-3CBDD84835B8}"/>
    <hyperlink ref="J4363" r:id="rId6115" xr:uid="{56C5CC1E-038D-1C4D-8C39-5261BFFF51E8}"/>
    <hyperlink ref="J4364" r:id="rId6116" xr:uid="{1BC58E66-4AA9-0C4C-A5F0-46FDF83C3B9B}"/>
    <hyperlink ref="J4365" r:id="rId6117" xr:uid="{B18B9E51-F8A9-9443-96AA-5EFFB70E5C0C}"/>
    <hyperlink ref="J4366" r:id="rId6118" xr:uid="{FE531C62-1E2E-134D-8368-895DC895823F}"/>
    <hyperlink ref="W4366" r:id="rId6119" xr:uid="{44DC8B8E-039B-D048-891D-F3CC45284579}"/>
    <hyperlink ref="J4367" r:id="rId6120" xr:uid="{F6D19C21-5B5C-FA43-BAA9-E9EC0FF5399D}"/>
    <hyperlink ref="J4368" r:id="rId6121" xr:uid="{96D4DF79-84FB-2D44-B337-BA16D9D17E78}"/>
    <hyperlink ref="J4369" r:id="rId6122" xr:uid="{3E7B9A3A-2162-0F4C-AC8B-D2B272D215F3}"/>
    <hyperlink ref="J4370" r:id="rId6123" xr:uid="{58E4D30E-6463-ED43-80EA-82B73349B2A3}"/>
    <hyperlink ref="J4371" r:id="rId6124" xr:uid="{C9D217B9-6FF9-F74C-B3A3-609816AC916D}"/>
    <hyperlink ref="J4372" r:id="rId6125" xr:uid="{B7BF87ED-9106-F645-93C1-AA3743BD0A3F}"/>
    <hyperlink ref="J4373" r:id="rId6126" xr:uid="{B418531E-CBF4-EB43-8842-854229262A94}"/>
    <hyperlink ref="J4374" r:id="rId6127" xr:uid="{B87A493F-6F3A-2541-8921-C46A6654F518}"/>
    <hyperlink ref="J4375" r:id="rId6128" xr:uid="{28F961DF-AE48-FC4B-A939-A661E150AAE7}"/>
    <hyperlink ref="J4376" r:id="rId6129" xr:uid="{CB559F08-1077-7C4D-8B3C-EA26B17D7101}"/>
    <hyperlink ref="J4377" r:id="rId6130" xr:uid="{296DDFBC-7B8A-434D-A873-01FDF09B4C96}"/>
    <hyperlink ref="J4378" r:id="rId6131" xr:uid="{C40E0E0D-6051-D24F-A68C-DA9DF4B65570}"/>
    <hyperlink ref="J4379" r:id="rId6132" xr:uid="{5AA67CC8-548A-1D48-9FB0-732FED2A5BBF}"/>
    <hyperlink ref="J4380" r:id="rId6133" xr:uid="{E2AD4794-B33A-8945-BA1E-8091AAD93676}"/>
    <hyperlink ref="J4381" r:id="rId6134" xr:uid="{400CC853-B520-BC4B-8517-4F224E1A248B}"/>
    <hyperlink ref="J4382" r:id="rId6135" xr:uid="{668C30FB-B326-944E-B80C-126660090FF9}"/>
    <hyperlink ref="J4383" r:id="rId6136" xr:uid="{E9746FC5-69EC-8F4D-B2AA-401022EB7B2D}"/>
    <hyperlink ref="J4384" r:id="rId6137" xr:uid="{8F29B1FC-6C7F-3145-87C9-97D8713011AF}"/>
    <hyperlink ref="J4385" r:id="rId6138" xr:uid="{8FAC0F33-2B66-6B42-B489-500F67530413}"/>
    <hyperlink ref="J4386" r:id="rId6139" xr:uid="{1E819897-422C-2E40-B59C-35F06A58715B}"/>
    <hyperlink ref="J4387" r:id="rId6140" xr:uid="{401766BA-900C-524D-B7E2-010470088269}"/>
    <hyperlink ref="J4388" r:id="rId6141" xr:uid="{9362E23C-CFFC-224C-8673-7C25B5648F47}"/>
    <hyperlink ref="J4389" r:id="rId6142" xr:uid="{BDA66499-1F43-E54D-8165-626ED5DE8E04}"/>
    <hyperlink ref="J4390" r:id="rId6143" xr:uid="{94A3CDE4-AEDC-BB48-9ADE-AB8FB6A3E8E3}"/>
    <hyperlink ref="W4390" r:id="rId6144" xr:uid="{1143DDCD-44F2-664C-9EE3-359DD8611FF4}"/>
    <hyperlink ref="J4391" r:id="rId6145" xr:uid="{C9AC6467-72CA-9049-B70A-AC730C79C5D1}"/>
    <hyperlink ref="J4392" r:id="rId6146" xr:uid="{9A38073A-F277-3840-8452-A21B333D61D1}"/>
    <hyperlink ref="J4393" r:id="rId6147" xr:uid="{55D80111-44ED-6B4E-B9AA-5154E1F01897}"/>
    <hyperlink ref="J4394" r:id="rId6148" xr:uid="{F6D74C75-FC1F-B340-AD26-F5A67660FD77}"/>
    <hyperlink ref="J4395" r:id="rId6149" xr:uid="{1A18452A-9B4E-2A45-A53C-A1D54E9625E3}"/>
    <hyperlink ref="J4396" r:id="rId6150" xr:uid="{EE6ABA5D-7B2F-F348-9252-9833B2B6DE35}"/>
    <hyperlink ref="J4397" r:id="rId6151" xr:uid="{50E74890-5855-9E49-B35F-938767AC042B}"/>
    <hyperlink ref="J4398" r:id="rId6152" xr:uid="{721D66A1-AFF1-CD45-884D-0500B9293832}"/>
    <hyperlink ref="J4399" r:id="rId6153" xr:uid="{AA78B676-7639-E845-A1A2-3A77DDE811AF}"/>
    <hyperlink ref="J4400" r:id="rId6154" xr:uid="{BB9C8702-4CD2-114B-BDF4-19424A45995F}"/>
    <hyperlink ref="J4401" r:id="rId6155" xr:uid="{CA07E70B-551A-9142-95E9-1FE3DA1CA16B}"/>
    <hyperlink ref="J4402" r:id="rId6156" xr:uid="{0F2B2D8D-1E60-3F48-869D-4D761A3C4CF1}"/>
    <hyperlink ref="J4403" r:id="rId6157" xr:uid="{8B9E2F8F-EB51-E84B-8863-629C0C7AECA3}"/>
    <hyperlink ref="J4404" r:id="rId6158" xr:uid="{C385022F-B399-5A44-865E-270A391A6CBD}"/>
    <hyperlink ref="J4405" r:id="rId6159" xr:uid="{8C64124D-3184-CD49-BF86-A7D6B7C97D7D}"/>
    <hyperlink ref="J4406" r:id="rId6160" xr:uid="{A5BDFCA4-33A8-054A-A7D4-5CCB5F2677D5}"/>
    <hyperlink ref="J4407" r:id="rId6161" xr:uid="{B6320123-0570-6F49-8F14-176CB694BEC5}"/>
    <hyperlink ref="J4408" r:id="rId6162" xr:uid="{24487B3B-55FD-0C49-87C6-1C98A5CD516E}"/>
    <hyperlink ref="J4409" r:id="rId6163" xr:uid="{D218A6B1-4222-DD42-87A0-DD2AE40E901F}"/>
    <hyperlink ref="J4410" r:id="rId6164" xr:uid="{83A9C135-0F49-2245-98FF-5B3335A9B044}"/>
    <hyperlink ref="J4411" r:id="rId6165" xr:uid="{7859ED7C-E550-3C43-92F6-1F379EF7BB1B}"/>
    <hyperlink ref="J4412" r:id="rId6166" xr:uid="{6F420F2D-3DED-174B-862B-DD5E8078FB2A}"/>
    <hyperlink ref="J4413" r:id="rId6167" xr:uid="{3A3A1672-97BD-974A-BF3E-BD8FA0E429E1}"/>
    <hyperlink ref="J4414" r:id="rId6168" xr:uid="{FE864ED9-DCBF-4841-85A6-7AF309131FF7}"/>
    <hyperlink ref="J4415" r:id="rId6169" xr:uid="{F95269E3-667B-EC49-8D6C-27B581AF2520}"/>
    <hyperlink ref="W4415" r:id="rId6170" xr:uid="{A42D1A3C-A887-6442-A7A3-D8958C5A0DAB}"/>
    <hyperlink ref="J4416" r:id="rId6171" xr:uid="{14F67BC0-F420-554B-85B3-A011F7307691}"/>
    <hyperlink ref="J4417" r:id="rId6172" xr:uid="{4E7E5057-95EA-DD41-B7D6-FF34E351078A}"/>
    <hyperlink ref="J4418" r:id="rId6173" xr:uid="{489D3EF2-D192-5D4D-8919-3B90C5738C5E}"/>
    <hyperlink ref="J4419" r:id="rId6174" xr:uid="{5DBECD94-8FD3-5144-8CF7-AF0D66FFB424}"/>
    <hyperlink ref="J4420" r:id="rId6175" xr:uid="{0BD6A465-AC2C-8E43-A02D-4B1AE4938489}"/>
    <hyperlink ref="J4421" r:id="rId6176" xr:uid="{B85BDBD5-FBA9-AB47-8B38-93A6D1835738}"/>
    <hyperlink ref="J4422" r:id="rId6177" xr:uid="{E4903ED9-4EDD-8C44-B6D0-E2245772EBFF}"/>
    <hyperlink ref="W4422" r:id="rId6178" xr:uid="{CBD13A98-9D5F-8849-9ABB-E232877C27A5}"/>
    <hyperlink ref="J4423" r:id="rId6179" xr:uid="{A7AB8DB0-92B4-2F40-BB6D-4838F6FE14E2}"/>
    <hyperlink ref="J4424" r:id="rId6180" xr:uid="{9AC7208D-F778-F144-BCE5-2EAAACD9872B}"/>
    <hyperlink ref="J4425" r:id="rId6181" xr:uid="{49D4007C-4E58-DE40-9262-1F60293C0A34}"/>
    <hyperlink ref="J4426" r:id="rId6182" xr:uid="{9CDD8919-4A0F-2043-AD08-D6EF37FE13A7}"/>
    <hyperlink ref="J4427" r:id="rId6183" xr:uid="{F36F7A77-0F3C-1041-B484-95344EC42BA1}"/>
    <hyperlink ref="J4428" r:id="rId6184" xr:uid="{15ECB48F-9A91-B947-852F-647E12267548}"/>
    <hyperlink ref="J4429" r:id="rId6185" xr:uid="{B469D71B-3ECB-7E4B-B033-39A4B7782C83}"/>
    <hyperlink ref="W4429" r:id="rId6186" xr:uid="{172653B2-3ACD-414F-B91D-079E5B2751FF}"/>
    <hyperlink ref="J4430" r:id="rId6187" xr:uid="{FCEE42F4-4256-EA45-9340-2FCA3BD11485}"/>
    <hyperlink ref="J4431" r:id="rId6188" xr:uid="{B3EA3EB8-5D2F-EB4E-8392-5A8ED7C9BC54}"/>
    <hyperlink ref="J4432" r:id="rId6189" xr:uid="{09BE9800-7D64-B643-840B-C68AECAEB42E}"/>
    <hyperlink ref="J4433" r:id="rId6190" xr:uid="{B5B35D29-6990-904B-BD66-100C95273773}"/>
    <hyperlink ref="J4434" r:id="rId6191" xr:uid="{CA9353CA-D06F-D441-A0CA-1AE0A027721E}"/>
    <hyperlink ref="J4435" r:id="rId6192" xr:uid="{F7F40946-80CA-4D46-ABBD-6D5CFF9E4F83}"/>
    <hyperlink ref="J4436" r:id="rId6193" xr:uid="{A5DA0954-B814-AD40-8161-2EECE2A48BB9}"/>
    <hyperlink ref="J4437" r:id="rId6194" xr:uid="{76425FDF-6C05-B14F-AA53-9FDCD72685EF}"/>
    <hyperlink ref="J4438" r:id="rId6195" xr:uid="{F8D0E954-458A-3B42-8590-D2CD1E1D5EFF}"/>
    <hyperlink ref="J4439" r:id="rId6196" xr:uid="{41459064-975C-6D44-AF7C-FDDA24410B10}"/>
    <hyperlink ref="J4440" r:id="rId6197" xr:uid="{E0D72678-F83D-284A-9C71-3EBD69173760}"/>
    <hyperlink ref="J4441" r:id="rId6198" xr:uid="{826F85B9-5C14-2F40-A809-97E5E0E0ECA4}"/>
    <hyperlink ref="J4442" r:id="rId6199" xr:uid="{ABF217DE-5BEA-934C-BA90-03AC5D9D4113}"/>
    <hyperlink ref="J4443" r:id="rId6200" xr:uid="{0BEE88BC-CB56-9648-865C-D383CF6D5180}"/>
    <hyperlink ref="J4444" r:id="rId6201" xr:uid="{D6A94B2C-C37D-EB45-A3DB-649CD8E180A5}"/>
    <hyperlink ref="J4445" r:id="rId6202" xr:uid="{CE215635-214F-0449-97FD-A20C29BD786D}"/>
    <hyperlink ref="J4446" r:id="rId6203" xr:uid="{F9CB5E30-D9E9-2F46-97FA-7EF502A8CBCA}"/>
    <hyperlink ref="J4447" r:id="rId6204" xr:uid="{5A402A2F-D073-9D4D-968E-8BD6374A4FF1}"/>
    <hyperlink ref="J4448" r:id="rId6205" xr:uid="{715B04F7-E855-E241-ADDB-2D53F5CBB889}"/>
    <hyperlink ref="J4449" r:id="rId6206" xr:uid="{52CFE377-2461-5F47-9BD8-CC6E4BCD82E3}"/>
    <hyperlink ref="J4450" r:id="rId6207" xr:uid="{537F0E3C-C03F-1048-8BCF-20496D857FBB}"/>
    <hyperlink ref="J4451" r:id="rId6208" xr:uid="{8FBCBC37-2E2B-8C43-912E-91EF54FE28AF}"/>
    <hyperlink ref="J4452" r:id="rId6209" xr:uid="{616309FB-641E-6E42-A5D6-9CC09D9E6F61}"/>
    <hyperlink ref="J4453" r:id="rId6210" xr:uid="{139760E0-EA4C-E344-B67C-EFE40B59D9F2}"/>
    <hyperlink ref="J4454" r:id="rId6211" xr:uid="{41719985-1552-FC49-A6C1-86E2ED8C6877}"/>
    <hyperlink ref="J4455" r:id="rId6212" xr:uid="{515016FD-35D2-BE4C-BF93-ED39767E230F}"/>
    <hyperlink ref="J4456" r:id="rId6213" xr:uid="{D7B7409A-5009-F941-ABEB-1A13BDD28B75}"/>
    <hyperlink ref="J4457" r:id="rId6214" xr:uid="{21F1808E-07AB-C34B-8C72-D2A05BBC34EF}"/>
    <hyperlink ref="J4458" r:id="rId6215" xr:uid="{C8E0417E-FC65-A84B-A298-F4A038AE707E}"/>
    <hyperlink ref="J4459" r:id="rId6216" xr:uid="{53295B55-B420-A847-8AF1-5B25BB54EC1A}"/>
    <hyperlink ref="J4460" r:id="rId6217" xr:uid="{62A8CF81-B811-2E48-AA31-7A9F05AE0164}"/>
    <hyperlink ref="J4461" r:id="rId6218" xr:uid="{6F3F77DA-4DB8-8845-B5E9-728841DD8D05}"/>
    <hyperlink ref="J4462" r:id="rId6219" xr:uid="{0E2DDB27-E295-084A-BDC4-9AF40BCBDA34}"/>
    <hyperlink ref="J4463" r:id="rId6220" xr:uid="{5BA55AA3-C4B3-F84E-A607-15D97C33B295}"/>
    <hyperlink ref="J4464" r:id="rId6221" xr:uid="{8C07CAF6-F552-F842-BCCA-EDE5A59BF9D3}"/>
    <hyperlink ref="J4465" r:id="rId6222" xr:uid="{164AD9D2-F242-0C4A-8CF1-452F9AEBA56D}"/>
    <hyperlink ref="J4466" r:id="rId6223" xr:uid="{6374D68D-9A31-F44E-8528-783E3DF1710E}"/>
    <hyperlink ref="J4467" r:id="rId6224" xr:uid="{9FE2C316-F8A5-9547-B68C-178429670557}"/>
    <hyperlink ref="J4468" r:id="rId6225" xr:uid="{4C358719-8054-E649-B1F4-ECDDC1FC7935}"/>
    <hyperlink ref="J4469" r:id="rId6226" xr:uid="{262F431F-6C10-F947-9763-DCE50BF1ED67}"/>
    <hyperlink ref="J4470" r:id="rId6227" xr:uid="{491E6549-C8A3-CB41-A481-8731560CF6BC}"/>
    <hyperlink ref="J4471" r:id="rId6228" xr:uid="{44A2D889-A4C5-9A49-85AC-AE2F9400A4EC}"/>
    <hyperlink ref="J4472" r:id="rId6229" xr:uid="{E7347EFE-D9D2-C74C-A540-7E321B3FE57B}"/>
    <hyperlink ref="J4473" r:id="rId6230" xr:uid="{1E8295A7-CD92-B545-AB7E-201DE51EA7F4}"/>
    <hyperlink ref="J4474" r:id="rId6231" xr:uid="{33C4300F-7418-8743-8874-801F1C8686C9}"/>
    <hyperlink ref="J4475" r:id="rId6232" xr:uid="{7BECF832-F332-2D42-9407-5F36591C0FD2}"/>
    <hyperlink ref="J4476" r:id="rId6233" xr:uid="{7A8C2F7F-AFCE-5D4C-BB42-41341CDC16CE}"/>
    <hyperlink ref="J4477" r:id="rId6234" xr:uid="{DC058A04-6E7C-9947-8431-CF8DDDEAA503}"/>
    <hyperlink ref="J4478" r:id="rId6235" xr:uid="{757015D0-6D03-0E43-8849-80435F33363B}"/>
    <hyperlink ref="J4479" r:id="rId6236" xr:uid="{962BEA32-0C2C-1C41-BE98-4BDA61F86A67}"/>
    <hyperlink ref="J4480" r:id="rId6237" xr:uid="{FE3D495E-95ED-C243-AA83-C14AE14A4780}"/>
    <hyperlink ref="J4481" r:id="rId6238" xr:uid="{D30586C1-6CCB-604A-9376-402EED7250AE}"/>
    <hyperlink ref="J4482" r:id="rId6239" xr:uid="{95542761-EB60-B248-B993-D0631F32A2F0}"/>
    <hyperlink ref="J4483" r:id="rId6240" xr:uid="{2A52D024-D5B3-9940-B1EF-9E10718021BD}"/>
    <hyperlink ref="J4484" r:id="rId6241" xr:uid="{9527693D-A7AC-E542-8ED0-EC56691D24E0}"/>
    <hyperlink ref="J4485" r:id="rId6242" xr:uid="{CDA499DE-4261-B144-8D13-42CA48231889}"/>
    <hyperlink ref="J4486" r:id="rId6243" xr:uid="{73D10084-E353-9740-A6F3-0AB21EF957F3}"/>
    <hyperlink ref="J4487" r:id="rId6244" xr:uid="{0CCCC6A5-EF7C-A04D-99D1-E10509109759}"/>
    <hyperlink ref="J4488" r:id="rId6245" xr:uid="{CAD92A13-CE71-FC49-B41B-AB37AB4377B9}"/>
    <hyperlink ref="J4489" r:id="rId6246" xr:uid="{8AAA7129-DD80-164A-832E-60664B7CD1CB}"/>
    <hyperlink ref="J4490" r:id="rId6247" xr:uid="{0AC2E583-9FFB-464E-9972-A42309C45824}"/>
    <hyperlink ref="J4491" r:id="rId6248" xr:uid="{411E9359-153C-9D4B-995F-7D7F60CBC22F}"/>
    <hyperlink ref="J4492" r:id="rId6249" xr:uid="{A3DD8A0E-746A-4044-8CDA-D8D8C5681745}"/>
    <hyperlink ref="J4493" r:id="rId6250" xr:uid="{0261BCA9-95B6-5740-A21D-750FEE0E09DE}"/>
    <hyperlink ref="J4494" r:id="rId6251" xr:uid="{93CADAD3-C5A4-404C-AB94-52E6B134F8EB}"/>
    <hyperlink ref="J4495" r:id="rId6252" xr:uid="{AF958BE1-4078-B044-863A-19FD02D01502}"/>
    <hyperlink ref="J4496" r:id="rId6253" xr:uid="{98BDCCD9-5CAF-B94D-B78F-689834852546}"/>
    <hyperlink ref="J4497" r:id="rId6254" xr:uid="{0235CE48-F673-F644-9E04-9C7598FAE556}"/>
    <hyperlink ref="J4498" r:id="rId6255" xr:uid="{2468FE53-2F18-C24D-816B-B20BD51B847F}"/>
    <hyperlink ref="J4499" r:id="rId6256" xr:uid="{BB935D32-A317-7649-97DD-98BE94EB30BA}"/>
    <hyperlink ref="J4500" r:id="rId6257" xr:uid="{0A38BFA4-1DAE-A547-821A-A1FC2E6420D7}"/>
    <hyperlink ref="J4501" r:id="rId6258" xr:uid="{E56E90CF-8900-7B4E-B9FD-7CCE8DCD8BB2}"/>
    <hyperlink ref="J4502" r:id="rId6259" xr:uid="{32870821-140D-664B-A51E-9BE1D34409DF}"/>
    <hyperlink ref="J4503" r:id="rId6260" xr:uid="{627D1D92-7404-CE4B-8B0D-455EA203C6BE}"/>
    <hyperlink ref="J4504" r:id="rId6261" xr:uid="{34159CA6-B128-FA40-BAED-AFAD3756D874}"/>
    <hyperlink ref="J4505" r:id="rId6262" xr:uid="{DE94E983-7E64-914E-9A14-1DE454E56379}"/>
    <hyperlink ref="J4506" r:id="rId6263" xr:uid="{3A35EC76-3DFA-4E4E-AAE6-81540C81E1B1}"/>
    <hyperlink ref="J4507" r:id="rId6264" xr:uid="{4D2110D1-3B89-B94E-9484-97781D1220C5}"/>
    <hyperlink ref="J4508" r:id="rId6265" xr:uid="{B0C0A177-114F-1F4C-989A-C7A99DACEDE1}"/>
    <hyperlink ref="J4509" r:id="rId6266" xr:uid="{DFDB4BDB-D8D8-354B-BE3E-652F8FD230F7}"/>
    <hyperlink ref="J4510" r:id="rId6267" xr:uid="{1DA29FDE-1E31-7146-8E34-0ADF546C3E8D}"/>
    <hyperlink ref="J4511" r:id="rId6268" xr:uid="{CFB175B1-33D7-4A4C-998C-F27B05BFF6E6}"/>
    <hyperlink ref="J4512" r:id="rId6269" xr:uid="{F0AFA73C-62C8-2943-8411-452E30B100AA}"/>
    <hyperlink ref="J4513" r:id="rId6270" xr:uid="{9AAD184E-B6F9-5D49-95F8-58E95C3A07D9}"/>
    <hyperlink ref="J4514" r:id="rId6271" xr:uid="{2476D7DF-A86C-1340-9C49-E65F517E3F3C}"/>
    <hyperlink ref="J4515" r:id="rId6272" xr:uid="{07FA1CB1-8E2C-4F47-A93D-BD101288015E}"/>
    <hyperlink ref="J4516" r:id="rId6273" xr:uid="{9A9006A5-E505-DD4C-A9C3-DD891301E7E3}"/>
    <hyperlink ref="J4517" r:id="rId6274" xr:uid="{2ECA8DA5-B8CB-F540-949F-0BF9D4F61708}"/>
    <hyperlink ref="J4518" r:id="rId6275" xr:uid="{14B1FD5F-C57E-144C-8360-B53AD673CB55}"/>
    <hyperlink ref="J4519" r:id="rId6276" xr:uid="{CB272928-ABC9-464F-88CF-EC20C8D04862}"/>
    <hyperlink ref="J4520" r:id="rId6277" xr:uid="{02EAB50A-B40C-BC49-835F-0FB210447930}"/>
    <hyperlink ref="J4521" r:id="rId6278" xr:uid="{5D51BB1C-1D25-494F-AA0F-2F0824B7CCF9}"/>
    <hyperlink ref="J4522" r:id="rId6279" xr:uid="{EC12216A-FFDF-CD48-8983-22736C4A8A33}"/>
    <hyperlink ref="J4523" r:id="rId6280" xr:uid="{E2471E1C-1B9D-AE4B-9B02-B6B15EC107BE}"/>
    <hyperlink ref="J4524" r:id="rId6281" xr:uid="{F765E60A-EC3B-2E45-A5BB-53EE1873B8FD}"/>
    <hyperlink ref="J4525" r:id="rId6282" xr:uid="{CAC0B078-9D6D-8143-9E65-F880CAE6CF2C}"/>
    <hyperlink ref="J4526" r:id="rId6283" xr:uid="{CCDC2A42-4F44-0542-B460-2D306DC535DA}"/>
    <hyperlink ref="W4526" r:id="rId6284" xr:uid="{432562E2-D47F-C947-9A39-7F9924C476D5}"/>
    <hyperlink ref="J4527" r:id="rId6285" xr:uid="{D504C33D-E2B7-B74F-A573-E377FFD1A064}"/>
    <hyperlink ref="J4528" r:id="rId6286" xr:uid="{4C02EF8F-2838-294D-98D2-C2F63422F257}"/>
    <hyperlink ref="J4529" r:id="rId6287" xr:uid="{7EED507E-F6BA-594C-AEB2-EA9311F3CB11}"/>
    <hyperlink ref="J4530" r:id="rId6288" location="no_universal_links" xr:uid="{88C8FA10-F731-B24A-A42C-4D0064887F6B}"/>
    <hyperlink ref="J4531" r:id="rId6289" xr:uid="{3BD7E7B7-C173-BC4B-BCD9-E717A06197F2}"/>
    <hyperlink ref="J4532" r:id="rId6290" xr:uid="{3BF1B074-DFF7-B04F-8476-91C06257DC8A}"/>
    <hyperlink ref="J4533" r:id="rId6291" xr:uid="{FAF81A56-50A2-3A4D-84C7-6B8FF5B9852B}"/>
    <hyperlink ref="J4534" r:id="rId6292" xr:uid="{BB93E663-9EA8-F340-AD5C-0C728DA82520}"/>
    <hyperlink ref="J4535" r:id="rId6293" xr:uid="{7E51FBB6-E8AA-414C-80D5-F0670C0B8056}"/>
    <hyperlink ref="J4536" r:id="rId6294" xr:uid="{AF800588-99B3-4546-97CE-ACEAF3B683AF}"/>
    <hyperlink ref="W4536" r:id="rId6295" xr:uid="{41BFFBCB-208E-3843-9899-32C0298BE778}"/>
    <hyperlink ref="J4537" r:id="rId6296" xr:uid="{60539BAF-9784-3F4A-9E16-E22745D494F6}"/>
    <hyperlink ref="J4538" r:id="rId6297" xr:uid="{9566DD2A-860F-6643-83CF-8D38CC251C65}"/>
    <hyperlink ref="W4538" r:id="rId6298" xr:uid="{1E76BD84-6519-1D41-9F2B-0425A0DD3ABE}"/>
    <hyperlink ref="J4539" r:id="rId6299" xr:uid="{8BAA9CDA-A959-D94A-A707-B2CAF3556CC9}"/>
    <hyperlink ref="J4540" r:id="rId6300" xr:uid="{862D45D6-FBAB-104E-983C-FAB803A86723}"/>
    <hyperlink ref="J4541" r:id="rId6301" xr:uid="{8CAAEBAE-5F90-A34F-8C38-EA10DA054635}"/>
    <hyperlink ref="W4541" r:id="rId6302" xr:uid="{97534D8B-24C2-8844-B191-F6F21B53F629}"/>
    <hyperlink ref="J4542" r:id="rId6303" xr:uid="{2244C241-F305-1043-830C-B1082129DCF2}"/>
    <hyperlink ref="J4543" r:id="rId6304" xr:uid="{1688EE2D-8182-E947-A01B-FF797CC70069}"/>
    <hyperlink ref="J4544" r:id="rId6305" xr:uid="{006F40FD-724F-634A-BEDE-709F0E9B44C3}"/>
    <hyperlink ref="J4545" r:id="rId6306" xr:uid="{CD09D94D-0B05-BA40-8C37-70FFF40B2FC2}"/>
    <hyperlink ref="J4546" r:id="rId6307" xr:uid="{D2CEA31D-2445-354D-A308-A0CC648CB8D4}"/>
    <hyperlink ref="W4546" r:id="rId6308" xr:uid="{5731946C-82BA-044A-BFF0-DD51029F4254}"/>
    <hyperlink ref="J4547" r:id="rId6309" xr:uid="{98059922-50FA-6544-9784-DEB0F6D64352}"/>
    <hyperlink ref="W4547" r:id="rId6310" xr:uid="{6370EBCC-1C65-F840-8144-209666D79E8F}"/>
    <hyperlink ref="J4548" r:id="rId6311" xr:uid="{9CDFB0AB-4470-134C-8389-FE2198B3C103}"/>
    <hyperlink ref="W4548" r:id="rId6312" xr:uid="{71DC1265-EF24-9F46-8F0A-462EFFD524B8}"/>
    <hyperlink ref="J4549" r:id="rId6313" xr:uid="{381E872A-8298-6748-8B01-8D1A3079E1C7}"/>
    <hyperlink ref="J4550" r:id="rId6314" xr:uid="{4BE1F209-5FF4-024C-8106-EC0052DB5BFE}"/>
    <hyperlink ref="W4550" r:id="rId6315" xr:uid="{79A4C2D7-CD08-5542-BAF6-F6026A6D8D1A}"/>
    <hyperlink ref="J4551" r:id="rId6316" xr:uid="{35CC961A-E4D2-C143-AA41-40E61DEE83E3}"/>
    <hyperlink ref="J4552" r:id="rId6317" xr:uid="{4196946A-BE7C-2446-9E1E-3D1226C095B8}"/>
    <hyperlink ref="J4553" r:id="rId6318" xr:uid="{0FE278EF-666B-8C43-A615-19B6FA3C1642}"/>
    <hyperlink ref="W4553" r:id="rId6319" xr:uid="{8735BF84-6F33-3A41-85C0-92C67E67D0CB}"/>
    <hyperlink ref="J4554" r:id="rId6320" xr:uid="{9629807A-5499-AB46-B43E-DA4FE49C2362}"/>
    <hyperlink ref="W4554" r:id="rId6321" xr:uid="{2CF1F6A0-6F6A-4D4E-AA6D-D19267DEA769}"/>
    <hyperlink ref="J4555" r:id="rId6322" xr:uid="{034B5A2D-0336-3C49-AF4B-3AEBD6205474}"/>
    <hyperlink ref="J4556" r:id="rId6323" xr:uid="{EC023C5B-7C6C-6748-9A2C-C9579A967BA4}"/>
    <hyperlink ref="J4557" r:id="rId6324" xr:uid="{82BD5309-BA76-7542-9C3F-CF1665FEF562}"/>
    <hyperlink ref="J4558" r:id="rId6325" xr:uid="{8CBD605D-137B-304C-A595-10FE71CAA37B}"/>
    <hyperlink ref="J4559" r:id="rId6326" xr:uid="{A19B1790-C8A7-E448-9FC6-E2E912B1A8D7}"/>
    <hyperlink ref="J4560" r:id="rId6327" xr:uid="{781BFD09-FB53-8A48-81C4-806A0F7C3FB7}"/>
    <hyperlink ref="J4561" r:id="rId6328" xr:uid="{36BF8F0A-4497-FA40-AA0C-7382F4226F67}"/>
    <hyperlink ref="W4561" r:id="rId6329" xr:uid="{6B16E2A2-BD0B-0A4D-88E7-90A4627A0B95}"/>
    <hyperlink ref="J4562" r:id="rId6330" xr:uid="{C5C0B0DE-3F5B-DE4E-9514-468FAB0C0FCE}"/>
    <hyperlink ref="J4563" r:id="rId6331" xr:uid="{7C007463-2311-604A-A8DE-C775C604509F}"/>
    <hyperlink ref="J4564" r:id="rId6332" xr:uid="{CEF1F318-F291-F743-BD0B-C9804E96D939}"/>
    <hyperlink ref="J4565" r:id="rId6333" xr:uid="{4615A002-A995-B845-8D83-A66533F70BFA}"/>
    <hyperlink ref="W4565" r:id="rId6334" xr:uid="{170A1246-CB93-5346-9D52-4BD0282AD1CD}"/>
    <hyperlink ref="J4566" r:id="rId6335" xr:uid="{DA1A7634-971E-FA4F-932D-DAA806E488C8}"/>
    <hyperlink ref="J4567" r:id="rId6336" xr:uid="{A2682776-3F5A-2D41-A779-444CB4B1C819}"/>
    <hyperlink ref="J4568" r:id="rId6337" xr:uid="{2C038885-03E8-E245-88DC-A2FFDC726081}"/>
    <hyperlink ref="J4569" r:id="rId6338" xr:uid="{8AC01547-BCF0-594C-993F-46C388C5F42E}"/>
    <hyperlink ref="J4570" r:id="rId6339" xr:uid="{85FC9CB8-C363-884C-A7F3-31B4E5270420}"/>
    <hyperlink ref="W4570" r:id="rId6340" xr:uid="{767E2C99-3162-C147-9E6B-C8797D1F92C8}"/>
    <hyperlink ref="J4571" r:id="rId6341" xr:uid="{5DB93C1A-C524-5C48-BEE4-896C6D2D265A}"/>
    <hyperlink ref="J4572" r:id="rId6342" xr:uid="{1AAABCD8-16E4-584C-9860-0A0D5C562428}"/>
    <hyperlink ref="W4572" r:id="rId6343" xr:uid="{A4E16DB4-BCD1-8D4C-A66F-325256254C63}"/>
    <hyperlink ref="J4573" r:id="rId6344" xr:uid="{9850B4F2-3D57-F746-BAC4-A6F5FABF77DC}"/>
    <hyperlink ref="W4573" r:id="rId6345" xr:uid="{A8E630D6-08E7-734D-8AAB-C82B6F1F9E54}"/>
    <hyperlink ref="J4574" r:id="rId6346" xr:uid="{766725F9-F5E5-9243-B0E4-63E7244D5596}"/>
    <hyperlink ref="W4574" r:id="rId6347" xr:uid="{19D45D6D-B09C-554E-A568-B50DE22279FC}"/>
    <hyperlink ref="J4575" r:id="rId6348" xr:uid="{AB02CF55-B986-C640-9B07-27F73F9AF14C}"/>
    <hyperlink ref="J4576" r:id="rId6349" xr:uid="{6D6C5DB5-EFFA-FF43-ADB0-C3DA8E213F2A}"/>
    <hyperlink ref="W4576" r:id="rId6350" xr:uid="{DF84EBD3-BFD1-234C-A841-5E0E478824C6}"/>
    <hyperlink ref="J4577" r:id="rId6351" xr:uid="{F2FA0108-458D-4747-9F60-E56B8D724710}"/>
    <hyperlink ref="J4578" r:id="rId6352" xr:uid="{0E6CCC79-6388-4942-B9C5-A8C16FFEFF0B}"/>
    <hyperlink ref="J4579" r:id="rId6353" xr:uid="{0E5154FD-C2C5-E749-9247-2DFD5BDFE60E}"/>
    <hyperlink ref="J4580" r:id="rId6354" xr:uid="{1FBC4AB6-B19C-644F-9A3B-40BED1247540}"/>
    <hyperlink ref="J4581" r:id="rId6355" xr:uid="{D547C936-8928-E14C-B63F-051E1CF9FD0C}"/>
    <hyperlink ref="J4582" r:id="rId6356" xr:uid="{682A8AF5-8578-D243-B9B8-8B83E4A22A8F}"/>
    <hyperlink ref="W4582" r:id="rId6357" xr:uid="{7A822AEC-A5FD-EB41-A49E-37A907D49378}"/>
    <hyperlink ref="J4583" r:id="rId6358" xr:uid="{81F16EFA-FB9A-704A-AB6F-C49D2748B3AE}"/>
    <hyperlink ref="W4583" r:id="rId6359" xr:uid="{78A90908-DB32-2F48-9530-C904F05F55B1}"/>
    <hyperlink ref="J4584" r:id="rId6360" xr:uid="{D4E4B7F4-8B5B-074A-A325-774ACDA7B5C5}"/>
    <hyperlink ref="J4585" r:id="rId6361" xr:uid="{68EA7815-1400-604B-BFB9-7AAC46672E5B}"/>
    <hyperlink ref="J4586" r:id="rId6362" xr:uid="{F6BFFD9B-8078-EB42-BA30-73129ACE5329}"/>
    <hyperlink ref="W4586" r:id="rId6363" xr:uid="{4C95CEC2-01C7-DF46-8871-EE8FD5082594}"/>
    <hyperlink ref="J4587" r:id="rId6364" xr:uid="{0627C2AB-6615-1745-8BE3-487C1F42351B}"/>
    <hyperlink ref="J4588" r:id="rId6365" xr:uid="{061BA117-286B-8549-B8CA-B6C257465E96}"/>
    <hyperlink ref="J4589" r:id="rId6366" xr:uid="{E6BA75CA-8550-8846-AAD8-2ACA602106D3}"/>
    <hyperlink ref="J4590" r:id="rId6367" xr:uid="{C4D79D14-6F43-6449-8DBB-2954BDBBCD7E}"/>
    <hyperlink ref="J4591" r:id="rId6368" xr:uid="{2C649116-776C-2444-A921-769E06BD7EB1}"/>
    <hyperlink ref="W4591" r:id="rId6369" xr:uid="{F26BEA92-46CB-C74B-B7A0-CFF607C2D52A}"/>
    <hyperlink ref="J4592" r:id="rId6370" xr:uid="{E6B1573A-40C1-D148-8023-9FF29E669C15}"/>
    <hyperlink ref="W4592" r:id="rId6371" xr:uid="{6FBC8842-15AA-7F48-89A6-FD5AF92A8D3E}"/>
    <hyperlink ref="J4593" r:id="rId6372" xr:uid="{E4041134-A367-BC46-A603-529B83C66FB2}"/>
    <hyperlink ref="W4593" r:id="rId6373" xr:uid="{6A0E51E6-A48F-8145-8912-8D50A760CA50}"/>
    <hyperlink ref="J4594" r:id="rId6374" xr:uid="{1402056D-4C7A-B449-BB0C-2B9979F6EE2D}"/>
    <hyperlink ref="W4594" r:id="rId6375" xr:uid="{49591C86-83AF-6F4F-9EA6-D51487C710C5}"/>
    <hyperlink ref="J4595" r:id="rId6376" xr:uid="{D84A3444-ADD8-E344-B736-2C6251D0F6B1}"/>
    <hyperlink ref="J4596" r:id="rId6377" xr:uid="{CF27D5C1-22D7-B14C-996C-DA9C115CC40C}"/>
    <hyperlink ref="J4597" r:id="rId6378" xr:uid="{56184A42-80C6-9C4D-9AE0-B38D43FA14EC}"/>
    <hyperlink ref="W4597" r:id="rId6379" xr:uid="{63DFB1D8-735A-444C-846F-5F46CE423E7C}"/>
    <hyperlink ref="J4598" r:id="rId6380" xr:uid="{BF81556B-895F-E841-8252-64E031FF79C9}"/>
    <hyperlink ref="J4599" r:id="rId6381" xr:uid="{F59D9147-141D-C640-9D08-ED07B3BF5A09}"/>
    <hyperlink ref="W4599" r:id="rId6382" xr:uid="{D52660BA-61BE-F243-840D-AE1742B30ED3}"/>
    <hyperlink ref="J4600" r:id="rId6383" xr:uid="{E2097931-7114-0249-A8DA-E4C1973AAD26}"/>
    <hyperlink ref="W4600" r:id="rId6384" xr:uid="{11D3041B-FED5-A64E-97EB-9CAEE051A77B}"/>
    <hyperlink ref="J4601" r:id="rId6385" xr:uid="{9C3AED11-48BA-5B48-8BC6-D3CC510FD4BC}"/>
    <hyperlink ref="W4601" r:id="rId6386" xr:uid="{2DE85AC1-1BBF-7C48-94ED-07469CC2B939}"/>
    <hyperlink ref="J4602" r:id="rId6387" xr:uid="{A2874347-81AD-4E41-B4AF-095E27891FE3}"/>
    <hyperlink ref="J4603" r:id="rId6388" xr:uid="{6607BBBF-2F2E-F648-8C40-FCC99CFAC17D}"/>
    <hyperlink ref="J4604" r:id="rId6389" xr:uid="{659C4074-D211-A54C-BA43-3B129D7123DC}"/>
    <hyperlink ref="W4604" r:id="rId6390" xr:uid="{2BCDD774-F06B-8040-8AE5-F6F917979E32}"/>
    <hyperlink ref="J4605" r:id="rId6391" xr:uid="{0BC6E295-3FEF-6149-B7DF-061D166773B4}"/>
    <hyperlink ref="J4606" r:id="rId6392" xr:uid="{45DB4709-6439-7A44-9BF9-2C7887D07A59}"/>
    <hyperlink ref="J4607" r:id="rId6393" xr:uid="{05E59877-3AF3-8A4D-8245-70D3B1279C75}"/>
    <hyperlink ref="J4608" r:id="rId6394" xr:uid="{43D186D3-08D7-3D4F-8E86-1F73A1A63A95}"/>
    <hyperlink ref="W4608" r:id="rId6395" xr:uid="{0763DE10-F208-8944-92BB-9826BC95433E}"/>
    <hyperlink ref="J4609" r:id="rId6396" xr:uid="{56CE742B-6627-5A46-B6E1-555408D0D4CC}"/>
    <hyperlink ref="J4610" r:id="rId6397" xr:uid="{5CFDAC2C-F5C0-A14A-8AF6-78A9AA51D0C0}"/>
    <hyperlink ref="J4611" r:id="rId6398" xr:uid="{E469F953-0ABD-6E49-889F-1FCCC6642FFE}"/>
    <hyperlink ref="J4612" r:id="rId6399" xr:uid="{90C019A7-0336-1041-AF65-3134EE260ED8}"/>
    <hyperlink ref="J4613" r:id="rId6400" xr:uid="{24803315-97A1-D147-BAE0-6F11A9858294}"/>
    <hyperlink ref="W4613" r:id="rId6401" xr:uid="{F01286C9-D8E8-3348-B08C-8FFF20669422}"/>
    <hyperlink ref="J4614" r:id="rId6402" xr:uid="{073B177A-FDF1-3D47-A6E0-030473BFB4BF}"/>
    <hyperlink ref="W4614" r:id="rId6403" xr:uid="{64E0C28E-4E17-534F-9610-AA59F25CED0E}"/>
    <hyperlink ref="J4615" r:id="rId6404" xr:uid="{ACB0E371-5E22-2945-B06D-FBD191281707}"/>
    <hyperlink ref="W4615" r:id="rId6405" xr:uid="{C9D71F95-70AB-8B4F-8C87-CA8427A6CDED}"/>
    <hyperlink ref="J4616" r:id="rId6406" xr:uid="{5C4F1483-17B9-4945-B01A-6CE113F3536E}"/>
    <hyperlink ref="J4617" r:id="rId6407" xr:uid="{9C0087EB-1060-F946-8F9A-CA3AE24DBF8B}"/>
    <hyperlink ref="W4617" r:id="rId6408" xr:uid="{1484C9DB-B1A6-DF4F-B245-E45DF7319CA6}"/>
    <hyperlink ref="J4618" r:id="rId6409" xr:uid="{2523E736-0B9D-5640-9772-A64E5CD65C0F}"/>
    <hyperlink ref="W4618" r:id="rId6410" xr:uid="{4C834D43-2374-284F-9D76-DBDFD5FA3A06}"/>
    <hyperlink ref="J4619" r:id="rId6411" xr:uid="{9AA2DA1D-E9F1-E24E-971D-17B087114B1E}"/>
    <hyperlink ref="W4619" r:id="rId6412" xr:uid="{8568B2B8-C720-8E45-AAA1-53D4990CF037}"/>
    <hyperlink ref="J4620" r:id="rId6413" xr:uid="{3CD750C2-4542-3B4A-99CE-7FE09C607A2D}"/>
    <hyperlink ref="J4621" r:id="rId6414" xr:uid="{95F5C46F-B81B-AF48-8FD1-45D08615CA5B}"/>
    <hyperlink ref="W4621" r:id="rId6415" xr:uid="{861201EF-2C46-124D-A07F-A05AB7E55608}"/>
    <hyperlink ref="J4622" r:id="rId6416" xr:uid="{E4C467E8-7C08-2642-B9D1-96CD9BA377EB}"/>
    <hyperlink ref="J4623" r:id="rId6417" xr:uid="{14859182-E742-5B47-9EF0-31848D83EE1C}"/>
    <hyperlink ref="W4623" r:id="rId6418" xr:uid="{D8DC3657-1791-3645-9A55-231F53FAEF7D}"/>
    <hyperlink ref="J4624" r:id="rId6419" xr:uid="{77396414-206F-7143-B7F5-1740BE0D115B}"/>
    <hyperlink ref="W4624" r:id="rId6420" xr:uid="{CF8E0184-0B70-6D42-A132-6A4E9AF3C67D}"/>
    <hyperlink ref="J4625" r:id="rId6421" xr:uid="{D69EDCC6-E09F-7A48-9809-81C964B60C18}"/>
    <hyperlink ref="W4625" r:id="rId6422" xr:uid="{8E4E6486-B7CE-CC43-945D-E49B5C55EA2A}"/>
    <hyperlink ref="J4626" r:id="rId6423" xr:uid="{C2E8E8B3-6ED1-9348-A4D4-0026E2F5A6AA}"/>
    <hyperlink ref="W4626" r:id="rId6424" xr:uid="{D8A1D770-3D74-D345-A21E-2685685BE0F1}"/>
    <hyperlink ref="J4627" r:id="rId6425" xr:uid="{774F1ACB-0FB6-224F-8490-E3C0D71B19E2}"/>
    <hyperlink ref="W4627" r:id="rId6426" xr:uid="{0189AF1C-16E4-5244-AA87-F42E85BC777E}"/>
    <hyperlink ref="J4628" r:id="rId6427" xr:uid="{A639FD0B-C1A2-9C44-B605-9BFBA71FE356}"/>
    <hyperlink ref="J4629" r:id="rId6428" xr:uid="{3195A7D6-7532-DE4B-A6D1-FABA27E1C93C}"/>
    <hyperlink ref="W4629" r:id="rId6429" xr:uid="{6419F58A-2AB0-A445-B9F0-7F02BB3CE408}"/>
    <hyperlink ref="J4630" r:id="rId6430" xr:uid="{4EC2ED97-9193-1A41-BEA6-5B23F6B9440C}"/>
    <hyperlink ref="W4630" r:id="rId6431" xr:uid="{926CFC3B-4AF3-6843-A67A-EC8DD1FB906E}"/>
    <hyperlink ref="J4631" r:id="rId6432" xr:uid="{AD998EEE-C54C-1A4D-B44C-742296BBC51E}"/>
    <hyperlink ref="W4631" r:id="rId6433" xr:uid="{B1FD97DD-69FE-CC40-9962-9745FC6A4725}"/>
    <hyperlink ref="J4632" r:id="rId6434" xr:uid="{37504D74-AE01-834A-8B2F-145904DF6F83}"/>
    <hyperlink ref="W4632" r:id="rId6435" xr:uid="{37C8EE0B-127E-824A-AF31-DF34453D94C0}"/>
    <hyperlink ref="J4633" r:id="rId6436" xr:uid="{E4F58AF6-D766-D04E-9185-3B4010D7E39E}"/>
    <hyperlink ref="J4634" r:id="rId6437" xr:uid="{2072D43D-8A38-C84F-BC48-CC5635A76EC6}"/>
    <hyperlink ref="W4634" r:id="rId6438" xr:uid="{FDBF3169-4BD9-FB49-A368-1AC663ACEC35}"/>
    <hyperlink ref="J4635" r:id="rId6439" xr:uid="{AE7388CE-F217-B34E-8139-57179F034347}"/>
    <hyperlink ref="W4635" r:id="rId6440" xr:uid="{2B01B8F9-E1D6-6242-BE1B-E09BFE88D53F}"/>
    <hyperlink ref="J4636" r:id="rId6441" xr:uid="{A4CE0FB8-CE70-BC43-A81E-3B3445045050}"/>
    <hyperlink ref="W4636" r:id="rId6442" xr:uid="{28AAEB12-F495-0546-A0B9-49DA86CCEA4A}"/>
    <hyperlink ref="J4637" r:id="rId6443" xr:uid="{03D7A52C-202B-FD46-A775-71002882A8EE}"/>
    <hyperlink ref="W4637" r:id="rId6444" xr:uid="{932EB912-950E-F548-A9CC-C37F96AC9A7C}"/>
    <hyperlink ref="J4638" r:id="rId6445" xr:uid="{3585CEE8-E28C-AD42-85DE-96936D4C9F32}"/>
    <hyperlink ref="W4638" r:id="rId6446" xr:uid="{7E5199D2-90D7-4A42-A6B0-7608098D2777}"/>
    <hyperlink ref="J4639" r:id="rId6447" xr:uid="{14FD3697-80D2-274C-9782-7E546F405AED}"/>
    <hyperlink ref="W4639" r:id="rId6448" xr:uid="{680805BB-1F7B-374E-8464-162262AFA676}"/>
    <hyperlink ref="J4640" r:id="rId6449" xr:uid="{6EC276CD-15B5-744C-847C-3C59F5E31672}"/>
    <hyperlink ref="W4640" r:id="rId6450" xr:uid="{A1269D6E-F496-BD47-AB74-F3E5E6F0A115}"/>
    <hyperlink ref="J4641" r:id="rId6451" xr:uid="{D9AB010F-9FCC-C841-9148-0E675B9052F5}"/>
    <hyperlink ref="J4642" r:id="rId6452" xr:uid="{86C60BD8-B655-714D-BEA4-689E545A3168}"/>
    <hyperlink ref="W4642" r:id="rId6453" xr:uid="{1BD4A8A1-4C38-7741-9B70-E7F24E8FF7CA}"/>
    <hyperlink ref="J4643" r:id="rId6454" xr:uid="{160E1416-DA15-E940-B7D0-279AC7595D53}"/>
    <hyperlink ref="J4644" r:id="rId6455" xr:uid="{367A94F9-5227-A04A-8C76-E21BC333C973}"/>
    <hyperlink ref="W4644" r:id="rId6456" xr:uid="{ACC88833-3EFE-B748-9033-EAC1F126784A}"/>
    <hyperlink ref="J4645" r:id="rId6457" xr:uid="{56AAFCB7-D996-CB41-A297-9CBA6F9A9683}"/>
    <hyperlink ref="W4645" r:id="rId6458" xr:uid="{E7901418-2A9C-BF4F-9501-DF7606C58CBC}"/>
    <hyperlink ref="J4646" r:id="rId6459" xr:uid="{642588B1-2728-7E4B-B84C-17B4C2870F25}"/>
    <hyperlink ref="W4646" r:id="rId6460" xr:uid="{36BB9D90-5725-D749-9E60-FD5CD0036581}"/>
    <hyperlink ref="J4647" r:id="rId6461" xr:uid="{CB71E1C3-97FC-F64B-9DF2-6D0214FD7C3A}"/>
    <hyperlink ref="J4648" r:id="rId6462" xr:uid="{DC24FAE9-C9C8-BA4B-8B30-D5BB33E5A2E0}"/>
    <hyperlink ref="W4648" r:id="rId6463" xr:uid="{0FCE631F-94C8-494A-9BCC-FCDBB787D652}"/>
    <hyperlink ref="J4649" r:id="rId6464" xr:uid="{E79A21A6-6529-794F-AC42-3C2149E3F0EA}"/>
    <hyperlink ref="J4650" r:id="rId6465" xr:uid="{2AC8A474-0B5D-0D48-A4F7-AC1B647D65C4}"/>
    <hyperlink ref="J4651" r:id="rId6466" xr:uid="{E5ED6417-AD32-F84B-9D29-FFD631ED23E0}"/>
    <hyperlink ref="J4652" r:id="rId6467" xr:uid="{6258A90D-1F82-9A4C-8531-62C83D09ED2E}"/>
    <hyperlink ref="W4652" r:id="rId6468" xr:uid="{4B66242F-080D-FF49-A825-2C3F19311633}"/>
    <hyperlink ref="J4653" r:id="rId6469" xr:uid="{B7913D3B-21CD-EA4D-9394-74DA53B7CF87}"/>
    <hyperlink ref="W4653" r:id="rId6470" xr:uid="{AF599072-EB93-544A-9B65-F9EA90C06E98}"/>
    <hyperlink ref="J4654" r:id="rId6471" xr:uid="{0201C489-B297-4F41-9BBD-90D80021A073}"/>
    <hyperlink ref="W4654" r:id="rId6472" xr:uid="{9EFC33E2-A64C-AB4D-84A4-A24C5566BA64}"/>
    <hyperlink ref="J4655" r:id="rId6473" xr:uid="{CDF88F7A-9259-0E43-838C-275C986F85CD}"/>
    <hyperlink ref="W4655" r:id="rId6474" xr:uid="{345FCDBD-330B-034B-B227-2CFF56681215}"/>
    <hyperlink ref="J4656" r:id="rId6475" xr:uid="{200EE1DC-1316-024C-8355-741B7BDC1A4E}"/>
    <hyperlink ref="J4657" r:id="rId6476" xr:uid="{9003EE32-93F4-BA4D-BE46-48D36235C179}"/>
    <hyperlink ref="J4658" r:id="rId6477" xr:uid="{6923ACCF-F1C1-D540-A4ED-FEA2147D46EA}"/>
    <hyperlink ref="J4659" r:id="rId6478" xr:uid="{B51FCD41-F7E1-FB4D-B670-6B1341661BE3}"/>
    <hyperlink ref="W4659" r:id="rId6479" xr:uid="{FA13E942-94EB-6446-B53E-6B161164876B}"/>
    <hyperlink ref="J4660" r:id="rId6480" xr:uid="{FDED48AD-065C-6B4E-B2A4-8D14883AA953}"/>
    <hyperlink ref="W4660" r:id="rId6481" xr:uid="{FC3A2CEF-833E-1347-892A-E81F015DBFC4}"/>
    <hyperlink ref="J4661" r:id="rId6482" xr:uid="{E2638BBC-390A-8641-8307-5B35E9C6CB23}"/>
    <hyperlink ref="W4661" r:id="rId6483" xr:uid="{80DD75E4-8DF1-3D4B-945B-FC41A88CF629}"/>
    <hyperlink ref="J4662" r:id="rId6484" xr:uid="{01A43966-3A46-8B42-9484-68B52F22253E}"/>
    <hyperlink ref="W4662" r:id="rId6485" xr:uid="{4C93DE8E-A76A-5340-95E1-97F2C992D508}"/>
    <hyperlink ref="J4663" r:id="rId6486" xr:uid="{42E6CC94-6545-4B40-8ED5-8C80209B6402}"/>
    <hyperlink ref="J4664" r:id="rId6487" xr:uid="{5A79CE4D-51F7-EC4E-B194-3B738094AADD}"/>
    <hyperlink ref="W4664" r:id="rId6488" xr:uid="{E245D404-14DA-E24A-82BF-7569F3D79171}"/>
    <hyperlink ref="J4665" r:id="rId6489" xr:uid="{6DE51643-AF00-734F-BB1D-0803EF5C6253}"/>
    <hyperlink ref="W4665" r:id="rId6490" xr:uid="{30CABA3D-92FD-B641-BDC1-AC53AAF06E25}"/>
    <hyperlink ref="J4666" r:id="rId6491" xr:uid="{9EABF105-20B5-A847-8018-4B1FD7FBFDB7}"/>
    <hyperlink ref="W4666" r:id="rId6492" xr:uid="{D42AA1EB-36D4-A847-8301-03F0988A82C1}"/>
    <hyperlink ref="J4667" r:id="rId6493" xr:uid="{DF6F7654-C28D-E84A-B7D0-20D2AACAC7F6}"/>
    <hyperlink ref="J4668" r:id="rId6494" xr:uid="{10B4776B-7D87-8447-BB20-A7F931FE451E}"/>
    <hyperlink ref="W4668" r:id="rId6495" xr:uid="{9E52702E-637E-B949-B270-97D7F2121718}"/>
    <hyperlink ref="J4669" r:id="rId6496" xr:uid="{23B35563-648B-5947-B845-1D2E260B3E78}"/>
    <hyperlink ref="W4669" r:id="rId6497" xr:uid="{C129EB2A-CF99-AF44-93A3-0826795C0DDE}"/>
    <hyperlink ref="J4670" r:id="rId6498" xr:uid="{B81D95F8-249A-2F49-9C2F-5AE0C49684A0}"/>
    <hyperlink ref="W4670" r:id="rId6499" xr:uid="{1910C4FA-8EF0-1E46-87D2-526F764B0289}"/>
    <hyperlink ref="J4671" r:id="rId6500" xr:uid="{BC8DD887-39C6-AF4E-ACB1-80AD4787CA11}"/>
    <hyperlink ref="W4671" r:id="rId6501" xr:uid="{A7CC935B-549B-E840-A584-CE9F19E88550}"/>
    <hyperlink ref="J4672" r:id="rId6502" xr:uid="{6B2BA770-2FA5-D94E-B75D-C7849A6488C7}"/>
    <hyperlink ref="W4672" r:id="rId6503" xr:uid="{C7100AD7-8BEE-6D4A-AFA3-8817DDE91E0B}"/>
    <hyperlink ref="J4673" r:id="rId6504" xr:uid="{BD299B13-E036-764F-A42E-31F22CB02DE8}"/>
    <hyperlink ref="W4673" r:id="rId6505" xr:uid="{E2860918-481B-5341-871D-AB9BD95015CB}"/>
    <hyperlink ref="J4674" r:id="rId6506" xr:uid="{13025527-AB2C-3148-B230-97822494AEA1}"/>
    <hyperlink ref="W4674" r:id="rId6507" xr:uid="{1ABEA434-3235-4D4F-B13E-D1B8D67A4DC0}"/>
    <hyperlink ref="J4675" r:id="rId6508" xr:uid="{BFCA956B-C540-D041-9521-B8877F1953AB}"/>
    <hyperlink ref="W4675" r:id="rId6509" xr:uid="{C5D60E0F-0CF5-5449-AE3C-CC6954DFC3F5}"/>
    <hyperlink ref="J4676" r:id="rId6510" xr:uid="{9A1E4EE5-AA14-D245-9303-67B76E3BE479}"/>
    <hyperlink ref="W4676" r:id="rId6511" xr:uid="{4C0CEAF9-0097-9C41-8933-F4AA93F82D92}"/>
    <hyperlink ref="J4677" r:id="rId6512" xr:uid="{BFE2A583-A2C4-0649-924C-53595762B1C1}"/>
    <hyperlink ref="J4678" r:id="rId6513" xr:uid="{E0638DCE-9F8F-D84F-A12E-713EA997D754}"/>
    <hyperlink ref="J4679" r:id="rId6514" xr:uid="{93CEF693-F960-1B4D-BAF6-F1BC1FF7666C}"/>
    <hyperlink ref="J4680" r:id="rId6515" xr:uid="{80FC6262-1DD9-F04F-8A82-C0F94AF44DCE}"/>
    <hyperlink ref="J4681" r:id="rId6516" xr:uid="{8CE8ACF5-393D-1041-8D3D-695465BADF7E}"/>
    <hyperlink ref="J4682" r:id="rId6517" xr:uid="{0719ACF1-986C-A047-A02A-FA80CDA9E5A9}"/>
    <hyperlink ref="J4683" r:id="rId6518" xr:uid="{BB004051-19FE-8041-ADF6-700F33B7712C}"/>
    <hyperlink ref="W4683" r:id="rId6519" xr:uid="{82BBAEFF-B8EA-9C42-BA0F-A0CDD8935182}"/>
    <hyperlink ref="AG4683" r:id="rId6520" xr:uid="{F99696CA-53C4-3149-935E-7AF629747804}"/>
    <hyperlink ref="J4684" r:id="rId6521" xr:uid="{4CF33F00-436A-524C-9BBC-96877C5ED29F}"/>
    <hyperlink ref="J4685" r:id="rId6522" xr:uid="{B0C52E94-6F1B-C24A-A977-31F058C49931}"/>
    <hyperlink ref="J4686" r:id="rId6523" xr:uid="{07144940-AEE7-9B48-9F6B-17FE13AA5941}"/>
    <hyperlink ref="J4687" r:id="rId6524" xr:uid="{EB85CA71-2B9E-BF4F-A63E-A7B3448F2EFC}"/>
    <hyperlink ref="W4687" r:id="rId6525" xr:uid="{5CFE8AB3-B83B-7245-8358-179C0579B579}"/>
    <hyperlink ref="J4688" r:id="rId6526" xr:uid="{C1387C64-E3E5-6E4D-BF63-B604FB2B6D16}"/>
    <hyperlink ref="J4689" r:id="rId6527" xr:uid="{703A5147-F2D8-6D49-BF55-79941DC0129F}"/>
    <hyperlink ref="J4690" r:id="rId6528" xr:uid="{739B4D31-08EF-5447-93BE-381A43535C6A}"/>
    <hyperlink ref="J4691" r:id="rId6529" xr:uid="{E42FC864-5A83-7944-8138-9A794A85BC70}"/>
    <hyperlink ref="J4692" r:id="rId6530" xr:uid="{3D641F22-C671-8941-81E5-3658EB11455C}"/>
    <hyperlink ref="J4693" r:id="rId6531" xr:uid="{708D1ACA-833C-8548-905E-AFD7B07E42AA}"/>
    <hyperlink ref="J4694" r:id="rId6532" xr:uid="{F650EB7D-7DD2-7E43-8182-B3EBBEB8242A}"/>
    <hyperlink ref="W4694" r:id="rId6533" xr:uid="{2A88C68B-FF9A-D74F-9E8D-9CBEFDA505AC}"/>
    <hyperlink ref="J4695" r:id="rId6534" xr:uid="{45B8A722-992A-8C46-B1C4-DC3D4B15493C}"/>
    <hyperlink ref="J4696" r:id="rId6535" xr:uid="{3EED154B-0B2F-5245-96CF-D73D9E4FE9BF}"/>
    <hyperlink ref="J4697" r:id="rId6536" xr:uid="{789AA47F-B9A3-7940-9117-064BC0B6A63D}"/>
    <hyperlink ref="J4698" r:id="rId6537" xr:uid="{E2579971-45C0-234A-B080-31A000D2A619}"/>
    <hyperlink ref="J4699" r:id="rId6538" xr:uid="{45115F59-E393-7B43-8F98-80AE4FAE7C2D}"/>
    <hyperlink ref="J4700" r:id="rId6539" xr:uid="{A0B332F5-6EEA-4C44-B594-2F2ED335B1AA}"/>
    <hyperlink ref="J4701" r:id="rId6540" xr:uid="{616045CF-A3FC-7248-A544-95CD733A07D7}"/>
    <hyperlink ref="W4701" r:id="rId6541" xr:uid="{1E57D8B2-1B9E-8943-BDC0-C95FD78079B1}"/>
    <hyperlink ref="J4702" r:id="rId6542" xr:uid="{D99FB371-E108-7141-A90B-A348B813CB72}"/>
    <hyperlink ref="J4703" r:id="rId6543" xr:uid="{878F4410-EBAC-4542-90DC-703F485355EF}"/>
    <hyperlink ref="J4704" r:id="rId6544" xr:uid="{5AD52D3E-F947-7E40-B5E8-65B05BD4B70E}"/>
    <hyperlink ref="J4705" r:id="rId6545" xr:uid="{9468E595-A063-914F-80FE-ABA9C59CF058}"/>
    <hyperlink ref="J4706" r:id="rId6546" xr:uid="{FCDE29D3-D3C1-064F-ABC7-5852761823F3}"/>
    <hyperlink ref="J4707" r:id="rId6547" xr:uid="{D1DB5D69-0CA2-7245-B493-B40EF790FFAD}"/>
    <hyperlink ref="J4708" r:id="rId6548" xr:uid="{A7D125AC-ED1C-0C4A-BCB0-CBA1548889F4}"/>
    <hyperlink ref="J4709" r:id="rId6549" xr:uid="{450D4856-0417-E84F-8C22-6D791569F4F0}"/>
    <hyperlink ref="J4710" r:id="rId6550" xr:uid="{F0227DC2-ECE4-0B44-A3DA-F2BFE2B6E25C}"/>
    <hyperlink ref="J4711" r:id="rId6551" xr:uid="{1E435779-03F1-2D43-B47F-4D05909DDFAC}"/>
    <hyperlink ref="J4712" r:id="rId6552" xr:uid="{7C284F30-9D33-034E-B4F0-1682EF85BE23}"/>
    <hyperlink ref="W4712" r:id="rId6553" xr:uid="{E9B2D1B7-D9D2-C543-8B76-CEC2B2334EC7}"/>
    <hyperlink ref="J4713" r:id="rId6554" xr:uid="{3B17D024-9028-2349-8D6A-E6CA25BE7A38}"/>
    <hyperlink ref="J4714" r:id="rId6555" xr:uid="{90CAC00A-5D2D-BF4B-9A6E-993202525D58}"/>
    <hyperlink ref="J4715" r:id="rId6556" xr:uid="{8A85F16F-2C01-E348-9371-9A746515FA90}"/>
    <hyperlink ref="J4716" r:id="rId6557" xr:uid="{97473E08-9D0A-7245-A9BB-8DE5707CFFC8}"/>
    <hyperlink ref="J4717" r:id="rId6558" xr:uid="{060602A6-4465-9647-AED0-109DC8423EEC}"/>
    <hyperlink ref="J4718" r:id="rId6559" xr:uid="{20E5500C-A51B-CE45-8FF1-08754510AA27}"/>
    <hyperlink ref="W4718" r:id="rId6560" xr:uid="{64C167A3-29EF-254B-9042-65EA67675092}"/>
    <hyperlink ref="AG4718" r:id="rId6561" xr:uid="{6B5896AF-C2C5-844E-88C9-193FB462916E}"/>
    <hyperlink ref="J4719" r:id="rId6562" xr:uid="{E21A9F2D-7567-3745-92C6-B1421335B34D}"/>
    <hyperlink ref="J4720" r:id="rId6563" xr:uid="{2058DB78-A147-8C43-A565-CA663FBF7A77}"/>
    <hyperlink ref="J4721" r:id="rId6564" xr:uid="{509091B3-B8E1-9B46-B14D-7E4CC02FECE1}"/>
    <hyperlink ref="J4722" r:id="rId6565" xr:uid="{D5CA5ED7-FD16-764E-AF6F-7AE58F2EC7C5}"/>
    <hyperlink ref="J4723" r:id="rId6566" xr:uid="{04A07C2E-2D6A-A547-B8A5-D7B37282E1A9}"/>
    <hyperlink ref="J4724" r:id="rId6567" xr:uid="{94892C4E-FD16-E84C-83AD-A9F469348640}"/>
    <hyperlink ref="J4725" r:id="rId6568" xr:uid="{854EEB43-BC03-B045-B31B-F29DB7F3C897}"/>
    <hyperlink ref="W4725" r:id="rId6569" xr:uid="{9F2C3442-33A7-9642-B995-2C4CF913D68D}"/>
    <hyperlink ref="J4726" r:id="rId6570" xr:uid="{43D43088-C7A5-9341-B1F0-6B1197F3A014}"/>
    <hyperlink ref="W4726" r:id="rId6571" xr:uid="{DA09D93B-7475-D74D-AE97-D281E2FF878C}"/>
    <hyperlink ref="J4727" r:id="rId6572" xr:uid="{F9B12CBF-0D20-8E45-A468-CF2868D14844}"/>
    <hyperlink ref="J4728" r:id="rId6573" xr:uid="{3B108B6A-EA9D-FD49-B311-BE47BCADA73F}"/>
    <hyperlink ref="J4729" r:id="rId6574" xr:uid="{E484C466-9831-0644-80E4-55AD04BC0D88}"/>
    <hyperlink ref="W4729" r:id="rId6575" xr:uid="{0D6D7E93-BC14-EE49-98DA-9D6EE960615C}"/>
    <hyperlink ref="J4730" r:id="rId6576" xr:uid="{7BD98565-B55D-7D42-B0D7-D27EBEC33825}"/>
    <hyperlink ref="J4731" r:id="rId6577" xr:uid="{9E5EF112-4FB3-8D4A-9CF8-7A6CA6CEA7C8}"/>
    <hyperlink ref="J4732" r:id="rId6578" xr:uid="{130B988F-7374-764A-868C-CA99DCC72EF8}"/>
    <hyperlink ref="J4733" r:id="rId6579" xr:uid="{AD5C604B-49B3-2E4B-B3E1-2BC22D015403}"/>
    <hyperlink ref="J4734" r:id="rId6580" xr:uid="{6582DDBD-CBA8-5F47-A0A8-EFFA10917E3C}"/>
    <hyperlink ref="J4735" r:id="rId6581" xr:uid="{0E3728D6-427B-7F4D-9296-91B668BE5F1F}"/>
    <hyperlink ref="J4736" r:id="rId6582" xr:uid="{3050928F-10D3-FD42-8137-887814709EE5}"/>
    <hyperlink ref="J4737" r:id="rId6583" xr:uid="{6A5E8952-37F4-4F49-8605-3C3EA4171D78}"/>
    <hyperlink ref="J4738" r:id="rId6584" xr:uid="{BADB56F9-EED8-0E4E-A295-FB2F81018BA1}"/>
    <hyperlink ref="J4739" r:id="rId6585" xr:uid="{3A4340BF-1405-384D-BBAA-78758A164B45}"/>
    <hyperlink ref="J4740" r:id="rId6586" xr:uid="{9176DB24-F1CF-304E-B2A9-58744E838F5D}"/>
    <hyperlink ref="W4740" r:id="rId6587" xr:uid="{4012E199-DC53-124A-ADAE-66486DE42DFE}"/>
    <hyperlink ref="J4741" r:id="rId6588" xr:uid="{68A99C47-4565-4945-B19E-8924A32BF54F}"/>
    <hyperlink ref="J4742" r:id="rId6589" xr:uid="{DAC47513-55CF-9B4D-80A0-EBFD9AFA4315}"/>
    <hyperlink ref="J4743" r:id="rId6590" xr:uid="{A265A03F-97B8-8045-8AC7-27741B0EA7DB}"/>
    <hyperlink ref="J4744" r:id="rId6591" xr:uid="{D9A68F38-D3F4-D34E-B411-6BB73297F4C4}"/>
    <hyperlink ref="J4745" r:id="rId6592" xr:uid="{7FF2097F-502F-184F-B3CE-8021467A5357}"/>
    <hyperlink ref="W4745" r:id="rId6593" xr:uid="{7C934B36-6359-1E47-92D6-2F774882B1E3}"/>
    <hyperlink ref="J4746" r:id="rId6594" xr:uid="{3C6474EE-B9B0-BC4F-AA62-4B63B2E91EBA}"/>
    <hyperlink ref="J4747" r:id="rId6595" xr:uid="{A2223DF8-525C-3B44-A031-E563C463DF6B}"/>
    <hyperlink ref="J4748" r:id="rId6596" xr:uid="{B2624019-08E5-9643-843B-FC8310E91DD2}"/>
    <hyperlink ref="J4749" r:id="rId6597" xr:uid="{33DFB0A0-99B9-5143-9D9D-EB44FEACB401}"/>
    <hyperlink ref="J4750" r:id="rId6598" xr:uid="{BEA79BF5-9D45-0948-928A-7809EB6B5022}"/>
    <hyperlink ref="J4751" r:id="rId6599" xr:uid="{8D2F721E-725C-0E4C-87E2-BEDD46787C2B}"/>
    <hyperlink ref="J4752" r:id="rId6600" xr:uid="{39694132-9EE8-0E4E-BF74-A4B4D7C6E67C}"/>
    <hyperlink ref="J4753" r:id="rId6601" xr:uid="{169F08F0-176F-CE4D-B013-CB0C743BE252}"/>
    <hyperlink ref="J4754" r:id="rId6602" xr:uid="{36268383-1362-774A-9269-6F6B3690EE7C}"/>
    <hyperlink ref="J4755" r:id="rId6603" xr:uid="{0E099ED5-44C4-4841-AC85-9BB7F61092DE}"/>
    <hyperlink ref="J4756" r:id="rId6604" xr:uid="{41D3E8F3-4EEF-9C4C-9BF5-E7305BA3DF0D}"/>
    <hyperlink ref="J4757" r:id="rId6605" xr:uid="{6C989B6E-2F89-9147-8289-450E6E0C5416}"/>
    <hyperlink ref="W4757" r:id="rId6606" xr:uid="{E31AF365-099C-704C-A1F1-AFDF7A109B98}"/>
    <hyperlink ref="J4758" r:id="rId6607" xr:uid="{CB3E3B86-06E3-B74E-B932-53294F750748}"/>
    <hyperlink ref="J4759" r:id="rId6608" xr:uid="{F37D10C5-5532-EE45-A233-266019893F18}"/>
    <hyperlink ref="J4760" r:id="rId6609" xr:uid="{95AAAF1E-78F2-D942-AEC3-2788B8C032BF}"/>
    <hyperlink ref="J4761" r:id="rId6610" xr:uid="{DC538E79-4853-6C40-B954-6BE7BF3593F5}"/>
    <hyperlink ref="J4762" r:id="rId6611" xr:uid="{B3B551E3-DA15-5746-91DF-BE5F0085C057}"/>
    <hyperlink ref="J4763" r:id="rId6612" xr:uid="{26AF3EA7-9CE8-E94B-B4DF-BC7F486F9539}"/>
    <hyperlink ref="W4763" r:id="rId6613" xr:uid="{62A6DE23-2EA8-A64A-80D1-9AD2A95573D1}"/>
    <hyperlink ref="J4764" r:id="rId6614" xr:uid="{97AFB465-B7CA-FA42-9DE2-A41169B41B8B}"/>
    <hyperlink ref="J4765" r:id="rId6615" xr:uid="{F212203A-690A-8442-A6F8-8CC8C1B6BD25}"/>
    <hyperlink ref="J4766" r:id="rId6616" xr:uid="{53E3A656-C484-2449-A1A4-25193E10B123}"/>
    <hyperlink ref="J4767" r:id="rId6617" xr:uid="{5C1048B7-150C-EC4B-8F12-05A807E3B097}"/>
    <hyperlink ref="J4768" r:id="rId6618" xr:uid="{758BD0A6-F99D-FA4B-94B4-7CBA6B11628E}"/>
    <hyperlink ref="AG4768" r:id="rId6619" xr:uid="{D8A533E3-D64A-B946-875A-67B05C50C4A4}"/>
    <hyperlink ref="J4769" r:id="rId6620" xr:uid="{B90717D0-2F16-A145-A734-F10DABFE0928}"/>
    <hyperlink ref="J4770" r:id="rId6621" xr:uid="{EC467E41-4562-2945-AABA-C852ED36B103}"/>
    <hyperlink ref="J4771" r:id="rId6622" xr:uid="{9A35150C-0C3E-CE43-B2D1-C37BB87B7798}"/>
    <hyperlink ref="W4771" r:id="rId6623" xr:uid="{0F60ACBF-5357-8349-A1D0-8386D2839E1C}"/>
    <hyperlink ref="J4772" r:id="rId6624" xr:uid="{D9044DFE-E4D8-E14B-8CB2-767FB7AEEA67}"/>
    <hyperlink ref="J4773" r:id="rId6625" xr:uid="{085099E4-C071-CE41-BDED-8D9FEC595656}"/>
    <hyperlink ref="W4773" r:id="rId6626" xr:uid="{D8B97F50-7801-0541-9DBD-C14C9778D1C3}"/>
    <hyperlink ref="J4774" r:id="rId6627" xr:uid="{45C908C9-9F0F-0C46-A104-FF17EA4C89CE}"/>
    <hyperlink ref="J4775" r:id="rId6628" xr:uid="{9E1D455C-CF1C-974C-997E-E941926E494C}"/>
    <hyperlink ref="J4776" r:id="rId6629" xr:uid="{E027F130-6193-8F4C-B946-87D765B22A29}"/>
    <hyperlink ref="J4777" r:id="rId6630" xr:uid="{62860E9A-363D-6C4C-A13E-E88B4D5FC5D7}"/>
    <hyperlink ref="J4778" r:id="rId6631" xr:uid="{14DB3493-A429-F54A-8C6A-AE32DFB1104C}"/>
    <hyperlink ref="J4779" r:id="rId6632" xr:uid="{396EDF5F-A984-284A-8724-731F107C1D90}"/>
    <hyperlink ref="J4780" r:id="rId6633" xr:uid="{0EC3988F-355E-A040-BB7F-A049E34A8EB2}"/>
    <hyperlink ref="J4781" r:id="rId6634" xr:uid="{27E5D199-8D97-C34B-B822-161107232E2F}"/>
    <hyperlink ref="J4782" r:id="rId6635" xr:uid="{C7E06CCD-937C-4247-969D-C08D4AD03F94}"/>
    <hyperlink ref="J4783" r:id="rId6636" xr:uid="{647B5D11-19D6-1E4B-8AFD-50FB545EA3F7}"/>
    <hyperlink ref="J4784" r:id="rId6637" xr:uid="{A24FECA0-427C-EF47-9D47-836A50A79296}"/>
    <hyperlink ref="J4785" r:id="rId6638" xr:uid="{C377B5C3-10BE-CB43-B724-143B9C6D6586}"/>
    <hyperlink ref="J4786" r:id="rId6639" xr:uid="{98ED20A9-6BDD-A349-B725-047B3781186B}"/>
    <hyperlink ref="J4787" r:id="rId6640" xr:uid="{BDC61C9A-E780-2840-95A3-A96CDEFE826C}"/>
    <hyperlink ref="J4788" r:id="rId6641" xr:uid="{4C6D98DF-33F9-5644-9879-5D988E30BE65}"/>
    <hyperlink ref="J4789" r:id="rId6642" xr:uid="{29843C56-7778-A04A-8EB6-8801D01097AB}"/>
    <hyperlink ref="W4789" r:id="rId6643" xr:uid="{3D26A0A9-CCD8-A94E-97CA-683F41F4CB93}"/>
    <hyperlink ref="J4790" r:id="rId6644" xr:uid="{753BF6DF-05E9-6F47-87CA-A52B393CD532}"/>
    <hyperlink ref="J4791" r:id="rId6645" xr:uid="{C7A0F0F9-2A38-AD48-A34D-348B2EC01605}"/>
    <hyperlink ref="J4792" r:id="rId6646" xr:uid="{FC014AF4-0BC6-1E45-8ABF-C1784ACE3C7F}"/>
    <hyperlink ref="J4793" r:id="rId6647" xr:uid="{26079425-DA53-DD45-89A1-FD740361F168}"/>
    <hyperlink ref="J4794" r:id="rId6648" xr:uid="{004719DE-9D38-054B-9C66-9F06EA2A2095}"/>
    <hyperlink ref="J4795" r:id="rId6649" xr:uid="{A1F7BF18-8BE5-804D-8FE3-EDABD860A401}"/>
    <hyperlink ref="J4796" r:id="rId6650" xr:uid="{9B3A8D26-3A43-CD46-B8AA-048EBC7AA4A3}"/>
    <hyperlink ref="J4797" r:id="rId6651" xr:uid="{AC8B4CBB-4C93-D249-8EB2-86DC65B9AC19}"/>
    <hyperlink ref="J4798" r:id="rId6652" xr:uid="{E1013C84-8614-614C-9374-F90AC15635F4}"/>
    <hyperlink ref="J4799" r:id="rId6653" xr:uid="{4A99F915-76BD-6C48-AE88-D3F4E3F5A336}"/>
    <hyperlink ref="J4800" r:id="rId6654" xr:uid="{00D3D75A-53F3-1543-AB4A-8D5A67A55738}"/>
    <hyperlink ref="J4801" r:id="rId6655" xr:uid="{4E9C9773-9EED-A046-893C-87D6A2871E45}"/>
    <hyperlink ref="W4801" r:id="rId6656" xr:uid="{CCD84369-3911-1047-9D01-61F9E0F3532A}"/>
    <hyperlink ref="J4802" r:id="rId6657" xr:uid="{FC0E6BD8-1FF2-7D47-8D71-68D01386EF03}"/>
    <hyperlink ref="J4803" r:id="rId6658" xr:uid="{942D67A3-2BCB-4A44-9AB1-30481847D2D4}"/>
    <hyperlink ref="J4804" r:id="rId6659" xr:uid="{5A98FC54-76DF-8041-B9EF-10B5B95DDEB6}"/>
    <hyperlink ref="J4805" r:id="rId6660" xr:uid="{07FFA3DB-D8A3-F34B-BD02-0C9484DD8EE2}"/>
    <hyperlink ref="J4806" r:id="rId6661" xr:uid="{3837949A-3942-EF4C-8217-A021FAA2C6F7}"/>
    <hyperlink ref="J4807" r:id="rId6662" xr:uid="{C7B8724F-CAEA-5B46-A182-5FBB84E0F623}"/>
    <hyperlink ref="J4808" r:id="rId6663" xr:uid="{4CDF6E96-A97D-1946-99F6-7CBD6D790CC8}"/>
    <hyperlink ref="W4808" r:id="rId6664" xr:uid="{21153AA5-3EF5-3B4B-989A-FF00D44F4FA9}"/>
    <hyperlink ref="J4809" r:id="rId6665" xr:uid="{EB8540E4-523A-FE41-8CE6-D5ABFBB364B4}"/>
    <hyperlink ref="J4810" r:id="rId6666" xr:uid="{2DA8B78C-3F01-EC44-9C88-8DCD6CFBAAB5}"/>
    <hyperlink ref="J4811" r:id="rId6667" xr:uid="{8BDB87CF-62D5-F648-8FEE-339F51DB90CF}"/>
    <hyperlink ref="J4812" r:id="rId6668" xr:uid="{1F310218-9C3D-DD41-ACAB-272E2260E1D9}"/>
    <hyperlink ref="J4813" r:id="rId6669" xr:uid="{32D50A64-CCEA-A441-B1E7-8951CC957BFE}"/>
    <hyperlink ref="J4814" r:id="rId6670" xr:uid="{75E21168-32A1-AA4A-A768-00BA4444DA50}"/>
    <hyperlink ref="J4815" r:id="rId6671" xr:uid="{7F39A0C7-1DD2-E543-A73B-E455CEBA6C96}"/>
    <hyperlink ref="J4816" r:id="rId6672" xr:uid="{55241410-85B0-214D-A2DE-9EEB5FE030D8}"/>
    <hyperlink ref="J4817" r:id="rId6673" location="no_universal_links" xr:uid="{5CE1C8A6-02CC-CC46-B297-6324D583D013}"/>
    <hyperlink ref="J4818" r:id="rId6674" xr:uid="{0FFE32A0-ECAB-5E43-BB42-283A86210DE5}"/>
    <hyperlink ref="J4819" r:id="rId6675" xr:uid="{D55D1FCD-B467-8948-884D-F0E87AC3F67F}"/>
    <hyperlink ref="J4820" r:id="rId6676" xr:uid="{7DCE96B5-6B85-6249-8FD2-23C7E98254B3}"/>
    <hyperlink ref="J4821" r:id="rId6677" xr:uid="{4448DCB0-8D63-CF4C-9F64-5B037A49ADFF}"/>
    <hyperlink ref="J4822" r:id="rId6678" xr:uid="{15603E2F-EDA0-0E42-A2BA-6A98310E1DE2}"/>
    <hyperlink ref="J4823" r:id="rId6679" xr:uid="{50A419BC-B94E-1042-905B-A8EBBDAD7620}"/>
    <hyperlink ref="W4823" r:id="rId6680" xr:uid="{E47F25CE-42CC-414F-8FF7-F2180A376F89}"/>
    <hyperlink ref="J4824" r:id="rId6681" xr:uid="{32153A28-F062-3B42-9C73-F7F334DD011A}"/>
    <hyperlink ref="J4825" r:id="rId6682" xr:uid="{63A6722C-AFF4-254A-A0A3-AEA2819BD1F6}"/>
    <hyperlink ref="J4826" r:id="rId6683" xr:uid="{C6E3A7DE-172F-3E4E-BBFD-B2740CB1CEA1}"/>
    <hyperlink ref="J4827" r:id="rId6684" xr:uid="{A369DA45-CD98-8247-B364-A5FD4E8DA300}"/>
    <hyperlink ref="W4827" r:id="rId6685" xr:uid="{342C23F3-5C91-C549-81FF-55D4C96FB1AA}"/>
    <hyperlink ref="J4828" r:id="rId6686" xr:uid="{B49402ED-61ED-E54C-850F-876A2406BA96}"/>
    <hyperlink ref="J4829" r:id="rId6687" xr:uid="{E33E0F88-13E0-6743-9F76-2EF179F10845}"/>
    <hyperlink ref="J4830" r:id="rId6688" xr:uid="{CC5B740F-DAE2-1649-8A15-E1624C712303}"/>
    <hyperlink ref="J4831" r:id="rId6689" xr:uid="{CE27A828-392F-FB48-9776-0FCB941EC3B3}"/>
    <hyperlink ref="J4832" r:id="rId6690" xr:uid="{DA6FF346-0BA4-F047-903B-401C3BB3AD3F}"/>
    <hyperlink ref="J4833" r:id="rId6691" xr:uid="{3712D68F-375D-BB4C-AAA2-729B2B35D18A}"/>
    <hyperlink ref="J4834" r:id="rId6692" xr:uid="{D40E3D80-24D0-7F4E-A1AB-F7B02458681D}"/>
    <hyperlink ref="J4835" r:id="rId6693" xr:uid="{E9D1F528-F64B-E24B-9BC9-BFD395FDD1BC}"/>
    <hyperlink ref="J4836" r:id="rId6694" xr:uid="{AD9199DC-E154-C94E-9B44-358D46F03D41}"/>
    <hyperlink ref="J4837" r:id="rId6695" xr:uid="{74DC978C-7AAC-9C45-8FF1-58931D15989E}"/>
    <hyperlink ref="J4838" r:id="rId6696" xr:uid="{5D0436EA-CDB7-F540-9EF0-BCE89B4B4E84}"/>
    <hyperlink ref="J4839" r:id="rId6697" xr:uid="{18F33482-8D40-E04C-95C0-C0E533F1658B}"/>
    <hyperlink ref="J4840" r:id="rId6698" xr:uid="{0282980B-5AB9-5145-9E40-29BDBEA7721A}"/>
    <hyperlink ref="J4841" r:id="rId6699" xr:uid="{C80981D1-ED8A-6042-8EBE-0642E97B4419}"/>
    <hyperlink ref="J4842" r:id="rId6700" xr:uid="{1653EF6E-A412-9B43-AAD3-F48D69CB8397}"/>
    <hyperlink ref="J4843" r:id="rId6701" xr:uid="{0242BBF1-825D-EE46-BCD3-1A88F502F003}"/>
    <hyperlink ref="J4844" r:id="rId6702" xr:uid="{0707265B-68C2-8046-AB39-991D9DDCCBCA}"/>
    <hyperlink ref="J4845" r:id="rId6703" xr:uid="{712DB33A-37FD-3548-BE66-9EAEEF56E815}"/>
    <hyperlink ref="J4846" r:id="rId6704" xr:uid="{26C8AA93-A593-9946-A0E8-A7F013168DE0}"/>
    <hyperlink ref="J4847" r:id="rId6705" xr:uid="{BAD92B00-C4DC-B74C-909F-DB1073E97A14}"/>
    <hyperlink ref="J4848" r:id="rId6706" xr:uid="{BAA01CC3-4E8F-D149-8437-C9FF572A603F}"/>
    <hyperlink ref="J4849" r:id="rId6707" xr:uid="{6DBCB21C-7790-AE40-B64F-EDC6B4EB34F1}"/>
    <hyperlink ref="W4849" r:id="rId6708" xr:uid="{891364F8-B2A9-5346-8142-B86EEFECFE3B}"/>
    <hyperlink ref="J4850" r:id="rId6709" xr:uid="{D070D879-5933-BD4E-A28C-5A10430F1616}"/>
    <hyperlink ref="W4850" r:id="rId6710" xr:uid="{35D741D3-8315-564F-B431-A5CC78AE98D1}"/>
    <hyperlink ref="J4851" r:id="rId6711" xr:uid="{0CE3540B-3D5A-7647-807A-867CAA1A425E}"/>
    <hyperlink ref="J4852" r:id="rId6712" xr:uid="{A97E0570-8374-5C40-A4BE-D6182DAF90F2}"/>
    <hyperlink ref="J4853" r:id="rId6713" xr:uid="{B18E40F5-E5D7-AC48-A9C7-54752EFE04B4}"/>
    <hyperlink ref="W4853" r:id="rId6714" xr:uid="{E438F8A6-FFFC-D648-AD86-B7A7F5960708}"/>
    <hyperlink ref="J4854" r:id="rId6715" xr:uid="{EEE9D0A7-33D4-2846-BEAE-BDE2D04AA1FF}"/>
    <hyperlink ref="J4855" r:id="rId6716" xr:uid="{F2DAA6A8-DBCF-5F4F-9F32-758B3219E8F3}"/>
    <hyperlink ref="J4856" r:id="rId6717" xr:uid="{10B5696D-ECEA-6E4C-960F-C67C1865B6D5}"/>
    <hyperlink ref="J4857" r:id="rId6718" xr:uid="{7EFC8675-8752-4441-99FA-E7335510059C}"/>
    <hyperlink ref="W4857" r:id="rId6719" xr:uid="{2203C2F5-8A32-C34B-8C79-36F894A35D79}"/>
    <hyperlink ref="J4858" r:id="rId6720" xr:uid="{308B8524-032F-9349-A2CB-FEE87C20BDCA}"/>
    <hyperlink ref="W4858" r:id="rId6721" xr:uid="{31E146B6-7AFB-7342-B9BB-853BAD44C140}"/>
    <hyperlink ref="J4859" r:id="rId6722" xr:uid="{8265C9BC-F1B1-644B-8847-B6AD4F31AF15}"/>
    <hyperlink ref="J4860" r:id="rId6723" xr:uid="{E1663E53-E639-9740-BC37-8FF563A4CFC7}"/>
    <hyperlink ref="J4861" r:id="rId6724" xr:uid="{7EF48185-C18F-2644-9C3A-CA16B28FD784}"/>
    <hyperlink ref="J4862" r:id="rId6725" xr:uid="{E33ECA78-3D3A-7245-916C-C085A2A30266}"/>
    <hyperlink ref="W4862" r:id="rId6726" xr:uid="{87D971AF-C93D-7747-9C9F-99F8FBE204B5}"/>
    <hyperlink ref="J4863" r:id="rId6727" xr:uid="{DABAB060-056F-CA4F-B077-5FCF0F323154}"/>
    <hyperlink ref="J4864" r:id="rId6728" xr:uid="{3337209C-2B18-6A4A-B1A3-E88E92B878D5}"/>
    <hyperlink ref="J4865" r:id="rId6729" xr:uid="{2B799C9B-A1EE-1B4D-9F97-C4285D18F8C9}"/>
    <hyperlink ref="J4866" r:id="rId6730" xr:uid="{4695D5AC-79C1-8E4A-A9F4-36F8604AD564}"/>
    <hyperlink ref="J4867" r:id="rId6731" xr:uid="{4F024921-937A-5641-B35E-C89BE8F03648}"/>
    <hyperlink ref="J4868" r:id="rId6732" xr:uid="{AFB49D23-B6DC-A140-9A5A-FC1A5F7CDBEA}"/>
    <hyperlink ref="W4868" r:id="rId6733" xr:uid="{3C02E8C3-AD4C-F946-8188-465726EF9727}"/>
    <hyperlink ref="J4869" r:id="rId6734" xr:uid="{8F7E2915-0F93-1847-8D03-E725458D811C}"/>
    <hyperlink ref="W4869" r:id="rId6735" xr:uid="{F218BB9C-9749-B347-97A3-4F1B32A527A5}"/>
    <hyperlink ref="J4870" r:id="rId6736" xr:uid="{F854DC44-5A2F-0A43-ADA3-21696AEDB25A}"/>
    <hyperlink ref="J4871" r:id="rId6737" xr:uid="{502CAA82-B87E-F147-9835-E106BFA52B33}"/>
    <hyperlink ref="J4872" r:id="rId6738" xr:uid="{BF63AE84-21EC-F14D-A22C-0F9A119BB8AB}"/>
    <hyperlink ref="W4872" r:id="rId6739" xr:uid="{48CDBF5E-A733-CF48-A134-2EA442154A37}"/>
    <hyperlink ref="J4873" r:id="rId6740" xr:uid="{87A3E0CD-8185-FC4B-ACFA-C2A3AAF987CC}"/>
    <hyperlink ref="J4874" r:id="rId6741" xr:uid="{63E8EA9D-F5F8-4D4C-B756-5FCDDC4DBE39}"/>
    <hyperlink ref="W4874" r:id="rId6742" xr:uid="{BB8A4325-ABB9-9D4B-97FA-4D64EB550544}"/>
    <hyperlink ref="J4875" r:id="rId6743" xr:uid="{BC85976C-B8DE-004B-8984-85FDB14E2D39}"/>
    <hyperlink ref="W4875" r:id="rId6744" xr:uid="{86DF2674-A88E-AD48-84BC-69F5F2003AB4}"/>
    <hyperlink ref="J4876" r:id="rId6745" xr:uid="{7E3DF824-026E-2B49-9431-E87122341C2B}"/>
    <hyperlink ref="J4877" r:id="rId6746" xr:uid="{79597BB4-198D-8949-B3AB-F8A0153A016C}"/>
    <hyperlink ref="J4878" r:id="rId6747" xr:uid="{769B93E5-20D3-9E4D-A90A-C2E49A99DFA4}"/>
    <hyperlink ref="J4879" r:id="rId6748" xr:uid="{C97AA40B-7155-FB44-AB4D-FBD8EC8A5968}"/>
    <hyperlink ref="W4879" r:id="rId6749" xr:uid="{93E4D2AB-AE1E-694B-A547-4D64AB2269E0}"/>
    <hyperlink ref="J4880" r:id="rId6750" xr:uid="{BCAB6435-6110-424E-9A1F-B3195AF94B9B}"/>
    <hyperlink ref="J4881" r:id="rId6751" xr:uid="{9AFEF108-B29C-2A42-AC7B-A288A311CB88}"/>
    <hyperlink ref="J4882" r:id="rId6752" xr:uid="{AE2834E8-D7B8-BA4E-B7D6-1D101B3BFFB7}"/>
    <hyperlink ref="J4883" r:id="rId6753" xr:uid="{492D4D35-35E3-304C-8A52-66CBE31097A5}"/>
    <hyperlink ref="J4884" r:id="rId6754" xr:uid="{665F4FBD-3B68-A14C-8DB2-4FB7B335DA03}"/>
    <hyperlink ref="W4884" r:id="rId6755" xr:uid="{3BF6E1BF-4BC6-F044-BAAD-EBA282BA3C88}"/>
    <hyperlink ref="J4885" r:id="rId6756" xr:uid="{786B6E91-4E2E-CC4C-BC5C-65C38BE34A71}"/>
    <hyperlink ref="J4886" r:id="rId6757" xr:uid="{A3AC7414-78FD-AF4B-B282-F1BC924032AF}"/>
    <hyperlink ref="J4887" r:id="rId6758" xr:uid="{BCC79FE7-3859-7E46-BACB-AD6E9ED9A34C}"/>
    <hyperlink ref="J4888" r:id="rId6759" xr:uid="{0833A30C-69B1-0F41-82EB-2EAEEF3624EA}"/>
    <hyperlink ref="J4889" r:id="rId6760" xr:uid="{8457CB5A-FDA2-5D41-9738-2FFDFCC06FF8}"/>
    <hyperlink ref="W4889" r:id="rId6761" xr:uid="{1BEB9533-1604-254A-8818-67A05DBD764D}"/>
    <hyperlink ref="J4890" r:id="rId6762" xr:uid="{10F0CE6B-D64E-3941-9E09-8193D2A7609B}"/>
    <hyperlink ref="J4891" r:id="rId6763" xr:uid="{5624E17C-4E13-9142-8096-50F4ABC7C329}"/>
    <hyperlink ref="W4891" r:id="rId6764" xr:uid="{D543EA3F-9BD6-CD4E-9C81-5539AA669A3C}"/>
    <hyperlink ref="J4892" r:id="rId6765" xr:uid="{10D7AB0E-9914-0C4C-A1D8-5815DA23492C}"/>
    <hyperlink ref="J4893" r:id="rId6766" xr:uid="{5F085370-4FBC-104B-A7A5-F168642B39D4}"/>
    <hyperlink ref="J4894" r:id="rId6767" xr:uid="{D3E4D11D-8C23-3342-8555-145830D43C19}"/>
    <hyperlink ref="J4895" r:id="rId6768" xr:uid="{81CB550F-9A55-9C46-A89A-6744E3BDA2BE}"/>
    <hyperlink ref="W4895" r:id="rId6769" xr:uid="{13869571-F0FC-D540-B1AA-8DB09D87EFCF}"/>
    <hyperlink ref="J4896" r:id="rId6770" xr:uid="{BAFFEE46-A57A-8743-8DD9-444BFDF1F1B6}"/>
    <hyperlink ref="J4897" r:id="rId6771" xr:uid="{252EF94F-4263-8E4F-9C8F-350A0B874458}"/>
    <hyperlink ref="J4898" r:id="rId6772" xr:uid="{057B6EF8-4827-3048-92A8-8E6AD8CD7554}"/>
    <hyperlink ref="J4899" r:id="rId6773" xr:uid="{AD77C478-9C55-F148-9EF6-EE2A6035780E}"/>
    <hyperlink ref="J4900" r:id="rId6774" xr:uid="{6A249415-5E61-4C45-B442-2BBD3B60BD7D}"/>
    <hyperlink ref="W4900" r:id="rId6775" xr:uid="{A584D172-1978-2042-8716-462513A887CA}"/>
    <hyperlink ref="J4901" r:id="rId6776" xr:uid="{39985CB4-8818-F044-A64F-55C75299596F}"/>
    <hyperlink ref="J4902" r:id="rId6777" xr:uid="{2CAF4797-B309-0C4E-AF24-E4D2B2BBB5EA}"/>
    <hyperlink ref="J4903" r:id="rId6778" xr:uid="{05C5B4E8-816F-5849-A4A4-159FC0D93235}"/>
    <hyperlink ref="J4904" r:id="rId6779" xr:uid="{FED436BC-D62E-9945-9F9D-C7F058C3D8A5}"/>
    <hyperlink ref="J4905" r:id="rId6780" xr:uid="{EFDF9972-B294-1B44-A93B-C105647C3919}"/>
    <hyperlink ref="J4906" r:id="rId6781" xr:uid="{ACFF13A0-25B3-8E46-B75B-1FB00A6377D9}"/>
    <hyperlink ref="J4907" r:id="rId6782" xr:uid="{15D3E0A5-B9ED-894B-8A51-4EDF0F6C6EFE}"/>
    <hyperlink ref="W4907" r:id="rId6783" xr:uid="{9A4AA207-A7D2-E54F-9B58-25640D4A9FF9}"/>
    <hyperlink ref="J4908" r:id="rId6784" xr:uid="{B8CF40FB-2CC3-8240-98D7-74488BF7E4DB}"/>
    <hyperlink ref="W4908" r:id="rId6785" xr:uid="{932D5190-3FBC-2C4C-8AB5-0B36E9586AEA}"/>
    <hyperlink ref="J4909" r:id="rId6786" xr:uid="{DB2B61B0-43C7-5946-9376-A88E3DB331BD}"/>
    <hyperlink ref="J4910" r:id="rId6787" xr:uid="{1C92DB95-3B84-F848-92CC-8E1025FB6D7E}"/>
    <hyperlink ref="J4911" r:id="rId6788" xr:uid="{F92F7570-F874-8E4D-8B2C-971AD5558303}"/>
    <hyperlink ref="J4912" r:id="rId6789" xr:uid="{D330782A-0273-7843-AC25-972BD50BD319}"/>
    <hyperlink ref="J4913" r:id="rId6790" xr:uid="{371FBC12-E2DE-7A48-9A7E-EA7AE7F1F7C2}"/>
    <hyperlink ref="J4914" r:id="rId6791" xr:uid="{62FD2575-E682-594F-B003-A311AAD20B9D}"/>
    <hyperlink ref="J4915" r:id="rId6792" xr:uid="{C9EB2DDB-4D12-5C4B-83AE-AD9E77567047}"/>
    <hyperlink ref="W4915" r:id="rId6793" xr:uid="{2D571B94-E6E9-9343-89FC-1E10FB29EC2B}"/>
    <hyperlink ref="J4916" r:id="rId6794" xr:uid="{A032A952-7BE6-0742-8885-643541DF7176}"/>
    <hyperlink ref="J4917" r:id="rId6795" xr:uid="{11F5CF19-1792-BF4D-851D-15A6609D58A7}"/>
    <hyperlink ref="J4918" r:id="rId6796" xr:uid="{81DEBD58-61D9-2043-93EF-B5AFE22E1BA3}"/>
    <hyperlink ref="J4919" r:id="rId6797" xr:uid="{208B58AC-0E14-9948-82CD-5624EDCF4F08}"/>
    <hyperlink ref="J4920" r:id="rId6798" xr:uid="{FBD9D93D-53BB-0945-8F7E-417DB88DC329}"/>
    <hyperlink ref="J4921" r:id="rId6799" xr:uid="{187D8242-5479-2740-B7AF-D70F908B0EC3}"/>
    <hyperlink ref="W4921" r:id="rId6800" xr:uid="{EC4FA19E-3477-5446-8C2C-7DB4D40DE865}"/>
    <hyperlink ref="J4922" r:id="rId6801" xr:uid="{C0D94C1B-4D19-8342-A7AC-D40DC3C858BB}"/>
    <hyperlink ref="J4923" r:id="rId6802" xr:uid="{1A54EBDB-66D0-AA44-971F-B46F66A49143}"/>
    <hyperlink ref="J4924" r:id="rId6803" xr:uid="{C74A3935-97DC-8C41-9A4E-73A454E138C2}"/>
    <hyperlink ref="J4925" r:id="rId6804" xr:uid="{7CF0F5BF-2C4B-EC47-A547-CB033C1B5BAB}"/>
    <hyperlink ref="W4925" r:id="rId6805" xr:uid="{882B44E7-993A-694C-BC43-1F4E0373EAF7}"/>
    <hyperlink ref="J4926" r:id="rId6806" xr:uid="{764A086E-89D0-1D4A-A0DE-2585AF603C3D}"/>
    <hyperlink ref="W4926" r:id="rId6807" xr:uid="{158F643F-D236-CE49-B2D8-2A6F1F5B36A6}"/>
    <hyperlink ref="J4927" r:id="rId6808" xr:uid="{4DFD6706-5AF2-5C47-A9C4-B9B4077116A0}"/>
    <hyperlink ref="J4928" r:id="rId6809" xr:uid="{DDB833BB-B4E3-6F4D-A903-C1A3EEFB56FE}"/>
    <hyperlink ref="J4929" r:id="rId6810" xr:uid="{31F226B5-E25F-0F47-8E02-E817580379A4}"/>
    <hyperlink ref="J4930" r:id="rId6811" xr:uid="{696F6E99-3A67-7F43-A287-2108EC6F7E95}"/>
    <hyperlink ref="J4931" r:id="rId6812" xr:uid="{59AE5DD4-DB61-B042-9E50-CB63E2AADE06}"/>
    <hyperlink ref="J4932" r:id="rId6813" xr:uid="{8D60BD09-B3B7-BD4B-B260-18A564F136E9}"/>
    <hyperlink ref="J4933" r:id="rId6814" xr:uid="{2F681E56-F339-3240-85B1-35FF315FABA8}"/>
    <hyperlink ref="J4934" r:id="rId6815" xr:uid="{BB61D5FE-D478-AE47-A476-18AE403FAD9B}"/>
    <hyperlink ref="J4935" r:id="rId6816" xr:uid="{BDE8197B-E6A1-0F4F-8730-0CBFDEBB1BEF}"/>
    <hyperlink ref="J4936" r:id="rId6817" xr:uid="{A826980C-40AB-C043-AEE5-018DE5E8C9F2}"/>
    <hyperlink ref="J4937" r:id="rId6818" xr:uid="{ED5A08AB-926F-A54A-ACB2-9E7A5ECD63CD}"/>
    <hyperlink ref="J4938" r:id="rId6819" xr:uid="{88B375A3-0AC2-C14D-816D-0E0F7AC64752}"/>
    <hyperlink ref="J4939" r:id="rId6820" xr:uid="{A9D63798-F1E0-A346-9382-28EB66427666}"/>
    <hyperlink ref="AG4939" r:id="rId6821" xr:uid="{975F3D50-FBDB-6644-954B-BB6116AB13CD}"/>
    <hyperlink ref="J4940" r:id="rId6822" xr:uid="{5056EA78-BAA8-8948-8CB2-38789232B327}"/>
    <hyperlink ref="J4941" r:id="rId6823" xr:uid="{27C36042-D1A3-184B-BD57-4476E2778F26}"/>
    <hyperlink ref="W4941" r:id="rId6824" xr:uid="{2B27B809-1C0D-0C4A-9B71-FAA102F890D7}"/>
    <hyperlink ref="J4942" r:id="rId6825" xr:uid="{D233F38E-8FA5-794A-A108-015CACD7F1FC}"/>
    <hyperlink ref="W4942" r:id="rId6826" xr:uid="{8A7A0F33-9804-E940-B68F-AA0B92C0982D}"/>
    <hyperlink ref="J4943" r:id="rId6827" xr:uid="{A09C1F20-1125-0045-84A4-37094AAF02CD}"/>
    <hyperlink ref="J4944" r:id="rId6828" xr:uid="{FC526382-06C1-D446-B86D-D00ABF5786E5}"/>
    <hyperlink ref="J4945" r:id="rId6829" xr:uid="{E59A4CC0-1CF0-1144-AF3F-F798794FA1B1}"/>
    <hyperlink ref="J4946" r:id="rId6830" xr:uid="{67A0C701-08AD-C241-9D8A-BC606BBFCA9C}"/>
    <hyperlink ref="J4947" r:id="rId6831" xr:uid="{F252C7B0-9F1C-FE48-AC7D-899A3A1B44A4}"/>
    <hyperlink ref="J4948" r:id="rId6832" xr:uid="{95DB5C06-3220-A340-801B-43DDB8FE5972}"/>
    <hyperlink ref="J4949" r:id="rId6833" xr:uid="{AAE856C7-5957-234B-A9A1-363CF122CB5F}"/>
    <hyperlink ref="J4950" r:id="rId6834" xr:uid="{26F566B3-4F63-1A40-AB85-C33F41F20E62}"/>
    <hyperlink ref="J4951" r:id="rId6835" xr:uid="{AB01DBA8-9081-064D-A859-25392567630B}"/>
    <hyperlink ref="J4952" r:id="rId6836" xr:uid="{9A718D19-25BA-CC49-87E1-4D65533AD8A5}"/>
    <hyperlink ref="J4953" r:id="rId6837" xr:uid="{937A66D5-8FB7-574D-B145-20E4799B2E9D}"/>
    <hyperlink ref="W4953" r:id="rId6838" xr:uid="{84CF11EB-00EE-E246-8F76-1082741E6287}"/>
    <hyperlink ref="J4954" r:id="rId6839" xr:uid="{809ECEF4-9D2C-6043-9169-29E874B6E417}"/>
    <hyperlink ref="J4955" r:id="rId6840" xr:uid="{6A365326-2DD2-FD40-A32C-AA2E3F541CCA}"/>
    <hyperlink ref="J4956" r:id="rId6841" xr:uid="{8F6B853A-9168-9240-838D-7AF07E933689}"/>
    <hyperlink ref="W4956" r:id="rId6842" xr:uid="{71B4CD09-BB7F-2D4F-A6DB-8BDFD00CE38C}"/>
    <hyperlink ref="J4957" r:id="rId6843" xr:uid="{391EF487-9F03-2241-8A9A-71665423AC1E}"/>
    <hyperlink ref="J4958" r:id="rId6844" xr:uid="{AEDE4BAF-EC47-CD47-9BDF-BF2AFEBA9431}"/>
    <hyperlink ref="J4959" r:id="rId6845" xr:uid="{0F290E6F-AF00-AA46-8449-E8F40DB91752}"/>
    <hyperlink ref="J4960" r:id="rId6846" xr:uid="{18EFF39D-9171-AE42-A119-1B452EB7BBE2}"/>
    <hyperlink ref="W4960" r:id="rId6847" xr:uid="{F375729F-AFF0-DC45-8E5E-68BA44367763}"/>
    <hyperlink ref="J4961" r:id="rId6848" xr:uid="{DB3A6EEB-F237-3340-93B3-5D323BB33F51}"/>
    <hyperlink ref="J4962" r:id="rId6849" xr:uid="{BAB42A86-FAFE-F046-B96E-6EAB2843FC04}"/>
    <hyperlink ref="J4963" r:id="rId6850" xr:uid="{73B08341-08D3-FD42-B21C-4D8491C1460B}"/>
    <hyperlink ref="J4964" r:id="rId6851" xr:uid="{A3454A05-6B71-3F45-A068-FFE26739B0DA}"/>
    <hyperlink ref="J4965" r:id="rId6852" xr:uid="{995CE5CB-7527-5142-8FD4-57B8B164CDEF}"/>
    <hyperlink ref="J4966" r:id="rId6853" xr:uid="{CC3769E3-68F7-F04B-B594-B9D689486C25}"/>
    <hyperlink ref="J4967" r:id="rId6854" xr:uid="{4CA0DD75-C96A-1B40-B4CC-5B71A64D4BD4}"/>
    <hyperlink ref="J4968" r:id="rId6855" xr:uid="{8D3FA6B9-01B2-5C4C-A11C-C4495B005D15}"/>
    <hyperlink ref="J4969" r:id="rId6856" xr:uid="{2C102EC7-1335-4B46-AA3A-683AFBE14419}"/>
    <hyperlink ref="J4970" r:id="rId6857" xr:uid="{88B53C28-12E7-5344-8BE8-14990431C2DE}"/>
    <hyperlink ref="O4970" r:id="rId6858" xr:uid="{931EBF14-BEFA-9D4F-8B99-1F8AAEF2DC4F}"/>
    <hyperlink ref="J4971" r:id="rId6859" xr:uid="{C55A988D-858B-3248-93B7-A4A0FC143BD2}"/>
    <hyperlink ref="J4972" r:id="rId6860" xr:uid="{F05488F7-F5A7-8A41-81AC-BC8C81262086}"/>
    <hyperlink ref="J4973" r:id="rId6861" xr:uid="{BCE1DCD4-A8BD-1F48-9C2C-9CADED06959C}"/>
    <hyperlink ref="J4974" r:id="rId6862" xr:uid="{8E96D5B4-8072-7249-8A98-8417858E497A}"/>
    <hyperlink ref="J4975" r:id="rId6863" xr:uid="{A566FE5E-CB79-AB47-B849-CF44F7E74587}"/>
    <hyperlink ref="W4975" r:id="rId6864" xr:uid="{B26D3FFA-CA03-E844-B151-7388C28B8FA7}"/>
    <hyperlink ref="J4976" r:id="rId6865" xr:uid="{470ABE38-6687-934A-9DEF-677672233B2B}"/>
    <hyperlink ref="J4977" r:id="rId6866" xr:uid="{931AC242-1FB5-9748-AF11-3C53391A4FD9}"/>
    <hyperlink ref="J4978" r:id="rId6867" xr:uid="{84C7FB09-263F-6E4B-B22E-257036B9F0B7}"/>
    <hyperlink ref="J4979" r:id="rId6868" xr:uid="{67F74489-EF1C-3542-88D8-5B48F6E3AAD2}"/>
    <hyperlink ref="J4980" r:id="rId6869" xr:uid="{E6F1A6B5-4A41-894C-9A34-A7B9F693F9BF}"/>
    <hyperlink ref="J4981" r:id="rId6870" xr:uid="{8DF6B925-1C4C-354E-9781-F9E4A53AD9BF}"/>
    <hyperlink ref="W4981" r:id="rId6871" xr:uid="{291CC1E1-EE43-0645-94A1-72EA98A385BC}"/>
    <hyperlink ref="J4982" r:id="rId6872" xr:uid="{2C36D70B-1DBA-974A-934E-40C3725DB292}"/>
    <hyperlink ref="J4983" r:id="rId6873" xr:uid="{F1583A62-9D68-ED4B-9B66-9454F15BFDDB}"/>
    <hyperlink ref="J4984" r:id="rId6874" xr:uid="{49C121C2-C2A9-1646-937B-E045A41EAA6E}"/>
    <hyperlink ref="W4984" r:id="rId6875" xr:uid="{C9FAB42E-BF07-DA41-ACC3-C547DACC81AF}"/>
    <hyperlink ref="J4985" r:id="rId6876" xr:uid="{161A22DC-1270-814F-AE9F-C00898578C34}"/>
    <hyperlink ref="J4986" r:id="rId6877" xr:uid="{3956524C-B758-9840-9A80-9926715395A5}"/>
    <hyperlink ref="W4986" r:id="rId6878" xr:uid="{0741B9C6-B344-B847-B17C-72F724E8C699}"/>
    <hyperlink ref="J4987" r:id="rId6879" xr:uid="{502ACCFE-DBFB-E543-B71D-A93633032C64}"/>
    <hyperlink ref="J4988" r:id="rId6880" xr:uid="{7502BEA8-A6B0-C344-97FB-A253BB5C6AF0}"/>
    <hyperlink ref="J4989" r:id="rId6881" xr:uid="{4269B750-7D84-7043-8B86-90EEA948C7F5}"/>
    <hyperlink ref="J4990" r:id="rId6882" xr:uid="{50675EDF-E710-B84F-9346-7692FA9713E4}"/>
    <hyperlink ref="J4991" r:id="rId6883" xr:uid="{0C9AA789-CD18-924D-BD36-B3AF58B5D93F}"/>
    <hyperlink ref="J4992" r:id="rId6884" xr:uid="{EADA26A7-D603-0A4F-8A92-20E9DC7D20BD}"/>
    <hyperlink ref="J4993" r:id="rId6885" xr:uid="{94CCD02D-1A6C-4249-AEDC-D0BEFDD9E573}"/>
    <hyperlink ref="J4994" r:id="rId6886" xr:uid="{A367CBC2-AE8D-4648-B55B-D9D5CC5ED383}"/>
    <hyperlink ref="W4994" r:id="rId6887" xr:uid="{B8B9C94A-91B8-7E48-84C7-49BF14AD06DA}"/>
    <hyperlink ref="J4995" r:id="rId6888" xr:uid="{A730E182-4EC5-3844-A014-2B099E48383C}"/>
    <hyperlink ref="J4996" r:id="rId6889" xr:uid="{C498B359-03AC-8340-8972-773B504C1BA7}"/>
    <hyperlink ref="W4996" r:id="rId6890" xr:uid="{C21448CC-5C48-1340-8A3D-BBCEA6D7CB28}"/>
    <hyperlink ref="J4997" r:id="rId6891" xr:uid="{50CE056D-BE78-134E-88B1-853D03707D7D}"/>
    <hyperlink ref="J4998" r:id="rId6892" xr:uid="{61B53456-8C53-444F-86F2-D952333EAECB}"/>
    <hyperlink ref="W4998" r:id="rId6893" xr:uid="{9B1ADCEB-FB3E-8348-BDD9-0FD6E6E5B497}"/>
    <hyperlink ref="J4999" r:id="rId6894" xr:uid="{0B9391BB-525F-9B49-AFCA-EA662A0118AF}"/>
    <hyperlink ref="W4999" r:id="rId6895" xr:uid="{E86637F5-42D9-364B-A02E-744722C96ED6}"/>
    <hyperlink ref="J5000" r:id="rId6896" xr:uid="{3C19CDC6-98A3-624E-8073-F2CD29E4F386}"/>
    <hyperlink ref="J5001" r:id="rId6897" xr:uid="{8849FF99-E892-1144-A315-282EFDD3252B}"/>
    <hyperlink ref="W5001" r:id="rId6898" xr:uid="{F31EB248-89BE-B14F-8370-517529BFFE78}"/>
    <hyperlink ref="J5002" r:id="rId6899" xr:uid="{21CC0F88-8CB3-FD4D-8DA7-A828491C44BF}"/>
    <hyperlink ref="J5003" r:id="rId6900" xr:uid="{6F1C0E84-908E-3641-8AB7-0F47F8D6A38D}"/>
    <hyperlink ref="W5003" r:id="rId6901" xr:uid="{B6FFA173-2379-B247-A00C-40BB7F1A1DE8}"/>
    <hyperlink ref="J5004" r:id="rId6902" xr:uid="{31797E46-1568-9945-886F-413BC620CAD1}"/>
    <hyperlink ref="J5005" r:id="rId6903" xr:uid="{13309FFC-63C5-DB44-BC1E-701DD7257EC8}"/>
    <hyperlink ref="J5006" r:id="rId6904" xr:uid="{0FD756F3-BCE6-7848-A253-08D855381F94}"/>
    <hyperlink ref="J5007" r:id="rId6905" xr:uid="{9755A67C-9DFA-1E4A-B158-CC06437A8420}"/>
    <hyperlink ref="J5008" r:id="rId6906" xr:uid="{50CAF173-239A-924E-83B8-07923291B485}"/>
    <hyperlink ref="J5009" r:id="rId6907" xr:uid="{15ADC93D-D3AF-4C4F-823C-FF211C02BB38}"/>
    <hyperlink ref="AG5009" r:id="rId6908" xr:uid="{60013638-28E8-5F4F-A14A-2DF1EC2A8578}"/>
    <hyperlink ref="J5010" r:id="rId6909" xr:uid="{1763CC74-E0EC-294F-BC9A-7DA946204FB9}"/>
    <hyperlink ref="J5011" r:id="rId6910" xr:uid="{9777400E-EF7D-AD49-9C97-563F0309D40C}"/>
    <hyperlink ref="J5012" r:id="rId6911" xr:uid="{B7B901DE-9745-AD45-82F2-794E0882A10A}"/>
    <hyperlink ref="J5013" r:id="rId6912" xr:uid="{D9E1573F-F0BA-E04F-A87B-27544B98AFD5}"/>
    <hyperlink ref="J5014" r:id="rId6913" xr:uid="{BCEF6D69-44A6-7842-B0AA-A94975C611EC}"/>
    <hyperlink ref="J5015" r:id="rId6914" xr:uid="{772E30E5-FC49-754E-9A85-327243B4DEEB}"/>
    <hyperlink ref="W5015" r:id="rId6915" xr:uid="{C3084E52-DB47-9A43-9042-A07622877D47}"/>
    <hyperlink ref="J5016" r:id="rId6916" xr:uid="{F9661DDA-0563-BE4E-B987-B03B2B7C7521}"/>
    <hyperlink ref="J5017" r:id="rId6917" xr:uid="{40CAB07F-E28B-CF43-8F1B-C8F51F57083B}"/>
    <hyperlink ref="J5018" r:id="rId6918" xr:uid="{F45845A3-7B22-F545-95A0-2A6BFC2CCB3E}"/>
    <hyperlink ref="J5019" r:id="rId6919" xr:uid="{DFAFF4A5-D3AC-914D-98FA-F027844ADF9C}"/>
    <hyperlink ref="J5020" r:id="rId6920" xr:uid="{EDB3FBBC-E92C-4D4D-85CC-8A5ACEF805E1}"/>
    <hyperlink ref="J5021" r:id="rId6921" xr:uid="{A8309673-4F59-9F46-A6A9-F88889450845}"/>
    <hyperlink ref="W5021" r:id="rId6922" xr:uid="{2FDBC8E7-97B6-924C-9DEF-0A560561D70C}"/>
    <hyperlink ref="J5022" r:id="rId6923" xr:uid="{C28C5190-1FFF-9D41-B477-3454A702DFE6}"/>
    <hyperlink ref="W5022" r:id="rId6924" xr:uid="{CE78E183-5B4D-C04A-A1EF-13449A94A961}"/>
    <hyperlink ref="J5023" r:id="rId6925" xr:uid="{93080B79-B8E8-0047-81F3-832D4DF0F3E6}"/>
    <hyperlink ref="J5024" r:id="rId6926" xr:uid="{4E4EFF67-6ABC-F044-B8F0-A46A4CD8C2FD}"/>
    <hyperlink ref="J5025" r:id="rId6927" xr:uid="{1B1B7F03-0244-BF47-980A-25B48A192323}"/>
    <hyperlink ref="J5026" r:id="rId6928" xr:uid="{8C99A70B-4DE3-3540-AA9D-FD73037E834E}"/>
    <hyperlink ref="J5027" r:id="rId6929" xr:uid="{FBDE0596-3BC8-B549-94FA-584702D7B199}"/>
    <hyperlink ref="J5028" r:id="rId6930" xr:uid="{813611A7-1391-3A40-B912-AA4EC38682D6}"/>
    <hyperlink ref="J5029" r:id="rId6931" xr:uid="{0D350B3D-DEA8-BB40-B776-BBF84357B0F9}"/>
    <hyperlink ref="J5030" r:id="rId6932" xr:uid="{82A8A74F-4606-114D-A2AA-3F568C84BEB4}"/>
    <hyperlink ref="W5030" r:id="rId6933" xr:uid="{967126D1-BAA7-7F4C-A68C-F996E946B3C3}"/>
    <hyperlink ref="J5031" r:id="rId6934" xr:uid="{33E46592-380D-0F4F-86C0-03A3E7E4BEF4}"/>
    <hyperlink ref="J5032" r:id="rId6935" xr:uid="{A6D40E0E-4EAF-6D4D-BE1B-517419E7C304}"/>
    <hyperlink ref="J5033" r:id="rId6936" xr:uid="{F1065800-EA67-CF42-ACD5-289D4BABAA30}"/>
    <hyperlink ref="J5034" r:id="rId6937" xr:uid="{D436DEAB-5112-AD4F-9133-C4D303842ED3}"/>
    <hyperlink ref="J5035" r:id="rId6938" xr:uid="{55E5D3EE-0967-C346-AD97-5270D97D572D}"/>
    <hyperlink ref="O5035" r:id="rId6939" xr:uid="{A1D948B5-3417-3D4B-906C-092A87771A83}"/>
    <hyperlink ref="W5035" r:id="rId6940" xr:uid="{A41F7EEA-8BA4-9A45-931D-C182FB5BB261}"/>
    <hyperlink ref="J5036" r:id="rId6941" xr:uid="{83F6137D-E7C3-F942-9D93-EFACFC9F69C4}"/>
    <hyperlink ref="J5037" r:id="rId6942" xr:uid="{B0EDBCFE-7925-CE4D-BB0B-26DC6C06ED47}"/>
    <hyperlink ref="W5037" r:id="rId6943" xr:uid="{24DCB50F-48C9-734B-85F2-1ABEEC643F10}"/>
    <hyperlink ref="J5038" r:id="rId6944" xr:uid="{1AC4BE8C-FBA8-5947-8E45-0ED172CB4F55}"/>
    <hyperlink ref="W5038" r:id="rId6945" xr:uid="{D10F1F94-81DF-5F40-A1FC-AED89AC03BC3}"/>
    <hyperlink ref="J5039" r:id="rId6946" xr:uid="{EE0F2EFE-BCD9-B748-B52C-A11C930E3A5E}"/>
    <hyperlink ref="J5040" r:id="rId6947" xr:uid="{01F7BC19-E470-F544-8DC4-3E792CD0D1BA}"/>
    <hyperlink ref="J5041" r:id="rId6948" xr:uid="{C23D1202-9209-7C46-B9A4-A64296635D55}"/>
    <hyperlink ref="J5042" r:id="rId6949" xr:uid="{99203BD2-5434-F94E-83A5-584BCA402D96}"/>
    <hyperlink ref="J5043" r:id="rId6950" xr:uid="{CD783A7F-BA70-BA40-A6A2-F799A86ECA45}"/>
    <hyperlink ref="J5044" r:id="rId6951" xr:uid="{520DE21B-B0E2-2A45-9C21-E6487AFAD86E}"/>
    <hyperlink ref="J5045" r:id="rId6952" xr:uid="{2F6D7BEE-3160-084D-B4AA-2ED27E448F33}"/>
    <hyperlink ref="J5046" r:id="rId6953" xr:uid="{6B1EEE23-439A-CC41-969E-1C034D823396}"/>
    <hyperlink ref="J5047" r:id="rId6954" xr:uid="{36AF32F8-A81A-BF41-87D2-B8AEB291E308}"/>
    <hyperlink ref="J5048" r:id="rId6955" xr:uid="{E2C2A611-128E-044B-A9FC-C6B8749EB8B2}"/>
    <hyperlink ref="J5049" r:id="rId6956" xr:uid="{C4F65512-1D73-F642-B698-3D91014B6A90}"/>
    <hyperlink ref="J5050" r:id="rId6957" xr:uid="{C2B6096B-2CEE-AF48-932E-995C94973E69}"/>
    <hyperlink ref="J5051" r:id="rId6958" xr:uid="{1C6922AF-486D-FE4F-94F6-2428C6B630E5}"/>
    <hyperlink ref="J5052" r:id="rId6959" xr:uid="{A9C9D50B-C672-8A4C-AFA9-5BA9F944130A}"/>
    <hyperlink ref="J5053" r:id="rId6960" xr:uid="{E4CFB3EC-D6AA-3947-8D5A-7C6471567027}"/>
    <hyperlink ref="J5054" r:id="rId6961" xr:uid="{4550A0EB-C088-B549-A4EB-4024F128F647}"/>
    <hyperlink ref="J5055" r:id="rId6962" xr:uid="{A94FF668-D8F0-5043-B8B0-DCEAA2997DE2}"/>
    <hyperlink ref="J5056" r:id="rId6963" xr:uid="{C41DEDA9-0E8D-3E4A-9762-61AD7D54E78B}"/>
    <hyperlink ref="J5057" r:id="rId6964" xr:uid="{BEB207F3-EE20-1849-942C-5F63CBD0A4B8}"/>
    <hyperlink ref="J5058" r:id="rId6965" xr:uid="{F05AB403-465E-0B4D-B0BF-32054E269C06}"/>
    <hyperlink ref="J5059" r:id="rId6966" xr:uid="{34BD6632-C4D6-D642-BC40-A2507076789F}"/>
    <hyperlink ref="J5060" r:id="rId6967" xr:uid="{9345B15F-0E27-6847-BE31-37703D898599}"/>
    <hyperlink ref="J5061" r:id="rId6968" xr:uid="{94EB5EC2-FB1A-F748-84F9-2D562552D5DD}"/>
    <hyperlink ref="J5062" r:id="rId6969" xr:uid="{61725A26-D86A-F84E-92D5-BF24766A3962}"/>
    <hyperlink ref="J5063" r:id="rId6970" xr:uid="{2A7D10D5-8839-8F49-B89B-9A5CC2C8980D}"/>
    <hyperlink ref="J5064" r:id="rId6971" xr:uid="{C065B5E4-B258-0F4C-80F0-CBA2A78241D1}"/>
    <hyperlink ref="J5065" r:id="rId6972" xr:uid="{96F457B0-4877-224A-92EA-3CF2993B727B}"/>
    <hyperlink ref="J5066" r:id="rId6973" xr:uid="{83A6F386-8221-3C46-997D-777CF9248445}"/>
    <hyperlink ref="J5067" r:id="rId6974" xr:uid="{A1509589-27E3-2649-9BA3-E07933344CEA}"/>
    <hyperlink ref="J5068" r:id="rId6975" xr:uid="{32438DE7-28BF-184A-9A64-7B087C6E9058}"/>
    <hyperlink ref="J5069" r:id="rId6976" xr:uid="{D823A490-CCFE-E446-BCFD-0CFC2EF17594}"/>
    <hyperlink ref="J5070" r:id="rId6977" xr:uid="{0749B5D8-1856-E847-B991-BFF586A99A1B}"/>
    <hyperlink ref="J5071" r:id="rId6978" xr:uid="{88CA9D9E-5237-034F-9353-AC19FD98FBDD}"/>
    <hyperlink ref="J5072" r:id="rId6979" xr:uid="{DAAF7E3E-6A01-D54A-8AB6-8B1C88A9129F}"/>
    <hyperlink ref="J5073" r:id="rId6980" xr:uid="{D2ACB839-0CAB-ED42-9199-8F7E283E0A02}"/>
    <hyperlink ref="W5073" r:id="rId6981" xr:uid="{CB4418A7-0F7D-BA43-A686-0F27E8DDB693}"/>
    <hyperlink ref="J5074" r:id="rId6982" xr:uid="{6C9141FE-65B6-4A4B-BF5E-1617864EB5BF}"/>
    <hyperlink ref="J5075" r:id="rId6983" xr:uid="{A98BE21D-C221-AA48-BE4E-021A099DC6FD}"/>
    <hyperlink ref="J5076" r:id="rId6984" xr:uid="{BADB6694-BBF5-3749-8A37-030876EFDD4C}"/>
    <hyperlink ref="J5077" r:id="rId6985" xr:uid="{850D18A0-A1A9-264E-BC52-B55CD4C68632}"/>
    <hyperlink ref="J5078" r:id="rId6986" xr:uid="{E26F4CF9-C2B2-8F47-B87A-D7845FFCE089}"/>
    <hyperlink ref="J5079" r:id="rId6987" xr:uid="{CFFBACB7-21E6-124D-BAC8-57DE2C74727C}"/>
    <hyperlink ref="J5080" r:id="rId6988" xr:uid="{267A0F19-BF58-BF49-AD25-9E692E58BAB6}"/>
    <hyperlink ref="W5080" r:id="rId6989" xr:uid="{2ACC0BAD-6AE3-5240-983D-2BD7006637FD}"/>
    <hyperlink ref="J5081" r:id="rId6990" xr:uid="{42E8EA0A-5102-074D-83E1-FEA0444776B9}"/>
    <hyperlink ref="J5082" r:id="rId6991" xr:uid="{376C9893-94E0-D24F-B7AD-205A74E5B5EF}"/>
    <hyperlink ref="J5083" r:id="rId6992" xr:uid="{74F3C1E5-7707-CC40-A09C-D3A94459F4D0}"/>
    <hyperlink ref="J5084" r:id="rId6993" xr:uid="{62CE08D6-A1A3-3E4B-9433-BAF0FA868645}"/>
    <hyperlink ref="J5085" r:id="rId6994" xr:uid="{F45E9241-542D-2143-AC76-0765C106001E}"/>
    <hyperlink ref="J5086" r:id="rId6995" xr:uid="{75103551-EE84-BB48-977C-E07E57DB32D1}"/>
    <hyperlink ref="W5086" r:id="rId6996" xr:uid="{B526370A-B9B0-2D42-B1E6-575104730C5A}"/>
    <hyperlink ref="J5087" r:id="rId6997" xr:uid="{C89DD3D9-F025-BC4C-BF9A-385ACD85A548}"/>
    <hyperlink ref="J5088" r:id="rId6998" xr:uid="{33674967-AD16-2444-BFE9-CF7DB959FA07}"/>
    <hyperlink ref="J5089" r:id="rId6999" xr:uid="{BCDB0936-D6AB-6840-AEC2-14F3A0207423}"/>
    <hyperlink ref="J5090" r:id="rId7000" xr:uid="{C1079F4E-2F8F-A94C-B789-A653C1F7F864}"/>
    <hyperlink ref="J5091" r:id="rId7001" xr:uid="{7E7BD263-EFAD-4F4C-8FD8-29C1AC639BBB}"/>
    <hyperlink ref="J5092" r:id="rId7002" xr:uid="{4FE6EE70-E314-0D45-90F3-F6205B844AD9}"/>
    <hyperlink ref="J5093" r:id="rId7003" xr:uid="{ECEC109A-C5D5-1C45-8A9A-A3B2A943E1F9}"/>
    <hyperlink ref="J5094" r:id="rId7004" xr:uid="{8D339BF7-7433-CD45-83E5-D16CA7649A61}"/>
    <hyperlink ref="J5095" r:id="rId7005" xr:uid="{F95E8DC3-2068-8446-A205-31CD46893242}"/>
    <hyperlink ref="J5096" r:id="rId7006" xr:uid="{31839B10-17C0-4540-9DDF-B2951E3BEA8E}"/>
    <hyperlink ref="J5097" r:id="rId7007" xr:uid="{AD4A9BA2-3DF2-1A45-B3D4-4FDAC1152177}"/>
    <hyperlink ref="J5098" r:id="rId7008" xr:uid="{72BEC369-1C91-7249-BEC3-0C8174228DAC}"/>
    <hyperlink ref="J5099" r:id="rId7009" xr:uid="{CD93D01E-13D7-0344-BE1B-98A2BB266F9A}"/>
    <hyperlink ref="J5100" r:id="rId7010" xr:uid="{371096B3-1746-D847-8A22-DDF30D1F8214}"/>
    <hyperlink ref="J5101" r:id="rId7011" xr:uid="{C445E7A3-84F2-C64F-98AF-7EB3ADD22745}"/>
    <hyperlink ref="J5102" r:id="rId7012" xr:uid="{2F16433F-E065-8141-9BDA-8E7F3236EC54}"/>
    <hyperlink ref="J5103" r:id="rId7013" xr:uid="{6914E66A-6A45-4349-A237-22A2B57697A7}"/>
    <hyperlink ref="J5104" r:id="rId7014" xr:uid="{E21D1B56-E53A-3846-8E02-EAEB0305D201}"/>
    <hyperlink ref="J5105" r:id="rId7015" xr:uid="{0A96F2B2-BA46-9E4F-873B-F193C154AF3A}"/>
    <hyperlink ref="J5106" r:id="rId7016" xr:uid="{CBE4EB40-46F2-764D-8768-C527B12A1A45}"/>
    <hyperlink ref="J5107" r:id="rId7017" xr:uid="{4CEB8A26-F645-554D-AFCE-61DB24750534}"/>
    <hyperlink ref="J5108" r:id="rId7018" xr:uid="{11A36959-D4C0-2143-9A6F-DB7537AC25E7}"/>
    <hyperlink ref="J5109" r:id="rId7019" xr:uid="{EB0E5DCA-53BA-274F-A60C-073728B3A3C9}"/>
    <hyperlink ref="J5110" r:id="rId7020" xr:uid="{72C9448D-5B84-A640-8B90-CC195AEAD26C}"/>
    <hyperlink ref="J5111" r:id="rId7021" xr:uid="{45A9F49C-775D-7B4B-828C-C09B80169492}"/>
    <hyperlink ref="J5112" r:id="rId7022" xr:uid="{0197C404-236C-D24C-8378-95071E0DEA51}"/>
    <hyperlink ref="J5113" r:id="rId7023" xr:uid="{DD41554D-D0F9-2E44-AD37-95017835C348}"/>
    <hyperlink ref="J5114" r:id="rId7024" xr:uid="{40B5DA1E-6F29-AA42-8298-E43CCB0ADE3C}"/>
    <hyperlink ref="J5115" r:id="rId7025" xr:uid="{9C6737CC-E077-B34F-848D-3929D320248E}"/>
    <hyperlink ref="J5116" r:id="rId7026" xr:uid="{97A89783-2312-654A-B818-90DE6D33FCB3}"/>
    <hyperlink ref="J5117" r:id="rId7027" xr:uid="{CE4981DE-E4C4-D743-BB91-D95C7D672DA5}"/>
    <hyperlink ref="J5118" r:id="rId7028" xr:uid="{37E605C3-8695-AA42-B180-2B9741268110}"/>
    <hyperlink ref="J5119" r:id="rId7029" xr:uid="{5A935E53-E127-384A-ADC0-5A6A14ACE2C6}"/>
    <hyperlink ref="J5120" r:id="rId7030" xr:uid="{789BE457-F3DB-EA45-B0C0-8BB92FB2FD2B}"/>
    <hyperlink ref="J5121" r:id="rId7031" xr:uid="{07F6DD7E-FAD6-1945-97E7-109A3438DBDF}"/>
    <hyperlink ref="J5122" r:id="rId7032" xr:uid="{DEEB9A61-B992-9541-A724-DFBD384B3A76}"/>
    <hyperlink ref="W5122" r:id="rId7033" xr:uid="{7A7A25A1-19DB-6E47-B48E-1E995A53E830}"/>
    <hyperlink ref="J5123" r:id="rId7034" xr:uid="{953D262A-FED0-F447-9002-5CD017BFA6D7}"/>
    <hyperlink ref="J5124" r:id="rId7035" xr:uid="{89E4D7C9-08F8-0243-BE05-439CCB003209}"/>
    <hyperlink ref="J5125" r:id="rId7036" xr:uid="{7B7711E2-F80E-7144-8126-7782F6105726}"/>
    <hyperlink ref="J5126" r:id="rId7037" xr:uid="{9B0BE503-9039-604D-93CA-EC9FCE5DB789}"/>
    <hyperlink ref="J5127" r:id="rId7038" xr:uid="{8CC38B94-A38E-2044-A07B-E6984F60A5BE}"/>
    <hyperlink ref="J5128" r:id="rId7039" xr:uid="{6EA870FC-490B-B942-926B-2C0795BADBE0}"/>
    <hyperlink ref="J5129" r:id="rId7040" xr:uid="{8D30F3F7-E0EF-DA44-BFA6-098A795600D3}"/>
    <hyperlink ref="J5130" r:id="rId7041" xr:uid="{4A130D6F-261B-9D41-89EE-F2011BD71628}"/>
    <hyperlink ref="J5131" r:id="rId7042" xr:uid="{0D1DC334-9B67-BB40-9E54-A0BAC99898CD}"/>
    <hyperlink ref="W5131" r:id="rId7043" xr:uid="{70CC1A0C-9BCE-4141-B0E9-4707906F1869}"/>
    <hyperlink ref="J5132" r:id="rId7044" xr:uid="{F371C29D-906C-CA41-9E68-49FFDCF35251}"/>
    <hyperlink ref="W5132" r:id="rId7045" xr:uid="{9FD33DA5-30C5-F140-AD0A-19990C249D34}"/>
    <hyperlink ref="J5133" r:id="rId7046" xr:uid="{6704ADC0-18CB-3446-9AC2-2F96790ACC16}"/>
    <hyperlink ref="J5134" r:id="rId7047" xr:uid="{015C731F-18B7-AE46-91C5-4D84F374BBC1}"/>
    <hyperlink ref="J5135" r:id="rId7048" xr:uid="{3B93AED7-91A8-C249-A615-B700DD8B2E5C}"/>
    <hyperlink ref="J5136" r:id="rId7049" xr:uid="{E046B5D7-1979-C541-89CE-42F1F9592E2B}"/>
    <hyperlink ref="J5137" r:id="rId7050" xr:uid="{3962EAD0-8C28-A246-BF8C-B6A7D057ECFE}"/>
    <hyperlink ref="W5137" r:id="rId7051" xr:uid="{6D879569-2EFC-7044-8F1E-E32F81E89231}"/>
    <hyperlink ref="J5138" r:id="rId7052" xr:uid="{1AFC2A71-42B5-7E43-9AF6-3EC33E22562D}"/>
    <hyperlink ref="J5139" r:id="rId7053" xr:uid="{69ED90C6-C2D5-5147-986D-99D123F107FC}"/>
    <hyperlink ref="J5140" r:id="rId7054" xr:uid="{889F99E9-7C6A-124F-92E8-7934EB11B4B7}"/>
    <hyperlink ref="J5141" r:id="rId7055" xr:uid="{F63E8F37-BACA-DC48-8083-A1745C2D8976}"/>
    <hyperlink ref="J5142" r:id="rId7056" xr:uid="{7FDCD443-43F0-6043-9520-8665F49F80E4}"/>
    <hyperlink ref="O5142" r:id="rId7057" xr:uid="{B84ED864-5339-BE45-B888-C289D4831E16}"/>
    <hyperlink ref="J5143" r:id="rId7058" xr:uid="{C752CBD9-785E-9D49-9E72-1CA740974385}"/>
    <hyperlink ref="J5144" r:id="rId7059" xr:uid="{51679E56-10CD-7046-8EA2-658E5927397A}"/>
    <hyperlink ref="J5145" r:id="rId7060" xr:uid="{74306021-16BE-AB42-AB3E-5C2FA224AA1E}"/>
    <hyperlink ref="J5146" r:id="rId7061" xr:uid="{8D0336AB-2185-9848-BD27-4CA6F887A1EE}"/>
    <hyperlink ref="W5146" r:id="rId7062" xr:uid="{1A6B365F-AB29-8646-A4EC-5BBED13BD499}"/>
    <hyperlink ref="J5147" r:id="rId7063" xr:uid="{337A3DE4-0C07-F943-8649-3B0BD32B2D77}"/>
    <hyperlink ref="J5148" r:id="rId7064" xr:uid="{668B08CF-31E0-9D42-90C9-8C7FD89D69B2}"/>
    <hyperlink ref="J5149" r:id="rId7065" xr:uid="{BB91C74E-0518-1C4D-8F34-0F4F54BDB1D8}"/>
    <hyperlink ref="J5150" r:id="rId7066" xr:uid="{078936FA-4954-7844-A243-355BBE831072}"/>
    <hyperlink ref="J5151" r:id="rId7067" xr:uid="{867D5B12-3952-4C4A-9173-84C11044EE2B}"/>
    <hyperlink ref="W5151" r:id="rId7068" xr:uid="{CE27A852-1648-914F-81E8-E0DB42452D92}"/>
    <hyperlink ref="J5152" r:id="rId7069" xr:uid="{42725C89-2953-AC40-9DF0-737C7FE78D2E}"/>
    <hyperlink ref="W5152" r:id="rId7070" xr:uid="{72B9F778-6887-7543-BBD8-D0872552BE61}"/>
    <hyperlink ref="J5153" r:id="rId7071" xr:uid="{3A7A25E9-0534-FE42-A882-CAFE04E78A21}"/>
    <hyperlink ref="W5153" r:id="rId7072" xr:uid="{32B61638-0D36-B94D-8C32-ECA39F1113F2}"/>
    <hyperlink ref="J5154" r:id="rId7073" xr:uid="{D450C196-C3FE-3B4F-BD37-D25E214AF10B}"/>
    <hyperlink ref="J5155" r:id="rId7074" xr:uid="{5157FA1E-D647-4C40-82FC-852A7202852E}"/>
    <hyperlink ref="J5156" r:id="rId7075" xr:uid="{941616E4-921F-F142-B3F6-E577EC5B3400}"/>
    <hyperlink ref="W5156" r:id="rId7076" xr:uid="{F6D119F9-C10D-5B41-BCDF-91780A2A0297}"/>
    <hyperlink ref="J5157" r:id="rId7077" xr:uid="{031D3543-6AFC-184F-A6BC-84116EDEFC83}"/>
    <hyperlink ref="J5158" r:id="rId7078" xr:uid="{3CBD05CA-AA7C-4448-9FCD-48A8841CB3B4}"/>
    <hyperlink ref="J5159" r:id="rId7079" xr:uid="{BAD6CF4B-184C-404B-8F83-F0F9BADC1D40}"/>
    <hyperlink ref="J5160" r:id="rId7080" xr:uid="{2FD2EC9F-4B8E-A143-B4D3-F6A0E55E901F}"/>
    <hyperlink ref="W5160" r:id="rId7081" xr:uid="{85D927E1-6290-AC48-A867-8F1DB8FA561B}"/>
    <hyperlink ref="J5161" r:id="rId7082" xr:uid="{17692AA0-3B40-9D4E-8AAA-9D3AE30129C4}"/>
    <hyperlink ref="W5161" r:id="rId7083" xr:uid="{3765FC9A-E41A-A34D-A3A1-63F8839124A2}"/>
    <hyperlink ref="J5162" r:id="rId7084" xr:uid="{84A6E47A-88AE-B34B-887E-F22D849A5810}"/>
    <hyperlink ref="J5163" r:id="rId7085" xr:uid="{3A3E642B-3427-1F48-AA91-5F37A4F4D1C6}"/>
    <hyperlink ref="W5163" r:id="rId7086" xr:uid="{F803687E-3673-4F40-A8F8-52C8C2948F2D}"/>
    <hyperlink ref="J5164" r:id="rId7087" xr:uid="{F62A4240-2CAE-2F4B-8629-2650A2C6CCC3}"/>
    <hyperlink ref="J5165" r:id="rId7088" xr:uid="{893462DE-3A0D-7744-BE85-C0618A53924B}"/>
    <hyperlink ref="J5166" r:id="rId7089" xr:uid="{F2F42A2C-1B4D-CA41-9DE9-DF23580EA5D9}"/>
    <hyperlink ref="W5166" r:id="rId7090" xr:uid="{7316AA1B-14EE-A241-B857-84E19ADA1B6D}"/>
    <hyperlink ref="J5167" r:id="rId7091" xr:uid="{42D6DD7B-D223-D844-BFFA-157553D7B3B3}"/>
    <hyperlink ref="W5167" r:id="rId7092" xr:uid="{70ED1CD1-1FD5-5B4E-B895-74038D50CD68}"/>
    <hyperlink ref="J5168" r:id="rId7093" xr:uid="{2A7F7A39-48C4-1E46-AD76-1670DFF578FD}"/>
    <hyperlink ref="J5169" r:id="rId7094" xr:uid="{34FA635A-A922-5743-94E3-73D3AF3A9699}"/>
    <hyperlink ref="W5169" r:id="rId7095" xr:uid="{C3E43184-9EFE-3A4C-9BDD-722470A9E6F3}"/>
    <hyperlink ref="J5170" r:id="rId7096" xr:uid="{15509405-0E98-8A46-84F7-98B033B42957}"/>
    <hyperlink ref="W5170" r:id="rId7097" xr:uid="{48242128-56D3-7444-A2D7-D3ECA5D6FD7F}"/>
    <hyperlink ref="J5171" r:id="rId7098" xr:uid="{DB978A98-EF93-9140-AE6A-7C7048A9293A}"/>
    <hyperlink ref="W5171" r:id="rId7099" xr:uid="{15D0A141-A9BB-B545-99D9-D2A5DDBFD857}"/>
    <hyperlink ref="J5172" r:id="rId7100" xr:uid="{479AD1D5-8BF6-8B47-A88F-A49204EFE543}"/>
    <hyperlink ref="J5173" r:id="rId7101" xr:uid="{8AD36A19-566C-A14E-824E-D9989DD3DE98}"/>
    <hyperlink ref="J5174" r:id="rId7102" xr:uid="{8893C66D-6596-9C41-AD40-FADCE79A96F3}"/>
    <hyperlink ref="W5174" r:id="rId7103" xr:uid="{BE9B8A17-0CE8-544F-AC5C-71AB773BC020}"/>
    <hyperlink ref="J5175" r:id="rId7104" xr:uid="{1F7251C7-932B-9A45-8CF6-0D8529E07DA2}"/>
    <hyperlink ref="J5176" r:id="rId7105" xr:uid="{09389B74-CE13-4E4E-82FA-CB61C555A6BF}"/>
    <hyperlink ref="J5177" r:id="rId7106" xr:uid="{15E5DAC8-DA68-D449-91E2-C4C1385B0DE0}"/>
    <hyperlink ref="J5178" r:id="rId7107" xr:uid="{A9388F9D-D9DD-7041-B8FA-890A20E63ACA}"/>
    <hyperlink ref="W5178" r:id="rId7108" xr:uid="{3F0F63DB-AA3A-CD42-93C4-81E8BD377316}"/>
    <hyperlink ref="J5179" r:id="rId7109" xr:uid="{27C46C45-13F3-C741-9862-3641FE5D007F}"/>
    <hyperlink ref="J5180" r:id="rId7110" xr:uid="{4FBD5AA8-8F44-E944-A0AD-4A32A0339135}"/>
    <hyperlink ref="W5180" r:id="rId7111" xr:uid="{88D8CCD4-7E85-064F-824B-36A9664BACFC}"/>
    <hyperlink ref="J5181" r:id="rId7112" xr:uid="{6E1B85F5-A23C-7A44-8303-B1E68219C2AE}"/>
    <hyperlink ref="AG5181" r:id="rId7113" xr:uid="{0E686057-0D51-0546-8CE5-FBDA86131694}"/>
    <hyperlink ref="J5182" r:id="rId7114" xr:uid="{D17F50F4-E449-2B4E-BAB7-C8A65C4AD3E4}"/>
    <hyperlink ref="W5182" r:id="rId7115" xr:uid="{A17B2E27-2501-5E4B-8283-98F5ECA57CC6}"/>
    <hyperlink ref="J5183" r:id="rId7116" xr:uid="{0A8049AC-0150-C54F-B603-CD6A353B9A85}"/>
    <hyperlink ref="W5183" r:id="rId7117" xr:uid="{FF3D2FAE-DF14-B341-92AF-9795BF2001D9}"/>
    <hyperlink ref="J5184" r:id="rId7118" xr:uid="{67F5C7B3-AC43-8F43-83FC-32DA2EB84E14}"/>
    <hyperlink ref="J5185" r:id="rId7119" xr:uid="{CF9F87D2-DAB7-7547-945A-407C85DC8766}"/>
    <hyperlink ref="W5185" r:id="rId7120" xr:uid="{09936A1B-3FE0-654B-82CD-60AD995BCFE4}"/>
    <hyperlink ref="J5186" r:id="rId7121" xr:uid="{ECEF268A-7DBF-6248-9E18-7F2B7E675BBA}"/>
    <hyperlink ref="W5186" r:id="rId7122" xr:uid="{A0EE8B11-5641-7742-90F6-A9E51E3D97DC}"/>
    <hyperlink ref="J5187" r:id="rId7123" xr:uid="{316C3EF7-C5BC-6846-BFFA-7F1C06D40996}"/>
    <hyperlink ref="J5188" r:id="rId7124" xr:uid="{7A235AF7-4163-D24C-A836-F1F11C75BA42}"/>
    <hyperlink ref="J5189" r:id="rId7125" xr:uid="{D51CE27B-4F17-7344-9CC5-0951EA2B09D8}"/>
    <hyperlink ref="W5189" r:id="rId7126" xr:uid="{87EDD646-7437-5841-8069-B9698A87EFD7}"/>
    <hyperlink ref="J5190" r:id="rId7127" xr:uid="{7B8E604D-9673-0C42-974D-654FAEA36689}"/>
    <hyperlink ref="J5191" r:id="rId7128" xr:uid="{5167B2ED-B5B5-5747-9A1B-5EBA35857366}"/>
    <hyperlink ref="W5191" r:id="rId7129" xr:uid="{DF146161-4384-A546-A3EE-5600CFE42543}"/>
    <hyperlink ref="J5192" r:id="rId7130" xr:uid="{CB6D629C-B80D-3D4E-BBCD-50F0C66F0813}"/>
    <hyperlink ref="W5192" r:id="rId7131" xr:uid="{71D1D2C4-0031-234B-987A-65C8B94B3B75}"/>
    <hyperlink ref="J5193" r:id="rId7132" xr:uid="{6DA2C9ED-F0DD-4E48-B597-8FFD8B6E621B}"/>
    <hyperlink ref="W5193" r:id="rId7133" xr:uid="{3B4B7CF3-ACF3-7E41-9AA8-B1B6DE9841A7}"/>
    <hyperlink ref="J5194" r:id="rId7134" xr:uid="{EF2D86A7-E661-F045-AE52-F9B6A022A45C}"/>
    <hyperlink ref="W5194" r:id="rId7135" xr:uid="{8430D093-067D-DA43-99CA-766FAE2A214E}"/>
    <hyperlink ref="J5195" r:id="rId7136" xr:uid="{780B5F5B-68B1-E74A-BD83-6572F630BCAA}"/>
    <hyperlink ref="W5195" r:id="rId7137" xr:uid="{529EFA74-A025-D340-A029-A40BE10C9CE5}"/>
    <hyperlink ref="J5196" r:id="rId7138" xr:uid="{ECF01F52-99EE-6141-9196-47520EA5B48B}"/>
    <hyperlink ref="W5196" r:id="rId7139" xr:uid="{8DDBBECF-9B85-CE4C-BF0D-EF66437FBFB4}"/>
    <hyperlink ref="AG5196" r:id="rId7140" xr:uid="{1B21F76C-2BA2-AD46-96B4-0E062EB5AEE2}"/>
    <hyperlink ref="J5197" r:id="rId7141" xr:uid="{A2AB57AB-7ADB-DF4E-8707-CCA5A8E099EA}"/>
    <hyperlink ref="W5197" r:id="rId7142" xr:uid="{B3638C90-2813-E348-9E00-1D19920128FC}"/>
    <hyperlink ref="J5198" r:id="rId7143" xr:uid="{67F360DD-F351-834E-898F-9E2EC8549843}"/>
    <hyperlink ref="W5198" r:id="rId7144" xr:uid="{CF4A2E27-4EB2-6240-8E6B-8A9A14D12837}"/>
    <hyperlink ref="J5199" r:id="rId7145" xr:uid="{1F5E9C5E-059B-B744-879C-B341F51A89BA}"/>
    <hyperlink ref="W5199" r:id="rId7146" xr:uid="{3F44BBC0-4CEB-2047-8BDF-2EB0A4B43BC9}"/>
    <hyperlink ref="J5200" r:id="rId7147" xr:uid="{78AA00C7-9146-FE49-BE34-BDED948A8EF6}"/>
    <hyperlink ref="W5200" r:id="rId7148" xr:uid="{BD0D3744-6F23-A646-9253-4C6880B80EDC}"/>
    <hyperlink ref="J5201" r:id="rId7149" xr:uid="{94F9D9A9-3BDA-CD4E-A39F-915AF89EF516}"/>
    <hyperlink ref="J5202" r:id="rId7150" xr:uid="{D5B7232F-9CDF-4E43-BA13-E729C345B629}"/>
    <hyperlink ref="W5202" r:id="rId7151" xr:uid="{2F7F7BA2-63BD-AB45-9FAE-A1FB1B865BEE}"/>
    <hyperlink ref="J5203" r:id="rId7152" xr:uid="{D9BBED97-03F2-0A48-A4E1-57D26BA5C8EE}"/>
    <hyperlink ref="W5203" r:id="rId7153" xr:uid="{8516CC02-A482-F041-B8A9-AF2DBB4F11C0}"/>
    <hyperlink ref="J5204" r:id="rId7154" xr:uid="{58712C03-C715-6241-B7EE-91B87DDF6377}"/>
    <hyperlink ref="W5204" r:id="rId7155" xr:uid="{32669C4F-3B11-5245-AD19-867BC642E6EA}"/>
    <hyperlink ref="J5205" r:id="rId7156" xr:uid="{F37D98FE-2C8A-C149-B79A-96EC864C4380}"/>
    <hyperlink ref="J5206" r:id="rId7157" xr:uid="{598C413D-CAC1-D34F-A682-719FA7F3E69D}"/>
    <hyperlink ref="J5207" r:id="rId7158" xr:uid="{59DC8E00-CFA8-FF4B-8F7D-BC0923496F8B}"/>
    <hyperlink ref="J5208" r:id="rId7159" xr:uid="{C154A549-322A-A147-9021-CFA62A773E05}"/>
    <hyperlink ref="J5209" r:id="rId7160" xr:uid="{2414061F-7DE4-8048-868E-EE3AEC507649}"/>
    <hyperlink ref="J5210" r:id="rId7161" xr:uid="{B2ACD9A7-CBDA-5046-B62F-169841FE648A}"/>
    <hyperlink ref="J5211" r:id="rId7162" xr:uid="{08223251-5D1F-234B-91F8-C22E23B9B881}"/>
    <hyperlink ref="W5211" r:id="rId7163" xr:uid="{A9CC9223-82B8-4943-8096-67B98AFB216B}"/>
    <hyperlink ref="J5212" r:id="rId7164" xr:uid="{5A85B17E-0E76-2E44-98DC-BED0AC473B58}"/>
    <hyperlink ref="W5212" r:id="rId7165" xr:uid="{9AFB358B-6188-8B41-BF02-46E1427C375B}"/>
    <hyperlink ref="J5213" r:id="rId7166" xr:uid="{07CD3B45-18C3-3047-9D2C-5809FF8AFDCA}"/>
    <hyperlink ref="W5213" r:id="rId7167" xr:uid="{4EC603BB-C395-2749-BC84-F113716611DE}"/>
    <hyperlink ref="J5214" r:id="rId7168" xr:uid="{63F937B9-E406-CC40-BAEC-D096018E3E6A}"/>
    <hyperlink ref="W5214" r:id="rId7169" xr:uid="{9EB7A2F7-D8B6-2A4F-AD96-5E15E7C93084}"/>
    <hyperlink ref="J5215" r:id="rId7170" xr:uid="{717E0EA8-A729-D44C-B3AC-B9B240D21606}"/>
    <hyperlink ref="J5216" r:id="rId7171" xr:uid="{50CA213E-8680-F64E-BE72-C0CF3C2B1C34}"/>
    <hyperlink ref="W5216" r:id="rId7172" xr:uid="{28628F2F-3341-0840-87C9-C9666BF08F97}"/>
    <hyperlink ref="J5217" r:id="rId7173" xr:uid="{882B1798-5B40-4F49-AF8C-C7804ECBA05F}"/>
    <hyperlink ref="W5217" r:id="rId7174" xr:uid="{85DDFD4E-FAFE-AE4C-8332-8AEAD611380F}"/>
    <hyperlink ref="J5218" r:id="rId7175" xr:uid="{B226E64C-7507-614B-BAB7-8108F03C8CE1}"/>
    <hyperlink ref="W5218" r:id="rId7176" xr:uid="{67022882-C41C-9C45-A733-4D4963EF7F4D}"/>
    <hyperlink ref="J5219" r:id="rId7177" xr:uid="{5E021A02-EA60-BB4F-9C0F-43C9624F65C0}"/>
    <hyperlink ref="J5220" r:id="rId7178" xr:uid="{A4BE55E6-6660-C04A-8818-A65773733F1C}"/>
    <hyperlink ref="W5220" r:id="rId7179" xr:uid="{8EF20060-80D4-4643-BDE6-80512CA157E0}"/>
    <hyperlink ref="J5221" r:id="rId7180" xr:uid="{58B35A5D-2DA4-224B-BA43-0BA687DBCCB9}"/>
    <hyperlink ref="W5221" r:id="rId7181" xr:uid="{9D471C19-54B3-B74A-947D-B4F8F7FCADD7}"/>
    <hyperlink ref="J5222" r:id="rId7182" xr:uid="{14417312-CB47-A54F-B98B-7DBD46251B27}"/>
    <hyperlink ref="W5222" r:id="rId7183" xr:uid="{C3976F25-6283-3B4E-B65B-C98DDD3BDDB4}"/>
    <hyperlink ref="J5223" r:id="rId7184" xr:uid="{4D0760CD-61C2-794E-85A8-EF153288750A}"/>
    <hyperlink ref="W5223" r:id="rId7185" xr:uid="{7BB1A427-0471-E144-89DF-749070A450FD}"/>
    <hyperlink ref="J5224" r:id="rId7186" xr:uid="{5B7E7E62-71CE-E54F-985B-9454DCD49E03}"/>
    <hyperlink ref="W5224" r:id="rId7187" xr:uid="{3878ACAA-147A-DA45-BD7D-2FFB37E4D9F3}"/>
    <hyperlink ref="J5225" r:id="rId7188" xr:uid="{F2C4C8B6-30E6-F947-B3EC-DF7A441C63FF}"/>
    <hyperlink ref="J5226" r:id="rId7189" xr:uid="{6064E5CE-2B81-6E4E-B93D-8728081FD2D6}"/>
    <hyperlink ref="W5226" r:id="rId7190" xr:uid="{903E7B3D-B7E0-454B-9700-DE3590D1B8BA}"/>
    <hyperlink ref="W5227" r:id="rId7191" xr:uid="{1D1E8ACA-CACA-5C42-A281-038EE7328693}"/>
    <hyperlink ref="J5228" r:id="rId7192" xr:uid="{6F1A002F-914D-4E45-9D2F-46CE83A55703}"/>
    <hyperlink ref="W5228" r:id="rId7193" xr:uid="{2C7FB720-D1D2-8842-A179-1FB2220C45DA}"/>
    <hyperlink ref="J5229" r:id="rId7194" xr:uid="{A5317E5F-71D8-A54E-8E8E-582A683485DB}"/>
    <hyperlink ref="W5229" r:id="rId7195" xr:uid="{E8FDBFD8-FB85-1440-B993-9A21ADC94ABF}"/>
    <hyperlink ref="J5230" r:id="rId7196" xr:uid="{D8DBF1F6-611C-504A-A783-DCC4E41BFA0C}"/>
    <hyperlink ref="W5230" r:id="rId7197" xr:uid="{D33E1ADF-02C0-9042-8A64-B7DD4F823DD0}"/>
    <hyperlink ref="J5231" r:id="rId7198" xr:uid="{440D75AA-188D-B94A-84CA-2B984E026B4F}"/>
    <hyperlink ref="J5232" r:id="rId7199" xr:uid="{F56CFB6A-13DC-D44E-82E4-C08C07B91BFF}"/>
    <hyperlink ref="J5233" r:id="rId7200" xr:uid="{A1DC0513-C6BF-514F-A09A-32DDB3EE05FA}"/>
    <hyperlink ref="W5233" r:id="rId7201" xr:uid="{AC914845-6A6F-9D46-BB4F-CDDEE4649FEB}"/>
    <hyperlink ref="J5234" r:id="rId7202" xr:uid="{12B6D4DA-8B50-104E-9EA2-C96191B616EA}"/>
    <hyperlink ref="W5234" r:id="rId7203" xr:uid="{6136B989-5786-E44B-A6CA-E11D20FE041E}"/>
    <hyperlink ref="J5235" r:id="rId7204" xr:uid="{0F1E2674-39FA-E04A-82A3-5C02BA0292E9}"/>
    <hyperlink ref="J5236" r:id="rId7205" xr:uid="{7D6B0916-7A6C-A541-A609-1C01B228D363}"/>
    <hyperlink ref="W5236" r:id="rId7206" xr:uid="{0F9159C8-AA7B-434E-9B68-001614E7358D}"/>
    <hyperlink ref="J5237" r:id="rId7207" xr:uid="{461B40AE-EA49-324A-A332-28E82663D65A}"/>
    <hyperlink ref="J5238" r:id="rId7208" xr:uid="{11344AF0-75CA-7B45-B7FA-B8F7081CE788}"/>
    <hyperlink ref="W5238" r:id="rId7209" xr:uid="{A70205E7-0F20-4540-96F8-DC657B462694}"/>
    <hyperlink ref="J5239" r:id="rId7210" xr:uid="{B26729A7-52EC-2246-BEC9-D6627FBD9372}"/>
    <hyperlink ref="W5239" r:id="rId7211" xr:uid="{859EEF55-261E-F54C-8A53-A2743525FE40}"/>
    <hyperlink ref="J5240" r:id="rId7212" xr:uid="{206378BF-DEEA-A542-889B-5AA462D7657C}"/>
    <hyperlink ref="W5240" r:id="rId7213" xr:uid="{D407E713-BD87-0B46-BC3D-E5380516577C}"/>
    <hyperlink ref="J5241" r:id="rId7214" xr:uid="{349AD1CD-80F0-3146-9287-882AAE9AD2E6}"/>
    <hyperlink ref="W5241" r:id="rId7215" xr:uid="{385275E3-D679-E945-A501-6DF89B0B90CB}"/>
    <hyperlink ref="J5242" r:id="rId7216" xr:uid="{994F045E-CBBC-CC4B-ADBC-8D7DB5448513}"/>
    <hyperlink ref="W5242" r:id="rId7217" xr:uid="{A8D584E9-512B-9B4E-AF1E-423A2B431712}"/>
    <hyperlink ref="J5243" r:id="rId7218" xr:uid="{186498EF-F8A4-1941-8482-EAB60AD48289}"/>
    <hyperlink ref="W5243" r:id="rId7219" xr:uid="{FBA84B9B-38FF-164B-95FA-632EA60FE886}"/>
    <hyperlink ref="J5244" r:id="rId7220" xr:uid="{B99A7FBA-D37E-204C-B97B-DE6993B12796}"/>
    <hyperlink ref="W5244" r:id="rId7221" xr:uid="{578B6A4F-C74F-FF4D-9A46-D49D87F52DE0}"/>
    <hyperlink ref="J5245" r:id="rId7222" xr:uid="{EAC6C9A2-13B2-1441-9AB9-2979EB49C33C}"/>
    <hyperlink ref="J5246" r:id="rId7223" xr:uid="{A1F43B64-A459-844C-BDE3-289E102DD3C4}"/>
    <hyperlink ref="W5246" r:id="rId7224" xr:uid="{07F57CAA-8A9F-2045-A126-36CEB07D3718}"/>
    <hyperlink ref="J5247" r:id="rId7225" xr:uid="{5E3B01FC-00EC-5146-B679-17CD0038D5FE}"/>
    <hyperlink ref="W5247" r:id="rId7226" xr:uid="{46E3D30D-B7B7-B946-AC3B-4CF4EEA3F837}"/>
    <hyperlink ref="J5248" r:id="rId7227" xr:uid="{4EB6B3F2-DE90-8148-B177-89632FCABDB5}"/>
    <hyperlink ref="W5248" r:id="rId7228" xr:uid="{C58004B2-B950-B346-B61C-0E466FD2E975}"/>
    <hyperlink ref="J5249" r:id="rId7229" xr:uid="{1F1E4876-475C-0B46-BF08-FF955176ED70}"/>
    <hyperlink ref="W5249" r:id="rId7230" xr:uid="{504A950C-62A2-914B-AC03-369D6E83B12F}"/>
    <hyperlink ref="J5250" r:id="rId7231" xr:uid="{C82B8D69-DA6C-1C4A-9A3E-5B3E031286AF}"/>
    <hyperlink ref="W5250" r:id="rId7232" xr:uid="{7B0B198E-776D-9943-AAEF-EC7F51893177}"/>
    <hyperlink ref="J5251" r:id="rId7233" xr:uid="{3964067C-5660-564B-8184-DB033A8740D8}"/>
    <hyperlink ref="W5251" r:id="rId7234" xr:uid="{CD268295-E84C-B64D-B06D-93DD6409F1FA}"/>
    <hyperlink ref="J5252" r:id="rId7235" xr:uid="{330564DB-47C0-4B43-8DE1-ECA346F56BF4}"/>
    <hyperlink ref="W5252" r:id="rId7236" xr:uid="{87FFD49D-A027-9B4E-8395-F8B5944F2C3F}"/>
    <hyperlink ref="J5253" r:id="rId7237" xr:uid="{8C54E7BD-09E8-B146-8B8B-E37A1E839CE3}"/>
    <hyperlink ref="J5254" r:id="rId7238" xr:uid="{BD09284D-AE88-284B-831B-149210FBF9A3}"/>
    <hyperlink ref="W5254" r:id="rId7239" xr:uid="{E5FC48A3-C5B2-8F4C-BDEB-09E9B6E3A3E2}"/>
    <hyperlink ref="J5255" r:id="rId7240" xr:uid="{3488E1E4-4A2A-694A-8CC3-3C4AEF4DB630}"/>
    <hyperlink ref="W5255" r:id="rId7241" xr:uid="{CC6A4FB5-2FEC-554B-AE30-26FA762F40E4}"/>
    <hyperlink ref="J5256" r:id="rId7242" xr:uid="{3A436B3E-104F-7447-AD26-22F82C6C12E2}"/>
    <hyperlink ref="W5256" r:id="rId7243" xr:uid="{45DF8EF8-D66B-994C-A69D-B14695B71D07}"/>
    <hyperlink ref="J5257" r:id="rId7244" xr:uid="{A927132A-D388-8349-BA59-F66BE736F821}"/>
    <hyperlink ref="W5257" r:id="rId7245" xr:uid="{6681B380-8D09-DD46-B3B2-F9667A41F404}"/>
    <hyperlink ref="J5258" r:id="rId7246" xr:uid="{48CC16F1-AE75-3D46-A84A-9670C7CB030D}"/>
    <hyperlink ref="W5258" r:id="rId7247" xr:uid="{CC044C8F-F760-8742-8420-F3A48D1A3964}"/>
    <hyperlink ref="J5259" r:id="rId7248" xr:uid="{451EAEA3-D2C7-E041-B981-2C8858FDE6D5}"/>
    <hyperlink ref="J5260" r:id="rId7249" xr:uid="{93924011-2C1E-6743-877C-B244464142B9}"/>
    <hyperlink ref="W5260" r:id="rId7250" xr:uid="{45B8E840-E46B-9141-BEBC-D502EC6EDE65}"/>
    <hyperlink ref="J5261" r:id="rId7251" xr:uid="{DBE124E7-A13A-C141-B9B0-5F8FA213F8BA}"/>
    <hyperlink ref="J5262" r:id="rId7252" xr:uid="{6CA7CCF2-0D38-AF46-9AA7-6D1A8E74E9B8}"/>
    <hyperlink ref="W5262" r:id="rId7253" xr:uid="{216905B3-D588-E941-933E-2C3BA34A61C6}"/>
    <hyperlink ref="J5263" r:id="rId7254" xr:uid="{650EA35F-6033-404B-B447-0450D4B2F158}"/>
    <hyperlink ref="J5264" r:id="rId7255" xr:uid="{7476D566-D48E-9246-BBE7-95E58AAA8CAF}"/>
    <hyperlink ref="W5264" r:id="rId7256" xr:uid="{5B9379D2-DA22-0344-82C1-FC4E6EBF1460}"/>
    <hyperlink ref="J5265" r:id="rId7257" xr:uid="{D0742997-B5EA-414E-B4D0-9FEC8FF5CDAC}"/>
    <hyperlink ref="W5265" r:id="rId7258" xr:uid="{F33A1EBB-1D72-1D4B-ADBF-5E85CF530D22}"/>
    <hyperlink ref="J5266" r:id="rId7259" xr:uid="{8E7FE59D-F6BE-C745-BC5A-3E5FDCED3086}"/>
    <hyperlink ref="W5266" r:id="rId7260" xr:uid="{BB937C72-736A-E441-8F82-3B0A29A6E7DE}"/>
    <hyperlink ref="J5267" r:id="rId7261" xr:uid="{43977B9F-D08D-374A-ACFE-61A630896109}"/>
    <hyperlink ref="W5267" r:id="rId7262" xr:uid="{520F17CF-9CE0-5143-BFA3-97D2E92A986D}"/>
    <hyperlink ref="J5268" r:id="rId7263" xr:uid="{C1009DA4-1FFD-D247-9C48-918423C69765}"/>
    <hyperlink ref="J5269" r:id="rId7264" xr:uid="{B103BD7F-17B4-874C-B8CA-359CC193BC42}"/>
    <hyperlink ref="J5270" r:id="rId7265" xr:uid="{D2279F06-E5CD-C843-BB90-A5D1D0323611}"/>
    <hyperlink ref="J5271" r:id="rId7266" xr:uid="{F5D93273-46F8-E947-88CA-CC78F97C32D5}"/>
    <hyperlink ref="J5272" r:id="rId7267" xr:uid="{D952583F-9DCB-BF4C-870E-8AE1A7D08B9B}"/>
    <hyperlink ref="J5273" r:id="rId7268" xr:uid="{B3E2E67D-862E-554C-9B3A-D3BDB9B8F13E}"/>
    <hyperlink ref="J5274" r:id="rId7269" xr:uid="{1C376625-0F28-6D4B-AB30-976FBE36E85D}"/>
    <hyperlink ref="J5275" r:id="rId7270" xr:uid="{78ADFCCD-AC3A-0148-B54B-2E2E302696DA}"/>
    <hyperlink ref="J5276" r:id="rId7271" xr:uid="{E67C6F4F-6C98-054B-A940-854348E9E49F}"/>
    <hyperlink ref="J5277" r:id="rId7272" xr:uid="{1EF77C0E-D065-B54A-AE91-975795D15A99}"/>
    <hyperlink ref="J5278" r:id="rId7273" xr:uid="{0717E102-3FBD-C443-90BF-DB70210599EF}"/>
    <hyperlink ref="J5279" r:id="rId7274" xr:uid="{D74EF858-7157-9345-B384-AB2ED7BE97E3}"/>
    <hyperlink ref="J5280" r:id="rId7275" xr:uid="{60EA25B6-2B28-C543-84B3-81E09855F50B}"/>
    <hyperlink ref="J5281" r:id="rId7276" xr:uid="{14092679-2669-2A4A-9376-866EC3370E6E}"/>
    <hyperlink ref="J5282" r:id="rId7277" xr:uid="{D7678BB3-7D81-E745-B65E-49149405DD9B}"/>
    <hyperlink ref="J5283" r:id="rId7278" xr:uid="{96400957-B857-1C4C-ACAF-E18C99013CDA}"/>
    <hyperlink ref="J5284" r:id="rId7279" xr:uid="{28632B8D-27CD-BA42-BD43-5604F0B0C241}"/>
    <hyperlink ref="J5285" r:id="rId7280" xr:uid="{73B0090D-21F6-9544-9AD9-B9EFD982F4BB}"/>
    <hyperlink ref="J5286" r:id="rId7281" xr:uid="{B007928D-CB56-DD4D-95C9-7418D703AFE4}"/>
    <hyperlink ref="J5287" r:id="rId7282" xr:uid="{EE26D7F4-39FA-4B4D-B40B-D7C94CFE0731}"/>
    <hyperlink ref="J5288" r:id="rId7283" xr:uid="{771926B3-6BCF-B44E-86D5-AA874199732C}"/>
    <hyperlink ref="J5289" r:id="rId7284" xr:uid="{0432A7D2-B11B-F64F-A8FB-41A8E6B07B57}"/>
    <hyperlink ref="J5290" r:id="rId7285" xr:uid="{501E03CD-FF53-F348-AA20-BB657600BA71}"/>
    <hyperlink ref="J5291" r:id="rId7286" xr:uid="{A974AAAE-86F6-F647-8592-882807238DD1}"/>
    <hyperlink ref="J5292" r:id="rId7287" xr:uid="{E1B675F6-AE4D-F74B-B779-CCCC387D61A9}"/>
    <hyperlink ref="J5293" r:id="rId7288" xr:uid="{55512266-AE0C-4C46-8FBB-98AFC7374D3A}"/>
    <hyperlink ref="J5294" r:id="rId7289" xr:uid="{CB1F4328-B40B-534B-93F9-6BB451D30848}"/>
    <hyperlink ref="J5295" r:id="rId7290" xr:uid="{766FF95B-08B7-5747-8AA2-B5632F37C7DD}"/>
    <hyperlink ref="J5296" r:id="rId7291" xr:uid="{88F76B8B-8FA3-3D45-89D6-657E23A60A7B}"/>
    <hyperlink ref="W5296" r:id="rId7292" xr:uid="{4E24B4F3-06ED-5144-8F7B-31812B34F602}"/>
    <hyperlink ref="J5297" r:id="rId7293" xr:uid="{2FED11B1-D2F0-9246-B02A-43D6E81CDD22}"/>
    <hyperlink ref="J5298" r:id="rId7294" xr:uid="{85863EF2-CD3B-C542-A8FF-51929483C5B5}"/>
    <hyperlink ref="W5298" r:id="rId7295" xr:uid="{553F196F-FDBA-A846-9386-9D342CA79AA0}"/>
    <hyperlink ref="J5299" r:id="rId7296" xr:uid="{D0E5DF7A-2B88-2A40-BAA1-B8928AB3ABEE}"/>
    <hyperlink ref="W5299" r:id="rId7297" xr:uid="{C760A0CE-2B90-AD48-AD88-88658EB4D2E4}"/>
    <hyperlink ref="J5300" r:id="rId7298" xr:uid="{B304B95F-DF52-AE4A-A428-F4C8F2790A43}"/>
    <hyperlink ref="J5301" r:id="rId7299" xr:uid="{D5C2AB3D-FF73-9044-9B92-99240330F50E}"/>
    <hyperlink ref="W5301" r:id="rId7300" xr:uid="{5F51D472-8128-F548-A525-EBB73A7E4BFF}"/>
    <hyperlink ref="J5302" r:id="rId7301" xr:uid="{AAB295F8-7014-CD42-9DB2-9CB5F09053FA}"/>
    <hyperlink ref="J5303" r:id="rId7302" xr:uid="{C1B5365C-5314-4746-BA0E-8529A61CFF85}"/>
    <hyperlink ref="J5304" r:id="rId7303" xr:uid="{BCD074C3-8D6D-5448-93D7-7D898192BD5D}"/>
    <hyperlink ref="J5305" r:id="rId7304" xr:uid="{37587508-E526-5144-B686-7CA3551621B1}"/>
    <hyperlink ref="J5306" r:id="rId7305" xr:uid="{85A7DF65-536A-8745-9035-76E7C5D722A3}"/>
    <hyperlink ref="J5307" r:id="rId7306" xr:uid="{D696EB82-B0A2-F74F-B6C0-3FA3A3274D06}"/>
    <hyperlink ref="J5308" r:id="rId7307" xr:uid="{691AFFF3-F388-8040-A942-1357E80E0BF5}"/>
    <hyperlink ref="J5309" r:id="rId7308" xr:uid="{57675A30-3881-7043-90FA-51F4364BED69}"/>
    <hyperlink ref="J5310" r:id="rId7309" xr:uid="{92BEB1D4-DB65-844B-A606-766C373B2E59}"/>
    <hyperlink ref="J5311" r:id="rId7310" xr:uid="{FA115EF0-23AD-5A41-B94B-E29B21A27E0C}"/>
    <hyperlink ref="J5312" r:id="rId7311" xr:uid="{67961EB9-B598-2E41-9F9D-ED1AC79291AE}"/>
    <hyperlink ref="J5313" r:id="rId7312" xr:uid="{15E9AAC9-6565-E046-9D64-12EBD89A9334}"/>
    <hyperlink ref="W5313" r:id="rId7313" xr:uid="{08C3FED6-9DA2-BE4D-8826-CAE97D1ECE29}"/>
    <hyperlink ref="J5314" r:id="rId7314" xr:uid="{DD40C792-1FAC-3A45-94CB-D47CDE1145CB}"/>
    <hyperlink ref="J5315" r:id="rId7315" xr:uid="{B6C8ED55-F133-E049-A3BE-96D1D2467FA8}"/>
    <hyperlink ref="J5316" r:id="rId7316" xr:uid="{CDBCAF41-0121-D945-A749-201506E9FF19}"/>
    <hyperlink ref="J5317" r:id="rId7317" xr:uid="{A62A1E08-595E-CB46-B2EA-8EB9E4542923}"/>
    <hyperlink ref="J5318" r:id="rId7318" xr:uid="{1A77E0F8-C971-A34C-8BCF-F9CE4497BA5E}"/>
    <hyperlink ref="J5319" r:id="rId7319" xr:uid="{0900DB31-7083-3F48-8796-A41CB21B418C}"/>
    <hyperlink ref="J5320" r:id="rId7320" xr:uid="{7BB889FD-3843-1740-9BA0-29D4FF82EFB4}"/>
    <hyperlink ref="J5321" r:id="rId7321" xr:uid="{7E05BBFE-E6DB-7946-9EC2-B49FFA81D16F}"/>
    <hyperlink ref="J5322" r:id="rId7322" xr:uid="{FBDD0ECB-0076-B04F-BFFF-B3E82158DEAB}"/>
    <hyperlink ref="O5322" r:id="rId7323" xr:uid="{F1AE0E8B-CFB0-FE47-BDA1-724A94930AE1}"/>
    <hyperlink ref="J5323" r:id="rId7324" xr:uid="{99E21FD3-7B10-DB46-A9AB-ECEAB08291EF}"/>
    <hyperlink ref="W5323" r:id="rId7325" xr:uid="{5A44E89D-2AB6-DF43-ABA5-8BB25E661A22}"/>
    <hyperlink ref="J5324" r:id="rId7326" xr:uid="{079CD05C-35BF-B443-BA56-406B04DE7D6C}"/>
    <hyperlink ref="W5324" r:id="rId7327" xr:uid="{01A4DE1D-EDE1-AA49-A0BD-F3C8C44456E9}"/>
    <hyperlink ref="J5325" r:id="rId7328" xr:uid="{D781ECA2-9837-DE41-A7BD-FE72A483D440}"/>
    <hyperlink ref="J5326" r:id="rId7329" xr:uid="{17BA3CA8-BA46-1244-BD5A-04F80262A000}"/>
    <hyperlink ref="J5327" r:id="rId7330" xr:uid="{A18A8DA1-636B-1744-9BBA-0A445A16E487}"/>
    <hyperlink ref="W5327" r:id="rId7331" xr:uid="{256152A3-E82C-634C-95B7-AEAABC20817B}"/>
    <hyperlink ref="J5328" r:id="rId7332" xr:uid="{F6A79296-BE4D-C042-A10B-EC03F457D048}"/>
    <hyperlink ref="W5328" r:id="rId7333" xr:uid="{055A3748-4413-7944-A838-575691EE465A}"/>
    <hyperlink ref="J5329" r:id="rId7334" xr:uid="{8F891182-85EE-684A-9A61-896740F9F829}"/>
    <hyperlink ref="J5330" r:id="rId7335" xr:uid="{61D244FE-CA10-0644-A921-604E7BFB52E9}"/>
    <hyperlink ref="J5331" r:id="rId7336" xr:uid="{4A484F60-0C87-824C-BBCF-B48F9F91A13B}"/>
    <hyperlink ref="J5332" r:id="rId7337" xr:uid="{CF0F075D-8E5B-A34F-A7C6-DCCBAEA382C3}"/>
    <hyperlink ref="J5333" r:id="rId7338" xr:uid="{CEAEA322-5E42-FD46-9A6B-385746F00AFD}"/>
    <hyperlink ref="J5334" r:id="rId7339" xr:uid="{7F9AFA66-5BD6-BD46-BD52-373C69D3707B}"/>
    <hyperlink ref="J5335" r:id="rId7340" xr:uid="{9FE4564D-9EED-AF48-84FE-9C8B3214AEF4}"/>
    <hyperlink ref="J5336" r:id="rId7341" xr:uid="{C97143EE-A7F7-3440-9E7C-25C0E9F8DAC3}"/>
    <hyperlink ref="J5337" r:id="rId7342" xr:uid="{350AD0E7-CC92-6C42-9877-9C7796CD1CF3}"/>
    <hyperlink ref="J5338" r:id="rId7343" xr:uid="{5F7C9C8E-A42E-7F4E-AB02-A9B61A704EA9}"/>
    <hyperlink ref="J5339" r:id="rId7344" xr:uid="{B9593442-E89B-D847-9E51-ABE909402321}"/>
    <hyperlink ref="J5340" r:id="rId7345" xr:uid="{9916F855-144C-9547-AEBE-7D703C7FBBBD}"/>
    <hyperlink ref="J5341" r:id="rId7346" xr:uid="{BAB57FDA-97B3-6241-AF38-79727E171FA1}"/>
    <hyperlink ref="J5342" r:id="rId7347" xr:uid="{03A4F903-B4DF-5944-B8DB-8856871ED067}"/>
    <hyperlink ref="J5343" r:id="rId7348" xr:uid="{550BA028-1CE6-0E46-B4C1-A91962C5C5C6}"/>
    <hyperlink ref="J5344" r:id="rId7349" xr:uid="{08A07110-BDA9-0849-BD17-CB0D1743D7A8}"/>
    <hyperlink ref="W5344" r:id="rId7350" xr:uid="{43D86DBB-2241-9B46-9EA9-C15A28EA9C93}"/>
    <hyperlink ref="J5345" r:id="rId7351" xr:uid="{B9DDC0CB-A820-F64D-A94F-0EA7B6731F44}"/>
    <hyperlink ref="J5346" r:id="rId7352" xr:uid="{67FB5C86-6263-6D40-8A4D-9DDD05C0E5A5}"/>
    <hyperlink ref="J5347" r:id="rId7353" xr:uid="{FCAF3909-87BB-0F43-9A89-34FB5288DC13}"/>
    <hyperlink ref="J5348" r:id="rId7354" xr:uid="{9E14FC87-938A-1448-9B15-1193B15059E9}"/>
    <hyperlink ref="J5349" r:id="rId7355" xr:uid="{D80E7D9A-2D4F-E941-A145-34D509D1F9EF}"/>
    <hyperlink ref="J5350" r:id="rId7356" xr:uid="{BC20E5A4-A299-5047-BF24-991000DFED49}"/>
    <hyperlink ref="J5351" r:id="rId7357" xr:uid="{26BAF2D7-810B-A045-9FF1-62EE84732F75}"/>
    <hyperlink ref="J5352" r:id="rId7358" xr:uid="{842F29CF-D160-E24E-A527-34BE4B045E4C}"/>
    <hyperlink ref="J5353" r:id="rId7359" xr:uid="{9D7A43D8-528B-854A-87AA-936EC56A0501}"/>
    <hyperlink ref="W5353" r:id="rId7360" xr:uid="{72A9C67C-8106-D447-AFC1-DC3E6E013D4F}"/>
    <hyperlink ref="J5354" r:id="rId7361" xr:uid="{536B318B-09DA-054D-B407-180BC47F8BF9}"/>
    <hyperlink ref="W5354" r:id="rId7362" xr:uid="{919E2FEC-D54D-534E-8F9B-977452F6AA92}"/>
    <hyperlink ref="J5355" r:id="rId7363" xr:uid="{EBE90741-D505-DF44-A618-C73BDF2B07D4}"/>
    <hyperlink ref="J5356" r:id="rId7364" xr:uid="{1F217A58-B771-6E40-AF9D-DB24ADC50AF8}"/>
    <hyperlink ref="J5357" r:id="rId7365" xr:uid="{89F41056-8652-644E-A330-DB0D0098923B}"/>
    <hyperlink ref="J5358" r:id="rId7366" xr:uid="{2EFD1CFF-FEBD-E444-8658-0D8AAE6261B2}"/>
    <hyperlink ref="J5359" r:id="rId7367" xr:uid="{2E75D145-1C95-9442-A86D-6C855805D56C}"/>
    <hyperlink ref="J5360" r:id="rId7368" xr:uid="{BE189B04-9352-F345-AC49-2C1D70448306}"/>
    <hyperlink ref="J5361" r:id="rId7369" xr:uid="{A50F2452-C545-E24F-9998-CAF3D3FF01ED}"/>
    <hyperlink ref="J5362" r:id="rId7370" xr:uid="{567653D7-3FA0-D84C-904E-4F776C2762B1}"/>
    <hyperlink ref="J5363" r:id="rId7371" xr:uid="{3D37658F-6F51-FA46-8024-43D15AC47B91}"/>
    <hyperlink ref="J5364" r:id="rId7372" xr:uid="{A1502303-2D05-664E-95E9-23DF58F57B4A}"/>
    <hyperlink ref="J5365" r:id="rId7373" xr:uid="{992F0DBA-C852-CF4F-B986-3BF7223444F8}"/>
    <hyperlink ref="W5365" r:id="rId7374" xr:uid="{BBF36CC0-480B-E24C-A01E-35E5EBA96BAE}"/>
    <hyperlink ref="J5366" r:id="rId7375" xr:uid="{DEB77F08-4ACF-B34B-8099-12D9CB6784A6}"/>
    <hyperlink ref="J5367" r:id="rId7376" xr:uid="{8EAC1673-E470-8D42-ACA0-98699561BEAD}"/>
    <hyperlink ref="J5368" r:id="rId7377" xr:uid="{EB795922-C56C-A04F-AF72-93F1167E119A}"/>
    <hyperlink ref="J5369" r:id="rId7378" xr:uid="{A71667C0-E5BC-8E43-B027-C816CB36A89B}"/>
    <hyperlink ref="J5370" r:id="rId7379" xr:uid="{ABB98EA3-7950-BF49-A5C2-6260680DBEA6}"/>
    <hyperlink ref="J5371" r:id="rId7380" xr:uid="{70966637-C793-874B-AFE8-25AECEAC194A}"/>
    <hyperlink ref="J5372" r:id="rId7381" xr:uid="{766DC289-61FE-0E46-8D2B-8CDDC2B65B38}"/>
    <hyperlink ref="J5373" r:id="rId7382" xr:uid="{8C97A831-048D-A845-8416-96E7F73F6C77}"/>
    <hyperlink ref="J5374" r:id="rId7383" xr:uid="{7A903531-1BEF-3D48-88FA-B661C23CABA2}"/>
    <hyperlink ref="J5375" r:id="rId7384" xr:uid="{9A05BE4E-FD98-5948-85EC-E866EFC11AF0}"/>
    <hyperlink ref="J5376" r:id="rId7385" xr:uid="{2259D4D5-DC72-F349-9D0D-BBF9E1AA0BE5}"/>
    <hyperlink ref="J5377" r:id="rId7386" xr:uid="{5D11ED1E-A55B-F549-8C50-CF82DA2B02D1}"/>
    <hyperlink ref="J5378" r:id="rId7387" xr:uid="{EBC2E525-EF9E-FF44-8DB1-B7CB6384BF24}"/>
    <hyperlink ref="J5379" r:id="rId7388" xr:uid="{88DCCB38-5E54-A640-BA2D-2E0C98A626FD}"/>
    <hyperlink ref="J5380" r:id="rId7389" xr:uid="{8AD7AF02-38CD-314D-B8F8-B5F53EB361E9}"/>
    <hyperlink ref="J5381" r:id="rId7390" xr:uid="{CECDFCFB-1D89-E84C-B70A-6425FCEA85AE}"/>
    <hyperlink ref="J5382" r:id="rId7391" xr:uid="{048518B4-0288-C64C-BD71-C98CA818C017}"/>
    <hyperlink ref="W5382" r:id="rId7392" xr:uid="{977CCE76-724C-D349-83F1-D4E6BB94F319}"/>
    <hyperlink ref="J5383" r:id="rId7393" xr:uid="{3935A54F-CDDC-D743-AB9C-6144A38549A9}"/>
    <hyperlink ref="J5384" r:id="rId7394" xr:uid="{E4D1DD45-FC02-DB45-81D4-DFEE350CFE14}"/>
    <hyperlink ref="J5385" r:id="rId7395" xr:uid="{F4FFE39F-4AB6-FE45-AD64-6081085BDFD9}"/>
    <hyperlink ref="J5386" r:id="rId7396" xr:uid="{0F8E414A-EA5A-E141-8C1D-946C9FC45D3A}"/>
    <hyperlink ref="W5386" r:id="rId7397" xr:uid="{3DA059C4-A725-EC41-A4DA-12D29EF222B9}"/>
    <hyperlink ref="J5387" r:id="rId7398" xr:uid="{DF340E03-B55D-2347-A3CB-A173626A0121}"/>
    <hyperlink ref="AG5387" r:id="rId7399" xr:uid="{AA33321B-EED9-5446-8246-C0A537070AD9}"/>
    <hyperlink ref="J5388" r:id="rId7400" xr:uid="{A4F3CAE7-8D79-B94F-8C2A-333E477AEF88}"/>
    <hyperlink ref="J5389" r:id="rId7401" xr:uid="{77EA830B-276C-5442-8C9C-3F105D3866E9}"/>
    <hyperlink ref="J5390" r:id="rId7402" xr:uid="{2696D8F8-4771-C04C-B48F-06E040458762}"/>
    <hyperlink ref="J5391" r:id="rId7403" xr:uid="{701BACE2-483B-B048-B81A-5AF3FDC6F68F}"/>
    <hyperlink ref="J5392" r:id="rId7404" xr:uid="{0909CFA7-82D4-AC47-AC71-3C5B5939E828}"/>
    <hyperlink ref="W5392" r:id="rId7405" xr:uid="{F8A95BD2-FD3E-714E-858E-56059C39E71C}"/>
    <hyperlink ref="AH5392" r:id="rId7406" xr:uid="{E5DD354F-1F0B-694C-BB7C-22024C1F112A}"/>
    <hyperlink ref="J5393" r:id="rId7407" xr:uid="{E7286A02-04A1-FF48-8C69-66CFB83C9E9C}"/>
    <hyperlink ref="J5394" r:id="rId7408" xr:uid="{E7F8E1F4-BB0A-714E-92AB-C40255D9E13E}"/>
    <hyperlink ref="W5394" r:id="rId7409" xr:uid="{1A573AFF-65AC-B54D-B2C9-CA8973780EB3}"/>
    <hyperlink ref="J5395" r:id="rId7410" xr:uid="{770E5217-9224-F947-9DAC-4F6B95F33768}"/>
    <hyperlink ref="J5396" r:id="rId7411" xr:uid="{FEEE4B93-FABA-6246-B949-86432B78C870}"/>
    <hyperlink ref="J5397" r:id="rId7412" xr:uid="{77C488E4-4183-7840-85F3-C8FBDBB2059D}"/>
    <hyperlink ref="W5397" r:id="rId7413" xr:uid="{07CC7E16-5A78-8A44-AFF0-3D0A406AA3F8}"/>
    <hyperlink ref="J5398" r:id="rId7414" xr:uid="{04967223-1893-374E-B98A-10409FE8924A}"/>
    <hyperlink ref="J5399" r:id="rId7415" xr:uid="{83EBB470-51FC-384E-976D-7D2D957FE315}"/>
    <hyperlink ref="J5400" r:id="rId7416" xr:uid="{7C3DE5B3-4D3A-4F46-9358-816F1B8FB96C}"/>
    <hyperlink ref="W5400" r:id="rId7417" xr:uid="{695C6A96-B38F-8046-BA11-B6038EF9F426}"/>
    <hyperlink ref="J5401" r:id="rId7418" xr:uid="{2EA420DD-6E97-744D-80EF-697EF87B11E6}"/>
    <hyperlink ref="J5402" r:id="rId7419" xr:uid="{DB938F49-248F-FC42-AB69-53104B3D997E}"/>
    <hyperlink ref="J5403" r:id="rId7420" xr:uid="{25D0D213-6C8D-EF46-938F-DCE5CA5BB456}"/>
    <hyperlink ref="J5404" r:id="rId7421" xr:uid="{2095B825-E181-AF4C-8C12-C88CEB5BF6B5}"/>
    <hyperlink ref="J5405" r:id="rId7422" xr:uid="{C2E7C06A-158C-A940-8417-053EC0AB203D}"/>
    <hyperlink ref="J5406" r:id="rId7423" xr:uid="{940B5436-63BA-9B41-95B7-8391193A8B81}"/>
    <hyperlink ref="J5407" r:id="rId7424" xr:uid="{C3F47E70-B0E7-6047-B7B5-FBDFC2269E96}"/>
    <hyperlink ref="J5408" r:id="rId7425" xr:uid="{BC9785C3-F9BB-4C45-8F31-49CF21459307}"/>
    <hyperlink ref="J5409" r:id="rId7426" xr:uid="{B7CA18E4-DE48-9F4F-9986-02C5476ACADF}"/>
    <hyperlink ref="J5410" r:id="rId7427" xr:uid="{B067CD9A-E6D2-D949-B05F-1AA5A1ABB117}"/>
    <hyperlink ref="J5411" r:id="rId7428" xr:uid="{3650D820-7668-5A4E-861F-FE7A958BF8DF}"/>
    <hyperlink ref="J5412" r:id="rId7429" xr:uid="{61B524D9-83B9-CA43-AB18-6EA5D879223A}"/>
    <hyperlink ref="J5413" r:id="rId7430" xr:uid="{710D08A0-38FD-D34B-B6D0-3E68A7C7653F}"/>
    <hyperlink ref="J5414" r:id="rId7431" xr:uid="{B23283CD-BDA9-0A49-8B00-18C8679A590D}"/>
    <hyperlink ref="J5415" r:id="rId7432" xr:uid="{E8B1B181-60C0-F641-9309-F69046DFD2BD}"/>
    <hyperlink ref="W5415" r:id="rId7433" xr:uid="{E38650F2-42BC-5242-8151-7A91A5912401}"/>
    <hyperlink ref="J5416" r:id="rId7434" xr:uid="{BA8C6534-A13D-1A4D-902F-9A19445E2A6D}"/>
    <hyperlink ref="J5417" r:id="rId7435" xr:uid="{5959EF9C-96AE-1D46-9644-FD00C78FC018}"/>
    <hyperlink ref="W5417" r:id="rId7436" xr:uid="{ACC95F6F-A516-ED46-9569-85864C19CC50}"/>
    <hyperlink ref="J5418" r:id="rId7437" xr:uid="{EC300AAA-2596-9C4E-A98E-AA412203842F}"/>
    <hyperlink ref="W5418" r:id="rId7438" xr:uid="{8935738E-E92E-724C-A458-334C9225F940}"/>
    <hyperlink ref="J5419" r:id="rId7439" xr:uid="{4D543A25-59CB-8F48-B7DE-33CBBA7B4964}"/>
    <hyperlink ref="J5420" r:id="rId7440" xr:uid="{016FBBEB-6D59-F546-8943-9D006C42A68B}"/>
    <hyperlink ref="J5421" r:id="rId7441" xr:uid="{A8BCA135-B816-9947-AED4-94FE9072309B}"/>
    <hyperlink ref="J5422" r:id="rId7442" xr:uid="{809141BB-6486-1A47-B0CF-58566E53F9DD}"/>
    <hyperlink ref="J5423" r:id="rId7443" xr:uid="{7DC946C6-7314-5B4E-BA51-F9630C960FB2}"/>
    <hyperlink ref="W5423" r:id="rId7444" xr:uid="{1D76D864-E4E0-6846-A94B-87864312721E}"/>
    <hyperlink ref="J5424" r:id="rId7445" xr:uid="{6CE82708-855C-1D4F-A2B8-C7994DC313B0}"/>
    <hyperlink ref="W5424" r:id="rId7446" xr:uid="{F72AABB3-4D51-124D-9F39-E2BF49832091}"/>
    <hyperlink ref="J5425" r:id="rId7447" xr:uid="{9F81CFE2-B8ED-1C4D-9EA2-D9A86B21D95C}"/>
    <hyperlink ref="J5426" r:id="rId7448" xr:uid="{D65CB1D8-9EAC-CE43-9D20-5A48C4A9F720}"/>
    <hyperlink ref="J5427" r:id="rId7449" xr:uid="{C8D4B34E-8365-D541-AC55-50E281922A38}"/>
    <hyperlink ref="J5428" r:id="rId7450" xr:uid="{206019C0-C52D-8F4A-9973-3AA08724CBE0}"/>
    <hyperlink ref="J5429" r:id="rId7451" xr:uid="{ED4A0353-F307-0A4A-86AB-AFA83DF1673B}"/>
    <hyperlink ref="W5429" r:id="rId7452" xr:uid="{3F99A1D1-85CF-784A-9137-DB4929CB6ABD}"/>
    <hyperlink ref="J5430" r:id="rId7453" xr:uid="{188A0180-8069-D245-8D1B-BFC7590444B6}"/>
    <hyperlink ref="J5431" r:id="rId7454" xr:uid="{3890B5AA-F191-8F46-9EEC-001E5C9E580B}"/>
    <hyperlink ref="J5432" r:id="rId7455" xr:uid="{39B2E567-1625-CC48-87A0-06131F9B2814}"/>
    <hyperlink ref="J5433" r:id="rId7456" xr:uid="{278C4300-727B-3049-A683-5A218A4A9C3B}"/>
    <hyperlink ref="J5434" r:id="rId7457" xr:uid="{2DE5E38E-8DAD-C448-A0D1-07C92FB6BB8B}"/>
    <hyperlink ref="J5435" r:id="rId7458" xr:uid="{DF65B5F5-9725-4F40-9366-694B004D851E}"/>
    <hyperlink ref="W5435" r:id="rId7459" xr:uid="{B0368ECD-1FF5-FA4B-8F24-F2E105B2E065}"/>
    <hyperlink ref="J5436" r:id="rId7460" xr:uid="{94FCF955-360E-714F-914D-57D6633B35AF}"/>
    <hyperlink ref="W5436" r:id="rId7461" xr:uid="{1871401B-CFA1-8A4E-9716-28630AE3D109}"/>
    <hyperlink ref="J5437" r:id="rId7462" xr:uid="{7AD241D6-D07D-EF4C-91E2-6D22583B32AD}"/>
    <hyperlink ref="W5437" r:id="rId7463" xr:uid="{3B0D116F-87AB-F74E-9F68-86CB184DE4E0}"/>
    <hyperlink ref="J5438" r:id="rId7464" xr:uid="{459028D8-BDAD-9248-8CB6-595AE356DE92}"/>
    <hyperlink ref="J5439" r:id="rId7465" xr:uid="{429BA8DF-1CD3-644C-88D3-E83C5DB9D677}"/>
    <hyperlink ref="J5440" r:id="rId7466" xr:uid="{0F779672-0FF1-2942-B577-A27477CA33BF}"/>
    <hyperlink ref="J5441" r:id="rId7467" xr:uid="{7B9F5EAF-F628-8541-84B5-1A28F8F642F2}"/>
    <hyperlink ref="J5442" r:id="rId7468" xr:uid="{07A8D823-F20B-D645-BF0A-2BF2EF41A6EF}"/>
    <hyperlink ref="J5443" r:id="rId7469" xr:uid="{C2FAF836-DD95-124C-9813-C4F3C29E1D7A}"/>
    <hyperlink ref="J5444" r:id="rId7470" xr:uid="{661C2480-9171-5A4A-9558-72BEEE7B7C33}"/>
    <hyperlink ref="J5445" r:id="rId7471" xr:uid="{749364FB-1551-4143-8D1D-64897BCF9330}"/>
    <hyperlink ref="J5446" r:id="rId7472" xr:uid="{53DC3186-13A5-A348-9706-5544E2782FA5}"/>
    <hyperlink ref="J5447" r:id="rId7473" xr:uid="{84A7479B-B31A-984F-BD72-9E5EA0CD0FC2}"/>
    <hyperlink ref="W5447" r:id="rId7474" xr:uid="{D0F96A2D-6E4A-D047-81D8-975ACA83F1E6}"/>
    <hyperlink ref="J5448" r:id="rId7475" xr:uid="{9B4FEE7D-204C-624A-9F68-C1B29B959246}"/>
    <hyperlink ref="J5449" r:id="rId7476" xr:uid="{8EE8340E-5E85-9B47-A3AD-BEEA3A82A1CA}"/>
    <hyperlink ref="J5450" r:id="rId7477" xr:uid="{5978D813-5E97-2E42-BF8C-578F0714E421}"/>
    <hyperlink ref="W5450" r:id="rId7478" xr:uid="{74C886E5-D524-EA49-8D70-20021104E2B9}"/>
    <hyperlink ref="J5451" r:id="rId7479" xr:uid="{50D5C8F9-AC28-584F-B006-C2EE56B6BAE5}"/>
    <hyperlink ref="J5452" r:id="rId7480" xr:uid="{D8CEEA98-FF84-FD4D-95CE-60EAA0493FF8}"/>
    <hyperlink ref="J5453" r:id="rId7481" xr:uid="{A6ED9718-A030-E540-9904-C5A7CA9D0692}"/>
    <hyperlink ref="J5454" r:id="rId7482" xr:uid="{B279C82C-19E9-2742-A65D-8B0CADF3F28A}"/>
    <hyperlink ref="W5454" r:id="rId7483" xr:uid="{6EE5A2F2-C6A6-C347-B1DE-640D6820D7A0}"/>
    <hyperlink ref="J5455" r:id="rId7484" xr:uid="{AD9238AD-6553-9948-87EB-80F39820D20C}"/>
    <hyperlink ref="W5455" r:id="rId7485" xr:uid="{FA6BF789-2E93-B741-A4C3-B8C0011B81F8}"/>
    <hyperlink ref="J5456" r:id="rId7486" xr:uid="{F4889A2E-7F9F-3D40-831D-E193A1F275AA}"/>
    <hyperlink ref="J5457" r:id="rId7487" xr:uid="{3A16938F-FF43-CF4B-B78E-63A9279F533D}"/>
    <hyperlink ref="W5457" r:id="rId7488" xr:uid="{D14E8D29-79D7-974C-86C2-C3E389276007}"/>
    <hyperlink ref="J5458" r:id="rId7489" xr:uid="{A183FFC7-4734-8F4C-96CE-4049A83284DF}"/>
    <hyperlink ref="J5459" r:id="rId7490" xr:uid="{D343D7D4-09E2-EE4F-8866-6A49EEBD3030}"/>
    <hyperlink ref="J5460" r:id="rId7491" xr:uid="{DA6E7DFE-EB14-2F47-8F14-0C7D0E954638}"/>
    <hyperlink ref="W5460" r:id="rId7492" xr:uid="{476EBBB8-5DE6-4C47-8A44-62681B4AF52D}"/>
    <hyperlink ref="X5460" r:id="rId7493" xr:uid="{24620E12-BF09-5346-8835-47EC1FBDC5F9}"/>
    <hyperlink ref="J5461" r:id="rId7494" xr:uid="{F3C33ABE-A8A8-F245-A009-07BA02123999}"/>
    <hyperlink ref="J5462" r:id="rId7495" xr:uid="{51C86E2B-5935-4B4A-8B08-ECCECD20FAB3}"/>
    <hyperlink ref="J5463" r:id="rId7496" xr:uid="{46D2D8BB-BF1E-5C4A-A1D6-07CADA9A26BA}"/>
    <hyperlink ref="J5464" r:id="rId7497" xr:uid="{0CAE6329-588C-814C-A364-81015F6A648E}"/>
    <hyperlink ref="J5465" r:id="rId7498" xr:uid="{1BA6308E-28C0-4243-AE87-AF201B3368F7}"/>
    <hyperlink ref="J5466" r:id="rId7499" xr:uid="{78851EBA-1F19-5E47-8BD6-0195F52F0B28}"/>
    <hyperlink ref="J5467" r:id="rId7500" xr:uid="{EA3393C8-8572-544F-A817-368E3F868800}"/>
    <hyperlink ref="J5468" r:id="rId7501" xr:uid="{5B8EF0C0-A14F-6C4B-A45E-8DF88800E43A}"/>
    <hyperlink ref="J5469" r:id="rId7502" xr:uid="{3A163BF8-C812-1A45-B25F-1E5BE81F37D0}"/>
    <hyperlink ref="J5470" r:id="rId7503" xr:uid="{B757D0B4-C2C1-7447-9E46-D9AF897F7856}"/>
    <hyperlink ref="J5471" r:id="rId7504" xr:uid="{2C595159-C684-A04B-90A2-4D4D1F552F88}"/>
    <hyperlink ref="J5472" r:id="rId7505" xr:uid="{6AA9C2C7-120A-BC4B-8AB8-CB1E5ED1B5A2}"/>
    <hyperlink ref="J5473" r:id="rId7506" xr:uid="{BDD38D2A-21FB-E446-A488-963855C20760}"/>
    <hyperlink ref="J5474" r:id="rId7507" xr:uid="{11E72ED4-52CC-6345-BE62-8EF16ECFDF17}"/>
    <hyperlink ref="J5475" r:id="rId7508" xr:uid="{E562D653-3ABC-FF4E-9030-DC114FB8C808}"/>
    <hyperlink ref="J5476" r:id="rId7509" xr:uid="{F03B5CC3-A0DA-8D41-818E-16FB09B5E0EC}"/>
    <hyperlink ref="J5477" r:id="rId7510" xr:uid="{DAA5ECFF-A576-0A4B-B0FB-8A3B4C989EDB}"/>
    <hyperlink ref="AG5477" r:id="rId7511" xr:uid="{426B2079-36FE-9344-B16A-0F99AF72F1DE}"/>
    <hyperlink ref="J5478" r:id="rId7512" xr:uid="{BEFD25CD-CA5D-514E-A105-7980D0E438EF}"/>
    <hyperlink ref="J5479" r:id="rId7513" xr:uid="{1DBB3692-4FDF-4544-8110-8974C0F5E27F}"/>
    <hyperlink ref="J5480" r:id="rId7514" xr:uid="{B92FEF87-5C93-1B4D-BE7A-0D0DB920C97D}"/>
    <hyperlink ref="J5481" r:id="rId7515" xr:uid="{FE46D75F-71A5-AF4C-A5AE-747D5737CEEF}"/>
    <hyperlink ref="J5482" r:id="rId7516" xr:uid="{4EF142E1-7C9D-FB4C-8810-11517C546B0C}"/>
    <hyperlink ref="J5483" r:id="rId7517" xr:uid="{B5116807-0DC3-2E4F-B00F-68297285E78C}"/>
    <hyperlink ref="J5484" r:id="rId7518" xr:uid="{76E9E8F0-F72B-724A-80CE-8CEBBC5F3D60}"/>
    <hyperlink ref="J5485" r:id="rId7519" xr:uid="{980BF5B5-2242-0845-8159-738D453F6484}"/>
    <hyperlink ref="J5486" r:id="rId7520" xr:uid="{A0EF29AB-FB18-DC4B-A03F-E0DAA4DD90A3}"/>
    <hyperlink ref="J5487" r:id="rId7521" xr:uid="{B07A32CB-0B3F-A344-86F8-0EC293C9735E}"/>
    <hyperlink ref="J5488" r:id="rId7522" xr:uid="{F0BDF4FF-7A51-6E4C-973A-0247DB5887DF}"/>
    <hyperlink ref="J5489" r:id="rId7523" xr:uid="{5B7277D5-CDCA-5544-BDF6-E848B82267E4}"/>
    <hyperlink ref="J5490" r:id="rId7524" xr:uid="{141EA2BD-2439-F24D-86DE-61B5BB751B64}"/>
    <hyperlink ref="J5491" r:id="rId7525" xr:uid="{2774E27C-4E47-CD47-BD36-992E12BC24D9}"/>
    <hyperlink ref="J5492" r:id="rId7526" xr:uid="{C0590D37-5C74-C644-B04D-E3603C498D3D}"/>
    <hyperlink ref="J5493" r:id="rId7527" xr:uid="{7C5FADC4-5E12-B844-BC3B-055382A2DA54}"/>
    <hyperlink ref="W5493" r:id="rId7528" xr:uid="{51E17249-891A-0448-9A45-D8C828A4E79A}"/>
    <hyperlink ref="J5494" r:id="rId7529" xr:uid="{D55B1698-E1A9-704B-BF68-66BE6937B6F2}"/>
    <hyperlink ref="J5495" r:id="rId7530" xr:uid="{9EF4EF0D-C956-4D4A-993C-1B96C8A0F885}"/>
    <hyperlink ref="J5496" r:id="rId7531" xr:uid="{D5EC7860-4A71-2D43-BF09-85FB5E43E4D4}"/>
    <hyperlink ref="J5497" r:id="rId7532" xr:uid="{63DC7192-0F35-D94C-A9DB-6CE34A6212D4}"/>
    <hyperlink ref="J5498" r:id="rId7533" xr:uid="{F985669B-E774-8E4D-B63C-725ED984A50B}"/>
    <hyperlink ref="J5499" r:id="rId7534" xr:uid="{E31F2B61-C269-F847-8315-C7888A808EDA}"/>
    <hyperlink ref="W5499" r:id="rId7535" xr:uid="{200CEF50-CDB8-7F40-B390-F1572278ED42}"/>
    <hyperlink ref="J5500" r:id="rId7536" xr:uid="{FBA29917-2C76-894E-ADA6-37F92A47B089}"/>
    <hyperlink ref="J5501" r:id="rId7537" xr:uid="{94C366A2-169E-924C-A8D6-2D1A15A3EEA6}"/>
    <hyperlink ref="J5502" r:id="rId7538" xr:uid="{164A2D5B-2035-F244-A594-33D0F9DE4C14}"/>
    <hyperlink ref="W5502" r:id="rId7539" xr:uid="{007C5207-8F02-6E40-93F4-BEC1FA91AB4D}"/>
    <hyperlink ref="J5503" r:id="rId7540" xr:uid="{9379BEC2-DEF0-EA46-87D9-132309EECE81}"/>
    <hyperlink ref="J5504" r:id="rId7541" xr:uid="{2969255F-3F06-2046-B4DE-7B40ECBC716E}"/>
    <hyperlink ref="J5505" r:id="rId7542" xr:uid="{18BFACB6-614F-3548-BE72-ABC58981B935}"/>
    <hyperlink ref="J5506" r:id="rId7543" xr:uid="{92F56F33-E60E-E544-839D-21F93EEAC458}"/>
    <hyperlink ref="W5506" r:id="rId7544" xr:uid="{91BCAE4E-CAF1-5249-A1EF-01F1D1FEAE6B}"/>
    <hyperlink ref="J5507" r:id="rId7545" xr:uid="{D14BF738-76E3-CA49-9158-89011FF047FA}"/>
    <hyperlink ref="J5508" r:id="rId7546" xr:uid="{5F6F1185-A946-F64D-9A48-70DF943B97F7}"/>
    <hyperlink ref="J5509" r:id="rId7547" xr:uid="{9A0EF09E-2D96-9E4B-863B-5A7ECB471A45}"/>
    <hyperlink ref="J5510" r:id="rId7548" xr:uid="{3050CC5F-F5AA-A34C-A56D-CC7B2DE82875}"/>
    <hyperlink ref="J5511" r:id="rId7549" xr:uid="{6D9BAE09-0573-D645-B778-1793FDFC7823}"/>
    <hyperlink ref="W5511" r:id="rId7550" xr:uid="{444A39FF-C552-7642-AF63-F56AAC3607E3}"/>
    <hyperlink ref="J5512" r:id="rId7551" xr:uid="{5FE05B4E-23DE-BC46-83C9-AD9BC4D044F6}"/>
    <hyperlink ref="J5513" r:id="rId7552" xr:uid="{C8D3F8D9-9584-7347-A34E-207D8AE73F1D}"/>
    <hyperlink ref="J5514" r:id="rId7553" xr:uid="{8D7965AA-3EDF-984C-A161-FFD6C8D5AAB7}"/>
    <hyperlink ref="J5515" r:id="rId7554" xr:uid="{E724BC0D-90FF-AC46-A352-9909E08288A2}"/>
    <hyperlink ref="J5516" r:id="rId7555" xr:uid="{DBDFCD76-B43D-2647-B6A0-44084B8EF834}"/>
    <hyperlink ref="J5517" r:id="rId7556" xr:uid="{125059B5-51FA-D242-B5C3-E512788DA7AB}"/>
    <hyperlink ref="J5518" r:id="rId7557" xr:uid="{FA0DBFFB-C3FD-1240-A729-BBFA761C205F}"/>
    <hyperlink ref="W5518" r:id="rId7558" xr:uid="{E235DF2A-FC2D-2B41-96BD-AC9AF7AB8F5E}"/>
    <hyperlink ref="J5519" r:id="rId7559" xr:uid="{C2EEC43A-D927-D948-9930-6B7B5C77A85C}"/>
    <hyperlink ref="J5520" r:id="rId7560" xr:uid="{C9E5AE31-AB2E-F342-BB78-2C16D32BAA57}"/>
    <hyperlink ref="J5521" r:id="rId7561" xr:uid="{5756E603-FE09-B748-8BDD-B9B9D0AEA4FC}"/>
    <hyperlink ref="W5521" r:id="rId7562" xr:uid="{5DBEAD9C-58FC-7049-A4F7-F036D7CA5A44}"/>
    <hyperlink ref="J5522" r:id="rId7563" xr:uid="{D274CE59-FCEF-1343-A8C6-2FCE733C4354}"/>
    <hyperlink ref="J5523" r:id="rId7564" xr:uid="{357C3326-7A62-C04C-97E3-BB373F5B7832}"/>
    <hyperlink ref="W5523" r:id="rId7565" xr:uid="{99916760-9C64-4142-9C67-98D09A3C2D4E}"/>
    <hyperlink ref="J5524" r:id="rId7566" xr:uid="{29CFF977-49AB-C440-A501-95A0E6B97A27}"/>
    <hyperlink ref="W5524" r:id="rId7567" xr:uid="{E49F076B-D636-F741-8066-6D2BF9A82BFC}"/>
    <hyperlink ref="J5525" r:id="rId7568" xr:uid="{F4E621A7-EA58-974C-BE0E-00CE30AAD19B}"/>
    <hyperlink ref="W5525" r:id="rId7569" xr:uid="{8CBD2D3A-2E98-7D4B-8DE0-008379686D7B}"/>
    <hyperlink ref="J5526" r:id="rId7570" xr:uid="{BA726640-9A67-3C44-B27E-5E7407478458}"/>
    <hyperlink ref="W5526" r:id="rId7571" xr:uid="{BC6E72DC-AC56-314D-B31E-5D122547417C}"/>
    <hyperlink ref="J5527" r:id="rId7572" xr:uid="{991ADC56-3F19-E34F-B4A1-AD2228919A59}"/>
    <hyperlink ref="J5528" r:id="rId7573" xr:uid="{1AD4D47A-2AB8-0147-9B46-7A2CB14FFD04}"/>
    <hyperlink ref="J5529" r:id="rId7574" xr:uid="{3E944B6E-3EFD-7A41-A071-E017459B02BC}"/>
    <hyperlink ref="J5530" r:id="rId7575" xr:uid="{D6D8185D-947D-B646-B8C1-6ED3BF1ED31C}"/>
    <hyperlink ref="J5531" r:id="rId7576" xr:uid="{A7B5968B-770F-F744-9925-9F00A00C2F97}"/>
    <hyperlink ref="J5532" r:id="rId7577" xr:uid="{36DB02D6-0B08-FD4C-BF4F-9CE9A85B9D11}"/>
    <hyperlink ref="J5533" r:id="rId7578" xr:uid="{5C2D7EA7-888B-6947-9F34-0D00149B1679}"/>
    <hyperlink ref="W5533" r:id="rId7579" xr:uid="{3DDE2403-85B2-004A-8FF8-908902DFBFD7}"/>
    <hyperlink ref="J5534" r:id="rId7580" xr:uid="{31CA3A04-EBE1-C944-9D7B-89F303A1AB6E}"/>
    <hyperlink ref="J5535" r:id="rId7581" xr:uid="{5711D3E8-E0D1-8B44-B1EB-3EF1F09ACAD9}"/>
    <hyperlink ref="J5536" r:id="rId7582" xr:uid="{CC83C4F8-E455-A54D-968A-B3CDFA0FEFA7}"/>
    <hyperlink ref="J5537" r:id="rId7583" xr:uid="{5AEB964E-D552-FE40-B6D2-EE72C5992496}"/>
    <hyperlink ref="J5538" r:id="rId7584" xr:uid="{1B6C85F7-C4C5-2045-9166-C8D7D66C6D09}"/>
    <hyperlink ref="J5539" r:id="rId7585" xr:uid="{E84287D7-C04B-984F-9638-BD2B4E6BC7EB}"/>
    <hyperlink ref="J5540" r:id="rId7586" xr:uid="{DB1F4954-2A99-D04F-A979-0C445736193E}"/>
    <hyperlink ref="J5541" r:id="rId7587" xr:uid="{BC8701B4-5EC4-9240-B639-13CDF6CF4A9A}"/>
    <hyperlink ref="J5542" r:id="rId7588" xr:uid="{DFD5D23E-E022-984D-A6AC-68AB9238ED27}"/>
    <hyperlink ref="W5542" r:id="rId7589" xr:uid="{C443AA1A-EA08-6143-AF43-C6581A88C93C}"/>
    <hyperlink ref="J5543" r:id="rId7590" xr:uid="{77D25CD1-BA04-A043-9CAA-10A4A099820B}"/>
    <hyperlink ref="J5544" r:id="rId7591" xr:uid="{3B545EAD-11F9-534D-95DA-7D9E51E8DC57}"/>
    <hyperlink ref="J5545" r:id="rId7592" xr:uid="{1A3961BE-0487-2E43-8ECC-CE5AC7F658CF}"/>
    <hyperlink ref="J5546" r:id="rId7593" xr:uid="{2C633F80-6857-AA4C-B6B5-6AC45193A765}"/>
    <hyperlink ref="J5547" r:id="rId7594" xr:uid="{DD0CE243-B4DB-344A-AA24-F084B0F11E45}"/>
    <hyperlink ref="J5548" r:id="rId7595" xr:uid="{5D5FA34D-AA42-7244-8B64-3B05E4B66F50}"/>
    <hyperlink ref="J5549" r:id="rId7596" xr:uid="{5775A28F-1D0E-654F-AA7A-3E8153F370D7}"/>
    <hyperlink ref="W5549" r:id="rId7597" xr:uid="{CCDC9CEF-A115-B444-BFDB-6D09324B58CB}"/>
    <hyperlink ref="J5550" r:id="rId7598" xr:uid="{E5E8FF2F-8978-C64E-A265-587588113D4D}"/>
    <hyperlink ref="J5551" r:id="rId7599" xr:uid="{4F2E5F09-700D-6A45-B57F-69B1E17EA1F4}"/>
    <hyperlink ref="J5552" r:id="rId7600" xr:uid="{50F44FE0-8684-1849-B857-3C71CFC38FD3}"/>
    <hyperlink ref="J5553" r:id="rId7601" xr:uid="{31609804-6E66-B14B-9AB3-0548890F3B59}"/>
    <hyperlink ref="J5554" r:id="rId7602" xr:uid="{29200D78-86A8-B94E-90FF-753D8357353E}"/>
    <hyperlink ref="J5555" r:id="rId7603" xr:uid="{63447217-0D7D-0746-BA72-7B347B4E41D0}"/>
    <hyperlink ref="J5556" r:id="rId7604" xr:uid="{706712A0-6863-FE48-98D1-AED799F9C2DF}"/>
    <hyperlink ref="J5557" r:id="rId7605" xr:uid="{DDF0EA77-5F56-AF4F-8C9F-2D207658F02D}"/>
    <hyperlink ref="J5558" r:id="rId7606" xr:uid="{D90B27B7-7882-584D-A338-B7DFE20F25A1}"/>
    <hyperlink ref="J5559" r:id="rId7607" xr:uid="{1BCFC463-DD63-4E4A-BDFE-C065F9CD969B}"/>
    <hyperlink ref="J5560" r:id="rId7608" xr:uid="{F02942B3-8B06-C342-9D5E-90E75C5BAFA0}"/>
    <hyperlink ref="J5561" r:id="rId7609" xr:uid="{C428DDA0-48EF-A348-80B5-DE56C1736887}"/>
    <hyperlink ref="J5562" r:id="rId7610" xr:uid="{B4013B74-DE38-4647-A3BF-0A3510D40584}"/>
    <hyperlink ref="J5563" r:id="rId7611" xr:uid="{BC20ABF2-C94E-F44B-9F3B-EBEB8B0E02EC}"/>
    <hyperlink ref="J5564" r:id="rId7612" xr:uid="{97D7C4A3-C626-CD4D-BB05-01255970A299}"/>
    <hyperlink ref="J5565" r:id="rId7613" xr:uid="{6A09D1BA-7F2C-A741-B75C-F5A00260FEB0}"/>
    <hyperlink ref="J5566" r:id="rId7614" xr:uid="{A6955B72-420D-FF4B-A702-121BD264AE08}"/>
    <hyperlink ref="J5567" r:id="rId7615" xr:uid="{AB05B082-30D6-044E-9EF0-CB3E2E0A5E8A}"/>
    <hyperlink ref="J5568" r:id="rId7616" xr:uid="{E81CDD70-7567-1241-81AA-916E4D393518}"/>
    <hyperlink ref="J5569" r:id="rId7617" xr:uid="{A3684030-D32F-5940-ADE5-83FCD4653C2A}"/>
    <hyperlink ref="J5570" r:id="rId7618" xr:uid="{57C62C37-03ED-E94A-88E3-19A4B0A9E605}"/>
    <hyperlink ref="J5571" r:id="rId7619" xr:uid="{C1CFA3AC-AB79-1F42-9C92-AC3FB0FF91FE}"/>
    <hyperlink ref="J5572" r:id="rId7620" xr:uid="{68C46C62-9CA8-E14A-B654-51A2C5E5B7EC}"/>
    <hyperlink ref="J5573" r:id="rId7621" xr:uid="{AC0E0379-0D01-5E49-AFA8-D5A3A0B11236}"/>
    <hyperlink ref="J5574" r:id="rId7622" xr:uid="{936A900D-0D48-CB4A-93DC-94918259A5DF}"/>
    <hyperlink ref="W5574" r:id="rId7623" xr:uid="{D1A7CEE1-0DCF-4149-8158-E45D5EB5663E}"/>
    <hyperlink ref="J5575" r:id="rId7624" xr:uid="{335FAC84-9915-254E-AF18-66AF4430DC99}"/>
    <hyperlink ref="J5576" r:id="rId7625" xr:uid="{6212D3BC-3474-AD41-953B-772882DC15BA}"/>
    <hyperlink ref="J5577" r:id="rId7626" xr:uid="{C071F93A-560D-C544-B1CE-92397554892C}"/>
    <hyperlink ref="J5578" r:id="rId7627" xr:uid="{8F3D9D50-C417-9547-8B69-AEB4C6E92BED}"/>
    <hyperlink ref="J5579" r:id="rId7628" xr:uid="{C7154BF8-26C2-7741-8BDD-D6DFA791CD4F}"/>
    <hyperlink ref="J5580" r:id="rId7629" xr:uid="{6345B75B-B795-DC4E-BA36-CCDA8741A333}"/>
    <hyperlink ref="J5581" r:id="rId7630" xr:uid="{60FD0423-5D35-2E47-955A-AFC6BAD13540}"/>
    <hyperlink ref="J5582" r:id="rId7631" xr:uid="{2E0EF6D9-60D5-9F4D-84B3-6A252A235D5D}"/>
    <hyperlink ref="J5583" r:id="rId7632" xr:uid="{74A95F26-C5F3-2140-BD50-CF6F8D94CC0A}"/>
    <hyperlink ref="J5584" r:id="rId7633" xr:uid="{B1166084-2E2B-8849-933C-587037B3B2DA}"/>
    <hyperlink ref="J5585" r:id="rId7634" xr:uid="{8C082734-AED8-E241-8E7E-7FBDF0EB2D3F}"/>
    <hyperlink ref="J5586" r:id="rId7635" xr:uid="{EA7DAC08-F0A7-7744-B375-6FD5BAAD1FA5}"/>
    <hyperlink ref="J5587" r:id="rId7636" xr:uid="{E34FB421-46E7-6E4B-8171-FDB536E6DA59}"/>
    <hyperlink ref="J5588" r:id="rId7637" xr:uid="{B3B87330-9AB5-6549-9007-1070BCD1E52C}"/>
    <hyperlink ref="W5588" r:id="rId7638" xr:uid="{5EA157FE-3EC9-154A-9861-77EC2444E0F5}"/>
    <hyperlink ref="J5589" r:id="rId7639" xr:uid="{162BC6F6-8A76-2E47-B086-1109FD059458}"/>
    <hyperlink ref="J5590" r:id="rId7640" xr:uid="{ACEF5291-3E5C-104D-A5D6-0EA7A47824E0}"/>
    <hyperlink ref="J5591" r:id="rId7641" xr:uid="{4455E6CD-C4DF-0547-A561-36A9AAFE366C}"/>
    <hyperlink ref="W5591" r:id="rId7642" xr:uid="{FF66CE2E-92EE-6F4A-9E2E-EA51598EF252}"/>
    <hyperlink ref="J5592" r:id="rId7643" xr:uid="{CA858AAF-7C6E-AF43-A30C-5933DD99E679}"/>
    <hyperlink ref="J5593" r:id="rId7644" xr:uid="{4061D5FA-B3CA-1D4D-B120-4AD0E3EC2AC3}"/>
    <hyperlink ref="J5594" r:id="rId7645" xr:uid="{5280338B-136E-9E4E-9419-B8291B99E499}"/>
    <hyperlink ref="J5595" r:id="rId7646" xr:uid="{263F9EA4-B990-EE48-A17A-DE04B3054247}"/>
    <hyperlink ref="J5596" r:id="rId7647" xr:uid="{241BE250-C8CA-0C4F-ACAE-F691D37AF6B4}"/>
    <hyperlink ref="J5597" r:id="rId7648" xr:uid="{8288C076-D1A3-C148-93E0-40E1E67DAD19}"/>
    <hyperlink ref="W5597" r:id="rId7649" xr:uid="{FC7F9B9E-3F0F-D24B-946D-9EF7A94C54D4}"/>
    <hyperlink ref="J5598" r:id="rId7650" xr:uid="{E44773FF-8A9C-2947-806F-10BB51FF7E20}"/>
    <hyperlink ref="W5598" r:id="rId7651" xr:uid="{57BB1F6E-466E-E041-AFB1-C9965D827AE4}"/>
    <hyperlink ref="J5599" r:id="rId7652" xr:uid="{B3E66BB4-8DC7-8947-A483-3F6FA8B8EC6B}"/>
    <hyperlink ref="J5600" r:id="rId7653" xr:uid="{01E56C16-166D-4448-B80D-1C88A74CD647}"/>
    <hyperlink ref="J5601" r:id="rId7654" xr:uid="{923FB8C3-1A8C-2544-9500-537A1FAB48CE}"/>
    <hyperlink ref="J5602" r:id="rId7655" xr:uid="{0C071761-38D6-F743-8EDC-3B2195D288A9}"/>
    <hyperlink ref="J5603" r:id="rId7656" xr:uid="{59ED1ED7-9FF8-D140-A1AB-F6764F5A5F17}"/>
    <hyperlink ref="J5604" r:id="rId7657" xr:uid="{E0DA401C-BB80-914B-A943-F4AB37C3BCAE}"/>
    <hyperlink ref="J5605" r:id="rId7658" xr:uid="{DA815F0C-419C-3247-AB5D-BC08B70B14D0}"/>
    <hyperlink ref="J5606" r:id="rId7659" xr:uid="{85CD1DBA-3765-2049-93A1-E86FE17B9050}"/>
    <hyperlink ref="J5607" r:id="rId7660" xr:uid="{C7F85DE8-5E48-694E-992A-EF212A6F1191}"/>
    <hyperlink ref="J5608" r:id="rId7661" xr:uid="{062B6514-D109-E546-B028-9229407198F2}"/>
    <hyperlink ref="J5609" r:id="rId7662" xr:uid="{3CFB12CB-382C-9849-8437-E0C45C2B562A}"/>
    <hyperlink ref="J5610" r:id="rId7663" xr:uid="{DE2CC2FC-4622-0840-ACC9-7248FEA21A52}"/>
    <hyperlink ref="W5610" r:id="rId7664" xr:uid="{EB197AF9-D5F3-A144-A743-03AF85F4E35D}"/>
    <hyperlink ref="J5611" r:id="rId7665" xr:uid="{DBB1657E-AF68-B54A-B540-C39E2172EC7F}"/>
    <hyperlink ref="J5612" r:id="rId7666" xr:uid="{F511E628-29D0-9140-B56B-021373D8ACC2}"/>
    <hyperlink ref="J5613" r:id="rId7667" xr:uid="{CCEE3231-7E26-944A-BF32-5A913F671F85}"/>
    <hyperlink ref="J5614" r:id="rId7668" xr:uid="{9A3BBAA1-3D31-934B-AC63-CD69A369B0BB}"/>
    <hyperlink ref="J5615" r:id="rId7669" xr:uid="{EE80690D-3FDA-FA49-882A-A705B57A117A}"/>
    <hyperlink ref="J5616" r:id="rId7670" xr:uid="{7B112205-14BD-DC4E-B78F-D007A9869364}"/>
    <hyperlink ref="J5617" r:id="rId7671" xr:uid="{04EF4FF8-DE4F-A949-85D6-84CA62BD1A70}"/>
    <hyperlink ref="J5618" r:id="rId7672" xr:uid="{840FD8C6-A4C3-0544-8B9D-75A33CEB4D1D}"/>
    <hyperlink ref="J5619" r:id="rId7673" xr:uid="{5A0B61A3-B40E-E74D-9B8D-C2ECDF667D8A}"/>
    <hyperlink ref="J5620" r:id="rId7674" xr:uid="{EE2A9E82-2B2C-C14B-800E-8DAA717D5448}"/>
    <hyperlink ref="J5621" r:id="rId7675" xr:uid="{85769280-F415-B047-85B7-4BC2BFAE8FFF}"/>
    <hyperlink ref="J5622" r:id="rId7676" xr:uid="{84144F21-046B-C94E-BB8C-BA291627FBA7}"/>
    <hyperlink ref="W5622" r:id="rId7677" xr:uid="{E601ED0C-ECC2-8347-B190-98C04E3D0A10}"/>
    <hyperlink ref="J5623" r:id="rId7678" xr:uid="{A779B8A2-1787-5E4A-9159-F9905C3162A0}"/>
    <hyperlink ref="W5623" r:id="rId7679" xr:uid="{8E44F431-E869-BC44-B1C7-71B7CF0B09CF}"/>
    <hyperlink ref="J5624" r:id="rId7680" xr:uid="{B92E9A9E-C2DF-004F-9456-355B001F75A3}"/>
    <hyperlink ref="J5625" r:id="rId7681" xr:uid="{3839E8C1-29C0-3E46-9A00-42F0BB10908A}"/>
    <hyperlink ref="J5626" r:id="rId7682" xr:uid="{7D8EA18F-3E11-6047-9B3D-3DAA8B777B60}"/>
    <hyperlink ref="J5627" r:id="rId7683" xr:uid="{017E84C4-1188-E74D-B8AB-FD7B8A0C0F20}"/>
    <hyperlink ref="J5628" r:id="rId7684" xr:uid="{C46C4A38-9A18-D146-815B-62579B6E30D5}"/>
    <hyperlink ref="J5629" r:id="rId7685" xr:uid="{972AED7D-173C-284A-91EE-95B2DB70F7E7}"/>
    <hyperlink ref="J5630" r:id="rId7686" xr:uid="{3113CE9E-D847-D44F-8675-EDDDDF1C49B0}"/>
    <hyperlink ref="W5630" r:id="rId7687" xr:uid="{348898E2-A7A9-644E-A6B5-8659C2BCAD35}"/>
    <hyperlink ref="J5631" r:id="rId7688" xr:uid="{1B9A59F3-9B8F-2245-8698-9D267B9A9783}"/>
    <hyperlink ref="J5632" r:id="rId7689" xr:uid="{80C3D203-D697-C24E-A57C-ABCEAB279EBD}"/>
    <hyperlink ref="W5632" r:id="rId7690" xr:uid="{5979DB3A-98A0-F740-A9B1-37C28549FF75}"/>
    <hyperlink ref="J5633" r:id="rId7691" xr:uid="{EEBB4D39-AFFB-3842-A826-933A92296A91}"/>
    <hyperlink ref="W5633" r:id="rId7692" xr:uid="{DF232C5B-CDA8-A84D-B01C-627B26AFDF58}"/>
    <hyperlink ref="J5634" r:id="rId7693" xr:uid="{469C6930-29D5-CE4C-8099-E9B9E5BEEDDB}"/>
    <hyperlink ref="W5634" r:id="rId7694" xr:uid="{20CA3ED0-3E67-F641-8E20-7FCC451B7E67}"/>
    <hyperlink ref="J5635" r:id="rId7695" xr:uid="{294F033D-850E-284E-BA16-61AE5D0DC43B}"/>
    <hyperlink ref="W5635" r:id="rId7696" xr:uid="{75992A98-8E4B-5E4C-9CB3-F29DA5717331}"/>
    <hyperlink ref="J5636" r:id="rId7697" xr:uid="{9976D90D-52E0-CF4D-ADE3-4E8E0658FBF2}"/>
    <hyperlink ref="J5637" r:id="rId7698" xr:uid="{BBBA7747-9F6B-184E-99CB-E922BBB9051E}"/>
    <hyperlink ref="W5637" r:id="rId7699" xr:uid="{9A211502-A1DC-B943-BD01-AD105176C2DC}"/>
    <hyperlink ref="J5638" r:id="rId7700" xr:uid="{6C487CCB-911B-604C-B783-6214B4DBB303}"/>
    <hyperlink ref="W5638" r:id="rId7701" xr:uid="{CA7D062B-D2BA-F449-B703-4E1142CB96E4}"/>
    <hyperlink ref="J5639" r:id="rId7702" xr:uid="{F11A31FB-07ED-B641-BCE2-1252D962DADE}"/>
    <hyperlink ref="W5639" r:id="rId7703" xr:uid="{AEEC0388-3761-DB42-89C9-836727962345}"/>
    <hyperlink ref="J5640" r:id="rId7704" xr:uid="{4B6508DA-4765-E74A-99B1-0496106C47BC}"/>
    <hyperlink ref="J5641" r:id="rId7705" xr:uid="{A85103A6-79E3-A04B-97C9-B8B611B82032}"/>
    <hyperlink ref="J5642" r:id="rId7706" xr:uid="{DFB684C8-DFE2-2540-8226-A5BE9DB09788}"/>
    <hyperlink ref="W5642" r:id="rId7707" xr:uid="{C534EA13-BD6E-9747-B8BD-58113BBFF0BF}"/>
    <hyperlink ref="J5643" r:id="rId7708" xr:uid="{2A335B73-950A-6C47-B01A-399459CDD70D}"/>
    <hyperlink ref="W5643" r:id="rId7709" xr:uid="{7A1884E2-62AC-E948-8783-174F809207F8}"/>
    <hyperlink ref="J5644" r:id="rId7710" xr:uid="{B68F9C0A-4EB2-0D47-8D99-8367017BEBBA}"/>
    <hyperlink ref="J5645" r:id="rId7711" xr:uid="{5B1C0035-A4D2-7A4C-9AC7-25478431F1F5}"/>
    <hyperlink ref="J5646" r:id="rId7712" xr:uid="{DFBB1644-85F1-624F-A69C-4A766AB8FAE7}"/>
    <hyperlink ref="J5647" r:id="rId7713" xr:uid="{0304F4CA-B1EF-0147-8E8A-F3C92B941038}"/>
    <hyperlink ref="J5648" r:id="rId7714" xr:uid="{3672E5D2-3449-C448-BB2E-8637BC55C3E3}"/>
    <hyperlink ref="W5648" r:id="rId7715" xr:uid="{ABA17159-C051-154E-A943-AB28D12CA33F}"/>
    <hyperlink ref="J5649" r:id="rId7716" xr:uid="{6E9E7529-7691-7A4D-B3ED-D478EB2D7017}"/>
    <hyperlink ref="J5650" r:id="rId7717" xr:uid="{3012A782-AE3B-1B49-BE34-3F981F901B2E}"/>
    <hyperlink ref="J5651" r:id="rId7718" xr:uid="{99129A95-DB85-FE43-AAB8-969F8E4C74B2}"/>
    <hyperlink ref="W5651" r:id="rId7719" xr:uid="{667DD5E7-C407-B54D-A170-669C51E84EEA}"/>
    <hyperlink ref="J5652" r:id="rId7720" xr:uid="{62679B22-26E2-BD40-8992-1841E2145E9D}"/>
    <hyperlink ref="W5652" r:id="rId7721" xr:uid="{77C57ADE-2DAC-6943-B7FB-D5BC46304DC5}"/>
    <hyperlink ref="J5653" r:id="rId7722" xr:uid="{5C29BDA4-2549-4845-AEDB-1D4662D0D014}"/>
    <hyperlink ref="J5654" r:id="rId7723" xr:uid="{4CBA48B6-85AC-AF4B-8541-0E5C932E28A6}"/>
    <hyperlink ref="W5654" r:id="rId7724" xr:uid="{D7F1A54F-A0E4-7842-B439-AEA1FB086C66}"/>
    <hyperlink ref="J5655" r:id="rId7725" xr:uid="{BFA6C00C-A20C-624F-BAAE-9625894E1B48}"/>
    <hyperlink ref="W5655" r:id="rId7726" xr:uid="{59C6ED4B-2DC6-F344-BD8B-1507D61550E1}"/>
    <hyperlink ref="J5656" r:id="rId7727" xr:uid="{2D11E0DC-1C50-B446-BB30-FF7B031B9845}"/>
    <hyperlink ref="W5656" r:id="rId7728" xr:uid="{8C245C3C-11B8-0B46-A721-B49AB8093821}"/>
    <hyperlink ref="J5657" r:id="rId7729" xr:uid="{6BF40061-6836-A342-AB96-DFB920AA2911}"/>
    <hyperlink ref="W5657" r:id="rId7730" xr:uid="{2787D06E-A254-CF4C-8011-6B112A9DB22D}"/>
    <hyperlink ref="J5658" r:id="rId7731" xr:uid="{9D028958-706E-AD4E-ABB4-099BF641CFB4}"/>
    <hyperlink ref="J5659" r:id="rId7732" xr:uid="{8F6D6BE6-03C3-6F44-8A00-4D48904EFAC2}"/>
    <hyperlink ref="J5660" r:id="rId7733" xr:uid="{C87CC833-8C4C-DA48-B421-328509D4FD2D}"/>
    <hyperlink ref="W5660" r:id="rId7734" xr:uid="{9A7222F3-66EA-3F4B-BBA5-1D5F2EEBE4E3}"/>
    <hyperlink ref="J5661" r:id="rId7735" xr:uid="{3855EAFC-F013-1C44-8240-A82545C0CE4C}"/>
    <hyperlink ref="J5662" r:id="rId7736" xr:uid="{5D89C680-AA10-5E4C-A039-708DD5A7A8AB}"/>
    <hyperlink ref="W5662" r:id="rId7737" xr:uid="{CDBDCFD0-8BE3-EA4C-8E8F-F58FE4F88F0E}"/>
    <hyperlink ref="J5663" r:id="rId7738" xr:uid="{B3A9686A-4C7B-D948-B539-1AF2083DACEC}"/>
    <hyperlink ref="J5664" r:id="rId7739" xr:uid="{60EC386D-24CE-DE4A-9143-26138B1EE851}"/>
    <hyperlink ref="W5664" r:id="rId7740" xr:uid="{F1C790CD-B107-B54E-8DEA-0C7690D3C451}"/>
    <hyperlink ref="J5665" r:id="rId7741" xr:uid="{38FC8551-B222-564C-90B9-8AA587A0B7DC}"/>
    <hyperlink ref="W5665" r:id="rId7742" xr:uid="{B72B5B85-B800-354B-8A6E-76B3C5F3FADC}"/>
    <hyperlink ref="J5666" r:id="rId7743" xr:uid="{F0A7714A-905A-A242-B060-EBD495CA9D7C}"/>
    <hyperlink ref="W5666" r:id="rId7744" xr:uid="{439E45F7-1A64-E04D-A0A0-3DC9C31571E1}"/>
    <hyperlink ref="J5667" r:id="rId7745" xr:uid="{DE12794D-9723-5E4D-96EC-04A564A56A91}"/>
    <hyperlink ref="W5667" r:id="rId7746" xr:uid="{D8E16D31-16FC-364B-BA43-E33CCC5F0D92}"/>
    <hyperlink ref="J5668" r:id="rId7747" xr:uid="{160E60F2-9513-BD4B-B64A-72E6B779B0E5}"/>
    <hyperlink ref="W5668" r:id="rId7748" xr:uid="{F9ECB534-6270-9847-9F2C-54C3D1C9E00D}"/>
    <hyperlink ref="J5669" r:id="rId7749" xr:uid="{BB36A7BB-120E-7C40-AE3E-76AD95A49276}"/>
    <hyperlink ref="W5669" r:id="rId7750" xr:uid="{FB4F29CE-BEBC-6648-A2DB-1020A66C512D}"/>
    <hyperlink ref="J5670" r:id="rId7751" xr:uid="{73501C96-E1DA-6044-91F4-A019569D51E6}"/>
    <hyperlink ref="W5670" r:id="rId7752" xr:uid="{29B9B269-518C-2A45-9BC5-E34F50FEC23C}"/>
    <hyperlink ref="J5671" r:id="rId7753" xr:uid="{73C5C991-910A-3E44-975C-55034A88D3CB}"/>
    <hyperlink ref="W5671" r:id="rId7754" xr:uid="{73F42AEA-DAC6-954F-BC04-E328B10A8B27}"/>
    <hyperlink ref="J5672" r:id="rId7755" xr:uid="{0301856C-E256-844C-8D5B-8C98E4C9C27C}"/>
    <hyperlink ref="J5673" r:id="rId7756" xr:uid="{0D3559CB-1CFA-5340-8D03-0504241D1A3B}"/>
    <hyperlink ref="J5674" r:id="rId7757" xr:uid="{4612EA55-6118-344E-836E-6FD4B47DDE35}"/>
    <hyperlink ref="J5675" r:id="rId7758" xr:uid="{7C17D6FC-8E4A-BC4F-8869-DE0278F4ADB2}"/>
    <hyperlink ref="J5676" r:id="rId7759" xr:uid="{BC63B0E9-7BDA-474B-BE57-7E4B7FAA9DD1}"/>
    <hyperlink ref="W5676" r:id="rId7760" xr:uid="{A10AE0B7-4BA9-324F-93AA-238CB193DB10}"/>
    <hyperlink ref="J5677" r:id="rId7761" xr:uid="{974B29A4-700A-804E-A75D-18A35748057C}"/>
    <hyperlink ref="W5677" r:id="rId7762" xr:uid="{2D9BB200-762C-FC46-BB14-D4BA9E866B85}"/>
    <hyperlink ref="J5678" r:id="rId7763" xr:uid="{EA94775C-9ACE-6E4B-BEA7-F99625DC044C}"/>
    <hyperlink ref="J5679" r:id="rId7764" xr:uid="{8DCCF21E-DBDF-5942-9184-E608EB4D5E00}"/>
    <hyperlink ref="W5679" r:id="rId7765" xr:uid="{F7AA2024-3E06-CB4A-A29B-BCD5885A4A2E}"/>
    <hyperlink ref="J5680" r:id="rId7766" xr:uid="{9A6C573A-65D0-4C42-A4F7-55F1C91AF496}"/>
    <hyperlink ref="J5681" r:id="rId7767" xr:uid="{C772E898-B9EC-EC41-AB73-DB7A754E45BE}"/>
    <hyperlink ref="W5681" r:id="rId7768" xr:uid="{9E436EDF-5841-074D-985E-58FA31B545D9}"/>
    <hyperlink ref="J5682" r:id="rId7769" xr:uid="{B97D5BC8-7A72-E046-9DB1-D206F8C48AEA}"/>
    <hyperlink ref="W5682" r:id="rId7770" xr:uid="{21E011E6-B0C4-A949-9D62-5AE411D56CCA}"/>
    <hyperlink ref="J5683" r:id="rId7771" xr:uid="{5931DFDD-2E32-7D43-BEA6-95F29E17DB45}"/>
    <hyperlink ref="J5684" r:id="rId7772" xr:uid="{F51E1EE8-BA3D-7B49-8520-613D073BF229}"/>
    <hyperlink ref="W5684" r:id="rId7773" xr:uid="{EFFA1F6E-1703-6649-9DB7-0C8193A0FDDF}"/>
    <hyperlink ref="J5685" r:id="rId7774" xr:uid="{8FB9F75E-9C29-3D49-A91E-96C0750CE06E}"/>
    <hyperlink ref="W5685" r:id="rId7775" xr:uid="{47D293BA-DB51-E646-ADFF-9FC1599AC4C5}"/>
    <hyperlink ref="J5686" r:id="rId7776" xr:uid="{DDC55B4F-7A07-C84E-AE6D-567735D13451}"/>
    <hyperlink ref="J5687" r:id="rId7777" xr:uid="{4CF5DA24-0372-F146-A219-E877309A9947}"/>
    <hyperlink ref="W5687" r:id="rId7778" xr:uid="{D6D16FB6-D361-C245-90A7-17492E940F93}"/>
    <hyperlink ref="J5688" r:id="rId7779" xr:uid="{DFDBA070-916D-0940-B25F-AF44A1D39562}"/>
    <hyperlink ref="W5688" r:id="rId7780" xr:uid="{FBE3ABB4-932A-6E4A-A3FE-65C49FDC1987}"/>
    <hyperlink ref="J5689" r:id="rId7781" xr:uid="{1EBA4AB2-503C-054E-8781-099DDECB68C8}"/>
    <hyperlink ref="W5689" r:id="rId7782" xr:uid="{1F75E708-02C3-E04A-A269-0C1B2481A266}"/>
    <hyperlink ref="J5690" r:id="rId7783" xr:uid="{5DCE40EA-82F9-8248-8621-55A1B708F701}"/>
    <hyperlink ref="W5690" r:id="rId7784" xr:uid="{F8D050A4-5C0A-5346-A7C1-D2B16219BBBA}"/>
    <hyperlink ref="J5691" r:id="rId7785" xr:uid="{7F2030D6-4083-F743-B468-5EE2D393C683}"/>
    <hyperlink ref="W5691" r:id="rId7786" xr:uid="{BB594DF1-B3CE-9F47-934C-19834342CD0D}"/>
    <hyperlink ref="J5692" r:id="rId7787" xr:uid="{133D006E-D36A-2048-ACA9-2D70163AA75C}"/>
    <hyperlink ref="W5692" r:id="rId7788" xr:uid="{5C6C38BC-1257-FD43-8166-DF3A1A0EBE5B}"/>
    <hyperlink ref="J5693" r:id="rId7789" xr:uid="{A699F8DD-862D-F74F-9E5E-27281FA6D9EB}"/>
    <hyperlink ref="W5693" r:id="rId7790" xr:uid="{E38D9FCF-B0D0-6F46-AD76-94FCB1A22AF4}"/>
    <hyperlink ref="J5694" r:id="rId7791" xr:uid="{A4F18839-BABF-564A-9281-1068D8DE9ECA}"/>
    <hyperlink ref="W5694" r:id="rId7792" xr:uid="{3D4AF0A1-0190-AE4B-8C9F-8471F382C035}"/>
    <hyperlink ref="J5695" r:id="rId7793" xr:uid="{E6215B63-24CD-114F-91BE-8373E25A68A7}"/>
    <hyperlink ref="W5695" r:id="rId7794" xr:uid="{8B2A50DF-5FCB-0943-8A58-47A1D4D251D5}"/>
    <hyperlink ref="J5696" r:id="rId7795" xr:uid="{CBBDC00A-AB6B-E847-B4F2-0F0683FE05DC}"/>
    <hyperlink ref="J5697" r:id="rId7796" xr:uid="{E88CD2FC-E590-C94C-AB84-A002B45B1B89}"/>
    <hyperlink ref="J5698" r:id="rId7797" xr:uid="{26701670-FAE1-CF4C-9B83-A7C616CE793E}"/>
    <hyperlink ref="J5699" r:id="rId7798" xr:uid="{41A4D22B-9562-AF4C-9174-FB74515383D6}"/>
    <hyperlink ref="W5699" r:id="rId7799" xr:uid="{46249C1D-C9F2-EC4D-88C9-C9B1D2FF39BA}"/>
    <hyperlink ref="J5700" r:id="rId7800" xr:uid="{AF09A88D-7994-084A-A5F7-719EB5B50007}"/>
    <hyperlink ref="W5700" r:id="rId7801" xr:uid="{13AD2B95-083F-F448-8B6E-902DAB419537}"/>
    <hyperlink ref="J5701" r:id="rId7802" xr:uid="{73C0ABC8-E6A7-EF4D-8727-75DE0EA1F475}"/>
    <hyperlink ref="W5701" r:id="rId7803" xr:uid="{BD51202B-FD0D-1446-A698-C908D15FD1A6}"/>
    <hyperlink ref="J5702" r:id="rId7804" xr:uid="{BF9CEA1A-C090-0840-AA76-4F8A33F62FB8}"/>
    <hyperlink ref="W5702" r:id="rId7805" xr:uid="{BF3BEB84-297D-9A4B-8158-B1C3DDF8108B}"/>
    <hyperlink ref="J5703" r:id="rId7806" xr:uid="{41882820-F0AE-674B-99D7-6D69E75ED840}"/>
    <hyperlink ref="W5703" r:id="rId7807" xr:uid="{81146D77-C1F2-2A45-8D21-4CD1C17CDE51}"/>
    <hyperlink ref="J5704" r:id="rId7808" xr:uid="{B2EF5186-55B7-954D-94F4-6F53AF23D202}"/>
    <hyperlink ref="W5704" r:id="rId7809" xr:uid="{1141B19B-3D23-7B46-B671-9E4078BE4E7E}"/>
    <hyperlink ref="J5705" r:id="rId7810" xr:uid="{EBDE1381-37DF-8B47-AFBF-F064B7DFEAA5}"/>
    <hyperlink ref="W5705" r:id="rId7811" xr:uid="{5996592F-F7BA-2149-9550-46A99E76BAAD}"/>
    <hyperlink ref="J5706" r:id="rId7812" xr:uid="{834CC9A6-8AB2-3648-99C7-370A899A6152}"/>
    <hyperlink ref="W5706" r:id="rId7813" xr:uid="{B42297B0-10CB-0D46-B232-24BB8647E800}"/>
    <hyperlink ref="J5707" r:id="rId7814" xr:uid="{987AB16C-B8CA-8A45-8A5E-7546F5B69AC6}"/>
    <hyperlink ref="W5707" r:id="rId7815" xr:uid="{51907A15-7D24-C74B-8491-98010CABA0E6}"/>
    <hyperlink ref="J5708" r:id="rId7816" xr:uid="{17CF1758-5F84-754D-B46C-16A046D371A8}"/>
    <hyperlink ref="J5709" r:id="rId7817" xr:uid="{6E84FB57-B9DB-E94D-A546-74A2569DD17B}"/>
    <hyperlink ref="J5710" r:id="rId7818" xr:uid="{FBDD9CF7-4AF6-4E40-933A-B7DDC340D545}"/>
    <hyperlink ref="W5710" r:id="rId7819" xr:uid="{0AB54261-8468-C34F-ACB3-84449B933AF2}"/>
    <hyperlink ref="J5711" r:id="rId7820" xr:uid="{BDF2307C-CA96-2F4D-830A-397A3939EDAE}"/>
    <hyperlink ref="W5711" r:id="rId7821" xr:uid="{737E0636-86CA-9B4E-8E60-74529A0A060B}"/>
    <hyperlink ref="J5712" r:id="rId7822" xr:uid="{402CDD52-534D-D94E-AA32-4B718D6639EC}"/>
    <hyperlink ref="J5713" r:id="rId7823" xr:uid="{1B783A0A-1ABA-484C-9F60-24979F990536}"/>
    <hyperlink ref="W5713" r:id="rId7824" xr:uid="{4083BCC8-5A6E-5140-B760-E600EED13C9F}"/>
    <hyperlink ref="J5714" r:id="rId7825" xr:uid="{80034D16-B80D-2F4F-BD17-6A51C3ECFF6B}"/>
    <hyperlink ref="W5714" r:id="rId7826" xr:uid="{0AE9E0C1-BD59-264F-80F2-C23D73AA91B9}"/>
    <hyperlink ref="J5715" r:id="rId7827" xr:uid="{FED8B88A-65D5-2243-B3A7-DF564BFC78A1}"/>
    <hyperlink ref="W5715" r:id="rId7828" xr:uid="{602EFD0C-80AE-294B-A143-C532F26FA395}"/>
    <hyperlink ref="J5716" r:id="rId7829" xr:uid="{B5961871-41AF-554E-A807-59CF9A0C00A9}"/>
    <hyperlink ref="W5716" r:id="rId7830" xr:uid="{052E039B-8433-7548-827C-070A9F839ADD}"/>
    <hyperlink ref="J5717" r:id="rId7831" xr:uid="{DFB042A0-5BCA-604E-B4AC-97E9C9B3ECAD}"/>
    <hyperlink ref="W5717" r:id="rId7832" xr:uid="{C07D863C-6118-5C44-87BA-75E183E0C5E7}"/>
    <hyperlink ref="J5718" r:id="rId7833" xr:uid="{10514E8E-D1E1-6B4A-9752-0B09447F2B3C}"/>
    <hyperlink ref="W5718" r:id="rId7834" xr:uid="{ABAB0001-079E-784E-AA65-B65DA0C9109A}"/>
    <hyperlink ref="J5719" r:id="rId7835" xr:uid="{C29B6B6D-6CEA-4A4E-8508-014AAC1ADC6C}"/>
    <hyperlink ref="W5719" r:id="rId7836" xr:uid="{E37733DF-21A5-2C44-AC9E-3BD375F588BB}"/>
    <hyperlink ref="J5720" r:id="rId7837" xr:uid="{AD59303C-10A2-0B42-B7CB-DD519B5E9B04}"/>
    <hyperlink ref="W5720" r:id="rId7838" xr:uid="{CB5AC9B3-93F3-DB4B-97E8-AE0022DB5007}"/>
    <hyperlink ref="J5721" r:id="rId7839" xr:uid="{2D339D1A-1021-6445-A2F7-22187BB3AC06}"/>
    <hyperlink ref="W5721" r:id="rId7840" xr:uid="{B26F9288-8F49-694F-8693-EAA092E08F89}"/>
    <hyperlink ref="J5722" r:id="rId7841" xr:uid="{AB0ABC48-D702-6049-87ED-B8555A867425}"/>
    <hyperlink ref="W5722" r:id="rId7842" xr:uid="{F24114CB-AF8F-E64C-B2E7-99E082461EE1}"/>
    <hyperlink ref="J5723" r:id="rId7843" xr:uid="{94A41304-A209-DA43-865B-FF17F1D69F42}"/>
    <hyperlink ref="J5724" r:id="rId7844" xr:uid="{E110EB6B-B02A-F345-B921-CD0B5C5EC124}"/>
    <hyperlink ref="J5725" r:id="rId7845" xr:uid="{2473E1DA-217C-CA4E-9CEC-04BFED052078}"/>
    <hyperlink ref="J5726" r:id="rId7846" xr:uid="{E9437C46-B532-474C-9B5E-0BF90520C489}"/>
    <hyperlink ref="J5727" r:id="rId7847" xr:uid="{3B87B8CC-8FFE-E647-ACFA-A5C5714D7C86}"/>
    <hyperlink ref="J5728" r:id="rId7848" xr:uid="{9768C61D-FA37-634D-8683-0A9E4B0083C1}"/>
    <hyperlink ref="J5729" r:id="rId7849" xr:uid="{FF0E528C-446C-E74C-81FA-FE968CBCA632}"/>
    <hyperlink ref="J5730" r:id="rId7850" xr:uid="{3FD59689-EB81-2346-B4A3-24B628810599}"/>
    <hyperlink ref="J5731" r:id="rId7851" xr:uid="{9247F045-B6D0-7B4B-87CB-DF08C0BE179C}"/>
    <hyperlink ref="J5732" r:id="rId7852" xr:uid="{61CEB332-B4A7-124F-8573-5F11A51CCA8E}"/>
    <hyperlink ref="J5733" r:id="rId7853" xr:uid="{E29C2A2F-14C7-F14F-9E6D-3FB13BAB0E11}"/>
    <hyperlink ref="J5734" r:id="rId7854" xr:uid="{51ED6A99-E148-5243-BAAB-1FB34F7486D4}"/>
    <hyperlink ref="J5735" r:id="rId7855" xr:uid="{47CCD630-57DA-8449-8541-F84CA69292DB}"/>
    <hyperlink ref="J5736" r:id="rId7856" xr:uid="{32455010-E144-AE46-8526-C08138BD89A5}"/>
    <hyperlink ref="W5736" r:id="rId7857" xr:uid="{B1E3A08F-9DEE-4E47-BF00-09F9C762F9F0}"/>
    <hyperlink ref="J5737" r:id="rId7858" xr:uid="{62D75DDB-F357-8B43-9110-BBCDF745E32F}"/>
    <hyperlink ref="W5737" r:id="rId7859" xr:uid="{2AE78EBF-BEFD-BD40-B8F9-FAC4E96FD9FB}"/>
    <hyperlink ref="J5738" r:id="rId7860" xr:uid="{86F8D022-BED0-8745-A47A-08E1F1DEC4B8}"/>
    <hyperlink ref="J5739" r:id="rId7861" xr:uid="{2583E2A9-BEB1-A94F-97D9-52EF3D5E7918}"/>
    <hyperlink ref="J5740" r:id="rId7862" xr:uid="{5B355FF7-C3EC-0F46-8849-A7C8E3815EE7}"/>
    <hyperlink ref="W5740" r:id="rId7863" xr:uid="{F0CE6F74-E1D9-594D-82CB-6001954314DC}"/>
    <hyperlink ref="J5741" r:id="rId7864" xr:uid="{BB973B2E-3875-2648-868F-1F11994DF512}"/>
    <hyperlink ref="J5742" r:id="rId7865" xr:uid="{A9ECAED6-0260-4A4E-A57E-0231E14F0791}"/>
    <hyperlink ref="W5742" r:id="rId7866" xr:uid="{78406F53-1DC9-2549-84BA-50E0EE1D56EA}"/>
    <hyperlink ref="J5743" r:id="rId7867" xr:uid="{3977791B-3940-594E-81E6-453711C2A1A6}"/>
    <hyperlink ref="J5744" r:id="rId7868" xr:uid="{3801DCCA-CDE7-6E48-AE7F-13346DE1C296}"/>
    <hyperlink ref="J5745" r:id="rId7869" xr:uid="{5EF346C6-8F75-D545-8287-79E38F3353F6}"/>
    <hyperlink ref="J5746" r:id="rId7870" xr:uid="{C6DE04AF-2BCC-3A43-BB7B-0E149E5FB0A6}"/>
    <hyperlink ref="J5747" r:id="rId7871" xr:uid="{274FA5C9-867E-AD49-9295-EE564DC256F6}"/>
    <hyperlink ref="J5748" r:id="rId7872" xr:uid="{A22E22BC-1DB5-1348-8E25-CE67C9530ABD}"/>
    <hyperlink ref="J5749" r:id="rId7873" xr:uid="{B469F09C-D5F6-9B43-8D38-96033037552E}"/>
    <hyperlink ref="J5750" r:id="rId7874" xr:uid="{D26D22B2-EDA2-3D4E-9AFE-0A10AE9B14DB}"/>
    <hyperlink ref="J5751" r:id="rId7875" xr:uid="{DC6A73FC-2E1E-AF43-8E27-399F795B0428}"/>
    <hyperlink ref="J5752" r:id="rId7876" xr:uid="{EA454114-5202-AA42-929D-C1FBAB153CC1}"/>
    <hyperlink ref="J5753" r:id="rId7877" xr:uid="{47D1E966-597F-AA40-BB85-1DE0EDEC09BA}"/>
    <hyperlink ref="J5754" r:id="rId7878" xr:uid="{F39CE807-A06D-634B-AD57-688EFFB1ACD6}"/>
    <hyperlink ref="W5754" r:id="rId7879" xr:uid="{4C606429-722A-C744-AC76-D6A46F58CFEC}"/>
    <hyperlink ref="J5755" r:id="rId7880" xr:uid="{1BC420FB-458E-704D-811E-FAFFBC73FF5F}"/>
    <hyperlink ref="J5756" r:id="rId7881" xr:uid="{7721F1FA-B9A2-7F46-9CA2-2909E8D2B0E6}"/>
    <hyperlink ref="J5757" r:id="rId7882" xr:uid="{EDE3A4E7-60F3-CD4C-BE05-52DBF64D193C}"/>
    <hyperlink ref="J5758" r:id="rId7883" xr:uid="{803AE9A2-EF20-C644-A9AD-EBA469715963}"/>
    <hyperlink ref="J5759" r:id="rId7884" xr:uid="{79CC6780-45F5-604B-BBDF-B046EEAA8C9C}"/>
    <hyperlink ref="J5760" r:id="rId7885" xr:uid="{02EF931E-2D52-0D44-B560-332F699B22CA}"/>
    <hyperlink ref="J5761" r:id="rId7886" xr:uid="{D4CB4DDF-454F-6043-9AF2-1B6343A46573}"/>
    <hyperlink ref="J5762" r:id="rId7887" xr:uid="{7DF8CF71-F13B-7948-B773-75E5A18DDE59}"/>
    <hyperlink ref="W5762" r:id="rId7888" xr:uid="{8A9CEA27-8EEE-954D-B4FE-F25AE8C6DEFC}"/>
    <hyperlink ref="J5763" r:id="rId7889" xr:uid="{8467DB17-9EB9-3046-9496-7261A1F996B5}"/>
    <hyperlink ref="W5764" r:id="rId7890" xr:uid="{5BBE6A06-9C08-5645-A6D1-5EFB0B4C244F}"/>
    <hyperlink ref="J5765" r:id="rId7891" xr:uid="{40AC795A-B801-5045-9F5A-097D232EA9F5}"/>
    <hyperlink ref="W5765" r:id="rId7892" xr:uid="{1BEE4FB6-E54E-634C-AD66-CC831EFC4AEA}"/>
    <hyperlink ref="J5766" r:id="rId7893" xr:uid="{B1756DFD-54A5-7045-BA9E-E3A26085DC78}"/>
    <hyperlink ref="J5767" r:id="rId7894" xr:uid="{31AA0176-77FB-4F48-8DA9-A889222A7841}"/>
    <hyperlink ref="J5768" r:id="rId7895" xr:uid="{51A4ECE5-E64A-E347-8D44-B96996B70665}"/>
    <hyperlink ref="J5769" r:id="rId7896" xr:uid="{57CF65D6-69DB-BD4F-BA72-8E0C9DA0E9A5}"/>
    <hyperlink ref="J5770" r:id="rId7897" xr:uid="{F7CABD22-B721-0D4C-9A32-FADD95BDFD84}"/>
    <hyperlink ref="J5771" r:id="rId7898" xr:uid="{4789F067-3808-E041-94D5-E9F9994F11AD}"/>
    <hyperlink ref="J5772" r:id="rId7899" xr:uid="{9A56B4DE-6900-6244-8AA2-36E3E9C31126}"/>
    <hyperlink ref="J5773" r:id="rId7900" xr:uid="{4C744CF4-3584-5B4E-BC7C-597B6E9605DB}"/>
    <hyperlink ref="J5774" r:id="rId7901" xr:uid="{6D6948CE-0F1C-1C4F-8D5E-E57C96F04403}"/>
    <hyperlink ref="J5775" r:id="rId7902" xr:uid="{86D0660A-D0C4-1447-A9FC-23EF68004AEB}"/>
    <hyperlink ref="W5775" r:id="rId7903" xr:uid="{8AC9F29E-037C-D842-96C1-643B3DD3F245}"/>
    <hyperlink ref="J5776" r:id="rId7904" xr:uid="{A3B7F1DA-C72F-D54C-8A7C-803E8669B9FF}"/>
    <hyperlink ref="J5777" r:id="rId7905" xr:uid="{EB65E886-5DA7-7141-BF48-F2154225D902}"/>
    <hyperlink ref="J5778" r:id="rId7906" xr:uid="{E65DCFCF-5B76-DA48-B5C5-F600DCF692AC}"/>
    <hyperlink ref="J5779" r:id="rId7907" xr:uid="{B2BEFFE5-8F5A-914F-960A-9BADDAF6FDE8}"/>
    <hyperlink ref="J5780" r:id="rId7908" xr:uid="{E4BB0ACC-7E3C-8846-B5BA-942E73F1A0FE}"/>
    <hyperlink ref="J5781" r:id="rId7909" xr:uid="{3CF1211E-274C-4548-8D05-E856004CD131}"/>
    <hyperlink ref="J5782" r:id="rId7910" xr:uid="{0D5FF88A-DDD8-744F-BD3D-CA55AE13F866}"/>
    <hyperlink ref="W5782" r:id="rId7911" xr:uid="{EE8B994A-DE02-874A-BFFC-D9F4917384D2}"/>
    <hyperlink ref="J5783" r:id="rId7912" xr:uid="{38983F01-8E04-6940-A207-960E3223A154}"/>
    <hyperlink ref="W5783" r:id="rId7913" xr:uid="{FBF377BE-91D3-554E-B36A-61D49E989E32}"/>
    <hyperlink ref="J5784" r:id="rId7914" xr:uid="{EFABBB0E-6ABE-434E-90A8-C996A56773FD}"/>
    <hyperlink ref="J5785" r:id="rId7915" xr:uid="{277FC1BD-4E7A-2E40-A94D-B67CFC448957}"/>
    <hyperlink ref="W5785" r:id="rId7916" xr:uid="{12D67B37-843C-A649-8A31-5D2E75584A53}"/>
    <hyperlink ref="J5786" r:id="rId7917" xr:uid="{20A9AC57-D124-C042-BB24-62D1FCC891FB}"/>
    <hyperlink ref="J5787" r:id="rId7918" xr:uid="{4FB5CBE0-E847-5341-A9D9-D3164833F9BD}"/>
    <hyperlink ref="J5788" r:id="rId7919" xr:uid="{7DF85966-5843-514E-B1A7-2D1F15D5F428}"/>
    <hyperlink ref="J5789" r:id="rId7920" xr:uid="{DD656EFE-0A26-324F-9665-D3FDD57E69A6}"/>
    <hyperlink ref="J5790" r:id="rId7921" xr:uid="{C1CC78B5-8959-C44E-A873-B6A93F29C990}"/>
    <hyperlink ref="W5790" r:id="rId7922" xr:uid="{9D19C618-1704-D64C-99C1-2206621F2C7F}"/>
    <hyperlink ref="J5791" r:id="rId7923" xr:uid="{213E7C4B-0B0D-6642-BA83-6A34421C488E}"/>
    <hyperlink ref="W5791" r:id="rId7924" xr:uid="{3D741462-AA86-EA45-8523-6EEBAD442685}"/>
    <hyperlink ref="J5792" r:id="rId7925" xr:uid="{A9F915E7-EF67-6946-A772-3E975903B882}"/>
    <hyperlink ref="J5793" r:id="rId7926" xr:uid="{8D60EE9C-3F2E-7D47-96D8-1960D5B865AA}"/>
    <hyperlink ref="W5793" r:id="rId7927" xr:uid="{BA6548FA-B954-7F4D-8A15-4F7BC7AB5E22}"/>
    <hyperlink ref="J5794" r:id="rId7928" xr:uid="{AF4C15C4-471F-5248-90FC-FDDD40849759}"/>
    <hyperlink ref="W5794" r:id="rId7929" xr:uid="{792711F5-42B3-414F-BBEE-46CC0C1F9E75}"/>
    <hyperlink ref="J5795" r:id="rId7930" xr:uid="{F76E9BD3-43AE-C749-96FC-6A4A091950F2}"/>
    <hyperlink ref="J5796" r:id="rId7931" xr:uid="{848C574C-1D2F-0842-B058-14A891D602D4}"/>
    <hyperlink ref="W5796" r:id="rId7932" xr:uid="{3E8D3167-D47D-6D45-A419-32374A4BC32A}"/>
    <hyperlink ref="J5797" r:id="rId7933" xr:uid="{462DDB7C-58D3-334A-BC8C-DC00739AC1A3}"/>
    <hyperlink ref="J5798" r:id="rId7934" xr:uid="{9DCD6462-220A-6D49-9223-6C572F53846D}"/>
    <hyperlink ref="J5799" r:id="rId7935" xr:uid="{9F5374F0-375A-A24D-822C-A3B1291B3267}"/>
    <hyperlink ref="W5799" r:id="rId7936" xr:uid="{68AD1974-B8FD-A54B-B53E-E0272B132FCE}"/>
    <hyperlink ref="J5800" r:id="rId7937" xr:uid="{869F49EC-F95B-794A-93D8-73C98C56B7FC}"/>
    <hyperlink ref="J5801" r:id="rId7938" xr:uid="{D738A78A-D672-2D4E-92D1-79F3B4C43772}"/>
    <hyperlink ref="J5802" r:id="rId7939" xr:uid="{AC9B5E12-618E-8849-9FE8-651B6614DDD7}"/>
    <hyperlink ref="J5803" r:id="rId7940" xr:uid="{CFCDFEA6-4194-E545-9F3C-D81522CCCC4E}"/>
    <hyperlink ref="J5804" r:id="rId7941" xr:uid="{AA68117F-BB59-7249-A815-9EEE04FB0DF2}"/>
    <hyperlink ref="J5805" r:id="rId7942" xr:uid="{D8E6C24C-8748-384D-ADD3-44F857AE7D25}"/>
    <hyperlink ref="J5806" r:id="rId7943" xr:uid="{5AD4BDBC-7CA7-0E49-BB4D-94EBFA24DB4D}"/>
    <hyperlink ref="W5806" r:id="rId7944" xr:uid="{8B391A6C-E743-4245-AF36-B5CD92E742B2}"/>
    <hyperlink ref="J5807" r:id="rId7945" xr:uid="{24E4AA10-AAC9-AF4C-A431-FA7ABD39BFD6}"/>
    <hyperlink ref="J5808" r:id="rId7946" xr:uid="{AD05301D-E46B-C842-89B6-962D20DD93B2}"/>
    <hyperlink ref="J5809" r:id="rId7947" xr:uid="{7EBF61CA-C7BA-094A-9A20-C5CBBAD0D120}"/>
    <hyperlink ref="J5810" r:id="rId7948" xr:uid="{86BCB70E-C59C-B340-BCA6-B1F4FFDA19F2}"/>
    <hyperlink ref="J5811" r:id="rId7949" xr:uid="{0C9D381F-B020-AC44-A7BE-2DBF77872AC2}"/>
    <hyperlink ref="J5812" r:id="rId7950" xr:uid="{A7D0567F-06FE-8E40-98AB-8407B25086EB}"/>
    <hyperlink ref="J5813" r:id="rId7951" xr:uid="{20691011-9088-BE42-BBB9-BAB95B47E37D}"/>
    <hyperlink ref="J5814" r:id="rId7952" xr:uid="{C574DC9B-FC90-FB46-A021-A1084D6EC3BC}"/>
    <hyperlink ref="J5815" r:id="rId7953" xr:uid="{17002AFC-AB58-524E-80DA-F57C7264043B}"/>
    <hyperlink ref="W5815" r:id="rId7954" xr:uid="{C6428C1A-7481-D14F-966A-59F6CEB80915}"/>
    <hyperlink ref="J5816" r:id="rId7955" xr:uid="{AB0C7ABD-9D34-444D-B625-2AFAB07A8FC3}"/>
    <hyperlink ref="J5817" r:id="rId7956" xr:uid="{DB83A45E-C3D4-A343-A962-C62F00A55514}"/>
    <hyperlink ref="J5818" r:id="rId7957" xr:uid="{37B426F3-137A-6E40-B5D2-877A91C1793A}"/>
    <hyperlink ref="W5818" r:id="rId7958" xr:uid="{89DD5389-A5AB-E649-8247-C83240B9CEF3}"/>
    <hyperlink ref="J5819" r:id="rId7959" xr:uid="{01680630-5D83-CA43-A85D-02B59D230F2E}"/>
    <hyperlink ref="J5820" r:id="rId7960" xr:uid="{37F26AB9-A9B9-4445-95CD-DC8733D95739}"/>
    <hyperlink ref="W5820" r:id="rId7961" xr:uid="{1B7F0D3A-A4BA-1942-BCB4-A475267FC58A}"/>
    <hyperlink ref="J5821" r:id="rId7962" xr:uid="{32207CE9-EA33-6442-A272-E7BB86958CC7}"/>
    <hyperlink ref="J5822" r:id="rId7963" xr:uid="{1B9B5ADF-2339-F646-8D76-05DBA6A3C73F}"/>
    <hyperlink ref="W5822" r:id="rId7964" xr:uid="{4C663E7D-B80E-8D45-86AD-BA645ADCFCF2}"/>
    <hyperlink ref="J5823" r:id="rId7965" xr:uid="{CB1AAFA4-D6DF-5C4F-96BA-20B3DC6A6C99}"/>
    <hyperlink ref="J5824" r:id="rId7966" xr:uid="{D242A19D-3931-9B48-B081-205AB56765D0}"/>
    <hyperlink ref="J5825" r:id="rId7967" xr:uid="{F0340967-7909-B542-8910-D5A61EE41E49}"/>
    <hyperlink ref="J5826" r:id="rId7968" xr:uid="{4D185E9C-3385-654B-AD17-01B127E8CF34}"/>
    <hyperlink ref="J5827" r:id="rId7969" xr:uid="{92D7AC10-2C74-5140-9B6F-3C71991C0666}"/>
    <hyperlink ref="J5828" r:id="rId7970" xr:uid="{30E8BC22-E583-7347-8FA8-C166AA3ACE2C}"/>
    <hyperlink ref="J5829" r:id="rId7971" xr:uid="{BCE289A5-4235-A840-B4A9-07BB68DFA23D}"/>
    <hyperlink ref="W5829" r:id="rId7972" xr:uid="{5CDF96DA-26D9-774A-B47B-129873A8E979}"/>
    <hyperlink ref="J5830" r:id="rId7973" xr:uid="{10BACBB0-20D7-294B-9309-FA65C26BC929}"/>
    <hyperlink ref="J5831" r:id="rId7974" xr:uid="{49B9B915-A089-7C49-BBAB-C1AF98FB00A1}"/>
    <hyperlink ref="J5832" r:id="rId7975" xr:uid="{73670D17-E92F-FA46-B326-08D8CE1117B0}"/>
    <hyperlink ref="J5833" r:id="rId7976" xr:uid="{11B6951B-3EC6-DF4F-8126-28A13E134540}"/>
    <hyperlink ref="J5834" r:id="rId7977" xr:uid="{4F15E83B-DB25-474D-BF46-B4D75917646E}"/>
    <hyperlink ref="J5835" r:id="rId7978" xr:uid="{F024C5D2-7BBF-A34B-8732-0B063DFFB6CF}"/>
    <hyperlink ref="J5836" r:id="rId7979" xr:uid="{EC046C04-F942-B443-AE60-D732A9BB37A7}"/>
    <hyperlink ref="W5836" r:id="rId7980" xr:uid="{CA639CE1-35D1-5B46-A82F-5A29D6296BA8}"/>
    <hyperlink ref="J5837" r:id="rId7981" xr:uid="{92D12568-5FEA-C54A-BEB5-92014496BD92}"/>
    <hyperlink ref="J5838" r:id="rId7982" xr:uid="{8067D298-6E47-CC4B-AAD7-6E9C31D1C7E7}"/>
    <hyperlink ref="O5838" r:id="rId7983" xr:uid="{F8146A70-EB51-FE4F-9070-3AF73A48B00A}"/>
    <hyperlink ref="J5839" r:id="rId7984" xr:uid="{6C5050A1-EA1C-8B40-B44E-D00548B18EC2}"/>
    <hyperlink ref="W5839" r:id="rId7985" xr:uid="{21D63A82-7595-DE40-9548-039B6F19EAE7}"/>
    <hyperlink ref="J5840" r:id="rId7986" xr:uid="{C40E3933-F131-1A46-931F-42D9A8B11C66}"/>
    <hyperlink ref="J5841" r:id="rId7987" xr:uid="{39499DCB-4118-1948-80EB-DACFE959E0C8}"/>
    <hyperlink ref="J5842" r:id="rId7988" xr:uid="{9EF027DC-1B79-8042-9EAE-0DD35612F57C}"/>
    <hyperlink ref="J5843" r:id="rId7989" xr:uid="{8648C06E-6A42-CF40-943B-34CDBAA54D9E}"/>
    <hyperlink ref="J5844" r:id="rId7990" xr:uid="{67425E7E-3B0C-A54B-AEC9-A20114094A19}"/>
    <hyperlink ref="W5844" r:id="rId7991" xr:uid="{A35BFD07-622B-F64C-B9E9-A75786298E0A}"/>
    <hyperlink ref="J5845" r:id="rId7992" xr:uid="{B146574A-FC64-A34C-AD63-9D0FC6116743}"/>
    <hyperlink ref="J5846" r:id="rId7993" xr:uid="{9A76BBD9-3994-1C41-B3FB-DAE2E39013BC}"/>
    <hyperlink ref="J5847" r:id="rId7994" xr:uid="{BA25AB97-1033-714E-902F-5501A1B291F1}"/>
    <hyperlink ref="W5847" r:id="rId7995" xr:uid="{5EF43517-CBB2-1644-95FF-467EB1E51EA8}"/>
    <hyperlink ref="J5848" r:id="rId7996" xr:uid="{4E7CF15C-827E-E14E-8B85-E90D75E30AFA}"/>
    <hyperlink ref="J5849" r:id="rId7997" xr:uid="{3B78163A-30BD-214C-91A8-EFD72F2B01EE}"/>
    <hyperlink ref="J5850" r:id="rId7998" xr:uid="{6920B332-4462-7B48-962F-91EF63D9161C}"/>
    <hyperlink ref="J5851" r:id="rId7999" xr:uid="{CAAE6FDD-4919-634A-BD1A-7CC021C2342F}"/>
    <hyperlink ref="W5851" r:id="rId8000" xr:uid="{9C4081CD-6913-4344-B0F1-61A5027D1FF4}"/>
    <hyperlink ref="J5852" r:id="rId8001" xr:uid="{CD603453-F149-CD42-A83F-F38137F6016A}"/>
    <hyperlink ref="J5853" r:id="rId8002" xr:uid="{9ECA1EDB-C72E-AF4D-BD20-1F9BA0A77968}"/>
    <hyperlink ref="J5854" r:id="rId8003" xr:uid="{FCD8E412-F891-C64E-92BB-2E66161B2444}"/>
    <hyperlink ref="W5854" r:id="rId8004" xr:uid="{BB0EFDFC-49EA-E84F-B6AE-20DF609B838C}"/>
    <hyperlink ref="J5855" r:id="rId8005" xr:uid="{D7FBAEE7-E617-A340-8E6C-3557AEDF8E63}"/>
    <hyperlink ref="J5856" r:id="rId8006" xr:uid="{21B3C858-4FE3-4149-BA9F-7B0FF4BC75E5}"/>
    <hyperlink ref="J5857" r:id="rId8007" xr:uid="{339BF7AE-DAC7-814C-92EE-8D5E07EC1C78}"/>
    <hyperlink ref="J5858" r:id="rId8008" xr:uid="{D3C23F83-E20B-5C45-A941-D9D57C81DF1A}"/>
    <hyperlink ref="J5859" r:id="rId8009" xr:uid="{A1F79609-94FC-C247-80A9-7398957ED06C}"/>
    <hyperlink ref="W5859" r:id="rId8010" xr:uid="{6CBFD32C-08DD-D84A-88D4-FD49BFB4F811}"/>
    <hyperlink ref="J5860" r:id="rId8011" xr:uid="{106C58AB-B50F-154D-B183-429DF89C76C7}"/>
    <hyperlink ref="J5861" r:id="rId8012" xr:uid="{9FAFD420-0C1A-CE47-A56F-56973BC97F72}"/>
    <hyperlink ref="J5862" r:id="rId8013" xr:uid="{024BFF50-9C1C-7C40-9C49-FF60CA13C257}"/>
    <hyperlink ref="J5863" r:id="rId8014" xr:uid="{F110283D-DE31-2E4C-BB7B-3B22FE18C8F0}"/>
    <hyperlink ref="J5864" r:id="rId8015" xr:uid="{6D6407FA-B615-9746-926B-E615617A765A}"/>
    <hyperlink ref="W5864" r:id="rId8016" xr:uid="{013BC870-F799-244F-A118-95E4E3CA43F0}"/>
    <hyperlink ref="J5865" r:id="rId8017" xr:uid="{370C72A4-5834-BE44-9421-88D62CFAD9B6}"/>
    <hyperlink ref="J5866" r:id="rId8018" xr:uid="{436D1358-3BC2-DE42-8E6C-9D48F5D76C9D}"/>
    <hyperlink ref="J5867" r:id="rId8019" xr:uid="{3DB11D68-681B-154E-B35D-038181055AD7}"/>
    <hyperlink ref="J5868" r:id="rId8020" xr:uid="{88F04B40-512E-C94C-BE00-29FE8D762580}"/>
    <hyperlink ref="J5869" r:id="rId8021" xr:uid="{80D3AE54-D8A1-0847-94D0-CC13CE5EF53D}"/>
    <hyperlink ref="W5869" r:id="rId8022" xr:uid="{250B266F-758F-3646-AD4F-E2513E82F570}"/>
    <hyperlink ref="J5870" r:id="rId8023" xr:uid="{A1CDDB55-4996-474C-A40E-34393B4EEDD2}"/>
    <hyperlink ref="J5871" r:id="rId8024" xr:uid="{3DBCF07E-C704-484C-AAF1-BD57E49EF16A}"/>
    <hyperlink ref="J5872" r:id="rId8025" xr:uid="{E0068BDB-B8F5-454E-B5AC-A43267AE654B}"/>
    <hyperlink ref="J5873" r:id="rId8026" xr:uid="{AF3B70FD-1E84-4643-91ED-55A3E3102836}"/>
    <hyperlink ref="J5874" r:id="rId8027" xr:uid="{28A6C839-000A-6440-A00A-F52E6CF4D204}"/>
    <hyperlink ref="J5875" r:id="rId8028" xr:uid="{9F2EE323-2AC4-2D45-AB78-68ED59C77C1B}"/>
    <hyperlink ref="J5876" r:id="rId8029" xr:uid="{BD27EDC3-8AA5-5645-9ECE-62D60DF4AAF0}"/>
    <hyperlink ref="W5876" r:id="rId8030" xr:uid="{14B15189-CB48-1445-804E-1A826D3EDB57}"/>
    <hyperlink ref="J5877" r:id="rId8031" xr:uid="{0BE98170-4AD6-B34B-A54B-26E44D5B5F48}"/>
    <hyperlink ref="J5878" r:id="rId8032" xr:uid="{5089DA47-EDEE-4845-A8B3-C2610EA46762}"/>
    <hyperlink ref="J5879" r:id="rId8033" xr:uid="{61A65E83-0C37-E446-ABD5-E21FC35A0DB3}"/>
    <hyperlink ref="J5880" r:id="rId8034" xr:uid="{49C85D60-34AE-6747-AE02-6FDBC49BA7BC}"/>
    <hyperlink ref="J5881" r:id="rId8035" xr:uid="{F1C55410-B643-6A4C-AE38-03C96A90DCCE}"/>
    <hyperlink ref="J5882" r:id="rId8036" xr:uid="{EDC59B76-9736-CF4B-9799-042C70C129B1}"/>
    <hyperlink ref="J5883" r:id="rId8037" xr:uid="{96C719E7-54FB-2642-845A-8981935CFE5D}"/>
    <hyperlink ref="J5884" r:id="rId8038" xr:uid="{6311EC52-4EEC-C14B-AC2F-A1F977A05CA1}"/>
    <hyperlink ref="J5885" r:id="rId8039" xr:uid="{37D6CAB7-CCAE-8942-BC15-EA339A547097}"/>
    <hyperlink ref="J5886" r:id="rId8040" xr:uid="{56A46CED-3209-1B4D-8477-8B202DB656E0}"/>
    <hyperlink ref="J5887" r:id="rId8041" xr:uid="{F83D74AB-7FE6-4A4F-8D29-35D4916CADDC}"/>
    <hyperlink ref="J5888" r:id="rId8042" xr:uid="{8946CB37-7274-2A4F-A847-712D1436A131}"/>
    <hyperlink ref="W5888" r:id="rId8043" xr:uid="{37D07F7A-DCD5-1B4C-8A9A-32A5C97F5890}"/>
    <hyperlink ref="J5889" r:id="rId8044" xr:uid="{D850769A-1728-4B44-ADDE-B91ACC48374F}"/>
    <hyperlink ref="J5890" r:id="rId8045" xr:uid="{6F4D16BE-F72E-7145-BD9D-A1EF785DD4DF}"/>
    <hyperlink ref="J5891" r:id="rId8046" xr:uid="{2D84829B-8642-864E-B8BF-C2DC301C2231}"/>
    <hyperlink ref="J5892" r:id="rId8047" xr:uid="{4FF9F3AF-0340-E748-90C1-52A26F646CB7}"/>
    <hyperlink ref="J5893" r:id="rId8048" xr:uid="{59CAB70D-EBB6-2049-9050-8697237C0A46}"/>
    <hyperlink ref="J5894" r:id="rId8049" xr:uid="{3C962597-A196-B642-9E6A-C53C2D5B248D}"/>
    <hyperlink ref="J5895" r:id="rId8050" xr:uid="{BB3A4BD1-243E-364C-98F8-C1F6414C47B7}"/>
    <hyperlink ref="W5895" r:id="rId8051" xr:uid="{285A0DC7-7E81-864A-9911-A5AB6AC44C22}"/>
    <hyperlink ref="J5896" r:id="rId8052" xr:uid="{04EF4401-FEEC-B24D-A55D-BE1C284CE601}"/>
    <hyperlink ref="J5897" r:id="rId8053" xr:uid="{6043BA1F-5663-6E46-A9E4-3D7B64E67CBF}"/>
    <hyperlink ref="J5898" r:id="rId8054" xr:uid="{3B2EBF34-774E-A841-8537-592BCCB296FD}"/>
    <hyperlink ref="J5899" r:id="rId8055" xr:uid="{ADB348C5-E4AE-804E-BB16-B35FD248EAF2}"/>
    <hyperlink ref="J5900" r:id="rId8056" xr:uid="{B309EEDB-3B27-7C4D-966E-DE990357E2C2}"/>
    <hyperlink ref="J5901" r:id="rId8057" xr:uid="{562ED7D5-E144-8D48-927D-B5E720530276}"/>
    <hyperlink ref="J5902" r:id="rId8058" xr:uid="{9FF1DCE1-2559-094C-B2D1-DD3D5527E17D}"/>
    <hyperlink ref="J5903" r:id="rId8059" xr:uid="{5C16921C-E59B-8747-94DE-8FFDC1563560}"/>
    <hyperlink ref="W5903" r:id="rId8060" xr:uid="{ADF6179C-1DA0-DE48-9740-2C796ECEBF0D}"/>
    <hyperlink ref="J5904" r:id="rId8061" xr:uid="{018B6D4E-58D5-324E-8577-E5FEDCA7B615}"/>
    <hyperlink ref="J5905" r:id="rId8062" xr:uid="{CD2B7C55-08D5-0044-B618-4AD3AF096351}"/>
    <hyperlink ref="W5905" r:id="rId8063" xr:uid="{FB31A778-0931-1744-840A-3116DD0E3882}"/>
    <hyperlink ref="J5906" r:id="rId8064" xr:uid="{B700EA06-7B89-D843-817C-CBEBB72682FA}"/>
    <hyperlink ref="J5907" r:id="rId8065" xr:uid="{1C7A8D52-B40F-F746-84AA-CFE3ED26E739}"/>
    <hyperlink ref="J5908" r:id="rId8066" xr:uid="{B2E558FB-D70C-D944-ADF2-53FB08AAC180}"/>
    <hyperlink ref="J5909" r:id="rId8067" xr:uid="{CF54220E-4187-C74A-81A7-17B93BD125A4}"/>
    <hyperlink ref="J5910" r:id="rId8068" xr:uid="{8F9D2270-8F39-6044-99C2-89BD4D623945}"/>
    <hyperlink ref="J5911" r:id="rId8069" xr:uid="{6F05A87A-9E4C-EC4F-90D5-07A4DC0BF84B}"/>
    <hyperlink ref="J5912" r:id="rId8070" xr:uid="{0EAFFC32-D977-984C-A415-686FADF577FB}"/>
    <hyperlink ref="W5912" r:id="rId8071" xr:uid="{FD49830E-F59E-6746-A718-22387C616FD6}"/>
    <hyperlink ref="J5913" r:id="rId8072" xr:uid="{7D293C8C-D878-244D-B3A3-BA2E4E157D70}"/>
    <hyperlink ref="J5914" r:id="rId8073" xr:uid="{07F11A23-E4BA-F84A-A495-097DDFF28F4F}"/>
    <hyperlink ref="W5914" r:id="rId8074" xr:uid="{79F88D4C-06F7-F245-8BC7-2A31B81E1604}"/>
    <hyperlink ref="J5915" r:id="rId8075" xr:uid="{AA14559B-6977-6140-B3D3-BF8571F08A1E}"/>
    <hyperlink ref="W5915" r:id="rId8076" xr:uid="{D9B3A865-18BC-5346-B339-F929B186EF5A}"/>
    <hyperlink ref="J5916" r:id="rId8077" xr:uid="{170D0083-F955-B240-9999-3988A9D6EB1A}"/>
    <hyperlink ref="J5917" r:id="rId8078" xr:uid="{4EE196F4-F8D0-8D48-8337-DD81C5A5CD78}"/>
    <hyperlink ref="W5917" r:id="rId8079" xr:uid="{457BBF65-2601-5746-B2D6-2253315A36E6}"/>
    <hyperlink ref="J5918" r:id="rId8080" xr:uid="{4DBD6437-5BAC-A048-BB95-131F5B6D3E08}"/>
    <hyperlink ref="J5919" r:id="rId8081" xr:uid="{F54A192C-4597-4845-93A6-00B3FF5C93BE}"/>
    <hyperlink ref="J5920" r:id="rId8082" xr:uid="{26B023D7-F791-2447-BA6F-C964544E942B}"/>
    <hyperlink ref="J5921" r:id="rId8083" xr:uid="{0949FA85-BA15-7E42-8419-2ADAC6BAD21D}"/>
    <hyperlink ref="W5921" r:id="rId8084" xr:uid="{2C1D9D6F-AC59-0041-8DB8-27CE786B380B}"/>
    <hyperlink ref="J5922" r:id="rId8085" xr:uid="{A0D4DAA5-28A9-C241-963E-0126BB33DBEF}"/>
    <hyperlink ref="J5923" r:id="rId8086" xr:uid="{66F6BBFD-3D8F-A542-B2DE-738C50FFD7F0}"/>
    <hyperlink ref="J5924" r:id="rId8087" xr:uid="{48ECA8C8-F873-C042-BBD3-DDD1EE11F3AB}"/>
    <hyperlink ref="W5924" r:id="rId8088" xr:uid="{776AC398-FC10-3143-85B0-8C40C4A59A2D}"/>
    <hyperlink ref="J5925" r:id="rId8089" xr:uid="{23A33755-D246-7F44-B317-45E0C296E0F7}"/>
    <hyperlink ref="W5925" r:id="rId8090" xr:uid="{ABAD7D6A-C421-EE48-AB53-24E51994BFB3}"/>
    <hyperlink ref="J5926" r:id="rId8091" xr:uid="{A5DF4F1C-DFF2-AF49-A43C-D6090E3FEFD6}"/>
    <hyperlink ref="J5927" r:id="rId8092" xr:uid="{24E4D2AF-25B1-4140-AA2D-15137ED3A2C2}"/>
    <hyperlink ref="J5928" r:id="rId8093" xr:uid="{C40190E2-A0E4-A64C-AD0E-73BAD4736A24}"/>
    <hyperlink ref="J5929" r:id="rId8094" xr:uid="{229BD585-41D6-2542-8B8F-F3E79053A3FF}"/>
    <hyperlink ref="J5930" r:id="rId8095" xr:uid="{7A24208C-1E47-E147-8DFE-D3BCB4CE5A23}"/>
    <hyperlink ref="J5931" r:id="rId8096" xr:uid="{0F8B87E9-AC23-F34E-9D06-47AF680D1FD2}"/>
    <hyperlink ref="J5932" r:id="rId8097" xr:uid="{7E249D72-027C-A146-9C86-32B374481F4C}"/>
    <hyperlink ref="J5933" r:id="rId8098" xr:uid="{A8DC7738-1A5F-B040-AAE1-9CABCF35EBEB}"/>
    <hyperlink ref="J5934" r:id="rId8099" xr:uid="{A7E59F9B-05ED-184E-9367-F534BB865734}"/>
    <hyperlink ref="J5935" r:id="rId8100" xr:uid="{1D82D629-AA60-8447-A45B-B8B51AE43FCB}"/>
    <hyperlink ref="J5936" r:id="rId8101" xr:uid="{2FCA3AA9-1487-5843-86E3-11475071040B}"/>
    <hyperlink ref="J5937" r:id="rId8102" xr:uid="{319E01A4-170D-CD4A-BD2F-D829D3639A45}"/>
    <hyperlink ref="J5938" r:id="rId8103" xr:uid="{D81E7645-4F14-A84E-8305-4157CA42C27D}"/>
    <hyperlink ref="J5939" r:id="rId8104" xr:uid="{8DD6374C-75EE-4F49-B307-FF0DECABE353}"/>
    <hyperlink ref="J5940" r:id="rId8105" xr:uid="{E73BE4F5-386F-3F48-AEA3-589E254C96A2}"/>
    <hyperlink ref="J5941" r:id="rId8106" xr:uid="{27F3F854-688B-BA4C-960B-BCDE76635111}"/>
    <hyperlink ref="W5941" r:id="rId8107" xr:uid="{14AFC4B4-08C3-8D47-A84D-90F7E3194280}"/>
    <hyperlink ref="J5942" r:id="rId8108" xr:uid="{39E997E2-92CE-FB4B-9749-43C780EAD818}"/>
    <hyperlink ref="J5943" r:id="rId8109" xr:uid="{078A0242-83D4-D74E-A552-1A99A0FD35EA}"/>
    <hyperlink ref="J5944" r:id="rId8110" xr:uid="{6F49C39F-C9A5-4740-B94C-CA04B0768E51}"/>
    <hyperlink ref="W5945" r:id="rId8111" xr:uid="{0E04F863-7912-7E4E-8272-243FB3B2D953}"/>
    <hyperlink ref="J5946" r:id="rId8112" xr:uid="{F1EC4D16-BFBF-3548-B9B1-CFC735ECD6FD}"/>
    <hyperlink ref="W5946" r:id="rId8113" xr:uid="{52A1F86B-4942-254C-826C-08EF57EA0480}"/>
    <hyperlink ref="J5947" r:id="rId8114" xr:uid="{0498D7AE-0097-FD42-A47B-50DAF2C7FFBA}"/>
    <hyperlink ref="J5948" r:id="rId8115" xr:uid="{B5D67AEB-0306-B844-9BB7-A5D6CE051A97}"/>
    <hyperlink ref="J5949" r:id="rId8116" xr:uid="{6FB1C2A5-1826-FD4F-B598-83AFBD6668EE}"/>
    <hyperlink ref="J5950" r:id="rId8117" xr:uid="{A9703AA1-F1C6-704E-815C-B2DDDC87BDD2}"/>
    <hyperlink ref="J5951" r:id="rId8118" xr:uid="{31B9838F-04D0-924D-AA2B-1DEE5805EFE0}"/>
    <hyperlink ref="J5952" r:id="rId8119" xr:uid="{324A5FD8-46CD-A145-B46C-052445384BC5}"/>
    <hyperlink ref="J5953" r:id="rId8120" xr:uid="{E634C19A-2A85-0C45-9A6A-0AE1659DBC41}"/>
    <hyperlink ref="J5954" r:id="rId8121" xr:uid="{2E47C24A-BC52-F84A-8C83-F423E88172F2}"/>
    <hyperlink ref="J5955" r:id="rId8122" xr:uid="{B40753A8-B64A-794A-BB84-B0FBA4931758}"/>
    <hyperlink ref="W5955" r:id="rId8123" xr:uid="{4DDEA38E-64E1-4A49-9516-B918E0730450}"/>
    <hyperlink ref="J5956" r:id="rId8124" xr:uid="{30450918-2F7E-9545-9BA5-FF0D8D583E77}"/>
    <hyperlink ref="W5956" r:id="rId8125" xr:uid="{00A2751D-4C1B-9C41-B68B-05C5AA372DE2}"/>
    <hyperlink ref="J5957" r:id="rId8126" xr:uid="{7AE90675-0620-B243-BB27-263A4230B97A}"/>
    <hyperlink ref="J5958" r:id="rId8127" xr:uid="{7B12327E-0286-8942-A9EA-AE0833C59C6A}"/>
    <hyperlink ref="J5959" r:id="rId8128" xr:uid="{2E6E88BB-3FFE-E742-9369-335E8487F020}"/>
    <hyperlink ref="J5960" r:id="rId8129" xr:uid="{92D4AC70-9C63-114B-96E0-66518803807E}"/>
    <hyperlink ref="J5961" r:id="rId8130" xr:uid="{814A0525-EC04-914E-8662-25CDC539EB07}"/>
    <hyperlink ref="J5962" r:id="rId8131" xr:uid="{DD38C79F-4393-CF48-8624-615FBF20283A}"/>
    <hyperlink ref="W5962" r:id="rId8132" xr:uid="{3AF9555C-15F4-2B48-94FC-994791E0D439}"/>
    <hyperlink ref="J5963" r:id="rId8133" xr:uid="{C3E92325-41F3-6E4E-A797-2D7370BD5BC0}"/>
    <hyperlink ref="J5964" r:id="rId8134" xr:uid="{4A7F572F-1CE6-F043-A12D-FD0DB388CE54}"/>
    <hyperlink ref="J5965" r:id="rId8135" xr:uid="{C0A3830C-B676-E848-93B8-DADE64D1AF79}"/>
    <hyperlink ref="J5966" r:id="rId8136" xr:uid="{2318F94D-60FE-C54E-9E45-9A6DFA713952}"/>
    <hyperlink ref="J5967" r:id="rId8137" xr:uid="{48EDA587-BE9A-3D4D-BCA2-CADF2D22EFA5}"/>
    <hyperlink ref="J5968" r:id="rId8138" xr:uid="{FFF0FECC-3394-9747-A880-80C7AC0C451B}"/>
    <hyperlink ref="J5969" r:id="rId8139" xr:uid="{2378D24E-8F26-F041-BB10-51F445B7C15D}"/>
    <hyperlink ref="J5970" r:id="rId8140" xr:uid="{85E140F4-A39C-6D43-B441-4AD3A9B76217}"/>
    <hyperlink ref="J5971" r:id="rId8141" xr:uid="{624430FE-5F9A-7D41-B508-E228D0B5E1D4}"/>
    <hyperlink ref="J5972" r:id="rId8142" xr:uid="{91D03820-0E8A-644E-9974-7922DFB6CEB3}"/>
    <hyperlink ref="J5973" r:id="rId8143" xr:uid="{151654C6-F4BE-AE48-917F-BBFE73B016A0}"/>
    <hyperlink ref="J5974" r:id="rId8144" xr:uid="{10686D56-7150-EF40-AD37-C4DA8ACD85AC}"/>
    <hyperlink ref="W5974" r:id="rId8145" xr:uid="{B148AA9D-AAFF-BE48-846A-498E9B35F13F}"/>
    <hyperlink ref="J5975" r:id="rId8146" xr:uid="{C7D5A072-060C-504B-8756-FD449B4F4AF8}"/>
    <hyperlink ref="J5976" r:id="rId8147" xr:uid="{D1A0385C-A10E-1340-AE4F-B0D06B3FEDAC}"/>
    <hyperlink ref="J5977" r:id="rId8148" xr:uid="{7F178AE7-5A19-2C48-AA3B-BD6D79C3E249}"/>
    <hyperlink ref="J5978" r:id="rId8149" xr:uid="{576E1BAE-AE82-E242-8132-7A2816FF2E88}"/>
    <hyperlink ref="J5979" r:id="rId8150" xr:uid="{08214FA9-8664-9E49-9499-5BCF326E2F0D}"/>
    <hyperlink ref="J5980" r:id="rId8151" xr:uid="{195E41AC-99F0-1047-8D84-6B50B30F00DF}"/>
    <hyperlink ref="W5980" r:id="rId8152" xr:uid="{0BD2EA5F-6326-AC4F-9B1D-F8C40A26C67C}"/>
    <hyperlink ref="J5981" r:id="rId8153" xr:uid="{A553F37D-6701-9344-AC16-CC841D31BDD0}"/>
    <hyperlink ref="J5982" r:id="rId8154" xr:uid="{A593F606-FCBF-794B-B98D-5FD3C598AB45}"/>
    <hyperlink ref="W5982" r:id="rId8155" xr:uid="{9732829E-356D-5E4E-B6A8-40C8E3961712}"/>
    <hyperlink ref="J5983" r:id="rId8156" xr:uid="{99E91E47-2656-5B40-A603-4F86427400EC}"/>
    <hyperlink ref="J5984" r:id="rId8157" xr:uid="{D6512E04-8D44-1847-BB75-61605E6C43DB}"/>
    <hyperlink ref="J5985" r:id="rId8158" xr:uid="{CAD988CC-C023-8344-B92A-ACCC6A821B43}"/>
    <hyperlink ref="J5986" r:id="rId8159" xr:uid="{2149FED3-70C5-7545-927B-839036B5D38F}"/>
    <hyperlink ref="J5987" r:id="rId8160" xr:uid="{B4080A4E-6A16-0245-8F98-75291BDCD798}"/>
    <hyperlink ref="J5988" r:id="rId8161" xr:uid="{FC1C107B-0906-C341-87B5-255D57801B14}"/>
    <hyperlink ref="J5989" r:id="rId8162" xr:uid="{CC2F98A4-1DAD-6148-8845-5EA13B1B3CD7}"/>
    <hyperlink ref="J5990" r:id="rId8163" xr:uid="{5417B198-0811-2342-89FA-C68CF620B31A}"/>
    <hyperlink ref="J5991" r:id="rId8164" xr:uid="{D4A84483-C17E-DD46-94ED-E5D6C1B4DE78}"/>
    <hyperlink ref="J5992" r:id="rId8165" xr:uid="{9A377EE5-204E-2A47-9BBE-B1966C2B080C}"/>
    <hyperlink ref="J5993" r:id="rId8166" xr:uid="{01627525-2305-6944-9DFE-FBFA5FBE69BE}"/>
    <hyperlink ref="J5994" r:id="rId8167" xr:uid="{2B24B69C-1AE5-3C4D-BF2A-E47FE32770EA}"/>
    <hyperlink ref="J5995" r:id="rId8168" xr:uid="{2C374463-4CF4-6F41-A0C7-88B250B91FF3}"/>
    <hyperlink ref="J5996" r:id="rId8169" xr:uid="{FC604E48-57A6-E04E-9D52-7076362A611B}"/>
    <hyperlink ref="J5997" r:id="rId8170" xr:uid="{E0E2919F-776A-F647-AC5C-C1CE468B2ABB}"/>
    <hyperlink ref="J5998" r:id="rId8171" xr:uid="{CFD82533-9FAD-1146-8A8B-7DE105546A19}"/>
    <hyperlink ref="W5998" r:id="rId8172" xr:uid="{FEDDDD31-7626-4644-9719-613124DA058D}"/>
    <hyperlink ref="J5999" r:id="rId8173" xr:uid="{BBFD3D73-8188-BB49-9645-D02DCF9D7865}"/>
    <hyperlink ref="J6000" r:id="rId8174" xr:uid="{112E47E6-9F44-954D-A586-561621B48510}"/>
    <hyperlink ref="J6001" r:id="rId8175" xr:uid="{5EDC3583-C5A7-3C40-807B-D1FD7F4D01DC}"/>
    <hyperlink ref="J6002" r:id="rId8176" xr:uid="{F8A3A884-0A20-0F48-968D-1F8E3BB6892C}"/>
    <hyperlink ref="W6002" r:id="rId8177" xr:uid="{2D6CA8D6-2D3B-3049-B53E-8543484B61B6}"/>
    <hyperlink ref="J6003" r:id="rId8178" xr:uid="{BAD4A393-EA2B-6E40-AB5A-D4093CCBA1E5}"/>
    <hyperlink ref="J6004" r:id="rId8179" xr:uid="{FFCC8748-7B27-4640-B370-3D96A375B1A8}"/>
    <hyperlink ref="J6005" r:id="rId8180" xr:uid="{01BC6B6F-0E3A-0444-ADE9-D2FC60451C76}"/>
    <hyperlink ref="J6006" r:id="rId8181" xr:uid="{57AA1EBD-646C-D745-A056-F0F04ABAEB52}"/>
    <hyperlink ref="W6006" r:id="rId8182" xr:uid="{9A682F63-6EC4-B44D-9664-CC7FBC5E810B}"/>
    <hyperlink ref="J6007" r:id="rId8183" xr:uid="{D53D91ED-C2FA-8C42-AED6-F1AFC8F96883}"/>
    <hyperlink ref="W6007" r:id="rId8184" xr:uid="{46F4F581-9E1F-B64F-9EA5-DAF0A4C049B1}"/>
    <hyperlink ref="J6008" r:id="rId8185" xr:uid="{144541F5-D552-CC4E-8813-8D0B608431B0}"/>
    <hyperlink ref="W6008" r:id="rId8186" xr:uid="{384B0307-A21D-F34E-B07A-96572A709E61}"/>
    <hyperlink ref="J6009" r:id="rId8187" xr:uid="{087BA786-58C6-A448-8128-2CAB942942BE}"/>
    <hyperlink ref="J6010" r:id="rId8188" xr:uid="{8A40802C-F375-D148-ACEF-B5F0A79FA391}"/>
    <hyperlink ref="W6010" r:id="rId8189" xr:uid="{2C180A8C-6DDD-AD40-97E7-3D9034FFE98E}"/>
    <hyperlink ref="J6011" r:id="rId8190" xr:uid="{3941F5E7-6994-6E41-A56A-4DD60E1BDEEC}"/>
    <hyperlink ref="W6011" r:id="rId8191" xr:uid="{8E1EEC99-003C-BC43-98B4-F696A80C9BDC}"/>
    <hyperlink ref="J6012" r:id="rId8192" xr:uid="{ECAEE032-66D3-DF4A-BC52-65AD5CDD413F}"/>
    <hyperlink ref="W6012" r:id="rId8193" xr:uid="{6B5AA19B-D21E-2B42-966A-7370E4205008}"/>
    <hyperlink ref="J6013" r:id="rId8194" xr:uid="{E27EF450-EB13-2745-9337-472E8FF66FEE}"/>
    <hyperlink ref="J6014" r:id="rId8195" xr:uid="{F0533B97-D13C-0E44-B870-53DBE60EBB01}"/>
    <hyperlink ref="J6015" r:id="rId8196" xr:uid="{52F2E5C3-B2EC-2A46-8AEA-E3715A5BDBB0}"/>
    <hyperlink ref="W6015" r:id="rId8197" xr:uid="{523A6449-3C0D-8545-9F25-EDD5B352A525}"/>
    <hyperlink ref="J6016" r:id="rId8198" xr:uid="{1893DC34-A416-2840-82FB-6689A9603FA7}"/>
    <hyperlink ref="W6016" r:id="rId8199" xr:uid="{4CFE7766-9B7C-014C-8FF4-7021681DDA59}"/>
    <hyperlink ref="J6017" r:id="rId8200" xr:uid="{157161E3-D8A3-3042-AACC-60869A445AAA}"/>
    <hyperlink ref="W6017" r:id="rId8201" xr:uid="{1FC413EF-5887-2744-91CA-62E6E90D6F0A}"/>
    <hyperlink ref="J6018" r:id="rId8202" xr:uid="{4D134D6D-9B74-D542-B61C-8553AD787C08}"/>
    <hyperlink ref="W6018" r:id="rId8203" xr:uid="{5740ED54-0C88-4644-91A2-CAC7A4366FBD}"/>
    <hyperlink ref="J6019" r:id="rId8204" xr:uid="{6DBEBCE4-A909-F44D-811A-1B7CD0C0F2AB}"/>
    <hyperlink ref="W6019" r:id="rId8205" xr:uid="{94A2B2F3-6FB7-1647-AE32-1EA20678D0B2}"/>
    <hyperlink ref="J6020" r:id="rId8206" xr:uid="{E9EBEC34-9838-FC41-AF55-35DCFB9CDBF0}"/>
    <hyperlink ref="W6020" r:id="rId8207" xr:uid="{3B5D3B67-8AEF-A748-ADEE-71B2AF952A81}"/>
    <hyperlink ref="J6021" r:id="rId8208" xr:uid="{5192A453-60B1-AB4A-99CC-D4F6D35CD1A6}"/>
    <hyperlink ref="W6021" r:id="rId8209" xr:uid="{566F6925-B31E-754A-86BB-C7BE21A6D7A9}"/>
    <hyperlink ref="J6022" r:id="rId8210" xr:uid="{AD263A1E-F3F8-4647-A428-BBFE246A82FB}"/>
    <hyperlink ref="W6022" r:id="rId8211" xr:uid="{D7E6909D-3ACA-6A44-835F-C4541FD5CF9F}"/>
    <hyperlink ref="J6023" r:id="rId8212" xr:uid="{7CFEF335-24F0-604E-A10D-2C3F1C1A9669}"/>
    <hyperlink ref="W6023" r:id="rId8213" xr:uid="{F8F47074-BAFA-2A48-AFA6-6F9B20597488}"/>
    <hyperlink ref="J6024" r:id="rId8214" xr:uid="{36BC9D42-E393-3842-8B96-3C470B4AB76E}"/>
    <hyperlink ref="W6024" r:id="rId8215" xr:uid="{AE072DD5-965C-5A4D-B13F-C8CB3F363041}"/>
    <hyperlink ref="J6025" r:id="rId8216" xr:uid="{AFF0C37A-8A80-BA48-B282-CBFC0FF45F18}"/>
    <hyperlink ref="W6025" r:id="rId8217" xr:uid="{3815A582-DA35-084C-9487-15CEFAB20492}"/>
    <hyperlink ref="J6026" r:id="rId8218" xr:uid="{D0AF13F1-6C2C-A44E-BC0E-9D220501C63A}"/>
    <hyperlink ref="J6027" r:id="rId8219" xr:uid="{1AB4290E-60BB-4C45-B7EE-46D3DA553DCA}"/>
    <hyperlink ref="W6027" r:id="rId8220" xr:uid="{769FA6C1-BD0C-7C48-88E4-84CA66CE2C97}"/>
    <hyperlink ref="J6028" r:id="rId8221" xr:uid="{944AB79A-DEC4-2D44-8516-B76C59F6332F}"/>
    <hyperlink ref="W6028" r:id="rId8222" xr:uid="{358BD2AF-6605-9D47-9602-FFBC7A0E4D53}"/>
    <hyperlink ref="J6029" r:id="rId8223" xr:uid="{03A45FEA-7AAF-2545-B66B-D0EEBAD2D088}"/>
    <hyperlink ref="W6029" r:id="rId8224" xr:uid="{4E76E6CC-4089-1E4B-9E78-E7291BAC5C00}"/>
    <hyperlink ref="J6030" r:id="rId8225" xr:uid="{6089D26D-75FB-D34A-AC5B-127208C0EC48}"/>
    <hyperlink ref="J6031" r:id="rId8226" xr:uid="{46F3CA02-F340-D74D-A72B-DB9AC6CAC9E0}"/>
    <hyperlink ref="W6031" r:id="rId8227" xr:uid="{99DCCB8D-610C-EB4A-9979-0C457119E1CC}"/>
    <hyperlink ref="J6032" r:id="rId8228" xr:uid="{9A817992-2D0C-824C-BF26-69BD0FDA80E9}"/>
    <hyperlink ref="J6033" r:id="rId8229" xr:uid="{3A81D5D0-AC32-E64C-8D5A-8CA83F6948AD}"/>
    <hyperlink ref="W6033" r:id="rId8230" xr:uid="{31AC1C3B-AC9E-EB46-BFB2-6B03643F053B}"/>
    <hyperlink ref="J6034" r:id="rId8231" xr:uid="{8BA45B74-6810-9740-B42A-1494083CF4D4}"/>
    <hyperlink ref="W6034" r:id="rId8232" xr:uid="{8E84C7A0-5C1B-4E44-A120-4C2F4402C947}"/>
    <hyperlink ref="J6035" r:id="rId8233" xr:uid="{115B5A5C-C48A-4C4C-9249-E2C86ACA2BDD}"/>
    <hyperlink ref="W6035" r:id="rId8234" xr:uid="{84A762D9-DB16-684F-9551-76C713E6802C}"/>
    <hyperlink ref="J6036" r:id="rId8235" xr:uid="{A8EF8938-3FE1-2D4C-A96C-486ADD3F5911}"/>
    <hyperlink ref="W6036" r:id="rId8236" xr:uid="{1326BBD7-F904-DB4B-962A-5AD3816B92E7}"/>
    <hyperlink ref="J6037" r:id="rId8237" xr:uid="{E61082EB-B459-FA40-AC47-99C201EC77B1}"/>
    <hyperlink ref="W6037" r:id="rId8238" xr:uid="{E3618785-D6DC-8148-B254-33DFD0D0F51D}"/>
    <hyperlink ref="J6038" r:id="rId8239" xr:uid="{F448B3E6-E293-C249-B36D-9AC5C7A9C9AD}"/>
    <hyperlink ref="W6038" r:id="rId8240" xr:uid="{EEAF6E9F-BF21-8B46-AA5E-9E87780A8354}"/>
    <hyperlink ref="J6039" r:id="rId8241" xr:uid="{0AFFB065-D93A-C14F-9C0D-37C546A7DE4E}"/>
    <hyperlink ref="W6039" r:id="rId8242" xr:uid="{694EDC92-C179-8449-8C9E-0A5C100C290B}"/>
    <hyperlink ref="J6040" r:id="rId8243" xr:uid="{EB302C6E-C47E-794A-900C-68691B9F9849}"/>
    <hyperlink ref="W6040" r:id="rId8244" xr:uid="{12CF6BDB-0FA2-6A44-AFC8-02247EF91A78}"/>
    <hyperlink ref="J6041" r:id="rId8245" xr:uid="{D580EB6C-005B-CC4A-995B-DC828AAFDC5A}"/>
    <hyperlink ref="W6041" r:id="rId8246" xr:uid="{CC4B45B2-E0F3-904E-9345-AB0751F1F61E}"/>
    <hyperlink ref="J6042" r:id="rId8247" xr:uid="{2BF91B1B-6750-5F4E-8E45-0AA1CD05589D}"/>
    <hyperlink ref="W6042" r:id="rId8248" xr:uid="{B1EB04C6-6F61-E041-B277-2C5DF9C9D296}"/>
    <hyperlink ref="J6043" r:id="rId8249" xr:uid="{34E37FCE-4FD4-7845-8428-3ED6C25CD960}"/>
    <hyperlink ref="W6043" r:id="rId8250" xr:uid="{ACE25541-DC3D-BA46-8FCB-2465C2C50D09}"/>
    <hyperlink ref="J6044" r:id="rId8251" xr:uid="{9D83C128-CD6A-7E4C-BF45-9F8ECE0D7853}"/>
    <hyperlink ref="W6044" r:id="rId8252" xr:uid="{CCFAFD23-B6D6-174D-A762-48B1F8F5D234}"/>
    <hyperlink ref="J6045" r:id="rId8253" xr:uid="{B0D841EA-BE60-794C-9A85-3FEF19D4196C}"/>
    <hyperlink ref="W6045" r:id="rId8254" xr:uid="{4182BCE6-A616-BD49-8241-CA735F8AA725}"/>
    <hyperlink ref="J6046" r:id="rId8255" xr:uid="{D0ED2C3C-45C0-A346-8F87-FD0CE68DCF9B}"/>
    <hyperlink ref="W6046" r:id="rId8256" xr:uid="{3FC4D1CD-FF7F-B846-B287-A321A2D5B2C6}"/>
    <hyperlink ref="J6047" r:id="rId8257" xr:uid="{AA526947-BE5B-7245-AFCE-69ED9E676154}"/>
    <hyperlink ref="W6047" r:id="rId8258" xr:uid="{899303A9-9F8C-E64C-960D-636E6D92B88E}"/>
    <hyperlink ref="J6048" r:id="rId8259" xr:uid="{5AB99512-7A6D-C741-BBCB-03F0FE61E343}"/>
    <hyperlink ref="W6048" r:id="rId8260" xr:uid="{BEF50CE5-0039-684B-B481-51C31CA5C7A1}"/>
    <hyperlink ref="J6049" r:id="rId8261" xr:uid="{00818A02-2D0D-A146-B304-7D79BE4D6EBA}"/>
    <hyperlink ref="W6049" r:id="rId8262" xr:uid="{F223092A-E4CC-724B-AEA2-7B45383880A4}"/>
    <hyperlink ref="J6050" r:id="rId8263" xr:uid="{8CDF4CF9-BD1A-C144-AB28-5F62854DDBD8}"/>
    <hyperlink ref="W6050" r:id="rId8264" xr:uid="{FE75430A-33BE-E141-A4A4-ADE53794B94A}"/>
    <hyperlink ref="J6051" r:id="rId8265" xr:uid="{4C824715-3CE1-3F4F-9ACC-434483088252}"/>
    <hyperlink ref="W6051" r:id="rId8266" xr:uid="{0C6B5EF3-4A6E-EA4C-88E9-250B8E8F2B2C}"/>
    <hyperlink ref="J6052" r:id="rId8267" xr:uid="{F9A23989-D2F2-5D4D-9F3D-666EEE2194DF}"/>
    <hyperlink ref="W6052" r:id="rId8268" xr:uid="{CE15BD18-CD62-8248-ADEC-985D2A8F523D}"/>
    <hyperlink ref="J6053" r:id="rId8269" xr:uid="{AD29B2B2-4B7F-2641-A83A-3B2CC0D40143}"/>
    <hyperlink ref="W6053" r:id="rId8270" xr:uid="{BA4353F2-EE3B-1F4D-9F9B-866C226BFE78}"/>
    <hyperlink ref="J6054" r:id="rId8271" xr:uid="{C617A102-DBD7-CF4D-B453-97F240032BF9}"/>
    <hyperlink ref="W6054" r:id="rId8272" xr:uid="{7E7F5126-01BD-1E4F-9258-FC69FE3CB97D}"/>
    <hyperlink ref="J6055" r:id="rId8273" xr:uid="{30FDE781-A2B1-3249-A6EA-2FF727720583}"/>
    <hyperlink ref="W6055" r:id="rId8274" xr:uid="{D66FC4F9-16A7-9E40-B70F-3E4042CEB9CF}"/>
    <hyperlink ref="J6056" r:id="rId8275" xr:uid="{AD9C81B3-41C9-5243-AC41-CA06A07A2711}"/>
    <hyperlink ref="W6056" r:id="rId8276" xr:uid="{EE412B08-F392-B840-9552-8BCF7A1D27AF}"/>
    <hyperlink ref="J6057" r:id="rId8277" xr:uid="{E07DAD2D-B35E-B746-9708-1AAA8B4B58C1}"/>
    <hyperlink ref="W6057" r:id="rId8278" xr:uid="{8B90EBC6-7263-D24D-9747-138DEC3D77A8}"/>
    <hyperlink ref="J6058" r:id="rId8279" xr:uid="{8D1E9872-616E-F94D-BC54-50AEC448ABCC}"/>
    <hyperlink ref="W6058" r:id="rId8280" xr:uid="{B18130D7-B9DA-3341-8D5C-40E6FDDE3630}"/>
    <hyperlink ref="J6059" r:id="rId8281" xr:uid="{C331F7B2-705B-AD4D-A544-9C48F2EAD3F8}"/>
    <hyperlink ref="J6060" r:id="rId8282" xr:uid="{BD210828-7A7B-194D-855A-BF99F31DBCC5}"/>
    <hyperlink ref="J6061" r:id="rId8283" xr:uid="{22A38901-B1B9-1246-B514-884FC1D788D4}"/>
    <hyperlink ref="W6061" r:id="rId8284" xr:uid="{B6CF1373-5A2A-C042-B412-3303F92BE3C6}"/>
    <hyperlink ref="J6062" r:id="rId8285" xr:uid="{A45A1512-26CC-A44A-9DDB-98B6D3EF5AE4}"/>
    <hyperlink ref="W6062" r:id="rId8286" xr:uid="{0D2E7271-D0CE-4E4B-8799-9983E59191D8}"/>
    <hyperlink ref="J6063" r:id="rId8287" xr:uid="{8CF94272-972C-134D-9F03-EB437DFA2CC7}"/>
    <hyperlink ref="J6064" r:id="rId8288" xr:uid="{A7DD00D9-A81C-9D48-B822-A2F8AECD124A}"/>
    <hyperlink ref="W6064" r:id="rId8289" xr:uid="{44953861-9EF5-EB40-9017-0786A250BF92}"/>
    <hyperlink ref="J6065" r:id="rId8290" xr:uid="{FAFCE1D4-F26A-094B-938F-C44016283B4C}"/>
    <hyperlink ref="W6065" r:id="rId8291" xr:uid="{ABD6C542-B978-7A49-B545-7A9D013B713B}"/>
    <hyperlink ref="J6066" r:id="rId8292" xr:uid="{EFAA96D3-661C-B74F-BBF4-8F6938DA373A}"/>
    <hyperlink ref="W6066" r:id="rId8293" xr:uid="{DD84B568-CDFF-364D-93D9-FC892727EC7F}"/>
    <hyperlink ref="J6067" r:id="rId8294" xr:uid="{C37AF5B7-A001-1846-86D1-262FC7A48821}"/>
    <hyperlink ref="W6067" r:id="rId8295" xr:uid="{A477A52A-79A5-CF42-804D-2B5912C7DACC}"/>
    <hyperlink ref="AH6067" r:id="rId8296" xr:uid="{F63A114E-36DE-624C-ABFF-2F73B496C28F}"/>
    <hyperlink ref="J6068" r:id="rId8297" xr:uid="{B290FC48-01E6-6C47-B37A-EA4A489ECA2A}"/>
    <hyperlink ref="W6068" r:id="rId8298" xr:uid="{8304D28B-670A-B34D-9A59-199A2D2B2FC5}"/>
    <hyperlink ref="J6069" r:id="rId8299" xr:uid="{407CE991-6F81-394D-A924-0952FBFC7BDD}"/>
    <hyperlink ref="W6069" r:id="rId8300" xr:uid="{7755FEE0-EB08-0B4F-8974-463CD0F1A6FE}"/>
    <hyperlink ref="J6070" r:id="rId8301" xr:uid="{82EED92C-886B-B04F-AB91-C3B979BCF248}"/>
    <hyperlink ref="W6070" r:id="rId8302" xr:uid="{D2253FA5-7CD8-154C-8C9E-791498E33BFF}"/>
    <hyperlink ref="J6071" r:id="rId8303" xr:uid="{01A2EFC9-1472-E34E-9E4A-9524CABD8762}"/>
    <hyperlink ref="J6072" r:id="rId8304" xr:uid="{9D40F4A7-5957-3D4B-98C5-259912CFE1FF}"/>
    <hyperlink ref="J6073" r:id="rId8305" xr:uid="{D28233ED-C7C5-B042-82A6-EDEC8F831D42}"/>
    <hyperlink ref="J6074" r:id="rId8306" xr:uid="{C59D419C-A998-7A41-BE14-412B0E12C504}"/>
    <hyperlink ref="J6075" r:id="rId8307" xr:uid="{5549C322-5814-D64A-8CE4-5E8C3A75C7F6}"/>
    <hyperlink ref="J6076" r:id="rId8308" xr:uid="{0F120E3B-93BD-E646-8055-8F8DDEC4BFB2}"/>
    <hyperlink ref="J6077" r:id="rId8309" xr:uid="{727E4692-B7A3-D249-B97E-EF05DF68FB28}"/>
    <hyperlink ref="J6078" r:id="rId8310" xr:uid="{502949F3-A2CB-124F-9969-151CB35EBDEF}"/>
    <hyperlink ref="J6079" r:id="rId8311" xr:uid="{2117497C-EFE5-A949-A71E-6343095443DF}"/>
    <hyperlink ref="J6080" r:id="rId8312" xr:uid="{3A2C72BD-79E5-264A-8BA1-9851543A6530}"/>
    <hyperlink ref="J6081" r:id="rId8313" xr:uid="{07176E0D-D297-9442-83C9-D3B724B8BCDB}"/>
    <hyperlink ref="J6082" r:id="rId8314" xr:uid="{582A3126-D403-EA4A-8D78-49BC67DF6184}"/>
    <hyperlink ref="J6083" r:id="rId8315" xr:uid="{EB7D855B-DD0C-CC43-BEFC-43ED92BEFEB6}"/>
    <hyperlink ref="W6083" r:id="rId8316" xr:uid="{8264E17B-D586-8441-BDC6-4D7263B65710}"/>
    <hyperlink ref="J6084" r:id="rId8317" xr:uid="{FE071A5E-E1BC-0C48-9867-2B039AC9BD10}"/>
    <hyperlink ref="J6085" r:id="rId8318" xr:uid="{8156B57A-2D9D-9646-8A0C-6616C3ABD846}"/>
    <hyperlink ref="J6086" r:id="rId8319" xr:uid="{24C4D0C2-F3C8-1546-BF9E-8224204F8CC2}"/>
    <hyperlink ref="W6086" r:id="rId8320" xr:uid="{AD54C493-828F-D348-9193-CF06089D24B0}"/>
    <hyperlink ref="J6087" r:id="rId8321" xr:uid="{40F400D4-BE4B-AA42-9AFD-E65AE8780D39}"/>
    <hyperlink ref="J6088" r:id="rId8322" xr:uid="{92ED018A-D352-FC40-A113-B764EB15A3B5}"/>
    <hyperlink ref="J6089" r:id="rId8323" xr:uid="{79BEB5BE-66F2-F149-915D-3B75E1630A65}"/>
    <hyperlink ref="J6090" r:id="rId8324" xr:uid="{C80F7807-AE76-B747-B453-1E2F0667DC70}"/>
    <hyperlink ref="J6091" r:id="rId8325" xr:uid="{266DF985-8BA4-A54C-838A-79EFE55C6529}"/>
    <hyperlink ref="J6092" r:id="rId8326" xr:uid="{A569F25C-E29F-DA44-823E-D18AC005B3ED}"/>
    <hyperlink ref="J6093" r:id="rId8327" xr:uid="{85E1B110-5DCD-0D45-B2C3-4A2A17D7D562}"/>
    <hyperlink ref="J6094" r:id="rId8328" xr:uid="{0BFE6819-F1FB-494B-834F-6137EDE80779}"/>
    <hyperlink ref="J6095" r:id="rId8329" xr:uid="{CA235FB4-373C-424D-8332-00F0C000CEDD}"/>
    <hyperlink ref="W6095" r:id="rId8330" xr:uid="{84F74C02-0BFE-2648-A1CF-01E7EDD2262A}"/>
    <hyperlink ref="J6096" r:id="rId8331" xr:uid="{7F360F01-A653-E040-9E56-9252A353AF87}"/>
    <hyperlink ref="J6097" r:id="rId8332" xr:uid="{01D88841-DC09-1F41-87C5-7F9108FE0B9A}"/>
    <hyperlink ref="W6097" r:id="rId8333" xr:uid="{186C96D3-85FC-B74C-BD9C-3995D6998BBA}"/>
    <hyperlink ref="J6098" r:id="rId8334" xr:uid="{4F1CE9BF-0593-BF4A-8A92-32654FE63C5C}"/>
    <hyperlink ref="W6098" r:id="rId8335" xr:uid="{B1C68DCC-6C67-4A44-B784-1E64117A16B4}"/>
    <hyperlink ref="J6099" r:id="rId8336" xr:uid="{75FDBD93-00E9-E045-9A3C-72301470CA37}"/>
    <hyperlink ref="W6099" r:id="rId8337" xr:uid="{92FB599C-D4EC-9E4C-8285-2CE1A89A3403}"/>
    <hyperlink ref="J6100" r:id="rId8338" xr:uid="{7656BAB8-5138-0347-99CD-BA8C2093ADB2}"/>
    <hyperlink ref="J6101" r:id="rId8339" xr:uid="{16BCFA7C-7A4B-E04B-9F79-944B0F0E130A}"/>
    <hyperlink ref="J6102" r:id="rId8340" xr:uid="{D17AD60A-7B76-A545-9084-6096B738FD4C}"/>
    <hyperlink ref="J6103" r:id="rId8341" xr:uid="{29B759CA-B3AB-B240-A862-379064A35300}"/>
    <hyperlink ref="J6104" r:id="rId8342" xr:uid="{D571AE61-1304-F64B-B802-837D46798A1B}"/>
    <hyperlink ref="J6105" r:id="rId8343" xr:uid="{D325C6A0-A0CF-1E40-A7B4-B0D2A7527F00}"/>
    <hyperlink ref="W6105" r:id="rId8344" xr:uid="{F9ED5C9D-0C34-324C-9678-4226DBED802F}"/>
    <hyperlink ref="J6106" r:id="rId8345" xr:uid="{9177CCF7-34A3-1B44-A6F5-78A90B1AE52F}"/>
    <hyperlink ref="J6107" r:id="rId8346" xr:uid="{ADE35EEB-60C4-4A42-945B-EDC4F4BF8F03}"/>
    <hyperlink ref="J6108" r:id="rId8347" xr:uid="{235597B0-96DC-7A44-9C1E-F8C9D9AA7112}"/>
    <hyperlink ref="W6108" r:id="rId8348" xr:uid="{CEFC6C36-A920-8D4A-BE52-D117276B1FD0}"/>
    <hyperlink ref="J6109" r:id="rId8349" xr:uid="{1CBB4CB4-A081-8542-9F8E-482B5236F20E}"/>
    <hyperlink ref="J6110" r:id="rId8350" xr:uid="{C995EBD9-5A55-0C4E-B892-5F92700F7534}"/>
    <hyperlink ref="J6111" r:id="rId8351" xr:uid="{B4A5E12E-5D31-4D45-9602-899308A94CE0}"/>
    <hyperlink ref="J6112" r:id="rId8352" xr:uid="{A0160351-6296-0647-A8BB-08CB0799C33F}"/>
    <hyperlink ref="W6112" r:id="rId8353" xr:uid="{39C57078-6C73-324F-899A-ED67B0D9BFFA}"/>
    <hyperlink ref="J6113" r:id="rId8354" xr:uid="{B4260E7E-A64E-8846-9605-27FF0A63D36A}"/>
    <hyperlink ref="J6114" r:id="rId8355" xr:uid="{7680E099-3D60-D647-AD03-F3ECF11F36D1}"/>
    <hyperlink ref="W6114" r:id="rId8356" xr:uid="{DD5C253B-44D0-6542-A46C-C9224823D91C}"/>
    <hyperlink ref="J6115" r:id="rId8357" xr:uid="{7C372128-9F09-4042-8615-084F6097C3FF}"/>
    <hyperlink ref="W6115" r:id="rId8358" xr:uid="{431C6DB0-2589-D540-BD0B-FA1712C9277E}"/>
    <hyperlink ref="J6116" r:id="rId8359" xr:uid="{4DC716D0-2D70-9846-9C00-54C15AAC6EA1}"/>
    <hyperlink ref="J6117" r:id="rId8360" xr:uid="{4DFD5E13-E698-4746-B381-7DD7E541D349}"/>
    <hyperlink ref="J6118" r:id="rId8361" xr:uid="{26081B4B-C5EA-B04B-AEF8-EC241A29CC9F}"/>
    <hyperlink ref="J6119" r:id="rId8362" xr:uid="{5427EA95-5BAD-8642-AA7D-9DCF26609BE1}"/>
    <hyperlink ref="J6120" r:id="rId8363" xr:uid="{895B11E5-B73F-ED44-A635-A1F3848F7CDA}"/>
    <hyperlink ref="J6121" r:id="rId8364" xr:uid="{F24D98E4-CBC5-324E-8372-F8A85FD30A8D}"/>
    <hyperlink ref="J6122" r:id="rId8365" xr:uid="{3A4A22F6-403A-D24B-A380-64B8097F5438}"/>
    <hyperlink ref="J6123" r:id="rId8366" xr:uid="{24A6167A-EF8E-0145-A946-4E315D794802}"/>
    <hyperlink ref="J6124" r:id="rId8367" xr:uid="{55F0FFC7-8255-F643-940A-1B31E7FAACE8}"/>
    <hyperlink ref="W6124" r:id="rId8368" xr:uid="{61B88043-242E-B24D-9700-CCC346863A09}"/>
    <hyperlink ref="J6125" r:id="rId8369" xr:uid="{CB29B571-70F0-C040-BACE-22B0D70DF115}"/>
    <hyperlink ref="J6126" r:id="rId8370" xr:uid="{B9C3ECF8-2859-7640-95C5-1871ECC7F2CA}"/>
    <hyperlink ref="J6127" r:id="rId8371" xr:uid="{EC4FCBDE-B346-5246-93AB-A8074093CFBE}"/>
    <hyperlink ref="J6128" r:id="rId8372" xr:uid="{B6A8F9B0-68BB-6445-A166-1538B1CC60E5}"/>
    <hyperlink ref="J6129" r:id="rId8373" xr:uid="{A93BC7A6-A50A-2D49-B930-91D85032600D}"/>
    <hyperlink ref="J6130" r:id="rId8374" xr:uid="{623D31D1-CC43-0A45-B2A3-62EB097F5BFE}"/>
    <hyperlink ref="J6131" r:id="rId8375" xr:uid="{0B20AA63-EDB5-F247-B54C-FB4E7EA8CB26}"/>
    <hyperlink ref="J6132" r:id="rId8376" xr:uid="{90C5891B-DFF1-E540-BBDD-235067FA1E65}"/>
    <hyperlink ref="J6133" r:id="rId8377" xr:uid="{3CC625ED-CD6D-2D4D-AA13-75EBCE9EFF78}"/>
    <hyperlink ref="J6134" r:id="rId8378" xr:uid="{B3090162-A029-914E-B9D2-083DE19FA12B}"/>
    <hyperlink ref="J6135" r:id="rId8379" xr:uid="{1274DC5D-0900-0D4C-812A-5ACE66744EA0}"/>
    <hyperlink ref="J6136" r:id="rId8380" xr:uid="{6547D614-ED25-8344-A1C9-4A829BCC1FE8}"/>
    <hyperlink ref="J6137" r:id="rId8381" xr:uid="{B3CA27C7-3D41-6047-BC7A-46D3AC3D5A24}"/>
    <hyperlink ref="J6138" r:id="rId8382" xr:uid="{653FC53F-DB59-0C4E-94F3-0BCC4072AD7B}"/>
    <hyperlink ref="W6138" r:id="rId8383" xr:uid="{B336A3E9-68E7-634A-AEAC-E0E1D422E979}"/>
    <hyperlink ref="J6139" r:id="rId8384" xr:uid="{4D5D1896-16BC-5D48-8E96-2626A5BE00D8}"/>
    <hyperlink ref="W6139" r:id="rId8385" xr:uid="{2C159687-1003-4842-8382-45398A9A42CC}"/>
    <hyperlink ref="J6140" r:id="rId8386" xr:uid="{3927FCA2-DD4A-4843-A050-6DD902327E36}"/>
    <hyperlink ref="W6140" r:id="rId8387" xr:uid="{0021F4E6-7BDD-CE42-8B55-9479AF80FC51}"/>
    <hyperlink ref="J6141" r:id="rId8388" xr:uid="{D0455390-28DE-EB4E-BEB8-E1D8B829A5A7}"/>
    <hyperlink ref="J6142" r:id="rId8389" xr:uid="{178AE076-98A7-8848-8E74-2EB1A5E63EDF}"/>
    <hyperlink ref="J6143" r:id="rId8390" xr:uid="{FAFB656A-FB85-2143-8DDC-29EF7795D25D}"/>
    <hyperlink ref="J6144" r:id="rId8391" xr:uid="{D5D2F949-3DAD-144C-97BD-21F667B88716}"/>
    <hyperlink ref="J6145" r:id="rId8392" xr:uid="{DD82F367-9AD4-B44B-BE5E-A9850F868B00}"/>
    <hyperlink ref="J6146" r:id="rId8393" xr:uid="{57316151-9D37-DF43-AC1F-AA1E322E7871}"/>
    <hyperlink ref="W6146" r:id="rId8394" xr:uid="{2E98413F-A9E9-3B4C-9E3B-487661DD3A83}"/>
    <hyperlink ref="J6147" r:id="rId8395" xr:uid="{4DC0D587-9ECE-5545-9C61-A15D5451E941}"/>
    <hyperlink ref="J6148" r:id="rId8396" xr:uid="{E66C5B62-E7F0-294D-BDAE-8D2B826C9F24}"/>
    <hyperlink ref="J6149" r:id="rId8397" xr:uid="{918272D6-6416-7545-B649-8C91759B3FDB}"/>
    <hyperlink ref="J6150" r:id="rId8398" xr:uid="{7EB0E5F1-B41F-9B48-949F-B9184E369036}"/>
    <hyperlink ref="J6151" r:id="rId8399" xr:uid="{78381BAF-C3EB-9141-959E-CBB02AFDAC84}"/>
    <hyperlink ref="W6151" r:id="rId8400" xr:uid="{E0B08FC4-2306-0E4E-9977-57EC63A7EABA}"/>
    <hyperlink ref="J6152" r:id="rId8401" xr:uid="{411963C4-0F8B-E24E-8D2A-64AFA10F6F12}"/>
    <hyperlink ref="J6153" r:id="rId8402" xr:uid="{40B6E3AD-62F0-194E-AD0D-5B8807690FDD}"/>
    <hyperlink ref="J6154" r:id="rId8403" xr:uid="{9F5FD897-0CCC-0943-A09E-EDCD4F0D1C15}"/>
    <hyperlink ref="J6155" r:id="rId8404" xr:uid="{5500380A-1F3B-FC46-8F39-B01DD21FF44C}"/>
    <hyperlink ref="J6156" r:id="rId8405" xr:uid="{9645F356-E070-524E-B08A-08936B5DE143}"/>
    <hyperlink ref="J6157" r:id="rId8406" xr:uid="{B2DF8B3E-AE29-0744-A4D5-F5D5E7D4BD98}"/>
    <hyperlink ref="J6158" r:id="rId8407" xr:uid="{5580F4A0-E413-E24B-9B11-4E2786E863F8}"/>
    <hyperlink ref="J6159" r:id="rId8408" xr:uid="{672861AC-94D0-594A-9A53-3EA053255E36}"/>
    <hyperlink ref="W6159" r:id="rId8409" xr:uid="{5095B895-0222-7844-B0A8-1010301C83B8}"/>
    <hyperlink ref="J6160" r:id="rId8410" xr:uid="{41BBB16D-245B-2641-9F27-307D03E991E3}"/>
    <hyperlink ref="J6161" r:id="rId8411" xr:uid="{32852822-DBA6-4E45-9D92-0F76B3F28F4A}"/>
    <hyperlink ref="J6162" r:id="rId8412" xr:uid="{BF05714E-40DA-C24F-921C-21AC654F7299}"/>
    <hyperlink ref="J6163" r:id="rId8413" xr:uid="{AF2F52F3-FF9D-7F47-8473-503C77BA7F9B}"/>
    <hyperlink ref="W6163" r:id="rId8414" xr:uid="{8B6C4F03-48DB-4246-9E08-79B348C73945}"/>
    <hyperlink ref="J6164" r:id="rId8415" xr:uid="{D215986C-B96A-594F-9378-FDBE883D1598}"/>
    <hyperlink ref="J6165" r:id="rId8416" xr:uid="{6DCAE15F-9FB1-E84D-AC8C-956AF9E2C597}"/>
    <hyperlink ref="J6166" r:id="rId8417" xr:uid="{A56FF9C7-6E47-6D40-B1F7-30CD2121C1C8}"/>
    <hyperlink ref="J6167" r:id="rId8418" xr:uid="{FE776EC8-C5D0-0D4B-979A-1E593953ED82}"/>
    <hyperlink ref="J6168" r:id="rId8419" xr:uid="{1A2AF124-F97C-744F-A8CB-A7C27BC0B0CA}"/>
    <hyperlink ref="J6169" r:id="rId8420" xr:uid="{CAF75D3E-359A-2344-9C06-B65CF4DF6414}"/>
    <hyperlink ref="J6170" r:id="rId8421" xr:uid="{A7ACB07F-1444-AD44-9AE5-5F7FA6FB623C}"/>
    <hyperlink ref="J6171" r:id="rId8422" xr:uid="{D2998E5F-892C-C949-9C93-E6005EA0CBB7}"/>
    <hyperlink ref="J6172" r:id="rId8423" xr:uid="{B7A842AB-66A7-BE4A-8AEE-5930569F9D32}"/>
    <hyperlink ref="J6173" r:id="rId8424" xr:uid="{51ED919A-05F3-9B40-9555-37E9A387C316}"/>
    <hyperlink ref="J6174" r:id="rId8425" xr:uid="{6F576A4E-9388-FD42-82C5-9DD654475587}"/>
    <hyperlink ref="W6174" r:id="rId8426" xr:uid="{3E077392-F414-C448-B8D6-FCB32929B636}"/>
    <hyperlink ref="J6175" r:id="rId8427" xr:uid="{3876B36B-6EBF-B84A-A472-81581532B4D4}"/>
    <hyperlink ref="J6176" r:id="rId8428" xr:uid="{BEEBF9BC-B6E4-FC48-973A-87EADC0DC2CF}"/>
    <hyperlink ref="J6177" r:id="rId8429" xr:uid="{2920FE1E-AC64-5C42-A258-50527AB174A4}"/>
    <hyperlink ref="W6177" r:id="rId8430" xr:uid="{FA067945-E21E-0443-B544-95D4FFFEEE2D}"/>
    <hyperlink ref="J6178" r:id="rId8431" xr:uid="{3B588459-FA6C-E84F-B542-A18F5525477C}"/>
    <hyperlink ref="J6179" r:id="rId8432" xr:uid="{7966E5CE-7F6B-6B45-976D-AEBBA08FB07D}"/>
    <hyperlink ref="J6180" r:id="rId8433" xr:uid="{A1C899AD-D3AB-7F44-B499-848990370960}"/>
    <hyperlink ref="J6181" r:id="rId8434" xr:uid="{41491004-60A9-E64F-A1F8-62B99E9460D9}"/>
    <hyperlink ref="J6182" r:id="rId8435" xr:uid="{16C42AF8-E3DA-4D42-BF3B-85AC63D10E4C}"/>
    <hyperlink ref="J6183" r:id="rId8436" xr:uid="{99EDFE1E-818D-8C42-8B3B-4DEBA94E80A7}"/>
    <hyperlink ref="J6184" r:id="rId8437" xr:uid="{64A4913D-1917-5048-AE61-306B1C359CDD}"/>
    <hyperlink ref="J6185" r:id="rId8438" xr:uid="{92E6E560-FB4F-4F40-8FAF-5947DAC57B9D}"/>
    <hyperlink ref="J6186" r:id="rId8439" xr:uid="{7E1BF016-4F9E-6045-BF45-5B734519D1D3}"/>
    <hyperlink ref="W6186" r:id="rId8440" xr:uid="{FB6E2DAE-001D-7943-BB4F-E4056B0BD1EF}"/>
    <hyperlink ref="J6187" r:id="rId8441" xr:uid="{D87C25C2-4702-E645-B06F-69CEA7E90A20}"/>
    <hyperlink ref="J6188" r:id="rId8442" xr:uid="{645DC600-89A9-9148-B10D-38D5DBBD89C1}"/>
    <hyperlink ref="J6189" r:id="rId8443" xr:uid="{0A6D87D5-EA3A-4D41-974F-390FD89714E2}"/>
    <hyperlink ref="W6189" r:id="rId8444" xr:uid="{F7A3F0C3-16A0-214C-9159-23F39FBA7E5E}"/>
    <hyperlink ref="AH6189" r:id="rId8445" xr:uid="{997CB319-855F-E745-A59F-00ECCECBD444}"/>
    <hyperlink ref="J6190" r:id="rId8446" xr:uid="{2374B189-219F-1D49-85CE-3337644F05FB}"/>
    <hyperlink ref="J6191" r:id="rId8447" xr:uid="{EFED71D4-D7C1-D44F-BC78-E86735566A70}"/>
    <hyperlink ref="W6191" r:id="rId8448" xr:uid="{2BD11DBA-3D19-D24B-85BB-7191BE2966A8}"/>
    <hyperlink ref="J6192" r:id="rId8449" xr:uid="{AEA3FB46-8D79-FC4E-A10A-2930BE2958F6}"/>
    <hyperlink ref="W6192" r:id="rId8450" xr:uid="{D8249109-1D37-5A43-A091-83628503377A}"/>
    <hyperlink ref="J6193" r:id="rId8451" xr:uid="{2702B3A4-947A-3A41-9783-5C86E72BFB4A}"/>
    <hyperlink ref="J6194" r:id="rId8452" xr:uid="{DDC431A5-737B-DA4B-9F19-089CB9826119}"/>
    <hyperlink ref="J6195" r:id="rId8453" xr:uid="{1EF39703-42B8-174C-830D-B17B7BA722E9}"/>
    <hyperlink ref="J6196" r:id="rId8454" xr:uid="{0D057AA3-5818-EE48-9515-4F92803FA5CD}"/>
    <hyperlink ref="J6197" r:id="rId8455" xr:uid="{56BB06DA-E17C-424E-A68B-F23F5DC09355}"/>
    <hyperlink ref="J6198" r:id="rId8456" xr:uid="{874698BD-D850-1A42-B2DB-A2184783FA17}"/>
    <hyperlink ref="J6199" r:id="rId8457" xr:uid="{955DE340-C21F-1E4A-AFF8-09EAAD25F81B}"/>
    <hyperlink ref="J6200" r:id="rId8458" xr:uid="{732AAB73-7089-074C-9068-A4C9ADBF9F85}"/>
    <hyperlink ref="J6201" r:id="rId8459" xr:uid="{8978CC87-0222-4C4D-99A2-F998F04741CE}"/>
    <hyperlink ref="J6202" r:id="rId8460" xr:uid="{50E69D40-3A0F-CD41-8526-E92972583716}"/>
    <hyperlink ref="J6203" r:id="rId8461" xr:uid="{9325F90A-9540-0F4B-964B-E6E88B5AF96C}"/>
    <hyperlink ref="J6204" r:id="rId8462" xr:uid="{737C30B7-FCAB-704D-B1F1-CD5AFF1199CB}"/>
    <hyperlink ref="J6205" r:id="rId8463" xr:uid="{2EF1B524-20CC-2F4A-BF3A-91AF1989DC1B}"/>
    <hyperlink ref="J6206" r:id="rId8464" xr:uid="{E822BD68-266F-9D4D-B369-82CC67444000}"/>
    <hyperlink ref="W6206" r:id="rId8465" xr:uid="{384B2A06-D21E-5B4A-9884-308C4C32A76D}"/>
    <hyperlink ref="J6207" r:id="rId8466" xr:uid="{4A529128-8D43-D042-B809-4A555D5B1942}"/>
    <hyperlink ref="J6208" r:id="rId8467" xr:uid="{573CBCC7-FFBE-0146-B8C8-3A3B4B117182}"/>
    <hyperlink ref="J6209" r:id="rId8468" xr:uid="{13988DF3-75D7-6947-8E34-3C580D128824}"/>
    <hyperlink ref="J6210" r:id="rId8469" xr:uid="{2646F45F-75EF-704A-89F0-5428B1CF1733}"/>
    <hyperlink ref="J6211" r:id="rId8470" xr:uid="{68010C86-8124-ED40-9387-E06BA8E4040C}"/>
    <hyperlink ref="J6212" r:id="rId8471" xr:uid="{C351DB18-3B71-FF49-8EED-1460E804A167}"/>
    <hyperlink ref="J6213" r:id="rId8472" xr:uid="{1B1E66BB-7BEB-1A4E-959C-1CEFD67F93A8}"/>
    <hyperlink ref="J6214" r:id="rId8473" xr:uid="{A83C1584-9F42-224F-A8AF-87C2EEC9C350}"/>
    <hyperlink ref="W6214" r:id="rId8474" xr:uid="{ABB96AE9-187B-DD45-8E5D-B627338221E1}"/>
    <hyperlink ref="J6215" r:id="rId8475" xr:uid="{C7859E54-323F-574B-A195-F3B7F5FF9DBE}"/>
    <hyperlink ref="W6215" r:id="rId8476" xr:uid="{F6994BCC-3139-3244-9F97-2C069E74EC86}"/>
    <hyperlink ref="J6216" r:id="rId8477" xr:uid="{584FA35F-3706-084A-B56C-CEC28FEE16F4}"/>
    <hyperlink ref="J6217" r:id="rId8478" xr:uid="{F282F5EF-B3AB-4D49-86D6-E50FBB37D4D4}"/>
    <hyperlink ref="J6218" r:id="rId8479" xr:uid="{CEC05CF8-299F-FC47-BE09-8595A6073E69}"/>
    <hyperlink ref="J6219" r:id="rId8480" xr:uid="{C6563F55-3F43-9F40-A66A-439210401548}"/>
    <hyperlink ref="J6220" r:id="rId8481" xr:uid="{A83428E9-2672-EE40-9606-76AC785B4B2E}"/>
    <hyperlink ref="J6221" r:id="rId8482" xr:uid="{1AC5651A-62AD-C14F-85E9-21A0340EBC39}"/>
    <hyperlink ref="W6221" r:id="rId8483" xr:uid="{0D82E352-558B-2C40-9436-E8A4F4B39138}"/>
    <hyperlink ref="J6222" r:id="rId8484" xr:uid="{786DE610-7786-9C4D-8750-2E098276F0FE}"/>
    <hyperlink ref="J6223" r:id="rId8485" xr:uid="{F4F514A9-1A56-A040-B1BC-23E5FE1929A5}"/>
    <hyperlink ref="J6224" r:id="rId8486" xr:uid="{CACB0FA1-AFD1-B94B-A183-84E529BC31B3}"/>
    <hyperlink ref="J6225" r:id="rId8487" xr:uid="{0F289F64-9F6B-7D47-9606-47C4F83FAC0C}"/>
    <hyperlink ref="J6226" r:id="rId8488" xr:uid="{19CE5BFA-4C6C-814E-A0EE-515098FB15B1}"/>
    <hyperlink ref="J6227" r:id="rId8489" xr:uid="{359038C4-A0DD-B846-9F85-AAB87730308C}"/>
    <hyperlink ref="W6227" r:id="rId8490" xr:uid="{012BBD45-D443-174D-B79A-3B344F47805A}"/>
    <hyperlink ref="J6228" r:id="rId8491" xr:uid="{FD51D4C7-15A8-8D49-850F-6B761C87E524}"/>
    <hyperlink ref="J6229" r:id="rId8492" xr:uid="{00BB4B3A-C3E5-0448-858A-A8225E260DC3}"/>
    <hyperlink ref="J6230" r:id="rId8493" xr:uid="{3BEE459B-3BC8-3847-BF3E-A6B389D52801}"/>
    <hyperlink ref="J6231" r:id="rId8494" xr:uid="{F9F7CCDE-E1FF-894B-A58D-E5BD2CCD2600}"/>
    <hyperlink ref="J6232" r:id="rId8495" xr:uid="{0EE8BBD1-6271-4648-828C-64E296885837}"/>
    <hyperlink ref="W6232" r:id="rId8496" xr:uid="{1F4ACD1E-8C1F-D04D-A7A1-8843F0A07920}"/>
    <hyperlink ref="AG6232" r:id="rId8497" xr:uid="{0481F739-715E-E64C-931E-C26F711199B9}"/>
    <hyperlink ref="J6233" r:id="rId8498" xr:uid="{3666244A-16A9-9D4A-A0D3-85CFECBE65C4}"/>
    <hyperlink ref="J6234" r:id="rId8499" xr:uid="{5A2F6855-4080-0A43-9A8A-44001216A168}"/>
    <hyperlink ref="J6235" r:id="rId8500" xr:uid="{65808991-192A-A742-ABB0-A30851F168A5}"/>
    <hyperlink ref="W6235" r:id="rId8501" xr:uid="{DD5150A4-5F75-944A-8D85-74D390D3C76E}"/>
    <hyperlink ref="J6236" r:id="rId8502" xr:uid="{C9A5BB75-F4F5-7348-9CCE-8307D966CDC2}"/>
    <hyperlink ref="J6237" r:id="rId8503" xr:uid="{CA9047AD-1EC5-494F-8593-B5006E1392D8}"/>
    <hyperlink ref="W6237" r:id="rId8504" xr:uid="{8AD2DD02-72CC-AC47-8810-654180F79E7B}"/>
    <hyperlink ref="J6238" r:id="rId8505" xr:uid="{D12D4953-D2E7-B048-A387-1A41600A1CDF}"/>
    <hyperlink ref="J6239" r:id="rId8506" xr:uid="{07ADAAB6-61B9-FB44-9610-33355ABA8E0E}"/>
    <hyperlink ref="J6240" r:id="rId8507" xr:uid="{D7AD158A-4B15-9E42-8510-13FA759164A3}"/>
    <hyperlink ref="J6241" r:id="rId8508" xr:uid="{28FD6FFB-64D2-CB47-ABF2-34BCAC093F12}"/>
    <hyperlink ref="J6242" r:id="rId8509" xr:uid="{7DAA2390-7CD5-7143-AD0A-BD0D2681C2DF}"/>
    <hyperlink ref="W6242" r:id="rId8510" xr:uid="{3866BBF0-7007-C142-9FCE-A7C6E4D0AE94}"/>
    <hyperlink ref="J6243" r:id="rId8511" xr:uid="{12F005B6-5AF0-6B47-8A08-2CE92C01B0D5}"/>
    <hyperlink ref="J6244" r:id="rId8512" xr:uid="{2705C1B7-E283-9848-A6E6-87E4272014DB}"/>
    <hyperlink ref="J6245" r:id="rId8513" xr:uid="{D7F05AE6-C7F6-944D-8B69-E429E4107871}"/>
    <hyperlink ref="J6246" r:id="rId8514" xr:uid="{32F77CC0-E6B3-ED4B-87F8-84F320FDF0B1}"/>
    <hyperlink ref="J6247" r:id="rId8515" xr:uid="{9E2B00B0-A4CC-3F46-B938-15255D6F6E39}"/>
    <hyperlink ref="J6248" r:id="rId8516" xr:uid="{DCB6D87E-A51D-414A-A3DE-E688EDF0D632}"/>
    <hyperlink ref="W6248" r:id="rId8517" xr:uid="{032BEDC0-4C1B-D247-81B0-EC8742004557}"/>
    <hyperlink ref="J6249" r:id="rId8518" xr:uid="{F8AFFD9F-AA70-0A4D-8DFC-AD61F783A75A}"/>
    <hyperlink ref="J6250" r:id="rId8519" xr:uid="{04340BE3-9244-304E-8EE2-191E36A15EF8}"/>
    <hyperlink ref="J6251" r:id="rId8520" xr:uid="{83C49368-09BE-AD49-B6BE-F92CD9B4FB43}"/>
    <hyperlink ref="J6252" r:id="rId8521" xr:uid="{DD25ABE0-A501-C14A-8E90-CEB14F2C871B}"/>
    <hyperlink ref="J6253" r:id="rId8522" xr:uid="{4DDA1352-D276-6749-9AFD-A181911D5956}"/>
    <hyperlink ref="J6254" r:id="rId8523" xr:uid="{FAE5604E-A65A-564F-97B6-804D7A419ABF}"/>
    <hyperlink ref="J6255" r:id="rId8524" xr:uid="{7AACF90A-0BED-C44C-8C76-0BD458D0E357}"/>
    <hyperlink ref="J6256" r:id="rId8525" xr:uid="{3434F43C-D7B7-3843-A63B-7B1017BD1EC7}"/>
    <hyperlink ref="W6256" r:id="rId8526" xr:uid="{32891558-BE70-F34B-922C-6D8066CEF794}"/>
    <hyperlink ref="J6257" r:id="rId8527" xr:uid="{048360EE-2CA9-A741-93F7-FD2157751749}"/>
    <hyperlink ref="J6258" r:id="rId8528" xr:uid="{AE4A9F0D-FD6C-F34E-BFE3-D298A65CFB7D}"/>
    <hyperlink ref="J6259" r:id="rId8529" xr:uid="{426A0532-3C88-2B47-9070-E88B42EA7D34}"/>
    <hyperlink ref="J6260" r:id="rId8530" xr:uid="{0C324546-2082-6641-A601-A305498CE1CB}"/>
    <hyperlink ref="J6261" r:id="rId8531" xr:uid="{895610E4-992C-FE4A-8D00-86C656E63602}"/>
    <hyperlink ref="J6262" r:id="rId8532" xr:uid="{A1C9A2D7-71B5-7341-834A-BCA8F22EC162}"/>
    <hyperlink ref="W6262" r:id="rId8533" xr:uid="{FE5BD870-D49C-5242-966C-B684C09BF2DF}"/>
    <hyperlink ref="J6263" r:id="rId8534" xr:uid="{BB6150CD-0D05-C14E-9C69-B881BD9D5082}"/>
    <hyperlink ref="W6263" r:id="rId8535" xr:uid="{1EF26BF0-85CB-BC46-81B5-B688FC5EB310}"/>
    <hyperlink ref="J6264" r:id="rId8536" xr:uid="{8D68F369-AF38-9348-84B7-C3C4F18FC910}"/>
    <hyperlink ref="J6265" r:id="rId8537" xr:uid="{BBAC8CBD-26D7-DD4F-86BC-47331430D18D}"/>
    <hyperlink ref="J6266" r:id="rId8538" xr:uid="{85492F7A-9EDD-904C-BD83-F9EF7CAA6497}"/>
    <hyperlink ref="J6267" r:id="rId8539" xr:uid="{B24B0218-EB48-1446-8026-5303F6CA7E9C}"/>
    <hyperlink ref="J6268" r:id="rId8540" xr:uid="{4503BB1C-9F18-FF4C-9AF1-DD9790E49873}"/>
    <hyperlink ref="J6269" r:id="rId8541" xr:uid="{1DD80841-535A-F547-9F46-70A5FAFC8178}"/>
    <hyperlink ref="J6270" r:id="rId8542" xr:uid="{76286350-1B1A-DB40-820C-5CC4BCA6806E}"/>
    <hyperlink ref="J6271" r:id="rId8543" xr:uid="{2D8EE3DD-7944-174E-BC42-E4F4CDC3EA33}"/>
    <hyperlink ref="J6272" r:id="rId8544" xr:uid="{9BE9D690-26BC-DC44-88AF-5DF6C3F0256E}"/>
    <hyperlink ref="W6272" r:id="rId8545" xr:uid="{1F5AD648-BA5A-5847-AEE4-BEE0539038C1}"/>
    <hyperlink ref="J6273" r:id="rId8546" xr:uid="{97646514-19BA-3642-87A1-EA950521E5F9}"/>
    <hyperlink ref="J6274" r:id="rId8547" xr:uid="{84868BAE-A260-B34A-B0C8-1BBFBB0986FE}"/>
    <hyperlink ref="J6275" r:id="rId8548" xr:uid="{A76995E3-CD9E-2F49-A173-A5F6EA1A5F1D}"/>
    <hyperlink ref="J6276" r:id="rId8549" xr:uid="{D0364FC6-3793-F24A-860B-6524FE10295E}"/>
    <hyperlink ref="J6277" r:id="rId8550" xr:uid="{6A9C4C82-314C-BF43-ACC2-0D90CD6C8AA7}"/>
    <hyperlink ref="J6278" r:id="rId8551" xr:uid="{071F57C7-FBCD-384B-90BB-2A4556EB8218}"/>
    <hyperlink ref="J6279" r:id="rId8552" xr:uid="{3455E5FA-8115-644C-ACCD-712CFAF55881}"/>
    <hyperlink ref="W6279" r:id="rId8553" xr:uid="{77EB9632-340D-0C44-A829-672F898ECBF1}"/>
    <hyperlink ref="J6280" r:id="rId8554" xr:uid="{A5491CD9-5559-D340-8F98-1FA2FB7148F1}"/>
    <hyperlink ref="J6281" r:id="rId8555" xr:uid="{C11039A9-BBAF-8F44-98D2-7DADD6DECB5E}"/>
    <hyperlink ref="J6282" r:id="rId8556" xr:uid="{1442869F-B859-4441-9E8E-8E93D553ECBA}"/>
    <hyperlink ref="J6283" r:id="rId8557" xr:uid="{F23F6BE3-19F7-D940-BFB9-5628302C2130}"/>
    <hyperlink ref="J6284" r:id="rId8558" xr:uid="{252E458A-6BF8-3346-993C-10360EF605B0}"/>
    <hyperlink ref="J6285" r:id="rId8559" xr:uid="{C8B3A0ED-B178-D94F-847B-C10C408E911E}"/>
    <hyperlink ref="J6286" r:id="rId8560" xr:uid="{7656C8F1-77F5-A64C-B151-9D323A714154}"/>
    <hyperlink ref="J6287" r:id="rId8561" xr:uid="{6CEF245A-A1D1-3D42-BC89-1D27293E453A}"/>
    <hyperlink ref="J6288" r:id="rId8562" xr:uid="{77C706F4-CCFC-AD47-BD2B-C7C5960228CE}"/>
    <hyperlink ref="J6289" r:id="rId8563" xr:uid="{670D9EA2-3E50-534F-A6DE-61AD0B6DCE89}"/>
    <hyperlink ref="W6289" r:id="rId8564" xr:uid="{A0B72AEF-FC08-DD46-9150-B971CBD5120F}"/>
    <hyperlink ref="J6290" r:id="rId8565" xr:uid="{CE2F8D02-EF0E-D241-A4A5-216A15BC3196}"/>
    <hyperlink ref="J6291" r:id="rId8566" xr:uid="{659545E8-FF83-9745-9C3A-FBF36A156D83}"/>
    <hyperlink ref="J6292" r:id="rId8567" xr:uid="{E8CD3841-BDC3-454C-924D-99D1E9D0F1CF}"/>
    <hyperlink ref="J6293" r:id="rId8568" xr:uid="{A22378F8-3193-5F4F-9087-84C61295F815}"/>
    <hyperlink ref="J6294" r:id="rId8569" xr:uid="{B13B8CFE-9EAB-AF4F-BE9E-40962982E8A7}"/>
    <hyperlink ref="W6294" r:id="rId8570" xr:uid="{5B256442-D5F8-9943-879D-4A5F2285D2D2}"/>
    <hyperlink ref="J6295" r:id="rId8571" xr:uid="{3C787B24-2C57-0044-974E-690EFACC7468}"/>
    <hyperlink ref="J6296" r:id="rId8572" xr:uid="{BCD499CF-7A09-CB41-99FB-89C829B40F29}"/>
    <hyperlink ref="J6297" r:id="rId8573" xr:uid="{3262A962-36F7-FF47-8DA1-F369D3BC163B}"/>
    <hyperlink ref="W6297" r:id="rId8574" xr:uid="{A1D31A78-BD41-4D40-8844-5FDCB6E714D5}"/>
    <hyperlink ref="J6298" r:id="rId8575" xr:uid="{316B1F4A-8E10-1B4A-938F-CA6C8752E691}"/>
    <hyperlink ref="J6299" r:id="rId8576" xr:uid="{6C661B06-697A-6143-B8A0-40BD3CB4B26F}"/>
    <hyperlink ref="J6300" r:id="rId8577" xr:uid="{4C050721-FC49-1F4E-AA04-C0489944321A}"/>
    <hyperlink ref="J6301" r:id="rId8578" xr:uid="{72CA2A4A-3C2D-D543-BA87-EE8D74567347}"/>
    <hyperlink ref="J6302" r:id="rId8579" xr:uid="{C18CFA22-257C-E240-8667-5BD37C01459A}"/>
    <hyperlink ref="J6303" r:id="rId8580" xr:uid="{6E4FEDB3-4998-6C41-8469-4FAD9EF44AE3}"/>
    <hyperlink ref="J6304" r:id="rId8581" xr:uid="{43391E4B-88E0-6C49-8293-09C7C1092D56}"/>
    <hyperlink ref="J6305" r:id="rId8582" xr:uid="{B7072EBF-AD91-A04D-805A-E3F5AC394B2D}"/>
    <hyperlink ref="J6306" r:id="rId8583" xr:uid="{B069DD91-E41D-4A4D-B186-7D6FD5A91AB0}"/>
    <hyperlink ref="J6307" r:id="rId8584" xr:uid="{317C1ABC-5A79-C645-8F96-D13296CA79C2}"/>
    <hyperlink ref="J6308" r:id="rId8585" xr:uid="{08B0AA63-3E42-D74A-8BD4-168B4D11068C}"/>
    <hyperlink ref="J6309" r:id="rId8586" xr:uid="{C6667EEA-723B-2D43-88D1-05A036C962B4}"/>
    <hyperlink ref="J6310" r:id="rId8587" xr:uid="{FB6703C4-AA60-184E-A34F-15367F600BAA}"/>
    <hyperlink ref="J6311" r:id="rId8588" xr:uid="{89A39D10-4592-DD48-89FC-BAE3C7178A83}"/>
    <hyperlink ref="J6312" r:id="rId8589" xr:uid="{775880A3-DD8E-8E41-9EB6-BFB7358AEA91}"/>
    <hyperlink ref="J6313" r:id="rId8590" xr:uid="{90F987D7-C9C0-3143-92C2-872672B5A073}"/>
    <hyperlink ref="J6314" r:id="rId8591" xr:uid="{BAA0E50A-C74F-CF49-B253-4C80BFA468E6}"/>
    <hyperlink ref="W6314" r:id="rId8592" xr:uid="{CDC643F9-3F98-F246-A822-170A397FFB9C}"/>
    <hyperlink ref="J6315" r:id="rId8593" xr:uid="{614A5067-D7A8-5746-ADB4-0029CECFA7FF}"/>
    <hyperlink ref="J6316" r:id="rId8594" xr:uid="{B888A92A-B595-4144-B0B2-E785123CF052}"/>
    <hyperlink ref="J6317" r:id="rId8595" xr:uid="{D6C25A50-7E26-304D-96CE-A54C901D6B40}"/>
    <hyperlink ref="J6318" r:id="rId8596" xr:uid="{D66E5359-40F3-FF44-9115-23E2D314F326}"/>
    <hyperlink ref="W6318" r:id="rId8597" xr:uid="{8DEF8D8B-EDC0-0A4B-BA7E-3EAF4E218428}"/>
    <hyperlink ref="J6319" r:id="rId8598" xr:uid="{67D7B303-E4F6-304A-9F8F-17EAD56FDECC}"/>
    <hyperlink ref="J6320" r:id="rId8599" xr:uid="{418F1AE4-5A71-064B-B96C-6F43088D5C4B}"/>
    <hyperlink ref="J6321" r:id="rId8600" xr:uid="{B373A0CF-8394-034D-A61C-7B13AA965FFE}"/>
    <hyperlink ref="W6321" r:id="rId8601" xr:uid="{4B9C5C4B-A69A-8745-84B9-9A6490917975}"/>
    <hyperlink ref="J6322" r:id="rId8602" xr:uid="{34D9E02D-F511-654E-98B6-4C77CC12E864}"/>
    <hyperlink ref="W6322" r:id="rId8603" xr:uid="{405512E9-3247-1444-B2D2-48D68AF01620}"/>
    <hyperlink ref="J6323" r:id="rId8604" xr:uid="{258E6AAA-69CE-1C44-ACFC-A0B73412593A}"/>
    <hyperlink ref="J6324" r:id="rId8605" xr:uid="{9204B708-92DC-2945-AD87-91D5E8921711}"/>
    <hyperlink ref="W6324" r:id="rId8606" xr:uid="{D131D1FF-7B2E-0F40-83F4-39D955AAE915}"/>
    <hyperlink ref="J6325" r:id="rId8607" xr:uid="{ABCFC059-06F9-E942-AA66-DCE8A625923B}"/>
    <hyperlink ref="J6326" r:id="rId8608" xr:uid="{9CE0B76C-E7E8-6342-BE04-FABE9C90B239}"/>
    <hyperlink ref="J6327" r:id="rId8609" xr:uid="{9AB52E59-0BC8-664C-84F2-EB451343E698}"/>
    <hyperlink ref="J6328" r:id="rId8610" xr:uid="{B612C603-26EB-5F45-BF0B-019E3B87C02D}"/>
    <hyperlink ref="J6329" r:id="rId8611" xr:uid="{13547141-4599-824A-ADDB-38025AD7E135}"/>
    <hyperlink ref="W6329" r:id="rId8612" xr:uid="{EF511208-A9DA-6A48-84EC-73DA87B0A903}"/>
    <hyperlink ref="J6330" r:id="rId8613" xr:uid="{CB09AB20-912C-4E48-9A43-4917D04BF45F}"/>
    <hyperlink ref="J6331" r:id="rId8614" xr:uid="{EABEFD63-EEED-A246-870E-61A644E35117}"/>
    <hyperlink ref="J6332" r:id="rId8615" xr:uid="{161540BD-F90D-9A40-A0F2-4809E80F77D8}"/>
    <hyperlink ref="J6333" r:id="rId8616" xr:uid="{F9C7617A-E265-654C-AE9F-145BE76DBC35}"/>
    <hyperlink ref="W6333" r:id="rId8617" xr:uid="{4FCE88BB-4E56-D442-AAF3-7C825B016EDE}"/>
    <hyperlink ref="J6334" r:id="rId8618" xr:uid="{55B476D0-0C25-3C49-934C-ED08C9E0598D}"/>
    <hyperlink ref="J6335" r:id="rId8619" xr:uid="{DCFE6D63-9195-F345-915D-8A0A49B2B8A3}"/>
    <hyperlink ref="J6336" r:id="rId8620" xr:uid="{C519BA7A-3C49-694A-B05C-1599D7F7A52B}"/>
    <hyperlink ref="J6337" r:id="rId8621" xr:uid="{47375A21-516E-BE45-B406-3370D7756ACD}"/>
    <hyperlink ref="W6337" r:id="rId8622" xr:uid="{B0AEF152-B048-1E4F-A2AA-1BEF857CE6F9}"/>
    <hyperlink ref="J6338" r:id="rId8623" xr:uid="{CF463F38-B3D2-B249-B429-E40CA1BF0ED7}"/>
    <hyperlink ref="J6339" r:id="rId8624" xr:uid="{CD029C36-CE20-5141-8B4F-E072FE717A47}"/>
    <hyperlink ref="W6339" r:id="rId8625" xr:uid="{3EA84B40-D915-754B-B3F4-7B9DDF77FD9C}"/>
    <hyperlink ref="J6340" r:id="rId8626" xr:uid="{C0AC4913-F5F0-2742-B709-598DD70901CB}"/>
    <hyperlink ref="J6341" r:id="rId8627" xr:uid="{4990159F-0B82-5C4B-A739-C41109DEAF4E}"/>
    <hyperlink ref="J6342" r:id="rId8628" xr:uid="{4089542E-DC17-974E-89C7-A43E59541D35}"/>
    <hyperlink ref="J6343" r:id="rId8629" xr:uid="{4D489737-50A9-764E-B6F6-ED8B70906C98}"/>
    <hyperlink ref="J6344" r:id="rId8630" xr:uid="{31835D76-8151-3247-B577-1964F980D769}"/>
    <hyperlink ref="J6345" r:id="rId8631" xr:uid="{6BB15FD7-BB14-B84C-BE65-4FF6BADEC746}"/>
    <hyperlink ref="J6346" r:id="rId8632" xr:uid="{B3F258AE-33E2-ED42-BF57-944C2030FC8C}"/>
    <hyperlink ref="J6347" r:id="rId8633" xr:uid="{E1917B8F-5B8C-BA43-B7CA-E7849B5E9174}"/>
    <hyperlink ref="J6348" r:id="rId8634" xr:uid="{FD98DF09-6DE5-2947-AF0F-E6D22987B5C8}"/>
    <hyperlink ref="J6349" r:id="rId8635" xr:uid="{D98D6996-3530-4B46-A959-1892E32513FD}"/>
    <hyperlink ref="J6350" r:id="rId8636" xr:uid="{D4CAE258-7A63-7B4D-9E03-3BBD9980845C}"/>
    <hyperlink ref="J6351" r:id="rId8637" xr:uid="{BC5B9CF5-B568-EE47-8924-A4CF73BCBCE4}"/>
    <hyperlink ref="J6352" r:id="rId8638" xr:uid="{20454EE0-84BB-394D-973C-8C7F9922BB7A}"/>
    <hyperlink ref="J6353" r:id="rId8639" xr:uid="{A85C7C7B-D916-1B4E-9E21-CCE57E18F41C}"/>
    <hyperlink ref="J6354" r:id="rId8640" xr:uid="{8F285278-3DB6-8B4A-97E9-73DC2FB73A79}"/>
    <hyperlink ref="J6355" r:id="rId8641" xr:uid="{5D935DF7-3706-0C48-9FA9-9F0797481188}"/>
    <hyperlink ref="W6355" r:id="rId8642" xr:uid="{107B62A2-F64D-7747-8642-E51A360AE1CA}"/>
    <hyperlink ref="J6356" r:id="rId8643" xr:uid="{8132A73E-EFB8-3048-8B84-448A87580E6A}"/>
    <hyperlink ref="J6357" r:id="rId8644" xr:uid="{7A601F15-ED39-2940-89E2-F3EECE4D3444}"/>
    <hyperlink ref="J6358" r:id="rId8645" xr:uid="{792C88B7-4564-764F-AB83-8AC8CEE1DA09}"/>
    <hyperlink ref="J6359" r:id="rId8646" xr:uid="{03A8E142-873F-A247-A5DA-556C637CF6C2}"/>
    <hyperlink ref="J6360" r:id="rId8647" xr:uid="{C37CE79F-864F-7349-9FF0-DE38A04C86ED}"/>
    <hyperlink ref="W6360" r:id="rId8648" xr:uid="{952608F0-4D02-DB4B-A55E-7F02995DACED}"/>
    <hyperlink ref="J6361" r:id="rId8649" xr:uid="{44B065CF-C656-874F-843C-DF0F505C86E9}"/>
    <hyperlink ref="J6362" r:id="rId8650" xr:uid="{F1F5F789-8B2F-9647-84C5-5B9FFD0027CF}"/>
    <hyperlink ref="W6362" r:id="rId8651" xr:uid="{C68E3512-54B5-B24D-AB4A-42D36C5FCF89}"/>
    <hyperlink ref="J6363" r:id="rId8652" xr:uid="{FE0F51FB-3965-7240-8568-B2EEDBFCCF36}"/>
    <hyperlink ref="W6363" r:id="rId8653" xr:uid="{AAD71FFA-D74C-D04E-862B-515CCBB710E9}"/>
    <hyperlink ref="J6364" r:id="rId8654" xr:uid="{D6B17800-58AF-ED4E-833F-A26B983D985B}"/>
    <hyperlink ref="J6365" r:id="rId8655" xr:uid="{99CACF86-DBB0-C54D-91EC-C114367DC193}"/>
    <hyperlink ref="J6366" r:id="rId8656" xr:uid="{DFC2B53A-7606-E847-9A86-47C2A6B32719}"/>
    <hyperlink ref="J6367" r:id="rId8657" xr:uid="{92C40373-DF7F-EA4F-B663-C76DAB89F490}"/>
    <hyperlink ref="J6368" r:id="rId8658" xr:uid="{A2822ECE-384D-ED45-A784-79230328C60B}"/>
    <hyperlink ref="O6368" r:id="rId8659" xr:uid="{05F93F52-007E-5A4A-97B9-C3E1EB19F95A}"/>
    <hyperlink ref="J6369" r:id="rId8660" xr:uid="{97EFDB1A-4666-F143-8A91-457B1B20FF7C}"/>
    <hyperlink ref="J6370" r:id="rId8661" xr:uid="{2F46509D-2CDA-D845-9016-550E5E0A7EEF}"/>
    <hyperlink ref="J6371" r:id="rId8662" xr:uid="{FF69C2E4-8818-C640-BD12-69CB7C1BD16F}"/>
    <hyperlink ref="J6372" r:id="rId8663" xr:uid="{195AE713-0D74-1B44-BCD0-43ED4242477C}"/>
    <hyperlink ref="J6373" r:id="rId8664" xr:uid="{C7D63D4D-DF62-634F-9D19-63DD7B11B2EF}"/>
    <hyperlink ref="J6374" r:id="rId8665" xr:uid="{9598F004-3356-D44C-8E02-B30D1BF1ADE6}"/>
    <hyperlink ref="J6375" r:id="rId8666" xr:uid="{DAE4FCE6-C72B-CA43-9B34-216C4341E200}"/>
    <hyperlink ref="J6376" r:id="rId8667" xr:uid="{5FEDB9F9-0BCC-F442-A9A1-DC9C392336C2}"/>
    <hyperlink ref="J6377" r:id="rId8668" xr:uid="{E7B31F92-7912-6248-BA9F-F06C4F2F4D12}"/>
    <hyperlink ref="J6378" r:id="rId8669" xr:uid="{49F1B644-5EC5-9D4D-868B-233C0043402E}"/>
    <hyperlink ref="J6379" r:id="rId8670" xr:uid="{229DE9F0-482B-F44B-802F-CBEDC01DB21D}"/>
    <hyperlink ref="W6379" r:id="rId8671" xr:uid="{E2EB63D8-AEC1-A046-8A58-DAB6DFC58698}"/>
    <hyperlink ref="J6380" r:id="rId8672" xr:uid="{4E4867C1-618A-2D40-BBB8-A3D5A7B11D46}"/>
    <hyperlink ref="J6381" r:id="rId8673" xr:uid="{76813367-8005-C94D-A882-A483066C1783}"/>
    <hyperlink ref="J6382" r:id="rId8674" xr:uid="{A68B24CC-9C9C-7A43-ACE1-F499246E109D}"/>
    <hyperlink ref="J6383" r:id="rId8675" xr:uid="{1A0602D0-5376-2F48-86D8-FFF15C495E6F}"/>
    <hyperlink ref="J6384" r:id="rId8676" xr:uid="{01D1A61B-372F-6B48-8ED4-7AA0A6CC84E0}"/>
    <hyperlink ref="J6385" r:id="rId8677" xr:uid="{9E8D8654-359D-EA44-A068-26BF4344260D}"/>
    <hyperlink ref="J6386" r:id="rId8678" xr:uid="{E7677A69-EF03-7D4A-8864-CB9737909BB3}"/>
    <hyperlink ref="J6387" r:id="rId8679" xr:uid="{15C9D029-EFD4-9149-94D1-3548C8C8506D}"/>
    <hyperlink ref="W6387" r:id="rId8680" xr:uid="{025C3807-516B-5343-A1E4-A1D45738E100}"/>
    <hyperlink ref="J6388" r:id="rId8681" xr:uid="{3245FA3C-3D15-6D41-A363-AD1F0EA4EF78}"/>
    <hyperlink ref="J6389" r:id="rId8682" xr:uid="{65869CD6-1DFD-5846-8495-2A2A453E1A94}"/>
    <hyperlink ref="J6390" r:id="rId8683" xr:uid="{ED4D805D-B4D7-EF4F-8E99-90F72FD97AF8}"/>
    <hyperlink ref="J6391" r:id="rId8684" xr:uid="{F690563C-1809-8B48-921E-5569777AC7EB}"/>
    <hyperlink ref="J6392" r:id="rId8685" xr:uid="{B6D0FF35-9606-244C-871C-FA56EA3520BA}"/>
    <hyperlink ref="J6393" r:id="rId8686" xr:uid="{634D7637-8100-844B-8E91-9C1EF1AC6545}"/>
    <hyperlink ref="W6393" r:id="rId8687" xr:uid="{A566108A-C6FB-904A-B7A3-728F8746432B}"/>
    <hyperlink ref="J6394" r:id="rId8688" xr:uid="{6D547C72-1849-0E4B-B86C-47985CB205DA}"/>
    <hyperlink ref="J6395" r:id="rId8689" xr:uid="{5DE83EC7-891B-DD47-82F9-EE2EAE57528B}"/>
    <hyperlink ref="J6396" r:id="rId8690" xr:uid="{F893ACE9-6FC1-8F4B-9AC9-50D80507F567}"/>
    <hyperlink ref="J6397" r:id="rId8691" xr:uid="{615A19E0-2287-FA44-9603-F4CC172069B6}"/>
    <hyperlink ref="J6398" r:id="rId8692" xr:uid="{E3010ED1-A5D1-DD49-BE64-ECB0A81715D6}"/>
    <hyperlink ref="J6399" r:id="rId8693" xr:uid="{04AE0A10-727D-1F45-A8FF-5562D83ED63F}"/>
    <hyperlink ref="J6400" r:id="rId8694" xr:uid="{73FC7C02-BE28-7F40-94A7-DB9ACA0454CA}"/>
    <hyperlink ref="J6401" r:id="rId8695" xr:uid="{37AAB6EA-C5FC-D949-8D4D-6A4D17996F27}"/>
    <hyperlink ref="J6402" r:id="rId8696" xr:uid="{522EBD90-EA6A-0E47-BE09-8D4AD2906A2F}"/>
    <hyperlink ref="J6403" r:id="rId8697" xr:uid="{968AB323-D59C-474A-807E-38CAA8D84CCF}"/>
    <hyperlink ref="J6404" r:id="rId8698" xr:uid="{DD73A305-748D-A34F-82E0-2879A0F493FD}"/>
    <hyperlink ref="W6404" r:id="rId8699" xr:uid="{81056D03-DBA6-744D-B625-362AC7C0488E}"/>
    <hyperlink ref="J6405" r:id="rId8700" xr:uid="{228876F2-AEC7-6E49-9BBF-3A83AE0068CB}"/>
    <hyperlink ref="J6406" r:id="rId8701" xr:uid="{23E01423-8CF9-6A4B-AAE1-55DF5BA14C5D}"/>
    <hyperlink ref="J6407" r:id="rId8702" xr:uid="{572354F8-281F-D34C-AE7F-1331FD238703}"/>
    <hyperlink ref="J6408" r:id="rId8703" xr:uid="{698FA11F-15B3-2F45-8CD0-33379AF7E93C}"/>
    <hyperlink ref="J6409" r:id="rId8704" xr:uid="{276747C0-4EC3-4D4E-ABDE-8FD8145C0A5B}"/>
    <hyperlink ref="AH6409" r:id="rId8705" xr:uid="{28D7DF66-ACE2-F74D-8BB7-236CBC12FF54}"/>
    <hyperlink ref="J6410" r:id="rId8706" xr:uid="{74EDD3F7-9363-A646-8158-6F49257A5905}"/>
    <hyperlink ref="J6411" r:id="rId8707" xr:uid="{23178E95-042B-4047-846B-F35EFA773C6A}"/>
    <hyperlink ref="J6412" r:id="rId8708" xr:uid="{A8D54BF6-DF0D-6142-B1BD-9357E02C9213}"/>
    <hyperlink ref="W6412" r:id="rId8709" xr:uid="{C5A20E31-203A-BF47-ABFE-36BD98787AC7}"/>
    <hyperlink ref="J6413" r:id="rId8710" xr:uid="{9B3C4398-B30F-C847-995A-9D4576FAB1EE}"/>
    <hyperlink ref="J6414" r:id="rId8711" xr:uid="{ACC11C8E-F8DC-874F-A0DD-0E8E94EC4371}"/>
    <hyperlink ref="W6414" r:id="rId8712" xr:uid="{034B72F4-31B7-7345-8AA4-75F025EE41DD}"/>
    <hyperlink ref="J6415" r:id="rId8713" xr:uid="{6DE8139B-7374-4B48-805E-1E70D2E429F1}"/>
    <hyperlink ref="J6416" r:id="rId8714" xr:uid="{A88DA4D1-B35A-EB41-B6A6-8E3C515C77F6}"/>
    <hyperlink ref="J6417" r:id="rId8715" xr:uid="{D1B6FE62-9689-784B-8F7B-F358B49E8732}"/>
    <hyperlink ref="J6418" r:id="rId8716" xr:uid="{1A88BA01-2C45-A245-9E5B-EC68ED749CF3}"/>
    <hyperlink ref="J6419" r:id="rId8717" xr:uid="{14F07114-D162-AE40-8292-37E976321C39}"/>
    <hyperlink ref="J6420" r:id="rId8718" xr:uid="{C1F142C0-78B4-564F-A5AD-2F09638DA227}"/>
    <hyperlink ref="J6421" r:id="rId8719" xr:uid="{91A62B44-CA0D-2C4A-9B81-1A1D801D993C}"/>
    <hyperlink ref="J6422" r:id="rId8720" xr:uid="{64FE8E1C-C2FB-C346-9550-22D4B300C3E8}"/>
    <hyperlink ref="W6422" r:id="rId8721" xr:uid="{BFAFA18F-8175-DC45-AF09-C42391C04208}"/>
    <hyperlink ref="J6423" r:id="rId8722" xr:uid="{733EFC25-3DE4-3E47-AC99-8F6A5CAAA55D}"/>
    <hyperlink ref="J6424" r:id="rId8723" xr:uid="{B979BF00-7EE1-A04C-BA42-D7518CCD572A}"/>
    <hyperlink ref="J6425" r:id="rId8724" xr:uid="{B93E36D3-3636-AE4E-9C0B-CA6691388660}"/>
    <hyperlink ref="W6425" r:id="rId8725" xr:uid="{3356C4D9-19B4-0847-ACA1-647A77C1AD0B}"/>
    <hyperlink ref="J6426" r:id="rId8726" xr:uid="{051F6F44-F34F-D94C-9C42-B0D49EF58E12}"/>
    <hyperlink ref="J6427" r:id="rId8727" xr:uid="{9C492B08-E860-CC40-955A-A991B483E469}"/>
    <hyperlink ref="J6428" r:id="rId8728" xr:uid="{66DA7FF9-50BA-854A-8052-B039CECA5145}"/>
    <hyperlink ref="J6429" r:id="rId8729" xr:uid="{C3C53464-9B82-8D45-A6B5-2BD46ED0A1AB}"/>
    <hyperlink ref="J6430" r:id="rId8730" xr:uid="{7EE1CEFA-960F-114F-9342-1D3E6BC4CFC6}"/>
    <hyperlink ref="J6431" r:id="rId8731" xr:uid="{A1D32CAD-F8F6-F145-9DEE-46D0D74AAF8C}"/>
    <hyperlink ref="J6432" r:id="rId8732" xr:uid="{F1F122BC-E5E2-C048-8968-3D183B36B6CB}"/>
    <hyperlink ref="J6433" r:id="rId8733" xr:uid="{CB0F2B1F-9204-E447-86A8-7509E10D01B6}"/>
    <hyperlink ref="J6434" r:id="rId8734" xr:uid="{B3258627-CF29-864E-B658-27558AB8A293}"/>
    <hyperlink ref="J6435" r:id="rId8735" xr:uid="{1596C386-88E4-9742-88ED-BA7E27A3C9D6}"/>
    <hyperlink ref="J6436" r:id="rId8736" xr:uid="{6C7AA29F-2F4A-A84A-BC47-933137D68580}"/>
    <hyperlink ref="J6437" r:id="rId8737" xr:uid="{9C61013B-B888-2D4E-A105-8F04544B7F7E}"/>
    <hyperlink ref="J6438" r:id="rId8738" xr:uid="{E63D9613-E054-2C4E-9648-F6D86892AC02}"/>
    <hyperlink ref="J6439" r:id="rId8739" xr:uid="{561B9188-0F2A-5F49-86BB-6732C41EA35F}"/>
    <hyperlink ref="W6439" r:id="rId8740" xr:uid="{7056AD8A-9BBF-6448-8427-3D606A80FD1D}"/>
    <hyperlink ref="J6440" r:id="rId8741" xr:uid="{EBB40599-01C9-E346-B04F-CFA78BB1E464}"/>
    <hyperlink ref="J6441" r:id="rId8742" xr:uid="{0C9DA5E9-596B-C64F-B3C8-EC7D72B2901C}"/>
    <hyperlink ref="J6442" r:id="rId8743" xr:uid="{48920D66-C46C-5043-98A7-58783363AB5A}"/>
    <hyperlink ref="J6443" r:id="rId8744" xr:uid="{C8353E82-81E2-C14B-9B9A-5A85C8F9CB03}"/>
    <hyperlink ref="J6444" r:id="rId8745" xr:uid="{87FD2DDB-9030-9E42-A9D2-B1B7EE99801B}"/>
    <hyperlink ref="J6445" r:id="rId8746" xr:uid="{33AC9616-3B63-CD40-8AF8-25F98079E069}"/>
    <hyperlink ref="J6446" r:id="rId8747" xr:uid="{79D6A3E4-4D9C-F849-8309-7BC42F25FF31}"/>
    <hyperlink ref="J6447" r:id="rId8748" xr:uid="{AB8DCF4F-5758-774C-ACA0-8D74EDEB66CD}"/>
    <hyperlink ref="J6448" r:id="rId8749" xr:uid="{F7983666-B008-3840-A946-55DEAF4D6812}"/>
    <hyperlink ref="W6448" r:id="rId8750" xr:uid="{129BE4BE-B960-E541-86DE-1F7E9E2EC501}"/>
    <hyperlink ref="AG6448" r:id="rId8751" xr:uid="{F5860306-C5D3-884D-B16C-AD1F581307B8}"/>
    <hyperlink ref="J6449" r:id="rId8752" xr:uid="{293B2B43-0102-5445-A159-52DDE4BBC003}"/>
    <hyperlink ref="W6449" r:id="rId8753" xr:uid="{73C0CBF1-AEA9-A146-88D6-84CBF64F895A}"/>
    <hyperlink ref="J6450" r:id="rId8754" xr:uid="{2EBB9CA5-B97C-D547-A0CD-7D4B7170ED65}"/>
    <hyperlink ref="W6450" r:id="rId8755" xr:uid="{C8182F38-BE01-3743-AB1D-075793235738}"/>
    <hyperlink ref="J6451" r:id="rId8756" xr:uid="{D9228E3F-0131-E646-9D6C-0240B03FAF79}"/>
    <hyperlink ref="AG6451" r:id="rId8757" xr:uid="{80930534-F78A-9F43-90C3-49446340AD6C}"/>
    <hyperlink ref="J6452" r:id="rId8758" xr:uid="{018A65C6-F149-6D49-9462-4E8563046AF9}"/>
    <hyperlink ref="W6452" r:id="rId8759" xr:uid="{AFD61F21-22F8-4447-9CED-8CDF81A6AC11}"/>
    <hyperlink ref="J6453" r:id="rId8760" xr:uid="{4A5BE550-3D84-8A4A-B7D1-17A1607A2AEA}"/>
    <hyperlink ref="W6453" r:id="rId8761" xr:uid="{A7DD5649-992D-0E4A-8965-94AF08CC002C}"/>
    <hyperlink ref="J6454" r:id="rId8762" xr:uid="{C0C0876F-CE05-2C42-ADE0-CE2F20B1BA8F}"/>
    <hyperlink ref="J6455" r:id="rId8763" xr:uid="{048CA3D3-E0FB-5642-856B-31AAECBF76E1}"/>
    <hyperlink ref="J6456" r:id="rId8764" xr:uid="{39A75106-5C91-D940-A811-0551138C715B}"/>
    <hyperlink ref="J6457" r:id="rId8765" xr:uid="{E3A18517-7081-6F44-9491-FB8973208146}"/>
    <hyperlink ref="J6458" r:id="rId8766" xr:uid="{EF8F7EF6-B058-9547-850B-00369AAEE59D}"/>
    <hyperlink ref="J6459" r:id="rId8767" xr:uid="{1D14EAA0-8866-C749-982D-C07EF516C497}"/>
    <hyperlink ref="J6460" r:id="rId8768" xr:uid="{9B5C5D9B-0E1F-274F-89C1-259E775861FE}"/>
    <hyperlink ref="J6461" r:id="rId8769" xr:uid="{296DD91F-BF5C-1747-9025-4A6B2124877D}"/>
    <hyperlink ref="W6461" r:id="rId8770" xr:uid="{C30E8117-148C-2247-843C-8FD70B82DFDF}"/>
    <hyperlink ref="J6462" r:id="rId8771" xr:uid="{14DC6347-999A-9F48-A87D-406ED1AA114B}"/>
    <hyperlink ref="J6463" r:id="rId8772" xr:uid="{94F1FDD3-65CA-2A4B-A355-AC1196F36612}"/>
    <hyperlink ref="J6464" r:id="rId8773" xr:uid="{A56D051E-307D-E843-B11E-C13921A1BC29}"/>
    <hyperlink ref="W6464" r:id="rId8774" xr:uid="{BE62D34F-CAFF-E34F-9435-05A11FE3C2A6}"/>
    <hyperlink ref="J6465" r:id="rId8775" xr:uid="{AF492239-BD67-BA47-9312-CA0F58B807B5}"/>
    <hyperlink ref="J6466" r:id="rId8776" xr:uid="{5179A967-BD7D-7B40-94EF-04B5507BCD3C}"/>
    <hyperlink ref="J6467" r:id="rId8777" xr:uid="{47942F64-6D2C-0945-A2ED-68F73B8E8A00}"/>
    <hyperlink ref="J6468" r:id="rId8778" xr:uid="{BA44706F-F720-454D-A680-24A8B8BB0E5B}"/>
    <hyperlink ref="J6469" r:id="rId8779" xr:uid="{6128626C-A8ED-A54F-A74B-5A136FEB6208}"/>
    <hyperlink ref="J6470" r:id="rId8780" xr:uid="{F2A43C55-C1CC-6D4E-B1A7-4C2C20AF147A}"/>
    <hyperlink ref="W6470" r:id="rId8781" xr:uid="{C17F3234-B9A7-734C-8366-6A046D664D16}"/>
    <hyperlink ref="J6471" r:id="rId8782" xr:uid="{DE5C216A-8DED-9E45-9913-BC872C162C59}"/>
    <hyperlink ref="J6472" r:id="rId8783" xr:uid="{F0DA7361-8AF0-2C40-87DC-77F4014DE549}"/>
    <hyperlink ref="J6473" r:id="rId8784" xr:uid="{8AC18E9D-4B42-E441-87B0-6E4E38012DA0}"/>
    <hyperlink ref="W6473" r:id="rId8785" xr:uid="{7D0D9F23-0ADD-7E45-9694-41CECBE4D32B}"/>
    <hyperlink ref="J6474" r:id="rId8786" xr:uid="{E84FB926-19E1-BD48-B739-B1639DACE7C8}"/>
    <hyperlink ref="J6475" r:id="rId8787" xr:uid="{B175754F-4DED-8548-AADD-83019ECE6FC4}"/>
    <hyperlink ref="W6475" r:id="rId8788" xr:uid="{E9E2E730-F736-5B47-B34D-85205CD8DF09}"/>
    <hyperlink ref="J6476" r:id="rId8789" xr:uid="{E9EB70FE-924E-D640-B0B9-EDEAA175CF6C}"/>
    <hyperlink ref="J6477" r:id="rId8790" xr:uid="{736878A9-81A3-4544-A2BD-39C62248C425}"/>
    <hyperlink ref="J6478" r:id="rId8791" xr:uid="{D86C37EC-0ABB-2243-9BD3-4A1C8621C218}"/>
    <hyperlink ref="J6479" r:id="rId8792" xr:uid="{91C732D0-1C1C-704B-915D-F64098E80F5D}"/>
    <hyperlink ref="J6480" r:id="rId8793" xr:uid="{5BBA5C01-91EE-A840-9E6D-CDF2CC5A0EFD}"/>
    <hyperlink ref="J6481" r:id="rId8794" xr:uid="{E363F957-B718-9247-8B24-11B938A24A7F}"/>
    <hyperlink ref="W6481" r:id="rId8795" xr:uid="{C35ABE49-72C0-654D-A6E0-28187401F688}"/>
    <hyperlink ref="J6482" r:id="rId8796" xr:uid="{95894693-8717-B14B-9965-E08CBB186203}"/>
    <hyperlink ref="J6483" r:id="rId8797" xr:uid="{4A3C5D22-693B-A74A-94E5-462EE20B5196}"/>
    <hyperlink ref="J6484" r:id="rId8798" xr:uid="{6323B643-D260-B54B-9963-0FFBD2EF07ED}"/>
    <hyperlink ref="J6485" r:id="rId8799" xr:uid="{0CA9BC7F-505E-D64A-A21A-BDBBF56DCD68}"/>
    <hyperlink ref="J6486" r:id="rId8800" xr:uid="{B89AAD51-71B4-674D-9C8C-D57752EA17FF}"/>
    <hyperlink ref="J6487" r:id="rId8801" xr:uid="{5E680467-8372-5140-B3BB-EBA1F35639E9}"/>
    <hyperlink ref="J6488" r:id="rId8802" xr:uid="{10A0A875-5BC8-AB42-BFA3-1C8062A9C9DF}"/>
    <hyperlink ref="J6489" r:id="rId8803" xr:uid="{78C0F879-9F94-634E-8C07-0777F9C2A0E2}"/>
    <hyperlink ref="W6489" r:id="rId8804" xr:uid="{BA01C2D5-4D02-3641-A887-E68BE4D65655}"/>
    <hyperlink ref="J6490" r:id="rId8805" xr:uid="{2DD4B677-7A67-9F49-B7D0-D73551A06B64}"/>
    <hyperlink ref="J6491" r:id="rId8806" xr:uid="{C92371FA-6D82-2B44-8E35-D4810EBFD978}"/>
    <hyperlink ref="J6492" r:id="rId8807" xr:uid="{FC562A3C-F831-8D41-890F-EFD8B37BBDB2}"/>
    <hyperlink ref="J6493" r:id="rId8808" xr:uid="{4A9B2864-B3EF-2A41-97FC-C83F95AAF60D}"/>
    <hyperlink ref="J6494" r:id="rId8809" xr:uid="{43BCAE7F-6254-FC4F-A69F-FB9581E8382F}"/>
    <hyperlink ref="J6495" r:id="rId8810" xr:uid="{0F6E0FF4-6AB6-974E-9C1E-23070F6F7BC4}"/>
    <hyperlink ref="W6495" r:id="rId8811" xr:uid="{EDFA8C46-8F2F-B442-BC48-48C320C81BE8}"/>
    <hyperlink ref="J6496" r:id="rId8812" xr:uid="{E4A50A34-CF23-7740-83CD-ED82377794E6}"/>
    <hyperlink ref="J6497" r:id="rId8813" xr:uid="{30E4ACAD-CCA1-7546-8EAC-BB0A9645FBDA}"/>
    <hyperlink ref="W6497" r:id="rId8814" xr:uid="{49B1D9DE-15DB-884A-A9CB-AB3D71014E2F}"/>
    <hyperlink ref="J6498" r:id="rId8815" xr:uid="{240DB294-CB62-A344-B2DF-91EA83F4AE36}"/>
    <hyperlink ref="W6498" r:id="rId8816" xr:uid="{E1821E67-23BE-9245-813A-E568D4459006}"/>
    <hyperlink ref="J6499" r:id="rId8817" xr:uid="{DE58E409-3E42-6447-90B3-F4FC6CA07A07}"/>
    <hyperlink ref="J6500" r:id="rId8818" xr:uid="{8F4A93AF-CADA-C941-BDFE-E2DBD6CDFEB2}"/>
    <hyperlink ref="W6500" r:id="rId8819" xr:uid="{1F36EE32-9E19-774D-9FB7-B9F3EF6490E7}"/>
    <hyperlink ref="J6501" r:id="rId8820" xr:uid="{C0FBC608-A3DD-DF4A-81A5-340856B98125}"/>
    <hyperlink ref="J6502" r:id="rId8821" xr:uid="{1840997C-5430-8F4F-B863-9BADDCC8812E}"/>
    <hyperlink ref="J6503" r:id="rId8822" xr:uid="{D95CCECD-F3A1-7948-956A-D5751A3FF1F3}"/>
    <hyperlink ref="J6504" r:id="rId8823" xr:uid="{5553DC08-7D22-EF4C-B322-AAEC66190DA6}"/>
    <hyperlink ref="W6504" r:id="rId8824" xr:uid="{9B45A719-7C18-7A44-943A-448B6B6E35F3}"/>
    <hyperlink ref="J6505" r:id="rId8825" xr:uid="{9DAF9BFB-C4B7-9440-A505-7AF9DF087AB7}"/>
    <hyperlink ref="J6506" r:id="rId8826" xr:uid="{70FB3973-730F-EA46-B8BF-8F89FDDA0FE5}"/>
    <hyperlink ref="J6507" r:id="rId8827" xr:uid="{C29A7671-356D-F04E-BEB2-E04771B84844}"/>
    <hyperlink ref="J6508" r:id="rId8828" xr:uid="{7D6C1132-5560-104C-A973-1E219531ABA3}"/>
    <hyperlink ref="J6509" r:id="rId8829" xr:uid="{BA7A7B6C-2A79-074F-8B9A-E6D111A6C32F}"/>
    <hyperlink ref="J6510" r:id="rId8830" xr:uid="{97D8823C-643D-504B-A880-006C54F041EE}"/>
    <hyperlink ref="J6511" r:id="rId8831" xr:uid="{8D16C3BF-067E-2140-98F2-46D290C7AB9E}"/>
    <hyperlink ref="W6511" r:id="rId8832" xr:uid="{D1DCCDF6-55D9-DF49-8C12-9CDB0CA072F0}"/>
    <hyperlink ref="J6512" r:id="rId8833" xr:uid="{F3794DDD-5C4C-A84F-B168-9007B549DDA7}"/>
    <hyperlink ref="J6513" r:id="rId8834" xr:uid="{8D1B8C1D-3098-004F-9C58-51B7E06D6B5E}"/>
    <hyperlink ref="J6514" r:id="rId8835" xr:uid="{F2431A1F-C332-844A-AEB9-1230FBBF7F81}"/>
    <hyperlink ref="W6514" r:id="rId8836" xr:uid="{00972872-9FF1-AD4E-86B9-3971FD6F64DC}"/>
    <hyperlink ref="J6515" r:id="rId8837" xr:uid="{D9A96726-D225-E04D-8050-237A93A387C9}"/>
    <hyperlink ref="J6516" r:id="rId8838" xr:uid="{0AB8D71C-B8D1-0C40-BE50-D250448E0FD4}"/>
    <hyperlink ref="J6517" r:id="rId8839" xr:uid="{28050205-C88A-AF48-92DC-82C172E07786}"/>
    <hyperlink ref="W6517" r:id="rId8840" xr:uid="{1FF8124B-D084-D442-8ED5-9F342858FA5C}"/>
    <hyperlink ref="J6518" r:id="rId8841" xr:uid="{881E07A5-ACB7-704B-8939-62E361656348}"/>
    <hyperlink ref="J6519" r:id="rId8842" xr:uid="{9B0C3A67-8686-F841-8006-22BE7CEA005B}"/>
    <hyperlink ref="W6519" r:id="rId8843" xr:uid="{D0D4A35A-BBBB-AD47-8576-150456D3B348}"/>
    <hyperlink ref="J6520" r:id="rId8844" xr:uid="{CD563358-973E-AD41-AC8C-B3DA9C090842}"/>
    <hyperlink ref="W6520" r:id="rId8845" xr:uid="{0F1E3EF0-BE6A-0240-9B5C-EF5F6869DA9A}"/>
    <hyperlink ref="J6521" r:id="rId8846" xr:uid="{CDA76AED-C1C0-4B44-BB77-6802EEDD215C}"/>
    <hyperlink ref="W6521" r:id="rId8847" xr:uid="{FFF344C0-F341-FD4A-BC0A-4B041B2D96C5}"/>
    <hyperlink ref="J6522" r:id="rId8848" xr:uid="{4F178988-9D50-8042-8F2D-D6C8AB28E95B}"/>
    <hyperlink ref="J6523" r:id="rId8849" xr:uid="{6B5A2FFE-D962-9C4C-B8BA-F99180DA0038}"/>
    <hyperlink ref="J6524" r:id="rId8850" xr:uid="{A3901BFF-BD06-6442-B324-346249065DC7}"/>
    <hyperlink ref="W6524" r:id="rId8851" xr:uid="{1D449A31-B1B5-C745-846E-C730644EF616}"/>
    <hyperlink ref="J6525" r:id="rId8852" xr:uid="{A69B595A-7F5A-1B43-8FCB-6183B21F8A52}"/>
    <hyperlink ref="W6525" r:id="rId8853" xr:uid="{6AEA3B39-4CFE-C643-B3A2-D547926D1EEB}"/>
    <hyperlink ref="J6526" r:id="rId8854" xr:uid="{12EA17DA-9A35-564C-B0B8-E805AA8A7182}"/>
    <hyperlink ref="J6527" r:id="rId8855" xr:uid="{375EFFB4-F136-664D-81AE-CC097126D21F}"/>
    <hyperlink ref="W6527" r:id="rId8856" xr:uid="{322A4365-BAC3-9145-A6BD-060985D14CE4}"/>
    <hyperlink ref="J6528" r:id="rId8857" xr:uid="{36265AEC-2A93-F74E-AB96-19F11860F99C}"/>
    <hyperlink ref="W6528" r:id="rId8858" xr:uid="{900C966D-7562-154D-8939-46F00C378FA9}"/>
    <hyperlink ref="J6529" r:id="rId8859" xr:uid="{46101BDA-AD06-AA41-9B3D-56E19306C43B}"/>
    <hyperlink ref="W6529" r:id="rId8860" xr:uid="{989D8B2A-A986-D944-80C9-240E53C469A2}"/>
    <hyperlink ref="J6530" r:id="rId8861" xr:uid="{F5C0DBFF-D251-AA4E-8CFE-9B5843A86C7A}"/>
    <hyperlink ref="W6530" r:id="rId8862" xr:uid="{51AF2F91-E36B-0548-8495-772ECEF38238}"/>
    <hyperlink ref="J6531" r:id="rId8863" xr:uid="{E4D4C323-7CC4-9F4B-AA7C-F13F4B297AF7}"/>
    <hyperlink ref="W6531" r:id="rId8864" xr:uid="{F90C4F31-7814-044D-AC13-9EFF0C3BF4A6}"/>
    <hyperlink ref="J6532" r:id="rId8865" xr:uid="{7A71B783-52D2-CC4E-ADE0-5D855F7FC99E}"/>
    <hyperlink ref="W6532" r:id="rId8866" xr:uid="{4CF777A7-62A1-3F45-8B9D-FEE8BD6780F4}"/>
    <hyperlink ref="J6533" r:id="rId8867" xr:uid="{45A66AC5-1C12-7646-AE87-9585EE2EA85B}"/>
    <hyperlink ref="W6533" r:id="rId8868" xr:uid="{BF5C6B9F-03EE-D94D-B654-29FE1017D6CA}"/>
    <hyperlink ref="J6534" r:id="rId8869" xr:uid="{63DA72F4-3675-244C-B5BC-7F60FDDE3A44}"/>
    <hyperlink ref="J6535" r:id="rId8870" xr:uid="{5BAF744C-4846-254D-9470-9763F1A55ECA}"/>
    <hyperlink ref="J6536" r:id="rId8871" xr:uid="{3810E1A4-D92C-0648-941E-F2193E73D853}"/>
    <hyperlink ref="J6537" r:id="rId8872" xr:uid="{7B29C26B-EF75-454A-9CBA-C683171EC03C}"/>
    <hyperlink ref="O6537" r:id="rId8873" xr:uid="{93A9D0FF-F13F-0045-907B-CCFF94190D77}"/>
    <hyperlink ref="J6538" r:id="rId8874" xr:uid="{FE476B55-4F6B-8241-9CDE-43E88C22A95E}"/>
    <hyperlink ref="J6539" r:id="rId8875" xr:uid="{06B49E34-5963-134F-B9C0-009AC4346BA5}"/>
    <hyperlink ref="J6540" r:id="rId8876" xr:uid="{AB5C1982-6FE7-2F40-8FCE-314C14AAECDA}"/>
    <hyperlink ref="W6540" r:id="rId8877" xr:uid="{0F2B8DF1-B9EF-6049-BCC1-5129BDDFA62C}"/>
    <hyperlink ref="J6541" r:id="rId8878" xr:uid="{7CDC3159-8C82-7E42-87D7-389094F7EA37}"/>
    <hyperlink ref="J6542" r:id="rId8879" xr:uid="{2B39CB32-66B0-CD42-9F86-10EA08883247}"/>
    <hyperlink ref="J6543" r:id="rId8880" xr:uid="{CA152100-F42C-F845-A84C-615481A73E25}"/>
    <hyperlink ref="W6543" r:id="rId8881" xr:uid="{BF3A64EB-94DD-514B-B226-B06643797FB4}"/>
    <hyperlink ref="J6544" r:id="rId8882" xr:uid="{F0C50DFB-6D2C-CA45-BD71-6657D4F076AB}"/>
    <hyperlink ref="W6544" r:id="rId8883" xr:uid="{36D5405B-07DF-5E40-97B8-EB1B7C848DCC}"/>
    <hyperlink ref="J6545" r:id="rId8884" xr:uid="{F2B96CF7-CD1C-DE42-9444-6F8EA9D650D1}"/>
    <hyperlink ref="W6545" r:id="rId8885" xr:uid="{37545173-4F47-784F-87CC-67AA7D570EC4}"/>
    <hyperlink ref="J6546" r:id="rId8886" xr:uid="{F6E84BE5-A4BB-064C-8E49-78E354B4C701}"/>
    <hyperlink ref="W6546" r:id="rId8887" xr:uid="{555777B0-D254-0843-A529-0E1328F8BC3E}"/>
    <hyperlink ref="J6547" r:id="rId8888" xr:uid="{962D8C26-DC51-0048-A296-981156DF7C22}"/>
    <hyperlink ref="W6547" r:id="rId8889" xr:uid="{5E129775-E56E-8943-B318-F7B19E2CF232}"/>
    <hyperlink ref="J6548" r:id="rId8890" xr:uid="{8F373423-3CF1-B741-8343-6EC9BBBD5576}"/>
    <hyperlink ref="W6548" r:id="rId8891" xr:uid="{1F984964-D773-5544-851C-51D6B87D932B}"/>
    <hyperlink ref="J6549" r:id="rId8892" xr:uid="{A710F981-AE5C-F44E-ACE7-641562BBB874}"/>
    <hyperlink ref="J6550" r:id="rId8893" xr:uid="{2BA11F38-15EB-A54E-9DCA-01A2D9146611}"/>
    <hyperlink ref="W6550" r:id="rId8894" xr:uid="{6C69039E-FF0B-4747-B2C6-766406D7035A}"/>
    <hyperlink ref="J6551" r:id="rId8895" xr:uid="{29E0D876-BC34-C044-A80F-7D2D3C8A3790}"/>
    <hyperlink ref="W6551" r:id="rId8896" xr:uid="{96EAE2E5-656B-1548-9748-9453E901F099}"/>
    <hyperlink ref="J6552" r:id="rId8897" xr:uid="{495498A1-6E06-A440-A657-E54217CED335}"/>
    <hyperlink ref="J6553" r:id="rId8898" xr:uid="{F7F72FFF-AB3E-4844-AC15-9BCCA041AADD}"/>
    <hyperlink ref="J6554" r:id="rId8899" xr:uid="{8A20A26D-F4AB-DE49-AB79-5808CF62F01B}"/>
    <hyperlink ref="W6554" r:id="rId8900" xr:uid="{CFF8E6B8-56BD-B042-8852-3A0F5ED5A01A}"/>
    <hyperlink ref="J6555" r:id="rId8901" xr:uid="{8D9F7A3E-EA51-0749-9C2E-284151541876}"/>
    <hyperlink ref="J6556" r:id="rId8902" xr:uid="{2EDA0632-25AB-5141-806F-717A60486ECF}"/>
    <hyperlink ref="J6557" r:id="rId8903" xr:uid="{B49323BE-C076-F841-B6F5-8924E06DB8E1}"/>
    <hyperlink ref="J6558" r:id="rId8904" xr:uid="{62081A3D-15D7-D74F-A764-4BE95E1DA842}"/>
    <hyperlink ref="W6558" r:id="rId8905" xr:uid="{5211ED4A-ADDF-0249-8835-05062CD90D66}"/>
    <hyperlink ref="J6559" r:id="rId8906" xr:uid="{EA61FBEF-82EB-BE46-A479-8233293484B9}"/>
    <hyperlink ref="J6560" r:id="rId8907" xr:uid="{B9383359-3E69-B940-BAE6-784CEB4A1BC6}"/>
    <hyperlink ref="W6560" r:id="rId8908" xr:uid="{004AA443-F5A4-9E46-A784-CF35E4578622}"/>
    <hyperlink ref="J6561" r:id="rId8909" xr:uid="{245F02C0-617E-C847-865E-3C58BF958660}"/>
    <hyperlink ref="W6561" r:id="rId8910" xr:uid="{C65DF34D-D50B-F442-8DE3-1CF2747CA03C}"/>
    <hyperlink ref="J6562" r:id="rId8911" xr:uid="{F4080B6B-5004-AA4E-8FB3-9437AD1C4FCA}"/>
    <hyperlink ref="W6562" r:id="rId8912" xr:uid="{97128E2E-9813-C947-BA5B-927321B7ACEE}"/>
    <hyperlink ref="J6563" r:id="rId8913" xr:uid="{0597F905-EE64-9B47-B281-19613B1DE504}"/>
    <hyperlink ref="J6564" r:id="rId8914" xr:uid="{D4EC7BFC-50F9-364F-977D-1EB6D1AEE2CE}"/>
    <hyperlink ref="W6564" r:id="rId8915" xr:uid="{393F9830-362D-EF43-866C-143992513EAD}"/>
    <hyperlink ref="J6565" r:id="rId8916" xr:uid="{999861E7-228F-E440-A320-ACF8C0BB3485}"/>
    <hyperlink ref="W6565" r:id="rId8917" xr:uid="{832C0FA0-18B7-CB49-A497-B6D1A9E59EA6}"/>
    <hyperlink ref="J6566" r:id="rId8918" xr:uid="{EF160609-97B6-5B46-BE66-9B6D127A7EEA}"/>
    <hyperlink ref="W6566" r:id="rId8919" xr:uid="{7FE915E7-D6A7-2647-BB09-DAD660DE8031}"/>
    <hyperlink ref="J6567" r:id="rId8920" xr:uid="{004C2E77-B2F0-F74A-B319-E5649F85872F}"/>
    <hyperlink ref="J6568" r:id="rId8921" xr:uid="{3747B789-7A6F-6B4B-B2E3-0FE7BEA9C169}"/>
    <hyperlink ref="W6568" r:id="rId8922" xr:uid="{E03E2E46-AC00-114D-A23B-4406F78EB907}"/>
    <hyperlink ref="J6569" r:id="rId8923" xr:uid="{90BAC81D-D3DF-FD47-953A-39F3FBEFD058}"/>
    <hyperlink ref="W6569" r:id="rId8924" xr:uid="{92364DE3-5831-D34E-9A35-579D729D9A12}"/>
    <hyperlink ref="J6570" r:id="rId8925" xr:uid="{E38C0070-2E1A-6642-A89B-1267F57DB5B7}"/>
    <hyperlink ref="J6571" r:id="rId8926" xr:uid="{82C88B78-CC9D-9E4A-A332-D4CC49818AF0}"/>
    <hyperlink ref="W6571" r:id="rId8927" xr:uid="{4CBCF2E9-A73F-5F46-97F2-0B375F9A7E7E}"/>
    <hyperlink ref="J6572" r:id="rId8928" xr:uid="{46C054F1-4BD9-5040-A7B3-BFA265372767}"/>
    <hyperlink ref="W6572" r:id="rId8929" xr:uid="{BFF223F6-7DF6-154F-964E-E4E481B2F47B}"/>
    <hyperlink ref="J6573" r:id="rId8930" xr:uid="{AFE8543E-C25D-2545-B510-3B3562D9958D}"/>
    <hyperlink ref="W6573" r:id="rId8931" xr:uid="{08FA4ABB-DEC5-8449-9D5D-18A15CAEAC63}"/>
    <hyperlink ref="J6574" r:id="rId8932" xr:uid="{AF834EDD-7110-6543-877E-51D6F411A2A5}"/>
    <hyperlink ref="W6574" r:id="rId8933" xr:uid="{2330FC4C-6815-254B-839F-D0C9B008ACCA}"/>
    <hyperlink ref="J6575" r:id="rId8934" xr:uid="{908C30A2-F7FB-7649-8141-FDE742704BFD}"/>
    <hyperlink ref="W6575" r:id="rId8935" xr:uid="{44837FCF-8F91-094A-A74E-AFA1A5515D37}"/>
    <hyperlink ref="J6576" r:id="rId8936" xr:uid="{69D6D59B-E018-6948-B65B-509E8AC93BB4}"/>
    <hyperlink ref="J6577" r:id="rId8937" xr:uid="{0F8E75C9-C120-5A4B-9F04-2E9A0D453B83}"/>
    <hyperlink ref="W6577" r:id="rId8938" xr:uid="{6803CD91-636B-064A-A180-CCADD5394BBB}"/>
    <hyperlink ref="J6578" r:id="rId8939" xr:uid="{962064B5-4B84-7847-95A8-45D11156AECC}"/>
    <hyperlink ref="J6579" r:id="rId8940" xr:uid="{4EB0A7B6-68EF-B840-B02D-150F81849779}"/>
    <hyperlink ref="W6579" r:id="rId8941" xr:uid="{5B632EF0-5FEF-664E-85A2-E4A95A2EFC64}"/>
    <hyperlink ref="J6580" r:id="rId8942" xr:uid="{15F3BEBD-79F0-C14C-91FB-53FA026F7550}"/>
    <hyperlink ref="W6580" r:id="rId8943" xr:uid="{6C804DAD-260B-C24B-9700-A84E3F217E69}"/>
    <hyperlink ref="J6581" r:id="rId8944" xr:uid="{28D3B620-1A94-4149-AB00-5D2E27CB9136}"/>
    <hyperlink ref="J6582" r:id="rId8945" xr:uid="{E27F44B6-FEE5-004E-9F09-6803F8FEB04B}"/>
    <hyperlink ref="J6583" r:id="rId8946" xr:uid="{0B5C3E9E-0EA9-1246-A77E-80F57B49C984}"/>
    <hyperlink ref="J6584" r:id="rId8947" xr:uid="{973B9819-EE21-4D46-AD20-27F04189DB37}"/>
    <hyperlink ref="W6584" r:id="rId8948" xr:uid="{ECC7D659-9855-BB46-953A-0E2E972723C8}"/>
    <hyperlink ref="J6585" r:id="rId8949" xr:uid="{DAEF3A66-6101-3E48-B516-2950DDDDC7F3}"/>
    <hyperlink ref="W6585" r:id="rId8950" xr:uid="{D65A64BE-1BF4-A546-AFAB-22621A3EB9DB}"/>
    <hyperlink ref="J6586" r:id="rId8951" xr:uid="{3557934F-56F9-AC43-972D-EA4A2BCD472B}"/>
    <hyperlink ref="J6587" r:id="rId8952" xr:uid="{B4E34D35-D418-E040-8F49-CC34FF3CBC6C}"/>
    <hyperlink ref="W6587" r:id="rId8953" xr:uid="{7C7D29C3-3C98-464C-9FF5-545EC5AFA5FC}"/>
    <hyperlink ref="J6588" r:id="rId8954" xr:uid="{4CFF1F5D-5945-EA40-ABD5-EAFBA932F12D}"/>
    <hyperlink ref="W6588" r:id="rId8955" xr:uid="{E82A70DA-54F5-F14F-A6BB-CA73ECE64B50}"/>
    <hyperlink ref="J6589" r:id="rId8956" xr:uid="{CDC8FE43-5EFB-4D44-8AC6-DFAA361852E4}"/>
    <hyperlink ref="W6589" r:id="rId8957" xr:uid="{A85F8C51-C3C2-C448-A203-AC26E41D6838}"/>
    <hyperlink ref="J6590" r:id="rId8958" xr:uid="{A164A145-98D0-9248-B2A8-2571D09FB332}"/>
    <hyperlink ref="J6591" r:id="rId8959" xr:uid="{2E0A238F-AB3D-8046-AC9C-67CC5C9631BF}"/>
    <hyperlink ref="W6591" r:id="rId8960" xr:uid="{E5BA6BA5-F009-404A-92E3-02813128DAC4}"/>
    <hyperlink ref="J6592" r:id="rId8961" xr:uid="{CB117ECA-EAE8-1F43-8B1B-EE3BC27CA2C6}"/>
    <hyperlink ref="W6592" r:id="rId8962" xr:uid="{08E2CA4E-866E-0B4B-B8C3-C6DABBA4CF73}"/>
    <hyperlink ref="J6593" r:id="rId8963" xr:uid="{EB923BB6-706C-0F44-B987-D3454D3E0595}"/>
    <hyperlink ref="J6594" r:id="rId8964" xr:uid="{BD37273B-D075-884B-814B-BC5926F693FD}"/>
    <hyperlink ref="J6595" r:id="rId8965" xr:uid="{1BE8C864-30AC-664C-B963-FBA41440775A}"/>
    <hyperlink ref="W6595" r:id="rId8966" xr:uid="{BA2C9362-9117-1146-B81C-29E50F303A02}"/>
    <hyperlink ref="J6596" r:id="rId8967" xr:uid="{D037727F-0ED6-524C-B99C-30B2A7EA81B6}"/>
    <hyperlink ref="W6596" r:id="rId8968" xr:uid="{33EF0843-D5EA-E44F-80F1-2BFAA3EEC9EF}"/>
    <hyperlink ref="J6597" r:id="rId8969" xr:uid="{6629573F-2B86-C14F-B028-1693ABDDBAA0}"/>
    <hyperlink ref="W6597" r:id="rId8970" xr:uid="{33B06377-308D-594F-B4A3-807071174CB6}"/>
    <hyperlink ref="J6598" r:id="rId8971" xr:uid="{52C2475E-0FAD-2746-AC8E-9A816411AACD}"/>
    <hyperlink ref="W6598" r:id="rId8972" xr:uid="{D13FD6BD-A053-E445-91CC-B3FB42A11D8A}"/>
    <hyperlink ref="J6599" r:id="rId8973" xr:uid="{127045DF-F8A0-014B-A77C-90FDA22C0CDA}"/>
    <hyperlink ref="W6599" r:id="rId8974" xr:uid="{FD95A088-FC40-A74A-A83A-770B270152BE}"/>
    <hyperlink ref="J6600" r:id="rId8975" xr:uid="{A63BD05A-A810-D64A-B491-20E8B5981E8C}"/>
    <hyperlink ref="W6600" r:id="rId8976" xr:uid="{4826A23F-8CFE-3648-9A87-C64AED54AA9C}"/>
    <hyperlink ref="J6601" r:id="rId8977" xr:uid="{1C5086E6-83F5-944E-9C56-BE513BE99FA2}"/>
    <hyperlink ref="W6601" r:id="rId8978" xr:uid="{931BBF2A-5EE2-7D42-A769-6C435DF26867}"/>
    <hyperlink ref="J6602" r:id="rId8979" xr:uid="{4D58022F-ADDB-3F4A-B8CC-46C397082349}"/>
    <hyperlink ref="W6602" r:id="rId8980" xr:uid="{32F7D0C8-DAC7-1142-BA1D-32C5D7AA5706}"/>
    <hyperlink ref="J6603" r:id="rId8981" xr:uid="{46A44A9C-609E-8747-8F45-7962A9438540}"/>
    <hyperlink ref="W6603" r:id="rId8982" xr:uid="{96ABC83C-0A94-8A4B-A40B-70A61B8595C1}"/>
    <hyperlink ref="J6604" r:id="rId8983" xr:uid="{65CC626C-7BB7-6B40-8E61-5D0EE8CA3E73}"/>
    <hyperlink ref="J6605" r:id="rId8984" xr:uid="{E4AF4BD3-2163-1E4D-8B0C-7894F7CCDB6A}"/>
    <hyperlink ref="W6605" r:id="rId8985" xr:uid="{1A9A0057-4FD6-DD4F-9508-D2FF3D379034}"/>
    <hyperlink ref="J6606" r:id="rId8986" xr:uid="{878451FA-77B7-4B41-9786-DBA8095334E8}"/>
    <hyperlink ref="J6607" r:id="rId8987" xr:uid="{1A92BFDA-DD06-5142-877A-8392ADCD14A7}"/>
    <hyperlink ref="J6608" r:id="rId8988" xr:uid="{247A922C-B42C-0849-BB17-602378993F86}"/>
    <hyperlink ref="W6608" r:id="rId8989" xr:uid="{90E0A90D-13BB-4247-B796-1654C541E579}"/>
    <hyperlink ref="J6609" r:id="rId8990" xr:uid="{C1BC3911-B81E-0148-8046-87CAEFACB326}"/>
    <hyperlink ref="J6610" r:id="rId8991" xr:uid="{16A65688-1F53-714B-AE91-C08F9682C7C6}"/>
    <hyperlink ref="W6610" r:id="rId8992" xr:uid="{C850A08C-FC4F-0449-BC96-02CA3723C000}"/>
    <hyperlink ref="J6611" r:id="rId8993" xr:uid="{74F6D48D-144D-8148-9F88-0495566FC2AF}"/>
    <hyperlink ref="J6612" r:id="rId8994" xr:uid="{1A41C6E5-1F4F-D441-A041-7EDA3BA88711}"/>
    <hyperlink ref="J6613" r:id="rId8995" xr:uid="{BBDA162F-D3CA-5642-B698-36A7CEF01C3C}"/>
    <hyperlink ref="W6613" r:id="rId8996" xr:uid="{7F534E2C-F1A8-1942-91DF-31CBD118F71E}"/>
    <hyperlink ref="J6614" r:id="rId8997" xr:uid="{D2D7B9F0-AB6B-6546-A776-29AF485C0D90}"/>
    <hyperlink ref="W6614" r:id="rId8998" xr:uid="{C35B2479-36CA-EF43-B2F8-818DE5432DCA}"/>
    <hyperlink ref="J6615" r:id="rId8999" xr:uid="{87189BE4-650E-5943-B642-0F09BB47767A}"/>
    <hyperlink ref="W6615" r:id="rId9000" xr:uid="{A2E09EEA-433F-4149-9977-7965B48500A5}"/>
    <hyperlink ref="J6616" r:id="rId9001" xr:uid="{A2016CAD-7E00-D14D-BD81-1105F84062B9}"/>
    <hyperlink ref="W6616" r:id="rId9002" xr:uid="{27A45C9C-60B3-5A4A-9E45-E1C719CF1BB0}"/>
    <hyperlink ref="J6617" r:id="rId9003" xr:uid="{06F1EB95-5ACF-3D4B-B40B-AE42254B5619}"/>
    <hyperlink ref="W6617" r:id="rId9004" xr:uid="{977DEADC-7A4A-AF4A-AF09-4475509A3DE5}"/>
    <hyperlink ref="J6618" r:id="rId9005" xr:uid="{EF41B91D-965F-DC4C-B2BE-46A15227C862}"/>
    <hyperlink ref="W6618" r:id="rId9006" xr:uid="{5E7B12F6-11C3-0441-9059-CA8F5AE857CE}"/>
    <hyperlink ref="J6619" r:id="rId9007" xr:uid="{6D75B24A-AF55-7144-B7FB-B50CE520F81B}"/>
    <hyperlink ref="W6619" r:id="rId9008" xr:uid="{AE301674-FBE2-ED40-8E8F-856FD344673D}"/>
    <hyperlink ref="J6620" r:id="rId9009" xr:uid="{1D775200-90D0-964C-A997-42B58A70F98B}"/>
    <hyperlink ref="W6620" r:id="rId9010" xr:uid="{3FADB92D-DDDD-8546-B974-FED61EEB2047}"/>
    <hyperlink ref="J6621" r:id="rId9011" xr:uid="{C06690C3-6E09-204D-A892-7D0FBAA8A65E}"/>
    <hyperlink ref="W6621" r:id="rId9012" xr:uid="{68DFE30C-8806-A747-9983-6171D5DDDAEB}"/>
    <hyperlink ref="J6622" r:id="rId9013" xr:uid="{88AC7269-D99D-E44E-BCE9-ACA1CCA0DFEA}"/>
    <hyperlink ref="W6622" r:id="rId9014" xr:uid="{E4E0B90E-8E91-484B-89D2-61AE2D22CD24}"/>
    <hyperlink ref="J6623" r:id="rId9015" xr:uid="{301AA1F3-89D7-E94C-8775-B9A1C0E52D47}"/>
    <hyperlink ref="W6623" r:id="rId9016" xr:uid="{CDA5967E-AFD3-0A43-84B9-A69319D20A4C}"/>
    <hyperlink ref="J6624" r:id="rId9017" xr:uid="{2736DA15-3DD3-054E-AEB3-ADE1A37D772E}"/>
    <hyperlink ref="W6624" r:id="rId9018" xr:uid="{4A3B3765-9CC3-C649-A670-22E5C2C5AC43}"/>
    <hyperlink ref="J6625" r:id="rId9019" xr:uid="{543A80AA-7862-5B4D-85ED-B45CD6895CAD}"/>
    <hyperlink ref="W6625" r:id="rId9020" xr:uid="{C4860201-D321-D64F-9711-2E1754858C55}"/>
    <hyperlink ref="J6626" r:id="rId9021" xr:uid="{6B1D1D90-84CC-CD4D-B759-CBF854800F9F}"/>
    <hyperlink ref="W6626" r:id="rId9022" xr:uid="{344FDD54-E0E9-D646-AEDD-B61941735B72}"/>
    <hyperlink ref="J6627" r:id="rId9023" xr:uid="{01BEEE9D-8A42-3342-B864-A215D363E76A}"/>
    <hyperlink ref="W6627" r:id="rId9024" xr:uid="{A9DCE25E-EC1C-7949-B18E-EC1E0EDE6AC4}"/>
    <hyperlink ref="J6628" r:id="rId9025" xr:uid="{C855D8FC-8DA5-734C-A8E3-2B4CAB7FB0E0}"/>
    <hyperlink ref="W6628" r:id="rId9026" xr:uid="{CA547C59-D71D-5742-991D-C31E5B5347BB}"/>
    <hyperlink ref="J6629" r:id="rId9027" xr:uid="{187C4DC6-EC0D-C448-9AC9-0703E9578677}"/>
    <hyperlink ref="W6629" r:id="rId9028" xr:uid="{3FCFC446-CA87-8244-8376-F17715C40B6A}"/>
    <hyperlink ref="J6630" r:id="rId9029" xr:uid="{1248DFF1-034F-F647-BB55-1DAD522A716C}"/>
    <hyperlink ref="W6630" r:id="rId9030" xr:uid="{614FD70C-B29F-B14F-BE21-1CD2F06A0B04}"/>
    <hyperlink ref="J6631" r:id="rId9031" xr:uid="{D8B42616-23C4-2944-8B53-2272536417C8}"/>
    <hyperlink ref="W6631" r:id="rId9032" xr:uid="{88E6C328-39D1-2C40-B4BB-0CEDDB36D32C}"/>
    <hyperlink ref="J6632" r:id="rId9033" xr:uid="{6CE5CB6F-D3B0-5E42-842C-449DA0508009}"/>
    <hyperlink ref="J6633" r:id="rId9034" xr:uid="{63AC5DA4-49EC-4C41-B670-4604917DFE98}"/>
    <hyperlink ref="J6634" r:id="rId9035" xr:uid="{D1BAE2D9-A8D9-1A43-B389-951F4399A78C}"/>
    <hyperlink ref="J6635" r:id="rId9036" xr:uid="{715DAA82-C8BD-8D43-AE39-B259325CEB25}"/>
    <hyperlink ref="J6636" r:id="rId9037" xr:uid="{8FA1A049-7EF2-7142-BD61-11250483298E}"/>
    <hyperlink ref="J6637" r:id="rId9038" xr:uid="{3F9D2BFA-1556-C946-AAED-04D272DD7B94}"/>
    <hyperlink ref="J6638" r:id="rId9039" xr:uid="{CA1C5293-B8A5-B048-AD4A-C7D3C479EB8C}"/>
    <hyperlink ref="J6639" r:id="rId9040" xr:uid="{D94806AF-73FB-C748-89CF-3EB15B6C1DAA}"/>
    <hyperlink ref="J6640" r:id="rId9041" xr:uid="{9E779DD0-5716-004E-87DB-E69717703BBE}"/>
    <hyperlink ref="J6641" r:id="rId9042" xr:uid="{F69EF475-8136-954F-A3EA-E5C0C1191626}"/>
    <hyperlink ref="W6641" r:id="rId9043" xr:uid="{AD3F2941-F44A-C841-80BE-8A4E3127425A}"/>
    <hyperlink ref="J6642" r:id="rId9044" xr:uid="{2FF470F2-8AAA-8846-9A55-1061679A6750}"/>
    <hyperlink ref="J6643" r:id="rId9045" xr:uid="{63FECF07-D850-C243-BAA6-242B6F54F95E}"/>
    <hyperlink ref="J6644" r:id="rId9046" xr:uid="{37BA4307-5E56-2F44-B863-7D99A335F170}"/>
    <hyperlink ref="W6644" r:id="rId9047" xr:uid="{EBEEDE0B-3CF1-CE4D-8EAD-BCA30769F3BF}"/>
    <hyperlink ref="J6645" r:id="rId9048" xr:uid="{A6CAC7E0-2DA2-6043-9432-CCECCB32E072}"/>
    <hyperlink ref="W6645" r:id="rId9049" xr:uid="{37570FF4-A401-F343-B172-4567C31BC4F3}"/>
    <hyperlink ref="J6646" r:id="rId9050" xr:uid="{B8664571-95CB-F743-9B74-DFD7C7C37CFD}"/>
    <hyperlink ref="J6647" r:id="rId9051" xr:uid="{BB857C1B-F880-7B45-8E88-9B730F0B783E}"/>
    <hyperlink ref="J6648" r:id="rId9052" xr:uid="{F161E39B-C5A9-A040-8BBD-7EC2379C4877}"/>
    <hyperlink ref="W6648" r:id="rId9053" xr:uid="{34BDF4F1-5637-CF44-8EB5-25BF82AB6FA7}"/>
    <hyperlink ref="J6649" r:id="rId9054" xr:uid="{F5525EB5-52EF-C443-BBCE-DE9CFE3D0B74}"/>
    <hyperlink ref="W6649" r:id="rId9055" xr:uid="{0FC688C5-7C69-D747-AED3-0F6D9642B55C}"/>
    <hyperlink ref="J6650" r:id="rId9056" xr:uid="{B248F5BD-0AEE-584B-B47A-5EFF9D671ABB}"/>
    <hyperlink ref="J6651" r:id="rId9057" xr:uid="{A25FAA24-7A32-7B41-AE0C-D22B2290FC3E}"/>
    <hyperlink ref="J6652" r:id="rId9058" xr:uid="{1B55F59F-88F2-8C4C-A7DB-8EE2B32421D0}"/>
    <hyperlink ref="J6653" r:id="rId9059" xr:uid="{EE7E0FCC-4F9C-EC41-8333-935A9E9D06DA}"/>
    <hyperlink ref="W6653" r:id="rId9060" xr:uid="{1FDCB4F6-348C-6E45-8D60-8824608D0797}"/>
    <hyperlink ref="J6654" r:id="rId9061" xr:uid="{2717A0FC-58B7-7146-9256-EFD4D0108BB7}"/>
    <hyperlink ref="J6655" r:id="rId9062" xr:uid="{0B48C277-40A6-E742-B8A3-80853873C009}"/>
    <hyperlink ref="J6656" r:id="rId9063" xr:uid="{D927105F-ECC9-9641-B534-ED75BA2C4228}"/>
    <hyperlink ref="W6656" r:id="rId9064" xr:uid="{FD113ABC-E637-6B4D-A8C6-D5B8BE7C8A2F}"/>
    <hyperlink ref="J6657" r:id="rId9065" xr:uid="{3B070B5F-6628-8745-B953-7789A260639F}"/>
    <hyperlink ref="J6658" r:id="rId9066" xr:uid="{32214B67-64E6-F141-A80F-C3E042A6E741}"/>
    <hyperlink ref="J6659" r:id="rId9067" xr:uid="{EE7237F0-3A6B-C649-BE40-E7F5E7A13D5D}"/>
    <hyperlink ref="J6660" r:id="rId9068" xr:uid="{6EE525D8-3AD6-1745-B97F-81E6307A6790}"/>
    <hyperlink ref="J6661" r:id="rId9069" xr:uid="{8FB7356C-1DDD-F94B-A76C-549FB520FB56}"/>
    <hyperlink ref="J6662" r:id="rId9070" xr:uid="{6DA5AEC7-0155-5144-ACF8-D21B08340B5D}"/>
    <hyperlink ref="J6663" r:id="rId9071" xr:uid="{E1B97562-CF25-E543-83BB-AFD157C159CE}"/>
    <hyperlink ref="J6664" r:id="rId9072" xr:uid="{344920F3-D8FC-0C46-B103-2540E4FE2DF6}"/>
    <hyperlink ref="J6665" r:id="rId9073" xr:uid="{66337846-E400-4344-8D8C-D12DBF073C1D}"/>
    <hyperlink ref="J6666" r:id="rId9074" xr:uid="{5997DBA3-F744-AC48-8653-F3CF363306E7}"/>
    <hyperlink ref="J6667" r:id="rId9075" xr:uid="{8D35A5CD-1781-E94D-B627-2168100A88AD}"/>
    <hyperlink ref="J6668" r:id="rId9076" xr:uid="{CD604D73-50EA-F045-8655-E9622CC9B0B7}"/>
    <hyperlink ref="J6669" r:id="rId9077" xr:uid="{CB11C59C-0932-BE40-B1A4-74A3A29F3483}"/>
    <hyperlink ref="J6670" r:id="rId9078" xr:uid="{083E13FF-9E64-0943-AFF1-51F9B1AFF101}"/>
    <hyperlink ref="J6671" r:id="rId9079" xr:uid="{C2638C9F-6D43-7540-9E19-5E3092E8F80C}"/>
    <hyperlink ref="J6672" r:id="rId9080" xr:uid="{8854339D-C431-B84E-8FF4-22901B3A5E6D}"/>
    <hyperlink ref="J6673" r:id="rId9081" xr:uid="{61E50AA0-B074-F248-9871-48E9D8F4E9D4}"/>
    <hyperlink ref="J6674" r:id="rId9082" xr:uid="{15DFB599-3495-7440-8B77-6B20BBDDBDA1}"/>
    <hyperlink ref="J6675" r:id="rId9083" xr:uid="{8645DAEF-97E4-6543-8F96-A802EFB39122}"/>
    <hyperlink ref="J6676" r:id="rId9084" xr:uid="{09472D46-EEC4-A34B-8989-794AC0FE3E8F}"/>
    <hyperlink ref="J6677" r:id="rId9085" xr:uid="{8E3744BD-2EB0-B347-A4F7-3A3D46F60BC7}"/>
    <hyperlink ref="W6677" r:id="rId9086" xr:uid="{9138E1CC-6D2C-C642-A2D2-66DBBAD0C21F}"/>
    <hyperlink ref="J6678" r:id="rId9087" xr:uid="{DF3BF164-C9FA-E14C-956D-68B88E6D75A6}"/>
    <hyperlink ref="J6679" r:id="rId9088" xr:uid="{8EFBC03B-1700-F344-BD37-19F046546F71}"/>
    <hyperlink ref="J6680" r:id="rId9089" xr:uid="{6EDD0D5E-819A-B344-92CC-307D403D8B6B}"/>
    <hyperlink ref="J6681" r:id="rId9090" xr:uid="{F11BAF36-6397-6841-A124-29C52425E384}"/>
    <hyperlink ref="J6682" r:id="rId9091" xr:uid="{8737BC37-384B-8146-B97D-D53306735705}"/>
    <hyperlink ref="AG6682" r:id="rId9092" xr:uid="{239240CF-7060-584E-8D30-694114EC0AE9}"/>
    <hyperlink ref="J6683" r:id="rId9093" xr:uid="{582B4C91-6018-3B40-A965-E209E53BC29F}"/>
    <hyperlink ref="J6684" r:id="rId9094" xr:uid="{C98FBF3A-63A2-6749-81BA-84FE5B946189}"/>
    <hyperlink ref="J6685" r:id="rId9095" xr:uid="{6E75B025-DBAA-6142-B0AE-468DE928F81F}"/>
    <hyperlink ref="J6686" r:id="rId9096" xr:uid="{FBA75F18-0A49-3C4E-A4A7-ED986DCE9D82}"/>
    <hyperlink ref="W6686" r:id="rId9097" xr:uid="{C1DBAD9C-0957-8442-80E9-7D8346CA47E0}"/>
    <hyperlink ref="J6687" r:id="rId9098" xr:uid="{8ECA0FAC-C57A-3D45-9AD3-EBC8FEA80EC1}"/>
    <hyperlink ref="W6687" r:id="rId9099" xr:uid="{D4EFB649-1F6B-6940-8908-F0557961C5D7}"/>
    <hyperlink ref="J6688" r:id="rId9100" xr:uid="{BBAD65AD-DBB3-D24F-83BC-429D74423C66}"/>
    <hyperlink ref="J6689" r:id="rId9101" xr:uid="{7D208A95-5E76-5043-96B8-FC7BF9EAFEA4}"/>
    <hyperlink ref="J6690" r:id="rId9102" xr:uid="{C5BF80EC-9FCA-C446-9E00-C9227D7F45BF}"/>
    <hyperlink ref="J6691" r:id="rId9103" xr:uid="{3F708B7F-9E75-1E48-B7E6-E94B4D4D72DB}"/>
    <hyperlink ref="J6692" r:id="rId9104" xr:uid="{14443D28-1B53-834D-83E7-531B8909E8B2}"/>
    <hyperlink ref="W6692" r:id="rId9105" xr:uid="{10A491F6-1CDD-F840-8E3A-A003EDA7E260}"/>
    <hyperlink ref="J6693" r:id="rId9106" xr:uid="{D53DE20D-93B3-F449-A2F8-3A0442463B65}"/>
    <hyperlink ref="J6694" r:id="rId9107" xr:uid="{97BCD4B5-A5B0-824A-A194-10954EC8F973}"/>
    <hyperlink ref="J6695" r:id="rId9108" xr:uid="{F7245614-7AE2-BD4C-B1B1-C75A09D8BE0C}"/>
    <hyperlink ref="J6696" r:id="rId9109" xr:uid="{43D097FC-E3A2-FE45-9231-2347A3B4E517}"/>
    <hyperlink ref="J6697" r:id="rId9110" xr:uid="{C07A2E7A-6807-8440-9535-447562DC7585}"/>
    <hyperlink ref="J6698" r:id="rId9111" xr:uid="{94ED00F1-FA96-8849-8186-FB962C383D00}"/>
    <hyperlink ref="J6699" r:id="rId9112" xr:uid="{0E792FEE-B3B5-CB47-880D-75345E6678CA}"/>
    <hyperlink ref="J6700" r:id="rId9113" xr:uid="{9122F28D-21D8-8743-8298-8777C23FBA7E}"/>
    <hyperlink ref="J6701" r:id="rId9114" xr:uid="{D8D99069-B4C2-A741-855A-BBD34978954D}"/>
    <hyperlink ref="J6702" r:id="rId9115" xr:uid="{61010ED4-5079-8B48-BD75-8730DD472897}"/>
    <hyperlink ref="J6703" r:id="rId9116" xr:uid="{95BA57C3-2880-1B40-802A-75F38B7A303A}"/>
    <hyperlink ref="W6703" r:id="rId9117" xr:uid="{531EF2AD-CD28-C749-8829-DFF8E7FEFFEE}"/>
    <hyperlink ref="J6704" r:id="rId9118" xr:uid="{2D4E8D9E-583C-B545-95B5-4EDFA6E9E2B5}"/>
    <hyperlink ref="J6705" r:id="rId9119" xr:uid="{8B1CC539-A565-F84F-93A7-18C6CE52E50E}"/>
    <hyperlink ref="W6705" r:id="rId9120" xr:uid="{E4B0F54C-9482-A640-9179-3C51598ACB42}"/>
    <hyperlink ref="J6706" r:id="rId9121" location="no_universal_links" xr:uid="{D882862D-8D90-434D-8606-F8494BD2AD0A}"/>
    <hyperlink ref="J6707" r:id="rId9122" xr:uid="{AAC95E28-9FC8-4A48-9D2B-A4F64677AE4F}"/>
    <hyperlink ref="J6708" r:id="rId9123" xr:uid="{859ADEE5-EDEC-EC45-9147-4A51DD93A9FD}"/>
    <hyperlink ref="W6708" r:id="rId9124" xr:uid="{7295760A-2473-CB49-A5E6-5F9C2C7190FE}"/>
    <hyperlink ref="J6709" r:id="rId9125" xr:uid="{51E26256-693B-FE48-9024-5566EF2282BC}"/>
    <hyperlink ref="J6710" r:id="rId9126" xr:uid="{990A85D6-8E7F-5E4A-95E2-AD6D157694A4}"/>
    <hyperlink ref="J6711" r:id="rId9127" xr:uid="{98556253-6533-6D4E-B09F-208CC0AD5624}"/>
    <hyperlink ref="W6711" r:id="rId9128" xr:uid="{A01296E8-6357-634B-AA33-DA58DD9730CA}"/>
    <hyperlink ref="J6712" r:id="rId9129" xr:uid="{950EA49A-E603-F14C-AF78-223474CA8F1F}"/>
    <hyperlink ref="W6712" r:id="rId9130" xr:uid="{CBBB07E5-22F2-E046-B437-DA5A588D99D9}"/>
    <hyperlink ref="J6713" r:id="rId9131" xr:uid="{3A9E743F-965B-C34A-A964-441FBF6B61EE}"/>
    <hyperlink ref="R6713" r:id="rId9132" xr:uid="{CBCE9231-A442-674F-8364-838C076000F6}"/>
    <hyperlink ref="J6714" r:id="rId9133" xr:uid="{1AE22373-912C-BF4C-910B-48A1662B0021}"/>
    <hyperlink ref="J6715" r:id="rId9134" xr:uid="{E161BC68-8539-FB49-9F75-C4EECF4C39EE}"/>
    <hyperlink ref="W6715" r:id="rId9135" xr:uid="{688D2017-C292-8D48-BCFE-8DD6DF5859C5}"/>
    <hyperlink ref="J6716" r:id="rId9136" xr:uid="{12D3BA6B-641A-D048-8B35-985FCC56922D}"/>
    <hyperlink ref="W6716" r:id="rId9137" xr:uid="{819F059A-92EA-5144-AF66-ACA87AD7983E}"/>
    <hyperlink ref="J6717" r:id="rId9138" xr:uid="{47D00171-1DA8-6846-BF4C-546F1DA394C0}"/>
    <hyperlink ref="J6718" r:id="rId9139" xr:uid="{89A61586-19E3-8E46-A003-C313E9CB482C}"/>
    <hyperlink ref="J6719" r:id="rId9140" xr:uid="{F4170278-35D6-4C46-8520-F8CF6FE8BA62}"/>
    <hyperlink ref="J6720" r:id="rId9141" xr:uid="{4B35D586-E9BC-6F40-8758-EFE0B361B4A7}"/>
    <hyperlink ref="W6720" r:id="rId9142" xr:uid="{24C0AB03-173B-0640-8F3B-7CE7C7228AF6}"/>
    <hyperlink ref="J6721" r:id="rId9143" xr:uid="{08FE8A0A-9100-E64A-83A0-E3900539969E}"/>
    <hyperlink ref="J6722" r:id="rId9144" xr:uid="{EAB24215-C0C1-884D-A1BF-93F5BE17B9EA}"/>
    <hyperlink ref="J6723" r:id="rId9145" xr:uid="{56D02A6A-F8C3-EA47-8FF0-F14A5027946D}"/>
    <hyperlink ref="J6724" r:id="rId9146" xr:uid="{6ABA9B01-A003-764F-9E37-908E1A5C1A3F}"/>
    <hyperlink ref="J6725" r:id="rId9147" xr:uid="{A491F44C-4C2F-8346-82AA-41DDBDC3E911}"/>
    <hyperlink ref="J6726" r:id="rId9148" xr:uid="{92040254-BB09-8947-9695-6B63E5ED2926}"/>
    <hyperlink ref="J6727" r:id="rId9149" xr:uid="{168D9150-9AB1-F74F-A6DC-6CEE640EC9EA}"/>
    <hyperlink ref="J6728" r:id="rId9150" xr:uid="{52FD8136-0597-DD4D-8DA5-42F51B4D60B3}"/>
    <hyperlink ref="J6729" r:id="rId9151" xr:uid="{46AEB89F-4A11-F142-A196-8F5293C22368}"/>
    <hyperlink ref="W6729" r:id="rId9152" xr:uid="{B3522C5D-58F7-AF46-B1BD-E407822E2070}"/>
    <hyperlink ref="J6730" r:id="rId9153" xr:uid="{95CFB446-186D-5C49-B4AA-BD0BEA7FF559}"/>
    <hyperlink ref="J6731" r:id="rId9154" xr:uid="{84BC399F-1AAA-234A-8D4E-0F6DAF3AF81A}"/>
    <hyperlink ref="J6732" r:id="rId9155" xr:uid="{AF24D332-207B-9643-8173-94639A554295}"/>
    <hyperlink ref="J6733" r:id="rId9156" xr:uid="{4DA39A45-47F8-AF4C-A334-A0C2B39B1CB7}"/>
    <hyperlink ref="J6734" r:id="rId9157" xr:uid="{C48B8E8F-06DD-0642-A087-1C666417892D}"/>
    <hyperlink ref="J6735" r:id="rId9158" xr:uid="{76E9BF42-E270-1040-86ED-2CBFF49BD9FB}"/>
    <hyperlink ref="J6736" r:id="rId9159" xr:uid="{A551E3C5-F21B-AB4C-9E2B-05E34D30BD0B}"/>
    <hyperlink ref="J6737" r:id="rId9160" xr:uid="{B8AA745C-9FF0-F44E-9D9A-293889658044}"/>
    <hyperlink ref="J6738" r:id="rId9161" xr:uid="{1F27CC1A-3268-EF4D-9642-8766FD63C40C}"/>
    <hyperlink ref="J6739" r:id="rId9162" xr:uid="{11D96A17-E645-4D44-8476-1D1AAF9E93F0}"/>
    <hyperlink ref="J6740" r:id="rId9163" xr:uid="{007C5CA7-7BE6-4144-8D45-AA90F1FA02E4}"/>
    <hyperlink ref="J6741" r:id="rId9164" xr:uid="{F79ED260-A620-0545-AE7C-A50BEC92DE68}"/>
    <hyperlink ref="J6742" r:id="rId9165" xr:uid="{418E70EB-1B5D-0649-A033-BD77A70E32B6}"/>
    <hyperlink ref="W6742" r:id="rId9166" xr:uid="{4FB42E26-1B7C-9044-93EB-AAC932E3749B}"/>
    <hyperlink ref="J6743" r:id="rId9167" xr:uid="{9F518580-2BF8-5C44-A63D-E41345DE1FCF}"/>
    <hyperlink ref="J6744" r:id="rId9168" xr:uid="{0E0852CF-12C4-CF47-9E8C-F50213B8B849}"/>
    <hyperlink ref="J6745" r:id="rId9169" xr:uid="{8E9D0435-4B2D-CD4E-82BD-B0293D3A9D89}"/>
    <hyperlink ref="J6746" r:id="rId9170" xr:uid="{958A4DED-98B5-C342-86EA-F74D09C98BD1}"/>
    <hyperlink ref="J6747" r:id="rId9171" xr:uid="{E9962C05-BFDB-F44F-A3A9-A5265C945EBA}"/>
    <hyperlink ref="J6748" r:id="rId9172" xr:uid="{2EEEF87E-2A75-834D-BFED-1E7C521DD69A}"/>
    <hyperlink ref="J6749" r:id="rId9173" xr:uid="{3BAB2DC5-B429-FA42-BEFF-54ECB2067E7C}"/>
    <hyperlink ref="J6750" r:id="rId9174" xr:uid="{8F1354C8-AD2F-A546-A90E-8F05DA07ECBD}"/>
    <hyperlink ref="J6751" r:id="rId9175" xr:uid="{F909D502-6120-8947-86BD-34EB23602423}"/>
    <hyperlink ref="J6752" r:id="rId9176" xr:uid="{6967A0D5-392D-3045-BEA7-4EEC74EED1A6}"/>
    <hyperlink ref="J6753" r:id="rId9177" xr:uid="{CB3CE2D4-5676-4348-8682-3FBB852E1EA0}"/>
    <hyperlink ref="J6754" r:id="rId9178" xr:uid="{7075787D-1876-A441-9E83-838F85E22193}"/>
    <hyperlink ref="W6754" r:id="rId9179" xr:uid="{3C8B22FA-56D3-494F-8D88-0F2D07DF2372}"/>
    <hyperlink ref="J6755" r:id="rId9180" xr:uid="{93BA9ADD-107D-9C4D-8519-9A8EC0CABA01}"/>
    <hyperlink ref="J6756" r:id="rId9181" xr:uid="{B9B94B83-4F2F-AA48-BDB6-FEDD1C3629BD}"/>
    <hyperlink ref="J6757" r:id="rId9182" xr:uid="{D730182E-DBE1-7D4A-8DA5-C9A5EED62C0B}"/>
    <hyperlink ref="J6758" r:id="rId9183" xr:uid="{A36440AC-9CFE-D447-B68F-A52D3CAFC668}"/>
    <hyperlink ref="W6758" r:id="rId9184" xr:uid="{669F1DE6-9367-0D49-BB6A-E570E7771136}"/>
    <hyperlink ref="J6759" r:id="rId9185" xr:uid="{3176B55D-6EF6-1741-8A8A-3C7FDFD1F185}"/>
    <hyperlink ref="W6759" r:id="rId9186" xr:uid="{EE48BBF2-87D7-CB45-BB52-FAFE58C80E65}"/>
    <hyperlink ref="J6760" r:id="rId9187" xr:uid="{D4983154-467B-AD49-9A66-F02E3DEFEA92}"/>
    <hyperlink ref="W6760" r:id="rId9188" xr:uid="{81F51992-74C2-0D44-AADB-9C75EFA835A9}"/>
    <hyperlink ref="J6761" r:id="rId9189" xr:uid="{46D25E64-BBAE-0841-BAB0-993666B90948}"/>
    <hyperlink ref="W6761" r:id="rId9190" xr:uid="{5A030C5A-10F7-F847-841F-0C2CCF37E630}"/>
    <hyperlink ref="J6762" r:id="rId9191" xr:uid="{82046CC7-61CD-2140-B4B4-FAEADD214B53}"/>
    <hyperlink ref="W6762" r:id="rId9192" xr:uid="{6C66491F-1BF3-654B-98D5-29FF095F4E85}"/>
    <hyperlink ref="J6763" r:id="rId9193" xr:uid="{81D19AA0-0B2E-C641-910F-40D5D9382C56}"/>
    <hyperlink ref="J6764" r:id="rId9194" xr:uid="{074A673F-0588-5C45-93D0-F050A69FA7C1}"/>
    <hyperlink ref="W6764" r:id="rId9195" xr:uid="{E01BBBFF-9107-D344-A62C-A66FD5F6C368}"/>
    <hyperlink ref="J6765" r:id="rId9196" xr:uid="{21B05EF0-9477-9D44-87B2-AC0036A068C5}"/>
    <hyperlink ref="W6765" r:id="rId9197" xr:uid="{B47772AA-C592-DE4B-B604-5967488C6A17}"/>
    <hyperlink ref="J6766" r:id="rId9198" xr:uid="{F30AFDC4-285A-3148-91FB-39EAB77DF01B}"/>
    <hyperlink ref="J6767" r:id="rId9199" xr:uid="{CDF3F40D-8DCF-2D45-A83C-B3A6F5F16264}"/>
    <hyperlink ref="J6768" r:id="rId9200" xr:uid="{C9D7FD2F-8B55-3342-97E6-E1EAC98F0223}"/>
    <hyperlink ref="J6769" r:id="rId9201" xr:uid="{649183F1-A68F-1F4A-A7E9-9BE3FE22F791}"/>
    <hyperlink ref="J6770" r:id="rId9202" xr:uid="{B6709C82-F1FE-5B4D-905A-67752409B14C}"/>
    <hyperlink ref="J6771" r:id="rId9203" xr:uid="{5848C079-02E0-394E-B3E0-FFB131B75937}"/>
    <hyperlink ref="W6771" r:id="rId9204" xr:uid="{369C17C7-E3EF-B44B-8450-F4C24F2165F8}"/>
    <hyperlink ref="J6772" r:id="rId9205" xr:uid="{B5EF130E-21F2-5E43-A0F6-51604E5EFB8E}"/>
    <hyperlink ref="J6773" r:id="rId9206" xr:uid="{C7870E1F-9415-6245-925C-7A1A954A95B7}"/>
    <hyperlink ref="J6774" r:id="rId9207" xr:uid="{E333B785-A487-AE41-AF61-7A08577CE265}"/>
    <hyperlink ref="J6775" r:id="rId9208" xr:uid="{849FC03C-AE84-AD4A-B23B-876B7B0B3B25}"/>
    <hyperlink ref="J6776" r:id="rId9209" xr:uid="{9698ADBD-B072-A540-89D8-B55C12DDC52D}"/>
    <hyperlink ref="J6777" r:id="rId9210" xr:uid="{C48E4579-12A6-9E47-ADEA-02676B7974F8}"/>
    <hyperlink ref="J6778" r:id="rId9211" xr:uid="{3AA6CFFE-FDC6-C041-BB0C-8DA3C3F17B32}"/>
    <hyperlink ref="J6779" r:id="rId9212" xr:uid="{29799546-CFDF-764D-9361-EC6988EAE205}"/>
    <hyperlink ref="J6780" r:id="rId9213" xr:uid="{5DB3BC80-B724-5044-B5E5-719AE98C4341}"/>
    <hyperlink ref="J6781" r:id="rId9214" xr:uid="{1E29177C-6C4F-A644-AFB9-701390063F5A}"/>
    <hyperlink ref="J6782" r:id="rId9215" xr:uid="{A215D02D-945F-8249-B970-787745C06CEA}"/>
    <hyperlink ref="J6783" r:id="rId9216" xr:uid="{D899BF53-12F6-0E49-BB93-9BA498AD1882}"/>
    <hyperlink ref="J6784" r:id="rId9217" xr:uid="{E8EEBF4D-D5C1-C448-9A30-E4B4C75928F3}"/>
    <hyperlink ref="J6785" r:id="rId9218" xr:uid="{BCD6895D-782B-244C-9CA4-FDEE7222B66F}"/>
    <hyperlink ref="W6785" r:id="rId9219" xr:uid="{F19B8C7E-8536-FC49-8E1E-7DCE1C16A565}"/>
    <hyperlink ref="J6786" r:id="rId9220" xr:uid="{966A037E-450E-1343-A523-466DB76EE348}"/>
    <hyperlink ref="W6786" r:id="rId9221" xr:uid="{36964681-AA57-5242-A42E-66E68C778076}"/>
    <hyperlink ref="AG6786" r:id="rId9222" xr:uid="{63D9F8C4-F5C0-0649-8B2B-013DB6B82B79}"/>
    <hyperlink ref="J6787" r:id="rId9223" xr:uid="{02ED653F-3348-0947-B00E-DC6865C45C0E}"/>
    <hyperlink ref="J6788" r:id="rId9224" xr:uid="{26E462C0-BAEB-8E4C-A2EC-3C0C68B894AB}"/>
    <hyperlink ref="J6789" r:id="rId9225" xr:uid="{A8C88AF3-4565-4C41-9CF3-90E7D8C1B72E}"/>
    <hyperlink ref="W6789" r:id="rId9226" xr:uid="{F2E79EF2-1828-8645-9A5F-B8B2B7A57E62}"/>
    <hyperlink ref="J6790" r:id="rId9227" xr:uid="{52C84ADE-0ACE-9D47-BC58-DC3B95647434}"/>
    <hyperlink ref="J6791" r:id="rId9228" xr:uid="{901B23E7-2D02-074B-9E0F-E23BB90A030E}"/>
    <hyperlink ref="J6792" r:id="rId9229" xr:uid="{6320F8CD-3B30-D74C-964E-AEA13934518A}"/>
    <hyperlink ref="J6793" r:id="rId9230" xr:uid="{35FED0AB-7FCC-8841-B4CD-B1FF3CA9E12F}"/>
    <hyperlink ref="J6794" r:id="rId9231" xr:uid="{59EA5C34-53F2-FB42-87C1-38BF2FDE53CD}"/>
    <hyperlink ref="W6794" r:id="rId9232" xr:uid="{34B12E15-9F86-BC40-8E93-CF4BBB57315F}"/>
    <hyperlink ref="J6795" r:id="rId9233" xr:uid="{78A6E514-F528-E542-ADCD-0936E88340AA}"/>
    <hyperlink ref="W6795" r:id="rId9234" xr:uid="{9EC87DA8-D1BE-0C47-8C0E-2EE3F640BB9B}"/>
    <hyperlink ref="J6796" r:id="rId9235" xr:uid="{95707F58-3297-D041-BA22-AB2876460A48}"/>
    <hyperlink ref="W6796" r:id="rId9236" xr:uid="{34F99189-EB11-B743-B562-CE2D61C6A653}"/>
    <hyperlink ref="J6797" r:id="rId9237" xr:uid="{C3F0C9BC-E1B4-A643-9493-D827B0A7FCCF}"/>
    <hyperlink ref="W6797" r:id="rId9238" xr:uid="{EEA841FB-4005-0C47-B414-A4D35C1242A6}"/>
    <hyperlink ref="J6798" r:id="rId9239" xr:uid="{C1FA83BD-643B-C740-BD31-792087E22FD7}"/>
    <hyperlink ref="J6799" r:id="rId9240" xr:uid="{D8CF8B0B-C55A-4540-BA94-450468057FB4}"/>
    <hyperlink ref="W6799" r:id="rId9241" xr:uid="{CC724554-2A9A-174D-9DFF-6FE02C572472}"/>
    <hyperlink ref="J6800" r:id="rId9242" xr:uid="{850500B6-8F81-1142-A4EB-24124D606948}"/>
    <hyperlink ref="J6801" r:id="rId9243" xr:uid="{35E2E1C6-D59C-C943-9223-0AE97F01548F}"/>
    <hyperlink ref="J6802" r:id="rId9244" xr:uid="{65857009-91BB-9F4E-AF43-FC0CF1124197}"/>
    <hyperlink ref="J6803" r:id="rId9245" xr:uid="{A6341490-0FC6-AA4B-A556-CA2802503BED}"/>
    <hyperlink ref="J6804" r:id="rId9246" xr:uid="{FCF49564-AD8D-A14C-845F-4C1B2EDB3634}"/>
    <hyperlink ref="J6805" r:id="rId9247" xr:uid="{412DE908-AF11-E64A-8960-7D44C90112F8}"/>
    <hyperlink ref="J6806" r:id="rId9248" xr:uid="{514C2316-26DB-4D43-8F9E-C841C2BE4CBF}"/>
    <hyperlink ref="J6807" r:id="rId9249" xr:uid="{B6FB1F3C-6361-5944-B556-2CD9B89EFA90}"/>
    <hyperlink ref="J6808" r:id="rId9250" xr:uid="{72E7789D-3B94-E140-8E67-6AA9ACD3D73E}"/>
    <hyperlink ref="J6809" r:id="rId9251" xr:uid="{9849C1F9-DE24-BC4F-B69B-8B24D3DA10E4}"/>
    <hyperlink ref="J6810" r:id="rId9252" xr:uid="{26A5F191-9FFA-724C-8CCC-2DEEB077C511}"/>
    <hyperlink ref="J6811" r:id="rId9253" xr:uid="{AFBD0D8A-948C-4A42-9268-EE126DA00AC7}"/>
    <hyperlink ref="W6811" r:id="rId9254" xr:uid="{330A9AEB-8EFD-8F46-89D6-A2DAC0BC433C}"/>
    <hyperlink ref="J6812" r:id="rId9255" xr:uid="{8347700A-5F00-3E4E-8CA7-8F04CD357098}"/>
    <hyperlink ref="W6812" r:id="rId9256" xr:uid="{10D3D8C9-0021-7E41-9151-8A03275D9571}"/>
    <hyperlink ref="J6813" r:id="rId9257" xr:uid="{1C848C30-16B5-E844-95CD-BADA3259BF49}"/>
    <hyperlink ref="J6814" r:id="rId9258" xr:uid="{CBDA5AE8-2C31-9B40-A8BE-591BD6016963}"/>
    <hyperlink ref="J6815" r:id="rId9259" xr:uid="{DC035171-6A78-D64E-8390-EFDF94309309}"/>
    <hyperlink ref="W6815" r:id="rId9260" xr:uid="{A06B77BC-D161-8F4D-A6D1-F594314EECB2}"/>
    <hyperlink ref="J6816" r:id="rId9261" xr:uid="{76C78A35-2C13-434C-A5FD-19EE004FFACD}"/>
    <hyperlink ref="J6817" r:id="rId9262" xr:uid="{0672641B-A536-774C-95D1-A8CE444A04F7}"/>
    <hyperlink ref="W6817" r:id="rId9263" xr:uid="{9354EA75-A03D-DC47-971A-E9754C99B934}"/>
    <hyperlink ref="J6818" r:id="rId9264" xr:uid="{F7119A94-5B92-6F4D-BD24-F190E2B61A8D}"/>
    <hyperlink ref="W6818" r:id="rId9265" xr:uid="{BD156FE6-8CAC-0B49-A734-8C7D9DFF0558}"/>
    <hyperlink ref="J6819" r:id="rId9266" xr:uid="{92EF647D-0095-D74C-854E-1BD7AC37EC65}"/>
    <hyperlink ref="W6819" r:id="rId9267" xr:uid="{0BDA9382-19F0-D54F-AA01-D28ECD8BC55F}"/>
    <hyperlink ref="J6820" r:id="rId9268" xr:uid="{F86AF510-87A7-D744-AC85-599BA3C3AC30}"/>
    <hyperlink ref="W6820" r:id="rId9269" xr:uid="{380D79E3-156A-574D-B25C-0AED42A24F52}"/>
    <hyperlink ref="J6821" r:id="rId9270" xr:uid="{4E615783-8437-8248-BD64-74B53A911A0F}"/>
    <hyperlink ref="J6822" r:id="rId9271" xr:uid="{ACFA6515-02BB-E247-8415-4F376B13664F}"/>
    <hyperlink ref="J6823" r:id="rId9272" xr:uid="{7EA218A1-56DB-8046-B268-B5BEF92877E3}"/>
    <hyperlink ref="O6823" r:id="rId9273" xr:uid="{F05CB4FB-4F61-194E-A1A9-533AB1473149}"/>
    <hyperlink ref="J6824" r:id="rId9274" xr:uid="{45BBCD6F-C93B-3B4F-AD91-A593C63358E1}"/>
    <hyperlink ref="W6824" r:id="rId9275" xr:uid="{65C09872-0B47-F847-AAEE-D5A0E7F30495}"/>
    <hyperlink ref="J6825" r:id="rId9276" xr:uid="{1935753F-ADD3-E64F-B282-DF44891E6D7F}"/>
    <hyperlink ref="J6826" r:id="rId9277" xr:uid="{D48163BE-CAE0-1B4D-9C43-2BA2F2F4040E}"/>
    <hyperlink ref="J6827" r:id="rId9278" xr:uid="{88FD7ED9-D646-0B4D-AA40-345BFC28D163}"/>
    <hyperlink ref="J6828" r:id="rId9279" xr:uid="{34065F70-2363-BC49-8455-91559713DCE1}"/>
    <hyperlink ref="J6829" r:id="rId9280" xr:uid="{7B99EFF9-ABFB-4D45-979F-DA6D7E97ABB2}"/>
    <hyperlink ref="J6830" r:id="rId9281" xr:uid="{FF1F31C1-E53C-BC46-8FE9-A70366412FF2}"/>
    <hyperlink ref="J6831" r:id="rId9282" xr:uid="{FEBE173E-2B39-714D-A8CE-AD4AF217CFA4}"/>
    <hyperlink ref="W6831" r:id="rId9283" xr:uid="{95D38794-391E-C248-A7D7-6893472176A2}"/>
    <hyperlink ref="J6832" r:id="rId9284" xr:uid="{D06A121F-628F-F841-9CA6-A3DFD008E183}"/>
    <hyperlink ref="W6832" r:id="rId9285" xr:uid="{792959BE-3EFC-6E4B-A897-0E66F3FD852F}"/>
    <hyperlink ref="J6833" r:id="rId9286" xr:uid="{65ECA2C0-C013-A540-BBB2-707C96242AFE}"/>
    <hyperlink ref="W6833" r:id="rId9287" xr:uid="{2BFA7462-18F5-E743-91AE-12F9AFB4754F}"/>
    <hyperlink ref="J6834" r:id="rId9288" xr:uid="{8ABE968E-E1E4-3A4D-9F7B-3002C9E3D6FA}"/>
    <hyperlink ref="W6834" r:id="rId9289" xr:uid="{6F57C37B-815D-EC44-8D0F-05C31F65A4B6}"/>
    <hyperlink ref="J6835" r:id="rId9290" xr:uid="{02FE792C-207F-E643-A939-9C455C71C9BD}"/>
    <hyperlink ref="W6835" r:id="rId9291" xr:uid="{AD812334-A44D-544F-8847-BADBADD89FA4}"/>
    <hyperlink ref="J6836" r:id="rId9292" xr:uid="{9CDEA38A-0C09-7347-9C14-E2894883C2C7}"/>
    <hyperlink ref="W6836" r:id="rId9293" xr:uid="{11A0228B-CDE2-D647-A445-261398714DAC}"/>
    <hyperlink ref="J6837" r:id="rId9294" xr:uid="{75B68959-3756-5947-8FC4-9A58004BCDB6}"/>
    <hyperlink ref="J6838" r:id="rId9295" xr:uid="{0DA3A432-7D03-3C47-90FA-F7813EA0BCA5}"/>
    <hyperlink ref="J6839" r:id="rId9296" xr:uid="{B730EF54-983A-7C45-B423-B98E9E9ED989}"/>
    <hyperlink ref="J6840" r:id="rId9297" xr:uid="{0AB4B142-E9D4-BB44-9AE3-4115FDE9314B}"/>
    <hyperlink ref="J6841" r:id="rId9298" xr:uid="{2CA11ED8-4216-C341-AF61-B0753B3E506A}"/>
    <hyperlink ref="J6842" r:id="rId9299" xr:uid="{E9D1848E-DE8F-2A47-86A9-C3C7F3765E75}"/>
    <hyperlink ref="J6843" r:id="rId9300" xr:uid="{174A23A6-05EA-8048-936B-E7D07E88BC6B}"/>
    <hyperlink ref="J6844" r:id="rId9301" xr:uid="{B880FD30-9226-BA45-9A6E-120042A6CE8E}"/>
    <hyperlink ref="J6845" r:id="rId9302" xr:uid="{A98FB10E-325E-7C49-9B32-1E2CECCDF501}"/>
    <hyperlink ref="J6846" r:id="rId9303" xr:uid="{2975A33B-B6A3-9146-8757-68A1AB3AC52B}"/>
    <hyperlink ref="J6847" r:id="rId9304" xr:uid="{CC123AA0-A797-404B-884A-3A4329B0F8D6}"/>
    <hyperlink ref="J6848" r:id="rId9305" xr:uid="{B821359C-0041-D24F-9FDA-C60148C46876}"/>
    <hyperlink ref="J6849" r:id="rId9306" xr:uid="{6D03B5DA-9055-4745-A70F-A46AFAAE5A7C}"/>
    <hyperlink ref="J6850" r:id="rId9307" xr:uid="{4A0A445E-57EE-6548-8249-DFA2F8F65583}"/>
    <hyperlink ref="J6851" r:id="rId9308" xr:uid="{8C175766-6D3D-C647-BA42-BD9724021CCD}"/>
    <hyperlink ref="J6852" r:id="rId9309" xr:uid="{15F9C14B-58BA-BF44-84ED-02DE1315AB1D}"/>
    <hyperlink ref="J6853" r:id="rId9310" xr:uid="{B56DA8DE-A9DB-2C4E-9288-5B5444D70BA1}"/>
    <hyperlink ref="J6854" r:id="rId9311" xr:uid="{5BC6BF4D-B4D8-0048-887D-02C86EB9011C}"/>
    <hyperlink ref="W6854" r:id="rId9312" xr:uid="{EB7F3D5B-049B-0B40-89DA-8DD0D9050A22}"/>
    <hyperlink ref="J6855" r:id="rId9313" xr:uid="{F751E2A7-DD3D-DD4A-8817-75DB71D1DEF2}"/>
    <hyperlink ref="J6856" r:id="rId9314" xr:uid="{1CA2F82F-A7D9-E94E-A958-E037C0FEDD0F}"/>
    <hyperlink ref="J6857" r:id="rId9315" xr:uid="{11305EDD-B024-2B45-A3E3-AABD2A401871}"/>
    <hyperlink ref="J6858" r:id="rId9316" xr:uid="{C7A4E63B-D71D-AA41-9AC3-039B157891B3}"/>
    <hyperlink ref="J6859" r:id="rId9317" xr:uid="{F8BAA379-8003-E44D-A8DF-45FA253C0C47}"/>
    <hyperlink ref="J6860" r:id="rId9318" xr:uid="{724DB072-4A7C-054D-BEEA-3F203764AF71}"/>
    <hyperlink ref="J6861" r:id="rId9319" xr:uid="{D2C35EC7-7A64-2F45-A978-3334D86D7A76}"/>
    <hyperlink ref="W6861" r:id="rId9320" xr:uid="{E68C3278-B992-234C-935D-440906DCFE59}"/>
    <hyperlink ref="J6862" r:id="rId9321" xr:uid="{01EFF829-A705-844F-879F-5FBFAA2E2667}"/>
    <hyperlink ref="J6863" r:id="rId9322" xr:uid="{4C5A0D8A-3E88-F346-9019-D3678DE8C9CE}"/>
    <hyperlink ref="J6864" r:id="rId9323" xr:uid="{E3613B5A-C20C-C44F-ACB2-922A588FCE23}"/>
    <hyperlink ref="W6864" r:id="rId9324" xr:uid="{FCC4D797-09CE-1145-A68A-55CD54AF141F}"/>
    <hyperlink ref="J6865" r:id="rId9325" xr:uid="{2718FF00-F3A6-9B49-AB6C-77E68D6C6B2C}"/>
    <hyperlink ref="J6866" r:id="rId9326" xr:uid="{778C2B40-9702-C246-A767-784C143C117F}"/>
    <hyperlink ref="J6867" r:id="rId9327" xr:uid="{E09ADBF7-DD89-494B-BEA0-D4166869D5D0}"/>
    <hyperlink ref="J6868" r:id="rId9328" xr:uid="{619D6DAA-6FD5-3643-BADB-3128B58695B7}"/>
    <hyperlink ref="J6869" r:id="rId9329" xr:uid="{50445811-113D-E649-BDC5-16A04D4870E2}"/>
    <hyperlink ref="J6870" r:id="rId9330" xr:uid="{56438857-9BBE-5544-9F11-3E060E061594}"/>
    <hyperlink ref="J6871" r:id="rId9331" xr:uid="{D84C0C24-6D83-B846-8DF0-68C2DB94E79A}"/>
    <hyperlink ref="W6871" r:id="rId9332" xr:uid="{687CF848-8B90-7F47-BAEA-C6AB90125B4C}"/>
    <hyperlink ref="J6872" r:id="rId9333" xr:uid="{723C3421-78D9-5F49-8E36-EEBF87C2F1DE}"/>
    <hyperlink ref="J6873" r:id="rId9334" xr:uid="{0FB58932-EC21-604B-82A2-143C40E56A84}"/>
    <hyperlink ref="J6874" r:id="rId9335" xr:uid="{8398C2B9-8051-8B42-BC4C-7D850D6AB064}"/>
    <hyperlink ref="J6875" r:id="rId9336" xr:uid="{EA287818-72AD-3B49-9654-EF7843DF6CDC}"/>
    <hyperlink ref="W6875" r:id="rId9337" xr:uid="{E4B80623-3EA2-F840-AB95-35A13DBE7A59}"/>
    <hyperlink ref="J6876" r:id="rId9338" xr:uid="{A9F44401-199D-0F43-92AF-9D7A3ED267A7}"/>
    <hyperlink ref="J6877" r:id="rId9339" xr:uid="{4F8B843B-FA42-3241-845C-04047AC12DA7}"/>
    <hyperlink ref="J6878" r:id="rId9340" xr:uid="{4674F1E9-1954-AF4A-8A92-90AB82ACE2C3}"/>
    <hyperlink ref="J6879" r:id="rId9341" xr:uid="{9ACA999A-A23C-DB4F-BF58-C6792D3EC288}"/>
    <hyperlink ref="W6879" r:id="rId9342" xr:uid="{6C07AC46-2C08-934A-AE60-EF130FE31FBD}"/>
    <hyperlink ref="J6880" r:id="rId9343" xr:uid="{FF162013-92F5-794D-8CBA-A6139441C3A1}"/>
    <hyperlink ref="W6880" r:id="rId9344" xr:uid="{C380D125-DE0B-7C46-AD3F-F0C7367464A5}"/>
    <hyperlink ref="J6881" r:id="rId9345" xr:uid="{41C00473-2DC4-684A-A511-D85584C37697}"/>
    <hyperlink ref="J6882" r:id="rId9346" xr:uid="{6B4C80A3-B92D-5842-935F-5E77999B726E}"/>
    <hyperlink ref="J6883" r:id="rId9347" xr:uid="{89977679-607B-4E42-AF7A-9167EE39FE91}"/>
    <hyperlink ref="W6883" r:id="rId9348" xr:uid="{80F9B3BE-80C0-934A-8CE8-81A596B64A7C}"/>
    <hyperlink ref="J6884" r:id="rId9349" xr:uid="{7A5B6A49-D7AE-4C4B-8D81-2C8C7EA36F49}"/>
    <hyperlink ref="J6885" r:id="rId9350" xr:uid="{4480182B-C32A-BE4F-A302-58B0A8C4DEA5}"/>
    <hyperlink ref="W6885" r:id="rId9351" xr:uid="{A99603D4-2AE9-6148-BFAD-B3E2699CA819}"/>
    <hyperlink ref="J6886" r:id="rId9352" xr:uid="{D32B8B66-EEDF-7949-B569-CABD16D6203E}"/>
    <hyperlink ref="W6886" r:id="rId9353" xr:uid="{DFACD52E-B2B1-1D41-9805-D072FA2F45BD}"/>
    <hyperlink ref="J6887" r:id="rId9354" xr:uid="{25B44E99-13B0-C34E-AA1A-80C85F8E542C}"/>
    <hyperlink ref="W6887" r:id="rId9355" xr:uid="{6427505E-D0F4-B745-BAE6-247C3A5A236A}"/>
    <hyperlink ref="J6888" r:id="rId9356" xr:uid="{97EA2836-6C78-E541-8A82-AABB0A16E809}"/>
    <hyperlink ref="W6888" r:id="rId9357" xr:uid="{2108F1BA-9F01-F749-96A1-D4D2FE56843F}"/>
    <hyperlink ref="J6889" r:id="rId9358" xr:uid="{51B1C610-DAD2-A545-BBEC-6A11D70DFFCD}"/>
    <hyperlink ref="J6890" r:id="rId9359" xr:uid="{016B0B86-E9E0-E242-B8DF-70BE78D9BEB1}"/>
    <hyperlink ref="J6891" r:id="rId9360" xr:uid="{E0F1E0C7-D76E-EE45-AE0E-E54241E22D55}"/>
    <hyperlink ref="J6892" r:id="rId9361" xr:uid="{F7161274-41A5-834B-936A-2268C8D9D754}"/>
    <hyperlink ref="J6893" r:id="rId9362" xr:uid="{1672EC04-32E3-4448-A1D2-9A2B0DE90AB5}"/>
    <hyperlink ref="J6894" r:id="rId9363" xr:uid="{436F01D3-D8A6-7842-BC92-46FBE9313537}"/>
    <hyperlink ref="J6895" r:id="rId9364" xr:uid="{D3171FDB-D2E8-8B49-95B2-855B4CC9F2FF}"/>
    <hyperlink ref="J6896" r:id="rId9365" xr:uid="{9E2218CA-D57D-9345-9505-9CAC63C5FF56}"/>
    <hyperlink ref="J6897" r:id="rId9366" xr:uid="{B2CD3D97-2311-8A4D-965A-2EBCCCF92B01}"/>
    <hyperlink ref="J6898" r:id="rId9367" xr:uid="{661082F8-5F70-514C-A472-CE13B7CC3374}"/>
    <hyperlink ref="J6899" r:id="rId9368" xr:uid="{5E1AD060-B975-8D45-8986-08B1B778F89D}"/>
    <hyperlink ref="J6900" r:id="rId9369" xr:uid="{293F2E7C-22E2-0F42-ABA3-0791434C9411}"/>
    <hyperlink ref="J6901" r:id="rId9370" xr:uid="{53F5FA71-04A2-E145-903F-3E9B58A40317}"/>
    <hyperlink ref="J6902" r:id="rId9371" xr:uid="{771121D2-1FAE-2445-9055-8FC773375758}"/>
    <hyperlink ref="J6903" r:id="rId9372" xr:uid="{58DEE091-06F6-844F-85A3-2E8B8AEB696F}"/>
    <hyperlink ref="W6903" r:id="rId9373" xr:uid="{DAE5F9C2-89CC-CF46-AA99-C67C95EEB568}"/>
    <hyperlink ref="J6904" r:id="rId9374" xr:uid="{2E55DDA9-DF97-5B46-A9A8-194260F0473A}"/>
    <hyperlink ref="J6905" r:id="rId9375" xr:uid="{9B64F96D-F148-5045-A6BC-A73EC1B5A0B7}"/>
    <hyperlink ref="W6905" r:id="rId9376" xr:uid="{2492D9DD-F2F1-C046-8C90-035FBC8EB28C}"/>
    <hyperlink ref="J6906" r:id="rId9377" xr:uid="{63B52D86-80F0-3047-B7E0-5A38060CCED8}"/>
    <hyperlink ref="W6906" r:id="rId9378" xr:uid="{A6C64783-FAD6-4D48-B52F-81D1816A2756}"/>
    <hyperlink ref="J6907" r:id="rId9379" xr:uid="{598464F2-B262-7441-8619-D1061FFE6FCC}"/>
    <hyperlink ref="AG6907" r:id="rId9380" xr:uid="{7D187F83-94BD-9847-88EE-8FB04A102533}"/>
    <hyperlink ref="J6908" r:id="rId9381" xr:uid="{EDA0A684-1DAD-1E45-9DA5-05C966C3C15A}"/>
    <hyperlink ref="J6909" r:id="rId9382" xr:uid="{38A15B0E-2785-8845-8282-3F6BE7835D1C}"/>
    <hyperlink ref="J6910" r:id="rId9383" xr:uid="{D6CFA362-37BF-BE45-AC36-BE58BD0B1E4B}"/>
    <hyperlink ref="J6911" r:id="rId9384" xr:uid="{04697935-7515-8E49-A9BC-3668C190C392}"/>
    <hyperlink ref="J6912" r:id="rId9385" xr:uid="{6047DEDF-9A27-4847-A1BA-D2E6DDD146BB}"/>
    <hyperlink ref="J6913" r:id="rId9386" xr:uid="{2D88E22F-C2EB-364C-9C2E-61866B529CDD}"/>
    <hyperlink ref="J6914" r:id="rId9387" xr:uid="{30881620-52F8-7043-9791-1BD10594EB0C}"/>
    <hyperlink ref="J6915" r:id="rId9388" xr:uid="{6BA947F8-0E11-0143-856D-148264CD0725}"/>
    <hyperlink ref="W6915" r:id="rId9389" xr:uid="{55EB295F-EF01-154B-BF46-280EA2100150}"/>
    <hyperlink ref="J6916" r:id="rId9390" xr:uid="{E47CCBD4-E245-0148-938C-76F30333E02A}"/>
    <hyperlink ref="J6917" r:id="rId9391" xr:uid="{C09A1B37-8672-B84B-861E-F9DF417203D4}"/>
    <hyperlink ref="J6918" r:id="rId9392" xr:uid="{617A35F2-9A38-FB4C-B535-30F80C9C5AE4}"/>
    <hyperlink ref="J6919" r:id="rId9393" xr:uid="{78C8C02A-DD2D-5D4E-986A-D3294D4439A2}"/>
    <hyperlink ref="J6920" r:id="rId9394" xr:uid="{958381F2-694A-2347-A644-34FE5E2474FD}"/>
    <hyperlink ref="J6921" r:id="rId9395" xr:uid="{202D7BCF-28FD-7648-ADA2-792E18E85A9E}"/>
    <hyperlink ref="W6921" r:id="rId9396" xr:uid="{2BA00A4B-851B-184E-85B9-9CBCE1DAA220}"/>
    <hyperlink ref="J6922" r:id="rId9397" xr:uid="{4C3A20F1-38E6-E744-8499-4BBD14C32CE4}"/>
    <hyperlink ref="J6923" r:id="rId9398" xr:uid="{CEB03C61-E19C-1C42-A483-9B12B58B161F}"/>
    <hyperlink ref="J6924" r:id="rId9399" xr:uid="{AD3963F4-8823-404D-A9C0-9C2BA2EC5372}"/>
    <hyperlink ref="J6925" r:id="rId9400" xr:uid="{B8E6EF61-2DC5-7847-974F-66BD78E0F9BD}"/>
    <hyperlink ref="J6926" r:id="rId9401" xr:uid="{821FE348-0BC9-3844-AFD8-8AC32915DBFF}"/>
    <hyperlink ref="W6926" r:id="rId9402" xr:uid="{6D1FF948-3B95-0441-B7DB-43765CBCEFBB}"/>
    <hyperlink ref="J6927" r:id="rId9403" xr:uid="{227B8387-E6DB-9D43-B4E0-BBFD4EA3E7AB}"/>
    <hyperlink ref="W6927" r:id="rId9404" xr:uid="{F23F9801-4F10-504A-9240-B2AD9CA3CCEF}"/>
    <hyperlink ref="J6928" r:id="rId9405" xr:uid="{EBA4BC95-8D91-9D43-BA91-A078E5D4A66B}"/>
    <hyperlink ref="J6929" r:id="rId9406" xr:uid="{A5ED5A42-43CF-D249-801F-95E7629DAE68}"/>
    <hyperlink ref="J6930" r:id="rId9407" xr:uid="{72091831-A214-0F45-8B35-6BCB4F60BF0D}"/>
    <hyperlink ref="J6931" r:id="rId9408" xr:uid="{98BEE5A3-7421-8045-BF89-DB77188F4388}"/>
    <hyperlink ref="J6932" r:id="rId9409" xr:uid="{7620755C-9EFD-0D48-9933-F082D0CBF899}"/>
    <hyperlink ref="J6933" r:id="rId9410" xr:uid="{B43890CA-EE78-6D4F-AFF4-6C7CF30C0411}"/>
    <hyperlink ref="J6934" r:id="rId9411" xr:uid="{F76F21AD-297B-E645-AB3C-211375F664D7}"/>
    <hyperlink ref="J6935" r:id="rId9412" xr:uid="{F1923E0E-5DE1-354C-9257-E413FABF797D}"/>
    <hyperlink ref="W6935" r:id="rId9413" xr:uid="{29632975-AFF9-1949-BA81-5795E690CC96}"/>
    <hyperlink ref="J6936" r:id="rId9414" xr:uid="{415BF048-BF36-874D-859C-1F64E9526442}"/>
    <hyperlink ref="J6937" r:id="rId9415" xr:uid="{BF1A29A3-0FE6-CF45-94CD-285E1B8271A7}"/>
    <hyperlink ref="J6938" r:id="rId9416" xr:uid="{0DB98001-1A60-3D44-A5BE-666DEF71418E}"/>
    <hyperlink ref="J6939" r:id="rId9417" xr:uid="{55882FE5-D7AD-384F-A1D1-84D1A7A17DB6}"/>
    <hyperlink ref="J6940" r:id="rId9418" xr:uid="{0EF080CA-21F1-BA4A-B4EC-5678E0B4F45D}"/>
    <hyperlink ref="J6941" r:id="rId9419" xr:uid="{3EB2426F-B40B-E54A-A909-6ADC4CDD5B90}"/>
    <hyperlink ref="J6942" r:id="rId9420" xr:uid="{1912B527-D122-B846-85C2-26A69D9041FB}"/>
    <hyperlink ref="W6942" r:id="rId9421" xr:uid="{CB692A83-6568-1F41-AF31-F1B93F92F3B0}"/>
    <hyperlink ref="J6943" r:id="rId9422" xr:uid="{9B15D204-C1C2-3C49-AD9C-3D22BA244455}"/>
    <hyperlink ref="J6944" r:id="rId9423" xr:uid="{6F4B2460-681E-C446-9E96-FC7183A978E1}"/>
    <hyperlink ref="J6945" r:id="rId9424" xr:uid="{0816C305-E88F-A646-B0AA-5C75FE757938}"/>
    <hyperlink ref="J6946" r:id="rId9425" xr:uid="{C9DB405A-FE40-5841-A44F-83DF1A10375C}"/>
    <hyperlink ref="J6947" r:id="rId9426" xr:uid="{850D4599-BBB6-D648-8BA9-5A02489D72A4}"/>
    <hyperlink ref="J6948" r:id="rId9427" xr:uid="{3DBBB7EE-76F8-2D4A-AA43-022F1FCC6317}"/>
    <hyperlink ref="J6949" r:id="rId9428" xr:uid="{E23317BA-32B5-6146-913F-578CE141E111}"/>
    <hyperlink ref="J6950" r:id="rId9429" xr:uid="{2B873C84-BB5A-1B44-A100-30C8F68C5A75}"/>
    <hyperlink ref="J6951" r:id="rId9430" xr:uid="{5CFCF2ED-6382-1A4D-AC92-9908358C2809}"/>
    <hyperlink ref="J6952" r:id="rId9431" xr:uid="{38A8E4C7-1E4A-8D45-AE8F-C0DA23E05AE7}"/>
    <hyperlink ref="J6953" r:id="rId9432" xr:uid="{302AD913-000F-364D-8696-9DFF4E4F7B01}"/>
    <hyperlink ref="J6954" r:id="rId9433" xr:uid="{1B5D72B2-8D60-0D48-936B-41BE1A7C481C}"/>
    <hyperlink ref="J6955" r:id="rId9434" xr:uid="{BAFCC84A-2686-9045-9407-7BC6ED883C30}"/>
    <hyperlink ref="J6956" r:id="rId9435" xr:uid="{57FC4B29-9539-A44F-B3F7-2C3E16EC7B05}"/>
    <hyperlink ref="J6957" r:id="rId9436" xr:uid="{394CDB70-471E-784A-B987-A70ABB2D2731}"/>
    <hyperlink ref="W6957" r:id="rId9437" xr:uid="{00B33DAD-E9F3-C640-ACF6-973B349CA5ED}"/>
    <hyperlink ref="J6958" r:id="rId9438" xr:uid="{782289F2-ABDD-4B43-A2A2-89C78BB4A797}"/>
    <hyperlink ref="J6959" r:id="rId9439" xr:uid="{B692D3AB-EE73-7349-8C22-E5A9765412D2}"/>
    <hyperlink ref="J6960" r:id="rId9440" xr:uid="{DFA95CFC-1F6E-D148-A3AD-81A5B3659C97}"/>
    <hyperlink ref="J6961" r:id="rId9441" xr:uid="{80BDB159-F2FD-084E-A91F-5BD325099811}"/>
    <hyperlink ref="J6962" r:id="rId9442" xr:uid="{80931D99-2C88-E148-ADCE-D92D0372C489}"/>
    <hyperlink ref="J6963" r:id="rId9443" xr:uid="{BD3F8A8C-DE07-504F-BD1A-E6341DC4A0F9}"/>
    <hyperlink ref="J6964" r:id="rId9444" xr:uid="{A36657FA-FE6D-D641-8123-3F9C0D067B10}"/>
    <hyperlink ref="J6965" r:id="rId9445" xr:uid="{C733C344-FF98-7D43-B5C4-A188ACA4C1ED}"/>
    <hyperlink ref="W6965" r:id="rId9446" xr:uid="{07B24C27-0FF4-C148-9B47-457793883BA0}"/>
    <hyperlink ref="J6966" r:id="rId9447" xr:uid="{CBD1DB70-1864-C24F-B65F-AE4CB15574E0}"/>
    <hyperlink ref="J6967" r:id="rId9448" xr:uid="{E4EB2E50-6452-4F4C-A34B-3F17A558F6C6}"/>
    <hyperlink ref="W6967" r:id="rId9449" xr:uid="{D0DEA1AE-48A8-BF4C-9779-C4AD43E8D081}"/>
    <hyperlink ref="J6968" r:id="rId9450" xr:uid="{56E62D63-15B8-C04A-B768-81A0DB4E3C18}"/>
    <hyperlink ref="J6969" r:id="rId9451" xr:uid="{EEAB6C46-5F6A-0248-BC43-4863E244113A}"/>
    <hyperlink ref="J6970" r:id="rId9452" xr:uid="{DC7366CA-B2F8-8245-AA7E-B0D8EA3275D8}"/>
    <hyperlink ref="J6971" r:id="rId9453" xr:uid="{E4889BE6-D040-924C-AC16-3013A6030135}"/>
    <hyperlink ref="J6972" r:id="rId9454" xr:uid="{84DD35C9-DE58-8F45-9CBC-6C08B6E21510}"/>
    <hyperlink ref="J6973" r:id="rId9455" xr:uid="{BD56E695-5D49-504E-8FD4-CED0D325CB46}"/>
    <hyperlink ref="J6974" r:id="rId9456" xr:uid="{82BDA04C-8EA2-C84A-B628-269D0EC2520A}"/>
    <hyperlink ref="J6975" r:id="rId9457" xr:uid="{BE88AB57-563B-8E4C-94B5-387CA9240ABF}"/>
    <hyperlink ref="W6975" r:id="rId9458" xr:uid="{E8B4383B-6616-1B43-A10B-E6DDAB5EA7D4}"/>
    <hyperlink ref="J6976" r:id="rId9459" xr:uid="{F3C5683A-0AC1-D04E-9639-3FDD2CC35543}"/>
    <hyperlink ref="J6977" r:id="rId9460" xr:uid="{06104A41-131C-F447-AD24-259EF88B481B}"/>
    <hyperlink ref="J6978" r:id="rId9461" xr:uid="{3FB8B8D2-D4A7-8B40-BC0A-4D90122B22F4}"/>
    <hyperlink ref="J6979" r:id="rId9462" xr:uid="{6D44F956-CB51-1A45-9582-A670CEA3E9E4}"/>
    <hyperlink ref="J6980" r:id="rId9463" xr:uid="{6169DB80-86CC-E74B-AA05-803269931401}"/>
    <hyperlink ref="J6981" r:id="rId9464" xr:uid="{642003CE-B793-E34B-8D26-C123069ADE78}"/>
    <hyperlink ref="W6981" r:id="rId9465" xr:uid="{0A7914DF-5BF3-F14E-AAE9-CEAF1FF0D1BD}"/>
    <hyperlink ref="AH6981" r:id="rId9466" xr:uid="{1CEF2005-2674-5342-A5B6-F0E078793341}"/>
    <hyperlink ref="J6982" r:id="rId9467" xr:uid="{8CA8F5AF-C32C-884B-8F02-417AADDCC5CD}"/>
    <hyperlink ref="J6983" r:id="rId9468" xr:uid="{FA79637D-8EE1-5D47-934B-7EE8FC92D936}"/>
    <hyperlink ref="W6983" r:id="rId9469" xr:uid="{65D86ECB-276B-D442-9155-9FA2DCE3343D}"/>
    <hyperlink ref="AG6983" r:id="rId9470" xr:uid="{F1CCFC2F-4708-7347-9281-EC6EE9587B7B}"/>
    <hyperlink ref="J6984" r:id="rId9471" xr:uid="{7CC41615-7F45-C94B-B714-48D2D6A257FF}"/>
    <hyperlink ref="J6985" r:id="rId9472" xr:uid="{29A97159-57DA-8D47-A888-1C49C8B9867A}"/>
    <hyperlink ref="W6985" r:id="rId9473" xr:uid="{DCD7F883-D6B7-5A4D-B801-D89705A04428}"/>
    <hyperlink ref="J6986" r:id="rId9474" xr:uid="{8FD0661B-8A1E-264D-A761-369CA5EA3446}"/>
    <hyperlink ref="J6987" r:id="rId9475" xr:uid="{2DC6E44D-5457-1D46-9F9F-850126736ECC}"/>
    <hyperlink ref="J6988" r:id="rId9476" xr:uid="{C2A85FD3-B0AE-EE47-80F6-9446CFD60B12}"/>
    <hyperlink ref="J6989" r:id="rId9477" xr:uid="{F0CC6FD3-F602-F942-B69B-8690E7A4BC0F}"/>
    <hyperlink ref="J6990" r:id="rId9478" xr:uid="{88726DE3-8581-2F44-A42F-C4AA9A54911F}"/>
    <hyperlink ref="J6991" r:id="rId9479" xr:uid="{7CA581D8-4D8A-104E-A3EA-623CB02CC65B}"/>
    <hyperlink ref="J6992" r:id="rId9480" xr:uid="{8EACDB26-1F22-824F-A90A-43EEE5BC78C9}"/>
    <hyperlink ref="W6992" r:id="rId9481" xr:uid="{D277342D-665A-A74A-9C7C-F20C455EBC9F}"/>
    <hyperlink ref="AH6992" r:id="rId9482" xr:uid="{1BDB4CD9-AA11-C54E-91F7-A0520AB93937}"/>
    <hyperlink ref="J6993" r:id="rId9483" xr:uid="{A8AA818A-F8E6-074F-AF6F-ED93B776AAE3}"/>
    <hyperlink ref="W6993" r:id="rId9484" xr:uid="{F668975F-164C-4948-AD8A-44D18AB515A5}"/>
    <hyperlink ref="J6994" r:id="rId9485" xr:uid="{B415C285-3926-C647-A956-A84ABB9DE64D}"/>
    <hyperlink ref="J6995" r:id="rId9486" xr:uid="{0F418D78-1306-9846-8731-D7F3D80C0F06}"/>
    <hyperlink ref="W6995" r:id="rId9487" xr:uid="{2C596438-19A8-8946-9977-6368253E0EA9}"/>
    <hyperlink ref="J6996" r:id="rId9488" xr:uid="{8086CCA0-51CA-CE4E-929A-2C1363CDDD8A}"/>
    <hyperlink ref="J6997" r:id="rId9489" xr:uid="{1947EBD6-BEEE-964B-BDD9-29393ADB3C1D}"/>
    <hyperlink ref="J6998" r:id="rId9490" xr:uid="{A77BE79E-FEA7-324D-B7C4-07B13819BC1B}"/>
    <hyperlink ref="W6998" r:id="rId9491" xr:uid="{66371461-9C7B-EB41-A1B7-FC5399262B20}"/>
    <hyperlink ref="J6999" r:id="rId9492" xr:uid="{D55CBDA2-81EB-1A48-8174-C68F7B7417A2}"/>
    <hyperlink ref="W6999" r:id="rId9493" xr:uid="{5D778E5F-473A-1B4F-A2F8-2B1CB2A48243}"/>
    <hyperlink ref="J7000" r:id="rId9494" xr:uid="{12B68AC1-7B8B-3541-9B38-EC28F66D10C9}"/>
    <hyperlink ref="J7001" r:id="rId9495" xr:uid="{C8AFDFD5-1183-AF44-B1D3-6A29B2339842}"/>
    <hyperlink ref="J7002" r:id="rId9496" xr:uid="{851289F7-83B1-DD43-8C6F-E2BE135D6359}"/>
    <hyperlink ref="J7003" r:id="rId9497" xr:uid="{6EF6A5AB-B444-B140-8779-B26B1198F59D}"/>
    <hyperlink ref="J7004" r:id="rId9498" xr:uid="{A801C01D-8EF7-274F-B342-2B88EC31A113}"/>
    <hyperlink ref="J7005" r:id="rId9499" xr:uid="{3A89CFCA-7CC4-4944-A1A4-10ACC17ABE60}"/>
    <hyperlink ref="J7006" r:id="rId9500" xr:uid="{45A0F444-DC42-7A4F-9641-BCD7A32023CD}"/>
    <hyperlink ref="J7007" r:id="rId9501" xr:uid="{91776BAA-5421-6C4C-BEFC-4BAADDF29E89}"/>
    <hyperlink ref="J7008" r:id="rId9502" xr:uid="{72D0A0B8-EA59-D541-A071-CD09FD9F76AE}"/>
    <hyperlink ref="J7009" r:id="rId9503" xr:uid="{E7159A06-A5A1-F548-8187-189C94C97C15}"/>
    <hyperlink ref="W7009" r:id="rId9504" xr:uid="{FC4D050F-F058-6C45-B531-225C1374B212}"/>
    <hyperlink ref="J7010" r:id="rId9505" xr:uid="{084B8846-4978-564A-A5EB-9168C705B503}"/>
    <hyperlink ref="W7010" r:id="rId9506" xr:uid="{586F8E98-3D9A-EA48-A688-D727F5AD9779}"/>
    <hyperlink ref="J7011" r:id="rId9507" xr:uid="{1A3A5F03-5EC6-6747-983D-1AAA60458204}"/>
    <hyperlink ref="W7011" r:id="rId9508" xr:uid="{8DA00669-B97A-574A-B99C-D390649B5655}"/>
    <hyperlink ref="J7012" r:id="rId9509" xr:uid="{54185128-59A2-2041-88D6-2E9AA3528A57}"/>
    <hyperlink ref="W7012" r:id="rId9510" xr:uid="{15043024-C1EE-C746-8F94-56AC83291550}"/>
    <hyperlink ref="J7013" r:id="rId9511" xr:uid="{FAAA3865-367D-8F43-9DDD-BAF578D393CB}"/>
    <hyperlink ref="J7014" r:id="rId9512" xr:uid="{31C76C12-5A74-FF45-9C69-A1E5CBC188AE}"/>
    <hyperlink ref="J7015" r:id="rId9513" xr:uid="{78E2773B-740F-F741-9456-7FFDD2B2BBB5}"/>
    <hyperlink ref="W7015" r:id="rId9514" xr:uid="{D60742A0-E287-5C48-B51C-8A0A6D198B34}"/>
    <hyperlink ref="J7016" r:id="rId9515" xr:uid="{E54FC4A7-3403-9243-948F-88DA48114597}"/>
    <hyperlink ref="J7017" r:id="rId9516" xr:uid="{50C54138-16AC-314E-A0BB-BCF28DE3536C}"/>
    <hyperlink ref="J7018" r:id="rId9517" xr:uid="{311DCE99-F2F3-C442-A7E3-6B31B108ED72}"/>
    <hyperlink ref="J7019" r:id="rId9518" xr:uid="{B9D0EACC-314B-7C44-BFD0-377E020B7F8E}"/>
    <hyperlink ref="J7020" r:id="rId9519" xr:uid="{ED16B910-8780-1342-A247-8114BF6314ED}"/>
    <hyperlink ref="J7021" r:id="rId9520" xr:uid="{0C7E289A-C96B-7142-96BA-A03F481B376D}"/>
    <hyperlink ref="J7022" r:id="rId9521" xr:uid="{ED8E33C0-925B-C743-BE99-CF698109E558}"/>
    <hyperlink ref="J7023" r:id="rId9522" xr:uid="{882ED274-C37D-0041-8B98-FAC2D9035C5D}"/>
    <hyperlink ref="J7024" r:id="rId9523" xr:uid="{F7F2E350-E91B-8346-AD36-4F86E4233DE6}"/>
    <hyperlink ref="J7025" r:id="rId9524" xr:uid="{3C6AAC74-E75B-E446-BBED-5683B23CA540}"/>
    <hyperlink ref="J7026" r:id="rId9525" xr:uid="{D37B116C-148C-0A4E-8210-851574589AAF}"/>
    <hyperlink ref="J7027" r:id="rId9526" xr:uid="{08EEEC43-E3CE-584B-BCE0-52878B044A1C}"/>
    <hyperlink ref="J7028" r:id="rId9527" xr:uid="{C8B53621-78B1-794D-8151-62B0E03F5393}"/>
    <hyperlink ref="J7029" r:id="rId9528" xr:uid="{5FAF98A0-2AEC-5C40-82DB-6592FAF29D8D}"/>
    <hyperlink ref="J7030" r:id="rId9529" xr:uid="{0C55FD77-27AA-464F-95B3-81B47C3EEA64}"/>
    <hyperlink ref="J7031" r:id="rId9530" xr:uid="{4112ED72-54CB-3C4E-B796-54244BCDA74F}"/>
    <hyperlink ref="J7032" r:id="rId9531" xr:uid="{B6E4AD88-CD2D-7F40-BC16-10DE4194B334}"/>
    <hyperlink ref="J7033" r:id="rId9532" xr:uid="{2D8297DE-85EA-4141-AECE-EA5128A95757}"/>
    <hyperlink ref="J7034" r:id="rId9533" xr:uid="{CF470F1E-4915-734E-A417-81AD203E7D68}"/>
    <hyperlink ref="J7035" r:id="rId9534" xr:uid="{0491125A-2AFB-A84E-9AF3-D6829671B7F6}"/>
    <hyperlink ref="J7036" r:id="rId9535" xr:uid="{343C86E9-DE50-5044-84A9-E31F0E8518CB}"/>
    <hyperlink ref="J7037" r:id="rId9536" xr:uid="{31D0FD4A-D8D0-4449-B871-55138D23EDB6}"/>
    <hyperlink ref="J7038" r:id="rId9537" xr:uid="{B55A585D-D90A-874D-A340-B19BE4C6CBEA}"/>
    <hyperlink ref="J7039" r:id="rId9538" xr:uid="{A9182AA7-4A57-CA46-80D1-53D3D448B7D4}"/>
    <hyperlink ref="J7040" r:id="rId9539" xr:uid="{295512C3-B611-8F4B-9E08-C89A54F8CAA7}"/>
    <hyperlink ref="J7041" r:id="rId9540" xr:uid="{7ECA41E4-E77B-904E-8FCF-3BB3B097508F}"/>
    <hyperlink ref="J7042" r:id="rId9541" xr:uid="{7C048FC5-30C0-F245-A6F2-058AF3598D73}"/>
    <hyperlink ref="J7043" r:id="rId9542" xr:uid="{BBE57F77-0752-4941-8C8A-9AA8FB83A6E4}"/>
    <hyperlink ref="J7044" r:id="rId9543" xr:uid="{63C4A39A-B9E0-7046-8BA0-93FA36ED2D39}"/>
    <hyperlink ref="J7045" r:id="rId9544" xr:uid="{24A6781F-392F-5742-91D4-07C220BA9918}"/>
    <hyperlink ref="J7046" r:id="rId9545" xr:uid="{510CC762-4E8E-9142-A922-9ADFB61AE6E4}"/>
    <hyperlink ref="J7047" r:id="rId9546" xr:uid="{92BB675D-7821-414C-8A20-8F92A5F1FC94}"/>
    <hyperlink ref="J7048" r:id="rId9547" xr:uid="{25EABC04-7EDE-E544-B544-5144FA4B659B}"/>
    <hyperlink ref="W7048" r:id="rId9548" xr:uid="{7226E963-C104-5C4A-99C9-EB18FBB060AC}"/>
    <hyperlink ref="J7049" r:id="rId9549" xr:uid="{1964E229-57A3-464F-A1B8-727314C3EF45}"/>
    <hyperlink ref="J7050" r:id="rId9550" xr:uid="{4353A788-9556-A94C-8495-58785BDBE9C6}"/>
    <hyperlink ref="J7051" r:id="rId9551" xr:uid="{E9C46DFE-2658-1D46-8645-42E9EB29C390}"/>
    <hyperlink ref="J7052" r:id="rId9552" xr:uid="{F0E562E8-7455-4746-A395-6744B2FE43BD}"/>
    <hyperlink ref="J7053" r:id="rId9553" xr:uid="{B0E70D48-ABF6-4C4D-8805-BC50C5D32102}"/>
    <hyperlink ref="J7054" r:id="rId9554" xr:uid="{ADE8A113-6C04-584D-A105-F2EA6853296B}"/>
    <hyperlink ref="J7055" r:id="rId9555" xr:uid="{A219A722-CFFC-B349-AEF0-AB67E0D61041}"/>
    <hyperlink ref="J7056" r:id="rId9556" xr:uid="{2BA1A6DE-7464-6247-A0DB-FE7883FB5846}"/>
    <hyperlink ref="J7057" r:id="rId9557" xr:uid="{C1DE37A6-F24D-064A-BAA6-382A77FEAE15}"/>
    <hyperlink ref="J7058" r:id="rId9558" xr:uid="{9572169B-8902-C244-BECA-E2985496B3F1}"/>
    <hyperlink ref="J7059" r:id="rId9559" xr:uid="{EEA46E59-711D-524F-BCB2-5AF91AC860D9}"/>
    <hyperlink ref="J7060" r:id="rId9560" xr:uid="{CD8F0F70-2438-104E-BDF0-C4CA23C60C7D}"/>
    <hyperlink ref="J7061" r:id="rId9561" xr:uid="{5F45CEE8-70B3-F24C-A7EC-9522D3E272FA}"/>
    <hyperlink ref="J7062" r:id="rId9562" xr:uid="{12048720-8794-F845-9851-B7DDCA4A1C81}"/>
    <hyperlink ref="J7063" r:id="rId9563" xr:uid="{7025F124-AB45-094C-8437-AAE831C849CC}"/>
    <hyperlink ref="J7064" r:id="rId9564" xr:uid="{4027892F-0396-C644-A5B9-779901DC40B9}"/>
    <hyperlink ref="J7065" r:id="rId9565" xr:uid="{63E5CCBB-C24F-7D4C-A27E-FFD1E0ACA741}"/>
    <hyperlink ref="J7066" r:id="rId9566" xr:uid="{AD03E267-7808-F749-B201-36FFB7502100}"/>
    <hyperlink ref="J7067" r:id="rId9567" xr:uid="{97E9BBF7-4C7E-7347-A468-C1C83097F88F}"/>
    <hyperlink ref="W7067" r:id="rId9568" xr:uid="{1079ECCD-048F-854C-BBF3-C0E546044160}"/>
    <hyperlink ref="J7068" r:id="rId9569" xr:uid="{C72FB489-B22C-464C-A5C4-6E6F33BDCA1B}"/>
    <hyperlink ref="J7069" r:id="rId9570" xr:uid="{991AED6A-2F50-9A43-9F31-BC9438358581}"/>
    <hyperlink ref="J7070" r:id="rId9571" xr:uid="{E68C9CFB-0656-4044-83FC-2629FBE441C2}"/>
    <hyperlink ref="W7070" r:id="rId9572" xr:uid="{7730E96A-DBD5-BE42-8E72-6C8A5EA73789}"/>
    <hyperlink ref="J7071" r:id="rId9573" xr:uid="{9340686C-AF8D-5142-B026-3E7F45A725C4}"/>
    <hyperlink ref="J7072" r:id="rId9574" xr:uid="{DE12F2FE-07EC-4F49-BB2A-92747579AF32}"/>
    <hyperlink ref="J7073" r:id="rId9575" xr:uid="{7314E686-A3B6-9146-B536-64C7C034D4B0}"/>
    <hyperlink ref="J7074" r:id="rId9576" xr:uid="{173DA46F-8CCE-1E44-8605-2973B2EA17F3}"/>
    <hyperlink ref="J7075" r:id="rId9577" xr:uid="{8A09ABB1-3938-D64D-A6E6-BED066FBD85A}"/>
    <hyperlink ref="J7076" r:id="rId9578" xr:uid="{6AD6EF31-036A-3F44-843B-BB0BA767ED88}"/>
    <hyperlink ref="J7077" r:id="rId9579" xr:uid="{75E98EC6-F5BE-3948-B5F6-B731526B5A43}"/>
    <hyperlink ref="W7077" r:id="rId9580" xr:uid="{105D8CD3-CBAB-CA40-9039-5268084EAFD5}"/>
    <hyperlink ref="J7078" r:id="rId9581" xr:uid="{640772C9-EC98-3341-B105-CA310884B927}"/>
    <hyperlink ref="J7079" r:id="rId9582" xr:uid="{4A595D53-B37E-9E4F-8FD6-18F1C05B7B28}"/>
    <hyperlink ref="W7079" r:id="rId9583" xr:uid="{66C728C0-7683-974F-AB4A-55632D805C6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Mac24h</dc:creator>
  <cp:lastModifiedBy>Mac24h</cp:lastModifiedBy>
  <dcterms:created xsi:type="dcterms:W3CDTF">2026-06-18T04:22:22Z</dcterms:created>
  <dcterms:modified xsi:type="dcterms:W3CDTF">2026-06-18T04:22:43Z</dcterms:modified>
</cp:coreProperties>
</file>